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7.xml" ContentType="application/vnd.openxmlformats-officedocument.drawing+xml"/>
  <Override PartName="/xl/slicers/slicer1.xml" ContentType="application/vnd.ms-excel.slicer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pivotTables/pivotTable6.xml" ContentType="application/vnd.openxmlformats-officedocument.spreadsheetml.pivotTab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pivotTables/pivotTable7.xml" ContentType="application/vnd.openxmlformats-officedocument.spreadsheetml.pivotTab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8.xml" ContentType="application/vnd.openxmlformats-officedocument.drawingml.chart+xml"/>
  <Override PartName="/xl/pivotTables/pivotTable8.xml" ContentType="application/vnd.openxmlformats-officedocument.spreadsheetml.pivotTable+xml"/>
  <Override PartName="/xl/drawings/drawing14.xml" ContentType="application/vnd.openxmlformats-officedocument.drawing+xml"/>
  <Override PartName="/xl/tables/table1.xml" ContentType="application/vnd.openxmlformats-officedocument.spreadsheetml.table+xml"/>
  <Override PartName="/xl/slicers/slicer2.xml" ContentType="application/vnd.ms-excel.slicer+xml"/>
  <Override PartName="/xl/drawings/drawing15.xml" ContentType="application/vnd.openxmlformats-officedocument.drawing+xml"/>
  <Override PartName="/xl/pivotTables/pivotTable9.xml" ContentType="application/vnd.openxmlformats-officedocument.spreadsheetml.pivotTable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Gerso\OneDrive\Escritorio\Gerson\automatizcion\ATLANTICA\"/>
    </mc:Choice>
  </mc:AlternateContent>
  <xr:revisionPtr revIDLastSave="0" documentId="13_ncr:1_{4CA65984-4F42-48C8-8D47-781E9668C5AB}" xr6:coauthVersionLast="47" xr6:coauthVersionMax="47" xr10:uidLastSave="{00000000-0000-0000-0000-000000000000}"/>
  <bookViews>
    <workbookView xWindow="-105" yWindow="0" windowWidth="10455" windowHeight="10905" tabRatio="885" firstSheet="4" activeTab="4" xr2:uid="{00000000-000D-0000-FFFF-FFFF00000000}"/>
  </bookViews>
  <sheets>
    <sheet name="Datos globales " sheetId="44" r:id="rId1"/>
    <sheet name="Resumen Consolidado" sheetId="2" r:id="rId2"/>
    <sheet name="Recaud (2)" sheetId="59" r:id="rId3"/>
    <sheet name="Recaud" sheetId="31" r:id="rId4"/>
    <sheet name="Resumen Consolidado (2)" sheetId="66" r:id="rId5"/>
    <sheet name="Detalle Inmueble" sheetId="39" r:id="rId6"/>
    <sheet name="Im Final" sheetId="63" r:id="rId7"/>
    <sheet name="Inventario" sheetId="37" r:id="rId8"/>
    <sheet name="Proyeccion Recaudos" sheetId="7" r:id="rId9"/>
    <sheet name="Proyeccion Recaudos (2)" sheetId="57" r:id="rId10"/>
    <sheet name="Detalle Clientes" sheetId="3" r:id="rId11"/>
    <sheet name="Detalle Clientes (2)" sheetId="56" r:id="rId12"/>
    <sheet name="Ventas mes a mes" sheetId="32" r:id="rId13"/>
    <sheet name="Hoja2" sheetId="65" r:id="rId14"/>
    <sheet name="Ventas mes a mes (2)" sheetId="64" r:id="rId15"/>
    <sheet name="Proyeccion de saldos detallados" sheetId="51" r:id="rId16"/>
    <sheet name="Proyeccion de saldos detall (2)" sheetId="58" r:id="rId17"/>
    <sheet name="Resumen Ejecutivo" sheetId="35" state="hidden" r:id="rId18"/>
    <sheet name="Ka" sheetId="19" state="hidden" r:id="rId19"/>
    <sheet name="Im 1A" sheetId="43" r:id="rId20"/>
    <sheet name="Vtas1A" sheetId="42" r:id="rId21"/>
    <sheet name="Im 1B" sheetId="21" r:id="rId22"/>
    <sheet name="Vtas1B" sheetId="38" r:id="rId23"/>
    <sheet name="Im 2" sheetId="54" r:id="rId24"/>
    <sheet name="Vtas2" sheetId="55" r:id="rId25"/>
    <sheet name="Im 3A" sheetId="46" r:id="rId26"/>
    <sheet name="Vtas3A" sheetId="47" r:id="rId27"/>
    <sheet name="Im 3B" sheetId="52" r:id="rId28"/>
    <sheet name="Vtas3B" sheetId="53" r:id="rId29"/>
    <sheet name="Im 4" sheetId="49" state="hidden" r:id="rId30"/>
    <sheet name="Vtas4" sheetId="48" state="hidden" r:id="rId31"/>
    <sheet name="Hoja1" sheetId="40" state="hidden" r:id="rId32"/>
  </sheets>
  <externalReferences>
    <externalReference r:id="rId33"/>
    <externalReference r:id="rId34"/>
    <externalReference r:id="rId35"/>
  </externalReferences>
  <definedNames>
    <definedName name="_xlnm._FilterDatabase" localSheetId="10" hidden="1">'Detalle Clientes'!$B$5:$O$1697</definedName>
    <definedName name="_xlnm._FilterDatabase" localSheetId="5" hidden="1">'Detalle Inmueble'!$B$321:$F$380</definedName>
    <definedName name="_xlnm._FilterDatabase" localSheetId="19" hidden="1">'Im 1A'!$A$1:$D$150</definedName>
    <definedName name="_xlnm._FilterDatabase" localSheetId="21" hidden="1">'Im 1B'!$A$1:$D$246</definedName>
    <definedName name="_xlnm._FilterDatabase" localSheetId="23" hidden="1">'Im 2'!$A$1:$D$150</definedName>
    <definedName name="_xlnm._FilterDatabase" localSheetId="25" hidden="1">'Im 3A'!$A$1:$D$337</definedName>
    <definedName name="_xlnm._FilterDatabase" localSheetId="27" hidden="1">'Im 3B'!$A$1:$D$296</definedName>
    <definedName name="_xlnm._FilterDatabase" localSheetId="29" hidden="1">'Im 4'!$A$1:$D$316</definedName>
    <definedName name="_xlnm._FilterDatabase" localSheetId="7" hidden="1">Inventario!$B$3:$F$131</definedName>
    <definedName name="_xlnm._FilterDatabase" localSheetId="18" hidden="1">Ka!#REF!</definedName>
    <definedName name="_xlnm._FilterDatabase" localSheetId="16" hidden="1">'Proyeccion de saldos detall (2)'!$A$3:$BC$598</definedName>
    <definedName name="_xlnm._FilterDatabase" localSheetId="15" hidden="1">'Proyeccion de saldos detallados'!$A$3:$BC$598</definedName>
    <definedName name="_xlnm._FilterDatabase" localSheetId="20" hidden="1">Vtas1A!$A$1:$B$283</definedName>
    <definedName name="_xlnm._FilterDatabase" localSheetId="22" hidden="1">Vtas1B!$A$1:$B$1</definedName>
    <definedName name="_xlnm._FilterDatabase" localSheetId="24" hidden="1">Vtas2!$A$1:$B$1</definedName>
    <definedName name="_xlnm._FilterDatabase" localSheetId="26" hidden="1">Vtas3A!$A$1:$B$1</definedName>
    <definedName name="_xlnm._FilterDatabase" localSheetId="28" hidden="1">Vtas3B!$A$1:$B$1</definedName>
    <definedName name="_xlnm._FilterDatabase" localSheetId="30" hidden="1">Vtas4!$A$1:$B$100</definedName>
    <definedName name="_xlcn.WorksheetConnection_Ejemploaut.xlsxDESISTIMIENTOS1" hidden="1">[1]!DESISTIMIENTOS[#Data]</definedName>
    <definedName name="_xlcn.WorksheetConnection_Torres.xlsxTORRE_3B1" hidden="1">[2]!TORRE_3B</definedName>
    <definedName name="_xleta.COUNTA" hidden="1" xlm="1">#NAME?</definedName>
    <definedName name="_xleta.IF" hidden="1" xlm="1">#NAME?</definedName>
    <definedName name="_xleta.SUM" hidden="1" xlm="1">#NAME?</definedName>
    <definedName name="_xleta.TODAY" hidden="1" xlm="1">#NAME?</definedName>
    <definedName name="_xlnm.Print_Area" localSheetId="0">'Datos globales '!$B$1:$M$30</definedName>
    <definedName name="_xlnm.Print_Area" localSheetId="10">'Detalle Clientes'!$B$1:$N$1696</definedName>
    <definedName name="_xlnm.Print_Area" localSheetId="11">'Detalle Clientes (2)'!$B$1:$N$4</definedName>
    <definedName name="_xlnm.Print_Area" localSheetId="5">'Detalle Inmueble'!$B$1:$L$456</definedName>
    <definedName name="_xlnm.Print_Area" localSheetId="7">Inventario!$B$1:$J$187</definedName>
    <definedName name="_xlnm.Print_Area" localSheetId="16">'Proyeccion de saldos detall (2)'!$A$1:$BC$597</definedName>
    <definedName name="_xlnm.Print_Area" localSheetId="15">'Proyeccion de saldos detallados'!$A$1:$BC$597</definedName>
    <definedName name="_xlnm.Print_Area" localSheetId="8">'Proyeccion Recaudos'!$A$1:$AO$87</definedName>
    <definedName name="_xlnm.Print_Area" localSheetId="9">'Proyeccion Recaudos (2)'!$A$1:$AO$87</definedName>
    <definedName name="_xlnm.Print_Area" localSheetId="3">Recaud!$A$1:$G$18</definedName>
    <definedName name="_xlnm.Print_Area" localSheetId="2">'Recaud (2)'!$A$1:$G$18</definedName>
    <definedName name="_xlnm.Print_Area" localSheetId="1">'Resumen Consolidado'!$B$1:$AD$84</definedName>
    <definedName name="_xlnm.Print_Area" localSheetId="4">'Resumen Consolidado (2)'!$B$1:$AD$84</definedName>
    <definedName name="_xlnm.Print_Area" localSheetId="17">'Resumen Ejecutivo'!$B$1:$AB$56</definedName>
    <definedName name="_xlnm.Print_Area" localSheetId="12">'Ventas mes a mes'!$A$1:$I$81</definedName>
    <definedName name="_xlnm.Print_Area" localSheetId="14">'Ventas mes a mes (2)'!$A$1:$I$82</definedName>
    <definedName name="Proyeccion" localSheetId="0">#REF!</definedName>
    <definedName name="Proyeccion" localSheetId="16">#REF!</definedName>
    <definedName name="Proyeccion" localSheetId="15">#REF!</definedName>
    <definedName name="Proyeccion">#REF!</definedName>
    <definedName name="SegmentaciónDeDatos_Concepto">#N/A</definedName>
    <definedName name="SegmentaciónDeDatos_Tipo_de_Unidad">#N/A</definedName>
    <definedName name="SegmentaciónDeDatos_Tipo_de_Unidad1">#N/A</definedName>
    <definedName name="SegmentaciónDeDatos_Tipo_de_Unidad2">#N/A</definedName>
    <definedName name="SegmentaciónDeDatos_Tipo_de_Unidad3">#N/A</definedName>
    <definedName name="SegmentaciónDeDatos_Tipo_de_Unidad4">#N/A</definedName>
    <definedName name="_xlnm.Print_Titles" localSheetId="10">'Detalle Clientes'!$1:$5</definedName>
    <definedName name="_xlnm.Print_Titles" localSheetId="11">'Detalle Clientes (2)'!$1:$4</definedName>
    <definedName name="_xlnm.Print_Titles" localSheetId="5">'Detalle Inmueble'!$11:$12</definedName>
    <definedName name="_xlnm.Print_Titles" localSheetId="7">Inventario!$12:$12</definedName>
    <definedName name="_xlnm.Print_Titles" localSheetId="16">'Proyeccion de saldos detall (2)'!$A:$C,'Proyeccion de saldos detall (2)'!$1:$3</definedName>
    <definedName name="_xlnm.Print_Titles" localSheetId="15">'Proyeccion de saldos detallados'!$A:$C,'Proyeccion de saldos detallados'!$1:$3</definedName>
    <definedName name="Z_934165B8_A27C_11D7_B517_000AE63EE99A_.wvu.Cols" localSheetId="12" hidden="1">'Ventas mes a mes'!#REF!</definedName>
    <definedName name="Z_934165B8_A27C_11D7_B517_000AE63EE99A_.wvu.Cols" localSheetId="14" hidden="1">'Ventas mes a mes (2)'!#REF!</definedName>
    <definedName name="Z_934165B8_A27C_11D7_B517_000AE63EE99A_.wvu.Rows" localSheetId="12" hidden="1">'Ventas mes a mes'!#REF!</definedName>
    <definedName name="Z_934165B8_A27C_11D7_B517_000AE63EE99A_.wvu.Rows" localSheetId="14" hidden="1">'Ventas mes a mes (2)'!#REF!</definedName>
  </definedNames>
  <calcPr calcId="191029"/>
  <pivotCaches>
    <pivotCache cacheId="0" r:id="rId36"/>
    <pivotCache cacheId="1" r:id="rId37"/>
    <pivotCache cacheId="2" r:id="rId38"/>
    <pivotCache cacheId="3" r:id="rId39"/>
    <pivotCache cacheId="4" r:id="rId40"/>
    <pivotCache cacheId="5" r:id="rId41"/>
    <pivotCache cacheId="6" r:id="rId42"/>
    <pivotCache cacheId="7" r:id="rId43"/>
    <pivotCache cacheId="14" r:id="rId44"/>
  </pivotCaches>
  <fileRecoveryPr autoRecover="0"/>
  <extLst>
    <ext xmlns:x14="http://schemas.microsoft.com/office/spreadsheetml/2009/9/main" uri="{876F7934-8845-4945-9796-88D515C7AA90}">
      <x14:pivotCaches>
        <pivotCache cacheId="9" r:id="rId45"/>
        <pivotCache cacheId="10" r:id="rId46"/>
      </x14:pivotCaches>
    </ext>
    <ext xmlns:x14="http://schemas.microsoft.com/office/spreadsheetml/2009/9/main" uri="{BBE1A952-AA13-448e-AADC-164F8A28A991}">
      <x14:slicerCaches>
        <x14:slicerCache r:id="rId47"/>
        <x14:slicerCache r:id="rId48"/>
        <x14:slicerCache r:id="rId49"/>
        <x14:slicerCache r:id="rId50"/>
        <x14:slicerCache r:id="rId51"/>
        <x14:slicerCache r:id="rId5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FCE2AD5D-F65C-4FA6-A056-5C36A1767C68}">
      <x15:dataModel>
        <x15:modelTables>
          <x15:modelTable id="TORRE_3B" name="TORRE_3B" connection="WorksheetConnection_Torres.xlsx!TORRE_3B"/>
          <x15:modelTable id="DESISTIMIENTOS" name="DESISTIMIENTOS" connection="WorksheetConnection_Ejemplo aut.xlsx!DESISTIMIENTOS"/>
        </x15:modelTables>
        <x15:extLst>
          <ext xmlns:x16="http://schemas.microsoft.com/office/spreadsheetml/2014/11/main" uri="{9835A34E-60A6-4A7C-AAB8-D5F71C897F49}">
            <x16:modelTimeGroupings>
              <x16:modelTimeGrouping tableName="DESISTIMIENTOS" columnName="Fecha desistimiento" columnId="Fecha desistimiento">
                <x16:calculatedTimeColumn columnName="Fecha desistimiento (año)" columnId="Fecha desistimiento (año)" contentType="years" isSelected="1"/>
                <x16:calculatedTimeColumn columnName="Fecha desistimiento (trimestre)" columnId="Fecha desistimiento (trimestre)" contentType="quarters" isSelected="1"/>
                <x16:calculatedTimeColumn columnName="Fecha desistimiento (índice de meses)" columnId="Fecha desistimiento (índice de meses)" contentType="monthsindex" isSelected="1"/>
                <x16:calculatedTimeColumn columnName="Fecha desistimiento (mes)" columnId="Fecha desistimiento (me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77" i="66" l="1"/>
  <c r="Y77" i="66"/>
  <c r="AD76" i="66"/>
  <c r="Y76" i="66"/>
  <c r="AD75" i="66"/>
  <c r="Y75" i="66"/>
  <c r="AD74" i="66"/>
  <c r="Y74" i="66"/>
  <c r="AD73" i="66"/>
  <c r="Y73" i="66"/>
  <c r="AD72" i="66"/>
  <c r="Y72" i="66"/>
  <c r="AD71" i="66"/>
  <c r="Y71" i="66"/>
  <c r="AD70" i="66"/>
  <c r="Y70" i="66"/>
  <c r="W70" i="66" s="1"/>
  <c r="AD69" i="66"/>
  <c r="Y69" i="66"/>
  <c r="AD68" i="66"/>
  <c r="Y68" i="66"/>
  <c r="AC81" i="66"/>
  <c r="AC79" i="66"/>
  <c r="AC78" i="66"/>
  <c r="AB81" i="66"/>
  <c r="AB79" i="66"/>
  <c r="AB78" i="66"/>
  <c r="AA81" i="66"/>
  <c r="AA79" i="66"/>
  <c r="AA78" i="66"/>
  <c r="AB77" i="66"/>
  <c r="AB76" i="66"/>
  <c r="AB75" i="66"/>
  <c r="AB74" i="66"/>
  <c r="AB73" i="66"/>
  <c r="AB72" i="66"/>
  <c r="AB71" i="66"/>
  <c r="AB69" i="66"/>
  <c r="AB68" i="66"/>
  <c r="AC77" i="66"/>
  <c r="AC76" i="66"/>
  <c r="AC75" i="66"/>
  <c r="AC74" i="66"/>
  <c r="AC73" i="66"/>
  <c r="AC72" i="66"/>
  <c r="AC71" i="66"/>
  <c r="AC69" i="66"/>
  <c r="AC68" i="66"/>
  <c r="Y8" i="66"/>
  <c r="Y39" i="66" s="1"/>
  <c r="AD55" i="66"/>
  <c r="Y55" i="66"/>
  <c r="AD54" i="66"/>
  <c r="Y54" i="66"/>
  <c r="AD53" i="66"/>
  <c r="Y53" i="66"/>
  <c r="AD52" i="66"/>
  <c r="Y52" i="66"/>
  <c r="AD51" i="66"/>
  <c r="Y51" i="66"/>
  <c r="AD50" i="66"/>
  <c r="Y50" i="66"/>
  <c r="AD49" i="66"/>
  <c r="Y49" i="66"/>
  <c r="AD48" i="66"/>
  <c r="Y48" i="66"/>
  <c r="AD47" i="66"/>
  <c r="Y47" i="66"/>
  <c r="AD46" i="66"/>
  <c r="Y46" i="66"/>
  <c r="M36" i="66"/>
  <c r="M35" i="66"/>
  <c r="L36" i="66"/>
  <c r="L35" i="66"/>
  <c r="I36" i="66"/>
  <c r="I35" i="66"/>
  <c r="H36" i="66"/>
  <c r="H35" i="66"/>
  <c r="M31" i="66"/>
  <c r="M30" i="66"/>
  <c r="L31" i="66"/>
  <c r="L30" i="66"/>
  <c r="I30" i="66"/>
  <c r="I31" i="66"/>
  <c r="H31" i="66"/>
  <c r="D31" i="66" s="1"/>
  <c r="H30" i="66"/>
  <c r="M26" i="66"/>
  <c r="M25" i="66"/>
  <c r="L26" i="66"/>
  <c r="L25" i="66"/>
  <c r="I26" i="66"/>
  <c r="I25" i="66"/>
  <c r="H26" i="66"/>
  <c r="H25" i="66"/>
  <c r="M22" i="66"/>
  <c r="M21" i="66"/>
  <c r="L22" i="66"/>
  <c r="L21" i="66"/>
  <c r="I21" i="66"/>
  <c r="I22" i="66"/>
  <c r="H22" i="66"/>
  <c r="D22" i="66" s="1"/>
  <c r="H21" i="66"/>
  <c r="AD12" i="66"/>
  <c r="Y12" i="66"/>
  <c r="Y43" i="66" s="1"/>
  <c r="AD11" i="66"/>
  <c r="AD42" i="66" s="1"/>
  <c r="Y11" i="66"/>
  <c r="Y42" i="66" s="1"/>
  <c r="AD10" i="66"/>
  <c r="AD41" i="66" s="1"/>
  <c r="Y10" i="66"/>
  <c r="Y41" i="66" s="1"/>
  <c r="AD9" i="66"/>
  <c r="AD40" i="66" s="1"/>
  <c r="Y9" i="66"/>
  <c r="Y40" i="66" s="1"/>
  <c r="AD43" i="66"/>
  <c r="AD8" i="66"/>
  <c r="AD39" i="66" s="1"/>
  <c r="L12" i="66"/>
  <c r="J12" i="66"/>
  <c r="J43" i="66"/>
  <c r="M12" i="66"/>
  <c r="H12" i="66"/>
  <c r="H43" i="66" s="1"/>
  <c r="I12" i="66"/>
  <c r="X82" i="66"/>
  <c r="R82" i="66"/>
  <c r="I82" i="66"/>
  <c r="M81" i="66"/>
  <c r="Q81" i="66" s="1"/>
  <c r="U81" i="66" s="1"/>
  <c r="Q79" i="66"/>
  <c r="U79" i="66" s="1"/>
  <c r="M79" i="66"/>
  <c r="E79" i="66" s="1"/>
  <c r="Q78" i="66"/>
  <c r="U78" i="66" s="1"/>
  <c r="Q77" i="66"/>
  <c r="U77" i="66" s="1"/>
  <c r="M77" i="66"/>
  <c r="E77" i="66" s="1"/>
  <c r="S76" i="66"/>
  <c r="S82" i="66" s="1"/>
  <c r="Q76" i="66"/>
  <c r="U76" i="66" s="1"/>
  <c r="Q75" i="66"/>
  <c r="U75" i="66" s="1"/>
  <c r="Q74" i="66"/>
  <c r="U74" i="66" s="1"/>
  <c r="Q73" i="66"/>
  <c r="U73" i="66" s="1"/>
  <c r="U72" i="66"/>
  <c r="Q72" i="66"/>
  <c r="U71" i="66"/>
  <c r="Q71" i="66"/>
  <c r="M70" i="66"/>
  <c r="Q70" i="66" s="1"/>
  <c r="U70" i="66" s="1"/>
  <c r="E70" i="66"/>
  <c r="T69" i="66"/>
  <c r="T82" i="66" s="1"/>
  <c r="Q69" i="66"/>
  <c r="U69" i="66" s="1"/>
  <c r="U68" i="66"/>
  <c r="Q68" i="66"/>
  <c r="W64" i="66"/>
  <c r="W63" i="66"/>
  <c r="X56" i="66"/>
  <c r="T56" i="66"/>
  <c r="S56" i="66"/>
  <c r="I56" i="66"/>
  <c r="R55" i="66"/>
  <c r="Q55" i="66"/>
  <c r="U55" i="66" s="1"/>
  <c r="U54" i="66"/>
  <c r="Q54" i="66"/>
  <c r="R53" i="66"/>
  <c r="U53" i="66" s="1"/>
  <c r="Q53" i="66"/>
  <c r="Q52" i="66"/>
  <c r="U52" i="66" s="1"/>
  <c r="R51" i="66"/>
  <c r="R56" i="66" s="1"/>
  <c r="Q51" i="66"/>
  <c r="Q50" i="66"/>
  <c r="U50" i="66" s="1"/>
  <c r="R49" i="66"/>
  <c r="Q49" i="66"/>
  <c r="U49" i="66" s="1"/>
  <c r="Q48" i="66"/>
  <c r="U48" i="66" s="1"/>
  <c r="R47" i="66"/>
  <c r="Q47" i="66"/>
  <c r="U47" i="66" s="1"/>
  <c r="U46" i="66"/>
  <c r="Q46" i="66"/>
  <c r="T43" i="66"/>
  <c r="T62" i="66" s="1"/>
  <c r="R43" i="66"/>
  <c r="R62" i="66" s="1"/>
  <c r="T42" i="66"/>
  <c r="T61" i="66" s="1"/>
  <c r="R42" i="66"/>
  <c r="T41" i="66"/>
  <c r="T60" i="66" s="1"/>
  <c r="S41" i="66"/>
  <c r="S60" i="66" s="1"/>
  <c r="T40" i="66"/>
  <c r="T59" i="66" s="1"/>
  <c r="T39" i="66"/>
  <c r="T58" i="66" s="1"/>
  <c r="E36" i="66"/>
  <c r="D36" i="66"/>
  <c r="M37" i="66"/>
  <c r="L37" i="66"/>
  <c r="M32" i="66"/>
  <c r="L32" i="66"/>
  <c r="E26" i="66"/>
  <c r="D26" i="66"/>
  <c r="M27" i="66"/>
  <c r="L27" i="66"/>
  <c r="E22" i="66"/>
  <c r="L23" i="66"/>
  <c r="T13" i="66"/>
  <c r="S12" i="66"/>
  <c r="S43" i="66" s="1"/>
  <c r="S62" i="66" s="1"/>
  <c r="Q12" i="66"/>
  <c r="Q43" i="66" s="1"/>
  <c r="M43" i="66"/>
  <c r="L43" i="66"/>
  <c r="L62" i="66" s="1"/>
  <c r="U11" i="66"/>
  <c r="U42" i="66" s="1"/>
  <c r="S11" i="66"/>
  <c r="S42" i="66" s="1"/>
  <c r="Q11" i="66"/>
  <c r="Q42" i="66" s="1"/>
  <c r="Q61" i="66" s="1"/>
  <c r="U10" i="66"/>
  <c r="U41" i="66" s="1"/>
  <c r="R10" i="66"/>
  <c r="R41" i="66" s="1"/>
  <c r="Q10" i="66"/>
  <c r="Q41" i="66" s="1"/>
  <c r="Q60" i="66" s="1"/>
  <c r="S9" i="66"/>
  <c r="S40" i="66" s="1"/>
  <c r="S59" i="66" s="1"/>
  <c r="R9" i="66"/>
  <c r="R40" i="66" s="1"/>
  <c r="R59" i="66" s="1"/>
  <c r="Q9" i="66"/>
  <c r="Q40" i="66" s="1"/>
  <c r="S8" i="66"/>
  <c r="S39" i="66" s="1"/>
  <c r="R8" i="66"/>
  <c r="Q8" i="66"/>
  <c r="E3" i="66"/>
  <c r="H30" i="64"/>
  <c r="H19" i="64"/>
  <c r="M34" i="64"/>
  <c r="F8" i="64" s="1"/>
  <c r="C34" i="64"/>
  <c r="G4" i="64" s="1"/>
  <c r="O34" i="64"/>
  <c r="G8" i="64" s="1"/>
  <c r="L34" i="64"/>
  <c r="G7" i="64" s="1"/>
  <c r="I34" i="64"/>
  <c r="G6" i="64" s="1"/>
  <c r="F34" i="64"/>
  <c r="G5" i="64" s="1"/>
  <c r="C33" i="64"/>
  <c r="F33" i="64" s="1"/>
  <c r="I33" i="64" s="1"/>
  <c r="L33" i="64" s="1"/>
  <c r="O33" i="64" s="1"/>
  <c r="B33" i="64"/>
  <c r="E33" i="64" s="1"/>
  <c r="H33" i="64" s="1"/>
  <c r="K33" i="64" s="1"/>
  <c r="N33" i="64" s="1"/>
  <c r="A33" i="64"/>
  <c r="D33" i="64" s="1"/>
  <c r="G33" i="64" s="1"/>
  <c r="J33" i="64" s="1"/>
  <c r="M33" i="64" s="1"/>
  <c r="N34" i="64"/>
  <c r="J61" i="32"/>
  <c r="D64" i="32"/>
  <c r="E64" i="32"/>
  <c r="J19" i="64"/>
  <c r="I19" i="64"/>
  <c r="E5" i="64"/>
  <c r="D8" i="64"/>
  <c r="E8" i="64"/>
  <c r="E7" i="64"/>
  <c r="E6" i="64"/>
  <c r="E4" i="64"/>
  <c r="D7" i="64"/>
  <c r="D6" i="64"/>
  <c r="D5" i="64"/>
  <c r="D4" i="64"/>
  <c r="AA77" i="66"/>
  <c r="AA76" i="66"/>
  <c r="AA75" i="66"/>
  <c r="AA74" i="66"/>
  <c r="AA73" i="66"/>
  <c r="AA72" i="66"/>
  <c r="AA71" i="66"/>
  <c r="AA69" i="66"/>
  <c r="AA68" i="66"/>
  <c r="AA8" i="66"/>
  <c r="AC54" i="66"/>
  <c r="AC50" i="66"/>
  <c r="AC46" i="66"/>
  <c r="AB52" i="66"/>
  <c r="AB48" i="66"/>
  <c r="AA46" i="66"/>
  <c r="AA52" i="66"/>
  <c r="AA48" i="66"/>
  <c r="AB12" i="66"/>
  <c r="AC11" i="66"/>
  <c r="X8" i="66"/>
  <c r="M49" i="66"/>
  <c r="AB11" i="66"/>
  <c r="M51" i="66"/>
  <c r="M55" i="66"/>
  <c r="AC53" i="66"/>
  <c r="AC49" i="66"/>
  <c r="AB55" i="66"/>
  <c r="AB51" i="66"/>
  <c r="AB47" i="66"/>
  <c r="AA55" i="66"/>
  <c r="AA51" i="66"/>
  <c r="M54" i="66"/>
  <c r="AC52" i="66"/>
  <c r="AC48" i="66"/>
  <c r="AB54" i="66"/>
  <c r="AB50" i="66"/>
  <c r="AA47" i="66"/>
  <c r="AA54" i="66"/>
  <c r="M50" i="66"/>
  <c r="AA9" i="66"/>
  <c r="X9" i="66"/>
  <c r="M48" i="66"/>
  <c r="AC12" i="66"/>
  <c r="AC55" i="66"/>
  <c r="AC51" i="66"/>
  <c r="AC47" i="66"/>
  <c r="AB53" i="66"/>
  <c r="AB49" i="66"/>
  <c r="AB46" i="66"/>
  <c r="AA53" i="66"/>
  <c r="AA49" i="66"/>
  <c r="AC8" i="66"/>
  <c r="X10" i="66"/>
  <c r="X12" i="66"/>
  <c r="M53" i="66"/>
  <c r="AC9" i="66"/>
  <c r="M46" i="66"/>
  <c r="AA10" i="66"/>
  <c r="AB8" i="66"/>
  <c r="AB10" i="66"/>
  <c r="AB9" i="66"/>
  <c r="M52" i="66"/>
  <c r="AA11" i="66"/>
  <c r="M47" i="66"/>
  <c r="AC10" i="66"/>
  <c r="AA50" i="66"/>
  <c r="AA12" i="66"/>
  <c r="X11" i="66"/>
  <c r="Z76" i="66" l="1"/>
  <c r="W76" i="66" s="1"/>
  <c r="M76" i="66" s="1"/>
  <c r="E76" i="66" s="1"/>
  <c r="Z75" i="66"/>
  <c r="W75" i="66" s="1"/>
  <c r="M75" i="66" s="1"/>
  <c r="E75" i="66" s="1"/>
  <c r="Z74" i="66"/>
  <c r="W74" i="66" s="1"/>
  <c r="M74" i="66" s="1"/>
  <c r="E74" i="66" s="1"/>
  <c r="Z72" i="66"/>
  <c r="W72" i="66" s="1"/>
  <c r="M72" i="66" s="1"/>
  <c r="E72" i="66" s="1"/>
  <c r="Z71" i="66"/>
  <c r="W71" i="66" s="1"/>
  <c r="M71" i="66" s="1"/>
  <c r="E71" i="66" s="1"/>
  <c r="AD59" i="66"/>
  <c r="Z68" i="66"/>
  <c r="W68" i="66" s="1"/>
  <c r="Q59" i="66"/>
  <c r="S61" i="66"/>
  <c r="AB82" i="66"/>
  <c r="E81" i="66"/>
  <c r="R60" i="66"/>
  <c r="U60" i="66" s="1"/>
  <c r="Q62" i="66"/>
  <c r="U62" i="66" s="1"/>
  <c r="R61" i="66"/>
  <c r="U61" i="66" s="1"/>
  <c r="U51" i="66"/>
  <c r="Z73" i="66"/>
  <c r="W73" i="66" s="1"/>
  <c r="M73" i="66" s="1"/>
  <c r="E73" i="66" s="1"/>
  <c r="Z77" i="66"/>
  <c r="W77" i="66" s="1"/>
  <c r="Z78" i="66"/>
  <c r="W78" i="66" s="1"/>
  <c r="M78" i="66" s="1"/>
  <c r="E78" i="66" s="1"/>
  <c r="AC82" i="66"/>
  <c r="U9" i="66"/>
  <c r="U12" i="66"/>
  <c r="U43" i="66" s="1"/>
  <c r="Z81" i="66"/>
  <c r="W81" i="66" s="1"/>
  <c r="AD62" i="66"/>
  <c r="AD60" i="66"/>
  <c r="AD61" i="66"/>
  <c r="AC56" i="66"/>
  <c r="AB56" i="66"/>
  <c r="Z55" i="66"/>
  <c r="W55" i="66" s="1"/>
  <c r="Z53" i="66"/>
  <c r="W53" i="66" s="1"/>
  <c r="Z52" i="66"/>
  <c r="W52" i="66" s="1"/>
  <c r="U94" i="66" s="1"/>
  <c r="Z51" i="66"/>
  <c r="Z50" i="66"/>
  <c r="W50" i="66" s="1"/>
  <c r="Z49" i="66"/>
  <c r="W49" i="66" s="1"/>
  <c r="U93" i="66" s="1"/>
  <c r="Z48" i="66"/>
  <c r="W48" i="66" s="1"/>
  <c r="U92" i="66" s="1"/>
  <c r="E55" i="66"/>
  <c r="E51" i="66"/>
  <c r="E48" i="66"/>
  <c r="E52" i="66"/>
  <c r="E50" i="66"/>
  <c r="E54" i="66"/>
  <c r="M62" i="66"/>
  <c r="E53" i="66"/>
  <c r="E49" i="66"/>
  <c r="AA56" i="66"/>
  <c r="Y62" i="66"/>
  <c r="Y61" i="66"/>
  <c r="Y60" i="66"/>
  <c r="Y59" i="66"/>
  <c r="E47" i="66"/>
  <c r="E46" i="66"/>
  <c r="E31" i="66"/>
  <c r="M23" i="66"/>
  <c r="Z10" i="66"/>
  <c r="AC41" i="66"/>
  <c r="AC60" i="66" s="1"/>
  <c r="AC42" i="66"/>
  <c r="AC61" i="66" s="1"/>
  <c r="AC13" i="66"/>
  <c r="AC39" i="66"/>
  <c r="AC58" i="66" s="1"/>
  <c r="AC43" i="66"/>
  <c r="AC62" i="66" s="1"/>
  <c r="AB40" i="66"/>
  <c r="AB59" i="66" s="1"/>
  <c r="AB41" i="66"/>
  <c r="AB60" i="66" s="1"/>
  <c r="AB42" i="66"/>
  <c r="AB61" i="66" s="1"/>
  <c r="AB43" i="66"/>
  <c r="AB62" i="66" s="1"/>
  <c r="AA40" i="66"/>
  <c r="AA41" i="66"/>
  <c r="AA60" i="66" s="1"/>
  <c r="AA42" i="66"/>
  <c r="Z42" i="66" s="1"/>
  <c r="Y13" i="66"/>
  <c r="X43" i="66"/>
  <c r="X62" i="66" s="1"/>
  <c r="X42" i="66"/>
  <c r="X61" i="66" s="1"/>
  <c r="X41" i="66"/>
  <c r="X60" i="66" s="1"/>
  <c r="X40" i="66"/>
  <c r="X59" i="66" s="1"/>
  <c r="AC40" i="66"/>
  <c r="AC59" i="66" s="1"/>
  <c r="AD44" i="66"/>
  <c r="AD58" i="66"/>
  <c r="AD65" i="66" s="1"/>
  <c r="J62" i="66"/>
  <c r="S58" i="66"/>
  <c r="S44" i="66"/>
  <c r="S83" i="66" s="1"/>
  <c r="AA39" i="66"/>
  <c r="AA13" i="66"/>
  <c r="Z8" i="66"/>
  <c r="U59" i="66"/>
  <c r="AA59" i="66"/>
  <c r="D12" i="66"/>
  <c r="R39" i="66"/>
  <c r="R13" i="66"/>
  <c r="Y44" i="66"/>
  <c r="Y58" i="66"/>
  <c r="U40" i="66"/>
  <c r="Z9" i="66"/>
  <c r="W9" i="66" s="1"/>
  <c r="W40" i="66" s="1"/>
  <c r="W10" i="66"/>
  <c r="W41" i="66" s="1"/>
  <c r="H62" i="66"/>
  <c r="D62" i="66" s="1"/>
  <c r="D43" i="66"/>
  <c r="AA43" i="66"/>
  <c r="Z12" i="66"/>
  <c r="W12" i="66" s="1"/>
  <c r="W43" i="66" s="1"/>
  <c r="U89" i="66" s="1"/>
  <c r="Z11" i="66"/>
  <c r="W11" i="66" s="1"/>
  <c r="W42" i="66" s="1"/>
  <c r="AB39" i="66"/>
  <c r="AB13" i="66"/>
  <c r="Q39" i="66"/>
  <c r="Q13" i="66"/>
  <c r="U8" i="66"/>
  <c r="X39" i="66"/>
  <c r="X13" i="66"/>
  <c r="AC44" i="66"/>
  <c r="AC83" i="66" s="1"/>
  <c r="E12" i="66"/>
  <c r="T65" i="66"/>
  <c r="Y82" i="66"/>
  <c r="S13" i="66"/>
  <c r="M56" i="66"/>
  <c r="Y56" i="66"/>
  <c r="AD56" i="66"/>
  <c r="Z47" i="66"/>
  <c r="W47" i="66" s="1"/>
  <c r="U91" i="66" s="1"/>
  <c r="Q82" i="66"/>
  <c r="AA82" i="66"/>
  <c r="T44" i="66"/>
  <c r="T83" i="66" s="1"/>
  <c r="Q56" i="66"/>
  <c r="Z46" i="66"/>
  <c r="U82" i="66"/>
  <c r="AD13" i="66"/>
  <c r="U56" i="66"/>
  <c r="W51" i="66"/>
  <c r="Z54" i="66"/>
  <c r="W54" i="66" s="1"/>
  <c r="E9" i="64"/>
  <c r="G9" i="64"/>
  <c r="D9" i="64"/>
  <c r="AI14" i="63"/>
  <c r="AI13" i="63"/>
  <c r="AB5" i="63"/>
  <c r="AB14" i="63"/>
  <c r="AB18" i="63" s="1"/>
  <c r="V14" i="63"/>
  <c r="V5" i="63"/>
  <c r="AC17" i="63"/>
  <c r="AC8" i="63"/>
  <c r="AC15" i="63"/>
  <c r="AC6" i="63"/>
  <c r="AC14" i="63"/>
  <c r="AC18" i="63" s="1"/>
  <c r="AC5" i="63"/>
  <c r="AA17" i="63"/>
  <c r="AA8" i="63"/>
  <c r="AA15" i="63"/>
  <c r="AA6" i="63"/>
  <c r="AA14" i="63"/>
  <c r="AA5" i="63"/>
  <c r="W17" i="63"/>
  <c r="W8" i="63"/>
  <c r="W16" i="63"/>
  <c r="AJ14" i="63" s="1"/>
  <c r="W7" i="63"/>
  <c r="W15" i="63"/>
  <c r="W14" i="63"/>
  <c r="I11" i="66" s="1"/>
  <c r="W5" i="63"/>
  <c r="M11" i="66" s="1"/>
  <c r="M42" i="66" s="1"/>
  <c r="M61" i="66" s="1"/>
  <c r="U17" i="63"/>
  <c r="U8" i="63"/>
  <c r="U16" i="63"/>
  <c r="U7" i="63"/>
  <c r="U15" i="63"/>
  <c r="U6" i="63"/>
  <c r="U14" i="63"/>
  <c r="H11" i="66" s="1"/>
  <c r="H42" i="66" s="1"/>
  <c r="H61" i="66" s="1"/>
  <c r="U5" i="63"/>
  <c r="Q15" i="63"/>
  <c r="Q14" i="63"/>
  <c r="I10" i="66" s="1"/>
  <c r="P5" i="63"/>
  <c r="P14" i="63"/>
  <c r="O17" i="63"/>
  <c r="O15" i="63"/>
  <c r="O14" i="63"/>
  <c r="H10" i="66" s="1"/>
  <c r="H41" i="66" s="1"/>
  <c r="H60" i="66" s="1"/>
  <c r="K17" i="63"/>
  <c r="K15" i="63"/>
  <c r="K14" i="63"/>
  <c r="I9" i="66" s="1"/>
  <c r="E17" i="63"/>
  <c r="I17" i="66" s="1"/>
  <c r="E15" i="63"/>
  <c r="I16" i="66" s="1"/>
  <c r="C17" i="63"/>
  <c r="H17" i="66" s="1"/>
  <c r="C15" i="63"/>
  <c r="H16" i="66" s="1"/>
  <c r="C14" i="63"/>
  <c r="H8" i="66" s="1"/>
  <c r="H39" i="66" s="1"/>
  <c r="H58" i="66" s="1"/>
  <c r="J14" i="63"/>
  <c r="I17" i="63"/>
  <c r="I14" i="63"/>
  <c r="H9" i="66" s="1"/>
  <c r="H40" i="66" s="1"/>
  <c r="I15" i="63"/>
  <c r="Q17" i="63"/>
  <c r="E14" i="63"/>
  <c r="I8" i="66" s="1"/>
  <c r="D14" i="63"/>
  <c r="J8" i="66" s="1"/>
  <c r="J39" i="66" s="1"/>
  <c r="J5" i="63"/>
  <c r="D5" i="63"/>
  <c r="E5" i="63"/>
  <c r="M8" i="66" s="1"/>
  <c r="D5" i="39"/>
  <c r="U76" i="59"/>
  <c r="E56" i="66" l="1"/>
  <c r="S65" i="66"/>
  <c r="Y65" i="66"/>
  <c r="Z61" i="66"/>
  <c r="W61" i="66" s="1"/>
  <c r="AC65" i="66"/>
  <c r="Z40" i="66"/>
  <c r="Z59" i="66" s="1"/>
  <c r="W59" i="66" s="1"/>
  <c r="Z41" i="66"/>
  <c r="Z60" i="66" s="1"/>
  <c r="W60" i="66" s="1"/>
  <c r="AA61" i="66"/>
  <c r="H59" i="66"/>
  <c r="J9" i="63"/>
  <c r="N9" i="66"/>
  <c r="N40" i="66" s="1"/>
  <c r="N59" i="66" s="1"/>
  <c r="J18" i="63"/>
  <c r="J9" i="66"/>
  <c r="P18" i="63"/>
  <c r="J10" i="66"/>
  <c r="P9" i="63"/>
  <c r="N10" i="66"/>
  <c r="N41" i="66" s="1"/>
  <c r="N60" i="66" s="1"/>
  <c r="V9" i="63"/>
  <c r="N11" i="66"/>
  <c r="N42" i="66" s="1"/>
  <c r="N61" i="66" s="1"/>
  <c r="E11" i="66"/>
  <c r="L11" i="66"/>
  <c r="L42" i="66" s="1"/>
  <c r="L61" i="66" s="1"/>
  <c r="D61" i="66" s="1"/>
  <c r="J34" i="64"/>
  <c r="F7" i="64" s="1"/>
  <c r="V18" i="63"/>
  <c r="J11" i="66"/>
  <c r="D11" i="66"/>
  <c r="U88" i="66"/>
  <c r="D9" i="63"/>
  <c r="N8" i="66"/>
  <c r="N39" i="66" s="1"/>
  <c r="N58" i="66" s="1"/>
  <c r="H13" i="66"/>
  <c r="H83" i="66" s="1"/>
  <c r="E8" i="66"/>
  <c r="I13" i="66"/>
  <c r="AB9" i="63"/>
  <c r="N12" i="66"/>
  <c r="Q44" i="66"/>
  <c r="Q83" i="66" s="1"/>
  <c r="Q58" i="66"/>
  <c r="AA62" i="66"/>
  <c r="Z43" i="66"/>
  <c r="Z62" i="66" s="1"/>
  <c r="W62" i="66" s="1"/>
  <c r="Z13" i="66"/>
  <c r="W8" i="66"/>
  <c r="H65" i="66"/>
  <c r="Z56" i="66"/>
  <c r="W46" i="66"/>
  <c r="Y83" i="66"/>
  <c r="X58" i="66"/>
  <c r="X44" i="66"/>
  <c r="X83" i="66" s="1"/>
  <c r="AB58" i="66"/>
  <c r="AB65" i="66" s="1"/>
  <c r="AB44" i="66"/>
  <c r="AB83" i="66" s="1"/>
  <c r="R58" i="66"/>
  <c r="R65" i="66" s="1"/>
  <c r="R44" i="66"/>
  <c r="R83" i="66" s="1"/>
  <c r="M68" i="66"/>
  <c r="U39" i="66"/>
  <c r="U13" i="66"/>
  <c r="J58" i="66"/>
  <c r="AA58" i="66"/>
  <c r="Z39" i="66"/>
  <c r="AA44" i="66"/>
  <c r="AA83" i="66" s="1"/>
  <c r="AH14" i="63"/>
  <c r="K18" i="63"/>
  <c r="Q18" i="63"/>
  <c r="AH13" i="63"/>
  <c r="AH12" i="63"/>
  <c r="AI12" i="63"/>
  <c r="AI15" i="63" s="1"/>
  <c r="AJ12" i="63"/>
  <c r="AJ13" i="63"/>
  <c r="D18" i="63"/>
  <c r="E18" i="63"/>
  <c r="AA18" i="63"/>
  <c r="W18" i="63"/>
  <c r="U18" i="63"/>
  <c r="O18" i="63"/>
  <c r="I18" i="63"/>
  <c r="C18" i="63"/>
  <c r="W6" i="63"/>
  <c r="Q8" i="63"/>
  <c r="Q6" i="63"/>
  <c r="Q5" i="63"/>
  <c r="M10" i="66" s="1"/>
  <c r="M41" i="66" s="1"/>
  <c r="M60" i="66" s="1"/>
  <c r="O8" i="63"/>
  <c r="O6" i="63"/>
  <c r="O5" i="63"/>
  <c r="K8" i="63"/>
  <c r="K6" i="63"/>
  <c r="K5" i="63"/>
  <c r="M9" i="66" s="1"/>
  <c r="I8" i="63"/>
  <c r="I6" i="63"/>
  <c r="I5" i="63"/>
  <c r="E8" i="63"/>
  <c r="M17" i="66" s="1"/>
  <c r="E17" i="66" s="1"/>
  <c r="E6" i="63"/>
  <c r="M16" i="66" s="1"/>
  <c r="C8" i="63"/>
  <c r="L17" i="66" s="1"/>
  <c r="D17" i="66" s="1"/>
  <c r="C6" i="63"/>
  <c r="L16" i="66" s="1"/>
  <c r="C5" i="63"/>
  <c r="AX77" i="59"/>
  <c r="AW77" i="59"/>
  <c r="E15" i="59" s="1"/>
  <c r="AV77" i="59"/>
  <c r="AU77" i="59"/>
  <c r="C15" i="59" s="1"/>
  <c r="AT77" i="59"/>
  <c r="AS77" i="59"/>
  <c r="AR77" i="59"/>
  <c r="E14" i="59" s="1"/>
  <c r="AQ77" i="59"/>
  <c r="D14" i="59" s="1"/>
  <c r="AP77" i="59"/>
  <c r="AO77" i="59"/>
  <c r="B14" i="59" s="1"/>
  <c r="AN77" i="59"/>
  <c r="AM77" i="59"/>
  <c r="E13" i="59" s="1"/>
  <c r="AL77" i="59"/>
  <c r="AK77" i="59"/>
  <c r="C13" i="59" s="1"/>
  <c r="AJ77" i="59"/>
  <c r="B13" i="59" s="1"/>
  <c r="AI77" i="59"/>
  <c r="F12" i="59" s="1"/>
  <c r="AH77" i="59"/>
  <c r="AG77" i="59"/>
  <c r="D12" i="59" s="1"/>
  <c r="AF77" i="59"/>
  <c r="C12" i="59" s="1"/>
  <c r="AE77" i="59"/>
  <c r="B12" i="59" s="1"/>
  <c r="AD77" i="59"/>
  <c r="AC77" i="59"/>
  <c r="F10" i="59" s="1"/>
  <c r="AB77" i="59"/>
  <c r="AA77" i="59"/>
  <c r="E10" i="59" s="1"/>
  <c r="Z77" i="59"/>
  <c r="Y77" i="59"/>
  <c r="D10" i="59" s="1"/>
  <c r="X77" i="59"/>
  <c r="C11" i="59" s="1"/>
  <c r="W77" i="59"/>
  <c r="C10" i="59" s="1"/>
  <c r="V77" i="59"/>
  <c r="U77" i="59"/>
  <c r="B10" i="59" s="1"/>
  <c r="T77" i="59"/>
  <c r="S77" i="59"/>
  <c r="E9" i="59" s="1"/>
  <c r="R77" i="59"/>
  <c r="Q77" i="59"/>
  <c r="P77" i="59"/>
  <c r="O77" i="59"/>
  <c r="F8" i="59" s="1"/>
  <c r="N77" i="59"/>
  <c r="M77" i="59"/>
  <c r="C8" i="59" s="1"/>
  <c r="L77" i="59"/>
  <c r="B8" i="59" s="1"/>
  <c r="K77" i="59"/>
  <c r="F7" i="59" s="1"/>
  <c r="J77" i="59"/>
  <c r="I77" i="59"/>
  <c r="D7" i="59" s="1"/>
  <c r="H77" i="59"/>
  <c r="G77" i="59"/>
  <c r="B7" i="59" s="1"/>
  <c r="F77" i="59"/>
  <c r="E77" i="59"/>
  <c r="D77" i="59"/>
  <c r="C77" i="59"/>
  <c r="C6" i="59" s="1"/>
  <c r="B77" i="59"/>
  <c r="AY75" i="59"/>
  <c r="AY74" i="59"/>
  <c r="AY73" i="59"/>
  <c r="AY72" i="59"/>
  <c r="AY71" i="59"/>
  <c r="AY70" i="59"/>
  <c r="AY69" i="59"/>
  <c r="AY68" i="59"/>
  <c r="AY67" i="59"/>
  <c r="AY66" i="59"/>
  <c r="AY65" i="59"/>
  <c r="AY64" i="59"/>
  <c r="AY63" i="59"/>
  <c r="AY62" i="59"/>
  <c r="AY61" i="59"/>
  <c r="AY60" i="59"/>
  <c r="AY59" i="59"/>
  <c r="AY58" i="59"/>
  <c r="AZ58" i="59" s="1"/>
  <c r="BA58" i="59" s="1"/>
  <c r="AY57" i="59"/>
  <c r="AY56" i="59"/>
  <c r="AY55" i="59"/>
  <c r="AY54" i="59"/>
  <c r="AY53" i="59"/>
  <c r="AY52" i="59"/>
  <c r="AY51" i="59"/>
  <c r="AY50" i="59"/>
  <c r="AY49" i="59"/>
  <c r="AY48" i="59"/>
  <c r="AY47" i="59"/>
  <c r="AY46" i="59"/>
  <c r="AY45" i="59"/>
  <c r="AY44" i="59"/>
  <c r="AY43" i="59"/>
  <c r="AY42" i="59"/>
  <c r="AY41" i="59"/>
  <c r="AY40" i="59"/>
  <c r="BA40" i="59" s="1"/>
  <c r="AY39" i="59"/>
  <c r="BA39" i="59" s="1"/>
  <c r="AY38" i="59"/>
  <c r="BA38" i="59" s="1"/>
  <c r="AY37" i="59"/>
  <c r="BA37" i="59" s="1"/>
  <c r="AY36" i="59"/>
  <c r="BA36" i="59" s="1"/>
  <c r="AY35" i="59"/>
  <c r="BA35" i="59" s="1"/>
  <c r="AY34" i="59"/>
  <c r="BA34" i="59" s="1"/>
  <c r="AZ33" i="59"/>
  <c r="AY33" i="59"/>
  <c r="AZ32" i="59"/>
  <c r="AY32" i="59"/>
  <c r="AZ31" i="59"/>
  <c r="AY31" i="59"/>
  <c r="AZ30" i="59"/>
  <c r="AY30" i="59"/>
  <c r="AZ29" i="59"/>
  <c r="AY29" i="59"/>
  <c r="AZ28" i="59"/>
  <c r="AY28" i="59"/>
  <c r="BA27" i="59"/>
  <c r="AZ27" i="59"/>
  <c r="AY27" i="59"/>
  <c r="AZ26" i="59"/>
  <c r="AY26" i="59"/>
  <c r="AZ25" i="59"/>
  <c r="AY25" i="59"/>
  <c r="BA25" i="59" s="1"/>
  <c r="AZ24" i="59"/>
  <c r="AY24" i="59"/>
  <c r="BA24" i="59" s="1"/>
  <c r="AZ23" i="59"/>
  <c r="AY23" i="59"/>
  <c r="BA23" i="59" s="1"/>
  <c r="AZ22" i="59"/>
  <c r="AZ77" i="59" s="1"/>
  <c r="AY22" i="59"/>
  <c r="G17" i="59"/>
  <c r="G16" i="59"/>
  <c r="D15" i="59"/>
  <c r="B15" i="59"/>
  <c r="F14" i="59"/>
  <c r="C14" i="59"/>
  <c r="F13" i="59"/>
  <c r="D13" i="59"/>
  <c r="E12" i="59"/>
  <c r="F11" i="59"/>
  <c r="E11" i="59"/>
  <c r="D11" i="59"/>
  <c r="B11" i="59"/>
  <c r="F9" i="59"/>
  <c r="D9" i="59"/>
  <c r="C9" i="59"/>
  <c r="B9" i="59"/>
  <c r="E8" i="59"/>
  <c r="D8" i="59"/>
  <c r="E7" i="59"/>
  <c r="C7" i="59"/>
  <c r="F6" i="59"/>
  <c r="E6" i="59"/>
  <c r="D6" i="59"/>
  <c r="B6" i="59"/>
  <c r="B3" i="59"/>
  <c r="D3" i="56"/>
  <c r="AB72" i="2"/>
  <c r="AB77" i="2"/>
  <c r="S9" i="2"/>
  <c r="AD76" i="2"/>
  <c r="AD75" i="2"/>
  <c r="AD74" i="2"/>
  <c r="AD73" i="2"/>
  <c r="AD71" i="2"/>
  <c r="AD69" i="2"/>
  <c r="AD68" i="2"/>
  <c r="AD55" i="2"/>
  <c r="AD54" i="2"/>
  <c r="AD53" i="2"/>
  <c r="AD52" i="2"/>
  <c r="AD51" i="2"/>
  <c r="AD50" i="2"/>
  <c r="AD49" i="2"/>
  <c r="AD48" i="2"/>
  <c r="AD47" i="2"/>
  <c r="AD46" i="2"/>
  <c r="AD12" i="2"/>
  <c r="AD11" i="2"/>
  <c r="AD10" i="2"/>
  <c r="AD8" i="2"/>
  <c r="AC76" i="2"/>
  <c r="AC75" i="2"/>
  <c r="AC74" i="2"/>
  <c r="AC73" i="2"/>
  <c r="AC71" i="2"/>
  <c r="AC69" i="2"/>
  <c r="AC68" i="2"/>
  <c r="AC55" i="2"/>
  <c r="AC54" i="2"/>
  <c r="AC53" i="2"/>
  <c r="AC52" i="2"/>
  <c r="AC51" i="2"/>
  <c r="AC50" i="2"/>
  <c r="AC49" i="2"/>
  <c r="AC48" i="2"/>
  <c r="AC47" i="2"/>
  <c r="AC46" i="2"/>
  <c r="AC12" i="2"/>
  <c r="AC11" i="2"/>
  <c r="AC10" i="2"/>
  <c r="AC9" i="2"/>
  <c r="AC8" i="2"/>
  <c r="AB76" i="2"/>
  <c r="AB75" i="2"/>
  <c r="AB74" i="2"/>
  <c r="AB73" i="2"/>
  <c r="AB71" i="2"/>
  <c r="AB69" i="2"/>
  <c r="AB68" i="2"/>
  <c r="AB55" i="2"/>
  <c r="AB54" i="2"/>
  <c r="AB53" i="2"/>
  <c r="AB52" i="2"/>
  <c r="AB51" i="2"/>
  <c r="AB50" i="2"/>
  <c r="AB49" i="2"/>
  <c r="AB48" i="2"/>
  <c r="AB47" i="2"/>
  <c r="AB46" i="2"/>
  <c r="AB12" i="2"/>
  <c r="AB11" i="2"/>
  <c r="AB10" i="2"/>
  <c r="AB9" i="2"/>
  <c r="AB8" i="2"/>
  <c r="AA77" i="2"/>
  <c r="AA76" i="2"/>
  <c r="AA75" i="2"/>
  <c r="AA74" i="2"/>
  <c r="AA73" i="2"/>
  <c r="AA72" i="2"/>
  <c r="AA71" i="2"/>
  <c r="AA69" i="2"/>
  <c r="AA68" i="2"/>
  <c r="AA55" i="2"/>
  <c r="AA54" i="2"/>
  <c r="AA53" i="2"/>
  <c r="AA52" i="2"/>
  <c r="AA51" i="2"/>
  <c r="AA50" i="2"/>
  <c r="AA49" i="2"/>
  <c r="AA48" i="2"/>
  <c r="AA47" i="2"/>
  <c r="AA46" i="2"/>
  <c r="AA12" i="2"/>
  <c r="AA11" i="2"/>
  <c r="AA10" i="2"/>
  <c r="AA9" i="2"/>
  <c r="AA8" i="2"/>
  <c r="Y77" i="2"/>
  <c r="Y76" i="2"/>
  <c r="Y75" i="2"/>
  <c r="Y74" i="2"/>
  <c r="Y73" i="2"/>
  <c r="Y72" i="2"/>
  <c r="Y71" i="2"/>
  <c r="Y69" i="2"/>
  <c r="Y68" i="2"/>
  <c r="Y55" i="2"/>
  <c r="Y54" i="2"/>
  <c r="Y53" i="2"/>
  <c r="Y52" i="2"/>
  <c r="Y51" i="2"/>
  <c r="Y50" i="2"/>
  <c r="Y49" i="2"/>
  <c r="Y48" i="2"/>
  <c r="Y47" i="2"/>
  <c r="Y46" i="2"/>
  <c r="Y12" i="2"/>
  <c r="Y11" i="2"/>
  <c r="Y10" i="2"/>
  <c r="Y9" i="2"/>
  <c r="Y8" i="2"/>
  <c r="S12" i="2"/>
  <c r="S11" i="2"/>
  <c r="G62" i="32"/>
  <c r="J62" i="32" s="1"/>
  <c r="F62" i="32"/>
  <c r="M18" i="66" l="1"/>
  <c r="AA65" i="66"/>
  <c r="L18" i="66"/>
  <c r="F39" i="66"/>
  <c r="Q86" i="66"/>
  <c r="M39" i="66"/>
  <c r="M58" i="66" s="1"/>
  <c r="F8" i="66"/>
  <c r="D42" i="66"/>
  <c r="M40" i="66"/>
  <c r="Q87" i="66"/>
  <c r="F9" i="66"/>
  <c r="J40" i="66"/>
  <c r="E9" i="66"/>
  <c r="L9" i="66"/>
  <c r="D34" i="64"/>
  <c r="F5" i="64" s="1"/>
  <c r="M13" i="66"/>
  <c r="J41" i="66"/>
  <c r="F10" i="66"/>
  <c r="E10" i="66"/>
  <c r="G34" i="64"/>
  <c r="F6" i="64" s="1"/>
  <c r="L10" i="66"/>
  <c r="H44" i="66"/>
  <c r="J42" i="66"/>
  <c r="J13" i="66"/>
  <c r="F11" i="66"/>
  <c r="A34" i="64"/>
  <c r="L8" i="66"/>
  <c r="F12" i="66"/>
  <c r="N43" i="66"/>
  <c r="N13" i="66"/>
  <c r="E68" i="66"/>
  <c r="X65" i="66"/>
  <c r="W39" i="66"/>
  <c r="W44" i="66" s="1"/>
  <c r="W13" i="66"/>
  <c r="F58" i="66"/>
  <c r="W56" i="66"/>
  <c r="U90" i="66"/>
  <c r="Z58" i="66"/>
  <c r="Z65" i="66" s="1"/>
  <c r="Z44" i="66"/>
  <c r="U44" i="66"/>
  <c r="U83" i="66" s="1"/>
  <c r="Q65" i="66"/>
  <c r="U58" i="66"/>
  <c r="U65" i="66" s="1"/>
  <c r="AH15" i="63"/>
  <c r="AJ15" i="63"/>
  <c r="AF5" i="63"/>
  <c r="AC9" i="63"/>
  <c r="AD5" i="63" s="1"/>
  <c r="AD9" i="63" s="1"/>
  <c r="AA9" i="63"/>
  <c r="Q9" i="63"/>
  <c r="U9" i="63"/>
  <c r="W9" i="63"/>
  <c r="O9" i="63"/>
  <c r="K9" i="63"/>
  <c r="I9" i="63"/>
  <c r="E9" i="63"/>
  <c r="C9" i="63"/>
  <c r="C18" i="59"/>
  <c r="B18" i="59"/>
  <c r="D18" i="59"/>
  <c r="BA31" i="59"/>
  <c r="BA33" i="59"/>
  <c r="F18" i="59"/>
  <c r="E18" i="59"/>
  <c r="BA26" i="59"/>
  <c r="BA28" i="59"/>
  <c r="BA30" i="59"/>
  <c r="G11" i="59"/>
  <c r="G15" i="59"/>
  <c r="G8" i="59"/>
  <c r="G10" i="59"/>
  <c r="G9" i="59"/>
  <c r="G12" i="59"/>
  <c r="G13" i="59"/>
  <c r="AY77" i="59"/>
  <c r="BA29" i="59"/>
  <c r="BA32" i="59"/>
  <c r="G14" i="59"/>
  <c r="G7" i="59"/>
  <c r="BA22" i="59"/>
  <c r="BA77" i="59" s="1"/>
  <c r="G6" i="59"/>
  <c r="BX507" i="51"/>
  <c r="BX508" i="51"/>
  <c r="BX364" i="51"/>
  <c r="BX365" i="51"/>
  <c r="BX366" i="51"/>
  <c r="BX367" i="51"/>
  <c r="BX368" i="51"/>
  <c r="I87" i="7"/>
  <c r="S76" i="2"/>
  <c r="Z77" i="2"/>
  <c r="W77" i="2" s="1"/>
  <c r="G61" i="32"/>
  <c r="F61" i="32"/>
  <c r="B64" i="32"/>
  <c r="C64" i="32"/>
  <c r="C314" i="39"/>
  <c r="D314" i="39"/>
  <c r="E314" i="39" s="1"/>
  <c r="M44" i="66" l="1"/>
  <c r="W58" i="66"/>
  <c r="W65" i="66" s="1"/>
  <c r="L5" i="63"/>
  <c r="L9" i="63" s="1"/>
  <c r="E34" i="64"/>
  <c r="E13" i="66"/>
  <c r="J59" i="66"/>
  <c r="F59" i="66" s="1"/>
  <c r="F40" i="66"/>
  <c r="L40" i="66"/>
  <c r="D9" i="66"/>
  <c r="M59" i="66"/>
  <c r="U87" i="66"/>
  <c r="R5" i="63"/>
  <c r="R9" i="63" s="1"/>
  <c r="H34" i="64"/>
  <c r="L41" i="66"/>
  <c r="D10" i="66"/>
  <c r="J60" i="66"/>
  <c r="F60" i="66" s="1"/>
  <c r="F41" i="66"/>
  <c r="X5" i="63"/>
  <c r="X9" i="63" s="1"/>
  <c r="K34" i="64"/>
  <c r="J83" i="66"/>
  <c r="J44" i="66"/>
  <c r="F13" i="66"/>
  <c r="F83" i="66" s="1"/>
  <c r="J61" i="66"/>
  <c r="F42" i="66"/>
  <c r="F4" i="64"/>
  <c r="F9" i="64" s="1"/>
  <c r="I30" i="64"/>
  <c r="F5" i="63"/>
  <c r="F9" i="63" s="1"/>
  <c r="B34" i="64"/>
  <c r="J30" i="64" s="1"/>
  <c r="D8" i="66"/>
  <c r="L39" i="66"/>
  <c r="L13" i="66"/>
  <c r="N44" i="66"/>
  <c r="N83" i="66"/>
  <c r="N62" i="66"/>
  <c r="F43" i="66"/>
  <c r="U86" i="66"/>
  <c r="G18" i="59"/>
  <c r="AY78" i="59" s="1"/>
  <c r="F314" i="39"/>
  <c r="BX589" i="51"/>
  <c r="BX590" i="51"/>
  <c r="BX504" i="51"/>
  <c r="BX505" i="51"/>
  <c r="BX360" i="51"/>
  <c r="BX361" i="51"/>
  <c r="BX362" i="51"/>
  <c r="BX250" i="51"/>
  <c r="BX251" i="51"/>
  <c r="BX150" i="51"/>
  <c r="AF87" i="7"/>
  <c r="AA87" i="7"/>
  <c r="AC87" i="7"/>
  <c r="K64" i="32"/>
  <c r="K65" i="32" s="1"/>
  <c r="I64" i="32"/>
  <c r="H64" i="32"/>
  <c r="G60" i="32"/>
  <c r="J60" i="32" s="1"/>
  <c r="F60" i="32"/>
  <c r="E76" i="31"/>
  <c r="D13" i="66" l="1"/>
  <c r="D83" i="66" s="1"/>
  <c r="M65" i="66"/>
  <c r="F44" i="66"/>
  <c r="L59" i="66"/>
  <c r="D59" i="66" s="1"/>
  <c r="D40" i="66"/>
  <c r="L60" i="66"/>
  <c r="D60" i="66" s="1"/>
  <c r="D41" i="66"/>
  <c r="F61" i="66"/>
  <c r="J65" i="66"/>
  <c r="L83" i="66"/>
  <c r="L44" i="66"/>
  <c r="L58" i="66"/>
  <c r="D39" i="66"/>
  <c r="D44" i="66"/>
  <c r="N65" i="66"/>
  <c r="F62" i="66"/>
  <c r="AX76" i="31"/>
  <c r="AW76" i="31"/>
  <c r="AV76" i="31"/>
  <c r="AU76" i="31"/>
  <c r="AT76" i="31"/>
  <c r="AS76" i="31"/>
  <c r="AR76" i="31"/>
  <c r="AQ76" i="31"/>
  <c r="AP76" i="31"/>
  <c r="AO76" i="31"/>
  <c r="AN76" i="31"/>
  <c r="AM76" i="31"/>
  <c r="AL76" i="31"/>
  <c r="AK76" i="31"/>
  <c r="AJ76" i="31"/>
  <c r="AI76" i="31"/>
  <c r="AH76" i="31"/>
  <c r="AG76" i="31"/>
  <c r="AF76" i="31"/>
  <c r="AE76" i="31"/>
  <c r="AD76" i="31"/>
  <c r="AC76" i="31"/>
  <c r="AB76" i="31"/>
  <c r="AA76" i="31"/>
  <c r="Z76" i="31"/>
  <c r="Y76" i="31"/>
  <c r="X76" i="31"/>
  <c r="W76" i="31"/>
  <c r="V76" i="31"/>
  <c r="U76" i="31"/>
  <c r="T76" i="31"/>
  <c r="S76" i="31"/>
  <c r="R76" i="31"/>
  <c r="Q76" i="31"/>
  <c r="P76" i="31"/>
  <c r="O76" i="31"/>
  <c r="N76" i="31"/>
  <c r="M76" i="31"/>
  <c r="L76" i="31"/>
  <c r="K76" i="31"/>
  <c r="J76" i="31"/>
  <c r="I76" i="31"/>
  <c r="H76" i="31"/>
  <c r="G76" i="31"/>
  <c r="F76" i="31"/>
  <c r="D76" i="31"/>
  <c r="C76" i="31"/>
  <c r="B76" i="31"/>
  <c r="AY71" i="31"/>
  <c r="AY72" i="31"/>
  <c r="AY73" i="31"/>
  <c r="AY74" i="31"/>
  <c r="AY75" i="31"/>
  <c r="BX592" i="51"/>
  <c r="BX502" i="51"/>
  <c r="BX503" i="51"/>
  <c r="BX506" i="51"/>
  <c r="BX357" i="51"/>
  <c r="BX358" i="51"/>
  <c r="BX359" i="51"/>
  <c r="AI153" i="51"/>
  <c r="AJ153" i="51"/>
  <c r="AK153" i="51"/>
  <c r="AL153" i="51"/>
  <c r="AM153" i="51"/>
  <c r="AN153" i="51"/>
  <c r="AO153" i="51"/>
  <c r="AP153" i="51"/>
  <c r="AQ153" i="51"/>
  <c r="AR153" i="51"/>
  <c r="AS153" i="51"/>
  <c r="AT153" i="51"/>
  <c r="AU153" i="51"/>
  <c r="AV153" i="51"/>
  <c r="AW153" i="51"/>
  <c r="AX153" i="51"/>
  <c r="AY153" i="51"/>
  <c r="AZ153" i="51"/>
  <c r="BA153" i="51"/>
  <c r="BB153" i="51"/>
  <c r="BC153" i="51"/>
  <c r="BD153" i="51"/>
  <c r="BE153" i="51"/>
  <c r="BF153" i="51"/>
  <c r="BG153" i="51"/>
  <c r="BH153" i="51"/>
  <c r="BI153" i="51"/>
  <c r="BJ153" i="51"/>
  <c r="BK153" i="51"/>
  <c r="BL153" i="51"/>
  <c r="BM153" i="51"/>
  <c r="BN153" i="51"/>
  <c r="BO153" i="51"/>
  <c r="BP153" i="51"/>
  <c r="BQ153" i="51"/>
  <c r="BR153" i="51"/>
  <c r="BS153" i="51"/>
  <c r="BT153" i="51"/>
  <c r="BU153" i="51"/>
  <c r="BV153" i="51"/>
  <c r="BW153" i="51"/>
  <c r="AI256" i="51"/>
  <c r="AJ256" i="51"/>
  <c r="AK256" i="51"/>
  <c r="AL256" i="51"/>
  <c r="AM256" i="51"/>
  <c r="AN256" i="51"/>
  <c r="AO256" i="51"/>
  <c r="AP256" i="51"/>
  <c r="AQ256" i="51"/>
  <c r="AR256" i="51"/>
  <c r="AS256" i="51"/>
  <c r="AT256" i="51"/>
  <c r="AU256" i="51"/>
  <c r="AV256" i="51"/>
  <c r="AW256" i="51"/>
  <c r="AX256" i="51"/>
  <c r="AY256" i="51"/>
  <c r="AZ256" i="51"/>
  <c r="BA256" i="51"/>
  <c r="BB256" i="51"/>
  <c r="BC256" i="51"/>
  <c r="BD256" i="51"/>
  <c r="BE256" i="51"/>
  <c r="BF256" i="51"/>
  <c r="BG256" i="51"/>
  <c r="BH256" i="51"/>
  <c r="BI256" i="51"/>
  <c r="BJ256" i="51"/>
  <c r="BK256" i="51"/>
  <c r="BL256" i="51"/>
  <c r="BM256" i="51"/>
  <c r="BN256" i="51"/>
  <c r="BO256" i="51"/>
  <c r="BP256" i="51"/>
  <c r="BQ256" i="51"/>
  <c r="BR256" i="51"/>
  <c r="BS256" i="51"/>
  <c r="BT256" i="51"/>
  <c r="BU256" i="51"/>
  <c r="BV256" i="51"/>
  <c r="BW256" i="51"/>
  <c r="S8" i="2"/>
  <c r="I43" i="37"/>
  <c r="J43" i="37"/>
  <c r="I28" i="37"/>
  <c r="J28" i="37"/>
  <c r="I22" i="37"/>
  <c r="J22" i="37"/>
  <c r="D25" i="37"/>
  <c r="E25" i="37"/>
  <c r="F65" i="66" l="1"/>
  <c r="L65" i="66"/>
  <c r="D58" i="66"/>
  <c r="D65" i="66" s="1"/>
  <c r="BX584" i="51"/>
  <c r="BX585" i="51"/>
  <c r="BX586" i="51"/>
  <c r="BX587" i="51"/>
  <c r="BX588" i="51"/>
  <c r="BX501" i="51"/>
  <c r="BX496" i="51"/>
  <c r="BX497" i="51"/>
  <c r="BX498" i="51"/>
  <c r="BX499" i="51"/>
  <c r="BX500" i="51"/>
  <c r="BX354" i="51"/>
  <c r="BX355" i="51"/>
  <c r="BX356" i="51"/>
  <c r="BX363" i="51"/>
  <c r="BX369" i="51"/>
  <c r="BX370" i="51"/>
  <c r="F1096" i="3"/>
  <c r="G1096" i="3"/>
  <c r="H1096" i="3"/>
  <c r="I1096" i="3"/>
  <c r="J1096" i="3"/>
  <c r="K1096" i="3"/>
  <c r="L1096" i="3"/>
  <c r="M1096" i="3"/>
  <c r="N1096" i="3"/>
  <c r="AR373" i="51" l="1"/>
  <c r="BX489" i="51"/>
  <c r="BX490" i="51"/>
  <c r="BX491" i="51"/>
  <c r="BX348" i="51"/>
  <c r="BX349" i="51"/>
  <c r="BX350" i="51"/>
  <c r="BX351" i="51"/>
  <c r="BX248" i="51"/>
  <c r="BX249" i="51"/>
  <c r="BX252" i="51"/>
  <c r="BX253" i="51"/>
  <c r="BX254" i="51"/>
  <c r="BX146" i="51"/>
  <c r="BX147" i="51"/>
  <c r="BX148" i="51"/>
  <c r="Q87" i="7"/>
  <c r="BX485" i="51" l="1"/>
  <c r="BX486" i="51"/>
  <c r="BX487" i="51"/>
  <c r="BX488" i="51"/>
  <c r="BX337" i="51"/>
  <c r="BX338" i="51"/>
  <c r="BX339" i="51"/>
  <c r="BX340" i="51"/>
  <c r="BX341" i="51"/>
  <c r="BX342" i="51"/>
  <c r="BX343" i="51"/>
  <c r="BX344" i="51"/>
  <c r="BX345" i="51"/>
  <c r="BX346" i="51"/>
  <c r="BX347" i="51"/>
  <c r="BX246" i="51"/>
  <c r="BX245" i="51"/>
  <c r="BX143" i="51"/>
  <c r="AL87" i="7"/>
  <c r="R54" i="7"/>
  <c r="R53" i="7"/>
  <c r="Z76" i="2"/>
  <c r="L4" i="37"/>
  <c r="W76" i="2" l="1"/>
  <c r="BX580" i="51"/>
  <c r="BX581" i="51"/>
  <c r="BX582" i="51"/>
  <c r="BX492" i="51"/>
  <c r="BX493" i="51"/>
  <c r="BX330" i="51"/>
  <c r="BX331" i="51"/>
  <c r="BX332" i="51"/>
  <c r="BX333" i="51"/>
  <c r="BX334" i="51"/>
  <c r="BX335" i="51"/>
  <c r="BX336" i="51"/>
  <c r="W70" i="2"/>
  <c r="J50" i="7"/>
  <c r="BX591" i="51" l="1"/>
  <c r="BX494" i="51"/>
  <c r="BX495" i="51"/>
  <c r="BX324" i="51"/>
  <c r="BX325" i="51"/>
  <c r="BX326" i="51"/>
  <c r="BX327" i="51"/>
  <c r="BX328" i="51"/>
  <c r="BX329" i="51"/>
  <c r="BX352" i="51"/>
  <c r="BX244" i="51"/>
  <c r="BX247" i="51"/>
  <c r="BX514" i="51"/>
  <c r="BX515" i="51"/>
  <c r="BX516" i="51"/>
  <c r="BX517" i="51"/>
  <c r="BX518" i="51"/>
  <c r="BX519" i="51"/>
  <c r="BX520" i="51"/>
  <c r="BX521" i="51"/>
  <c r="BX522" i="51"/>
  <c r="BX523" i="51"/>
  <c r="BX524" i="51"/>
  <c r="BX525" i="51"/>
  <c r="BX526" i="51"/>
  <c r="BX527" i="51"/>
  <c r="BX528" i="51"/>
  <c r="BX529" i="51"/>
  <c r="BX530" i="51"/>
  <c r="BX531" i="51"/>
  <c r="BX532" i="51"/>
  <c r="BX533" i="51"/>
  <c r="BX534" i="51"/>
  <c r="BX535" i="51"/>
  <c r="BX536" i="51"/>
  <c r="BX537" i="51"/>
  <c r="BX538" i="51"/>
  <c r="BX539" i="51"/>
  <c r="BX540" i="51"/>
  <c r="BX541" i="51"/>
  <c r="BX542" i="51"/>
  <c r="BX543" i="51"/>
  <c r="BX544" i="51"/>
  <c r="BX545" i="51"/>
  <c r="BX546" i="51"/>
  <c r="BX547" i="51"/>
  <c r="BX548" i="51"/>
  <c r="BX549" i="51"/>
  <c r="BX550" i="51"/>
  <c r="BX551" i="51"/>
  <c r="BX552" i="51"/>
  <c r="BX553" i="51"/>
  <c r="BX554" i="51"/>
  <c r="BX555" i="51"/>
  <c r="BX556" i="51"/>
  <c r="BX557" i="51"/>
  <c r="BX558" i="51"/>
  <c r="BX559" i="51"/>
  <c r="BX560" i="51"/>
  <c r="BX561" i="51"/>
  <c r="BX562" i="51"/>
  <c r="BX563" i="51"/>
  <c r="BX564" i="51"/>
  <c r="BX565" i="51"/>
  <c r="BX566" i="51"/>
  <c r="BX567" i="51"/>
  <c r="BX568" i="51"/>
  <c r="BX569" i="51"/>
  <c r="BX570" i="51"/>
  <c r="BX571" i="51"/>
  <c r="BX572" i="51"/>
  <c r="BX573" i="51"/>
  <c r="BX574" i="51"/>
  <c r="BX575" i="51"/>
  <c r="BX576" i="51"/>
  <c r="BX577" i="51"/>
  <c r="BX578" i="51"/>
  <c r="BX579" i="51"/>
  <c r="BX583" i="51"/>
  <c r="BX593" i="51"/>
  <c r="BX594" i="51"/>
  <c r="BX595" i="51"/>
  <c r="BX513" i="51"/>
  <c r="BX375" i="51"/>
  <c r="BX376" i="51"/>
  <c r="BX377" i="51"/>
  <c r="BX378" i="51"/>
  <c r="BX379" i="51"/>
  <c r="BX380" i="51"/>
  <c r="BX381" i="51"/>
  <c r="BX382" i="51"/>
  <c r="BX383" i="51"/>
  <c r="BX384" i="51"/>
  <c r="BX385" i="51"/>
  <c r="BX386" i="51"/>
  <c r="BX387" i="51"/>
  <c r="BX388" i="51"/>
  <c r="BX389" i="51"/>
  <c r="BX390" i="51"/>
  <c r="BX391" i="51"/>
  <c r="BX392" i="51"/>
  <c r="BX393" i="51"/>
  <c r="BX394" i="51"/>
  <c r="BX395" i="51"/>
  <c r="BX396" i="51"/>
  <c r="BX397" i="51"/>
  <c r="BX398" i="51"/>
  <c r="BX399" i="51"/>
  <c r="BX400" i="51"/>
  <c r="BX401" i="51"/>
  <c r="BX402" i="51"/>
  <c r="BX403" i="51"/>
  <c r="BX404" i="51"/>
  <c r="BX405" i="51"/>
  <c r="BX406" i="51"/>
  <c r="BX407" i="51"/>
  <c r="BX408" i="51"/>
  <c r="BX409" i="51"/>
  <c r="BX410" i="51"/>
  <c r="BX411" i="51"/>
  <c r="BX412" i="51"/>
  <c r="BX413" i="51"/>
  <c r="BX414" i="51"/>
  <c r="BX415" i="51"/>
  <c r="BX416" i="51"/>
  <c r="BX417" i="51"/>
  <c r="BX418" i="51"/>
  <c r="BX419" i="51"/>
  <c r="BX420" i="51"/>
  <c r="BX421" i="51"/>
  <c r="BX422" i="51"/>
  <c r="BX423" i="51"/>
  <c r="BX424" i="51"/>
  <c r="BX425" i="51"/>
  <c r="BX426" i="51"/>
  <c r="BX427" i="51"/>
  <c r="BX428" i="51"/>
  <c r="BX429" i="51"/>
  <c r="BX430" i="51"/>
  <c r="BX431" i="51"/>
  <c r="BX432" i="51"/>
  <c r="BX433" i="51"/>
  <c r="BX434" i="51"/>
  <c r="BX435" i="51"/>
  <c r="BX436" i="51"/>
  <c r="BX437" i="51"/>
  <c r="BX438" i="51"/>
  <c r="BX439" i="51"/>
  <c r="BX440" i="51"/>
  <c r="BX441" i="51"/>
  <c r="BX442" i="51"/>
  <c r="BX443" i="51"/>
  <c r="BX444" i="51"/>
  <c r="BX445" i="51"/>
  <c r="BX446" i="51"/>
  <c r="BX447" i="51"/>
  <c r="BX448" i="51"/>
  <c r="BX449" i="51"/>
  <c r="BX450" i="51"/>
  <c r="BX451" i="51"/>
  <c r="BX452" i="51"/>
  <c r="BX453" i="51"/>
  <c r="BX454" i="51"/>
  <c r="BX455" i="51"/>
  <c r="BX456" i="51"/>
  <c r="BX457" i="51"/>
  <c r="BX458" i="51"/>
  <c r="BX459" i="51"/>
  <c r="BX460" i="51"/>
  <c r="BX461" i="51"/>
  <c r="BX462" i="51"/>
  <c r="BX463" i="51"/>
  <c r="BX464" i="51"/>
  <c r="BX465" i="51"/>
  <c r="BX466" i="51"/>
  <c r="BX467" i="51"/>
  <c r="BX468" i="51"/>
  <c r="BX469" i="51"/>
  <c r="BX470" i="51"/>
  <c r="BX471" i="51"/>
  <c r="BX472" i="51"/>
  <c r="BX473" i="51"/>
  <c r="BX474" i="51"/>
  <c r="BX475" i="51"/>
  <c r="BX476" i="51"/>
  <c r="BX477" i="51"/>
  <c r="BX478" i="51"/>
  <c r="BX479" i="51"/>
  <c r="BX480" i="51"/>
  <c r="BX481" i="51"/>
  <c r="BX482" i="51"/>
  <c r="BX483" i="51"/>
  <c r="BX484" i="51"/>
  <c r="BX509" i="51"/>
  <c r="BX510" i="51"/>
  <c r="BX511" i="51"/>
  <c r="BX374" i="51"/>
  <c r="BX258" i="51"/>
  <c r="BX259" i="51"/>
  <c r="BX260" i="51"/>
  <c r="BX261" i="51"/>
  <c r="BX262" i="51"/>
  <c r="BX263" i="51"/>
  <c r="BX264" i="51"/>
  <c r="BX265" i="51"/>
  <c r="BX266" i="51"/>
  <c r="BX267" i="51"/>
  <c r="BX268" i="51"/>
  <c r="BX269" i="51"/>
  <c r="BX270" i="51"/>
  <c r="BX271" i="51"/>
  <c r="BX272" i="51"/>
  <c r="BX273" i="51"/>
  <c r="BX274" i="51"/>
  <c r="BX275" i="51"/>
  <c r="BX276" i="51"/>
  <c r="BX277" i="51"/>
  <c r="BX278" i="51"/>
  <c r="BX279" i="51"/>
  <c r="BX280" i="51"/>
  <c r="BX281" i="51"/>
  <c r="BX282" i="51"/>
  <c r="BX283" i="51"/>
  <c r="BX284" i="51"/>
  <c r="BX285" i="51"/>
  <c r="BX286" i="51"/>
  <c r="BX287" i="51"/>
  <c r="BX288" i="51"/>
  <c r="BX289" i="51"/>
  <c r="BX290" i="51"/>
  <c r="BX291" i="51"/>
  <c r="BX292" i="51"/>
  <c r="BX293" i="51"/>
  <c r="BX294" i="51"/>
  <c r="BX295" i="51"/>
  <c r="BX296" i="51"/>
  <c r="BX297" i="51"/>
  <c r="BX298" i="51"/>
  <c r="BX299" i="51"/>
  <c r="BX300" i="51"/>
  <c r="BX301" i="51"/>
  <c r="BX302" i="51"/>
  <c r="BX303" i="51"/>
  <c r="BX304" i="51"/>
  <c r="BX305" i="51"/>
  <c r="BX306" i="51"/>
  <c r="BX307" i="51"/>
  <c r="BX308" i="51"/>
  <c r="BX309" i="51"/>
  <c r="BX310" i="51"/>
  <c r="BX311" i="51"/>
  <c r="BX312" i="51"/>
  <c r="BX313" i="51"/>
  <c r="BX314" i="51"/>
  <c r="BX315" i="51"/>
  <c r="BX316" i="51"/>
  <c r="BX317" i="51"/>
  <c r="BX318" i="51"/>
  <c r="BX319" i="51"/>
  <c r="BX320" i="51"/>
  <c r="BX321" i="51"/>
  <c r="BX322" i="51"/>
  <c r="BX323" i="51"/>
  <c r="BX353" i="51"/>
  <c r="BX371" i="51"/>
  <c r="BX372" i="51"/>
  <c r="BX257" i="51"/>
  <c r="BX155" i="51"/>
  <c r="BX156" i="51"/>
  <c r="BX157" i="51"/>
  <c r="BX158" i="51"/>
  <c r="BX159" i="51"/>
  <c r="BX160" i="51"/>
  <c r="BX161" i="51"/>
  <c r="BX162" i="51"/>
  <c r="BX163" i="51"/>
  <c r="BX164" i="51"/>
  <c r="BX165" i="51"/>
  <c r="BX166" i="51"/>
  <c r="BX167" i="51"/>
  <c r="BX168" i="51"/>
  <c r="BX169" i="51"/>
  <c r="BX170" i="51"/>
  <c r="BX171" i="51"/>
  <c r="BX172" i="51"/>
  <c r="BX173" i="51"/>
  <c r="BX174" i="51"/>
  <c r="BX175" i="51"/>
  <c r="BX176" i="51"/>
  <c r="BX177" i="51"/>
  <c r="BX178" i="51"/>
  <c r="BX179" i="51"/>
  <c r="BX180" i="51"/>
  <c r="BX181" i="51"/>
  <c r="BX182" i="51"/>
  <c r="BX183" i="51"/>
  <c r="BX184" i="51"/>
  <c r="BX185" i="51"/>
  <c r="BX186" i="51"/>
  <c r="BX187" i="51"/>
  <c r="BX188" i="51"/>
  <c r="BX189" i="51"/>
  <c r="BX190" i="51"/>
  <c r="BX191" i="51"/>
  <c r="BX192" i="51"/>
  <c r="BX193" i="51"/>
  <c r="BX194" i="51"/>
  <c r="BX195" i="51"/>
  <c r="BX196" i="51"/>
  <c r="BX197" i="51"/>
  <c r="BX198" i="51"/>
  <c r="BX199" i="51"/>
  <c r="BX200" i="51"/>
  <c r="BX201" i="51"/>
  <c r="BX202" i="51"/>
  <c r="BX203" i="51"/>
  <c r="BX204" i="51"/>
  <c r="BX205" i="51"/>
  <c r="BX206" i="51"/>
  <c r="BX207" i="51"/>
  <c r="BX208" i="51"/>
  <c r="BX209" i="51"/>
  <c r="BX210" i="51"/>
  <c r="BX211" i="51"/>
  <c r="BX212" i="51"/>
  <c r="BX213" i="51"/>
  <c r="BX214" i="51"/>
  <c r="BX215" i="51"/>
  <c r="BX216" i="51"/>
  <c r="BX217" i="51"/>
  <c r="BX218" i="51"/>
  <c r="BX219" i="51"/>
  <c r="BX220" i="51"/>
  <c r="BX221" i="51"/>
  <c r="BX222" i="51"/>
  <c r="BX223" i="51"/>
  <c r="BX224" i="51"/>
  <c r="BX225" i="51"/>
  <c r="BX226" i="51"/>
  <c r="BX227" i="51"/>
  <c r="BX228" i="51"/>
  <c r="BX229" i="51"/>
  <c r="BX230" i="51"/>
  <c r="BX231" i="51"/>
  <c r="BX232" i="51"/>
  <c r="BX233" i="51"/>
  <c r="BX234" i="51"/>
  <c r="BX235" i="51"/>
  <c r="BX236" i="51"/>
  <c r="BX237" i="51"/>
  <c r="BX238" i="51"/>
  <c r="BX239" i="51"/>
  <c r="BX240" i="51"/>
  <c r="BX241" i="51"/>
  <c r="BX242" i="51"/>
  <c r="BX243" i="51"/>
  <c r="BX255" i="51"/>
  <c r="BX154" i="51"/>
  <c r="BX5" i="51"/>
  <c r="BX6" i="51"/>
  <c r="BX7" i="51"/>
  <c r="BX8" i="51"/>
  <c r="BX9" i="51"/>
  <c r="BX10" i="51"/>
  <c r="BX11" i="51"/>
  <c r="BX12" i="51"/>
  <c r="BX13" i="51"/>
  <c r="BX14" i="51"/>
  <c r="BX15" i="51"/>
  <c r="BX16" i="51"/>
  <c r="BX17" i="51"/>
  <c r="BX18" i="51"/>
  <c r="BX19" i="51"/>
  <c r="BX20" i="51"/>
  <c r="BX21" i="51"/>
  <c r="BX22" i="51"/>
  <c r="BX23" i="51"/>
  <c r="BX24" i="51"/>
  <c r="BX25" i="51"/>
  <c r="BX26" i="51"/>
  <c r="BX27" i="51"/>
  <c r="BX28" i="51"/>
  <c r="BX29" i="51"/>
  <c r="BX30" i="51"/>
  <c r="BX31" i="51"/>
  <c r="BX32" i="51"/>
  <c r="BX33" i="51"/>
  <c r="BX34" i="51"/>
  <c r="BX35" i="51"/>
  <c r="BX36" i="51"/>
  <c r="BX37" i="51"/>
  <c r="BX38" i="51"/>
  <c r="BX39" i="51"/>
  <c r="BX40" i="51"/>
  <c r="BX41" i="51"/>
  <c r="BX42" i="51"/>
  <c r="BX43" i="51"/>
  <c r="BX44" i="51"/>
  <c r="BX45" i="51"/>
  <c r="BX46" i="51"/>
  <c r="BX47" i="51"/>
  <c r="BX48" i="51"/>
  <c r="BX49" i="51"/>
  <c r="BX50" i="51"/>
  <c r="BX51" i="51"/>
  <c r="BX52" i="51"/>
  <c r="BX53" i="51"/>
  <c r="BX54" i="51"/>
  <c r="BX55" i="51"/>
  <c r="BX56" i="51"/>
  <c r="BX57" i="51"/>
  <c r="BX58" i="51"/>
  <c r="BX59" i="51"/>
  <c r="BX60" i="51"/>
  <c r="BX61" i="51"/>
  <c r="BX62" i="51"/>
  <c r="BX63" i="51"/>
  <c r="BX64" i="51"/>
  <c r="BX65" i="51"/>
  <c r="BX66" i="51"/>
  <c r="BX67" i="51"/>
  <c r="BX68" i="51"/>
  <c r="BX69" i="51"/>
  <c r="BX70" i="51"/>
  <c r="BX71" i="51"/>
  <c r="BX72" i="51"/>
  <c r="BX73" i="51"/>
  <c r="BX74" i="51"/>
  <c r="BX75" i="51"/>
  <c r="BX76" i="51"/>
  <c r="BX77" i="51"/>
  <c r="BX78" i="51"/>
  <c r="BX79" i="51"/>
  <c r="BX80" i="51"/>
  <c r="BX81" i="51"/>
  <c r="BX82" i="51"/>
  <c r="BX83" i="51"/>
  <c r="BX84" i="51"/>
  <c r="BX85" i="51"/>
  <c r="BX86" i="51"/>
  <c r="BX87" i="51"/>
  <c r="BX88" i="51"/>
  <c r="BX89" i="51"/>
  <c r="BX90" i="51"/>
  <c r="BX91" i="51"/>
  <c r="BX92" i="51"/>
  <c r="BX93" i="51"/>
  <c r="BX94" i="51"/>
  <c r="BX95" i="51"/>
  <c r="BX96" i="51"/>
  <c r="BX97" i="51"/>
  <c r="BX98" i="51"/>
  <c r="BX99" i="51"/>
  <c r="BX100" i="51"/>
  <c r="BX101" i="51"/>
  <c r="BX102" i="51"/>
  <c r="BX103" i="51"/>
  <c r="BX104" i="51"/>
  <c r="BX105" i="51"/>
  <c r="BX106" i="51"/>
  <c r="BX107" i="51"/>
  <c r="BX108" i="51"/>
  <c r="BX109" i="51"/>
  <c r="BX110" i="51"/>
  <c r="BX111" i="51"/>
  <c r="BX112" i="51"/>
  <c r="BX113" i="51"/>
  <c r="BX114" i="51"/>
  <c r="BX115" i="51"/>
  <c r="BX116" i="51"/>
  <c r="BX117" i="51"/>
  <c r="BX118" i="51"/>
  <c r="BX119" i="51"/>
  <c r="BX120" i="51"/>
  <c r="BX121" i="51"/>
  <c r="BX122" i="51"/>
  <c r="BX123" i="51"/>
  <c r="BX124" i="51"/>
  <c r="BX125" i="51"/>
  <c r="BX126" i="51"/>
  <c r="BX127" i="51"/>
  <c r="BX128" i="51"/>
  <c r="BX129" i="51"/>
  <c r="BX130" i="51"/>
  <c r="BX131" i="51"/>
  <c r="BX132" i="51"/>
  <c r="BX133" i="51"/>
  <c r="BX134" i="51"/>
  <c r="BX135" i="51"/>
  <c r="BX136" i="51"/>
  <c r="BX137" i="51"/>
  <c r="BX138" i="51"/>
  <c r="BX139" i="51"/>
  <c r="BX140" i="51"/>
  <c r="BX141" i="51"/>
  <c r="BX142" i="51"/>
  <c r="BX144" i="51"/>
  <c r="BX145" i="51"/>
  <c r="BX149" i="51"/>
  <c r="BX151" i="51"/>
  <c r="BX152" i="51"/>
  <c r="BX4" i="51"/>
  <c r="BW596" i="51"/>
  <c r="BW512" i="51"/>
  <c r="BW373" i="51"/>
  <c r="R37" i="37"/>
  <c r="BW597" i="51" l="1"/>
  <c r="BX153" i="51"/>
  <c r="I27" i="37" l="1"/>
  <c r="J27" i="37"/>
  <c r="D26" i="37"/>
  <c r="E26" i="37"/>
  <c r="C21" i="37"/>
  <c r="E21" i="37" l="1"/>
  <c r="D21" i="37"/>
  <c r="BE596" i="51" l="1"/>
  <c r="BF596" i="51"/>
  <c r="BG596" i="51"/>
  <c r="BH596" i="51"/>
  <c r="BI596" i="51"/>
  <c r="BJ596" i="51"/>
  <c r="BK596" i="51"/>
  <c r="BL596" i="51"/>
  <c r="BM596" i="51"/>
  <c r="BN596" i="51"/>
  <c r="BO596" i="51"/>
  <c r="BP596" i="51"/>
  <c r="BQ596" i="51"/>
  <c r="BR596" i="51"/>
  <c r="BS596" i="51"/>
  <c r="BT596" i="51"/>
  <c r="BU596" i="51"/>
  <c r="BV596" i="51"/>
  <c r="BE512" i="51"/>
  <c r="BF512" i="51"/>
  <c r="BG512" i="51"/>
  <c r="BH512" i="51"/>
  <c r="BI512" i="51"/>
  <c r="BJ512" i="51"/>
  <c r="BK512" i="51"/>
  <c r="BL512" i="51"/>
  <c r="BM512" i="51"/>
  <c r="BN512" i="51"/>
  <c r="BO512" i="51"/>
  <c r="BP512" i="51"/>
  <c r="BQ512" i="51"/>
  <c r="BR512" i="51"/>
  <c r="BS512" i="51"/>
  <c r="BT512" i="51"/>
  <c r="BU512" i="51"/>
  <c r="BV512" i="51"/>
  <c r="BE373" i="51"/>
  <c r="BF373" i="51"/>
  <c r="BG373" i="51"/>
  <c r="BH373" i="51"/>
  <c r="BI373" i="51"/>
  <c r="BJ373" i="51"/>
  <c r="BK373" i="51"/>
  <c r="BL373" i="51"/>
  <c r="BM373" i="51"/>
  <c r="BN373" i="51"/>
  <c r="BO373" i="51"/>
  <c r="BP373" i="51"/>
  <c r="BQ373" i="51"/>
  <c r="BR373" i="51"/>
  <c r="BS373" i="51"/>
  <c r="BT373" i="51"/>
  <c r="BU373" i="51"/>
  <c r="BV373" i="51"/>
  <c r="AK87" i="7"/>
  <c r="AJ87" i="7"/>
  <c r="B87" i="7"/>
  <c r="AI87" i="7"/>
  <c r="AH87" i="7"/>
  <c r="AE87" i="7"/>
  <c r="AD87" i="7"/>
  <c r="AB87" i="7"/>
  <c r="Y87" i="7"/>
  <c r="X87" i="7"/>
  <c r="W87" i="7"/>
  <c r="V87" i="7"/>
  <c r="U87" i="7"/>
  <c r="T87" i="7"/>
  <c r="S87" i="7"/>
  <c r="P87" i="7"/>
  <c r="N87" i="7"/>
  <c r="M87" i="7"/>
  <c r="L87" i="7"/>
  <c r="H87" i="7"/>
  <c r="G87" i="7"/>
  <c r="F87" i="7"/>
  <c r="E87" i="7"/>
  <c r="D87" i="7"/>
  <c r="C87" i="7"/>
  <c r="AN68" i="7"/>
  <c r="AN69" i="7"/>
  <c r="AN70" i="7"/>
  <c r="AN71" i="7"/>
  <c r="AN72" i="7"/>
  <c r="AN73" i="7"/>
  <c r="AN74" i="7"/>
  <c r="AN75" i="7"/>
  <c r="AN76" i="7"/>
  <c r="AN77" i="7"/>
  <c r="AN78" i="7"/>
  <c r="AN79" i="7"/>
  <c r="AN80" i="7"/>
  <c r="AN81" i="7"/>
  <c r="AN82" i="7"/>
  <c r="AN83" i="7"/>
  <c r="AN84" i="7"/>
  <c r="AN85" i="7"/>
  <c r="AN86" i="7"/>
  <c r="AG68" i="7"/>
  <c r="AG69" i="7"/>
  <c r="AG70" i="7"/>
  <c r="AG71" i="7"/>
  <c r="AG72" i="7"/>
  <c r="AG73" i="7"/>
  <c r="AG74" i="7"/>
  <c r="AG75" i="7"/>
  <c r="AG76" i="7"/>
  <c r="AG77" i="7"/>
  <c r="AG78" i="7"/>
  <c r="AG79" i="7"/>
  <c r="AG80" i="7"/>
  <c r="AG81" i="7"/>
  <c r="AG82" i="7"/>
  <c r="AG83" i="7"/>
  <c r="AG84" i="7"/>
  <c r="AG85" i="7"/>
  <c r="AG86" i="7"/>
  <c r="Z68" i="7"/>
  <c r="Z69" i="7"/>
  <c r="Z70" i="7"/>
  <c r="Z71" i="7"/>
  <c r="Z72" i="7"/>
  <c r="Z73" i="7"/>
  <c r="Z74" i="7"/>
  <c r="Z75" i="7"/>
  <c r="Z76" i="7"/>
  <c r="Z77" i="7"/>
  <c r="Z78" i="7"/>
  <c r="Z79" i="7"/>
  <c r="Z80" i="7"/>
  <c r="Z81" i="7"/>
  <c r="Z82" i="7"/>
  <c r="Z83" i="7"/>
  <c r="Z84" i="7"/>
  <c r="Z85" i="7"/>
  <c r="Z86" i="7"/>
  <c r="R68" i="7"/>
  <c r="R69" i="7"/>
  <c r="R70" i="7"/>
  <c r="R71" i="7"/>
  <c r="R72" i="7"/>
  <c r="R73" i="7"/>
  <c r="R74" i="7"/>
  <c r="R75" i="7"/>
  <c r="R76" i="7"/>
  <c r="R77" i="7"/>
  <c r="R78" i="7"/>
  <c r="R79" i="7"/>
  <c r="R80" i="7"/>
  <c r="R81" i="7"/>
  <c r="R82" i="7"/>
  <c r="R83" i="7"/>
  <c r="R84" i="7"/>
  <c r="R85" i="7"/>
  <c r="R86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W63" i="2"/>
  <c r="W64" i="2"/>
  <c r="Z54" i="2"/>
  <c r="Z53" i="2"/>
  <c r="Z52" i="2"/>
  <c r="Z48" i="2"/>
  <c r="BF597" i="51" l="1"/>
  <c r="BR597" i="51"/>
  <c r="BU597" i="51"/>
  <c r="BQ597" i="51"/>
  <c r="BI597" i="51"/>
  <c r="BE597" i="51"/>
  <c r="BL597" i="51"/>
  <c r="BT597" i="51"/>
  <c r="BP597" i="51"/>
  <c r="BH597" i="51"/>
  <c r="BS597" i="51"/>
  <c r="BG597" i="51"/>
  <c r="BO597" i="51"/>
  <c r="BK597" i="51"/>
  <c r="BV597" i="51"/>
  <c r="BN597" i="51"/>
  <c r="BJ597" i="51"/>
  <c r="BM597" i="51"/>
  <c r="Z55" i="2"/>
  <c r="AO77" i="7"/>
  <c r="AO84" i="7"/>
  <c r="AO80" i="7"/>
  <c r="AO76" i="7"/>
  <c r="AO72" i="7"/>
  <c r="AO68" i="7"/>
  <c r="AO81" i="7"/>
  <c r="AO69" i="7"/>
  <c r="AO83" i="7"/>
  <c r="AO79" i="7"/>
  <c r="AO75" i="7"/>
  <c r="AO71" i="7"/>
  <c r="AO85" i="7"/>
  <c r="BW598" i="51" s="1"/>
  <c r="AO73" i="7"/>
  <c r="AO86" i="7"/>
  <c r="AO82" i="7"/>
  <c r="AO78" i="7"/>
  <c r="AO74" i="7"/>
  <c r="AO70" i="7"/>
  <c r="Z47" i="2"/>
  <c r="Z50" i="2"/>
  <c r="W50" i="2" s="1"/>
  <c r="Z51" i="2"/>
  <c r="W51" i="2" s="1"/>
  <c r="Z8" i="2"/>
  <c r="Z49" i="2"/>
  <c r="Z46" i="2"/>
  <c r="Z10" i="2"/>
  <c r="AD41" i="2"/>
  <c r="AD60" i="2" s="1"/>
  <c r="AC41" i="2"/>
  <c r="AC60" i="2" s="1"/>
  <c r="AB41" i="2"/>
  <c r="AB60" i="2" s="1"/>
  <c r="AA41" i="2"/>
  <c r="Y41" i="2"/>
  <c r="Y60" i="2" s="1"/>
  <c r="T41" i="2"/>
  <c r="T60" i="2" s="1"/>
  <c r="S41" i="2"/>
  <c r="S60" i="2" s="1"/>
  <c r="D413" i="39"/>
  <c r="D414" i="39"/>
  <c r="D415" i="39"/>
  <c r="P395" i="39"/>
  <c r="O395" i="39"/>
  <c r="P394" i="39"/>
  <c r="O394" i="39"/>
  <c r="P393" i="39"/>
  <c r="O393" i="39"/>
  <c r="P392" i="39"/>
  <c r="O392" i="39"/>
  <c r="P391" i="39"/>
  <c r="O391" i="39"/>
  <c r="P390" i="39"/>
  <c r="O390" i="39"/>
  <c r="P389" i="39"/>
  <c r="O389" i="39"/>
  <c r="P388" i="39"/>
  <c r="O388" i="39"/>
  <c r="P387" i="39"/>
  <c r="O387" i="39"/>
  <c r="P386" i="39"/>
  <c r="O386" i="39"/>
  <c r="P385" i="39"/>
  <c r="O385" i="39"/>
  <c r="P384" i="39"/>
  <c r="O384" i="39"/>
  <c r="P383" i="39"/>
  <c r="O383" i="39"/>
  <c r="P382" i="39"/>
  <c r="O382" i="39"/>
  <c r="P381" i="39"/>
  <c r="O381" i="39"/>
  <c r="P380" i="39"/>
  <c r="O380" i="39"/>
  <c r="P379" i="39"/>
  <c r="O379" i="39"/>
  <c r="P378" i="39"/>
  <c r="O378" i="39"/>
  <c r="P377" i="39"/>
  <c r="O377" i="39"/>
  <c r="P376" i="39"/>
  <c r="O376" i="39"/>
  <c r="P375" i="39"/>
  <c r="O375" i="39"/>
  <c r="P374" i="39"/>
  <c r="O374" i="39"/>
  <c r="P373" i="39"/>
  <c r="O373" i="39"/>
  <c r="P372" i="39"/>
  <c r="O372" i="39"/>
  <c r="P371" i="39"/>
  <c r="O371" i="39"/>
  <c r="P370" i="39"/>
  <c r="O370" i="39"/>
  <c r="P369" i="39"/>
  <c r="O369" i="39"/>
  <c r="P368" i="39"/>
  <c r="O368" i="39"/>
  <c r="P367" i="39"/>
  <c r="O367" i="39"/>
  <c r="P366" i="39"/>
  <c r="O366" i="39"/>
  <c r="P365" i="39"/>
  <c r="O365" i="39"/>
  <c r="P364" i="39"/>
  <c r="O364" i="39"/>
  <c r="P363" i="39"/>
  <c r="O363" i="39"/>
  <c r="P362" i="39"/>
  <c r="O362" i="39"/>
  <c r="P361" i="39"/>
  <c r="O361" i="39"/>
  <c r="P360" i="39"/>
  <c r="O360" i="39"/>
  <c r="P359" i="39"/>
  <c r="O359" i="39"/>
  <c r="P358" i="39"/>
  <c r="O358" i="39"/>
  <c r="P357" i="39"/>
  <c r="O357" i="39"/>
  <c r="P356" i="39"/>
  <c r="O356" i="39"/>
  <c r="P355" i="39"/>
  <c r="O355" i="39"/>
  <c r="P354" i="39"/>
  <c r="O354" i="39"/>
  <c r="P353" i="39"/>
  <c r="O353" i="39"/>
  <c r="P352" i="39"/>
  <c r="O352" i="39"/>
  <c r="P351" i="39"/>
  <c r="O351" i="39"/>
  <c r="P350" i="39"/>
  <c r="O350" i="39"/>
  <c r="P349" i="39"/>
  <c r="O349" i="39"/>
  <c r="P348" i="39"/>
  <c r="O348" i="39"/>
  <c r="P347" i="39"/>
  <c r="O347" i="39"/>
  <c r="P346" i="39"/>
  <c r="O346" i="39"/>
  <c r="P345" i="39"/>
  <c r="O345" i="39"/>
  <c r="P344" i="39"/>
  <c r="O344" i="39"/>
  <c r="P343" i="39"/>
  <c r="O343" i="39"/>
  <c r="P342" i="39"/>
  <c r="O342" i="39"/>
  <c r="P341" i="39"/>
  <c r="O341" i="39"/>
  <c r="P340" i="39"/>
  <c r="O340" i="39"/>
  <c r="P339" i="39"/>
  <c r="O339" i="39"/>
  <c r="P338" i="39"/>
  <c r="O338" i="39"/>
  <c r="P337" i="39"/>
  <c r="O337" i="39"/>
  <c r="P336" i="39"/>
  <c r="O336" i="39"/>
  <c r="P335" i="39"/>
  <c r="O335" i="39"/>
  <c r="P334" i="39"/>
  <c r="O334" i="39"/>
  <c r="P333" i="39"/>
  <c r="O333" i="39"/>
  <c r="P332" i="39"/>
  <c r="O332" i="39"/>
  <c r="P331" i="39"/>
  <c r="O331" i="39"/>
  <c r="P330" i="39"/>
  <c r="O330" i="39"/>
  <c r="P329" i="39"/>
  <c r="O329" i="39"/>
  <c r="P328" i="39"/>
  <c r="O328" i="39"/>
  <c r="P327" i="39"/>
  <c r="O327" i="39"/>
  <c r="P326" i="39"/>
  <c r="O326" i="39"/>
  <c r="P325" i="39"/>
  <c r="O325" i="39"/>
  <c r="P324" i="39"/>
  <c r="O324" i="39"/>
  <c r="P323" i="39"/>
  <c r="O323" i="39"/>
  <c r="P322" i="39"/>
  <c r="O322" i="39"/>
  <c r="P321" i="39"/>
  <c r="O321" i="39"/>
  <c r="P320" i="39"/>
  <c r="O320" i="39"/>
  <c r="P319" i="39"/>
  <c r="O319" i="39"/>
  <c r="P318" i="39"/>
  <c r="O318" i="39"/>
  <c r="P317" i="39"/>
  <c r="O317" i="39"/>
  <c r="P316" i="39"/>
  <c r="R316" i="39" s="1"/>
  <c r="O316" i="39"/>
  <c r="P315" i="39"/>
  <c r="R315" i="39" s="1"/>
  <c r="O315" i="39"/>
  <c r="P314" i="39"/>
  <c r="R314" i="39" s="1"/>
  <c r="O314" i="39"/>
  <c r="P313" i="39"/>
  <c r="R313" i="39" s="1"/>
  <c r="O313" i="39"/>
  <c r="P312" i="39"/>
  <c r="R312" i="39" s="1"/>
  <c r="O312" i="39"/>
  <c r="P311" i="39"/>
  <c r="R311" i="39" s="1"/>
  <c r="O311" i="39"/>
  <c r="P310" i="39"/>
  <c r="R310" i="39" s="1"/>
  <c r="O310" i="39"/>
  <c r="P309" i="39"/>
  <c r="R309" i="39" s="1"/>
  <c r="O309" i="39"/>
  <c r="P308" i="39"/>
  <c r="R308" i="39" s="1"/>
  <c r="O308" i="39"/>
  <c r="P307" i="39"/>
  <c r="R307" i="39" s="1"/>
  <c r="O307" i="39"/>
  <c r="P306" i="39"/>
  <c r="R306" i="39" s="1"/>
  <c r="O306" i="39"/>
  <c r="P305" i="39"/>
  <c r="R305" i="39" s="1"/>
  <c r="O305" i="39"/>
  <c r="P304" i="39"/>
  <c r="R304" i="39" s="1"/>
  <c r="O304" i="39"/>
  <c r="P303" i="39"/>
  <c r="R303" i="39" s="1"/>
  <c r="O303" i="39"/>
  <c r="P302" i="39"/>
  <c r="R302" i="39" s="1"/>
  <c r="O302" i="39"/>
  <c r="P301" i="39"/>
  <c r="R301" i="39" s="1"/>
  <c r="O301" i="39"/>
  <c r="P300" i="39"/>
  <c r="R300" i="39" s="1"/>
  <c r="O300" i="39"/>
  <c r="P299" i="39"/>
  <c r="R299" i="39" s="1"/>
  <c r="O299" i="39"/>
  <c r="P298" i="39"/>
  <c r="R298" i="39" s="1"/>
  <c r="O298" i="39"/>
  <c r="P297" i="39"/>
  <c r="R297" i="39" s="1"/>
  <c r="O297" i="39"/>
  <c r="P296" i="39"/>
  <c r="R296" i="39" s="1"/>
  <c r="O296" i="39"/>
  <c r="P295" i="39"/>
  <c r="R295" i="39" s="1"/>
  <c r="O295" i="39"/>
  <c r="P294" i="39"/>
  <c r="R294" i="39" s="1"/>
  <c r="O294" i="39"/>
  <c r="P293" i="39"/>
  <c r="R293" i="39" s="1"/>
  <c r="O293" i="39"/>
  <c r="P292" i="39"/>
  <c r="R292" i="39" s="1"/>
  <c r="O292" i="39"/>
  <c r="P291" i="39"/>
  <c r="R291" i="39" s="1"/>
  <c r="O291" i="39"/>
  <c r="P290" i="39"/>
  <c r="R290" i="39" s="1"/>
  <c r="O290" i="39"/>
  <c r="P289" i="39"/>
  <c r="R289" i="39" s="1"/>
  <c r="O289" i="39"/>
  <c r="P288" i="39"/>
  <c r="R288" i="39" s="1"/>
  <c r="O288" i="39"/>
  <c r="P287" i="39"/>
  <c r="R287" i="39" s="1"/>
  <c r="O287" i="39"/>
  <c r="P286" i="39"/>
  <c r="R286" i="39" s="1"/>
  <c r="O286" i="39"/>
  <c r="P285" i="39"/>
  <c r="R285" i="39" s="1"/>
  <c r="O285" i="39"/>
  <c r="P284" i="39"/>
  <c r="R284" i="39" s="1"/>
  <c r="O284" i="39"/>
  <c r="P283" i="39"/>
  <c r="R283" i="39" s="1"/>
  <c r="O283" i="39"/>
  <c r="P282" i="39"/>
  <c r="R282" i="39" s="1"/>
  <c r="O282" i="39"/>
  <c r="P281" i="39"/>
  <c r="R281" i="39" s="1"/>
  <c r="O281" i="39"/>
  <c r="P280" i="39"/>
  <c r="R280" i="39" s="1"/>
  <c r="O280" i="39"/>
  <c r="P279" i="39"/>
  <c r="R279" i="39" s="1"/>
  <c r="O279" i="39"/>
  <c r="P278" i="39"/>
  <c r="R278" i="39" s="1"/>
  <c r="O278" i="39"/>
  <c r="P277" i="39"/>
  <c r="R277" i="39" s="1"/>
  <c r="O277" i="39"/>
  <c r="P276" i="39"/>
  <c r="R276" i="39" s="1"/>
  <c r="O276" i="39"/>
  <c r="P275" i="39"/>
  <c r="R275" i="39" s="1"/>
  <c r="O275" i="39"/>
  <c r="P274" i="39"/>
  <c r="R274" i="39" s="1"/>
  <c r="O274" i="39"/>
  <c r="P273" i="39"/>
  <c r="R273" i="39" s="1"/>
  <c r="O273" i="39"/>
  <c r="P272" i="39"/>
  <c r="R272" i="39" s="1"/>
  <c r="O272" i="39"/>
  <c r="P271" i="39"/>
  <c r="R271" i="39" s="1"/>
  <c r="O271" i="39"/>
  <c r="P266" i="39"/>
  <c r="O266" i="39"/>
  <c r="P265" i="39"/>
  <c r="O265" i="39"/>
  <c r="P264" i="39"/>
  <c r="O264" i="39"/>
  <c r="P263" i="39"/>
  <c r="O263" i="39"/>
  <c r="P262" i="39"/>
  <c r="O262" i="39"/>
  <c r="P261" i="39"/>
  <c r="O261" i="39"/>
  <c r="P260" i="39"/>
  <c r="O260" i="39"/>
  <c r="P259" i="39"/>
  <c r="O259" i="39"/>
  <c r="P258" i="39"/>
  <c r="O258" i="39"/>
  <c r="P257" i="39"/>
  <c r="O257" i="39"/>
  <c r="P256" i="39"/>
  <c r="O256" i="39"/>
  <c r="P255" i="39"/>
  <c r="O255" i="39"/>
  <c r="P254" i="39"/>
  <c r="O254" i="39"/>
  <c r="P253" i="39"/>
  <c r="O253" i="39"/>
  <c r="P252" i="39"/>
  <c r="O252" i="39"/>
  <c r="P251" i="39"/>
  <c r="O251" i="39"/>
  <c r="P250" i="39"/>
  <c r="O250" i="39"/>
  <c r="P249" i="39"/>
  <c r="O249" i="39"/>
  <c r="P248" i="39"/>
  <c r="O248" i="39"/>
  <c r="P247" i="39"/>
  <c r="O247" i="39"/>
  <c r="P246" i="39"/>
  <c r="O246" i="39"/>
  <c r="P245" i="39"/>
  <c r="O245" i="39"/>
  <c r="P244" i="39"/>
  <c r="O244" i="39"/>
  <c r="P243" i="39"/>
  <c r="O243" i="39"/>
  <c r="P242" i="39"/>
  <c r="O242" i="39"/>
  <c r="P241" i="39"/>
  <c r="O241" i="39"/>
  <c r="P240" i="39"/>
  <c r="O240" i="39"/>
  <c r="P239" i="39"/>
  <c r="O239" i="39"/>
  <c r="P238" i="39"/>
  <c r="O238" i="39"/>
  <c r="P237" i="39"/>
  <c r="O237" i="39"/>
  <c r="P236" i="39"/>
  <c r="O236" i="39"/>
  <c r="P235" i="39"/>
  <c r="O235" i="39"/>
  <c r="P234" i="39"/>
  <c r="R234" i="39" s="1"/>
  <c r="O234" i="39"/>
  <c r="P233" i="39"/>
  <c r="R233" i="39" s="1"/>
  <c r="O233" i="39"/>
  <c r="P232" i="39"/>
  <c r="R232" i="39" s="1"/>
  <c r="O232" i="39"/>
  <c r="P231" i="39"/>
  <c r="R231" i="39" s="1"/>
  <c r="O231" i="39"/>
  <c r="P230" i="39"/>
  <c r="R230" i="39" s="1"/>
  <c r="O230" i="39"/>
  <c r="P229" i="39"/>
  <c r="R229" i="39" s="1"/>
  <c r="O229" i="39"/>
  <c r="P228" i="39"/>
  <c r="R228" i="39" s="1"/>
  <c r="O228" i="39"/>
  <c r="P227" i="39"/>
  <c r="R227" i="39" s="1"/>
  <c r="O227" i="39"/>
  <c r="P226" i="39"/>
  <c r="R226" i="39" s="1"/>
  <c r="O226" i="39"/>
  <c r="P225" i="39"/>
  <c r="R225" i="39" s="1"/>
  <c r="O225" i="39"/>
  <c r="P224" i="39"/>
  <c r="R224" i="39" s="1"/>
  <c r="O224" i="39"/>
  <c r="P223" i="39"/>
  <c r="R223" i="39" s="1"/>
  <c r="O223" i="39"/>
  <c r="P222" i="39"/>
  <c r="R222" i="39" s="1"/>
  <c r="O222" i="39"/>
  <c r="P221" i="39"/>
  <c r="R221" i="39" s="1"/>
  <c r="O221" i="39"/>
  <c r="P220" i="39"/>
  <c r="R220" i="39" s="1"/>
  <c r="O220" i="39"/>
  <c r="P219" i="39"/>
  <c r="R219" i="39" s="1"/>
  <c r="O219" i="39"/>
  <c r="P218" i="39"/>
  <c r="R218" i="39" s="1"/>
  <c r="O218" i="39"/>
  <c r="P217" i="39"/>
  <c r="R217" i="39" s="1"/>
  <c r="O217" i="39"/>
  <c r="P216" i="39"/>
  <c r="R216" i="39" s="1"/>
  <c r="O216" i="39"/>
  <c r="P215" i="39"/>
  <c r="R215" i="39" s="1"/>
  <c r="O215" i="39"/>
  <c r="P214" i="39"/>
  <c r="R214" i="39" s="1"/>
  <c r="O214" i="39"/>
  <c r="P213" i="39"/>
  <c r="R213" i="39" s="1"/>
  <c r="O213" i="39"/>
  <c r="P212" i="39"/>
  <c r="R212" i="39" s="1"/>
  <c r="O212" i="39"/>
  <c r="P211" i="39"/>
  <c r="R211" i="39" s="1"/>
  <c r="O211" i="39"/>
  <c r="P210" i="39"/>
  <c r="R210" i="39" s="1"/>
  <c r="O210" i="39"/>
  <c r="P209" i="39"/>
  <c r="R209" i="39" s="1"/>
  <c r="O209" i="39"/>
  <c r="P208" i="39"/>
  <c r="R208" i="39" s="1"/>
  <c r="O208" i="39"/>
  <c r="P207" i="39"/>
  <c r="R207" i="39" s="1"/>
  <c r="O207" i="39"/>
  <c r="P206" i="39"/>
  <c r="R206" i="39" s="1"/>
  <c r="O206" i="39"/>
  <c r="P205" i="39"/>
  <c r="R205" i="39" s="1"/>
  <c r="O205" i="39"/>
  <c r="P204" i="39"/>
  <c r="R204" i="39" s="1"/>
  <c r="O204" i="39"/>
  <c r="P203" i="39"/>
  <c r="R203" i="39" s="1"/>
  <c r="O203" i="39"/>
  <c r="P202" i="39"/>
  <c r="R202" i="39" s="1"/>
  <c r="O202" i="39"/>
  <c r="P201" i="39"/>
  <c r="R201" i="39" s="1"/>
  <c r="O201" i="39"/>
  <c r="P200" i="39"/>
  <c r="R200" i="39" s="1"/>
  <c r="O200" i="39"/>
  <c r="P199" i="39"/>
  <c r="R199" i="39" s="1"/>
  <c r="O199" i="39"/>
  <c r="P198" i="39"/>
  <c r="R198" i="39" s="1"/>
  <c r="O198" i="39"/>
  <c r="P197" i="39"/>
  <c r="R197" i="39" s="1"/>
  <c r="O197" i="39"/>
  <c r="P196" i="39"/>
  <c r="R196" i="39" s="1"/>
  <c r="O196" i="39"/>
  <c r="P195" i="39"/>
  <c r="R195" i="39" s="1"/>
  <c r="O195" i="39"/>
  <c r="P194" i="39"/>
  <c r="R194" i="39" s="1"/>
  <c r="O194" i="39"/>
  <c r="P193" i="39"/>
  <c r="R193" i="39" s="1"/>
  <c r="O193" i="39"/>
  <c r="P192" i="39"/>
  <c r="R192" i="39" s="1"/>
  <c r="O192" i="39"/>
  <c r="P191" i="39"/>
  <c r="R191" i="39" s="1"/>
  <c r="O191" i="39"/>
  <c r="P190" i="39"/>
  <c r="R190" i="39" s="1"/>
  <c r="O190" i="39"/>
  <c r="P189" i="39"/>
  <c r="R189" i="39" s="1"/>
  <c r="O189" i="39"/>
  <c r="P188" i="39"/>
  <c r="R188" i="39" s="1"/>
  <c r="O188" i="39"/>
  <c r="P187" i="39"/>
  <c r="R187" i="39" s="1"/>
  <c r="O187" i="39"/>
  <c r="P186" i="39"/>
  <c r="R186" i="39" s="1"/>
  <c r="O186" i="39"/>
  <c r="P185" i="39"/>
  <c r="R185" i="39" s="1"/>
  <c r="O185" i="39"/>
  <c r="P184" i="39"/>
  <c r="R184" i="39" s="1"/>
  <c r="O184" i="39"/>
  <c r="P183" i="39"/>
  <c r="R183" i="39" s="1"/>
  <c r="O183" i="39"/>
  <c r="P182" i="39"/>
  <c r="R182" i="39" s="1"/>
  <c r="O182" i="39"/>
  <c r="P181" i="39"/>
  <c r="Q181" i="39" s="1"/>
  <c r="O181" i="39"/>
  <c r="P180" i="39"/>
  <c r="Q180" i="39" s="1"/>
  <c r="O180" i="39"/>
  <c r="P179" i="39"/>
  <c r="Q179" i="39" s="1"/>
  <c r="O179" i="39"/>
  <c r="P178" i="39"/>
  <c r="Q178" i="39" s="1"/>
  <c r="O178" i="39"/>
  <c r="P177" i="39"/>
  <c r="Q177" i="39" s="1"/>
  <c r="O177" i="39"/>
  <c r="P176" i="39"/>
  <c r="Q176" i="39" s="1"/>
  <c r="O176" i="39"/>
  <c r="P175" i="39"/>
  <c r="Q175" i="39" s="1"/>
  <c r="O175" i="39"/>
  <c r="P174" i="39"/>
  <c r="Q174" i="39" s="1"/>
  <c r="O174" i="39"/>
  <c r="P173" i="39"/>
  <c r="Q173" i="39" s="1"/>
  <c r="O173" i="39"/>
  <c r="P172" i="39"/>
  <c r="Q172" i="39" s="1"/>
  <c r="O172" i="39"/>
  <c r="P171" i="39"/>
  <c r="Q171" i="39" s="1"/>
  <c r="O171" i="39"/>
  <c r="P170" i="39"/>
  <c r="Q170" i="39" s="1"/>
  <c r="O170" i="39"/>
  <c r="P169" i="39"/>
  <c r="Q169" i="39" s="1"/>
  <c r="O169" i="39"/>
  <c r="P168" i="39"/>
  <c r="Q168" i="39" s="1"/>
  <c r="O168" i="39"/>
  <c r="P167" i="39"/>
  <c r="Q167" i="39" s="1"/>
  <c r="O167" i="39"/>
  <c r="P166" i="39"/>
  <c r="Q166" i="39" s="1"/>
  <c r="O166" i="39"/>
  <c r="P165" i="39"/>
  <c r="Q165" i="39" s="1"/>
  <c r="O165" i="39"/>
  <c r="P164" i="39"/>
  <c r="Q164" i="39" s="1"/>
  <c r="O164" i="39"/>
  <c r="P163" i="39"/>
  <c r="Q163" i="39" s="1"/>
  <c r="O163" i="39"/>
  <c r="P162" i="39"/>
  <c r="Q162" i="39" s="1"/>
  <c r="O162" i="39"/>
  <c r="P161" i="39"/>
  <c r="Q161" i="39" s="1"/>
  <c r="O161" i="39"/>
  <c r="P160" i="39"/>
  <c r="Q160" i="39" s="1"/>
  <c r="O160" i="39"/>
  <c r="P159" i="39"/>
  <c r="Q159" i="39" s="1"/>
  <c r="O159" i="39"/>
  <c r="P158" i="39"/>
  <c r="Q158" i="39" s="1"/>
  <c r="O158" i="39"/>
  <c r="P157" i="39"/>
  <c r="Q157" i="39" s="1"/>
  <c r="O157" i="39"/>
  <c r="P156" i="39"/>
  <c r="Q156" i="39" s="1"/>
  <c r="O156" i="39"/>
  <c r="P155" i="39"/>
  <c r="Q155" i="39" s="1"/>
  <c r="O155" i="39"/>
  <c r="P154" i="39"/>
  <c r="Q154" i="39" s="1"/>
  <c r="O154" i="39"/>
  <c r="P153" i="39"/>
  <c r="Q153" i="39" s="1"/>
  <c r="O153" i="39"/>
  <c r="P152" i="39"/>
  <c r="Q152" i="39" s="1"/>
  <c r="O152" i="39"/>
  <c r="P151" i="39"/>
  <c r="Q151" i="39" s="1"/>
  <c r="O151" i="39"/>
  <c r="P150" i="39"/>
  <c r="Q150" i="39" s="1"/>
  <c r="O150" i="39"/>
  <c r="P149" i="39"/>
  <c r="Q149" i="39" s="1"/>
  <c r="O149" i="39"/>
  <c r="P148" i="39"/>
  <c r="Q148" i="39" s="1"/>
  <c r="O148" i="39"/>
  <c r="P147" i="39"/>
  <c r="Q147" i="39" s="1"/>
  <c r="O147" i="39"/>
  <c r="P146" i="39"/>
  <c r="Q146" i="39" s="1"/>
  <c r="O146" i="39"/>
  <c r="P145" i="39"/>
  <c r="Q145" i="39" s="1"/>
  <c r="O145" i="39"/>
  <c r="P144" i="39"/>
  <c r="Q144" i="39" s="1"/>
  <c r="O144" i="39"/>
  <c r="P143" i="39"/>
  <c r="Q143" i="39" s="1"/>
  <c r="O143" i="39"/>
  <c r="P142" i="39"/>
  <c r="Q142" i="39" s="1"/>
  <c r="O142" i="39"/>
  <c r="P137" i="39"/>
  <c r="O137" i="39"/>
  <c r="P136" i="39"/>
  <c r="O136" i="39"/>
  <c r="P135" i="39"/>
  <c r="O135" i="39"/>
  <c r="P134" i="39"/>
  <c r="O134" i="39"/>
  <c r="P133" i="39"/>
  <c r="O133" i="39"/>
  <c r="P132" i="39"/>
  <c r="O132" i="39"/>
  <c r="P131" i="39"/>
  <c r="O131" i="39"/>
  <c r="P130" i="39"/>
  <c r="O130" i="39"/>
  <c r="P129" i="39"/>
  <c r="O129" i="39"/>
  <c r="P128" i="39"/>
  <c r="O128" i="39"/>
  <c r="P127" i="39"/>
  <c r="O127" i="39"/>
  <c r="P126" i="39"/>
  <c r="O126" i="39"/>
  <c r="P125" i="39"/>
  <c r="O125" i="39"/>
  <c r="P124" i="39"/>
  <c r="O124" i="39"/>
  <c r="P123" i="39"/>
  <c r="O123" i="39"/>
  <c r="P122" i="39"/>
  <c r="O122" i="39"/>
  <c r="P121" i="39"/>
  <c r="O121" i="39"/>
  <c r="P120" i="39"/>
  <c r="O120" i="39"/>
  <c r="P119" i="39"/>
  <c r="O119" i="39"/>
  <c r="P118" i="39"/>
  <c r="O118" i="39"/>
  <c r="P117" i="39"/>
  <c r="O117" i="39"/>
  <c r="P116" i="39"/>
  <c r="O116" i="39"/>
  <c r="P115" i="39"/>
  <c r="O115" i="39"/>
  <c r="P114" i="39"/>
  <c r="O114" i="39"/>
  <c r="P113" i="39"/>
  <c r="O113" i="39"/>
  <c r="P112" i="39"/>
  <c r="O112" i="39"/>
  <c r="P111" i="39"/>
  <c r="O111" i="39"/>
  <c r="P110" i="39"/>
  <c r="O110" i="39"/>
  <c r="P109" i="39"/>
  <c r="O109" i="39"/>
  <c r="P108" i="39"/>
  <c r="O108" i="39"/>
  <c r="P107" i="39"/>
  <c r="O107" i="39"/>
  <c r="P106" i="39"/>
  <c r="O106" i="39"/>
  <c r="P105" i="39"/>
  <c r="O105" i="39"/>
  <c r="P104" i="39"/>
  <c r="O104" i="39"/>
  <c r="P103" i="39"/>
  <c r="O103" i="39"/>
  <c r="P102" i="39"/>
  <c r="O102" i="39"/>
  <c r="P101" i="39"/>
  <c r="O101" i="39"/>
  <c r="P100" i="39"/>
  <c r="O100" i="39"/>
  <c r="P99" i="39"/>
  <c r="O99" i="39"/>
  <c r="P98" i="39"/>
  <c r="O98" i="39"/>
  <c r="P97" i="39"/>
  <c r="O97" i="39"/>
  <c r="P96" i="39"/>
  <c r="O96" i="39"/>
  <c r="P95" i="39"/>
  <c r="O95" i="39"/>
  <c r="P94" i="39"/>
  <c r="O94" i="39"/>
  <c r="P93" i="39"/>
  <c r="O93" i="39"/>
  <c r="P92" i="39"/>
  <c r="O92" i="39"/>
  <c r="P91" i="39"/>
  <c r="O91" i="39"/>
  <c r="P90" i="39"/>
  <c r="O90" i="39"/>
  <c r="P89" i="39"/>
  <c r="O89" i="39"/>
  <c r="P88" i="39"/>
  <c r="O88" i="39"/>
  <c r="P87" i="39"/>
  <c r="O87" i="39"/>
  <c r="P86" i="39"/>
  <c r="O86" i="39"/>
  <c r="P85" i="39"/>
  <c r="O85" i="39"/>
  <c r="P84" i="39"/>
  <c r="O84" i="39"/>
  <c r="P83" i="39"/>
  <c r="O83" i="39"/>
  <c r="P82" i="39"/>
  <c r="O82" i="39"/>
  <c r="P81" i="39"/>
  <c r="O81" i="39"/>
  <c r="P80" i="39"/>
  <c r="O80" i="39"/>
  <c r="P79" i="39"/>
  <c r="O79" i="39"/>
  <c r="P78" i="39"/>
  <c r="O78" i="39"/>
  <c r="P77" i="39"/>
  <c r="O77" i="39"/>
  <c r="P76" i="39"/>
  <c r="O76" i="39"/>
  <c r="P75" i="39"/>
  <c r="O75" i="39"/>
  <c r="P74" i="39"/>
  <c r="O74" i="39"/>
  <c r="P73" i="39"/>
  <c r="O73" i="39"/>
  <c r="P72" i="39"/>
  <c r="O72" i="39"/>
  <c r="P71" i="39"/>
  <c r="O71" i="39"/>
  <c r="P70" i="39"/>
  <c r="O70" i="39"/>
  <c r="P69" i="39"/>
  <c r="O69" i="39"/>
  <c r="P68" i="39"/>
  <c r="O68" i="39"/>
  <c r="P67" i="39"/>
  <c r="O67" i="39"/>
  <c r="P66" i="39"/>
  <c r="O66" i="39"/>
  <c r="P65" i="39"/>
  <c r="O65" i="39"/>
  <c r="P64" i="39"/>
  <c r="O64" i="39"/>
  <c r="P63" i="39"/>
  <c r="O63" i="39"/>
  <c r="P62" i="39"/>
  <c r="O62" i="39"/>
  <c r="P61" i="39"/>
  <c r="O61" i="39"/>
  <c r="P60" i="39"/>
  <c r="O60" i="39"/>
  <c r="P59" i="39"/>
  <c r="O59" i="39"/>
  <c r="P58" i="39"/>
  <c r="O58" i="39"/>
  <c r="P57" i="39"/>
  <c r="O57" i="39"/>
  <c r="P56" i="39"/>
  <c r="O56" i="39"/>
  <c r="P55" i="39"/>
  <c r="O55" i="39"/>
  <c r="P54" i="39"/>
  <c r="O54" i="39"/>
  <c r="P53" i="39"/>
  <c r="O53" i="39"/>
  <c r="P52" i="39"/>
  <c r="R52" i="39" s="1"/>
  <c r="O52" i="39"/>
  <c r="P51" i="39"/>
  <c r="R51" i="39" s="1"/>
  <c r="O51" i="39"/>
  <c r="P50" i="39"/>
  <c r="R50" i="39" s="1"/>
  <c r="O50" i="39"/>
  <c r="P49" i="39"/>
  <c r="R49" i="39" s="1"/>
  <c r="O49" i="39"/>
  <c r="P48" i="39"/>
  <c r="R48" i="39" s="1"/>
  <c r="O48" i="39"/>
  <c r="P47" i="39"/>
  <c r="R47" i="39" s="1"/>
  <c r="O47" i="39"/>
  <c r="P46" i="39"/>
  <c r="R46" i="39" s="1"/>
  <c r="O46" i="39"/>
  <c r="P45" i="39"/>
  <c r="R45" i="39" s="1"/>
  <c r="O45" i="39"/>
  <c r="P44" i="39"/>
  <c r="R44" i="39" s="1"/>
  <c r="O44" i="39"/>
  <c r="P43" i="39"/>
  <c r="R43" i="39" s="1"/>
  <c r="O43" i="39"/>
  <c r="P42" i="39"/>
  <c r="R42" i="39" s="1"/>
  <c r="O42" i="39"/>
  <c r="P41" i="39"/>
  <c r="R41" i="39" s="1"/>
  <c r="O41" i="39"/>
  <c r="P40" i="39"/>
  <c r="R40" i="39" s="1"/>
  <c r="O40" i="39"/>
  <c r="P39" i="39"/>
  <c r="R39" i="39" s="1"/>
  <c r="O39" i="39"/>
  <c r="P38" i="39"/>
  <c r="R38" i="39" s="1"/>
  <c r="O38" i="39"/>
  <c r="P37" i="39"/>
  <c r="R37" i="39" s="1"/>
  <c r="O37" i="39"/>
  <c r="P36" i="39"/>
  <c r="R36" i="39" s="1"/>
  <c r="O36" i="39"/>
  <c r="P35" i="39"/>
  <c r="R35" i="39" s="1"/>
  <c r="O35" i="39"/>
  <c r="P34" i="39"/>
  <c r="R34" i="39" s="1"/>
  <c r="O34" i="39"/>
  <c r="P33" i="39"/>
  <c r="R33" i="39" s="1"/>
  <c r="O33" i="39"/>
  <c r="P32" i="39"/>
  <c r="R32" i="39" s="1"/>
  <c r="O32" i="39"/>
  <c r="P31" i="39"/>
  <c r="R31" i="39" s="1"/>
  <c r="O31" i="39"/>
  <c r="P30" i="39"/>
  <c r="R30" i="39" s="1"/>
  <c r="O30" i="39"/>
  <c r="P29" i="39"/>
  <c r="R29" i="39" s="1"/>
  <c r="O29" i="39"/>
  <c r="P28" i="39"/>
  <c r="R28" i="39" s="1"/>
  <c r="O28" i="39"/>
  <c r="P27" i="39"/>
  <c r="R27" i="39" s="1"/>
  <c r="O27" i="39"/>
  <c r="P26" i="39"/>
  <c r="R26" i="39" s="1"/>
  <c r="O26" i="39"/>
  <c r="P25" i="39"/>
  <c r="R25" i="39" s="1"/>
  <c r="O25" i="39"/>
  <c r="P24" i="39"/>
  <c r="R24" i="39" s="1"/>
  <c r="O24" i="39"/>
  <c r="P23" i="39"/>
  <c r="R23" i="39" s="1"/>
  <c r="O23" i="39"/>
  <c r="P22" i="39"/>
  <c r="R22" i="39" s="1"/>
  <c r="O22" i="39"/>
  <c r="P21" i="39"/>
  <c r="R21" i="39" s="1"/>
  <c r="O21" i="39"/>
  <c r="P20" i="39"/>
  <c r="R20" i="39" s="1"/>
  <c r="O20" i="39"/>
  <c r="P19" i="39"/>
  <c r="R19" i="39" s="1"/>
  <c r="O19" i="39"/>
  <c r="P18" i="39"/>
  <c r="R18" i="39" s="1"/>
  <c r="O18" i="39"/>
  <c r="P17" i="39"/>
  <c r="R17" i="39" s="1"/>
  <c r="O17" i="39"/>
  <c r="P16" i="39"/>
  <c r="R16" i="39" s="1"/>
  <c r="O16" i="39"/>
  <c r="P15" i="39"/>
  <c r="R15" i="39" s="1"/>
  <c r="O15" i="39"/>
  <c r="P14" i="39"/>
  <c r="R14" i="39" s="1"/>
  <c r="O14" i="39"/>
  <c r="P13" i="39"/>
  <c r="R13" i="39" s="1"/>
  <c r="O13" i="39"/>
  <c r="O53" i="37"/>
  <c r="N53" i="37"/>
  <c r="O52" i="37"/>
  <c r="N52" i="37"/>
  <c r="O51" i="37"/>
  <c r="N51" i="37"/>
  <c r="O50" i="37"/>
  <c r="N50" i="37"/>
  <c r="O49" i="37"/>
  <c r="N49" i="37"/>
  <c r="O48" i="37"/>
  <c r="N48" i="37"/>
  <c r="O47" i="37"/>
  <c r="N47" i="37"/>
  <c r="O46" i="37"/>
  <c r="N46" i="37"/>
  <c r="O45" i="37"/>
  <c r="N45" i="37"/>
  <c r="O44" i="37"/>
  <c r="N44" i="37"/>
  <c r="O40" i="37"/>
  <c r="N40" i="37"/>
  <c r="O39" i="37"/>
  <c r="N39" i="37"/>
  <c r="O38" i="37"/>
  <c r="N38" i="37"/>
  <c r="O37" i="37"/>
  <c r="N37" i="37"/>
  <c r="O36" i="37"/>
  <c r="N36" i="37"/>
  <c r="O35" i="37"/>
  <c r="N35" i="37"/>
  <c r="O34" i="37"/>
  <c r="N34" i="37"/>
  <c r="O33" i="37"/>
  <c r="N33" i="37"/>
  <c r="O32" i="37"/>
  <c r="N32" i="37"/>
  <c r="O28" i="37"/>
  <c r="N28" i="37"/>
  <c r="O27" i="37"/>
  <c r="N27" i="37"/>
  <c r="O26" i="37"/>
  <c r="N26" i="37"/>
  <c r="O25" i="37"/>
  <c r="N25" i="37"/>
  <c r="O24" i="37"/>
  <c r="N24" i="37"/>
  <c r="O23" i="37"/>
  <c r="N23" i="37"/>
  <c r="O22" i="37"/>
  <c r="N22" i="37"/>
  <c r="O21" i="37"/>
  <c r="N21" i="37"/>
  <c r="O20" i="37"/>
  <c r="J20" i="37"/>
  <c r="N20" i="37"/>
  <c r="O29" i="37" l="1"/>
  <c r="O41" i="37"/>
  <c r="BF598" i="51"/>
  <c r="BR598" i="51"/>
  <c r="BH598" i="51"/>
  <c r="BQ598" i="51"/>
  <c r="BU598" i="51"/>
  <c r="BI598" i="51"/>
  <c r="BS598" i="51"/>
  <c r="BL598" i="51"/>
  <c r="BT598" i="51"/>
  <c r="BP598" i="51"/>
  <c r="BO598" i="51"/>
  <c r="BK598" i="51"/>
  <c r="BG598" i="51"/>
  <c r="BV598" i="51"/>
  <c r="BJ598" i="51"/>
  <c r="BM598" i="51"/>
  <c r="BN598" i="51"/>
  <c r="R169" i="39"/>
  <c r="R177" i="39"/>
  <c r="Q22" i="39"/>
  <c r="R145" i="39"/>
  <c r="Q38" i="39"/>
  <c r="R153" i="39"/>
  <c r="Q197" i="39"/>
  <c r="R161" i="39"/>
  <c r="Q229" i="39"/>
  <c r="Q26" i="39"/>
  <c r="Q42" i="39"/>
  <c r="R157" i="39"/>
  <c r="R173" i="39"/>
  <c r="Q213" i="39"/>
  <c r="Q14" i="39"/>
  <c r="Q30" i="39"/>
  <c r="Q46" i="39"/>
  <c r="Q18" i="39"/>
  <c r="Q34" i="39"/>
  <c r="Q50" i="39"/>
  <c r="R149" i="39"/>
  <c r="R165" i="39"/>
  <c r="R181" i="39"/>
  <c r="Q313" i="39"/>
  <c r="Z41" i="2"/>
  <c r="Z60" i="2" s="1"/>
  <c r="AA60" i="2"/>
  <c r="Q316" i="39"/>
  <c r="R322" i="39"/>
  <c r="Q322" i="39"/>
  <c r="R328" i="39"/>
  <c r="Q328" i="39"/>
  <c r="R334" i="39"/>
  <c r="Q334" i="39"/>
  <c r="R340" i="39"/>
  <c r="Q340" i="39"/>
  <c r="R346" i="39"/>
  <c r="Q346" i="39"/>
  <c r="R348" i="39"/>
  <c r="Q348" i="39"/>
  <c r="R350" i="39"/>
  <c r="Q350" i="39"/>
  <c r="R352" i="39"/>
  <c r="Q352" i="39"/>
  <c r="R354" i="39"/>
  <c r="Q354" i="39"/>
  <c r="R356" i="39"/>
  <c r="Q356" i="39"/>
  <c r="R358" i="39"/>
  <c r="Q358" i="39"/>
  <c r="R360" i="39"/>
  <c r="Q360" i="39"/>
  <c r="R362" i="39"/>
  <c r="Q362" i="39"/>
  <c r="R364" i="39"/>
  <c r="Q364" i="39"/>
  <c r="R366" i="39"/>
  <c r="Q366" i="39"/>
  <c r="R368" i="39"/>
  <c r="Q368" i="39"/>
  <c r="R370" i="39"/>
  <c r="Q370" i="39"/>
  <c r="R372" i="39"/>
  <c r="Q372" i="39"/>
  <c r="R374" i="39"/>
  <c r="Q374" i="39"/>
  <c r="R376" i="39"/>
  <c r="Q376" i="39"/>
  <c r="R378" i="39"/>
  <c r="Q378" i="39"/>
  <c r="R380" i="39"/>
  <c r="Q380" i="39"/>
  <c r="R382" i="39"/>
  <c r="Q382" i="39"/>
  <c r="R384" i="39"/>
  <c r="Q384" i="39"/>
  <c r="R386" i="39"/>
  <c r="Q386" i="39"/>
  <c r="R388" i="39"/>
  <c r="Q388" i="39"/>
  <c r="R390" i="39"/>
  <c r="Q390" i="39"/>
  <c r="R392" i="39"/>
  <c r="Q392" i="39"/>
  <c r="R394" i="39"/>
  <c r="Q394" i="39"/>
  <c r="R320" i="39"/>
  <c r="Q320" i="39"/>
  <c r="R326" i="39"/>
  <c r="Q326" i="39"/>
  <c r="R332" i="39"/>
  <c r="Q332" i="39"/>
  <c r="R338" i="39"/>
  <c r="Q338" i="39"/>
  <c r="R344" i="39"/>
  <c r="Q344" i="39"/>
  <c r="Q271" i="39"/>
  <c r="Q272" i="39"/>
  <c r="Q273" i="39"/>
  <c r="Q274" i="39"/>
  <c r="Q275" i="39"/>
  <c r="Q276" i="39"/>
  <c r="Q277" i="39"/>
  <c r="Q278" i="39"/>
  <c r="Q279" i="39"/>
  <c r="Q280" i="39"/>
  <c r="Q281" i="39"/>
  <c r="Q282" i="39"/>
  <c r="Q283" i="39"/>
  <c r="Q284" i="39"/>
  <c r="Q285" i="39"/>
  <c r="Q286" i="39"/>
  <c r="Q287" i="39"/>
  <c r="Q288" i="39"/>
  <c r="Q289" i="39"/>
  <c r="Q290" i="39"/>
  <c r="Q291" i="39"/>
  <c r="Q292" i="39"/>
  <c r="Q293" i="39"/>
  <c r="Q294" i="39"/>
  <c r="Q295" i="39"/>
  <c r="Q296" i="39"/>
  <c r="Q297" i="39"/>
  <c r="Q298" i="39"/>
  <c r="Q299" i="39"/>
  <c r="Q300" i="39"/>
  <c r="Q301" i="39"/>
  <c r="Q302" i="39"/>
  <c r="Q303" i="39"/>
  <c r="Q304" i="39"/>
  <c r="Q305" i="39"/>
  <c r="Q306" i="39"/>
  <c r="Q307" i="39"/>
  <c r="Q308" i="39"/>
  <c r="Q309" i="39"/>
  <c r="Q310" i="39"/>
  <c r="Q311" i="39"/>
  <c r="Q315" i="39"/>
  <c r="Q312" i="39"/>
  <c r="R318" i="39"/>
  <c r="Q318" i="39"/>
  <c r="R324" i="39"/>
  <c r="Q324" i="39"/>
  <c r="R330" i="39"/>
  <c r="Q330" i="39"/>
  <c r="R336" i="39"/>
  <c r="Q336" i="39"/>
  <c r="R342" i="39"/>
  <c r="Q342" i="39"/>
  <c r="Q314" i="39"/>
  <c r="R317" i="39"/>
  <c r="Q317" i="39"/>
  <c r="R319" i="39"/>
  <c r="Q319" i="39"/>
  <c r="R321" i="39"/>
  <c r="Q321" i="39"/>
  <c r="R323" i="39"/>
  <c r="Q323" i="39"/>
  <c r="R325" i="39"/>
  <c r="Q325" i="39"/>
  <c r="R327" i="39"/>
  <c r="Q327" i="39"/>
  <c r="R329" i="39"/>
  <c r="Q329" i="39"/>
  <c r="R331" i="39"/>
  <c r="Q331" i="39"/>
  <c r="R333" i="39"/>
  <c r="Q333" i="39"/>
  <c r="R335" i="39"/>
  <c r="Q335" i="39"/>
  <c r="R337" i="39"/>
  <c r="Q337" i="39"/>
  <c r="R339" i="39"/>
  <c r="Q339" i="39"/>
  <c r="R341" i="39"/>
  <c r="Q341" i="39"/>
  <c r="R343" i="39"/>
  <c r="Q343" i="39"/>
  <c r="R345" i="39"/>
  <c r="Q345" i="39"/>
  <c r="R347" i="39"/>
  <c r="Q347" i="39"/>
  <c r="R349" i="39"/>
  <c r="Q349" i="39"/>
  <c r="R351" i="39"/>
  <c r="Q351" i="39"/>
  <c r="R353" i="39"/>
  <c r="Q353" i="39"/>
  <c r="R355" i="39"/>
  <c r="Q355" i="39"/>
  <c r="R357" i="39"/>
  <c r="Q357" i="39"/>
  <c r="R359" i="39"/>
  <c r="Q359" i="39"/>
  <c r="R361" i="39"/>
  <c r="Q361" i="39"/>
  <c r="R363" i="39"/>
  <c r="Q363" i="39"/>
  <c r="R365" i="39"/>
  <c r="Q365" i="39"/>
  <c r="R367" i="39"/>
  <c r="Q367" i="39"/>
  <c r="R369" i="39"/>
  <c r="Q369" i="39"/>
  <c r="R371" i="39"/>
  <c r="Q371" i="39"/>
  <c r="R373" i="39"/>
  <c r="Q373" i="39"/>
  <c r="R375" i="39"/>
  <c r="Q375" i="39"/>
  <c r="R377" i="39"/>
  <c r="Q377" i="39"/>
  <c r="R379" i="39"/>
  <c r="Q379" i="39"/>
  <c r="R381" i="39"/>
  <c r="Q381" i="39"/>
  <c r="R383" i="39"/>
  <c r="Q383" i="39"/>
  <c r="R385" i="39"/>
  <c r="Q385" i="39"/>
  <c r="R387" i="39"/>
  <c r="Q387" i="39"/>
  <c r="R389" i="39"/>
  <c r="Q389" i="39"/>
  <c r="R391" i="39"/>
  <c r="Q391" i="39"/>
  <c r="R393" i="39"/>
  <c r="Q393" i="39"/>
  <c r="R395" i="39"/>
  <c r="Q395" i="39"/>
  <c r="Q17" i="39"/>
  <c r="Q25" i="39"/>
  <c r="Q29" i="39"/>
  <c r="Q33" i="39"/>
  <c r="Q37" i="39"/>
  <c r="Q49" i="39"/>
  <c r="Q13" i="39"/>
  <c r="Q21" i="39"/>
  <c r="Q41" i="39"/>
  <c r="Q45" i="39"/>
  <c r="R144" i="39"/>
  <c r="R148" i="39"/>
  <c r="R152" i="39"/>
  <c r="R160" i="39"/>
  <c r="R168" i="39"/>
  <c r="R172" i="39"/>
  <c r="R180" i="39"/>
  <c r="Q185" i="39"/>
  <c r="Q201" i="39"/>
  <c r="Q16" i="39"/>
  <c r="Q20" i="39"/>
  <c r="Q24" i="39"/>
  <c r="Q28" i="39"/>
  <c r="Q32" i="39"/>
  <c r="Q36" i="39"/>
  <c r="Q40" i="39"/>
  <c r="Q44" i="39"/>
  <c r="Q48" i="39"/>
  <c r="Q52" i="39"/>
  <c r="R143" i="39"/>
  <c r="R147" i="39"/>
  <c r="R151" i="39"/>
  <c r="R155" i="39"/>
  <c r="R159" i="39"/>
  <c r="R163" i="39"/>
  <c r="R167" i="39"/>
  <c r="R171" i="39"/>
  <c r="R175" i="39"/>
  <c r="R179" i="39"/>
  <c r="Q189" i="39"/>
  <c r="Q205" i="39"/>
  <c r="Q221" i="39"/>
  <c r="R156" i="39"/>
  <c r="R164" i="39"/>
  <c r="R176" i="39"/>
  <c r="Q217" i="39"/>
  <c r="Q233" i="39"/>
  <c r="Q15" i="39"/>
  <c r="Q19" i="39"/>
  <c r="Q23" i="39"/>
  <c r="Q27" i="39"/>
  <c r="Q31" i="39"/>
  <c r="Q35" i="39"/>
  <c r="Q39" i="39"/>
  <c r="Q43" i="39"/>
  <c r="Q47" i="39"/>
  <c r="Q51" i="39"/>
  <c r="R142" i="39"/>
  <c r="R146" i="39"/>
  <c r="R150" i="39"/>
  <c r="R154" i="39"/>
  <c r="R158" i="39"/>
  <c r="R162" i="39"/>
  <c r="R166" i="39"/>
  <c r="R170" i="39"/>
  <c r="R174" i="39"/>
  <c r="R178" i="39"/>
  <c r="Q193" i="39"/>
  <c r="Q209" i="39"/>
  <c r="Q225" i="39"/>
  <c r="Q184" i="39"/>
  <c r="Q188" i="39"/>
  <c r="Q196" i="39"/>
  <c r="Q204" i="39"/>
  <c r="R257" i="39"/>
  <c r="Q257" i="39"/>
  <c r="R259" i="39"/>
  <c r="Q259" i="39"/>
  <c r="R261" i="39"/>
  <c r="Q261" i="39"/>
  <c r="R263" i="39"/>
  <c r="Q263" i="39"/>
  <c r="R265" i="39"/>
  <c r="Q265" i="39"/>
  <c r="Q220" i="39"/>
  <c r="Q232" i="39"/>
  <c r="R235" i="39"/>
  <c r="Q235" i="39"/>
  <c r="R239" i="39"/>
  <c r="Q239" i="39"/>
  <c r="R243" i="39"/>
  <c r="Q243" i="39"/>
  <c r="R247" i="39"/>
  <c r="Q247" i="39"/>
  <c r="R251" i="39"/>
  <c r="Q251" i="39"/>
  <c r="R253" i="39"/>
  <c r="Q253" i="39"/>
  <c r="Q183" i="39"/>
  <c r="Q187" i="39"/>
  <c r="Q191" i="39"/>
  <c r="Q195" i="39"/>
  <c r="Q199" i="39"/>
  <c r="Q203" i="39"/>
  <c r="Q207" i="39"/>
  <c r="Q211" i="39"/>
  <c r="Q215" i="39"/>
  <c r="Q219" i="39"/>
  <c r="Q223" i="39"/>
  <c r="Q227" i="39"/>
  <c r="Q231" i="39"/>
  <c r="Q192" i="39"/>
  <c r="Q200" i="39"/>
  <c r="Q208" i="39"/>
  <c r="Q212" i="39"/>
  <c r="Q216" i="39"/>
  <c r="Q224" i="39"/>
  <c r="Q228" i="39"/>
  <c r="R237" i="39"/>
  <c r="Q237" i="39"/>
  <c r="R241" i="39"/>
  <c r="Q241" i="39"/>
  <c r="R245" i="39"/>
  <c r="Q245" i="39"/>
  <c r="R249" i="39"/>
  <c r="Q249" i="39"/>
  <c r="R255" i="39"/>
  <c r="Q255" i="39"/>
  <c r="Q182" i="39"/>
  <c r="Q186" i="39"/>
  <c r="Q190" i="39"/>
  <c r="Q194" i="39"/>
  <c r="Q198" i="39"/>
  <c r="Q202" i="39"/>
  <c r="Q206" i="39"/>
  <c r="Q210" i="39"/>
  <c r="Q214" i="39"/>
  <c r="Q218" i="39"/>
  <c r="Q222" i="39"/>
  <c r="Q226" i="39"/>
  <c r="Q230" i="39"/>
  <c r="Q234" i="39"/>
  <c r="R236" i="39"/>
  <c r="Q236" i="39"/>
  <c r="R238" i="39"/>
  <c r="Q238" i="39"/>
  <c r="R240" i="39"/>
  <c r="Q240" i="39"/>
  <c r="R242" i="39"/>
  <c r="Q242" i="39"/>
  <c r="R244" i="39"/>
  <c r="Q244" i="39"/>
  <c r="R246" i="39"/>
  <c r="Q246" i="39"/>
  <c r="R248" i="39"/>
  <c r="Q248" i="39"/>
  <c r="R250" i="39"/>
  <c r="Q250" i="39"/>
  <c r="R252" i="39"/>
  <c r="Q252" i="39"/>
  <c r="R254" i="39"/>
  <c r="Q254" i="39"/>
  <c r="R256" i="39"/>
  <c r="Q256" i="39"/>
  <c r="R258" i="39"/>
  <c r="Q258" i="39"/>
  <c r="R260" i="39"/>
  <c r="Q260" i="39"/>
  <c r="R262" i="39"/>
  <c r="Q262" i="39"/>
  <c r="R264" i="39"/>
  <c r="Q264" i="39"/>
  <c r="R266" i="39"/>
  <c r="Q266" i="39"/>
  <c r="R54" i="39"/>
  <c r="Q54" i="39"/>
  <c r="R60" i="39"/>
  <c r="Q60" i="39"/>
  <c r="R62" i="39"/>
  <c r="Q62" i="39"/>
  <c r="R68" i="39"/>
  <c r="Q68" i="39"/>
  <c r="R72" i="39"/>
  <c r="Q72" i="39"/>
  <c r="R74" i="39"/>
  <c r="Q74" i="39"/>
  <c r="R78" i="39"/>
  <c r="Q78" i="39"/>
  <c r="R82" i="39"/>
  <c r="Q82" i="39"/>
  <c r="R88" i="39"/>
  <c r="Q88" i="39"/>
  <c r="R90" i="39"/>
  <c r="Q90" i="39"/>
  <c r="R96" i="39"/>
  <c r="Q96" i="39"/>
  <c r="R98" i="39"/>
  <c r="Q98" i="39"/>
  <c r="R104" i="39"/>
  <c r="Q104" i="39"/>
  <c r="R108" i="39"/>
  <c r="Q108" i="39"/>
  <c r="R110" i="39"/>
  <c r="Q110" i="39"/>
  <c r="R116" i="39"/>
  <c r="Q116" i="39"/>
  <c r="R118" i="39"/>
  <c r="Q118" i="39"/>
  <c r="R124" i="39"/>
  <c r="Q124" i="39"/>
  <c r="R128" i="39"/>
  <c r="Q128" i="39"/>
  <c r="R130" i="39"/>
  <c r="Q130" i="39"/>
  <c r="R134" i="39"/>
  <c r="Q134" i="39"/>
  <c r="R56" i="39"/>
  <c r="Q56" i="39"/>
  <c r="R58" i="39"/>
  <c r="Q58" i="39"/>
  <c r="R64" i="39"/>
  <c r="Q64" i="39"/>
  <c r="R66" i="39"/>
  <c r="Q66" i="39"/>
  <c r="R70" i="39"/>
  <c r="Q70" i="39"/>
  <c r="R76" i="39"/>
  <c r="Q76" i="39"/>
  <c r="R80" i="39"/>
  <c r="Q80" i="39"/>
  <c r="R84" i="39"/>
  <c r="Q84" i="39"/>
  <c r="R86" i="39"/>
  <c r="Q86" i="39"/>
  <c r="R92" i="39"/>
  <c r="Q92" i="39"/>
  <c r="R94" i="39"/>
  <c r="Q94" i="39"/>
  <c r="R100" i="39"/>
  <c r="Q100" i="39"/>
  <c r="R102" i="39"/>
  <c r="Q102" i="39"/>
  <c r="R106" i="39"/>
  <c r="Q106" i="39"/>
  <c r="R112" i="39"/>
  <c r="Q112" i="39"/>
  <c r="R114" i="39"/>
  <c r="Q114" i="39"/>
  <c r="R120" i="39"/>
  <c r="Q120" i="39"/>
  <c r="R122" i="39"/>
  <c r="Q122" i="39"/>
  <c r="R126" i="39"/>
  <c r="Q126" i="39"/>
  <c r="R132" i="39"/>
  <c r="Q132" i="39"/>
  <c r="R136" i="39"/>
  <c r="Q136" i="39"/>
  <c r="R53" i="39"/>
  <c r="Q53" i="39"/>
  <c r="R55" i="39"/>
  <c r="Q55" i="39"/>
  <c r="R57" i="39"/>
  <c r="Q57" i="39"/>
  <c r="R59" i="39"/>
  <c r="Q59" i="39"/>
  <c r="R61" i="39"/>
  <c r="Q61" i="39"/>
  <c r="R63" i="39"/>
  <c r="Q63" i="39"/>
  <c r="R65" i="39"/>
  <c r="Q65" i="39"/>
  <c r="R67" i="39"/>
  <c r="Q67" i="39"/>
  <c r="R69" i="39"/>
  <c r="Q69" i="39"/>
  <c r="R71" i="39"/>
  <c r="Q71" i="39"/>
  <c r="R73" i="39"/>
  <c r="Q73" i="39"/>
  <c r="R75" i="39"/>
  <c r="Q75" i="39"/>
  <c r="R77" i="39"/>
  <c r="Q77" i="39"/>
  <c r="R79" i="39"/>
  <c r="Q79" i="39"/>
  <c r="R81" i="39"/>
  <c r="Q81" i="39"/>
  <c r="R83" i="39"/>
  <c r="Q83" i="39"/>
  <c r="R85" i="39"/>
  <c r="Q85" i="39"/>
  <c r="R87" i="39"/>
  <c r="Q87" i="39"/>
  <c r="R89" i="39"/>
  <c r="Q89" i="39"/>
  <c r="R91" i="39"/>
  <c r="Q91" i="39"/>
  <c r="R93" i="39"/>
  <c r="Q93" i="39"/>
  <c r="R95" i="39"/>
  <c r="Q95" i="39"/>
  <c r="R97" i="39"/>
  <c r="Q97" i="39"/>
  <c r="R99" i="39"/>
  <c r="Q99" i="39"/>
  <c r="R101" i="39"/>
  <c r="Q101" i="39"/>
  <c r="R103" i="39"/>
  <c r="Q103" i="39"/>
  <c r="R105" i="39"/>
  <c r="Q105" i="39"/>
  <c r="R107" i="39"/>
  <c r="Q107" i="39"/>
  <c r="R109" i="39"/>
  <c r="Q109" i="39"/>
  <c r="R111" i="39"/>
  <c r="Q111" i="39"/>
  <c r="R113" i="39"/>
  <c r="Q113" i="39"/>
  <c r="R115" i="39"/>
  <c r="Q115" i="39"/>
  <c r="R117" i="39"/>
  <c r="Q117" i="39"/>
  <c r="R119" i="39"/>
  <c r="Q119" i="39"/>
  <c r="R121" i="39"/>
  <c r="Q121" i="39"/>
  <c r="R123" i="39"/>
  <c r="Q123" i="39"/>
  <c r="R125" i="39"/>
  <c r="Q125" i="39"/>
  <c r="R127" i="39"/>
  <c r="Q127" i="39"/>
  <c r="R129" i="39"/>
  <c r="Q129" i="39"/>
  <c r="R131" i="39"/>
  <c r="Q131" i="39"/>
  <c r="R133" i="39"/>
  <c r="Q133" i="39"/>
  <c r="R135" i="39"/>
  <c r="Q135" i="39"/>
  <c r="R137" i="39"/>
  <c r="Q137" i="39"/>
  <c r="O8" i="39" l="1"/>
  <c r="L26" i="2" s="1"/>
  <c r="O6" i="39"/>
  <c r="L25" i="2" s="1"/>
  <c r="Z35" i="7"/>
  <c r="X10" i="2"/>
  <c r="W10" i="2" s="1"/>
  <c r="Z36" i="7"/>
  <c r="Z37" i="7"/>
  <c r="Z38" i="7"/>
  <c r="Z39" i="7"/>
  <c r="Z40" i="7"/>
  <c r="Z41" i="7"/>
  <c r="Z42" i="7"/>
  <c r="Z43" i="7"/>
  <c r="Z44" i="7"/>
  <c r="Z45" i="7"/>
  <c r="Z46" i="7"/>
  <c r="Z47" i="7"/>
  <c r="Z48" i="7"/>
  <c r="Z49" i="7"/>
  <c r="Z50" i="7"/>
  <c r="Z51" i="7"/>
  <c r="Z52" i="7"/>
  <c r="Z53" i="7"/>
  <c r="Z54" i="7"/>
  <c r="Z55" i="7"/>
  <c r="Z56" i="7"/>
  <c r="Z57" i="7"/>
  <c r="Z58" i="7"/>
  <c r="Z59" i="7"/>
  <c r="Z60" i="7"/>
  <c r="Z61" i="7"/>
  <c r="Z62" i="7"/>
  <c r="Z63" i="7"/>
  <c r="Z64" i="7"/>
  <c r="Z65" i="7"/>
  <c r="Z66" i="7"/>
  <c r="Z67" i="7"/>
  <c r="C373" i="51"/>
  <c r="Y373" i="51"/>
  <c r="Z373" i="51"/>
  <c r="AA373" i="51"/>
  <c r="AB373" i="51"/>
  <c r="AC373" i="51"/>
  <c r="AD373" i="51"/>
  <c r="AE373" i="51"/>
  <c r="AF373" i="51"/>
  <c r="AG373" i="51"/>
  <c r="AH373" i="51"/>
  <c r="AI373" i="51"/>
  <c r="AJ373" i="51"/>
  <c r="AK373" i="51"/>
  <c r="AL373" i="51"/>
  <c r="AM373" i="51"/>
  <c r="AN373" i="51"/>
  <c r="AO373" i="51"/>
  <c r="AP373" i="51"/>
  <c r="AQ373" i="51"/>
  <c r="AS373" i="51"/>
  <c r="AT373" i="51"/>
  <c r="AU373" i="51"/>
  <c r="AV373" i="51"/>
  <c r="AW373" i="51"/>
  <c r="AX373" i="51"/>
  <c r="AY373" i="51"/>
  <c r="AZ373" i="51"/>
  <c r="BA373" i="51"/>
  <c r="BB373" i="51"/>
  <c r="BC373" i="51"/>
  <c r="BD373" i="51"/>
  <c r="D8" i="31"/>
  <c r="R10" i="2" s="1"/>
  <c r="R41" i="2" s="1"/>
  <c r="D9" i="31"/>
  <c r="Q50" i="2" s="1"/>
  <c r="U50" i="2" s="1"/>
  <c r="C11" i="31"/>
  <c r="D10" i="31"/>
  <c r="Q51" i="2" s="1"/>
  <c r="D11" i="31"/>
  <c r="R51" i="2" s="1"/>
  <c r="D13" i="31"/>
  <c r="D14" i="31"/>
  <c r="D15" i="31"/>
  <c r="N138" i="39"/>
  <c r="O138" i="39"/>
  <c r="M54" i="37"/>
  <c r="M16" i="37" s="1"/>
  <c r="H26" i="2" s="1"/>
  <c r="O54" i="37"/>
  <c r="O16" i="37" s="1"/>
  <c r="I26" i="2" s="1"/>
  <c r="N54" i="37"/>
  <c r="N16" i="37" s="1"/>
  <c r="M41" i="37"/>
  <c r="N41" i="37"/>
  <c r="M29" i="37"/>
  <c r="M13" i="37" s="1"/>
  <c r="H10" i="2" s="1"/>
  <c r="H41" i="2" s="1"/>
  <c r="H60" i="2" s="1"/>
  <c r="O13" i="37"/>
  <c r="I10" i="2" s="1"/>
  <c r="N29" i="37"/>
  <c r="N13" i="37" s="1"/>
  <c r="J10" i="2" s="1"/>
  <c r="N15" i="37"/>
  <c r="D12" i="31" l="1"/>
  <c r="M70" i="2" s="1"/>
  <c r="Q70" i="2" s="1"/>
  <c r="U70" i="2" s="1"/>
  <c r="D7" i="31"/>
  <c r="C14" i="31"/>
  <c r="C8" i="31"/>
  <c r="R9" i="2" s="1"/>
  <c r="C13" i="31"/>
  <c r="Q74" i="2" s="1"/>
  <c r="C10" i="31"/>
  <c r="D6" i="31"/>
  <c r="M50" i="2"/>
  <c r="E50" i="2" s="1"/>
  <c r="Z87" i="7"/>
  <c r="Z88" i="7" s="1"/>
  <c r="L27" i="2"/>
  <c r="D26" i="2"/>
  <c r="P5" i="39"/>
  <c r="N10" i="2" s="1"/>
  <c r="N41" i="2" s="1"/>
  <c r="I7" i="44" s="1"/>
  <c r="J41" i="2"/>
  <c r="F10" i="31"/>
  <c r="E10" i="31"/>
  <c r="C15" i="31"/>
  <c r="C12" i="31"/>
  <c r="Q69" i="2" s="1"/>
  <c r="C9" i="31"/>
  <c r="C7" i="31"/>
  <c r="C6" i="31"/>
  <c r="R60" i="2"/>
  <c r="M51" i="2"/>
  <c r="E51" i="2" s="1"/>
  <c r="U51" i="2"/>
  <c r="BX373" i="51"/>
  <c r="X41" i="2"/>
  <c r="X60" i="2" s="1"/>
  <c r="W60" i="2" s="1"/>
  <c r="W41" i="2"/>
  <c r="M14" i="37"/>
  <c r="O14" i="37"/>
  <c r="N14" i="37"/>
  <c r="N17" i="37" s="1"/>
  <c r="B11" i="31"/>
  <c r="R138" i="39"/>
  <c r="Q5" i="39" s="1"/>
  <c r="M10" i="2" s="1"/>
  <c r="O5" i="39"/>
  <c r="O267" i="39"/>
  <c r="R267" i="39"/>
  <c r="Q6" i="39" s="1"/>
  <c r="M25" i="2" s="1"/>
  <c r="O396" i="39"/>
  <c r="Q396" i="39"/>
  <c r="Z11" i="2"/>
  <c r="H25" i="2" l="1"/>
  <c r="D25" i="2" s="1"/>
  <c r="I27" i="66"/>
  <c r="E25" i="66"/>
  <c r="E27" i="66" s="1"/>
  <c r="I41" i="66"/>
  <c r="M76" i="2"/>
  <c r="E76" i="2" s="1"/>
  <c r="Q10" i="2"/>
  <c r="U10" i="2" s="1"/>
  <c r="U41" i="2" s="1"/>
  <c r="E70" i="2"/>
  <c r="Q76" i="2"/>
  <c r="U76" i="2" s="1"/>
  <c r="D18" i="31"/>
  <c r="Q9" i="2"/>
  <c r="U9" i="2" s="1"/>
  <c r="D27" i="2"/>
  <c r="L10" i="2"/>
  <c r="D10" i="2" s="1"/>
  <c r="C1096" i="3"/>
  <c r="Z89" i="7"/>
  <c r="P9" i="39"/>
  <c r="M17" i="37"/>
  <c r="N60" i="2"/>
  <c r="H27" i="2"/>
  <c r="F10" i="2"/>
  <c r="O17" i="37"/>
  <c r="I25" i="2"/>
  <c r="F41" i="2"/>
  <c r="J60" i="2"/>
  <c r="R396" i="39"/>
  <c r="Q8" i="39" s="1"/>
  <c r="M26" i="2" s="1"/>
  <c r="E26" i="2" s="1"/>
  <c r="Q267" i="39"/>
  <c r="Q138" i="39"/>
  <c r="C315" i="39"/>
  <c r="D315" i="39"/>
  <c r="E315" i="39" s="1"/>
  <c r="C313" i="39"/>
  <c r="D313" i="39"/>
  <c r="E313" i="39" s="1"/>
  <c r="C27" i="37"/>
  <c r="C14" i="37" s="1"/>
  <c r="Y596" i="51"/>
  <c r="Z596" i="51"/>
  <c r="AA596" i="51"/>
  <c r="AB596" i="51"/>
  <c r="AC596" i="51"/>
  <c r="AD596" i="51"/>
  <c r="AE596" i="51"/>
  <c r="AF596" i="51"/>
  <c r="AG596" i="51"/>
  <c r="AH596" i="51"/>
  <c r="AI596" i="51"/>
  <c r="AJ596" i="51"/>
  <c r="AK596" i="51"/>
  <c r="AL596" i="51"/>
  <c r="AM596" i="51"/>
  <c r="AN596" i="51"/>
  <c r="AO596" i="51"/>
  <c r="AP596" i="51"/>
  <c r="AQ596" i="51"/>
  <c r="AR596" i="51"/>
  <c r="AS596" i="51"/>
  <c r="AT596" i="51"/>
  <c r="AU596" i="51"/>
  <c r="AV596" i="51"/>
  <c r="AW596" i="51"/>
  <c r="AX596" i="51"/>
  <c r="AY596" i="51"/>
  <c r="AZ596" i="51"/>
  <c r="BA596" i="51"/>
  <c r="BB596" i="51"/>
  <c r="BC596" i="51"/>
  <c r="BD596" i="51"/>
  <c r="U314" i="39"/>
  <c r="V314" i="39"/>
  <c r="W314" i="39" s="1"/>
  <c r="U315" i="39"/>
  <c r="V315" i="39"/>
  <c r="W315" i="39" s="1"/>
  <c r="U316" i="39"/>
  <c r="V316" i="39"/>
  <c r="W316" i="39" s="1"/>
  <c r="U317" i="39"/>
  <c r="V317" i="39"/>
  <c r="W317" i="39" s="1"/>
  <c r="U318" i="39"/>
  <c r="V318" i="39"/>
  <c r="W318" i="39" s="1"/>
  <c r="U319" i="39"/>
  <c r="V319" i="39"/>
  <c r="W319" i="39" s="1"/>
  <c r="U320" i="39"/>
  <c r="V320" i="39"/>
  <c r="W320" i="39" s="1"/>
  <c r="U321" i="39"/>
  <c r="V321" i="39"/>
  <c r="W321" i="39" s="1"/>
  <c r="U322" i="39"/>
  <c r="V322" i="39"/>
  <c r="W322" i="39" s="1"/>
  <c r="U323" i="39"/>
  <c r="V323" i="39"/>
  <c r="W323" i="39" s="1"/>
  <c r="U324" i="39"/>
  <c r="V324" i="39"/>
  <c r="W324" i="39" s="1"/>
  <c r="D25" i="66" l="1"/>
  <c r="D27" i="66" s="1"/>
  <c r="H27" i="66"/>
  <c r="D16" i="66"/>
  <c r="D18" i="66" s="1"/>
  <c r="H18" i="66"/>
  <c r="I60" i="66"/>
  <c r="E60" i="66" s="1"/>
  <c r="E41" i="66"/>
  <c r="Q41" i="2"/>
  <c r="Q60" i="2" s="1"/>
  <c r="U60" i="2" s="1"/>
  <c r="L41" i="2"/>
  <c r="D41" i="2" s="1"/>
  <c r="Q9" i="39"/>
  <c r="R5" i="39" s="1"/>
  <c r="M27" i="2"/>
  <c r="F60" i="2"/>
  <c r="I41" i="2"/>
  <c r="I60" i="2" s="1"/>
  <c r="M41" i="2"/>
  <c r="M60" i="2" s="1"/>
  <c r="H7" i="44" s="1"/>
  <c r="E10" i="2"/>
  <c r="E25" i="2"/>
  <c r="E27" i="2" s="1"/>
  <c r="I27" i="2"/>
  <c r="F315" i="39"/>
  <c r="F313" i="39"/>
  <c r="X324" i="39"/>
  <c r="X323" i="39"/>
  <c r="X322" i="39"/>
  <c r="X321" i="39"/>
  <c r="X320" i="39"/>
  <c r="X319" i="39"/>
  <c r="X318" i="39"/>
  <c r="X317" i="39"/>
  <c r="X316" i="39"/>
  <c r="X315" i="39"/>
  <c r="X314" i="39"/>
  <c r="F1695" i="3"/>
  <c r="G1695" i="3"/>
  <c r="H1695" i="3"/>
  <c r="I1695" i="3"/>
  <c r="J1695" i="3"/>
  <c r="K1695" i="3"/>
  <c r="L1695" i="3"/>
  <c r="M1695" i="3"/>
  <c r="N1695" i="3"/>
  <c r="W7" i="39" l="1"/>
  <c r="E414" i="39" s="1"/>
  <c r="U7" i="39"/>
  <c r="C414" i="39" s="1"/>
  <c r="L60" i="2"/>
  <c r="D60" i="2" s="1"/>
  <c r="F7" i="44"/>
  <c r="E60" i="2"/>
  <c r="E41" i="2"/>
  <c r="H29" i="37"/>
  <c r="H23" i="37"/>
  <c r="AY57" i="31"/>
  <c r="R47" i="2"/>
  <c r="R49" i="2"/>
  <c r="E11" i="31"/>
  <c r="R53" i="2" s="1"/>
  <c r="F11" i="31"/>
  <c r="R55" i="2" s="1"/>
  <c r="C32" i="37"/>
  <c r="E24" i="37"/>
  <c r="E27" i="37" s="1"/>
  <c r="D24" i="37"/>
  <c r="AY512" i="51"/>
  <c r="AZ512" i="51"/>
  <c r="BA512" i="51"/>
  <c r="BB512" i="51"/>
  <c r="BC512" i="51"/>
  <c r="BD512" i="51"/>
  <c r="O87" i="7"/>
  <c r="X11" i="2"/>
  <c r="W11" i="2" s="1"/>
  <c r="AM87" i="7"/>
  <c r="J64" i="7"/>
  <c r="R64" i="7"/>
  <c r="AG64" i="7"/>
  <c r="AN64" i="7"/>
  <c r="J65" i="7"/>
  <c r="R65" i="7"/>
  <c r="AG65" i="7"/>
  <c r="AN65" i="7"/>
  <c r="J66" i="7"/>
  <c r="R66" i="7"/>
  <c r="AG66" i="7"/>
  <c r="AN66" i="7"/>
  <c r="J67" i="7"/>
  <c r="R67" i="7"/>
  <c r="AG67" i="7"/>
  <c r="AN67" i="7"/>
  <c r="T163" i="39"/>
  <c r="W36" i="37"/>
  <c r="BB597" i="51" l="1"/>
  <c r="BD597" i="51"/>
  <c r="BC597" i="51"/>
  <c r="AO66" i="7"/>
  <c r="AO64" i="7"/>
  <c r="AO65" i="7"/>
  <c r="AO67" i="7"/>
  <c r="BE598" i="51" s="1"/>
  <c r="G11" i="31"/>
  <c r="AD81" i="2"/>
  <c r="AC81" i="2"/>
  <c r="AB81" i="2"/>
  <c r="AA81" i="2"/>
  <c r="AD78" i="2"/>
  <c r="AC78" i="2"/>
  <c r="AB78" i="2"/>
  <c r="AB82" i="2" s="1"/>
  <c r="AA78" i="2"/>
  <c r="AD72" i="2"/>
  <c r="AC72" i="2"/>
  <c r="D14" i="37"/>
  <c r="BD598" i="51" l="1"/>
  <c r="BB598" i="51"/>
  <c r="BC598" i="51"/>
  <c r="Z73" i="2"/>
  <c r="Z75" i="2"/>
  <c r="W75" i="2" s="1"/>
  <c r="Z74" i="2"/>
  <c r="W74" i="2" s="1"/>
  <c r="M74" i="2" s="1"/>
  <c r="Z69" i="2"/>
  <c r="Z71" i="2"/>
  <c r="W71" i="2" s="1"/>
  <c r="Z81" i="2"/>
  <c r="W81" i="2" s="1"/>
  <c r="Z72" i="2"/>
  <c r="W72" i="2" s="1"/>
  <c r="Z78" i="2"/>
  <c r="W78" i="2" s="1"/>
  <c r="D27" i="37"/>
  <c r="X82" i="2"/>
  <c r="S82" i="2"/>
  <c r="R82" i="2"/>
  <c r="I82" i="2"/>
  <c r="AN63" i="7"/>
  <c r="BA597" i="51"/>
  <c r="J63" i="7"/>
  <c r="R63" i="7"/>
  <c r="AG63" i="7"/>
  <c r="F853" i="3"/>
  <c r="G853" i="3"/>
  <c r="H853" i="3"/>
  <c r="I853" i="3"/>
  <c r="J853" i="3"/>
  <c r="K853" i="3"/>
  <c r="L853" i="3"/>
  <c r="M853" i="3"/>
  <c r="N853" i="3"/>
  <c r="J21" i="37"/>
  <c r="J23" i="37" s="1"/>
  <c r="AO63" i="7" l="1"/>
  <c r="BA598" i="51" s="1"/>
  <c r="BX596" i="51"/>
  <c r="BX512" i="51"/>
  <c r="BX256" i="51"/>
  <c r="H44" i="37"/>
  <c r="L153" i="51"/>
  <c r="M153" i="51"/>
  <c r="N153" i="51"/>
  <c r="O153" i="51"/>
  <c r="P153" i="51"/>
  <c r="Q153" i="51"/>
  <c r="R153" i="51"/>
  <c r="S153" i="51"/>
  <c r="T153" i="51"/>
  <c r="U153" i="51"/>
  <c r="V153" i="51"/>
  <c r="W153" i="51"/>
  <c r="X153" i="51"/>
  <c r="Y153" i="51"/>
  <c r="Z153" i="51"/>
  <c r="AA153" i="51"/>
  <c r="AB153" i="51"/>
  <c r="AC153" i="51"/>
  <c r="AD153" i="51"/>
  <c r="AE153" i="51"/>
  <c r="AF153" i="51"/>
  <c r="AG153" i="51"/>
  <c r="AH153" i="51"/>
  <c r="AA82" i="2"/>
  <c r="AY43" i="31"/>
  <c r="O596" i="51"/>
  <c r="H1700" i="3"/>
  <c r="J1700" i="3" s="1"/>
  <c r="J1701" i="3"/>
  <c r="H1702" i="3"/>
  <c r="F1703" i="3"/>
  <c r="G1703" i="3"/>
  <c r="I1703" i="3"/>
  <c r="K1703" i="3"/>
  <c r="L1703" i="3"/>
  <c r="M1703" i="3"/>
  <c r="N1703" i="3"/>
  <c r="BX597" i="51" l="1"/>
  <c r="E15" i="31"/>
  <c r="M81" i="2" s="1"/>
  <c r="B15" i="31"/>
  <c r="H1703" i="3"/>
  <c r="J1703" i="3"/>
  <c r="J25" i="7"/>
  <c r="R25" i="7"/>
  <c r="AN25" i="7"/>
  <c r="M1467" i="3"/>
  <c r="L1467" i="3"/>
  <c r="L256" i="51"/>
  <c r="L373" i="51" s="1"/>
  <c r="M256" i="51"/>
  <c r="M373" i="51" s="1"/>
  <c r="N256" i="51"/>
  <c r="N373" i="51" s="1"/>
  <c r="O256" i="51"/>
  <c r="O373" i="51" s="1"/>
  <c r="P256" i="51"/>
  <c r="P373" i="51" s="1"/>
  <c r="Q256" i="51"/>
  <c r="Q373" i="51" s="1"/>
  <c r="R256" i="51"/>
  <c r="R373" i="51" s="1"/>
  <c r="S256" i="51"/>
  <c r="S373" i="51" s="1"/>
  <c r="T256" i="51"/>
  <c r="T373" i="51" s="1"/>
  <c r="U256" i="51"/>
  <c r="U373" i="51" s="1"/>
  <c r="V256" i="51"/>
  <c r="V373" i="51" s="1"/>
  <c r="W256" i="51"/>
  <c r="W373" i="51" s="1"/>
  <c r="X256" i="51"/>
  <c r="X373" i="51" s="1"/>
  <c r="Y256" i="51"/>
  <c r="Z256" i="51"/>
  <c r="AA256" i="51"/>
  <c r="AB256" i="51"/>
  <c r="AC256" i="51"/>
  <c r="AD256" i="51"/>
  <c r="AE256" i="51"/>
  <c r="AF256" i="51"/>
  <c r="AG256" i="51"/>
  <c r="AH256" i="51"/>
  <c r="AY597" i="51"/>
  <c r="AZ597" i="51"/>
  <c r="K256" i="51"/>
  <c r="K373" i="51" s="1"/>
  <c r="I15" i="37"/>
  <c r="R57" i="37"/>
  <c r="R14" i="37" s="1"/>
  <c r="AN62" i="7"/>
  <c r="AG62" i="7"/>
  <c r="R62" i="7"/>
  <c r="J62" i="7"/>
  <c r="H32" i="66" l="1"/>
  <c r="D30" i="66"/>
  <c r="D32" i="66" s="1"/>
  <c r="AO62" i="7"/>
  <c r="AZ598" i="51" s="1"/>
  <c r="M79" i="2"/>
  <c r="Q79" i="2"/>
  <c r="U79" i="2" s="1"/>
  <c r="Q78" i="2"/>
  <c r="U78" i="2" s="1"/>
  <c r="M78" i="2"/>
  <c r="E78" i="2" s="1"/>
  <c r="G15" i="31"/>
  <c r="W49" i="2"/>
  <c r="R76" i="37"/>
  <c r="P596" i="51"/>
  <c r="AX512" i="51"/>
  <c r="AX597" i="51" s="1"/>
  <c r="AN61" i="7"/>
  <c r="AG61" i="7"/>
  <c r="R61" i="7"/>
  <c r="J61" i="7"/>
  <c r="E79" i="2" l="1"/>
  <c r="G25" i="44" s="1"/>
  <c r="AO61" i="7"/>
  <c r="AY598" i="51" s="1"/>
  <c r="G28" i="32"/>
  <c r="AN54" i="7"/>
  <c r="AN55" i="7"/>
  <c r="AN56" i="7"/>
  <c r="AN57" i="7"/>
  <c r="AN58" i="7"/>
  <c r="AN59" i="7"/>
  <c r="AN60" i="7"/>
  <c r="AG60" i="7"/>
  <c r="R60" i="7"/>
  <c r="J60" i="7"/>
  <c r="J44" i="7"/>
  <c r="J43" i="7"/>
  <c r="J45" i="7"/>
  <c r="J46" i="7"/>
  <c r="J47" i="7"/>
  <c r="J48" i="7"/>
  <c r="J49" i="7"/>
  <c r="J51" i="7"/>
  <c r="J52" i="7"/>
  <c r="J53" i="7"/>
  <c r="J54" i="7"/>
  <c r="J55" i="7"/>
  <c r="J56" i="7"/>
  <c r="J57" i="7"/>
  <c r="J58" i="7"/>
  <c r="J59" i="7"/>
  <c r="AB227" i="39"/>
  <c r="AD227" i="39" s="1"/>
  <c r="AB302" i="39"/>
  <c r="AA302" i="39"/>
  <c r="AB301" i="39"/>
  <c r="AA301" i="39"/>
  <c r="AB300" i="39"/>
  <c r="AA300" i="39"/>
  <c r="AB299" i="39"/>
  <c r="AA299" i="39"/>
  <c r="AB298" i="39"/>
  <c r="AA298" i="39"/>
  <c r="AB297" i="39"/>
  <c r="AA297" i="39"/>
  <c r="AB296" i="39"/>
  <c r="AA296" i="39"/>
  <c r="AB295" i="39"/>
  <c r="AA295" i="39"/>
  <c r="AB294" i="39"/>
  <c r="AA294" i="39"/>
  <c r="AB293" i="39"/>
  <c r="AA293" i="39"/>
  <c r="AB292" i="39"/>
  <c r="AA292" i="39"/>
  <c r="AB291" i="39"/>
  <c r="AD291" i="39" s="1"/>
  <c r="AA291" i="39"/>
  <c r="AB290" i="39"/>
  <c r="AD290" i="39" s="1"/>
  <c r="AA290" i="39"/>
  <c r="AB289" i="39"/>
  <c r="AD289" i="39" s="1"/>
  <c r="AA289" i="39"/>
  <c r="AB288" i="39"/>
  <c r="AD288" i="39" s="1"/>
  <c r="AA288" i="39"/>
  <c r="AB287" i="39"/>
  <c r="AD287" i="39" s="1"/>
  <c r="AA287" i="39"/>
  <c r="AB286" i="39"/>
  <c r="AD286" i="39" s="1"/>
  <c r="AA286" i="39"/>
  <c r="AB285" i="39"/>
  <c r="AD285" i="39" s="1"/>
  <c r="AA285" i="39"/>
  <c r="AB284" i="39"/>
  <c r="AD284" i="39" s="1"/>
  <c r="AA284" i="39"/>
  <c r="AB283" i="39"/>
  <c r="AD283" i="39" s="1"/>
  <c r="AA283" i="39"/>
  <c r="AB282" i="39"/>
  <c r="AD282" i="39" s="1"/>
  <c r="AA282" i="39"/>
  <c r="AB281" i="39"/>
  <c r="AD281" i="39" s="1"/>
  <c r="AA281" i="39"/>
  <c r="AB280" i="39"/>
  <c r="AD280" i="39" s="1"/>
  <c r="AA280" i="39"/>
  <c r="AB279" i="39"/>
  <c r="AD279" i="39" s="1"/>
  <c r="AA279" i="39"/>
  <c r="AB278" i="39"/>
  <c r="AD278" i="39" s="1"/>
  <c r="AA278" i="39"/>
  <c r="AB277" i="39"/>
  <c r="AD277" i="39" s="1"/>
  <c r="AA277" i="39"/>
  <c r="AB276" i="39"/>
  <c r="AD276" i="39" s="1"/>
  <c r="AA276" i="39"/>
  <c r="AB275" i="39"/>
  <c r="AD275" i="39" s="1"/>
  <c r="AA275" i="39"/>
  <c r="AB274" i="39"/>
  <c r="AD274" i="39" s="1"/>
  <c r="AA274" i="39"/>
  <c r="AB273" i="39"/>
  <c r="AD273" i="39" s="1"/>
  <c r="AA273" i="39"/>
  <c r="AB272" i="39"/>
  <c r="AD272" i="39" s="1"/>
  <c r="AA272" i="39"/>
  <c r="AB271" i="39"/>
  <c r="AD271" i="39" s="1"/>
  <c r="AA271" i="39"/>
  <c r="AB270" i="39"/>
  <c r="AD270" i="39" s="1"/>
  <c r="AA270" i="39"/>
  <c r="AB269" i="39"/>
  <c r="AD269" i="39" s="1"/>
  <c r="AA269" i="39"/>
  <c r="AB268" i="39"/>
  <c r="AD268" i="39" s="1"/>
  <c r="AA268" i="39"/>
  <c r="AB267" i="39"/>
  <c r="AD267" i="39" s="1"/>
  <c r="AA267" i="39"/>
  <c r="AB266" i="39"/>
  <c r="AD266" i="39" s="1"/>
  <c r="AA266" i="39"/>
  <c r="AB265" i="39"/>
  <c r="AD265" i="39" s="1"/>
  <c r="AA265" i="39"/>
  <c r="AB264" i="39"/>
  <c r="AD264" i="39" s="1"/>
  <c r="AA264" i="39"/>
  <c r="AB263" i="39"/>
  <c r="AD263" i="39" s="1"/>
  <c r="AA263" i="39"/>
  <c r="AB262" i="39"/>
  <c r="AD262" i="39" s="1"/>
  <c r="AA262" i="39"/>
  <c r="AB261" i="39"/>
  <c r="AD261" i="39" s="1"/>
  <c r="AA261" i="39"/>
  <c r="AB260" i="39"/>
  <c r="AD260" i="39" s="1"/>
  <c r="AA260" i="39"/>
  <c r="AB259" i="39"/>
  <c r="AD259" i="39" s="1"/>
  <c r="AA259" i="39"/>
  <c r="AB258" i="39"/>
  <c r="AD258" i="39" s="1"/>
  <c r="AA258" i="39"/>
  <c r="AB257" i="39"/>
  <c r="AD257" i="39" s="1"/>
  <c r="AA257" i="39"/>
  <c r="AB256" i="39"/>
  <c r="AD256" i="39" s="1"/>
  <c r="AA256" i="39"/>
  <c r="AB255" i="39"/>
  <c r="AD255" i="39" s="1"/>
  <c r="AA255" i="39"/>
  <c r="AB254" i="39"/>
  <c r="AD254" i="39" s="1"/>
  <c r="AA254" i="39"/>
  <c r="AB253" i="39"/>
  <c r="AD253" i="39" s="1"/>
  <c r="AA253" i="39"/>
  <c r="AB252" i="39"/>
  <c r="AD252" i="39" s="1"/>
  <c r="AA252" i="39"/>
  <c r="AB251" i="39"/>
  <c r="AD251" i="39" s="1"/>
  <c r="AA251" i="39"/>
  <c r="AB250" i="39"/>
  <c r="AD250" i="39" s="1"/>
  <c r="AA250" i="39"/>
  <c r="AB249" i="39"/>
  <c r="AD249" i="39" s="1"/>
  <c r="AA249" i="39"/>
  <c r="AB248" i="39"/>
  <c r="AD248" i="39" s="1"/>
  <c r="AA248" i="39"/>
  <c r="AB247" i="39"/>
  <c r="AD247" i="39" s="1"/>
  <c r="AA247" i="39"/>
  <c r="AB246" i="39"/>
  <c r="AD246" i="39" s="1"/>
  <c r="AA246" i="39"/>
  <c r="AB245" i="39"/>
  <c r="AD245" i="39" s="1"/>
  <c r="AA245" i="39"/>
  <c r="AB244" i="39"/>
  <c r="AD244" i="39" s="1"/>
  <c r="AA244" i="39"/>
  <c r="AB243" i="39"/>
  <c r="AD243" i="39" s="1"/>
  <c r="AA243" i="39"/>
  <c r="AB242" i="39"/>
  <c r="AD242" i="39" s="1"/>
  <c r="AA242" i="39"/>
  <c r="AB241" i="39"/>
  <c r="AD241" i="39" s="1"/>
  <c r="AA241" i="39"/>
  <c r="AB240" i="39"/>
  <c r="AD240" i="39" s="1"/>
  <c r="AA240" i="39"/>
  <c r="AB239" i="39"/>
  <c r="AD239" i="39" s="1"/>
  <c r="AA239" i="39"/>
  <c r="AB238" i="39"/>
  <c r="AD238" i="39" s="1"/>
  <c r="AA238" i="39"/>
  <c r="AB237" i="39"/>
  <c r="AD237" i="39" s="1"/>
  <c r="AA237" i="39"/>
  <c r="AB236" i="39"/>
  <c r="AD236" i="39" s="1"/>
  <c r="AA236" i="39"/>
  <c r="AB235" i="39"/>
  <c r="AD235" i="39" s="1"/>
  <c r="AA235" i="39"/>
  <c r="AB234" i="39"/>
  <c r="AD234" i="39" s="1"/>
  <c r="AA234" i="39"/>
  <c r="AB233" i="39"/>
  <c r="AD233" i="39" s="1"/>
  <c r="AA233" i="39"/>
  <c r="AB232" i="39"/>
  <c r="AD232" i="39" s="1"/>
  <c r="AA232" i="39"/>
  <c r="AB231" i="39"/>
  <c r="AD231" i="39" s="1"/>
  <c r="AA231" i="39"/>
  <c r="AB230" i="39"/>
  <c r="AD230" i="39" s="1"/>
  <c r="AA230" i="39"/>
  <c r="AB229" i="39"/>
  <c r="AD229" i="39" s="1"/>
  <c r="AA229" i="39"/>
  <c r="AB228" i="39"/>
  <c r="AD228" i="39" s="1"/>
  <c r="AA228" i="39"/>
  <c r="AA227" i="39"/>
  <c r="AB226" i="39"/>
  <c r="AD226" i="39" s="1"/>
  <c r="AA226" i="39"/>
  <c r="AB225" i="39"/>
  <c r="AD225" i="39" s="1"/>
  <c r="AA225" i="39"/>
  <c r="AB224" i="39"/>
  <c r="AD224" i="39" s="1"/>
  <c r="AA224" i="39"/>
  <c r="AB223" i="39"/>
  <c r="AD223" i="39" s="1"/>
  <c r="AA223" i="39"/>
  <c r="AB222" i="39"/>
  <c r="AD222" i="39" s="1"/>
  <c r="AA222" i="39"/>
  <c r="AB221" i="39"/>
  <c r="AD221" i="39" s="1"/>
  <c r="AA221" i="39"/>
  <c r="AB220" i="39"/>
  <c r="AD220" i="39" s="1"/>
  <c r="AA220" i="39"/>
  <c r="AB219" i="39"/>
  <c r="AD219" i="39" s="1"/>
  <c r="AA219" i="39"/>
  <c r="AB218" i="39"/>
  <c r="AD218" i="39" s="1"/>
  <c r="AA218" i="39"/>
  <c r="AB217" i="39"/>
  <c r="AD217" i="39" s="1"/>
  <c r="AA217" i="39"/>
  <c r="AB216" i="39"/>
  <c r="AD216" i="39" s="1"/>
  <c r="AA216" i="39"/>
  <c r="AB215" i="39"/>
  <c r="AD215" i="39" s="1"/>
  <c r="AA215" i="39"/>
  <c r="AB214" i="39"/>
  <c r="AD214" i="39" s="1"/>
  <c r="AA214" i="39"/>
  <c r="AB213" i="39"/>
  <c r="AD213" i="39" s="1"/>
  <c r="AA213" i="39"/>
  <c r="AB212" i="39"/>
  <c r="AD212" i="39" s="1"/>
  <c r="AA212" i="39"/>
  <c r="AB211" i="39"/>
  <c r="AD211" i="39" s="1"/>
  <c r="AA211" i="39"/>
  <c r="AB206" i="39"/>
  <c r="AA206" i="39"/>
  <c r="AB205" i="39"/>
  <c r="AA205" i="39"/>
  <c r="AB204" i="39"/>
  <c r="AA204" i="39"/>
  <c r="AB203" i="39"/>
  <c r="AA203" i="39"/>
  <c r="AB202" i="39"/>
  <c r="AA202" i="39"/>
  <c r="AB201" i="39"/>
  <c r="AA201" i="39"/>
  <c r="AB200" i="39"/>
  <c r="AA200" i="39"/>
  <c r="AB199" i="39"/>
  <c r="AA199" i="39"/>
  <c r="AB198" i="39"/>
  <c r="AA198" i="39"/>
  <c r="AB197" i="39"/>
  <c r="AA197" i="39"/>
  <c r="AB196" i="39"/>
  <c r="AA196" i="39"/>
  <c r="AB195" i="39"/>
  <c r="AA195" i="39"/>
  <c r="AB194" i="39"/>
  <c r="AA194" i="39"/>
  <c r="AB193" i="39"/>
  <c r="AA193" i="39"/>
  <c r="AB192" i="39"/>
  <c r="AA192" i="39"/>
  <c r="AB191" i="39"/>
  <c r="AA191" i="39"/>
  <c r="AB190" i="39"/>
  <c r="AA190" i="39"/>
  <c r="AB189" i="39"/>
  <c r="AA189" i="39"/>
  <c r="AB188" i="39"/>
  <c r="AA188" i="39"/>
  <c r="AB187" i="39"/>
  <c r="AA187" i="39"/>
  <c r="AB186" i="39"/>
  <c r="AA186" i="39"/>
  <c r="AB185" i="39"/>
  <c r="AA185" i="39"/>
  <c r="AB184" i="39"/>
  <c r="AA184" i="39"/>
  <c r="AB183" i="39"/>
  <c r="AA183" i="39"/>
  <c r="AB182" i="39"/>
  <c r="AA182" i="39"/>
  <c r="AB181" i="39"/>
  <c r="AA181" i="39"/>
  <c r="AB180" i="39"/>
  <c r="AA180" i="39"/>
  <c r="AB179" i="39"/>
  <c r="AA179" i="39"/>
  <c r="AB178" i="39"/>
  <c r="AA178" i="39"/>
  <c r="AB177" i="39"/>
  <c r="AA177" i="39"/>
  <c r="AB176" i="39"/>
  <c r="AA176" i="39"/>
  <c r="AB175" i="39"/>
  <c r="AA175" i="39"/>
  <c r="AB174" i="39"/>
  <c r="AA174" i="39"/>
  <c r="AB173" i="39"/>
  <c r="AA173" i="39"/>
  <c r="AB172" i="39"/>
  <c r="AA172" i="39"/>
  <c r="AB171" i="39"/>
  <c r="AA171" i="39"/>
  <c r="AB170" i="39"/>
  <c r="AA170" i="39"/>
  <c r="AB169" i="39"/>
  <c r="AA169" i="39"/>
  <c r="AB168" i="39"/>
  <c r="AA168" i="39"/>
  <c r="AB167" i="39"/>
  <c r="AA167" i="39"/>
  <c r="AB166" i="39"/>
  <c r="AA166" i="39"/>
  <c r="AB165" i="39"/>
  <c r="AA165" i="39"/>
  <c r="AB164" i="39"/>
  <c r="AA164" i="39"/>
  <c r="AB163" i="39"/>
  <c r="AA163" i="39"/>
  <c r="AB162" i="39"/>
  <c r="AA162" i="39"/>
  <c r="AB161" i="39"/>
  <c r="AA161" i="39"/>
  <c r="AB160" i="39"/>
  <c r="AA160" i="39"/>
  <c r="AB159" i="39"/>
  <c r="AA159" i="39"/>
  <c r="AB158" i="39"/>
  <c r="AA158" i="39"/>
  <c r="AB157" i="39"/>
  <c r="AA157" i="39"/>
  <c r="AB156" i="39"/>
  <c r="AA156" i="39"/>
  <c r="AB155" i="39"/>
  <c r="AA155" i="39"/>
  <c r="AB154" i="39"/>
  <c r="AA154" i="39"/>
  <c r="AB153" i="39"/>
  <c r="AA153" i="39"/>
  <c r="AB152" i="39"/>
  <c r="AA152" i="39"/>
  <c r="AB151" i="39"/>
  <c r="AA151" i="39"/>
  <c r="AB150" i="39"/>
  <c r="AA150" i="39"/>
  <c r="AB149" i="39"/>
  <c r="AA149" i="39"/>
  <c r="AB148" i="39"/>
  <c r="AA148" i="39"/>
  <c r="AB147" i="39"/>
  <c r="AA147" i="39"/>
  <c r="AB146" i="39"/>
  <c r="AA146" i="39"/>
  <c r="AB145" i="39"/>
  <c r="AA145" i="39"/>
  <c r="AB144" i="39"/>
  <c r="AA144" i="39"/>
  <c r="AB143" i="39"/>
  <c r="AA143" i="39"/>
  <c r="AB142" i="39"/>
  <c r="AA142" i="39"/>
  <c r="AB141" i="39"/>
  <c r="AA141" i="39"/>
  <c r="AB140" i="39"/>
  <c r="AA140" i="39"/>
  <c r="AB139" i="39"/>
  <c r="AA139" i="39"/>
  <c r="AB138" i="39"/>
  <c r="AA138" i="39"/>
  <c r="AB137" i="39"/>
  <c r="AA137" i="39"/>
  <c r="AB136" i="39"/>
  <c r="AA136" i="39"/>
  <c r="AB135" i="39"/>
  <c r="AA135" i="39"/>
  <c r="AB134" i="39"/>
  <c r="AA134" i="39"/>
  <c r="AB133" i="39"/>
  <c r="AA133" i="39"/>
  <c r="AB132" i="39"/>
  <c r="AA132" i="39"/>
  <c r="AB131" i="39"/>
  <c r="AA131" i="39"/>
  <c r="AB130" i="39"/>
  <c r="AA130" i="39"/>
  <c r="AB129" i="39"/>
  <c r="AD129" i="39" s="1"/>
  <c r="AA129" i="39"/>
  <c r="AB128" i="39"/>
  <c r="AD128" i="39" s="1"/>
  <c r="AA128" i="39"/>
  <c r="AB127" i="39"/>
  <c r="AD127" i="39" s="1"/>
  <c r="AA127" i="39"/>
  <c r="AB126" i="39"/>
  <c r="AD126" i="39" s="1"/>
  <c r="AA126" i="39"/>
  <c r="AB125" i="39"/>
  <c r="AD125" i="39" s="1"/>
  <c r="AA125" i="39"/>
  <c r="AB124" i="39"/>
  <c r="AD124" i="39" s="1"/>
  <c r="AA124" i="39"/>
  <c r="AB123" i="39"/>
  <c r="AD123" i="39" s="1"/>
  <c r="AA123" i="39"/>
  <c r="AB122" i="39"/>
  <c r="AD122" i="39" s="1"/>
  <c r="AA122" i="39"/>
  <c r="AB121" i="39"/>
  <c r="AD121" i="39" s="1"/>
  <c r="AA121" i="39"/>
  <c r="AB120" i="39"/>
  <c r="AD120" i="39" s="1"/>
  <c r="AA120" i="39"/>
  <c r="AB119" i="39"/>
  <c r="AD119" i="39" s="1"/>
  <c r="AA119" i="39"/>
  <c r="AB118" i="39"/>
  <c r="AD118" i="39" s="1"/>
  <c r="AA118" i="39"/>
  <c r="AB117" i="39"/>
  <c r="AD117" i="39" s="1"/>
  <c r="AA117" i="39"/>
  <c r="AB116" i="39"/>
  <c r="AA116" i="39"/>
  <c r="AB111" i="39"/>
  <c r="AD111" i="39" s="1"/>
  <c r="AA111" i="39"/>
  <c r="AB110" i="39"/>
  <c r="AD110" i="39" s="1"/>
  <c r="AA110" i="39"/>
  <c r="AB109" i="39"/>
  <c r="AD109" i="39" s="1"/>
  <c r="AA109" i="39"/>
  <c r="AB108" i="39"/>
  <c r="AD108" i="39" s="1"/>
  <c r="AA108" i="39"/>
  <c r="AB107" i="39"/>
  <c r="AD107" i="39" s="1"/>
  <c r="AA107" i="39"/>
  <c r="AB106" i="39"/>
  <c r="AD106" i="39" s="1"/>
  <c r="AA106" i="39"/>
  <c r="AB105" i="39"/>
  <c r="AD105" i="39" s="1"/>
  <c r="AA105" i="39"/>
  <c r="AB104" i="39"/>
  <c r="AD104" i="39" s="1"/>
  <c r="AA104" i="39"/>
  <c r="AB103" i="39"/>
  <c r="AD103" i="39" s="1"/>
  <c r="AA103" i="39"/>
  <c r="AB102" i="39"/>
  <c r="AD102" i="39" s="1"/>
  <c r="AA102" i="39"/>
  <c r="AB101" i="39"/>
  <c r="AD101" i="39" s="1"/>
  <c r="AA101" i="39"/>
  <c r="AB100" i="39"/>
  <c r="AD100" i="39" s="1"/>
  <c r="AA100" i="39"/>
  <c r="AB99" i="39"/>
  <c r="AD99" i="39" s="1"/>
  <c r="AA99" i="39"/>
  <c r="AB98" i="39"/>
  <c r="AD98" i="39" s="1"/>
  <c r="AA98" i="39"/>
  <c r="AB97" i="39"/>
  <c r="AD97" i="39" s="1"/>
  <c r="AA97" i="39"/>
  <c r="AB96" i="39"/>
  <c r="AD96" i="39" s="1"/>
  <c r="AA96" i="39"/>
  <c r="AB95" i="39"/>
  <c r="AD95" i="39" s="1"/>
  <c r="AA95" i="39"/>
  <c r="AB94" i="39"/>
  <c r="AD94" i="39" s="1"/>
  <c r="AA94" i="39"/>
  <c r="AB93" i="39"/>
  <c r="AD93" i="39" s="1"/>
  <c r="AA93" i="39"/>
  <c r="AB92" i="39"/>
  <c r="AD92" i="39" s="1"/>
  <c r="AA92" i="39"/>
  <c r="AB91" i="39"/>
  <c r="AD91" i="39" s="1"/>
  <c r="AA91" i="39"/>
  <c r="AB90" i="39"/>
  <c r="AD90" i="39" s="1"/>
  <c r="AA90" i="39"/>
  <c r="AB89" i="39"/>
  <c r="AD89" i="39" s="1"/>
  <c r="AA89" i="39"/>
  <c r="AB88" i="39"/>
  <c r="AD88" i="39" s="1"/>
  <c r="AA88" i="39"/>
  <c r="AB87" i="39"/>
  <c r="AD87" i="39" s="1"/>
  <c r="AA87" i="39"/>
  <c r="AB86" i="39"/>
  <c r="AD86" i="39" s="1"/>
  <c r="AA86" i="39"/>
  <c r="AB85" i="39"/>
  <c r="AD85" i="39" s="1"/>
  <c r="AA85" i="39"/>
  <c r="AB84" i="39"/>
  <c r="AD84" i="39" s="1"/>
  <c r="AA84" i="39"/>
  <c r="AB83" i="39"/>
  <c r="AD83" i="39" s="1"/>
  <c r="AA83" i="39"/>
  <c r="AB82" i="39"/>
  <c r="AD82" i="39" s="1"/>
  <c r="AA82" i="39"/>
  <c r="AB81" i="39"/>
  <c r="AD81" i="39" s="1"/>
  <c r="AA81" i="39"/>
  <c r="AB80" i="39"/>
  <c r="AD80" i="39" s="1"/>
  <c r="AA80" i="39"/>
  <c r="AB79" i="39"/>
  <c r="AD79" i="39" s="1"/>
  <c r="AA79" i="39"/>
  <c r="AB78" i="39"/>
  <c r="AD78" i="39" s="1"/>
  <c r="AA78" i="39"/>
  <c r="AB77" i="39"/>
  <c r="AD77" i="39" s="1"/>
  <c r="AA77" i="39"/>
  <c r="AB76" i="39"/>
  <c r="AD76" i="39" s="1"/>
  <c r="AA76" i="39"/>
  <c r="AB75" i="39"/>
  <c r="AD75" i="39" s="1"/>
  <c r="AA75" i="39"/>
  <c r="AB74" i="39"/>
  <c r="AD74" i="39" s="1"/>
  <c r="AA74" i="39"/>
  <c r="AB73" i="39"/>
  <c r="AD73" i="39" s="1"/>
  <c r="AA73" i="39"/>
  <c r="AB72" i="39"/>
  <c r="AD72" i="39" s="1"/>
  <c r="AA72" i="39"/>
  <c r="AB71" i="39"/>
  <c r="AD71" i="39" s="1"/>
  <c r="AA71" i="39"/>
  <c r="AB70" i="39"/>
  <c r="AD70" i="39" s="1"/>
  <c r="AA70" i="39"/>
  <c r="AB69" i="39"/>
  <c r="AD69" i="39" s="1"/>
  <c r="AA69" i="39"/>
  <c r="AB68" i="39"/>
  <c r="AD68" i="39" s="1"/>
  <c r="AA68" i="39"/>
  <c r="AB67" i="39"/>
  <c r="AD67" i="39" s="1"/>
  <c r="AA67" i="39"/>
  <c r="AB66" i="39"/>
  <c r="AD66" i="39" s="1"/>
  <c r="AA66" i="39"/>
  <c r="AB65" i="39"/>
  <c r="AD65" i="39" s="1"/>
  <c r="AA65" i="39"/>
  <c r="AB64" i="39"/>
  <c r="AD64" i="39" s="1"/>
  <c r="AA64" i="39"/>
  <c r="AB63" i="39"/>
  <c r="AD63" i="39" s="1"/>
  <c r="AA63" i="39"/>
  <c r="AB62" i="39"/>
  <c r="AD62" i="39" s="1"/>
  <c r="AA62" i="39"/>
  <c r="AB61" i="39"/>
  <c r="AD61" i="39" s="1"/>
  <c r="AA61" i="39"/>
  <c r="AB60" i="39"/>
  <c r="AD60" i="39" s="1"/>
  <c r="AA60" i="39"/>
  <c r="AB59" i="39"/>
  <c r="AD59" i="39" s="1"/>
  <c r="AA59" i="39"/>
  <c r="AB58" i="39"/>
  <c r="AD58" i="39" s="1"/>
  <c r="AA58" i="39"/>
  <c r="AB57" i="39"/>
  <c r="AD57" i="39" s="1"/>
  <c r="AA57" i="39"/>
  <c r="AB56" i="39"/>
  <c r="AD56" i="39" s="1"/>
  <c r="AA56" i="39"/>
  <c r="AB55" i="39"/>
  <c r="AD55" i="39" s="1"/>
  <c r="AA55" i="39"/>
  <c r="AB54" i="39"/>
  <c r="AD54" i="39" s="1"/>
  <c r="AA54" i="39"/>
  <c r="AB53" i="39"/>
  <c r="AD53" i="39" s="1"/>
  <c r="AA53" i="39"/>
  <c r="AB52" i="39"/>
  <c r="AD52" i="39" s="1"/>
  <c r="AA52" i="39"/>
  <c r="AB51" i="39"/>
  <c r="AD51" i="39" s="1"/>
  <c r="AA51" i="39"/>
  <c r="AB50" i="39"/>
  <c r="AD50" i="39" s="1"/>
  <c r="AA50" i="39"/>
  <c r="AB49" i="39"/>
  <c r="AD49" i="39" s="1"/>
  <c r="AA49" i="39"/>
  <c r="AB48" i="39"/>
  <c r="AD48" i="39" s="1"/>
  <c r="AA48" i="39"/>
  <c r="AB47" i="39"/>
  <c r="AD47" i="39" s="1"/>
  <c r="AA47" i="39"/>
  <c r="AB46" i="39"/>
  <c r="AD46" i="39" s="1"/>
  <c r="AA46" i="39"/>
  <c r="AB45" i="39"/>
  <c r="AD45" i="39" s="1"/>
  <c r="AA45" i="39"/>
  <c r="AB44" i="39"/>
  <c r="AD44" i="39" s="1"/>
  <c r="AA44" i="39"/>
  <c r="AB43" i="39"/>
  <c r="AD43" i="39" s="1"/>
  <c r="AA43" i="39"/>
  <c r="AB42" i="39"/>
  <c r="AD42" i="39" s="1"/>
  <c r="AA42" i="39"/>
  <c r="AB41" i="39"/>
  <c r="AD41" i="39" s="1"/>
  <c r="AA41" i="39"/>
  <c r="AB40" i="39"/>
  <c r="AD40" i="39" s="1"/>
  <c r="AA40" i="39"/>
  <c r="AB39" i="39"/>
  <c r="AD39" i="39" s="1"/>
  <c r="AA39" i="39"/>
  <c r="AB38" i="39"/>
  <c r="AD38" i="39" s="1"/>
  <c r="AA38" i="39"/>
  <c r="AB37" i="39"/>
  <c r="AD37" i="39" s="1"/>
  <c r="AA37" i="39"/>
  <c r="AB36" i="39"/>
  <c r="AD36" i="39" s="1"/>
  <c r="AA36" i="39"/>
  <c r="AB35" i="39"/>
  <c r="AD35" i="39" s="1"/>
  <c r="AA35" i="39"/>
  <c r="AB34" i="39"/>
  <c r="AD34" i="39" s="1"/>
  <c r="AA34" i="39"/>
  <c r="AB33" i="39"/>
  <c r="AD33" i="39" s="1"/>
  <c r="AA33" i="39"/>
  <c r="AB32" i="39"/>
  <c r="AD32" i="39" s="1"/>
  <c r="AA32" i="39"/>
  <c r="AB31" i="39"/>
  <c r="AD31" i="39" s="1"/>
  <c r="AA31" i="39"/>
  <c r="AB30" i="39"/>
  <c r="AD30" i="39" s="1"/>
  <c r="AA30" i="39"/>
  <c r="AB29" i="39"/>
  <c r="AD29" i="39" s="1"/>
  <c r="AA29" i="39"/>
  <c r="AB28" i="39"/>
  <c r="AD28" i="39" s="1"/>
  <c r="AA28" i="39"/>
  <c r="AB27" i="39"/>
  <c r="AD27" i="39" s="1"/>
  <c r="AA27" i="39"/>
  <c r="AB26" i="39"/>
  <c r="AD26" i="39" s="1"/>
  <c r="AA26" i="39"/>
  <c r="AB25" i="39"/>
  <c r="AD25" i="39" s="1"/>
  <c r="AA25" i="39"/>
  <c r="AB24" i="39"/>
  <c r="AD24" i="39" s="1"/>
  <c r="AA24" i="39"/>
  <c r="AB23" i="39"/>
  <c r="AD23" i="39" s="1"/>
  <c r="AA23" i="39"/>
  <c r="AB22" i="39"/>
  <c r="AD22" i="39" s="1"/>
  <c r="AA22" i="39"/>
  <c r="AB21" i="39"/>
  <c r="AD21" i="39" s="1"/>
  <c r="AA21" i="39"/>
  <c r="AB20" i="39"/>
  <c r="AD20" i="39" s="1"/>
  <c r="AA20" i="39"/>
  <c r="AB19" i="39"/>
  <c r="AD19" i="39" s="1"/>
  <c r="AA19" i="39"/>
  <c r="AB18" i="39"/>
  <c r="AD18" i="39" s="1"/>
  <c r="AA18" i="39"/>
  <c r="AB17" i="39"/>
  <c r="AD17" i="39" s="1"/>
  <c r="AA17" i="39"/>
  <c r="AB16" i="39"/>
  <c r="AD16" i="39" s="1"/>
  <c r="AA16" i="39"/>
  <c r="AB15" i="39"/>
  <c r="AD15" i="39" s="1"/>
  <c r="AA15" i="39"/>
  <c r="AB14" i="39"/>
  <c r="AD14" i="39" s="1"/>
  <c r="AA14" i="39"/>
  <c r="AB13" i="39"/>
  <c r="AD13" i="39" s="1"/>
  <c r="AA13" i="39"/>
  <c r="W59" i="37"/>
  <c r="W47" i="37"/>
  <c r="W14" i="37" s="1"/>
  <c r="Y58" i="37"/>
  <c r="X58" i="37"/>
  <c r="Y57" i="37"/>
  <c r="X57" i="37"/>
  <c r="Y56" i="37"/>
  <c r="X56" i="37"/>
  <c r="Y55" i="37"/>
  <c r="X55" i="37"/>
  <c r="Y54" i="37"/>
  <c r="X54" i="37"/>
  <c r="Y53" i="37"/>
  <c r="X53" i="37"/>
  <c r="Y52" i="37"/>
  <c r="X52" i="37"/>
  <c r="Y51" i="37"/>
  <c r="X51" i="37"/>
  <c r="Y50" i="37"/>
  <c r="X50" i="37"/>
  <c r="Y46" i="37"/>
  <c r="X46" i="37"/>
  <c r="Y45" i="37"/>
  <c r="X45" i="37"/>
  <c r="Y44" i="37"/>
  <c r="X44" i="37"/>
  <c r="Y43" i="37"/>
  <c r="X43" i="37"/>
  <c r="Y42" i="37"/>
  <c r="X42" i="37"/>
  <c r="Y41" i="37"/>
  <c r="X41" i="37"/>
  <c r="Y40" i="37"/>
  <c r="X40" i="37"/>
  <c r="Y39" i="37"/>
  <c r="X39" i="37"/>
  <c r="Y35" i="37"/>
  <c r="X35" i="37"/>
  <c r="Y34" i="37"/>
  <c r="X34" i="37"/>
  <c r="Y33" i="37"/>
  <c r="X33" i="37"/>
  <c r="Y32" i="37"/>
  <c r="X32" i="37"/>
  <c r="Y31" i="37"/>
  <c r="X31" i="37"/>
  <c r="Y30" i="37"/>
  <c r="X30" i="37"/>
  <c r="Y29" i="37"/>
  <c r="X29" i="37"/>
  <c r="Y28" i="37"/>
  <c r="X28" i="37"/>
  <c r="Y27" i="37"/>
  <c r="X27" i="37"/>
  <c r="Y26" i="37"/>
  <c r="X26" i="37"/>
  <c r="Y25" i="37"/>
  <c r="X25" i="37"/>
  <c r="Y24" i="37"/>
  <c r="X24" i="37"/>
  <c r="Y23" i="37"/>
  <c r="X23" i="37"/>
  <c r="Y22" i="37"/>
  <c r="X22" i="37"/>
  <c r="Y21" i="37"/>
  <c r="X21" i="37"/>
  <c r="Y20" i="37"/>
  <c r="X20" i="37"/>
  <c r="H37" i="66" l="1"/>
  <c r="D35" i="66"/>
  <c r="D37" i="66" s="1"/>
  <c r="Y47" i="37"/>
  <c r="Y36" i="37"/>
  <c r="Y59" i="37"/>
  <c r="AO60" i="7"/>
  <c r="AX598" i="51" s="1"/>
  <c r="AD116" i="39"/>
  <c r="AA6" i="39"/>
  <c r="AC270" i="39"/>
  <c r="AA303" i="39"/>
  <c r="AC238" i="39"/>
  <c r="AC286" i="39"/>
  <c r="AC254" i="39"/>
  <c r="AC242" i="39"/>
  <c r="AC258" i="39"/>
  <c r="AC274" i="39"/>
  <c r="AC290" i="39"/>
  <c r="AC230" i="39"/>
  <c r="AC246" i="39"/>
  <c r="AC262" i="39"/>
  <c r="AC278" i="39"/>
  <c r="AC15" i="39"/>
  <c r="AC234" i="39"/>
  <c r="AC250" i="39"/>
  <c r="AC266" i="39"/>
  <c r="AC282" i="39"/>
  <c r="X59" i="37"/>
  <c r="AC23" i="39"/>
  <c r="AC226" i="39"/>
  <c r="AC228" i="39"/>
  <c r="AC236" i="39"/>
  <c r="AC244" i="39"/>
  <c r="AC252" i="39"/>
  <c r="AC260" i="39"/>
  <c r="AC268" i="39"/>
  <c r="AC276" i="39"/>
  <c r="AC284" i="39"/>
  <c r="AC232" i="39"/>
  <c r="AC240" i="39"/>
  <c r="AC248" i="39"/>
  <c r="AC256" i="39"/>
  <c r="AC264" i="39"/>
  <c r="AC272" i="39"/>
  <c r="AC280" i="39"/>
  <c r="AC288" i="39"/>
  <c r="AC212" i="39"/>
  <c r="AC213" i="39"/>
  <c r="AC214" i="39"/>
  <c r="AC215" i="39"/>
  <c r="AC216" i="39"/>
  <c r="AC217" i="39"/>
  <c r="AC218" i="39"/>
  <c r="AC219" i="39"/>
  <c r="AC220" i="39"/>
  <c r="AC221" i="39"/>
  <c r="AC222" i="39"/>
  <c r="AC223" i="39"/>
  <c r="AC224" i="39"/>
  <c r="AC225" i="39"/>
  <c r="AC229" i="39"/>
  <c r="AC233" i="39"/>
  <c r="AC237" i="39"/>
  <c r="AC241" i="39"/>
  <c r="AC245" i="39"/>
  <c r="AC249" i="39"/>
  <c r="AC253" i="39"/>
  <c r="AC257" i="39"/>
  <c r="AC261" i="39"/>
  <c r="AC265" i="39"/>
  <c r="AC269" i="39"/>
  <c r="AC273" i="39"/>
  <c r="AC277" i="39"/>
  <c r="AC281" i="39"/>
  <c r="AC285" i="39"/>
  <c r="AC289" i="39"/>
  <c r="AD292" i="39"/>
  <c r="AC292" i="39"/>
  <c r="AD294" i="39"/>
  <c r="AC294" i="39"/>
  <c r="AD296" i="39"/>
  <c r="AC296" i="39"/>
  <c r="AD298" i="39"/>
  <c r="AC298" i="39"/>
  <c r="AD300" i="39"/>
  <c r="AC300" i="39"/>
  <c r="AD302" i="39"/>
  <c r="AC302" i="39"/>
  <c r="AC227" i="39"/>
  <c r="AC231" i="39"/>
  <c r="AC235" i="39"/>
  <c r="AC239" i="39"/>
  <c r="AC243" i="39"/>
  <c r="AC247" i="39"/>
  <c r="AC251" i="39"/>
  <c r="AC255" i="39"/>
  <c r="AC259" i="39"/>
  <c r="AC263" i="39"/>
  <c r="AC267" i="39"/>
  <c r="AC271" i="39"/>
  <c r="AC275" i="39"/>
  <c r="AC279" i="39"/>
  <c r="AC283" i="39"/>
  <c r="AC287" i="39"/>
  <c r="AC291" i="39"/>
  <c r="AD293" i="39"/>
  <c r="AC293" i="39"/>
  <c r="AD295" i="39"/>
  <c r="AC295" i="39"/>
  <c r="AD297" i="39"/>
  <c r="AC297" i="39"/>
  <c r="AD299" i="39"/>
  <c r="AC299" i="39"/>
  <c r="AD301" i="39"/>
  <c r="AC301" i="39"/>
  <c r="AC19" i="39"/>
  <c r="AC116" i="39"/>
  <c r="AC211" i="39"/>
  <c r="AC117" i="39"/>
  <c r="AC118" i="39"/>
  <c r="AC119" i="39"/>
  <c r="AC120" i="39"/>
  <c r="AC121" i="39"/>
  <c r="AC122" i="39"/>
  <c r="AC123" i="39"/>
  <c r="AC124" i="39"/>
  <c r="AC125" i="39"/>
  <c r="AC126" i="39"/>
  <c r="AC127" i="39"/>
  <c r="AC128" i="39"/>
  <c r="AC129" i="39"/>
  <c r="AD131" i="39"/>
  <c r="AC131" i="39"/>
  <c r="AD133" i="39"/>
  <c r="AC133" i="39"/>
  <c r="AD135" i="39"/>
  <c r="AC135" i="39"/>
  <c r="AD137" i="39"/>
  <c r="AC137" i="39"/>
  <c r="AD139" i="39"/>
  <c r="AC139" i="39"/>
  <c r="AD141" i="39"/>
  <c r="AC141" i="39"/>
  <c r="AD143" i="39"/>
  <c r="AC143" i="39"/>
  <c r="AD145" i="39"/>
  <c r="AC145" i="39"/>
  <c r="AD147" i="39"/>
  <c r="AC147" i="39"/>
  <c r="AD149" i="39"/>
  <c r="AC149" i="39"/>
  <c r="AD151" i="39"/>
  <c r="AC151" i="39"/>
  <c r="AD153" i="39"/>
  <c r="AC153" i="39"/>
  <c r="AD155" i="39"/>
  <c r="AC155" i="39"/>
  <c r="AD157" i="39"/>
  <c r="AC157" i="39"/>
  <c r="AD159" i="39"/>
  <c r="AC159" i="39"/>
  <c r="AD161" i="39"/>
  <c r="AC161" i="39"/>
  <c r="AD163" i="39"/>
  <c r="AC163" i="39"/>
  <c r="AD165" i="39"/>
  <c r="AC165" i="39"/>
  <c r="AD167" i="39"/>
  <c r="AC167" i="39"/>
  <c r="AD169" i="39"/>
  <c r="AC169" i="39"/>
  <c r="AD171" i="39"/>
  <c r="AC171" i="39"/>
  <c r="AD173" i="39"/>
  <c r="AC173" i="39"/>
  <c r="AD175" i="39"/>
  <c r="AC175" i="39"/>
  <c r="AD177" i="39"/>
  <c r="AC177" i="39"/>
  <c r="AD179" i="39"/>
  <c r="AC179" i="39"/>
  <c r="AD181" i="39"/>
  <c r="AC181" i="39"/>
  <c r="AD183" i="39"/>
  <c r="AC183" i="39"/>
  <c r="AD185" i="39"/>
  <c r="AC185" i="39"/>
  <c r="AD187" i="39"/>
  <c r="AC187" i="39"/>
  <c r="AD189" i="39"/>
  <c r="AC189" i="39"/>
  <c r="AD191" i="39"/>
  <c r="AC191" i="39"/>
  <c r="AD193" i="39"/>
  <c r="AC193" i="39"/>
  <c r="AD195" i="39"/>
  <c r="AC195" i="39"/>
  <c r="AD197" i="39"/>
  <c r="AC197" i="39"/>
  <c r="AD199" i="39"/>
  <c r="AC199" i="39"/>
  <c r="AD201" i="39"/>
  <c r="AC201" i="39"/>
  <c r="AD203" i="39"/>
  <c r="AC203" i="39"/>
  <c r="AD205" i="39"/>
  <c r="AC205" i="39"/>
  <c r="AD130" i="39"/>
  <c r="AC130" i="39"/>
  <c r="AD132" i="39"/>
  <c r="AC132" i="39"/>
  <c r="AD134" i="39"/>
  <c r="AC134" i="39"/>
  <c r="AD136" i="39"/>
  <c r="AC136" i="39"/>
  <c r="AD138" i="39"/>
  <c r="AC138" i="39"/>
  <c r="AD140" i="39"/>
  <c r="AC140" i="39"/>
  <c r="AD142" i="39"/>
  <c r="AC142" i="39"/>
  <c r="AD144" i="39"/>
  <c r="AC144" i="39"/>
  <c r="AD146" i="39"/>
  <c r="AC146" i="39"/>
  <c r="AD148" i="39"/>
  <c r="AC148" i="39"/>
  <c r="AD150" i="39"/>
  <c r="AC150" i="39"/>
  <c r="AD152" i="39"/>
  <c r="AC152" i="39"/>
  <c r="AD154" i="39"/>
  <c r="AC154" i="39"/>
  <c r="AD156" i="39"/>
  <c r="AC156" i="39"/>
  <c r="AD158" i="39"/>
  <c r="AC158" i="39"/>
  <c r="AD160" i="39"/>
  <c r="AC160" i="39"/>
  <c r="AD162" i="39"/>
  <c r="AC162" i="39"/>
  <c r="AD164" i="39"/>
  <c r="AC164" i="39"/>
  <c r="AD166" i="39"/>
  <c r="AC166" i="39"/>
  <c r="AD168" i="39"/>
  <c r="AC168" i="39"/>
  <c r="AD170" i="39"/>
  <c r="AC170" i="39"/>
  <c r="AD172" i="39"/>
  <c r="AC172" i="39"/>
  <c r="AD174" i="39"/>
  <c r="AC174" i="39"/>
  <c r="AD176" i="39"/>
  <c r="AC176" i="39"/>
  <c r="AD178" i="39"/>
  <c r="AC178" i="39"/>
  <c r="AD180" i="39"/>
  <c r="AC180" i="39"/>
  <c r="AD182" i="39"/>
  <c r="AC182" i="39"/>
  <c r="AD184" i="39"/>
  <c r="AC184" i="39"/>
  <c r="AD186" i="39"/>
  <c r="AC186" i="39"/>
  <c r="AD188" i="39"/>
  <c r="AC188" i="39"/>
  <c r="AD190" i="39"/>
  <c r="AC190" i="39"/>
  <c r="AD192" i="39"/>
  <c r="AC192" i="39"/>
  <c r="AD194" i="39"/>
  <c r="AC194" i="39"/>
  <c r="AD196" i="39"/>
  <c r="AC196" i="39"/>
  <c r="AD198" i="39"/>
  <c r="AC198" i="39"/>
  <c r="AD200" i="39"/>
  <c r="AC200" i="39"/>
  <c r="AD202" i="39"/>
  <c r="AC202" i="39"/>
  <c r="AD204" i="39"/>
  <c r="AC204" i="39"/>
  <c r="AD206" i="39"/>
  <c r="AC206" i="39"/>
  <c r="AC26" i="39"/>
  <c r="AC17" i="39"/>
  <c r="AC21" i="39"/>
  <c r="AC13" i="39"/>
  <c r="AC14" i="39"/>
  <c r="AC18" i="39"/>
  <c r="AC22" i="39"/>
  <c r="AC25" i="39"/>
  <c r="AC16" i="39"/>
  <c r="AC20" i="39"/>
  <c r="AC24" i="39"/>
  <c r="AC28" i="39"/>
  <c r="AC30" i="39"/>
  <c r="AC32" i="39"/>
  <c r="AC34" i="39"/>
  <c r="AC36" i="39"/>
  <c r="AC38" i="39"/>
  <c r="AC40" i="39"/>
  <c r="AC42" i="39"/>
  <c r="AC44" i="39"/>
  <c r="AC46" i="39"/>
  <c r="AC48" i="39"/>
  <c r="AC50" i="39"/>
  <c r="AC52" i="39"/>
  <c r="AC54" i="39"/>
  <c r="AC56" i="39"/>
  <c r="AC58" i="39"/>
  <c r="AC60" i="39"/>
  <c r="AC62" i="39"/>
  <c r="AC64" i="39"/>
  <c r="AC66" i="39"/>
  <c r="AC68" i="39"/>
  <c r="AC70" i="39"/>
  <c r="AC72" i="39"/>
  <c r="AC74" i="39"/>
  <c r="AC76" i="39"/>
  <c r="AC78" i="39"/>
  <c r="AC80" i="39"/>
  <c r="AC82" i="39"/>
  <c r="AC84" i="39"/>
  <c r="AC86" i="39"/>
  <c r="AC88" i="39"/>
  <c r="AC90" i="39"/>
  <c r="AC92" i="39"/>
  <c r="AC94" i="39"/>
  <c r="AC96" i="39"/>
  <c r="AC98" i="39"/>
  <c r="AC100" i="39"/>
  <c r="AC102" i="39"/>
  <c r="AC104" i="39"/>
  <c r="AC106" i="39"/>
  <c r="AC108" i="39"/>
  <c r="AC110" i="39"/>
  <c r="AC27" i="39"/>
  <c r="AC29" i="39"/>
  <c r="AC31" i="39"/>
  <c r="AC33" i="39"/>
  <c r="AC35" i="39"/>
  <c r="AC37" i="39"/>
  <c r="AC39" i="39"/>
  <c r="AC41" i="39"/>
  <c r="AC43" i="39"/>
  <c r="AC45" i="39"/>
  <c r="AC47" i="39"/>
  <c r="AC49" i="39"/>
  <c r="AC51" i="39"/>
  <c r="AC53" i="39"/>
  <c r="AC55" i="39"/>
  <c r="AC57" i="39"/>
  <c r="AC59" i="39"/>
  <c r="AC61" i="39"/>
  <c r="AC63" i="39"/>
  <c r="AC65" i="39"/>
  <c r="AC67" i="39"/>
  <c r="AC69" i="39"/>
  <c r="AC71" i="39"/>
  <c r="AC73" i="39"/>
  <c r="AC75" i="39"/>
  <c r="AC77" i="39"/>
  <c r="AC79" i="39"/>
  <c r="AC81" i="39"/>
  <c r="AC83" i="39"/>
  <c r="AC85" i="39"/>
  <c r="AC87" i="39"/>
  <c r="AC89" i="39"/>
  <c r="AC91" i="39"/>
  <c r="AC93" i="39"/>
  <c r="AC95" i="39"/>
  <c r="AC97" i="39"/>
  <c r="AC99" i="39"/>
  <c r="AC101" i="39"/>
  <c r="AC103" i="39"/>
  <c r="AC105" i="39"/>
  <c r="AC107" i="39"/>
  <c r="AC109" i="39"/>
  <c r="AC111" i="39"/>
  <c r="AD303" i="39" l="1"/>
  <c r="AC8" i="39" s="1"/>
  <c r="M36" i="2" s="1"/>
  <c r="AC303" i="39"/>
  <c r="X36" i="37" l="1"/>
  <c r="H153" i="51"/>
  <c r="G23" i="32"/>
  <c r="E512" i="51"/>
  <c r="F512" i="51"/>
  <c r="G512" i="51"/>
  <c r="H512" i="51"/>
  <c r="I512" i="51"/>
  <c r="J512" i="51"/>
  <c r="K512" i="51"/>
  <c r="L512" i="51"/>
  <c r="M512" i="51"/>
  <c r="N512" i="51"/>
  <c r="O512" i="51"/>
  <c r="P512" i="51"/>
  <c r="Q512" i="51"/>
  <c r="R512" i="51"/>
  <c r="S512" i="51"/>
  <c r="T512" i="51"/>
  <c r="U512" i="51"/>
  <c r="V512" i="51"/>
  <c r="W512" i="51"/>
  <c r="X512" i="51"/>
  <c r="Y512" i="51"/>
  <c r="Y597" i="51" s="1"/>
  <c r="Z512" i="51"/>
  <c r="Z597" i="51" s="1"/>
  <c r="AA512" i="51"/>
  <c r="AA597" i="51" s="1"/>
  <c r="AB512" i="51"/>
  <c r="AB597" i="51" s="1"/>
  <c r="AC512" i="51"/>
  <c r="AC597" i="51" s="1"/>
  <c r="AD512" i="51"/>
  <c r="AD597" i="51" s="1"/>
  <c r="AE512" i="51"/>
  <c r="AE597" i="51" s="1"/>
  <c r="AF512" i="51"/>
  <c r="AF597" i="51" s="1"/>
  <c r="AG512" i="51"/>
  <c r="AG597" i="51" s="1"/>
  <c r="AH512" i="51"/>
  <c r="AH597" i="51" s="1"/>
  <c r="AI512" i="51"/>
  <c r="AI597" i="51" s="1"/>
  <c r="AJ512" i="51"/>
  <c r="AJ597" i="51" s="1"/>
  <c r="AK512" i="51"/>
  <c r="AK597" i="51" s="1"/>
  <c r="AL512" i="51"/>
  <c r="AL597" i="51" s="1"/>
  <c r="AM512" i="51"/>
  <c r="AM597" i="51" s="1"/>
  <c r="AN512" i="51"/>
  <c r="AN597" i="51" s="1"/>
  <c r="AO512" i="51"/>
  <c r="AO597" i="51" s="1"/>
  <c r="AP512" i="51"/>
  <c r="AP597" i="51" s="1"/>
  <c r="AQ512" i="51"/>
  <c r="AQ597" i="51" s="1"/>
  <c r="AR512" i="51"/>
  <c r="AR597" i="51" s="1"/>
  <c r="AS512" i="51"/>
  <c r="AS597" i="51" s="1"/>
  <c r="AT512" i="51"/>
  <c r="AT597" i="51" s="1"/>
  <c r="AU512" i="51"/>
  <c r="AU597" i="51" s="1"/>
  <c r="AV512" i="51"/>
  <c r="AV597" i="51" s="1"/>
  <c r="AW512" i="51"/>
  <c r="AW597" i="51" s="1"/>
  <c r="D512" i="51"/>
  <c r="C512" i="51"/>
  <c r="D256" i="51"/>
  <c r="D373" i="51" s="1"/>
  <c r="C256" i="51"/>
  <c r="E153" i="51"/>
  <c r="G1467" i="3"/>
  <c r="H1467" i="3"/>
  <c r="I1467" i="3"/>
  <c r="J1467" i="3"/>
  <c r="K1467" i="3"/>
  <c r="N1467" i="3"/>
  <c r="F1467" i="3"/>
  <c r="G526" i="3"/>
  <c r="H526" i="3"/>
  <c r="I526" i="3"/>
  <c r="J526" i="3"/>
  <c r="K526" i="3"/>
  <c r="L526" i="3"/>
  <c r="L1696" i="3" s="1"/>
  <c r="M526" i="3"/>
  <c r="M1696" i="3" s="1"/>
  <c r="N526" i="3"/>
  <c r="F526" i="3"/>
  <c r="F256" i="51"/>
  <c r="F373" i="51" s="1"/>
  <c r="F153" i="51"/>
  <c r="E256" i="51"/>
  <c r="E373" i="51" s="1"/>
  <c r="G256" i="51"/>
  <c r="G373" i="51" s="1"/>
  <c r="H256" i="51"/>
  <c r="H373" i="51" s="1"/>
  <c r="J256" i="51"/>
  <c r="J373" i="51" s="1"/>
  <c r="C153" i="51"/>
  <c r="D153" i="51"/>
  <c r="G153" i="51"/>
  <c r="J153" i="51"/>
  <c r="K153" i="51"/>
  <c r="K15" i="7"/>
  <c r="AD9" i="2" s="1"/>
  <c r="K87" i="7" l="1"/>
  <c r="I1696" i="3"/>
  <c r="J1696" i="3"/>
  <c r="J1705" i="3" s="1"/>
  <c r="N1696" i="3"/>
  <c r="H1696" i="3"/>
  <c r="F1696" i="3"/>
  <c r="K1696" i="3"/>
  <c r="G1696" i="3"/>
  <c r="G1705" i="3" s="1"/>
  <c r="I256" i="51"/>
  <c r="I373" i="51" s="1"/>
  <c r="I153" i="51"/>
  <c r="M1705" i="3" l="1"/>
  <c r="F1705" i="3"/>
  <c r="K1705" i="3"/>
  <c r="J1706" i="3"/>
  <c r="N1705" i="3"/>
  <c r="L1705" i="3"/>
  <c r="I1705" i="3"/>
  <c r="J1697" i="3"/>
  <c r="J1704" i="3"/>
  <c r="H1705" i="3"/>
  <c r="D596" i="51"/>
  <c r="E596" i="51"/>
  <c r="F596" i="51"/>
  <c r="G596" i="51"/>
  <c r="H596" i="51"/>
  <c r="I596" i="51"/>
  <c r="J596" i="51"/>
  <c r="K596" i="51"/>
  <c r="L596" i="51"/>
  <c r="M596" i="51"/>
  <c r="N596" i="51"/>
  <c r="Q596" i="51"/>
  <c r="R596" i="51"/>
  <c r="S596" i="51"/>
  <c r="T596" i="51"/>
  <c r="U596" i="51"/>
  <c r="V596" i="51"/>
  <c r="W596" i="51"/>
  <c r="X596" i="51"/>
  <c r="U330" i="39" l="1"/>
  <c r="V330" i="39"/>
  <c r="W330" i="39" s="1"/>
  <c r="U331" i="39"/>
  <c r="V331" i="39"/>
  <c r="X331" i="39" s="1"/>
  <c r="U332" i="39"/>
  <c r="V332" i="39"/>
  <c r="W332" i="39" s="1"/>
  <c r="U333" i="39"/>
  <c r="V333" i="39"/>
  <c r="X333" i="39" s="1"/>
  <c r="U334" i="39"/>
  <c r="V334" i="39"/>
  <c r="W334" i="39" s="1"/>
  <c r="U335" i="39"/>
  <c r="V335" i="39"/>
  <c r="X335" i="39" s="1"/>
  <c r="U336" i="39"/>
  <c r="V336" i="39"/>
  <c r="W336" i="39" s="1"/>
  <c r="U337" i="39"/>
  <c r="V337" i="39"/>
  <c r="X337" i="39" s="1"/>
  <c r="U338" i="39"/>
  <c r="V338" i="39"/>
  <c r="W338" i="39" s="1"/>
  <c r="U339" i="39"/>
  <c r="V339" i="39"/>
  <c r="X339" i="39" s="1"/>
  <c r="U340" i="39"/>
  <c r="V340" i="39"/>
  <c r="W340" i="39" s="1"/>
  <c r="U341" i="39"/>
  <c r="V341" i="39"/>
  <c r="X341" i="39" s="1"/>
  <c r="U342" i="39"/>
  <c r="V342" i="39"/>
  <c r="W342" i="39" s="1"/>
  <c r="U343" i="39"/>
  <c r="V343" i="39"/>
  <c r="X343" i="39" s="1"/>
  <c r="U344" i="39"/>
  <c r="V344" i="39"/>
  <c r="W344" i="39" s="1"/>
  <c r="U345" i="39"/>
  <c r="V345" i="39"/>
  <c r="X345" i="39" s="1"/>
  <c r="U346" i="39"/>
  <c r="V346" i="39"/>
  <c r="W346" i="39" s="1"/>
  <c r="U347" i="39"/>
  <c r="V347" i="39"/>
  <c r="X347" i="39" s="1"/>
  <c r="U348" i="39"/>
  <c r="V348" i="39"/>
  <c r="W348" i="39" s="1"/>
  <c r="U349" i="39"/>
  <c r="V349" i="39"/>
  <c r="X349" i="39" s="1"/>
  <c r="U350" i="39"/>
  <c r="V350" i="39"/>
  <c r="W350" i="39" s="1"/>
  <c r="U351" i="39"/>
  <c r="V351" i="39"/>
  <c r="X351" i="39" s="1"/>
  <c r="U352" i="39"/>
  <c r="V352" i="39"/>
  <c r="W352" i="39" s="1"/>
  <c r="U353" i="39"/>
  <c r="V353" i="39"/>
  <c r="X353" i="39" s="1"/>
  <c r="U354" i="39"/>
  <c r="V354" i="39"/>
  <c r="W354" i="39" s="1"/>
  <c r="U355" i="39"/>
  <c r="V355" i="39"/>
  <c r="X355" i="39" s="1"/>
  <c r="U356" i="39"/>
  <c r="V356" i="39"/>
  <c r="W356" i="39" s="1"/>
  <c r="U357" i="39"/>
  <c r="V357" i="39"/>
  <c r="X357" i="39" s="1"/>
  <c r="U358" i="39"/>
  <c r="V358" i="39"/>
  <c r="W358" i="39" s="1"/>
  <c r="U359" i="39"/>
  <c r="V359" i="39"/>
  <c r="X359" i="39" s="1"/>
  <c r="U360" i="39"/>
  <c r="V360" i="39"/>
  <c r="W360" i="39" s="1"/>
  <c r="U361" i="39"/>
  <c r="V361" i="39"/>
  <c r="X361" i="39" s="1"/>
  <c r="U362" i="39"/>
  <c r="V362" i="39"/>
  <c r="W362" i="39" s="1"/>
  <c r="U363" i="39"/>
  <c r="V363" i="39"/>
  <c r="X363" i="39" s="1"/>
  <c r="U364" i="39"/>
  <c r="V364" i="39"/>
  <c r="W364" i="39" s="1"/>
  <c r="U365" i="39"/>
  <c r="V365" i="39"/>
  <c r="X365" i="39" s="1"/>
  <c r="U366" i="39"/>
  <c r="V366" i="39"/>
  <c r="W366" i="39" s="1"/>
  <c r="U367" i="39"/>
  <c r="V367" i="39"/>
  <c r="X367" i="39" s="1"/>
  <c r="U368" i="39"/>
  <c r="V368" i="39"/>
  <c r="W368" i="39" s="1"/>
  <c r="U369" i="39"/>
  <c r="V369" i="39"/>
  <c r="X369" i="39" s="1"/>
  <c r="U370" i="39"/>
  <c r="V370" i="39"/>
  <c r="W370" i="39" s="1"/>
  <c r="U371" i="39"/>
  <c r="V371" i="39"/>
  <c r="X371" i="39" s="1"/>
  <c r="U372" i="39"/>
  <c r="V372" i="39"/>
  <c r="W372" i="39" s="1"/>
  <c r="U373" i="39"/>
  <c r="V373" i="39"/>
  <c r="X373" i="39" s="1"/>
  <c r="U374" i="39"/>
  <c r="V374" i="39"/>
  <c r="W374" i="39" s="1"/>
  <c r="U375" i="39"/>
  <c r="V375" i="39"/>
  <c r="X375" i="39" s="1"/>
  <c r="U376" i="39"/>
  <c r="V376" i="39"/>
  <c r="W376" i="39" s="1"/>
  <c r="U377" i="39"/>
  <c r="V377" i="39"/>
  <c r="X377" i="39" s="1"/>
  <c r="U378" i="39"/>
  <c r="V378" i="39"/>
  <c r="W378" i="39" s="1"/>
  <c r="U379" i="39"/>
  <c r="V379" i="39"/>
  <c r="X379" i="39" s="1"/>
  <c r="U380" i="39"/>
  <c r="V380" i="39"/>
  <c r="W380" i="39" s="1"/>
  <c r="U381" i="39"/>
  <c r="V381" i="39"/>
  <c r="X381" i="39" s="1"/>
  <c r="U382" i="39"/>
  <c r="V382" i="39"/>
  <c r="W382" i="39" s="1"/>
  <c r="U383" i="39"/>
  <c r="V383" i="39"/>
  <c r="X383" i="39" s="1"/>
  <c r="U384" i="39"/>
  <c r="V384" i="39"/>
  <c r="W384" i="39" s="1"/>
  <c r="U385" i="39"/>
  <c r="V385" i="39"/>
  <c r="X385" i="39" s="1"/>
  <c r="U386" i="39"/>
  <c r="V386" i="39"/>
  <c r="W386" i="39" s="1"/>
  <c r="U387" i="39"/>
  <c r="V387" i="39"/>
  <c r="X387" i="39" s="1"/>
  <c r="U388" i="39"/>
  <c r="V388" i="39"/>
  <c r="W388" i="39" s="1"/>
  <c r="U389" i="39"/>
  <c r="V389" i="39"/>
  <c r="X389" i="39" s="1"/>
  <c r="U390" i="39"/>
  <c r="V390" i="39"/>
  <c r="W390" i="39" s="1"/>
  <c r="U391" i="39"/>
  <c r="V391" i="39"/>
  <c r="X391" i="39" s="1"/>
  <c r="U392" i="39"/>
  <c r="V392" i="39"/>
  <c r="W392" i="39" s="1"/>
  <c r="U393" i="39"/>
  <c r="V393" i="39"/>
  <c r="X393" i="39" s="1"/>
  <c r="U394" i="39"/>
  <c r="V394" i="39"/>
  <c r="W394" i="39" s="1"/>
  <c r="U395" i="39"/>
  <c r="V395" i="39"/>
  <c r="X395" i="39" s="1"/>
  <c r="U396" i="39"/>
  <c r="V396" i="39"/>
  <c r="W396" i="39" s="1"/>
  <c r="U397" i="39"/>
  <c r="V397" i="39"/>
  <c r="X397" i="39" s="1"/>
  <c r="U398" i="39"/>
  <c r="V398" i="39"/>
  <c r="W398" i="39" s="1"/>
  <c r="U399" i="39"/>
  <c r="V399" i="39"/>
  <c r="X399" i="39" s="1"/>
  <c r="U400" i="39"/>
  <c r="V400" i="39"/>
  <c r="W400" i="39" s="1"/>
  <c r="U401" i="39"/>
  <c r="V401" i="39"/>
  <c r="X401" i="39" s="1"/>
  <c r="U402" i="39"/>
  <c r="V402" i="39"/>
  <c r="W402" i="39" s="1"/>
  <c r="U403" i="39"/>
  <c r="V403" i="39"/>
  <c r="X403" i="39" s="1"/>
  <c r="U404" i="39"/>
  <c r="V404" i="39"/>
  <c r="W404" i="39" s="1"/>
  <c r="U405" i="39"/>
  <c r="V405" i="39"/>
  <c r="X405" i="39" s="1"/>
  <c r="U406" i="39"/>
  <c r="V406" i="39"/>
  <c r="W406" i="39" s="1"/>
  <c r="U407" i="39"/>
  <c r="V407" i="39"/>
  <c r="X407" i="39" s="1"/>
  <c r="U408" i="39"/>
  <c r="V408" i="39"/>
  <c r="W408" i="39" s="1"/>
  <c r="U409" i="39"/>
  <c r="V409" i="39"/>
  <c r="X409" i="39" s="1"/>
  <c r="U410" i="39"/>
  <c r="V410" i="39"/>
  <c r="W410" i="39" s="1"/>
  <c r="U411" i="39"/>
  <c r="V411" i="39"/>
  <c r="X411" i="39" s="1"/>
  <c r="U412" i="39"/>
  <c r="V412" i="39"/>
  <c r="W412" i="39" s="1"/>
  <c r="U413" i="39"/>
  <c r="V413" i="39"/>
  <c r="X413" i="39" s="1"/>
  <c r="U414" i="39"/>
  <c r="V414" i="39"/>
  <c r="W414" i="39" s="1"/>
  <c r="U415" i="39"/>
  <c r="V415" i="39"/>
  <c r="X415" i="39" s="1"/>
  <c r="U416" i="39"/>
  <c r="V416" i="39"/>
  <c r="W416" i="39" s="1"/>
  <c r="U417" i="39"/>
  <c r="V417" i="39"/>
  <c r="X417" i="39" s="1"/>
  <c r="U418" i="39"/>
  <c r="V418" i="39"/>
  <c r="W418" i="39" s="1"/>
  <c r="U419" i="39"/>
  <c r="V419" i="39"/>
  <c r="X419" i="39" s="1"/>
  <c r="U420" i="39"/>
  <c r="V420" i="39"/>
  <c r="W420" i="39" s="1"/>
  <c r="U421" i="39"/>
  <c r="V421" i="39"/>
  <c r="X421" i="39" s="1"/>
  <c r="U422" i="39"/>
  <c r="V422" i="39"/>
  <c r="W422" i="39" s="1"/>
  <c r="U423" i="39"/>
  <c r="V423" i="39"/>
  <c r="X423" i="39" s="1"/>
  <c r="U424" i="39"/>
  <c r="V424" i="39"/>
  <c r="W424" i="39" s="1"/>
  <c r="U425" i="39"/>
  <c r="V425" i="39"/>
  <c r="X425" i="39" s="1"/>
  <c r="U426" i="39"/>
  <c r="V426" i="39"/>
  <c r="W426" i="39" s="1"/>
  <c r="U427" i="39"/>
  <c r="V427" i="39"/>
  <c r="X427" i="39" s="1"/>
  <c r="U428" i="39"/>
  <c r="V428" i="39"/>
  <c r="W428" i="39" s="1"/>
  <c r="U429" i="39"/>
  <c r="V429" i="39"/>
  <c r="X429" i="39" s="1"/>
  <c r="U430" i="39"/>
  <c r="V430" i="39"/>
  <c r="W430" i="39" s="1"/>
  <c r="U431" i="39"/>
  <c r="V431" i="39"/>
  <c r="X431" i="39" s="1"/>
  <c r="U432" i="39"/>
  <c r="V432" i="39"/>
  <c r="W432" i="39" s="1"/>
  <c r="U433" i="39"/>
  <c r="V433" i="39"/>
  <c r="X433" i="39" s="1"/>
  <c r="U168" i="39"/>
  <c r="V168" i="39"/>
  <c r="W168" i="39" s="1"/>
  <c r="U169" i="39"/>
  <c r="V169" i="39"/>
  <c r="X169" i="39" s="1"/>
  <c r="U170" i="39"/>
  <c r="V170" i="39"/>
  <c r="W170" i="39" s="1"/>
  <c r="U171" i="39"/>
  <c r="V171" i="39"/>
  <c r="X171" i="39" s="1"/>
  <c r="U172" i="39"/>
  <c r="V172" i="39"/>
  <c r="W172" i="39" s="1"/>
  <c r="U173" i="39"/>
  <c r="V173" i="39"/>
  <c r="X173" i="39" s="1"/>
  <c r="U174" i="39"/>
  <c r="V174" i="39"/>
  <c r="W174" i="39" s="1"/>
  <c r="U175" i="39"/>
  <c r="V175" i="39"/>
  <c r="X175" i="39" s="1"/>
  <c r="U176" i="39"/>
  <c r="V176" i="39"/>
  <c r="W176" i="39" s="1"/>
  <c r="U177" i="39"/>
  <c r="V177" i="39"/>
  <c r="X177" i="39" s="1"/>
  <c r="U178" i="39"/>
  <c r="V178" i="39"/>
  <c r="W178" i="39" s="1"/>
  <c r="U179" i="39"/>
  <c r="V179" i="39"/>
  <c r="X179" i="39" s="1"/>
  <c r="U180" i="39"/>
  <c r="V180" i="39"/>
  <c r="W180" i="39" s="1"/>
  <c r="U181" i="39"/>
  <c r="V181" i="39"/>
  <c r="X181" i="39" s="1"/>
  <c r="U182" i="39"/>
  <c r="V182" i="39"/>
  <c r="W182" i="39" s="1"/>
  <c r="U183" i="39"/>
  <c r="V183" i="39"/>
  <c r="X183" i="39" s="1"/>
  <c r="U184" i="39"/>
  <c r="V184" i="39"/>
  <c r="W184" i="39" s="1"/>
  <c r="U185" i="39"/>
  <c r="V185" i="39"/>
  <c r="X185" i="39" s="1"/>
  <c r="U186" i="39"/>
  <c r="V186" i="39"/>
  <c r="W186" i="39" s="1"/>
  <c r="U187" i="39"/>
  <c r="V187" i="39"/>
  <c r="X187" i="39" s="1"/>
  <c r="U188" i="39"/>
  <c r="V188" i="39"/>
  <c r="W188" i="39" s="1"/>
  <c r="U189" i="39"/>
  <c r="V189" i="39"/>
  <c r="X189" i="39" s="1"/>
  <c r="U190" i="39"/>
  <c r="V190" i="39"/>
  <c r="W190" i="39" s="1"/>
  <c r="U191" i="39"/>
  <c r="V191" i="39"/>
  <c r="X191" i="39" s="1"/>
  <c r="U192" i="39"/>
  <c r="V192" i="39"/>
  <c r="W192" i="39" s="1"/>
  <c r="U193" i="39"/>
  <c r="V193" i="39"/>
  <c r="X193" i="39" s="1"/>
  <c r="U194" i="39"/>
  <c r="V194" i="39"/>
  <c r="W194" i="39" s="1"/>
  <c r="U195" i="39"/>
  <c r="V195" i="39"/>
  <c r="X195" i="39" s="1"/>
  <c r="U196" i="39"/>
  <c r="V196" i="39"/>
  <c r="W196" i="39" s="1"/>
  <c r="U197" i="39"/>
  <c r="V197" i="39"/>
  <c r="X197" i="39" s="1"/>
  <c r="U198" i="39"/>
  <c r="V198" i="39"/>
  <c r="W198" i="39" s="1"/>
  <c r="U199" i="39"/>
  <c r="V199" i="39"/>
  <c r="X199" i="39" s="1"/>
  <c r="U200" i="39"/>
  <c r="V200" i="39"/>
  <c r="W200" i="39" s="1"/>
  <c r="U201" i="39"/>
  <c r="V201" i="39"/>
  <c r="X201" i="39" s="1"/>
  <c r="U202" i="39"/>
  <c r="V202" i="39"/>
  <c r="W202" i="39" s="1"/>
  <c r="U203" i="39"/>
  <c r="V203" i="39"/>
  <c r="X203" i="39" s="1"/>
  <c r="U204" i="39"/>
  <c r="V204" i="39"/>
  <c r="W204" i="39" s="1"/>
  <c r="U205" i="39"/>
  <c r="V205" i="39"/>
  <c r="X205" i="39" s="1"/>
  <c r="U206" i="39"/>
  <c r="V206" i="39"/>
  <c r="W206" i="39" s="1"/>
  <c r="U207" i="39"/>
  <c r="V207" i="39"/>
  <c r="X207" i="39" s="1"/>
  <c r="U208" i="39"/>
  <c r="V208" i="39"/>
  <c r="W208" i="39" s="1"/>
  <c r="U209" i="39"/>
  <c r="V209" i="39"/>
  <c r="X209" i="39" s="1"/>
  <c r="U210" i="39"/>
  <c r="V210" i="39"/>
  <c r="W210" i="39" s="1"/>
  <c r="U211" i="39"/>
  <c r="V211" i="39"/>
  <c r="X211" i="39" s="1"/>
  <c r="U212" i="39"/>
  <c r="V212" i="39"/>
  <c r="W212" i="39" s="1"/>
  <c r="U213" i="39"/>
  <c r="V213" i="39"/>
  <c r="X213" i="39" s="1"/>
  <c r="U214" i="39"/>
  <c r="V214" i="39"/>
  <c r="W214" i="39" s="1"/>
  <c r="U215" i="39"/>
  <c r="V215" i="39"/>
  <c r="X215" i="39" s="1"/>
  <c r="U216" i="39"/>
  <c r="V216" i="39"/>
  <c r="W216" i="39" s="1"/>
  <c r="U217" i="39"/>
  <c r="V217" i="39"/>
  <c r="X217" i="39" s="1"/>
  <c r="U218" i="39"/>
  <c r="V218" i="39"/>
  <c r="W218" i="39" s="1"/>
  <c r="U219" i="39"/>
  <c r="V219" i="39"/>
  <c r="X219" i="39" s="1"/>
  <c r="U220" i="39"/>
  <c r="V220" i="39"/>
  <c r="W220" i="39" s="1"/>
  <c r="U221" i="39"/>
  <c r="V221" i="39"/>
  <c r="X221" i="39" s="1"/>
  <c r="U222" i="39"/>
  <c r="V222" i="39"/>
  <c r="W222" i="39" s="1"/>
  <c r="U223" i="39"/>
  <c r="V223" i="39"/>
  <c r="X223" i="39" s="1"/>
  <c r="U224" i="39"/>
  <c r="V224" i="39"/>
  <c r="W224" i="39" s="1"/>
  <c r="U225" i="39"/>
  <c r="V225" i="39"/>
  <c r="X225" i="39" s="1"/>
  <c r="U226" i="39"/>
  <c r="V226" i="39"/>
  <c r="W226" i="39" s="1"/>
  <c r="U227" i="39"/>
  <c r="V227" i="39"/>
  <c r="X227" i="39" s="1"/>
  <c r="U228" i="39"/>
  <c r="V228" i="39"/>
  <c r="W228" i="39" s="1"/>
  <c r="U229" i="39"/>
  <c r="V229" i="39"/>
  <c r="X229" i="39" s="1"/>
  <c r="U230" i="39"/>
  <c r="V230" i="39"/>
  <c r="W230" i="39" s="1"/>
  <c r="U231" i="39"/>
  <c r="V231" i="39"/>
  <c r="X231" i="39" s="1"/>
  <c r="U232" i="39"/>
  <c r="V232" i="39"/>
  <c r="W232" i="39" s="1"/>
  <c r="U233" i="39"/>
  <c r="V233" i="39"/>
  <c r="X233" i="39" s="1"/>
  <c r="U234" i="39"/>
  <c r="V234" i="39"/>
  <c r="W234" i="39" s="1"/>
  <c r="U235" i="39"/>
  <c r="V235" i="39"/>
  <c r="X235" i="39" s="1"/>
  <c r="U236" i="39"/>
  <c r="V236" i="39"/>
  <c r="W236" i="39" s="1"/>
  <c r="U237" i="39"/>
  <c r="V237" i="39"/>
  <c r="X237" i="39" s="1"/>
  <c r="U238" i="39"/>
  <c r="V238" i="39"/>
  <c r="W238" i="39" s="1"/>
  <c r="U239" i="39"/>
  <c r="V239" i="39"/>
  <c r="X239" i="39" s="1"/>
  <c r="U240" i="39"/>
  <c r="V240" i="39"/>
  <c r="W240" i="39" s="1"/>
  <c r="U241" i="39"/>
  <c r="V241" i="39"/>
  <c r="X241" i="39" s="1"/>
  <c r="U242" i="39"/>
  <c r="V242" i="39"/>
  <c r="W242" i="39" s="1"/>
  <c r="U243" i="39"/>
  <c r="V243" i="39"/>
  <c r="X243" i="39" s="1"/>
  <c r="U244" i="39"/>
  <c r="V244" i="39"/>
  <c r="W244" i="39" s="1"/>
  <c r="U245" i="39"/>
  <c r="V245" i="39"/>
  <c r="X245" i="39" s="1"/>
  <c r="U246" i="39"/>
  <c r="V246" i="39"/>
  <c r="W246" i="39" s="1"/>
  <c r="U247" i="39"/>
  <c r="V247" i="39"/>
  <c r="X247" i="39" s="1"/>
  <c r="U248" i="39"/>
  <c r="V248" i="39"/>
  <c r="W248" i="39" s="1"/>
  <c r="U249" i="39"/>
  <c r="V249" i="39"/>
  <c r="X249" i="39" s="1"/>
  <c r="U250" i="39"/>
  <c r="V250" i="39"/>
  <c r="W250" i="39" s="1"/>
  <c r="U251" i="39"/>
  <c r="V251" i="39"/>
  <c r="X251" i="39" s="1"/>
  <c r="U252" i="39"/>
  <c r="V252" i="39"/>
  <c r="W252" i="39" s="1"/>
  <c r="U253" i="39"/>
  <c r="V253" i="39"/>
  <c r="X253" i="39" s="1"/>
  <c r="U254" i="39"/>
  <c r="V254" i="39"/>
  <c r="W254" i="39" s="1"/>
  <c r="U255" i="39"/>
  <c r="V255" i="39"/>
  <c r="X255" i="39" s="1"/>
  <c r="U256" i="39"/>
  <c r="V256" i="39"/>
  <c r="W256" i="39" s="1"/>
  <c r="U257" i="39"/>
  <c r="V257" i="39"/>
  <c r="X257" i="39" s="1"/>
  <c r="U258" i="39"/>
  <c r="V258" i="39"/>
  <c r="W258" i="39" s="1"/>
  <c r="U259" i="39"/>
  <c r="V259" i="39"/>
  <c r="X259" i="39" s="1"/>
  <c r="U260" i="39"/>
  <c r="V260" i="39"/>
  <c r="W260" i="39" s="1"/>
  <c r="U261" i="39"/>
  <c r="V261" i="39"/>
  <c r="X261" i="39" s="1"/>
  <c r="U262" i="39"/>
  <c r="V262" i="39"/>
  <c r="W262" i="39" s="1"/>
  <c r="U263" i="39"/>
  <c r="V263" i="39"/>
  <c r="X263" i="39" s="1"/>
  <c r="U264" i="39"/>
  <c r="V264" i="39"/>
  <c r="W264" i="39" s="1"/>
  <c r="U265" i="39"/>
  <c r="V265" i="39"/>
  <c r="X265" i="39" s="1"/>
  <c r="U266" i="39"/>
  <c r="V266" i="39"/>
  <c r="W266" i="39" s="1"/>
  <c r="U267" i="39"/>
  <c r="V267" i="39"/>
  <c r="X267" i="39" s="1"/>
  <c r="U268" i="39"/>
  <c r="V268" i="39"/>
  <c r="W268" i="39" s="1"/>
  <c r="U269" i="39"/>
  <c r="V269" i="39"/>
  <c r="X269" i="39" s="1"/>
  <c r="U270" i="39"/>
  <c r="V270" i="39"/>
  <c r="W270" i="39" s="1"/>
  <c r="U271" i="39"/>
  <c r="V271" i="39"/>
  <c r="X271" i="39" s="1"/>
  <c r="U272" i="39"/>
  <c r="V272" i="39"/>
  <c r="W272" i="39" s="1"/>
  <c r="U273" i="39"/>
  <c r="V273" i="39"/>
  <c r="X273" i="39" s="1"/>
  <c r="U274" i="39"/>
  <c r="V274" i="39"/>
  <c r="W274" i="39" s="1"/>
  <c r="U275" i="39"/>
  <c r="V275" i="39"/>
  <c r="X275" i="39" s="1"/>
  <c r="U276" i="39"/>
  <c r="V276" i="39"/>
  <c r="W276" i="39" s="1"/>
  <c r="U277" i="39"/>
  <c r="V277" i="39"/>
  <c r="X277" i="39" s="1"/>
  <c r="U278" i="39"/>
  <c r="V278" i="39"/>
  <c r="W278" i="39" s="1"/>
  <c r="U279" i="39"/>
  <c r="V279" i="39"/>
  <c r="X279" i="39" s="1"/>
  <c r="U280" i="39"/>
  <c r="V280" i="39"/>
  <c r="W280" i="39" s="1"/>
  <c r="U281" i="39"/>
  <c r="V281" i="39"/>
  <c r="X281" i="39" s="1"/>
  <c r="U282" i="39"/>
  <c r="V282" i="39"/>
  <c r="W282" i="39" s="1"/>
  <c r="U283" i="39"/>
  <c r="V283" i="39"/>
  <c r="X283" i="39" s="1"/>
  <c r="U284" i="39"/>
  <c r="V284" i="39"/>
  <c r="W284" i="39" s="1"/>
  <c r="U285" i="39"/>
  <c r="V285" i="39"/>
  <c r="X285" i="39" s="1"/>
  <c r="U286" i="39"/>
  <c r="V286" i="39"/>
  <c r="W286" i="39" s="1"/>
  <c r="U287" i="39"/>
  <c r="V287" i="39"/>
  <c r="X287" i="39" s="1"/>
  <c r="U288" i="39"/>
  <c r="V288" i="39"/>
  <c r="W288" i="39" s="1"/>
  <c r="U289" i="39"/>
  <c r="V289" i="39"/>
  <c r="X289" i="39" s="1"/>
  <c r="U290" i="39"/>
  <c r="V290" i="39"/>
  <c r="W290" i="39" s="1"/>
  <c r="U291" i="39"/>
  <c r="V291" i="39"/>
  <c r="X291" i="39" s="1"/>
  <c r="U292" i="39"/>
  <c r="V292" i="39"/>
  <c r="W292" i="39" s="1"/>
  <c r="U293" i="39"/>
  <c r="V293" i="39"/>
  <c r="X293" i="39" s="1"/>
  <c r="U294" i="39"/>
  <c r="V294" i="39"/>
  <c r="W294" i="39" s="1"/>
  <c r="U295" i="39"/>
  <c r="V295" i="39"/>
  <c r="X295" i="39" s="1"/>
  <c r="U296" i="39"/>
  <c r="V296" i="39"/>
  <c r="W296" i="39" s="1"/>
  <c r="U297" i="39"/>
  <c r="V297" i="39"/>
  <c r="X297" i="39" s="1"/>
  <c r="U298" i="39"/>
  <c r="V298" i="39"/>
  <c r="W298" i="39" s="1"/>
  <c r="U299" i="39"/>
  <c r="V299" i="39"/>
  <c r="X299" i="39" s="1"/>
  <c r="U300" i="39"/>
  <c r="V300" i="39"/>
  <c r="W300" i="39" s="1"/>
  <c r="U301" i="39"/>
  <c r="V301" i="39"/>
  <c r="X301" i="39" s="1"/>
  <c r="U302" i="39"/>
  <c r="V302" i="39"/>
  <c r="W302" i="39" s="1"/>
  <c r="U303" i="39"/>
  <c r="V303" i="39"/>
  <c r="X303" i="39" s="1"/>
  <c r="U304" i="39"/>
  <c r="V304" i="39"/>
  <c r="W304" i="39" s="1"/>
  <c r="U305" i="39"/>
  <c r="V305" i="39"/>
  <c r="X305" i="39" s="1"/>
  <c r="U306" i="39"/>
  <c r="V306" i="39"/>
  <c r="W306" i="39" s="1"/>
  <c r="U307" i="39"/>
  <c r="V307" i="39"/>
  <c r="X307" i="39" s="1"/>
  <c r="U308" i="39"/>
  <c r="V308" i="39"/>
  <c r="W308" i="39" s="1"/>
  <c r="U309" i="39"/>
  <c r="V309" i="39"/>
  <c r="X309" i="39" s="1"/>
  <c r="U310" i="39"/>
  <c r="V310" i="39"/>
  <c r="W310" i="39" s="1"/>
  <c r="U311" i="39"/>
  <c r="V311" i="39"/>
  <c r="X311" i="39" s="1"/>
  <c r="U312" i="39"/>
  <c r="V312" i="39"/>
  <c r="W312" i="39" s="1"/>
  <c r="U313" i="39"/>
  <c r="V313" i="39"/>
  <c r="X313" i="39" s="1"/>
  <c r="U14" i="39"/>
  <c r="V14" i="39"/>
  <c r="W14" i="39" s="1"/>
  <c r="U15" i="39"/>
  <c r="V15" i="39"/>
  <c r="X15" i="39" s="1"/>
  <c r="U16" i="39"/>
  <c r="V16" i="39"/>
  <c r="W16" i="39" s="1"/>
  <c r="U17" i="39"/>
  <c r="V17" i="39"/>
  <c r="X17" i="39" s="1"/>
  <c r="U18" i="39"/>
  <c r="V18" i="39"/>
  <c r="W18" i="39" s="1"/>
  <c r="U19" i="39"/>
  <c r="V19" i="39"/>
  <c r="X19" i="39" s="1"/>
  <c r="U20" i="39"/>
  <c r="V20" i="39"/>
  <c r="W20" i="39" s="1"/>
  <c r="U21" i="39"/>
  <c r="V21" i="39"/>
  <c r="X21" i="39" s="1"/>
  <c r="U22" i="39"/>
  <c r="V22" i="39"/>
  <c r="W22" i="39" s="1"/>
  <c r="U23" i="39"/>
  <c r="V23" i="39"/>
  <c r="X23" i="39" s="1"/>
  <c r="U24" i="39"/>
  <c r="V24" i="39"/>
  <c r="W24" i="39" s="1"/>
  <c r="U25" i="39"/>
  <c r="V25" i="39"/>
  <c r="X25" i="39" s="1"/>
  <c r="U26" i="39"/>
  <c r="V26" i="39"/>
  <c r="W26" i="39" s="1"/>
  <c r="U27" i="39"/>
  <c r="V27" i="39"/>
  <c r="X27" i="39" s="1"/>
  <c r="U28" i="39"/>
  <c r="V28" i="39"/>
  <c r="W28" i="39" s="1"/>
  <c r="U29" i="39"/>
  <c r="V29" i="39"/>
  <c r="X29" i="39" s="1"/>
  <c r="U30" i="39"/>
  <c r="V30" i="39"/>
  <c r="W30" i="39" s="1"/>
  <c r="U31" i="39"/>
  <c r="V31" i="39"/>
  <c r="X31" i="39" s="1"/>
  <c r="U32" i="39"/>
  <c r="V32" i="39"/>
  <c r="W32" i="39" s="1"/>
  <c r="U33" i="39"/>
  <c r="V33" i="39"/>
  <c r="X33" i="39" s="1"/>
  <c r="U34" i="39"/>
  <c r="V34" i="39"/>
  <c r="U35" i="39"/>
  <c r="V35" i="39"/>
  <c r="X35" i="39" s="1"/>
  <c r="U36" i="39"/>
  <c r="V36" i="39"/>
  <c r="U37" i="39"/>
  <c r="V37" i="39"/>
  <c r="X37" i="39" s="1"/>
  <c r="U38" i="39"/>
  <c r="V38" i="39"/>
  <c r="U39" i="39"/>
  <c r="V39" i="39"/>
  <c r="X39" i="39" s="1"/>
  <c r="U40" i="39"/>
  <c r="V40" i="39"/>
  <c r="U41" i="39"/>
  <c r="V41" i="39"/>
  <c r="X41" i="39" s="1"/>
  <c r="U42" i="39"/>
  <c r="V42" i="39"/>
  <c r="U43" i="39"/>
  <c r="V43" i="39"/>
  <c r="X43" i="39" s="1"/>
  <c r="U44" i="39"/>
  <c r="V44" i="39"/>
  <c r="U45" i="39"/>
  <c r="V45" i="39"/>
  <c r="X45" i="39" s="1"/>
  <c r="U46" i="39"/>
  <c r="V46" i="39"/>
  <c r="U47" i="39"/>
  <c r="V47" i="39"/>
  <c r="X47" i="39" s="1"/>
  <c r="U48" i="39"/>
  <c r="V48" i="39"/>
  <c r="U49" i="39"/>
  <c r="V49" i="39"/>
  <c r="X49" i="39" s="1"/>
  <c r="U50" i="39"/>
  <c r="V50" i="39"/>
  <c r="W50" i="39" s="1"/>
  <c r="U51" i="39"/>
  <c r="V51" i="39"/>
  <c r="X51" i="39" s="1"/>
  <c r="U52" i="39"/>
  <c r="V52" i="39"/>
  <c r="W52" i="39" s="1"/>
  <c r="U53" i="39"/>
  <c r="V53" i="39"/>
  <c r="X53" i="39" s="1"/>
  <c r="U54" i="39"/>
  <c r="V54" i="39"/>
  <c r="W54" i="39" s="1"/>
  <c r="U55" i="39"/>
  <c r="V55" i="39"/>
  <c r="X55" i="39" s="1"/>
  <c r="U56" i="39"/>
  <c r="V56" i="39"/>
  <c r="W56" i="39" s="1"/>
  <c r="U57" i="39"/>
  <c r="V57" i="39"/>
  <c r="X57" i="39" s="1"/>
  <c r="U58" i="39"/>
  <c r="V58" i="39"/>
  <c r="W58" i="39" s="1"/>
  <c r="U59" i="39"/>
  <c r="V59" i="39"/>
  <c r="X59" i="39" s="1"/>
  <c r="U60" i="39"/>
  <c r="V60" i="39"/>
  <c r="W60" i="39" s="1"/>
  <c r="U61" i="39"/>
  <c r="V61" i="39"/>
  <c r="X61" i="39" s="1"/>
  <c r="U62" i="39"/>
  <c r="V62" i="39"/>
  <c r="W62" i="39" s="1"/>
  <c r="U63" i="39"/>
  <c r="V63" i="39"/>
  <c r="X63" i="39" s="1"/>
  <c r="U64" i="39"/>
  <c r="V64" i="39"/>
  <c r="W64" i="39" s="1"/>
  <c r="U65" i="39"/>
  <c r="V65" i="39"/>
  <c r="X65" i="39" s="1"/>
  <c r="U66" i="39"/>
  <c r="V66" i="39"/>
  <c r="W66" i="39" s="1"/>
  <c r="U67" i="39"/>
  <c r="V67" i="39"/>
  <c r="X67" i="39" s="1"/>
  <c r="U68" i="39"/>
  <c r="V68" i="39"/>
  <c r="W68" i="39" s="1"/>
  <c r="U69" i="39"/>
  <c r="V69" i="39"/>
  <c r="X69" i="39" s="1"/>
  <c r="U70" i="39"/>
  <c r="V70" i="39"/>
  <c r="W70" i="39" s="1"/>
  <c r="U71" i="39"/>
  <c r="V71" i="39"/>
  <c r="X71" i="39" s="1"/>
  <c r="U72" i="39"/>
  <c r="V72" i="39"/>
  <c r="W72" i="39" s="1"/>
  <c r="U73" i="39"/>
  <c r="V73" i="39"/>
  <c r="X73" i="39" s="1"/>
  <c r="U74" i="39"/>
  <c r="V74" i="39"/>
  <c r="W74" i="39" s="1"/>
  <c r="U75" i="39"/>
  <c r="V75" i="39"/>
  <c r="X75" i="39" s="1"/>
  <c r="U76" i="39"/>
  <c r="V76" i="39"/>
  <c r="W76" i="39" s="1"/>
  <c r="U77" i="39"/>
  <c r="V77" i="39"/>
  <c r="X77" i="39" s="1"/>
  <c r="U78" i="39"/>
  <c r="V78" i="39"/>
  <c r="W78" i="39" s="1"/>
  <c r="U79" i="39"/>
  <c r="V79" i="39"/>
  <c r="X79" i="39" s="1"/>
  <c r="U80" i="39"/>
  <c r="V80" i="39"/>
  <c r="W80" i="39" s="1"/>
  <c r="U81" i="39"/>
  <c r="V81" i="39"/>
  <c r="X81" i="39" s="1"/>
  <c r="U82" i="39"/>
  <c r="V82" i="39"/>
  <c r="W82" i="39" s="1"/>
  <c r="U83" i="39"/>
  <c r="V83" i="39"/>
  <c r="X83" i="39" s="1"/>
  <c r="U84" i="39"/>
  <c r="V84" i="39"/>
  <c r="W84" i="39" s="1"/>
  <c r="U85" i="39"/>
  <c r="V85" i="39"/>
  <c r="X85" i="39" s="1"/>
  <c r="U86" i="39"/>
  <c r="V86" i="39"/>
  <c r="W86" i="39" s="1"/>
  <c r="U87" i="39"/>
  <c r="V87" i="39"/>
  <c r="X87" i="39" s="1"/>
  <c r="U88" i="39"/>
  <c r="V88" i="39"/>
  <c r="W88" i="39" s="1"/>
  <c r="U89" i="39"/>
  <c r="V89" i="39"/>
  <c r="X89" i="39" s="1"/>
  <c r="U90" i="39"/>
  <c r="V90" i="39"/>
  <c r="W90" i="39" s="1"/>
  <c r="U91" i="39"/>
  <c r="V91" i="39"/>
  <c r="X91" i="39" s="1"/>
  <c r="U92" i="39"/>
  <c r="V92" i="39"/>
  <c r="W92" i="39" s="1"/>
  <c r="U93" i="39"/>
  <c r="V93" i="39"/>
  <c r="X93" i="39" s="1"/>
  <c r="U94" i="39"/>
  <c r="V94" i="39"/>
  <c r="W94" i="39" s="1"/>
  <c r="U95" i="39"/>
  <c r="V95" i="39"/>
  <c r="X95" i="39" s="1"/>
  <c r="U96" i="39"/>
  <c r="V96" i="39"/>
  <c r="W96" i="39" s="1"/>
  <c r="U97" i="39"/>
  <c r="V97" i="39"/>
  <c r="X97" i="39" s="1"/>
  <c r="U98" i="39"/>
  <c r="V98" i="39"/>
  <c r="W98" i="39" s="1"/>
  <c r="U99" i="39"/>
  <c r="V99" i="39"/>
  <c r="X99" i="39" s="1"/>
  <c r="U100" i="39"/>
  <c r="V100" i="39"/>
  <c r="W100" i="39" s="1"/>
  <c r="U101" i="39"/>
  <c r="V101" i="39"/>
  <c r="X101" i="39" s="1"/>
  <c r="U102" i="39"/>
  <c r="V102" i="39"/>
  <c r="W102" i="39" s="1"/>
  <c r="U103" i="39"/>
  <c r="V103" i="39"/>
  <c r="X103" i="39" s="1"/>
  <c r="U104" i="39"/>
  <c r="V104" i="39"/>
  <c r="W104" i="39" s="1"/>
  <c r="U105" i="39"/>
  <c r="V105" i="39"/>
  <c r="X105" i="39" s="1"/>
  <c r="U106" i="39"/>
  <c r="V106" i="39"/>
  <c r="W106" i="39" s="1"/>
  <c r="U107" i="39"/>
  <c r="V107" i="39"/>
  <c r="X107" i="39" s="1"/>
  <c r="U108" i="39"/>
  <c r="V108" i="39"/>
  <c r="W108" i="39" s="1"/>
  <c r="U109" i="39"/>
  <c r="V109" i="39"/>
  <c r="X109" i="39" s="1"/>
  <c r="U110" i="39"/>
  <c r="V110" i="39"/>
  <c r="W110" i="39" s="1"/>
  <c r="U111" i="39"/>
  <c r="V111" i="39"/>
  <c r="X111" i="39" s="1"/>
  <c r="U112" i="39"/>
  <c r="V112" i="39"/>
  <c r="W112" i="39" s="1"/>
  <c r="U113" i="39"/>
  <c r="V113" i="39"/>
  <c r="X113" i="39" s="1"/>
  <c r="U114" i="39"/>
  <c r="V114" i="39"/>
  <c r="W114" i="39" s="1"/>
  <c r="U115" i="39"/>
  <c r="V115" i="39"/>
  <c r="X115" i="39" s="1"/>
  <c r="U116" i="39"/>
  <c r="V116" i="39"/>
  <c r="W116" i="39" s="1"/>
  <c r="U117" i="39"/>
  <c r="V117" i="39"/>
  <c r="X117" i="39" s="1"/>
  <c r="U118" i="39"/>
  <c r="V118" i="39"/>
  <c r="W118" i="39" s="1"/>
  <c r="U119" i="39"/>
  <c r="V119" i="39"/>
  <c r="X119" i="39" s="1"/>
  <c r="U120" i="39"/>
  <c r="V120" i="39"/>
  <c r="W120" i="39" s="1"/>
  <c r="U121" i="39"/>
  <c r="V121" i="39"/>
  <c r="X121" i="39" s="1"/>
  <c r="U122" i="39"/>
  <c r="V122" i="39"/>
  <c r="W122" i="39" s="1"/>
  <c r="U123" i="39"/>
  <c r="V123" i="39"/>
  <c r="X123" i="39" s="1"/>
  <c r="U124" i="39"/>
  <c r="V124" i="39"/>
  <c r="W124" i="39" s="1"/>
  <c r="U125" i="39"/>
  <c r="V125" i="39"/>
  <c r="X125" i="39" s="1"/>
  <c r="U126" i="39"/>
  <c r="V126" i="39"/>
  <c r="W126" i="39" s="1"/>
  <c r="U127" i="39"/>
  <c r="V127" i="39"/>
  <c r="X127" i="39" s="1"/>
  <c r="U128" i="39"/>
  <c r="V128" i="39"/>
  <c r="W128" i="39" s="1"/>
  <c r="U129" i="39"/>
  <c r="V129" i="39"/>
  <c r="X129" i="39" s="1"/>
  <c r="U130" i="39"/>
  <c r="V130" i="39"/>
  <c r="W130" i="39" s="1"/>
  <c r="U131" i="39"/>
  <c r="V131" i="39"/>
  <c r="X131" i="39" s="1"/>
  <c r="U132" i="39"/>
  <c r="V132" i="39"/>
  <c r="W132" i="39" s="1"/>
  <c r="U133" i="39"/>
  <c r="V133" i="39"/>
  <c r="X133" i="39" s="1"/>
  <c r="U134" i="39"/>
  <c r="V134" i="39"/>
  <c r="W134" i="39" s="1"/>
  <c r="U135" i="39"/>
  <c r="V135" i="39"/>
  <c r="X135" i="39" s="1"/>
  <c r="U136" i="39"/>
  <c r="V136" i="39"/>
  <c r="W136" i="39" s="1"/>
  <c r="U137" i="39"/>
  <c r="V137" i="39"/>
  <c r="X137" i="39" s="1"/>
  <c r="U138" i="39"/>
  <c r="V138" i="39"/>
  <c r="W138" i="39" s="1"/>
  <c r="U139" i="39"/>
  <c r="V139" i="39"/>
  <c r="X139" i="39" s="1"/>
  <c r="U140" i="39"/>
  <c r="V140" i="39"/>
  <c r="W140" i="39" s="1"/>
  <c r="U141" i="39"/>
  <c r="V141" i="39"/>
  <c r="X141" i="39" s="1"/>
  <c r="U142" i="39"/>
  <c r="V142" i="39"/>
  <c r="W142" i="39" s="1"/>
  <c r="U143" i="39"/>
  <c r="V143" i="39"/>
  <c r="X143" i="39" s="1"/>
  <c r="U144" i="39"/>
  <c r="V144" i="39"/>
  <c r="W144" i="39" s="1"/>
  <c r="U145" i="39"/>
  <c r="V145" i="39"/>
  <c r="X145" i="39" s="1"/>
  <c r="U146" i="39"/>
  <c r="V146" i="39"/>
  <c r="W146" i="39" s="1"/>
  <c r="U147" i="39"/>
  <c r="V147" i="39"/>
  <c r="X147" i="39" s="1"/>
  <c r="U148" i="39"/>
  <c r="V148" i="39"/>
  <c r="W148" i="39" s="1"/>
  <c r="U149" i="39"/>
  <c r="V149" i="39"/>
  <c r="X149" i="39" s="1"/>
  <c r="U150" i="39"/>
  <c r="V150" i="39"/>
  <c r="W150" i="39" s="1"/>
  <c r="U151" i="39"/>
  <c r="V151" i="39"/>
  <c r="X151" i="39" s="1"/>
  <c r="U152" i="39"/>
  <c r="V152" i="39"/>
  <c r="U153" i="39"/>
  <c r="V153" i="39"/>
  <c r="X153" i="39" s="1"/>
  <c r="U154" i="39"/>
  <c r="V154" i="39"/>
  <c r="W154" i="39" s="1"/>
  <c r="U155" i="39"/>
  <c r="V155" i="39"/>
  <c r="X155" i="39" s="1"/>
  <c r="U156" i="39"/>
  <c r="V156" i="39"/>
  <c r="W156" i="39" s="1"/>
  <c r="U157" i="39"/>
  <c r="V157" i="39"/>
  <c r="X157" i="39" s="1"/>
  <c r="U158" i="39"/>
  <c r="V158" i="39"/>
  <c r="W158" i="39" s="1"/>
  <c r="U159" i="39"/>
  <c r="V159" i="39"/>
  <c r="X159" i="39" s="1"/>
  <c r="U160" i="39"/>
  <c r="V160" i="39"/>
  <c r="W160" i="39" s="1"/>
  <c r="U161" i="39"/>
  <c r="V161" i="39"/>
  <c r="X161" i="39" s="1"/>
  <c r="U162" i="39"/>
  <c r="V162" i="39"/>
  <c r="W162" i="39" s="1"/>
  <c r="S61" i="37"/>
  <c r="T61" i="37"/>
  <c r="S62" i="37"/>
  <c r="T62" i="37"/>
  <c r="S63" i="37"/>
  <c r="T63" i="37"/>
  <c r="S64" i="37"/>
  <c r="T64" i="37"/>
  <c r="S65" i="37"/>
  <c r="T65" i="37"/>
  <c r="S66" i="37"/>
  <c r="T66" i="37"/>
  <c r="S67" i="37"/>
  <c r="T67" i="37"/>
  <c r="S68" i="37"/>
  <c r="T68" i="37"/>
  <c r="S69" i="37"/>
  <c r="T69" i="37"/>
  <c r="S70" i="37"/>
  <c r="T70" i="37"/>
  <c r="S71" i="37"/>
  <c r="T71" i="37"/>
  <c r="S72" i="37"/>
  <c r="T72" i="37"/>
  <c r="S73" i="37"/>
  <c r="T73" i="37"/>
  <c r="S74" i="37"/>
  <c r="T74" i="37"/>
  <c r="S75" i="37"/>
  <c r="T75" i="37"/>
  <c r="T60" i="37"/>
  <c r="S60" i="37"/>
  <c r="S41" i="37"/>
  <c r="T41" i="37"/>
  <c r="S42" i="37"/>
  <c r="T42" i="37"/>
  <c r="S43" i="37"/>
  <c r="T43" i="37"/>
  <c r="S44" i="37"/>
  <c r="T44" i="37"/>
  <c r="S45" i="37"/>
  <c r="T45" i="37"/>
  <c r="S46" i="37"/>
  <c r="T46" i="37"/>
  <c r="S47" i="37"/>
  <c r="T47" i="37"/>
  <c r="S48" i="37"/>
  <c r="T48" i="37"/>
  <c r="S49" i="37"/>
  <c r="T49" i="37"/>
  <c r="S50" i="37"/>
  <c r="T50" i="37"/>
  <c r="S51" i="37"/>
  <c r="T51" i="37"/>
  <c r="S52" i="37"/>
  <c r="T52" i="37"/>
  <c r="S53" i="37"/>
  <c r="T53" i="37"/>
  <c r="S54" i="37"/>
  <c r="T54" i="37"/>
  <c r="S55" i="37"/>
  <c r="T55" i="37"/>
  <c r="S56" i="37"/>
  <c r="T56" i="37"/>
  <c r="T40" i="37"/>
  <c r="S40" i="37"/>
  <c r="S21" i="37"/>
  <c r="T21" i="37"/>
  <c r="S22" i="37"/>
  <c r="T22" i="37"/>
  <c r="S23" i="37"/>
  <c r="T23" i="37"/>
  <c r="S24" i="37"/>
  <c r="T24" i="37"/>
  <c r="S25" i="37"/>
  <c r="T25" i="37"/>
  <c r="S26" i="37"/>
  <c r="T26" i="37"/>
  <c r="S27" i="37"/>
  <c r="T27" i="37"/>
  <c r="S28" i="37"/>
  <c r="T28" i="37"/>
  <c r="S29" i="37"/>
  <c r="T29" i="37"/>
  <c r="S30" i="37"/>
  <c r="T30" i="37"/>
  <c r="S31" i="37"/>
  <c r="T31" i="37"/>
  <c r="S32" i="37"/>
  <c r="T32" i="37"/>
  <c r="S33" i="37"/>
  <c r="T33" i="37"/>
  <c r="S34" i="37"/>
  <c r="T34" i="37"/>
  <c r="S35" i="37"/>
  <c r="T35" i="37"/>
  <c r="S36" i="37"/>
  <c r="T36" i="37"/>
  <c r="T20" i="37"/>
  <c r="S20" i="37"/>
  <c r="T37" i="37" l="1"/>
  <c r="T76" i="37"/>
  <c r="T57" i="37"/>
  <c r="W152" i="39"/>
  <c r="X152" i="39"/>
  <c r="W139" i="39"/>
  <c r="W281" i="39"/>
  <c r="W419" i="39"/>
  <c r="W203" i="39"/>
  <c r="W295" i="39"/>
  <c r="W355" i="39"/>
  <c r="W231" i="39"/>
  <c r="W215" i="39"/>
  <c r="W255" i="39"/>
  <c r="W339" i="39"/>
  <c r="W307" i="39"/>
  <c r="W179" i="39"/>
  <c r="W283" i="39"/>
  <c r="W333" i="39"/>
  <c r="W391" i="39"/>
  <c r="W243" i="39"/>
  <c r="W185" i="39"/>
  <c r="W125" i="39"/>
  <c r="W313" i="39"/>
  <c r="W191" i="39"/>
  <c r="W267" i="39"/>
  <c r="W217" i="39"/>
  <c r="W367" i="39"/>
  <c r="W153" i="39"/>
  <c r="W67" i="39"/>
  <c r="W297" i="39"/>
  <c r="W223" i="39"/>
  <c r="W187" i="39"/>
  <c r="W411" i="39"/>
  <c r="W311" i="39"/>
  <c r="W275" i="39"/>
  <c r="W201" i="39"/>
  <c r="W433" i="39"/>
  <c r="W395" i="39"/>
  <c r="W331" i="39"/>
  <c r="W113" i="39"/>
  <c r="W299" i="39"/>
  <c r="W259" i="39"/>
  <c r="W211" i="39"/>
  <c r="W171" i="39"/>
  <c r="W375" i="39"/>
  <c r="W291" i="39"/>
  <c r="W239" i="39"/>
  <c r="W199" i="39"/>
  <c r="W427" i="39"/>
  <c r="W351" i="39"/>
  <c r="W423" i="39"/>
  <c r="W399" i="39"/>
  <c r="W385" i="39"/>
  <c r="W371" i="39"/>
  <c r="W415" i="39"/>
  <c r="W401" i="39"/>
  <c r="W387" i="39"/>
  <c r="W363" i="39"/>
  <c r="W407" i="39"/>
  <c r="W383" i="39"/>
  <c r="W369" i="39"/>
  <c r="W431" i="39"/>
  <c r="W417" i="39"/>
  <c r="W403" i="39"/>
  <c r="W379" i="39"/>
  <c r="W347" i="39"/>
  <c r="W271" i="39"/>
  <c r="W247" i="39"/>
  <c r="W233" i="39"/>
  <c r="W219" i="39"/>
  <c r="W195" i="39"/>
  <c r="W287" i="39"/>
  <c r="W263" i="39"/>
  <c r="W249" i="39"/>
  <c r="W235" i="39"/>
  <c r="W207" i="39"/>
  <c r="W183" i="39"/>
  <c r="W169" i="39"/>
  <c r="W303" i="39"/>
  <c r="W279" i="39"/>
  <c r="W265" i="39"/>
  <c r="W251" i="39"/>
  <c r="W227" i="39"/>
  <c r="W175" i="39"/>
  <c r="W71" i="39"/>
  <c r="W93" i="39"/>
  <c r="W31" i="39"/>
  <c r="X58" i="39"/>
  <c r="W157" i="39"/>
  <c r="W335" i="39"/>
  <c r="W91" i="39"/>
  <c r="W301" i="39"/>
  <c r="W285" i="39"/>
  <c r="W269" i="39"/>
  <c r="W253" i="39"/>
  <c r="W237" i="39"/>
  <c r="W221" i="39"/>
  <c r="W205" i="39"/>
  <c r="W189" i="39"/>
  <c r="W173" i="39"/>
  <c r="W421" i="39"/>
  <c r="W405" i="39"/>
  <c r="W389" i="39"/>
  <c r="W373" i="39"/>
  <c r="W357" i="39"/>
  <c r="W341" i="39"/>
  <c r="W353" i="39"/>
  <c r="W337" i="39"/>
  <c r="W359" i="39"/>
  <c r="W343" i="39"/>
  <c r="W145" i="39"/>
  <c r="W123" i="39"/>
  <c r="W55" i="39"/>
  <c r="X28" i="39"/>
  <c r="W309" i="39"/>
  <c r="W293" i="39"/>
  <c r="W277" i="39"/>
  <c r="W261" i="39"/>
  <c r="W245" i="39"/>
  <c r="W229" i="39"/>
  <c r="W213" i="39"/>
  <c r="W197" i="39"/>
  <c r="W181" i="39"/>
  <c r="W429" i="39"/>
  <c r="W413" i="39"/>
  <c r="W397" i="39"/>
  <c r="W381" i="39"/>
  <c r="W365" i="39"/>
  <c r="W349" i="39"/>
  <c r="W155" i="39"/>
  <c r="W137" i="39"/>
  <c r="W107" i="39"/>
  <c r="W305" i="39"/>
  <c r="W289" i="39"/>
  <c r="W273" i="39"/>
  <c r="W257" i="39"/>
  <c r="W241" i="39"/>
  <c r="W225" i="39"/>
  <c r="W209" i="39"/>
  <c r="W193" i="39"/>
  <c r="W177" i="39"/>
  <c r="W425" i="39"/>
  <c r="W409" i="39"/>
  <c r="W393" i="39"/>
  <c r="W377" i="39"/>
  <c r="W361" i="39"/>
  <c r="W345" i="39"/>
  <c r="S37" i="37"/>
  <c r="X432" i="39"/>
  <c r="X430" i="39"/>
  <c r="X428" i="39"/>
  <c r="X426" i="39"/>
  <c r="X424" i="39"/>
  <c r="X422" i="39"/>
  <c r="X420" i="39"/>
  <c r="X418" i="39"/>
  <c r="X416" i="39"/>
  <c r="X414" i="39"/>
  <c r="X412" i="39"/>
  <c r="X410" i="39"/>
  <c r="X408" i="39"/>
  <c r="X406" i="39"/>
  <c r="X404" i="39"/>
  <c r="X402" i="39"/>
  <c r="X400" i="39"/>
  <c r="X398" i="39"/>
  <c r="X396" i="39"/>
  <c r="X394" i="39"/>
  <c r="X392" i="39"/>
  <c r="X390" i="39"/>
  <c r="X388" i="39"/>
  <c r="X386" i="39"/>
  <c r="X384" i="39"/>
  <c r="X382" i="39"/>
  <c r="X380" i="39"/>
  <c r="X378" i="39"/>
  <c r="X376" i="39"/>
  <c r="X374" i="39"/>
  <c r="X372" i="39"/>
  <c r="X370" i="39"/>
  <c r="X368" i="39"/>
  <c r="X366" i="39"/>
  <c r="X364" i="39"/>
  <c r="X362" i="39"/>
  <c r="X360" i="39"/>
  <c r="X358" i="39"/>
  <c r="X356" i="39"/>
  <c r="X354" i="39"/>
  <c r="X352" i="39"/>
  <c r="X350" i="39"/>
  <c r="X348" i="39"/>
  <c r="X346" i="39"/>
  <c r="X344" i="39"/>
  <c r="X342" i="39"/>
  <c r="X340" i="39"/>
  <c r="X338" i="39"/>
  <c r="X336" i="39"/>
  <c r="X334" i="39"/>
  <c r="X332" i="39"/>
  <c r="X330" i="39"/>
  <c r="X312" i="39"/>
  <c r="X310" i="39"/>
  <c r="X308" i="39"/>
  <c r="X306" i="39"/>
  <c r="X304" i="39"/>
  <c r="X302" i="39"/>
  <c r="X300" i="39"/>
  <c r="X298" i="39"/>
  <c r="X296" i="39"/>
  <c r="X294" i="39"/>
  <c r="X292" i="39"/>
  <c r="X290" i="39"/>
  <c r="X288" i="39"/>
  <c r="X286" i="39"/>
  <c r="X284" i="39"/>
  <c r="X282" i="39"/>
  <c r="X280" i="39"/>
  <c r="X278" i="39"/>
  <c r="X276" i="39"/>
  <c r="X274" i="39"/>
  <c r="X272" i="39"/>
  <c r="X270" i="39"/>
  <c r="X268" i="39"/>
  <c r="X266" i="39"/>
  <c r="X264" i="39"/>
  <c r="X262" i="39"/>
  <c r="X260" i="39"/>
  <c r="X258" i="39"/>
  <c r="X256" i="39"/>
  <c r="X254" i="39"/>
  <c r="X252" i="39"/>
  <c r="X250" i="39"/>
  <c r="X248" i="39"/>
  <c r="X246" i="39"/>
  <c r="X244" i="39"/>
  <c r="X242" i="39"/>
  <c r="X240" i="39"/>
  <c r="X238" i="39"/>
  <c r="X236" i="39"/>
  <c r="X234" i="39"/>
  <c r="X232" i="39"/>
  <c r="X230" i="39"/>
  <c r="X228" i="39"/>
  <c r="X226" i="39"/>
  <c r="X224" i="39"/>
  <c r="X222" i="39"/>
  <c r="X220" i="39"/>
  <c r="X218" i="39"/>
  <c r="X216" i="39"/>
  <c r="X214" i="39"/>
  <c r="X212" i="39"/>
  <c r="X210" i="39"/>
  <c r="X208" i="39"/>
  <c r="X206" i="39"/>
  <c r="X204" i="39"/>
  <c r="X202" i="39"/>
  <c r="X200" i="39"/>
  <c r="X198" i="39"/>
  <c r="X196" i="39"/>
  <c r="X194" i="39"/>
  <c r="X192" i="39"/>
  <c r="X190" i="39"/>
  <c r="X188" i="39"/>
  <c r="X186" i="39"/>
  <c r="X184" i="39"/>
  <c r="X182" i="39"/>
  <c r="X180" i="39"/>
  <c r="X178" i="39"/>
  <c r="X176" i="39"/>
  <c r="X174" i="39"/>
  <c r="X172" i="39"/>
  <c r="X170" i="39"/>
  <c r="X168" i="39"/>
  <c r="W161" i="39"/>
  <c r="W129" i="39"/>
  <c r="W97" i="39"/>
  <c r="W83" i="39"/>
  <c r="W47" i="39"/>
  <c r="W121" i="39"/>
  <c r="W89" i="39"/>
  <c r="W59" i="39"/>
  <c r="X56" i="39"/>
  <c r="W141" i="39"/>
  <c r="W109" i="39"/>
  <c r="W81" i="39"/>
  <c r="W45" i="39"/>
  <c r="W105" i="39"/>
  <c r="W151" i="39"/>
  <c r="W135" i="39"/>
  <c r="W119" i="39"/>
  <c r="W103" i="39"/>
  <c r="W87" i="39"/>
  <c r="W63" i="39"/>
  <c r="X50" i="39"/>
  <c r="X22" i="39"/>
  <c r="X16" i="39"/>
  <c r="W147" i="39"/>
  <c r="W131" i="39"/>
  <c r="W115" i="39"/>
  <c r="W99" i="39"/>
  <c r="X24" i="39"/>
  <c r="W21" i="39"/>
  <c r="X18" i="39"/>
  <c r="W159" i="39"/>
  <c r="W143" i="39"/>
  <c r="W127" i="39"/>
  <c r="W111" i="39"/>
  <c r="W95" i="39"/>
  <c r="W79" i="39"/>
  <c r="W149" i="39"/>
  <c r="W133" i="39"/>
  <c r="W117" i="39"/>
  <c r="W101" i="39"/>
  <c r="W85" i="39"/>
  <c r="W75" i="39"/>
  <c r="W51" i="39"/>
  <c r="X14" i="39"/>
  <c r="W29" i="39"/>
  <c r="X26" i="39"/>
  <c r="X20" i="39"/>
  <c r="W42" i="39"/>
  <c r="X42" i="39"/>
  <c r="X160" i="39"/>
  <c r="X144" i="39"/>
  <c r="X136" i="39"/>
  <c r="X128" i="39"/>
  <c r="X120" i="39"/>
  <c r="X112" i="39"/>
  <c r="X104" i="39"/>
  <c r="X96" i="39"/>
  <c r="X88" i="39"/>
  <c r="X80" i="39"/>
  <c r="X72" i="39"/>
  <c r="X64" i="39"/>
  <c r="W48" i="39"/>
  <c r="X48" i="39"/>
  <c r="W35" i="39"/>
  <c r="W77" i="39"/>
  <c r="W69" i="39"/>
  <c r="W61" i="39"/>
  <c r="W53" i="39"/>
  <c r="W41" i="39"/>
  <c r="W38" i="39"/>
  <c r="X38" i="39"/>
  <c r="W23" i="39"/>
  <c r="W15" i="39"/>
  <c r="X162" i="39"/>
  <c r="X154" i="39"/>
  <c r="X146" i="39"/>
  <c r="X138" i="39"/>
  <c r="X130" i="39"/>
  <c r="X122" i="39"/>
  <c r="X114" i="39"/>
  <c r="X106" i="39"/>
  <c r="X98" i="39"/>
  <c r="X90" i="39"/>
  <c r="X82" i="39"/>
  <c r="X74" i="39"/>
  <c r="X66" i="39"/>
  <c r="W44" i="39"/>
  <c r="X44" i="39"/>
  <c r="W37" i="39"/>
  <c r="W34" i="39"/>
  <c r="X34" i="39"/>
  <c r="W25" i="39"/>
  <c r="W17" i="39"/>
  <c r="X156" i="39"/>
  <c r="X148" i="39"/>
  <c r="X140" i="39"/>
  <c r="X132" i="39"/>
  <c r="X124" i="39"/>
  <c r="X116" i="39"/>
  <c r="X108" i="39"/>
  <c r="X100" i="39"/>
  <c r="X92" i="39"/>
  <c r="X84" i="39"/>
  <c r="X76" i="39"/>
  <c r="X68" i="39"/>
  <c r="X60" i="39"/>
  <c r="X52" i="39"/>
  <c r="W43" i="39"/>
  <c r="W40" i="39"/>
  <c r="X40" i="39"/>
  <c r="W73" i="39"/>
  <c r="W65" i="39"/>
  <c r="W57" i="39"/>
  <c r="W49" i="39"/>
  <c r="W46" i="39"/>
  <c r="X46" i="39"/>
  <c r="W33" i="39"/>
  <c r="W27" i="39"/>
  <c r="W19" i="39"/>
  <c r="X158" i="39"/>
  <c r="X150" i="39"/>
  <c r="X142" i="39"/>
  <c r="X134" i="39"/>
  <c r="X126" i="39"/>
  <c r="X118" i="39"/>
  <c r="X110" i="39"/>
  <c r="X102" i="39"/>
  <c r="X94" i="39"/>
  <c r="X86" i="39"/>
  <c r="X78" i="39"/>
  <c r="X70" i="39"/>
  <c r="X62" i="39"/>
  <c r="X54" i="39"/>
  <c r="W39" i="39"/>
  <c r="W36" i="39"/>
  <c r="X36" i="39"/>
  <c r="X32" i="39"/>
  <c r="X30" i="39"/>
  <c r="AG56" i="7"/>
  <c r="AG57" i="7"/>
  <c r="AG58" i="7"/>
  <c r="AG59" i="7"/>
  <c r="AG55" i="7"/>
  <c r="R56" i="7" l="1"/>
  <c r="AO56" i="7" s="1"/>
  <c r="M1697" i="3" s="1"/>
  <c r="R57" i="7"/>
  <c r="AO57" i="7" s="1"/>
  <c r="L1697" i="3" s="1"/>
  <c r="R58" i="7"/>
  <c r="AO58" i="7" s="1"/>
  <c r="K1697" i="3" s="1"/>
  <c r="R59" i="7"/>
  <c r="AO59" i="7" s="1"/>
  <c r="I1697" i="3" s="1"/>
  <c r="E597" i="51"/>
  <c r="F597" i="51"/>
  <c r="G597" i="51"/>
  <c r="H597" i="51"/>
  <c r="I597" i="51"/>
  <c r="J597" i="51"/>
  <c r="K597" i="51"/>
  <c r="L597" i="51"/>
  <c r="M597" i="51"/>
  <c r="N597" i="51"/>
  <c r="O597" i="51"/>
  <c r="P597" i="51"/>
  <c r="Q597" i="51"/>
  <c r="R597" i="51"/>
  <c r="S597" i="51"/>
  <c r="T597" i="51"/>
  <c r="U597" i="51"/>
  <c r="V597" i="51"/>
  <c r="W597" i="51"/>
  <c r="X597" i="51"/>
  <c r="AY28" i="31"/>
  <c r="AT598" i="51" l="1"/>
  <c r="AV598" i="51"/>
  <c r="AU598" i="51"/>
  <c r="AW598" i="51"/>
  <c r="D597" i="51"/>
  <c r="AY27" i="31" l="1"/>
  <c r="AB13" i="2" l="1"/>
  <c r="G13" i="32"/>
  <c r="I219" i="39"/>
  <c r="J219" i="39"/>
  <c r="K219" i="39" s="1"/>
  <c r="I220" i="39"/>
  <c r="J220" i="39"/>
  <c r="K220" i="39" s="1"/>
  <c r="I221" i="39"/>
  <c r="J221" i="39"/>
  <c r="K221" i="39" s="1"/>
  <c r="I222" i="39"/>
  <c r="J222" i="39"/>
  <c r="I223" i="39"/>
  <c r="J223" i="39"/>
  <c r="L223" i="39" s="1"/>
  <c r="I224" i="39"/>
  <c r="J224" i="39"/>
  <c r="I225" i="39"/>
  <c r="J225" i="39"/>
  <c r="K225" i="39" s="1"/>
  <c r="I226" i="39"/>
  <c r="J226" i="39"/>
  <c r="I227" i="39"/>
  <c r="J227" i="39"/>
  <c r="K227" i="39" s="1"/>
  <c r="I228" i="39"/>
  <c r="J228" i="39"/>
  <c r="I229" i="39"/>
  <c r="J229" i="39"/>
  <c r="K229" i="39" s="1"/>
  <c r="I230" i="39"/>
  <c r="J230" i="39"/>
  <c r="I231" i="39"/>
  <c r="J231" i="39"/>
  <c r="L231" i="39" s="1"/>
  <c r="I232" i="39"/>
  <c r="J232" i="39"/>
  <c r="I233" i="39"/>
  <c r="J233" i="39"/>
  <c r="L233" i="39" s="1"/>
  <c r="I234" i="39"/>
  <c r="J234" i="39"/>
  <c r="I235" i="39"/>
  <c r="J235" i="39"/>
  <c r="K235" i="39" s="1"/>
  <c r="I236" i="39"/>
  <c r="J236" i="39"/>
  <c r="I237" i="39"/>
  <c r="J237" i="39"/>
  <c r="K237" i="39" s="1"/>
  <c r="I238" i="39"/>
  <c r="J238" i="39"/>
  <c r="I239" i="39"/>
  <c r="J239" i="39"/>
  <c r="L239" i="39" s="1"/>
  <c r="I240" i="39"/>
  <c r="J240" i="39"/>
  <c r="I241" i="39"/>
  <c r="J241" i="39"/>
  <c r="L241" i="39" s="1"/>
  <c r="I242" i="39"/>
  <c r="J242" i="39"/>
  <c r="I243" i="39"/>
  <c r="J243" i="39"/>
  <c r="K243" i="39" s="1"/>
  <c r="I244" i="39"/>
  <c r="J244" i="39"/>
  <c r="I245" i="39"/>
  <c r="J245" i="39"/>
  <c r="K245" i="39" s="1"/>
  <c r="I246" i="39"/>
  <c r="J246" i="39"/>
  <c r="I247" i="39"/>
  <c r="J247" i="39"/>
  <c r="L247" i="39" s="1"/>
  <c r="I248" i="39"/>
  <c r="J248" i="39"/>
  <c r="I249" i="39"/>
  <c r="J249" i="39"/>
  <c r="L249" i="39" s="1"/>
  <c r="I250" i="39"/>
  <c r="J250" i="39"/>
  <c r="I251" i="39"/>
  <c r="J251" i="39"/>
  <c r="K251" i="39" s="1"/>
  <c r="I252" i="39"/>
  <c r="J252" i="39"/>
  <c r="I253" i="39"/>
  <c r="J253" i="39"/>
  <c r="K253" i="39" s="1"/>
  <c r="I254" i="39"/>
  <c r="J254" i="39"/>
  <c r="I255" i="39"/>
  <c r="J255" i="39"/>
  <c r="L255" i="39" s="1"/>
  <c r="I256" i="39"/>
  <c r="J256" i="39"/>
  <c r="I257" i="39"/>
  <c r="J257" i="39"/>
  <c r="L257" i="39" s="1"/>
  <c r="I258" i="39"/>
  <c r="J258" i="39"/>
  <c r="I259" i="39"/>
  <c r="J259" i="39"/>
  <c r="K259" i="39" s="1"/>
  <c r="I260" i="39"/>
  <c r="J260" i="39"/>
  <c r="I261" i="39"/>
  <c r="J261" i="39"/>
  <c r="K261" i="39" s="1"/>
  <c r="I262" i="39"/>
  <c r="J262" i="39"/>
  <c r="I263" i="39"/>
  <c r="J263" i="39"/>
  <c r="L263" i="39" s="1"/>
  <c r="I264" i="39"/>
  <c r="J264" i="39"/>
  <c r="I265" i="39"/>
  <c r="J265" i="39"/>
  <c r="L265" i="39" s="1"/>
  <c r="I266" i="39"/>
  <c r="J266" i="39"/>
  <c r="I267" i="39"/>
  <c r="J267" i="39"/>
  <c r="K267" i="39" s="1"/>
  <c r="I268" i="39"/>
  <c r="J268" i="39"/>
  <c r="I269" i="39"/>
  <c r="J269" i="39"/>
  <c r="K269" i="39" s="1"/>
  <c r="I270" i="39"/>
  <c r="J270" i="39"/>
  <c r="I271" i="39"/>
  <c r="J271" i="39"/>
  <c r="L271" i="39" s="1"/>
  <c r="I272" i="39"/>
  <c r="J272" i="39"/>
  <c r="I273" i="39"/>
  <c r="J273" i="39"/>
  <c r="L273" i="39" s="1"/>
  <c r="I274" i="39"/>
  <c r="J274" i="39"/>
  <c r="I275" i="39"/>
  <c r="J275" i="39"/>
  <c r="K275" i="39" s="1"/>
  <c r="I276" i="39"/>
  <c r="J276" i="39"/>
  <c r="I277" i="39"/>
  <c r="J277" i="39"/>
  <c r="K277" i="39" s="1"/>
  <c r="I278" i="39"/>
  <c r="J278" i="39"/>
  <c r="I279" i="39"/>
  <c r="J279" i="39"/>
  <c r="L279" i="39" s="1"/>
  <c r="I280" i="39"/>
  <c r="J280" i="39"/>
  <c r="I281" i="39"/>
  <c r="J281" i="39"/>
  <c r="L281" i="39" s="1"/>
  <c r="I282" i="39"/>
  <c r="J282" i="39"/>
  <c r="I283" i="39"/>
  <c r="J283" i="39"/>
  <c r="K283" i="39" s="1"/>
  <c r="I284" i="39"/>
  <c r="J284" i="39"/>
  <c r="I285" i="39"/>
  <c r="J285" i="39"/>
  <c r="K285" i="39" s="1"/>
  <c r="I286" i="39"/>
  <c r="J286" i="39"/>
  <c r="I287" i="39"/>
  <c r="J287" i="39"/>
  <c r="L287" i="39" s="1"/>
  <c r="I288" i="39"/>
  <c r="J288" i="39"/>
  <c r="I289" i="39"/>
  <c r="J289" i="39"/>
  <c r="L289" i="39" s="1"/>
  <c r="I290" i="39"/>
  <c r="J290" i="39"/>
  <c r="H111" i="39"/>
  <c r="I135" i="39"/>
  <c r="J135" i="39"/>
  <c r="K135" i="39" s="1"/>
  <c r="I136" i="39"/>
  <c r="J136" i="39"/>
  <c r="K136" i="39" s="1"/>
  <c r="I137" i="39"/>
  <c r="J137" i="39"/>
  <c r="K137" i="39" s="1"/>
  <c r="I138" i="39"/>
  <c r="J138" i="39"/>
  <c r="L138" i="39" s="1"/>
  <c r="I139" i="39"/>
  <c r="J139" i="39"/>
  <c r="K139" i="39" s="1"/>
  <c r="I140" i="39"/>
  <c r="J140" i="39"/>
  <c r="L140" i="39" s="1"/>
  <c r="I141" i="39"/>
  <c r="J141" i="39"/>
  <c r="K141" i="39" s="1"/>
  <c r="I142" i="39"/>
  <c r="J142" i="39"/>
  <c r="L142" i="39" s="1"/>
  <c r="I143" i="39"/>
  <c r="J143" i="39"/>
  <c r="K143" i="39" s="1"/>
  <c r="I144" i="39"/>
  <c r="J144" i="39"/>
  <c r="L144" i="39" s="1"/>
  <c r="C13" i="37"/>
  <c r="C16" i="37"/>
  <c r="H13" i="37"/>
  <c r="I33" i="37"/>
  <c r="J33" i="37"/>
  <c r="I34" i="37"/>
  <c r="J34" i="37"/>
  <c r="I35" i="37"/>
  <c r="J35" i="37"/>
  <c r="I36" i="37"/>
  <c r="J36" i="37"/>
  <c r="I37" i="37"/>
  <c r="J37" i="37"/>
  <c r="I38" i="37"/>
  <c r="J38" i="37"/>
  <c r="I39" i="37"/>
  <c r="J39" i="37"/>
  <c r="I40" i="37"/>
  <c r="J40" i="37"/>
  <c r="I41" i="37"/>
  <c r="J41" i="37"/>
  <c r="I42" i="37"/>
  <c r="J42" i="37"/>
  <c r="J32" i="37"/>
  <c r="I32" i="37"/>
  <c r="J26" i="37"/>
  <c r="I26" i="37"/>
  <c r="I21" i="37"/>
  <c r="I20" i="37"/>
  <c r="J44" i="37" l="1"/>
  <c r="J29" i="37"/>
  <c r="I29" i="37"/>
  <c r="I23" i="37"/>
  <c r="I13" i="37" s="1"/>
  <c r="C17" i="37"/>
  <c r="J13" i="32"/>
  <c r="L237" i="39"/>
  <c r="L245" i="39"/>
  <c r="K273" i="39"/>
  <c r="L225" i="39"/>
  <c r="K239" i="39"/>
  <c r="L269" i="39"/>
  <c r="L253" i="39"/>
  <c r="K279" i="39"/>
  <c r="L261" i="39"/>
  <c r="K289" i="39"/>
  <c r="K271" i="39"/>
  <c r="K281" i="39"/>
  <c r="K263" i="39"/>
  <c r="K223" i="39"/>
  <c r="L229" i="39"/>
  <c r="K287" i="39"/>
  <c r="L277" i="39"/>
  <c r="K233" i="39"/>
  <c r="K249" i="39"/>
  <c r="K265" i="39"/>
  <c r="K255" i="39"/>
  <c r="L285" i="39"/>
  <c r="K241" i="39"/>
  <c r="K231" i="39"/>
  <c r="L221" i="39"/>
  <c r="K257" i="39"/>
  <c r="K247" i="39"/>
  <c r="K290" i="39"/>
  <c r="L290" i="39"/>
  <c r="K282" i="39"/>
  <c r="L282" i="39"/>
  <c r="K274" i="39"/>
  <c r="L274" i="39"/>
  <c r="K266" i="39"/>
  <c r="L266" i="39"/>
  <c r="K258" i="39"/>
  <c r="L258" i="39"/>
  <c r="K250" i="39"/>
  <c r="L250" i="39"/>
  <c r="K242" i="39"/>
  <c r="L242" i="39"/>
  <c r="K234" i="39"/>
  <c r="L234" i="39"/>
  <c r="K226" i="39"/>
  <c r="L226" i="39"/>
  <c r="K284" i="39"/>
  <c r="L284" i="39"/>
  <c r="K276" i="39"/>
  <c r="L276" i="39"/>
  <c r="K268" i="39"/>
  <c r="L268" i="39"/>
  <c r="K260" i="39"/>
  <c r="L260" i="39"/>
  <c r="K252" i="39"/>
  <c r="L252" i="39"/>
  <c r="K244" i="39"/>
  <c r="L244" i="39"/>
  <c r="K236" i="39"/>
  <c r="L236" i="39"/>
  <c r="K228" i="39"/>
  <c r="L228" i="39"/>
  <c r="K286" i="39"/>
  <c r="L286" i="39"/>
  <c r="L283" i="39"/>
  <c r="K278" i="39"/>
  <c r="L278" i="39"/>
  <c r="L275" i="39"/>
  <c r="K270" i="39"/>
  <c r="L270" i="39"/>
  <c r="L267" i="39"/>
  <c r="K262" i="39"/>
  <c r="L262" i="39"/>
  <c r="L259" i="39"/>
  <c r="K254" i="39"/>
  <c r="L254" i="39"/>
  <c r="L251" i="39"/>
  <c r="K246" i="39"/>
  <c r="L246" i="39"/>
  <c r="L243" i="39"/>
  <c r="K238" i="39"/>
  <c r="L238" i="39"/>
  <c r="L235" i="39"/>
  <c r="K230" i="39"/>
  <c r="L230" i="39"/>
  <c r="L227" i="39"/>
  <c r="K222" i="39"/>
  <c r="L222" i="39"/>
  <c r="L219" i="39"/>
  <c r="K288" i="39"/>
  <c r="L288" i="39"/>
  <c r="K280" i="39"/>
  <c r="L280" i="39"/>
  <c r="K272" i="39"/>
  <c r="L272" i="39"/>
  <c r="K264" i="39"/>
  <c r="L264" i="39"/>
  <c r="K256" i="39"/>
  <c r="L256" i="39"/>
  <c r="K248" i="39"/>
  <c r="L248" i="39"/>
  <c r="K240" i="39"/>
  <c r="L240" i="39"/>
  <c r="K232" i="39"/>
  <c r="L232" i="39"/>
  <c r="K224" i="39"/>
  <c r="L224" i="39"/>
  <c r="L220" i="39"/>
  <c r="K140" i="39"/>
  <c r="K144" i="39"/>
  <c r="L136" i="39"/>
  <c r="K142" i="39"/>
  <c r="K138" i="39"/>
  <c r="L143" i="39"/>
  <c r="L141" i="39"/>
  <c r="L139" i="39"/>
  <c r="L137" i="39"/>
  <c r="L135" i="39"/>
  <c r="G12" i="32" l="1"/>
  <c r="C324" i="39" l="1"/>
  <c r="D324" i="39"/>
  <c r="E324" i="39" s="1"/>
  <c r="C325" i="39"/>
  <c r="D325" i="39"/>
  <c r="C326" i="39"/>
  <c r="D326" i="39"/>
  <c r="C327" i="39"/>
  <c r="D327" i="39"/>
  <c r="C328" i="39"/>
  <c r="D328" i="39"/>
  <c r="C329" i="39"/>
  <c r="D329" i="39"/>
  <c r="C330" i="39"/>
  <c r="D330" i="39"/>
  <c r="C331" i="39"/>
  <c r="D331" i="39"/>
  <c r="C332" i="39"/>
  <c r="D332" i="39"/>
  <c r="C333" i="39"/>
  <c r="D333" i="39"/>
  <c r="C334" i="39"/>
  <c r="D334" i="39"/>
  <c r="C335" i="39"/>
  <c r="D335" i="39"/>
  <c r="C336" i="39"/>
  <c r="D336" i="39"/>
  <c r="C337" i="39"/>
  <c r="D337" i="39"/>
  <c r="C338" i="39"/>
  <c r="D338" i="39"/>
  <c r="C339" i="39"/>
  <c r="D339" i="39"/>
  <c r="C340" i="39"/>
  <c r="D340" i="39"/>
  <c r="C341" i="39"/>
  <c r="D341" i="39"/>
  <c r="C342" i="39"/>
  <c r="D342" i="39"/>
  <c r="C343" i="39"/>
  <c r="D343" i="39"/>
  <c r="C344" i="39"/>
  <c r="D344" i="39"/>
  <c r="C345" i="39"/>
  <c r="D345" i="39"/>
  <c r="C346" i="39"/>
  <c r="D346" i="39"/>
  <c r="C347" i="39"/>
  <c r="D347" i="39"/>
  <c r="C348" i="39"/>
  <c r="D348" i="39"/>
  <c r="C349" i="39"/>
  <c r="D349" i="39"/>
  <c r="C350" i="39"/>
  <c r="D350" i="39"/>
  <c r="C351" i="39"/>
  <c r="D351" i="39"/>
  <c r="C352" i="39"/>
  <c r="D352" i="39"/>
  <c r="C353" i="39"/>
  <c r="D353" i="39"/>
  <c r="C354" i="39"/>
  <c r="D354" i="39"/>
  <c r="C355" i="39"/>
  <c r="D355" i="39"/>
  <c r="C356" i="39"/>
  <c r="D356" i="39"/>
  <c r="C357" i="39"/>
  <c r="D357" i="39"/>
  <c r="C358" i="39"/>
  <c r="D358" i="39"/>
  <c r="C359" i="39"/>
  <c r="D359" i="39"/>
  <c r="C360" i="39"/>
  <c r="D360" i="39"/>
  <c r="C361" i="39"/>
  <c r="D361" i="39"/>
  <c r="C362" i="39"/>
  <c r="D362" i="39"/>
  <c r="C363" i="39"/>
  <c r="D363" i="39"/>
  <c r="C364" i="39"/>
  <c r="D364" i="39"/>
  <c r="C365" i="39"/>
  <c r="D365" i="39"/>
  <c r="C366" i="39"/>
  <c r="D366" i="39"/>
  <c r="C367" i="39"/>
  <c r="D367" i="39"/>
  <c r="C368" i="39"/>
  <c r="D368" i="39"/>
  <c r="C369" i="39"/>
  <c r="D369" i="39"/>
  <c r="C370" i="39"/>
  <c r="D370" i="39"/>
  <c r="C371" i="39"/>
  <c r="D371" i="39"/>
  <c r="C372" i="39"/>
  <c r="D372" i="39"/>
  <c r="C373" i="39"/>
  <c r="D373" i="39"/>
  <c r="C374" i="39"/>
  <c r="D374" i="39"/>
  <c r="C375" i="39"/>
  <c r="D375" i="39"/>
  <c r="C376" i="39"/>
  <c r="D376" i="39"/>
  <c r="C377" i="39"/>
  <c r="D377" i="39"/>
  <c r="C378" i="39"/>
  <c r="D378" i="39"/>
  <c r="C379" i="39"/>
  <c r="D379" i="39"/>
  <c r="C144" i="39"/>
  <c r="D144" i="39"/>
  <c r="E144" i="39" s="1"/>
  <c r="C145" i="39"/>
  <c r="D145" i="39"/>
  <c r="E145" i="39" s="1"/>
  <c r="C146" i="39"/>
  <c r="D146" i="39"/>
  <c r="E146" i="39" s="1"/>
  <c r="C147" i="39"/>
  <c r="D147" i="39"/>
  <c r="E147" i="39" s="1"/>
  <c r="C148" i="39"/>
  <c r="D148" i="39"/>
  <c r="E148" i="39" s="1"/>
  <c r="C149" i="39"/>
  <c r="D149" i="39"/>
  <c r="E149" i="39" s="1"/>
  <c r="C150" i="39"/>
  <c r="D150" i="39"/>
  <c r="E150" i="39" s="1"/>
  <c r="C151" i="39"/>
  <c r="D151" i="39"/>
  <c r="E151" i="39" s="1"/>
  <c r="C152" i="39"/>
  <c r="D152" i="39"/>
  <c r="E152" i="39" s="1"/>
  <c r="C153" i="39"/>
  <c r="D153" i="39"/>
  <c r="E153" i="39" s="1"/>
  <c r="C307" i="39"/>
  <c r="D307" i="39"/>
  <c r="E307" i="39" s="1"/>
  <c r="C308" i="39"/>
  <c r="D308" i="39"/>
  <c r="E308" i="39" s="1"/>
  <c r="C309" i="39"/>
  <c r="D309" i="39"/>
  <c r="E309" i="39" s="1"/>
  <c r="C310" i="39"/>
  <c r="D310" i="39"/>
  <c r="E310" i="39" s="1"/>
  <c r="J8" i="7"/>
  <c r="R8" i="7"/>
  <c r="AG8" i="7"/>
  <c r="AN8" i="7"/>
  <c r="J9" i="7"/>
  <c r="R9" i="7"/>
  <c r="AG9" i="7"/>
  <c r="AN9" i="7"/>
  <c r="J10" i="7"/>
  <c r="R10" i="7"/>
  <c r="AG10" i="7"/>
  <c r="AN10" i="7"/>
  <c r="J11" i="7"/>
  <c r="R11" i="7"/>
  <c r="AG11" i="7"/>
  <c r="AN11" i="7"/>
  <c r="J12" i="7"/>
  <c r="R12" i="7"/>
  <c r="AG12" i="7"/>
  <c r="AN12" i="7"/>
  <c r="J13" i="7"/>
  <c r="R13" i="7"/>
  <c r="AG13" i="7"/>
  <c r="AN13" i="7"/>
  <c r="J14" i="7"/>
  <c r="R14" i="7"/>
  <c r="AG14" i="7"/>
  <c r="AN14" i="7"/>
  <c r="J15" i="7"/>
  <c r="R15" i="7"/>
  <c r="AG15" i="7"/>
  <c r="AN15" i="7"/>
  <c r="J16" i="7"/>
  <c r="R16" i="7"/>
  <c r="AG16" i="7"/>
  <c r="AN16" i="7"/>
  <c r="J17" i="7"/>
  <c r="R17" i="7"/>
  <c r="AG17" i="7"/>
  <c r="AN17" i="7"/>
  <c r="J18" i="7"/>
  <c r="R18" i="7"/>
  <c r="AG18" i="7"/>
  <c r="AN18" i="7"/>
  <c r="J19" i="7"/>
  <c r="R19" i="7"/>
  <c r="AG19" i="7"/>
  <c r="AN19" i="7"/>
  <c r="J20" i="7"/>
  <c r="R20" i="7"/>
  <c r="AG20" i="7"/>
  <c r="AN20" i="7"/>
  <c r="J21" i="7"/>
  <c r="R21" i="7"/>
  <c r="AG21" i="7"/>
  <c r="AN21" i="7"/>
  <c r="J22" i="7"/>
  <c r="R22" i="7"/>
  <c r="AG22" i="7"/>
  <c r="AN22" i="7"/>
  <c r="J23" i="7"/>
  <c r="R23" i="7"/>
  <c r="AG23" i="7"/>
  <c r="AN23" i="7"/>
  <c r="J24" i="7"/>
  <c r="R24" i="7"/>
  <c r="AG24" i="7"/>
  <c r="AN24" i="7"/>
  <c r="AG25" i="7"/>
  <c r="J26" i="7"/>
  <c r="R26" i="7"/>
  <c r="AG26" i="7"/>
  <c r="AN26" i="7"/>
  <c r="J27" i="7"/>
  <c r="R27" i="7"/>
  <c r="AG27" i="7"/>
  <c r="AN27" i="7"/>
  <c r="J28" i="7"/>
  <c r="R28" i="7"/>
  <c r="AG28" i="7"/>
  <c r="AN28" i="7"/>
  <c r="J29" i="7"/>
  <c r="R29" i="7"/>
  <c r="AG29" i="7"/>
  <c r="AN29" i="7"/>
  <c r="J30" i="7"/>
  <c r="R30" i="7"/>
  <c r="AG30" i="7"/>
  <c r="AN30" i="7"/>
  <c r="J31" i="7"/>
  <c r="R31" i="7"/>
  <c r="AG31" i="7"/>
  <c r="AN31" i="7"/>
  <c r="J32" i="7"/>
  <c r="R32" i="7"/>
  <c r="AG32" i="7"/>
  <c r="AN32" i="7"/>
  <c r="J33" i="7"/>
  <c r="R33" i="7"/>
  <c r="AG33" i="7"/>
  <c r="AN33" i="7"/>
  <c r="J34" i="7"/>
  <c r="R34" i="7"/>
  <c r="AG34" i="7"/>
  <c r="AN34" i="7"/>
  <c r="J35" i="7"/>
  <c r="R35" i="7"/>
  <c r="AG35" i="7"/>
  <c r="AN35" i="7"/>
  <c r="J36" i="7"/>
  <c r="R36" i="7"/>
  <c r="AG36" i="7"/>
  <c r="AN36" i="7"/>
  <c r="J37" i="7"/>
  <c r="R37" i="7"/>
  <c r="AG37" i="7"/>
  <c r="AN37" i="7"/>
  <c r="J38" i="7"/>
  <c r="R38" i="7"/>
  <c r="AG38" i="7"/>
  <c r="AN38" i="7"/>
  <c r="J39" i="7"/>
  <c r="R39" i="7"/>
  <c r="AG39" i="7"/>
  <c r="AN39" i="7"/>
  <c r="J40" i="7"/>
  <c r="R40" i="7"/>
  <c r="AG40" i="7"/>
  <c r="AN40" i="7"/>
  <c r="J41" i="7"/>
  <c r="R41" i="7"/>
  <c r="AG41" i="7"/>
  <c r="AN41" i="7"/>
  <c r="J42" i="7"/>
  <c r="R42" i="7"/>
  <c r="AG42" i="7"/>
  <c r="AN42" i="7"/>
  <c r="R43" i="7"/>
  <c r="AG43" i="7"/>
  <c r="AN43" i="7"/>
  <c r="R44" i="7"/>
  <c r="AG44" i="7"/>
  <c r="AN44" i="7"/>
  <c r="R45" i="7"/>
  <c r="AG45" i="7"/>
  <c r="AN45" i="7"/>
  <c r="R46" i="7"/>
  <c r="AG46" i="7"/>
  <c r="AN46" i="7"/>
  <c r="R47" i="7"/>
  <c r="AG47" i="7"/>
  <c r="AN47" i="7"/>
  <c r="R48" i="7"/>
  <c r="AG48" i="7"/>
  <c r="AN48" i="7"/>
  <c r="R49" i="7"/>
  <c r="AG49" i="7"/>
  <c r="AN49" i="7"/>
  <c r="R50" i="7"/>
  <c r="AG50" i="7"/>
  <c r="AN50" i="7"/>
  <c r="R51" i="7"/>
  <c r="AG51" i="7"/>
  <c r="AN51" i="7"/>
  <c r="R52" i="7"/>
  <c r="AG52" i="7"/>
  <c r="AN52" i="7"/>
  <c r="AG53" i="7"/>
  <c r="AN53" i="7"/>
  <c r="AG54" i="7"/>
  <c r="R55" i="7"/>
  <c r="AO55" i="7" s="1"/>
  <c r="AO54" i="7" l="1"/>
  <c r="AO37" i="7"/>
  <c r="AO50" i="7"/>
  <c r="AO42" i="7"/>
  <c r="AO39" i="7"/>
  <c r="AO36" i="7"/>
  <c r="AO41" i="7"/>
  <c r="AO38" i="7"/>
  <c r="AO35" i="7"/>
  <c r="AO46" i="7"/>
  <c r="AO40" i="7"/>
  <c r="AO51" i="7"/>
  <c r="AO47" i="7"/>
  <c r="AO43" i="7"/>
  <c r="AO52" i="7"/>
  <c r="AO48" i="7"/>
  <c r="AO44" i="7"/>
  <c r="AO53" i="7"/>
  <c r="AO49" i="7"/>
  <c r="AO45" i="7"/>
  <c r="AO26" i="7"/>
  <c r="AO15" i="7"/>
  <c r="AS598" i="51"/>
  <c r="E379" i="39"/>
  <c r="F379" i="39"/>
  <c r="E377" i="39"/>
  <c r="F377" i="39"/>
  <c r="E375" i="39"/>
  <c r="F375" i="39"/>
  <c r="E373" i="39"/>
  <c r="F373" i="39"/>
  <c r="E371" i="39"/>
  <c r="F371" i="39"/>
  <c r="E369" i="39"/>
  <c r="F369" i="39"/>
  <c r="E367" i="39"/>
  <c r="F367" i="39"/>
  <c r="E365" i="39"/>
  <c r="F365" i="39"/>
  <c r="E363" i="39"/>
  <c r="F363" i="39"/>
  <c r="E361" i="39"/>
  <c r="F361" i="39"/>
  <c r="E359" i="39"/>
  <c r="F359" i="39"/>
  <c r="E357" i="39"/>
  <c r="F357" i="39"/>
  <c r="E355" i="39"/>
  <c r="F355" i="39"/>
  <c r="E353" i="39"/>
  <c r="F353" i="39"/>
  <c r="E351" i="39"/>
  <c r="F351" i="39"/>
  <c r="E349" i="39"/>
  <c r="F349" i="39"/>
  <c r="E347" i="39"/>
  <c r="F347" i="39"/>
  <c r="E345" i="39"/>
  <c r="F345" i="39"/>
  <c r="E343" i="39"/>
  <c r="F343" i="39"/>
  <c r="E341" i="39"/>
  <c r="F341" i="39"/>
  <c r="E339" i="39"/>
  <c r="F339" i="39"/>
  <c r="E337" i="39"/>
  <c r="F337" i="39"/>
  <c r="E335" i="39"/>
  <c r="F335" i="39"/>
  <c r="E333" i="39"/>
  <c r="F333" i="39"/>
  <c r="E331" i="39"/>
  <c r="F331" i="39"/>
  <c r="E329" i="39"/>
  <c r="F329" i="39"/>
  <c r="E327" i="39"/>
  <c r="F327" i="39"/>
  <c r="E325" i="39"/>
  <c r="F325" i="39"/>
  <c r="E378" i="39"/>
  <c r="F378" i="39"/>
  <c r="E376" i="39"/>
  <c r="F376" i="39"/>
  <c r="E374" i="39"/>
  <c r="F374" i="39"/>
  <c r="E372" i="39"/>
  <c r="F372" i="39"/>
  <c r="E370" i="39"/>
  <c r="F370" i="39"/>
  <c r="E368" i="39"/>
  <c r="F368" i="39"/>
  <c r="E366" i="39"/>
  <c r="F366" i="39"/>
  <c r="E364" i="39"/>
  <c r="F364" i="39"/>
  <c r="E362" i="39"/>
  <c r="F362" i="39"/>
  <c r="E360" i="39"/>
  <c r="F360" i="39"/>
  <c r="E358" i="39"/>
  <c r="F358" i="39"/>
  <c r="E356" i="39"/>
  <c r="F356" i="39"/>
  <c r="E354" i="39"/>
  <c r="F354" i="39"/>
  <c r="E352" i="39"/>
  <c r="F352" i="39"/>
  <c r="E350" i="39"/>
  <c r="F350" i="39"/>
  <c r="E348" i="39"/>
  <c r="F348" i="39"/>
  <c r="E346" i="39"/>
  <c r="F346" i="39"/>
  <c r="E344" i="39"/>
  <c r="F344" i="39"/>
  <c r="E342" i="39"/>
  <c r="F342" i="39"/>
  <c r="E340" i="39"/>
  <c r="F340" i="39"/>
  <c r="E338" i="39"/>
  <c r="F338" i="39"/>
  <c r="E336" i="39"/>
  <c r="F336" i="39"/>
  <c r="E334" i="39"/>
  <c r="F334" i="39"/>
  <c r="E332" i="39"/>
  <c r="F332" i="39"/>
  <c r="E330" i="39"/>
  <c r="F330" i="39"/>
  <c r="E328" i="39"/>
  <c r="F328" i="39"/>
  <c r="E326" i="39"/>
  <c r="F326" i="39"/>
  <c r="F324" i="39"/>
  <c r="F153" i="39"/>
  <c r="F152" i="39"/>
  <c r="F151" i="39"/>
  <c r="F150" i="39"/>
  <c r="F149" i="39"/>
  <c r="F148" i="39"/>
  <c r="F147" i="39"/>
  <c r="F146" i="39"/>
  <c r="F145" i="39"/>
  <c r="F144" i="39"/>
  <c r="F310" i="39"/>
  <c r="F309" i="39"/>
  <c r="F308" i="39"/>
  <c r="F307" i="39"/>
  <c r="E31" i="37"/>
  <c r="D31" i="37"/>
  <c r="E30" i="37"/>
  <c r="D30" i="37"/>
  <c r="AR598" i="51" l="1"/>
  <c r="E32" i="37"/>
  <c r="AQ598" i="51"/>
  <c r="AP598" i="51"/>
  <c r="AO598" i="51"/>
  <c r="AD82" i="2"/>
  <c r="AC82" i="2"/>
  <c r="Y82" i="2" l="1"/>
  <c r="S56" i="2" l="1"/>
  <c r="G59" i="32"/>
  <c r="F59" i="32"/>
  <c r="C596" i="51"/>
  <c r="AY70" i="31"/>
  <c r="F7" i="31"/>
  <c r="B14" i="31"/>
  <c r="M75" i="2" s="1"/>
  <c r="E14" i="31"/>
  <c r="F14" i="31"/>
  <c r="AY23" i="31"/>
  <c r="AY24" i="31"/>
  <c r="AY25" i="31"/>
  <c r="AY26" i="31"/>
  <c r="AY29" i="31"/>
  <c r="AY30" i="31"/>
  <c r="AY31" i="31"/>
  <c r="AY32" i="31"/>
  <c r="AY33" i="31"/>
  <c r="AY34" i="31"/>
  <c r="AY35" i="31"/>
  <c r="AY36" i="31"/>
  <c r="AY37" i="31"/>
  <c r="AY38" i="31"/>
  <c r="AY39" i="31"/>
  <c r="AY40" i="31"/>
  <c r="AY41" i="31"/>
  <c r="AY42" i="31"/>
  <c r="AY44" i="31"/>
  <c r="AY45" i="31"/>
  <c r="AY46" i="31"/>
  <c r="AY47" i="31"/>
  <c r="AY48" i="31"/>
  <c r="AY49" i="31"/>
  <c r="AY50" i="31"/>
  <c r="AY51" i="31"/>
  <c r="AY52" i="31"/>
  <c r="AY53" i="31"/>
  <c r="AY55" i="31"/>
  <c r="AY56" i="31"/>
  <c r="AY59" i="31"/>
  <c r="AY60" i="31"/>
  <c r="AY61" i="31"/>
  <c r="AY62" i="31"/>
  <c r="AY63" i="31"/>
  <c r="AY65" i="31"/>
  <c r="AY66" i="31"/>
  <c r="AY67" i="31"/>
  <c r="AY68" i="31"/>
  <c r="AY69" i="31"/>
  <c r="AY22" i="31"/>
  <c r="G58" i="32"/>
  <c r="F58" i="32"/>
  <c r="Q77" i="2" l="1"/>
  <c r="U77" i="2" s="1"/>
  <c r="M77" i="2"/>
  <c r="E77" i="2" s="1"/>
  <c r="Q75" i="2"/>
  <c r="U75" i="2" s="1"/>
  <c r="H27" i="44" s="1"/>
  <c r="G14" i="31"/>
  <c r="F6" i="31"/>
  <c r="B10" i="31"/>
  <c r="M47" i="2" s="1"/>
  <c r="E7" i="31"/>
  <c r="W54" i="2"/>
  <c r="W55" i="2"/>
  <c r="J59" i="32"/>
  <c r="U74" i="2"/>
  <c r="J58" i="32"/>
  <c r="G57" i="32"/>
  <c r="J57" i="32" s="1"/>
  <c r="F57" i="32"/>
  <c r="G27" i="44" l="1"/>
  <c r="E75" i="2"/>
  <c r="E74" i="2"/>
  <c r="H26" i="44"/>
  <c r="G26" i="44" l="1"/>
  <c r="J7" i="7"/>
  <c r="J87" i="7" s="1"/>
  <c r="J89" i="7" s="1"/>
  <c r="G56" i="32"/>
  <c r="F56" i="32"/>
  <c r="J56" i="32" l="1"/>
  <c r="W47" i="2" l="1"/>
  <c r="A2" i="51"/>
  <c r="G55" i="32" l="1"/>
  <c r="J55" i="32" s="1"/>
  <c r="F55" i="32"/>
  <c r="G54" i="32" l="1"/>
  <c r="F54" i="32"/>
  <c r="J54" i="32" l="1"/>
  <c r="W46" i="2" l="1"/>
  <c r="W69" i="2"/>
  <c r="M69" i="2" s="1"/>
  <c r="AY64" i="31" l="1"/>
  <c r="W52" i="2"/>
  <c r="W48" i="2"/>
  <c r="Z68" i="2"/>
  <c r="W68" i="2" s="1"/>
  <c r="W82" i="2" s="1"/>
  <c r="W73" i="2"/>
  <c r="F53" i="32"/>
  <c r="G53" i="32"/>
  <c r="J53" i="32" s="1"/>
  <c r="AN7" i="7"/>
  <c r="E13" i="31"/>
  <c r="F13" i="31"/>
  <c r="B13" i="31"/>
  <c r="M73" i="2" l="1"/>
  <c r="G29" i="44" s="1"/>
  <c r="AN87" i="7"/>
  <c r="AN89" i="7" s="1"/>
  <c r="Z82" i="2"/>
  <c r="G13" i="31"/>
  <c r="Q73" i="2"/>
  <c r="U73" i="2" s="1"/>
  <c r="H29" i="44" s="1"/>
  <c r="E73" i="2" l="1"/>
  <c r="G52" i="32"/>
  <c r="J52" i="32" s="1"/>
  <c r="F52" i="32"/>
  <c r="B8" i="31" l="1"/>
  <c r="R8" i="2" l="1"/>
  <c r="R39" i="2" s="1"/>
  <c r="R58" i="2" s="1"/>
  <c r="G51" i="32"/>
  <c r="J51" i="32" s="1"/>
  <c r="F51" i="32"/>
  <c r="E8" i="31"/>
  <c r="F8" i="31"/>
  <c r="B162" i="39"/>
  <c r="G8" i="31" l="1"/>
  <c r="G50" i="32"/>
  <c r="F50" i="32"/>
  <c r="F49" i="32"/>
  <c r="J50" i="32" l="1"/>
  <c r="G49" i="32" l="1"/>
  <c r="J49" i="32" s="1"/>
  <c r="G48" i="32" l="1"/>
  <c r="F48" i="32"/>
  <c r="J48" i="32" l="1"/>
  <c r="E12" i="31" l="1"/>
  <c r="M71" i="2" s="1"/>
  <c r="AY58" i="31"/>
  <c r="AZ58" i="31" s="1"/>
  <c r="BA58" i="31" s="1"/>
  <c r="X56" i="2"/>
  <c r="G19" i="44" s="1"/>
  <c r="Q71" i="2" l="1"/>
  <c r="W53" i="2"/>
  <c r="Y39" i="2"/>
  <c r="Y58" i="2" s="1"/>
  <c r="Y56" i="2"/>
  <c r="H19" i="44" s="1"/>
  <c r="G47" i="32"/>
  <c r="F47" i="32"/>
  <c r="X8" i="2"/>
  <c r="W8" i="2" s="1"/>
  <c r="E9" i="31"/>
  <c r="M52" i="2" s="1"/>
  <c r="W56" i="2" l="1"/>
  <c r="J47" i="32"/>
  <c r="Q52" i="2"/>
  <c r="U52" i="2" s="1"/>
  <c r="U94" i="2" s="1"/>
  <c r="G46" i="32"/>
  <c r="J46" i="32" s="1"/>
  <c r="F46" i="32"/>
  <c r="F19" i="44" l="1"/>
  <c r="AN598" i="51"/>
  <c r="G45" i="32" l="1"/>
  <c r="F45" i="32"/>
  <c r="AM598" i="51"/>
  <c r="Q53" i="2" l="1"/>
  <c r="U53" i="2" s="1"/>
  <c r="M53" i="2"/>
  <c r="J45" i="32"/>
  <c r="R13" i="2"/>
  <c r="Z56" i="2" l="1"/>
  <c r="I19" i="44" s="1"/>
  <c r="G44" i="32" l="1"/>
  <c r="J44" i="32" s="1"/>
  <c r="F44" i="32"/>
  <c r="W16" i="37"/>
  <c r="Y16" i="37" l="1"/>
  <c r="I36" i="2" s="1"/>
  <c r="Y13" i="2"/>
  <c r="Z9" i="2"/>
  <c r="S13" i="2"/>
  <c r="Z12" i="2"/>
  <c r="AA8" i="39"/>
  <c r="L36" i="2" s="1"/>
  <c r="X16" i="37"/>
  <c r="AD43" i="2"/>
  <c r="AD62" i="2" s="1"/>
  <c r="AD39" i="2"/>
  <c r="AD58" i="2" s="1"/>
  <c r="AC39" i="2"/>
  <c r="AC58" i="2" s="1"/>
  <c r="AB40" i="2"/>
  <c r="AB59" i="2" s="1"/>
  <c r="AA42" i="2"/>
  <c r="Y43" i="2"/>
  <c r="Y62" i="2" s="1"/>
  <c r="Y40" i="2"/>
  <c r="Y59" i="2" s="1"/>
  <c r="G43" i="32"/>
  <c r="J43" i="32" s="1"/>
  <c r="F43" i="32"/>
  <c r="X12" i="2"/>
  <c r="X9" i="2"/>
  <c r="E69" i="2"/>
  <c r="B9" i="31"/>
  <c r="M46" i="2" s="1"/>
  <c r="H36" i="2"/>
  <c r="Z112" i="39"/>
  <c r="W13" i="37"/>
  <c r="G42" i="32"/>
  <c r="J42" i="32" s="1"/>
  <c r="F42" i="32"/>
  <c r="F9" i="31"/>
  <c r="Q54" i="2" s="1"/>
  <c r="U54" i="2" s="1"/>
  <c r="G10" i="31"/>
  <c r="F12" i="31"/>
  <c r="G41" i="32"/>
  <c r="J41" i="32" s="1"/>
  <c r="F41" i="32"/>
  <c r="S39" i="2"/>
  <c r="S58" i="2" s="1"/>
  <c r="F40" i="32"/>
  <c r="T16" i="37"/>
  <c r="F39" i="32"/>
  <c r="G38" i="32"/>
  <c r="J38" i="32" s="1"/>
  <c r="F38" i="32"/>
  <c r="G37" i="32"/>
  <c r="J37" i="32" s="1"/>
  <c r="F37" i="32"/>
  <c r="F36" i="32"/>
  <c r="R13" i="37"/>
  <c r="H30" i="2"/>
  <c r="R16" i="37"/>
  <c r="I205" i="39"/>
  <c r="J205" i="39"/>
  <c r="K205" i="39" s="1"/>
  <c r="I14" i="39"/>
  <c r="J14" i="39"/>
  <c r="L14" i="39" s="1"/>
  <c r="I15" i="39"/>
  <c r="J15" i="39"/>
  <c r="L15" i="39" s="1"/>
  <c r="I16" i="39"/>
  <c r="J16" i="39"/>
  <c r="I17" i="39"/>
  <c r="J17" i="39"/>
  <c r="L17" i="39" s="1"/>
  <c r="I18" i="39"/>
  <c r="J18" i="39"/>
  <c r="L18" i="39" s="1"/>
  <c r="I19" i="39"/>
  <c r="J19" i="39"/>
  <c r="L19" i="39" s="1"/>
  <c r="I20" i="39"/>
  <c r="J20" i="39"/>
  <c r="I21" i="39"/>
  <c r="J21" i="39"/>
  <c r="L21" i="39" s="1"/>
  <c r="I22" i="39"/>
  <c r="J22" i="39"/>
  <c r="L22" i="39" s="1"/>
  <c r="I23" i="39"/>
  <c r="J23" i="39"/>
  <c r="L23" i="39" s="1"/>
  <c r="I24" i="39"/>
  <c r="J24" i="39"/>
  <c r="I25" i="39"/>
  <c r="J25" i="39"/>
  <c r="L25" i="39" s="1"/>
  <c r="I26" i="39"/>
  <c r="J26" i="39"/>
  <c r="I27" i="39"/>
  <c r="J27" i="39"/>
  <c r="L27" i="39" s="1"/>
  <c r="I28" i="39"/>
  <c r="J28" i="39"/>
  <c r="L28" i="39" s="1"/>
  <c r="I29" i="39"/>
  <c r="J29" i="39"/>
  <c r="L29" i="39" s="1"/>
  <c r="I30" i="39"/>
  <c r="J30" i="39"/>
  <c r="L30" i="39" s="1"/>
  <c r="I31" i="39"/>
  <c r="J31" i="39"/>
  <c r="L31" i="39" s="1"/>
  <c r="I32" i="39"/>
  <c r="J32" i="39"/>
  <c r="I33" i="39"/>
  <c r="J33" i="39"/>
  <c r="L33" i="39" s="1"/>
  <c r="I34" i="39"/>
  <c r="J34" i="39"/>
  <c r="L34" i="39" s="1"/>
  <c r="I35" i="39"/>
  <c r="J35" i="39"/>
  <c r="L35" i="39" s="1"/>
  <c r="I36" i="39"/>
  <c r="J36" i="39"/>
  <c r="I37" i="39"/>
  <c r="J37" i="39"/>
  <c r="L37" i="39" s="1"/>
  <c r="I38" i="39"/>
  <c r="J38" i="39"/>
  <c r="L38" i="39" s="1"/>
  <c r="I39" i="39"/>
  <c r="J39" i="39"/>
  <c r="L39" i="39" s="1"/>
  <c r="I40" i="39"/>
  <c r="J40" i="39"/>
  <c r="I41" i="39"/>
  <c r="J41" i="39"/>
  <c r="L41" i="39" s="1"/>
  <c r="I42" i="39"/>
  <c r="J42" i="39"/>
  <c r="L42" i="39" s="1"/>
  <c r="I43" i="39"/>
  <c r="J43" i="39"/>
  <c r="L43" i="39" s="1"/>
  <c r="I44" i="39"/>
  <c r="J44" i="39"/>
  <c r="L44" i="39" s="1"/>
  <c r="I45" i="39"/>
  <c r="J45" i="39"/>
  <c r="L45" i="39" s="1"/>
  <c r="I46" i="39"/>
  <c r="J46" i="39"/>
  <c r="L46" i="39" s="1"/>
  <c r="I47" i="39"/>
  <c r="J47" i="39"/>
  <c r="L47" i="39" s="1"/>
  <c r="I48" i="39"/>
  <c r="J48" i="39"/>
  <c r="I49" i="39"/>
  <c r="J49" i="39"/>
  <c r="L49" i="39" s="1"/>
  <c r="I50" i="39"/>
  <c r="J50" i="39"/>
  <c r="L50" i="39" s="1"/>
  <c r="I51" i="39"/>
  <c r="J51" i="39"/>
  <c r="L51" i="39" s="1"/>
  <c r="I52" i="39"/>
  <c r="J52" i="39"/>
  <c r="I53" i="39"/>
  <c r="J53" i="39"/>
  <c r="K53" i="39" s="1"/>
  <c r="I54" i="39"/>
  <c r="J54" i="39"/>
  <c r="K54" i="39" s="1"/>
  <c r="I55" i="39"/>
  <c r="J55" i="39"/>
  <c r="L55" i="39" s="1"/>
  <c r="I56" i="39"/>
  <c r="J56" i="39"/>
  <c r="I57" i="39"/>
  <c r="J57" i="39"/>
  <c r="K57" i="39" s="1"/>
  <c r="I58" i="39"/>
  <c r="J58" i="39"/>
  <c r="L58" i="39" s="1"/>
  <c r="I59" i="39"/>
  <c r="J59" i="39"/>
  <c r="L59" i="39" s="1"/>
  <c r="I60" i="39"/>
  <c r="J60" i="39"/>
  <c r="L60" i="39" s="1"/>
  <c r="I61" i="39"/>
  <c r="J61" i="39"/>
  <c r="K61" i="39" s="1"/>
  <c r="I62" i="39"/>
  <c r="J62" i="39"/>
  <c r="L62" i="39" s="1"/>
  <c r="I63" i="39"/>
  <c r="J63" i="39"/>
  <c r="I64" i="39"/>
  <c r="J64" i="39"/>
  <c r="I65" i="39"/>
  <c r="J65" i="39"/>
  <c r="K65" i="39" s="1"/>
  <c r="I66" i="39"/>
  <c r="J66" i="39"/>
  <c r="L66" i="39" s="1"/>
  <c r="I67" i="39"/>
  <c r="J67" i="39"/>
  <c r="L67" i="39" s="1"/>
  <c r="I68" i="39"/>
  <c r="J68" i="39"/>
  <c r="I69" i="39"/>
  <c r="J69" i="39"/>
  <c r="L69" i="39" s="1"/>
  <c r="I70" i="39"/>
  <c r="J70" i="39"/>
  <c r="L70" i="39" s="1"/>
  <c r="I71" i="39"/>
  <c r="J71" i="39"/>
  <c r="L71" i="39" s="1"/>
  <c r="I72" i="39"/>
  <c r="J72" i="39"/>
  <c r="I73" i="39"/>
  <c r="J73" i="39"/>
  <c r="I74" i="39"/>
  <c r="J74" i="39"/>
  <c r="K74" i="39" s="1"/>
  <c r="I75" i="39"/>
  <c r="J75" i="39"/>
  <c r="L75" i="39" s="1"/>
  <c r="I76" i="39"/>
  <c r="J76" i="39"/>
  <c r="L76" i="39" s="1"/>
  <c r="I77" i="39"/>
  <c r="J77" i="39"/>
  <c r="L77" i="39" s="1"/>
  <c r="I78" i="39"/>
  <c r="J78" i="39"/>
  <c r="L78" i="39" s="1"/>
  <c r="I79" i="39"/>
  <c r="J79" i="39"/>
  <c r="L79" i="39" s="1"/>
  <c r="I80" i="39"/>
  <c r="J80" i="39"/>
  <c r="I81" i="39"/>
  <c r="J81" i="39"/>
  <c r="L81" i="39" s="1"/>
  <c r="I82" i="39"/>
  <c r="J82" i="39"/>
  <c r="L82" i="39" s="1"/>
  <c r="I83" i="39"/>
  <c r="J83" i="39"/>
  <c r="L83" i="39" s="1"/>
  <c r="I84" i="39"/>
  <c r="J84" i="39"/>
  <c r="I85" i="39"/>
  <c r="J85" i="39"/>
  <c r="K85" i="39" s="1"/>
  <c r="I86" i="39"/>
  <c r="J86" i="39"/>
  <c r="K86" i="39" s="1"/>
  <c r="I87" i="39"/>
  <c r="J87" i="39"/>
  <c r="L87" i="39" s="1"/>
  <c r="I88" i="39"/>
  <c r="J88" i="39"/>
  <c r="I89" i="39"/>
  <c r="J89" i="39"/>
  <c r="L89" i="39" s="1"/>
  <c r="I90" i="39"/>
  <c r="J90" i="39"/>
  <c r="K90" i="39" s="1"/>
  <c r="I91" i="39"/>
  <c r="J91" i="39"/>
  <c r="L91" i="39" s="1"/>
  <c r="I92" i="39"/>
  <c r="J92" i="39"/>
  <c r="L92" i="39" s="1"/>
  <c r="I93" i="39"/>
  <c r="J93" i="39"/>
  <c r="L93" i="39" s="1"/>
  <c r="I94" i="39"/>
  <c r="J94" i="39"/>
  <c r="L94" i="39" s="1"/>
  <c r="I95" i="39"/>
  <c r="J95" i="39"/>
  <c r="L95" i="39" s="1"/>
  <c r="I96" i="39"/>
  <c r="J96" i="39"/>
  <c r="I97" i="39"/>
  <c r="J97" i="39"/>
  <c r="L97" i="39" s="1"/>
  <c r="I98" i="39"/>
  <c r="J98" i="39"/>
  <c r="L98" i="39" s="1"/>
  <c r="I99" i="39"/>
  <c r="J99" i="39"/>
  <c r="L99" i="39" s="1"/>
  <c r="I100" i="39"/>
  <c r="J100" i="39"/>
  <c r="I101" i="39"/>
  <c r="J101" i="39"/>
  <c r="I102" i="39"/>
  <c r="J102" i="39"/>
  <c r="I103" i="39"/>
  <c r="J103" i="39"/>
  <c r="L103" i="39" s="1"/>
  <c r="I104" i="39"/>
  <c r="J104" i="39"/>
  <c r="L104" i="39" s="1"/>
  <c r="I105" i="39"/>
  <c r="J105" i="39"/>
  <c r="I106" i="39"/>
  <c r="J106" i="39"/>
  <c r="I107" i="39"/>
  <c r="J107" i="39"/>
  <c r="L107" i="39" s="1"/>
  <c r="I108" i="39"/>
  <c r="J108" i="39"/>
  <c r="I109" i="39"/>
  <c r="J109" i="39"/>
  <c r="L109" i="39" s="1"/>
  <c r="I110" i="39"/>
  <c r="J110" i="39"/>
  <c r="L110" i="39" s="1"/>
  <c r="G36" i="32"/>
  <c r="J36" i="32" s="1"/>
  <c r="F35" i="32"/>
  <c r="G35" i="32"/>
  <c r="J35" i="32" s="1"/>
  <c r="AG7" i="7"/>
  <c r="AG87" i="7" s="1"/>
  <c r="AB39" i="2"/>
  <c r="AB58" i="2" s="1"/>
  <c r="G34" i="32"/>
  <c r="J34" i="32" s="1"/>
  <c r="F34" i="32"/>
  <c r="I198" i="39"/>
  <c r="J198" i="39"/>
  <c r="C268" i="39"/>
  <c r="D268" i="39"/>
  <c r="C211" i="39"/>
  <c r="D211" i="39"/>
  <c r="F211" i="39" s="1"/>
  <c r="C183" i="39"/>
  <c r="D183" i="39"/>
  <c r="E183" i="39" s="1"/>
  <c r="C231" i="39"/>
  <c r="D231" i="39"/>
  <c r="C184" i="39"/>
  <c r="D184" i="39"/>
  <c r="F184" i="39" s="1"/>
  <c r="C269" i="39"/>
  <c r="D269" i="39"/>
  <c r="E269" i="39" s="1"/>
  <c r="H14" i="37"/>
  <c r="G33" i="32"/>
  <c r="J33" i="32" s="1"/>
  <c r="F33" i="32"/>
  <c r="G32" i="32"/>
  <c r="J32" i="32" s="1"/>
  <c r="F32" i="32"/>
  <c r="F31" i="32"/>
  <c r="G31" i="32"/>
  <c r="J31" i="32" s="1"/>
  <c r="G30" i="32"/>
  <c r="J30" i="32" s="1"/>
  <c r="F30" i="32"/>
  <c r="V329" i="39"/>
  <c r="U8" i="39" s="1"/>
  <c r="U329" i="39"/>
  <c r="H16" i="37"/>
  <c r="M8" i="37" s="1"/>
  <c r="I129" i="39"/>
  <c r="J129" i="39"/>
  <c r="L129" i="39" s="1"/>
  <c r="I204" i="39"/>
  <c r="J204" i="39"/>
  <c r="I187" i="39"/>
  <c r="J187" i="39"/>
  <c r="L187" i="39" s="1"/>
  <c r="I188" i="39"/>
  <c r="J188" i="39"/>
  <c r="L188" i="39" s="1"/>
  <c r="I172" i="39"/>
  <c r="J172" i="39"/>
  <c r="K172" i="39" s="1"/>
  <c r="I173" i="39"/>
  <c r="J173" i="39"/>
  <c r="L173" i="39" s="1"/>
  <c r="I206" i="39"/>
  <c r="J206" i="39"/>
  <c r="I199" i="39"/>
  <c r="J199" i="39"/>
  <c r="I179" i="39"/>
  <c r="J179" i="39"/>
  <c r="I180" i="39"/>
  <c r="J180" i="39"/>
  <c r="K180" i="39" s="1"/>
  <c r="I181" i="39"/>
  <c r="J181" i="39"/>
  <c r="L181" i="39" s="1"/>
  <c r="I182" i="39"/>
  <c r="J182" i="39"/>
  <c r="I200" i="39"/>
  <c r="J200" i="39"/>
  <c r="K200" i="39" s="1"/>
  <c r="I183" i="39"/>
  <c r="J183" i="39"/>
  <c r="L183" i="39" s="1"/>
  <c r="I130" i="39"/>
  <c r="J130" i="39"/>
  <c r="I190" i="39"/>
  <c r="J190" i="39"/>
  <c r="K190" i="39" s="1"/>
  <c r="I191" i="39"/>
  <c r="J191" i="39"/>
  <c r="L191" i="39" s="1"/>
  <c r="I192" i="39"/>
  <c r="J192" i="39"/>
  <c r="I193" i="39"/>
  <c r="J193" i="39"/>
  <c r="L193" i="39" s="1"/>
  <c r="I194" i="39"/>
  <c r="J194" i="39"/>
  <c r="L194" i="39" s="1"/>
  <c r="I207" i="39"/>
  <c r="J207" i="39"/>
  <c r="I208" i="39"/>
  <c r="J208" i="39"/>
  <c r="L208" i="39" s="1"/>
  <c r="I209" i="39"/>
  <c r="J209" i="39"/>
  <c r="L209" i="39" s="1"/>
  <c r="I210" i="39"/>
  <c r="J210" i="39"/>
  <c r="L210" i="39" s="1"/>
  <c r="I211" i="39"/>
  <c r="J211" i="39"/>
  <c r="L211" i="39" s="1"/>
  <c r="I212" i="39"/>
  <c r="J212" i="39"/>
  <c r="L212" i="39" s="1"/>
  <c r="I131" i="39"/>
  <c r="J131" i="39"/>
  <c r="I132" i="39"/>
  <c r="J132" i="39"/>
  <c r="K132" i="39" s="1"/>
  <c r="I133" i="39"/>
  <c r="J133" i="39"/>
  <c r="I134" i="39"/>
  <c r="J134" i="39"/>
  <c r="I145" i="39"/>
  <c r="J145" i="39"/>
  <c r="L145" i="39" s="1"/>
  <c r="I146" i="39"/>
  <c r="J146" i="39"/>
  <c r="L146" i="39" s="1"/>
  <c r="I147" i="39"/>
  <c r="J147" i="39"/>
  <c r="L147" i="39" s="1"/>
  <c r="I148" i="39"/>
  <c r="J148" i="39"/>
  <c r="L148" i="39" s="1"/>
  <c r="I149" i="39"/>
  <c r="J149" i="39"/>
  <c r="L149" i="39" s="1"/>
  <c r="I150" i="39"/>
  <c r="J150" i="39"/>
  <c r="L150" i="39" s="1"/>
  <c r="I151" i="39"/>
  <c r="J151" i="39"/>
  <c r="K151" i="39" s="1"/>
  <c r="I152" i="39"/>
  <c r="J152" i="39"/>
  <c r="L152" i="39" s="1"/>
  <c r="I174" i="39"/>
  <c r="J174" i="39"/>
  <c r="L174" i="39" s="1"/>
  <c r="I213" i="39"/>
  <c r="J213" i="39"/>
  <c r="L213" i="39" s="1"/>
  <c r="I189" i="39"/>
  <c r="J189" i="39"/>
  <c r="I153" i="39"/>
  <c r="J153" i="39"/>
  <c r="L153" i="39" s="1"/>
  <c r="I154" i="39"/>
  <c r="J154" i="39"/>
  <c r="L154" i="39" s="1"/>
  <c r="I155" i="39"/>
  <c r="J155" i="39"/>
  <c r="K155" i="39" s="1"/>
  <c r="I156" i="39"/>
  <c r="J156" i="39"/>
  <c r="L156" i="39" s="1"/>
  <c r="I157" i="39"/>
  <c r="J157" i="39"/>
  <c r="K157" i="39" s="1"/>
  <c r="I158" i="39"/>
  <c r="J158" i="39"/>
  <c r="L158" i="39" s="1"/>
  <c r="I159" i="39"/>
  <c r="J159" i="39"/>
  <c r="L159" i="39" s="1"/>
  <c r="I160" i="39"/>
  <c r="J160" i="39"/>
  <c r="K160" i="39" s="1"/>
  <c r="I161" i="39"/>
  <c r="J161" i="39"/>
  <c r="L161" i="39" s="1"/>
  <c r="I184" i="39"/>
  <c r="J184" i="39"/>
  <c r="L184" i="39" s="1"/>
  <c r="I185" i="39"/>
  <c r="J185" i="39"/>
  <c r="L185" i="39" s="1"/>
  <c r="I186" i="39"/>
  <c r="J186" i="39"/>
  <c r="I201" i="39"/>
  <c r="J201" i="39"/>
  <c r="K201" i="39" s="1"/>
  <c r="I202" i="39"/>
  <c r="J202" i="39"/>
  <c r="I162" i="39"/>
  <c r="J162" i="39"/>
  <c r="I163" i="39"/>
  <c r="J163" i="39"/>
  <c r="I164" i="39"/>
  <c r="J164" i="39"/>
  <c r="L164" i="39" s="1"/>
  <c r="I165" i="39"/>
  <c r="J165" i="39"/>
  <c r="L165" i="39" s="1"/>
  <c r="I166" i="39"/>
  <c r="J166" i="39"/>
  <c r="K166" i="39" s="1"/>
  <c r="I167" i="39"/>
  <c r="J167" i="39"/>
  <c r="L167" i="39" s="1"/>
  <c r="I168" i="39"/>
  <c r="J168" i="39"/>
  <c r="L168" i="39" s="1"/>
  <c r="I195" i="39"/>
  <c r="J195" i="39"/>
  <c r="L195" i="39" s="1"/>
  <c r="I175" i="39"/>
  <c r="J175" i="39"/>
  <c r="I176" i="39"/>
  <c r="J176" i="39"/>
  <c r="K176" i="39" s="1"/>
  <c r="I196" i="39"/>
  <c r="J196" i="39"/>
  <c r="L196" i="39" s="1"/>
  <c r="I197" i="39"/>
  <c r="J197" i="39"/>
  <c r="L197" i="39" s="1"/>
  <c r="I169" i="39"/>
  <c r="J169" i="39"/>
  <c r="L169" i="39" s="1"/>
  <c r="I170" i="39"/>
  <c r="J170" i="39"/>
  <c r="I177" i="39"/>
  <c r="J177" i="39"/>
  <c r="K177" i="39" s="1"/>
  <c r="I171" i="39"/>
  <c r="J171" i="39"/>
  <c r="L171" i="39" s="1"/>
  <c r="I178" i="39"/>
  <c r="J178" i="39"/>
  <c r="L178" i="39" s="1"/>
  <c r="I218" i="39"/>
  <c r="I291" i="39" s="1"/>
  <c r="J218" i="39"/>
  <c r="I8" i="39" s="1"/>
  <c r="V167" i="39"/>
  <c r="U6" i="39" s="1"/>
  <c r="U167" i="39"/>
  <c r="V13" i="39"/>
  <c r="U13" i="39"/>
  <c r="U163" i="39" s="1"/>
  <c r="V5" i="39" s="1"/>
  <c r="N11" i="2" s="1"/>
  <c r="T14" i="37"/>
  <c r="BA39" i="31"/>
  <c r="C322" i="39"/>
  <c r="D322" i="39"/>
  <c r="C323" i="39"/>
  <c r="D323" i="39"/>
  <c r="F323" i="39" s="1"/>
  <c r="C167" i="39"/>
  <c r="D167" i="39"/>
  <c r="E167" i="39" s="1"/>
  <c r="C168" i="39"/>
  <c r="D168" i="39"/>
  <c r="C169" i="39"/>
  <c r="D169" i="39"/>
  <c r="C170" i="39"/>
  <c r="D170" i="39"/>
  <c r="F170" i="39" s="1"/>
  <c r="C171" i="39"/>
  <c r="D171" i="39"/>
  <c r="E171" i="39" s="1"/>
  <c r="C172" i="39"/>
  <c r="D172" i="39"/>
  <c r="C175" i="39"/>
  <c r="D175" i="39"/>
  <c r="E175" i="39" s="1"/>
  <c r="C305" i="39"/>
  <c r="D305" i="39"/>
  <c r="E305" i="39" s="1"/>
  <c r="C241" i="39"/>
  <c r="D241" i="39"/>
  <c r="E241" i="39" s="1"/>
  <c r="C293" i="39"/>
  <c r="D293" i="39"/>
  <c r="E293" i="39" s="1"/>
  <c r="C275" i="39"/>
  <c r="D275" i="39"/>
  <c r="E275" i="39" s="1"/>
  <c r="C300" i="39"/>
  <c r="D300" i="39"/>
  <c r="F300" i="39" s="1"/>
  <c r="C229" i="39"/>
  <c r="D229" i="39"/>
  <c r="E229" i="39" s="1"/>
  <c r="C219" i="39"/>
  <c r="D219" i="39"/>
  <c r="C243" i="39"/>
  <c r="D243" i="39"/>
  <c r="C238" i="39"/>
  <c r="D238" i="39"/>
  <c r="E238" i="39" s="1"/>
  <c r="C190" i="39"/>
  <c r="D190" i="39"/>
  <c r="E190" i="39" s="1"/>
  <c r="C288" i="39"/>
  <c r="D288" i="39"/>
  <c r="E288" i="39" s="1"/>
  <c r="C217" i="39"/>
  <c r="D217" i="39"/>
  <c r="F217" i="39" s="1"/>
  <c r="C227" i="39"/>
  <c r="D227" i="39"/>
  <c r="E227" i="39" s="1"/>
  <c r="C290" i="39"/>
  <c r="D290" i="39"/>
  <c r="C181" i="39"/>
  <c r="D181" i="39"/>
  <c r="E181" i="39" s="1"/>
  <c r="C239" i="39"/>
  <c r="D239" i="39"/>
  <c r="E239" i="39" s="1"/>
  <c r="C228" i="39"/>
  <c r="D228" i="39"/>
  <c r="E228" i="39" s="1"/>
  <c r="C242" i="39"/>
  <c r="D242" i="39"/>
  <c r="E242" i="39" s="1"/>
  <c r="C194" i="39"/>
  <c r="D194" i="39"/>
  <c r="C295" i="39"/>
  <c r="D295" i="39"/>
  <c r="E295" i="39" s="1"/>
  <c r="C173" i="39"/>
  <c r="D173" i="39"/>
  <c r="E173" i="39" s="1"/>
  <c r="C262" i="39"/>
  <c r="D262" i="39"/>
  <c r="C223" i="39"/>
  <c r="D223" i="39"/>
  <c r="F223" i="39" s="1"/>
  <c r="C247" i="39"/>
  <c r="D247" i="39"/>
  <c r="F247" i="39" s="1"/>
  <c r="C182" i="39"/>
  <c r="D182" i="39"/>
  <c r="E182" i="39" s="1"/>
  <c r="C317" i="39"/>
  <c r="D317" i="39"/>
  <c r="E317" i="39" s="1"/>
  <c r="C286" i="39"/>
  <c r="D286" i="39"/>
  <c r="C245" i="39"/>
  <c r="D245" i="39"/>
  <c r="C284" i="39"/>
  <c r="D284" i="39"/>
  <c r="F284" i="39" s="1"/>
  <c r="C291" i="39"/>
  <c r="D291" i="39"/>
  <c r="C203" i="39"/>
  <c r="D203" i="39"/>
  <c r="E203" i="39" s="1"/>
  <c r="C301" i="39"/>
  <c r="D301" i="39"/>
  <c r="E301" i="39" s="1"/>
  <c r="C237" i="39"/>
  <c r="D237" i="39"/>
  <c r="C287" i="39"/>
  <c r="D287" i="39"/>
  <c r="C264" i="39"/>
  <c r="D264" i="39"/>
  <c r="E264" i="39" s="1"/>
  <c r="C196" i="39"/>
  <c r="D196" i="39"/>
  <c r="E196" i="39" s="1"/>
  <c r="C178" i="39"/>
  <c r="D178" i="39"/>
  <c r="C187" i="39"/>
  <c r="D187" i="39"/>
  <c r="C193" i="39"/>
  <c r="D193" i="39"/>
  <c r="E193" i="39" s="1"/>
  <c r="C251" i="39"/>
  <c r="D251" i="39"/>
  <c r="E251" i="39" s="1"/>
  <c r="C189" i="39"/>
  <c r="D189" i="39"/>
  <c r="E189" i="39" s="1"/>
  <c r="C283" i="39"/>
  <c r="D283" i="39"/>
  <c r="F283" i="39" s="1"/>
  <c r="C240" i="39"/>
  <c r="D240" i="39"/>
  <c r="C297" i="39"/>
  <c r="D297" i="39"/>
  <c r="C200" i="39"/>
  <c r="D200" i="39"/>
  <c r="E200" i="39" s="1"/>
  <c r="C199" i="39"/>
  <c r="D199" i="39"/>
  <c r="E199" i="39" s="1"/>
  <c r="C296" i="39"/>
  <c r="D296" i="39"/>
  <c r="F296" i="39" s="1"/>
  <c r="C195" i="39"/>
  <c r="D195" i="39"/>
  <c r="C226" i="39"/>
  <c r="D226" i="39"/>
  <c r="F226" i="39" s="1"/>
  <c r="C197" i="39"/>
  <c r="D197" i="39"/>
  <c r="E197" i="39" s="1"/>
  <c r="C263" i="39"/>
  <c r="D263" i="39"/>
  <c r="C213" i="39"/>
  <c r="D213" i="39"/>
  <c r="E213" i="39" s="1"/>
  <c r="C281" i="39"/>
  <c r="D281" i="39"/>
  <c r="E281" i="39" s="1"/>
  <c r="C192" i="39"/>
  <c r="D192" i="39"/>
  <c r="E192" i="39" s="1"/>
  <c r="C188" i="39"/>
  <c r="D188" i="39"/>
  <c r="F188" i="39" s="1"/>
  <c r="C316" i="39"/>
  <c r="D316" i="39"/>
  <c r="E316" i="39" s="1"/>
  <c r="C234" i="39"/>
  <c r="D234" i="39"/>
  <c r="E234" i="39" s="1"/>
  <c r="C202" i="39"/>
  <c r="D202" i="39"/>
  <c r="C285" i="39"/>
  <c r="D285" i="39"/>
  <c r="F285" i="39" s="1"/>
  <c r="C254" i="39"/>
  <c r="D254" i="39"/>
  <c r="E254" i="39" s="1"/>
  <c r="C212" i="39"/>
  <c r="D212" i="39"/>
  <c r="E212" i="39" s="1"/>
  <c r="C294" i="39"/>
  <c r="D294" i="39"/>
  <c r="F294" i="39" s="1"/>
  <c r="C206" i="39"/>
  <c r="D206" i="39"/>
  <c r="C222" i="39"/>
  <c r="D222" i="39"/>
  <c r="E222" i="39" s="1"/>
  <c r="C253" i="39"/>
  <c r="D253" i="39"/>
  <c r="E253" i="39" s="1"/>
  <c r="C201" i="39"/>
  <c r="D201" i="39"/>
  <c r="C185" i="39"/>
  <c r="D185" i="39"/>
  <c r="E185" i="39" s="1"/>
  <c r="C216" i="39"/>
  <c r="D216" i="39"/>
  <c r="F216" i="39" s="1"/>
  <c r="C292" i="39"/>
  <c r="D292" i="39"/>
  <c r="C259" i="39"/>
  <c r="D259" i="39"/>
  <c r="C271" i="39"/>
  <c r="D271" i="39"/>
  <c r="C278" i="39"/>
  <c r="D278" i="39"/>
  <c r="F278" i="39" s="1"/>
  <c r="C180" i="39"/>
  <c r="D180" i="39"/>
  <c r="E180" i="39" s="1"/>
  <c r="C260" i="39"/>
  <c r="D260" i="39"/>
  <c r="C270" i="39"/>
  <c r="D270" i="39"/>
  <c r="F270" i="39" s="1"/>
  <c r="C266" i="39"/>
  <c r="D266" i="39"/>
  <c r="F266" i="39" s="1"/>
  <c r="C299" i="39"/>
  <c r="D299" i="39"/>
  <c r="C244" i="39"/>
  <c r="D244" i="39"/>
  <c r="F244" i="39" s="1"/>
  <c r="C289" i="39"/>
  <c r="D289" i="39"/>
  <c r="F289" i="39" s="1"/>
  <c r="C215" i="39"/>
  <c r="D215" i="39"/>
  <c r="E215" i="39" s="1"/>
  <c r="C277" i="39"/>
  <c r="D277" i="39"/>
  <c r="E277" i="39" s="1"/>
  <c r="C303" i="39"/>
  <c r="D303" i="39"/>
  <c r="F303" i="39" s="1"/>
  <c r="C272" i="39"/>
  <c r="D272" i="39"/>
  <c r="C210" i="39"/>
  <c r="D210" i="39"/>
  <c r="F210" i="39" s="1"/>
  <c r="C261" i="39"/>
  <c r="D261" i="39"/>
  <c r="C230" i="39"/>
  <c r="D230" i="39"/>
  <c r="C274" i="39"/>
  <c r="D274" i="39"/>
  <c r="F274" i="39" s="1"/>
  <c r="C233" i="39"/>
  <c r="D233" i="39"/>
  <c r="E233" i="39" s="1"/>
  <c r="C236" i="39"/>
  <c r="D236" i="39"/>
  <c r="C256" i="39"/>
  <c r="D256" i="39"/>
  <c r="F256" i="39" s="1"/>
  <c r="C279" i="39"/>
  <c r="D279" i="39"/>
  <c r="F279" i="39" s="1"/>
  <c r="C186" i="39"/>
  <c r="D186" i="39"/>
  <c r="E186" i="39" s="1"/>
  <c r="C224" i="39"/>
  <c r="D224" i="39"/>
  <c r="C209" i="39"/>
  <c r="D209" i="39"/>
  <c r="F209" i="39" s="1"/>
  <c r="C267" i="39"/>
  <c r="D267" i="39"/>
  <c r="E267" i="39" s="1"/>
  <c r="C302" i="39"/>
  <c r="D302" i="39"/>
  <c r="F302" i="39" s="1"/>
  <c r="C312" i="39"/>
  <c r="D312" i="39"/>
  <c r="C179" i="39"/>
  <c r="D179" i="39"/>
  <c r="E179" i="39" s="1"/>
  <c r="C257" i="39"/>
  <c r="D257" i="39"/>
  <c r="C276" i="39"/>
  <c r="D276" i="39"/>
  <c r="E276" i="39" s="1"/>
  <c r="C265" i="39"/>
  <c r="D265" i="39"/>
  <c r="E265" i="39" s="1"/>
  <c r="C306" i="39"/>
  <c r="D306" i="39"/>
  <c r="C249" i="39"/>
  <c r="D249" i="39"/>
  <c r="E249" i="39" s="1"/>
  <c r="C205" i="39"/>
  <c r="D205" i="39"/>
  <c r="F205" i="39" s="1"/>
  <c r="C304" i="39"/>
  <c r="D304" i="39"/>
  <c r="C255" i="39"/>
  <c r="D255" i="39"/>
  <c r="C225" i="39"/>
  <c r="D225" i="39"/>
  <c r="E225" i="39" s="1"/>
  <c r="C280" i="39"/>
  <c r="D280" i="39"/>
  <c r="F280" i="39" s="1"/>
  <c r="C258" i="39"/>
  <c r="D258" i="39"/>
  <c r="C246" i="39"/>
  <c r="D246" i="39"/>
  <c r="F246" i="39" s="1"/>
  <c r="C204" i="39"/>
  <c r="D204" i="39"/>
  <c r="F204" i="39" s="1"/>
  <c r="C176" i="39"/>
  <c r="D176" i="39"/>
  <c r="E176" i="39" s="1"/>
  <c r="C214" i="39"/>
  <c r="D214" i="39"/>
  <c r="E214" i="39" s="1"/>
  <c r="C218" i="39"/>
  <c r="D218" i="39"/>
  <c r="F218" i="39" s="1"/>
  <c r="C252" i="39"/>
  <c r="D252" i="39"/>
  <c r="C220" i="39"/>
  <c r="D220" i="39"/>
  <c r="E220" i="39" s="1"/>
  <c r="C174" i="39"/>
  <c r="D174" i="39"/>
  <c r="E174" i="39" s="1"/>
  <c r="C191" i="39"/>
  <c r="D191" i="39"/>
  <c r="C232" i="39"/>
  <c r="D232" i="39"/>
  <c r="F232" i="39" s="1"/>
  <c r="C273" i="39"/>
  <c r="D273" i="39"/>
  <c r="F273" i="39" s="1"/>
  <c r="C311" i="39"/>
  <c r="D311" i="39"/>
  <c r="E311" i="39" s="1"/>
  <c r="C250" i="39"/>
  <c r="D250" i="39"/>
  <c r="F250" i="39" s="1"/>
  <c r="C207" i="39"/>
  <c r="D207" i="39"/>
  <c r="F207" i="39" s="1"/>
  <c r="C198" i="39"/>
  <c r="D198" i="39"/>
  <c r="C177" i="39"/>
  <c r="D177" i="39"/>
  <c r="E177" i="39" s="1"/>
  <c r="C248" i="39"/>
  <c r="D248" i="39"/>
  <c r="C235" i="39"/>
  <c r="D235" i="39"/>
  <c r="F235" i="39" s="1"/>
  <c r="C221" i="39"/>
  <c r="D221" i="39"/>
  <c r="E221" i="39" s="1"/>
  <c r="C282" i="39"/>
  <c r="D282" i="39"/>
  <c r="E282" i="39" s="1"/>
  <c r="C208" i="39"/>
  <c r="D208" i="39"/>
  <c r="C298" i="39"/>
  <c r="D298" i="39"/>
  <c r="E298" i="39" s="1"/>
  <c r="F29" i="32"/>
  <c r="J203" i="39"/>
  <c r="L203" i="39" s="1"/>
  <c r="I203" i="39"/>
  <c r="J122" i="39"/>
  <c r="K122" i="39" s="1"/>
  <c r="I122" i="39"/>
  <c r="J121" i="39"/>
  <c r="L121" i="39" s="1"/>
  <c r="I121" i="39"/>
  <c r="J127" i="39"/>
  <c r="L127" i="39" s="1"/>
  <c r="I127" i="39"/>
  <c r="J120" i="39"/>
  <c r="K120" i="39" s="1"/>
  <c r="I120" i="39"/>
  <c r="J119" i="39"/>
  <c r="K119" i="39" s="1"/>
  <c r="I119" i="39"/>
  <c r="J128" i="39"/>
  <c r="L128" i="39" s="1"/>
  <c r="I128" i="39"/>
  <c r="J118" i="39"/>
  <c r="L118" i="39" s="1"/>
  <c r="I118" i="39"/>
  <c r="J117" i="39"/>
  <c r="K117" i="39" s="1"/>
  <c r="I117" i="39"/>
  <c r="J116" i="39"/>
  <c r="I116" i="39"/>
  <c r="J126" i="39"/>
  <c r="K126" i="39" s="1"/>
  <c r="I126" i="39"/>
  <c r="J125" i="39"/>
  <c r="L125" i="39" s="1"/>
  <c r="I125" i="39"/>
  <c r="J124" i="39"/>
  <c r="K124" i="39" s="1"/>
  <c r="I124" i="39"/>
  <c r="J123" i="39"/>
  <c r="I123" i="39"/>
  <c r="J13" i="39"/>
  <c r="I13" i="39"/>
  <c r="D161" i="39"/>
  <c r="E161" i="39" s="1"/>
  <c r="C161" i="39"/>
  <c r="D160" i="39"/>
  <c r="C160" i="39"/>
  <c r="D159" i="39"/>
  <c r="C159" i="39"/>
  <c r="D158" i="39"/>
  <c r="F158" i="39" s="1"/>
  <c r="C158" i="39"/>
  <c r="D157" i="39"/>
  <c r="E157" i="39" s="1"/>
  <c r="C157" i="39"/>
  <c r="D156" i="39"/>
  <c r="E156" i="39" s="1"/>
  <c r="C156" i="39"/>
  <c r="D155" i="39"/>
  <c r="F155" i="39" s="1"/>
  <c r="C155" i="39"/>
  <c r="D154" i="39"/>
  <c r="E154" i="39" s="1"/>
  <c r="C154" i="39"/>
  <c r="D143" i="39"/>
  <c r="E143" i="39" s="1"/>
  <c r="C143" i="39"/>
  <c r="D142" i="39"/>
  <c r="F142" i="39" s="1"/>
  <c r="C142" i="39"/>
  <c r="D141" i="39"/>
  <c r="F141" i="39" s="1"/>
  <c r="C141" i="39"/>
  <c r="D140" i="39"/>
  <c r="C140" i="39"/>
  <c r="D139" i="39"/>
  <c r="E139" i="39" s="1"/>
  <c r="C139" i="39"/>
  <c r="D138" i="39"/>
  <c r="E138" i="39" s="1"/>
  <c r="C138" i="39"/>
  <c r="D137" i="39"/>
  <c r="E137" i="39" s="1"/>
  <c r="C137" i="39"/>
  <c r="D136" i="39"/>
  <c r="E136" i="39" s="1"/>
  <c r="C136" i="39"/>
  <c r="D135" i="39"/>
  <c r="C135" i="39"/>
  <c r="D134" i="39"/>
  <c r="C134" i="39"/>
  <c r="D133" i="39"/>
  <c r="F133" i="39" s="1"/>
  <c r="C133" i="39"/>
  <c r="D132" i="39"/>
  <c r="E132" i="39" s="1"/>
  <c r="C132" i="39"/>
  <c r="D131" i="39"/>
  <c r="E131" i="39" s="1"/>
  <c r="C131" i="39"/>
  <c r="D130" i="39"/>
  <c r="F130" i="39" s="1"/>
  <c r="C130" i="39"/>
  <c r="D129" i="39"/>
  <c r="E129" i="39" s="1"/>
  <c r="C129" i="39"/>
  <c r="D128" i="39"/>
  <c r="C128" i="39"/>
  <c r="D127" i="39"/>
  <c r="E127" i="39" s="1"/>
  <c r="C127" i="39"/>
  <c r="D126" i="39"/>
  <c r="E126" i="39" s="1"/>
  <c r="C126" i="39"/>
  <c r="D125" i="39"/>
  <c r="F125" i="39" s="1"/>
  <c r="C125" i="39"/>
  <c r="D124" i="39"/>
  <c r="C124" i="39"/>
  <c r="D123" i="39"/>
  <c r="E123" i="39" s="1"/>
  <c r="C123" i="39"/>
  <c r="D122" i="39"/>
  <c r="E122" i="39" s="1"/>
  <c r="C122" i="39"/>
  <c r="D121" i="39"/>
  <c r="F121" i="39" s="1"/>
  <c r="C121" i="39"/>
  <c r="D120" i="39"/>
  <c r="E120" i="39" s="1"/>
  <c r="C120" i="39"/>
  <c r="D119" i="39"/>
  <c r="C119" i="39"/>
  <c r="D118" i="39"/>
  <c r="C118" i="39"/>
  <c r="D117" i="39"/>
  <c r="F117" i="39" s="1"/>
  <c r="C117" i="39"/>
  <c r="D116" i="39"/>
  <c r="E116" i="39" s="1"/>
  <c r="C116" i="39"/>
  <c r="D115" i="39"/>
  <c r="E115" i="39" s="1"/>
  <c r="C115" i="39"/>
  <c r="D114" i="39"/>
  <c r="C114" i="39"/>
  <c r="D113" i="39"/>
  <c r="E113" i="39" s="1"/>
  <c r="C113" i="39"/>
  <c r="D112" i="39"/>
  <c r="C112" i="39"/>
  <c r="D111" i="39"/>
  <c r="E111" i="39" s="1"/>
  <c r="C111" i="39"/>
  <c r="D110" i="39"/>
  <c r="F110" i="39" s="1"/>
  <c r="C110" i="39"/>
  <c r="D109" i="39"/>
  <c r="F109" i="39" s="1"/>
  <c r="C109" i="39"/>
  <c r="D108" i="39"/>
  <c r="C108" i="39"/>
  <c r="D107" i="39"/>
  <c r="E107" i="39" s="1"/>
  <c r="C107" i="39"/>
  <c r="D106" i="39"/>
  <c r="E106" i="39" s="1"/>
  <c r="C106" i="39"/>
  <c r="D105" i="39"/>
  <c r="F105" i="39" s="1"/>
  <c r="C105" i="39"/>
  <c r="D104" i="39"/>
  <c r="E104" i="39" s="1"/>
  <c r="C104" i="39"/>
  <c r="D103" i="39"/>
  <c r="C103" i="39"/>
  <c r="D102" i="39"/>
  <c r="C102" i="39"/>
  <c r="D101" i="39"/>
  <c r="E101" i="39" s="1"/>
  <c r="C101" i="39"/>
  <c r="D100" i="39"/>
  <c r="E100" i="39" s="1"/>
  <c r="C100" i="39"/>
  <c r="D99" i="39"/>
  <c r="E99" i="39" s="1"/>
  <c r="C99" i="39"/>
  <c r="D98" i="39"/>
  <c r="F98" i="39" s="1"/>
  <c r="C98" i="39"/>
  <c r="D17" i="39"/>
  <c r="E17" i="39" s="1"/>
  <c r="C17" i="39"/>
  <c r="D97" i="39"/>
  <c r="C97" i="39"/>
  <c r="D96" i="39"/>
  <c r="E96" i="39" s="1"/>
  <c r="C96" i="39"/>
  <c r="D95" i="39"/>
  <c r="E95" i="39" s="1"/>
  <c r="C95" i="39"/>
  <c r="D94" i="39"/>
  <c r="F94" i="39" s="1"/>
  <c r="C94" i="39"/>
  <c r="D93" i="39"/>
  <c r="C93" i="39"/>
  <c r="D92" i="39"/>
  <c r="E92" i="39" s="1"/>
  <c r="C92" i="39"/>
  <c r="D91" i="39"/>
  <c r="E91" i="39" s="1"/>
  <c r="C91" i="39"/>
  <c r="D90" i="39"/>
  <c r="F90" i="39" s="1"/>
  <c r="C90" i="39"/>
  <c r="D89" i="39"/>
  <c r="E89" i="39" s="1"/>
  <c r="C89" i="39"/>
  <c r="D88" i="39"/>
  <c r="C88" i="39"/>
  <c r="D87" i="39"/>
  <c r="C87" i="39"/>
  <c r="D86" i="39"/>
  <c r="E86" i="39" s="1"/>
  <c r="C86" i="39"/>
  <c r="D85" i="39"/>
  <c r="E85" i="39" s="1"/>
  <c r="C85" i="39"/>
  <c r="D84" i="39"/>
  <c r="E84" i="39" s="1"/>
  <c r="C84" i="39"/>
  <c r="D83" i="39"/>
  <c r="F83" i="39" s="1"/>
  <c r="C83" i="39"/>
  <c r="D82" i="39"/>
  <c r="E82" i="39" s="1"/>
  <c r="C82" i="39"/>
  <c r="D81" i="39"/>
  <c r="C81" i="39"/>
  <c r="D80" i="39"/>
  <c r="E80" i="39" s="1"/>
  <c r="C80" i="39"/>
  <c r="D79" i="39"/>
  <c r="F79" i="39" s="1"/>
  <c r="C79" i="39"/>
  <c r="D78" i="39"/>
  <c r="F78" i="39" s="1"/>
  <c r="C78" i="39"/>
  <c r="D77" i="39"/>
  <c r="C77" i="39"/>
  <c r="D76" i="39"/>
  <c r="E76" i="39" s="1"/>
  <c r="C76" i="39"/>
  <c r="D75" i="39"/>
  <c r="E75" i="39" s="1"/>
  <c r="C75" i="39"/>
  <c r="D74" i="39"/>
  <c r="E74" i="39" s="1"/>
  <c r="C74" i="39"/>
  <c r="D73" i="39"/>
  <c r="C73" i="39"/>
  <c r="D72" i="39"/>
  <c r="C72" i="39"/>
  <c r="D71" i="39"/>
  <c r="F71" i="39" s="1"/>
  <c r="C71" i="39"/>
  <c r="D70" i="39"/>
  <c r="F70" i="39" s="1"/>
  <c r="C70" i="39"/>
  <c r="D69" i="39"/>
  <c r="F69" i="39" s="1"/>
  <c r="C69" i="39"/>
  <c r="D68" i="39"/>
  <c r="C68" i="39"/>
  <c r="D67" i="39"/>
  <c r="E67" i="39" s="1"/>
  <c r="C67" i="39"/>
  <c r="D66" i="39"/>
  <c r="E66" i="39" s="1"/>
  <c r="C66" i="39"/>
  <c r="D65" i="39"/>
  <c r="F65" i="39" s="1"/>
  <c r="C65" i="39"/>
  <c r="D64" i="39"/>
  <c r="F64" i="39" s="1"/>
  <c r="C64" i="39"/>
  <c r="D63" i="39"/>
  <c r="F63" i="39" s="1"/>
  <c r="C63" i="39"/>
  <c r="D62" i="39"/>
  <c r="F62" i="39" s="1"/>
  <c r="C62" i="39"/>
  <c r="D61" i="39"/>
  <c r="C61" i="39"/>
  <c r="D60" i="39"/>
  <c r="C60" i="39"/>
  <c r="D59" i="39"/>
  <c r="F59" i="39" s="1"/>
  <c r="C59" i="39"/>
  <c r="D58" i="39"/>
  <c r="F58" i="39" s="1"/>
  <c r="C58" i="39"/>
  <c r="D57" i="39"/>
  <c r="F57" i="39" s="1"/>
  <c r="C57" i="39"/>
  <c r="D56" i="39"/>
  <c r="E56" i="39" s="1"/>
  <c r="C56" i="39"/>
  <c r="D55" i="39"/>
  <c r="C55" i="39"/>
  <c r="D54" i="39"/>
  <c r="E54" i="39" s="1"/>
  <c r="C54" i="39"/>
  <c r="D53" i="39"/>
  <c r="F53" i="39" s="1"/>
  <c r="C53" i="39"/>
  <c r="D52" i="39"/>
  <c r="C52" i="39"/>
  <c r="D51" i="39"/>
  <c r="E51" i="39" s="1"/>
  <c r="C51" i="39"/>
  <c r="D50" i="39"/>
  <c r="E50" i="39" s="1"/>
  <c r="C50" i="39"/>
  <c r="D49" i="39"/>
  <c r="C49" i="39"/>
  <c r="D48" i="39"/>
  <c r="E48" i="39" s="1"/>
  <c r="C48" i="39"/>
  <c r="D47" i="39"/>
  <c r="E47" i="39" s="1"/>
  <c r="C47" i="39"/>
  <c r="D46" i="39"/>
  <c r="F46" i="39" s="1"/>
  <c r="C46" i="39"/>
  <c r="D45" i="39"/>
  <c r="C45" i="39"/>
  <c r="D44" i="39"/>
  <c r="E44" i="39" s="1"/>
  <c r="C44" i="39"/>
  <c r="D43" i="39"/>
  <c r="F43" i="39" s="1"/>
  <c r="C43" i="39"/>
  <c r="D42" i="39"/>
  <c r="E42" i="39" s="1"/>
  <c r="C42" i="39"/>
  <c r="D41" i="39"/>
  <c r="C41" i="39"/>
  <c r="D40" i="39"/>
  <c r="F40" i="39" s="1"/>
  <c r="C40" i="39"/>
  <c r="D39" i="39"/>
  <c r="C39" i="39"/>
  <c r="D38" i="39"/>
  <c r="F38" i="39" s="1"/>
  <c r="C38" i="39"/>
  <c r="D37" i="39"/>
  <c r="F37" i="39" s="1"/>
  <c r="C37" i="39"/>
  <c r="D36" i="39"/>
  <c r="F36" i="39" s="1"/>
  <c r="C36" i="39"/>
  <c r="D35" i="39"/>
  <c r="E35" i="39" s="1"/>
  <c r="C35" i="39"/>
  <c r="D34" i="39"/>
  <c r="E34" i="39" s="1"/>
  <c r="C34" i="39"/>
  <c r="D33" i="39"/>
  <c r="C33" i="39"/>
  <c r="D32" i="39"/>
  <c r="E32" i="39" s="1"/>
  <c r="C32" i="39"/>
  <c r="D31" i="39"/>
  <c r="E31" i="39" s="1"/>
  <c r="C31" i="39"/>
  <c r="D30" i="39"/>
  <c r="F30" i="39" s="1"/>
  <c r="C30" i="39"/>
  <c r="D29" i="39"/>
  <c r="C29" i="39"/>
  <c r="D28" i="39"/>
  <c r="C28" i="39"/>
  <c r="D27" i="39"/>
  <c r="F27" i="39" s="1"/>
  <c r="C27" i="39"/>
  <c r="D26" i="39"/>
  <c r="E26" i="39" s="1"/>
  <c r="C26" i="39"/>
  <c r="D16" i="39"/>
  <c r="C16" i="39"/>
  <c r="D23" i="39"/>
  <c r="E23" i="39" s="1"/>
  <c r="C23" i="39"/>
  <c r="D22" i="39"/>
  <c r="C22" i="39"/>
  <c r="D25" i="39"/>
  <c r="F25" i="39" s="1"/>
  <c r="C25" i="39"/>
  <c r="D21" i="39"/>
  <c r="F21" i="39" s="1"/>
  <c r="C21" i="39"/>
  <c r="D15" i="39"/>
  <c r="C15" i="39"/>
  <c r="D13" i="39"/>
  <c r="C13" i="39"/>
  <c r="D20" i="39"/>
  <c r="C20" i="39"/>
  <c r="D19" i="39"/>
  <c r="F19" i="39" s="1"/>
  <c r="C19" i="39"/>
  <c r="D14" i="39"/>
  <c r="E14" i="39" s="1"/>
  <c r="C14" i="39"/>
  <c r="D18" i="39"/>
  <c r="F18" i="39" s="1"/>
  <c r="C18" i="39"/>
  <c r="E52" i="2"/>
  <c r="E53" i="2"/>
  <c r="T56" i="2"/>
  <c r="R56" i="2"/>
  <c r="R7" i="7"/>
  <c r="AO25" i="7"/>
  <c r="E71" i="2"/>
  <c r="Q48" i="2"/>
  <c r="U48" i="2" s="1"/>
  <c r="BA34" i="31"/>
  <c r="BA35" i="31"/>
  <c r="BA36" i="31"/>
  <c r="BA37" i="31"/>
  <c r="BA38" i="31"/>
  <c r="BA40" i="31"/>
  <c r="G16" i="31"/>
  <c r="G17" i="31"/>
  <c r="D166" i="39"/>
  <c r="C166" i="39"/>
  <c r="D24" i="39"/>
  <c r="F24" i="39" s="1"/>
  <c r="C24" i="39"/>
  <c r="X15" i="37"/>
  <c r="S15" i="37"/>
  <c r="B6" i="31"/>
  <c r="B12" i="31"/>
  <c r="B2" i="39"/>
  <c r="B3" i="31"/>
  <c r="B3" i="7"/>
  <c r="B3" i="32"/>
  <c r="D3" i="3"/>
  <c r="E3" i="2"/>
  <c r="AZ33" i="31"/>
  <c r="AZ32" i="31"/>
  <c r="AZ31" i="31"/>
  <c r="AZ30" i="31"/>
  <c r="AZ29" i="31"/>
  <c r="T69" i="2"/>
  <c r="T82" i="2" s="1"/>
  <c r="I29" i="44"/>
  <c r="I28" i="44"/>
  <c r="I27" i="44"/>
  <c r="I26" i="44"/>
  <c r="H5" i="32"/>
  <c r="G29" i="32"/>
  <c r="J29" i="32" s="1"/>
  <c r="I16" i="37"/>
  <c r="O1467" i="3"/>
  <c r="T39" i="2"/>
  <c r="T58" i="2" s="1"/>
  <c r="R40" i="2"/>
  <c r="R59" i="2" s="1"/>
  <c r="T40" i="2"/>
  <c r="T59" i="2" s="1"/>
  <c r="R42" i="2"/>
  <c r="R61" i="2" s="1"/>
  <c r="S42" i="2"/>
  <c r="S61" i="2" s="1"/>
  <c r="T42" i="2"/>
  <c r="T61" i="2" s="1"/>
  <c r="R43" i="2"/>
  <c r="R62" i="2" s="1"/>
  <c r="S43" i="2"/>
  <c r="S62" i="2" s="1"/>
  <c r="T43" i="2"/>
  <c r="T62" i="2" s="1"/>
  <c r="S40" i="2"/>
  <c r="S59" i="2" s="1"/>
  <c r="E16" i="37"/>
  <c r="O526" i="3"/>
  <c r="J12" i="32"/>
  <c r="G14" i="32"/>
  <c r="G15" i="32"/>
  <c r="J15" i="32" s="1"/>
  <c r="G16" i="32"/>
  <c r="J16" i="32" s="1"/>
  <c r="G17" i="32"/>
  <c r="J17" i="32" s="1"/>
  <c r="G18" i="32"/>
  <c r="J18" i="32" s="1"/>
  <c r="G19" i="32"/>
  <c r="J19" i="32" s="1"/>
  <c r="G20" i="32"/>
  <c r="J20" i="32" s="1"/>
  <c r="G21" i="32"/>
  <c r="J21" i="32" s="1"/>
  <c r="G22" i="32"/>
  <c r="J22" i="32" s="1"/>
  <c r="J23" i="32"/>
  <c r="G24" i="32"/>
  <c r="J24" i="32" s="1"/>
  <c r="G25" i="32"/>
  <c r="J25" i="32" s="1"/>
  <c r="G26" i="32"/>
  <c r="J26" i="32" s="1"/>
  <c r="G27" i="32"/>
  <c r="J27" i="32" s="1"/>
  <c r="J28" i="32"/>
  <c r="G11" i="32"/>
  <c r="F12" i="32"/>
  <c r="F13" i="32"/>
  <c r="F14" i="32"/>
  <c r="F15" i="32"/>
  <c r="F16" i="32"/>
  <c r="F17" i="32"/>
  <c r="F18" i="32"/>
  <c r="F19" i="32"/>
  <c r="F20" i="32"/>
  <c r="F21" i="32"/>
  <c r="F22" i="32"/>
  <c r="F23" i="32"/>
  <c r="V7" i="35"/>
  <c r="I56" i="2"/>
  <c r="F11" i="32"/>
  <c r="F24" i="32"/>
  <c r="F25" i="32"/>
  <c r="F26" i="32"/>
  <c r="F27" i="32"/>
  <c r="F28" i="32"/>
  <c r="Y42" i="2"/>
  <c r="Y61" i="2" s="1"/>
  <c r="AC43" i="2"/>
  <c r="AC62" i="2" s="1"/>
  <c r="AA43" i="2"/>
  <c r="AD42" i="2"/>
  <c r="AD61" i="2" s="1"/>
  <c r="AB42" i="2"/>
  <c r="AB61" i="2" s="1"/>
  <c r="T13" i="2"/>
  <c r="Z8" i="35"/>
  <c r="AZ22" i="31"/>
  <c r="AZ23" i="31"/>
  <c r="AZ24" i="31"/>
  <c r="AZ25" i="31"/>
  <c r="AZ26" i="31"/>
  <c r="AZ27" i="31"/>
  <c r="AZ28" i="31"/>
  <c r="X9" i="35"/>
  <c r="Y9" i="35"/>
  <c r="Z9" i="35"/>
  <c r="AA9" i="35"/>
  <c r="X10" i="35"/>
  <c r="Y10" i="35"/>
  <c r="Z10" i="35"/>
  <c r="AA10" i="35"/>
  <c r="V11" i="35"/>
  <c r="X11" i="35"/>
  <c r="Y11" i="35"/>
  <c r="Z11" i="35"/>
  <c r="AA11" i="35"/>
  <c r="V12" i="35"/>
  <c r="X12" i="35"/>
  <c r="Y12" i="35"/>
  <c r="Z12" i="35"/>
  <c r="AA12" i="35"/>
  <c r="V13" i="35"/>
  <c r="X13" i="35"/>
  <c r="Y13" i="35"/>
  <c r="Z13" i="35"/>
  <c r="AA13" i="35"/>
  <c r="V14" i="35"/>
  <c r="X14" i="35"/>
  <c r="Y14" i="35"/>
  <c r="Z14" i="35"/>
  <c r="AA14" i="35"/>
  <c r="P12" i="35"/>
  <c r="S12" i="35" s="1"/>
  <c r="P13" i="35"/>
  <c r="S13" i="35" s="1"/>
  <c r="N14" i="35"/>
  <c r="V9" i="35"/>
  <c r="R30" i="35"/>
  <c r="P21" i="35"/>
  <c r="S21" i="35" s="1"/>
  <c r="E39" i="35"/>
  <c r="Q30" i="35"/>
  <c r="V23" i="35"/>
  <c r="M23" i="35"/>
  <c r="E23" i="35" s="1"/>
  <c r="Z23" i="35"/>
  <c r="Y23" i="35"/>
  <c r="X23" i="35"/>
  <c r="I30" i="35"/>
  <c r="M29" i="35"/>
  <c r="E29" i="35" s="1"/>
  <c r="I38" i="35"/>
  <c r="P24" i="35"/>
  <c r="S24" i="35" s="1"/>
  <c r="E38" i="35"/>
  <c r="M22" i="35"/>
  <c r="E22" i="35" s="1"/>
  <c r="M24" i="35"/>
  <c r="E24" i="35" s="1"/>
  <c r="M25" i="35"/>
  <c r="E25" i="35" s="1"/>
  <c r="M26" i="35"/>
  <c r="E26" i="35" s="1"/>
  <c r="M27" i="35"/>
  <c r="E27" i="35" s="1"/>
  <c r="M28" i="35"/>
  <c r="E28" i="35" s="1"/>
  <c r="S25" i="35"/>
  <c r="S28" i="35"/>
  <c r="E3" i="35"/>
  <c r="L64" i="35"/>
  <c r="I64" i="35"/>
  <c r="L63" i="35"/>
  <c r="I63" i="35"/>
  <c r="L62" i="35"/>
  <c r="I62" i="35"/>
  <c r="L61" i="35"/>
  <c r="I61" i="35"/>
  <c r="M54" i="35"/>
  <c r="L54" i="35"/>
  <c r="I54" i="35"/>
  <c r="H54" i="35"/>
  <c r="E54" i="35"/>
  <c r="D54" i="35"/>
  <c r="K42" i="35"/>
  <c r="K43" i="35" s="1"/>
  <c r="G42" i="35"/>
  <c r="G43" i="35" s="1"/>
  <c r="L30" i="35"/>
  <c r="H30" i="35"/>
  <c r="D30" i="35"/>
  <c r="P29" i="35"/>
  <c r="S29" i="35" s="1"/>
  <c r="P22" i="35"/>
  <c r="S22" i="35" s="1"/>
  <c r="P27" i="35"/>
  <c r="S27" i="35" s="1"/>
  <c r="E20" i="35"/>
  <c r="R15" i="35"/>
  <c r="P11" i="35"/>
  <c r="S11" i="35" s="1"/>
  <c r="M39" i="35"/>
  <c r="Q15" i="35"/>
  <c r="M38" i="35"/>
  <c r="M37" i="35"/>
  <c r="I37" i="35"/>
  <c r="I40" i="35" s="1"/>
  <c r="Z28" i="35"/>
  <c r="Y28" i="35"/>
  <c r="X28" i="35"/>
  <c r="P23" i="35"/>
  <c r="S23" i="35" s="1"/>
  <c r="V28" i="35"/>
  <c r="AA28" i="35"/>
  <c r="AA23" i="35"/>
  <c r="Y27" i="35"/>
  <c r="Z24" i="35"/>
  <c r="Z26" i="35"/>
  <c r="X21" i="35"/>
  <c r="X24" i="35"/>
  <c r="X27" i="35"/>
  <c r="Z20" i="35"/>
  <c r="Z30" i="35" s="1"/>
  <c r="X22" i="35"/>
  <c r="Y25" i="35"/>
  <c r="Z25" i="35"/>
  <c r="Y26" i="35"/>
  <c r="Y21" i="35"/>
  <c r="Y24" i="35"/>
  <c r="Z21" i="35"/>
  <c r="Z27" i="35"/>
  <c r="X20" i="35"/>
  <c r="X30" i="35" s="1"/>
  <c r="Y20" i="35"/>
  <c r="Y30" i="35" s="1"/>
  <c r="Z22" i="35"/>
  <c r="Y22" i="35"/>
  <c r="X25" i="35"/>
  <c r="V26" i="35"/>
  <c r="X26" i="35"/>
  <c r="AA26" i="35"/>
  <c r="V20" i="35"/>
  <c r="V30" i="35" s="1"/>
  <c r="AA22" i="35"/>
  <c r="AA25" i="35"/>
  <c r="Y29" i="35"/>
  <c r="V22" i="35"/>
  <c r="V24" i="35"/>
  <c r="V25" i="35"/>
  <c r="AA27" i="35"/>
  <c r="AA24" i="35"/>
  <c r="AA21" i="35"/>
  <c r="AA20" i="35"/>
  <c r="AA30" i="35" s="1"/>
  <c r="V27" i="35"/>
  <c r="V21" i="35"/>
  <c r="AA29" i="35"/>
  <c r="Z29" i="35"/>
  <c r="X29" i="35"/>
  <c r="V29" i="35"/>
  <c r="H14" i="35"/>
  <c r="J10" i="35"/>
  <c r="AD40" i="2"/>
  <c r="AD59" i="2" s="1"/>
  <c r="N9" i="35"/>
  <c r="M14" i="35"/>
  <c r="I60" i="35" s="1"/>
  <c r="M12" i="35"/>
  <c r="I59" i="35" s="1"/>
  <c r="H10" i="35"/>
  <c r="H13" i="35"/>
  <c r="H9" i="35"/>
  <c r="J13" i="35"/>
  <c r="L9" i="35"/>
  <c r="N13" i="35"/>
  <c r="L13" i="35"/>
  <c r="M9" i="35"/>
  <c r="M10" i="35"/>
  <c r="J12" i="35"/>
  <c r="M11" i="35"/>
  <c r="J11" i="35"/>
  <c r="N11" i="35"/>
  <c r="J9" i="35"/>
  <c r="F9" i="35" s="1"/>
  <c r="V10" i="35"/>
  <c r="H11" i="35"/>
  <c r="M13" i="35"/>
  <c r="L11" i="35"/>
  <c r="P8" i="35"/>
  <c r="S8" i="35" s="1"/>
  <c r="N12" i="35"/>
  <c r="H12" i="35"/>
  <c r="N10" i="35"/>
  <c r="L12" i="35"/>
  <c r="L59" i="35" s="1"/>
  <c r="L10" i="35"/>
  <c r="J14" i="35"/>
  <c r="I12" i="35"/>
  <c r="I11" i="35"/>
  <c r="I10" i="35"/>
  <c r="I13" i="35"/>
  <c r="I14" i="35"/>
  <c r="I9" i="35"/>
  <c r="L14" i="35"/>
  <c r="L60" i="35" s="1"/>
  <c r="X8" i="35"/>
  <c r="AC40" i="2"/>
  <c r="AC59" i="2" s="1"/>
  <c r="P20" i="35"/>
  <c r="S20" i="35" s="1"/>
  <c r="P26" i="35"/>
  <c r="S26" i="35" s="1"/>
  <c r="AA8" i="35"/>
  <c r="Y8" i="35"/>
  <c r="B7" i="31"/>
  <c r="V8" i="35"/>
  <c r="V15" i="35"/>
  <c r="M8" i="35"/>
  <c r="Y7" i="35"/>
  <c r="L8" i="35"/>
  <c r="N8" i="35"/>
  <c r="M21" i="35"/>
  <c r="E21" i="35" s="1"/>
  <c r="Z7" i="35"/>
  <c r="Z15" i="35" s="1"/>
  <c r="H8" i="35"/>
  <c r="AA7" i="35"/>
  <c r="AA15" i="35" s="1"/>
  <c r="J8" i="35"/>
  <c r="X7" i="35"/>
  <c r="X15" i="35" s="1"/>
  <c r="I8" i="35"/>
  <c r="H7" i="35"/>
  <c r="H15" i="35" s="1"/>
  <c r="I7" i="35"/>
  <c r="I15" i="35" s="1"/>
  <c r="M7" i="35"/>
  <c r="M15" i="35" s="1"/>
  <c r="J7" i="35"/>
  <c r="L7" i="35"/>
  <c r="L15" i="35" s="1"/>
  <c r="N7" i="35"/>
  <c r="N15" i="35" s="1"/>
  <c r="M7" i="37" l="1"/>
  <c r="E30" i="66"/>
  <c r="E32" i="66" s="1"/>
  <c r="I32" i="66"/>
  <c r="I42" i="66"/>
  <c r="W9" i="2"/>
  <c r="F64" i="32"/>
  <c r="D7" i="32" s="1"/>
  <c r="AG89" i="7"/>
  <c r="AG88" i="7"/>
  <c r="W12" i="2"/>
  <c r="W43" i="2" s="1"/>
  <c r="M72" i="2"/>
  <c r="Q72" i="2"/>
  <c r="U72" i="2" s="1"/>
  <c r="M68" i="2"/>
  <c r="Q68" i="2"/>
  <c r="U68" i="2" s="1"/>
  <c r="M6" i="37"/>
  <c r="M9" i="37" s="1"/>
  <c r="T65" i="2"/>
  <c r="R65" i="2"/>
  <c r="G15" i="44" s="1"/>
  <c r="S65" i="2"/>
  <c r="R87" i="7"/>
  <c r="R89" i="7" s="1"/>
  <c r="AA62" i="2"/>
  <c r="AA61" i="2"/>
  <c r="Y65" i="2"/>
  <c r="AD65" i="2"/>
  <c r="U325" i="39"/>
  <c r="U434" i="39"/>
  <c r="H11" i="2"/>
  <c r="H42" i="2" s="1"/>
  <c r="H61" i="2" s="1"/>
  <c r="AL598" i="51"/>
  <c r="AK598" i="51"/>
  <c r="AJ598" i="51"/>
  <c r="W42" i="2"/>
  <c r="G12" i="31"/>
  <c r="E46" i="2"/>
  <c r="G9" i="31"/>
  <c r="C6" i="39"/>
  <c r="W39" i="2"/>
  <c r="E6" i="31"/>
  <c r="Q11" i="2" s="1"/>
  <c r="U11" i="2" s="1"/>
  <c r="O598" i="51"/>
  <c r="C5" i="39"/>
  <c r="W167" i="39"/>
  <c r="W325" i="39" s="1"/>
  <c r="L30" i="2"/>
  <c r="D30" i="2" s="1"/>
  <c r="L31" i="2"/>
  <c r="W13" i="39"/>
  <c r="W163" i="39" s="1"/>
  <c r="U5" i="39"/>
  <c r="J14" i="32"/>
  <c r="Q8" i="2"/>
  <c r="U8" i="2" s="1"/>
  <c r="K106" i="39"/>
  <c r="L106" i="39"/>
  <c r="K105" i="39"/>
  <c r="L105" i="39"/>
  <c r="K101" i="39"/>
  <c r="L101" i="39"/>
  <c r="K108" i="39"/>
  <c r="L108" i="39"/>
  <c r="K102" i="39"/>
  <c r="L102" i="39"/>
  <c r="H22" i="2"/>
  <c r="H21" i="2"/>
  <c r="I5" i="39"/>
  <c r="C853" i="3" s="1"/>
  <c r="I6" i="39"/>
  <c r="F13" i="39"/>
  <c r="C8" i="39"/>
  <c r="C415" i="39" s="1"/>
  <c r="I111" i="39"/>
  <c r="I214" i="39"/>
  <c r="M54" i="2"/>
  <c r="E54" i="2" s="1"/>
  <c r="M55" i="2"/>
  <c r="Q55" i="2"/>
  <c r="AO24" i="7"/>
  <c r="AY54" i="31"/>
  <c r="AY76" i="31" s="1"/>
  <c r="C380" i="39"/>
  <c r="C18" i="31"/>
  <c r="E36" i="2"/>
  <c r="E13" i="35"/>
  <c r="K49" i="39"/>
  <c r="H6" i="32"/>
  <c r="E65" i="39"/>
  <c r="F18" i="31"/>
  <c r="C318" i="39"/>
  <c r="B18" i="31"/>
  <c r="F7" i="35"/>
  <c r="F15" i="35" s="1"/>
  <c r="E14" i="35"/>
  <c r="D13" i="35"/>
  <c r="J14" i="37"/>
  <c r="E13" i="37"/>
  <c r="C162" i="39"/>
  <c r="J16" i="37"/>
  <c r="O8" i="37" s="1"/>
  <c r="Y14" i="37"/>
  <c r="AA42" i="35"/>
  <c r="J13" i="37"/>
  <c r="Y13" i="37"/>
  <c r="I12" i="2" s="1"/>
  <c r="X42" i="2"/>
  <c r="X61" i="2" s="1"/>
  <c r="AO8" i="7"/>
  <c r="K218" i="39"/>
  <c r="K291" i="39" s="1"/>
  <c r="L22" i="2"/>
  <c r="K116" i="39"/>
  <c r="E166" i="39"/>
  <c r="J11" i="32"/>
  <c r="E8" i="35"/>
  <c r="R42" i="35"/>
  <c r="Z42" i="35"/>
  <c r="Q42" i="35"/>
  <c r="H55" i="35"/>
  <c r="F8" i="35"/>
  <c r="X13" i="2"/>
  <c r="U71" i="2"/>
  <c r="Q49" i="2"/>
  <c r="U49" i="2" s="1"/>
  <c r="M49" i="2"/>
  <c r="S76" i="37"/>
  <c r="S16" i="37" s="1"/>
  <c r="I31" i="2"/>
  <c r="L58" i="35"/>
  <c r="I55" i="35"/>
  <c r="E10" i="35"/>
  <c r="F12" i="35"/>
  <c r="D11" i="35"/>
  <c r="E9" i="35"/>
  <c r="F13" i="35"/>
  <c r="Z33" i="35"/>
  <c r="E55" i="35"/>
  <c r="M55" i="35"/>
  <c r="I42" i="35"/>
  <c r="D12" i="35"/>
  <c r="S44" i="2"/>
  <c r="AO10" i="7"/>
  <c r="F126" i="39"/>
  <c r="L55" i="35"/>
  <c r="K167" i="39"/>
  <c r="D14" i="35"/>
  <c r="L65" i="35"/>
  <c r="D55" i="35"/>
  <c r="AA33" i="35"/>
  <c r="W28" i="35"/>
  <c r="U28" i="35" s="1"/>
  <c r="S16" i="35" s="1"/>
  <c r="R44" i="2"/>
  <c r="E7" i="35"/>
  <c r="E15" i="35" s="1"/>
  <c r="E12" i="35"/>
  <c r="W21" i="35"/>
  <c r="U21" i="35" s="1"/>
  <c r="Q17" i="35" s="1"/>
  <c r="E30" i="35"/>
  <c r="R33" i="35"/>
  <c r="W14" i="35"/>
  <c r="U14" i="35" s="1"/>
  <c r="W13" i="35"/>
  <c r="U13" i="35" s="1"/>
  <c r="W11" i="35"/>
  <c r="U11" i="35" s="1"/>
  <c r="W10" i="35"/>
  <c r="U10" i="35" s="1"/>
  <c r="W9" i="35"/>
  <c r="U9" i="35" s="1"/>
  <c r="W8" i="35"/>
  <c r="U8" i="35" s="1"/>
  <c r="BA27" i="31"/>
  <c r="M30" i="35"/>
  <c r="M33" i="35" s="1"/>
  <c r="D8" i="35"/>
  <c r="D9" i="35"/>
  <c r="D10" i="35"/>
  <c r="V33" i="35"/>
  <c r="Q33" i="35"/>
  <c r="BA28" i="31"/>
  <c r="BA24" i="31"/>
  <c r="X43" i="2"/>
  <c r="X62" i="2" s="1"/>
  <c r="Q46" i="2"/>
  <c r="BA31" i="31"/>
  <c r="BA22" i="31"/>
  <c r="BA32" i="31"/>
  <c r="AO19" i="7"/>
  <c r="AO14" i="7"/>
  <c r="D598" i="51" s="1"/>
  <c r="AD598" i="51"/>
  <c r="Z598" i="51"/>
  <c r="AO32" i="7"/>
  <c r="AO33" i="7"/>
  <c r="AO30" i="7"/>
  <c r="AE598" i="51"/>
  <c r="AO34" i="7"/>
  <c r="AO17" i="7"/>
  <c r="P30" i="35"/>
  <c r="K127" i="39"/>
  <c r="E244" i="39"/>
  <c r="K118" i="39"/>
  <c r="K148" i="39"/>
  <c r="K66" i="39"/>
  <c r="F228" i="39"/>
  <c r="F281" i="39"/>
  <c r="E184" i="39"/>
  <c r="F190" i="39"/>
  <c r="E285" i="39"/>
  <c r="T44" i="2"/>
  <c r="T83" i="2" s="1"/>
  <c r="AO28" i="7"/>
  <c r="AO20" i="7"/>
  <c r="H17" i="2"/>
  <c r="AB43" i="2"/>
  <c r="AB62" i="2" s="1"/>
  <c r="AB65" i="2" s="1"/>
  <c r="W7" i="35"/>
  <c r="W15" i="35" s="1"/>
  <c r="AO16" i="7"/>
  <c r="S30" i="35"/>
  <c r="I58" i="35"/>
  <c r="W20" i="35"/>
  <c r="F11" i="35"/>
  <c r="W25" i="35"/>
  <c r="U25" i="35" s="1"/>
  <c r="R17" i="35" s="1"/>
  <c r="W24" i="35"/>
  <c r="U24" i="35" s="1"/>
  <c r="R16" i="35" s="1"/>
  <c r="F311" i="39"/>
  <c r="Z13" i="2"/>
  <c r="D7" i="35"/>
  <c r="D15" i="35" s="1"/>
  <c r="X42" i="35"/>
  <c r="F10" i="35"/>
  <c r="W27" i="35"/>
  <c r="U27" i="35" s="1"/>
  <c r="R19" i="35" s="1"/>
  <c r="W29" i="35"/>
  <c r="U29" i="35" s="1"/>
  <c r="S17" i="35" s="1"/>
  <c r="W26" i="35"/>
  <c r="U26" i="35" s="1"/>
  <c r="R18" i="35" s="1"/>
  <c r="W22" i="35"/>
  <c r="U22" i="35" s="1"/>
  <c r="Q18" i="35" s="1"/>
  <c r="I33" i="35"/>
  <c r="F14" i="35"/>
  <c r="W12" i="35"/>
  <c r="U12" i="35" s="1"/>
  <c r="P17" i="35" s="1"/>
  <c r="F295" i="39"/>
  <c r="F179" i="39"/>
  <c r="E218" i="39"/>
  <c r="E274" i="39"/>
  <c r="E216" i="39"/>
  <c r="AO9" i="7"/>
  <c r="W17" i="37"/>
  <c r="Y15" i="35"/>
  <c r="Y42" i="35" s="1"/>
  <c r="I65" i="35"/>
  <c r="W23" i="35"/>
  <c r="U23" i="35" s="1"/>
  <c r="Q19" i="35" s="1"/>
  <c r="F66" i="39"/>
  <c r="F251" i="39"/>
  <c r="E207" i="39"/>
  <c r="E205" i="39"/>
  <c r="AB598" i="51"/>
  <c r="H16" i="2"/>
  <c r="AO31" i="7"/>
  <c r="BA30" i="31"/>
  <c r="BA26" i="31"/>
  <c r="BA33" i="31"/>
  <c r="BA29" i="31"/>
  <c r="BA25" i="31"/>
  <c r="Q12" i="2"/>
  <c r="U12" i="2" s="1"/>
  <c r="AO12" i="7"/>
  <c r="X39" i="2"/>
  <c r="X58" i="2" s="1"/>
  <c r="AA40" i="2"/>
  <c r="AA56" i="2"/>
  <c r="AC56" i="2"/>
  <c r="AD56" i="2"/>
  <c r="AC13" i="2"/>
  <c r="AD13" i="2"/>
  <c r="AO11" i="7"/>
  <c r="AO27" i="7"/>
  <c r="AO23" i="7"/>
  <c r="AO7" i="7"/>
  <c r="AC598" i="51"/>
  <c r="AC42" i="2"/>
  <c r="AC61" i="2" s="1"/>
  <c r="AC65" i="2" s="1"/>
  <c r="AO21" i="7"/>
  <c r="AA598" i="51"/>
  <c r="AD44" i="2"/>
  <c r="Y44" i="2"/>
  <c r="AA39" i="2"/>
  <c r="AA13" i="2"/>
  <c r="J88" i="7"/>
  <c r="AO22" i="7"/>
  <c r="AB56" i="2"/>
  <c r="P9" i="35"/>
  <c r="S9" i="35" s="1"/>
  <c r="G7" i="31"/>
  <c r="Q47" i="2"/>
  <c r="M48" i="2"/>
  <c r="U92" i="2" s="1"/>
  <c r="AA207" i="39"/>
  <c r="F137" i="39"/>
  <c r="F282" i="39"/>
  <c r="F107" i="39"/>
  <c r="E25" i="39"/>
  <c r="K153" i="39"/>
  <c r="K174" i="39"/>
  <c r="K45" i="39"/>
  <c r="F99" i="39"/>
  <c r="K44" i="39"/>
  <c r="F234" i="39"/>
  <c r="K210" i="39"/>
  <c r="E141" i="39"/>
  <c r="F44" i="39"/>
  <c r="L122" i="39"/>
  <c r="K87" i="39"/>
  <c r="K98" i="39"/>
  <c r="E13" i="39"/>
  <c r="E46" i="39"/>
  <c r="L116" i="39"/>
  <c r="F288" i="39"/>
  <c r="K18" i="39"/>
  <c r="E53" i="39"/>
  <c r="F42" i="39"/>
  <c r="F47" i="39"/>
  <c r="K121" i="39"/>
  <c r="F203" i="39"/>
  <c r="F181" i="39"/>
  <c r="F227" i="39"/>
  <c r="E235" i="39"/>
  <c r="E303" i="39"/>
  <c r="E270" i="39"/>
  <c r="E294" i="39"/>
  <c r="K194" i="39"/>
  <c r="K129" i="39"/>
  <c r="E211" i="39"/>
  <c r="K22" i="39"/>
  <c r="F238" i="39"/>
  <c r="F293" i="39"/>
  <c r="E273" i="39"/>
  <c r="E204" i="39"/>
  <c r="E209" i="39"/>
  <c r="E283" i="39"/>
  <c r="K208" i="39"/>
  <c r="K15" i="39"/>
  <c r="F193" i="39"/>
  <c r="E284" i="39"/>
  <c r="K149" i="39"/>
  <c r="L177" i="39"/>
  <c r="L176" i="39"/>
  <c r="L155" i="39"/>
  <c r="K50" i="39"/>
  <c r="K82" i="39"/>
  <c r="K14" i="39"/>
  <c r="L90" i="39"/>
  <c r="F26" i="39"/>
  <c r="E19" i="39"/>
  <c r="F127" i="39"/>
  <c r="F86" i="39"/>
  <c r="E30" i="39"/>
  <c r="E70" i="39"/>
  <c r="F113" i="39"/>
  <c r="F80" i="39"/>
  <c r="E21" i="39"/>
  <c r="E18" i="39"/>
  <c r="F54" i="39"/>
  <c r="F241" i="39"/>
  <c r="E280" i="39"/>
  <c r="E210" i="39"/>
  <c r="E289" i="39"/>
  <c r="E266" i="39"/>
  <c r="E247" i="39"/>
  <c r="E170" i="39"/>
  <c r="K178" i="39"/>
  <c r="K58" i="39"/>
  <c r="K70" i="39"/>
  <c r="X167" i="39"/>
  <c r="X325" i="39" s="1"/>
  <c r="W6" i="39" s="1"/>
  <c r="M30" i="2" s="1"/>
  <c r="F104" i="39"/>
  <c r="F265" i="39"/>
  <c r="F197" i="39"/>
  <c r="F174" i="39"/>
  <c r="K154" i="39"/>
  <c r="K34" i="39"/>
  <c r="K75" i="39"/>
  <c r="L206" i="39"/>
  <c r="K206" i="39"/>
  <c r="K110" i="39"/>
  <c r="L26" i="39"/>
  <c r="K26" i="39"/>
  <c r="E38" i="39"/>
  <c r="F242" i="39"/>
  <c r="F316" i="39"/>
  <c r="E155" i="39"/>
  <c r="F95" i="39"/>
  <c r="F229" i="39"/>
  <c r="F301" i="39"/>
  <c r="F196" i="39"/>
  <c r="E158" i="39"/>
  <c r="E121" i="39"/>
  <c r="E94" i="39"/>
  <c r="F136" i="39"/>
  <c r="E83" i="39"/>
  <c r="E69" i="39"/>
  <c r="F34" i="39"/>
  <c r="F50" i="39"/>
  <c r="F192" i="39"/>
  <c r="F317" i="39"/>
  <c r="E256" i="39"/>
  <c r="E278" i="39"/>
  <c r="E296" i="39"/>
  <c r="E300" i="39"/>
  <c r="X13" i="39"/>
  <c r="X163" i="39" s="1"/>
  <c r="W5" i="39" s="1"/>
  <c r="M11" i="2" s="1"/>
  <c r="K146" i="39"/>
  <c r="L202" i="39"/>
  <c r="K202" i="39"/>
  <c r="L180" i="39"/>
  <c r="F268" i="39"/>
  <c r="E268" i="39"/>
  <c r="K38" i="39"/>
  <c r="K31" i="39"/>
  <c r="K33" i="39"/>
  <c r="L54" i="39"/>
  <c r="K213" i="39"/>
  <c r="L163" i="39"/>
  <c r="K163" i="39"/>
  <c r="L73" i="39"/>
  <c r="K73" i="39"/>
  <c r="L63" i="39"/>
  <c r="K63" i="39"/>
  <c r="K17" i="39"/>
  <c r="L218" i="39"/>
  <c r="L291" i="39" s="1"/>
  <c r="K8" i="39" s="1"/>
  <c r="M22" i="2" s="1"/>
  <c r="K181" i="39"/>
  <c r="K159" i="39"/>
  <c r="K169" i="39"/>
  <c r="L201" i="39"/>
  <c r="L200" i="39"/>
  <c r="L172" i="39"/>
  <c r="L132" i="39"/>
  <c r="K42" i="39"/>
  <c r="K94" i="39"/>
  <c r="K39" i="39"/>
  <c r="K103" i="39"/>
  <c r="K93" i="39"/>
  <c r="L74" i="39"/>
  <c r="K71" i="39"/>
  <c r="K23" i="39"/>
  <c r="K97" i="39"/>
  <c r="K25" i="39"/>
  <c r="L86" i="39"/>
  <c r="F175" i="39"/>
  <c r="F298" i="39"/>
  <c r="F213" i="39"/>
  <c r="F225" i="39"/>
  <c r="F176" i="39"/>
  <c r="F189" i="39"/>
  <c r="F212" i="39"/>
  <c r="F215" i="39"/>
  <c r="F239" i="39"/>
  <c r="F264" i="39"/>
  <c r="F305" i="39"/>
  <c r="F173" i="39"/>
  <c r="F166" i="39"/>
  <c r="F200" i="39"/>
  <c r="F253" i="39"/>
  <c r="F267" i="39"/>
  <c r="F233" i="39"/>
  <c r="F249" i="39"/>
  <c r="F182" i="39"/>
  <c r="F171" i="39"/>
  <c r="F276" i="39"/>
  <c r="F220" i="39"/>
  <c r="E250" i="39"/>
  <c r="E232" i="39"/>
  <c r="E279" i="39"/>
  <c r="E188" i="39"/>
  <c r="E223" i="39"/>
  <c r="E24" i="39"/>
  <c r="E43" i="39"/>
  <c r="E133" i="39"/>
  <c r="E105" i="39"/>
  <c r="F92" i="39"/>
  <c r="E78" i="39"/>
  <c r="E58" i="39"/>
  <c r="E57" i="39"/>
  <c r="F143" i="39"/>
  <c r="F129" i="39"/>
  <c r="F115" i="39"/>
  <c r="F101" i="39"/>
  <c r="F74" i="39"/>
  <c r="F23" i="39"/>
  <c r="E63" i="39"/>
  <c r="D36" i="2"/>
  <c r="X47" i="37"/>
  <c r="X14" i="37" s="1"/>
  <c r="S57" i="37"/>
  <c r="S14" i="37" s="1"/>
  <c r="D32" i="37"/>
  <c r="D16" i="37" s="1"/>
  <c r="H8" i="2"/>
  <c r="H39" i="2" s="1"/>
  <c r="H58" i="2" s="1"/>
  <c r="H31" i="2"/>
  <c r="H32" i="2" s="1"/>
  <c r="S13" i="37"/>
  <c r="H12" i="2"/>
  <c r="H43" i="2" s="1"/>
  <c r="H62" i="2" s="1"/>
  <c r="R17" i="37"/>
  <c r="L117" i="39"/>
  <c r="K164" i="39"/>
  <c r="K193" i="39"/>
  <c r="K152" i="39"/>
  <c r="L124" i="39"/>
  <c r="L119" i="39"/>
  <c r="K173" i="39"/>
  <c r="K145" i="39"/>
  <c r="K158" i="39"/>
  <c r="K183" i="39"/>
  <c r="K187" i="39"/>
  <c r="K195" i="39"/>
  <c r="K161" i="39"/>
  <c r="L190" i="39"/>
  <c r="K30" i="39"/>
  <c r="K46" i="39"/>
  <c r="K62" i="39"/>
  <c r="K78" i="39"/>
  <c r="K92" i="39"/>
  <c r="L126" i="39"/>
  <c r="K191" i="39"/>
  <c r="K197" i="39"/>
  <c r="L157" i="39"/>
  <c r="K51" i="39"/>
  <c r="K28" i="39"/>
  <c r="K83" i="39"/>
  <c r="K19" i="39"/>
  <c r="K29" i="39"/>
  <c r="K69" i="39"/>
  <c r="K59" i="39"/>
  <c r="K188" i="39"/>
  <c r="K147" i="39"/>
  <c r="K165" i="39"/>
  <c r="I14" i="37"/>
  <c r="K125" i="39"/>
  <c r="K203" i="39"/>
  <c r="K184" i="39"/>
  <c r="K168" i="39"/>
  <c r="K156" i="39"/>
  <c r="K211" i="39"/>
  <c r="K128" i="39"/>
  <c r="K150" i="39"/>
  <c r="K209" i="39"/>
  <c r="K196" i="39"/>
  <c r="L205" i="39"/>
  <c r="K76" i="39"/>
  <c r="K55" i="39"/>
  <c r="K95" i="39"/>
  <c r="K21" i="39"/>
  <c r="K37" i="39"/>
  <c r="K77" i="39"/>
  <c r="K81" i="39"/>
  <c r="K27" i="39"/>
  <c r="K43" i="39"/>
  <c r="K41" i="39"/>
  <c r="K89" i="39"/>
  <c r="K109" i="39"/>
  <c r="L85" i="39"/>
  <c r="L61" i="39"/>
  <c r="L53" i="39"/>
  <c r="K35" i="39"/>
  <c r="L65" i="39"/>
  <c r="L57" i="39"/>
  <c r="F248" i="39"/>
  <c r="E248" i="39"/>
  <c r="E302" i="39"/>
  <c r="F271" i="39"/>
  <c r="E271" i="39"/>
  <c r="E226" i="39"/>
  <c r="E291" i="39"/>
  <c r="F291" i="39"/>
  <c r="E103" i="39"/>
  <c r="F103" i="39"/>
  <c r="E119" i="39"/>
  <c r="F119" i="39"/>
  <c r="E297" i="39"/>
  <c r="F297" i="39"/>
  <c r="F156" i="39"/>
  <c r="F139" i="39"/>
  <c r="E125" i="39"/>
  <c r="E117" i="39"/>
  <c r="F111" i="39"/>
  <c r="F17" i="39"/>
  <c r="E90" i="39"/>
  <c r="F84" i="39"/>
  <c r="F76" i="39"/>
  <c r="F28" i="39"/>
  <c r="E28" i="39"/>
  <c r="F254" i="39"/>
  <c r="E255" i="39"/>
  <c r="F255" i="39"/>
  <c r="E230" i="39"/>
  <c r="F230" i="39"/>
  <c r="F206" i="39"/>
  <c r="E206" i="39"/>
  <c r="F187" i="39"/>
  <c r="E187" i="39"/>
  <c r="E27" i="39"/>
  <c r="E72" i="39"/>
  <c r="F72" i="39"/>
  <c r="E88" i="39"/>
  <c r="F88" i="39"/>
  <c r="E135" i="39"/>
  <c r="F135" i="39"/>
  <c r="E160" i="39"/>
  <c r="F160" i="39"/>
  <c r="F260" i="39"/>
  <c r="E260" i="39"/>
  <c r="E237" i="39"/>
  <c r="F237" i="39"/>
  <c r="E243" i="39"/>
  <c r="F243" i="39"/>
  <c r="F14" i="39"/>
  <c r="E64" i="39"/>
  <c r="F154" i="39"/>
  <c r="F131" i="39"/>
  <c r="F123" i="39"/>
  <c r="E109" i="39"/>
  <c r="F96" i="39"/>
  <c r="F82" i="39"/>
  <c r="F31" i="39"/>
  <c r="E62" i="39"/>
  <c r="E40" i="39"/>
  <c r="E37" i="39"/>
  <c r="F60" i="39"/>
  <c r="E60" i="39"/>
  <c r="E73" i="39"/>
  <c r="F73" i="39"/>
  <c r="F114" i="39"/>
  <c r="E114" i="39"/>
  <c r="F222" i="39"/>
  <c r="F186" i="39"/>
  <c r="E198" i="39"/>
  <c r="F198" i="39"/>
  <c r="E246" i="39"/>
  <c r="E201" i="39"/>
  <c r="F201" i="39"/>
  <c r="E286" i="39"/>
  <c r="F286" i="39"/>
  <c r="E217" i="39"/>
  <c r="F180" i="39"/>
  <c r="U7" i="35"/>
  <c r="U15" i="35" s="1"/>
  <c r="E87" i="39"/>
  <c r="F87" i="39"/>
  <c r="E97" i="39"/>
  <c r="F97" i="39"/>
  <c r="E118" i="39"/>
  <c r="F118" i="39"/>
  <c r="F208" i="39"/>
  <c r="E208" i="39"/>
  <c r="E224" i="39"/>
  <c r="F224" i="39"/>
  <c r="F287" i="39"/>
  <c r="E287" i="39"/>
  <c r="F68" i="39"/>
  <c r="E68" i="39"/>
  <c r="J15" i="35"/>
  <c r="V42" i="35"/>
  <c r="P10" i="35"/>
  <c r="S10" i="35" s="1"/>
  <c r="AZ76" i="31"/>
  <c r="AO29" i="7"/>
  <c r="AO13" i="7"/>
  <c r="F157" i="39"/>
  <c r="F138" i="39"/>
  <c r="F116" i="39"/>
  <c r="F106" i="39"/>
  <c r="F85" i="39"/>
  <c r="F75" i="39"/>
  <c r="E36" i="39"/>
  <c r="F177" i="39"/>
  <c r="E191" i="39"/>
  <c r="F191" i="39"/>
  <c r="F263" i="39"/>
  <c r="E263" i="39"/>
  <c r="F262" i="39"/>
  <c r="E262" i="39"/>
  <c r="F169" i="39"/>
  <c r="E169" i="39"/>
  <c r="F16" i="39"/>
  <c r="E16" i="39"/>
  <c r="E102" i="39"/>
  <c r="F102" i="39"/>
  <c r="E128" i="39"/>
  <c r="F128" i="39"/>
  <c r="E159" i="39"/>
  <c r="F159" i="39"/>
  <c r="E172" i="39"/>
  <c r="F172" i="39"/>
  <c r="F122" i="39"/>
  <c r="F91" i="39"/>
  <c r="F219" i="39"/>
  <c r="E219" i="39"/>
  <c r="F322" i="39"/>
  <c r="F380" i="39" s="1"/>
  <c r="E322" i="39"/>
  <c r="L186" i="39"/>
  <c r="K186" i="39"/>
  <c r="K131" i="39"/>
  <c r="L131" i="39"/>
  <c r="K182" i="39"/>
  <c r="L182" i="39"/>
  <c r="E22" i="39"/>
  <c r="F22" i="39"/>
  <c r="E39" i="39"/>
  <c r="F39" i="39"/>
  <c r="F41" i="39"/>
  <c r="E41" i="39"/>
  <c r="F55" i="39"/>
  <c r="E55" i="39"/>
  <c r="E77" i="39"/>
  <c r="F77" i="39"/>
  <c r="E81" i="39"/>
  <c r="F81" i="39"/>
  <c r="E93" i="39"/>
  <c r="F93" i="39"/>
  <c r="E108" i="39"/>
  <c r="F108" i="39"/>
  <c r="E112" i="39"/>
  <c r="F112" i="39"/>
  <c r="E124" i="39"/>
  <c r="F124" i="39"/>
  <c r="E134" i="39"/>
  <c r="F134" i="39"/>
  <c r="E140" i="39"/>
  <c r="F140" i="39"/>
  <c r="F257" i="39"/>
  <c r="E257" i="39"/>
  <c r="E202" i="39"/>
  <c r="F202" i="39"/>
  <c r="E245" i="39"/>
  <c r="F245" i="39"/>
  <c r="H9" i="2"/>
  <c r="H17" i="37"/>
  <c r="E142" i="39"/>
  <c r="F132" i="39"/>
  <c r="E110" i="39"/>
  <c r="F100" i="39"/>
  <c r="E79" i="39"/>
  <c r="E15" i="39"/>
  <c r="F15" i="39"/>
  <c r="E52" i="39"/>
  <c r="F52" i="39"/>
  <c r="L13" i="39"/>
  <c r="K13" i="39"/>
  <c r="L120" i="39"/>
  <c r="F275" i="39"/>
  <c r="F306" i="39"/>
  <c r="E306" i="39"/>
  <c r="E259" i="39"/>
  <c r="F259" i="39"/>
  <c r="F178" i="39"/>
  <c r="E178" i="39"/>
  <c r="X33" i="35"/>
  <c r="E11" i="35"/>
  <c r="BA23" i="31"/>
  <c r="X40" i="2"/>
  <c r="X59" i="2" s="1"/>
  <c r="F161" i="39"/>
  <c r="E130" i="39"/>
  <c r="F120" i="39"/>
  <c r="E98" i="39"/>
  <c r="F89" i="39"/>
  <c r="E71" i="39"/>
  <c r="E29" i="39"/>
  <c r="F29" i="39"/>
  <c r="F32" i="39"/>
  <c r="F35" i="39"/>
  <c r="F45" i="39"/>
  <c r="E45" i="39"/>
  <c r="F48" i="39"/>
  <c r="F51" i="39"/>
  <c r="F61" i="39"/>
  <c r="E61" i="39"/>
  <c r="F67" i="39"/>
  <c r="L123" i="39"/>
  <c r="K123" i="39"/>
  <c r="E323" i="39"/>
  <c r="F185" i="39"/>
  <c r="F252" i="39"/>
  <c r="E252" i="39"/>
  <c r="E258" i="39"/>
  <c r="F258" i="39"/>
  <c r="F272" i="39"/>
  <c r="E272" i="39"/>
  <c r="E299" i="39"/>
  <c r="F299" i="39"/>
  <c r="F195" i="39"/>
  <c r="E195" i="39"/>
  <c r="E240" i="39"/>
  <c r="F240" i="39"/>
  <c r="F194" i="39"/>
  <c r="E194" i="39"/>
  <c r="E290" i="39"/>
  <c r="F290" i="39"/>
  <c r="E14" i="37"/>
  <c r="AO18" i="7"/>
  <c r="E20" i="39"/>
  <c r="F20" i="39"/>
  <c r="F33" i="39"/>
  <c r="E33" i="39"/>
  <c r="F49" i="39"/>
  <c r="E49" i="39"/>
  <c r="F221" i="39"/>
  <c r="F277" i="39"/>
  <c r="E304" i="39"/>
  <c r="F304" i="39"/>
  <c r="E236" i="39"/>
  <c r="F236" i="39"/>
  <c r="K179" i="39"/>
  <c r="L179" i="39"/>
  <c r="L199" i="39"/>
  <c r="K199" i="39"/>
  <c r="E312" i="39"/>
  <c r="F312" i="39"/>
  <c r="K175" i="39"/>
  <c r="L175" i="39"/>
  <c r="K162" i="39"/>
  <c r="L162" i="39"/>
  <c r="L189" i="39"/>
  <c r="K189" i="39"/>
  <c r="L134" i="39"/>
  <c r="K134" i="39"/>
  <c r="L130" i="39"/>
  <c r="K130" i="39"/>
  <c r="L204" i="39"/>
  <c r="K204" i="39"/>
  <c r="X329" i="39"/>
  <c r="W329" i="39"/>
  <c r="W434" i="39" s="1"/>
  <c r="E231" i="39"/>
  <c r="F231" i="39"/>
  <c r="AA5" i="39"/>
  <c r="C1695" i="3" s="1"/>
  <c r="P14" i="35"/>
  <c r="S14" i="35" s="1"/>
  <c r="E37" i="35"/>
  <c r="E40" i="35" s="1"/>
  <c r="E59" i="39"/>
  <c r="F56" i="39"/>
  <c r="F199" i="39"/>
  <c r="F214" i="39"/>
  <c r="E261" i="39"/>
  <c r="F261" i="39"/>
  <c r="E292" i="39"/>
  <c r="F292" i="39"/>
  <c r="F168" i="39"/>
  <c r="E168" i="39"/>
  <c r="K170" i="39"/>
  <c r="L170" i="39"/>
  <c r="L207" i="39"/>
  <c r="K207" i="39"/>
  <c r="L192" i="39"/>
  <c r="K192" i="39"/>
  <c r="K104" i="39"/>
  <c r="K96" i="39"/>
  <c r="L96" i="39"/>
  <c r="L88" i="39"/>
  <c r="K88" i="39"/>
  <c r="K80" i="39"/>
  <c r="L80" i="39"/>
  <c r="L72" i="39"/>
  <c r="K72" i="39"/>
  <c r="K64" i="39"/>
  <c r="L64" i="39"/>
  <c r="L56" i="39"/>
  <c r="K56" i="39"/>
  <c r="K48" i="39"/>
  <c r="L48" i="39"/>
  <c r="L40" i="39"/>
  <c r="K40" i="39"/>
  <c r="K32" i="39"/>
  <c r="L32" i="39"/>
  <c r="K24" i="39"/>
  <c r="L24" i="39"/>
  <c r="L16" i="39"/>
  <c r="K16" i="39"/>
  <c r="K100" i="39"/>
  <c r="L100" i="39"/>
  <c r="K84" i="39"/>
  <c r="L84" i="39"/>
  <c r="K68" i="39"/>
  <c r="L68" i="39"/>
  <c r="K52" i="39"/>
  <c r="L52" i="39"/>
  <c r="K36" i="39"/>
  <c r="L36" i="39"/>
  <c r="L20" i="39"/>
  <c r="K20" i="39"/>
  <c r="F167" i="39"/>
  <c r="K212" i="39"/>
  <c r="K185" i="39"/>
  <c r="K171" i="39"/>
  <c r="L166" i="39"/>
  <c r="L160" i="39"/>
  <c r="L151" i="39"/>
  <c r="L133" i="39"/>
  <c r="K133" i="39"/>
  <c r="K198" i="39"/>
  <c r="L198" i="39"/>
  <c r="K60" i="39"/>
  <c r="G39" i="32"/>
  <c r="J39" i="32" s="1"/>
  <c r="F183" i="39"/>
  <c r="F269" i="39"/>
  <c r="K47" i="39"/>
  <c r="K79" i="39"/>
  <c r="K91" i="39"/>
  <c r="K107" i="39"/>
  <c r="K99" i="39"/>
  <c r="K67" i="39"/>
  <c r="G40" i="32"/>
  <c r="J40" i="32" s="1"/>
  <c r="X13" i="37"/>
  <c r="AA112" i="39"/>
  <c r="I37" i="66" l="1"/>
  <c r="E35" i="66"/>
  <c r="E37" i="66" s="1"/>
  <c r="I43" i="66"/>
  <c r="E21" i="66"/>
  <c r="E23" i="66" s="1"/>
  <c r="I23" i="66"/>
  <c r="I40" i="66"/>
  <c r="H23" i="66"/>
  <c r="D21" i="66"/>
  <c r="D23" i="66" s="1"/>
  <c r="I18" i="66"/>
  <c r="E16" i="66"/>
  <c r="E18" i="66" s="1"/>
  <c r="I39" i="66"/>
  <c r="I61" i="66"/>
  <c r="E61" i="66" s="1"/>
  <c r="E42" i="66"/>
  <c r="J64" i="32"/>
  <c r="F1697" i="3" s="1"/>
  <c r="N1697" i="3"/>
  <c r="G64" i="32"/>
  <c r="N8" i="37"/>
  <c r="M82" i="2"/>
  <c r="AO87" i="7"/>
  <c r="AO88" i="7" s="1"/>
  <c r="O7" i="37"/>
  <c r="N7" i="37"/>
  <c r="U47" i="2"/>
  <c r="U91" i="2" s="1"/>
  <c r="H65" i="32"/>
  <c r="F65" i="32"/>
  <c r="C412" i="39"/>
  <c r="C413" i="39"/>
  <c r="Z43" i="2"/>
  <c r="Z62" i="2" s="1"/>
  <c r="W62" i="2" s="1"/>
  <c r="Z42" i="2"/>
  <c r="Z61" i="2" s="1"/>
  <c r="W61" i="2" s="1"/>
  <c r="X65" i="2"/>
  <c r="Z40" i="2"/>
  <c r="Z59" i="2" s="1"/>
  <c r="W59" i="2" s="1"/>
  <c r="AA59" i="2"/>
  <c r="AA58" i="2"/>
  <c r="Z39" i="2"/>
  <c r="Z58" i="2" s="1"/>
  <c r="C526" i="3"/>
  <c r="O9" i="39"/>
  <c r="L11" i="2"/>
  <c r="D11" i="2" s="1"/>
  <c r="C1467" i="3"/>
  <c r="J11" i="2"/>
  <c r="F11" i="2" s="1"/>
  <c r="U93" i="2"/>
  <c r="E68" i="2"/>
  <c r="U46" i="2"/>
  <c r="U90" i="2" s="1"/>
  <c r="AH598" i="51"/>
  <c r="AI598" i="51"/>
  <c r="Y598" i="51"/>
  <c r="AG598" i="51"/>
  <c r="AF598" i="51"/>
  <c r="X43" i="35"/>
  <c r="Y83" i="2"/>
  <c r="H18" i="44"/>
  <c r="X598" i="51"/>
  <c r="W598" i="51"/>
  <c r="V598" i="51"/>
  <c r="E72" i="2"/>
  <c r="U598" i="51"/>
  <c r="T598" i="51"/>
  <c r="S598" i="51"/>
  <c r="R598" i="51"/>
  <c r="Q598" i="51"/>
  <c r="M56" i="2"/>
  <c r="P598" i="51"/>
  <c r="AB44" i="2"/>
  <c r="AB83" i="2" s="1"/>
  <c r="AC44" i="2"/>
  <c r="AC83" i="2" s="1"/>
  <c r="N598" i="51"/>
  <c r="M598" i="51"/>
  <c r="F318" i="39"/>
  <c r="E6" i="39" s="1"/>
  <c r="X434" i="39"/>
  <c r="W8" i="39" s="1"/>
  <c r="M31" i="2" s="1"/>
  <c r="E31" i="2" s="1"/>
  <c r="L214" i="39"/>
  <c r="K6" i="39" s="1"/>
  <c r="M21" i="2" s="1"/>
  <c r="L111" i="39"/>
  <c r="K5" i="39" s="1"/>
  <c r="M9" i="2" s="1"/>
  <c r="F162" i="39"/>
  <c r="L598" i="51"/>
  <c r="K598" i="51"/>
  <c r="J598" i="51"/>
  <c r="G598" i="51"/>
  <c r="I598" i="51"/>
  <c r="H598" i="51"/>
  <c r="F598" i="51"/>
  <c r="U13" i="2"/>
  <c r="E598" i="51"/>
  <c r="D22" i="2"/>
  <c r="H23" i="2"/>
  <c r="K214" i="39"/>
  <c r="K111" i="39"/>
  <c r="Q56" i="2"/>
  <c r="H15" i="44" s="1"/>
  <c r="U55" i="2"/>
  <c r="E55" i="2"/>
  <c r="E33" i="35"/>
  <c r="Y33" i="35"/>
  <c r="Y43" i="35" s="1"/>
  <c r="Q42" i="2"/>
  <c r="Q61" i="2" s="1"/>
  <c r="U61" i="2" s="1"/>
  <c r="U42" i="2"/>
  <c r="E48" i="2"/>
  <c r="AD112" i="39"/>
  <c r="AC5" i="39" s="1"/>
  <c r="E8" i="39"/>
  <c r="AD207" i="39"/>
  <c r="AC6" i="39" s="1"/>
  <c r="M35" i="2" s="1"/>
  <c r="V43" i="35"/>
  <c r="U69" i="2"/>
  <c r="M42" i="35"/>
  <c r="M43" i="35" s="1"/>
  <c r="I43" i="35"/>
  <c r="AA43" i="35"/>
  <c r="G24" i="44"/>
  <c r="E318" i="39"/>
  <c r="AC207" i="39"/>
  <c r="AA16" i="35"/>
  <c r="Z16" i="35"/>
  <c r="E380" i="39"/>
  <c r="E162" i="39"/>
  <c r="Z43" i="35"/>
  <c r="E49" i="2"/>
  <c r="L21" i="2"/>
  <c r="L23" i="2" s="1"/>
  <c r="R83" i="2"/>
  <c r="Q43" i="35"/>
  <c r="U43" i="2"/>
  <c r="S83" i="2"/>
  <c r="X44" i="2"/>
  <c r="G18" i="44" s="1"/>
  <c r="E42" i="35"/>
  <c r="E47" i="2"/>
  <c r="BA76" i="31"/>
  <c r="P38" i="35"/>
  <c r="Q43" i="2"/>
  <c r="Q62" i="2" s="1"/>
  <c r="U62" i="2" s="1"/>
  <c r="E18" i="31"/>
  <c r="P7" i="35"/>
  <c r="S7" i="35" s="1"/>
  <c r="G6" i="31"/>
  <c r="G18" i="31" s="1"/>
  <c r="AY77" i="31" s="1"/>
  <c r="H18" i="2"/>
  <c r="I21" i="2"/>
  <c r="T13" i="37"/>
  <c r="I11" i="2" s="1"/>
  <c r="I9" i="2"/>
  <c r="H35" i="2"/>
  <c r="H37" i="2" s="1"/>
  <c r="Y16" i="35"/>
  <c r="AA44" i="2"/>
  <c r="AA83" i="2" s="1"/>
  <c r="I22" i="2"/>
  <c r="I35" i="2"/>
  <c r="I43" i="2" s="1"/>
  <c r="W30" i="35"/>
  <c r="W42" i="35" s="1"/>
  <c r="U20" i="35"/>
  <c r="AD83" i="2"/>
  <c r="Q40" i="2"/>
  <c r="Q59" i="2" s="1"/>
  <c r="U59" i="2" s="1"/>
  <c r="AC112" i="39"/>
  <c r="D31" i="2"/>
  <c r="D32" i="2" s="1"/>
  <c r="S17" i="37"/>
  <c r="E17" i="37"/>
  <c r="I8" i="2"/>
  <c r="I17" i="37"/>
  <c r="J9" i="2"/>
  <c r="J5" i="39"/>
  <c r="N9" i="2" s="1"/>
  <c r="N40" i="2" s="1"/>
  <c r="L9" i="2"/>
  <c r="L40" i="2" s="1"/>
  <c r="I9" i="39"/>
  <c r="R88" i="7"/>
  <c r="U40" i="2"/>
  <c r="J12" i="2"/>
  <c r="X17" i="37"/>
  <c r="H13" i="2"/>
  <c r="H40" i="2"/>
  <c r="H59" i="2" s="1"/>
  <c r="H65" i="2" s="1"/>
  <c r="L17" i="2"/>
  <c r="D17" i="2" s="1"/>
  <c r="W16" i="35"/>
  <c r="L12" i="2"/>
  <c r="U9" i="39"/>
  <c r="D5" i="32"/>
  <c r="I17" i="2"/>
  <c r="L32" i="2"/>
  <c r="C9" i="39"/>
  <c r="L8" i="2"/>
  <c r="AN88" i="7"/>
  <c r="AB5" i="39"/>
  <c r="N12" i="2" s="1"/>
  <c r="I30" i="2"/>
  <c r="I16" i="2"/>
  <c r="X16" i="35"/>
  <c r="L16" i="2"/>
  <c r="Q39" i="2"/>
  <c r="Q58" i="2" s="1"/>
  <c r="U58" i="2" s="1"/>
  <c r="Q13" i="2"/>
  <c r="W40" i="2"/>
  <c r="W13" i="2"/>
  <c r="I44" i="66" l="1"/>
  <c r="I83" i="66" s="1"/>
  <c r="E39" i="66"/>
  <c r="I58" i="66"/>
  <c r="E43" i="66"/>
  <c r="I62" i="66"/>
  <c r="E62" i="66" s="1"/>
  <c r="I59" i="66"/>
  <c r="E59" i="66" s="1"/>
  <c r="E40" i="66"/>
  <c r="O6" i="37"/>
  <c r="O9" i="37" s="1"/>
  <c r="E382" i="39" s="1"/>
  <c r="F382" i="39"/>
  <c r="C1696" i="3"/>
  <c r="I65" i="32"/>
  <c r="D40" i="2"/>
  <c r="I62" i="2"/>
  <c r="I42" i="2"/>
  <c r="E11" i="2"/>
  <c r="E415" i="39"/>
  <c r="M42" i="2"/>
  <c r="M61" i="2" s="1"/>
  <c r="H8" i="44" s="1"/>
  <c r="N59" i="2"/>
  <c r="I6" i="44"/>
  <c r="E413" i="39"/>
  <c r="M40" i="2"/>
  <c r="M59" i="2" s="1"/>
  <c r="U65" i="2"/>
  <c r="Q65" i="2"/>
  <c r="Z44" i="2"/>
  <c r="I18" i="44" s="1"/>
  <c r="I20" i="44" s="1"/>
  <c r="AA65" i="2"/>
  <c r="Z65" i="2"/>
  <c r="W58" i="2"/>
  <c r="W65" i="2" s="1"/>
  <c r="J42" i="2"/>
  <c r="U56" i="2"/>
  <c r="H24" i="44"/>
  <c r="AO89" i="7"/>
  <c r="BX598" i="51"/>
  <c r="W44" i="2"/>
  <c r="W83" i="2" s="1"/>
  <c r="K67" i="32"/>
  <c r="H1697" i="3"/>
  <c r="M12" i="2"/>
  <c r="M43" i="2" s="1"/>
  <c r="M62" i="2" s="1"/>
  <c r="AC9" i="39"/>
  <c r="AD5" i="39" s="1"/>
  <c r="F6" i="44"/>
  <c r="L59" i="2"/>
  <c r="D59" i="2" s="1"/>
  <c r="M16" i="2"/>
  <c r="AA9" i="39"/>
  <c r="C416" i="39" s="1"/>
  <c r="L35" i="2"/>
  <c r="D35" i="2" s="1"/>
  <c r="D37" i="2" s="1"/>
  <c r="E43" i="35"/>
  <c r="D6" i="32"/>
  <c r="D21" i="2"/>
  <c r="D23" i="2" s="1"/>
  <c r="E21" i="2"/>
  <c r="H20" i="44"/>
  <c r="X83" i="2"/>
  <c r="G20" i="44"/>
  <c r="E5" i="39"/>
  <c r="E412" i="39" s="1"/>
  <c r="E56" i="2"/>
  <c r="P15" i="35"/>
  <c r="P33" i="35" s="1"/>
  <c r="P37" i="35" s="1"/>
  <c r="P39" i="35" s="1"/>
  <c r="Y17" i="37"/>
  <c r="I37" i="2"/>
  <c r="I23" i="2"/>
  <c r="T17" i="37"/>
  <c r="J17" i="37"/>
  <c r="I40" i="2"/>
  <c r="E22" i="2"/>
  <c r="I13" i="2"/>
  <c r="U30" i="35"/>
  <c r="Q16" i="35"/>
  <c r="Y31" i="35"/>
  <c r="W33" i="35"/>
  <c r="W43" i="35" s="1"/>
  <c r="X31" i="35"/>
  <c r="Z31" i="35"/>
  <c r="AA31" i="35"/>
  <c r="Q44" i="2"/>
  <c r="F15" i="44" s="1"/>
  <c r="V9" i="39"/>
  <c r="N42" i="2"/>
  <c r="I39" i="2"/>
  <c r="D9" i="2"/>
  <c r="J9" i="39"/>
  <c r="J40" i="2"/>
  <c r="U39" i="2"/>
  <c r="I32" i="2"/>
  <c r="L43" i="2"/>
  <c r="D12" i="2"/>
  <c r="H44" i="2"/>
  <c r="H83" i="2"/>
  <c r="D16" i="2"/>
  <c r="D18" i="2" s="1"/>
  <c r="L18" i="2"/>
  <c r="I18" i="2"/>
  <c r="D8" i="2"/>
  <c r="L13" i="2"/>
  <c r="L44" i="2" s="1"/>
  <c r="L39" i="2"/>
  <c r="S15" i="35"/>
  <c r="P16" i="35"/>
  <c r="J43" i="2"/>
  <c r="K9" i="39"/>
  <c r="L5" i="39" s="1"/>
  <c r="AB9" i="39"/>
  <c r="L42" i="2"/>
  <c r="E44" i="66" l="1"/>
  <c r="E58" i="66"/>
  <c r="E65" i="66" s="1"/>
  <c r="I65" i="66"/>
  <c r="U87" i="2"/>
  <c r="E62" i="2"/>
  <c r="E43" i="2"/>
  <c r="L62" i="2"/>
  <c r="D62" i="2" s="1"/>
  <c r="F9" i="44"/>
  <c r="D43" i="2"/>
  <c r="H9" i="44"/>
  <c r="J62" i="2"/>
  <c r="N61" i="2"/>
  <c r="I8" i="44"/>
  <c r="J61" i="2"/>
  <c r="F42" i="2"/>
  <c r="L61" i="2"/>
  <c r="D61" i="2" s="1"/>
  <c r="D42" i="2"/>
  <c r="F8" i="44"/>
  <c r="I61" i="2"/>
  <c r="E61" i="2" s="1"/>
  <c r="E42" i="2"/>
  <c r="I59" i="2"/>
  <c r="E59" i="2" s="1"/>
  <c r="E40" i="2"/>
  <c r="J59" i="2"/>
  <c r="F59" i="2" s="1"/>
  <c r="F40" i="2"/>
  <c r="H6" i="44"/>
  <c r="I58" i="2"/>
  <c r="L58" i="2"/>
  <c r="D58" i="2" s="1"/>
  <c r="D39" i="2"/>
  <c r="Z83" i="2"/>
  <c r="AD84" i="2" s="1"/>
  <c r="F18" i="44"/>
  <c r="F20" i="44" s="1"/>
  <c r="H21" i="44" s="1"/>
  <c r="U89" i="2"/>
  <c r="E12" i="2"/>
  <c r="U88" i="2"/>
  <c r="M17" i="2"/>
  <c r="E17" i="2" s="1"/>
  <c r="U44" i="2"/>
  <c r="L37" i="2"/>
  <c r="W9" i="39"/>
  <c r="M32" i="2"/>
  <c r="E30" i="2"/>
  <c r="E32" i="2" s="1"/>
  <c r="E35" i="2"/>
  <c r="E37" i="2" s="1"/>
  <c r="M37" i="2"/>
  <c r="M8" i="2"/>
  <c r="M23" i="2"/>
  <c r="Q87" i="2" s="1"/>
  <c r="I44" i="2"/>
  <c r="I83" i="2" s="1"/>
  <c r="I24" i="44"/>
  <c r="E9" i="39"/>
  <c r="P42" i="35"/>
  <c r="P43" i="35" s="1"/>
  <c r="E23" i="2"/>
  <c r="U33" i="35"/>
  <c r="W34" i="35" s="1"/>
  <c r="S18" i="35"/>
  <c r="U42" i="35"/>
  <c r="AA34" i="35"/>
  <c r="Y34" i="35"/>
  <c r="Z34" i="35"/>
  <c r="X34" i="35"/>
  <c r="W31" i="35"/>
  <c r="F9" i="2"/>
  <c r="L83" i="2"/>
  <c r="N43" i="2"/>
  <c r="I9" i="44" s="1"/>
  <c r="F12" i="2"/>
  <c r="D13" i="2"/>
  <c r="E16" i="2"/>
  <c r="S42" i="35"/>
  <c r="S33" i="35"/>
  <c r="E9" i="2"/>
  <c r="F5" i="44"/>
  <c r="J65" i="32" l="1"/>
  <c r="M39" i="2"/>
  <c r="M58" i="2" s="1"/>
  <c r="E58" i="2" s="1"/>
  <c r="I65" i="2"/>
  <c r="F61" i="2"/>
  <c r="E416" i="39"/>
  <c r="F43" i="2"/>
  <c r="L65" i="2"/>
  <c r="AC84" i="2"/>
  <c r="AA84" i="2"/>
  <c r="Z84" i="2"/>
  <c r="AB84" i="2"/>
  <c r="N62" i="2"/>
  <c r="F62" i="2" s="1"/>
  <c r="D65" i="2"/>
  <c r="X5" i="39"/>
  <c r="E8" i="2"/>
  <c r="E13" i="2" s="1"/>
  <c r="M18" i="2"/>
  <c r="Q86" i="2" s="1"/>
  <c r="E18" i="2"/>
  <c r="G21" i="44"/>
  <c r="I21" i="44"/>
  <c r="F5" i="39"/>
  <c r="M13" i="2"/>
  <c r="U43" i="35"/>
  <c r="D44" i="2"/>
  <c r="D83" i="2"/>
  <c r="S43" i="35"/>
  <c r="F4" i="44"/>
  <c r="E39" i="2" l="1"/>
  <c r="U86" i="2"/>
  <c r="M44" i="2"/>
  <c r="M83" i="2" s="1"/>
  <c r="F3" i="44"/>
  <c r="G7" i="44" l="1"/>
  <c r="G8" i="44"/>
  <c r="G9" i="44"/>
  <c r="M65" i="2"/>
  <c r="H5" i="44"/>
  <c r="E44" i="2"/>
  <c r="E65" i="2"/>
  <c r="G3" i="44"/>
  <c r="G6" i="44"/>
  <c r="G5" i="44"/>
  <c r="G4" i="44"/>
  <c r="H4" i="44" l="1"/>
  <c r="H3" i="44"/>
  <c r="D13" i="37" l="1"/>
  <c r="N6" i="37" s="1"/>
  <c r="N9" i="37" s="1"/>
  <c r="D17" i="37" l="1"/>
  <c r="D412" i="39"/>
  <c r="J8" i="2"/>
  <c r="D9" i="39" l="1"/>
  <c r="D416" i="39" s="1"/>
  <c r="N8" i="2"/>
  <c r="J39" i="2"/>
  <c r="J58" i="2" s="1"/>
  <c r="J65" i="2" s="1"/>
  <c r="J13" i="2"/>
  <c r="N13" i="2" l="1"/>
  <c r="N44" i="2" s="1"/>
  <c r="F8" i="2"/>
  <c r="F13" i="2" s="1"/>
  <c r="N39" i="2"/>
  <c r="F39" i="2" s="1"/>
  <c r="J83" i="2"/>
  <c r="J44" i="2"/>
  <c r="I5" i="44" l="1"/>
  <c r="N58" i="2"/>
  <c r="F83" i="2"/>
  <c r="F44" i="2"/>
  <c r="N83" i="2"/>
  <c r="I4" i="44"/>
  <c r="N65" i="2" l="1"/>
  <c r="F58" i="2"/>
  <c r="F65" i="2" s="1"/>
  <c r="I3" i="44"/>
  <c r="E81" i="2" l="1"/>
  <c r="E82" i="2" s="1"/>
  <c r="E83" i="2" s="1"/>
  <c r="Q81" i="2" l="1"/>
  <c r="U81" i="2" l="1"/>
  <c r="U82" i="2" s="1"/>
  <c r="U83" i="2" s="1"/>
  <c r="Q82" i="2"/>
  <c r="Q83" i="2" s="1"/>
  <c r="H25" i="44" l="1"/>
  <c r="I25" i="44" s="1"/>
  <c r="AD82" i="66"/>
  <c r="AD83" i="66" s="1"/>
  <c r="Z69" i="66"/>
  <c r="W69" i="66" s="1"/>
  <c r="M69" i="66" s="1"/>
  <c r="Z82" i="66" l="1"/>
  <c r="Z83" i="66" s="1"/>
  <c r="AD84" i="66" s="1"/>
  <c r="M82" i="66"/>
  <c r="M83" i="66" s="1"/>
  <c r="E69" i="66"/>
  <c r="E82" i="66" s="1"/>
  <c r="E83" i="66" s="1"/>
  <c r="W82" i="66"/>
  <c r="W83" i="66" s="1"/>
  <c r="Z84" i="66" l="1"/>
  <c r="AA84" i="66"/>
  <c r="AC84" i="66"/>
  <c r="AB84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jcorrea</author>
  </authors>
  <commentList>
    <comment ref="A1" authorId="0" shapeId="0" xr:uid="{00000000-0006-0000-0A00-000001000000}">
      <text>
        <r>
          <rPr>
            <b/>
            <sz val="8"/>
            <color indexed="81"/>
            <rFont val="Tahoma"/>
            <family val="2"/>
          </rPr>
          <t>jcorrea:</t>
        </r>
        <r>
          <rPr>
            <sz val="8"/>
            <color indexed="81"/>
            <rFont val="Tahoma"/>
            <family val="2"/>
          </rPr>
          <t xml:space="preserve">
Sinco
Cartera; informes, cartera por proyecto y clientes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A9E0D13-DE17-4FFF-894D-00178FE11494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426A45E-5DAE-44A8-9CE9-A3A70FF8E6D4}" sourceFile="C:\Users\Gerso\OneDrive\Escritorio\Gerson\automatizcion\ATLANTICA\Detalle inmueble\Torres.xlsx" keepAlive="1" name="Torres" type="5" refreshedVersion="8" background="1">
    <dbPr connection="Provider=Microsoft.ACE.OLEDB.12.0;User ID=Admin;Data Source=C:\Users\Gerso\OneDrive\Escritorio\Gerson\automatizcion\ATLANTICA\Detalle inmueble\Torres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TORRE 1B$'" commandType="3"/>
  </connection>
  <connection id="3" xr16:uid="{56A7D3EE-4834-40B0-A89B-E1C8ED03B63D}" sourceFile="C:\Users\Gerso\OneDrive\Escritorio\Gerson\automatizcion\ATLANTICA\Detalle inmueble\Torres.xlsx" keepAlive="1" name="Torres1" type="5" refreshedVersion="8" background="1">
    <dbPr connection="Provider=Microsoft.ACE.OLEDB.12.0;User ID=Admin;Data Source=C:\Users\Gerso\OneDrive\Escritorio\Gerson\automatizcion\ATLANTICA\Detalle inmueble\Torres.xlsx;Mode=Share Deny Write;Extended Properties=&quot;HDR=YES;&quot;;Jet OLEDB:System database=&quot;&quot;;Jet OLEDB:Registry Path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TORRE 1B$'" commandType="3"/>
  </connection>
  <connection id="4" xr16:uid="{B9E115C1-D7C7-4A07-8701-FC20A59C08CB}" sourceFile="C:\Users\Gerso\OneDrive\Escritorio\Gerson\automatizcion\ATLANTICA\Detalle inmueble\Torres.xlsx" keepAlive="1" name="Torres2" type="5" refreshedVersion="8" background="1" refreshOnLoad="1">
    <dbPr connection="Provider=Microsoft.ACE.OLEDB.12.0;User ID=Admin;Data Source=C:\Users\Gerso\OneDrive\Escritorio\Gerson\automatizcion\ATLANTICA\Detalle inmueble\Torres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TORRE 1A$'" commandType="3"/>
  </connection>
  <connection id="5" xr16:uid="{15DBD339-F08E-44AB-B7B6-719B77B1825D}" sourceFile="C:\Users\Gerso\OneDrive\Escritorio\Gerson\automatizcion\ATLANTICA\Detalle inmueble\Torres.xlsx" keepAlive="1" name="Torres3" type="5" refreshedVersion="8" background="1">
    <dbPr connection="Provider=Microsoft.ACE.OLEDB.12.0;User ID=Admin;Data Source=C:\Users\Gerso\OneDrive\Escritorio\Gerson\automatizcion\ATLANTICA\Detalle inmueble\Torres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TORRE 2$'" commandType="3"/>
  </connection>
  <connection id="6" xr16:uid="{9E2242CE-E15B-4064-90EA-AD502C9AEFE3}" sourceFile="C:\Users\Gerso\OneDrive\Escritorio\Gerson\automatizcion\ATLANTICA\Detalle inmueble\Torres.xlsx" keepAlive="1" name="Torres4" type="5" refreshedVersion="8" background="1">
    <dbPr connection="Provider=Microsoft.ACE.OLEDB.12.0;User ID=Admin;Data Source=C:\Users\Gerso\OneDrive\Escritorio\Gerson\automatizcion\ATLANTICA\Detalle inmueble\Torres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TORRE 3A$'" commandType="3"/>
  </connection>
  <connection id="7" xr16:uid="{FA058DF2-CAE6-499C-A0D2-ECBDA2FD1A7E}" name="WorksheetConnection_Ejemplo aut.xlsx!DESISTIMIENTOS" type="102" refreshedVersion="8" minRefreshableVersion="5">
    <extLst>
      <ext xmlns:x15="http://schemas.microsoft.com/office/spreadsheetml/2010/11/main" uri="{DE250136-89BD-433C-8126-D09CA5730AF9}">
        <x15:connection id="DESISTIMIENTOS" autoDelete="1">
          <x15:rangePr sourceName="_xlcn.WorksheetConnection_Ejemploaut.xlsxDESISTIMIENTOS1"/>
        </x15:connection>
      </ext>
    </extLst>
  </connection>
  <connection id="8" xr16:uid="{EC146FA8-D534-4191-8202-C9EA533DA666}" name="WorksheetConnection_Torres.xlsx!TORRE_3B" type="102" refreshedVersion="8" minRefreshableVersion="5">
    <extLst>
      <ext xmlns:x15="http://schemas.microsoft.com/office/spreadsheetml/2010/11/main" uri="{DE250136-89BD-433C-8126-D09CA5730AF9}">
        <x15:connection id="TORRE_3B" autoDelete="1">
          <x15:rangePr sourceName="_xlcn.WorksheetConnection_Torres.xlsxTORRE_3B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DESISTIMIENTOS].[Fecha desistimiento (año)].[All]}"/>
  </metadataStrings>
  <mdxMetadata count="1">
    <mdx n="0" f="s">
      <ms ns="1" c="0"/>
    </mdx>
  </mdxMetadata>
  <valueMetadata count="1">
    <bk>
      <rc t="1" v="0"/>
    </bk>
  </valueMetadata>
</metadata>
</file>

<file path=xl/sharedStrings.xml><?xml version="1.0" encoding="utf-8"?>
<sst xmlns="http://schemas.openxmlformats.org/spreadsheetml/2006/main" count="22948" uniqueCount="6244">
  <si>
    <t>Informe Gerencial</t>
  </si>
  <si>
    <t>RESUMEN EJECUTIVO CONSOLIDADO HASTA</t>
  </si>
  <si>
    <t>Proyecto Total</t>
  </si>
  <si>
    <t>Por Vender</t>
  </si>
  <si>
    <t>Vendidas</t>
  </si>
  <si>
    <t xml:space="preserve"> -en miles -</t>
  </si>
  <si>
    <t>Und.</t>
  </si>
  <si>
    <t>Valor Proyecto</t>
  </si>
  <si>
    <t>M 2</t>
  </si>
  <si>
    <t>Valor Por Vender</t>
  </si>
  <si>
    <t>Valor Ventas Netas</t>
  </si>
  <si>
    <t>Recaudado por Abono a K $</t>
  </si>
  <si>
    <t>Notas Contables</t>
  </si>
  <si>
    <t>Total Recibido</t>
  </si>
  <si>
    <t>Total Cartera</t>
  </si>
  <si>
    <t>Corriente</t>
  </si>
  <si>
    <t>Vencida</t>
  </si>
  <si>
    <t>1-30 días</t>
  </si>
  <si>
    <t>31-60 días</t>
  </si>
  <si>
    <t>61-90 días</t>
  </si>
  <si>
    <t>&gt; 90 días</t>
  </si>
  <si>
    <t>Subtotal</t>
  </si>
  <si>
    <t>Acabados</t>
  </si>
  <si>
    <t>Total Proyecto</t>
  </si>
  <si>
    <t>Total</t>
  </si>
  <si>
    <t>Unidades</t>
  </si>
  <si>
    <t>Inicial</t>
  </si>
  <si>
    <t>Mes</t>
  </si>
  <si>
    <t>Torre</t>
  </si>
  <si>
    <t>Sociedad</t>
  </si>
  <si>
    <t>Inmueble</t>
  </si>
  <si>
    <t>Area</t>
  </si>
  <si>
    <t>Precio/Unidad</t>
  </si>
  <si>
    <t>Cliente</t>
  </si>
  <si>
    <t>Fiduciaria</t>
  </si>
  <si>
    <t>RECAUDOS POR RUBROS HASTA</t>
  </si>
  <si>
    <t>TOTALES</t>
  </si>
  <si>
    <t>Concepto</t>
  </si>
  <si>
    <t>Venta</t>
  </si>
  <si>
    <t>Pagado</t>
  </si>
  <si>
    <t>Cartera Corriente</t>
  </si>
  <si>
    <t xml:space="preserve"> 1-30</t>
  </si>
  <si>
    <t>31-60</t>
  </si>
  <si>
    <t>61-90</t>
  </si>
  <si>
    <t>mayor a 91</t>
  </si>
  <si>
    <t>ESTADO DEL INMUEBLE</t>
  </si>
  <si>
    <t>Producto</t>
  </si>
  <si>
    <t>Estado</t>
  </si>
  <si>
    <t>Precio Lista</t>
  </si>
  <si>
    <t xml:space="preserve">Saldo </t>
  </si>
  <si>
    <t>Cartera Vencida</t>
  </si>
  <si>
    <t>Torre 1</t>
  </si>
  <si>
    <t>Apartamentos T -1</t>
  </si>
  <si>
    <t>Torre 2</t>
  </si>
  <si>
    <t>Obras Adic. T-1</t>
  </si>
  <si>
    <t xml:space="preserve">Precio Venta </t>
  </si>
  <si>
    <t>Obras Adic. T-2</t>
  </si>
  <si>
    <t>Torre 3</t>
  </si>
  <si>
    <t>Torre 4</t>
  </si>
  <si>
    <t>CONSOLIDADO</t>
  </si>
  <si>
    <t>Obras Adic. T-3</t>
  </si>
  <si>
    <t>D</t>
  </si>
  <si>
    <t>Intereses Mora</t>
  </si>
  <si>
    <t>TOTAL</t>
  </si>
  <si>
    <t>Mayor vr. Recibido</t>
  </si>
  <si>
    <t>Rendimientos - Retefuente</t>
  </si>
  <si>
    <t>Usados</t>
  </si>
  <si>
    <t xml:space="preserve">VENTAS MES A MES HASTA </t>
  </si>
  <si>
    <t>Unidades vendidas netas</t>
  </si>
  <si>
    <t>Desistimientos</t>
  </si>
  <si>
    <t>Valor</t>
  </si>
  <si>
    <t>Promedio mes</t>
  </si>
  <si>
    <t xml:space="preserve">$ Ventas </t>
  </si>
  <si>
    <t># Desistimientos</t>
  </si>
  <si>
    <t>$ Desistimientos</t>
  </si>
  <si>
    <t>Int.mora/Fros/Seguro</t>
  </si>
  <si>
    <t>Rendimientos Fiduciarios</t>
  </si>
  <si>
    <t>Mayor valor recibido</t>
  </si>
  <si>
    <t>Inventario + Ventas Netas</t>
  </si>
  <si>
    <t>Valor por Vender / sin parquead.</t>
  </si>
  <si>
    <t>Valor Ventas Netas con parquead.</t>
  </si>
  <si>
    <t>Notas Contables / Descuentos</t>
  </si>
  <si>
    <t>m2</t>
  </si>
  <si>
    <t>Dinero Abonado a Inicial  $</t>
  </si>
  <si>
    <t>Usados recibidos</t>
  </si>
  <si>
    <t>Tipo de Venta</t>
  </si>
  <si>
    <t>Ventas Inicial</t>
  </si>
  <si>
    <t>Otras Entidades</t>
  </si>
  <si>
    <t>Creditos Directos</t>
  </si>
  <si>
    <t>Torre 5</t>
  </si>
  <si>
    <t>Torre 6</t>
  </si>
  <si>
    <t>Torre 7</t>
  </si>
  <si>
    <t>Participación</t>
  </si>
  <si>
    <t>Prediales  T-1</t>
  </si>
  <si>
    <t>Prediales  T-2</t>
  </si>
  <si>
    <t>Prediales  T-3</t>
  </si>
  <si>
    <t>Financieros T 1</t>
  </si>
  <si>
    <t>Int. Subr. T 1(gl)</t>
  </si>
  <si>
    <t>Consolidado</t>
  </si>
  <si>
    <t>Int. Subr. T 2(gl)</t>
  </si>
  <si>
    <t>Int. Subr. T 3(gl)</t>
  </si>
  <si>
    <t>Otros Fros</t>
  </si>
  <si>
    <t>No suman unidades de utiles</t>
  </si>
  <si>
    <t>RESUMEN EJECUTIVO NUEVOS HASTA</t>
  </si>
  <si>
    <t>Precio Venta  Sin parq.</t>
  </si>
  <si>
    <t>Torres</t>
  </si>
  <si>
    <t>Unidad</t>
  </si>
  <si>
    <t>Precio de lista</t>
  </si>
  <si>
    <t xml:space="preserve">Area </t>
  </si>
  <si>
    <t>Agrupación</t>
  </si>
  <si>
    <t>Comprador</t>
  </si>
  <si>
    <t>A-1201</t>
  </si>
  <si>
    <t>B-1203</t>
  </si>
  <si>
    <t>B-1703</t>
  </si>
  <si>
    <t>B-903</t>
  </si>
  <si>
    <t>VELEZ MONTOYA LORENA</t>
  </si>
  <si>
    <t>JELKH SANDINO AGUSTIN</t>
  </si>
  <si>
    <t>ALZATE ARANGO ANDRES FELIPE</t>
  </si>
  <si>
    <t>ARROYAVE HERNANDEZ GUILLERMO ALBERTO</t>
  </si>
  <si>
    <t>Apartamentos T -2</t>
  </si>
  <si>
    <t>Credito Terceros</t>
  </si>
  <si>
    <t>Utiles Torre 1</t>
  </si>
  <si>
    <t>Utiles Torre 2</t>
  </si>
  <si>
    <t>Parq. Doble Lineal T- 1</t>
  </si>
  <si>
    <t>Parq. Sencillos T-1</t>
  </si>
  <si>
    <t>Parq. Doble Lineal con U T-2</t>
  </si>
  <si>
    <t>Parq. Doble Lineal T- 2</t>
  </si>
  <si>
    <t>Und. Netas Inm. Ppales</t>
  </si>
  <si>
    <t>PRECIO LISTA</t>
  </si>
  <si>
    <t>ADICIONALES</t>
  </si>
  <si>
    <t>EXCLUSIONES</t>
  </si>
  <si>
    <t>Cuota Inicial</t>
  </si>
  <si>
    <t>TOTAL VENTA AFECTA</t>
  </si>
  <si>
    <t>GRAN TOTAL</t>
  </si>
  <si>
    <t>DI</t>
  </si>
  <si>
    <t>Saldo</t>
  </si>
  <si>
    <t>VALOR</t>
  </si>
  <si>
    <t>PAGADO</t>
  </si>
  <si>
    <t>SALDO</t>
  </si>
  <si>
    <t>DI+DE</t>
  </si>
  <si>
    <t>NANCLARES MARQUEZ JULIANA</t>
  </si>
  <si>
    <t>B-803</t>
  </si>
  <si>
    <t>Unidades Brutas Inm. Ppales.</t>
  </si>
  <si>
    <t>A-701</t>
  </si>
  <si>
    <t>B-1103</t>
  </si>
  <si>
    <t>B-703</t>
  </si>
  <si>
    <t>D-2206</t>
  </si>
  <si>
    <t>E-2307</t>
  </si>
  <si>
    <t>GARCIA CASTRILLON CARLOS FELIPE</t>
  </si>
  <si>
    <t>AGUIRRE VELEZ MARCELA</t>
  </si>
  <si>
    <t>CORREA CORREA NICOLAS</t>
  </si>
  <si>
    <t>LONDOÑO ROJAS ANA MARIA</t>
  </si>
  <si>
    <t>LONDOÑO URIBE GABRIEL ORLANDO</t>
  </si>
  <si>
    <t>VALDERRAMA RUA HILDA MILENA</t>
  </si>
  <si>
    <t xml:space="preserve">Inicial </t>
  </si>
  <si>
    <t>BUITRAGO ISAZA BIBIANA MARCELA</t>
  </si>
  <si>
    <t>CADAVID TORRES CAROLINA</t>
  </si>
  <si>
    <t>ALVAREZ LOPEZ DIEGO FERNANDO</t>
  </si>
  <si>
    <t>GIRALDO RESTREPO GLORIA CRISTINA</t>
  </si>
  <si>
    <t>VELEZ MONTOYA JUAN CARLOS</t>
  </si>
  <si>
    <t>MURIEL BEDOYA DORA ANGELA</t>
  </si>
  <si>
    <t>HERRERA ARANGO EDGAR AUGUSTO</t>
  </si>
  <si>
    <t>A-501</t>
  </si>
  <si>
    <t>B-1003</t>
  </si>
  <si>
    <t>D-1006</t>
  </si>
  <si>
    <t>D-2106</t>
  </si>
  <si>
    <t>E-507</t>
  </si>
  <si>
    <t>A-502</t>
  </si>
  <si>
    <t>C-1205</t>
  </si>
  <si>
    <t>C-1905</t>
  </si>
  <si>
    <t>C-2004</t>
  </si>
  <si>
    <t>D-1906</t>
  </si>
  <si>
    <t>D-2006</t>
  </si>
  <si>
    <t>E-2207</t>
  </si>
  <si>
    <t>VALENCIA MONTOYA JUAN CAMILO</t>
  </si>
  <si>
    <t>RUA OSORNO LUCRECIA DEL SOCORRO</t>
  </si>
  <si>
    <t>OLARTE MONTES JOHANA</t>
  </si>
  <si>
    <t>GOMEZ GIL ANGEL DE JESUS</t>
  </si>
  <si>
    <t>ZAPATA LOPEZ JAIME HUMBERTO</t>
  </si>
  <si>
    <t>RIOS VALLE MARLYN ALEJANDRA</t>
  </si>
  <si>
    <t>CUADROS ROJAS CLARA ROSA</t>
  </si>
  <si>
    <t>GIRALDO CARDONA MARIA CATALINA</t>
  </si>
  <si>
    <t>VALDERRAMA TANGARIFE DANIEL ESTEBAN</t>
  </si>
  <si>
    <t>C-2005</t>
  </si>
  <si>
    <t>D-2406</t>
  </si>
  <si>
    <t>D-2506</t>
  </si>
  <si>
    <t>E-2407</t>
  </si>
  <si>
    <t>E-2507</t>
  </si>
  <si>
    <t>A-1101</t>
  </si>
  <si>
    <t>A-2101</t>
  </si>
  <si>
    <t>B-1603</t>
  </si>
  <si>
    <t>SIERRA MUÑOZ LILIAN</t>
  </si>
  <si>
    <t>BOTERO VELEZ ADRIANA MARIA</t>
  </si>
  <si>
    <t>BETANCUR ARISTIZABAL PUBENZA MARIA</t>
  </si>
  <si>
    <t>Observaciones</t>
  </si>
  <si>
    <t>Intereses de Mora</t>
  </si>
  <si>
    <t xml:space="preserve"> </t>
  </si>
  <si>
    <t>Total Torre 2</t>
  </si>
  <si>
    <t>Ahorro Prog.</t>
  </si>
  <si>
    <t>Gastos Admin</t>
  </si>
  <si>
    <t>Crèditos</t>
  </si>
  <si>
    <t>Subsidios</t>
  </si>
  <si>
    <t>Inicial y Otros</t>
  </si>
  <si>
    <t>Parqueaderos y Utiles</t>
  </si>
  <si>
    <t>3D  </t>
  </si>
  <si>
    <t>3E  </t>
  </si>
  <si>
    <t>4A  </t>
  </si>
  <si>
    <t>4B  </t>
  </si>
  <si>
    <t>4C  </t>
  </si>
  <si>
    <t>4D  </t>
  </si>
  <si>
    <t>4E  </t>
  </si>
  <si>
    <t>4F  </t>
  </si>
  <si>
    <t>5A  </t>
  </si>
  <si>
    <t>5B  </t>
  </si>
  <si>
    <t>5C  </t>
  </si>
  <si>
    <t>5D  </t>
  </si>
  <si>
    <t>5E  </t>
  </si>
  <si>
    <t>5F  </t>
  </si>
  <si>
    <t>6A  </t>
  </si>
  <si>
    <t>6C  </t>
  </si>
  <si>
    <t>6D  </t>
  </si>
  <si>
    <t>6E  </t>
  </si>
  <si>
    <t>6F  </t>
  </si>
  <si>
    <t>7A  </t>
  </si>
  <si>
    <t>7B  </t>
  </si>
  <si>
    <t>7C  </t>
  </si>
  <si>
    <t>7D  </t>
  </si>
  <si>
    <t>7E  </t>
  </si>
  <si>
    <t>7F  </t>
  </si>
  <si>
    <t>8C  </t>
  </si>
  <si>
    <t>8D  </t>
  </si>
  <si>
    <t>8E  </t>
  </si>
  <si>
    <t>8F  </t>
  </si>
  <si>
    <t>9A  </t>
  </si>
  <si>
    <t>9C  </t>
  </si>
  <si>
    <t>9D  </t>
  </si>
  <si>
    <t>9E  </t>
  </si>
  <si>
    <t>9F  </t>
  </si>
  <si>
    <t>10A  </t>
  </si>
  <si>
    <t>10B  </t>
  </si>
  <si>
    <t>10C  </t>
  </si>
  <si>
    <t>10D  </t>
  </si>
  <si>
    <t>10E  </t>
  </si>
  <si>
    <t>10F  </t>
  </si>
  <si>
    <t>11A  </t>
  </si>
  <si>
    <t>11C  </t>
  </si>
  <si>
    <t>11D  </t>
  </si>
  <si>
    <t>11E  </t>
  </si>
  <si>
    <t>11F  </t>
  </si>
  <si>
    <t>12A  </t>
  </si>
  <si>
    <t>12B  </t>
  </si>
  <si>
    <t>12C  </t>
  </si>
  <si>
    <t>12D  </t>
  </si>
  <si>
    <t>12E  </t>
  </si>
  <si>
    <t>12F  </t>
  </si>
  <si>
    <t>13A  </t>
  </si>
  <si>
    <t>13B  </t>
  </si>
  <si>
    <t>13C  </t>
  </si>
  <si>
    <t>13D  </t>
  </si>
  <si>
    <t>13E  </t>
  </si>
  <si>
    <t>13F  </t>
  </si>
  <si>
    <t>14A  </t>
  </si>
  <si>
    <t>14B  </t>
  </si>
  <si>
    <t>14C  </t>
  </si>
  <si>
    <t>14D  </t>
  </si>
  <si>
    <t>14E  </t>
  </si>
  <si>
    <t>14F  </t>
  </si>
  <si>
    <t>15B  </t>
  </si>
  <si>
    <t>15C  </t>
  </si>
  <si>
    <t>15D  </t>
  </si>
  <si>
    <t>15E  </t>
  </si>
  <si>
    <t>15F  </t>
  </si>
  <si>
    <t>16B  </t>
  </si>
  <si>
    <t>16C  </t>
  </si>
  <si>
    <t>16D  </t>
  </si>
  <si>
    <t>16E  </t>
  </si>
  <si>
    <t>16F  </t>
  </si>
  <si>
    <t>17A  </t>
  </si>
  <si>
    <t>17B  </t>
  </si>
  <si>
    <t>17C  </t>
  </si>
  <si>
    <t>17D  </t>
  </si>
  <si>
    <t>17E  </t>
  </si>
  <si>
    <t>17F  </t>
  </si>
  <si>
    <t>18A  </t>
  </si>
  <si>
    <t>18B  </t>
  </si>
  <si>
    <t>18C  </t>
  </si>
  <si>
    <t>18D  </t>
  </si>
  <si>
    <t>18E  </t>
  </si>
  <si>
    <t>18F  </t>
  </si>
  <si>
    <t>19A  </t>
  </si>
  <si>
    <t>19B  </t>
  </si>
  <si>
    <t>19C  </t>
  </si>
  <si>
    <t>19D  </t>
  </si>
  <si>
    <t>19E  </t>
  </si>
  <si>
    <t>20A  </t>
  </si>
  <si>
    <t>20B  </t>
  </si>
  <si>
    <t>20D  </t>
  </si>
  <si>
    <t>20F  </t>
  </si>
  <si>
    <t>21B  </t>
  </si>
  <si>
    <t>21C  </t>
  </si>
  <si>
    <t>21D  </t>
  </si>
  <si>
    <t>21E  </t>
  </si>
  <si>
    <t>22B  </t>
  </si>
  <si>
    <t>22C  </t>
  </si>
  <si>
    <t>22D  </t>
  </si>
  <si>
    <t>22E  </t>
  </si>
  <si>
    <t>P1-1024-DL  </t>
  </si>
  <si>
    <t>P1-1025-DL  </t>
  </si>
  <si>
    <t>P1-1026-DL  </t>
  </si>
  <si>
    <t>P2-2018-DL  </t>
  </si>
  <si>
    <t>P2-2019-DL  </t>
  </si>
  <si>
    <t>P2-2020-DL  </t>
  </si>
  <si>
    <t>P2-2021-DL  </t>
  </si>
  <si>
    <t>P2-2022-DL  </t>
  </si>
  <si>
    <t>P2-2024-DL  </t>
  </si>
  <si>
    <t>P2-2025-DL  </t>
  </si>
  <si>
    <t>P2-2027-DL  </t>
  </si>
  <si>
    <t>P2-2028-DL  </t>
  </si>
  <si>
    <t>P2-2029-DL  </t>
  </si>
  <si>
    <t>P2-2030-DL  </t>
  </si>
  <si>
    <t>P2-2031-DL  </t>
  </si>
  <si>
    <t>P1-1018-S  </t>
  </si>
  <si>
    <t>P1-1021-S  </t>
  </si>
  <si>
    <t>P1-1022-S  </t>
  </si>
  <si>
    <t>P1-1028-S  </t>
  </si>
  <si>
    <t>P1-1076-S  </t>
  </si>
  <si>
    <t>P2-2023-S  </t>
  </si>
  <si>
    <t>P2-2032-S  </t>
  </si>
  <si>
    <t>P2-2033-S  </t>
  </si>
  <si>
    <t>P2-2034-S  </t>
  </si>
  <si>
    <t>P2-2035-S  </t>
  </si>
  <si>
    <t>P2-2036-S  </t>
  </si>
  <si>
    <t>P2-2037-S  </t>
  </si>
  <si>
    <t>P2-2038-S  </t>
  </si>
  <si>
    <t>P2-2039-S  </t>
  </si>
  <si>
    <t>P2-2040-S  </t>
  </si>
  <si>
    <t>P2-2041-S  </t>
  </si>
  <si>
    <t>P2-2042-S  </t>
  </si>
  <si>
    <t>P2-2043-S  </t>
  </si>
  <si>
    <t>P2-2044-S  </t>
  </si>
  <si>
    <t>P16-A  </t>
  </si>
  <si>
    <t>P22-B  </t>
  </si>
  <si>
    <t>S2-1  </t>
  </si>
  <si>
    <t>S2-2  </t>
  </si>
  <si>
    <t>S2-3  </t>
  </si>
  <si>
    <t>S2-4  </t>
  </si>
  <si>
    <t>S2-5  </t>
  </si>
  <si>
    <t>S2-6  </t>
  </si>
  <si>
    <t>S2-7  </t>
  </si>
  <si>
    <t>S2-8  </t>
  </si>
  <si>
    <t>S2-9  </t>
  </si>
  <si>
    <t>S2-10  </t>
  </si>
  <si>
    <t>S2-11  </t>
  </si>
  <si>
    <t>S2-12  </t>
  </si>
  <si>
    <t>S2-13  </t>
  </si>
  <si>
    <t>S2-14  </t>
  </si>
  <si>
    <t>S2-15  </t>
  </si>
  <si>
    <t>S2-16  </t>
  </si>
  <si>
    <t>S2-1004  </t>
  </si>
  <si>
    <t>S2-1006  </t>
  </si>
  <si>
    <t>S2-1007  </t>
  </si>
  <si>
    <t>S2-1008  </t>
  </si>
  <si>
    <t>S2-1009  </t>
  </si>
  <si>
    <t>S2-1010  </t>
  </si>
  <si>
    <t>S1-47  </t>
  </si>
  <si>
    <t>S1-48  </t>
  </si>
  <si>
    <t>S1-49  </t>
  </si>
  <si>
    <t>S1-50  </t>
  </si>
  <si>
    <t>S1-51  </t>
  </si>
  <si>
    <t>S1-52  </t>
  </si>
  <si>
    <t>S1-53  </t>
  </si>
  <si>
    <t>S1-54  </t>
  </si>
  <si>
    <t>S1-1007  </t>
  </si>
  <si>
    <t>S1-1008  </t>
  </si>
  <si>
    <t>P1-1021  </t>
  </si>
  <si>
    <t>P3-A  </t>
  </si>
  <si>
    <t>P3-B  </t>
  </si>
  <si>
    <t>P4-A  </t>
  </si>
  <si>
    <t>P4-B  </t>
  </si>
  <si>
    <t>P5-A  </t>
  </si>
  <si>
    <t>P5-B  </t>
  </si>
  <si>
    <t>P6-A  </t>
  </si>
  <si>
    <t>P6-B  </t>
  </si>
  <si>
    <t>P7-A  </t>
  </si>
  <si>
    <t>P7-B  </t>
  </si>
  <si>
    <t>P8-A  </t>
  </si>
  <si>
    <t>P8-B  </t>
  </si>
  <si>
    <t>P9-A  </t>
  </si>
  <si>
    <t>P9-B  </t>
  </si>
  <si>
    <t>P10-A  </t>
  </si>
  <si>
    <t>P10-B  </t>
  </si>
  <si>
    <t>P11-A  </t>
  </si>
  <si>
    <t>P11-B  </t>
  </si>
  <si>
    <t>P12-A  </t>
  </si>
  <si>
    <t>P12-B  </t>
  </si>
  <si>
    <t>P13-A  </t>
  </si>
  <si>
    <t>P13-B  </t>
  </si>
  <si>
    <t>P14-A  </t>
  </si>
  <si>
    <t>P14-B  </t>
  </si>
  <si>
    <t>P15-A  </t>
  </si>
  <si>
    <t>P15-B  </t>
  </si>
  <si>
    <t>P16-B  </t>
  </si>
  <si>
    <t>P17-A  </t>
  </si>
  <si>
    <t>P17-B  </t>
  </si>
  <si>
    <t>P18-A  </t>
  </si>
  <si>
    <t>P18-B  </t>
  </si>
  <si>
    <t>P19-A  </t>
  </si>
  <si>
    <t>P19-B  </t>
  </si>
  <si>
    <t>P20-A  </t>
  </si>
  <si>
    <t>P20-B  </t>
  </si>
  <si>
    <t>P21-A  </t>
  </si>
  <si>
    <t>P21-B  </t>
  </si>
  <si>
    <t>P22-A  </t>
  </si>
  <si>
    <t>6B  </t>
  </si>
  <si>
    <t>8A  </t>
  </si>
  <si>
    <t>8B  </t>
  </si>
  <si>
    <t>9B  </t>
  </si>
  <si>
    <t>11B  </t>
  </si>
  <si>
    <t>15A  </t>
  </si>
  <si>
    <t>16A  </t>
  </si>
  <si>
    <t>19F  </t>
  </si>
  <si>
    <t>20C  </t>
  </si>
  <si>
    <t>20E  </t>
  </si>
  <si>
    <t>P2-2026-DL  </t>
  </si>
  <si>
    <t>P1-1019-S  </t>
  </si>
  <si>
    <t>P1-1020-S  </t>
  </si>
  <si>
    <t>P1-1023-S  </t>
  </si>
  <si>
    <t>P1-1027-S  </t>
  </si>
  <si>
    <t>P1-1075-S  </t>
  </si>
  <si>
    <t>P1-1019  </t>
  </si>
  <si>
    <t>P1-1020  </t>
  </si>
  <si>
    <t>P1-1022  </t>
  </si>
  <si>
    <t>P1-1023  </t>
  </si>
  <si>
    <t>Unid.
Parq. + Util</t>
  </si>
  <si>
    <t>Ventas netas Inm. Pales</t>
  </si>
  <si>
    <t>Parq. + Util</t>
  </si>
  <si>
    <t>Total ventas</t>
  </si>
  <si>
    <t>Reformas</t>
  </si>
  <si>
    <t xml:space="preserve">Financieros </t>
  </si>
  <si>
    <t>S2-9805-DL  </t>
  </si>
  <si>
    <t>S2-9807-DL  </t>
  </si>
  <si>
    <t>S2-9808-DL  </t>
  </si>
  <si>
    <t>S2-9811-DL  </t>
  </si>
  <si>
    <t>S2-9812-DL  </t>
  </si>
  <si>
    <t>S2-9813-DL  </t>
  </si>
  <si>
    <t>S2-9814-DL  </t>
  </si>
  <si>
    <t>S2-9816-DL  </t>
  </si>
  <si>
    <t>S2-9817-DL  </t>
  </si>
  <si>
    <t>S1-99012-DL  </t>
  </si>
  <si>
    <t>S1-99021-DL  </t>
  </si>
  <si>
    <t>S1-99026-DL  </t>
  </si>
  <si>
    <t>S1-99027-DL  </t>
  </si>
  <si>
    <t>S2-9819-S  </t>
  </si>
  <si>
    <t>S2-9822-S  </t>
  </si>
  <si>
    <t>S2-9826-S  </t>
  </si>
  <si>
    <t>S2-9827-S  </t>
  </si>
  <si>
    <t>S2-9829-S  </t>
  </si>
  <si>
    <t>S2-9832-S  </t>
  </si>
  <si>
    <t>S2-9833-S  </t>
  </si>
  <si>
    <t>S2-9834-S  </t>
  </si>
  <si>
    <t>S2-9835-S  </t>
  </si>
  <si>
    <t>S2-9836-S  </t>
  </si>
  <si>
    <t>S2-9837-S  </t>
  </si>
  <si>
    <t>S2-9843-S  </t>
  </si>
  <si>
    <t>S2-9844-S  </t>
  </si>
  <si>
    <t>S1-99029-S  </t>
  </si>
  <si>
    <t>S1-99030-S  </t>
  </si>
  <si>
    <t>S1-99035-S  </t>
  </si>
  <si>
    <t>S1-99036-S  </t>
  </si>
  <si>
    <t>S1-99037-S  </t>
  </si>
  <si>
    <t>S1-99061-S  </t>
  </si>
  <si>
    <t>S1-99062-S  </t>
  </si>
  <si>
    <t>S1-99063-S  </t>
  </si>
  <si>
    <t>S1-99064-S  </t>
  </si>
  <si>
    <t>S1-99065-S  </t>
  </si>
  <si>
    <t>S1-99066-S  </t>
  </si>
  <si>
    <t>S1-99067-S  </t>
  </si>
  <si>
    <t>S1-99069-S  </t>
  </si>
  <si>
    <t>S2-9840-S  </t>
  </si>
  <si>
    <t>S2-9841-S  </t>
  </si>
  <si>
    <t>S2-9842-S  </t>
  </si>
  <si>
    <t>P1-1029-S  </t>
  </si>
  <si>
    <t>P1-1030-S  </t>
  </si>
  <si>
    <t>P1-1031-S  </t>
  </si>
  <si>
    <t>P1-1073-S  </t>
  </si>
  <si>
    <t>P1-1074-S  </t>
  </si>
  <si>
    <t>S2-9846-S  </t>
  </si>
  <si>
    <t>S2-9847-S  </t>
  </si>
  <si>
    <t>S2-9848-S  </t>
  </si>
  <si>
    <t>P1-1143-S  </t>
  </si>
  <si>
    <t>P1-1144-S  </t>
  </si>
  <si>
    <t>S1-55  </t>
  </si>
  <si>
    <t>S1-59  </t>
  </si>
  <si>
    <t>S1-60  </t>
  </si>
  <si>
    <t>S1-63  </t>
  </si>
  <si>
    <t>S1-64  </t>
  </si>
  <si>
    <t>S1-65  </t>
  </si>
  <si>
    <t>S1-99012  </t>
  </si>
  <si>
    <t>S1-99021  </t>
  </si>
  <si>
    <t>P1-112  </t>
  </si>
  <si>
    <t>P2-144  </t>
  </si>
  <si>
    <t>02D  </t>
  </si>
  <si>
    <t>02E  </t>
  </si>
  <si>
    <t>02F  </t>
  </si>
  <si>
    <t>03A  </t>
  </si>
  <si>
    <t>03B  </t>
  </si>
  <si>
    <t>03D  </t>
  </si>
  <si>
    <t>03E  </t>
  </si>
  <si>
    <t>03F  </t>
  </si>
  <si>
    <t>04A  </t>
  </si>
  <si>
    <t>04B  </t>
  </si>
  <si>
    <t>04C  </t>
  </si>
  <si>
    <t>04D  </t>
  </si>
  <si>
    <t>04E  </t>
  </si>
  <si>
    <t>04F  </t>
  </si>
  <si>
    <t>05A  </t>
  </si>
  <si>
    <t>05B  </t>
  </si>
  <si>
    <t>05C  </t>
  </si>
  <si>
    <t>05D  </t>
  </si>
  <si>
    <t>05E  </t>
  </si>
  <si>
    <t>05F  </t>
  </si>
  <si>
    <t>06A  </t>
  </si>
  <si>
    <t>06B  </t>
  </si>
  <si>
    <t>06C  </t>
  </si>
  <si>
    <t>06D  </t>
  </si>
  <si>
    <t>06E  </t>
  </si>
  <si>
    <t>06F  </t>
  </si>
  <si>
    <t>07A  </t>
  </si>
  <si>
    <t>07B  </t>
  </si>
  <si>
    <t>07C  </t>
  </si>
  <si>
    <t>07D  </t>
  </si>
  <si>
    <t>07F  </t>
  </si>
  <si>
    <t>08A  </t>
  </si>
  <si>
    <t>08B  </t>
  </si>
  <si>
    <t>08C  </t>
  </si>
  <si>
    <t>08E  </t>
  </si>
  <si>
    <t>08F  </t>
  </si>
  <si>
    <t>09A  </t>
  </si>
  <si>
    <t>09B  </t>
  </si>
  <si>
    <t>09C  </t>
  </si>
  <si>
    <t>09D  </t>
  </si>
  <si>
    <t>09E  </t>
  </si>
  <si>
    <t>09F  </t>
  </si>
  <si>
    <t>P1-1151  </t>
  </si>
  <si>
    <t>P1-1152  </t>
  </si>
  <si>
    <t>P1-1153  </t>
  </si>
  <si>
    <t>P1-1154  </t>
  </si>
  <si>
    <t>S1-99121  </t>
  </si>
  <si>
    <t>S1-99122  </t>
  </si>
  <si>
    <t>S1-99123  </t>
  </si>
  <si>
    <t>S1-99124  </t>
  </si>
  <si>
    <t>S1-99125  </t>
  </si>
  <si>
    <t>S1-99126  </t>
  </si>
  <si>
    <t>S1-99127  </t>
  </si>
  <si>
    <t>S1-99128  </t>
  </si>
  <si>
    <t>S1-99129  </t>
  </si>
  <si>
    <t>S1-99130  </t>
  </si>
  <si>
    <t>S1-99131  </t>
  </si>
  <si>
    <t>S1-99132  </t>
  </si>
  <si>
    <t>S2-9879  </t>
  </si>
  <si>
    <t>S2-9880  </t>
  </si>
  <si>
    <t>S2-9881  </t>
  </si>
  <si>
    <t>S2-9882  </t>
  </si>
  <si>
    <t>S2-9883  </t>
  </si>
  <si>
    <t>S2-9884  </t>
  </si>
  <si>
    <t>S2-9885  </t>
  </si>
  <si>
    <t>S2-9886  </t>
  </si>
  <si>
    <t>S2-9887  </t>
  </si>
  <si>
    <t>S2-9888  </t>
  </si>
  <si>
    <t>S2-9889  </t>
  </si>
  <si>
    <t>S2-9890  </t>
  </si>
  <si>
    <t>S2-9891  </t>
  </si>
  <si>
    <t>P1-1133  </t>
  </si>
  <si>
    <t>P1-1134  </t>
  </si>
  <si>
    <t>P1-1135  </t>
  </si>
  <si>
    <t>P1-1136  </t>
  </si>
  <si>
    <t>P1-1137  </t>
  </si>
  <si>
    <t>P1-1138  </t>
  </si>
  <si>
    <t>P1-1139  </t>
  </si>
  <si>
    <t>P1-1140  </t>
  </si>
  <si>
    <t>P1-1141  </t>
  </si>
  <si>
    <t>P1-1147  </t>
  </si>
  <si>
    <t>P1-1148  </t>
  </si>
  <si>
    <t>P2-2071  </t>
  </si>
  <si>
    <t>P2-2072  </t>
  </si>
  <si>
    <t>P2-2073  </t>
  </si>
  <si>
    <t>P2-2074  </t>
  </si>
  <si>
    <t>P2-2075  </t>
  </si>
  <si>
    <t>P2-2095  </t>
  </si>
  <si>
    <t>P2-2115  </t>
  </si>
  <si>
    <t>P2-2116  </t>
  </si>
  <si>
    <t>P2-2117  </t>
  </si>
  <si>
    <t>P2-2118  </t>
  </si>
  <si>
    <t>P2-2119  </t>
  </si>
  <si>
    <t>P2-2120  </t>
  </si>
  <si>
    <t>P2-2121  </t>
  </si>
  <si>
    <t>P2-2122  </t>
  </si>
  <si>
    <t>P2-2123  </t>
  </si>
  <si>
    <t>P2-2124  </t>
  </si>
  <si>
    <t>P2-2125  </t>
  </si>
  <si>
    <t>P2-2128  </t>
  </si>
  <si>
    <t>P2-2129  </t>
  </si>
  <si>
    <t>P2-2130  </t>
  </si>
  <si>
    <t>P2-2131  </t>
  </si>
  <si>
    <t>P2-2132  </t>
  </si>
  <si>
    <t>P2-2133  </t>
  </si>
  <si>
    <t>P2-2134  </t>
  </si>
  <si>
    <t>P2-2135  </t>
  </si>
  <si>
    <t>S1-99070  </t>
  </si>
  <si>
    <t>S1-99071  </t>
  </si>
  <si>
    <t>S1-99072  </t>
  </si>
  <si>
    <t>S1-99073  </t>
  </si>
  <si>
    <t>S1-99074  </t>
  </si>
  <si>
    <t>S1-99075  </t>
  </si>
  <si>
    <t>S1-99076  </t>
  </si>
  <si>
    <t>S1-99077  </t>
  </si>
  <si>
    <t>S1-99078  </t>
  </si>
  <si>
    <t>S1-99079  </t>
  </si>
  <si>
    <t>S1-99080  </t>
  </si>
  <si>
    <t>S1-99081  </t>
  </si>
  <si>
    <t>S1-99082  </t>
  </si>
  <si>
    <t>S1-99083  </t>
  </si>
  <si>
    <t>S1-99084  </t>
  </si>
  <si>
    <t>S1-99085  </t>
  </si>
  <si>
    <t>S1-99086  </t>
  </si>
  <si>
    <t>S1-99087  </t>
  </si>
  <si>
    <t>S1-99088  </t>
  </si>
  <si>
    <t>S1-99089  </t>
  </si>
  <si>
    <t>S1-99090  </t>
  </si>
  <si>
    <t>S1-99107  </t>
  </si>
  <si>
    <t>S1-99108  </t>
  </si>
  <si>
    <t>S1-99109  </t>
  </si>
  <si>
    <t>S1-99110  </t>
  </si>
  <si>
    <t>S1-99111  </t>
  </si>
  <si>
    <t>S1-99112  </t>
  </si>
  <si>
    <t>S1-99113  </t>
  </si>
  <si>
    <t>S1-99114  </t>
  </si>
  <si>
    <t>S1-99115  </t>
  </si>
  <si>
    <t>S1-99116  </t>
  </si>
  <si>
    <t>S1-99117  </t>
  </si>
  <si>
    <t>S1-99118  </t>
  </si>
  <si>
    <t>S1-99119  </t>
  </si>
  <si>
    <t>S2-9849  </t>
  </si>
  <si>
    <t>S2-9850  </t>
  </si>
  <si>
    <t>S2-9851  </t>
  </si>
  <si>
    <t>S2-9852  </t>
  </si>
  <si>
    <t>S2-9853  </t>
  </si>
  <si>
    <t>S2-9854  </t>
  </si>
  <si>
    <t>S2-9855  </t>
  </si>
  <si>
    <t>S2-9856  </t>
  </si>
  <si>
    <t>S2-9857  </t>
  </si>
  <si>
    <t>S2-9858  </t>
  </si>
  <si>
    <t>S2-9859  </t>
  </si>
  <si>
    <t>S2-9860  </t>
  </si>
  <si>
    <t>S2-9861  </t>
  </si>
  <si>
    <t>S2-9862  </t>
  </si>
  <si>
    <t>S2-9863  </t>
  </si>
  <si>
    <t>S2-9864  </t>
  </si>
  <si>
    <t>S2-9865  </t>
  </si>
  <si>
    <t>S2-9866  </t>
  </si>
  <si>
    <t>S2-9867  </t>
  </si>
  <si>
    <t>S2-9868  </t>
  </si>
  <si>
    <t>S2-9869  </t>
  </si>
  <si>
    <t>S2-9870  </t>
  </si>
  <si>
    <t>S2-9871  </t>
  </si>
  <si>
    <t>S2-9872  </t>
  </si>
  <si>
    <t>S2-9873  </t>
  </si>
  <si>
    <t>S2-9874  </t>
  </si>
  <si>
    <t>S2-9875  </t>
  </si>
  <si>
    <t>S2-9876  </t>
  </si>
  <si>
    <t>S2-9877  </t>
  </si>
  <si>
    <t>S2-9878  </t>
  </si>
  <si>
    <t>P2-145  </t>
  </si>
  <si>
    <t>P2-146  </t>
  </si>
  <si>
    <t>P2-147  </t>
  </si>
  <si>
    <t>P2-148  </t>
  </si>
  <si>
    <t>S1-074  </t>
  </si>
  <si>
    <t>S1-075  </t>
  </si>
  <si>
    <t>S1-076  </t>
  </si>
  <si>
    <t>S1-077  </t>
  </si>
  <si>
    <t>S1-078  </t>
  </si>
  <si>
    <t>S1-079  </t>
  </si>
  <si>
    <t>S1-080  </t>
  </si>
  <si>
    <t>S1-081  </t>
  </si>
  <si>
    <t>S1-082  </t>
  </si>
  <si>
    <t>S1-083  </t>
  </si>
  <si>
    <t>S1-084  </t>
  </si>
  <si>
    <t>S1-085  </t>
  </si>
  <si>
    <t>S1-086  </t>
  </si>
  <si>
    <t>S1-087  </t>
  </si>
  <si>
    <t>S1-088  </t>
  </si>
  <si>
    <t>S1-089  </t>
  </si>
  <si>
    <t>S1-090  </t>
  </si>
  <si>
    <t>S1-091  </t>
  </si>
  <si>
    <t>S2-017  </t>
  </si>
  <si>
    <t>S2-018  </t>
  </si>
  <si>
    <t>S2-019  </t>
  </si>
  <si>
    <t>S2-020  </t>
  </si>
  <si>
    <t>S2-021  </t>
  </si>
  <si>
    <t>S2-022  </t>
  </si>
  <si>
    <t>S2-023  </t>
  </si>
  <si>
    <t>S2-024  </t>
  </si>
  <si>
    <t>S2-025  </t>
  </si>
  <si>
    <t>S2-026  </t>
  </si>
  <si>
    <t>S2-027  </t>
  </si>
  <si>
    <t>S2-028  </t>
  </si>
  <si>
    <t>S2-029  </t>
  </si>
  <si>
    <t>S2-030  </t>
  </si>
  <si>
    <t>S2-031  </t>
  </si>
  <si>
    <t>S2-032  </t>
  </si>
  <si>
    <t>S2-033  </t>
  </si>
  <si>
    <t>S2-9801-DL  </t>
  </si>
  <si>
    <t>S2-9802-DL  </t>
  </si>
  <si>
    <t>S2-9803-DL  </t>
  </si>
  <si>
    <t>S2-9804-DL  </t>
  </si>
  <si>
    <t>S2-9806-DL  </t>
  </si>
  <si>
    <t>S2-9809-DL  </t>
  </si>
  <si>
    <t>S2-9898-DL  </t>
  </si>
  <si>
    <t>S2-9815-DL  </t>
  </si>
  <si>
    <t>S1-99011-DL  </t>
  </si>
  <si>
    <t>S1-99013-DL  </t>
  </si>
  <si>
    <t>S1-99014-DL  </t>
  </si>
  <si>
    <t>S1-99015-DL  </t>
  </si>
  <si>
    <t>S1-99016-DL  </t>
  </si>
  <si>
    <t>S1-99017-DL  </t>
  </si>
  <si>
    <t>S1-99018-DL  </t>
  </si>
  <si>
    <t>S1-99019-DL  </t>
  </si>
  <si>
    <t>S1-99020-DL  </t>
  </si>
  <si>
    <t>S1-99022-DL  </t>
  </si>
  <si>
    <t>S1-99023-DL  </t>
  </si>
  <si>
    <t>S1-99024-DL  </t>
  </si>
  <si>
    <t>S1-99025-DL  </t>
  </si>
  <si>
    <t>S2-9818-S  </t>
  </si>
  <si>
    <t>S2-9820-S  </t>
  </si>
  <si>
    <t>S2-9821-S  </t>
  </si>
  <si>
    <t>S2-9823-S  </t>
  </si>
  <si>
    <t>S2-9824-S  </t>
  </si>
  <si>
    <t>S2-9825-S  </t>
  </si>
  <si>
    <t>S2-9828-S  </t>
  </si>
  <si>
    <t>S2-9830-S  </t>
  </si>
  <si>
    <t>S2-9831-S  </t>
  </si>
  <si>
    <t>S2-9838-S  </t>
  </si>
  <si>
    <t>S2-9839-S  </t>
  </si>
  <si>
    <t>S2-9845-S  </t>
  </si>
  <si>
    <t>S1-99028-S  </t>
  </si>
  <si>
    <t>S1-99031-S  </t>
  </si>
  <si>
    <t>S1-99032-S  </t>
  </si>
  <si>
    <t>S1-99033-S  </t>
  </si>
  <si>
    <t>S1-99034-S  </t>
  </si>
  <si>
    <t>S1-99038-S  </t>
  </si>
  <si>
    <t>S1-99039-S  </t>
  </si>
  <si>
    <t>S1-99040-S  </t>
  </si>
  <si>
    <t>S1-99041-S  </t>
  </si>
  <si>
    <t>S1-99060-S  </t>
  </si>
  <si>
    <t>S1-99068-S  </t>
  </si>
  <si>
    <t>S2-9815  </t>
  </si>
  <si>
    <t>S2-9801  </t>
  </si>
  <si>
    <t>S2-9802  </t>
  </si>
  <si>
    <t>S2-9803  </t>
  </si>
  <si>
    <t>S1-56  </t>
  </si>
  <si>
    <t>S1-57  </t>
  </si>
  <si>
    <t>S1-58  </t>
  </si>
  <si>
    <t>S1-61  </t>
  </si>
  <si>
    <t>S1-62  </t>
  </si>
  <si>
    <t>S1-66  </t>
  </si>
  <si>
    <t>S1-67  </t>
  </si>
  <si>
    <t>S1-99011  </t>
  </si>
  <si>
    <t>S1-99013  </t>
  </si>
  <si>
    <t>S1-99014  </t>
  </si>
  <si>
    <t>S1-99015  </t>
  </si>
  <si>
    <t>S1-99016  </t>
  </si>
  <si>
    <t>S1-99019  </t>
  </si>
  <si>
    <t>S1-99020  </t>
  </si>
  <si>
    <t>S1-99022  </t>
  </si>
  <si>
    <t>S1-99023  </t>
  </si>
  <si>
    <t>S1-99024  </t>
  </si>
  <si>
    <t>S1-99025  </t>
  </si>
  <si>
    <t>P1-113  </t>
  </si>
  <si>
    <t>P1-114  </t>
  </si>
  <si>
    <t>P1-115  </t>
  </si>
  <si>
    <t>P1-116  </t>
  </si>
  <si>
    <t>P2-2016  </t>
  </si>
  <si>
    <t>07E  </t>
  </si>
  <si>
    <t>08D  </t>
  </si>
  <si>
    <t>P1-1150  </t>
  </si>
  <si>
    <t>S1-99120  </t>
  </si>
  <si>
    <t>P1-1142  </t>
  </si>
  <si>
    <t>P1-1145  </t>
  </si>
  <si>
    <t>P1-1146  </t>
  </si>
  <si>
    <t>P1-1149  </t>
  </si>
  <si>
    <t>P2-2126  </t>
  </si>
  <si>
    <t>P2-2127  </t>
  </si>
  <si>
    <t>Precio</t>
  </si>
  <si>
    <t>Atributos</t>
  </si>
  <si>
    <t>Disponibles</t>
  </si>
  <si>
    <t>Tipo de Unidad  PARQUEADERO</t>
  </si>
  <si>
    <t>Tipo de Unidad  UTIL</t>
  </si>
  <si>
    <t>ACUARELA DEL PARQUE ETAPA 2</t>
  </si>
  <si>
    <t>Tipo de Unidad  APARTAMENTO</t>
  </si>
  <si>
    <t>Aptos.</t>
  </si>
  <si>
    <t>Desembolsos Créditos</t>
  </si>
  <si>
    <t>Desembolso Créditos</t>
  </si>
  <si>
    <t>Saldos Cuotas Crédito</t>
  </si>
  <si>
    <t>Anticipo Cuotas Crédito</t>
  </si>
  <si>
    <t>Anticipo a cuotas Crédito</t>
  </si>
  <si>
    <t>Cuotas Credito</t>
  </si>
  <si>
    <t>$</t>
  </si>
  <si>
    <t>M2</t>
  </si>
  <si>
    <t>Total  Proyecto</t>
  </si>
  <si>
    <t>Ventas a fecha de corte</t>
  </si>
  <si>
    <t>Recaudos por Ventas $</t>
  </si>
  <si>
    <t>Subrogaciones</t>
  </si>
  <si>
    <t>Saldo Total</t>
  </si>
  <si>
    <t>Saldo Credito</t>
  </si>
  <si>
    <t>C. Corriente</t>
  </si>
  <si>
    <t>Cartera de Ventas</t>
  </si>
  <si>
    <t>Cartera de Reformas</t>
  </si>
  <si>
    <t>Recuperaciones</t>
  </si>
  <si>
    <t>Causado</t>
  </si>
  <si>
    <t>Recaudado</t>
  </si>
  <si>
    <t>%</t>
  </si>
  <si>
    <t>Intereses x Subrog.</t>
  </si>
  <si>
    <t>Estudio de Titulos</t>
  </si>
  <si>
    <t>Avalúos</t>
  </si>
  <si>
    <t>Prediales</t>
  </si>
  <si>
    <t>C. Vencida</t>
  </si>
  <si>
    <t>Cartera Total</t>
  </si>
  <si>
    <t>Ventas con Parqueaderos</t>
  </si>
  <si>
    <t>Ventas sólo Aptos.</t>
  </si>
  <si>
    <t>Total Acabados</t>
  </si>
  <si>
    <t>Total Recuperaciones</t>
  </si>
  <si>
    <t>Consolidado Inventario</t>
  </si>
  <si>
    <t>Unidades disponibles</t>
  </si>
  <si>
    <t>Parqueaderos</t>
  </si>
  <si>
    <t>Utiles</t>
  </si>
  <si>
    <t>Unidades Vendidas</t>
  </si>
  <si>
    <t>Area Vendida</t>
  </si>
  <si>
    <t>Vr. Ventas</t>
  </si>
  <si>
    <t>VR. Promedio en Ventas</t>
  </si>
  <si>
    <t>Tipología</t>
  </si>
  <si>
    <t>PROYECCION DE SALDOS DETALLADOS</t>
  </si>
  <si>
    <t>Etapa</t>
  </si>
  <si>
    <t>Tipo</t>
  </si>
  <si>
    <t>Desembolsos Crédito</t>
  </si>
  <si>
    <t>Acabados/Reformas</t>
  </si>
  <si>
    <t>INVENTARIO</t>
  </si>
  <si>
    <t>PROYECCION DE RECAUDOS</t>
  </si>
  <si>
    <t>DETALLE DE CLIENTES</t>
  </si>
  <si>
    <t xml:space="preserve">Parq. Sencillos/Util T- 1 </t>
  </si>
  <si>
    <t>Parq. Sencillos/Util T- 2</t>
  </si>
  <si>
    <t>Parq. Sencillos/Util T- 3</t>
  </si>
  <si>
    <t>Reformas/Acabados</t>
  </si>
  <si>
    <t>Cuota inicial</t>
  </si>
  <si>
    <t>UTIL T.4</t>
  </si>
  <si>
    <t>Intereses x Mora</t>
  </si>
  <si>
    <t xml:space="preserve">Estudio de Titulos </t>
  </si>
  <si>
    <t xml:space="preserve">                     -  </t>
  </si>
  <si>
    <t xml:space="preserve">                    -  </t>
  </si>
  <si>
    <t>32-60 días</t>
  </si>
  <si>
    <t>Intereses de Subrogación</t>
  </si>
  <si>
    <t xml:space="preserve">Intereses Financieros </t>
  </si>
  <si>
    <t>Predial</t>
  </si>
  <si>
    <t>ARDILA MARIN LUIS FERNANDO</t>
  </si>
  <si>
    <t>ARBOLEDA TORRES MARY LUZ</t>
  </si>
  <si>
    <t>ROLDAN ECHAVARRIA MARIA LUZMILA</t>
  </si>
  <si>
    <t>CORREA ECHEVERRI HUMBERTO</t>
  </si>
  <si>
    <t>ECHEVERRI TABARES JUAN DAVID</t>
  </si>
  <si>
    <t>OSPINA GRISALES JOSE URIEL</t>
  </si>
  <si>
    <t>TAMAYO GOMEZ JULIANA</t>
  </si>
  <si>
    <t>PIEDRAHITA LOPEZ VLADIMIR</t>
  </si>
  <si>
    <t>AGUIRRE RAMIREZ JENIFFER TATIANA</t>
  </si>
  <si>
    <t>ROLDAN GIL JAIME ALBERTO</t>
  </si>
  <si>
    <t>APERADOR BERNAL MARIA BALBINA</t>
  </si>
  <si>
    <t>DUQUE JIMENEZ ESNEIDER DE JESUS</t>
  </si>
  <si>
    <t>BETANCUR PEREZ MARIA EUGENIA</t>
  </si>
  <si>
    <t>MEJIA GIL EDWIN GIOVANNI</t>
  </si>
  <si>
    <t>GRANDA AGUDELO DEICY GABRIELA</t>
  </si>
  <si>
    <t>CORREA ESCOBAR LEON DANIEL</t>
  </si>
  <si>
    <t>CORREA ARANGO SIMON</t>
  </si>
  <si>
    <t>PATIÑO CARDONA SANTIAGO</t>
  </si>
  <si>
    <t>RAMIREZ FONNEGRA MARIA CONSTANZA</t>
  </si>
  <si>
    <t>ZAPATA AGUDELO CHRISTIAN DAVID</t>
  </si>
  <si>
    <t>POSADA JARAMILLO JUAN IGNACIO</t>
  </si>
  <si>
    <t>FORERO URIBE ANDRES</t>
  </si>
  <si>
    <t>QUINTERO RUBIO EDITH YOMARA</t>
  </si>
  <si>
    <t>OSORIO GONZALEZ JUAN PABLO</t>
  </si>
  <si>
    <t>SALDARRIAGA VANEGAS JENIFER</t>
  </si>
  <si>
    <t>BUJATO RESTREPO DIEGO</t>
  </si>
  <si>
    <t>CATAÑO GARCIA ROSMIRA AMPARO</t>
  </si>
  <si>
    <t>AGUDELO RESTREPO YESSICA ALEJANDRA</t>
  </si>
  <si>
    <t>CANO RODRIGUEZ JOHN MARIO</t>
  </si>
  <si>
    <t>LOPEZ ARANGO ADRIANA PATRICIA</t>
  </si>
  <si>
    <t>BARRERA MUÑOZ MELANY JOHANNA</t>
  </si>
  <si>
    <t>TORRES GONZALEZ DAVID ESTEBAN</t>
  </si>
  <si>
    <t>RIVILLAS ARANGO ALVARO ALEJANDRO</t>
  </si>
  <si>
    <t>OSORIO AVENDAÑO SANDRO ARLEY</t>
  </si>
  <si>
    <t>SANCHEZ ESTRADA MAYRA ALEJANDRA</t>
  </si>
  <si>
    <t>MARIN MONTOYA MARIA CAMILA</t>
  </si>
  <si>
    <t>LONDOÑO ARANGO OSCAR DAVID</t>
  </si>
  <si>
    <t>ZULUAGA ESTRADA MARIA JOSE</t>
  </si>
  <si>
    <t>Cesantias</t>
  </si>
  <si>
    <t>V</t>
  </si>
  <si>
    <t> PS-147</t>
  </si>
  <si>
    <t> PS-149</t>
  </si>
  <si>
    <t> PS-08J</t>
  </si>
  <si>
    <t> PS-16J</t>
  </si>
  <si>
    <t> PS-20H</t>
  </si>
  <si>
    <t> PS-25B</t>
  </si>
  <si>
    <t> U-141</t>
  </si>
  <si>
    <t> U-142</t>
  </si>
  <si>
    <t> U-145</t>
  </si>
  <si>
    <t> U-146</t>
  </si>
  <si>
    <t> U-148</t>
  </si>
  <si>
    <t> U-149</t>
  </si>
  <si>
    <t> U-08J</t>
  </si>
  <si>
    <t> U-16J</t>
  </si>
  <si>
    <t> U-20H</t>
  </si>
  <si>
    <t> U-25B</t>
  </si>
  <si>
    <t>SANCHEZ VILLA JOHN JAIRO</t>
  </si>
  <si>
    <t>CARTAGENA DURANGO DIANA LUCIA</t>
  </si>
  <si>
    <t>ARRIETA BECHARA JUAN CARLOS</t>
  </si>
  <si>
    <t>GOMEZ CARDONA JULLY ALEJANDRA</t>
  </si>
  <si>
    <t>TORO CANO JOHN BAYRO</t>
  </si>
  <si>
    <t> PS-12C</t>
  </si>
  <si>
    <t> U-12C</t>
  </si>
  <si>
    <t> PS-096</t>
  </si>
  <si>
    <t> U-067</t>
  </si>
  <si>
    <t> U-068</t>
  </si>
  <si>
    <t> U-071</t>
  </si>
  <si>
    <t> U-072</t>
  </si>
  <si>
    <t> U-074</t>
  </si>
  <si>
    <t> U-075</t>
  </si>
  <si>
    <t> U-077</t>
  </si>
  <si>
    <t> U-078</t>
  </si>
  <si>
    <t> U-079</t>
  </si>
  <si>
    <t> U-085</t>
  </si>
  <si>
    <t> U-086</t>
  </si>
  <si>
    <t> U-088</t>
  </si>
  <si>
    <t> U-093</t>
  </si>
  <si>
    <t> U-094</t>
  </si>
  <si>
    <t> U-096</t>
  </si>
  <si>
    <t>Torre 1A</t>
  </si>
  <si>
    <t>Torre 1B</t>
  </si>
  <si>
    <t>TOTAL TORRE 1B</t>
  </si>
  <si>
    <t>TOTAL TORRE 1A</t>
  </si>
  <si>
    <t>Total Torre 1A</t>
  </si>
  <si>
    <t>Total Torre 1B</t>
  </si>
  <si>
    <t>Utiles T- 1B</t>
  </si>
  <si>
    <t>Utiles T- 1A</t>
  </si>
  <si>
    <t>Total parq.Torre 1A</t>
  </si>
  <si>
    <t>Total Util t-1A</t>
  </si>
  <si>
    <t>Total Util t-1B</t>
  </si>
  <si>
    <t>Total parq.Torre 1B</t>
  </si>
  <si>
    <t>UTIL T.1B</t>
  </si>
  <si>
    <t>PARQUEADEROS  T.1B</t>
  </si>
  <si>
    <t>PARQUEADEROS  T.1A</t>
  </si>
  <si>
    <t>UTIL T.1A</t>
  </si>
  <si>
    <t>Aptos. T- 1A</t>
  </si>
  <si>
    <t>Parq. Sencillos T- 1A</t>
  </si>
  <si>
    <t>Total Aptos T-1A</t>
  </si>
  <si>
    <t>Total Parq. T-1A</t>
  </si>
  <si>
    <t>Tot. Utiles T.1A</t>
  </si>
  <si>
    <t>Aptos. T- 1B</t>
  </si>
  <si>
    <t>Parq. Sencillos T- 1B</t>
  </si>
  <si>
    <t>Total Aptos. T- 1B</t>
  </si>
  <si>
    <t>Total Parq. T-1B</t>
  </si>
  <si>
    <t>Tot. Utiles T.1B</t>
  </si>
  <si>
    <t>1A</t>
  </si>
  <si>
    <t>1B</t>
  </si>
  <si>
    <t>Parqueaderos T-1A</t>
  </si>
  <si>
    <t>Utiles Torre 1A</t>
  </si>
  <si>
    <t>Total T-1A</t>
  </si>
  <si>
    <t>Ventas Con Parq. T-1A</t>
  </si>
  <si>
    <t>Parqueaderos T-1B</t>
  </si>
  <si>
    <t>Utiles Torre 1B</t>
  </si>
  <si>
    <t>Total T-1B</t>
  </si>
  <si>
    <t>Ventas Con Parq. T-1B</t>
  </si>
  <si>
    <t>Ventas Torre 1A</t>
  </si>
  <si>
    <t>Ventas Torre 1B</t>
  </si>
  <si>
    <t>ORTIZ ACEVEDO LUZ MARINA</t>
  </si>
  <si>
    <t>JARAMILLO RIVAS DANIELA ANDREA</t>
  </si>
  <si>
    <t>CORREA ARANGO PEDRO</t>
  </si>
  <si>
    <t> PS-17C</t>
  </si>
  <si>
    <t> U-17C</t>
  </si>
  <si>
    <t> PS-11D</t>
  </si>
  <si>
    <t> PS-19E</t>
  </si>
  <si>
    <t> PS-30F</t>
  </si>
  <si>
    <t> U-11D</t>
  </si>
  <si>
    <t> U-19E</t>
  </si>
  <si>
    <t> U-30F</t>
  </si>
  <si>
    <t>HERRERA ZAPATA ISBELIA MARGARITA</t>
  </si>
  <si>
    <t>MORENO CARDONA ANA PATRICIA</t>
  </si>
  <si>
    <t>5 AM ASOCIADOS S.A.S.</t>
  </si>
  <si>
    <t>VASQUEZ VELEZ JOSE ALEJANDRO</t>
  </si>
  <si>
    <t>MUÑOZ CORDABA DAVID ALEJANDRO</t>
  </si>
  <si>
    <t>OSORIO  GONZALEZ JUAN  PABLO</t>
  </si>
  <si>
    <t>ROJO TABORDA HILDA MARIA</t>
  </si>
  <si>
    <t>MONSALVE MORENO ANDRES MAURICIO</t>
  </si>
  <si>
    <t>ALVAREZ CASTRILLON JENY MARIA</t>
  </si>
  <si>
    <t>GARZON OSPINA CARLOS MARIO</t>
  </si>
  <si>
    <t>MURIEL CASTAÑO MARCELA DEL SOCORRO</t>
  </si>
  <si>
    <t>HENAO DE VELASQUEZ LUZ OMAIRA</t>
  </si>
  <si>
    <t>HENAO JIMENEZ SILVIA LUCIA</t>
  </si>
  <si>
    <t>ZAPATA RUEDA NATALIA</t>
  </si>
  <si>
    <t>LLANO POSADA AURA CATALINA</t>
  </si>
  <si>
    <t>MOSQUERA BARROS MELKIN JOSE</t>
  </si>
  <si>
    <t>MORALES CARDONA JUAN DAVID</t>
  </si>
  <si>
    <t>OROZCO CARDONA VICTOR ALFONSO</t>
  </si>
  <si>
    <t>HERNANDEZ PINEDA LILIANA MARIA</t>
  </si>
  <si>
    <t>Torre 3A</t>
  </si>
  <si>
    <t>3A</t>
  </si>
  <si>
    <t>TOTAL TORRE 3A</t>
  </si>
  <si>
    <t>Total Torre 3A</t>
  </si>
  <si>
    <t>Parqueaderos T-3A</t>
  </si>
  <si>
    <t>Utiles Torre 3A</t>
  </si>
  <si>
    <t>Total T-3A</t>
  </si>
  <si>
    <t>Ventas Con Parq. T-3A</t>
  </si>
  <si>
    <t>Intereses x Mora T-1B</t>
  </si>
  <si>
    <t>Intereses x Mora T-1A</t>
  </si>
  <si>
    <t>Intereses x Mora T-3A</t>
  </si>
  <si>
    <t> PS-090</t>
  </si>
  <si>
    <t> PS-098</t>
  </si>
  <si>
    <t> PS-101</t>
  </si>
  <si>
    <t> PS-106</t>
  </si>
  <si>
    <t> PS-110</t>
  </si>
  <si>
    <t> PS-121</t>
  </si>
  <si>
    <t> PS-122</t>
  </si>
  <si>
    <t> PS-141</t>
  </si>
  <si>
    <t> PS-142</t>
  </si>
  <si>
    <t> PS-145</t>
  </si>
  <si>
    <t> PS-150</t>
  </si>
  <si>
    <t> PS-15Q</t>
  </si>
  <si>
    <t> PS-15X</t>
  </si>
  <si>
    <t> PS-15Y</t>
  </si>
  <si>
    <t> PS-16W</t>
  </si>
  <si>
    <t> PS-17Q</t>
  </si>
  <si>
    <t> PS-18Q</t>
  </si>
  <si>
    <t> PS-21Y</t>
  </si>
  <si>
    <t> PS-22P</t>
  </si>
  <si>
    <t> PS-29P</t>
  </si>
  <si>
    <t> PS-30Y</t>
  </si>
  <si>
    <t> U-095</t>
  </si>
  <si>
    <t> U-098</t>
  </si>
  <si>
    <t> U-138</t>
  </si>
  <si>
    <t> U-139</t>
  </si>
  <si>
    <t> U-150</t>
  </si>
  <si>
    <t> U-15Q</t>
  </si>
  <si>
    <t> U-15X</t>
  </si>
  <si>
    <t> U-15Y</t>
  </si>
  <si>
    <t> U-16W</t>
  </si>
  <si>
    <t> U-17Q</t>
  </si>
  <si>
    <t> U-18Q</t>
  </si>
  <si>
    <t> U-21Y</t>
  </si>
  <si>
    <t> U-22P</t>
  </si>
  <si>
    <t> U-29P</t>
  </si>
  <si>
    <t> U-30Y</t>
  </si>
  <si>
    <t>Apartamentos T-3A</t>
  </si>
  <si>
    <t>Parq.  T-3A</t>
  </si>
  <si>
    <t>Utiles T-3A</t>
  </si>
  <si>
    <t>Total parq.Torre 3A</t>
  </si>
  <si>
    <t>Total Util T-3A</t>
  </si>
  <si>
    <t>Apartamentos T-1A</t>
  </si>
  <si>
    <t>Parq. T-1A</t>
  </si>
  <si>
    <t>Utiles T-1A</t>
  </si>
  <si>
    <t>Apartamentos T-1B</t>
  </si>
  <si>
    <t>Parq. T-1B</t>
  </si>
  <si>
    <t>Utiles T-1B</t>
  </si>
  <si>
    <t>Aptos. T-3A</t>
  </si>
  <si>
    <t>Parq. Sencillos T-3A</t>
  </si>
  <si>
    <t>Total Aptos. T-3A</t>
  </si>
  <si>
    <t>Total Parq. T-3A</t>
  </si>
  <si>
    <t>Tot. Utiles T.3A</t>
  </si>
  <si>
    <t>AGUDELO GUISAO HILDA MARIA</t>
  </si>
  <si>
    <t>FELIZOLA PANQUERA ANABELLA</t>
  </si>
  <si>
    <t>CASTRILLON SANCHEZ DANIEL ANDREDY</t>
  </si>
  <si>
    <t>BEDOYA MORALES SANDRA PATRICIA</t>
  </si>
  <si>
    <t>VARGAS VASQUEZ JUAN CARLOS</t>
  </si>
  <si>
    <t>CORREA GONZALEZ PAULA ANDREA</t>
  </si>
  <si>
    <t>BARRERA TOBAR LUIS FELIPE</t>
  </si>
  <si>
    <t>PERDOMO GRANADA CAROLINA</t>
  </si>
  <si>
    <t>UNI JIMENEZ LUZ KARIME</t>
  </si>
  <si>
    <t>OCHOA GONZALEZ HUGO ALBERTO</t>
  </si>
  <si>
    <t>ALZATE ALZATE ELIANA PATRICIA</t>
  </si>
  <si>
    <t>VELEZ ECHAVARRIA EVERARDO</t>
  </si>
  <si>
    <t>VANEGAS CASTRILLON CHRISTIAN FELIPE</t>
  </si>
  <si>
    <t>HINCAPIE BERMUDEZ HENRY ALPIDIO</t>
  </si>
  <si>
    <t>CEBALLOS CEBALLOS LUZ ANDREA</t>
  </si>
  <si>
    <t>BOUHOT ARROYAVE JAVIER DARIO</t>
  </si>
  <si>
    <t>ARREGOCES DUARTE HERNAN ALONSO</t>
  </si>
  <si>
    <t>USUGA BENITEZ DANIEL RICARDO</t>
  </si>
  <si>
    <t>JIMENEZ VASQUEZ CARMEN AMPARO</t>
  </si>
  <si>
    <t>GARCES PELAEZ DEONALDO HENRY</t>
  </si>
  <si>
    <t>ARANGO JIMENEZ MARTA INES</t>
  </si>
  <si>
    <t>GRUESO PEREA BRIAN DAVID</t>
  </si>
  <si>
    <t>MUÑOZ BRAVO ANDRES FELIPE</t>
  </si>
  <si>
    <t>CHAVARRIAGA ATEHORTUA LAURA</t>
  </si>
  <si>
    <t>TABORDA TABORDA EVELYN</t>
  </si>
  <si>
    <t>ACEVEDO DUQUE NORELLY</t>
  </si>
  <si>
    <t>SALDARRIAGA GUTIERREZ CLAUDIA MARCELA</t>
  </si>
  <si>
    <t>PEMBERTY OSORNO JUAN DAVID</t>
  </si>
  <si>
    <t>VANEGAS LINA MARCELA</t>
  </si>
  <si>
    <t>OSORIO GONZALEZ NEYIRET</t>
  </si>
  <si>
    <t> PS-13Q</t>
  </si>
  <si>
    <t> PS-13R</t>
  </si>
  <si>
    <t> PS-16X</t>
  </si>
  <si>
    <t> PS-17W</t>
  </si>
  <si>
    <t> PS-20P</t>
  </si>
  <si>
    <t> PS-21X</t>
  </si>
  <si>
    <t> U-13Q</t>
  </si>
  <si>
    <t> U-13R</t>
  </si>
  <si>
    <t> U-16X</t>
  </si>
  <si>
    <t> U-17W</t>
  </si>
  <si>
    <t> U-20P</t>
  </si>
  <si>
    <t> U-21X</t>
  </si>
  <si>
    <t>KALIGARI REFRIGERACION SAS</t>
  </si>
  <si>
    <t>QUINTERO MARIN LILIANA MARIA</t>
  </si>
  <si>
    <t>VERGARA MUÑOZ JOSE ALEJANDRO</t>
  </si>
  <si>
    <t>CASTRILLON ARROYAVE SANTIAGO</t>
  </si>
  <si>
    <t>GOMEZ SALDARRIAGA DIEGO FERNANDO</t>
  </si>
  <si>
    <t>VILLEGAS BOLAÑOS PAOLA ANDREA</t>
  </si>
  <si>
    <t>GAVIRIA ALZATE EDISON FERNANDO</t>
  </si>
  <si>
    <t>MOLINA BRYAN ANTONIO</t>
  </si>
  <si>
    <t>FRANCO SOLERA JORGE ALBERTO</t>
  </si>
  <si>
    <t>GAITAN JIMENEZ WILLIAM</t>
  </si>
  <si>
    <t>POLANIA ABADIA ANDREA</t>
  </si>
  <si>
    <t>GIRLADO MOLINA SANTIAGO</t>
  </si>
  <si>
    <t>ORTEGA MENESES JOHNATHAN ANDRES</t>
  </si>
  <si>
    <t>M JOZA GINA</t>
  </si>
  <si>
    <t/>
  </si>
  <si>
    <t> PS-19Q</t>
  </si>
  <si>
    <t> PS-14X</t>
  </si>
  <si>
    <t> PS-18P</t>
  </si>
  <si>
    <t> PS-21P</t>
  </si>
  <si>
    <t> PS-23P</t>
  </si>
  <si>
    <t> PS-24Y</t>
  </si>
  <si>
    <t> PS-27P</t>
  </si>
  <si>
    <t> PS-27Q</t>
  </si>
  <si>
    <t> PS-30Q</t>
  </si>
  <si>
    <t> U-14X</t>
  </si>
  <si>
    <t> U-18P</t>
  </si>
  <si>
    <t> U-21P</t>
  </si>
  <si>
    <t> U-23P</t>
  </si>
  <si>
    <t> U-24Y</t>
  </si>
  <si>
    <t> U-27P</t>
  </si>
  <si>
    <t> U-27Q</t>
  </si>
  <si>
    <t> U-30Q</t>
  </si>
  <si>
    <t>MONSALVE OCHOA MARTHA LIA</t>
  </si>
  <si>
    <t>VERGARA BEATRIZ ELENA</t>
  </si>
  <si>
    <t>CORTES MENDEZ LETICIA</t>
  </si>
  <si>
    <t>GIRALDO CORTES JAVIER ALONSO</t>
  </si>
  <si>
    <t>PEREIRA MENDEZ RICARDO</t>
  </si>
  <si>
    <t>DIAZ JAIMES ABDELACID HERNANDO</t>
  </si>
  <si>
    <t>CANO TABARES IGNACIO ARTURO</t>
  </si>
  <si>
    <t>BEDOYA ALVAREZ JHEISON ANDRES</t>
  </si>
  <si>
    <t> PS-11P</t>
  </si>
  <si>
    <t> PS-12P</t>
  </si>
  <si>
    <t> PS-17P</t>
  </si>
  <si>
    <t> PS-18X</t>
  </si>
  <si>
    <t> PS-19P</t>
  </si>
  <si>
    <t> PS-19X</t>
  </si>
  <si>
    <t> PS-25P</t>
  </si>
  <si>
    <t> PS-26P</t>
  </si>
  <si>
    <t> U-11P</t>
  </si>
  <si>
    <t> U-12P</t>
  </si>
  <si>
    <t> U-17P</t>
  </si>
  <si>
    <t> U-18X</t>
  </si>
  <si>
    <t> U-19P</t>
  </si>
  <si>
    <t> U-19X</t>
  </si>
  <si>
    <t> U-25P</t>
  </si>
  <si>
    <t> U-26P</t>
  </si>
  <si>
    <t>PATIÑO GOMEZ SENEIDA IRLENI</t>
  </si>
  <si>
    <t>PATIÑO GOMEZ ABEL IGNACIO</t>
  </si>
  <si>
    <t>GIRALDO CARDONA MARIA NOELVA</t>
  </si>
  <si>
    <t>LARA PANCHANA MILLER JULIAN</t>
  </si>
  <si>
    <t>FERNÁNDEZ DELGADO JUAN SIMÓN</t>
  </si>
  <si>
    <t>ZHENG WEINA</t>
  </si>
  <si>
    <t>CRIOLLO MONSALVE CESAR AUGUSTO</t>
  </si>
  <si>
    <t> PS-08P</t>
  </si>
  <si>
    <t> PS-20W</t>
  </si>
  <si>
    <t> PS-28X</t>
  </si>
  <si>
    <t> U-08P</t>
  </si>
  <si>
    <t> U-28X</t>
  </si>
  <si>
    <t>Descuento</t>
  </si>
  <si>
    <t>RODRIGUEZ RODRIGUEZ RAFAEL</t>
  </si>
  <si>
    <t>POVEDA BONILLA YOLANDA</t>
  </si>
  <si>
    <t>ALZATE SANCHEZ ALBA MARY</t>
  </si>
  <si>
    <t>GIRALDO DURANGO ELKIN ALONSO</t>
  </si>
  <si>
    <t>MARTINEZ SALAZAR SEBASTIAN</t>
  </si>
  <si>
    <t> PS-16R</t>
  </si>
  <si>
    <t> PS-27Y</t>
  </si>
  <si>
    <t> U-16R</t>
  </si>
  <si>
    <t> U-27Y</t>
  </si>
  <si>
    <t>DURANGO VELEZ YESENIA</t>
  </si>
  <si>
    <t>SEPULVEDA BERRIO MARTA GLADYS</t>
  </si>
  <si>
    <t>GARCIA URIBE LUIS HERNANDO</t>
  </si>
  <si>
    <t>YESICA ARANGO SEPULVEDA</t>
  </si>
  <si>
    <t>MARIN TORRES YULIED MARCELA</t>
  </si>
  <si>
    <t>PEREZ MUÑOZ GLADYS ESTELA</t>
  </si>
  <si>
    <t> PS-08Y</t>
  </si>
  <si>
    <t> PS-26W</t>
  </si>
  <si>
    <t> U-08Y</t>
  </si>
  <si>
    <t> U-26W</t>
  </si>
  <si>
    <t>Ventas Con Parq. T-3B</t>
  </si>
  <si>
    <t>Torre 3B</t>
  </si>
  <si>
    <t>Aptos. T-3B</t>
  </si>
  <si>
    <t>Parq. Sencillos T-3B</t>
  </si>
  <si>
    <t>Utiles T-3B</t>
  </si>
  <si>
    <t>Total Torre 3B</t>
  </si>
  <si>
    <t>Total Aptos. T- 3B</t>
  </si>
  <si>
    <t>Total Parq. T-3B</t>
  </si>
  <si>
    <t>Tot. Utiles T.3B</t>
  </si>
  <si>
    <t>Parq. Sencillos/Util T- 3B</t>
  </si>
  <si>
    <t>Apartamentos T-3B</t>
  </si>
  <si>
    <t>Parq.  T-3B</t>
  </si>
  <si>
    <t>PARQUEADEROS T.3B</t>
  </si>
  <si>
    <t>Total parq.Torre 3B</t>
  </si>
  <si>
    <t>3B</t>
  </si>
  <si>
    <t>TOTAL TORRE 3B</t>
  </si>
  <si>
    <t>Intereses x Mora T-3B</t>
  </si>
  <si>
    <t>Ventas Torre 3A</t>
  </si>
  <si>
    <t>Ventas Torre 3B</t>
  </si>
  <si>
    <t>Reforma Escriturable</t>
  </si>
  <si>
    <t>CEBALLOS OCHOA JUAN CAMILO</t>
  </si>
  <si>
    <t>DIAZ MANCIPE GERALDINE LORENA</t>
  </si>
  <si>
    <t>NAVARRO MOLINA KAREN MARCELA</t>
  </si>
  <si>
    <t>BOTERO ADARVE JORGE IVAN</t>
  </si>
  <si>
    <t>GOMEZ LOAIZA JUAN CAMILO</t>
  </si>
  <si>
    <t>ESCOBAR CADAVID JUAN ESTEBAN</t>
  </si>
  <si>
    <t> PS-01006</t>
  </si>
  <si>
    <t> PS-03023</t>
  </si>
  <si>
    <t> PS-09Y</t>
  </si>
  <si>
    <t> PS-29R</t>
  </si>
  <si>
    <t> U-09Y</t>
  </si>
  <si>
    <t> U-29R</t>
  </si>
  <si>
    <t>SUREZ MUNERA CINDY VALERIA</t>
  </si>
  <si>
    <t>RESTREPO BEDOYA YAZMIN PATRICIA</t>
  </si>
  <si>
    <t>CARVAJAL SALINAS KEVIN ALEJANDRO</t>
  </si>
  <si>
    <t>ALZATE PINEDA SARA</t>
  </si>
  <si>
    <t>SEPULVEDA CARTAGENA EDISON DE JESUS</t>
  </si>
  <si>
    <t>ORTEGA GARCIA DIEGO ERNESTO</t>
  </si>
  <si>
    <t>BONILLA MELFI CARLOS ANDRES</t>
  </si>
  <si>
    <t>LASTRA CORREA BEATRIZ ELENA</t>
  </si>
  <si>
    <t>DIEZ VELEZ JUAN CARLOS</t>
  </si>
  <si>
    <t>MADRID BUSTAMANTE JUAN PABLO</t>
  </si>
  <si>
    <t>JARAMILLO VASQUEZ JORLY JARBY</t>
  </si>
  <si>
    <t>SCHULTZ MANRIQUE LAURA</t>
  </si>
  <si>
    <t>ARISTIZABAL SILVERA ANA MARIA</t>
  </si>
  <si>
    <t>ARBOLEDA ARIAS WBEIMAR ALONSO</t>
  </si>
  <si>
    <t>SANTACRUZ VILLA LUIS HUMBERTO</t>
  </si>
  <si>
    <t> PS-01016</t>
  </si>
  <si>
    <t> PS-01025</t>
  </si>
  <si>
    <t> PS-02007</t>
  </si>
  <si>
    <t> PS-04023</t>
  </si>
  <si>
    <t> PS-04027</t>
  </si>
  <si>
    <t> PS-05012</t>
  </si>
  <si>
    <t> PS-05016</t>
  </si>
  <si>
    <t> PS-05019</t>
  </si>
  <si>
    <t> PS-05026</t>
  </si>
  <si>
    <t> PS-11X</t>
  </si>
  <si>
    <t> PS-14Y</t>
  </si>
  <si>
    <t> PS-17Y</t>
  </si>
  <si>
    <t> PS-23Y</t>
  </si>
  <si>
    <t> PS-24X</t>
  </si>
  <si>
    <t> U-11X</t>
  </si>
  <si>
    <t> U-14Y</t>
  </si>
  <si>
    <t> U-17Y</t>
  </si>
  <si>
    <t> U-23Y</t>
  </si>
  <si>
    <t> U-24X</t>
  </si>
  <si>
    <t> PS-099</t>
  </si>
  <si>
    <t> PS-06T1</t>
  </si>
  <si>
    <t> PS-06U1</t>
  </si>
  <si>
    <t> PS-10V</t>
  </si>
  <si>
    <t> PS-14S</t>
  </si>
  <si>
    <t> PS-15S</t>
  </si>
  <si>
    <t> PS-17S</t>
  </si>
  <si>
    <t> PS-18S</t>
  </si>
  <si>
    <t> PS-29S</t>
  </si>
  <si>
    <t> PS-30S</t>
  </si>
  <si>
    <t> U-06T1</t>
  </si>
  <si>
    <t> U-06U1</t>
  </si>
  <si>
    <t> U-10V</t>
  </si>
  <si>
    <t> U-14S</t>
  </si>
  <si>
    <t> U-15S</t>
  </si>
  <si>
    <t> U-17S</t>
  </si>
  <si>
    <t> U-18S</t>
  </si>
  <si>
    <t> U-29S</t>
  </si>
  <si>
    <t> U-30S</t>
  </si>
  <si>
    <t>Agrupacion</t>
  </si>
  <si>
    <t>Parqueaderos T-3B</t>
  </si>
  <si>
    <t>Utiles Torre 3B</t>
  </si>
  <si>
    <t>Total T-3B</t>
  </si>
  <si>
    <t>Acabados Torre 1A</t>
  </si>
  <si>
    <t>Reformas Torre 1A</t>
  </si>
  <si>
    <t>Ventas +Parq.+Ref. T-1A</t>
  </si>
  <si>
    <t>Ventas +Parq.+Ref. T-1B</t>
  </si>
  <si>
    <t>Ventas +Parq.+Ref. T-3A</t>
  </si>
  <si>
    <t>Ventas +Parq.+Ref. T-3B</t>
  </si>
  <si>
    <t>Acabados Torre 1B</t>
  </si>
  <si>
    <t>Reformas Torre 1B</t>
  </si>
  <si>
    <t>Acabados Torre 3A</t>
  </si>
  <si>
    <t>Reformas Torre 3B</t>
  </si>
  <si>
    <t>Reformas Torre 3A</t>
  </si>
  <si>
    <t>Acabados Torre 3B</t>
  </si>
  <si>
    <t>Total Ventas+Parq.+ Refor.</t>
  </si>
  <si>
    <t>PARRA MARÍN JOHAN ALBERTO</t>
  </si>
  <si>
    <t>NARANJO BUITRAGO EDWIN DAVID</t>
  </si>
  <si>
    <t>PEREZ PEREZ JULIAN</t>
  </si>
  <si>
    <t>MORENO ACEVEDO CARLOS ANDRES</t>
  </si>
  <si>
    <t> PS-01005</t>
  </si>
  <si>
    <t> PS-01007</t>
  </si>
  <si>
    <t> PS-01011</t>
  </si>
  <si>
    <t> PS-01012</t>
  </si>
  <si>
    <t> PS-01013</t>
  </si>
  <si>
    <t> PS-01027</t>
  </si>
  <si>
    <t> PS-01028</t>
  </si>
  <si>
    <t> PS-02006</t>
  </si>
  <si>
    <t> PS-02011</t>
  </si>
  <si>
    <t> PS-02015</t>
  </si>
  <si>
    <t> PS-02022</t>
  </si>
  <si>
    <t> PS-02026</t>
  </si>
  <si>
    <t> PS-02062</t>
  </si>
  <si>
    <t> PS-03019</t>
  </si>
  <si>
    <t> PS-03079</t>
  </si>
  <si>
    <t> PS-04021</t>
  </si>
  <si>
    <t> PS-04025</t>
  </si>
  <si>
    <t> PS-04026</t>
  </si>
  <si>
    <t> PS-04033</t>
  </si>
  <si>
    <t> PS-04034</t>
  </si>
  <si>
    <t> PS-04038</t>
  </si>
  <si>
    <t> PS-04039</t>
  </si>
  <si>
    <t> PS-04041</t>
  </si>
  <si>
    <t> PS-04073</t>
  </si>
  <si>
    <t> PS-05011</t>
  </si>
  <si>
    <t> PS-05023</t>
  </si>
  <si>
    <t> PS-05036</t>
  </si>
  <si>
    <t> PS-05074</t>
  </si>
  <si>
    <t> U-03042</t>
  </si>
  <si>
    <t> U-04042</t>
  </si>
  <si>
    <t> PS-01064</t>
  </si>
  <si>
    <t> PS-02025</t>
  </si>
  <si>
    <t> PS-02028</t>
  </si>
  <si>
    <t> PS-03017</t>
  </si>
  <si>
    <t> PS-05020</t>
  </si>
  <si>
    <t> PS-22X</t>
  </si>
  <si>
    <t> U-22X</t>
  </si>
  <si>
    <t> PS-09S</t>
  </si>
  <si>
    <t> U-09S</t>
  </si>
  <si>
    <t>GRAJALES SANCHEZ JULIAN EDUARDO</t>
  </si>
  <si>
    <t>TRANSGAVIRIA SAS</t>
  </si>
  <si>
    <t> PS-01024</t>
  </si>
  <si>
    <t> PS-02013</t>
  </si>
  <si>
    <t> PS-02063</t>
  </si>
  <si>
    <t> PS-02066</t>
  </si>
  <si>
    <t> PS-04018</t>
  </si>
  <si>
    <t> PS-04031</t>
  </si>
  <si>
    <t> PS-04032</t>
  </si>
  <si>
    <t> PS-05018</t>
  </si>
  <si>
    <t> PS-05021</t>
  </si>
  <si>
    <t> PS-05031</t>
  </si>
  <si>
    <t> U-02019</t>
  </si>
  <si>
    <t> PS-01066</t>
  </si>
  <si>
    <t> PS-01113</t>
  </si>
  <si>
    <t> PS-02016</t>
  </si>
  <si>
    <t> PS-02060</t>
  </si>
  <si>
    <t> PS-02067</t>
  </si>
  <si>
    <t> PS-03018</t>
  </si>
  <si>
    <t> PS-04020</t>
  </si>
  <si>
    <t> PS-04037</t>
  </si>
  <si>
    <t> PS-12X</t>
  </si>
  <si>
    <t> U-12X</t>
  </si>
  <si>
    <t> PS-14V</t>
  </si>
  <si>
    <t> PS-20S</t>
  </si>
  <si>
    <t> PS-27V</t>
  </si>
  <si>
    <t> U-14V</t>
  </si>
  <si>
    <t> U-20S</t>
  </si>
  <si>
    <t> U-27V</t>
  </si>
  <si>
    <t>PABON PUENTE MARIO AUGUSTO</t>
  </si>
  <si>
    <t>ARTEAGA GALLEGO MARCOS</t>
  </si>
  <si>
    <t>CIFUENTES VELEZ YESICA ALEJANDRA</t>
  </si>
  <si>
    <t>PARRIZZI ANTHONY GILBERT</t>
  </si>
  <si>
    <t>JIMENEZ SALDARRIAGA DIOLMAR DE JESUS</t>
  </si>
  <si>
    <t>ARTEAGA GALLEGO DANILO</t>
  </si>
  <si>
    <t> PS-01062</t>
  </si>
  <si>
    <t> PS-01069</t>
  </si>
  <si>
    <t> PS-02009</t>
  </si>
  <si>
    <t> PS-02021</t>
  </si>
  <si>
    <t> PS-02064</t>
  </si>
  <si>
    <t> PS-03021</t>
  </si>
  <si>
    <t> PS-03027</t>
  </si>
  <si>
    <t> PS-03028</t>
  </si>
  <si>
    <t> PS-03032</t>
  </si>
  <si>
    <t> PS-03033</t>
  </si>
  <si>
    <t> PS-03036</t>
  </si>
  <si>
    <t> PS-03037</t>
  </si>
  <si>
    <t> PS-03073</t>
  </si>
  <si>
    <t> PS-04024</t>
  </si>
  <si>
    <t> PS-04035</t>
  </si>
  <si>
    <t> PS-04036</t>
  </si>
  <si>
    <t> PS-04079</t>
  </si>
  <si>
    <t> PS-04080</t>
  </si>
  <si>
    <t> PS-05029</t>
  </si>
  <si>
    <t> PS-05032</t>
  </si>
  <si>
    <t> U-03014</t>
  </si>
  <si>
    <t> U-03021</t>
  </si>
  <si>
    <t> U-03033</t>
  </si>
  <si>
    <t> PS-01009</t>
  </si>
  <si>
    <t> PS-02017</t>
  </si>
  <si>
    <t> PS-02061</t>
  </si>
  <si>
    <t> PS-02068</t>
  </si>
  <si>
    <t> PS-02069</t>
  </si>
  <si>
    <t> PS-02070</t>
  </si>
  <si>
    <t> PS-02099</t>
  </si>
  <si>
    <t> PS-03024</t>
  </si>
  <si>
    <t> PS-03070</t>
  </si>
  <si>
    <t> PS-03074</t>
  </si>
  <si>
    <t> PS-03076</t>
  </si>
  <si>
    <t> PS-03080</t>
  </si>
  <si>
    <t> PS-03083</t>
  </si>
  <si>
    <t> PS-04075</t>
  </si>
  <si>
    <t> PS-04076</t>
  </si>
  <si>
    <t> PS-05013</t>
  </si>
  <si>
    <t> PS-05014</t>
  </si>
  <si>
    <t> PS-05027</t>
  </si>
  <si>
    <t> PS-05030</t>
  </si>
  <si>
    <t> PS-05035</t>
  </si>
  <si>
    <t> PS-05072</t>
  </si>
  <si>
    <t> PS-13S</t>
  </si>
  <si>
    <t> PS-16T</t>
  </si>
  <si>
    <t> U-13S</t>
  </si>
  <si>
    <t> U-16T</t>
  </si>
  <si>
    <t>NOVO SPAZIO S.A.S.</t>
  </si>
  <si>
    <t>CORTES ZULETA MARIA PATRICIA</t>
  </si>
  <si>
    <t>SANABRIA ROJAS JEISON ANDREY</t>
  </si>
  <si>
    <t>RESTREPO ARISTIZABAL ANDRES FELIPE</t>
  </si>
  <si>
    <t>MUNERA GOEZ NELSON ARMANDO</t>
  </si>
  <si>
    <t>GAVIRIA PEREZ MONICA CECILIA</t>
  </si>
  <si>
    <t>PALACIO GONZALEZ GERMAN DARIO</t>
  </si>
  <si>
    <t> PS-01098</t>
  </si>
  <si>
    <t> PS-02024</t>
  </si>
  <si>
    <t> PS-02164</t>
  </si>
  <si>
    <t> PS-03039</t>
  </si>
  <si>
    <t> PS-03041</t>
  </si>
  <si>
    <t> PS-04022</t>
  </si>
  <si>
    <t> PS-04070</t>
  </si>
  <si>
    <t> PS-04124</t>
  </si>
  <si>
    <t> PS-05017</t>
  </si>
  <si>
    <t> PS-05120</t>
  </si>
  <si>
    <t> U-02024</t>
  </si>
  <si>
    <t> PS-03034</t>
  </si>
  <si>
    <t> U-02526</t>
  </si>
  <si>
    <t> U-02528</t>
  </si>
  <si>
    <t> U-03034</t>
  </si>
  <si>
    <t> U-04029</t>
  </si>
  <si>
    <t> PS-09T</t>
  </si>
  <si>
    <t> PS-14T</t>
  </si>
  <si>
    <t> PS-15T</t>
  </si>
  <si>
    <t> PS-19T</t>
  </si>
  <si>
    <t> PS-20V</t>
  </si>
  <si>
    <t> PS-28T</t>
  </si>
  <si>
    <t> U-09T</t>
  </si>
  <si>
    <t> U-14T</t>
  </si>
  <si>
    <t> U-15T</t>
  </si>
  <si>
    <t> U-19T</t>
  </si>
  <si>
    <t> U-20V</t>
  </si>
  <si>
    <t> U-28T</t>
  </si>
  <si>
    <t>Mayor vr. Recibido T-1A</t>
  </si>
  <si>
    <t>PALACIO CARO MARCO JULIO</t>
  </si>
  <si>
    <t>MILLAN MARIN VIVIANA CRISTINA</t>
  </si>
  <si>
    <t>GALLEGO QUINTERO MARIA FERNANDA</t>
  </si>
  <si>
    <t>MURILLO LOPEZ WILMAR ALEXANDER</t>
  </si>
  <si>
    <t>MUNERA MONSALVE LUISA FERNANDA</t>
  </si>
  <si>
    <t>RAMIREZ VASQUEZ SHIRLEY TATIANA</t>
  </si>
  <si>
    <t>NARANJO HURTADO JUAN FERNANDO</t>
  </si>
  <si>
    <t>MONTOYA MONTOYA EDISON ALEXANDER</t>
  </si>
  <si>
    <t>GONZALEZ GARCES LINDA VERONICA</t>
  </si>
  <si>
    <t>GONZALEZ GARCES WILIAM ANDRES</t>
  </si>
  <si>
    <t> PS-01022</t>
  </si>
  <si>
    <t> PS-01029</t>
  </si>
  <si>
    <t> PS-02012</t>
  </si>
  <si>
    <t> PS-03040</t>
  </si>
  <si>
    <t> PS-04112</t>
  </si>
  <si>
    <t> U-01022</t>
  </si>
  <si>
    <t> U-01029</t>
  </si>
  <si>
    <t> U-03040</t>
  </si>
  <si>
    <t> PS-02057</t>
  </si>
  <si>
    <t> PS-02072</t>
  </si>
  <si>
    <t> PS-02096</t>
  </si>
  <si>
    <t> PS-04083</t>
  </si>
  <si>
    <t> PS-04085</t>
  </si>
  <si>
    <t> PS-05069</t>
  </si>
  <si>
    <t> PS-05077</t>
  </si>
  <si>
    <t> U-02728</t>
  </si>
  <si>
    <t> U-04015</t>
  </si>
  <si>
    <t> U-05010</t>
  </si>
  <si>
    <t> PS-09P</t>
  </si>
  <si>
    <t> PS-20R</t>
  </si>
  <si>
    <t> U-09P</t>
  </si>
  <si>
    <t> U-20R</t>
  </si>
  <si>
    <t> PS-06S1</t>
  </si>
  <si>
    <t> PS-14U</t>
  </si>
  <si>
    <t> PS-16S</t>
  </si>
  <si>
    <t> PS-18V</t>
  </si>
  <si>
    <t> PS-22S</t>
  </si>
  <si>
    <t> PS-23V</t>
  </si>
  <si>
    <t> PS-30T</t>
  </si>
  <si>
    <t> U-06S1</t>
  </si>
  <si>
    <t> U-14U</t>
  </si>
  <si>
    <t> U-16S</t>
  </si>
  <si>
    <t> U-18V</t>
  </si>
  <si>
    <t> U-22S</t>
  </si>
  <si>
    <t> U-23V</t>
  </si>
  <si>
    <t> U-30T</t>
  </si>
  <si>
    <t>OLARTE OROZCO MARGARITA MARIA</t>
  </si>
  <si>
    <t>SERNA BOLIVAR ADALID DEL SOCORRO</t>
  </si>
  <si>
    <t>LONDOÑO PATIÑO JUAN CAMILO</t>
  </si>
  <si>
    <t>VASQUEZ ROSO YEDIS</t>
  </si>
  <si>
    <t> PS-01099</t>
  </si>
  <si>
    <t> PS-18T</t>
  </si>
  <si>
    <t> PS-21S</t>
  </si>
  <si>
    <t> PS-25S</t>
  </si>
  <si>
    <t> PS-26S</t>
  </si>
  <si>
    <t> U-18T</t>
  </si>
  <si>
    <t> U-21S</t>
  </si>
  <si>
    <t> U-25S</t>
  </si>
  <si>
    <t> U-26S</t>
  </si>
  <si>
    <t>Mayor vr. Recibido T-3A</t>
  </si>
  <si>
    <t>RAMIREZ VELASCO YAFIZA</t>
  </si>
  <si>
    <t>ECHEVERRI HIGUITA MARY SOL</t>
  </si>
  <si>
    <t>CARTAGENA HIGUITA FREDY HERNAN</t>
  </si>
  <si>
    <t>MONTOYA GUZMAN OSCAR BYRON</t>
  </si>
  <si>
    <t>MARIN METRIO LEIDY JOHANA</t>
  </si>
  <si>
    <t>GUERRA MEDINA DARLLEY</t>
  </si>
  <si>
    <t>ARBOLEDA MARQUEZ CLEMENTINA</t>
  </si>
  <si>
    <t>CARDONA FRANCO SANDRA MILENA</t>
  </si>
  <si>
    <t> PS-01008</t>
  </si>
  <si>
    <t> PS-01014</t>
  </si>
  <si>
    <t> PS-01015</t>
  </si>
  <si>
    <t> PS-02008</t>
  </si>
  <si>
    <t> PS-03085</t>
  </si>
  <si>
    <t> PS-05080</t>
  </si>
  <si>
    <t> PS-05170</t>
  </si>
  <si>
    <t> PS-06Q</t>
  </si>
  <si>
    <t> U-06Q</t>
  </si>
  <si>
    <t> PS-10S</t>
  </si>
  <si>
    <t> PS-11S</t>
  </si>
  <si>
    <t> PS-19S</t>
  </si>
  <si>
    <t> PS-24S</t>
  </si>
  <si>
    <t> PS-27S</t>
  </si>
  <si>
    <t> U-10S</t>
  </si>
  <si>
    <t> U-11S</t>
  </si>
  <si>
    <t> U-19S</t>
  </si>
  <si>
    <t> U-24S</t>
  </si>
  <si>
    <t> U-27S</t>
  </si>
  <si>
    <t>ESCALANTE TRIANA HECTOR LUIS</t>
  </si>
  <si>
    <t> PS-01020</t>
  </si>
  <si>
    <t> PS-20T</t>
  </si>
  <si>
    <t> U-20T</t>
  </si>
  <si>
    <t>Crédito</t>
  </si>
  <si>
    <t>GOMEZ ZULUAGA JULIAN OSWALDO</t>
  </si>
  <si>
    <t>VALENTIN DIAZ JASON YAEL</t>
  </si>
  <si>
    <t>GALEANO GONZALEZ MARCELA</t>
  </si>
  <si>
    <t>PEREZ PINO JHON WILMAR</t>
  </si>
  <si>
    <t>CAMPUZANO ZULETA LUIS MIGUEL</t>
  </si>
  <si>
    <t> PS-05068</t>
  </si>
  <si>
    <t> U-19Q</t>
  </si>
  <si>
    <t> PS-08S</t>
  </si>
  <si>
    <t> PS-09V</t>
  </si>
  <si>
    <t> PS-30V</t>
  </si>
  <si>
    <t> U-08S</t>
  </si>
  <si>
    <t> U-09V</t>
  </si>
  <si>
    <t> U-30V</t>
  </si>
  <si>
    <t>CANO ALVAREZ LINA JULIETH</t>
  </si>
  <si>
    <t>VARGAS PALACIO JOHN FREDY</t>
  </si>
  <si>
    <t>VISION Y VALORES COMERCIALES S.A.S.</t>
  </si>
  <si>
    <t>ARBOLEDA GOMEZ DIANA PATRICIA</t>
  </si>
  <si>
    <t>VANEGAS MEJIA DANIEL RICARDO</t>
  </si>
  <si>
    <t>AREIZA MAZO JOSÉ MIGUEL</t>
  </si>
  <si>
    <t>CURI MEZA MONICA</t>
  </si>
  <si>
    <t>OCAMPO OSORIO MARIA ALEJANDRA</t>
  </si>
  <si>
    <t> PS-01010</t>
  </si>
  <si>
    <t> PS-03071</t>
  </si>
  <si>
    <t> PS-03081</t>
  </si>
  <si>
    <t> U-13033</t>
  </si>
  <si>
    <t> PS-11V</t>
  </si>
  <si>
    <t> PS-12T</t>
  </si>
  <si>
    <t> PS-12V</t>
  </si>
  <si>
    <t> PS-15V</t>
  </si>
  <si>
    <t> PS-28S</t>
  </si>
  <si>
    <t> U-11V</t>
  </si>
  <si>
    <t> U-12T</t>
  </si>
  <si>
    <t> U-12V</t>
  </si>
  <si>
    <t> U-15V</t>
  </si>
  <si>
    <t> U-28S</t>
  </si>
  <si>
    <t>mayor vr pagado</t>
  </si>
  <si>
    <t>VELEZ YURLEY</t>
  </si>
  <si>
    <t>TEJADA VÁSQUEZ JINETH DAYANA</t>
  </si>
  <si>
    <t>ECHEVERRI ARIAS WILLAM ELIECER</t>
  </si>
  <si>
    <t> PS-02112</t>
  </si>
  <si>
    <t> PS-04016</t>
  </si>
  <si>
    <t> U-01001</t>
  </si>
  <si>
    <t> PS-01111</t>
  </si>
  <si>
    <t> PS-01112</t>
  </si>
  <si>
    <t> PS-09U</t>
  </si>
  <si>
    <t> PS-20U</t>
  </si>
  <si>
    <t> PS-21V</t>
  </si>
  <si>
    <t> PS-23S</t>
  </si>
  <si>
    <t> U-09U</t>
  </si>
  <si>
    <t> U-20U</t>
  </si>
  <si>
    <t> U-21V</t>
  </si>
  <si>
    <t> U-23S</t>
  </si>
  <si>
    <t>VERGARA CATAÑO JUAN FERNANDO</t>
  </si>
  <si>
    <t>HERNANDEZ CATAÑO MARIA CAMILA</t>
  </si>
  <si>
    <t>ECHAVARRIA ARDILA HECTOR DARIO</t>
  </si>
  <si>
    <t>OSORIO MACIAS JENNY ALEXANDRA</t>
  </si>
  <si>
    <t>ARANGO SEPULVEDA LUIS FERNANDO</t>
  </si>
  <si>
    <t>MUÑOZ CANO SUSANA ANDREA</t>
  </si>
  <si>
    <t>ANAYA SIERRA DAVINSON</t>
  </si>
  <si>
    <t> PS-04174</t>
  </si>
  <si>
    <t> U-02005</t>
  </si>
  <si>
    <t> PS-01057</t>
  </si>
  <si>
    <t> PS-12S</t>
  </si>
  <si>
    <t> PS-24V</t>
  </si>
  <si>
    <t> U-12S</t>
  </si>
  <si>
    <t> U-24V</t>
  </si>
  <si>
    <t>DISTRIWILHER S.A.S</t>
  </si>
  <si>
    <t>CAÑAS RAMIREZ ROBINSON</t>
  </si>
  <si>
    <t>Intereses</t>
  </si>
  <si>
    <t>GOMEZ ALZATE IVAN DARIO</t>
  </si>
  <si>
    <t>ARANGO DIANA PATRICIA</t>
  </si>
  <si>
    <t>BEDOYA ACEVEDO DANIELA</t>
  </si>
  <si>
    <t>PEREIRA MONTENGRO RICARDO</t>
  </si>
  <si>
    <t> PS-05073</t>
  </si>
  <si>
    <t> U-09032</t>
  </si>
  <si>
    <t>LADYS JOHANA ARIZA MARTINEZ</t>
  </si>
  <si>
    <t>NELSON FRANCISCO GUATAQUI CUCUNUBA</t>
  </si>
  <si>
    <t>LUISA FERNANDA CARDONA CORRAL</t>
  </si>
  <si>
    <t>JULIETH ELIANA GARCIA MIRA</t>
  </si>
  <si>
    <t>LIA JOICE CARDENAS LEON</t>
  </si>
  <si>
    <t>MARIA ALEJANDRA AGUDELO ISAZA</t>
  </si>
  <si>
    <t>OLGA ISABEL BERRIO</t>
  </si>
  <si>
    <t>SANDRA MARCELA CADAVID MENESES</t>
  </si>
  <si>
    <t>ERICA MARIA DUCON PELAEZ</t>
  </si>
  <si>
    <t>LAURA ORTIZ GONZALEZ</t>
  </si>
  <si>
    <t>JUAN GUILLERMO MONTOYA CHICA</t>
  </si>
  <si>
    <t>CARLOS ANDRES ARBOLEDA ARIAS</t>
  </si>
  <si>
    <t>MIRYAM DE JESUS CARDONA FLOREZ</t>
  </si>
  <si>
    <t>VALERIA OCHOA FRANCO</t>
  </si>
  <si>
    <t>LUZ MIRYAM GOMEZ DUQUE</t>
  </si>
  <si>
    <t>RUBÉN ALBEIRO GONZÁLEZ GARCÍA</t>
  </si>
  <si>
    <t>VIRNEY HADELY CHALA LOZANO</t>
  </si>
  <si>
    <t>LUIS GUILLERMO BETANCUR GONZALEZ</t>
  </si>
  <si>
    <t>JULIETH VIVIANA LONDOÑO PUERTA</t>
  </si>
  <si>
    <t>SEBASTIAN HERNANDEZ RESTREPO</t>
  </si>
  <si>
    <t>NATALIA JHOANA MIRA TABORDA</t>
  </si>
  <si>
    <t>CIELO FIERRO ZARATE</t>
  </si>
  <si>
    <t>SANDRA MILENA HENAO MUÑOZ</t>
  </si>
  <si>
    <t>MARIA YULIETH GIRALDO RIOS</t>
  </si>
  <si>
    <t>ESTIVEN BERMUDEZ BARRERA</t>
  </si>
  <si>
    <t>VILLADIEGO GUERRA JAIRO LUIS</t>
  </si>
  <si>
    <t>ANDRES FELIPE MARTINEZ LONDOÑO</t>
  </si>
  <si>
    <t>HEIDY YOHANNA AGUDELO CASTRILLON</t>
  </si>
  <si>
    <t>EMMANUELA LOPEZ LOPEZ</t>
  </si>
  <si>
    <t>ANA CRISTINA ALZATE CAÑAVERAL</t>
  </si>
  <si>
    <t>SARA MARCELA GAVIRIA LOPEZ</t>
  </si>
  <si>
    <t>JOVAN ALEXIS MEDINA CARO</t>
  </si>
  <si>
    <t>CARLOS ALBERTO MEJIA SANTANA</t>
  </si>
  <si>
    <t>JHONATHAN ALEXANDER AGUDELO VELASQUEZ</t>
  </si>
  <si>
    <t>CRISTIAN DAVID ATEHORTUA ORREGO</t>
  </si>
  <si>
    <t>ANDRES FELIPE CORREA DORIA</t>
  </si>
  <si>
    <t>REY OSORNO DANIEL MAURICIO</t>
  </si>
  <si>
    <t>LONDOÑO DE ARANGO MARLENY</t>
  </si>
  <si>
    <t>LOPEZ TORRES CADEX</t>
  </si>
  <si>
    <t>OSORIO GARCIA YESIKA ALEJANDRA</t>
  </si>
  <si>
    <t>GOMEZ GIRALDO LINA MARCELA</t>
  </si>
  <si>
    <t>LAURA  ORTIZ GONZALEZ</t>
  </si>
  <si>
    <t>VALERIA  OCHOA FRANCO</t>
  </si>
  <si>
    <t>SEBASTIAN   HERNANDEZ RESTREPO</t>
  </si>
  <si>
    <t>CIELO   FIERRO ZARATE</t>
  </si>
  <si>
    <t>ESTIVEN  BERMUDEZ BARRERA</t>
  </si>
  <si>
    <t>EMMANUELA   LOPEZ LOPEZ</t>
  </si>
  <si>
    <t>CARLOS ALBERTO  MEJIA SANTANA</t>
  </si>
  <si>
    <t>JHONATHAN  ALEXANDER  AGUDELO  VELASQUEZ</t>
  </si>
  <si>
    <t>CRISTIAN  DAVID   ATEHORTUA  ORREGO</t>
  </si>
  <si>
    <t> PS-02027</t>
  </si>
  <si>
    <t> PS-03022</t>
  </si>
  <si>
    <t> PS-02162</t>
  </si>
  <si>
    <t> PS-05065</t>
  </si>
  <si>
    <t> U-05037</t>
  </si>
  <si>
    <t> PS-28R</t>
  </si>
  <si>
    <t> U-28R</t>
  </si>
  <si>
    <t> PS-17V</t>
  </si>
  <si>
    <t> PS-22V</t>
  </si>
  <si>
    <t> PS-29T</t>
  </si>
  <si>
    <t> U-17V</t>
  </si>
  <si>
    <t> U-22V</t>
  </si>
  <si>
    <t> U-29T</t>
  </si>
  <si>
    <t>MONRROY DE LOAIZA YULEIDY SELENE</t>
  </si>
  <si>
    <t>RAMIREZ AYALA DANIEL FELIPE</t>
  </si>
  <si>
    <t>LUIS FERNANDO RESTREPO ARBOLEDA</t>
  </si>
  <si>
    <t>ERIK DARIO PORRAS HENAO</t>
  </si>
  <si>
    <t>HENRY AUGUSTO PINEDA LOPEZ</t>
  </si>
  <si>
    <t>ASESORAR PROYECTOS S.A.S.</t>
  </si>
  <si>
    <t>JOHNNATAN ALEXIS TAMAYO USUGA</t>
  </si>
  <si>
    <t>JOSE HILARIO SALAS OSPINA</t>
  </si>
  <si>
    <t>EDISSON ALBERTO VALENCIA CANO</t>
  </si>
  <si>
    <t>EDGAR ROBERTO RODRIGUEZ</t>
  </si>
  <si>
    <t>WALTER ADOLFO QUINTANA PEREZ</t>
  </si>
  <si>
    <t>DIANA MARCELA SALAZAR VASQUEZ</t>
  </si>
  <si>
    <t>YOHELLY ALEJANDRA RESTREPO POSADA</t>
  </si>
  <si>
    <t>SEBASTIAN PEÑA QUINTERO</t>
  </si>
  <si>
    <t>ALBA YURANI PATIÑO JARAMILLO</t>
  </si>
  <si>
    <t>MONICA LILIANA TINJACA LAVERDE</t>
  </si>
  <si>
    <t>MARIA BERNARDA QUINTANA MARRUGO</t>
  </si>
  <si>
    <t>ALEX MAURICIO TORO LONDOÑO</t>
  </si>
  <si>
    <t>HENRY DE JESUS RESTREPO PARRA</t>
  </si>
  <si>
    <t>RODRIGO ALBERTO ZAPATA SANCHEZ</t>
  </si>
  <si>
    <t>SIERRA VARGAS LAURA</t>
  </si>
  <si>
    <t>HERNANDEZ PINEDA JOHN FREDY</t>
  </si>
  <si>
    <t>CANO JARAMILLO JUAN DE DIOS</t>
  </si>
  <si>
    <t>ZULUAGA ALZATE ANGELICA MARIA</t>
  </si>
  <si>
    <t>HOYOS PEREZ MANUELA ALEJANDRA</t>
  </si>
  <si>
    <t>GOMEZ GONZALEZ JORGE ALBERTO</t>
  </si>
  <si>
    <t>BARRIENTOS TREJOS ANDREA ESTEFANIA</t>
  </si>
  <si>
    <t>MEJIA YESENIA MARIA</t>
  </si>
  <si>
    <t>GOMEZ GIRALDO DORIS MILENA</t>
  </si>
  <si>
    <t>MUÑOZ CARDONA DANIELA</t>
  </si>
  <si>
    <t>SEBASTIAN  PEÑA QUINTERO</t>
  </si>
  <si>
    <t>RODRIGO  ALBERTO ZAPATA SANCHEZ</t>
  </si>
  <si>
    <t> PS-24R</t>
  </si>
  <si>
    <t> U-24R</t>
  </si>
  <si>
    <t> PS-13V</t>
  </si>
  <si>
    <t> PS-16V</t>
  </si>
  <si>
    <t> PS-19V</t>
  </si>
  <si>
    <t> PS-21U</t>
  </si>
  <si>
    <t> PS-26T</t>
  </si>
  <si>
    <t> PS-26V</t>
  </si>
  <si>
    <t> PS-29U</t>
  </si>
  <si>
    <t> U-13V</t>
  </si>
  <si>
    <t> U-16V</t>
  </si>
  <si>
    <t> U-19V</t>
  </si>
  <si>
    <t> U-21U</t>
  </si>
  <si>
    <t> U-26T</t>
  </si>
  <si>
    <t> U-26V</t>
  </si>
  <si>
    <t> U-29U</t>
  </si>
  <si>
    <t>USUGA ZABALA ZULEMA</t>
  </si>
  <si>
    <t>HERNANDEZ MARIN JUAN CARLOS</t>
  </si>
  <si>
    <t>RAMIREZ ACOSTA JUAN ESTEBAN</t>
  </si>
  <si>
    <t>RAMIREZ ACOSTA NICOLAS</t>
  </si>
  <si>
    <t>TORRES ZAPATA CARLOS AUGUSTO</t>
  </si>
  <si>
    <t>JAIMES PEREZ HERIBERTO</t>
  </si>
  <si>
    <t>BEDOYA SANTILLA LISDEY CAMILA</t>
  </si>
  <si>
    <t> PS-08U</t>
  </si>
  <si>
    <t> PS-08V</t>
  </si>
  <si>
    <t> PS-28V</t>
  </si>
  <si>
    <t> U-08U</t>
  </si>
  <si>
    <t> U-08V</t>
  </si>
  <si>
    <t> U-28V</t>
  </si>
  <si>
    <t>Ref. Subr. T1 A</t>
  </si>
  <si>
    <t>Ref. Subr. T1 B</t>
  </si>
  <si>
    <t>Ref. Subr. T 3A</t>
  </si>
  <si>
    <t>Ref. Subr. T 3B</t>
  </si>
  <si>
    <t>Reformas Subrogadas</t>
  </si>
  <si>
    <t>APTO-0605</t>
  </si>
  <si>
    <t>APTO-0606</t>
  </si>
  <si>
    <t>APTO-0607</t>
  </si>
  <si>
    <t>APTO-0608</t>
  </si>
  <si>
    <t>APTO-0609</t>
  </si>
  <si>
    <t>APTO-0705</t>
  </si>
  <si>
    <t>APTO-0706</t>
  </si>
  <si>
    <t>APTO-0707</t>
  </si>
  <si>
    <t>APTO-0708</t>
  </si>
  <si>
    <t>APTO-0709</t>
  </si>
  <si>
    <t>APTO-0710</t>
  </si>
  <si>
    <t>APTO-0805</t>
  </si>
  <si>
    <t>APTO-0806</t>
  </si>
  <si>
    <t>APTO-0807</t>
  </si>
  <si>
    <t>APTO-0808</t>
  </si>
  <si>
    <t>APTO-0809</t>
  </si>
  <si>
    <t>APTO-0810</t>
  </si>
  <si>
    <t>APTO-0905</t>
  </si>
  <si>
    <t>APTO-0906</t>
  </si>
  <si>
    <t>APTO-0907</t>
  </si>
  <si>
    <t>APTO-0908</t>
  </si>
  <si>
    <t>APTO-1005</t>
  </si>
  <si>
    <t>APTO-1006</t>
  </si>
  <si>
    <t>APTO-1007</t>
  </si>
  <si>
    <t>APTO-1008</t>
  </si>
  <si>
    <t>APTO-1009</t>
  </si>
  <si>
    <t>APTO-1010</t>
  </si>
  <si>
    <t>APTO-1105</t>
  </si>
  <si>
    <t>APTO-1106</t>
  </si>
  <si>
    <t>APTO-1107</t>
  </si>
  <si>
    <t>APTO-1108</t>
  </si>
  <si>
    <t>APTO-1109</t>
  </si>
  <si>
    <t>APTO-1205</t>
  </si>
  <si>
    <t>APTO-1208</t>
  </si>
  <si>
    <t>APTO-1209</t>
  </si>
  <si>
    <t>APTO-1210</t>
  </si>
  <si>
    <t>APTO-1305</t>
  </si>
  <si>
    <t>APTO-1306</t>
  </si>
  <si>
    <t>APTO-1309</t>
  </si>
  <si>
    <t>APTO-1310</t>
  </si>
  <si>
    <t>APTO-1405</t>
  </si>
  <si>
    <t>APTO-1406</t>
  </si>
  <si>
    <t>APTO-1407</t>
  </si>
  <si>
    <t>APTO-1408</t>
  </si>
  <si>
    <t>APTO-1409</t>
  </si>
  <si>
    <t>APTO-1410</t>
  </si>
  <si>
    <t>APTO-1505</t>
  </si>
  <si>
    <t>APTO-1506</t>
  </si>
  <si>
    <t>APTO-1507</t>
  </si>
  <si>
    <t>APTO-1508</t>
  </si>
  <si>
    <t>APTO-1510</t>
  </si>
  <si>
    <t>APTO-1605</t>
  </si>
  <si>
    <t>APTO-1606</t>
  </si>
  <si>
    <t>APTO-1607</t>
  </si>
  <si>
    <t>APTO-1608</t>
  </si>
  <si>
    <t>APTO-1609</t>
  </si>
  <si>
    <t>APTO-1610</t>
  </si>
  <si>
    <t>APTO-1705</t>
  </si>
  <si>
    <t>APTO-1706</t>
  </si>
  <si>
    <t>APTO-1707</t>
  </si>
  <si>
    <t>APTO-1708</t>
  </si>
  <si>
    <t>APTO-1709</t>
  </si>
  <si>
    <t>APTO-1710</t>
  </si>
  <si>
    <t>APTO-1805</t>
  </si>
  <si>
    <t>APTO-1806</t>
  </si>
  <si>
    <t>APTO-1807</t>
  </si>
  <si>
    <t>APTO-1808</t>
  </si>
  <si>
    <t>APTO-1809</t>
  </si>
  <si>
    <t>APTO-1810</t>
  </si>
  <si>
    <t>APTO-1905</t>
  </si>
  <si>
    <t>APTO-1906</t>
  </si>
  <si>
    <t>APTO-1907</t>
  </si>
  <si>
    <t>APTO-1908</t>
  </si>
  <si>
    <t>APTO-1909</t>
  </si>
  <si>
    <t>APTO-1910</t>
  </si>
  <si>
    <t>APTO-2006</t>
  </si>
  <si>
    <t>APTO-2007</t>
  </si>
  <si>
    <t>APTO-2008</t>
  </si>
  <si>
    <t>APTO-2009</t>
  </si>
  <si>
    <t>APTO-2010</t>
  </si>
  <si>
    <t>APTO-2105</t>
  </si>
  <si>
    <t>APTO-2106</t>
  </si>
  <si>
    <t>APTO-2107</t>
  </si>
  <si>
    <t>APTO-2108</t>
  </si>
  <si>
    <t>APTO-2109</t>
  </si>
  <si>
    <t>APTO-2110</t>
  </si>
  <si>
    <t>APTO-2205</t>
  </si>
  <si>
    <t>APTO-2206</t>
  </si>
  <si>
    <t>APTO-2207</t>
  </si>
  <si>
    <t>APTO-2208</t>
  </si>
  <si>
    <t>APTO-2209</t>
  </si>
  <si>
    <t>APTO-2210</t>
  </si>
  <si>
    <t>APTO-2305</t>
  </si>
  <si>
    <t>APTO-2306</t>
  </si>
  <si>
    <t>APTO-2307</t>
  </si>
  <si>
    <t>APTO-2308</t>
  </si>
  <si>
    <t>APTO-2309</t>
  </si>
  <si>
    <t>APTO-2310</t>
  </si>
  <si>
    <t>APTO-2405</t>
  </si>
  <si>
    <t>APTO-2406</t>
  </si>
  <si>
    <t>APTO-2407</t>
  </si>
  <si>
    <t>APTO-2408</t>
  </si>
  <si>
    <t>APTO-2409</t>
  </si>
  <si>
    <t>APTO-2410</t>
  </si>
  <si>
    <t>APTO-2505</t>
  </si>
  <si>
    <t>APTO-2506</t>
  </si>
  <si>
    <t>APTO-2507</t>
  </si>
  <si>
    <t>APTO-2508</t>
  </si>
  <si>
    <t>APTO-2509</t>
  </si>
  <si>
    <t>APTO-2510</t>
  </si>
  <si>
    <t>APTO-2605</t>
  </si>
  <si>
    <t>APTO-2606</t>
  </si>
  <si>
    <t>APTO-2607</t>
  </si>
  <si>
    <t>APTO-2608</t>
  </si>
  <si>
    <t>APTO-2609</t>
  </si>
  <si>
    <t>APTO-2705</t>
  </si>
  <si>
    <t>APTO-2706</t>
  </si>
  <si>
    <t>APTO-2707</t>
  </si>
  <si>
    <t>APTO-2708</t>
  </si>
  <si>
    <t>APTO-2709</t>
  </si>
  <si>
    <t>APTO-2710</t>
  </si>
  <si>
    <t>APTO-2805</t>
  </si>
  <si>
    <t>APTO-2806</t>
  </si>
  <si>
    <t>APTO-2807</t>
  </si>
  <si>
    <t>APTO-2808</t>
  </si>
  <si>
    <t>APTO-2809</t>
  </si>
  <si>
    <t>APTO-2810</t>
  </si>
  <si>
    <t>APTO-2905</t>
  </si>
  <si>
    <t>APTO-2906</t>
  </si>
  <si>
    <t>APTO-2907</t>
  </si>
  <si>
    <t>APTO-2908</t>
  </si>
  <si>
    <t>APTO-2909</t>
  </si>
  <si>
    <t>APTO-2910</t>
  </si>
  <si>
    <t>APTO-3005</t>
  </si>
  <si>
    <t>APTO-3006</t>
  </si>
  <si>
    <t>APTO-3007</t>
  </si>
  <si>
    <t>APTO-3008</t>
  </si>
  <si>
    <t>APTO-3009</t>
  </si>
  <si>
    <t>APTO-3010</t>
  </si>
  <si>
    <t>APTO-0603</t>
  </si>
  <si>
    <t>APTO-0604</t>
  </si>
  <si>
    <t>APTO-0702</t>
  </si>
  <si>
    <t>APTO-0703</t>
  </si>
  <si>
    <t>APTO-0704</t>
  </si>
  <si>
    <t>APTO-0802</t>
  </si>
  <si>
    <t>APTO-0803</t>
  </si>
  <si>
    <t>APTO-0804</t>
  </si>
  <si>
    <t>APTO-0901</t>
  </si>
  <si>
    <t>APTO-0902</t>
  </si>
  <si>
    <t>APTO-0903</t>
  </si>
  <si>
    <t>APTO-0904</t>
  </si>
  <si>
    <t>APTO-1002</t>
  </si>
  <si>
    <t>APTO-1003</t>
  </si>
  <si>
    <t>APTO-1004</t>
  </si>
  <si>
    <t>APTO-1102</t>
  </si>
  <si>
    <t>APTO-1103</t>
  </si>
  <si>
    <t>APTO-1104</t>
  </si>
  <si>
    <t>APTO-1202</t>
  </si>
  <si>
    <t>APTO-1203</t>
  </si>
  <si>
    <t>APTO-1204</t>
  </si>
  <si>
    <t>APTO-1301</t>
  </si>
  <si>
    <t>APTO-1302</t>
  </si>
  <si>
    <t>APTO-1303</t>
  </si>
  <si>
    <t>APTO-1304</t>
  </si>
  <si>
    <t>APTO-1402</t>
  </si>
  <si>
    <t>APTO-1403</t>
  </si>
  <si>
    <t>APTO-1404</t>
  </si>
  <si>
    <t>APTO-1501</t>
  </si>
  <si>
    <t>APTO-1503</t>
  </si>
  <si>
    <t>APTO-1504</t>
  </si>
  <si>
    <t>APTO-1601</t>
  </si>
  <si>
    <t>APTO-1602</t>
  </si>
  <si>
    <t>APTO-1603</t>
  </si>
  <si>
    <t>APTO-1604</t>
  </si>
  <si>
    <t>APTO-1701</t>
  </si>
  <si>
    <t>APTO-1702</t>
  </si>
  <si>
    <t>APTO-1703</t>
  </si>
  <si>
    <t>APTO-1704</t>
  </si>
  <si>
    <t>APTO-1801</t>
  </si>
  <si>
    <t>APTO-1802</t>
  </si>
  <si>
    <t>APTO-1803</t>
  </si>
  <si>
    <t>APTO-1804</t>
  </si>
  <si>
    <t>APTO-1901</t>
  </si>
  <si>
    <t>APTO-1902</t>
  </si>
  <si>
    <t>APTO-1903</t>
  </si>
  <si>
    <t>APTO-1904</t>
  </si>
  <si>
    <t>APTO-2001</t>
  </si>
  <si>
    <t>APTO-2002</t>
  </si>
  <si>
    <t>APTO-2003</t>
  </si>
  <si>
    <t>APTO-2004</t>
  </si>
  <si>
    <t>APTO-2102</t>
  </si>
  <si>
    <t>APTO-2103</t>
  </si>
  <si>
    <t>APTO-2104</t>
  </si>
  <si>
    <t>APTO-2201</t>
  </si>
  <si>
    <t>APTO-2202</t>
  </si>
  <si>
    <t>APTO-2203</t>
  </si>
  <si>
    <t>APTO-2204</t>
  </si>
  <si>
    <t>APTO-2302</t>
  </si>
  <si>
    <t>APTO-2303</t>
  </si>
  <si>
    <t>APTO-2304</t>
  </si>
  <si>
    <t>APTO-2402</t>
  </si>
  <si>
    <t>APTO-2403</t>
  </si>
  <si>
    <t>APTO-2404</t>
  </si>
  <si>
    <t>APTO-2502</t>
  </si>
  <si>
    <t>APTO-2503</t>
  </si>
  <si>
    <t>APTO-2504</t>
  </si>
  <si>
    <t>APTO-2602</t>
  </si>
  <si>
    <t>APTO-2603</t>
  </si>
  <si>
    <t>GONZALEZ MURILLO SEBASTIAN</t>
  </si>
  <si>
    <t>APTO-2604</t>
  </si>
  <si>
    <t>APTO-2702</t>
  </si>
  <si>
    <t>APTO-2703</t>
  </si>
  <si>
    <t>APTO-2704</t>
  </si>
  <si>
    <t>APTO-2802</t>
  </si>
  <si>
    <t>APTO-2804</t>
  </si>
  <si>
    <t>APTO-2902</t>
  </si>
  <si>
    <t>APTO-2903</t>
  </si>
  <si>
    <t>APTO-2904</t>
  </si>
  <si>
    <t>APTO-3001</t>
  </si>
  <si>
    <t>APTO-3002</t>
  </si>
  <si>
    <t>APTO-3003</t>
  </si>
  <si>
    <t>APTO-3004</t>
  </si>
  <si>
    <t>TIGA DELGADO YURI PAOLA</t>
  </si>
  <si>
    <t>BETANCUR OSORNO LIZETH KATHERINE</t>
  </si>
  <si>
    <t>GANTIVA GUTIERREZ ROGER JHOSEP HAMMILTON</t>
  </si>
  <si>
    <t> 0909</t>
  </si>
  <si>
    <t> 1207</t>
  </si>
  <si>
    <t> 0605</t>
  </si>
  <si>
    <t> 0606</t>
  </si>
  <si>
    <t> 0607</t>
  </si>
  <si>
    <t> 0608</t>
  </si>
  <si>
    <t> 0609</t>
  </si>
  <si>
    <t> 0705</t>
  </si>
  <si>
    <t> 0706</t>
  </si>
  <si>
    <t> 0707</t>
  </si>
  <si>
    <t> 0708</t>
  </si>
  <si>
    <t> 0709</t>
  </si>
  <si>
    <t> 0710</t>
  </si>
  <si>
    <t> 0805</t>
  </si>
  <si>
    <t> 0806</t>
  </si>
  <si>
    <t> 0807</t>
  </si>
  <si>
    <t> 0808</t>
  </si>
  <si>
    <t> 0809</t>
  </si>
  <si>
    <t> 0810</t>
  </si>
  <si>
    <t> 0905</t>
  </si>
  <si>
    <t> 0906</t>
  </si>
  <si>
    <t> 0907</t>
  </si>
  <si>
    <t> 0908</t>
  </si>
  <si>
    <t> 0910</t>
  </si>
  <si>
    <t> 1005</t>
  </si>
  <si>
    <t> 1006</t>
  </si>
  <si>
    <t> 1007</t>
  </si>
  <si>
    <t> 1008</t>
  </si>
  <si>
    <t> 1009</t>
  </si>
  <si>
    <t> 1010</t>
  </si>
  <si>
    <t> 1105</t>
  </si>
  <si>
    <t> 1106</t>
  </si>
  <si>
    <t> 1107</t>
  </si>
  <si>
    <t> 1108</t>
  </si>
  <si>
    <t> 1109</t>
  </si>
  <si>
    <t> 1110</t>
  </si>
  <si>
    <t> 1205</t>
  </si>
  <si>
    <t> 1208</t>
  </si>
  <si>
    <t> 1209</t>
  </si>
  <si>
    <t> 1210</t>
  </si>
  <si>
    <t> 1305</t>
  </si>
  <si>
    <t> 1306</t>
  </si>
  <si>
    <t> 1307</t>
  </si>
  <si>
    <t> 1308</t>
  </si>
  <si>
    <t> 1309</t>
  </si>
  <si>
    <t> 1310</t>
  </si>
  <si>
    <t> 1405</t>
  </si>
  <si>
    <t> 1406</t>
  </si>
  <si>
    <t> 1407</t>
  </si>
  <si>
    <t> 1408</t>
  </si>
  <si>
    <t> 1409</t>
  </si>
  <si>
    <t> 1410</t>
  </si>
  <si>
    <t> 1505</t>
  </si>
  <si>
    <t> 1506</t>
  </si>
  <si>
    <t> 1507</t>
  </si>
  <si>
    <t> 1508</t>
  </si>
  <si>
    <t> 1510</t>
  </si>
  <si>
    <t> 1605</t>
  </si>
  <si>
    <t> 1606</t>
  </si>
  <si>
    <t> 1607</t>
  </si>
  <si>
    <t> 1608</t>
  </si>
  <si>
    <t> 1609</t>
  </si>
  <si>
    <t> 1610</t>
  </si>
  <si>
    <t> 1705</t>
  </si>
  <si>
    <t> 1706</t>
  </si>
  <si>
    <t> 1707</t>
  </si>
  <si>
    <t> 1708</t>
  </si>
  <si>
    <t> 1709</t>
  </si>
  <si>
    <t> 1710</t>
  </si>
  <si>
    <t> 1805</t>
  </si>
  <si>
    <t> 1806</t>
  </si>
  <si>
    <t> 1807</t>
  </si>
  <si>
    <t> 1808</t>
  </si>
  <si>
    <t> 1809</t>
  </si>
  <si>
    <t> 1810</t>
  </si>
  <si>
    <t> 1905</t>
  </si>
  <si>
    <t> 1906</t>
  </si>
  <si>
    <t> 1907</t>
  </si>
  <si>
    <t> 1908</t>
  </si>
  <si>
    <t> 1909</t>
  </si>
  <si>
    <t> 1910</t>
  </si>
  <si>
    <t> 2005</t>
  </si>
  <si>
    <t> 2006</t>
  </si>
  <si>
    <t> 2007</t>
  </si>
  <si>
    <t> 2008</t>
  </si>
  <si>
    <t> 2009</t>
  </si>
  <si>
    <t> 2010</t>
  </si>
  <si>
    <t> 2105</t>
  </si>
  <si>
    <t> 2106</t>
  </si>
  <si>
    <t> 2107</t>
  </si>
  <si>
    <t> 2108</t>
  </si>
  <si>
    <t> 2109</t>
  </si>
  <si>
    <t> 2110</t>
  </si>
  <si>
    <t> 2205</t>
  </si>
  <si>
    <t> 2206</t>
  </si>
  <si>
    <t> 2207</t>
  </si>
  <si>
    <t> 2208</t>
  </si>
  <si>
    <t> 2209</t>
  </si>
  <si>
    <t> 2210</t>
  </si>
  <si>
    <t> 2305</t>
  </si>
  <si>
    <t> 2306</t>
  </si>
  <si>
    <t> 2307</t>
  </si>
  <si>
    <t> 2308</t>
  </si>
  <si>
    <t> 2309</t>
  </si>
  <si>
    <t> 2310</t>
  </si>
  <si>
    <t> 2405</t>
  </si>
  <si>
    <t> 2406</t>
  </si>
  <si>
    <t> 2407</t>
  </si>
  <si>
    <t> 2408</t>
  </si>
  <si>
    <t> 2409</t>
  </si>
  <si>
    <t> 2410</t>
  </si>
  <si>
    <t> 2505</t>
  </si>
  <si>
    <t> 2506</t>
  </si>
  <si>
    <t> 2507</t>
  </si>
  <si>
    <t> 2508</t>
  </si>
  <si>
    <t> 2509</t>
  </si>
  <si>
    <t> 2510</t>
  </si>
  <si>
    <t> 2605</t>
  </si>
  <si>
    <t> 2606</t>
  </si>
  <si>
    <t> 2607</t>
  </si>
  <si>
    <t> 2608</t>
  </si>
  <si>
    <t> 2609</t>
  </si>
  <si>
    <t> 2610</t>
  </si>
  <si>
    <t> 2705</t>
  </si>
  <si>
    <t> 2706</t>
  </si>
  <si>
    <t> 2707</t>
  </si>
  <si>
    <t> 2708</t>
  </si>
  <si>
    <t> 2709</t>
  </si>
  <si>
    <t> 2710</t>
  </si>
  <si>
    <t> 2805</t>
  </si>
  <si>
    <t> 2806</t>
  </si>
  <si>
    <t> 2807</t>
  </si>
  <si>
    <t> 2808</t>
  </si>
  <si>
    <t> 2809</t>
  </si>
  <si>
    <t> 2810</t>
  </si>
  <si>
    <t> 2905</t>
  </si>
  <si>
    <t> 2906</t>
  </si>
  <si>
    <t> 2907</t>
  </si>
  <si>
    <t> 2908</t>
  </si>
  <si>
    <t> 2909</t>
  </si>
  <si>
    <t> 2910</t>
  </si>
  <si>
    <t> 3005</t>
  </si>
  <si>
    <t> 3006</t>
  </si>
  <si>
    <t> 3007</t>
  </si>
  <si>
    <t> 3008</t>
  </si>
  <si>
    <t> 3009</t>
  </si>
  <si>
    <t> 3010</t>
  </si>
  <si>
    <t> 0701</t>
  </si>
  <si>
    <t> 1001</t>
  </si>
  <si>
    <t> 1201</t>
  </si>
  <si>
    <t> 2101</t>
  </si>
  <si>
    <t> 2301</t>
  </si>
  <si>
    <t> 2401</t>
  </si>
  <si>
    <t> 2501</t>
  </si>
  <si>
    <t> 2601</t>
  </si>
  <si>
    <t> 2701</t>
  </si>
  <si>
    <t> 2801</t>
  </si>
  <si>
    <t> 2901</t>
  </si>
  <si>
    <t> 0603</t>
  </si>
  <si>
    <t> 0604</t>
  </si>
  <si>
    <t> 0702</t>
  </si>
  <si>
    <t> 0703</t>
  </si>
  <si>
    <t> 0704</t>
  </si>
  <si>
    <t> 0801</t>
  </si>
  <si>
    <t> 0802</t>
  </si>
  <si>
    <t> 0803</t>
  </si>
  <si>
    <t> 0804</t>
  </si>
  <si>
    <t> 0901</t>
  </si>
  <si>
    <t> 0902</t>
  </si>
  <si>
    <t> 0903</t>
  </si>
  <si>
    <t> 0904</t>
  </si>
  <si>
    <t> 1002</t>
  </si>
  <si>
    <t> 1003</t>
  </si>
  <si>
    <t> 1004</t>
  </si>
  <si>
    <t> 1101</t>
  </si>
  <si>
    <t> 1102</t>
  </si>
  <si>
    <t> 1103</t>
  </si>
  <si>
    <t> 1104</t>
  </si>
  <si>
    <t> 1202</t>
  </si>
  <si>
    <t> 1203</t>
  </si>
  <si>
    <t> 1204</t>
  </si>
  <si>
    <t> 1301</t>
  </si>
  <si>
    <t> 1302</t>
  </si>
  <si>
    <t> 1303</t>
  </si>
  <si>
    <t> 1304</t>
  </si>
  <si>
    <t> 1401</t>
  </si>
  <si>
    <t> 1402</t>
  </si>
  <si>
    <t> 1403</t>
  </si>
  <si>
    <t> 1404</t>
  </si>
  <si>
    <t> 1501</t>
  </si>
  <si>
    <t> 1502</t>
  </si>
  <si>
    <t> 1503</t>
  </si>
  <si>
    <t> 1504</t>
  </si>
  <si>
    <t> 1601</t>
  </si>
  <si>
    <t> 1602</t>
  </si>
  <si>
    <t> 1603</t>
  </si>
  <si>
    <t> 1604</t>
  </si>
  <si>
    <t> 1701</t>
  </si>
  <si>
    <t> 1702</t>
  </si>
  <si>
    <t> 1703</t>
  </si>
  <si>
    <t> 1704</t>
  </si>
  <si>
    <t> 1801</t>
  </si>
  <si>
    <t> 1802</t>
  </si>
  <si>
    <t> 1803</t>
  </si>
  <si>
    <t> 1804</t>
  </si>
  <si>
    <t> 1901</t>
  </si>
  <si>
    <t> 1902</t>
  </si>
  <si>
    <t> 1903</t>
  </si>
  <si>
    <t> 1904</t>
  </si>
  <si>
    <t> 2001</t>
  </si>
  <si>
    <t> 2002</t>
  </si>
  <si>
    <t> 2003</t>
  </si>
  <si>
    <t> 2004</t>
  </si>
  <si>
    <t> 2102</t>
  </si>
  <si>
    <t> 2103</t>
  </si>
  <si>
    <t> 2104</t>
  </si>
  <si>
    <t> 2201</t>
  </si>
  <si>
    <t> 2202</t>
  </si>
  <si>
    <t> 2203</t>
  </si>
  <si>
    <t> 2204</t>
  </si>
  <si>
    <t> 2302</t>
  </si>
  <si>
    <t> 2303</t>
  </si>
  <si>
    <t> 2304</t>
  </si>
  <si>
    <t> 2402</t>
  </si>
  <si>
    <t> 2403</t>
  </si>
  <si>
    <t> 2404</t>
  </si>
  <si>
    <t> 2502</t>
  </si>
  <si>
    <t> 2503</t>
  </si>
  <si>
    <t> 2504</t>
  </si>
  <si>
    <t> 2602</t>
  </si>
  <si>
    <t> 2603</t>
  </si>
  <si>
    <t> 2604</t>
  </si>
  <si>
    <t> 2702</t>
  </si>
  <si>
    <t> 2703</t>
  </si>
  <si>
    <t> 2704</t>
  </si>
  <si>
    <t> 2802</t>
  </si>
  <si>
    <t> 2803</t>
  </si>
  <si>
    <t> 2804</t>
  </si>
  <si>
    <t> 2902</t>
  </si>
  <si>
    <t> 2903</t>
  </si>
  <si>
    <t> 2904</t>
  </si>
  <si>
    <t> 3001</t>
  </si>
  <si>
    <t> 3002</t>
  </si>
  <si>
    <t> 3003</t>
  </si>
  <si>
    <t> 3004</t>
  </si>
  <si>
    <t> PS-07U</t>
  </si>
  <si>
    <t> PS-29V</t>
  </si>
  <si>
    <t> U-07U</t>
  </si>
  <si>
    <t> U-29V</t>
  </si>
  <si>
    <t>APTO-0909</t>
  </si>
  <si>
    <t>ORTEGA SUAREZ JUAN PABLO</t>
  </si>
  <si>
    <t>APTO-1206</t>
  </si>
  <si>
    <t>ZAPATA QUIROZ GERMAN</t>
  </si>
  <si>
    <t>APTO-2101</t>
  </si>
  <si>
    <t>LONDOÑO JIMENEZ VIVIANA</t>
  </si>
  <si>
    <t>VELASQUEZ GRISALES MARIA EUGENIA</t>
  </si>
  <si>
    <t>APTO-2301</t>
  </si>
  <si>
    <t>CAÑOLA GIRALDO JUAN CARLOS</t>
  </si>
  <si>
    <t>OSSA NIETO VALENTINA</t>
  </si>
  <si>
    <t>VARGAS MORALES CARLOS ALBERTO</t>
  </si>
  <si>
    <t>MONTOYA MESA CARLOS ARTURO</t>
  </si>
  <si>
    <t>DELGADO MUÑOZ GUSTAVO ALBEIRO</t>
  </si>
  <si>
    <t>MULLER VELANDIA ALVIN</t>
  </si>
  <si>
    <t>GIRALDO  DURANGO  ELKIN  ALONSO</t>
  </si>
  <si>
    <t> 1206</t>
  </si>
  <si>
    <t> PS-02030</t>
  </si>
  <si>
    <t> PS-03108</t>
  </si>
  <si>
    <t> PS-03123</t>
  </si>
  <si>
    <t> PS-05108</t>
  </si>
  <si>
    <t> PS-05109</t>
  </si>
  <si>
    <t> U-02030</t>
  </si>
  <si>
    <t> U-02709</t>
  </si>
  <si>
    <t> U-03013</t>
  </si>
  <si>
    <t> U-14033</t>
  </si>
  <si>
    <t> U-19033</t>
  </si>
  <si>
    <t> U-22031</t>
  </si>
  <si>
    <t> U-28032</t>
  </si>
  <si>
    <t> U-30033</t>
  </si>
  <si>
    <t> PS-04175</t>
  </si>
  <si>
    <t> PS-05078</t>
  </si>
  <si>
    <t> U-04011</t>
  </si>
  <si>
    <t> U-23032</t>
  </si>
  <si>
    <t> PS-01121</t>
  </si>
  <si>
    <t> PS-06P</t>
  </si>
  <si>
    <t> PMP1-1165</t>
  </si>
  <si>
    <t> PMP1-1166</t>
  </si>
  <si>
    <t> PMP1-1167</t>
  </si>
  <si>
    <t> PMP1-1168</t>
  </si>
  <si>
    <t> PMP1-1169</t>
  </si>
  <si>
    <t> PMP1-1170</t>
  </si>
  <si>
    <t> PMP1-1171</t>
  </si>
  <si>
    <t> PMP1-1172</t>
  </si>
  <si>
    <t> PMP1-1173</t>
  </si>
  <si>
    <t> PMP1-1174</t>
  </si>
  <si>
    <t> PMP1-1164</t>
  </si>
  <si>
    <t> U-01039</t>
  </si>
  <si>
    <t> U-01121</t>
  </si>
  <si>
    <t> U-06P</t>
  </si>
  <si>
    <t> U-19039</t>
  </si>
  <si>
    <t>Parq. Moto T- 3A</t>
  </si>
  <si>
    <t>Parq. Moto T- 3</t>
  </si>
  <si>
    <t>MORENO PORRAS SEBASTIAN</t>
  </si>
  <si>
    <t>APTO-1207</t>
  </si>
  <si>
    <t>PEREZ QUINTERO VALENTINA</t>
  </si>
  <si>
    <t>CEBALLOS TOBON LUZ MARINA</t>
  </si>
  <si>
    <t>AGUDELO OSPINA LUZ ANGELA</t>
  </si>
  <si>
    <t>JUAN FELIPE FERRO SUAREZ</t>
  </si>
  <si>
    <t>ZAPATA  QUIROZ GERMAN</t>
  </si>
  <si>
    <t>CAÑOLA GIRALDO JUAN  CARLOS</t>
  </si>
  <si>
    <t> PS-03110</t>
  </si>
  <si>
    <t> PS-04019</t>
  </si>
  <si>
    <t> U-01019</t>
  </si>
  <si>
    <t> U-16033</t>
  </si>
  <si>
    <t> U-17033</t>
  </si>
  <si>
    <t> PS-07V</t>
  </si>
  <si>
    <t> PS-21T</t>
  </si>
  <si>
    <t> U-07V</t>
  </si>
  <si>
    <t> U-21T</t>
  </si>
  <si>
    <t>APTO - 0605</t>
  </si>
  <si>
    <t>APTO - 0606</t>
  </si>
  <si>
    <t>APTO - 0607</t>
  </si>
  <si>
    <t>APTO - 0608</t>
  </si>
  <si>
    <t>APTO - 0609</t>
  </si>
  <si>
    <t>APTO - 0705</t>
  </si>
  <si>
    <t>APTO - 0706</t>
  </si>
  <si>
    <t>APTO - 0707</t>
  </si>
  <si>
    <t>APTO - 0708</t>
  </si>
  <si>
    <t>APTO - 0709</t>
  </si>
  <si>
    <t>APTO - 0710</t>
  </si>
  <si>
    <t>APTO - 0805</t>
  </si>
  <si>
    <t>APTO - 0806</t>
  </si>
  <si>
    <t>APTO - 0807</t>
  </si>
  <si>
    <t>APTO - 0808</t>
  </si>
  <si>
    <t>APTO - 0809</t>
  </si>
  <si>
    <t>APTO - 0810</t>
  </si>
  <si>
    <t>APTO - 0905</t>
  </si>
  <si>
    <t>APTO - 0906</t>
  </si>
  <si>
    <t>APTO - 0907</t>
  </si>
  <si>
    <t>APTO - 0908</t>
  </si>
  <si>
    <t>APTO - 0909</t>
  </si>
  <si>
    <t>APTO - 1005</t>
  </si>
  <si>
    <t>APTO - 1006</t>
  </si>
  <si>
    <t>APTO - 1007</t>
  </si>
  <si>
    <t>APTO - 1008</t>
  </si>
  <si>
    <t>APTO - 1009</t>
  </si>
  <si>
    <t>APTO - 1010</t>
  </si>
  <si>
    <t>APTO - 1105</t>
  </si>
  <si>
    <t>APTO - 1106</t>
  </si>
  <si>
    <t>APTO - 1107</t>
  </si>
  <si>
    <t>APTO - 1108</t>
  </si>
  <si>
    <t>APTO - 1109</t>
  </si>
  <si>
    <t>APTO - 1205</t>
  </si>
  <si>
    <t>APTO - 1206</t>
  </si>
  <si>
    <t>APTO - 1207</t>
  </si>
  <si>
    <t>APTO - 1208</t>
  </si>
  <si>
    <t>APTO - 1209</t>
  </si>
  <si>
    <t>APTO - 1210</t>
  </si>
  <si>
    <t>APTO - 1305</t>
  </si>
  <si>
    <t>APTO - 1306</t>
  </si>
  <si>
    <t>APTO - 1309</t>
  </si>
  <si>
    <t>APTO - 1310</t>
  </si>
  <si>
    <t>APTO - 1405</t>
  </si>
  <si>
    <t>APTO - 1406</t>
  </si>
  <si>
    <t>APTO - 1407</t>
  </si>
  <si>
    <t>APTO - 1408</t>
  </si>
  <si>
    <t>APTO - 1409</t>
  </si>
  <si>
    <t>APTO - 1410</t>
  </si>
  <si>
    <t>APTO - 1505</t>
  </si>
  <si>
    <t>APTO - 1506</t>
  </si>
  <si>
    <t>APTO - 1507</t>
  </si>
  <si>
    <t>APTO - 1508</t>
  </si>
  <si>
    <t>APTO - 1510</t>
  </si>
  <si>
    <t>APTO - 1605</t>
  </si>
  <si>
    <t>APTO - 1606</t>
  </si>
  <si>
    <t>APTO - 1607</t>
  </si>
  <si>
    <t>APTO - 1608</t>
  </si>
  <si>
    <t>APTO - 1609</t>
  </si>
  <si>
    <t>APTO - 1610</t>
  </si>
  <si>
    <t>APTO - 1705</t>
  </si>
  <si>
    <t>APTO - 1706</t>
  </si>
  <si>
    <t>APTO - 1707</t>
  </si>
  <si>
    <t>APTO - 1708</t>
  </si>
  <si>
    <t>APTO - 1709</t>
  </si>
  <si>
    <t>APTO - 1710</t>
  </si>
  <si>
    <t>APTO - 1805</t>
  </si>
  <si>
    <t>APTO - 1806</t>
  </si>
  <si>
    <t>APTO - 1807</t>
  </si>
  <si>
    <t>APTO - 1808</t>
  </si>
  <si>
    <t>APTO - 1809</t>
  </si>
  <si>
    <t>APTO - 1810</t>
  </si>
  <si>
    <t>APTO - 1905</t>
  </si>
  <si>
    <t>APTO - 1906</t>
  </si>
  <si>
    <t>APTO - 1907</t>
  </si>
  <si>
    <t>APTO - 1908</t>
  </si>
  <si>
    <t>APTO - 1909</t>
  </si>
  <si>
    <t>APTO - 1910</t>
  </si>
  <si>
    <t>APTO - 2006</t>
  </si>
  <si>
    <t>APTO - 2007</t>
  </si>
  <si>
    <t>APTO - 2008</t>
  </si>
  <si>
    <t>APTO - 2009</t>
  </si>
  <si>
    <t>APTO - 2010</t>
  </si>
  <si>
    <t>APTO - 2105</t>
  </si>
  <si>
    <t>APTO - 2106</t>
  </si>
  <si>
    <t>APTO - 2107</t>
  </si>
  <si>
    <t>APTO - 2108</t>
  </si>
  <si>
    <t>APTO - 2109</t>
  </si>
  <si>
    <t>APTO - 2110</t>
  </si>
  <si>
    <t>APTO - 2205</t>
  </si>
  <si>
    <t>APTO - 2206</t>
  </si>
  <si>
    <t>APTO - 2207</t>
  </si>
  <si>
    <t>APTO - 2208</t>
  </si>
  <si>
    <t>APTO - 2209</t>
  </si>
  <si>
    <t>APTO - 2210</t>
  </si>
  <si>
    <t>APTO - 2305</t>
  </si>
  <si>
    <t>APTO - 2306</t>
  </si>
  <si>
    <t>APTO - 2307</t>
  </si>
  <si>
    <t>APTO - 2308</t>
  </si>
  <si>
    <t>APTO - 2309</t>
  </si>
  <si>
    <t>APTO - 2310</t>
  </si>
  <si>
    <t>APTO - 2405</t>
  </si>
  <si>
    <t>APTO - 2406</t>
  </si>
  <si>
    <t>APTO - 2407</t>
  </si>
  <si>
    <t>APTO - 2408</t>
  </si>
  <si>
    <t>APTO - 2409</t>
  </si>
  <si>
    <t>APTO - 2410</t>
  </si>
  <si>
    <t>APTO - 2505</t>
  </si>
  <si>
    <t>APTO - 2506</t>
  </si>
  <si>
    <t>APTO - 2507</t>
  </si>
  <si>
    <t>APTO - 2508</t>
  </si>
  <si>
    <t>APTO - 2509</t>
  </si>
  <si>
    <t>APTO - 2510</t>
  </si>
  <si>
    <t>APTO - 2605</t>
  </si>
  <si>
    <t>APTO - 2606</t>
  </si>
  <si>
    <t>APTO - 2607</t>
  </si>
  <si>
    <t>APTO - 2608</t>
  </si>
  <si>
    <t>APTO - 2609</t>
  </si>
  <si>
    <t>APTO - 2705</t>
  </si>
  <si>
    <t>APTO - 2706</t>
  </si>
  <si>
    <t>APTO - 2707</t>
  </si>
  <si>
    <t>APTO - 2708</t>
  </si>
  <si>
    <t>APTO - 2709</t>
  </si>
  <si>
    <t>APTO - 2710</t>
  </si>
  <si>
    <t>APTO - 2805</t>
  </si>
  <si>
    <t>APTO - 2806</t>
  </si>
  <si>
    <t>APTO - 2807</t>
  </si>
  <si>
    <t>APTO - 2808</t>
  </si>
  <si>
    <t>APTO - 2809</t>
  </si>
  <si>
    <t>APTO - 2810</t>
  </si>
  <si>
    <t>APTO - 2905</t>
  </si>
  <si>
    <t>APTO - 2906</t>
  </si>
  <si>
    <t>APTO - 2907</t>
  </si>
  <si>
    <t>APTO - 2908</t>
  </si>
  <si>
    <t>APTO - 2909</t>
  </si>
  <si>
    <t>APTO - 2910</t>
  </si>
  <si>
    <t>APTO - 3005</t>
  </si>
  <si>
    <t>APTO - 3006</t>
  </si>
  <si>
    <t>APTO - 3007</t>
  </si>
  <si>
    <t>APTO - 3008</t>
  </si>
  <si>
    <t>APTO - 3009</t>
  </si>
  <si>
    <t>APTO - 3010</t>
  </si>
  <si>
    <t>APTO - 0603</t>
  </si>
  <si>
    <t>APTO - 0604</t>
  </si>
  <si>
    <t>APTO - 0702</t>
  </si>
  <si>
    <t>APTO - 0703</t>
  </si>
  <si>
    <t>APTO - 0704</t>
  </si>
  <si>
    <t>APTO - 0802</t>
  </si>
  <si>
    <t>APTO - 0803</t>
  </si>
  <si>
    <t>APTO - 0804</t>
  </si>
  <si>
    <t>APTO - 0901</t>
  </si>
  <si>
    <t>APTO - 0902</t>
  </si>
  <si>
    <t>APTO - 0903</t>
  </si>
  <si>
    <t>APTO - 0904</t>
  </si>
  <si>
    <t>APTO - 1002</t>
  </si>
  <si>
    <t>APTO - 1003</t>
  </si>
  <si>
    <t>APTO - 1004</t>
  </si>
  <si>
    <t>APTO - 1102</t>
  </si>
  <si>
    <t>APTO - 1103</t>
  </si>
  <si>
    <t>APTO - 1104</t>
  </si>
  <si>
    <t>APTO - 1202</t>
  </si>
  <si>
    <t>APTO - 1203</t>
  </si>
  <si>
    <t>APTO - 1204</t>
  </si>
  <si>
    <t>APTO - 1301</t>
  </si>
  <si>
    <t>APTO - 1302</t>
  </si>
  <si>
    <t>APTO - 1303</t>
  </si>
  <si>
    <t>APTO - 1304</t>
  </si>
  <si>
    <t>APTO - 1402</t>
  </si>
  <si>
    <t>APTO - 1403</t>
  </si>
  <si>
    <t>APTO - 1404</t>
  </si>
  <si>
    <t>APTO - 1501</t>
  </si>
  <si>
    <t>APTO - 1503</t>
  </si>
  <si>
    <t>APTO - 1504</t>
  </si>
  <si>
    <t>APTO - 1601</t>
  </si>
  <si>
    <t>APTO - 1602</t>
  </si>
  <si>
    <t>APTO - 1603</t>
  </si>
  <si>
    <t>APTO - 1604</t>
  </si>
  <si>
    <t>APTO - 1701</t>
  </si>
  <si>
    <t>APTO - 1702</t>
  </si>
  <si>
    <t>APTO - 1703</t>
  </si>
  <si>
    <t>APTO - 1704</t>
  </si>
  <si>
    <t>APTO - 1801</t>
  </si>
  <si>
    <t>APTO - 1802</t>
  </si>
  <si>
    <t>APTO - 1803</t>
  </si>
  <si>
    <t>APTO - 1804</t>
  </si>
  <si>
    <t>APTO - 1901</t>
  </si>
  <si>
    <t>APTO - 1902</t>
  </si>
  <si>
    <t>APTO - 1903</t>
  </si>
  <si>
    <t>APTO - 1904</t>
  </si>
  <si>
    <t>APTO - 2001</t>
  </si>
  <si>
    <t>APTO - 2002</t>
  </si>
  <si>
    <t>APTO - 2003</t>
  </si>
  <si>
    <t>APTO - 2004</t>
  </si>
  <si>
    <t>APTO - 2101</t>
  </si>
  <si>
    <t>APTO - 2102</t>
  </si>
  <si>
    <t>APTO - 2103</t>
  </si>
  <si>
    <t>APTO - 2104</t>
  </si>
  <si>
    <t>APTO - 2201</t>
  </si>
  <si>
    <t>APTO - 2202</t>
  </si>
  <si>
    <t>APTO - 2203</t>
  </si>
  <si>
    <t>APTO - 2204</t>
  </si>
  <si>
    <t>APTO - 2301</t>
  </si>
  <si>
    <t>APTO - 2302</t>
  </si>
  <si>
    <t>APTO - 2303</t>
  </si>
  <si>
    <t>APTO - 2304</t>
  </si>
  <si>
    <t>APTO - 2402</t>
  </si>
  <si>
    <t>APTO - 2403</t>
  </si>
  <si>
    <t>APTO - 2404</t>
  </si>
  <si>
    <t>APTO - 2502</t>
  </si>
  <si>
    <t>APTO - 2503</t>
  </si>
  <si>
    <t>APTO - 2504</t>
  </si>
  <si>
    <t>APTO - 2602</t>
  </si>
  <si>
    <t>APTO - 2603</t>
  </si>
  <si>
    <t>APTO - 2604</t>
  </si>
  <si>
    <t>APTO - 2702</t>
  </si>
  <si>
    <t>APTO - 2703</t>
  </si>
  <si>
    <t>APTO - 2704</t>
  </si>
  <si>
    <t>APTO - 2802</t>
  </si>
  <si>
    <t>APTO - 2804</t>
  </si>
  <si>
    <t>APTO - 2902</t>
  </si>
  <si>
    <t>APTO - 2903</t>
  </si>
  <si>
    <t>APTO - 2904</t>
  </si>
  <si>
    <t>APTO - 3001</t>
  </si>
  <si>
    <t>APTO - 3002</t>
  </si>
  <si>
    <t>APTO - 3003</t>
  </si>
  <si>
    <t>APTO - 3004</t>
  </si>
  <si>
    <t>CORREA ARANGO MANUELA</t>
  </si>
  <si>
    <t>ZULUAGA HOLGUIN CLAUDIA MARCELA</t>
  </si>
  <si>
    <t>MEJIA VASQUEZ LEIDY YASMIN</t>
  </si>
  <si>
    <t>APTO-2610</t>
  </si>
  <si>
    <t>APTO-1001</t>
  </si>
  <si>
    <t>RAMOS CASTRO SINDY PATRICIA</t>
  </si>
  <si>
    <t>APTO-1201</t>
  </si>
  <si>
    <t>VELEZ UPEGUI GABRIEL FERNANDO</t>
  </si>
  <si>
    <t>APTO-2401</t>
  </si>
  <si>
    <t>ZAPATA BRAN ALEJANDRA</t>
  </si>
  <si>
    <t>CARDONA MADRID SULADY LICETH</t>
  </si>
  <si>
    <t>BUSTAMANTE BUSTAMANTE CLAUDIA CECILIA</t>
  </si>
  <si>
    <t>PARRA BUITRAGO DANIELA</t>
  </si>
  <si>
    <t>VELEZ BETANCUR KARLA CRISTINA</t>
  </si>
  <si>
    <t> PS-02018</t>
  </si>
  <si>
    <t> PS-02110</t>
  </si>
  <si>
    <t> PS-03025</t>
  </si>
  <si>
    <t> PS-03077</t>
  </si>
  <si>
    <t> PS-03084</t>
  </si>
  <si>
    <t> PS-04071</t>
  </si>
  <si>
    <t> PS-05022</t>
  </si>
  <si>
    <t> U-01020</t>
  </si>
  <si>
    <t> U-06035</t>
  </si>
  <si>
    <t> U-07033</t>
  </si>
  <si>
    <t> U-16031</t>
  </si>
  <si>
    <t> U-26033</t>
  </si>
  <si>
    <t> PS-03109</t>
  </si>
  <si>
    <t> U-04007</t>
  </si>
  <si>
    <t> U-24032</t>
  </si>
  <si>
    <t> PS-10T</t>
  </si>
  <si>
    <t> PS-17T</t>
  </si>
  <si>
    <t> PS-22T</t>
  </si>
  <si>
    <t> PS-23T</t>
  </si>
  <si>
    <t> PS-30U</t>
  </si>
  <si>
    <t> U-10T</t>
  </si>
  <si>
    <t> U-17T</t>
  </si>
  <si>
    <t> U-22T</t>
  </si>
  <si>
    <t> U-23T</t>
  </si>
  <si>
    <t> U-30U</t>
  </si>
  <si>
    <t>APTO - 2610</t>
  </si>
  <si>
    <t>APTO - 1001</t>
  </si>
  <si>
    <t>APTO - 1201</t>
  </si>
  <si>
    <t>APTO - 2401</t>
  </si>
  <si>
    <t>Mayor vr. Recibido T-1B</t>
  </si>
  <si>
    <t>ARANGO ECHEVERRI ANA LUCIA</t>
  </si>
  <si>
    <t>HINCAPIE RIOS WILLIAM ALONSO</t>
  </si>
  <si>
    <t>GALLO LOPEZ VANESSA</t>
  </si>
  <si>
    <t>VASQUEZ ZAPATA MARIA ELENA</t>
  </si>
  <si>
    <t>PATIÑO BARRERA YESICA DANIELA</t>
  </si>
  <si>
    <t>TRUJILLO GOMEZ NICOLAS HUMBERTO</t>
  </si>
  <si>
    <t>DIAZ JARAMILLO MARY LUZ</t>
  </si>
  <si>
    <t>PALACIO MONA ROBINSON</t>
  </si>
  <si>
    <t>ECHAVARRIA VELEZ LUISA FERNANDA</t>
  </si>
  <si>
    <t> PS-02163</t>
  </si>
  <si>
    <t> PS-03124</t>
  </si>
  <si>
    <t> PS-04111</t>
  </si>
  <si>
    <t> U-02004</t>
  </si>
  <si>
    <t> U-03011</t>
  </si>
  <si>
    <t> U-20032</t>
  </si>
  <si>
    <t> U-27033</t>
  </si>
  <si>
    <t> U-29031</t>
  </si>
  <si>
    <t> U-29032</t>
  </si>
  <si>
    <t> PS-01120</t>
  </si>
  <si>
    <t> U-01120</t>
  </si>
  <si>
    <t> PS-01143</t>
  </si>
  <si>
    <t> PS-13T</t>
  </si>
  <si>
    <t> PS-24T</t>
  </si>
  <si>
    <t> U-01143</t>
  </si>
  <si>
    <t> U-13T</t>
  </si>
  <si>
    <t> U-24T</t>
  </si>
  <si>
    <t>CréditoTer</t>
  </si>
  <si>
    <t>LONDOÑO GOMEZ JUAN ESTEBAN</t>
  </si>
  <si>
    <t>ARANGO BERMUDEZ ALBA LUCIA</t>
  </si>
  <si>
    <t>CALDERON VELASQUEZ IDALIA</t>
  </si>
  <si>
    <t>ARIAS OLARTE ANDRES FELIPE</t>
  </si>
  <si>
    <t>MESA VANEGAS VICTOR ALEJANDRO</t>
  </si>
  <si>
    <t>GIRALDO AGUDELO SERGIO ALEJANDRO</t>
  </si>
  <si>
    <t>BANCO DAVIVIENDA S.A</t>
  </si>
  <si>
    <t>APTO-0801</t>
  </si>
  <si>
    <t>VALENCIA CEBALLOS MARIA LUZ DARY</t>
  </si>
  <si>
    <t>APTO-1502</t>
  </si>
  <si>
    <t>APTO-2701</t>
  </si>
  <si>
    <t>CAÑOLA EDGAR DE JESUS</t>
  </si>
  <si>
    <t>SANDOVAL JIMENEZ LINA YASMID</t>
  </si>
  <si>
    <t>MUÑOZ CASTAÑO MONICA MARIA</t>
  </si>
  <si>
    <t>TORRES ARANGO LUZ EDY</t>
  </si>
  <si>
    <t> PS-01022-</t>
  </si>
  <si>
    <t> PS-01026</t>
  </si>
  <si>
    <t> PS-01059</t>
  </si>
  <si>
    <t> PS-01060</t>
  </si>
  <si>
    <t> PS-01063</t>
  </si>
  <si>
    <t> PS-03016</t>
  </si>
  <si>
    <t> PS-03020</t>
  </si>
  <si>
    <t> PS-03126</t>
  </si>
  <si>
    <t> PS-04028</t>
  </si>
  <si>
    <t> PS-04072</t>
  </si>
  <si>
    <t> U-09033</t>
  </si>
  <si>
    <t> U-12033</t>
  </si>
  <si>
    <t> U-15031</t>
  </si>
  <si>
    <t> U-18033</t>
  </si>
  <si>
    <t> U-28033</t>
  </si>
  <si>
    <t> PS-04017</t>
  </si>
  <si>
    <t> PS-04081</t>
  </si>
  <si>
    <t> PS-05070</t>
  </si>
  <si>
    <t> U-04030</t>
  </si>
  <si>
    <t> U-05025</t>
  </si>
  <si>
    <t> U-08031</t>
  </si>
  <si>
    <t> U-24033</t>
  </si>
  <si>
    <t> PS-05162</t>
  </si>
  <si>
    <t> PS-05163</t>
  </si>
  <si>
    <t> U-05138</t>
  </si>
  <si>
    <t> U-05139</t>
  </si>
  <si>
    <t> PS-05166</t>
  </si>
  <si>
    <t> U-02537</t>
  </si>
  <si>
    <t>Parq. Sencillos/Util T- 1B</t>
  </si>
  <si>
    <t>Parq. Sencillos/Util T- 1A</t>
  </si>
  <si>
    <t>APTO - 0801</t>
  </si>
  <si>
    <t>APTO - 1502</t>
  </si>
  <si>
    <t>APTO - 2701</t>
  </si>
  <si>
    <t>Parqueaderos T-2</t>
  </si>
  <si>
    <t>Total T-2</t>
  </si>
  <si>
    <t>Ventas Con Parq. T-2</t>
  </si>
  <si>
    <t>Acabados Torre 2</t>
  </si>
  <si>
    <t>Reformas Torre 2</t>
  </si>
  <si>
    <t>Ventas +Parq.+Ref. T-2</t>
  </si>
  <si>
    <t>Intereses x Mora T-2</t>
  </si>
  <si>
    <t>Mayor vr. Recibido T-2</t>
  </si>
  <si>
    <t>Ventas Torre 2</t>
  </si>
  <si>
    <t>Aptos. T-2</t>
  </si>
  <si>
    <t>Parq. Sencillos T-2</t>
  </si>
  <si>
    <t>Parq. Moto T- 2</t>
  </si>
  <si>
    <t>Utiles T-2</t>
  </si>
  <si>
    <t>Apartamentos T-2</t>
  </si>
  <si>
    <t>Parq.  T-2</t>
  </si>
  <si>
    <t>Total parq.Torre 2</t>
  </si>
  <si>
    <t>PARQUEADEROS  T.2</t>
  </si>
  <si>
    <t>UTIL T.2</t>
  </si>
  <si>
    <t>UTIL T.3A</t>
  </si>
  <si>
    <t>PARQUEADEROS  T.3A</t>
  </si>
  <si>
    <t>Total Util T-2</t>
  </si>
  <si>
    <t>Ref. Subr. T 2</t>
  </si>
  <si>
    <t>TOTAL TORRE 2</t>
  </si>
  <si>
    <t>Total Aptos. T-2</t>
  </si>
  <si>
    <t>Total Parq. T-2</t>
  </si>
  <si>
    <t>Tot. Utiles T.2</t>
  </si>
  <si>
    <t>Intereses Financieros</t>
  </si>
  <si>
    <t>CASTAÑO SUAREZ MARIA YOLANDA</t>
  </si>
  <si>
    <t>PEREZ PALACIO JESUS ALIRIO</t>
  </si>
  <si>
    <t>APTO-1509-LG</t>
  </si>
  <si>
    <t>APTO-07K</t>
  </si>
  <si>
    <t>QUINTERO LOPEZ DAYRO LEON</t>
  </si>
  <si>
    <t>APTO-08O</t>
  </si>
  <si>
    <t>PATIÑO GOMEZ MARITZA</t>
  </si>
  <si>
    <t>DOMINGUEZ GOMEZ LIBIA ESTELA</t>
  </si>
  <si>
    <t>APTO-10M</t>
  </si>
  <si>
    <t>ALZATE IDARRAGA JUAN DAVID</t>
  </si>
  <si>
    <t>APTO-11O</t>
  </si>
  <si>
    <t>ALZATE ZAPATA ALEXANDER</t>
  </si>
  <si>
    <t>APTO-14L</t>
  </si>
  <si>
    <t>APTO-14N</t>
  </si>
  <si>
    <t>BENITEZ GONZALEZ LAURA</t>
  </si>
  <si>
    <t>APTO-15M</t>
  </si>
  <si>
    <t>OSORIO OSORIO ANA MARIA</t>
  </si>
  <si>
    <t>APTO-15N</t>
  </si>
  <si>
    <t>DUQUE GIRALDO LUIS CARLOS</t>
  </si>
  <si>
    <t>APTO-17L</t>
  </si>
  <si>
    <t>OTERO FLOREZ JENNIFER</t>
  </si>
  <si>
    <t>APTO-20K</t>
  </si>
  <si>
    <t>ARBOLEDA ARBOLEDA TRESSEL ANTONIO</t>
  </si>
  <si>
    <t>APTO-20M</t>
  </si>
  <si>
    <t>CEBALLOS CEBALLOS SANDRA MARCELA</t>
  </si>
  <si>
    <t>APTO-21L</t>
  </si>
  <si>
    <t>SANTOS GUAL JULIAN ESTEBAN</t>
  </si>
  <si>
    <t>APTO-22L</t>
  </si>
  <si>
    <t>PATIÑO MONTOYA MARICELA</t>
  </si>
  <si>
    <t>APTO-23O</t>
  </si>
  <si>
    <t>VELEZ PALACIO DIANA ISABEL</t>
  </si>
  <si>
    <t>APTO-24K</t>
  </si>
  <si>
    <t>APTO-24N</t>
  </si>
  <si>
    <t>LOPEZ GUERRA ISLENY ASTRID</t>
  </si>
  <si>
    <t>APTO-25L</t>
  </si>
  <si>
    <t>CAÑAVERAL LOPEZ ABELARDO ANTONIO</t>
  </si>
  <si>
    <t>APTO-27O</t>
  </si>
  <si>
    <t>HERNANDEZ PATIÑO SIMON</t>
  </si>
  <si>
    <t>APTO-28K</t>
  </si>
  <si>
    <t>ORTEGA ROMERO NATALY JOHANNA</t>
  </si>
  <si>
    <t>APTO-28O</t>
  </si>
  <si>
    <t>GARCIA MARTINEZ GEHIDER</t>
  </si>
  <si>
    <t>APTO-29K</t>
  </si>
  <si>
    <t>CHAVERRA MARIA DEL SOCORRO</t>
  </si>
  <si>
    <t>APTO-29L</t>
  </si>
  <si>
    <t>AVENDAÑO PALACIO DORA ELENA</t>
  </si>
  <si>
    <t>CARDONA MACIAS DIEGO ALEJANDRO</t>
  </si>
  <si>
    <t>HIDALGO MARTINEZ ANGELA MARIA</t>
  </si>
  <si>
    <t>APTO-30O</t>
  </si>
  <si>
    <t>NUNEZ OSVALDO</t>
  </si>
  <si>
    <t> 1509-LG</t>
  </si>
  <si>
    <t> PS-03035</t>
  </si>
  <si>
    <t> PS-03075</t>
  </si>
  <si>
    <t> U-03029</t>
  </si>
  <si>
    <t> PS-01072</t>
  </si>
  <si>
    <t> PS-01097</t>
  </si>
  <si>
    <t> PS-04078</t>
  </si>
  <si>
    <t> U-15032</t>
  </si>
  <si>
    <t> U-18031</t>
  </si>
  <si>
    <t> U-21031</t>
  </si>
  <si>
    <t> U-23033</t>
  </si>
  <si>
    <t> 06K1</t>
  </si>
  <si>
    <t> 06L1</t>
  </si>
  <si>
    <t> 06M1</t>
  </si>
  <si>
    <t> 06N1</t>
  </si>
  <si>
    <t> 06O1</t>
  </si>
  <si>
    <t> 07L</t>
  </si>
  <si>
    <t> 07M</t>
  </si>
  <si>
    <t> 07N</t>
  </si>
  <si>
    <t> 07O</t>
  </si>
  <si>
    <t> 08K</t>
  </si>
  <si>
    <t> 08L</t>
  </si>
  <si>
    <t> 08M</t>
  </si>
  <si>
    <t> 08N</t>
  </si>
  <si>
    <t> 09K</t>
  </si>
  <si>
    <t> 09L</t>
  </si>
  <si>
    <t> 09M</t>
  </si>
  <si>
    <t> 09N</t>
  </si>
  <si>
    <t> 09O</t>
  </si>
  <si>
    <t> 10K</t>
  </si>
  <si>
    <t> 10N</t>
  </si>
  <si>
    <t> 10O</t>
  </si>
  <si>
    <t> 11K</t>
  </si>
  <si>
    <t> 11L</t>
  </si>
  <si>
    <t> 11M</t>
  </si>
  <si>
    <t> 11N</t>
  </si>
  <si>
    <t> 12K</t>
  </si>
  <si>
    <t> 12L</t>
  </si>
  <si>
    <t> 12M</t>
  </si>
  <si>
    <t> 12N</t>
  </si>
  <si>
    <t> 12O</t>
  </si>
  <si>
    <t> 13K</t>
  </si>
  <si>
    <t> 13L</t>
  </si>
  <si>
    <t> 13M</t>
  </si>
  <si>
    <t> 13N</t>
  </si>
  <si>
    <t> 13O</t>
  </si>
  <si>
    <t> 14K</t>
  </si>
  <si>
    <t> 14M</t>
  </si>
  <si>
    <t> 14O</t>
  </si>
  <si>
    <t> 15K</t>
  </si>
  <si>
    <t> 15L</t>
  </si>
  <si>
    <t> 15O</t>
  </si>
  <si>
    <t> 16K</t>
  </si>
  <si>
    <t> 16L</t>
  </si>
  <si>
    <t> 16M</t>
  </si>
  <si>
    <t> 16N</t>
  </si>
  <si>
    <t> 16O</t>
  </si>
  <si>
    <t> 17K</t>
  </si>
  <si>
    <t> 17M</t>
  </si>
  <si>
    <t> 17N</t>
  </si>
  <si>
    <t> 17O</t>
  </si>
  <si>
    <t> 18K</t>
  </si>
  <si>
    <t> 18L</t>
  </si>
  <si>
    <t> 18M</t>
  </si>
  <si>
    <t> 18N</t>
  </si>
  <si>
    <t> 18O</t>
  </si>
  <si>
    <t> 19K</t>
  </si>
  <si>
    <t> 19L</t>
  </si>
  <si>
    <t> 19M</t>
  </si>
  <si>
    <t> 19N</t>
  </si>
  <si>
    <t> 19O</t>
  </si>
  <si>
    <t> 20L</t>
  </si>
  <si>
    <t> 20N</t>
  </si>
  <si>
    <t> 20O</t>
  </si>
  <si>
    <t> 21K</t>
  </si>
  <si>
    <t> 21M</t>
  </si>
  <si>
    <t> 21N</t>
  </si>
  <si>
    <t> 21O</t>
  </si>
  <si>
    <t> 22K</t>
  </si>
  <si>
    <t> 22M</t>
  </si>
  <si>
    <t> 22N</t>
  </si>
  <si>
    <t> 22O</t>
  </si>
  <si>
    <t> 23K</t>
  </si>
  <si>
    <t> 23L</t>
  </si>
  <si>
    <t> 23M</t>
  </si>
  <si>
    <t> 23N</t>
  </si>
  <si>
    <t> 24L</t>
  </si>
  <si>
    <t> 24M</t>
  </si>
  <si>
    <t> 24O</t>
  </si>
  <si>
    <t> 25K</t>
  </si>
  <si>
    <t> 25M</t>
  </si>
  <si>
    <t> 25N</t>
  </si>
  <si>
    <t> 25O</t>
  </si>
  <si>
    <t> 26K</t>
  </si>
  <si>
    <t> 26L</t>
  </si>
  <si>
    <t> 26M</t>
  </si>
  <si>
    <t> 26N</t>
  </si>
  <si>
    <t> 26O</t>
  </si>
  <si>
    <t> 27K</t>
  </si>
  <si>
    <t> 27L</t>
  </si>
  <si>
    <t> 27M</t>
  </si>
  <si>
    <t> 27N</t>
  </si>
  <si>
    <t> 28L</t>
  </si>
  <si>
    <t> 28M</t>
  </si>
  <si>
    <t> 28N</t>
  </si>
  <si>
    <t> 29M</t>
  </si>
  <si>
    <t> 29O</t>
  </si>
  <si>
    <t> 30K</t>
  </si>
  <si>
    <t> 30L</t>
  </si>
  <si>
    <t> 30N</t>
  </si>
  <si>
    <t> 07K</t>
  </si>
  <si>
    <t> 08O</t>
  </si>
  <si>
    <t> 10M</t>
  </si>
  <si>
    <t> 11O</t>
  </si>
  <si>
    <t> 14L</t>
  </si>
  <si>
    <t> 14N</t>
  </si>
  <si>
    <t> 15M</t>
  </si>
  <si>
    <t> 15N</t>
  </si>
  <si>
    <t> 17L</t>
  </si>
  <si>
    <t> 20K</t>
  </si>
  <si>
    <t> 20M</t>
  </si>
  <si>
    <t> 21L</t>
  </si>
  <si>
    <t> 22L</t>
  </si>
  <si>
    <t> 23O</t>
  </si>
  <si>
    <t> 24K</t>
  </si>
  <si>
    <t> 24N</t>
  </si>
  <si>
    <t> 25L</t>
  </si>
  <si>
    <t> 27O</t>
  </si>
  <si>
    <t> 28K</t>
  </si>
  <si>
    <t> 28O</t>
  </si>
  <si>
    <t> 29K</t>
  </si>
  <si>
    <t> 29L</t>
  </si>
  <si>
    <t> 30M</t>
  </si>
  <si>
    <t> 30O</t>
  </si>
  <si>
    <t> PS-108</t>
  </si>
  <si>
    <t> PS-109</t>
  </si>
  <si>
    <t> PS-120</t>
  </si>
  <si>
    <t> PS-123</t>
  </si>
  <si>
    <t> PS-07K</t>
  </si>
  <si>
    <t> PS-08O</t>
  </si>
  <si>
    <t> PS-10L</t>
  </si>
  <si>
    <t> PS-10M</t>
  </si>
  <si>
    <t> PS-11O</t>
  </si>
  <si>
    <t> PS-14L</t>
  </si>
  <si>
    <t> PS-14N</t>
  </si>
  <si>
    <t> PS-15M</t>
  </si>
  <si>
    <t> PS-15N</t>
  </si>
  <si>
    <t> PS-17L</t>
  </si>
  <si>
    <t> PS-20K</t>
  </si>
  <si>
    <t> PS-20M</t>
  </si>
  <si>
    <t> PS-21L</t>
  </si>
  <si>
    <t> PS-22L</t>
  </si>
  <si>
    <t> PS-23O</t>
  </si>
  <si>
    <t> PS-24K</t>
  </si>
  <si>
    <t> PS-24N</t>
  </si>
  <si>
    <t> PS-25L</t>
  </si>
  <si>
    <t> PS-27O</t>
  </si>
  <si>
    <t> PS-28K</t>
  </si>
  <si>
    <t> PS-28O</t>
  </si>
  <si>
    <t> PS-29K</t>
  </si>
  <si>
    <t> PS-29L</t>
  </si>
  <si>
    <t> PS-29N</t>
  </si>
  <si>
    <t> PS-30M</t>
  </si>
  <si>
    <t> PS-30O</t>
  </si>
  <si>
    <t> CU-107</t>
  </si>
  <si>
    <t> CU-108</t>
  </si>
  <si>
    <t> CU-109</t>
  </si>
  <si>
    <t> CU-110</t>
  </si>
  <si>
    <t> CU-120</t>
  </si>
  <si>
    <t> CU-121</t>
  </si>
  <si>
    <t> CU-122</t>
  </si>
  <si>
    <t> CU-123</t>
  </si>
  <si>
    <t> CU-07K</t>
  </si>
  <si>
    <t> CU-08O</t>
  </si>
  <si>
    <t> CU-10L</t>
  </si>
  <si>
    <t> CU-10M</t>
  </si>
  <si>
    <t> CU-11O</t>
  </si>
  <si>
    <t> CU-14L</t>
  </si>
  <si>
    <t> CU-14N</t>
  </si>
  <si>
    <t> CU-15M</t>
  </si>
  <si>
    <t> CU-15N</t>
  </si>
  <si>
    <t> CU-17L</t>
  </si>
  <si>
    <t> CU-20K</t>
  </si>
  <si>
    <t> CU-20M</t>
  </si>
  <si>
    <t> CU-21L</t>
  </si>
  <si>
    <t> CU-22L</t>
  </si>
  <si>
    <t> CU-23O</t>
  </si>
  <si>
    <t> CU-24K</t>
  </si>
  <si>
    <t> CU-24N</t>
  </si>
  <si>
    <t> CU-25L</t>
  </si>
  <si>
    <t> CU-27O</t>
  </si>
  <si>
    <t> CU-28K</t>
  </si>
  <si>
    <t> CU-28O</t>
  </si>
  <si>
    <t> CU-29K</t>
  </si>
  <si>
    <t> CU-29L</t>
  </si>
  <si>
    <t> CU-29N</t>
  </si>
  <si>
    <t> CU-30M</t>
  </si>
  <si>
    <t> CU-30O</t>
  </si>
  <si>
    <t>APTO - 1509-LG</t>
  </si>
  <si>
    <t>APTO - 07K</t>
  </si>
  <si>
    <t>APTO - 08O</t>
  </si>
  <si>
    <t>APTO - 10M</t>
  </si>
  <si>
    <t>APTO - 11O</t>
  </si>
  <si>
    <t>APTO - 14L</t>
  </si>
  <si>
    <t>APTO - 14N</t>
  </si>
  <si>
    <t>APTO - 15M</t>
  </si>
  <si>
    <t>APTO - 15N</t>
  </si>
  <si>
    <t>APTO - 17L</t>
  </si>
  <si>
    <t>APTO - 20K</t>
  </si>
  <si>
    <t>APTO - 20M</t>
  </si>
  <si>
    <t>APTO - 21L</t>
  </si>
  <si>
    <t>APTO - 22L</t>
  </si>
  <si>
    <t>APTO - 23O</t>
  </si>
  <si>
    <t>APTO - 24K</t>
  </si>
  <si>
    <t>APTO - 24N</t>
  </si>
  <si>
    <t>APTO - 25L</t>
  </si>
  <si>
    <t>APTO - 27O</t>
  </si>
  <si>
    <t>APTO - 28K</t>
  </si>
  <si>
    <t>APTO - 28O</t>
  </si>
  <si>
    <t>APTO - 29K</t>
  </si>
  <si>
    <t>APTO - 29L</t>
  </si>
  <si>
    <t>APTO - 30O</t>
  </si>
  <si>
    <t>Estudio de titulos T-1A</t>
  </si>
  <si>
    <t>Estudio de titulos T-1B</t>
  </si>
  <si>
    <t>VARGAS ORREGO ANGIE PAOLA</t>
  </si>
  <si>
    <t>USUGA AGUINAGA RICARDO</t>
  </si>
  <si>
    <t>APTO-2801</t>
  </si>
  <si>
    <t>VASQUEZ SERNA BRAYAN</t>
  </si>
  <si>
    <t>AGUDELO ISAZA JORGE MARIO</t>
  </si>
  <si>
    <t>APTO-08K</t>
  </si>
  <si>
    <t>ESPINAL ZULETA ANA ROCIO</t>
  </si>
  <si>
    <t>APTO-09M</t>
  </si>
  <si>
    <t>TORREJANO LUNA AURA CATALINA</t>
  </si>
  <si>
    <t>APTO-09N</t>
  </si>
  <si>
    <t>ALZATE OSSA ARLERIS</t>
  </si>
  <si>
    <t>APTO-10L-LG</t>
  </si>
  <si>
    <t>APTO-10N</t>
  </si>
  <si>
    <t>MUÑOZ VALENCIA NASLY YOLIMA</t>
  </si>
  <si>
    <t>APTO-11L</t>
  </si>
  <si>
    <t>QUINTERO GIRALDO MARIBEL</t>
  </si>
  <si>
    <t>APTO-12K</t>
  </si>
  <si>
    <t>MUNERA ZORA VALERIA ANDREA</t>
  </si>
  <si>
    <t>APTO-12O</t>
  </si>
  <si>
    <t>TORO JARAMILLO LUISA FERNANDA</t>
  </si>
  <si>
    <t>APTO-13L</t>
  </si>
  <si>
    <t>CAÑAVERAL VASQUEZ KAREN</t>
  </si>
  <si>
    <t>APTO-15K</t>
  </si>
  <si>
    <t>PATIÑO GOMEZ LUZ MIRIAM</t>
  </si>
  <si>
    <t>APTO-15L</t>
  </si>
  <si>
    <t>VALENCIA CARMONA JENNY ELIZABETH</t>
  </si>
  <si>
    <t>APTO-16L</t>
  </si>
  <si>
    <t>ARISMENDY RENDON LUZ VICTORIA</t>
  </si>
  <si>
    <t>APTO-18L</t>
  </si>
  <si>
    <t>CHEN CHEN JHONATHAN</t>
  </si>
  <si>
    <t>APTO-18M</t>
  </si>
  <si>
    <t>ARISTIZABAL CORREA PEDRO ANDRES</t>
  </si>
  <si>
    <t>APTO-19L</t>
  </si>
  <si>
    <t>CASTAÑO ROMAN LUISA FERNANDA</t>
  </si>
  <si>
    <t>APTO-20L</t>
  </si>
  <si>
    <t>CADAVID VILLEGAS LINA MARCELA</t>
  </si>
  <si>
    <t>APTO-22O</t>
  </si>
  <si>
    <t>APTO-23M</t>
  </si>
  <si>
    <t>OSPINA VILLA DIONY VICTORIA</t>
  </si>
  <si>
    <t>CIFUENTES VELEZ ELIZABETH</t>
  </si>
  <si>
    <t>APTO-24L</t>
  </si>
  <si>
    <t>APTO-24M</t>
  </si>
  <si>
    <t>JIMENEZ HENAO LEIDYS CRISTINA</t>
  </si>
  <si>
    <t>APTO-25N</t>
  </si>
  <si>
    <t>OSORIO PEREZ LINA MARCELA</t>
  </si>
  <si>
    <t>APTO-25O</t>
  </si>
  <si>
    <t>BLACKBURN MURILLO MILTON JOSE</t>
  </si>
  <si>
    <t>APTO-26N</t>
  </si>
  <si>
    <t>CORREA OSORIO DIEGO ALEXANDER</t>
  </si>
  <si>
    <t>APTO-26O</t>
  </si>
  <si>
    <t>ZHENG MAOFU</t>
  </si>
  <si>
    <t>APTO-27M</t>
  </si>
  <si>
    <t>PEREZ SIERRA JUAN MANUEL</t>
  </si>
  <si>
    <t>APTO-28N</t>
  </si>
  <si>
    <t>VELEZ VASQUEZ DIEGO ALEJANDRO</t>
  </si>
  <si>
    <t>APTO-29M</t>
  </si>
  <si>
    <t>RIOS PEREZ ALVARO ANTONIO</t>
  </si>
  <si>
    <t>APTO-29O</t>
  </si>
  <si>
    <t>MACIAS ZAPATA JOHN JAIRO</t>
  </si>
  <si>
    <t>RESTREPO ACEVEDO RAMON ALBERTO</t>
  </si>
  <si>
    <t>GUILLEN GUILLEN OSCAR OLAVO</t>
  </si>
  <si>
    <t>ARIAS MARIN JULIAN DAVID</t>
  </si>
  <si>
    <t>VERA GARCIA ESTEBAN DE JESUS</t>
  </si>
  <si>
    <t> PS-02029</t>
  </si>
  <si>
    <t> PS-01065</t>
  </si>
  <si>
    <t> PS-01067</t>
  </si>
  <si>
    <t> PS-01100</t>
  </si>
  <si>
    <t> PS-02071</t>
  </si>
  <si>
    <t> PS-02097</t>
  </si>
  <si>
    <t> PS-03072</t>
  </si>
  <si>
    <t> PS-03082</t>
  </si>
  <si>
    <t> PS-03111</t>
  </si>
  <si>
    <t> PS-03176</t>
  </si>
  <si>
    <t> PS-04176</t>
  </si>
  <si>
    <t> PS-05067</t>
  </si>
  <si>
    <t> PS-05075</t>
  </si>
  <si>
    <t> PS-05171</t>
  </si>
  <si>
    <t> U-05009</t>
  </si>
  <si>
    <t> U-06033</t>
  </si>
  <si>
    <t> U-08033</t>
  </si>
  <si>
    <t> U-09031</t>
  </si>
  <si>
    <t> U-10031</t>
  </si>
  <si>
    <t> U-11031</t>
  </si>
  <si>
    <t> U-15033</t>
  </si>
  <si>
    <t> U-19031</t>
  </si>
  <si>
    <t> U-21032</t>
  </si>
  <si>
    <t> U-23031</t>
  </si>
  <si>
    <t> U-26031</t>
  </si>
  <si>
    <t> U-28031</t>
  </si>
  <si>
    <t> U-29033</t>
  </si>
  <si>
    <t> 10L-LG</t>
  </si>
  <si>
    <t> PS-08K</t>
  </si>
  <si>
    <t> PS-09M</t>
  </si>
  <si>
    <t> PS-09N</t>
  </si>
  <si>
    <t> PS-10N</t>
  </si>
  <si>
    <t> PS-11L</t>
  </si>
  <si>
    <t> PS-12K</t>
  </si>
  <si>
    <t> PS-12O</t>
  </si>
  <si>
    <t> PS-13L</t>
  </si>
  <si>
    <t> PS-15K</t>
  </si>
  <si>
    <t> PS-15L</t>
  </si>
  <si>
    <t> PS-16L</t>
  </si>
  <si>
    <t> PS-18L</t>
  </si>
  <si>
    <t> PS-18M</t>
  </si>
  <si>
    <t> PS-19L</t>
  </si>
  <si>
    <t> PS-20L</t>
  </si>
  <si>
    <t> PS-22O</t>
  </si>
  <si>
    <t> PS-23M</t>
  </si>
  <si>
    <t> PS-24L</t>
  </si>
  <si>
    <t> PS-24M</t>
  </si>
  <si>
    <t> PS-25N</t>
  </si>
  <si>
    <t> PS-25O</t>
  </si>
  <si>
    <t> PS-26N</t>
  </si>
  <si>
    <t> PS-26O</t>
  </si>
  <si>
    <t> PS-27M</t>
  </si>
  <si>
    <t> PS-28M</t>
  </si>
  <si>
    <t> PS-28N</t>
  </si>
  <si>
    <t> PS-29M</t>
  </si>
  <si>
    <t> PS-29O</t>
  </si>
  <si>
    <t> CU-08K</t>
  </si>
  <si>
    <t> CU-09M</t>
  </si>
  <si>
    <t> CU-09N</t>
  </si>
  <si>
    <t> CU-10N</t>
  </si>
  <si>
    <t> CU-11L</t>
  </si>
  <si>
    <t> CU-12K</t>
  </si>
  <si>
    <t> CU-12O</t>
  </si>
  <si>
    <t> CU-13L</t>
  </si>
  <si>
    <t> CU-15K</t>
  </si>
  <si>
    <t> CU-15L</t>
  </si>
  <si>
    <t> CU-16L</t>
  </si>
  <si>
    <t> CU-18L</t>
  </si>
  <si>
    <t> CU-18M</t>
  </si>
  <si>
    <t> CU-19L</t>
  </si>
  <si>
    <t> CU-20L</t>
  </si>
  <si>
    <t> CU-22O</t>
  </si>
  <si>
    <t> CU-23M</t>
  </si>
  <si>
    <t> CU-24L</t>
  </si>
  <si>
    <t> CU-24M</t>
  </si>
  <si>
    <t> CU-25N</t>
  </si>
  <si>
    <t> CU-25O</t>
  </si>
  <si>
    <t> CU-26N</t>
  </si>
  <si>
    <t> CU-26O</t>
  </si>
  <si>
    <t> CU-27M</t>
  </si>
  <si>
    <t> CU-28M</t>
  </si>
  <si>
    <t> CU-28N</t>
  </si>
  <si>
    <t> CU-29M</t>
  </si>
  <si>
    <t> CU-29O</t>
  </si>
  <si>
    <t> PS-03172</t>
  </si>
  <si>
    <t> U-03039</t>
  </si>
  <si>
    <t> PS-07T</t>
  </si>
  <si>
    <t> U-07T</t>
  </si>
  <si>
    <t>APTO - 2801</t>
  </si>
  <si>
    <t>APTO - 08K</t>
  </si>
  <si>
    <t>APTO - 09M</t>
  </si>
  <si>
    <t>APTO - 09N</t>
  </si>
  <si>
    <t>APTO - 10L-LG</t>
  </si>
  <si>
    <t>APTO - 10N</t>
  </si>
  <si>
    <t>APTO - 11L</t>
  </si>
  <si>
    <t>APTO - 12K</t>
  </si>
  <si>
    <t>APTO - 12O</t>
  </si>
  <si>
    <t>APTO - 13L</t>
  </si>
  <si>
    <t>APTO - 15K</t>
  </si>
  <si>
    <t>APTO - 15L</t>
  </si>
  <si>
    <t>APTO - 16L</t>
  </si>
  <si>
    <t>APTO - 18L</t>
  </si>
  <si>
    <t>APTO - 18M</t>
  </si>
  <si>
    <t>APTO - 19L</t>
  </si>
  <si>
    <t>APTO - 20L</t>
  </si>
  <si>
    <t>APTO - 22O</t>
  </si>
  <si>
    <t>APTO - 23M</t>
  </si>
  <si>
    <t>APTO - 24L</t>
  </si>
  <si>
    <t>APTO - 24M</t>
  </si>
  <si>
    <t>APTO - 25N</t>
  </si>
  <si>
    <t>APTO - 25O</t>
  </si>
  <si>
    <t>APTO - 26N</t>
  </si>
  <si>
    <t>APTO - 26O</t>
  </si>
  <si>
    <t>APTO - 27M</t>
  </si>
  <si>
    <t>APTO - 28N</t>
  </si>
  <si>
    <t>APTO - 29M</t>
  </si>
  <si>
    <t>APTO - 29O</t>
  </si>
  <si>
    <t>BANCOLOMBIA S.A.</t>
  </si>
  <si>
    <t>BUILES GUTIERREZ JOHN JAVIER</t>
  </si>
  <si>
    <t>UTIL-U-07031</t>
  </si>
  <si>
    <t>FRANCO REYES LORELEI</t>
  </si>
  <si>
    <t>UTIL-U-17031</t>
  </si>
  <si>
    <t>APTO-09L</t>
  </si>
  <si>
    <t>BARRENECHE CALLE LAURA MARCELA</t>
  </si>
  <si>
    <t>APTO-09O</t>
  </si>
  <si>
    <t>RUFELES TORO LIDA MARLY</t>
  </si>
  <si>
    <t>APTO-16K</t>
  </si>
  <si>
    <t>ARREDONDO CEBALLOS LEIDY</t>
  </si>
  <si>
    <t>APTO-16M</t>
  </si>
  <si>
    <t>LARGO CAÑAS JOHN FREDY</t>
  </si>
  <si>
    <t>APTO-18K</t>
  </si>
  <si>
    <t>JAG HOLDING S.A.S</t>
  </si>
  <si>
    <t>APTO-19M</t>
  </si>
  <si>
    <t>TAMAYO MONSALVE IVONHE TATIANA</t>
  </si>
  <si>
    <t>APTO-21M</t>
  </si>
  <si>
    <t>ARBOLEDA AMARILES CINDY VANESSA</t>
  </si>
  <si>
    <t>APTO-21N</t>
  </si>
  <si>
    <t>OSORIO GOMEZ LAURA</t>
  </si>
  <si>
    <t>APTO-22N</t>
  </si>
  <si>
    <t>APTO-23N</t>
  </si>
  <si>
    <t>ZULUAGA RAMIREZ MARIA RUBIELA</t>
  </si>
  <si>
    <t>APTO-26M</t>
  </si>
  <si>
    <t>OROZCO GUZMAN JASON</t>
  </si>
  <si>
    <t>APTO-27K</t>
  </si>
  <si>
    <t>GIL CASTRO MARIA FERNANDA</t>
  </si>
  <si>
    <t>APTO-27N</t>
  </si>
  <si>
    <t>HERNANDEZ MUÑOZ CRISTIAN DAVID</t>
  </si>
  <si>
    <t>APTO-30N</t>
  </si>
  <si>
    <t>MAZO MUÑOZ CRISTIAN DAVID</t>
  </si>
  <si>
    <t> PS-01070</t>
  </si>
  <si>
    <t> PS-05121</t>
  </si>
  <si>
    <t> PS-0515</t>
  </si>
  <si>
    <t> U-22033</t>
  </si>
  <si>
    <t> U-07031</t>
  </si>
  <si>
    <t> U-17031</t>
  </si>
  <si>
    <t> PS-09L</t>
  </si>
  <si>
    <t> PS-09O</t>
  </si>
  <si>
    <t> PS-16K</t>
  </si>
  <si>
    <t> PS-16M</t>
  </si>
  <si>
    <t> PS-18K</t>
  </si>
  <si>
    <t> PS-19M</t>
  </si>
  <si>
    <t> PS-21M</t>
  </si>
  <si>
    <t> PS-21N</t>
  </si>
  <si>
    <t> PS-22N</t>
  </si>
  <si>
    <t> PS-23N</t>
  </si>
  <si>
    <t> PS-24O</t>
  </si>
  <si>
    <t> PS-26M</t>
  </si>
  <si>
    <t> PS-27K</t>
  </si>
  <si>
    <t> PS-27N</t>
  </si>
  <si>
    <t> PS-30N</t>
  </si>
  <si>
    <t> CU-09L</t>
  </si>
  <si>
    <t> CU-09O</t>
  </si>
  <si>
    <t> CU-16K</t>
  </si>
  <si>
    <t> CU-16M</t>
  </si>
  <si>
    <t> CU-18K</t>
  </si>
  <si>
    <t> CU-19M</t>
  </si>
  <si>
    <t> CU-21M</t>
  </si>
  <si>
    <t> CU-21N</t>
  </si>
  <si>
    <t> CU-22N</t>
  </si>
  <si>
    <t> CU-23N</t>
  </si>
  <si>
    <t> CU-24O</t>
  </si>
  <si>
    <t> CU-27K</t>
  </si>
  <si>
    <t> CU-27N</t>
  </si>
  <si>
    <t> CU-30N</t>
  </si>
  <si>
    <t>APTO - 09L</t>
  </si>
  <si>
    <t>APTO - 09O</t>
  </si>
  <si>
    <t>APTO - 16K</t>
  </si>
  <si>
    <t>APTO - 16M</t>
  </si>
  <si>
    <t>APTO - 18K</t>
  </si>
  <si>
    <t>APTO - 19M</t>
  </si>
  <si>
    <t>APTO - 21M</t>
  </si>
  <si>
    <t>APTO - 21N</t>
  </si>
  <si>
    <t>APTO - 22N</t>
  </si>
  <si>
    <t>APTO - 23N</t>
  </si>
  <si>
    <t>APTO - 26M</t>
  </si>
  <si>
    <t>APTO - 27K</t>
  </si>
  <si>
    <t>APTO - 27N</t>
  </si>
  <si>
    <t>APTO - 30N</t>
  </si>
  <si>
    <t>Impuesto Predial</t>
  </si>
  <si>
    <t>CAÑADAS HOYOS JOSE RAUL</t>
  </si>
  <si>
    <t>MARTINEZ PARRA ANGIE PAOLA</t>
  </si>
  <si>
    <t>UTIL-U-14032</t>
  </si>
  <si>
    <t>UTIL-U-24031</t>
  </si>
  <si>
    <t>APTO-16N</t>
  </si>
  <si>
    <t>APTO-19O</t>
  </si>
  <si>
    <t>GOMEZ GRACIANO JULIANA</t>
  </si>
  <si>
    <t>APTO-20O</t>
  </si>
  <si>
    <t>MEJÍA TABARES PAULA ANDREA</t>
  </si>
  <si>
    <t>APTO-26K</t>
  </si>
  <si>
    <t>MEJIA SANCHEZ ELKIN ADRIAN</t>
  </si>
  <si>
    <t>APTO-27L</t>
  </si>
  <si>
    <t>VELEZ ESPINOSA JOSELYN</t>
  </si>
  <si>
    <t>MARULANDA ROLDAN LAURA</t>
  </si>
  <si>
    <t>ARBOLEDA PEREZ JHONY ALEXANDER</t>
  </si>
  <si>
    <t>LOPEZ RAMIREZ MARTIN ALONSO</t>
  </si>
  <si>
    <t> PS-01068</t>
  </si>
  <si>
    <t> PS-05119</t>
  </si>
  <si>
    <t> U-18032</t>
  </si>
  <si>
    <t> PS-01114</t>
  </si>
  <si>
    <t> PS-05169</t>
  </si>
  <si>
    <t> U-13031</t>
  </si>
  <si>
    <t> U-14032</t>
  </si>
  <si>
    <t> U-24031</t>
  </si>
  <si>
    <t> U-30031</t>
  </si>
  <si>
    <t> PS-16N</t>
  </si>
  <si>
    <t> PS-17K</t>
  </si>
  <si>
    <t> PS-19O</t>
  </si>
  <si>
    <t> PS-20O</t>
  </si>
  <si>
    <t> PS-26K</t>
  </si>
  <si>
    <t> PS-27L</t>
  </si>
  <si>
    <t> CU-16N</t>
  </si>
  <si>
    <t> CU-17K</t>
  </si>
  <si>
    <t> CU-19O</t>
  </si>
  <si>
    <t> CU-20O</t>
  </si>
  <si>
    <t> CU-26K</t>
  </si>
  <si>
    <t> CU-27L</t>
  </si>
  <si>
    <t> PS-03175</t>
  </si>
  <si>
    <t> PS-04164</t>
  </si>
  <si>
    <t> U-01337</t>
  </si>
  <si>
    <t> U-04141</t>
  </si>
  <si>
    <t>APTO - 16N</t>
  </si>
  <si>
    <t>APTO - 19O</t>
  </si>
  <si>
    <t>APTO - 20O</t>
  </si>
  <si>
    <t>APTO - 26K</t>
  </si>
  <si>
    <t>APTO - 27L</t>
  </si>
  <si>
    <t>Predial T-1A</t>
  </si>
  <si>
    <t>LOAIZA HENAO LUZ ESTELLA</t>
  </si>
  <si>
    <t>ECHEVERRY GARCIA DIEGO LUIS</t>
  </si>
  <si>
    <t>FRANCO BETANCUR ANDREA</t>
  </si>
  <si>
    <t>APTO-2803</t>
  </si>
  <si>
    <t>RUIZ CATAÑO JULIANA</t>
  </si>
  <si>
    <t>APTO-08L</t>
  </si>
  <si>
    <t>CAMACHO SOSSA DIEGO ALEJANDRO</t>
  </si>
  <si>
    <t>APTO-09K</t>
  </si>
  <si>
    <t>GONZALEZ MARIN MARIBEL</t>
  </si>
  <si>
    <t>APTO-12N</t>
  </si>
  <si>
    <t>BERRIO VASQUEZ MATEO</t>
  </si>
  <si>
    <t>APTO-17M</t>
  </si>
  <si>
    <t>ALVAREZ CANO KELLY JOHANA</t>
  </si>
  <si>
    <t>APTO-17N</t>
  </si>
  <si>
    <t>ESCOBAR ALVAREZ DIANA MARCELA</t>
  </si>
  <si>
    <t>APTO-22K</t>
  </si>
  <si>
    <t>TORO VILLEGAS MARCELINA</t>
  </si>
  <si>
    <t>APTO-25M</t>
  </si>
  <si>
    <t>ALVAREZ ESPINOSA FRANCISCO JAVIER</t>
  </si>
  <si>
    <t>AGUDELO CORTES CLAUDIA PATRICIA</t>
  </si>
  <si>
    <t>GIRALDO LOPEZ MATEO</t>
  </si>
  <si>
    <t>OROZCO ALZATE RAUL IVAN</t>
  </si>
  <si>
    <t>CANO NARVAEZ MANUELA</t>
  </si>
  <si>
    <t>FUENTES QUINTERO ARIANNA ANDREA</t>
  </si>
  <si>
    <t>RENDON RIOS KELLY ALEJANDRA</t>
  </si>
  <si>
    <t> PS-02113</t>
  </si>
  <si>
    <t> PS-04123</t>
  </si>
  <si>
    <t> U-06034</t>
  </si>
  <si>
    <t> PS-02023</t>
  </si>
  <si>
    <t> PS-03125</t>
  </si>
  <si>
    <t> PS-04082</t>
  </si>
  <si>
    <t> PS-04084</t>
  </si>
  <si>
    <t> PS-04125</t>
  </si>
  <si>
    <t> PS-05033</t>
  </si>
  <si>
    <t> U-01018</t>
  </si>
  <si>
    <t> U-01032</t>
  </si>
  <si>
    <t> U-11033</t>
  </si>
  <si>
    <t> U-16032</t>
  </si>
  <si>
    <t> U-21033</t>
  </si>
  <si>
    <t> PS-08L</t>
  </si>
  <si>
    <t> PS-09K</t>
  </si>
  <si>
    <t> PS-12N</t>
  </si>
  <si>
    <t> PS-17M</t>
  </si>
  <si>
    <t> PS-17N</t>
  </si>
  <si>
    <t> PS-22K</t>
  </si>
  <si>
    <t> PS-25M</t>
  </si>
  <si>
    <t> CU-08L</t>
  </si>
  <si>
    <t> CU-09K</t>
  </si>
  <si>
    <t> CU-12N</t>
  </si>
  <si>
    <t> CU-17M</t>
  </si>
  <si>
    <t> CU-17N</t>
  </si>
  <si>
    <t> CU-22K</t>
  </si>
  <si>
    <t> CU-25M</t>
  </si>
  <si>
    <t> PS-02122</t>
  </si>
  <si>
    <t> PS-03114</t>
  </si>
  <si>
    <t> U-02123</t>
  </si>
  <si>
    <t> U-03118</t>
  </si>
  <si>
    <t> PS-05159</t>
  </si>
  <si>
    <t> PS-05161</t>
  </si>
  <si>
    <t> U-02238</t>
  </si>
  <si>
    <t> U-02737</t>
  </si>
  <si>
    <t>APTO - 2803</t>
  </si>
  <si>
    <t>APTO - 08L</t>
  </si>
  <si>
    <t>APTO - 09K</t>
  </si>
  <si>
    <t>APTO - 12N</t>
  </si>
  <si>
    <t>APTO - 17M</t>
  </si>
  <si>
    <t>APTO - 17N</t>
  </si>
  <si>
    <t>APTO - 22K</t>
  </si>
  <si>
    <t>APTO - 25M</t>
  </si>
  <si>
    <t>Predial T-1B</t>
  </si>
  <si>
    <t>APTO-1307</t>
  </si>
  <si>
    <t>VASCO PEREZ DANIEL ESTEBAN</t>
  </si>
  <si>
    <t>CEBALLOS MARIN JHEYSON FABIAN</t>
  </si>
  <si>
    <t>PEREZ IVAN DARIO</t>
  </si>
  <si>
    <t>LOAIZA GOMEZ ERIKA</t>
  </si>
  <si>
    <t>GEORGE DIOMEDES DE JESUS</t>
  </si>
  <si>
    <t>APTO-2901</t>
  </si>
  <si>
    <t>GRISALES BURITICA LEIDY JHOANA</t>
  </si>
  <si>
    <t>UTIL-U-27032</t>
  </si>
  <si>
    <t>VALENCIA ANDRADE FANNY</t>
  </si>
  <si>
    <t>APTO-06M1</t>
  </si>
  <si>
    <t>APTO-06O1</t>
  </si>
  <si>
    <t>CALVIJO GIRALDO MARIA CRISTINA</t>
  </si>
  <si>
    <t>APTO-07L</t>
  </si>
  <si>
    <t>ACOSTA CORREA JOSE DAVID</t>
  </si>
  <si>
    <t>APTO-08N</t>
  </si>
  <si>
    <t>GLORIA PINEDA BARRERO</t>
  </si>
  <si>
    <t>APTO-10O</t>
  </si>
  <si>
    <t>GALLEGO ARANGO LUISA FERNANDA</t>
  </si>
  <si>
    <t>APTO-11N</t>
  </si>
  <si>
    <t>TORRES MESA LINA MARCELA</t>
  </si>
  <si>
    <t>APTO-12L</t>
  </si>
  <si>
    <t>GALLEGO MADRID DIANA ESTELLA</t>
  </si>
  <si>
    <t>APTO-12M</t>
  </si>
  <si>
    <t>ARISTIZABAL MARIN REYNEL ANDRES</t>
  </si>
  <si>
    <t>RAMIREZ ORTIZ ZORAIDA</t>
  </si>
  <si>
    <t>APTO-20N</t>
  </si>
  <si>
    <t>GUZMAN CONDE MIGUEL ALEXANDER</t>
  </si>
  <si>
    <t>APTO-21O</t>
  </si>
  <si>
    <t>APTO-22M</t>
  </si>
  <si>
    <t>FRANCO BALLESTROS ISABEL CRISTINA</t>
  </si>
  <si>
    <t>APTO-23K</t>
  </si>
  <si>
    <t>SU YUEFEN</t>
  </si>
  <si>
    <t>APTO-23L</t>
  </si>
  <si>
    <t>CADAVID ACEVEDO LINA MARIA</t>
  </si>
  <si>
    <t>APTO-30L</t>
  </si>
  <si>
    <t>RUIZ RUIZ DIANA PATRICIA</t>
  </si>
  <si>
    <t>ESCORCIA MARIN JORGE JUNIOR</t>
  </si>
  <si>
    <t>CAMPO VANEGAS SINDY PAOLA</t>
  </si>
  <si>
    <t>ZULAY TATIANA RAMIREZ MENESES</t>
  </si>
  <si>
    <t>GIRALDO CAÑAS MIGUEL ANGEL</t>
  </si>
  <si>
    <t>GIRALDO  CAÑAS MIGUEL ANGEL</t>
  </si>
  <si>
    <t> PS-03038</t>
  </si>
  <si>
    <t> U-27032</t>
  </si>
  <si>
    <t> PS-06O</t>
  </si>
  <si>
    <t> PS-07L</t>
  </si>
  <si>
    <t> PS-08N</t>
  </si>
  <si>
    <t> PS-10O</t>
  </si>
  <si>
    <t> PS-11N</t>
  </si>
  <si>
    <t> PS-12L</t>
  </si>
  <si>
    <t> PS-12M</t>
  </si>
  <si>
    <t> PS-20N</t>
  </si>
  <si>
    <t> PS-21O</t>
  </si>
  <si>
    <t> PS-22M</t>
  </si>
  <si>
    <t> PS-23K</t>
  </si>
  <si>
    <t> PS-23L</t>
  </si>
  <si>
    <t> PS-30L</t>
  </si>
  <si>
    <t> CU-06O</t>
  </si>
  <si>
    <t> CU-07L</t>
  </si>
  <si>
    <t> CU-08N</t>
  </si>
  <si>
    <t> CU-10O</t>
  </si>
  <si>
    <t> CU-11N</t>
  </si>
  <si>
    <t> CU-12L</t>
  </si>
  <si>
    <t> CU-12M</t>
  </si>
  <si>
    <t> CU-20N</t>
  </si>
  <si>
    <t> CU-21O</t>
  </si>
  <si>
    <t> CU-22M</t>
  </si>
  <si>
    <t> CU-23K</t>
  </si>
  <si>
    <t> CU-23L</t>
  </si>
  <si>
    <t> CU-30L</t>
  </si>
  <si>
    <t> PS-01103</t>
  </si>
  <si>
    <t> PS-02073</t>
  </si>
  <si>
    <t> PS-02075</t>
  </si>
  <si>
    <t> PS-02102</t>
  </si>
  <si>
    <t> U-01837</t>
  </si>
  <si>
    <t> U-02105</t>
  </si>
  <si>
    <t> U-02327</t>
  </si>
  <si>
    <t> U-02438</t>
  </si>
  <si>
    <t>APTO - 1307</t>
  </si>
  <si>
    <t>APTO - 2901</t>
  </si>
  <si>
    <t>APTO - 06M1</t>
  </si>
  <si>
    <t>APTO - 06O1</t>
  </si>
  <si>
    <t>APTO - 07L</t>
  </si>
  <si>
    <t>APTO - 08N</t>
  </si>
  <si>
    <t>APTO - 10O</t>
  </si>
  <si>
    <t>APTO - 11N</t>
  </si>
  <si>
    <t>APTO - 12L</t>
  </si>
  <si>
    <t>APTO - 12M</t>
  </si>
  <si>
    <t>APTO - 20N</t>
  </si>
  <si>
    <t>APTO - 21O</t>
  </si>
  <si>
    <t>APTO - 22M</t>
  </si>
  <si>
    <t>APTO - 23K</t>
  </si>
  <si>
    <t>APTO - 23L</t>
  </si>
  <si>
    <t>APTO - 30L</t>
  </si>
  <si>
    <t>APTO-1110</t>
  </si>
  <si>
    <t>INVERSIONES FLORISA SAS</t>
  </si>
  <si>
    <t>APTO-1308</t>
  </si>
  <si>
    <t>VELEZ ECHAVARRIA ZULEMA</t>
  </si>
  <si>
    <t>APTO-2005</t>
  </si>
  <si>
    <t>UTIL-U-06031</t>
  </si>
  <si>
    <t>UTIL-U-10033</t>
  </si>
  <si>
    <t>APTO-06K1</t>
  </si>
  <si>
    <t>VALENCIA GOMEZ ORLANDO DE JESUS</t>
  </si>
  <si>
    <t>APTO-11M</t>
  </si>
  <si>
    <t>TAPIAS VANEGAS JUAN FELIPE</t>
  </si>
  <si>
    <t>APTO-13N</t>
  </si>
  <si>
    <t>ROSERO VILLA OLGA MAYERLY</t>
  </si>
  <si>
    <t>APTO-19N</t>
  </si>
  <si>
    <t>TORO AGUDELO MARIA NELLY</t>
  </si>
  <si>
    <t>CASTAÑO QUINTANA JOSE STALIN</t>
  </si>
  <si>
    <t>DIAZ MANCIPE GLORIA CECILIA</t>
  </si>
  <si>
    <t>GARCIA GUERRA MARIANA</t>
  </si>
  <si>
    <t> PS-02065</t>
  </si>
  <si>
    <t> PS-05076</t>
  </si>
  <si>
    <t> PS-05111</t>
  </si>
  <si>
    <t> U-01003</t>
  </si>
  <si>
    <t> U-03015</t>
  </si>
  <si>
    <t> U-08032</t>
  </si>
  <si>
    <t> U-11032</t>
  </si>
  <si>
    <t> U-13032</t>
  </si>
  <si>
    <t> U-20033</t>
  </si>
  <si>
    <t> PS-02059</t>
  </si>
  <si>
    <t> PS-03112</t>
  </si>
  <si>
    <t> PS-04074</t>
  </si>
  <si>
    <t> PS-2099</t>
  </si>
  <si>
    <t> U-01002</t>
  </si>
  <si>
    <t> U-06031</t>
  </si>
  <si>
    <t> U-06032</t>
  </si>
  <si>
    <t> U-10033</t>
  </si>
  <si>
    <t> U-12031</t>
  </si>
  <si>
    <t> U-17032</t>
  </si>
  <si>
    <t> U-25032</t>
  </si>
  <si>
    <t> U-30032</t>
  </si>
  <si>
    <t> PS-06K</t>
  </si>
  <si>
    <t> PS-11M</t>
  </si>
  <si>
    <t> PS-13N</t>
  </si>
  <si>
    <t> PS-19N</t>
  </si>
  <si>
    <t> CU-06K</t>
  </si>
  <si>
    <t> CU-11M</t>
  </si>
  <si>
    <t> CU-13N</t>
  </si>
  <si>
    <t> CU-19N</t>
  </si>
  <si>
    <t> PS-01162</t>
  </si>
  <si>
    <t> PS-02092</t>
  </si>
  <si>
    <t> PS-03088</t>
  </si>
  <si>
    <t> U-02738</t>
  </si>
  <si>
    <t> U-03141</t>
  </si>
  <si>
    <t>APTO - 1110</t>
  </si>
  <si>
    <t>APTO - 1308</t>
  </si>
  <si>
    <t>APTO - 2005</t>
  </si>
  <si>
    <t>APTO - 06K1</t>
  </si>
  <si>
    <t>APTO - 11M</t>
  </si>
  <si>
    <t>APTO - 13N</t>
  </si>
  <si>
    <t>APTO - 19N</t>
  </si>
  <si>
    <t>Subsidio</t>
  </si>
  <si>
    <t>RAMIREZ CORREA ESTEBAN</t>
  </si>
  <si>
    <t>GIRALDO DUQUE HERLEY</t>
  </si>
  <si>
    <t>GOMEZ ARBELAEZ RAFAEL EDUARDO</t>
  </si>
  <si>
    <t>SIERRA MORENO CLARA INES DEL SOCORRO</t>
  </si>
  <si>
    <t>CARMONA TABARES DUVER ALONSO</t>
  </si>
  <si>
    <t>CASTAÑO GOMEZ DIEGO</t>
  </si>
  <si>
    <t>MAYA VELASQUEZ JOHNNY ALEXANDER</t>
  </si>
  <si>
    <t>APTO-06L1</t>
  </si>
  <si>
    <t>HOLGUIN ROJAS CARLOS ANDRES</t>
  </si>
  <si>
    <t>APTO-08M</t>
  </si>
  <si>
    <t>RIVERA OSSA NELSON JAVIER</t>
  </si>
  <si>
    <t>APTO-13M</t>
  </si>
  <si>
    <t>RIOS LOPEZ STEFHANIE</t>
  </si>
  <si>
    <t>APTO-14M</t>
  </si>
  <si>
    <t>CUERVO MARIN DANIELA</t>
  </si>
  <si>
    <t>APTO-21K</t>
  </si>
  <si>
    <t>TORRES CARDENAS ALEXIS</t>
  </si>
  <si>
    <t>APTO-25K</t>
  </si>
  <si>
    <t>ACEVEDO MONSALVE ADRIANA LUCERO</t>
  </si>
  <si>
    <t>APTO-0620</t>
  </si>
  <si>
    <t>APTO-0621</t>
  </si>
  <si>
    <t>APTO-0622</t>
  </si>
  <si>
    <t>APTO-0623</t>
  </si>
  <si>
    <t>APTO-0624</t>
  </si>
  <si>
    <t>APTO-0625</t>
  </si>
  <si>
    <t>APTO-0720</t>
  </si>
  <si>
    <t>APTO-0721</t>
  </si>
  <si>
    <t>APTO-0722</t>
  </si>
  <si>
    <t>APTO-0723</t>
  </si>
  <si>
    <t>APTO-0724</t>
  </si>
  <si>
    <t>HERRERA PINTO LUIS FERNANDO</t>
  </si>
  <si>
    <t>APTO-0820</t>
  </si>
  <si>
    <t>DE LA CALLE OSORIO RUBEN DARIO</t>
  </si>
  <si>
    <t>APTO-0821</t>
  </si>
  <si>
    <t>APTO-0822</t>
  </si>
  <si>
    <t>APTO-0823</t>
  </si>
  <si>
    <t>APTO-0824</t>
  </si>
  <si>
    <t>APTO-0825</t>
  </si>
  <si>
    <t>APTO-0921</t>
  </si>
  <si>
    <t>APTO-0922</t>
  </si>
  <si>
    <t>APTO-0923</t>
  </si>
  <si>
    <t>APTO-0924</t>
  </si>
  <si>
    <t>APTO-0925</t>
  </si>
  <si>
    <t>APTO-1021</t>
  </si>
  <si>
    <t>APTO-1022</t>
  </si>
  <si>
    <t>APTO-1023</t>
  </si>
  <si>
    <t>APTO-1024</t>
  </si>
  <si>
    <t>APTO-1025</t>
  </si>
  <si>
    <t>APTO-1121</t>
  </si>
  <si>
    <t>APTO-1122</t>
  </si>
  <si>
    <t>APTO-1123</t>
  </si>
  <si>
    <t>APTO-1124</t>
  </si>
  <si>
    <t>APTO-1220</t>
  </si>
  <si>
    <t>APTO-1221</t>
  </si>
  <si>
    <t>APTO-1222</t>
  </si>
  <si>
    <t>APTO-1223</t>
  </si>
  <si>
    <t>APTO-1224</t>
  </si>
  <si>
    <t>APTO-1225</t>
  </si>
  <si>
    <t>APTO-1320</t>
  </si>
  <si>
    <t>ARANGO HERNANDEZ DORA STELLA</t>
  </si>
  <si>
    <t>APTO-1321</t>
  </si>
  <si>
    <t>APTO-1322</t>
  </si>
  <si>
    <t>APTO-1323</t>
  </si>
  <si>
    <t>APTO-1324</t>
  </si>
  <si>
    <t>APTO-1325</t>
  </si>
  <si>
    <t>APTO-1420</t>
  </si>
  <si>
    <t>APTO-1421</t>
  </si>
  <si>
    <t>APTO-1422</t>
  </si>
  <si>
    <t>APTO-1423</t>
  </si>
  <si>
    <t>GOMEZ PEREZ JULIAN DAVID</t>
  </si>
  <si>
    <t>APTO-1424</t>
  </si>
  <si>
    <t>APTO-1425</t>
  </si>
  <si>
    <t>APTO-1520</t>
  </si>
  <si>
    <t>APTO-1521</t>
  </si>
  <si>
    <t>APTO-1522</t>
  </si>
  <si>
    <t>APTO-1523</t>
  </si>
  <si>
    <t>APTO-1524</t>
  </si>
  <si>
    <t>APTO-1620</t>
  </si>
  <si>
    <t>APTO-1621</t>
  </si>
  <si>
    <t>APTO-1622</t>
  </si>
  <si>
    <t>APTO-1623</t>
  </si>
  <si>
    <t>APTO-1624</t>
  </si>
  <si>
    <t>APTO-1720</t>
  </si>
  <si>
    <t>APTO-1721</t>
  </si>
  <si>
    <t>APTO-1722</t>
  </si>
  <si>
    <t>APTO-1723</t>
  </si>
  <si>
    <t>APTO-1724</t>
  </si>
  <si>
    <t>APTO-1725</t>
  </si>
  <si>
    <t>APTO-1820</t>
  </si>
  <si>
    <t>APTO-1821</t>
  </si>
  <si>
    <t>APTO-1822</t>
  </si>
  <si>
    <t>APTO-1823</t>
  </si>
  <si>
    <t>APTO-1824</t>
  </si>
  <si>
    <t>APTO-1825</t>
  </si>
  <si>
    <t>APTO-1920</t>
  </si>
  <si>
    <t>APTO-1921</t>
  </si>
  <si>
    <t>APTO-1922</t>
  </si>
  <si>
    <t>APTO-1923</t>
  </si>
  <si>
    <t>APTO-1924</t>
  </si>
  <si>
    <t>APTO-1925</t>
  </si>
  <si>
    <t>APTO-2020</t>
  </si>
  <si>
    <t>APTO-2021</t>
  </si>
  <si>
    <t>APTO-2022</t>
  </si>
  <si>
    <t>APTO-2023</t>
  </si>
  <si>
    <t>APTO-2024</t>
  </si>
  <si>
    <t>APTO-2120</t>
  </si>
  <si>
    <t>APTO-2121</t>
  </si>
  <si>
    <t>APTO-2122</t>
  </si>
  <si>
    <t>APTO-2123</t>
  </si>
  <si>
    <t>APTO-2124</t>
  </si>
  <si>
    <t>APTO-2220</t>
  </si>
  <si>
    <t>APTO-2221</t>
  </si>
  <si>
    <t>APTO-2222</t>
  </si>
  <si>
    <t>APTO-2223</t>
  </si>
  <si>
    <t>APTO-2224</t>
  </si>
  <si>
    <t>LOPEZ ISAZA BRYAN</t>
  </si>
  <si>
    <t>APTO-2320</t>
  </si>
  <si>
    <t>APTO-2321</t>
  </si>
  <si>
    <t>APTO-2322</t>
  </si>
  <si>
    <t>APTO-2323</t>
  </si>
  <si>
    <t>APTO-2324</t>
  </si>
  <si>
    <t>APTO-2421</t>
  </si>
  <si>
    <t>APTO-2422</t>
  </si>
  <si>
    <t>APTO-2423</t>
  </si>
  <si>
    <t>APTO-2424</t>
  </si>
  <si>
    <t>APTO-2520</t>
  </si>
  <si>
    <t>APTO-2521</t>
  </si>
  <si>
    <t>APTO-2522</t>
  </si>
  <si>
    <t>APTO-2523</t>
  </si>
  <si>
    <t>APTO-2524</t>
  </si>
  <si>
    <t>APTO-2525</t>
  </si>
  <si>
    <t>APTO-2621</t>
  </si>
  <si>
    <t>APTO-2622</t>
  </si>
  <si>
    <t>APTO-2623</t>
  </si>
  <si>
    <t>APTO-2625</t>
  </si>
  <si>
    <t>APTO-2721</t>
  </si>
  <si>
    <t>APTO-2722</t>
  </si>
  <si>
    <t>APTO-2723</t>
  </si>
  <si>
    <t>APTO-2724</t>
  </si>
  <si>
    <t>APTO-2820</t>
  </si>
  <si>
    <t>APTO-2821</t>
  </si>
  <si>
    <t>APTO-2822</t>
  </si>
  <si>
    <t>APTO-2823</t>
  </si>
  <si>
    <t>APTO-2824</t>
  </si>
  <si>
    <t>APTO-2920</t>
  </si>
  <si>
    <t>APTO-2921</t>
  </si>
  <si>
    <t>APTO-2922</t>
  </si>
  <si>
    <t>APTO-2923</t>
  </si>
  <si>
    <t>APTO-2924</t>
  </si>
  <si>
    <t>SANCHEZ ARENAS FABIANA</t>
  </si>
  <si>
    <t>APTO-3020</t>
  </si>
  <si>
    <t>APTO-3021</t>
  </si>
  <si>
    <t>APTO-3022</t>
  </si>
  <si>
    <t>APTO-3023</t>
  </si>
  <si>
    <t>PM-PMP1-1165</t>
  </si>
  <si>
    <t>PM-PMP1-1166</t>
  </si>
  <si>
    <t>APTO-0617</t>
  </si>
  <si>
    <t>APTO-0618</t>
  </si>
  <si>
    <t>APTO-0619</t>
  </si>
  <si>
    <t>APTO-0716</t>
  </si>
  <si>
    <t>APTO-0717</t>
  </si>
  <si>
    <t>APTO-0718</t>
  </si>
  <si>
    <t>APTO-0816</t>
  </si>
  <si>
    <t>APTO-0817</t>
  </si>
  <si>
    <t>APTO-0819</t>
  </si>
  <si>
    <t>APTO-0916</t>
  </si>
  <si>
    <t>APTO-0917</t>
  </si>
  <si>
    <t>ANGOLA MURILLO GINA PATRICIA</t>
  </si>
  <si>
    <t>APTO-0918</t>
  </si>
  <si>
    <t>APTO-0919</t>
  </si>
  <si>
    <t>APTO-1016</t>
  </si>
  <si>
    <t>APTO-1019</t>
  </si>
  <si>
    <t>APTO-1116</t>
  </si>
  <si>
    <t>APTO-1118</t>
  </si>
  <si>
    <t>PATIÑO BARRERA LUIS ALEJANDRO</t>
  </si>
  <si>
    <t>APTO-1119</t>
  </si>
  <si>
    <t>APTO-1216</t>
  </si>
  <si>
    <t>APTO-1218</t>
  </si>
  <si>
    <t>APTO-1219</t>
  </si>
  <si>
    <t>APTO-1316</t>
  </si>
  <si>
    <t>APTO-1318</t>
  </si>
  <si>
    <t>APTO-1319</t>
  </si>
  <si>
    <t>APTO-1416</t>
  </si>
  <si>
    <t>APTO-1417</t>
  </si>
  <si>
    <t>APTO-1418</t>
  </si>
  <si>
    <t>APTO-1419</t>
  </si>
  <si>
    <t>APTO-1516</t>
  </si>
  <si>
    <t>APTO-1519</t>
  </si>
  <si>
    <t>APTO-1616</t>
  </si>
  <si>
    <t>APTO-1618</t>
  </si>
  <si>
    <t>APTO-1619</t>
  </si>
  <si>
    <t>APTO-1716</t>
  </si>
  <si>
    <t>APTO-1718</t>
  </si>
  <si>
    <t>APTO-1719</t>
  </si>
  <si>
    <t>APTO-1816</t>
  </si>
  <si>
    <t>APTO-1817</t>
  </si>
  <si>
    <t>VIDAL HERRERA FREDY ALONSO</t>
  </si>
  <si>
    <t>APTO-1818</t>
  </si>
  <si>
    <t>APTO-1819</t>
  </si>
  <si>
    <t>APTO-1916</t>
  </si>
  <si>
    <t>APTO-1917</t>
  </si>
  <si>
    <t>GONZALEZ ARANGO JORGE ALBERTO</t>
  </si>
  <si>
    <t>APTO-1918</t>
  </si>
  <si>
    <t>APTO-1919</t>
  </si>
  <si>
    <t>APTO-2017</t>
  </si>
  <si>
    <t>APTO-2018</t>
  </si>
  <si>
    <t>APTO-2019</t>
  </si>
  <si>
    <t>APTO-2116</t>
  </si>
  <si>
    <t>APTO-2117</t>
  </si>
  <si>
    <t>APTO-2118</t>
  </si>
  <si>
    <t>APTO-2119</t>
  </si>
  <si>
    <t>APTO-2216</t>
  </si>
  <si>
    <t>APTO-2217</t>
  </si>
  <si>
    <t>APTO-2218</t>
  </si>
  <si>
    <t>APTO-2219</t>
  </si>
  <si>
    <t>APTO-2316</t>
  </si>
  <si>
    <t>APTO-2318</t>
  </si>
  <si>
    <t>APTO-2319</t>
  </si>
  <si>
    <t>APTO-2416</t>
  </si>
  <si>
    <t>APTO-2419</t>
  </si>
  <si>
    <t>APTO-2516</t>
  </si>
  <si>
    <t>QUINTERO GIRALDO WILSON</t>
  </si>
  <si>
    <t>APTO-2518</t>
  </si>
  <si>
    <t>APTO-2519</t>
  </si>
  <si>
    <t>APTO-2616</t>
  </si>
  <si>
    <t>APTO-2618</t>
  </si>
  <si>
    <t>APTO-2619</t>
  </si>
  <si>
    <t>APTO-2716</t>
  </si>
  <si>
    <t>APTO-2717</t>
  </si>
  <si>
    <t>APTO-2719</t>
  </si>
  <si>
    <t>APTO-2816</t>
  </si>
  <si>
    <t>APTO-2817</t>
  </si>
  <si>
    <t>APTO-2818</t>
  </si>
  <si>
    <t>APTO-2819</t>
  </si>
  <si>
    <t>APTO-2916</t>
  </si>
  <si>
    <t>APTO-2917</t>
  </si>
  <si>
    <t>APTO-2919</t>
  </si>
  <si>
    <t>APTO-3016</t>
  </si>
  <si>
    <t>APTO-3017</t>
  </si>
  <si>
    <t>APTO-3018</t>
  </si>
  <si>
    <t>APTO-3019</t>
  </si>
  <si>
    <t> PS-01029-</t>
  </si>
  <si>
    <t> PS-01061</t>
  </si>
  <si>
    <t> PS-05034</t>
  </si>
  <si>
    <t> PS-02010</t>
  </si>
  <si>
    <t> PS-02058</t>
  </si>
  <si>
    <t> PS-04126</t>
  </si>
  <si>
    <t> U-02020</t>
  </si>
  <si>
    <t> PS-06L</t>
  </si>
  <si>
    <t> PS-08M</t>
  </si>
  <si>
    <t> PS-13M</t>
  </si>
  <si>
    <t> PS-14M</t>
  </si>
  <si>
    <t> PS-21K</t>
  </si>
  <si>
    <t> PS-25K</t>
  </si>
  <si>
    <t> CU-06L</t>
  </si>
  <si>
    <t> CU-08M</t>
  </si>
  <si>
    <t> CU-13M</t>
  </si>
  <si>
    <t> CU-14M</t>
  </si>
  <si>
    <t> CU-21K</t>
  </si>
  <si>
    <t> CU-25K</t>
  </si>
  <si>
    <t> 0725</t>
  </si>
  <si>
    <t> 0920</t>
  </si>
  <si>
    <t> 1020</t>
  </si>
  <si>
    <t> 1120</t>
  </si>
  <si>
    <t> 1125</t>
  </si>
  <si>
    <t> 1525</t>
  </si>
  <si>
    <t> 1625</t>
  </si>
  <si>
    <t> 2025</t>
  </si>
  <si>
    <t> 2125</t>
  </si>
  <si>
    <t> 2225</t>
  </si>
  <si>
    <t> 2325</t>
  </si>
  <si>
    <t> 2420</t>
  </si>
  <si>
    <t> 2425</t>
  </si>
  <si>
    <t> 2620</t>
  </si>
  <si>
    <t> 2624</t>
  </si>
  <si>
    <t> 2720</t>
  </si>
  <si>
    <t> 2725</t>
  </si>
  <si>
    <t> 2825</t>
  </si>
  <si>
    <t> 2925</t>
  </si>
  <si>
    <t> 3024</t>
  </si>
  <si>
    <t> 3025</t>
  </si>
  <si>
    <t> 0620</t>
  </si>
  <si>
    <t> 0621</t>
  </si>
  <si>
    <t> 0622</t>
  </si>
  <si>
    <t> 0623</t>
  </si>
  <si>
    <t> 0624</t>
  </si>
  <si>
    <t> 0625</t>
  </si>
  <si>
    <t> 0720</t>
  </si>
  <si>
    <t> 0721</t>
  </si>
  <si>
    <t> 0722</t>
  </si>
  <si>
    <t> 0723</t>
  </si>
  <si>
    <t> 0724</t>
  </si>
  <si>
    <t> 0820</t>
  </si>
  <si>
    <t> 0821</t>
  </si>
  <si>
    <t> 0822</t>
  </si>
  <si>
    <t> 0823</t>
  </si>
  <si>
    <t> 0824</t>
  </si>
  <si>
    <t> 0825</t>
  </si>
  <si>
    <t> 0921</t>
  </si>
  <si>
    <t> 0922</t>
  </si>
  <si>
    <t> 0923</t>
  </si>
  <si>
    <t> 0924</t>
  </si>
  <si>
    <t> 0925</t>
  </si>
  <si>
    <t> 1021</t>
  </si>
  <si>
    <t> 1022</t>
  </si>
  <si>
    <t> 1023</t>
  </si>
  <si>
    <t> 1024</t>
  </si>
  <si>
    <t> 1025</t>
  </si>
  <si>
    <t> 1121</t>
  </si>
  <si>
    <t> 1122</t>
  </si>
  <si>
    <t> 1123</t>
  </si>
  <si>
    <t> 1124</t>
  </si>
  <si>
    <t> 1220</t>
  </si>
  <si>
    <t> 1221</t>
  </si>
  <si>
    <t> 1222</t>
  </si>
  <si>
    <t> 1223</t>
  </si>
  <si>
    <t> 1224</t>
  </si>
  <si>
    <t> 1225</t>
  </si>
  <si>
    <t> 1320</t>
  </si>
  <si>
    <t> 1321</t>
  </si>
  <si>
    <t> 1322</t>
  </si>
  <si>
    <t> 1323</t>
  </si>
  <si>
    <t> 1324</t>
  </si>
  <si>
    <t> 1325</t>
  </si>
  <si>
    <t> 1420</t>
  </si>
  <si>
    <t> 1421</t>
  </si>
  <si>
    <t> 1422</t>
  </si>
  <si>
    <t> 1423</t>
  </si>
  <si>
    <t> 1424</t>
  </si>
  <si>
    <t> 1425</t>
  </si>
  <si>
    <t> 1520</t>
  </si>
  <si>
    <t> 1521</t>
  </si>
  <si>
    <t> 1522</t>
  </si>
  <si>
    <t> 1523</t>
  </si>
  <si>
    <t> 1524</t>
  </si>
  <si>
    <t> 1620</t>
  </si>
  <si>
    <t> 1621</t>
  </si>
  <si>
    <t> 1622</t>
  </si>
  <si>
    <t> 1623</t>
  </si>
  <si>
    <t> 1624</t>
  </si>
  <si>
    <t> 1720</t>
  </si>
  <si>
    <t> 1721</t>
  </si>
  <si>
    <t> 1722</t>
  </si>
  <si>
    <t> 1723</t>
  </si>
  <si>
    <t> 1724</t>
  </si>
  <si>
    <t> 1725</t>
  </si>
  <si>
    <t> 1820</t>
  </si>
  <si>
    <t> 1821</t>
  </si>
  <si>
    <t> 1822</t>
  </si>
  <si>
    <t> 1823</t>
  </si>
  <si>
    <t> 1824</t>
  </si>
  <si>
    <t> 1825</t>
  </si>
  <si>
    <t> 1920</t>
  </si>
  <si>
    <t> 1921</t>
  </si>
  <si>
    <t> 1922</t>
  </si>
  <si>
    <t> 1923</t>
  </si>
  <si>
    <t> 1924</t>
  </si>
  <si>
    <t> 1925</t>
  </si>
  <si>
    <t> 2020</t>
  </si>
  <si>
    <t> 2021</t>
  </si>
  <si>
    <t> 2022</t>
  </si>
  <si>
    <t> 2023</t>
  </si>
  <si>
    <t> 2024</t>
  </si>
  <si>
    <t> 2120</t>
  </si>
  <si>
    <t> 2121</t>
  </si>
  <si>
    <t> 2122</t>
  </si>
  <si>
    <t> 2123</t>
  </si>
  <si>
    <t> 2124</t>
  </si>
  <si>
    <t> 2220</t>
  </si>
  <si>
    <t> 2221</t>
  </si>
  <si>
    <t> 2222</t>
  </si>
  <si>
    <t> 2223</t>
  </si>
  <si>
    <t> 2224</t>
  </si>
  <si>
    <t> 2320</t>
  </si>
  <si>
    <t> 2321</t>
  </si>
  <si>
    <t> 2322</t>
  </si>
  <si>
    <t> 2323</t>
  </si>
  <si>
    <t> 2324</t>
  </si>
  <si>
    <t> 2421</t>
  </si>
  <si>
    <t> 2422</t>
  </si>
  <si>
    <t> 2423</t>
  </si>
  <si>
    <t> 2424</t>
  </si>
  <si>
    <t> 2520</t>
  </si>
  <si>
    <t> 2521</t>
  </si>
  <si>
    <t> 2522</t>
  </si>
  <si>
    <t> 2523</t>
  </si>
  <si>
    <t> 2524</t>
  </si>
  <si>
    <t> 2525</t>
  </si>
  <si>
    <t> 2621</t>
  </si>
  <si>
    <t> 2622</t>
  </si>
  <si>
    <t> 2623</t>
  </si>
  <si>
    <t> 2625</t>
  </si>
  <si>
    <t> 2721</t>
  </si>
  <si>
    <t> 2722</t>
  </si>
  <si>
    <t> 2723</t>
  </si>
  <si>
    <t> 2724</t>
  </si>
  <si>
    <t> 2820</t>
  </si>
  <si>
    <t> 2821</t>
  </si>
  <si>
    <t> 2822</t>
  </si>
  <si>
    <t> 2823</t>
  </si>
  <si>
    <t> 2824</t>
  </si>
  <si>
    <t> 2920</t>
  </si>
  <si>
    <t> 2921</t>
  </si>
  <si>
    <t> 2922</t>
  </si>
  <si>
    <t> 2923</t>
  </si>
  <si>
    <t> 2924</t>
  </si>
  <si>
    <t> 3020</t>
  </si>
  <si>
    <t> 3021</t>
  </si>
  <si>
    <t> 3022</t>
  </si>
  <si>
    <t> 3023</t>
  </si>
  <si>
    <t> PS-01092</t>
  </si>
  <si>
    <t> PS-04088</t>
  </si>
  <si>
    <t> PS-05160</t>
  </si>
  <si>
    <t> U-01129</t>
  </si>
  <si>
    <t> U-01125</t>
  </si>
  <si>
    <t> U-07038</t>
  </si>
  <si>
    <t> U-08038</t>
  </si>
  <si>
    <t> 0719</t>
  </si>
  <si>
    <t> 0818</t>
  </si>
  <si>
    <t> 1017</t>
  </si>
  <si>
    <t> 1018</t>
  </si>
  <si>
    <t> 1117</t>
  </si>
  <si>
    <t> 1217</t>
  </si>
  <si>
    <t> 1317</t>
  </si>
  <si>
    <t> 1517</t>
  </si>
  <si>
    <t> 1518</t>
  </si>
  <si>
    <t> 1617</t>
  </si>
  <si>
    <t> 1717</t>
  </si>
  <si>
    <t> 2016</t>
  </si>
  <si>
    <t> 2317</t>
  </si>
  <si>
    <t> 2417</t>
  </si>
  <si>
    <t> 2418</t>
  </si>
  <si>
    <t> 2517</t>
  </si>
  <si>
    <t> 2617</t>
  </si>
  <si>
    <t> 2718</t>
  </si>
  <si>
    <t> 2918</t>
  </si>
  <si>
    <t> 0617</t>
  </si>
  <si>
    <t> 0618</t>
  </si>
  <si>
    <t> 0619</t>
  </si>
  <si>
    <t> 0716</t>
  </si>
  <si>
    <t> 0717</t>
  </si>
  <si>
    <t> 0718</t>
  </si>
  <si>
    <t> 0816</t>
  </si>
  <si>
    <t> 0817</t>
  </si>
  <si>
    <t> 0819</t>
  </si>
  <si>
    <t> 0916</t>
  </si>
  <si>
    <t> 0917</t>
  </si>
  <si>
    <t> 0918</t>
  </si>
  <si>
    <t> 0919</t>
  </si>
  <si>
    <t> 1016</t>
  </si>
  <si>
    <t> 1019</t>
  </si>
  <si>
    <t> 1116</t>
  </si>
  <si>
    <t> 1118</t>
  </si>
  <si>
    <t> 1119</t>
  </si>
  <si>
    <t> 1216</t>
  </si>
  <si>
    <t> 1218</t>
  </si>
  <si>
    <t> 1219</t>
  </si>
  <si>
    <t> 1316</t>
  </si>
  <si>
    <t> 1318</t>
  </si>
  <si>
    <t> 1319</t>
  </si>
  <si>
    <t> 1416</t>
  </si>
  <si>
    <t> 1417</t>
  </si>
  <si>
    <t> 1418</t>
  </si>
  <si>
    <t> 1419</t>
  </si>
  <si>
    <t> 1516</t>
  </si>
  <si>
    <t> 1519</t>
  </si>
  <si>
    <t> 1616</t>
  </si>
  <si>
    <t> 1618</t>
  </si>
  <si>
    <t> 1619</t>
  </si>
  <si>
    <t> 1716</t>
  </si>
  <si>
    <t> 1718</t>
  </si>
  <si>
    <t> 1719</t>
  </si>
  <si>
    <t> 1816</t>
  </si>
  <si>
    <t> 1817</t>
  </si>
  <si>
    <t> 1818</t>
  </si>
  <si>
    <t> 1819</t>
  </si>
  <si>
    <t> 1916</t>
  </si>
  <si>
    <t> 1917</t>
  </si>
  <si>
    <t> 1918</t>
  </si>
  <si>
    <t> 1919</t>
  </si>
  <si>
    <t> 2017</t>
  </si>
  <si>
    <t> 2018</t>
  </si>
  <si>
    <t> 2019</t>
  </si>
  <si>
    <t> 2116</t>
  </si>
  <si>
    <t> 2117</t>
  </si>
  <si>
    <t> 2118</t>
  </si>
  <si>
    <t> 2119</t>
  </si>
  <si>
    <t> 2216</t>
  </si>
  <si>
    <t> 2217</t>
  </si>
  <si>
    <t> 2218</t>
  </si>
  <si>
    <t> 2219</t>
  </si>
  <si>
    <t> 2316</t>
  </si>
  <si>
    <t> 2318</t>
  </si>
  <si>
    <t> 2319</t>
  </si>
  <si>
    <t> 2416</t>
  </si>
  <si>
    <t> 2419</t>
  </si>
  <si>
    <t> 2516</t>
  </si>
  <si>
    <t> 2518</t>
  </si>
  <si>
    <t> 2519</t>
  </si>
  <si>
    <t> 2616</t>
  </si>
  <si>
    <t> 2618</t>
  </si>
  <si>
    <t> 2619</t>
  </si>
  <si>
    <t> 2716</t>
  </si>
  <si>
    <t> 2717</t>
  </si>
  <si>
    <t> 2719</t>
  </si>
  <si>
    <t> 2816</t>
  </si>
  <si>
    <t> 2817</t>
  </si>
  <si>
    <t> 2818</t>
  </si>
  <si>
    <t> 2819</t>
  </si>
  <si>
    <t> 2916</t>
  </si>
  <si>
    <t> 2917</t>
  </si>
  <si>
    <t> 2919</t>
  </si>
  <si>
    <t> 3016</t>
  </si>
  <si>
    <t> 3017</t>
  </si>
  <si>
    <t> 3018</t>
  </si>
  <si>
    <t> 3019</t>
  </si>
  <si>
    <t> PS-01093</t>
  </si>
  <si>
    <t> PS-01094</t>
  </si>
  <si>
    <t> PS-03086</t>
  </si>
  <si>
    <t> PS-03115</t>
  </si>
  <si>
    <t> PS-04086</t>
  </si>
  <si>
    <t> U-01138</t>
  </si>
  <si>
    <t> U-02538</t>
  </si>
  <si>
    <t> U-03117 U.PISO</t>
  </si>
  <si>
    <t> U-04140</t>
  </si>
  <si>
    <t>Total Util T-3B</t>
  </si>
  <si>
    <t>APTO - 06L1</t>
  </si>
  <si>
    <t>APTO - 08M</t>
  </si>
  <si>
    <t>APTO - 13M</t>
  </si>
  <si>
    <t>APTO - 14M</t>
  </si>
  <si>
    <t>APTO - 21K</t>
  </si>
  <si>
    <t>APTO - 25K</t>
  </si>
  <si>
    <t>APTO - 0620</t>
  </si>
  <si>
    <t>APTO - 0621</t>
  </si>
  <si>
    <t>APTO - 0622</t>
  </si>
  <si>
    <t>APTO - 0623</t>
  </si>
  <si>
    <t>APTO - 0624</t>
  </si>
  <si>
    <t>APTO - 0625</t>
  </si>
  <si>
    <t>APTO - 0720</t>
  </si>
  <si>
    <t>APTO - 0721</t>
  </si>
  <si>
    <t>APTO - 0722</t>
  </si>
  <si>
    <t>APTO - 0723</t>
  </si>
  <si>
    <t>APTO - 0724</t>
  </si>
  <si>
    <t>APTO - 0820</t>
  </si>
  <si>
    <t>APTO - 0821</t>
  </si>
  <si>
    <t>APTO - 0822</t>
  </si>
  <si>
    <t>APTO - 0823</t>
  </si>
  <si>
    <t>APTO - 0824</t>
  </si>
  <si>
    <t>APTO - 0825</t>
  </si>
  <si>
    <t>APTO - 0921</t>
  </si>
  <si>
    <t>APTO - 0922</t>
  </si>
  <si>
    <t>APTO - 0923</t>
  </si>
  <si>
    <t>APTO - 0924</t>
  </si>
  <si>
    <t>APTO - 0925</t>
  </si>
  <si>
    <t>APTO - 1021</t>
  </si>
  <si>
    <t>APTO - 1022</t>
  </si>
  <si>
    <t>APTO - 1023</t>
  </si>
  <si>
    <t>APTO - 1024</t>
  </si>
  <si>
    <t>APTO - 1025</t>
  </si>
  <si>
    <t>APTO - 1121</t>
  </si>
  <si>
    <t>APTO - 1122</t>
  </si>
  <si>
    <t>APTO - 1123</t>
  </si>
  <si>
    <t>APTO - 1124</t>
  </si>
  <si>
    <t>APTO - 1220</t>
  </si>
  <si>
    <t>APTO - 1221</t>
  </si>
  <si>
    <t>APTO - 1222</t>
  </si>
  <si>
    <t>APTO - 1223</t>
  </si>
  <si>
    <t>APTO - 1224</t>
  </si>
  <si>
    <t>APTO - 1225</t>
  </si>
  <si>
    <t>APTO - 1320</t>
  </si>
  <si>
    <t>APTO - 1321</t>
  </si>
  <si>
    <t>APTO - 1322</t>
  </si>
  <si>
    <t>APTO - 1323</t>
  </si>
  <si>
    <t>APTO - 1324</t>
  </si>
  <si>
    <t>APTO - 1325</t>
  </si>
  <si>
    <t>APTO - 1420</t>
  </si>
  <si>
    <t>APTO - 1421</t>
  </si>
  <si>
    <t>APTO - 1422</t>
  </si>
  <si>
    <t>APTO - 1423</t>
  </si>
  <si>
    <t>APTO - 1424</t>
  </si>
  <si>
    <t>APTO - 1425</t>
  </si>
  <si>
    <t>APTO - 1520</t>
  </si>
  <si>
    <t>APTO - 1521</t>
  </si>
  <si>
    <t>APTO - 1522</t>
  </si>
  <si>
    <t>APTO - 1523</t>
  </si>
  <si>
    <t>APTO - 1524</t>
  </si>
  <si>
    <t>APTO - 1620</t>
  </si>
  <si>
    <t>APTO - 1621</t>
  </si>
  <si>
    <t>APTO - 1622</t>
  </si>
  <si>
    <t>APTO - 1623</t>
  </si>
  <si>
    <t>APTO - 1624</t>
  </si>
  <si>
    <t>APTO - 1720</t>
  </si>
  <si>
    <t>APTO - 1721</t>
  </si>
  <si>
    <t>APTO - 1722</t>
  </si>
  <si>
    <t>APTO - 1723</t>
  </si>
  <si>
    <t>APTO - 1724</t>
  </si>
  <si>
    <t>APTO - 1725</t>
  </si>
  <si>
    <t>APTO - 1820</t>
  </si>
  <si>
    <t>APTO - 1821</t>
  </si>
  <si>
    <t>APTO - 1822</t>
  </si>
  <si>
    <t>APTO - 1823</t>
  </si>
  <si>
    <t>APTO - 1824</t>
  </si>
  <si>
    <t>APTO - 1825</t>
  </si>
  <si>
    <t>APTO - 1920</t>
  </si>
  <si>
    <t>APTO - 1921</t>
  </si>
  <si>
    <t>APTO - 1922</t>
  </si>
  <si>
    <t>APTO - 1923</t>
  </si>
  <si>
    <t>APTO - 1924</t>
  </si>
  <si>
    <t>APTO - 1925</t>
  </si>
  <si>
    <t>APTO - 2020</t>
  </si>
  <si>
    <t>APTO - 2021</t>
  </si>
  <si>
    <t>APTO - 2022</t>
  </si>
  <si>
    <t>APTO - 2023</t>
  </si>
  <si>
    <t>APTO - 2024</t>
  </si>
  <si>
    <t>APTO - 2120</t>
  </si>
  <si>
    <t>APTO - 2121</t>
  </si>
  <si>
    <t>APTO - 2122</t>
  </si>
  <si>
    <t>APTO - 2123</t>
  </si>
  <si>
    <t>APTO - 2124</t>
  </si>
  <si>
    <t>APTO - 2220</t>
  </si>
  <si>
    <t>APTO - 2221</t>
  </si>
  <si>
    <t>APTO - 2222</t>
  </si>
  <si>
    <t>APTO - 2223</t>
  </si>
  <si>
    <t>APTO - 2224</t>
  </si>
  <si>
    <t>APTO - 2320</t>
  </si>
  <si>
    <t>APTO - 2321</t>
  </si>
  <si>
    <t>APTO - 2322</t>
  </si>
  <si>
    <t>APTO - 2323</t>
  </si>
  <si>
    <t>APTO - 2324</t>
  </si>
  <si>
    <t>APTO - 2421</t>
  </si>
  <si>
    <t>APTO - 2422</t>
  </si>
  <si>
    <t>APTO - 2423</t>
  </si>
  <si>
    <t>APTO - 2424</t>
  </si>
  <si>
    <t>APTO - 2520</t>
  </si>
  <si>
    <t>APTO - 2521</t>
  </si>
  <si>
    <t>APTO - 2522</t>
  </si>
  <si>
    <t>APTO - 2523</t>
  </si>
  <si>
    <t>APTO - 2524</t>
  </si>
  <si>
    <t>APTO - 2525</t>
  </si>
  <si>
    <t>APTO - 2621</t>
  </si>
  <si>
    <t>APTO - 2622</t>
  </si>
  <si>
    <t>APTO - 2623</t>
  </si>
  <si>
    <t>APTO - 2625</t>
  </si>
  <si>
    <t>APTO - 2721</t>
  </si>
  <si>
    <t>APTO - 2722</t>
  </si>
  <si>
    <t>APTO - 2723</t>
  </si>
  <si>
    <t>APTO - 2724</t>
  </si>
  <si>
    <t>APTO - 2820</t>
  </si>
  <si>
    <t>APTO - 2821</t>
  </si>
  <si>
    <t>APTO - 2822</t>
  </si>
  <si>
    <t>APTO - 2823</t>
  </si>
  <si>
    <t>APTO - 2824</t>
  </si>
  <si>
    <t>APTO - 2920</t>
  </si>
  <si>
    <t>APTO - 2921</t>
  </si>
  <si>
    <t>APTO - 2922</t>
  </si>
  <si>
    <t>APTO - 2923</t>
  </si>
  <si>
    <t>APTO - 2924</t>
  </si>
  <si>
    <t>APTO - 3020</t>
  </si>
  <si>
    <t>APTO - 3021</t>
  </si>
  <si>
    <t>APTO - 3022</t>
  </si>
  <si>
    <t>APTO - 3023</t>
  </si>
  <si>
    <t>PM - PMP1-1166</t>
  </si>
  <si>
    <t>APTO - 0617</t>
  </si>
  <si>
    <t>APTO - 0618</t>
  </si>
  <si>
    <t>APTO - 0619</t>
  </si>
  <si>
    <t>APTO - 0716</t>
  </si>
  <si>
    <t>APTO - 0717</t>
  </si>
  <si>
    <t>APTO - 0718</t>
  </si>
  <si>
    <t>APTO - 0816</t>
  </si>
  <si>
    <t>APTO - 0817</t>
  </si>
  <si>
    <t>APTO - 0819</t>
  </si>
  <si>
    <t>APTO - 0916</t>
  </si>
  <si>
    <t>APTO - 0917</t>
  </si>
  <si>
    <t>APTO - 0918</t>
  </si>
  <si>
    <t>APTO - 0919</t>
  </si>
  <si>
    <t>APTO - 1016</t>
  </si>
  <si>
    <t>APTO - 1019</t>
  </si>
  <si>
    <t>APTO - 1116</t>
  </si>
  <si>
    <t>APTO - 1118</t>
  </si>
  <si>
    <t>APTO - 1119</t>
  </si>
  <si>
    <t>APTO - 1216</t>
  </si>
  <si>
    <t>APTO - 1218</t>
  </si>
  <si>
    <t>APTO - 1219</t>
  </si>
  <si>
    <t>APTO - 1316</t>
  </si>
  <si>
    <t>APTO - 1318</t>
  </si>
  <si>
    <t>APTO - 1319</t>
  </si>
  <si>
    <t>APTO - 1416</t>
  </si>
  <si>
    <t>APTO - 1417</t>
  </si>
  <si>
    <t>APTO - 1418</t>
  </si>
  <si>
    <t>APTO - 1419</t>
  </si>
  <si>
    <t>APTO - 1516</t>
  </si>
  <si>
    <t>APTO - 1519</t>
  </si>
  <si>
    <t>APTO - 1616</t>
  </si>
  <si>
    <t>APTO - 1618</t>
  </si>
  <si>
    <t>APTO - 1619</t>
  </si>
  <si>
    <t>APTO - 1716</t>
  </si>
  <si>
    <t>APTO - 1718</t>
  </si>
  <si>
    <t>APTO - 1719</t>
  </si>
  <si>
    <t>APTO - 1816</t>
  </si>
  <si>
    <t>APTO - 1817</t>
  </si>
  <si>
    <t>APTO - 1818</t>
  </si>
  <si>
    <t>APTO - 1819</t>
  </si>
  <si>
    <t>APTO - 1916</t>
  </si>
  <si>
    <t>APTO - 1917</t>
  </si>
  <si>
    <t>APTO - 1918</t>
  </si>
  <si>
    <t>APTO - 1919</t>
  </si>
  <si>
    <t>APTO - 2017</t>
  </si>
  <si>
    <t>APTO - 2018</t>
  </si>
  <si>
    <t>APTO - 2019</t>
  </si>
  <si>
    <t>APTO - 2116</t>
  </si>
  <si>
    <t>APTO - 2117</t>
  </si>
  <si>
    <t>APTO - 2118</t>
  </si>
  <si>
    <t>APTO - 2119</t>
  </si>
  <si>
    <t>APTO - 2216</t>
  </si>
  <si>
    <t>APTO - 2217</t>
  </si>
  <si>
    <t>APTO - 2218</t>
  </si>
  <si>
    <t>APTO - 2219</t>
  </si>
  <si>
    <t>APTO - 2316</t>
  </si>
  <si>
    <t>APTO - 2318</t>
  </si>
  <si>
    <t>APTO - 2319</t>
  </si>
  <si>
    <t>APTO - 2416</t>
  </si>
  <si>
    <t>APTO - 2419</t>
  </si>
  <si>
    <t>APTO - 2516</t>
  </si>
  <si>
    <t>APTO - 2518</t>
  </si>
  <si>
    <t>APTO - 2519</t>
  </si>
  <si>
    <t>APTO - 2616</t>
  </si>
  <si>
    <t>APTO - 2618</t>
  </si>
  <si>
    <t>APTO - 2619</t>
  </si>
  <si>
    <t>APTO - 2716</t>
  </si>
  <si>
    <t>APTO - 2717</t>
  </si>
  <si>
    <t>APTO - 2719</t>
  </si>
  <si>
    <t>APTO - 2816</t>
  </si>
  <si>
    <t>APTO - 2817</t>
  </si>
  <si>
    <t>APTO - 2818</t>
  </si>
  <si>
    <t>APTO - 2819</t>
  </si>
  <si>
    <t>APTO - 2916</t>
  </si>
  <si>
    <t>APTO - 2917</t>
  </si>
  <si>
    <t>APTO - 2919</t>
  </si>
  <si>
    <t>APTO - 3016</t>
  </si>
  <si>
    <t>APTO - 3017</t>
  </si>
  <si>
    <t>APTO - 3018</t>
  </si>
  <si>
    <t>APTO - 3019</t>
  </si>
  <si>
    <t>PAMPLONA VERGARA SEBASTIAN</t>
  </si>
  <si>
    <t>APTO-07N</t>
  </si>
  <si>
    <t>TORO BEDOYA VIVIANA ANDREA</t>
  </si>
  <si>
    <t>APTO-16O</t>
  </si>
  <si>
    <t>MOLINA BARRIENTOS JOHN HUMBERTO</t>
  </si>
  <si>
    <t>APTO-17O</t>
  </si>
  <si>
    <t>PULGARIN MARIN PAULA ANDREA</t>
  </si>
  <si>
    <t>APTO-18N</t>
  </si>
  <si>
    <t>ALZATE VANEGAS ISABEL</t>
  </si>
  <si>
    <t>APTO-19K</t>
  </si>
  <si>
    <t>HERRERA JUAN DAVID</t>
  </si>
  <si>
    <t>APTO-30M</t>
  </si>
  <si>
    <t>HURTADO PATIÑO JUAN ALEXANDER</t>
  </si>
  <si>
    <t>Cuenta AFC</t>
  </si>
  <si>
    <t>APTO-0920</t>
  </si>
  <si>
    <t>VANEGAS HURTADO GLADYS AMPARO</t>
  </si>
  <si>
    <t>APTO-2624</t>
  </si>
  <si>
    <t>TORRES VILLA SARA</t>
  </si>
  <si>
    <t>PM-PMP1-1171</t>
  </si>
  <si>
    <t>PM-PMP1-1172</t>
  </si>
  <si>
    <t>APTO-1517</t>
  </si>
  <si>
    <t>PATIÑO DUQUE BIBIANA AMPARO</t>
  </si>
  <si>
    <t> PS-06M</t>
  </si>
  <si>
    <t> PS-07N</t>
  </si>
  <si>
    <t> PS-16O</t>
  </si>
  <si>
    <t> PS-17O</t>
  </si>
  <si>
    <t> PS-18N</t>
  </si>
  <si>
    <t> PS-19K</t>
  </si>
  <si>
    <t> CU-06M</t>
  </si>
  <si>
    <t> CU-07N</t>
  </si>
  <si>
    <t> CU-16O</t>
  </si>
  <si>
    <t> CU-17O</t>
  </si>
  <si>
    <t> CU-18N</t>
  </si>
  <si>
    <t> CU-19K</t>
  </si>
  <si>
    <t> PS-02090</t>
  </si>
  <si>
    <t> PS-04108</t>
  </si>
  <si>
    <t> U-02107</t>
  </si>
  <si>
    <t> U-04120</t>
  </si>
  <si>
    <t>APTO - 07N</t>
  </si>
  <si>
    <t>APTO - 16O</t>
  </si>
  <si>
    <t>APTO - 17O</t>
  </si>
  <si>
    <t>APTO - 18N</t>
  </si>
  <si>
    <t>APTO - 19K</t>
  </si>
  <si>
    <t>APTO - 30M</t>
  </si>
  <si>
    <t>APTO - 0920</t>
  </si>
  <si>
    <t>APTO - 2624</t>
  </si>
  <si>
    <t>APTO - 1517</t>
  </si>
  <si>
    <t>APTO-0910</t>
  </si>
  <si>
    <t>FORERO ROCHA LUIS GERMAN</t>
  </si>
  <si>
    <t>BEDOYA RAMIREZ LUZ MARY</t>
  </si>
  <si>
    <t>APTO-1401</t>
  </si>
  <si>
    <t>BONILLA CIFUENTES CARLOS ALVARO</t>
  </si>
  <si>
    <t>APTO-2501</t>
  </si>
  <si>
    <t>ACOSTA GARCIA ALVARO ALONSO</t>
  </si>
  <si>
    <t>ZAPATA MACIAS JUAN CAMILO</t>
  </si>
  <si>
    <t>APTO-06N1</t>
  </si>
  <si>
    <t>GOMEZ ZULUAGA NATALY</t>
  </si>
  <si>
    <t>APTO-13O</t>
  </si>
  <si>
    <t>NAVARRO MANCHEGO YENNYS PATRICIA</t>
  </si>
  <si>
    <t>APTO-26L</t>
  </si>
  <si>
    <t>MENDOZA CANO SOFIA</t>
  </si>
  <si>
    <t>OCHOA PELA ISABEL CRISTINA</t>
  </si>
  <si>
    <t>APTO-1020</t>
  </si>
  <si>
    <t>PM-PMP1-1173</t>
  </si>
  <si>
    <t>OROZCO ALZATE MARIA EUGENIA</t>
  </si>
  <si>
    <t>APTO-1017</t>
  </si>
  <si>
    <t>RENE GALVEZ MAYNOR</t>
  </si>
  <si>
    <t>APTO-2617</t>
  </si>
  <si>
    <t>VALENCIA GOMEZ JULIAN ANDRES</t>
  </si>
  <si>
    <t> U-04013</t>
  </si>
  <si>
    <t> PS-05118</t>
  </si>
  <si>
    <t> PS-3083</t>
  </si>
  <si>
    <t> U-03009</t>
  </si>
  <si>
    <t> U-3009</t>
  </si>
  <si>
    <t> PS-06N</t>
  </si>
  <si>
    <t> PS-13O</t>
  </si>
  <si>
    <t> PS-26L</t>
  </si>
  <si>
    <t> CU-06N</t>
  </si>
  <si>
    <t> CU-13O</t>
  </si>
  <si>
    <t> CU-26L</t>
  </si>
  <si>
    <t> PS-01133</t>
  </si>
  <si>
    <t> PS-01135</t>
  </si>
  <si>
    <t> PS-01138</t>
  </si>
  <si>
    <t> PS-01141</t>
  </si>
  <si>
    <t> PS-01147</t>
  </si>
  <si>
    <t> PS-01151</t>
  </si>
  <si>
    <t> PS-01154</t>
  </si>
  <si>
    <t> PS-01161</t>
  </si>
  <si>
    <t> PS-02101</t>
  </si>
  <si>
    <t> PS-02115</t>
  </si>
  <si>
    <t> PS-02119</t>
  </si>
  <si>
    <t> PS-02120</t>
  </si>
  <si>
    <t> PS-02132</t>
  </si>
  <si>
    <t> PS-02140</t>
  </si>
  <si>
    <t> PS-02155</t>
  </si>
  <si>
    <t> PS-03113</t>
  </si>
  <si>
    <t> PS-03129</t>
  </si>
  <si>
    <t> PS-03135</t>
  </si>
  <si>
    <t> PS-03146</t>
  </si>
  <si>
    <t> PS-03147</t>
  </si>
  <si>
    <t> PS-03153</t>
  </si>
  <si>
    <t> PS-03160</t>
  </si>
  <si>
    <t> PS-03163</t>
  </si>
  <si>
    <t> PS-03168</t>
  </si>
  <si>
    <t> PS-04127</t>
  </si>
  <si>
    <t> PS-04130</t>
  </si>
  <si>
    <t> PS-04147</t>
  </si>
  <si>
    <t> PS-04152</t>
  </si>
  <si>
    <t> PS-04158</t>
  </si>
  <si>
    <t> PS-04159</t>
  </si>
  <si>
    <t> PS-04162</t>
  </si>
  <si>
    <t> PS-05148</t>
  </si>
  <si>
    <t> PS-05164</t>
  </si>
  <si>
    <t> U-01439</t>
  </si>
  <si>
    <t> U-02038</t>
  </si>
  <si>
    <t> U-02130</t>
  </si>
  <si>
    <t> U-02138</t>
  </si>
  <si>
    <t> U-03120</t>
  </si>
  <si>
    <t> U-03136</t>
  </si>
  <si>
    <t> U-05136</t>
  </si>
  <si>
    <t> U-06038</t>
  </si>
  <si>
    <t> U-07039</t>
  </si>
  <si>
    <t> U-09039</t>
  </si>
  <si>
    <t> U-12039</t>
  </si>
  <si>
    <t> PS-05083</t>
  </si>
  <si>
    <t> U-05132</t>
  </si>
  <si>
    <t>APTO - 0910</t>
  </si>
  <si>
    <t>APTO - 1401</t>
  </si>
  <si>
    <t>APTO - 2501</t>
  </si>
  <si>
    <t>APTO - 06N1</t>
  </si>
  <si>
    <t>APTO - 13O</t>
  </si>
  <si>
    <t>APTO - 26L</t>
  </si>
  <si>
    <t>APTO - 1020</t>
  </si>
  <si>
    <t>APTO - 1017</t>
  </si>
  <si>
    <t>APTO - 2617</t>
  </si>
  <si>
    <t>Predial T-3A</t>
  </si>
  <si>
    <t>APTO-13K</t>
  </si>
  <si>
    <t>APTO-14K</t>
  </si>
  <si>
    <t>MORALES MARIN LUISA FERNANDA</t>
  </si>
  <si>
    <t>APTO-24O</t>
  </si>
  <si>
    <t>HIGUITA GIRALDO CARLOS JONHY</t>
  </si>
  <si>
    <t>AGUDELO CARDENAS MARIO HERNAN</t>
  </si>
  <si>
    <t>APTO-28L</t>
  </si>
  <si>
    <t>APTO-29N-LG</t>
  </si>
  <si>
    <t>APTO-30K</t>
  </si>
  <si>
    <t>POSADA MONTOYA SOR MARLEY</t>
  </si>
  <si>
    <t>APTO-1120</t>
  </si>
  <si>
    <t>URREGO CHAVARRIA JHONNIER ANDRES</t>
  </si>
  <si>
    <t>ALZATE PINEDA SIMON JOSE</t>
  </si>
  <si>
    <t>ARCILA DUQUE SANDRA MARIA</t>
  </si>
  <si>
    <t>.</t>
  </si>
  <si>
    <t> 29N-LG</t>
  </si>
  <si>
    <t> PS-13K</t>
  </si>
  <si>
    <t> PS-14K</t>
  </si>
  <si>
    <t> PS-28L</t>
  </si>
  <si>
    <t> PS-30K</t>
  </si>
  <si>
    <t> CU-13K</t>
  </si>
  <si>
    <t> CU-14K</t>
  </si>
  <si>
    <t> CU-28L</t>
  </si>
  <si>
    <t> CU-30K</t>
  </si>
  <si>
    <t> PS-01075</t>
  </si>
  <si>
    <t> PS-01117</t>
  </si>
  <si>
    <t> PS-01119</t>
  </si>
  <si>
    <t> PS-01122</t>
  </si>
  <si>
    <t> PS-01132</t>
  </si>
  <si>
    <t> PS-01134</t>
  </si>
  <si>
    <t> PS-01144</t>
  </si>
  <si>
    <t> PS-01149</t>
  </si>
  <si>
    <t> PS-01163</t>
  </si>
  <si>
    <t> PS-02100</t>
  </si>
  <si>
    <t> PS-02116</t>
  </si>
  <si>
    <t> PS-02135</t>
  </si>
  <si>
    <t> PS-02141</t>
  </si>
  <si>
    <t> PS-02148</t>
  </si>
  <si>
    <t> PS-03130</t>
  </si>
  <si>
    <t> PS-03134</t>
  </si>
  <si>
    <t> PS-03158-</t>
  </si>
  <si>
    <t> PS-03161</t>
  </si>
  <si>
    <t> PS-03162</t>
  </si>
  <si>
    <t> PS-03173</t>
  </si>
  <si>
    <t> PS-04134</t>
  </si>
  <si>
    <t> PS-04135</t>
  </si>
  <si>
    <t> PS-04151</t>
  </si>
  <si>
    <t> PS-04160</t>
  </si>
  <si>
    <t> PS-04163</t>
  </si>
  <si>
    <t> PS-05125</t>
  </si>
  <si>
    <t> PS-05143</t>
  </si>
  <si>
    <t> PS-05158</t>
  </si>
  <si>
    <t> PS-05168</t>
  </si>
  <si>
    <t> PS-3158</t>
  </si>
  <si>
    <t> U-01106</t>
  </si>
  <si>
    <t> U-01131</t>
  </si>
  <si>
    <t> U-02127</t>
  </si>
  <si>
    <t> U-04136</t>
  </si>
  <si>
    <t> U-05145</t>
  </si>
  <si>
    <t> U-10038</t>
  </si>
  <si>
    <t> U-17038</t>
  </si>
  <si>
    <t>APTO - 13K</t>
  </si>
  <si>
    <t>APTO - 14K</t>
  </si>
  <si>
    <t>APTO - 24O</t>
  </si>
  <si>
    <t>APTO - 28L</t>
  </si>
  <si>
    <t>APTO - 29N-LG</t>
  </si>
  <si>
    <t>APTO - 30K</t>
  </si>
  <si>
    <t>APTO - 1120</t>
  </si>
  <si>
    <t>ATLANTICA TORRE 1A</t>
  </si>
  <si>
    <t>ATLANTICA TORRE 1B</t>
  </si>
  <si>
    <t>ATLANTICA TORRE 2</t>
  </si>
  <si>
    <t>ATLANTICA TORRE 3A</t>
  </si>
  <si>
    <t>ATLANTICA TORRE 3B</t>
  </si>
  <si>
    <t>Totales</t>
  </si>
  <si>
    <t>Total general</t>
  </si>
  <si>
    <t>(en blanco)</t>
  </si>
  <si>
    <t>PEÑA AGUDELO CATALINA</t>
  </si>
  <si>
    <t>MENESES JARAMILLO HECTOR ALONSO</t>
  </si>
  <si>
    <t>HENAO PEREZ SANDRA MILENA</t>
  </si>
  <si>
    <t>Numero_ATLAN</t>
  </si>
  <si>
    <t>Suma de Pactado</t>
  </si>
  <si>
    <t>Suma de Pagado</t>
  </si>
  <si>
    <t>Suma de Saldo</t>
  </si>
  <si>
    <t>Suma de Cartera Corriente</t>
  </si>
  <si>
    <t>Suma de Vencido</t>
  </si>
  <si>
    <t>Suma de 1/01/1930</t>
  </si>
  <si>
    <t>Suma de 31-60</t>
  </si>
  <si>
    <t>Suma de 61-90</t>
  </si>
  <si>
    <t>Suma de 91-120</t>
  </si>
  <si>
    <t>T1A</t>
  </si>
  <si>
    <t>T1B</t>
  </si>
  <si>
    <t>T2</t>
  </si>
  <si>
    <t>T3A</t>
  </si>
  <si>
    <t>T3B</t>
  </si>
  <si>
    <t xml:space="preserve">TOTAL </t>
  </si>
  <si>
    <t>Etiquetas de columna</t>
  </si>
  <si>
    <t>Etiquetas de fila</t>
  </si>
  <si>
    <t xml:space="preserve">  </t>
  </si>
  <si>
    <t>TORRE 1A</t>
  </si>
  <si>
    <t>TORRE 1B</t>
  </si>
  <si>
    <t>TORRE 2</t>
  </si>
  <si>
    <t>TORRE 3A</t>
  </si>
  <si>
    <t>TORRE 3B</t>
  </si>
  <si>
    <t>SALAS ACUÑA DAVID HERNANDO</t>
  </si>
  <si>
    <t>APTO-28N-LG</t>
  </si>
  <si>
    <t>PM-PMP1-1168</t>
  </si>
  <si>
    <t>Suma de Jun-24</t>
  </si>
  <si>
    <t>Suma de Jul-24</t>
  </si>
  <si>
    <t>Suma de Ago-24</t>
  </si>
  <si>
    <t>Suma de Sep-24</t>
  </si>
  <si>
    <t>Suma de Oct-24</t>
  </si>
  <si>
    <t>Suma de Nov-24</t>
  </si>
  <si>
    <t>Suma de Dic-24</t>
  </si>
  <si>
    <t>Suma de Ene-25</t>
  </si>
  <si>
    <t>Suma de Feb-25</t>
  </si>
  <si>
    <t>Suma de Mar-25</t>
  </si>
  <si>
    <t>Suma de Abr-25</t>
  </si>
  <si>
    <t>Suma de May-25</t>
  </si>
  <si>
    <t>Suma de Jun-25</t>
  </si>
  <si>
    <t>Suma de Jul-25</t>
  </si>
  <si>
    <t>Suma de Ago-25</t>
  </si>
  <si>
    <t>Suma de Sep-25</t>
  </si>
  <si>
    <t>Suma de Oct-25</t>
  </si>
  <si>
    <t>Suma de Nov-25</t>
  </si>
  <si>
    <t>Suma de Dic-25</t>
  </si>
  <si>
    <t>Suma de Ene-26</t>
  </si>
  <si>
    <t>Suma de Feb-26</t>
  </si>
  <si>
    <t>Suma de Mar-26</t>
  </si>
  <si>
    <t>Suma de Abr-26</t>
  </si>
  <si>
    <t>Suma de May-26</t>
  </si>
  <si>
    <t>Suma de Jun-26</t>
  </si>
  <si>
    <t>Suma de Jul-26</t>
  </si>
  <si>
    <t>Suma de Ago-26</t>
  </si>
  <si>
    <t>Suma de Sep-26</t>
  </si>
  <si>
    <t>Suma de Oct-26</t>
  </si>
  <si>
    <t>Suma de Nov-26</t>
  </si>
  <si>
    <t>Suma de Dic-26</t>
  </si>
  <si>
    <t>Suma de Ene-27</t>
  </si>
  <si>
    <t>Suma de Feb-27</t>
  </si>
  <si>
    <t>Suma de Mar-27</t>
  </si>
  <si>
    <t>Suma de Abr-27</t>
  </si>
  <si>
    <t>Suma de May-27</t>
  </si>
  <si>
    <t>Suma de Jun-27</t>
  </si>
  <si>
    <t>Suma de Jul-27</t>
  </si>
  <si>
    <t>Suma de Ago-27</t>
  </si>
  <si>
    <t>Suma de Sep-27</t>
  </si>
  <si>
    <t>Suma de Oct-27</t>
  </si>
  <si>
    <t>Suma de Nov-27</t>
  </si>
  <si>
    <t>Suma de TOTAL</t>
  </si>
  <si>
    <t>ETAPA</t>
  </si>
  <si>
    <t>CLIENTE</t>
  </si>
  <si>
    <t>INMUEBLE</t>
  </si>
  <si>
    <t>0603</t>
  </si>
  <si>
    <t>0604</t>
  </si>
  <si>
    <t>0605</t>
  </si>
  <si>
    <t>0606</t>
  </si>
  <si>
    <t>0607</t>
  </si>
  <si>
    <t>0608</t>
  </si>
  <si>
    <t>0609</t>
  </si>
  <si>
    <t>0617</t>
  </si>
  <si>
    <t>0618</t>
  </si>
  <si>
    <t>0619</t>
  </si>
  <si>
    <t>0620</t>
  </si>
  <si>
    <t>0621</t>
  </si>
  <si>
    <t>0622</t>
  </si>
  <si>
    <t>0623</t>
  </si>
  <si>
    <t>0624</t>
  </si>
  <si>
    <t>0625</t>
  </si>
  <si>
    <t>06K1</t>
  </si>
  <si>
    <t>06L1</t>
  </si>
  <si>
    <t>06M1</t>
  </si>
  <si>
    <t>06N1</t>
  </si>
  <si>
    <t>06O1</t>
  </si>
  <si>
    <t>0702</t>
  </si>
  <si>
    <t>0703</t>
  </si>
  <si>
    <t>0704</t>
  </si>
  <si>
    <t>0705</t>
  </si>
  <si>
    <t>0706</t>
  </si>
  <si>
    <t>0707</t>
  </si>
  <si>
    <t>0708</t>
  </si>
  <si>
    <t>0709</t>
  </si>
  <si>
    <t>0710</t>
  </si>
  <si>
    <t>0716</t>
  </si>
  <si>
    <t>0717</t>
  </si>
  <si>
    <t>0718</t>
  </si>
  <si>
    <t>0720</t>
  </si>
  <si>
    <t>0721</t>
  </si>
  <si>
    <t>0722</t>
  </si>
  <si>
    <t>0723</t>
  </si>
  <si>
    <t>0724</t>
  </si>
  <si>
    <t>07K</t>
  </si>
  <si>
    <t>07L</t>
  </si>
  <si>
    <t>07N</t>
  </si>
  <si>
    <t>0801</t>
  </si>
  <si>
    <t>0802</t>
  </si>
  <si>
    <t>0803</t>
  </si>
  <si>
    <t>0804</t>
  </si>
  <si>
    <t>0805</t>
  </si>
  <si>
    <t>0806</t>
  </si>
  <si>
    <t>0807</t>
  </si>
  <si>
    <t>0808</t>
  </si>
  <si>
    <t>0809</t>
  </si>
  <si>
    <t>0810</t>
  </si>
  <si>
    <t>0816</t>
  </si>
  <si>
    <t>0817</t>
  </si>
  <si>
    <t>0819</t>
  </si>
  <si>
    <t>0820</t>
  </si>
  <si>
    <t>0821</t>
  </si>
  <si>
    <t>0822</t>
  </si>
  <si>
    <t>0823</t>
  </si>
  <si>
    <t>0824</t>
  </si>
  <si>
    <t>0825</t>
  </si>
  <si>
    <t>08K</t>
  </si>
  <si>
    <t>08L</t>
  </si>
  <si>
    <t>08M</t>
  </si>
  <si>
    <t>08N</t>
  </si>
  <si>
    <t>08O</t>
  </si>
  <si>
    <t>0901</t>
  </si>
  <si>
    <t>0902</t>
  </si>
  <si>
    <t>0903</t>
  </si>
  <si>
    <t>0904</t>
  </si>
  <si>
    <t>0905</t>
  </si>
  <si>
    <t>0906</t>
  </si>
  <si>
    <t>0907</t>
  </si>
  <si>
    <t>0908</t>
  </si>
  <si>
    <t>0909</t>
  </si>
  <si>
    <t>0910</t>
  </si>
  <si>
    <t>0916</t>
  </si>
  <si>
    <t>0917</t>
  </si>
  <si>
    <t>0918</t>
  </si>
  <si>
    <t>0919</t>
  </si>
  <si>
    <t>0920</t>
  </si>
  <si>
    <t>0921</t>
  </si>
  <si>
    <t>0922</t>
  </si>
  <si>
    <t>0923</t>
  </si>
  <si>
    <t>0924</t>
  </si>
  <si>
    <t>0925</t>
  </si>
  <si>
    <t>09K</t>
  </si>
  <si>
    <t>09L</t>
  </si>
  <si>
    <t>09M</t>
  </si>
  <si>
    <t>09N</t>
  </si>
  <si>
    <t>09O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</si>
  <si>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</si>
  <si>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</si>
  <si>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</si>
  <si>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</si>
  <si>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</si>
  <si>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</si>
  <si>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</si>
  <si>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</si>
  <si>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</si>
  <si>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</si>
  <si>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1016</t>
  </si>
  <si>
    <t>1017</t>
  </si>
  <si>
    <t>1019</t>
  </si>
  <si>
    <t>1020</t>
  </si>
  <si>
    <t>1021</t>
  </si>
  <si>
    <t>1022</t>
  </si>
  <si>
    <t>1023</t>
  </si>
  <si>
    <t>1024</t>
  </si>
  <si>
    <t>1025</t>
  </si>
  <si>
    <t>10L-LG</t>
  </si>
  <si>
    <t>10M</t>
  </si>
  <si>
    <t>10N</t>
  </si>
  <si>
    <t>10O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</si>
  <si>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</si>
  <si>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</si>
  <si>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</si>
  <si>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</si>
  <si>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</si>
  <si>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</si>
  <si>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</si>
  <si>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</si>
  <si>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</si>
  <si>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1116</t>
  </si>
  <si>
    <t>1118</t>
  </si>
  <si>
    <t>1119</t>
  </si>
  <si>
    <t>1120</t>
  </si>
  <si>
    <t>1121</t>
  </si>
  <si>
    <t>1122</t>
  </si>
  <si>
    <t>1123</t>
  </si>
  <si>
    <t>1124</t>
  </si>
  <si>
    <t>11L</t>
  </si>
  <si>
    <t>11M</t>
  </si>
  <si>
    <t>11N</t>
  </si>
  <si>
    <t>11O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</si>
  <si>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</si>
  <si>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</si>
  <si>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</si>
  <si>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</si>
  <si>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</si>
  <si>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</si>
  <si>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</si>
  <si>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</si>
  <si>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</si>
  <si>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</si>
  <si>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1216</t>
  </si>
  <si>
    <t>1218</t>
  </si>
  <si>
    <t>1219</t>
  </si>
  <si>
    <t>1220</t>
  </si>
  <si>
    <t>1221</t>
  </si>
  <si>
    <t>1222</t>
  </si>
  <si>
    <t>1223</t>
  </si>
  <si>
    <t>1224</t>
  </si>
  <si>
    <t>1225</t>
  </si>
  <si>
    <t>12K</t>
  </si>
  <si>
    <t>12L</t>
  </si>
  <si>
    <t>12M</t>
  </si>
  <si>
    <t>12N</t>
  </si>
  <si>
    <t>12O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</si>
  <si>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</si>
  <si>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</si>
  <si>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</si>
  <si>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</si>
  <si>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</si>
  <si>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</si>
  <si>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</si>
  <si>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</si>
  <si>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</si>
  <si>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</si>
  <si>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1316</t>
  </si>
  <si>
    <t>1318</t>
  </si>
  <si>
    <t>1319</t>
  </si>
  <si>
    <t>1320</t>
  </si>
  <si>
    <t>1321</t>
  </si>
  <si>
    <t>1322</t>
  </si>
  <si>
    <t>1323</t>
  </si>
  <si>
    <t>1324</t>
  </si>
  <si>
    <t>1325</t>
  </si>
  <si>
    <t>13K</t>
  </si>
  <si>
    <t>13L</t>
  </si>
  <si>
    <t>13M</t>
  </si>
  <si>
    <t>13N</t>
  </si>
  <si>
    <t>13O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</si>
  <si>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</si>
  <si>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</si>
  <si>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</si>
  <si>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</si>
  <si>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</si>
  <si>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</si>
  <si>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</si>
  <si>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</si>
  <si>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</si>
  <si>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</si>
  <si>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</si>
  <si>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</si>
  <si>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</si>
  <si>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</si>
  <si>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</si>
  <si>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</si>
  <si>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</si>
  <si>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</si>
  <si>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</si>
  <si>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14K</t>
  </si>
  <si>
    <t>14L</t>
  </si>
  <si>
    <t>14M</t>
  </si>
  <si>
    <t>14N</t>
  </si>
  <si>
    <t>1501</t>
  </si>
  <si>
    <t>1502</t>
  </si>
  <si>
    <t>1503</t>
  </si>
  <si>
    <t>1504</t>
  </si>
  <si>
    <t>1505</t>
  </si>
  <si>
    <t>1506</t>
  </si>
  <si>
    <t>1507</t>
  </si>
  <si>
    <t>1508</t>
  </si>
  <si>
    <t>1509-LG</t>
  </si>
  <si>
    <t>1510</t>
  </si>
  <si>
    <t>1516</t>
  </si>
  <si>
    <t>1517</t>
  </si>
  <si>
    <t>1519</t>
  </si>
  <si>
    <t>1520</t>
  </si>
  <si>
    <t>1521</t>
  </si>
  <si>
    <t>1522</t>
  </si>
  <si>
    <t>1523</t>
  </si>
  <si>
    <t>1524</t>
  </si>
  <si>
    <t>15K</t>
  </si>
  <si>
    <t>15L</t>
  </si>
  <si>
    <t>15M</t>
  </si>
  <si>
    <t>15N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</si>
  <si>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</si>
  <si>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</si>
  <si>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</si>
  <si>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</si>
  <si>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</si>
  <si>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</si>
  <si>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</si>
  <si>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</si>
  <si>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</si>
  <si>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</si>
  <si>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1616</t>
  </si>
  <si>
    <t>1618</t>
  </si>
  <si>
    <t>1619</t>
  </si>
  <si>
    <t>1620</t>
  </si>
  <si>
    <t>1621</t>
  </si>
  <si>
    <t>1622</t>
  </si>
  <si>
    <t>1623</t>
  </si>
  <si>
    <t>1624</t>
  </si>
  <si>
    <t>16K</t>
  </si>
  <si>
    <t>16L</t>
  </si>
  <si>
    <t>16M</t>
  </si>
  <si>
    <t>16N</t>
  </si>
  <si>
    <t>16O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</si>
  <si>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</si>
  <si>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</si>
  <si>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</si>
  <si>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</si>
  <si>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</si>
  <si>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</si>
  <si>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</si>
  <si>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</si>
  <si>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</si>
  <si>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</si>
  <si>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1716</t>
  </si>
  <si>
    <t>1718</t>
  </si>
  <si>
    <t>1719</t>
  </si>
  <si>
    <t>1720</t>
  </si>
  <si>
    <t>1721</t>
  </si>
  <si>
    <t>1722</t>
  </si>
  <si>
    <t>1723</t>
  </si>
  <si>
    <t>1724</t>
  </si>
  <si>
    <t>1725</t>
  </si>
  <si>
    <t>17L</t>
  </si>
  <si>
    <t>17M</t>
  </si>
  <si>
    <t>17N</t>
  </si>
  <si>
    <t>17O</t>
  </si>
  <si>
    <t>1801</t>
  </si>
  <si>
    <t>1802</t>
  </si>
  <si>
    <t>1803</t>
  </si>
  <si>
    <t>1804</t>
  </si>
  <si>
    <t>1805</t>
  </si>
  <si>
    <t>1806</t>
  </si>
  <si>
    <t>1807</t>
  </si>
  <si>
    <t>1808</t>
  </si>
  <si>
    <t>1809</t>
  </si>
  <si>
    <t>1810</t>
  </si>
  <si>
    <t>1816</t>
  </si>
  <si>
    <t>1817</t>
  </si>
  <si>
    <t>1818</t>
  </si>
  <si>
    <t>1819</t>
  </si>
  <si>
    <t>1820</t>
  </si>
  <si>
    <t>1821</t>
  </si>
  <si>
    <t>1822</t>
  </si>
  <si>
    <t>1823</t>
  </si>
  <si>
    <t>1824</t>
  </si>
  <si>
    <t>1825</t>
  </si>
  <si>
    <t>18K</t>
  </si>
  <si>
    <t>18L</t>
  </si>
  <si>
    <t>18M</t>
  </si>
  <si>
    <t>18N</t>
  </si>
  <si>
    <t>1901</t>
  </si>
  <si>
    <t>1902</t>
  </si>
  <si>
    <t>1903</t>
  </si>
  <si>
    <t>1904</t>
  </si>
  <si>
    <t>1905</t>
  </si>
  <si>
    <t>1906</t>
  </si>
  <si>
    <t>1907</t>
  </si>
  <si>
    <t>1908</t>
  </si>
  <si>
    <t>1909</t>
  </si>
  <si>
    <t>1910</t>
  </si>
  <si>
    <t>1916</t>
  </si>
  <si>
    <t>1917</t>
  </si>
  <si>
    <t>1918</t>
  </si>
  <si>
    <t>1919</t>
  </si>
  <si>
    <t>1920</t>
  </si>
  <si>
    <t>1921</t>
  </si>
  <si>
    <t>1922</t>
  </si>
  <si>
    <t>1923</t>
  </si>
  <si>
    <t>1924</t>
  </si>
  <si>
    <t>1925</t>
  </si>
  <si>
    <t>19K</t>
  </si>
  <si>
    <t>19L</t>
  </si>
  <si>
    <t>19M</t>
  </si>
  <si>
    <t>19N</t>
  </si>
  <si>
    <t>19O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</si>
  <si>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</si>
  <si>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</si>
  <si>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</si>
  <si>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</si>
  <si>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</si>
  <si>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</si>
  <si>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</si>
  <si>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</si>
  <si>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</si>
  <si>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</si>
  <si>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2017</t>
  </si>
  <si>
    <t>2018</t>
  </si>
  <si>
    <t>2019</t>
  </si>
  <si>
    <t>2020</t>
  </si>
  <si>
    <t>2021</t>
  </si>
  <si>
    <t>2022</t>
  </si>
  <si>
    <t>2023</t>
  </si>
  <si>
    <t>2024</t>
  </si>
  <si>
    <t>20K</t>
  </si>
  <si>
    <t>20L</t>
  </si>
  <si>
    <t>20M</t>
  </si>
  <si>
    <t>20N</t>
  </si>
  <si>
    <t>20O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</si>
  <si>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</si>
  <si>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</si>
  <si>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</si>
  <si>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</si>
  <si>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</si>
  <si>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</si>
  <si>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</si>
  <si>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</si>
  <si>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</si>
  <si>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2110</t>
  </si>
  <si>
    <t>2116</t>
  </si>
  <si>
    <t>2117</t>
  </si>
  <si>
    <t>2118</t>
  </si>
  <si>
    <t>2119</t>
  </si>
  <si>
    <t>2120</t>
  </si>
  <si>
    <t>2121</t>
  </si>
  <si>
    <t>2122</t>
  </si>
  <si>
    <t>2123</t>
  </si>
  <si>
    <t>2124</t>
  </si>
  <si>
    <t>21K</t>
  </si>
  <si>
    <t>21L</t>
  </si>
  <si>
    <t>21M</t>
  </si>
  <si>
    <t>21N</t>
  </si>
  <si>
    <t>21O</t>
  </si>
  <si>
    <t>2201</t>
  </si>
  <si>
    <t>2202</t>
  </si>
  <si>
    <t>2203</t>
  </si>
  <si>
    <t>2204</t>
  </si>
  <si>
    <t>2205</t>
  </si>
  <si>
    <t>2206</t>
  </si>
  <si>
    <t>2207</t>
  </si>
  <si>
    <t>2208</t>
  </si>
  <si>
    <t>2209</t>
  </si>
  <si>
    <t>2210</t>
  </si>
  <si>
    <t>2216</t>
  </si>
  <si>
    <t>2217</t>
  </si>
  <si>
    <t>2218</t>
  </si>
  <si>
    <t>2219</t>
  </si>
  <si>
    <t>2220</t>
  </si>
  <si>
    <t>2221</t>
  </si>
  <si>
    <t>2222</t>
  </si>
  <si>
    <t>2223</t>
  </si>
  <si>
    <t>2224</t>
  </si>
  <si>
    <t>22K</t>
  </si>
  <si>
    <t>22L</t>
  </si>
  <si>
    <t>22M</t>
  </si>
  <si>
    <t>22N</t>
  </si>
  <si>
    <t>22O</t>
  </si>
  <si>
    <t>2301</t>
  </si>
  <si>
    <t>2302</t>
  </si>
  <si>
    <t>2303</t>
  </si>
  <si>
    <t>2304</t>
  </si>
  <si>
    <t>2305</t>
  </si>
  <si>
    <t>2306</t>
  </si>
  <si>
    <t>2307</t>
  </si>
  <si>
    <t>2308</t>
  </si>
  <si>
    <t>2309</t>
  </si>
  <si>
    <t>2310</t>
  </si>
  <si>
    <t>2316</t>
  </si>
  <si>
    <t>2319</t>
  </si>
  <si>
    <t>2320</t>
  </si>
  <si>
    <t>2321</t>
  </si>
  <si>
    <t>2322</t>
  </si>
  <si>
    <t>2323</t>
  </si>
  <si>
    <t>2324</t>
  </si>
  <si>
    <t>23K</t>
  </si>
  <si>
    <t>23L</t>
  </si>
  <si>
    <t>23M</t>
  </si>
  <si>
    <t>23N</t>
  </si>
  <si>
    <t>23O</t>
  </si>
  <si>
    <t>2401</t>
  </si>
  <si>
    <t>2402</t>
  </si>
  <si>
    <t>2403</t>
  </si>
  <si>
    <t>2404</t>
  </si>
  <si>
    <t>2405</t>
  </si>
  <si>
    <t>2406</t>
  </si>
  <si>
    <t>2407</t>
  </si>
  <si>
    <t>2408</t>
  </si>
  <si>
    <t>2409</t>
  </si>
  <si>
    <t>2410</t>
  </si>
  <si>
    <t>2416</t>
  </si>
  <si>
    <t>2419</t>
  </si>
  <si>
    <t>2421</t>
  </si>
  <si>
    <t>2422</t>
  </si>
  <si>
    <t>2423</t>
  </si>
  <si>
    <t>2424</t>
  </si>
  <si>
    <t>24K</t>
  </si>
  <si>
    <t>24L</t>
  </si>
  <si>
    <t>24M</t>
  </si>
  <si>
    <t>24N</t>
  </si>
  <si>
    <t>24O</t>
  </si>
  <si>
    <t>2501</t>
  </si>
  <si>
    <t>2502</t>
  </si>
  <si>
    <t>2503</t>
  </si>
  <si>
    <t>2504</t>
  </si>
  <si>
    <t>2505</t>
  </si>
  <si>
    <t>2506</t>
  </si>
  <si>
    <t>2507</t>
  </si>
  <si>
    <t>2508</t>
  </si>
  <si>
    <t>2509</t>
  </si>
  <si>
    <t>2510</t>
  </si>
  <si>
    <t>2516</t>
  </si>
  <si>
    <t>2518</t>
  </si>
  <si>
    <t>2519</t>
  </si>
  <si>
    <t>2520</t>
  </si>
  <si>
    <t>2521</t>
  </si>
  <si>
    <t>2522</t>
  </si>
  <si>
    <t>2523</t>
  </si>
  <si>
    <t>2524</t>
  </si>
  <si>
    <t>2525</t>
  </si>
  <si>
    <t>25K</t>
  </si>
  <si>
    <t>25L</t>
  </si>
  <si>
    <t>25M</t>
  </si>
  <si>
    <t>25N</t>
  </si>
  <si>
    <t>25O</t>
  </si>
  <si>
    <t>2602</t>
  </si>
  <si>
    <t>2603</t>
  </si>
  <si>
    <t>2604</t>
  </si>
  <si>
    <t>2605</t>
  </si>
  <si>
    <t>2606</t>
  </si>
  <si>
    <t>2607</t>
  </si>
  <si>
    <t>2608</t>
  </si>
  <si>
    <t>2609</t>
  </si>
  <si>
    <t>2610</t>
  </si>
  <si>
    <t>2616</t>
  </si>
  <si>
    <t>2617</t>
  </si>
  <si>
    <t>2618</t>
  </si>
  <si>
    <t>2619</t>
  </si>
  <si>
    <t>2621</t>
  </si>
  <si>
    <t>2622</t>
  </si>
  <si>
    <t>2623</t>
  </si>
  <si>
    <t>2624</t>
  </si>
  <si>
    <t>2625</t>
  </si>
  <si>
    <t>26K</t>
  </si>
  <si>
    <t>26L</t>
  </si>
  <si>
    <t>26M</t>
  </si>
  <si>
    <t>26N</t>
  </si>
  <si>
    <t>26O</t>
  </si>
  <si>
    <t>2701</t>
  </si>
  <si>
    <t>2702</t>
  </si>
  <si>
    <t>2703</t>
  </si>
  <si>
    <t>2704</t>
  </si>
  <si>
    <t>2705</t>
  </si>
  <si>
    <t>2706</t>
  </si>
  <si>
    <t>2707</t>
  </si>
  <si>
    <t>2708</t>
  </si>
  <si>
    <t>2709</t>
  </si>
  <si>
    <t>2710</t>
  </si>
  <si>
    <t>2716</t>
  </si>
  <si>
    <t>2717</t>
  </si>
  <si>
    <t>2719</t>
  </si>
  <si>
    <t>2721</t>
  </si>
  <si>
    <t>2722</t>
  </si>
  <si>
    <t>2723</t>
  </si>
  <si>
    <t>2724</t>
  </si>
  <si>
    <t>27K</t>
  </si>
  <si>
    <t>27L</t>
  </si>
  <si>
    <t>27M</t>
  </si>
  <si>
    <t>27N</t>
  </si>
  <si>
    <t>27O</t>
  </si>
  <si>
    <t>2801</t>
  </si>
  <si>
    <t>2802</t>
  </si>
  <si>
    <t>2803</t>
  </si>
  <si>
    <t>2804</t>
  </si>
  <si>
    <t>2805</t>
  </si>
  <si>
    <t>2806</t>
  </si>
  <si>
    <t>2807</t>
  </si>
  <si>
    <t>2808</t>
  </si>
  <si>
    <t>2809</t>
  </si>
  <si>
    <t>2810</t>
  </si>
  <si>
    <t>2816</t>
  </si>
  <si>
    <t>2817</t>
  </si>
  <si>
    <t>2818</t>
  </si>
  <si>
    <t>2819</t>
  </si>
  <si>
    <t>2820</t>
  </si>
  <si>
    <t>2821</t>
  </si>
  <si>
    <t>2822</t>
  </si>
  <si>
    <t>2823</t>
  </si>
  <si>
    <t>2824</t>
  </si>
  <si>
    <t>28K</t>
  </si>
  <si>
    <t>28L</t>
  </si>
  <si>
    <t>28M</t>
  </si>
  <si>
    <t>28N-LG</t>
  </si>
  <si>
    <t>28O</t>
  </si>
  <si>
    <t>2901</t>
  </si>
  <si>
    <t>2902</t>
  </si>
  <si>
    <t>2903</t>
  </si>
  <si>
    <t>2904</t>
  </si>
  <si>
    <t>2905</t>
  </si>
  <si>
    <t>2906</t>
  </si>
  <si>
    <t>2907</t>
  </si>
  <si>
    <t>2908</t>
  </si>
  <si>
    <t>2909</t>
  </si>
  <si>
    <t>2910</t>
  </si>
  <si>
    <t>2916</t>
  </si>
  <si>
    <t>2917</t>
  </si>
  <si>
    <t>2919</t>
  </si>
  <si>
    <t>2920</t>
  </si>
  <si>
    <t>2921</t>
  </si>
  <si>
    <t>2922</t>
  </si>
  <si>
    <t>2923</t>
  </si>
  <si>
    <t>2924</t>
  </si>
  <si>
    <t>29K</t>
  </si>
  <si>
    <t>29L</t>
  </si>
  <si>
    <t>29M</t>
  </si>
  <si>
    <t>29N-LG</t>
  </si>
  <si>
    <t>29O</t>
  </si>
  <si>
    <t>3001</t>
  </si>
  <si>
    <t>3002</t>
  </si>
  <si>
    <t>3003</t>
  </si>
  <si>
    <t>3004</t>
  </si>
  <si>
    <t>3005</t>
  </si>
  <si>
    <t>3006</t>
  </si>
  <si>
    <t>3007</t>
  </si>
  <si>
    <t>3008</t>
  </si>
  <si>
    <t>3009</t>
  </si>
  <si>
    <t>3010</t>
  </si>
  <si>
    <t>3016</t>
  </si>
  <si>
    <t>3017</t>
  </si>
  <si>
    <t>3018</t>
  </si>
  <si>
    <t>3019</t>
  </si>
  <si>
    <t>3020</t>
  </si>
  <si>
    <t>3021</t>
  </si>
  <si>
    <t>3022</t>
  </si>
  <si>
    <t>3023</t>
  </si>
  <si>
    <t>30K</t>
  </si>
  <si>
    <t>30L</t>
  </si>
  <si>
    <t>30M</t>
  </si>
  <si>
    <t>30N</t>
  </si>
  <si>
    <t>30O</t>
  </si>
  <si>
    <t>Suma de Area</t>
  </si>
  <si>
    <t>Suma de Precio Lista</t>
  </si>
  <si>
    <t>Suma de Precio Venta Sin Parq.</t>
  </si>
  <si>
    <t>Proyecto</t>
  </si>
  <si>
    <t>Valores</t>
  </si>
  <si>
    <t>Tipo de Unidad</t>
  </si>
  <si>
    <t>APARTAMENTO</t>
  </si>
  <si>
    <t>Suma de Precio Venta Sin Parq#</t>
  </si>
  <si>
    <t>Apartamentos</t>
  </si>
  <si>
    <t xml:space="preserve">Parq. </t>
  </si>
  <si>
    <t xml:space="preserve">Parq. Sencillos/Util </t>
  </si>
  <si>
    <t xml:space="preserve">Utiles </t>
  </si>
  <si>
    <t xml:space="preserve">Apartamentos </t>
  </si>
  <si>
    <t xml:space="preserve">Parq. Moto </t>
  </si>
  <si>
    <t>Parq.</t>
  </si>
  <si>
    <t>Parq. Sencillos/Util</t>
  </si>
  <si>
    <t>2025</t>
  </si>
  <si>
    <t>All</t>
  </si>
  <si>
    <t>Recuento de Cód</t>
  </si>
  <si>
    <t>Suma de Valor venta neta</t>
  </si>
  <si>
    <t>Fecha desistimiento (año)</t>
  </si>
  <si>
    <t># Desistimientos Total</t>
  </si>
  <si>
    <t>$ Desistimientos Total</t>
  </si>
  <si>
    <t>PROYECTO</t>
  </si>
  <si>
    <t># DESISTIMIENTO</t>
  </si>
  <si>
    <t>$DESISTIMIENTO TOTAL</t>
  </si>
  <si>
    <t>enero</t>
  </si>
  <si>
    <t>febrero</t>
  </si>
  <si>
    <t>marzo</t>
  </si>
  <si>
    <t>abril</t>
  </si>
  <si>
    <t>mayo</t>
  </si>
  <si>
    <t>junio</t>
  </si>
  <si>
    <t>julio</t>
  </si>
  <si>
    <t>Fecha Vnta</t>
  </si>
  <si>
    <t xml:space="preserve">Fecha desis </t>
  </si>
  <si>
    <t>desis</t>
  </si>
  <si>
    <t>0701</t>
  </si>
  <si>
    <t>1101</t>
  </si>
  <si>
    <t>2601</t>
  </si>
  <si>
    <t>07M</t>
  </si>
  <si>
    <t>07O</t>
  </si>
  <si>
    <t>10K</t>
  </si>
  <si>
    <t>11K</t>
  </si>
  <si>
    <t>14O</t>
  </si>
  <si>
    <t>15O</t>
  </si>
  <si>
    <t>17K</t>
  </si>
  <si>
    <t>18O</t>
  </si>
  <si>
    <t>0725</t>
  </si>
  <si>
    <t>1125</t>
  </si>
  <si>
    <t>1525</t>
  </si>
  <si>
    <t>1625</t>
  </si>
  <si>
    <t>2125</t>
  </si>
  <si>
    <t>2225</t>
  </si>
  <si>
    <t>2325</t>
  </si>
  <si>
    <t>2420</t>
  </si>
  <si>
    <t>2425</t>
  </si>
  <si>
    <t>2620</t>
  </si>
  <si>
    <t>2720</t>
  </si>
  <si>
    <t>2725</t>
  </si>
  <si>
    <t>2825</t>
  </si>
  <si>
    <t>2925</t>
  </si>
  <si>
    <t>3024</t>
  </si>
  <si>
    <t>3025</t>
  </si>
  <si>
    <t>0719</t>
  </si>
  <si>
    <t>0818</t>
  </si>
  <si>
    <t>1018</t>
  </si>
  <si>
    <t>1117</t>
  </si>
  <si>
    <t>1217</t>
  </si>
  <si>
    <t>1317</t>
  </si>
  <si>
    <t>1416</t>
  </si>
  <si>
    <t>1518</t>
  </si>
  <si>
    <t>1617</t>
  </si>
  <si>
    <t>1717</t>
  </si>
  <si>
    <t>2016</t>
  </si>
  <si>
    <t>2317</t>
  </si>
  <si>
    <t>2318</t>
  </si>
  <si>
    <t>2417</t>
  </si>
  <si>
    <t>2418</t>
  </si>
  <si>
    <t>2517</t>
  </si>
  <si>
    <t>2718</t>
  </si>
  <si>
    <t>2918</t>
  </si>
  <si>
    <t>PARQUEADERO</t>
  </si>
  <si>
    <t>PS-01005</t>
  </si>
  <si>
    <t>PS-01006</t>
  </si>
  <si>
    <t>PS-01007</t>
  </si>
  <si>
    <t>PS-01008</t>
  </si>
  <si>
    <t>PS-01010</t>
  </si>
  <si>
    <t>PS-01011</t>
  </si>
  <si>
    <t>PS-01012</t>
  </si>
  <si>
    <t>PS-01013</t>
  </si>
  <si>
    <t>PS-01014</t>
  </si>
  <si>
    <t>PS-01015</t>
  </si>
  <si>
    <t>PS-01016</t>
  </si>
  <si>
    <t>PS-01020</t>
  </si>
  <si>
    <t>PS-01022</t>
  </si>
  <si>
    <t>PS-01022-</t>
  </si>
  <si>
    <t>PS-01024</t>
  </si>
  <si>
    <t>PS-01025</t>
  </si>
  <si>
    <t>PS-01026</t>
  </si>
  <si>
    <t>PS-01027</t>
  </si>
  <si>
    <t>PS-01028</t>
  </si>
  <si>
    <t>PS-01029</t>
  </si>
  <si>
    <t>PS-01029-</t>
  </si>
  <si>
    <t>PS-01057</t>
  </si>
  <si>
    <t>PS-01059</t>
  </si>
  <si>
    <t>PS-01060</t>
  </si>
  <si>
    <t>PS-01061</t>
  </si>
  <si>
    <t>PS-01062</t>
  </si>
  <si>
    <t>PS-01063</t>
  </si>
  <si>
    <t>PS-01064</t>
  </si>
  <si>
    <t>PS-01066</t>
  </si>
  <si>
    <t>PS-01068</t>
  </si>
  <si>
    <t>PS-01069</t>
  </si>
  <si>
    <t>PS-01070</t>
  </si>
  <si>
    <t>PS-01098</t>
  </si>
  <si>
    <t>PS-01099</t>
  </si>
  <si>
    <t>PS-01111</t>
  </si>
  <si>
    <t>PS-02006</t>
  </si>
  <si>
    <t>PS-02007</t>
  </si>
  <si>
    <t>PS-02008</t>
  </si>
  <si>
    <t>PS-02009</t>
  </si>
  <si>
    <t>PS-02011</t>
  </si>
  <si>
    <t>PS-02012</t>
  </si>
  <si>
    <t>PS-02013</t>
  </si>
  <si>
    <t>PS-02014</t>
  </si>
  <si>
    <t>PS-02015</t>
  </si>
  <si>
    <t>PS-02018</t>
  </si>
  <si>
    <t>PS-02021</t>
  </si>
  <si>
    <t>PS-02022</t>
  </si>
  <si>
    <t>PS-02024</t>
  </si>
  <si>
    <t>PS-02026</t>
  </si>
  <si>
    <t>PS-02027</t>
  </si>
  <si>
    <t>PS-02029</t>
  </si>
  <si>
    <t>PS-02030</t>
  </si>
  <si>
    <t>PS-02062</t>
  </si>
  <si>
    <t>PS-02063</t>
  </si>
  <si>
    <t>PS-02064</t>
  </si>
  <si>
    <t>PS-02065</t>
  </si>
  <si>
    <t>PS-02066</t>
  </si>
  <si>
    <t>PS-02096</t>
  </si>
  <si>
    <t>PS-02110</t>
  </si>
  <si>
    <t>PS-02112</t>
  </si>
  <si>
    <t>PS-02113</t>
  </si>
  <si>
    <t>PS-02163</t>
  </si>
  <si>
    <t>PS-02164</t>
  </si>
  <si>
    <t>PS-03016</t>
  </si>
  <si>
    <t>PS-03019</t>
  </si>
  <si>
    <t>PS-03020</t>
  </si>
  <si>
    <t>PS-03021</t>
  </si>
  <si>
    <t>PS-03022</t>
  </si>
  <si>
    <t>PS-03023</t>
  </si>
  <si>
    <t>PS-03025</t>
  </si>
  <si>
    <t>PS-03027</t>
  </si>
  <si>
    <t>PS-03028</t>
  </si>
  <si>
    <t>PS-03032</t>
  </si>
  <si>
    <t>PS-03033</t>
  </si>
  <si>
    <t>PS-03035</t>
  </si>
  <si>
    <t>PS-03036</t>
  </si>
  <si>
    <t>PS-03037</t>
  </si>
  <si>
    <t>PS-03039</t>
  </si>
  <si>
    <t>PS-03040</t>
  </si>
  <si>
    <t>PS-03041</t>
  </si>
  <si>
    <t>PS-03071</t>
  </si>
  <si>
    <t>PS-03073</t>
  </si>
  <si>
    <t>PS-03075</t>
  </si>
  <si>
    <t>PS-03077</t>
  </si>
  <si>
    <t>PS-03079</t>
  </si>
  <si>
    <t>PS-03081</t>
  </si>
  <si>
    <t>PS-03084</t>
  </si>
  <si>
    <t>PS-03085</t>
  </si>
  <si>
    <t>PS-03108</t>
  </si>
  <si>
    <t>PS-03110</t>
  </si>
  <si>
    <t>PS-03123</t>
  </si>
  <si>
    <t>PS-03124</t>
  </si>
  <si>
    <t>PS-03126</t>
  </si>
  <si>
    <t>PS-04016</t>
  </si>
  <si>
    <t>PS-04018</t>
  </si>
  <si>
    <t>PS-04019</t>
  </si>
  <si>
    <t>PS-04021</t>
  </si>
  <si>
    <t>PS-04022</t>
  </si>
  <si>
    <t>PS-04023</t>
  </si>
  <si>
    <t>PS-04024</t>
  </si>
  <si>
    <t>PS-04025</t>
  </si>
  <si>
    <t>PS-04026</t>
  </si>
  <si>
    <t>PS-04027</t>
  </si>
  <si>
    <t>PS-04028</t>
  </si>
  <si>
    <t>PS-04031</t>
  </si>
  <si>
    <t>PS-04032</t>
  </si>
  <si>
    <t>PS-04033</t>
  </si>
  <si>
    <t>PS-04034</t>
  </si>
  <si>
    <t>PS-04035</t>
  </si>
  <si>
    <t>PS-04036</t>
  </si>
  <si>
    <t>PS-04038</t>
  </si>
  <si>
    <t>PS-04039</t>
  </si>
  <si>
    <t>PS-04041</t>
  </si>
  <si>
    <t>PS-04070</t>
  </si>
  <si>
    <t>PS-04071</t>
  </si>
  <si>
    <t>PS-04072</t>
  </si>
  <si>
    <t>PS-04073</t>
  </si>
  <si>
    <t>PS-04079</t>
  </si>
  <si>
    <t>PS-04080</t>
  </si>
  <si>
    <t>PS-04111</t>
  </si>
  <si>
    <t>PS-04123</t>
  </si>
  <si>
    <t>PS-04174</t>
  </si>
  <si>
    <t>PS-05011</t>
  </si>
  <si>
    <t>PS-05012</t>
  </si>
  <si>
    <t>PS-05016</t>
  </si>
  <si>
    <t>PS-05017</t>
  </si>
  <si>
    <t>PS-05018</t>
  </si>
  <si>
    <t>PS-05019</t>
  </si>
  <si>
    <t>PS-05021</t>
  </si>
  <si>
    <t>PS-05022</t>
  </si>
  <si>
    <t>PS-05023</t>
  </si>
  <si>
    <t>PS-05026</t>
  </si>
  <si>
    <t>PS-05029</t>
  </si>
  <si>
    <t>PS-05031</t>
  </si>
  <si>
    <t>PS-05032</t>
  </si>
  <si>
    <t>PS-05034</t>
  </si>
  <si>
    <t>PS-05036</t>
  </si>
  <si>
    <t>PS-05072</t>
  </si>
  <si>
    <t>PS-05074</t>
  </si>
  <si>
    <t>PS-05076</t>
  </si>
  <si>
    <t>PS-05080</t>
  </si>
  <si>
    <t>PS-05108</t>
  </si>
  <si>
    <t>PS-05109</t>
  </si>
  <si>
    <t>PS-05111</t>
  </si>
  <si>
    <t>PS-05119</t>
  </si>
  <si>
    <t>PS-05121</t>
  </si>
  <si>
    <t>PS-0515</t>
  </si>
  <si>
    <t>PS-08J</t>
  </si>
  <si>
    <t>PS-12C</t>
  </si>
  <si>
    <t>PS-16J</t>
  </si>
  <si>
    <t>PS-17C</t>
  </si>
  <si>
    <t>PS-20H</t>
  </si>
  <si>
    <t>UTIL</t>
  </si>
  <si>
    <t>U-01001</t>
  </si>
  <si>
    <t>U-01003</t>
  </si>
  <si>
    <t>U-01019</t>
  </si>
  <si>
    <t>U-01020</t>
  </si>
  <si>
    <t>U-01022</t>
  </si>
  <si>
    <t>U-01029</t>
  </si>
  <si>
    <t>U-02004</t>
  </si>
  <si>
    <t>U-02005</t>
  </si>
  <si>
    <t>U-02014</t>
  </si>
  <si>
    <t>U-02019</t>
  </si>
  <si>
    <t>U-02024</t>
  </si>
  <si>
    <t>U-02030</t>
  </si>
  <si>
    <t>U-02709</t>
  </si>
  <si>
    <t>U-03011</t>
  </si>
  <si>
    <t>U-03013</t>
  </si>
  <si>
    <t>U-03014</t>
  </si>
  <si>
    <t>U-03015</t>
  </si>
  <si>
    <t>U-03021</t>
  </si>
  <si>
    <t>U-03029</t>
  </si>
  <si>
    <t>U-03033</t>
  </si>
  <si>
    <t>U-03040</t>
  </si>
  <si>
    <t>U-03042</t>
  </si>
  <si>
    <t>U-04013</t>
  </si>
  <si>
    <t>U-04042</t>
  </si>
  <si>
    <t>U-06034</t>
  </si>
  <si>
    <t>U-06035</t>
  </si>
  <si>
    <t>U-07033</t>
  </si>
  <si>
    <t>U-08032</t>
  </si>
  <si>
    <t>U-08J</t>
  </si>
  <si>
    <t>U-09033</t>
  </si>
  <si>
    <t>U-11032</t>
  </si>
  <si>
    <t>U-12033</t>
  </si>
  <si>
    <t>U-12C</t>
  </si>
  <si>
    <t>U-13032</t>
  </si>
  <si>
    <t>U-14033</t>
  </si>
  <si>
    <t>U-148</t>
  </si>
  <si>
    <t>U-149</t>
  </si>
  <si>
    <t>U-15031</t>
  </si>
  <si>
    <t>U-16031</t>
  </si>
  <si>
    <t>U-16033</t>
  </si>
  <si>
    <t>U-16J</t>
  </si>
  <si>
    <t>U-17033</t>
  </si>
  <si>
    <t>U-17C</t>
  </si>
  <si>
    <t>U-18032</t>
  </si>
  <si>
    <t>U-18033</t>
  </si>
  <si>
    <t>U-19033</t>
  </si>
  <si>
    <t>U-20032</t>
  </si>
  <si>
    <t>U-20033</t>
  </si>
  <si>
    <t>U-20H</t>
  </si>
  <si>
    <t>U-22031</t>
  </si>
  <si>
    <t>U-22033</t>
  </si>
  <si>
    <t>U-26033</t>
  </si>
  <si>
    <t>U-27033</t>
  </si>
  <si>
    <t>U-28032</t>
  </si>
  <si>
    <t>U-28033</t>
  </si>
  <si>
    <t>U-29031</t>
  </si>
  <si>
    <t>U-29032</t>
  </si>
  <si>
    <t>U-30033</t>
  </si>
  <si>
    <t>PS-01009</t>
  </si>
  <si>
    <t>PS-01065</t>
  </si>
  <si>
    <t>PS-01067</t>
  </si>
  <si>
    <t>PS-01071</t>
  </si>
  <si>
    <t>PS-01072</t>
  </si>
  <si>
    <t>PS-01097</t>
  </si>
  <si>
    <t>PS-01100</t>
  </si>
  <si>
    <t>PS-01112</t>
  </si>
  <si>
    <t>PS-01113</t>
  </si>
  <si>
    <t>PS-01114</t>
  </si>
  <si>
    <t>PS-02010</t>
  </si>
  <si>
    <t>PS-02016</t>
  </si>
  <si>
    <t>PS-02017</t>
  </si>
  <si>
    <t>PS-02023</t>
  </si>
  <si>
    <t>PS-02025</t>
  </si>
  <si>
    <t>PS-02028</t>
  </si>
  <si>
    <t>PS-02057</t>
  </si>
  <si>
    <t>PS-02058</t>
  </si>
  <si>
    <t>PS-02059</t>
  </si>
  <si>
    <t>PS-02060</t>
  </si>
  <si>
    <t>PS-02061</t>
  </si>
  <si>
    <t>PS-02067</t>
  </si>
  <si>
    <t>PS-02068</t>
  </si>
  <si>
    <t>PS-02069</t>
  </si>
  <si>
    <t>PS-02070</t>
  </si>
  <si>
    <t>PS-02071</t>
  </si>
  <si>
    <t>PS-02072</t>
  </si>
  <si>
    <t>PS-02097</t>
  </si>
  <si>
    <t>PS-02099</t>
  </si>
  <si>
    <t>PS-02162</t>
  </si>
  <si>
    <t>PS-03017</t>
  </si>
  <si>
    <t>PS-03018</t>
  </si>
  <si>
    <t>PS-03024</t>
  </si>
  <si>
    <t>PS-03034</t>
  </si>
  <si>
    <t>PS-03038</t>
  </si>
  <si>
    <t>PS-03070</t>
  </si>
  <si>
    <t>PS-03072</t>
  </si>
  <si>
    <t>PS-03074</t>
  </si>
  <si>
    <t>PS-03076</t>
  </si>
  <si>
    <t>PS-03080</t>
  </si>
  <si>
    <t>PS-03082</t>
  </si>
  <si>
    <t>PS-03083</t>
  </si>
  <si>
    <t>PS-03109</t>
  </si>
  <si>
    <t>PS-03111</t>
  </si>
  <si>
    <t>PS-03112</t>
  </si>
  <si>
    <t>PS-03125</t>
  </si>
  <si>
    <t>PS-03176</t>
  </si>
  <si>
    <t>PS-04017</t>
  </si>
  <si>
    <t>PS-04020</t>
  </si>
  <si>
    <t>PS-04037</t>
  </si>
  <si>
    <t>PS-04074</t>
  </si>
  <si>
    <t>PS-04075</t>
  </si>
  <si>
    <t>PS-04076</t>
  </si>
  <si>
    <t>PS-04078</t>
  </si>
  <si>
    <t>PS-04081</t>
  </si>
  <si>
    <t>PS-04082</t>
  </si>
  <si>
    <t>PS-04083</t>
  </si>
  <si>
    <t>PS-04084</t>
  </si>
  <si>
    <t>PS-04085</t>
  </si>
  <si>
    <t>PS-04112</t>
  </si>
  <si>
    <t>PS-04124</t>
  </si>
  <si>
    <t>PS-04125</t>
  </si>
  <si>
    <t>PS-04126</t>
  </si>
  <si>
    <t>PS-04175</t>
  </si>
  <si>
    <t>PS-04176</t>
  </si>
  <si>
    <t>PS-05013</t>
  </si>
  <si>
    <t>PS-05014</t>
  </si>
  <si>
    <t>PS-05020</t>
  </si>
  <si>
    <t>PS-05027</t>
  </si>
  <si>
    <t>PS-05030</t>
  </si>
  <si>
    <t>PS-05033</t>
  </si>
  <si>
    <t>PS-05035</t>
  </si>
  <si>
    <t>PS-05065</t>
  </si>
  <si>
    <t>PS-05067</t>
  </si>
  <si>
    <t>PS-05068</t>
  </si>
  <si>
    <t>PS-05069</t>
  </si>
  <si>
    <t>PS-05070</t>
  </si>
  <si>
    <t>PS-05073</t>
  </si>
  <si>
    <t>PS-05075</t>
  </si>
  <si>
    <t>PS-05077</t>
  </si>
  <si>
    <t>PS-05078</t>
  </si>
  <si>
    <t>PS-05118</t>
  </si>
  <si>
    <t>PS-05120</t>
  </si>
  <si>
    <t>PS-05169</t>
  </si>
  <si>
    <t>PS-05170</t>
  </si>
  <si>
    <t>PS-05171</t>
  </si>
  <si>
    <t>PS-096</t>
  </si>
  <si>
    <t>PS-11D</t>
  </si>
  <si>
    <t>PS-19E</t>
  </si>
  <si>
    <t>PS-2099</t>
  </si>
  <si>
    <t>PS-3083</t>
  </si>
  <si>
    <t>U-01002</t>
  </si>
  <si>
    <t>U-01004</t>
  </si>
  <si>
    <t>U-01018</t>
  </si>
  <si>
    <t>U-01032</t>
  </si>
  <si>
    <t>U-02020</t>
  </si>
  <si>
    <t>U-02526</t>
  </si>
  <si>
    <t>U-02528</t>
  </si>
  <si>
    <t>U-03009</t>
  </si>
  <si>
    <t>U-03034</t>
  </si>
  <si>
    <t>U-04007</t>
  </si>
  <si>
    <t>U-04011</t>
  </si>
  <si>
    <t>U-04015</t>
  </si>
  <si>
    <t>U-04029</t>
  </si>
  <si>
    <t>U-04030</t>
  </si>
  <si>
    <t>U-05009</t>
  </si>
  <si>
    <t>U-05010</t>
  </si>
  <si>
    <t>U-05025</t>
  </si>
  <si>
    <t>U-05037</t>
  </si>
  <si>
    <t>U-06031</t>
  </si>
  <si>
    <t>U-06032</t>
  </si>
  <si>
    <t>U-06033</t>
  </si>
  <si>
    <t>U-067</t>
  </si>
  <si>
    <t>U-068</t>
  </si>
  <si>
    <t>U-07031</t>
  </si>
  <si>
    <t>U-071</t>
  </si>
  <si>
    <t>U-072</t>
  </si>
  <si>
    <t>U-074</t>
  </si>
  <si>
    <t>U-075</t>
  </si>
  <si>
    <t>U-077</t>
  </si>
  <si>
    <t>U-078</t>
  </si>
  <si>
    <t>U-079</t>
  </si>
  <si>
    <t>U-08031</t>
  </si>
  <si>
    <t>U-08033</t>
  </si>
  <si>
    <t>U-088</t>
  </si>
  <si>
    <t>U-09031</t>
  </si>
  <si>
    <t>U-09032</t>
  </si>
  <si>
    <t>U-094</t>
  </si>
  <si>
    <t>U-096</t>
  </si>
  <si>
    <t>U-10031</t>
  </si>
  <si>
    <t>U-10033</t>
  </si>
  <si>
    <t>U-11031</t>
  </si>
  <si>
    <t>U-11033</t>
  </si>
  <si>
    <t>U-11D</t>
  </si>
  <si>
    <t>U-12031</t>
  </si>
  <si>
    <t>U-13031</t>
  </si>
  <si>
    <t>U-13033</t>
  </si>
  <si>
    <t>U-14032</t>
  </si>
  <si>
    <t>U-15032</t>
  </si>
  <si>
    <t>U-15033</t>
  </si>
  <si>
    <t>U-16032</t>
  </si>
  <si>
    <t>U-17031</t>
  </si>
  <si>
    <t>U-17032</t>
  </si>
  <si>
    <t>U-18031</t>
  </si>
  <si>
    <t>U-19031</t>
  </si>
  <si>
    <t>U-19E</t>
  </si>
  <si>
    <t>U-21031</t>
  </si>
  <si>
    <t>U-21032</t>
  </si>
  <si>
    <t>U-21033</t>
  </si>
  <si>
    <t>U-23031</t>
  </si>
  <si>
    <t>U-23032</t>
  </si>
  <si>
    <t>U-23033</t>
  </si>
  <si>
    <t>U-24031</t>
  </si>
  <si>
    <t>U-24032</t>
  </si>
  <si>
    <t>U-24033</t>
  </si>
  <si>
    <t>U-25032</t>
  </si>
  <si>
    <t>U-26031</t>
  </si>
  <si>
    <t>U-27031</t>
  </si>
  <si>
    <t>U-27032</t>
  </si>
  <si>
    <t>U-28031</t>
  </si>
  <si>
    <t>U-29033</t>
  </si>
  <si>
    <t>U-30031</t>
  </si>
  <si>
    <t>U-30032</t>
  </si>
  <si>
    <t>U-3009</t>
  </si>
  <si>
    <t>PS-06K</t>
  </si>
  <si>
    <t>PS-06L</t>
  </si>
  <si>
    <t>PS-06M</t>
  </si>
  <si>
    <t>PS-06N</t>
  </si>
  <si>
    <t>PS-06O</t>
  </si>
  <si>
    <t>PS-07K</t>
  </si>
  <si>
    <t>PS-07L</t>
  </si>
  <si>
    <t>PS-07N</t>
  </si>
  <si>
    <t>PS-08K</t>
  </si>
  <si>
    <t>PS-08L</t>
  </si>
  <si>
    <t>PS-08M</t>
  </si>
  <si>
    <t>PS-08N</t>
  </si>
  <si>
    <t>PS-08O</t>
  </si>
  <si>
    <t>PS-09K</t>
  </si>
  <si>
    <t>PS-09L</t>
  </si>
  <si>
    <t>PS-09M</t>
  </si>
  <si>
    <t>PS-09N</t>
  </si>
  <si>
    <t>PS-09O</t>
  </si>
  <si>
    <t>PS-108</t>
  </si>
  <si>
    <t>PS-109</t>
  </si>
  <si>
    <t>PS-10L</t>
  </si>
  <si>
    <t>PS-10M</t>
  </si>
  <si>
    <t>PS-10N</t>
  </si>
  <si>
    <t>PS-10O</t>
  </si>
  <si>
    <t>PS-110</t>
  </si>
  <si>
    <t>PS-11L</t>
  </si>
  <si>
    <t>PS-11M</t>
  </si>
  <si>
    <t>PS-11N</t>
  </si>
  <si>
    <t>PS-11O</t>
  </si>
  <si>
    <t>PS-120</t>
  </si>
  <si>
    <t>PS-121</t>
  </si>
  <si>
    <t>PS-122</t>
  </si>
  <si>
    <t>PS-123</t>
  </si>
  <si>
    <t>PS-12K</t>
  </si>
  <si>
    <t>PS-12L</t>
  </si>
  <si>
    <t>PS-12M</t>
  </si>
  <si>
    <t>PS-12N</t>
  </si>
  <si>
    <t>PS-12O</t>
  </si>
  <si>
    <t>PS-13K</t>
  </si>
  <si>
    <t>PS-13L</t>
  </si>
  <si>
    <t>PS-13M</t>
  </si>
  <si>
    <t>PS-13N</t>
  </si>
  <si>
    <t>PS-13O</t>
  </si>
  <si>
    <t>PS-14K</t>
  </si>
  <si>
    <t>PS-14L</t>
  </si>
  <si>
    <t>PS-14M</t>
  </si>
  <si>
    <t>PS-14N</t>
  </si>
  <si>
    <t>PS-15K</t>
  </si>
  <si>
    <t>PS-15L</t>
  </si>
  <si>
    <t>PS-15M</t>
  </si>
  <si>
    <t>PS-15N</t>
  </si>
  <si>
    <t>PS-16K</t>
  </si>
  <si>
    <t>PS-16L</t>
  </si>
  <si>
    <t>PS-16M</t>
  </si>
  <si>
    <t>PS-16N</t>
  </si>
  <si>
    <t>PS-16O</t>
  </si>
  <si>
    <t>PS-17K</t>
  </si>
  <si>
    <t>PS-17L</t>
  </si>
  <si>
    <t>PS-17M</t>
  </si>
  <si>
    <t>PS-17N</t>
  </si>
  <si>
    <t>PS-17O</t>
  </si>
  <si>
    <t>PS-18K</t>
  </si>
  <si>
    <t>PS-18L</t>
  </si>
  <si>
    <t>PS-18M</t>
  </si>
  <si>
    <t>PS-18N</t>
  </si>
  <si>
    <t>PS-19K</t>
  </si>
  <si>
    <t>PS-19L</t>
  </si>
  <si>
    <t>PS-19M</t>
  </si>
  <si>
    <t>PS-19N</t>
  </si>
  <si>
    <t>PS-19O</t>
  </si>
  <si>
    <t>PS-20K</t>
  </si>
  <si>
    <t>PS-20L</t>
  </si>
  <si>
    <t>PS-20M</t>
  </si>
  <si>
    <t>PS-20N</t>
  </si>
  <si>
    <t>PS-20O</t>
  </si>
  <si>
    <t>PS-21K</t>
  </si>
  <si>
    <t>PS-21L</t>
  </si>
  <si>
    <t>PS-21M</t>
  </si>
  <si>
    <t>PS-21N</t>
  </si>
  <si>
    <t>PS-21O</t>
  </si>
  <si>
    <t>PS-22K</t>
  </si>
  <si>
    <t>PS-22L</t>
  </si>
  <si>
    <t>PS-22M</t>
  </si>
  <si>
    <t>PS-22N</t>
  </si>
  <si>
    <t>PS-22O</t>
  </si>
  <si>
    <t>PS-23K</t>
  </si>
  <si>
    <t>PS-23L</t>
  </si>
  <si>
    <t>PS-23M</t>
  </si>
  <si>
    <t>PS-23N</t>
  </si>
  <si>
    <t>PS-23O</t>
  </si>
  <si>
    <t>PS-24K</t>
  </si>
  <si>
    <t>PS-24L</t>
  </si>
  <si>
    <t>PS-24M</t>
  </si>
  <si>
    <t>PS-24N</t>
  </si>
  <si>
    <t>PS-24O</t>
  </si>
  <si>
    <t>PS-25K</t>
  </si>
  <si>
    <t>PS-25L</t>
  </si>
  <si>
    <t>PS-25M</t>
  </si>
  <si>
    <t>PS-25N</t>
  </si>
  <si>
    <t>PS-25O</t>
  </si>
  <si>
    <t>PS-26K</t>
  </si>
  <si>
    <t>PS-26L</t>
  </si>
  <si>
    <t>PS-26M</t>
  </si>
  <si>
    <t>PS-26N</t>
  </si>
  <si>
    <t>PS-26O</t>
  </si>
  <si>
    <t>PS-27K</t>
  </si>
  <si>
    <t>PS-27L</t>
  </si>
  <si>
    <t>PS-27M</t>
  </si>
  <si>
    <t>PS-27N</t>
  </si>
  <si>
    <t>PS-27O</t>
  </si>
  <si>
    <t>PS-28K</t>
  </si>
  <si>
    <t>PS-28L</t>
  </si>
  <si>
    <t>PS-28M</t>
  </si>
  <si>
    <t>PS-28N</t>
  </si>
  <si>
    <t>PS-28O</t>
  </si>
  <si>
    <t>PS-29K</t>
  </si>
  <si>
    <t>PS-29L</t>
  </si>
  <si>
    <t>PS-29M</t>
  </si>
  <si>
    <t>PS-29N</t>
  </si>
  <si>
    <t>PS-29O</t>
  </si>
  <si>
    <t>PS-30K</t>
  </si>
  <si>
    <t>PS-30L</t>
  </si>
  <si>
    <t>PS-30M</t>
  </si>
  <si>
    <t>PS-30N</t>
  </si>
  <si>
    <t>PS-30O</t>
  </si>
  <si>
    <t>CU-06K</t>
  </si>
  <si>
    <t>CU-06L</t>
  </si>
  <si>
    <t>CU-06M</t>
  </si>
  <si>
    <t>CU-06N</t>
  </si>
  <si>
    <t>CU-06O</t>
  </si>
  <si>
    <t>CU-07K</t>
  </si>
  <si>
    <t>CU-07L</t>
  </si>
  <si>
    <t>CU-07N</t>
  </si>
  <si>
    <t>CU-08K</t>
  </si>
  <si>
    <t>CU-08L</t>
  </si>
  <si>
    <t>CU-08M</t>
  </si>
  <si>
    <t>CU-08N</t>
  </si>
  <si>
    <t>CU-08O</t>
  </si>
  <si>
    <t>CU-09K</t>
  </si>
  <si>
    <t>CU-09L</t>
  </si>
  <si>
    <t>CU-09M</t>
  </si>
  <si>
    <t>CU-09N</t>
  </si>
  <si>
    <t>CU-09O</t>
  </si>
  <si>
    <t>CU-107</t>
  </si>
  <si>
    <t>CU-108</t>
  </si>
  <si>
    <t>CU-109</t>
  </si>
  <si>
    <t>CU-10L</t>
  </si>
  <si>
    <t>CU-10M</t>
  </si>
  <si>
    <t>CU-10N</t>
  </si>
  <si>
    <t>CU-10O</t>
  </si>
  <si>
    <t>CU-110</t>
  </si>
  <si>
    <t>CU-11L</t>
  </si>
  <si>
    <t>CU-11M</t>
  </si>
  <si>
    <t>CU-11N</t>
  </si>
  <si>
    <t>CU-11O</t>
  </si>
  <si>
    <t>CU-120</t>
  </si>
  <si>
    <t>CU-121</t>
  </si>
  <si>
    <t>CU-122</t>
  </si>
  <si>
    <t>CU-123</t>
  </si>
  <si>
    <t>CU-12K</t>
  </si>
  <si>
    <t>CU-12L</t>
  </si>
  <si>
    <t>CU-12M</t>
  </si>
  <si>
    <t>CU-12N</t>
  </si>
  <si>
    <t>CU-12O</t>
  </si>
  <si>
    <t>CU-13K</t>
  </si>
  <si>
    <t>CU-13L</t>
  </si>
  <si>
    <t>CU-13M</t>
  </si>
  <si>
    <t>CU-13N</t>
  </si>
  <si>
    <t>CU-13O</t>
  </si>
  <si>
    <t>CU-14K</t>
  </si>
  <si>
    <t>CU-14L</t>
  </si>
  <si>
    <t>CU-14M</t>
  </si>
  <si>
    <t>CU-14N</t>
  </si>
  <si>
    <t>CU-15K</t>
  </si>
  <si>
    <t>CU-15L</t>
  </si>
  <si>
    <t>CU-15M</t>
  </si>
  <si>
    <t>CU-15N</t>
  </si>
  <si>
    <t>CU-16K</t>
  </si>
  <si>
    <t>CU-16L</t>
  </si>
  <si>
    <t>CU-16M</t>
  </si>
  <si>
    <t>CU-16N</t>
  </si>
  <si>
    <t>CU-16O</t>
  </si>
  <si>
    <t>CU-17K</t>
  </si>
  <si>
    <t>CU-17L</t>
  </si>
  <si>
    <t>CU-17M</t>
  </si>
  <si>
    <t>CU-17N</t>
  </si>
  <si>
    <t>CU-17O</t>
  </si>
  <si>
    <t>CU-18K</t>
  </si>
  <si>
    <t>CU-18L</t>
  </si>
  <si>
    <t>CU-18M</t>
  </si>
  <si>
    <t>CU-18N</t>
  </si>
  <si>
    <t>CU-19K</t>
  </si>
  <si>
    <t>CU-19L</t>
  </si>
  <si>
    <t>CU-19M</t>
  </si>
  <si>
    <t>CU-19N</t>
  </si>
  <si>
    <t>CU-19O</t>
  </si>
  <si>
    <t>CU-20K</t>
  </si>
  <si>
    <t>CU-20L</t>
  </si>
  <si>
    <t>CU-20M</t>
  </si>
  <si>
    <t>CU-20N</t>
  </si>
  <si>
    <t>CU-20O</t>
  </si>
  <si>
    <t>CU-21K</t>
  </si>
  <si>
    <t>CU-21L</t>
  </si>
  <si>
    <t>CU-21M</t>
  </si>
  <si>
    <t>CU-21N</t>
  </si>
  <si>
    <t>CU-21O</t>
  </si>
  <si>
    <t>CU-22K</t>
  </si>
  <si>
    <t>CU-22L</t>
  </si>
  <si>
    <t>CU-22M</t>
  </si>
  <si>
    <t>CU-22N</t>
  </si>
  <si>
    <t>CU-22O</t>
  </si>
  <si>
    <t>CU-23K</t>
  </si>
  <si>
    <t>CU-23L</t>
  </si>
  <si>
    <t>CU-23M</t>
  </si>
  <si>
    <t>CU-23N</t>
  </si>
  <si>
    <t>CU-23O</t>
  </si>
  <si>
    <t>CU-24K</t>
  </si>
  <si>
    <t>CU-24L</t>
  </si>
  <si>
    <t>CU-24M</t>
  </si>
  <si>
    <t>CU-24N</t>
  </si>
  <si>
    <t>CU-24O</t>
  </si>
  <si>
    <t>CU-25K</t>
  </si>
  <si>
    <t>CU-25L</t>
  </si>
  <si>
    <t>CU-25M</t>
  </si>
  <si>
    <t>CU-25N</t>
  </si>
  <si>
    <t>CU-25O</t>
  </si>
  <si>
    <t>CU-26K</t>
  </si>
  <si>
    <t>CU-26L</t>
  </si>
  <si>
    <t>CU-26N</t>
  </si>
  <si>
    <t>CU-26O</t>
  </si>
  <si>
    <t>CU-27K</t>
  </si>
  <si>
    <t>CU-27L</t>
  </si>
  <si>
    <t>CU-27M</t>
  </si>
  <si>
    <t>CU-27N</t>
  </si>
  <si>
    <t>CU-27O</t>
  </si>
  <si>
    <t>CU-28K</t>
  </si>
  <si>
    <t>CU-28L</t>
  </si>
  <si>
    <t>CU-28M</t>
  </si>
  <si>
    <t>CU-28N</t>
  </si>
  <si>
    <t>CU-28O</t>
  </si>
  <si>
    <t>CU-29K</t>
  </si>
  <si>
    <t>CU-29L</t>
  </si>
  <si>
    <t>CU-29M</t>
  </si>
  <si>
    <t>CU-29N</t>
  </si>
  <si>
    <t>CU-29O</t>
  </si>
  <si>
    <t>CU-30K</t>
  </si>
  <si>
    <t>CU-30L</t>
  </si>
  <si>
    <t>CU-30M</t>
  </si>
  <si>
    <t>CU-30N</t>
  </si>
  <si>
    <t>CU-30O</t>
  </si>
  <si>
    <t>PS-01075</t>
  </si>
  <si>
    <t>PS-01092</t>
  </si>
  <si>
    <t>PS-01103</t>
  </si>
  <si>
    <t>PS-01117</t>
  </si>
  <si>
    <t>PS-01119</t>
  </si>
  <si>
    <t>PS-01120</t>
  </si>
  <si>
    <t>PS-01121</t>
  </si>
  <si>
    <t>PS-01122</t>
  </si>
  <si>
    <t>PS-01132</t>
  </si>
  <si>
    <t>PS-01133</t>
  </si>
  <si>
    <t>PS-01134</t>
  </si>
  <si>
    <t>PS-01135</t>
  </si>
  <si>
    <t>PS-01138</t>
  </si>
  <si>
    <t>PS-01141</t>
  </si>
  <si>
    <t>PS-01144</t>
  </si>
  <si>
    <t>PS-01147</t>
  </si>
  <si>
    <t>PS-01148</t>
  </si>
  <si>
    <t>PS-01149</t>
  </si>
  <si>
    <t>PS-01151</t>
  </si>
  <si>
    <t>PS-01154</t>
  </si>
  <si>
    <t>PS-01161</t>
  </si>
  <si>
    <t>PS-01162</t>
  </si>
  <si>
    <t>PS-01163</t>
  </si>
  <si>
    <t>PS-02073</t>
  </si>
  <si>
    <t>PS-02075</t>
  </si>
  <si>
    <t>PS-02090</t>
  </si>
  <si>
    <t>PS-02092</t>
  </si>
  <si>
    <t>PS-02100</t>
  </si>
  <si>
    <t>PS-02101</t>
  </si>
  <si>
    <t>PS-02102</t>
  </si>
  <si>
    <t>PS-02115</t>
  </si>
  <si>
    <t>PS-02116</t>
  </si>
  <si>
    <t>PS-02119</t>
  </si>
  <si>
    <t>PS-02120</t>
  </si>
  <si>
    <t>PS-02122</t>
  </si>
  <si>
    <t>PS-02132</t>
  </si>
  <si>
    <t>PS-02135</t>
  </si>
  <si>
    <t>PS-02139</t>
  </si>
  <si>
    <t>PS-02140</t>
  </si>
  <si>
    <t>PS-02141</t>
  </si>
  <si>
    <t>PS-02148</t>
  </si>
  <si>
    <t>PS-02155</t>
  </si>
  <si>
    <t>PS-03088</t>
  </si>
  <si>
    <t>PS-03113</t>
  </si>
  <si>
    <t>PS-03114</t>
  </si>
  <si>
    <t>PS-03116</t>
  </si>
  <si>
    <t>PS-03129</t>
  </si>
  <si>
    <t>PS-03130</t>
  </si>
  <si>
    <t>PS-03134</t>
  </si>
  <si>
    <t>PS-03135</t>
  </si>
  <si>
    <t>PS-03146</t>
  </si>
  <si>
    <t>PS-03147</t>
  </si>
  <si>
    <t>PS-03153</t>
  </si>
  <si>
    <t>PS-03154</t>
  </si>
  <si>
    <t>PS-03155</t>
  </si>
  <si>
    <t>PS-03156</t>
  </si>
  <si>
    <t>PS-03158</t>
  </si>
  <si>
    <t>PS-03158-</t>
  </si>
  <si>
    <t>PS-03160</t>
  </si>
  <si>
    <t>PS-03161</t>
  </si>
  <si>
    <t>PS-03162</t>
  </si>
  <si>
    <t>PS-03163</t>
  </si>
  <si>
    <t>PS-03168</t>
  </si>
  <si>
    <t>PS-03172</t>
  </si>
  <si>
    <t>PS-03173</t>
  </si>
  <si>
    <t>PS-03175</t>
  </si>
  <si>
    <t>PS-04088</t>
  </si>
  <si>
    <t>PS-04108</t>
  </si>
  <si>
    <t>PS-04116</t>
  </si>
  <si>
    <t>PS-04127</t>
  </si>
  <si>
    <t>PS-04130</t>
  </si>
  <si>
    <t>PS-04131</t>
  </si>
  <si>
    <t>PS-04134</t>
  </si>
  <si>
    <t>PS-04135</t>
  </si>
  <si>
    <t>PS-04147</t>
  </si>
  <si>
    <t>PS-04151</t>
  </si>
  <si>
    <t>PS-04152</t>
  </si>
  <si>
    <t>PS-04154</t>
  </si>
  <si>
    <t>PS-04158</t>
  </si>
  <si>
    <t>PS-04159</t>
  </si>
  <si>
    <t>PS-04160</t>
  </si>
  <si>
    <t>PS-04162</t>
  </si>
  <si>
    <t>PS-04163</t>
  </si>
  <si>
    <t>PS-04164</t>
  </si>
  <si>
    <t>PS-05124</t>
  </si>
  <si>
    <t>PS-05125</t>
  </si>
  <si>
    <t>PS-05128</t>
  </si>
  <si>
    <t>PS-05143</t>
  </si>
  <si>
    <t>PS-05148</t>
  </si>
  <si>
    <t>PS-05154</t>
  </si>
  <si>
    <t>PS-05155</t>
  </si>
  <si>
    <t>PS-05158</t>
  </si>
  <si>
    <t>PS-05160</t>
  </si>
  <si>
    <t>PS-05162</t>
  </si>
  <si>
    <t>PS-05163</t>
  </si>
  <si>
    <t>PS-05164</t>
  </si>
  <si>
    <t>PS-05168</t>
  </si>
  <si>
    <t>PS-06P</t>
  </si>
  <si>
    <t>PS-06Q</t>
  </si>
  <si>
    <t>PS-08P</t>
  </si>
  <si>
    <t>PS-101</t>
  </si>
  <si>
    <t>PS-11P</t>
  </si>
  <si>
    <t>PS-11X</t>
  </si>
  <si>
    <t>PS-12P</t>
  </si>
  <si>
    <t>PS-12X</t>
  </si>
  <si>
    <t>PS-13R</t>
  </si>
  <si>
    <t>PS-141</t>
  </si>
  <si>
    <t>PS-142</t>
  </si>
  <si>
    <t>PS-145</t>
  </si>
  <si>
    <t>PS-147</t>
  </si>
  <si>
    <t>PS-149</t>
  </si>
  <si>
    <t>PS-14X</t>
  </si>
  <si>
    <t>PS-14Y</t>
  </si>
  <si>
    <t>PS-150</t>
  </si>
  <si>
    <t>PS-15Q</t>
  </si>
  <si>
    <t>PS-15Y</t>
  </si>
  <si>
    <t>PS-16R</t>
  </si>
  <si>
    <t>PS-16W</t>
  </si>
  <si>
    <t>PS-17P</t>
  </si>
  <si>
    <t>PS-17Q</t>
  </si>
  <si>
    <t>PS-17W</t>
  </si>
  <si>
    <t>PS-17Y</t>
  </si>
  <si>
    <t>PS-18P</t>
  </si>
  <si>
    <t>PS-18Q</t>
  </si>
  <si>
    <t>PS-18X</t>
  </si>
  <si>
    <t>PS-19P</t>
  </si>
  <si>
    <t>PS-19Q</t>
  </si>
  <si>
    <t>PS-20P</t>
  </si>
  <si>
    <t>PS-20R</t>
  </si>
  <si>
    <t>PS-20W</t>
  </si>
  <si>
    <t>PS-21P</t>
  </si>
  <si>
    <t>PS-21X</t>
  </si>
  <si>
    <t>PS-21Y</t>
  </si>
  <si>
    <t>PS-22P</t>
  </si>
  <si>
    <t>PS-22X</t>
  </si>
  <si>
    <t>PS-23P</t>
  </si>
  <si>
    <t>PS-23Y</t>
  </si>
  <si>
    <t>PS-24R</t>
  </si>
  <si>
    <t>PS-24X</t>
  </si>
  <si>
    <t>PS-24Y</t>
  </si>
  <si>
    <t>PS-25P</t>
  </si>
  <si>
    <t>PS-26P</t>
  </si>
  <si>
    <t>PS-26W</t>
  </si>
  <si>
    <t>PS-27Q</t>
  </si>
  <si>
    <t>PS-28R</t>
  </si>
  <si>
    <t>PS-28X</t>
  </si>
  <si>
    <t>PS-29P</t>
  </si>
  <si>
    <t>PARQUEADERO MOTO</t>
  </si>
  <si>
    <t>PMP1-1164</t>
  </si>
  <si>
    <t>PMP1-1165</t>
  </si>
  <si>
    <t>PMP1-1166</t>
  </si>
  <si>
    <t>PMP1-1167</t>
  </si>
  <si>
    <t>PMP1-1168</t>
  </si>
  <si>
    <t>PMP1-1169</t>
  </si>
  <si>
    <t>PMP1-1170</t>
  </si>
  <si>
    <t>PMP1-1171</t>
  </si>
  <si>
    <t>PMP1-1172</t>
  </si>
  <si>
    <t>PMP1-1173</t>
  </si>
  <si>
    <t>PMP1-1174</t>
  </si>
  <si>
    <t>U-01039</t>
  </si>
  <si>
    <t>U-01106</t>
  </si>
  <si>
    <t>U-01120</t>
  </si>
  <si>
    <t>U-01121</t>
  </si>
  <si>
    <t>U-01125</t>
  </si>
  <si>
    <t>U-01129</t>
  </si>
  <si>
    <t>U-01131</t>
  </si>
  <si>
    <t>U-01337</t>
  </si>
  <si>
    <t>U-01439</t>
  </si>
  <si>
    <t>U-01837</t>
  </si>
  <si>
    <t>U-02038</t>
  </si>
  <si>
    <t>U-02105</t>
  </si>
  <si>
    <t>U-02107</t>
  </si>
  <si>
    <t>U-02123</t>
  </si>
  <si>
    <t>U-02127</t>
  </si>
  <si>
    <t>U-02130</t>
  </si>
  <si>
    <t>U-02138</t>
  </si>
  <si>
    <t>U-02327</t>
  </si>
  <si>
    <t>U-02438</t>
  </si>
  <si>
    <t>U-02738</t>
  </si>
  <si>
    <t>U-03039</t>
  </si>
  <si>
    <t>U-03118</t>
  </si>
  <si>
    <t>U-03120</t>
  </si>
  <si>
    <t>U-03136</t>
  </si>
  <si>
    <t>U-03141</t>
  </si>
  <si>
    <t>U-03144</t>
  </si>
  <si>
    <t>U-04117</t>
  </si>
  <si>
    <t>U-04120</t>
  </si>
  <si>
    <t>U-04136</t>
  </si>
  <si>
    <t>U-04141</t>
  </si>
  <si>
    <t>U-05136</t>
  </si>
  <si>
    <t>U-05138</t>
  </si>
  <si>
    <t>U-05139</t>
  </si>
  <si>
    <t>U-05145</t>
  </si>
  <si>
    <t>U-06038</t>
  </si>
  <si>
    <t>U-06P</t>
  </si>
  <si>
    <t>U-06Q</t>
  </si>
  <si>
    <t>U-07038</t>
  </si>
  <si>
    <t>U-07039</t>
  </si>
  <si>
    <t>U-08038</t>
  </si>
  <si>
    <t>U-08P</t>
  </si>
  <si>
    <t>U-09039</t>
  </si>
  <si>
    <t>U-098</t>
  </si>
  <si>
    <t>U-10038</t>
  </si>
  <si>
    <t>U-11P</t>
  </si>
  <si>
    <t>U-11X</t>
  </si>
  <si>
    <t>U-12039</t>
  </si>
  <si>
    <t>U-12P</t>
  </si>
  <si>
    <t>U-12X</t>
  </si>
  <si>
    <t>U-138</t>
  </si>
  <si>
    <t>U-139</t>
  </si>
  <si>
    <t>U-13R</t>
  </si>
  <si>
    <t>U-141</t>
  </si>
  <si>
    <t>U-142</t>
  </si>
  <si>
    <t>U-145</t>
  </si>
  <si>
    <t>U-146</t>
  </si>
  <si>
    <t>U-14X</t>
  </si>
  <si>
    <t>U-14Y</t>
  </si>
  <si>
    <t>U-150</t>
  </si>
  <si>
    <t>U-15Q</t>
  </si>
  <si>
    <t>U-15Y</t>
  </si>
  <si>
    <t>U-16R</t>
  </si>
  <si>
    <t>U-16W</t>
  </si>
  <si>
    <t>U-17038</t>
  </si>
  <si>
    <t>U-17P</t>
  </si>
  <si>
    <t>U-17Q</t>
  </si>
  <si>
    <t>U-17W</t>
  </si>
  <si>
    <t>U-17Y</t>
  </si>
  <si>
    <t>U-18P</t>
  </si>
  <si>
    <t>U-18Q</t>
  </si>
  <si>
    <t>U-18X</t>
  </si>
  <si>
    <t>U-19039</t>
  </si>
  <si>
    <t>U-19P</t>
  </si>
  <si>
    <t>U-20P</t>
  </si>
  <si>
    <t>U-20R</t>
  </si>
  <si>
    <t>U-21P</t>
  </si>
  <si>
    <t>U-21X</t>
  </si>
  <si>
    <t>U-21Y</t>
  </si>
  <si>
    <t>U-22P</t>
  </si>
  <si>
    <t>U-22X</t>
  </si>
  <si>
    <t>U-23P</t>
  </si>
  <si>
    <t>U-23Y</t>
  </si>
  <si>
    <t>U-24R</t>
  </si>
  <si>
    <t>U-24X</t>
  </si>
  <si>
    <t>U-24Y</t>
  </si>
  <si>
    <t>U-25P</t>
  </si>
  <si>
    <t>U-26P</t>
  </si>
  <si>
    <t>U-26W</t>
  </si>
  <si>
    <t>U-27Q</t>
  </si>
  <si>
    <t>U-28R</t>
  </si>
  <si>
    <t>U-28X</t>
  </si>
  <si>
    <t>U-29P</t>
  </si>
  <si>
    <t>U-30Y</t>
  </si>
  <si>
    <t>PS-01093</t>
  </si>
  <si>
    <t>PS-01094</t>
  </si>
  <si>
    <t>PS-01143</t>
  </si>
  <si>
    <t>PS-03086</t>
  </si>
  <si>
    <t>PS-03115</t>
  </si>
  <si>
    <t>PS-04086</t>
  </si>
  <si>
    <t>PS-05083</t>
  </si>
  <si>
    <t>PS-05159</t>
  </si>
  <si>
    <t>PS-05161</t>
  </si>
  <si>
    <t>PS-05166</t>
  </si>
  <si>
    <t>PS-06S1</t>
  </si>
  <si>
    <t>PS-06T1</t>
  </si>
  <si>
    <t>PS-06U1</t>
  </si>
  <si>
    <t>PS-07T</t>
  </si>
  <si>
    <t>PS-07U</t>
  </si>
  <si>
    <t>PS-07V</t>
  </si>
  <si>
    <t>PS-08S</t>
  </si>
  <si>
    <t>PS-08U</t>
  </si>
  <si>
    <t>PS-08V</t>
  </si>
  <si>
    <t>PS-090</t>
  </si>
  <si>
    <t>PS-098</t>
  </si>
  <si>
    <t>PS-099</t>
  </si>
  <si>
    <t>PS-09S</t>
  </si>
  <si>
    <t>PS-09T</t>
  </si>
  <si>
    <t>PS-09U</t>
  </si>
  <si>
    <t>PS-09V</t>
  </si>
  <si>
    <t>PS-10S</t>
  </si>
  <si>
    <t>PS-10T</t>
  </si>
  <si>
    <t>PS-10V</t>
  </si>
  <si>
    <t>PS-11S</t>
  </si>
  <si>
    <t>PS-11V</t>
  </si>
  <si>
    <t>PS-12S</t>
  </si>
  <si>
    <t>PS-12T</t>
  </si>
  <si>
    <t>PS-12V</t>
  </si>
  <si>
    <t>PS-13S</t>
  </si>
  <si>
    <t>PS-13T</t>
  </si>
  <si>
    <t>PS-13V</t>
  </si>
  <si>
    <t>PS-14S</t>
  </si>
  <si>
    <t>PS-14T</t>
  </si>
  <si>
    <t>PS-14U</t>
  </si>
  <si>
    <t>PS-14V</t>
  </si>
  <si>
    <t>PS-15S</t>
  </si>
  <si>
    <t>PS-15T</t>
  </si>
  <si>
    <t>PS-15V</t>
  </si>
  <si>
    <t>PS-16S</t>
  </si>
  <si>
    <t>PS-16T</t>
  </si>
  <si>
    <t>PS-16V</t>
  </si>
  <si>
    <t>PS-17S</t>
  </si>
  <si>
    <t>PS-17T</t>
  </si>
  <si>
    <t>PS-17V</t>
  </si>
  <si>
    <t>PS-18S</t>
  </si>
  <si>
    <t>PS-18T</t>
  </si>
  <si>
    <t>PS-18V</t>
  </si>
  <si>
    <t>PS-19S</t>
  </si>
  <si>
    <t>PS-19T</t>
  </si>
  <si>
    <t>PS-19V</t>
  </si>
  <si>
    <t>PS-20S</t>
  </si>
  <si>
    <t>PS-20T</t>
  </si>
  <si>
    <t>PS-20U</t>
  </si>
  <si>
    <t>PS-20V</t>
  </si>
  <si>
    <t>PS-21S</t>
  </si>
  <si>
    <t>PS-21T</t>
  </si>
  <si>
    <t>PS-21U</t>
  </si>
  <si>
    <t>PS-21V</t>
  </si>
  <si>
    <t>PS-22S</t>
  </si>
  <si>
    <t>PS-22T</t>
  </si>
  <si>
    <t>PS-22V</t>
  </si>
  <si>
    <t>PS-23S</t>
  </si>
  <si>
    <t>PS-23T</t>
  </si>
  <si>
    <t>PS-23V</t>
  </si>
  <si>
    <t>PS-24S</t>
  </si>
  <si>
    <t>PS-24T</t>
  </si>
  <si>
    <t>PS-24V</t>
  </si>
  <si>
    <t>PS-25S</t>
  </si>
  <si>
    <t>PS-26S</t>
  </si>
  <si>
    <t>PS-26T</t>
  </si>
  <si>
    <t>PS-26V</t>
  </si>
  <si>
    <t>PS-27S</t>
  </si>
  <si>
    <t>PS-27V</t>
  </si>
  <si>
    <t>PS-28S</t>
  </si>
  <si>
    <t>PS-28T</t>
  </si>
  <si>
    <t>PS-28V</t>
  </si>
  <si>
    <t>PS-29S</t>
  </si>
  <si>
    <t>PS-29T</t>
  </si>
  <si>
    <t>PS-29U</t>
  </si>
  <si>
    <t>PS-29V</t>
  </si>
  <si>
    <t>PS-30S</t>
  </si>
  <si>
    <t>PS-30T</t>
  </si>
  <si>
    <t>PS-30U</t>
  </si>
  <si>
    <t>PS-30V</t>
  </si>
  <si>
    <t>U-01138</t>
  </si>
  <si>
    <t>U-01143</t>
  </si>
  <si>
    <t>U-02238</t>
  </si>
  <si>
    <t>U-02537</t>
  </si>
  <si>
    <t>U-02538</t>
  </si>
  <si>
    <t>U-02737</t>
  </si>
  <si>
    <t>U-03117 U.PISO</t>
  </si>
  <si>
    <t>U-04140</t>
  </si>
  <si>
    <t>U-05132</t>
  </si>
  <si>
    <t>U-06S1</t>
  </si>
  <si>
    <t>U-06T1</t>
  </si>
  <si>
    <t>U-06U1</t>
  </si>
  <si>
    <t>U-07T</t>
  </si>
  <si>
    <t>U-07U</t>
  </si>
  <si>
    <t>U-07V</t>
  </si>
  <si>
    <t>U-085</t>
  </si>
  <si>
    <t>U-086</t>
  </si>
  <si>
    <t>U-08S</t>
  </si>
  <si>
    <t>U-08U</t>
  </si>
  <si>
    <t>U-08V</t>
  </si>
  <si>
    <t>U-093</t>
  </si>
  <si>
    <t>U-095</t>
  </si>
  <si>
    <t>U-09S</t>
  </si>
  <si>
    <t>U-09T</t>
  </si>
  <si>
    <t>U-09U</t>
  </si>
  <si>
    <t>U-09V</t>
  </si>
  <si>
    <t>U-10S</t>
  </si>
  <si>
    <t>U-10T</t>
  </si>
  <si>
    <t>U-10V</t>
  </si>
  <si>
    <t>U-11S</t>
  </si>
  <si>
    <t>U-11V</t>
  </si>
  <si>
    <t>U-12S</t>
  </si>
  <si>
    <t>U-12T</t>
  </si>
  <si>
    <t>U-12V</t>
  </si>
  <si>
    <t>U-13S</t>
  </si>
  <si>
    <t>U-13T</t>
  </si>
  <si>
    <t>U-13V</t>
  </si>
  <si>
    <t>U-14S</t>
  </si>
  <si>
    <t>U-14T</t>
  </si>
  <si>
    <t>U-14U</t>
  </si>
  <si>
    <t>U-14V</t>
  </si>
  <si>
    <t>U-15S</t>
  </si>
  <si>
    <t>U-15T</t>
  </si>
  <si>
    <t>U-15V</t>
  </si>
  <si>
    <t>U-16S</t>
  </si>
  <si>
    <t>U-16T</t>
  </si>
  <si>
    <t>U-16V</t>
  </si>
  <si>
    <t>U-17S</t>
  </si>
  <si>
    <t>U-17T</t>
  </si>
  <si>
    <t>U-17V</t>
  </si>
  <si>
    <t>U-18S</t>
  </si>
  <si>
    <t>U-18T</t>
  </si>
  <si>
    <t>U-18V</t>
  </si>
  <si>
    <t>U-19S</t>
  </si>
  <si>
    <t>U-19T</t>
  </si>
  <si>
    <t>U-19V</t>
  </si>
  <si>
    <t>U-20S</t>
  </si>
  <si>
    <t>U-20T</t>
  </si>
  <si>
    <t>U-20U</t>
  </si>
  <si>
    <t>U-20V</t>
  </si>
  <si>
    <t>U-21S</t>
  </si>
  <si>
    <t>U-21T</t>
  </si>
  <si>
    <t>U-21U</t>
  </si>
  <si>
    <t>U-21V</t>
  </si>
  <si>
    <t>U-22S</t>
  </si>
  <si>
    <t>U-22T</t>
  </si>
  <si>
    <t>U-22V</t>
  </si>
  <si>
    <t>U-23S</t>
  </si>
  <si>
    <t>U-23T</t>
  </si>
  <si>
    <t>U-23V</t>
  </si>
  <si>
    <t>U-24S</t>
  </si>
  <si>
    <t>U-24T</t>
  </si>
  <si>
    <t>U-24V</t>
  </si>
  <si>
    <t>U-25S</t>
  </si>
  <si>
    <t>U-26S</t>
  </si>
  <si>
    <t>U-26T</t>
  </si>
  <si>
    <t>U-26V</t>
  </si>
  <si>
    <t>U-27S</t>
  </si>
  <si>
    <t>U-27V</t>
  </si>
  <si>
    <t>U-28S</t>
  </si>
  <si>
    <t>U-28T</t>
  </si>
  <si>
    <t>U-28V</t>
  </si>
  <si>
    <t>U-29S</t>
  </si>
  <si>
    <t>U-29T</t>
  </si>
  <si>
    <t>U-29U</t>
  </si>
  <si>
    <t>U-29V</t>
  </si>
  <si>
    <t>U-30S</t>
  </si>
  <si>
    <t>U-30T</t>
  </si>
  <si>
    <t>U-30U</t>
  </si>
  <si>
    <t>U-30V</t>
  </si>
  <si>
    <t>Unidades Vendids</t>
  </si>
  <si>
    <t xml:space="preserve">Total TOTAL </t>
  </si>
  <si>
    <t>Total  Credito_t</t>
  </si>
  <si>
    <t xml:space="preserve"> Credito_t</t>
  </si>
  <si>
    <t>Total  Reformas_t</t>
  </si>
  <si>
    <t xml:space="preserve"> Reformas_t</t>
  </si>
  <si>
    <t>Total  Acabados</t>
  </si>
  <si>
    <t xml:space="preserve"> Acabados</t>
  </si>
  <si>
    <t>Total  Intereses_t</t>
  </si>
  <si>
    <t xml:space="preserve"> Intereses_t</t>
  </si>
  <si>
    <t>Total  Estudio de Titulos</t>
  </si>
  <si>
    <t xml:space="preserve"> Estudio de Titulos</t>
  </si>
  <si>
    <t>Total  Impuesto Predial</t>
  </si>
  <si>
    <t xml:space="preserve"> Impuesto Predial</t>
  </si>
  <si>
    <t>Total INICIAL</t>
  </si>
  <si>
    <t>INICIAL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</si>
</sst>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4">
    <numFmt numFmtId="41" formatCode="_-* #,##0_-;\-* #,##0_-;_-* &quot;-&quot;_-;_-@_-"/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&quot;$&quot;#,##0;[Red]\-&quot;$&quot;#,##0"/>
    <numFmt numFmtId="165" formatCode="&quot;$&quot;#,##0.00;[Red]\-&quot;$&quot;#,##0.00"/>
    <numFmt numFmtId="166" formatCode="_(* #,##0_);_(* \(#,##0\);_(* &quot;-&quot;_);_(@_)"/>
    <numFmt numFmtId="167" formatCode="_(* #,##0.00_);_(* \(#,##0.00\);_(* &quot;-&quot;??_);_(@_)"/>
    <numFmt numFmtId="168" formatCode="_-* #,##0.00\ _$_-;\-* #,##0.00\ _$_-;_-* &quot;-&quot;??\ _$_-;_-@_-"/>
    <numFmt numFmtId="169" formatCode="d\ &quot;de&quot;\ mmmm\ &quot;de&quot;\ yyyy"/>
    <numFmt numFmtId="170" formatCode="[$-C0A]d\ &quot;de&quot;\ mmmm\ &quot;de&quot;\ yyyy;@"/>
    <numFmt numFmtId="171" formatCode="[$-240A]d&quot; de &quot;mmmm&quot; de &quot;yyyy;@"/>
    <numFmt numFmtId="172" formatCode="_ * #,##0_ ;_ * \-#,##0_ ;_ * &quot;-&quot;??_ ;_ @_ "/>
    <numFmt numFmtId="173" formatCode="&quot;$&quot;#,##0"/>
    <numFmt numFmtId="174" formatCode="#,##0_ ;[Red]\-#,##0\ "/>
    <numFmt numFmtId="175" formatCode="yyyy"/>
    <numFmt numFmtId="176" formatCode="_-* #,##0\ _$_-;\-* #,##0\ _$_-;_-* &quot;-&quot;??\ _$_-;_-@_-"/>
    <numFmt numFmtId="177" formatCode="#,##0_ ;\-#,##0\ "/>
    <numFmt numFmtId="178" formatCode="_-* #,##0.0\ _$_-;\-* #,##0.0\ _$_-;_-* &quot;-&quot;??\ _$_-;_-@_-"/>
    <numFmt numFmtId="179" formatCode="0.0%"/>
    <numFmt numFmtId="180" formatCode="_-* #,##0_-;\-* #,##0_-;_-* &quot;-&quot;??_-;_-@_-"/>
    <numFmt numFmtId="181" formatCode="[$-40A]d&quot; de &quot;mmmm&quot; de &quot;yyyy;@"/>
    <numFmt numFmtId="182" formatCode="_-* #,##0.0_-;\-* #,##0.0_-;_-* &quot;-&quot;??_-;_-@_-"/>
    <numFmt numFmtId="183" formatCode="_-* #,##0\ _€_-;\-* #,##0\ _€_-;_-* &quot;-&quot;??\ _€_-;_-@_-"/>
    <numFmt numFmtId="184" formatCode="_-&quot;$&quot;\ * #,##0_-;\-&quot;$&quot;\ * #,##0_-;_-&quot;$&quot;\ * &quot;-&quot;??_-;_-@_-"/>
  </numFmts>
  <fonts count="22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 Narrow"/>
      <family val="2"/>
    </font>
    <font>
      <u/>
      <sz val="10"/>
      <color indexed="12"/>
      <name val="Arial"/>
      <family val="2"/>
    </font>
    <font>
      <sz val="8"/>
      <name val="Arial"/>
      <family val="2"/>
    </font>
    <font>
      <b/>
      <sz val="14"/>
      <name val="Arial"/>
      <family val="2"/>
    </font>
    <font>
      <b/>
      <sz val="16"/>
      <name val="Garamond"/>
      <family val="1"/>
    </font>
    <font>
      <sz val="14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9"/>
      <color indexed="9"/>
      <name val="Arial"/>
      <family val="2"/>
    </font>
    <font>
      <b/>
      <sz val="10"/>
      <name val="Arial Narrow"/>
      <family val="2"/>
    </font>
    <font>
      <sz val="12"/>
      <name val="Arial"/>
      <family val="2"/>
    </font>
    <font>
      <b/>
      <sz val="10"/>
      <color indexed="62"/>
      <name val="Arial"/>
      <family val="2"/>
    </font>
    <font>
      <sz val="10"/>
      <color indexed="62"/>
      <name val="Arial"/>
      <family val="2"/>
    </font>
    <font>
      <sz val="11"/>
      <name val="Arial"/>
      <family val="2"/>
    </font>
    <font>
      <b/>
      <sz val="11"/>
      <color indexed="9"/>
      <name val="Arial"/>
      <family val="2"/>
    </font>
    <font>
      <sz val="11"/>
      <color indexed="9"/>
      <name val="Arial"/>
      <family val="2"/>
    </font>
    <font>
      <sz val="22"/>
      <name val="Impact"/>
      <family val="2"/>
    </font>
    <font>
      <b/>
      <sz val="11"/>
      <name val="Arial"/>
      <family val="2"/>
    </font>
    <font>
      <b/>
      <sz val="8"/>
      <color indexed="81"/>
      <name val="Tahoma"/>
      <family val="2"/>
    </font>
    <font>
      <sz val="14"/>
      <color indexed="19"/>
      <name val="Arial"/>
      <family val="2"/>
    </font>
    <font>
      <b/>
      <sz val="10"/>
      <color indexed="12"/>
      <name val="Arial"/>
      <family val="2"/>
    </font>
    <font>
      <sz val="8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2"/>
      <color theme="0"/>
      <name val="Arial"/>
      <family val="2"/>
    </font>
    <font>
      <sz val="12"/>
      <color theme="0"/>
      <name val="Arial"/>
      <family val="2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b/>
      <sz val="14"/>
      <color theme="0"/>
      <name val="Arial"/>
      <family val="2"/>
    </font>
    <font>
      <b/>
      <sz val="10"/>
      <color theme="0"/>
      <name val="Arial"/>
      <family val="2"/>
    </font>
    <font>
      <b/>
      <sz val="10"/>
      <color rgb="FFFF0000"/>
      <name val="Arial Narrow"/>
      <family val="2"/>
    </font>
    <font>
      <sz val="12"/>
      <color rgb="FFFF0000"/>
      <name val="Arial"/>
      <family val="2"/>
    </font>
    <font>
      <b/>
      <sz val="12"/>
      <color rgb="FFFF0000"/>
      <name val="Arial"/>
      <family val="2"/>
    </font>
    <font>
      <sz val="18"/>
      <color theme="9" tint="-0.249977111117893"/>
      <name val="Impact"/>
      <family val="2"/>
    </font>
    <font>
      <sz val="10"/>
      <name val="Arial"/>
      <family val="2"/>
    </font>
    <font>
      <b/>
      <sz val="15"/>
      <color theme="3"/>
      <name val="Calibri"/>
      <family val="2"/>
      <scheme val="minor"/>
    </font>
    <font>
      <sz val="11"/>
      <color indexed="8"/>
      <name val="Calibri"/>
      <family val="2"/>
    </font>
    <font>
      <sz val="6"/>
      <color theme="1"/>
      <name val="Arial"/>
      <family val="2"/>
    </font>
    <font>
      <b/>
      <sz val="6"/>
      <color theme="1"/>
      <name val="Verdana"/>
      <family val="2"/>
    </font>
    <font>
      <sz val="6"/>
      <color rgb="FFFF0000"/>
      <name val="Arial"/>
      <family val="2"/>
    </font>
    <font>
      <b/>
      <sz val="8"/>
      <color theme="1"/>
      <name val="Verdana"/>
      <family val="2"/>
    </font>
    <font>
      <sz val="10"/>
      <name val="Arial"/>
      <family val="2"/>
    </font>
    <font>
      <sz val="11"/>
      <color theme="1" tint="0.249977111117893"/>
      <name val="Calibri"/>
      <family val="2"/>
      <scheme val="minor"/>
    </font>
    <font>
      <sz val="14"/>
      <color theme="1" tint="0.249977111117893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b/>
      <sz val="11"/>
      <name val="Calibri"/>
      <family val="2"/>
      <scheme val="minor"/>
    </font>
    <font>
      <b/>
      <i/>
      <sz val="8"/>
      <color theme="5" tint="-0.249977111117893"/>
      <name val="Calibri"/>
      <family val="2"/>
      <scheme val="minor"/>
    </font>
    <font>
      <sz val="16"/>
      <color rgb="FFC00000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1" tint="0.249977111117893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b/>
      <sz val="11"/>
      <color rgb="FFBBBDC0"/>
      <name val="Calibri"/>
      <family val="2"/>
      <scheme val="minor"/>
    </font>
    <font>
      <b/>
      <sz val="9"/>
      <color theme="1" tint="0.249977111117893"/>
      <name val="Calibri"/>
      <family val="2"/>
      <scheme val="minor"/>
    </font>
    <font>
      <sz val="10"/>
      <color theme="1" tint="0.249977111117893"/>
      <name val="Calibri"/>
      <family val="2"/>
      <scheme val="minor"/>
    </font>
    <font>
      <sz val="1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1"/>
      <color rgb="FF292669"/>
      <name val="Calibri"/>
      <family val="2"/>
      <scheme val="minor"/>
    </font>
    <font>
      <b/>
      <sz val="10"/>
      <color rgb="FF292669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4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6"/>
      <name val="Calibri"/>
      <family val="2"/>
      <scheme val="minor"/>
    </font>
    <font>
      <sz val="14"/>
      <name val="Calibri"/>
      <family val="2"/>
      <scheme val="minor"/>
    </font>
    <font>
      <sz val="14"/>
      <color indexed="17"/>
      <name val="Calibri"/>
      <family val="2"/>
      <scheme val="minor"/>
    </font>
    <font>
      <u/>
      <sz val="10"/>
      <color indexed="12"/>
      <name val="Calibri"/>
      <family val="2"/>
      <scheme val="minor"/>
    </font>
    <font>
      <b/>
      <sz val="14"/>
      <color indexed="9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8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9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rgb="FFBBBDC0"/>
      <name val="Calibri"/>
      <family val="2"/>
      <scheme val="minor"/>
    </font>
    <font>
      <b/>
      <sz val="8"/>
      <color rgb="FFBBBDC0"/>
      <name val="Calibri"/>
      <family val="2"/>
      <scheme val="minor"/>
    </font>
    <font>
      <b/>
      <sz val="18"/>
      <color indexed="17"/>
      <name val="Calibri"/>
      <family val="2"/>
      <scheme val="minor"/>
    </font>
    <font>
      <sz val="9"/>
      <name val="Calibri"/>
      <family val="2"/>
      <scheme val="minor"/>
    </font>
    <font>
      <b/>
      <sz val="12"/>
      <name val="Calibri"/>
      <family val="2"/>
      <scheme val="minor"/>
    </font>
    <font>
      <b/>
      <sz val="20"/>
      <name val="Calibri"/>
      <family val="2"/>
      <scheme val="minor"/>
    </font>
    <font>
      <b/>
      <sz val="12"/>
      <color indexed="9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12"/>
      <name val="Calibri"/>
      <family val="2"/>
      <scheme val="minor"/>
    </font>
    <font>
      <b/>
      <sz val="9"/>
      <color rgb="FFBBBDC0"/>
      <name val="Calibri"/>
      <family val="2"/>
      <scheme val="minor"/>
    </font>
    <font>
      <sz val="10"/>
      <color indexed="43"/>
      <name val="Calibri"/>
      <family val="2"/>
      <scheme val="minor"/>
    </font>
    <font>
      <sz val="18"/>
      <color indexed="19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rgb="FFFF9933"/>
      <name val="Calibri"/>
      <family val="2"/>
      <scheme val="minor"/>
    </font>
    <font>
      <sz val="14"/>
      <color indexed="19"/>
      <name val="Calibri"/>
      <family val="2"/>
      <scheme val="minor"/>
    </font>
    <font>
      <sz val="10"/>
      <color theme="9" tint="-0.249977111117893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indexed="6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rgb="FF292669"/>
      <name val="Calibri"/>
      <family val="2"/>
      <scheme val="minor"/>
    </font>
    <font>
      <b/>
      <sz val="8"/>
      <color rgb="FF292669"/>
      <name val="Calibri"/>
      <family val="2"/>
      <scheme val="minor"/>
    </font>
    <font>
      <sz val="8"/>
      <color rgb="FF292669"/>
      <name val="Calibri"/>
      <family val="2"/>
      <scheme val="minor"/>
    </font>
    <font>
      <sz val="8"/>
      <color rgb="FFFF0000"/>
      <name val="Calibri"/>
      <family val="2"/>
      <scheme val="minor"/>
    </font>
    <font>
      <sz val="10"/>
      <color rgb="FFBBBDC0"/>
      <name val="Calibri"/>
      <family val="2"/>
      <scheme val="minor"/>
    </font>
    <font>
      <sz val="9"/>
      <color rgb="FF292669"/>
      <name val="Calibri"/>
      <family val="2"/>
      <scheme val="minor"/>
    </font>
    <font>
      <sz val="10"/>
      <color rgb="FF292669"/>
      <name val="Calibri"/>
      <family val="2"/>
      <scheme val="minor"/>
    </font>
    <font>
      <b/>
      <sz val="11"/>
      <color rgb="FFFF9933"/>
      <name val="Calibri"/>
      <family val="2"/>
      <scheme val="minor"/>
    </font>
    <font>
      <sz val="18"/>
      <name val="Calibri"/>
      <family val="2"/>
      <scheme val="minor"/>
    </font>
    <font>
      <sz val="14"/>
      <color rgb="FFFF9933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rgb="FFBBBDC0"/>
      <name val="Calibri"/>
      <family val="2"/>
      <scheme val="minor"/>
    </font>
    <font>
      <b/>
      <sz val="26"/>
      <name val="Calibri"/>
      <family val="2"/>
      <scheme val="minor"/>
    </font>
    <font>
      <b/>
      <sz val="24"/>
      <name val="Calibri"/>
      <family val="2"/>
      <scheme val="minor"/>
    </font>
    <font>
      <i/>
      <sz val="10"/>
      <name val="Calibri"/>
      <family val="2"/>
      <scheme val="minor"/>
    </font>
    <font>
      <sz val="10"/>
      <color indexed="19"/>
      <name val="Calibri"/>
      <family val="2"/>
      <scheme val="minor"/>
    </font>
    <font>
      <sz val="8"/>
      <color rgb="FFFF9933"/>
      <name val="Calibri"/>
      <family val="2"/>
      <scheme val="minor"/>
    </font>
    <font>
      <b/>
      <sz val="16"/>
      <color rgb="FF000066"/>
      <name val="Calibri"/>
      <family val="2"/>
      <scheme val="minor"/>
    </font>
    <font>
      <b/>
      <sz val="16"/>
      <color rgb="FF292669"/>
      <name val="Calibri"/>
      <family val="2"/>
      <scheme val="minor"/>
    </font>
    <font>
      <b/>
      <sz val="18"/>
      <color rgb="FF292669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8"/>
      <color theme="1"/>
      <name val="Arial"/>
      <family val="2"/>
    </font>
    <font>
      <sz val="10"/>
      <color indexed="9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b/>
      <sz val="14"/>
      <color rgb="FFBBBDC0"/>
      <name val="Calibri"/>
      <family val="2"/>
      <scheme val="minor"/>
    </font>
    <font>
      <sz val="10"/>
      <name val="Arial"/>
    </font>
    <font>
      <b/>
      <sz val="9"/>
      <color theme="0"/>
      <name val="Calibri"/>
      <family val="2"/>
      <scheme val="minor"/>
    </font>
    <font>
      <sz val="10"/>
      <color theme="0"/>
      <name val="Arial"/>
    </font>
    <font>
      <b/>
      <sz val="12"/>
      <color rgb="FF292669"/>
      <name val="Arial"/>
      <family val="2"/>
    </font>
    <font>
      <b/>
      <sz val="12"/>
      <color rgb="FF00204F"/>
      <name val="Arial"/>
      <family val="2"/>
    </font>
    <font>
      <sz val="8"/>
      <name val="Arial"/>
    </font>
    <font>
      <b/>
      <sz val="10"/>
      <color rgb="FF002060"/>
      <name val="Arial"/>
      <family val="2"/>
    </font>
    <font>
      <b/>
      <sz val="10"/>
      <color rgb="FF292669"/>
      <name val="Arial"/>
      <family val="2"/>
    </font>
    <font>
      <b/>
      <sz val="11"/>
      <color rgb="FF002060"/>
      <name val="Arial"/>
      <family val="2"/>
    </font>
    <font>
      <b/>
      <sz val="10"/>
      <color rgb="FF00204F"/>
      <name val="Arial"/>
      <family val="2"/>
    </font>
    <font>
      <b/>
      <sz val="11"/>
      <color rgb="FF00204F"/>
      <name val="Arial"/>
      <family val="2"/>
    </font>
  </fonts>
  <fills count="6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9C9CD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AF6BE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29266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BBBD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CCCCFF"/>
        <bgColor indexed="64"/>
      </patternFill>
    </fill>
  </fills>
  <borders count="119">
    <border>
      <left/>
      <right/>
      <top/>
      <bottom/>
      <diagonal/>
    </border>
    <border>
      <left style="hair">
        <color indexed="22"/>
      </left>
      <right style="hair">
        <color indexed="22"/>
      </right>
      <top style="hair">
        <color indexed="22"/>
      </top>
      <bottom style="hair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medium">
        <color indexed="62"/>
      </left>
      <right style="medium">
        <color indexed="62"/>
      </right>
      <top style="medium">
        <color indexed="62"/>
      </top>
      <bottom style="thin">
        <color indexed="64"/>
      </bottom>
      <diagonal/>
    </border>
    <border>
      <left style="medium">
        <color indexed="62"/>
      </left>
      <right style="medium">
        <color indexed="62"/>
      </right>
      <top style="thin">
        <color indexed="64"/>
      </top>
      <bottom style="hair">
        <color indexed="64"/>
      </bottom>
      <diagonal/>
    </border>
    <border>
      <left style="medium">
        <color indexed="62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2"/>
      </right>
      <top style="thin">
        <color indexed="64"/>
      </top>
      <bottom style="hair">
        <color indexed="64"/>
      </bottom>
      <diagonal/>
    </border>
    <border>
      <left style="medium">
        <color indexed="62"/>
      </left>
      <right style="medium">
        <color indexed="62"/>
      </right>
      <top style="hair">
        <color indexed="64"/>
      </top>
      <bottom style="hair">
        <color indexed="64"/>
      </bottom>
      <diagonal/>
    </border>
    <border>
      <left style="medium">
        <color indexed="62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2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2"/>
      </right>
      <top style="hair">
        <color indexed="64"/>
      </top>
      <bottom style="thin">
        <color indexed="64"/>
      </bottom>
      <diagonal/>
    </border>
    <border>
      <left style="medium">
        <color indexed="62"/>
      </left>
      <right style="medium">
        <color indexed="62"/>
      </right>
      <top style="thin">
        <color indexed="64"/>
      </top>
      <bottom style="thin">
        <color indexed="64"/>
      </bottom>
      <diagonal/>
    </border>
    <border>
      <left style="medium">
        <color indexed="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2"/>
      </right>
      <top style="thin">
        <color indexed="64"/>
      </top>
      <bottom style="thin">
        <color indexed="64"/>
      </bottom>
      <diagonal/>
    </border>
    <border>
      <left style="medium">
        <color indexed="62"/>
      </left>
      <right style="medium">
        <color indexed="62"/>
      </right>
      <top style="thin">
        <color indexed="64"/>
      </top>
      <bottom style="medium">
        <color indexed="62"/>
      </bottom>
      <diagonal/>
    </border>
    <border>
      <left style="medium">
        <color indexed="62"/>
      </left>
      <right style="thin">
        <color indexed="64"/>
      </right>
      <top style="thin">
        <color indexed="64"/>
      </top>
      <bottom style="medium">
        <color indexed="62"/>
      </bottom>
      <diagonal/>
    </border>
    <border>
      <left style="thin">
        <color indexed="64"/>
      </left>
      <right style="medium">
        <color indexed="62"/>
      </right>
      <top style="thin">
        <color indexed="64"/>
      </top>
      <bottom style="medium">
        <color indexed="62"/>
      </bottom>
      <diagonal/>
    </border>
    <border>
      <left style="hair">
        <color indexed="22"/>
      </left>
      <right/>
      <top style="hair">
        <color indexed="22"/>
      </top>
      <bottom style="hair">
        <color indexed="22"/>
      </bottom>
      <diagonal/>
    </border>
    <border>
      <left style="hair">
        <color indexed="55"/>
      </left>
      <right style="hair">
        <color indexed="55"/>
      </right>
      <top/>
      <bottom style="hair">
        <color indexed="55"/>
      </bottom>
      <diagonal/>
    </border>
    <border>
      <left style="hair">
        <color indexed="22"/>
      </left>
      <right style="hair">
        <color indexed="22"/>
      </right>
      <top style="hair">
        <color indexed="22"/>
      </top>
      <bottom/>
      <diagonal/>
    </border>
    <border>
      <left style="hair">
        <color indexed="55"/>
      </left>
      <right style="hair">
        <color indexed="55"/>
      </right>
      <top style="hair">
        <color indexed="55"/>
      </top>
      <bottom/>
      <diagonal/>
    </border>
    <border>
      <left/>
      <right style="hair">
        <color indexed="22"/>
      </right>
      <top style="hair">
        <color indexed="22"/>
      </top>
      <bottom style="hair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hair">
        <color indexed="22"/>
      </left>
      <right style="hair">
        <color indexed="22"/>
      </right>
      <top/>
      <bottom/>
      <diagonal/>
    </border>
    <border>
      <left/>
      <right/>
      <top/>
      <bottom style="hair">
        <color indexed="22"/>
      </bottom>
      <diagonal/>
    </border>
    <border>
      <left/>
      <right style="hair">
        <color indexed="55"/>
      </right>
      <top style="hair">
        <color indexed="55"/>
      </top>
      <bottom style="hair">
        <color indexed="55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indexed="22"/>
      </right>
      <top/>
      <bottom/>
      <diagonal/>
    </border>
    <border>
      <left style="hair">
        <color indexed="22"/>
      </left>
      <right/>
      <top/>
      <bottom/>
      <diagonal/>
    </border>
    <border>
      <left style="medium">
        <color indexed="62"/>
      </left>
      <right/>
      <top style="medium">
        <color indexed="62"/>
      </top>
      <bottom style="medium">
        <color indexed="62"/>
      </bottom>
      <diagonal/>
    </border>
    <border>
      <left/>
      <right style="medium">
        <color indexed="62"/>
      </right>
      <top style="medium">
        <color indexed="62"/>
      </top>
      <bottom style="medium">
        <color indexed="62"/>
      </bottom>
      <diagonal/>
    </border>
    <border>
      <left style="medium">
        <color indexed="62"/>
      </left>
      <right/>
      <top style="medium">
        <color indexed="62"/>
      </top>
      <bottom style="thin">
        <color indexed="64"/>
      </bottom>
      <diagonal/>
    </border>
    <border>
      <left/>
      <right style="medium">
        <color indexed="62"/>
      </right>
      <top style="medium">
        <color indexed="62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22"/>
      </top>
      <bottom style="hair">
        <color indexed="2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theme="0" tint="-4.9989318521683403E-2"/>
      </left>
      <right style="hair">
        <color theme="0" tint="-4.9989318521683403E-2"/>
      </right>
      <top style="hair">
        <color theme="0" tint="-4.9989318521683403E-2"/>
      </top>
      <bottom style="hair">
        <color theme="0" tint="-4.9989318521683403E-2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/>
      <right/>
      <top/>
      <bottom style="thick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indexed="22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theme="0" tint="-4.9989318521683403E-2"/>
      </left>
      <right style="hair">
        <color theme="0" tint="-4.9989318521683403E-2"/>
      </right>
      <top/>
      <bottom style="hair">
        <color theme="0" tint="-4.9989318521683403E-2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/>
      <diagonal/>
    </border>
    <border>
      <left style="hair">
        <color theme="0" tint="-0.24994659260841701"/>
      </left>
      <right/>
      <top style="hair">
        <color theme="0" tint="-0.24994659260841701"/>
      </top>
      <bottom style="hair">
        <color theme="0" tint="-0.24994659260841701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hair">
        <color theme="0" tint="-0.14993743705557422"/>
      </left>
      <right style="hair">
        <color theme="0" tint="-0.14993743705557422"/>
      </right>
      <top/>
      <bottom/>
      <diagonal/>
    </border>
    <border>
      <left style="hair">
        <color indexed="22"/>
      </left>
      <right style="hair">
        <color indexed="22"/>
      </right>
      <top style="thin">
        <color indexed="64"/>
      </top>
      <bottom style="thin">
        <color indexed="64"/>
      </bottom>
      <diagonal/>
    </border>
    <border>
      <left style="hair">
        <color theme="0" tint="-0.24994659260841701"/>
      </left>
      <right style="hair">
        <color theme="0" tint="-0.24994659260841701"/>
      </right>
      <top style="thin">
        <color indexed="64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BBBDC0"/>
      </left>
      <right style="thin">
        <color rgb="FFBBBDC0"/>
      </right>
      <top style="thin">
        <color rgb="FFBBBDC0"/>
      </top>
      <bottom style="thin">
        <color rgb="FFBBBDC0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hair">
        <color indexed="22"/>
      </left>
      <right/>
      <top style="thin">
        <color indexed="64"/>
      </top>
      <bottom style="thin">
        <color indexed="64"/>
      </bottom>
      <diagonal/>
    </border>
    <border>
      <left style="hair">
        <color indexed="22"/>
      </left>
      <right style="hair">
        <color indexed="22"/>
      </right>
      <top style="thin">
        <color indexed="64"/>
      </top>
      <bottom/>
      <diagonal/>
    </border>
    <border>
      <left/>
      <right/>
      <top style="hair">
        <color indexed="22"/>
      </top>
      <bottom/>
      <diagonal/>
    </border>
    <border>
      <left style="hair">
        <color theme="0" tint="-4.9989318521683403E-2"/>
      </left>
      <right style="hair">
        <color theme="0" tint="-4.9989318521683403E-2"/>
      </right>
      <top style="hair">
        <color theme="0" tint="-4.9989318521683403E-2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theme="0" tint="-0.24994659260841701"/>
      </left>
      <right style="hair">
        <color theme="0" tint="-0.24994659260841701"/>
      </right>
      <top style="thin">
        <color indexed="64"/>
      </top>
      <bottom style="medium">
        <color indexed="64"/>
      </bottom>
      <diagonal/>
    </border>
    <border>
      <left style="thin">
        <color rgb="FFBBBDC0"/>
      </left>
      <right style="thin">
        <color rgb="FFBBBDC0"/>
      </right>
      <top style="thin">
        <color indexed="64"/>
      </top>
      <bottom style="medium">
        <color indexed="64"/>
      </bottom>
      <diagonal/>
    </border>
    <border>
      <left style="thin">
        <color rgb="FFBBBDC0"/>
      </left>
      <right style="thin">
        <color rgb="FFBBBDC0"/>
      </right>
      <top style="thin">
        <color rgb="FFBBBDC0"/>
      </top>
      <bottom/>
      <diagonal/>
    </border>
    <border>
      <left style="thin">
        <color rgb="FFBBBDC0"/>
      </left>
      <right style="thin">
        <color rgb="FFBBBDC0"/>
      </right>
      <top/>
      <bottom style="thin">
        <color rgb="FFBBBDC0"/>
      </bottom>
      <diagonal/>
    </border>
    <border>
      <left style="hair">
        <color indexed="22"/>
      </left>
      <right style="hair">
        <color indexed="22"/>
      </right>
      <top/>
      <bottom style="thin">
        <color indexed="64"/>
      </bottom>
      <diagonal/>
    </border>
    <border>
      <left style="hair">
        <color theme="0" tint="-0.14993743705557422"/>
      </left>
      <right style="hair">
        <color theme="0" tint="-0.14993743705557422"/>
      </right>
      <top style="thin">
        <color indexed="64"/>
      </top>
      <bottom/>
      <diagonal/>
    </border>
    <border>
      <left/>
      <right style="hair">
        <color indexed="22"/>
      </right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55"/>
      </left>
      <right style="hair">
        <color indexed="55"/>
      </right>
      <top style="thin">
        <color indexed="64"/>
      </top>
      <bottom/>
      <diagonal/>
    </border>
    <border>
      <left style="hair">
        <color indexed="55"/>
      </left>
      <right style="hair">
        <color indexed="55"/>
      </right>
      <top/>
      <bottom/>
      <diagonal/>
    </border>
    <border>
      <left style="hair">
        <color theme="0" tint="-0.24994659260841701"/>
      </left>
      <right style="hair">
        <color theme="0" tint="-0.24994659260841701"/>
      </right>
      <top/>
      <bottom style="hair">
        <color theme="0" tint="-0.24994659260841701"/>
      </bottom>
      <diagonal/>
    </border>
    <border>
      <left/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/>
      <right/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theme="0" tint="-0.24994659260841701"/>
      </left>
      <right/>
      <top style="thin">
        <color indexed="64"/>
      </top>
      <bottom/>
      <diagonal/>
    </border>
    <border>
      <left/>
      <right/>
      <top style="hair">
        <color theme="0" tint="-0.24994659260841701"/>
      </top>
      <bottom/>
      <diagonal/>
    </border>
    <border>
      <left style="hair">
        <color theme="0" tint="-0.14993743705557422"/>
      </left>
      <right style="hair">
        <color theme="0" tint="-0.14993743705557422"/>
      </right>
      <top/>
      <bottom style="thin">
        <color indexed="64"/>
      </bottom>
      <diagonal/>
    </border>
    <border>
      <left/>
      <right style="hair">
        <color theme="0" tint="-0.24994659260841701"/>
      </right>
      <top/>
      <bottom style="hair">
        <color theme="0" tint="-0.24994659260841701"/>
      </bottom>
      <diagonal/>
    </border>
    <border>
      <left/>
      <right style="hair">
        <color theme="0" tint="-0.24994659260841701"/>
      </right>
      <top style="hair">
        <color theme="0" tint="-0.24994659260841701"/>
      </top>
      <bottom/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theme="0" tint="-0.24994659260841701"/>
      </right>
      <top/>
      <bottom/>
      <diagonal/>
    </border>
    <border>
      <left/>
      <right style="hair">
        <color theme="0" tint="-0.24994659260841701"/>
      </right>
      <top style="thin">
        <color indexed="64"/>
      </top>
      <bottom/>
      <diagonal/>
    </border>
    <border>
      <left style="thin">
        <color indexed="64"/>
      </left>
      <right style="hair">
        <color indexed="22"/>
      </right>
      <top style="thin">
        <color indexed="64"/>
      </top>
      <bottom/>
      <diagonal/>
    </border>
    <border>
      <left style="hair">
        <color indexed="22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theme="0" tint="-4.9989318521683403E-2"/>
      </right>
      <top style="hair">
        <color theme="0" tint="-4.9989318521683403E-2"/>
      </top>
      <bottom style="hair">
        <color theme="0" tint="-4.9989318521683403E-2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theme="0" tint="-4.9989318521683403E-2"/>
      </right>
      <top style="hair">
        <color theme="0" tint="-4.9989318521683403E-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theme="0" tint="-4.9989318521683403E-2"/>
      </top>
      <bottom style="hair">
        <color theme="0" tint="-4.9989318521683403E-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n">
        <color indexed="64"/>
      </right>
      <top style="hair">
        <color theme="0" tint="-0.14996795556505021"/>
      </top>
      <bottom style="hair">
        <color theme="0" tint="-0.14996795556505021"/>
      </bottom>
      <diagonal/>
    </border>
    <border>
      <left style="thin">
        <color indexed="64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5526">
    <xf numFmtId="0" fontId="0" fillId="0" borderId="0"/>
    <xf numFmtId="0" fontId="87" fillId="7" borderId="0" applyNumberFormat="0" applyBorder="0" applyAlignment="0" applyProtection="0"/>
    <xf numFmtId="0" fontId="87" fillId="7" borderId="0" applyNumberFormat="0" applyBorder="0" applyAlignment="0" applyProtection="0"/>
    <xf numFmtId="0" fontId="87" fillId="8" borderId="0" applyNumberFormat="0" applyBorder="0" applyAlignment="0" applyProtection="0"/>
    <xf numFmtId="0" fontId="87" fillId="8" borderId="0" applyNumberFormat="0" applyBorder="0" applyAlignment="0" applyProtection="0"/>
    <xf numFmtId="0" fontId="87" fillId="9" borderId="0" applyNumberFormat="0" applyBorder="0" applyAlignment="0" applyProtection="0"/>
    <xf numFmtId="0" fontId="87" fillId="9" borderId="0" applyNumberFormat="0" applyBorder="0" applyAlignment="0" applyProtection="0"/>
    <xf numFmtId="0" fontId="87" fillId="10" borderId="0" applyNumberFormat="0" applyBorder="0" applyAlignment="0" applyProtection="0"/>
    <xf numFmtId="0" fontId="87" fillId="10" borderId="0" applyNumberFormat="0" applyBorder="0" applyAlignment="0" applyProtection="0"/>
    <xf numFmtId="0" fontId="87" fillId="11" borderId="0" applyNumberFormat="0" applyBorder="0" applyAlignment="0" applyProtection="0"/>
    <xf numFmtId="0" fontId="87" fillId="11" borderId="0" applyNumberFormat="0" applyBorder="0" applyAlignment="0" applyProtection="0"/>
    <xf numFmtId="0" fontId="87" fillId="12" borderId="0" applyNumberFormat="0" applyBorder="0" applyAlignment="0" applyProtection="0"/>
    <xf numFmtId="0" fontId="87" fillId="12" borderId="0" applyNumberFormat="0" applyBorder="0" applyAlignment="0" applyProtection="0"/>
    <xf numFmtId="0" fontId="87" fillId="13" borderId="0" applyNumberFormat="0" applyBorder="0" applyAlignment="0" applyProtection="0"/>
    <xf numFmtId="0" fontId="87" fillId="13" borderId="0" applyNumberFormat="0" applyBorder="0" applyAlignment="0" applyProtection="0"/>
    <xf numFmtId="0" fontId="87" fillId="14" borderId="0" applyNumberFormat="0" applyBorder="0" applyAlignment="0" applyProtection="0"/>
    <xf numFmtId="0" fontId="87" fillId="14" borderId="0" applyNumberFormat="0" applyBorder="0" applyAlignment="0" applyProtection="0"/>
    <xf numFmtId="0" fontId="87" fillId="15" borderId="0" applyNumberFormat="0" applyBorder="0" applyAlignment="0" applyProtection="0"/>
    <xf numFmtId="0" fontId="87" fillId="15" borderId="0" applyNumberFormat="0" applyBorder="0" applyAlignment="0" applyProtection="0"/>
    <xf numFmtId="0" fontId="87" fillId="16" borderId="0" applyNumberFormat="0" applyBorder="0" applyAlignment="0" applyProtection="0"/>
    <xf numFmtId="0" fontId="87" fillId="16" borderId="0" applyNumberFormat="0" applyBorder="0" applyAlignment="0" applyProtection="0"/>
    <xf numFmtId="0" fontId="87" fillId="17" borderId="0" applyNumberFormat="0" applyBorder="0" applyAlignment="0" applyProtection="0"/>
    <xf numFmtId="0" fontId="87" fillId="17" borderId="0" applyNumberFormat="0" applyBorder="0" applyAlignment="0" applyProtection="0"/>
    <xf numFmtId="0" fontId="87" fillId="18" borderId="0" applyNumberFormat="0" applyBorder="0" applyAlignment="0" applyProtection="0"/>
    <xf numFmtId="0" fontId="87" fillId="18" borderId="0" applyNumberFormat="0" applyBorder="0" applyAlignment="0" applyProtection="0"/>
    <xf numFmtId="0" fontId="88" fillId="19" borderId="0" applyNumberFormat="0" applyBorder="0" applyAlignment="0" applyProtection="0"/>
    <xf numFmtId="0" fontId="88" fillId="20" borderId="0" applyNumberFormat="0" applyBorder="0" applyAlignment="0" applyProtection="0"/>
    <xf numFmtId="0" fontId="88" fillId="21" borderId="0" applyNumberFormat="0" applyBorder="0" applyAlignment="0" applyProtection="0"/>
    <xf numFmtId="0" fontId="88" fillId="22" borderId="0" applyNumberFormat="0" applyBorder="0" applyAlignment="0" applyProtection="0"/>
    <xf numFmtId="0" fontId="88" fillId="23" borderId="0" applyNumberFormat="0" applyBorder="0" applyAlignment="0" applyProtection="0"/>
    <xf numFmtId="0" fontId="88" fillId="24" borderId="0" applyNumberFormat="0" applyBorder="0" applyAlignment="0" applyProtection="0"/>
    <xf numFmtId="0" fontId="89" fillId="25" borderId="0" applyNumberFormat="0" applyBorder="0" applyAlignment="0" applyProtection="0"/>
    <xf numFmtId="0" fontId="90" fillId="26" borderId="39" applyNumberFormat="0" applyAlignment="0" applyProtection="0"/>
    <xf numFmtId="0" fontId="91" fillId="27" borderId="40" applyNumberFormat="0" applyAlignment="0" applyProtection="0"/>
    <xf numFmtId="0" fontId="92" fillId="0" borderId="41" applyNumberFormat="0" applyFill="0" applyAlignment="0" applyProtection="0"/>
    <xf numFmtId="0" fontId="93" fillId="0" borderId="0" applyNumberFormat="0" applyFill="0" applyBorder="0" applyAlignment="0" applyProtection="0"/>
    <xf numFmtId="0" fontId="88" fillId="28" borderId="0" applyNumberFormat="0" applyBorder="0" applyAlignment="0" applyProtection="0"/>
    <xf numFmtId="0" fontId="88" fillId="29" borderId="0" applyNumberFormat="0" applyBorder="0" applyAlignment="0" applyProtection="0"/>
    <xf numFmtId="0" fontId="88" fillId="30" borderId="0" applyNumberFormat="0" applyBorder="0" applyAlignment="0" applyProtection="0"/>
    <xf numFmtId="0" fontId="88" fillId="31" borderId="0" applyNumberFormat="0" applyBorder="0" applyAlignment="0" applyProtection="0"/>
    <xf numFmtId="0" fontId="88" fillId="32" borderId="0" applyNumberFormat="0" applyBorder="0" applyAlignment="0" applyProtection="0"/>
    <xf numFmtId="0" fontId="88" fillId="33" borderId="0" applyNumberFormat="0" applyBorder="0" applyAlignment="0" applyProtection="0"/>
    <xf numFmtId="0" fontId="94" fillId="34" borderId="39" applyNumberFormat="0" applyAlignment="0" applyProtection="0"/>
    <xf numFmtId="0" fontId="61" fillId="0" borderId="0" applyNumberFormat="0" applyFill="0" applyBorder="0" applyAlignment="0" applyProtection="0">
      <alignment vertical="top"/>
      <protection locked="0"/>
    </xf>
    <xf numFmtId="0" fontId="95" fillId="0" borderId="0" applyNumberFormat="0" applyFill="0" applyBorder="0" applyAlignment="0" applyProtection="0"/>
    <xf numFmtId="0" fontId="95" fillId="0" borderId="0" applyNumberFormat="0" applyFill="0" applyBorder="0" applyAlignment="0" applyProtection="0"/>
    <xf numFmtId="0" fontId="96" fillId="35" borderId="0" applyNumberFormat="0" applyBorder="0" applyAlignment="0" applyProtection="0"/>
    <xf numFmtId="168" fontId="59" fillId="0" borderId="0" applyFont="0" applyFill="0" applyBorder="0" applyAlignment="0" applyProtection="0"/>
    <xf numFmtId="168" fontId="59" fillId="0" borderId="0" applyFont="0" applyFill="0" applyBorder="0" applyAlignment="0" applyProtection="0"/>
    <xf numFmtId="165" fontId="59" fillId="0" borderId="0" applyFont="0" applyFill="0" applyBorder="0" applyAlignment="0" applyProtection="0"/>
    <xf numFmtId="165" fontId="59" fillId="0" borderId="0" applyFont="0" applyFill="0" applyBorder="0" applyAlignment="0" applyProtection="0"/>
    <xf numFmtId="165" fontId="59" fillId="0" borderId="0" applyFont="0" applyFill="0" applyBorder="0" applyAlignment="0" applyProtection="0"/>
    <xf numFmtId="165" fontId="59" fillId="0" borderId="0" applyFont="0" applyFill="0" applyBorder="0" applyAlignment="0" applyProtection="0"/>
    <xf numFmtId="165" fontId="59" fillId="0" borderId="0" applyFont="0" applyFill="0" applyBorder="0" applyAlignment="0" applyProtection="0"/>
    <xf numFmtId="167" fontId="87" fillId="0" borderId="0" applyFont="0" applyFill="0" applyBorder="0" applyAlignment="0" applyProtection="0"/>
    <xf numFmtId="167" fontId="87" fillId="0" borderId="0" applyFont="0" applyFill="0" applyBorder="0" applyAlignment="0" applyProtection="0"/>
    <xf numFmtId="167" fontId="87" fillId="0" borderId="0" applyFont="0" applyFill="0" applyBorder="0" applyAlignment="0" applyProtection="0"/>
    <xf numFmtId="168" fontId="59" fillId="0" borderId="0" applyFont="0" applyFill="0" applyBorder="0" applyAlignment="0" applyProtection="0"/>
    <xf numFmtId="0" fontId="97" fillId="36" borderId="0" applyNumberFormat="0" applyBorder="0" applyAlignment="0" applyProtection="0"/>
    <xf numFmtId="0" fontId="59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59" fillId="0" borderId="0"/>
    <xf numFmtId="0" fontId="59" fillId="0" borderId="0"/>
    <xf numFmtId="0" fontId="87" fillId="37" borderId="42" applyNumberFormat="0" applyFont="0" applyAlignment="0" applyProtection="0"/>
    <xf numFmtId="0" fontId="87" fillId="37" borderId="42" applyNumberFormat="0" applyFont="0" applyAlignment="0" applyProtection="0"/>
    <xf numFmtId="9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0" fontId="98" fillId="26" borderId="43" applyNumberFormat="0" applyAlignment="0" applyProtection="0"/>
    <xf numFmtId="0" fontId="99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101" fillId="0" borderId="0" applyNumberFormat="0" applyFill="0" applyBorder="0" applyAlignment="0" applyProtection="0"/>
    <xf numFmtId="0" fontId="102" fillId="0" borderId="44" applyNumberFormat="0" applyFill="0" applyAlignment="0" applyProtection="0"/>
    <xf numFmtId="0" fontId="93" fillId="0" borderId="45" applyNumberFormat="0" applyFill="0" applyAlignment="0" applyProtection="0"/>
    <xf numFmtId="0" fontId="103" fillId="0" borderId="46" applyNumberFormat="0" applyFill="0" applyAlignment="0" applyProtection="0"/>
    <xf numFmtId="0" fontId="58" fillId="0" borderId="0"/>
    <xf numFmtId="0" fontId="58" fillId="7" borderId="0" applyNumberFormat="0" applyBorder="0" applyAlignment="0" applyProtection="0"/>
    <xf numFmtId="0" fontId="58" fillId="13" borderId="0" applyNumberFormat="0" applyBorder="0" applyAlignment="0" applyProtection="0"/>
    <xf numFmtId="0" fontId="58" fillId="8" borderId="0" applyNumberFormat="0" applyBorder="0" applyAlignment="0" applyProtection="0"/>
    <xf numFmtId="0" fontId="58" fillId="14" borderId="0" applyNumberFormat="0" applyBorder="0" applyAlignment="0" applyProtection="0"/>
    <xf numFmtId="0" fontId="58" fillId="9" borderId="0" applyNumberFormat="0" applyBorder="0" applyAlignment="0" applyProtection="0"/>
    <xf numFmtId="0" fontId="58" fillId="15" borderId="0" applyNumberFormat="0" applyBorder="0" applyAlignment="0" applyProtection="0"/>
    <xf numFmtId="0" fontId="58" fillId="10" borderId="0" applyNumberFormat="0" applyBorder="0" applyAlignment="0" applyProtection="0"/>
    <xf numFmtId="0" fontId="58" fillId="16" borderId="0" applyNumberFormat="0" applyBorder="0" applyAlignment="0" applyProtection="0"/>
    <xf numFmtId="0" fontId="58" fillId="11" borderId="0" applyNumberFormat="0" applyBorder="0" applyAlignment="0" applyProtection="0"/>
    <xf numFmtId="0" fontId="58" fillId="17" borderId="0" applyNumberFormat="0" applyBorder="0" applyAlignment="0" applyProtection="0"/>
    <xf numFmtId="0" fontId="58" fillId="12" borderId="0" applyNumberFormat="0" applyBorder="0" applyAlignment="0" applyProtection="0"/>
    <xf numFmtId="0" fontId="58" fillId="18" borderId="0" applyNumberFormat="0" applyBorder="0" applyAlignment="0" applyProtection="0"/>
    <xf numFmtId="0" fontId="59" fillId="0" borderId="0"/>
    <xf numFmtId="0" fontId="58" fillId="7" borderId="0" applyNumberFormat="0" applyBorder="0" applyAlignment="0" applyProtection="0"/>
    <xf numFmtId="0" fontId="58" fillId="8" borderId="0" applyNumberFormat="0" applyBorder="0" applyAlignment="0" applyProtection="0"/>
    <xf numFmtId="0" fontId="58" fillId="9" borderId="0" applyNumberFormat="0" applyBorder="0" applyAlignment="0" applyProtection="0"/>
    <xf numFmtId="0" fontId="58" fillId="10" borderId="0" applyNumberFormat="0" applyBorder="0" applyAlignment="0" applyProtection="0"/>
    <xf numFmtId="0" fontId="58" fillId="11" borderId="0" applyNumberFormat="0" applyBorder="0" applyAlignment="0" applyProtection="0"/>
    <xf numFmtId="0" fontId="58" fillId="12" borderId="0" applyNumberFormat="0" applyBorder="0" applyAlignment="0" applyProtection="0"/>
    <xf numFmtId="0" fontId="58" fillId="13" borderId="0" applyNumberFormat="0" applyBorder="0" applyAlignment="0" applyProtection="0"/>
    <xf numFmtId="0" fontId="58" fillId="14" borderId="0" applyNumberFormat="0" applyBorder="0" applyAlignment="0" applyProtection="0"/>
    <xf numFmtId="0" fontId="58" fillId="15" borderId="0" applyNumberFormat="0" applyBorder="0" applyAlignment="0" applyProtection="0"/>
    <xf numFmtId="0" fontId="58" fillId="16" borderId="0" applyNumberFormat="0" applyBorder="0" applyAlignment="0" applyProtection="0"/>
    <xf numFmtId="0" fontId="58" fillId="17" borderId="0" applyNumberFormat="0" applyBorder="0" applyAlignment="0" applyProtection="0"/>
    <xf numFmtId="0" fontId="58" fillId="18" borderId="0" applyNumberFormat="0" applyBorder="0" applyAlignment="0" applyProtection="0"/>
    <xf numFmtId="168" fontId="59" fillId="0" borderId="0" applyFont="0" applyFill="0" applyBorder="0" applyAlignment="0" applyProtection="0"/>
    <xf numFmtId="167" fontId="58" fillId="0" borderId="0" applyFont="0" applyFill="0" applyBorder="0" applyAlignment="0" applyProtection="0"/>
    <xf numFmtId="167" fontId="58" fillId="0" borderId="0" applyFont="0" applyFill="0" applyBorder="0" applyAlignment="0" applyProtection="0"/>
    <xf numFmtId="167" fontId="58" fillId="0" borderId="0" applyFont="0" applyFill="0" applyBorder="0" applyAlignment="0" applyProtection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37" borderId="42" applyNumberFormat="0" applyFont="0" applyAlignment="0" applyProtection="0"/>
    <xf numFmtId="0" fontId="58" fillId="37" borderId="42" applyNumberFormat="0" applyFont="0" applyAlignment="0" applyProtection="0"/>
    <xf numFmtId="9" fontId="59" fillId="0" borderId="0" applyFont="0" applyFill="0" applyBorder="0" applyAlignment="0" applyProtection="0"/>
    <xf numFmtId="0" fontId="57" fillId="0" borderId="0"/>
    <xf numFmtId="0" fontId="57" fillId="7" borderId="0" applyNumberFormat="0" applyBorder="0" applyAlignment="0" applyProtection="0"/>
    <xf numFmtId="0" fontId="57" fillId="13" borderId="0" applyNumberFormat="0" applyBorder="0" applyAlignment="0" applyProtection="0"/>
    <xf numFmtId="0" fontId="57" fillId="8" borderId="0" applyNumberFormat="0" applyBorder="0" applyAlignment="0" applyProtection="0"/>
    <xf numFmtId="0" fontId="57" fillId="14" borderId="0" applyNumberFormat="0" applyBorder="0" applyAlignment="0" applyProtection="0"/>
    <xf numFmtId="0" fontId="57" fillId="9" borderId="0" applyNumberFormat="0" applyBorder="0" applyAlignment="0" applyProtection="0"/>
    <xf numFmtId="0" fontId="57" fillId="15" borderId="0" applyNumberFormat="0" applyBorder="0" applyAlignment="0" applyProtection="0"/>
    <xf numFmtId="0" fontId="57" fillId="10" borderId="0" applyNumberFormat="0" applyBorder="0" applyAlignment="0" applyProtection="0"/>
    <xf numFmtId="0" fontId="57" fillId="16" borderId="0" applyNumberFormat="0" applyBorder="0" applyAlignment="0" applyProtection="0"/>
    <xf numFmtId="0" fontId="57" fillId="11" borderId="0" applyNumberFormat="0" applyBorder="0" applyAlignment="0" applyProtection="0"/>
    <xf numFmtId="0" fontId="57" fillId="17" borderId="0" applyNumberFormat="0" applyBorder="0" applyAlignment="0" applyProtection="0"/>
    <xf numFmtId="0" fontId="57" fillId="12" borderId="0" applyNumberFormat="0" applyBorder="0" applyAlignment="0" applyProtection="0"/>
    <xf numFmtId="0" fontId="57" fillId="18" borderId="0" applyNumberFormat="0" applyBorder="0" applyAlignment="0" applyProtection="0"/>
    <xf numFmtId="0" fontId="117" fillId="0" borderId="0"/>
    <xf numFmtId="0" fontId="57" fillId="7" borderId="0" applyNumberFormat="0" applyBorder="0" applyAlignment="0" applyProtection="0"/>
    <xf numFmtId="0" fontId="57" fillId="8" borderId="0" applyNumberFormat="0" applyBorder="0" applyAlignment="0" applyProtection="0"/>
    <xf numFmtId="0" fontId="57" fillId="9" borderId="0" applyNumberFormat="0" applyBorder="0" applyAlignment="0" applyProtection="0"/>
    <xf numFmtId="0" fontId="57" fillId="10" borderId="0" applyNumberFormat="0" applyBorder="0" applyAlignment="0" applyProtection="0"/>
    <xf numFmtId="0" fontId="57" fillId="11" borderId="0" applyNumberFormat="0" applyBorder="0" applyAlignment="0" applyProtection="0"/>
    <xf numFmtId="0" fontId="57" fillId="12" borderId="0" applyNumberFormat="0" applyBorder="0" applyAlignment="0" applyProtection="0"/>
    <xf numFmtId="0" fontId="57" fillId="13" borderId="0" applyNumberFormat="0" applyBorder="0" applyAlignment="0" applyProtection="0"/>
    <xf numFmtId="0" fontId="57" fillId="14" borderId="0" applyNumberFormat="0" applyBorder="0" applyAlignment="0" applyProtection="0"/>
    <xf numFmtId="0" fontId="57" fillId="15" borderId="0" applyNumberFormat="0" applyBorder="0" applyAlignment="0" applyProtection="0"/>
    <xf numFmtId="0" fontId="57" fillId="16" borderId="0" applyNumberFormat="0" applyBorder="0" applyAlignment="0" applyProtection="0"/>
    <xf numFmtId="0" fontId="57" fillId="17" borderId="0" applyNumberFormat="0" applyBorder="0" applyAlignment="0" applyProtection="0"/>
    <xf numFmtId="0" fontId="57" fillId="18" borderId="0" applyNumberFormat="0" applyBorder="0" applyAlignment="0" applyProtection="0"/>
    <xf numFmtId="168" fontId="59" fillId="0" borderId="0" applyFont="0" applyFill="0" applyBorder="0" applyAlignment="0" applyProtection="0"/>
    <xf numFmtId="167" fontId="57" fillId="0" borderId="0" applyFont="0" applyFill="0" applyBorder="0" applyAlignment="0" applyProtection="0"/>
    <xf numFmtId="167" fontId="57" fillId="0" borderId="0" applyFont="0" applyFill="0" applyBorder="0" applyAlignment="0" applyProtection="0"/>
    <xf numFmtId="167" fontId="57" fillId="0" borderId="0" applyFont="0" applyFill="0" applyBorder="0" applyAlignment="0" applyProtection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37" borderId="42" applyNumberFormat="0" applyFont="0" applyAlignment="0" applyProtection="0"/>
    <xf numFmtId="0" fontId="57" fillId="37" borderId="42" applyNumberFormat="0" applyFont="0" applyAlignment="0" applyProtection="0"/>
    <xf numFmtId="9" fontId="59" fillId="0" borderId="0" applyFont="0" applyFill="0" applyBorder="0" applyAlignment="0" applyProtection="0"/>
    <xf numFmtId="0" fontId="57" fillId="0" borderId="0"/>
    <xf numFmtId="0" fontId="57" fillId="7" borderId="0" applyNumberFormat="0" applyBorder="0" applyAlignment="0" applyProtection="0"/>
    <xf numFmtId="0" fontId="57" fillId="13" borderId="0" applyNumberFormat="0" applyBorder="0" applyAlignment="0" applyProtection="0"/>
    <xf numFmtId="0" fontId="57" fillId="8" borderId="0" applyNumberFormat="0" applyBorder="0" applyAlignment="0" applyProtection="0"/>
    <xf numFmtId="0" fontId="57" fillId="14" borderId="0" applyNumberFormat="0" applyBorder="0" applyAlignment="0" applyProtection="0"/>
    <xf numFmtId="0" fontId="57" fillId="9" borderId="0" applyNumberFormat="0" applyBorder="0" applyAlignment="0" applyProtection="0"/>
    <xf numFmtId="0" fontId="57" fillId="15" borderId="0" applyNumberFormat="0" applyBorder="0" applyAlignment="0" applyProtection="0"/>
    <xf numFmtId="0" fontId="57" fillId="10" borderId="0" applyNumberFormat="0" applyBorder="0" applyAlignment="0" applyProtection="0"/>
    <xf numFmtId="0" fontId="57" fillId="16" borderId="0" applyNumberFormat="0" applyBorder="0" applyAlignment="0" applyProtection="0"/>
    <xf numFmtId="0" fontId="57" fillId="11" borderId="0" applyNumberFormat="0" applyBorder="0" applyAlignment="0" applyProtection="0"/>
    <xf numFmtId="0" fontId="57" fillId="17" borderId="0" applyNumberFormat="0" applyBorder="0" applyAlignment="0" applyProtection="0"/>
    <xf numFmtId="0" fontId="57" fillId="12" borderId="0" applyNumberFormat="0" applyBorder="0" applyAlignment="0" applyProtection="0"/>
    <xf numFmtId="0" fontId="57" fillId="18" borderId="0" applyNumberFormat="0" applyBorder="0" applyAlignment="0" applyProtection="0"/>
    <xf numFmtId="0" fontId="57" fillId="7" borderId="0" applyNumberFormat="0" applyBorder="0" applyAlignment="0" applyProtection="0"/>
    <xf numFmtId="0" fontId="57" fillId="8" borderId="0" applyNumberFormat="0" applyBorder="0" applyAlignment="0" applyProtection="0"/>
    <xf numFmtId="0" fontId="57" fillId="9" borderId="0" applyNumberFormat="0" applyBorder="0" applyAlignment="0" applyProtection="0"/>
    <xf numFmtId="0" fontId="57" fillId="10" borderId="0" applyNumberFormat="0" applyBorder="0" applyAlignment="0" applyProtection="0"/>
    <xf numFmtId="0" fontId="57" fillId="11" borderId="0" applyNumberFormat="0" applyBorder="0" applyAlignment="0" applyProtection="0"/>
    <xf numFmtId="0" fontId="57" fillId="12" borderId="0" applyNumberFormat="0" applyBorder="0" applyAlignment="0" applyProtection="0"/>
    <xf numFmtId="0" fontId="57" fillId="13" borderId="0" applyNumberFormat="0" applyBorder="0" applyAlignment="0" applyProtection="0"/>
    <xf numFmtId="0" fontId="57" fillId="14" borderId="0" applyNumberFormat="0" applyBorder="0" applyAlignment="0" applyProtection="0"/>
    <xf numFmtId="0" fontId="57" fillId="15" borderId="0" applyNumberFormat="0" applyBorder="0" applyAlignment="0" applyProtection="0"/>
    <xf numFmtId="0" fontId="57" fillId="16" borderId="0" applyNumberFormat="0" applyBorder="0" applyAlignment="0" applyProtection="0"/>
    <xf numFmtId="0" fontId="57" fillId="17" borderId="0" applyNumberFormat="0" applyBorder="0" applyAlignment="0" applyProtection="0"/>
    <xf numFmtId="0" fontId="57" fillId="18" borderId="0" applyNumberFormat="0" applyBorder="0" applyAlignment="0" applyProtection="0"/>
    <xf numFmtId="167" fontId="57" fillId="0" borderId="0" applyFont="0" applyFill="0" applyBorder="0" applyAlignment="0" applyProtection="0"/>
    <xf numFmtId="167" fontId="57" fillId="0" borderId="0" applyFont="0" applyFill="0" applyBorder="0" applyAlignment="0" applyProtection="0"/>
    <xf numFmtId="167" fontId="57" fillId="0" borderId="0" applyFont="0" applyFill="0" applyBorder="0" applyAlignment="0" applyProtection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37" borderId="42" applyNumberFormat="0" applyFont="0" applyAlignment="0" applyProtection="0"/>
    <xf numFmtId="0" fontId="57" fillId="37" borderId="42" applyNumberFormat="0" applyFont="0" applyAlignment="0" applyProtection="0"/>
    <xf numFmtId="0" fontId="59" fillId="0" borderId="0"/>
    <xf numFmtId="0" fontId="59" fillId="0" borderId="0"/>
    <xf numFmtId="0" fontId="56" fillId="0" borderId="0"/>
    <xf numFmtId="0" fontId="56" fillId="7" borderId="0" applyNumberFormat="0" applyBorder="0" applyAlignment="0" applyProtection="0"/>
    <xf numFmtId="0" fontId="56" fillId="13" borderId="0" applyNumberFormat="0" applyBorder="0" applyAlignment="0" applyProtection="0"/>
    <xf numFmtId="0" fontId="56" fillId="8" borderId="0" applyNumberFormat="0" applyBorder="0" applyAlignment="0" applyProtection="0"/>
    <xf numFmtId="0" fontId="56" fillId="14" borderId="0" applyNumberFormat="0" applyBorder="0" applyAlignment="0" applyProtection="0"/>
    <xf numFmtId="0" fontId="56" fillId="9" borderId="0" applyNumberFormat="0" applyBorder="0" applyAlignment="0" applyProtection="0"/>
    <xf numFmtId="0" fontId="56" fillId="15" borderId="0" applyNumberFormat="0" applyBorder="0" applyAlignment="0" applyProtection="0"/>
    <xf numFmtId="0" fontId="56" fillId="10" borderId="0" applyNumberFormat="0" applyBorder="0" applyAlignment="0" applyProtection="0"/>
    <xf numFmtId="0" fontId="56" fillId="16" borderId="0" applyNumberFormat="0" applyBorder="0" applyAlignment="0" applyProtection="0"/>
    <xf numFmtId="0" fontId="56" fillId="11" borderId="0" applyNumberFormat="0" applyBorder="0" applyAlignment="0" applyProtection="0"/>
    <xf numFmtId="0" fontId="56" fillId="17" borderId="0" applyNumberFormat="0" applyBorder="0" applyAlignment="0" applyProtection="0"/>
    <xf numFmtId="0" fontId="56" fillId="12" borderId="0" applyNumberFormat="0" applyBorder="0" applyAlignment="0" applyProtection="0"/>
    <xf numFmtId="0" fontId="56" fillId="18" borderId="0" applyNumberFormat="0" applyBorder="0" applyAlignment="0" applyProtection="0"/>
    <xf numFmtId="0" fontId="59" fillId="0" borderId="0"/>
    <xf numFmtId="0" fontId="56" fillId="7" borderId="0" applyNumberFormat="0" applyBorder="0" applyAlignment="0" applyProtection="0"/>
    <xf numFmtId="0" fontId="56" fillId="8" borderId="0" applyNumberFormat="0" applyBorder="0" applyAlignment="0" applyProtection="0"/>
    <xf numFmtId="0" fontId="56" fillId="9" borderId="0" applyNumberFormat="0" applyBorder="0" applyAlignment="0" applyProtection="0"/>
    <xf numFmtId="0" fontId="56" fillId="10" borderId="0" applyNumberFormat="0" applyBorder="0" applyAlignment="0" applyProtection="0"/>
    <xf numFmtId="0" fontId="56" fillId="11" borderId="0" applyNumberFormat="0" applyBorder="0" applyAlignment="0" applyProtection="0"/>
    <xf numFmtId="0" fontId="56" fillId="12" borderId="0" applyNumberFormat="0" applyBorder="0" applyAlignment="0" applyProtection="0"/>
    <xf numFmtId="0" fontId="56" fillId="13" borderId="0" applyNumberFormat="0" applyBorder="0" applyAlignment="0" applyProtection="0"/>
    <xf numFmtId="0" fontId="56" fillId="14" borderId="0" applyNumberFormat="0" applyBorder="0" applyAlignment="0" applyProtection="0"/>
    <xf numFmtId="0" fontId="56" fillId="15" borderId="0" applyNumberFormat="0" applyBorder="0" applyAlignment="0" applyProtection="0"/>
    <xf numFmtId="0" fontId="56" fillId="16" borderId="0" applyNumberFormat="0" applyBorder="0" applyAlignment="0" applyProtection="0"/>
    <xf numFmtId="0" fontId="56" fillId="17" borderId="0" applyNumberFormat="0" applyBorder="0" applyAlignment="0" applyProtection="0"/>
    <xf numFmtId="0" fontId="56" fillId="18" borderId="0" applyNumberFormat="0" applyBorder="0" applyAlignment="0" applyProtection="0"/>
    <xf numFmtId="168" fontId="59" fillId="0" borderId="0" applyFont="0" applyFill="0" applyBorder="0" applyAlignment="0" applyProtection="0"/>
    <xf numFmtId="167" fontId="56" fillId="0" borderId="0" applyFont="0" applyFill="0" applyBorder="0" applyAlignment="0" applyProtection="0"/>
    <xf numFmtId="167" fontId="56" fillId="0" borderId="0" applyFont="0" applyFill="0" applyBorder="0" applyAlignment="0" applyProtection="0"/>
    <xf numFmtId="167" fontId="56" fillId="0" borderId="0" applyFont="0" applyFill="0" applyBorder="0" applyAlignment="0" applyProtection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37" borderId="42" applyNumberFormat="0" applyFont="0" applyAlignment="0" applyProtection="0"/>
    <xf numFmtId="0" fontId="56" fillId="37" borderId="42" applyNumberFormat="0" applyFont="0" applyAlignment="0" applyProtection="0"/>
    <xf numFmtId="9" fontId="59" fillId="0" borderId="0" applyFont="0" applyFill="0" applyBorder="0" applyAlignment="0" applyProtection="0"/>
    <xf numFmtId="0" fontId="56" fillId="0" borderId="0"/>
    <xf numFmtId="0" fontId="56" fillId="7" borderId="0" applyNumberFormat="0" applyBorder="0" applyAlignment="0" applyProtection="0"/>
    <xf numFmtId="0" fontId="56" fillId="13" borderId="0" applyNumberFormat="0" applyBorder="0" applyAlignment="0" applyProtection="0"/>
    <xf numFmtId="0" fontId="56" fillId="8" borderId="0" applyNumberFormat="0" applyBorder="0" applyAlignment="0" applyProtection="0"/>
    <xf numFmtId="0" fontId="56" fillId="14" borderId="0" applyNumberFormat="0" applyBorder="0" applyAlignment="0" applyProtection="0"/>
    <xf numFmtId="0" fontId="56" fillId="9" borderId="0" applyNumberFormat="0" applyBorder="0" applyAlignment="0" applyProtection="0"/>
    <xf numFmtId="0" fontId="56" fillId="15" borderId="0" applyNumberFormat="0" applyBorder="0" applyAlignment="0" applyProtection="0"/>
    <xf numFmtId="0" fontId="56" fillId="10" borderId="0" applyNumberFormat="0" applyBorder="0" applyAlignment="0" applyProtection="0"/>
    <xf numFmtId="0" fontId="56" fillId="16" borderId="0" applyNumberFormat="0" applyBorder="0" applyAlignment="0" applyProtection="0"/>
    <xf numFmtId="0" fontId="56" fillId="11" borderId="0" applyNumberFormat="0" applyBorder="0" applyAlignment="0" applyProtection="0"/>
    <xf numFmtId="0" fontId="56" fillId="17" borderId="0" applyNumberFormat="0" applyBorder="0" applyAlignment="0" applyProtection="0"/>
    <xf numFmtId="0" fontId="56" fillId="12" borderId="0" applyNumberFormat="0" applyBorder="0" applyAlignment="0" applyProtection="0"/>
    <xf numFmtId="0" fontId="56" fillId="18" borderId="0" applyNumberFormat="0" applyBorder="0" applyAlignment="0" applyProtection="0"/>
    <xf numFmtId="0" fontId="56" fillId="7" borderId="0" applyNumberFormat="0" applyBorder="0" applyAlignment="0" applyProtection="0"/>
    <xf numFmtId="0" fontId="56" fillId="8" borderId="0" applyNumberFormat="0" applyBorder="0" applyAlignment="0" applyProtection="0"/>
    <xf numFmtId="0" fontId="56" fillId="9" borderId="0" applyNumberFormat="0" applyBorder="0" applyAlignment="0" applyProtection="0"/>
    <xf numFmtId="0" fontId="56" fillId="10" borderId="0" applyNumberFormat="0" applyBorder="0" applyAlignment="0" applyProtection="0"/>
    <xf numFmtId="0" fontId="56" fillId="11" borderId="0" applyNumberFormat="0" applyBorder="0" applyAlignment="0" applyProtection="0"/>
    <xf numFmtId="0" fontId="56" fillId="12" borderId="0" applyNumberFormat="0" applyBorder="0" applyAlignment="0" applyProtection="0"/>
    <xf numFmtId="0" fontId="56" fillId="13" borderId="0" applyNumberFormat="0" applyBorder="0" applyAlignment="0" applyProtection="0"/>
    <xf numFmtId="0" fontId="56" fillId="14" borderId="0" applyNumberFormat="0" applyBorder="0" applyAlignment="0" applyProtection="0"/>
    <xf numFmtId="0" fontId="56" fillId="15" borderId="0" applyNumberFormat="0" applyBorder="0" applyAlignment="0" applyProtection="0"/>
    <xf numFmtId="0" fontId="56" fillId="16" borderId="0" applyNumberFormat="0" applyBorder="0" applyAlignment="0" applyProtection="0"/>
    <xf numFmtId="0" fontId="56" fillId="17" borderId="0" applyNumberFormat="0" applyBorder="0" applyAlignment="0" applyProtection="0"/>
    <xf numFmtId="0" fontId="56" fillId="18" borderId="0" applyNumberFormat="0" applyBorder="0" applyAlignment="0" applyProtection="0"/>
    <xf numFmtId="167" fontId="56" fillId="0" borderId="0" applyFont="0" applyFill="0" applyBorder="0" applyAlignment="0" applyProtection="0"/>
    <xf numFmtId="167" fontId="56" fillId="0" borderId="0" applyFont="0" applyFill="0" applyBorder="0" applyAlignment="0" applyProtection="0"/>
    <xf numFmtId="167" fontId="56" fillId="0" borderId="0" applyFont="0" applyFill="0" applyBorder="0" applyAlignment="0" applyProtection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37" borderId="42" applyNumberFormat="0" applyFont="0" applyAlignment="0" applyProtection="0"/>
    <xf numFmtId="0" fontId="56" fillId="37" borderId="42" applyNumberFormat="0" applyFont="0" applyAlignment="0" applyProtection="0"/>
    <xf numFmtId="0" fontId="56" fillId="0" borderId="0"/>
    <xf numFmtId="0" fontId="56" fillId="7" borderId="0" applyNumberFormat="0" applyBorder="0" applyAlignment="0" applyProtection="0"/>
    <xf numFmtId="0" fontId="56" fillId="13" borderId="0" applyNumberFormat="0" applyBorder="0" applyAlignment="0" applyProtection="0"/>
    <xf numFmtId="0" fontId="56" fillId="8" borderId="0" applyNumberFormat="0" applyBorder="0" applyAlignment="0" applyProtection="0"/>
    <xf numFmtId="0" fontId="56" fillId="14" borderId="0" applyNumberFormat="0" applyBorder="0" applyAlignment="0" applyProtection="0"/>
    <xf numFmtId="0" fontId="56" fillId="9" borderId="0" applyNumberFormat="0" applyBorder="0" applyAlignment="0" applyProtection="0"/>
    <xf numFmtId="0" fontId="56" fillId="15" borderId="0" applyNumberFormat="0" applyBorder="0" applyAlignment="0" applyProtection="0"/>
    <xf numFmtId="0" fontId="56" fillId="10" borderId="0" applyNumberFormat="0" applyBorder="0" applyAlignment="0" applyProtection="0"/>
    <xf numFmtId="0" fontId="56" fillId="16" borderId="0" applyNumberFormat="0" applyBorder="0" applyAlignment="0" applyProtection="0"/>
    <xf numFmtId="0" fontId="56" fillId="11" borderId="0" applyNumberFormat="0" applyBorder="0" applyAlignment="0" applyProtection="0"/>
    <xf numFmtId="0" fontId="56" fillId="17" borderId="0" applyNumberFormat="0" applyBorder="0" applyAlignment="0" applyProtection="0"/>
    <xf numFmtId="0" fontId="56" fillId="12" borderId="0" applyNumberFormat="0" applyBorder="0" applyAlignment="0" applyProtection="0"/>
    <xf numFmtId="0" fontId="56" fillId="18" borderId="0" applyNumberFormat="0" applyBorder="0" applyAlignment="0" applyProtection="0"/>
    <xf numFmtId="0" fontId="56" fillId="7" borderId="0" applyNumberFormat="0" applyBorder="0" applyAlignment="0" applyProtection="0"/>
    <xf numFmtId="0" fontId="56" fillId="8" borderId="0" applyNumberFormat="0" applyBorder="0" applyAlignment="0" applyProtection="0"/>
    <xf numFmtId="0" fontId="56" fillId="9" borderId="0" applyNumberFormat="0" applyBorder="0" applyAlignment="0" applyProtection="0"/>
    <xf numFmtId="0" fontId="56" fillId="10" borderId="0" applyNumberFormat="0" applyBorder="0" applyAlignment="0" applyProtection="0"/>
    <xf numFmtId="0" fontId="56" fillId="11" borderId="0" applyNumberFormat="0" applyBorder="0" applyAlignment="0" applyProtection="0"/>
    <xf numFmtId="0" fontId="56" fillId="12" borderId="0" applyNumberFormat="0" applyBorder="0" applyAlignment="0" applyProtection="0"/>
    <xf numFmtId="0" fontId="56" fillId="13" borderId="0" applyNumberFormat="0" applyBorder="0" applyAlignment="0" applyProtection="0"/>
    <xf numFmtId="0" fontId="56" fillId="14" borderId="0" applyNumberFormat="0" applyBorder="0" applyAlignment="0" applyProtection="0"/>
    <xf numFmtId="0" fontId="56" fillId="15" borderId="0" applyNumberFormat="0" applyBorder="0" applyAlignment="0" applyProtection="0"/>
    <xf numFmtId="0" fontId="56" fillId="16" borderId="0" applyNumberFormat="0" applyBorder="0" applyAlignment="0" applyProtection="0"/>
    <xf numFmtId="0" fontId="56" fillId="17" borderId="0" applyNumberFormat="0" applyBorder="0" applyAlignment="0" applyProtection="0"/>
    <xf numFmtId="0" fontId="56" fillId="18" borderId="0" applyNumberFormat="0" applyBorder="0" applyAlignment="0" applyProtection="0"/>
    <xf numFmtId="167" fontId="56" fillId="0" borderId="0" applyFont="0" applyFill="0" applyBorder="0" applyAlignment="0" applyProtection="0"/>
    <xf numFmtId="167" fontId="56" fillId="0" borderId="0" applyFont="0" applyFill="0" applyBorder="0" applyAlignment="0" applyProtection="0"/>
    <xf numFmtId="167" fontId="56" fillId="0" borderId="0" applyFont="0" applyFill="0" applyBorder="0" applyAlignment="0" applyProtection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37" borderId="42" applyNumberFormat="0" applyFont="0" applyAlignment="0" applyProtection="0"/>
    <xf numFmtId="0" fontId="56" fillId="37" borderId="42" applyNumberFormat="0" applyFont="0" applyAlignment="0" applyProtection="0"/>
    <xf numFmtId="0" fontId="56" fillId="0" borderId="0"/>
    <xf numFmtId="0" fontId="56" fillId="7" borderId="0" applyNumberFormat="0" applyBorder="0" applyAlignment="0" applyProtection="0"/>
    <xf numFmtId="0" fontId="56" fillId="13" borderId="0" applyNumberFormat="0" applyBorder="0" applyAlignment="0" applyProtection="0"/>
    <xf numFmtId="0" fontId="56" fillId="8" borderId="0" applyNumberFormat="0" applyBorder="0" applyAlignment="0" applyProtection="0"/>
    <xf numFmtId="0" fontId="56" fillId="14" borderId="0" applyNumberFormat="0" applyBorder="0" applyAlignment="0" applyProtection="0"/>
    <xf numFmtId="0" fontId="56" fillId="9" borderId="0" applyNumberFormat="0" applyBorder="0" applyAlignment="0" applyProtection="0"/>
    <xf numFmtId="0" fontId="56" fillId="15" borderId="0" applyNumberFormat="0" applyBorder="0" applyAlignment="0" applyProtection="0"/>
    <xf numFmtId="0" fontId="56" fillId="10" borderId="0" applyNumberFormat="0" applyBorder="0" applyAlignment="0" applyProtection="0"/>
    <xf numFmtId="0" fontId="56" fillId="16" borderId="0" applyNumberFormat="0" applyBorder="0" applyAlignment="0" applyProtection="0"/>
    <xf numFmtId="0" fontId="56" fillId="11" borderId="0" applyNumberFormat="0" applyBorder="0" applyAlignment="0" applyProtection="0"/>
    <xf numFmtId="0" fontId="56" fillId="17" borderId="0" applyNumberFormat="0" applyBorder="0" applyAlignment="0" applyProtection="0"/>
    <xf numFmtId="0" fontId="56" fillId="12" borderId="0" applyNumberFormat="0" applyBorder="0" applyAlignment="0" applyProtection="0"/>
    <xf numFmtId="0" fontId="56" fillId="18" borderId="0" applyNumberFormat="0" applyBorder="0" applyAlignment="0" applyProtection="0"/>
    <xf numFmtId="0" fontId="56" fillId="7" borderId="0" applyNumberFormat="0" applyBorder="0" applyAlignment="0" applyProtection="0"/>
    <xf numFmtId="0" fontId="56" fillId="8" borderId="0" applyNumberFormat="0" applyBorder="0" applyAlignment="0" applyProtection="0"/>
    <xf numFmtId="0" fontId="56" fillId="9" borderId="0" applyNumberFormat="0" applyBorder="0" applyAlignment="0" applyProtection="0"/>
    <xf numFmtId="0" fontId="56" fillId="10" borderId="0" applyNumberFormat="0" applyBorder="0" applyAlignment="0" applyProtection="0"/>
    <xf numFmtId="0" fontId="56" fillId="11" borderId="0" applyNumberFormat="0" applyBorder="0" applyAlignment="0" applyProtection="0"/>
    <xf numFmtId="0" fontId="56" fillId="12" borderId="0" applyNumberFormat="0" applyBorder="0" applyAlignment="0" applyProtection="0"/>
    <xf numFmtId="0" fontId="56" fillId="13" borderId="0" applyNumberFormat="0" applyBorder="0" applyAlignment="0" applyProtection="0"/>
    <xf numFmtId="0" fontId="56" fillId="14" borderId="0" applyNumberFormat="0" applyBorder="0" applyAlignment="0" applyProtection="0"/>
    <xf numFmtId="0" fontId="56" fillId="15" borderId="0" applyNumberFormat="0" applyBorder="0" applyAlignment="0" applyProtection="0"/>
    <xf numFmtId="0" fontId="56" fillId="16" borderId="0" applyNumberFormat="0" applyBorder="0" applyAlignment="0" applyProtection="0"/>
    <xf numFmtId="0" fontId="56" fillId="17" borderId="0" applyNumberFormat="0" applyBorder="0" applyAlignment="0" applyProtection="0"/>
    <xf numFmtId="0" fontId="56" fillId="18" borderId="0" applyNumberFormat="0" applyBorder="0" applyAlignment="0" applyProtection="0"/>
    <xf numFmtId="167" fontId="56" fillId="0" borderId="0" applyFont="0" applyFill="0" applyBorder="0" applyAlignment="0" applyProtection="0"/>
    <xf numFmtId="167" fontId="56" fillId="0" borderId="0" applyFont="0" applyFill="0" applyBorder="0" applyAlignment="0" applyProtection="0"/>
    <xf numFmtId="167" fontId="56" fillId="0" borderId="0" applyFont="0" applyFill="0" applyBorder="0" applyAlignment="0" applyProtection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37" borderId="42" applyNumberFormat="0" applyFont="0" applyAlignment="0" applyProtection="0"/>
    <xf numFmtId="0" fontId="56" fillId="37" borderId="42" applyNumberFormat="0" applyFont="0" applyAlignment="0" applyProtection="0"/>
    <xf numFmtId="0" fontId="118" fillId="0" borderId="49" applyNumberFormat="0" applyFill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9" fillId="0" borderId="0"/>
    <xf numFmtId="168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0" fontId="55" fillId="0" borderId="0"/>
    <xf numFmtId="168" fontId="59" fillId="0" borderId="0" applyFont="0" applyFill="0" applyBorder="0" applyAlignment="0" applyProtection="0"/>
    <xf numFmtId="0" fontId="59" fillId="0" borderId="0"/>
    <xf numFmtId="0" fontId="59" fillId="0" borderId="0"/>
    <xf numFmtId="0" fontId="55" fillId="0" borderId="0"/>
    <xf numFmtId="0" fontId="59" fillId="0" borderId="0"/>
    <xf numFmtId="0" fontId="59" fillId="0" borderId="0"/>
    <xf numFmtId="0" fontId="55" fillId="0" borderId="0"/>
    <xf numFmtId="0" fontId="55" fillId="0" borderId="0"/>
    <xf numFmtId="0" fontId="59" fillId="0" borderId="0"/>
    <xf numFmtId="0" fontId="59" fillId="0" borderId="0"/>
    <xf numFmtId="168" fontId="59" fillId="0" borderId="0" applyFont="0" applyFill="0" applyBorder="0" applyAlignment="0" applyProtection="0"/>
    <xf numFmtId="0" fontId="59" fillId="0" borderId="0"/>
    <xf numFmtId="168" fontId="59" fillId="0" borderId="0" applyFont="0" applyFill="0" applyBorder="0" applyAlignment="0" applyProtection="0"/>
    <xf numFmtId="0" fontId="59" fillId="0" borderId="0"/>
    <xf numFmtId="0" fontId="59" fillId="0" borderId="0" applyFont="0" applyFill="0" applyBorder="0" applyAlignment="0" applyProtection="0"/>
    <xf numFmtId="0" fontId="119" fillId="0" borderId="0"/>
    <xf numFmtId="0" fontId="59" fillId="0" borderId="0"/>
    <xf numFmtId="0" fontId="55" fillId="0" borderId="0"/>
    <xf numFmtId="0" fontId="59" fillId="0" borderId="0" applyFont="0" applyFill="0" applyBorder="0" applyAlignment="0" applyProtection="0"/>
    <xf numFmtId="0" fontId="59" fillId="0" borderId="0"/>
    <xf numFmtId="0" fontId="55" fillId="0" borderId="0"/>
    <xf numFmtId="0" fontId="59" fillId="0" borderId="0" applyFont="0" applyFill="0" applyBorder="0" applyAlignment="0" applyProtection="0"/>
    <xf numFmtId="0" fontId="59" fillId="0" borderId="0"/>
    <xf numFmtId="0" fontId="55" fillId="0" borderId="0"/>
    <xf numFmtId="0" fontId="59" fillId="0" borderId="0" applyFont="0" applyFill="0" applyBorder="0" applyAlignment="0" applyProtection="0"/>
    <xf numFmtId="0" fontId="59" fillId="0" borderId="0"/>
    <xf numFmtId="0" fontId="55" fillId="0" borderId="0"/>
    <xf numFmtId="0" fontId="59" fillId="0" borderId="0" applyFont="0" applyFill="0" applyBorder="0" applyAlignment="0" applyProtection="0"/>
    <xf numFmtId="0" fontId="55" fillId="0" borderId="0"/>
    <xf numFmtId="0" fontId="59" fillId="0" borderId="0" applyFont="0" applyFill="0" applyBorder="0" applyAlignment="0" applyProtection="0"/>
    <xf numFmtId="0" fontId="55" fillId="0" borderId="0"/>
    <xf numFmtId="0" fontId="59" fillId="0" borderId="0" applyFont="0" applyFill="0" applyBorder="0" applyAlignment="0" applyProtection="0"/>
    <xf numFmtId="0" fontId="55" fillId="0" borderId="0"/>
    <xf numFmtId="0" fontId="59" fillId="0" borderId="0" applyFont="0" applyFill="0" applyBorder="0" applyAlignment="0" applyProtection="0"/>
    <xf numFmtId="0" fontId="55" fillId="0" borderId="0"/>
    <xf numFmtId="0" fontId="59" fillId="0" borderId="0" applyFont="0" applyFill="0" applyBorder="0" applyAlignment="0" applyProtection="0"/>
    <xf numFmtId="0" fontId="55" fillId="0" borderId="0"/>
    <xf numFmtId="0" fontId="59" fillId="0" borderId="0" applyFont="0" applyFill="0" applyBorder="0" applyAlignment="0" applyProtection="0"/>
    <xf numFmtId="0" fontId="55" fillId="0" borderId="0"/>
    <xf numFmtId="0" fontId="59" fillId="0" borderId="0" applyFont="0" applyFill="0" applyBorder="0" applyAlignment="0" applyProtection="0"/>
    <xf numFmtId="0" fontId="55" fillId="0" borderId="0"/>
    <xf numFmtId="0" fontId="59" fillId="0" borderId="0" applyFont="0" applyFill="0" applyBorder="0" applyAlignment="0" applyProtection="0"/>
    <xf numFmtId="0" fontId="55" fillId="0" borderId="0"/>
    <xf numFmtId="0" fontId="55" fillId="0" borderId="0"/>
    <xf numFmtId="0" fontId="119" fillId="0" borderId="0"/>
    <xf numFmtId="9" fontId="59" fillId="0" borderId="0" applyFont="0" applyFill="0" applyBorder="0" applyAlignment="0" applyProtection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61" fillId="0" borderId="0" applyNumberFormat="0" applyFill="0" applyBorder="0" applyAlignment="0" applyProtection="0">
      <alignment vertical="top"/>
      <protection locked="0"/>
    </xf>
    <xf numFmtId="168" fontId="59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9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9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9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9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9" fillId="0" borderId="0"/>
    <xf numFmtId="168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9" fillId="0" borderId="0"/>
    <xf numFmtId="168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9" fillId="0" borderId="0"/>
    <xf numFmtId="168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9" fillId="0" borderId="0"/>
    <xf numFmtId="168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5" fillId="10" borderId="0" applyNumberFormat="0" applyBorder="0" applyAlignment="0" applyProtection="0"/>
    <xf numFmtId="0" fontId="55" fillId="16" borderId="0" applyNumberFormat="0" applyBorder="0" applyAlignment="0" applyProtection="0"/>
    <xf numFmtId="0" fontId="55" fillId="11" borderId="0" applyNumberFormat="0" applyBorder="0" applyAlignment="0" applyProtection="0"/>
    <xf numFmtId="0" fontId="55" fillId="17" borderId="0" applyNumberFormat="0" applyBorder="0" applyAlignment="0" applyProtection="0"/>
    <xf numFmtId="0" fontId="55" fillId="12" borderId="0" applyNumberFormat="0" applyBorder="0" applyAlignment="0" applyProtection="0"/>
    <xf numFmtId="0" fontId="55" fillId="18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37" borderId="42" applyNumberFormat="0" applyFont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4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9" fillId="0" borderId="0"/>
    <xf numFmtId="168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3" fillId="10" borderId="0" applyNumberFormat="0" applyBorder="0" applyAlignment="0" applyProtection="0"/>
    <xf numFmtId="0" fontId="53" fillId="16" borderId="0" applyNumberFormat="0" applyBorder="0" applyAlignment="0" applyProtection="0"/>
    <xf numFmtId="0" fontId="53" fillId="11" borderId="0" applyNumberFormat="0" applyBorder="0" applyAlignment="0" applyProtection="0"/>
    <xf numFmtId="0" fontId="53" fillId="17" borderId="0" applyNumberFormat="0" applyBorder="0" applyAlignment="0" applyProtection="0"/>
    <xf numFmtId="0" fontId="53" fillId="12" borderId="0" applyNumberFormat="0" applyBorder="0" applyAlignment="0" applyProtection="0"/>
    <xf numFmtId="0" fontId="53" fillId="18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37" borderId="42" applyNumberFormat="0" applyFont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167" fontId="53" fillId="0" borderId="0" applyFont="0" applyFill="0" applyBorder="0" applyAlignment="0" applyProtection="0"/>
    <xf numFmtId="167" fontId="53" fillId="0" borderId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2" fillId="0" borderId="0"/>
    <xf numFmtId="0" fontId="51" fillId="0" borderId="0"/>
    <xf numFmtId="0" fontId="50" fillId="0" borderId="0"/>
    <xf numFmtId="0" fontId="49" fillId="0" borderId="0"/>
    <xf numFmtId="0" fontId="48" fillId="0" borderId="0"/>
    <xf numFmtId="0" fontId="47" fillId="0" borderId="0"/>
    <xf numFmtId="0" fontId="59" fillId="0" borderId="0"/>
    <xf numFmtId="0" fontId="46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59" fillId="0" borderId="0"/>
    <xf numFmtId="0" fontId="45" fillId="7" borderId="0" applyNumberFormat="0" applyBorder="0" applyAlignment="0" applyProtection="0"/>
    <xf numFmtId="0" fontId="45" fillId="8" borderId="0" applyNumberFormat="0" applyBorder="0" applyAlignment="0" applyProtection="0"/>
    <xf numFmtId="0" fontId="45" fillId="9" borderId="0" applyNumberFormat="0" applyBorder="0" applyAlignment="0" applyProtection="0"/>
    <xf numFmtId="0" fontId="45" fillId="10" borderId="0" applyNumberFormat="0" applyBorder="0" applyAlignment="0" applyProtection="0"/>
    <xf numFmtId="0" fontId="45" fillId="11" borderId="0" applyNumberFormat="0" applyBorder="0" applyAlignment="0" applyProtection="0"/>
    <xf numFmtId="0" fontId="45" fillId="12" borderId="0" applyNumberFormat="0" applyBorder="0" applyAlignment="0" applyProtection="0"/>
    <xf numFmtId="0" fontId="45" fillId="13" borderId="0" applyNumberFormat="0" applyBorder="0" applyAlignment="0" applyProtection="0"/>
    <xf numFmtId="0" fontId="45" fillId="14" borderId="0" applyNumberFormat="0" applyBorder="0" applyAlignment="0" applyProtection="0"/>
    <xf numFmtId="0" fontId="45" fillId="15" borderId="0" applyNumberFormat="0" applyBorder="0" applyAlignment="0" applyProtection="0"/>
    <xf numFmtId="0" fontId="45" fillId="16" borderId="0" applyNumberFormat="0" applyBorder="0" applyAlignment="0" applyProtection="0"/>
    <xf numFmtId="0" fontId="45" fillId="17" borderId="0" applyNumberFormat="0" applyBorder="0" applyAlignment="0" applyProtection="0"/>
    <xf numFmtId="0" fontId="45" fillId="18" borderId="0" applyNumberFormat="0" applyBorder="0" applyAlignment="0" applyProtection="0"/>
    <xf numFmtId="168" fontId="59" fillId="0" borderId="0" applyFont="0" applyFill="0" applyBorder="0" applyAlignment="0" applyProtection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0" fontId="45" fillId="37" borderId="42" applyNumberFormat="0" applyFont="0" applyAlignment="0" applyProtection="0"/>
    <xf numFmtId="9" fontId="59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7" borderId="0" applyNumberFormat="0" applyBorder="0" applyAlignment="0" applyProtection="0"/>
    <xf numFmtId="0" fontId="45" fillId="8" borderId="0" applyNumberFormat="0" applyBorder="0" applyAlignment="0" applyProtection="0"/>
    <xf numFmtId="0" fontId="45" fillId="9" borderId="0" applyNumberFormat="0" applyBorder="0" applyAlignment="0" applyProtection="0"/>
    <xf numFmtId="0" fontId="45" fillId="10" borderId="0" applyNumberFormat="0" applyBorder="0" applyAlignment="0" applyProtection="0"/>
    <xf numFmtId="0" fontId="45" fillId="11" borderId="0" applyNumberFormat="0" applyBorder="0" applyAlignment="0" applyProtection="0"/>
    <xf numFmtId="0" fontId="45" fillId="12" borderId="0" applyNumberFormat="0" applyBorder="0" applyAlignment="0" applyProtection="0"/>
    <xf numFmtId="0" fontId="45" fillId="13" borderId="0" applyNumberFormat="0" applyBorder="0" applyAlignment="0" applyProtection="0"/>
    <xf numFmtId="0" fontId="45" fillId="14" borderId="0" applyNumberFormat="0" applyBorder="0" applyAlignment="0" applyProtection="0"/>
    <xf numFmtId="0" fontId="45" fillId="15" borderId="0" applyNumberFormat="0" applyBorder="0" applyAlignment="0" applyProtection="0"/>
    <xf numFmtId="0" fontId="45" fillId="16" borderId="0" applyNumberFormat="0" applyBorder="0" applyAlignment="0" applyProtection="0"/>
    <xf numFmtId="0" fontId="45" fillId="17" borderId="0" applyNumberFormat="0" applyBorder="0" applyAlignment="0" applyProtection="0"/>
    <xf numFmtId="0" fontId="45" fillId="18" borderId="0" applyNumberFormat="0" applyBorder="0" applyAlignment="0" applyProtection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0" fontId="45" fillId="37" borderId="42" applyNumberFormat="0" applyFont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7" borderId="0" applyNumberFormat="0" applyBorder="0" applyAlignment="0" applyProtection="0"/>
    <xf numFmtId="0" fontId="45" fillId="8" borderId="0" applyNumberFormat="0" applyBorder="0" applyAlignment="0" applyProtection="0"/>
    <xf numFmtId="0" fontId="45" fillId="9" borderId="0" applyNumberFormat="0" applyBorder="0" applyAlignment="0" applyProtection="0"/>
    <xf numFmtId="0" fontId="45" fillId="10" borderId="0" applyNumberFormat="0" applyBorder="0" applyAlignment="0" applyProtection="0"/>
    <xf numFmtId="0" fontId="45" fillId="11" borderId="0" applyNumberFormat="0" applyBorder="0" applyAlignment="0" applyProtection="0"/>
    <xf numFmtId="0" fontId="45" fillId="12" borderId="0" applyNumberFormat="0" applyBorder="0" applyAlignment="0" applyProtection="0"/>
    <xf numFmtId="0" fontId="45" fillId="13" borderId="0" applyNumberFormat="0" applyBorder="0" applyAlignment="0" applyProtection="0"/>
    <xf numFmtId="0" fontId="45" fillId="14" borderId="0" applyNumberFormat="0" applyBorder="0" applyAlignment="0" applyProtection="0"/>
    <xf numFmtId="0" fontId="45" fillId="15" borderId="0" applyNumberFormat="0" applyBorder="0" applyAlignment="0" applyProtection="0"/>
    <xf numFmtId="0" fontId="45" fillId="16" borderId="0" applyNumberFormat="0" applyBorder="0" applyAlignment="0" applyProtection="0"/>
    <xf numFmtId="0" fontId="45" fillId="17" borderId="0" applyNumberFormat="0" applyBorder="0" applyAlignment="0" applyProtection="0"/>
    <xf numFmtId="0" fontId="45" fillId="18" borderId="0" applyNumberFormat="0" applyBorder="0" applyAlignment="0" applyProtection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0" fontId="45" fillId="37" borderId="42" applyNumberFormat="0" applyFont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7" borderId="0" applyNumberFormat="0" applyBorder="0" applyAlignment="0" applyProtection="0"/>
    <xf numFmtId="0" fontId="45" fillId="8" borderId="0" applyNumberFormat="0" applyBorder="0" applyAlignment="0" applyProtection="0"/>
    <xf numFmtId="0" fontId="45" fillId="9" borderId="0" applyNumberFormat="0" applyBorder="0" applyAlignment="0" applyProtection="0"/>
    <xf numFmtId="0" fontId="45" fillId="10" borderId="0" applyNumberFormat="0" applyBorder="0" applyAlignment="0" applyProtection="0"/>
    <xf numFmtId="0" fontId="45" fillId="11" borderId="0" applyNumberFormat="0" applyBorder="0" applyAlignment="0" applyProtection="0"/>
    <xf numFmtId="0" fontId="45" fillId="12" borderId="0" applyNumberFormat="0" applyBorder="0" applyAlignment="0" applyProtection="0"/>
    <xf numFmtId="0" fontId="45" fillId="13" borderId="0" applyNumberFormat="0" applyBorder="0" applyAlignment="0" applyProtection="0"/>
    <xf numFmtId="0" fontId="45" fillId="14" borderId="0" applyNumberFormat="0" applyBorder="0" applyAlignment="0" applyProtection="0"/>
    <xf numFmtId="0" fontId="45" fillId="15" borderId="0" applyNumberFormat="0" applyBorder="0" applyAlignment="0" applyProtection="0"/>
    <xf numFmtId="0" fontId="45" fillId="16" borderId="0" applyNumberFormat="0" applyBorder="0" applyAlignment="0" applyProtection="0"/>
    <xf numFmtId="0" fontId="45" fillId="17" borderId="0" applyNumberFormat="0" applyBorder="0" applyAlignment="0" applyProtection="0"/>
    <xf numFmtId="0" fontId="45" fillId="18" borderId="0" applyNumberFormat="0" applyBorder="0" applyAlignment="0" applyProtection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0" fontId="45" fillId="37" borderId="42" applyNumberFormat="0" applyFont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7" borderId="0" applyNumberFormat="0" applyBorder="0" applyAlignment="0" applyProtection="0"/>
    <xf numFmtId="0" fontId="45" fillId="8" borderId="0" applyNumberFormat="0" applyBorder="0" applyAlignment="0" applyProtection="0"/>
    <xf numFmtId="0" fontId="45" fillId="9" borderId="0" applyNumberFormat="0" applyBorder="0" applyAlignment="0" applyProtection="0"/>
    <xf numFmtId="0" fontId="45" fillId="10" borderId="0" applyNumberFormat="0" applyBorder="0" applyAlignment="0" applyProtection="0"/>
    <xf numFmtId="0" fontId="45" fillId="11" borderId="0" applyNumberFormat="0" applyBorder="0" applyAlignment="0" applyProtection="0"/>
    <xf numFmtId="0" fontId="45" fillId="12" borderId="0" applyNumberFormat="0" applyBorder="0" applyAlignment="0" applyProtection="0"/>
    <xf numFmtId="0" fontId="45" fillId="13" borderId="0" applyNumberFormat="0" applyBorder="0" applyAlignment="0" applyProtection="0"/>
    <xf numFmtId="0" fontId="45" fillId="14" borderId="0" applyNumberFormat="0" applyBorder="0" applyAlignment="0" applyProtection="0"/>
    <xf numFmtId="0" fontId="45" fillId="15" borderId="0" applyNumberFormat="0" applyBorder="0" applyAlignment="0" applyProtection="0"/>
    <xf numFmtId="0" fontId="45" fillId="16" borderId="0" applyNumberFormat="0" applyBorder="0" applyAlignment="0" applyProtection="0"/>
    <xf numFmtId="0" fontId="45" fillId="17" borderId="0" applyNumberFormat="0" applyBorder="0" applyAlignment="0" applyProtection="0"/>
    <xf numFmtId="0" fontId="45" fillId="18" borderId="0" applyNumberFormat="0" applyBorder="0" applyAlignment="0" applyProtection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0" fontId="45" fillId="37" borderId="42" applyNumberFormat="0" applyFont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7" borderId="0" applyNumberFormat="0" applyBorder="0" applyAlignment="0" applyProtection="0"/>
    <xf numFmtId="0" fontId="45" fillId="8" borderId="0" applyNumberFormat="0" applyBorder="0" applyAlignment="0" applyProtection="0"/>
    <xf numFmtId="0" fontId="45" fillId="9" borderId="0" applyNumberFormat="0" applyBorder="0" applyAlignment="0" applyProtection="0"/>
    <xf numFmtId="0" fontId="45" fillId="10" borderId="0" applyNumberFormat="0" applyBorder="0" applyAlignment="0" applyProtection="0"/>
    <xf numFmtId="0" fontId="45" fillId="11" borderId="0" applyNumberFormat="0" applyBorder="0" applyAlignment="0" applyProtection="0"/>
    <xf numFmtId="0" fontId="45" fillId="12" borderId="0" applyNumberFormat="0" applyBorder="0" applyAlignment="0" applyProtection="0"/>
    <xf numFmtId="0" fontId="45" fillId="13" borderId="0" applyNumberFormat="0" applyBorder="0" applyAlignment="0" applyProtection="0"/>
    <xf numFmtId="0" fontId="45" fillId="14" borderId="0" applyNumberFormat="0" applyBorder="0" applyAlignment="0" applyProtection="0"/>
    <xf numFmtId="0" fontId="45" fillId="15" borderId="0" applyNumberFormat="0" applyBorder="0" applyAlignment="0" applyProtection="0"/>
    <xf numFmtId="0" fontId="45" fillId="16" borderId="0" applyNumberFormat="0" applyBorder="0" applyAlignment="0" applyProtection="0"/>
    <xf numFmtId="0" fontId="45" fillId="17" borderId="0" applyNumberFormat="0" applyBorder="0" applyAlignment="0" applyProtection="0"/>
    <xf numFmtId="0" fontId="45" fillId="18" borderId="0" applyNumberFormat="0" applyBorder="0" applyAlignment="0" applyProtection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0" fontId="45" fillId="37" borderId="42" applyNumberFormat="0" applyFont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7" borderId="0" applyNumberFormat="0" applyBorder="0" applyAlignment="0" applyProtection="0"/>
    <xf numFmtId="0" fontId="45" fillId="8" borderId="0" applyNumberFormat="0" applyBorder="0" applyAlignment="0" applyProtection="0"/>
    <xf numFmtId="0" fontId="45" fillId="9" borderId="0" applyNumberFormat="0" applyBorder="0" applyAlignment="0" applyProtection="0"/>
    <xf numFmtId="0" fontId="45" fillId="10" borderId="0" applyNumberFormat="0" applyBorder="0" applyAlignment="0" applyProtection="0"/>
    <xf numFmtId="0" fontId="45" fillId="11" borderId="0" applyNumberFormat="0" applyBorder="0" applyAlignment="0" applyProtection="0"/>
    <xf numFmtId="0" fontId="45" fillId="12" borderId="0" applyNumberFormat="0" applyBorder="0" applyAlignment="0" applyProtection="0"/>
    <xf numFmtId="0" fontId="45" fillId="13" borderId="0" applyNumberFormat="0" applyBorder="0" applyAlignment="0" applyProtection="0"/>
    <xf numFmtId="0" fontId="45" fillId="14" borderId="0" applyNumberFormat="0" applyBorder="0" applyAlignment="0" applyProtection="0"/>
    <xf numFmtId="0" fontId="45" fillId="15" borderId="0" applyNumberFormat="0" applyBorder="0" applyAlignment="0" applyProtection="0"/>
    <xf numFmtId="0" fontId="45" fillId="16" borderId="0" applyNumberFormat="0" applyBorder="0" applyAlignment="0" applyProtection="0"/>
    <xf numFmtId="0" fontId="45" fillId="17" borderId="0" applyNumberFormat="0" applyBorder="0" applyAlignment="0" applyProtection="0"/>
    <xf numFmtId="0" fontId="45" fillId="18" borderId="0" applyNumberFormat="0" applyBorder="0" applyAlignment="0" applyProtection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0" fontId="45" fillId="37" borderId="42" applyNumberFormat="0" applyFont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7" borderId="0" applyNumberFormat="0" applyBorder="0" applyAlignment="0" applyProtection="0"/>
    <xf numFmtId="0" fontId="45" fillId="8" borderId="0" applyNumberFormat="0" applyBorder="0" applyAlignment="0" applyProtection="0"/>
    <xf numFmtId="0" fontId="45" fillId="9" borderId="0" applyNumberFormat="0" applyBorder="0" applyAlignment="0" applyProtection="0"/>
    <xf numFmtId="0" fontId="45" fillId="10" borderId="0" applyNumberFormat="0" applyBorder="0" applyAlignment="0" applyProtection="0"/>
    <xf numFmtId="0" fontId="45" fillId="11" borderId="0" applyNumberFormat="0" applyBorder="0" applyAlignment="0" applyProtection="0"/>
    <xf numFmtId="0" fontId="45" fillId="12" borderId="0" applyNumberFormat="0" applyBorder="0" applyAlignment="0" applyProtection="0"/>
    <xf numFmtId="0" fontId="45" fillId="13" borderId="0" applyNumberFormat="0" applyBorder="0" applyAlignment="0" applyProtection="0"/>
    <xf numFmtId="0" fontId="45" fillId="14" borderId="0" applyNumberFormat="0" applyBorder="0" applyAlignment="0" applyProtection="0"/>
    <xf numFmtId="0" fontId="45" fillId="15" borderId="0" applyNumberFormat="0" applyBorder="0" applyAlignment="0" applyProtection="0"/>
    <xf numFmtId="0" fontId="45" fillId="16" borderId="0" applyNumberFormat="0" applyBorder="0" applyAlignment="0" applyProtection="0"/>
    <xf numFmtId="0" fontId="45" fillId="17" borderId="0" applyNumberFormat="0" applyBorder="0" applyAlignment="0" applyProtection="0"/>
    <xf numFmtId="0" fontId="45" fillId="18" borderId="0" applyNumberFormat="0" applyBorder="0" applyAlignment="0" applyProtection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0" fontId="45" fillId="37" borderId="42" applyNumberFormat="0" applyFont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1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8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37" borderId="42" applyNumberFormat="0" applyFont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67" fontId="45" fillId="0" borderId="0" applyFont="0" applyFill="0" applyBorder="0" applyAlignment="0" applyProtection="0"/>
    <xf numFmtId="167" fontId="45" fillId="0" borderId="0" applyFont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4" fillId="0" borderId="0"/>
    <xf numFmtId="0" fontId="43" fillId="0" borderId="0"/>
    <xf numFmtId="0" fontId="42" fillId="0" borderId="0"/>
    <xf numFmtId="0" fontId="41" fillId="0" borderId="0"/>
    <xf numFmtId="0" fontId="40" fillId="0" borderId="0"/>
    <xf numFmtId="0" fontId="39" fillId="0" borderId="0"/>
    <xf numFmtId="0" fontId="38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3" fillId="0" borderId="0"/>
    <xf numFmtId="0" fontId="32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41" fontId="124" fillId="0" borderId="0" applyFont="0" applyFill="0" applyBorder="0" applyAlignment="0" applyProtection="0"/>
    <xf numFmtId="0" fontId="11" fillId="0" borderId="0"/>
    <xf numFmtId="0" fontId="10" fillId="0" borderId="0"/>
    <xf numFmtId="0" fontId="9" fillId="0" borderId="0"/>
    <xf numFmtId="41" fontId="9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6" fillId="0" borderId="0"/>
    <xf numFmtId="0" fontId="5" fillId="0" borderId="0"/>
    <xf numFmtId="0" fontId="4" fillId="0" borderId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37" borderId="42" applyNumberFormat="0" applyFont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7" borderId="0" applyNumberFormat="0" applyBorder="0" applyAlignment="0" applyProtection="0"/>
    <xf numFmtId="0" fontId="3" fillId="13" borderId="0" applyNumberFormat="0" applyBorder="0" applyAlignment="0" applyProtection="0"/>
    <xf numFmtId="0" fontId="3" fillId="8" borderId="0" applyNumberFormat="0" applyBorder="0" applyAlignment="0" applyProtection="0"/>
    <xf numFmtId="0" fontId="3" fillId="14" borderId="0" applyNumberFormat="0" applyBorder="0" applyAlignment="0" applyProtection="0"/>
    <xf numFmtId="43" fontId="3" fillId="0" borderId="0" applyFont="0" applyFill="0" applyBorder="0" applyAlignment="0" applyProtection="0"/>
    <xf numFmtId="0" fontId="3" fillId="9" borderId="0" applyNumberFormat="0" applyBorder="0" applyAlignment="0" applyProtection="0"/>
    <xf numFmtId="0" fontId="3" fillId="15" borderId="0" applyNumberFormat="0" applyBorder="0" applyAlignment="0" applyProtection="0"/>
    <xf numFmtId="0" fontId="3" fillId="10" borderId="0" applyNumberFormat="0" applyBorder="0" applyAlignment="0" applyProtection="0"/>
    <xf numFmtId="0" fontId="3" fillId="16" borderId="0" applyNumberFormat="0" applyBorder="0" applyAlignment="0" applyProtection="0"/>
    <xf numFmtId="43" fontId="3" fillId="0" borderId="0" applyFont="0" applyFill="0" applyBorder="0" applyAlignment="0" applyProtection="0"/>
    <xf numFmtId="0" fontId="3" fillId="11" borderId="0" applyNumberFormat="0" applyBorder="0" applyAlignment="0" applyProtection="0"/>
    <xf numFmtId="0" fontId="3" fillId="17" borderId="0" applyNumberFormat="0" applyBorder="0" applyAlignment="0" applyProtection="0"/>
    <xf numFmtId="0" fontId="3" fillId="12" borderId="0" applyNumberFormat="0" applyBorder="0" applyAlignment="0" applyProtection="0"/>
    <xf numFmtId="0" fontId="3" fillId="18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37" borderId="42" applyNumberFormat="0" applyFont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7" borderId="0" applyNumberFormat="0" applyBorder="0" applyAlignment="0" applyProtection="0"/>
    <xf numFmtId="0" fontId="2" fillId="13" borderId="0" applyNumberFormat="0" applyBorder="0" applyAlignment="0" applyProtection="0"/>
    <xf numFmtId="0" fontId="2" fillId="8" borderId="0" applyNumberFormat="0" applyBorder="0" applyAlignment="0" applyProtection="0"/>
    <xf numFmtId="0" fontId="2" fillId="14" borderId="0" applyNumberFormat="0" applyBorder="0" applyAlignment="0" applyProtection="0"/>
    <xf numFmtId="43" fontId="2" fillId="0" borderId="0" applyFont="0" applyFill="0" applyBorder="0" applyAlignment="0" applyProtection="0"/>
    <xf numFmtId="0" fontId="2" fillId="9" borderId="0" applyNumberFormat="0" applyBorder="0" applyAlignment="0" applyProtection="0"/>
    <xf numFmtId="0" fontId="2" fillId="15" borderId="0" applyNumberFormat="0" applyBorder="0" applyAlignment="0" applyProtection="0"/>
    <xf numFmtId="43" fontId="2" fillId="0" borderId="0" applyFont="0" applyFill="0" applyBorder="0" applyAlignment="0" applyProtection="0"/>
    <xf numFmtId="0" fontId="2" fillId="10" borderId="0" applyNumberFormat="0" applyBorder="0" applyAlignment="0" applyProtection="0"/>
    <xf numFmtId="0" fontId="2" fillId="16" borderId="0" applyNumberFormat="0" applyBorder="0" applyAlignment="0" applyProtection="0"/>
    <xf numFmtId="43" fontId="2" fillId="0" borderId="0" applyFont="0" applyFill="0" applyBorder="0" applyAlignment="0" applyProtection="0"/>
    <xf numFmtId="0" fontId="2" fillId="11" borderId="0" applyNumberFormat="0" applyBorder="0" applyAlignment="0" applyProtection="0"/>
    <xf numFmtId="0" fontId="2" fillId="17" borderId="0" applyNumberFormat="0" applyBorder="0" applyAlignment="0" applyProtection="0"/>
    <xf numFmtId="43" fontId="2" fillId="0" borderId="0" applyFont="0" applyFill="0" applyBorder="0" applyAlignment="0" applyProtection="0"/>
    <xf numFmtId="0" fontId="2" fillId="12" borderId="0" applyNumberFormat="0" applyBorder="0" applyAlignment="0" applyProtection="0"/>
    <xf numFmtId="0" fontId="2" fillId="18" borderId="0" applyNumberFormat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4" fontId="210" fillId="0" borderId="0" applyFont="0" applyFill="0" applyBorder="0" applyAlignment="0" applyProtection="0"/>
  </cellStyleXfs>
  <cellXfs count="922">
    <xf numFmtId="0" fontId="0" fillId="0" borderId="0" xfId="0"/>
    <xf numFmtId="0" fontId="66" fillId="2" borderId="0" xfId="0" applyFont="1" applyFill="1" applyAlignment="1">
      <alignment horizontal="center" vertical="center"/>
    </xf>
    <xf numFmtId="0" fontId="75" fillId="2" borderId="0" xfId="0" applyFont="1" applyFill="1" applyAlignment="1">
      <alignment vertical="center"/>
    </xf>
    <xf numFmtId="164" fontId="69" fillId="2" borderId="0" xfId="0" applyNumberFormat="1" applyFont="1" applyFill="1" applyAlignment="1">
      <alignment vertical="center"/>
    </xf>
    <xf numFmtId="3" fontId="72" fillId="2" borderId="0" xfId="0" applyNumberFormat="1" applyFont="1" applyFill="1" applyAlignment="1">
      <alignment horizontal="center" vertical="center"/>
    </xf>
    <xf numFmtId="0" fontId="66" fillId="2" borderId="0" xfId="0" applyFont="1" applyFill="1" applyAlignment="1">
      <alignment vertical="center"/>
    </xf>
    <xf numFmtId="164" fontId="66" fillId="2" borderId="0" xfId="0" applyNumberFormat="1" applyFont="1" applyFill="1" applyAlignment="1">
      <alignment vertical="center"/>
    </xf>
    <xf numFmtId="0" fontId="59" fillId="2" borderId="0" xfId="0" applyFont="1" applyFill="1" applyAlignment="1">
      <alignment vertical="center"/>
    </xf>
    <xf numFmtId="0" fontId="61" fillId="2" borderId="0" xfId="43" applyFill="1" applyBorder="1" applyAlignment="1" applyProtection="1">
      <alignment horizontal="center" vertical="center"/>
    </xf>
    <xf numFmtId="0" fontId="71" fillId="2" borderId="0" xfId="0" applyFont="1" applyFill="1" applyAlignment="1">
      <alignment horizontal="center" vertical="center"/>
    </xf>
    <xf numFmtId="173" fontId="66" fillId="2" borderId="0" xfId="0" applyNumberFormat="1" applyFont="1" applyFill="1" applyAlignment="1">
      <alignment vertical="center"/>
    </xf>
    <xf numFmtId="9" fontId="70" fillId="2" borderId="1" xfId="73" applyFont="1" applyFill="1" applyBorder="1" applyAlignment="1">
      <alignment horizontal="center" vertical="center"/>
    </xf>
    <xf numFmtId="0" fontId="70" fillId="2" borderId="0" xfId="59" applyFont="1" applyFill="1" applyAlignment="1">
      <alignment vertical="center"/>
    </xf>
    <xf numFmtId="0" fontId="59" fillId="2" borderId="0" xfId="59" applyFill="1" applyAlignment="1">
      <alignment vertical="center"/>
    </xf>
    <xf numFmtId="0" fontId="63" fillId="2" borderId="0" xfId="59" applyFont="1" applyFill="1" applyAlignment="1">
      <alignment vertical="center"/>
    </xf>
    <xf numFmtId="164" fontId="70" fillId="2" borderId="0" xfId="59" applyNumberFormat="1" applyFont="1" applyFill="1" applyAlignment="1">
      <alignment vertical="center"/>
    </xf>
    <xf numFmtId="174" fontId="75" fillId="2" borderId="0" xfId="0" applyNumberFormat="1" applyFont="1" applyFill="1" applyAlignment="1">
      <alignment vertical="center"/>
    </xf>
    <xf numFmtId="174" fontId="75" fillId="2" borderId="0" xfId="0" applyNumberFormat="1" applyFont="1" applyFill="1" applyAlignment="1">
      <alignment horizontal="center" vertical="center"/>
    </xf>
    <xf numFmtId="3" fontId="59" fillId="2" borderId="0" xfId="59" applyNumberFormat="1" applyFill="1" applyAlignment="1">
      <alignment vertical="center"/>
    </xf>
    <xf numFmtId="0" fontId="63" fillId="2" borderId="0" xfId="59" applyFont="1" applyFill="1" applyAlignment="1">
      <alignment horizontal="center" vertical="center"/>
    </xf>
    <xf numFmtId="0" fontId="64" fillId="2" borderId="0" xfId="59" applyFont="1" applyFill="1" applyAlignment="1">
      <alignment horizontal="center" vertical="center"/>
    </xf>
    <xf numFmtId="0" fontId="64" fillId="2" borderId="0" xfId="59" applyFont="1" applyFill="1" applyAlignment="1">
      <alignment vertical="center"/>
    </xf>
    <xf numFmtId="0" fontId="78" fillId="2" borderId="0" xfId="59" applyFont="1" applyFill="1" applyAlignment="1">
      <alignment vertical="center"/>
    </xf>
    <xf numFmtId="164" fontId="59" fillId="2" borderId="0" xfId="59" applyNumberFormat="1" applyFill="1" applyAlignment="1">
      <alignment vertical="center"/>
    </xf>
    <xf numFmtId="0" fontId="80" fillId="2" borderId="0" xfId="59" applyFont="1" applyFill="1" applyAlignment="1">
      <alignment vertical="center"/>
    </xf>
    <xf numFmtId="0" fontId="82" fillId="2" borderId="0" xfId="59" applyFont="1" applyFill="1" applyAlignment="1">
      <alignment horizontal="center" vertical="center" wrapText="1"/>
    </xf>
    <xf numFmtId="0" fontId="71" fillId="2" borderId="0" xfId="59" applyFont="1" applyFill="1" applyAlignment="1">
      <alignment vertical="center"/>
    </xf>
    <xf numFmtId="0" fontId="76" fillId="2" borderId="0" xfId="59" applyFont="1" applyFill="1" applyAlignment="1">
      <alignment vertical="center"/>
    </xf>
    <xf numFmtId="3" fontId="72" fillId="2" borderId="0" xfId="59" applyNumberFormat="1" applyFont="1" applyFill="1" applyAlignment="1">
      <alignment horizontal="center" vertical="center"/>
    </xf>
    <xf numFmtId="173" fontId="70" fillId="2" borderId="0" xfId="59" applyNumberFormat="1" applyFont="1" applyFill="1" applyAlignment="1">
      <alignment vertical="center"/>
    </xf>
    <xf numFmtId="0" fontId="70" fillId="2" borderId="0" xfId="59" applyFont="1" applyFill="1" applyAlignment="1">
      <alignment horizontal="center" vertical="center"/>
    </xf>
    <xf numFmtId="0" fontId="84" fillId="2" borderId="0" xfId="59" applyFont="1" applyFill="1" applyAlignment="1">
      <alignment horizontal="center" vertical="center"/>
    </xf>
    <xf numFmtId="174" fontId="59" fillId="2" borderId="0" xfId="59" applyNumberFormat="1" applyFill="1" applyAlignment="1">
      <alignment vertical="center"/>
    </xf>
    <xf numFmtId="0" fontId="79" fillId="2" borderId="0" xfId="59" applyFont="1" applyFill="1" applyAlignment="1">
      <alignment horizontal="center" vertical="center" wrapText="1"/>
    </xf>
    <xf numFmtId="9" fontId="70" fillId="2" borderId="0" xfId="73" applyFont="1" applyFill="1" applyBorder="1" applyAlignment="1">
      <alignment horizontal="center" vertical="center"/>
    </xf>
    <xf numFmtId="174" fontId="67" fillId="2" borderId="0" xfId="59" applyNumberFormat="1" applyFont="1" applyFill="1" applyAlignment="1">
      <alignment vertical="center"/>
    </xf>
    <xf numFmtId="0" fontId="59" fillId="2" borderId="0" xfId="59" applyFill="1" applyAlignment="1">
      <alignment horizontal="center" vertical="center"/>
    </xf>
    <xf numFmtId="0" fontId="71" fillId="2" borderId="0" xfId="59" applyFont="1" applyFill="1" applyAlignment="1">
      <alignment horizontal="center" vertical="center"/>
    </xf>
    <xf numFmtId="174" fontId="79" fillId="2" borderId="0" xfId="59" applyNumberFormat="1" applyFont="1" applyFill="1" applyAlignment="1">
      <alignment horizontal="center" vertical="center" wrapText="1"/>
    </xf>
    <xf numFmtId="0" fontId="68" fillId="3" borderId="0" xfId="59" applyFont="1" applyFill="1" applyAlignment="1">
      <alignment vertical="center"/>
    </xf>
    <xf numFmtId="0" fontId="59" fillId="4" borderId="0" xfId="59" applyFill="1" applyAlignment="1">
      <alignment vertical="center"/>
    </xf>
    <xf numFmtId="164" fontId="59" fillId="4" borderId="0" xfId="59" applyNumberFormat="1" applyFill="1" applyAlignment="1">
      <alignment vertical="center"/>
    </xf>
    <xf numFmtId="0" fontId="60" fillId="2" borderId="0" xfId="59" applyFont="1" applyFill="1" applyAlignment="1">
      <alignment horizontal="center" vertical="center" wrapText="1" shrinkToFit="1"/>
    </xf>
    <xf numFmtId="0" fontId="73" fillId="5" borderId="4" xfId="59" applyFont="1" applyFill="1" applyBorder="1" applyAlignment="1">
      <alignment vertical="center"/>
    </xf>
    <xf numFmtId="0" fontId="60" fillId="5" borderId="0" xfId="59" applyFont="1" applyFill="1" applyAlignment="1">
      <alignment horizontal="center" vertical="center" wrapText="1" shrinkToFit="1"/>
    </xf>
    <xf numFmtId="0" fontId="77" fillId="2" borderId="5" xfId="59" applyFont="1" applyFill="1" applyBorder="1" applyAlignment="1">
      <alignment vertical="center"/>
    </xf>
    <xf numFmtId="174" fontId="71" fillId="2" borderId="6" xfId="59" applyNumberFormat="1" applyFont="1" applyFill="1" applyBorder="1" applyAlignment="1">
      <alignment horizontal="center" vertical="center"/>
    </xf>
    <xf numFmtId="164" fontId="59" fillId="2" borderId="7" xfId="59" applyNumberFormat="1" applyFill="1" applyBorder="1" applyAlignment="1">
      <alignment vertical="center"/>
    </xf>
    <xf numFmtId="174" fontId="71" fillId="2" borderId="0" xfId="59" applyNumberFormat="1" applyFont="1" applyFill="1" applyAlignment="1">
      <alignment horizontal="center" vertical="center"/>
    </xf>
    <xf numFmtId="0" fontId="77" fillId="2" borderId="8" xfId="59" applyFont="1" applyFill="1" applyBorder="1" applyAlignment="1">
      <alignment vertical="center"/>
    </xf>
    <xf numFmtId="174" fontId="71" fillId="2" borderId="9" xfId="59" applyNumberFormat="1" applyFont="1" applyFill="1" applyBorder="1" applyAlignment="1">
      <alignment horizontal="center" vertical="center"/>
    </xf>
    <xf numFmtId="164" fontId="59" fillId="2" borderId="10" xfId="59" applyNumberFormat="1" applyFill="1" applyBorder="1" applyAlignment="1">
      <alignment vertical="center"/>
    </xf>
    <xf numFmtId="0" fontId="85" fillId="2" borderId="0" xfId="59" applyFont="1" applyFill="1" applyAlignment="1">
      <alignment vertical="center"/>
    </xf>
    <xf numFmtId="164" fontId="59" fillId="2" borderId="11" xfId="59" applyNumberFormat="1" applyFill="1" applyBorder="1" applyAlignment="1">
      <alignment vertical="center"/>
    </xf>
    <xf numFmtId="0" fontId="67" fillId="5" borderId="12" xfId="59" applyFont="1" applyFill="1" applyBorder="1" applyAlignment="1">
      <alignment vertical="center"/>
    </xf>
    <xf numFmtId="174" fontId="73" fillId="5" borderId="13" xfId="59" applyNumberFormat="1" applyFont="1" applyFill="1" applyBorder="1" applyAlignment="1">
      <alignment horizontal="center" vertical="center"/>
    </xf>
    <xf numFmtId="164" fontId="67" fillId="5" borderId="14" xfId="59" applyNumberFormat="1" applyFont="1" applyFill="1" applyBorder="1" applyAlignment="1">
      <alignment vertical="center"/>
    </xf>
    <xf numFmtId="164" fontId="67" fillId="5" borderId="0" xfId="59" applyNumberFormat="1" applyFont="1" applyFill="1" applyAlignment="1">
      <alignment vertical="center"/>
    </xf>
    <xf numFmtId="174" fontId="73" fillId="2" borderId="0" xfId="59" applyNumberFormat="1" applyFont="1" applyFill="1" applyAlignment="1">
      <alignment horizontal="center" vertical="center"/>
    </xf>
    <xf numFmtId="9" fontId="70" fillId="2" borderId="15" xfId="73" applyFont="1" applyFill="1" applyBorder="1" applyAlignment="1">
      <alignment horizontal="center" vertical="center"/>
    </xf>
    <xf numFmtId="9" fontId="70" fillId="2" borderId="16" xfId="73" applyFont="1" applyFill="1" applyBorder="1" applyAlignment="1">
      <alignment horizontal="center" vertical="center"/>
    </xf>
    <xf numFmtId="9" fontId="70" fillId="2" borderId="17" xfId="73" applyFont="1" applyFill="1" applyBorder="1" applyAlignment="1">
      <alignment horizontal="center" vertical="center"/>
    </xf>
    <xf numFmtId="0" fontId="68" fillId="6" borderId="0" xfId="59" applyFont="1" applyFill="1" applyAlignment="1">
      <alignment vertical="center"/>
    </xf>
    <xf numFmtId="4" fontId="59" fillId="2" borderId="0" xfId="59" applyNumberFormat="1" applyFill="1" applyAlignment="1">
      <alignment vertical="center"/>
    </xf>
    <xf numFmtId="9" fontId="69" fillId="2" borderId="0" xfId="73" applyFont="1" applyFill="1" applyBorder="1" applyAlignment="1">
      <alignment horizontal="center" vertical="center"/>
    </xf>
    <xf numFmtId="0" fontId="66" fillId="0" borderId="0" xfId="0" applyFont="1"/>
    <xf numFmtId="3" fontId="69" fillId="2" borderId="0" xfId="0" applyNumberFormat="1" applyFont="1" applyFill="1" applyAlignment="1">
      <alignment vertical="center"/>
    </xf>
    <xf numFmtId="0" fontId="66" fillId="41" borderId="0" xfId="0" applyFont="1" applyFill="1"/>
    <xf numFmtId="164" fontId="105" fillId="2" borderId="0" xfId="59" applyNumberFormat="1" applyFont="1" applyFill="1" applyAlignment="1">
      <alignment vertical="center"/>
    </xf>
    <xf numFmtId="164" fontId="106" fillId="2" borderId="0" xfId="59" applyNumberFormat="1" applyFont="1" applyFill="1" applyAlignment="1">
      <alignment vertical="center"/>
    </xf>
    <xf numFmtId="3" fontId="105" fillId="2" borderId="0" xfId="59" applyNumberFormat="1" applyFont="1" applyFill="1" applyAlignment="1">
      <alignment vertical="center"/>
    </xf>
    <xf numFmtId="0" fontId="59" fillId="40" borderId="0" xfId="59" applyFill="1" applyAlignment="1">
      <alignment vertical="center"/>
    </xf>
    <xf numFmtId="0" fontId="105" fillId="2" borderId="0" xfId="59" applyFont="1" applyFill="1" applyAlignment="1">
      <alignment vertical="center"/>
    </xf>
    <xf numFmtId="10" fontId="69" fillId="42" borderId="0" xfId="73" applyNumberFormat="1" applyFont="1" applyFill="1" applyBorder="1" applyAlignment="1">
      <alignment horizontal="center" vertical="center"/>
    </xf>
    <xf numFmtId="3" fontId="59" fillId="44" borderId="0" xfId="59" applyNumberFormat="1" applyFill="1" applyAlignment="1">
      <alignment horizontal="left" vertical="center"/>
    </xf>
    <xf numFmtId="0" fontId="68" fillId="45" borderId="0" xfId="59" applyFont="1" applyFill="1" applyAlignment="1">
      <alignment vertical="center"/>
    </xf>
    <xf numFmtId="164" fontId="68" fillId="45" borderId="0" xfId="59" applyNumberFormat="1" applyFont="1" applyFill="1" applyAlignment="1">
      <alignment vertical="center"/>
    </xf>
    <xf numFmtId="0" fontId="71" fillId="0" borderId="0" xfId="59" applyFont="1" applyAlignment="1">
      <alignment horizontal="center" vertical="center"/>
    </xf>
    <xf numFmtId="0" fontId="70" fillId="39" borderId="0" xfId="0" applyFont="1" applyFill="1" applyAlignment="1">
      <alignment horizontal="center" vertical="center"/>
    </xf>
    <xf numFmtId="174" fontId="69" fillId="46" borderId="0" xfId="0" applyNumberFormat="1" applyFont="1" applyFill="1" applyAlignment="1">
      <alignment vertical="center"/>
    </xf>
    <xf numFmtId="164" fontId="107" fillId="47" borderId="0" xfId="0" applyNumberFormat="1" applyFont="1" applyFill="1" applyAlignment="1">
      <alignment vertical="center"/>
    </xf>
    <xf numFmtId="3" fontId="107" fillId="48" borderId="0" xfId="0" applyNumberFormat="1" applyFont="1" applyFill="1" applyAlignment="1">
      <alignment horizontal="center" vertical="center"/>
    </xf>
    <xf numFmtId="164" fontId="107" fillId="48" borderId="0" xfId="0" applyNumberFormat="1" applyFont="1" applyFill="1" applyAlignment="1">
      <alignment vertical="center"/>
    </xf>
    <xf numFmtId="0" fontId="108" fillId="2" borderId="0" xfId="0" applyFont="1" applyFill="1" applyAlignment="1">
      <alignment vertical="center"/>
    </xf>
    <xf numFmtId="0" fontId="109" fillId="47" borderId="0" xfId="0" applyFont="1" applyFill="1" applyAlignment="1">
      <alignment horizontal="center" vertical="center" wrapText="1" shrinkToFit="1"/>
    </xf>
    <xf numFmtId="0" fontId="107" fillId="2" borderId="0" xfId="0" applyFont="1" applyFill="1" applyAlignment="1">
      <alignment vertical="center"/>
    </xf>
    <xf numFmtId="41" fontId="107" fillId="47" borderId="0" xfId="0" applyNumberFormat="1" applyFont="1" applyFill="1" applyAlignment="1">
      <alignment horizontal="center" vertical="center"/>
    </xf>
    <xf numFmtId="0" fontId="104" fillId="47" borderId="0" xfId="0" applyFont="1" applyFill="1" applyAlignment="1">
      <alignment vertical="center"/>
    </xf>
    <xf numFmtId="0" fontId="107" fillId="2" borderId="0" xfId="0" applyFont="1" applyFill="1" applyAlignment="1">
      <alignment horizontal="center" vertical="center"/>
    </xf>
    <xf numFmtId="164" fontId="108" fillId="2" borderId="0" xfId="0" applyNumberFormat="1" applyFont="1" applyFill="1" applyAlignment="1">
      <alignment vertical="center"/>
    </xf>
    <xf numFmtId="164" fontId="107" fillId="2" borderId="0" xfId="0" applyNumberFormat="1" applyFont="1" applyFill="1" applyAlignment="1">
      <alignment vertical="center"/>
    </xf>
    <xf numFmtId="0" fontId="70" fillId="39" borderId="47" xfId="0" applyFont="1" applyFill="1" applyBorder="1" applyAlignment="1">
      <alignment horizontal="center" vertical="center" wrapText="1"/>
    </xf>
    <xf numFmtId="0" fontId="70" fillId="39" borderId="47" xfId="0" applyFont="1" applyFill="1" applyBorder="1" applyAlignment="1">
      <alignment horizontal="center" vertical="center" wrapText="1" shrinkToFit="1"/>
    </xf>
    <xf numFmtId="174" fontId="75" fillId="46" borderId="47" xfId="0" applyNumberFormat="1" applyFont="1" applyFill="1" applyBorder="1" applyAlignment="1">
      <alignment vertical="center"/>
    </xf>
    <xf numFmtId="176" fontId="78" fillId="2" borderId="47" xfId="0" applyNumberFormat="1" applyFont="1" applyFill="1" applyBorder="1" applyAlignment="1">
      <alignment vertical="center"/>
    </xf>
    <xf numFmtId="0" fontId="74" fillId="2" borderId="47" xfId="0" applyFont="1" applyFill="1" applyBorder="1" applyAlignment="1">
      <alignment horizontal="center" vertical="center" wrapText="1" shrinkToFit="1"/>
    </xf>
    <xf numFmtId="176" fontId="75" fillId="2" borderId="47" xfId="47" applyNumberFormat="1" applyFont="1" applyFill="1" applyBorder="1" applyAlignment="1">
      <alignment horizontal="center" vertical="center" wrapText="1"/>
    </xf>
    <xf numFmtId="0" fontId="75" fillId="2" borderId="47" xfId="0" applyFont="1" applyFill="1" applyBorder="1" applyAlignment="1">
      <alignment horizontal="center" vertical="center" wrapText="1"/>
    </xf>
    <xf numFmtId="0" fontId="65" fillId="2" borderId="0" xfId="59" applyFont="1" applyFill="1" applyAlignment="1">
      <alignment horizontal="center" vertical="center"/>
    </xf>
    <xf numFmtId="176" fontId="75" fillId="2" borderId="47" xfId="0" applyNumberFormat="1" applyFont="1" applyFill="1" applyBorder="1" applyAlignment="1">
      <alignment horizontal="center" vertical="center" wrapText="1"/>
    </xf>
    <xf numFmtId="176" fontId="75" fillId="2" borderId="47" xfId="0" applyNumberFormat="1" applyFont="1" applyFill="1" applyBorder="1" applyAlignment="1">
      <alignment vertical="center"/>
    </xf>
    <xf numFmtId="174" fontId="107" fillId="48" borderId="0" xfId="0" applyNumberFormat="1" applyFont="1" applyFill="1" applyAlignment="1">
      <alignment vertical="center"/>
    </xf>
    <xf numFmtId="174" fontId="110" fillId="48" borderId="0" xfId="0" applyNumberFormat="1" applyFont="1" applyFill="1" applyAlignment="1">
      <alignment horizontal="center" vertical="center"/>
    </xf>
    <xf numFmtId="174" fontId="107" fillId="46" borderId="0" xfId="0" applyNumberFormat="1" applyFont="1" applyFill="1" applyAlignment="1">
      <alignment vertical="center"/>
    </xf>
    <xf numFmtId="174" fontId="110" fillId="2" borderId="0" xfId="0" applyNumberFormat="1" applyFont="1" applyFill="1" applyAlignment="1">
      <alignment horizontal="center" vertical="center"/>
    </xf>
    <xf numFmtId="3" fontId="104" fillId="2" borderId="0" xfId="59" applyNumberFormat="1" applyFont="1" applyFill="1" applyAlignment="1">
      <alignment vertical="center"/>
    </xf>
    <xf numFmtId="0" fontId="111" fillId="2" borderId="0" xfId="59" applyFont="1" applyFill="1" applyAlignment="1">
      <alignment horizontal="center" vertical="center"/>
    </xf>
    <xf numFmtId="0" fontId="112" fillId="47" borderId="0" xfId="59" applyFont="1" applyFill="1" applyAlignment="1">
      <alignment horizontal="center" vertical="center"/>
    </xf>
    <xf numFmtId="174" fontId="112" fillId="47" borderId="0" xfId="59" applyNumberFormat="1" applyFont="1" applyFill="1" applyAlignment="1">
      <alignment vertical="center"/>
    </xf>
    <xf numFmtId="176" fontId="107" fillId="48" borderId="0" xfId="0" applyNumberFormat="1" applyFont="1" applyFill="1" applyAlignment="1">
      <alignment vertical="center"/>
    </xf>
    <xf numFmtId="176" fontId="107" fillId="47" borderId="0" xfId="0" applyNumberFormat="1" applyFont="1" applyFill="1" applyAlignment="1">
      <alignment vertical="center"/>
    </xf>
    <xf numFmtId="176" fontId="68" fillId="45" borderId="0" xfId="59" applyNumberFormat="1" applyFont="1" applyFill="1" applyAlignment="1">
      <alignment vertical="center"/>
    </xf>
    <xf numFmtId="0" fontId="0" fillId="41" borderId="0" xfId="0" applyFill="1"/>
    <xf numFmtId="10" fontId="106" fillId="50" borderId="1" xfId="73" applyNumberFormat="1" applyFont="1" applyFill="1" applyBorder="1" applyAlignment="1">
      <alignment horizontal="center" vertical="center"/>
    </xf>
    <xf numFmtId="9" fontId="106" fillId="2" borderId="1" xfId="73" applyFont="1" applyFill="1" applyBorder="1" applyAlignment="1">
      <alignment horizontal="center" vertical="center"/>
    </xf>
    <xf numFmtId="9" fontId="106" fillId="2" borderId="0" xfId="73" applyFont="1" applyFill="1" applyBorder="1" applyAlignment="1">
      <alignment horizontal="center" vertical="center"/>
    </xf>
    <xf numFmtId="3" fontId="106" fillId="2" borderId="0" xfId="59" applyNumberFormat="1" applyFont="1" applyFill="1" applyAlignment="1">
      <alignment vertical="center"/>
    </xf>
    <xf numFmtId="0" fontId="113" fillId="2" borderId="0" xfId="59" applyFont="1" applyFill="1" applyAlignment="1">
      <alignment horizontal="center" vertical="center" wrapText="1" shrinkToFit="1"/>
    </xf>
    <xf numFmtId="164" fontId="69" fillId="48" borderId="0" xfId="0" applyNumberFormat="1" applyFont="1" applyFill="1" applyAlignment="1">
      <alignment vertical="center"/>
    </xf>
    <xf numFmtId="164" fontId="69" fillId="47" borderId="0" xfId="0" applyNumberFormat="1" applyFont="1" applyFill="1" applyAlignment="1">
      <alignment vertical="center"/>
    </xf>
    <xf numFmtId="164" fontId="59" fillId="45" borderId="0" xfId="59" applyNumberFormat="1" applyFill="1" applyAlignment="1">
      <alignment vertical="center"/>
    </xf>
    <xf numFmtId="0" fontId="59" fillId="3" borderId="0" xfId="59" applyFill="1" applyAlignment="1">
      <alignment vertical="center"/>
    </xf>
    <xf numFmtId="3" fontId="75" fillId="2" borderId="47" xfId="0" applyNumberFormat="1" applyFont="1" applyFill="1" applyBorder="1" applyAlignment="1">
      <alignment horizontal="center" vertical="center" wrapText="1"/>
    </xf>
    <xf numFmtId="177" fontId="112" fillId="2" borderId="0" xfId="59" applyNumberFormat="1" applyFont="1" applyFill="1" applyAlignment="1">
      <alignment vertical="center"/>
    </xf>
    <xf numFmtId="0" fontId="105" fillId="2" borderId="0" xfId="0" applyFont="1" applyFill="1" applyAlignment="1">
      <alignment vertical="center"/>
    </xf>
    <xf numFmtId="164" fontId="105" fillId="2" borderId="0" xfId="0" applyNumberFormat="1" applyFont="1" applyFill="1" applyAlignment="1">
      <alignment vertical="center"/>
    </xf>
    <xf numFmtId="0" fontId="0" fillId="41" borderId="0" xfId="0" applyFill="1" applyAlignment="1">
      <alignment horizontal="center"/>
    </xf>
    <xf numFmtId="0" fontId="59" fillId="41" borderId="0" xfId="0" applyFont="1" applyFill="1" applyAlignment="1">
      <alignment horizontal="center" vertical="center"/>
    </xf>
    <xf numFmtId="177" fontId="106" fillId="2" borderId="0" xfId="59" applyNumberFormat="1" applyFont="1" applyFill="1" applyAlignment="1">
      <alignment vertical="center"/>
    </xf>
    <xf numFmtId="176" fontId="114" fillId="2" borderId="47" xfId="0" applyNumberFormat="1" applyFont="1" applyFill="1" applyBorder="1" applyAlignment="1">
      <alignment horizontal="center" vertical="center" wrapText="1"/>
    </xf>
    <xf numFmtId="176" fontId="114" fillId="2" borderId="47" xfId="47" applyNumberFormat="1" applyFont="1" applyFill="1" applyBorder="1" applyAlignment="1">
      <alignment horizontal="center" vertical="center" wrapText="1"/>
    </xf>
    <xf numFmtId="164" fontId="115" fillId="48" borderId="0" xfId="0" applyNumberFormat="1" applyFont="1" applyFill="1" applyAlignment="1">
      <alignment vertical="center"/>
    </xf>
    <xf numFmtId="164" fontId="115" fillId="47" borderId="0" xfId="0" applyNumberFormat="1" applyFont="1" applyFill="1" applyAlignment="1">
      <alignment vertical="center"/>
    </xf>
    <xf numFmtId="173" fontId="105" fillId="2" borderId="0" xfId="0" applyNumberFormat="1" applyFont="1" applyFill="1" applyAlignment="1">
      <alignment vertical="center"/>
    </xf>
    <xf numFmtId="164" fontId="105" fillId="45" borderId="0" xfId="59" applyNumberFormat="1" applyFont="1" applyFill="1" applyAlignment="1">
      <alignment vertical="center"/>
    </xf>
    <xf numFmtId="164" fontId="105" fillId="4" borderId="0" xfId="59" applyNumberFormat="1" applyFont="1" applyFill="1" applyAlignment="1">
      <alignment vertical="center"/>
    </xf>
    <xf numFmtId="9" fontId="105" fillId="2" borderId="0" xfId="59" applyNumberFormat="1" applyFont="1" applyFill="1" applyAlignment="1">
      <alignment vertical="center"/>
    </xf>
    <xf numFmtId="174" fontId="105" fillId="2" borderId="0" xfId="59" applyNumberFormat="1" applyFont="1" applyFill="1" applyAlignment="1">
      <alignment vertical="center"/>
    </xf>
    <xf numFmtId="176" fontId="75" fillId="2" borderId="47" xfId="47" applyNumberFormat="1" applyFont="1" applyFill="1" applyBorder="1" applyAlignment="1">
      <alignment vertical="center" wrapText="1"/>
    </xf>
    <xf numFmtId="164" fontId="107" fillId="48" borderId="0" xfId="0" applyNumberFormat="1" applyFont="1" applyFill="1" applyAlignment="1">
      <alignment horizontal="center" vertical="center"/>
    </xf>
    <xf numFmtId="0" fontId="59" fillId="41" borderId="0" xfId="0" applyFont="1" applyFill="1"/>
    <xf numFmtId="176" fontId="0" fillId="0" borderId="0" xfId="47" applyNumberFormat="1" applyFont="1"/>
    <xf numFmtId="0" fontId="120" fillId="0" borderId="0" xfId="45424" applyFont="1" applyAlignment="1">
      <alignment vertical="center"/>
    </xf>
    <xf numFmtId="0" fontId="121" fillId="55" borderId="0" xfId="45424" applyFont="1" applyFill="1" applyAlignment="1">
      <alignment horizontal="center" vertical="center" wrapText="1"/>
    </xf>
    <xf numFmtId="0" fontId="123" fillId="55" borderId="0" xfId="45424" applyFont="1" applyFill="1" applyAlignment="1">
      <alignment vertical="center" wrapText="1"/>
    </xf>
    <xf numFmtId="0" fontId="121" fillId="55" borderId="0" xfId="45424" applyFont="1" applyFill="1" applyAlignment="1">
      <alignment vertical="center" wrapText="1"/>
    </xf>
    <xf numFmtId="0" fontId="120" fillId="0" borderId="58" xfId="45424" applyFont="1" applyBorder="1" applyAlignment="1">
      <alignment vertical="center"/>
    </xf>
    <xf numFmtId="3" fontId="120" fillId="0" borderId="58" xfId="45424" applyNumberFormat="1" applyFont="1" applyBorder="1" applyAlignment="1">
      <alignment horizontal="right" vertical="center"/>
    </xf>
    <xf numFmtId="0" fontId="120" fillId="0" borderId="58" xfId="45424" applyFont="1" applyBorder="1" applyAlignment="1">
      <alignment horizontal="right" vertical="center"/>
    </xf>
    <xf numFmtId="0" fontId="122" fillId="0" borderId="58" xfId="45424" applyFont="1" applyBorder="1" applyAlignment="1">
      <alignment vertical="center"/>
    </xf>
    <xf numFmtId="3" fontId="122" fillId="0" borderId="58" xfId="45424" applyNumberFormat="1" applyFont="1" applyBorder="1" applyAlignment="1">
      <alignment horizontal="right" vertical="center"/>
    </xf>
    <xf numFmtId="0" fontId="8" fillId="40" borderId="0" xfId="45431" applyFill="1" applyProtection="1">
      <protection locked="0"/>
    </xf>
    <xf numFmtId="0" fontId="125" fillId="40" borderId="0" xfId="45431" applyFont="1" applyFill="1" applyProtection="1">
      <protection locked="0"/>
    </xf>
    <xf numFmtId="0" fontId="8" fillId="0" borderId="0" xfId="45431" applyProtection="1">
      <protection locked="0"/>
    </xf>
    <xf numFmtId="0" fontId="126" fillId="40" borderId="0" xfId="45431" applyFont="1" applyFill="1" applyProtection="1">
      <protection locked="0"/>
    </xf>
    <xf numFmtId="0" fontId="127" fillId="56" borderId="0" xfId="59" applyFont="1" applyFill="1" applyAlignment="1" applyProtection="1">
      <alignment horizontal="center" vertical="center"/>
      <protection locked="0"/>
    </xf>
    <xf numFmtId="0" fontId="128" fillId="40" borderId="0" xfId="59" applyFont="1" applyFill="1" applyAlignment="1" applyProtection="1">
      <alignment horizontal="left" indent="2"/>
      <protection locked="0"/>
    </xf>
    <xf numFmtId="3" fontId="129" fillId="40" borderId="64" xfId="59" applyNumberFormat="1" applyFont="1" applyFill="1" applyBorder="1" applyAlignment="1">
      <alignment horizontal="center" vertical="center"/>
    </xf>
    <xf numFmtId="170" fontId="130" fillId="40" borderId="0" xfId="59" applyNumberFormat="1" applyFont="1" applyFill="1" applyAlignment="1" applyProtection="1">
      <alignment horizontal="left" vertical="center"/>
      <protection locked="0"/>
    </xf>
    <xf numFmtId="181" fontId="131" fillId="40" borderId="0" xfId="45431" applyNumberFormat="1" applyFont="1" applyFill="1" applyAlignment="1" applyProtection="1">
      <alignment vertical="top"/>
      <protection locked="0"/>
    </xf>
    <xf numFmtId="0" fontId="88" fillId="40" borderId="0" xfId="45431" applyFont="1" applyFill="1" applyProtection="1">
      <protection locked="0"/>
    </xf>
    <xf numFmtId="0" fontId="133" fillId="40" borderId="0" xfId="59" applyFont="1" applyFill="1" applyProtection="1">
      <protection locked="0"/>
    </xf>
    <xf numFmtId="0" fontId="134" fillId="40" borderId="0" xfId="59" applyFont="1" applyFill="1" applyAlignment="1" applyProtection="1">
      <alignment horizontal="left" indent="2"/>
      <protection locked="0"/>
    </xf>
    <xf numFmtId="0" fontId="135" fillId="56" borderId="0" xfId="59" applyFont="1" applyFill="1" applyAlignment="1" applyProtection="1">
      <alignment horizontal="center" vertical="center"/>
      <protection locked="0"/>
    </xf>
    <xf numFmtId="0" fontId="136" fillId="40" borderId="0" xfId="59" applyFont="1" applyFill="1" applyProtection="1">
      <protection locked="0"/>
    </xf>
    <xf numFmtId="3" fontId="137" fillId="40" borderId="64" xfId="59" applyNumberFormat="1" applyFont="1" applyFill="1" applyBorder="1" applyProtection="1">
      <protection locked="0"/>
    </xf>
    <xf numFmtId="180" fontId="138" fillId="40" borderId="64" xfId="45432" applyNumberFormat="1" applyFont="1" applyFill="1" applyBorder="1" applyProtection="1">
      <protection locked="0"/>
    </xf>
    <xf numFmtId="9" fontId="138" fillId="40" borderId="64" xfId="45433" applyFont="1" applyFill="1" applyBorder="1" applyAlignment="1" applyProtection="1">
      <alignment horizontal="center"/>
      <protection locked="0"/>
    </xf>
    <xf numFmtId="0" fontId="139" fillId="40" borderId="0" xfId="59" applyFont="1" applyFill="1" applyProtection="1">
      <protection locked="0"/>
    </xf>
    <xf numFmtId="0" fontId="141" fillId="39" borderId="47" xfId="59" applyFont="1" applyFill="1" applyBorder="1" applyAlignment="1">
      <alignment horizontal="center" vertical="center" wrapText="1"/>
    </xf>
    <xf numFmtId="0" fontId="141" fillId="39" borderId="47" xfId="59" applyFont="1" applyFill="1" applyBorder="1" applyAlignment="1">
      <alignment horizontal="center" vertical="center" wrapText="1" shrinkToFit="1"/>
    </xf>
    <xf numFmtId="176" fontId="142" fillId="2" borderId="47" xfId="54" applyNumberFormat="1" applyFont="1" applyFill="1" applyBorder="1" applyAlignment="1">
      <alignment horizontal="center" vertical="center"/>
    </xf>
    <xf numFmtId="176" fontId="143" fillId="39" borderId="47" xfId="54" applyNumberFormat="1" applyFont="1" applyFill="1" applyBorder="1" applyAlignment="1">
      <alignment vertical="center"/>
    </xf>
    <xf numFmtId="0" fontId="138" fillId="40" borderId="0" xfId="59" applyFont="1" applyFill="1" applyAlignment="1">
      <alignment vertical="center"/>
    </xf>
    <xf numFmtId="0" fontId="144" fillId="2" borderId="0" xfId="0" applyFont="1" applyFill="1" applyAlignment="1">
      <alignment vertical="center"/>
    </xf>
    <xf numFmtId="0" fontId="145" fillId="40" borderId="0" xfId="0" applyFont="1" applyFill="1" applyAlignment="1">
      <alignment vertical="center"/>
    </xf>
    <xf numFmtId="0" fontId="144" fillId="40" borderId="0" xfId="0" applyFont="1" applyFill="1" applyAlignment="1">
      <alignment horizontal="center" vertical="center"/>
    </xf>
    <xf numFmtId="0" fontId="144" fillId="0" borderId="0" xfId="0" applyFont="1" applyAlignment="1">
      <alignment vertical="center"/>
    </xf>
    <xf numFmtId="0" fontId="146" fillId="2" borderId="0" xfId="0" applyFont="1" applyFill="1" applyAlignment="1">
      <alignment vertical="center"/>
    </xf>
    <xf numFmtId="0" fontId="146" fillId="2" borderId="0" xfId="0" applyFont="1" applyFill="1" applyAlignment="1">
      <alignment horizontal="center" vertical="center"/>
    </xf>
    <xf numFmtId="0" fontId="146" fillId="40" borderId="0" xfId="0" applyFont="1" applyFill="1" applyAlignment="1">
      <alignment horizontal="center" vertical="center"/>
    </xf>
    <xf numFmtId="0" fontId="146" fillId="0" borderId="0" xfId="0" applyFont="1" applyAlignment="1">
      <alignment vertical="center"/>
    </xf>
    <xf numFmtId="0" fontId="144" fillId="2" borderId="0" xfId="0" applyFont="1" applyFill="1" applyAlignment="1">
      <alignment horizontal="center" vertical="center"/>
    </xf>
    <xf numFmtId="0" fontId="147" fillId="2" borderId="0" xfId="0" applyFont="1" applyFill="1" applyAlignment="1">
      <alignment horizontal="center" vertical="center"/>
    </xf>
    <xf numFmtId="164" fontId="148" fillId="2" borderId="0" xfId="0" applyNumberFormat="1" applyFont="1" applyFill="1" applyAlignment="1">
      <alignment horizontal="center" vertical="center"/>
    </xf>
    <xf numFmtId="0" fontId="149" fillId="2" borderId="0" xfId="43" applyFont="1" applyFill="1" applyBorder="1" applyAlignment="1" applyProtection="1">
      <alignment horizontal="center" vertical="center"/>
    </xf>
    <xf numFmtId="0" fontId="150" fillId="2" borderId="0" xfId="0" applyFont="1" applyFill="1" applyAlignment="1">
      <alignment horizontal="center" vertical="center"/>
    </xf>
    <xf numFmtId="0" fontId="138" fillId="2" borderId="0" xfId="0" applyFont="1" applyFill="1" applyAlignment="1">
      <alignment vertical="center"/>
    </xf>
    <xf numFmtId="0" fontId="138" fillId="40" borderId="0" xfId="0" applyFont="1" applyFill="1" applyAlignment="1">
      <alignment vertical="center"/>
    </xf>
    <xf numFmtId="164" fontId="138" fillId="2" borderId="0" xfId="0" applyNumberFormat="1" applyFont="1" applyFill="1" applyAlignment="1">
      <alignment vertical="center"/>
    </xf>
    <xf numFmtId="0" fontId="151" fillId="2" borderId="0" xfId="0" applyFont="1" applyFill="1" applyAlignment="1">
      <alignment vertical="center"/>
    </xf>
    <xf numFmtId="0" fontId="152" fillId="40" borderId="0" xfId="0" applyFont="1" applyFill="1" applyAlignment="1">
      <alignment horizontal="center" vertical="center"/>
    </xf>
    <xf numFmtId="0" fontId="138" fillId="0" borderId="0" xfId="0" applyFont="1" applyAlignment="1">
      <alignment vertical="center"/>
    </xf>
    <xf numFmtId="0" fontId="153" fillId="39" borderId="0" xfId="0" applyFont="1" applyFill="1" applyAlignment="1">
      <alignment horizontal="center" vertical="center"/>
    </xf>
    <xf numFmtId="0" fontId="154" fillId="40" borderId="0" xfId="0" applyFont="1" applyFill="1" applyAlignment="1">
      <alignment horizontal="center" vertical="center" wrapText="1"/>
    </xf>
    <xf numFmtId="0" fontId="152" fillId="40" borderId="47" xfId="0" applyFont="1" applyFill="1" applyBorder="1" applyAlignment="1">
      <alignment horizontal="center" vertical="center" wrapText="1"/>
    </xf>
    <xf numFmtId="176" fontId="142" fillId="39" borderId="47" xfId="47" applyNumberFormat="1" applyFont="1" applyFill="1" applyBorder="1" applyAlignment="1">
      <alignment vertical="center"/>
    </xf>
    <xf numFmtId="164" fontId="152" fillId="40" borderId="47" xfId="0" applyNumberFormat="1" applyFont="1" applyFill="1" applyBorder="1" applyAlignment="1">
      <alignment horizontal="center" vertical="center" wrapText="1"/>
    </xf>
    <xf numFmtId="3" fontId="152" fillId="40" borderId="47" xfId="0" applyNumberFormat="1" applyFont="1" applyFill="1" applyBorder="1" applyAlignment="1">
      <alignment horizontal="center" vertical="center" wrapText="1"/>
    </xf>
    <xf numFmtId="174" fontId="138" fillId="2" borderId="0" xfId="0" applyNumberFormat="1" applyFont="1" applyFill="1" applyAlignment="1">
      <alignment vertical="center"/>
    </xf>
    <xf numFmtId="174" fontId="152" fillId="2" borderId="0" xfId="0" applyNumberFormat="1" applyFont="1" applyFill="1" applyAlignment="1">
      <alignment horizontal="left" vertical="center"/>
    </xf>
    <xf numFmtId="174" fontId="142" fillId="2" borderId="0" xfId="0" applyNumberFormat="1" applyFont="1" applyFill="1" applyAlignment="1">
      <alignment vertical="center"/>
    </xf>
    <xf numFmtId="176" fontId="142" fillId="2" borderId="47" xfId="47" applyNumberFormat="1" applyFont="1" applyFill="1" applyBorder="1" applyAlignment="1">
      <alignment horizontal="center" vertical="center"/>
    </xf>
    <xf numFmtId="174" fontId="138" fillId="40" borderId="0" xfId="0" applyNumberFormat="1" applyFont="1" applyFill="1" applyAlignment="1">
      <alignment vertical="center"/>
    </xf>
    <xf numFmtId="174" fontId="138" fillId="0" borderId="0" xfId="0" applyNumberFormat="1" applyFont="1" applyAlignment="1">
      <alignment vertical="center"/>
    </xf>
    <xf numFmtId="176" fontId="143" fillId="39" borderId="47" xfId="47" applyNumberFormat="1" applyFont="1" applyFill="1" applyBorder="1" applyAlignment="1">
      <alignment vertical="center"/>
    </xf>
    <xf numFmtId="3" fontId="129" fillId="40" borderId="0" xfId="0" applyNumberFormat="1" applyFont="1" applyFill="1" applyAlignment="1">
      <alignment horizontal="center" vertical="center"/>
    </xf>
    <xf numFmtId="176" fontId="129" fillId="40" borderId="0" xfId="0" applyNumberFormat="1" applyFont="1" applyFill="1" applyAlignment="1">
      <alignment horizontal="center" vertical="center"/>
    </xf>
    <xf numFmtId="174" fontId="155" fillId="40" borderId="0" xfId="0" applyNumberFormat="1" applyFont="1" applyFill="1" applyAlignment="1">
      <alignment horizontal="center" vertical="center"/>
    </xf>
    <xf numFmtId="174" fontId="142" fillId="40" borderId="0" xfId="0" applyNumberFormat="1" applyFont="1" applyFill="1" applyAlignment="1">
      <alignment vertical="center"/>
    </xf>
    <xf numFmtId="164" fontId="138" fillId="40" borderId="0" xfId="0" applyNumberFormat="1" applyFont="1" applyFill="1" applyAlignment="1">
      <alignment vertical="center"/>
    </xf>
    <xf numFmtId="164" fontId="129" fillId="40" borderId="0" xfId="0" applyNumberFormat="1" applyFont="1" applyFill="1" applyAlignment="1">
      <alignment horizontal="center" vertical="center"/>
    </xf>
    <xf numFmtId="174" fontId="153" fillId="40" borderId="0" xfId="0" applyNumberFormat="1" applyFont="1" applyFill="1" applyAlignment="1">
      <alignment horizontal="left" vertical="center"/>
    </xf>
    <xf numFmtId="174" fontId="152" fillId="2" borderId="0" xfId="0" applyNumberFormat="1" applyFont="1" applyFill="1" applyAlignment="1">
      <alignment vertical="center"/>
    </xf>
    <xf numFmtId="176" fontId="142" fillId="2" borderId="0" xfId="47" applyNumberFormat="1" applyFont="1" applyFill="1" applyBorder="1" applyAlignment="1">
      <alignment horizontal="center" vertical="center"/>
    </xf>
    <xf numFmtId="176" fontId="142" fillId="2" borderId="0" xfId="47" applyNumberFormat="1" applyFont="1" applyFill="1" applyBorder="1" applyAlignment="1">
      <alignment vertical="center"/>
    </xf>
    <xf numFmtId="176" fontId="143" fillId="40" borderId="0" xfId="47" applyNumberFormat="1" applyFont="1" applyFill="1" applyBorder="1" applyAlignment="1">
      <alignment vertical="center"/>
    </xf>
    <xf numFmtId="164" fontId="152" fillId="40" borderId="0" xfId="0" applyNumberFormat="1" applyFont="1" applyFill="1" applyAlignment="1">
      <alignment vertical="center"/>
    </xf>
    <xf numFmtId="174" fontId="99" fillId="40" borderId="0" xfId="0" applyNumberFormat="1" applyFont="1" applyFill="1" applyAlignment="1">
      <alignment vertical="center"/>
    </xf>
    <xf numFmtId="164" fontId="156" fillId="2" borderId="0" xfId="0" applyNumberFormat="1" applyFont="1" applyFill="1" applyAlignment="1">
      <alignment vertical="center"/>
    </xf>
    <xf numFmtId="174" fontId="138" fillId="2" borderId="0" xfId="0" applyNumberFormat="1" applyFont="1" applyFill="1" applyAlignment="1">
      <alignment horizontal="left" vertical="center"/>
    </xf>
    <xf numFmtId="176" fontId="142" fillId="2" borderId="55" xfId="47" applyNumberFormat="1" applyFont="1" applyFill="1" applyBorder="1" applyAlignment="1">
      <alignment horizontal="center" vertical="center"/>
    </xf>
    <xf numFmtId="0" fontId="153" fillId="2" borderId="0" xfId="0" applyFont="1" applyFill="1" applyAlignment="1">
      <alignment vertical="center"/>
    </xf>
    <xf numFmtId="3" fontId="153" fillId="2" borderId="0" xfId="0" applyNumberFormat="1" applyFont="1" applyFill="1" applyAlignment="1">
      <alignment horizontal="center" vertical="center"/>
    </xf>
    <xf numFmtId="173" fontId="153" fillId="2" borderId="0" xfId="0" applyNumberFormat="1" applyFont="1" applyFill="1" applyAlignment="1">
      <alignment vertical="center"/>
    </xf>
    <xf numFmtId="173" fontId="158" fillId="2" borderId="0" xfId="0" applyNumberFormat="1" applyFont="1" applyFill="1" applyAlignment="1">
      <alignment vertical="center"/>
    </xf>
    <xf numFmtId="164" fontId="153" fillId="2" borderId="0" xfId="0" applyNumberFormat="1" applyFont="1" applyFill="1" applyAlignment="1">
      <alignment vertical="center"/>
    </xf>
    <xf numFmtId="3" fontId="159" fillId="40" borderId="0" xfId="0" applyNumberFormat="1" applyFont="1" applyFill="1" applyAlignment="1">
      <alignment horizontal="center" vertical="center"/>
    </xf>
    <xf numFmtId="164" fontId="153" fillId="40" borderId="0" xfId="0" applyNumberFormat="1" applyFont="1" applyFill="1" applyAlignment="1">
      <alignment vertical="center"/>
    </xf>
    <xf numFmtId="0" fontId="156" fillId="2" borderId="0" xfId="0" applyFont="1" applyFill="1" applyAlignment="1">
      <alignment vertical="center"/>
    </xf>
    <xf numFmtId="0" fontId="156" fillId="40" borderId="0" xfId="0" applyFont="1" applyFill="1" applyAlignment="1">
      <alignment vertical="center"/>
    </xf>
    <xf numFmtId="173" fontId="154" fillId="40" borderId="0" xfId="0" applyNumberFormat="1" applyFont="1" applyFill="1" applyAlignment="1">
      <alignment vertical="center"/>
    </xf>
    <xf numFmtId="164" fontId="156" fillId="2" borderId="63" xfId="0" applyNumberFormat="1" applyFont="1" applyFill="1" applyBorder="1" applyAlignment="1">
      <alignment vertical="center"/>
    </xf>
    <xf numFmtId="0" fontId="156" fillId="40" borderId="0" xfId="0" applyFont="1" applyFill="1" applyAlignment="1">
      <alignment horizontal="center" vertical="center"/>
    </xf>
    <xf numFmtId="173" fontId="156" fillId="40" borderId="0" xfId="0" applyNumberFormat="1" applyFont="1" applyFill="1" applyAlignment="1">
      <alignment vertical="center"/>
    </xf>
    <xf numFmtId="173" fontId="156" fillId="2" borderId="0" xfId="0" applyNumberFormat="1" applyFont="1" applyFill="1" applyAlignment="1">
      <alignment vertical="center"/>
    </xf>
    <xf numFmtId="9" fontId="152" fillId="40" borderId="54" xfId="73" applyFont="1" applyFill="1" applyBorder="1" applyAlignment="1">
      <alignment horizontal="center" vertical="center"/>
    </xf>
    <xf numFmtId="174" fontId="152" fillId="40" borderId="0" xfId="0" applyNumberFormat="1" applyFont="1" applyFill="1" applyAlignment="1">
      <alignment vertical="center" wrapText="1"/>
    </xf>
    <xf numFmtId="174" fontId="152" fillId="2" borderId="0" xfId="0" applyNumberFormat="1" applyFont="1" applyFill="1" applyAlignment="1">
      <alignment horizontal="center" vertical="center" wrapText="1"/>
    </xf>
    <xf numFmtId="174" fontId="159" fillId="40" borderId="0" xfId="0" applyNumberFormat="1" applyFont="1" applyFill="1" applyAlignment="1">
      <alignment vertical="center" wrapText="1"/>
    </xf>
    <xf numFmtId="174" fontId="153" fillId="40" borderId="0" xfId="0" applyNumberFormat="1" applyFont="1" applyFill="1" applyAlignment="1">
      <alignment vertical="center" wrapText="1"/>
    </xf>
    <xf numFmtId="176" fontId="156" fillId="2" borderId="0" xfId="0" applyNumberFormat="1" applyFont="1" applyFill="1" applyAlignment="1">
      <alignment vertical="center"/>
    </xf>
    <xf numFmtId="174" fontId="159" fillId="40" borderId="0" xfId="0" applyNumberFormat="1" applyFont="1" applyFill="1" applyAlignment="1">
      <alignment horizontal="center" vertical="center"/>
    </xf>
    <xf numFmtId="174" fontId="153" fillId="40" borderId="0" xfId="0" applyNumberFormat="1" applyFont="1" applyFill="1" applyAlignment="1">
      <alignment vertical="center"/>
    </xf>
    <xf numFmtId="174" fontId="156" fillId="2" borderId="0" xfId="0" applyNumberFormat="1" applyFont="1" applyFill="1" applyAlignment="1">
      <alignment vertical="center"/>
    </xf>
    <xf numFmtId="0" fontId="156" fillId="0" borderId="0" xfId="0" applyFont="1" applyAlignment="1">
      <alignment vertical="center"/>
    </xf>
    <xf numFmtId="174" fontId="156" fillId="40" borderId="0" xfId="0" applyNumberFormat="1" applyFont="1" applyFill="1" applyAlignment="1">
      <alignment vertical="center"/>
    </xf>
    <xf numFmtId="0" fontId="145" fillId="0" borderId="0" xfId="0" applyFont="1" applyAlignment="1">
      <alignment vertical="center"/>
    </xf>
    <xf numFmtId="0" fontId="145" fillId="40" borderId="0" xfId="0" applyFont="1" applyFill="1" applyAlignment="1">
      <alignment horizontal="center" vertical="center"/>
    </xf>
    <xf numFmtId="176" fontId="156" fillId="40" borderId="0" xfId="47" applyNumberFormat="1" applyFont="1" applyFill="1" applyAlignment="1">
      <alignment vertical="center"/>
    </xf>
    <xf numFmtId="176" fontId="156" fillId="40" borderId="0" xfId="0" applyNumberFormat="1" applyFont="1" applyFill="1" applyAlignment="1">
      <alignment vertical="center"/>
    </xf>
    <xf numFmtId="174" fontId="138" fillId="2" borderId="0" xfId="59" applyNumberFormat="1" applyFont="1" applyFill="1" applyAlignment="1">
      <alignment vertical="center"/>
    </xf>
    <xf numFmtId="0" fontId="144" fillId="40" borderId="0" xfId="59" applyFont="1" applyFill="1" applyAlignment="1">
      <alignment horizontal="center" vertical="center"/>
    </xf>
    <xf numFmtId="0" fontId="138" fillId="2" borderId="0" xfId="59" applyFont="1" applyFill="1" applyAlignment="1">
      <alignment vertical="center"/>
    </xf>
    <xf numFmtId="174" fontId="138" fillId="0" borderId="0" xfId="59" applyNumberFormat="1" applyFont="1" applyAlignment="1">
      <alignment vertical="center"/>
    </xf>
    <xf numFmtId="176" fontId="129" fillId="39" borderId="50" xfId="59" applyNumberFormat="1" applyFont="1" applyFill="1" applyBorder="1" applyAlignment="1">
      <alignment horizontal="center" vertical="center"/>
    </xf>
    <xf numFmtId="3" fontId="129" fillId="39" borderId="50" xfId="59" applyNumberFormat="1" applyFont="1" applyFill="1" applyBorder="1" applyAlignment="1">
      <alignment horizontal="center" vertical="center"/>
    </xf>
    <xf numFmtId="174" fontId="155" fillId="39" borderId="50" xfId="59" applyNumberFormat="1" applyFont="1" applyFill="1" applyBorder="1" applyAlignment="1">
      <alignment horizontal="center" vertical="center"/>
    </xf>
    <xf numFmtId="174" fontId="152" fillId="39" borderId="50" xfId="59" applyNumberFormat="1" applyFont="1" applyFill="1" applyBorder="1" applyAlignment="1">
      <alignment horizontal="left" vertical="center"/>
    </xf>
    <xf numFmtId="174" fontId="153" fillId="39" borderId="50" xfId="59" applyNumberFormat="1" applyFont="1" applyFill="1" applyBorder="1" applyAlignment="1">
      <alignment horizontal="left" vertical="center"/>
    </xf>
    <xf numFmtId="3" fontId="129" fillId="53" borderId="65" xfId="0" applyNumberFormat="1" applyFont="1" applyFill="1" applyBorder="1" applyAlignment="1">
      <alignment horizontal="center" vertical="center"/>
    </xf>
    <xf numFmtId="176" fontId="129" fillId="53" borderId="65" xfId="0" applyNumberFormat="1" applyFont="1" applyFill="1" applyBorder="1" applyAlignment="1">
      <alignment horizontal="center" vertical="center"/>
    </xf>
    <xf numFmtId="174" fontId="155" fillId="53" borderId="65" xfId="0" applyNumberFormat="1" applyFont="1" applyFill="1" applyBorder="1" applyAlignment="1">
      <alignment horizontal="center" vertical="center"/>
    </xf>
    <xf numFmtId="0" fontId="152" fillId="39" borderId="47" xfId="0" applyFont="1" applyFill="1" applyBorder="1" applyAlignment="1">
      <alignment horizontal="center" vertical="center" wrapText="1"/>
    </xf>
    <xf numFmtId="3" fontId="129" fillId="39" borderId="0" xfId="0" applyNumberFormat="1" applyFont="1" applyFill="1" applyAlignment="1">
      <alignment horizontal="center" vertical="center"/>
    </xf>
    <xf numFmtId="176" fontId="129" fillId="39" borderId="0" xfId="0" applyNumberFormat="1" applyFont="1" applyFill="1" applyAlignment="1">
      <alignment horizontal="center" vertical="center"/>
    </xf>
    <xf numFmtId="164" fontId="129" fillId="39" borderId="0" xfId="0" applyNumberFormat="1" applyFont="1" applyFill="1" applyAlignment="1">
      <alignment horizontal="center" vertical="center"/>
    </xf>
    <xf numFmtId="3" fontId="155" fillId="39" borderId="0" xfId="0" applyNumberFormat="1" applyFont="1" applyFill="1" applyAlignment="1">
      <alignment horizontal="center" vertical="center"/>
    </xf>
    <xf numFmtId="174" fontId="160" fillId="56" borderId="63" xfId="59" applyNumberFormat="1" applyFont="1" applyFill="1" applyBorder="1" applyAlignment="1">
      <alignment horizontal="center" vertical="center"/>
    </xf>
    <xf numFmtId="3" fontId="135" fillId="56" borderId="63" xfId="59" applyNumberFormat="1" applyFont="1" applyFill="1" applyBorder="1" applyAlignment="1">
      <alignment horizontal="center" vertical="center"/>
    </xf>
    <xf numFmtId="176" fontId="135" fillId="56" borderId="63" xfId="59" applyNumberFormat="1" applyFont="1" applyFill="1" applyBorder="1" applyAlignment="1">
      <alignment horizontal="center" vertical="center"/>
    </xf>
    <xf numFmtId="174" fontId="161" fillId="56" borderId="63" xfId="59" applyNumberFormat="1" applyFont="1" applyFill="1" applyBorder="1" applyAlignment="1">
      <alignment horizontal="center" vertical="center"/>
    </xf>
    <xf numFmtId="0" fontId="138" fillId="2" borderId="0" xfId="59" applyFont="1" applyFill="1" applyAlignment="1">
      <alignment horizontal="center" vertical="center"/>
    </xf>
    <xf numFmtId="3" fontId="152" fillId="57" borderId="51" xfId="59" applyNumberFormat="1" applyFont="1" applyFill="1" applyBorder="1" applyAlignment="1">
      <alignment horizontal="center" vertical="center"/>
    </xf>
    <xf numFmtId="174" fontId="143" fillId="2" borderId="0" xfId="0" applyNumberFormat="1" applyFont="1" applyFill="1" applyAlignment="1">
      <alignment horizontal="center" vertical="center"/>
    </xf>
    <xf numFmtId="0" fontId="162" fillId="2" borderId="0" xfId="0" applyFont="1" applyFill="1" applyAlignment="1">
      <alignment horizontal="center" vertical="center"/>
    </xf>
    <xf numFmtId="0" fontId="164" fillId="2" borderId="0" xfId="0" applyFont="1" applyFill="1" applyAlignment="1">
      <alignment vertical="center"/>
    </xf>
    <xf numFmtId="0" fontId="164" fillId="40" borderId="0" xfId="0" applyFont="1" applyFill="1" applyAlignment="1">
      <alignment vertical="center"/>
    </xf>
    <xf numFmtId="0" fontId="164" fillId="0" borderId="0" xfId="0" applyFont="1" applyAlignment="1">
      <alignment vertical="center"/>
    </xf>
    <xf numFmtId="176" fontId="7" fillId="2" borderId="0" xfId="54" applyNumberFormat="1" applyFont="1" applyFill="1" applyAlignment="1">
      <alignment vertical="center"/>
    </xf>
    <xf numFmtId="2" fontId="143" fillId="2" borderId="1" xfId="0" applyNumberFormat="1" applyFont="1" applyFill="1" applyBorder="1" applyAlignment="1">
      <alignment horizontal="center" vertical="center"/>
    </xf>
    <xf numFmtId="166" fontId="143" fillId="2" borderId="1" xfId="0" applyNumberFormat="1" applyFont="1" applyFill="1" applyBorder="1" applyAlignment="1">
      <alignment horizontal="center" vertical="center"/>
    </xf>
    <xf numFmtId="166" fontId="143" fillId="0" borderId="1" xfId="0" applyNumberFormat="1" applyFont="1" applyBorder="1" applyAlignment="1">
      <alignment horizontal="center" vertical="center"/>
    </xf>
    <xf numFmtId="0" fontId="138" fillId="2" borderId="0" xfId="0" applyFont="1" applyFill="1" applyAlignment="1">
      <alignment horizontal="center" vertical="center"/>
    </xf>
    <xf numFmtId="0" fontId="155" fillId="39" borderId="35" xfId="0" applyFont="1" applyFill="1" applyBorder="1" applyAlignment="1">
      <alignment horizontal="center" vertical="center" wrapText="1"/>
    </xf>
    <xf numFmtId="0" fontId="155" fillId="39" borderId="36" xfId="0" applyFont="1" applyFill="1" applyBorder="1" applyAlignment="1">
      <alignment horizontal="center" vertical="center" wrapText="1"/>
    </xf>
    <xf numFmtId="0" fontId="155" fillId="39" borderId="37" xfId="0" applyFont="1" applyFill="1" applyBorder="1" applyAlignment="1">
      <alignment horizontal="center" vertical="center" wrapText="1"/>
    </xf>
    <xf numFmtId="0" fontId="143" fillId="2" borderId="0" xfId="59" applyFont="1" applyFill="1" applyAlignment="1">
      <alignment vertical="center"/>
    </xf>
    <xf numFmtId="172" fontId="155" fillId="39" borderId="66" xfId="47" applyNumberFormat="1" applyFont="1" applyFill="1" applyBorder="1" applyAlignment="1">
      <alignment vertical="center"/>
    </xf>
    <xf numFmtId="3" fontId="155" fillId="39" borderId="60" xfId="0" applyNumberFormat="1" applyFont="1" applyFill="1" applyBorder="1" applyAlignment="1">
      <alignment horizontal="center" vertical="center"/>
    </xf>
    <xf numFmtId="166" fontId="155" fillId="39" borderId="60" xfId="0" applyNumberFormat="1" applyFont="1" applyFill="1" applyBorder="1" applyAlignment="1">
      <alignment horizontal="center" vertical="center"/>
    </xf>
    <xf numFmtId="0" fontId="143" fillId="0" borderId="0" xfId="0" applyFont="1" applyAlignment="1">
      <alignment vertical="center"/>
    </xf>
    <xf numFmtId="0" fontId="155" fillId="2" borderId="0" xfId="0" applyFont="1" applyFill="1" applyAlignment="1">
      <alignment vertical="center"/>
    </xf>
    <xf numFmtId="0" fontId="143" fillId="2" borderId="0" xfId="0" applyFont="1" applyFill="1" applyAlignment="1">
      <alignment vertical="center"/>
    </xf>
    <xf numFmtId="172" fontId="155" fillId="39" borderId="62" xfId="47" applyNumberFormat="1" applyFont="1" applyFill="1" applyBorder="1" applyAlignment="1">
      <alignment vertical="center"/>
    </xf>
    <xf numFmtId="172" fontId="155" fillId="39" borderId="62" xfId="47" applyNumberFormat="1" applyFont="1" applyFill="1" applyBorder="1" applyAlignment="1">
      <alignment horizontal="center" vertical="center"/>
    </xf>
    <xf numFmtId="166" fontId="155" fillId="39" borderId="62" xfId="0" applyNumberFormat="1" applyFont="1" applyFill="1" applyBorder="1" applyAlignment="1">
      <alignment horizontal="center" vertical="center"/>
    </xf>
    <xf numFmtId="1" fontId="155" fillId="39" borderId="62" xfId="0" applyNumberFormat="1" applyFont="1" applyFill="1" applyBorder="1" applyAlignment="1">
      <alignment horizontal="center"/>
    </xf>
    <xf numFmtId="0" fontId="160" fillId="56" borderId="50" xfId="59" applyFont="1" applyFill="1" applyBorder="1" applyAlignment="1">
      <alignment horizontal="center" vertical="center" wrapText="1"/>
    </xf>
    <xf numFmtId="3" fontId="135" fillId="56" borderId="50" xfId="59" applyNumberFormat="1" applyFont="1" applyFill="1" applyBorder="1" applyAlignment="1">
      <alignment horizontal="center" vertical="center" wrapText="1"/>
    </xf>
    <xf numFmtId="164" fontId="135" fillId="56" borderId="50" xfId="59" applyNumberFormat="1" applyFont="1" applyFill="1" applyBorder="1" applyAlignment="1">
      <alignment horizontal="center" vertical="center" wrapText="1"/>
    </xf>
    <xf numFmtId="0" fontId="138" fillId="40" borderId="0" xfId="0" applyFont="1" applyFill="1"/>
    <xf numFmtId="0" fontId="145" fillId="40" borderId="0" xfId="0" applyFont="1" applyFill="1"/>
    <xf numFmtId="3" fontId="166" fillId="40" borderId="0" xfId="47" applyNumberFormat="1" applyFont="1" applyFill="1" applyBorder="1" applyAlignment="1">
      <alignment horizontal="center" vertical="center"/>
    </xf>
    <xf numFmtId="0" fontId="143" fillId="0" borderId="2" xfId="0" applyFont="1" applyBorder="1" applyAlignment="1">
      <alignment horizontal="center" vertical="center"/>
    </xf>
    <xf numFmtId="176" fontId="143" fillId="0" borderId="2" xfId="47" applyNumberFormat="1" applyFont="1" applyFill="1" applyBorder="1" applyAlignment="1">
      <alignment horizontal="center" vertical="center"/>
    </xf>
    <xf numFmtId="0" fontId="143" fillId="0" borderId="0" xfId="0" applyFont="1"/>
    <xf numFmtId="0" fontId="143" fillId="40" borderId="0" xfId="0" applyFont="1" applyFill="1"/>
    <xf numFmtId="176" fontId="167" fillId="40" borderId="0" xfId="47" applyNumberFormat="1" applyFont="1" applyFill="1"/>
    <xf numFmtId="2" fontId="138" fillId="57" borderId="51" xfId="59" applyNumberFormat="1" applyFont="1" applyFill="1" applyBorder="1" applyAlignment="1">
      <alignment horizontal="left" vertical="center"/>
    </xf>
    <xf numFmtId="2" fontId="138" fillId="57" borderId="52" xfId="59" applyNumberFormat="1" applyFont="1" applyFill="1" applyBorder="1" applyAlignment="1">
      <alignment horizontal="left" vertical="center"/>
    </xf>
    <xf numFmtId="175" fontId="152" fillId="39" borderId="2" xfId="0" applyNumberFormat="1" applyFont="1" applyFill="1" applyBorder="1" applyAlignment="1">
      <alignment horizontal="center" vertical="center"/>
    </xf>
    <xf numFmtId="175" fontId="152" fillId="39" borderId="2" xfId="0" applyNumberFormat="1" applyFont="1" applyFill="1" applyBorder="1" applyAlignment="1">
      <alignment horizontal="center" vertical="center" wrapText="1" shrinkToFit="1"/>
    </xf>
    <xf numFmtId="0" fontId="163" fillId="39" borderId="50" xfId="0" applyFont="1" applyFill="1" applyBorder="1" applyAlignment="1">
      <alignment horizontal="center" vertical="center"/>
    </xf>
    <xf numFmtId="41" fontId="163" fillId="39" borderId="50" xfId="45426" applyFont="1" applyFill="1" applyBorder="1" applyAlignment="1">
      <alignment horizontal="center" vertical="center"/>
    </xf>
    <xf numFmtId="176" fontId="163" fillId="39" borderId="50" xfId="0" applyNumberFormat="1" applyFont="1" applyFill="1" applyBorder="1" applyAlignment="1">
      <alignment horizontal="center" vertical="center"/>
    </xf>
    <xf numFmtId="175" fontId="152" fillId="39" borderId="23" xfId="0" applyNumberFormat="1" applyFont="1" applyFill="1" applyBorder="1" applyAlignment="1">
      <alignment horizontal="center" vertical="center" wrapText="1" shrinkToFit="1"/>
    </xf>
    <xf numFmtId="0" fontId="163" fillId="40" borderId="47" xfId="0" applyFont="1" applyFill="1" applyBorder="1" applyAlignment="1">
      <alignment vertical="center"/>
    </xf>
    <xf numFmtId="0" fontId="163" fillId="40" borderId="69" xfId="0" applyFont="1" applyFill="1" applyBorder="1" applyAlignment="1">
      <alignment vertical="center"/>
    </xf>
    <xf numFmtId="180" fontId="163" fillId="40" borderId="47" xfId="47" applyNumberFormat="1" applyFont="1" applyFill="1" applyBorder="1" applyAlignment="1">
      <alignment horizontal="center" vertical="center"/>
    </xf>
    <xf numFmtId="3" fontId="163" fillId="40" borderId="47" xfId="0" applyNumberFormat="1" applyFont="1" applyFill="1" applyBorder="1" applyAlignment="1">
      <alignment horizontal="center" vertical="center"/>
    </xf>
    <xf numFmtId="3" fontId="163" fillId="2" borderId="47" xfId="0" applyNumberFormat="1" applyFont="1" applyFill="1" applyBorder="1" applyAlignment="1">
      <alignment vertical="center"/>
    </xf>
    <xf numFmtId="182" fontId="163" fillId="40" borderId="47" xfId="47" applyNumberFormat="1" applyFont="1" applyFill="1" applyBorder="1" applyAlignment="1">
      <alignment horizontal="center" vertical="center"/>
    </xf>
    <xf numFmtId="0" fontId="163" fillId="40" borderId="0" xfId="0" applyFont="1" applyFill="1"/>
    <xf numFmtId="182" fontId="163" fillId="40" borderId="69" xfId="47" applyNumberFormat="1" applyFont="1" applyFill="1" applyBorder="1" applyAlignment="1">
      <alignment horizontal="center" vertical="center"/>
    </xf>
    <xf numFmtId="3" fontId="163" fillId="2" borderId="69" xfId="0" applyNumberFormat="1" applyFont="1" applyFill="1" applyBorder="1" applyAlignment="1">
      <alignment vertical="center"/>
    </xf>
    <xf numFmtId="0" fontId="169" fillId="40" borderId="0" xfId="0" applyFont="1" applyFill="1" applyAlignment="1">
      <alignment vertical="center"/>
    </xf>
    <xf numFmtId="0" fontId="170" fillId="58" borderId="20" xfId="0" applyFont="1" applyFill="1" applyBorder="1" applyAlignment="1">
      <alignment horizontal="center" vertical="center" wrapText="1"/>
    </xf>
    <xf numFmtId="0" fontId="138" fillId="40" borderId="0" xfId="0" applyFont="1" applyFill="1" applyAlignment="1">
      <alignment horizontal="center"/>
    </xf>
    <xf numFmtId="0" fontId="171" fillId="56" borderId="50" xfId="59" applyFont="1" applyFill="1" applyBorder="1" applyAlignment="1">
      <alignment horizontal="center" vertical="center" wrapText="1"/>
    </xf>
    <xf numFmtId="3" fontId="171" fillId="56" borderId="50" xfId="59" applyNumberFormat="1" applyFont="1" applyFill="1" applyBorder="1" applyAlignment="1">
      <alignment horizontal="center" vertical="center" wrapText="1"/>
    </xf>
    <xf numFmtId="164" fontId="171" fillId="56" borderId="50" xfId="59" applyNumberFormat="1" applyFont="1" applyFill="1" applyBorder="1" applyAlignment="1">
      <alignment horizontal="center" vertical="center" wrapText="1"/>
    </xf>
    <xf numFmtId="0" fontId="172" fillId="2" borderId="0" xfId="59" applyFont="1" applyFill="1" applyAlignment="1">
      <alignment vertical="center"/>
    </xf>
    <xf numFmtId="0" fontId="138" fillId="0" borderId="0" xfId="59" applyFont="1" applyAlignment="1">
      <alignment vertical="center"/>
    </xf>
    <xf numFmtId="0" fontId="145" fillId="0" borderId="0" xfId="59" applyFont="1" applyAlignment="1">
      <alignment vertical="center"/>
    </xf>
    <xf numFmtId="0" fontId="144" fillId="2" borderId="0" xfId="59" applyFont="1" applyFill="1" applyAlignment="1">
      <alignment vertical="center"/>
    </xf>
    <xf numFmtId="0" fontId="170" fillId="2" borderId="0" xfId="59" applyFont="1" applyFill="1" applyAlignment="1">
      <alignment vertical="center"/>
    </xf>
    <xf numFmtId="0" fontId="173" fillId="2" borderId="0" xfId="59" applyFont="1" applyFill="1" applyAlignment="1">
      <alignment vertical="center"/>
    </xf>
    <xf numFmtId="0" fontId="173" fillId="0" borderId="0" xfId="59" applyFont="1" applyAlignment="1">
      <alignment vertical="center"/>
    </xf>
    <xf numFmtId="0" fontId="165" fillId="0" borderId="0" xfId="59" applyFont="1" applyAlignment="1">
      <alignment horizontal="center" vertical="center"/>
    </xf>
    <xf numFmtId="0" fontId="144" fillId="0" borderId="0" xfId="59" applyFont="1" applyAlignment="1">
      <alignment vertical="center"/>
    </xf>
    <xf numFmtId="0" fontId="174" fillId="0" borderId="0" xfId="59" applyFont="1" applyAlignment="1">
      <alignment vertical="center"/>
    </xf>
    <xf numFmtId="0" fontId="164" fillId="2" borderId="0" xfId="59" applyFont="1" applyFill="1" applyAlignment="1">
      <alignment vertical="center"/>
    </xf>
    <xf numFmtId="169" fontId="175" fillId="2" borderId="0" xfId="59" applyNumberFormat="1" applyFont="1" applyFill="1" applyAlignment="1">
      <alignment vertical="center"/>
    </xf>
    <xf numFmtId="169" fontId="176" fillId="2" borderId="0" xfId="59" applyNumberFormat="1" applyFont="1" applyFill="1" applyAlignment="1">
      <alignment vertical="center"/>
    </xf>
    <xf numFmtId="169" fontId="176" fillId="0" borderId="0" xfId="59" applyNumberFormat="1" applyFont="1" applyAlignment="1">
      <alignment vertical="center"/>
    </xf>
    <xf numFmtId="169" fontId="147" fillId="0" borderId="0" xfId="59" applyNumberFormat="1" applyFont="1" applyAlignment="1">
      <alignment horizontal="center" vertical="center"/>
    </xf>
    <xf numFmtId="0" fontId="164" fillId="0" borderId="0" xfId="59" applyFont="1" applyAlignment="1">
      <alignment vertical="center"/>
    </xf>
    <xf numFmtId="0" fontId="168" fillId="0" borderId="0" xfId="59" applyFont="1" applyAlignment="1">
      <alignment vertical="center"/>
    </xf>
    <xf numFmtId="0" fontId="177" fillId="2" borderId="0" xfId="59" applyFont="1" applyFill="1" applyAlignment="1">
      <alignment vertical="center"/>
    </xf>
    <xf numFmtId="17" fontId="157" fillId="0" borderId="3" xfId="59" applyNumberFormat="1" applyFont="1" applyBorder="1" applyAlignment="1">
      <alignment horizontal="left" vertical="center"/>
    </xf>
    <xf numFmtId="166" fontId="163" fillId="0" borderId="3" xfId="59" applyNumberFormat="1" applyFont="1" applyBorder="1" applyAlignment="1">
      <alignment vertical="center"/>
    </xf>
    <xf numFmtId="17" fontId="157" fillId="0" borderId="3" xfId="59" applyNumberFormat="1" applyFont="1" applyBorder="1" applyAlignment="1">
      <alignment horizontal="left" vertical="center" wrapText="1" shrinkToFit="1"/>
    </xf>
    <xf numFmtId="3" fontId="166" fillId="2" borderId="0" xfId="49" applyNumberFormat="1" applyFont="1" applyFill="1" applyBorder="1" applyAlignment="1">
      <alignment horizontal="center" vertical="center"/>
    </xf>
    <xf numFmtId="3" fontId="166" fillId="0" borderId="0" xfId="49" applyNumberFormat="1" applyFont="1" applyFill="1" applyBorder="1" applyAlignment="1">
      <alignment horizontal="center" vertical="center"/>
    </xf>
    <xf numFmtId="0" fontId="179" fillId="2" borderId="0" xfId="59" applyFont="1" applyFill="1" applyAlignment="1">
      <alignment vertical="center"/>
    </xf>
    <xf numFmtId="175" fontId="152" fillId="2" borderId="26" xfId="59" applyNumberFormat="1" applyFont="1" applyFill="1" applyBorder="1" applyAlignment="1">
      <alignment horizontal="center" vertical="center"/>
    </xf>
    <xf numFmtId="175" fontId="152" fillId="53" borderId="21" xfId="59" applyNumberFormat="1" applyFont="1" applyFill="1" applyBorder="1" applyAlignment="1">
      <alignment horizontal="center" vertical="center"/>
    </xf>
    <xf numFmtId="0" fontId="179" fillId="0" borderId="0" xfId="59" applyFont="1" applyAlignment="1">
      <alignment vertical="center"/>
    </xf>
    <xf numFmtId="0" fontId="181" fillId="2" borderId="0" xfId="59" applyFont="1" applyFill="1" applyAlignment="1">
      <alignment vertical="center"/>
    </xf>
    <xf numFmtId="175" fontId="180" fillId="49" borderId="3" xfId="59" applyNumberFormat="1" applyFont="1" applyFill="1" applyBorder="1" applyAlignment="1">
      <alignment horizontal="center" vertical="center"/>
    </xf>
    <xf numFmtId="175" fontId="152" fillId="53" borderId="19" xfId="59" applyNumberFormat="1" applyFont="1" applyFill="1" applyBorder="1" applyAlignment="1">
      <alignment horizontal="center" vertical="center"/>
    </xf>
    <xf numFmtId="0" fontId="181" fillId="0" borderId="0" xfId="59" applyFont="1" applyAlignment="1">
      <alignment vertical="center"/>
    </xf>
    <xf numFmtId="17" fontId="182" fillId="0" borderId="3" xfId="59" applyNumberFormat="1" applyFont="1" applyBorder="1" applyAlignment="1">
      <alignment horizontal="center" vertical="center" wrapText="1" shrinkToFit="1"/>
    </xf>
    <xf numFmtId="176" fontId="183" fillId="0" borderId="3" xfId="47" applyNumberFormat="1" applyFont="1" applyFill="1" applyBorder="1" applyAlignment="1">
      <alignment vertical="center"/>
    </xf>
    <xf numFmtId="174" fontId="183" fillId="0" borderId="3" xfId="59" applyNumberFormat="1" applyFont="1" applyBorder="1" applyAlignment="1">
      <alignment vertical="center"/>
    </xf>
    <xf numFmtId="0" fontId="138" fillId="0" borderId="0" xfId="59" applyFont="1"/>
    <xf numFmtId="164" fontId="145" fillId="0" borderId="0" xfId="59" applyNumberFormat="1" applyFont="1"/>
    <xf numFmtId="164" fontId="143" fillId="0" borderId="0" xfId="59" applyNumberFormat="1" applyFont="1"/>
    <xf numFmtId="0" fontId="145" fillId="0" borderId="0" xfId="59" applyFont="1"/>
    <xf numFmtId="175" fontId="141" fillId="39" borderId="3" xfId="59" applyNumberFormat="1" applyFont="1" applyFill="1" applyBorder="1" applyAlignment="1">
      <alignment horizontal="center" vertical="center"/>
    </xf>
    <xf numFmtId="0" fontId="186" fillId="39" borderId="20" xfId="59" applyFont="1" applyFill="1" applyBorder="1" applyAlignment="1">
      <alignment horizontal="center" vertical="center" wrapText="1"/>
    </xf>
    <xf numFmtId="0" fontId="189" fillId="39" borderId="20" xfId="59" applyFont="1" applyFill="1" applyBorder="1" applyAlignment="1">
      <alignment horizontal="center" vertical="center" wrapText="1"/>
    </xf>
    <xf numFmtId="0" fontId="190" fillId="2" borderId="0" xfId="59" applyFont="1" applyFill="1" applyAlignment="1">
      <alignment vertical="center"/>
    </xf>
    <xf numFmtId="0" fontId="190" fillId="39" borderId="0" xfId="59" applyFont="1" applyFill="1" applyAlignment="1">
      <alignment horizontal="center" vertical="center"/>
    </xf>
    <xf numFmtId="0" fontId="161" fillId="56" borderId="3" xfId="59" applyFont="1" applyFill="1" applyBorder="1" applyAlignment="1">
      <alignment horizontal="center" vertical="center"/>
    </xf>
    <xf numFmtId="174" fontId="161" fillId="56" borderId="3" xfId="59" applyNumberFormat="1" applyFont="1" applyFill="1" applyBorder="1" applyAlignment="1">
      <alignment vertical="center"/>
    </xf>
    <xf numFmtId="166" fontId="163" fillId="39" borderId="3" xfId="59" applyNumberFormat="1" applyFont="1" applyFill="1" applyBorder="1" applyAlignment="1">
      <alignment vertical="center"/>
    </xf>
    <xf numFmtId="17" fontId="157" fillId="39" borderId="3" xfId="59" applyNumberFormat="1" applyFont="1" applyFill="1" applyBorder="1" applyAlignment="1">
      <alignment horizontal="left" vertical="center"/>
    </xf>
    <xf numFmtId="0" fontId="172" fillId="2" borderId="0" xfId="0" applyFont="1" applyFill="1"/>
    <xf numFmtId="0" fontId="138" fillId="2" borderId="0" xfId="0" applyFont="1" applyFill="1"/>
    <xf numFmtId="0" fontId="144" fillId="2" borderId="0" xfId="0" applyFont="1" applyFill="1"/>
    <xf numFmtId="0" fontId="164" fillId="2" borderId="0" xfId="0" applyFont="1" applyFill="1"/>
    <xf numFmtId="175" fontId="190" fillId="39" borderId="1" xfId="0" applyNumberFormat="1" applyFont="1" applyFill="1" applyBorder="1" applyAlignment="1">
      <alignment horizontal="center" vertical="center" wrapText="1" shrinkToFit="1"/>
    </xf>
    <xf numFmtId="175" fontId="155" fillId="0" borderId="0" xfId="0" applyNumberFormat="1" applyFont="1" applyAlignment="1">
      <alignment horizontal="center" vertical="center" wrapText="1" shrinkToFit="1"/>
    </xf>
    <xf numFmtId="0" fontId="138" fillId="0" borderId="0" xfId="0" applyFont="1"/>
    <xf numFmtId="17" fontId="138" fillId="49" borderId="1" xfId="0" applyNumberFormat="1" applyFont="1" applyFill="1" applyBorder="1" applyAlignment="1">
      <alignment horizontal="center"/>
    </xf>
    <xf numFmtId="176" fontId="138" fillId="2" borderId="1" xfId="47" applyNumberFormat="1" applyFont="1" applyFill="1" applyBorder="1" applyAlignment="1">
      <alignment vertical="center"/>
    </xf>
    <xf numFmtId="172" fontId="138" fillId="39" borderId="1" xfId="47" applyNumberFormat="1" applyFont="1" applyFill="1" applyBorder="1" applyAlignment="1">
      <alignment vertical="center"/>
    </xf>
    <xf numFmtId="172" fontId="138" fillId="2" borderId="1" xfId="47" applyNumberFormat="1" applyFont="1" applyFill="1" applyBorder="1" applyAlignment="1">
      <alignment vertical="center"/>
    </xf>
    <xf numFmtId="176" fontId="156" fillId="40" borderId="0" xfId="47" applyNumberFormat="1" applyFont="1" applyFill="1"/>
    <xf numFmtId="17" fontId="160" fillId="56" borderId="60" xfId="0" applyNumberFormat="1" applyFont="1" applyFill="1" applyBorder="1" applyAlignment="1">
      <alignment horizontal="center"/>
    </xf>
    <xf numFmtId="3" fontId="160" fillId="56" borderId="60" xfId="0" applyNumberFormat="1" applyFont="1" applyFill="1" applyBorder="1" applyAlignment="1">
      <alignment vertical="center"/>
    </xf>
    <xf numFmtId="0" fontId="156" fillId="40" borderId="0" xfId="0" applyFont="1" applyFill="1"/>
    <xf numFmtId="3" fontId="156" fillId="40" borderId="0" xfId="0" applyNumberFormat="1" applyFont="1" applyFill="1"/>
    <xf numFmtId="176" fontId="156" fillId="40" borderId="0" xfId="0" applyNumberFormat="1" applyFont="1" applyFill="1"/>
    <xf numFmtId="0" fontId="156" fillId="0" borderId="0" xfId="0" applyFont="1"/>
    <xf numFmtId="172" fontId="156" fillId="40" borderId="0" xfId="0" applyNumberFormat="1" applyFont="1" applyFill="1"/>
    <xf numFmtId="166" fontId="156" fillId="40" borderId="0" xfId="0" applyNumberFormat="1" applyFont="1" applyFill="1"/>
    <xf numFmtId="172" fontId="187" fillId="40" borderId="0" xfId="0" applyNumberFormat="1" applyFont="1" applyFill="1"/>
    <xf numFmtId="0" fontId="138" fillId="2" borderId="0" xfId="59" applyFont="1" applyFill="1"/>
    <xf numFmtId="3" fontId="138" fillId="2" borderId="0" xfId="59" applyNumberFormat="1" applyFont="1" applyFill="1" applyAlignment="1">
      <alignment horizontal="right" vertical="center"/>
    </xf>
    <xf numFmtId="0" fontId="192" fillId="2" borderId="0" xfId="59" applyFont="1" applyFill="1" applyAlignment="1">
      <alignment horizontal="center"/>
    </xf>
    <xf numFmtId="0" fontId="164" fillId="2" borderId="0" xfId="59" applyFont="1" applyFill="1"/>
    <xf numFmtId="169" fontId="193" fillId="2" borderId="0" xfId="59" applyNumberFormat="1" applyFont="1" applyFill="1" applyAlignment="1">
      <alignment horizontal="center"/>
    </xf>
    <xf numFmtId="0" fontId="164" fillId="0" borderId="0" xfId="59" applyFont="1"/>
    <xf numFmtId="3" fontId="152" fillId="40" borderId="1" xfId="59" applyNumberFormat="1" applyFont="1" applyFill="1" applyBorder="1" applyAlignment="1">
      <alignment horizontal="center" vertical="center"/>
    </xf>
    <xf numFmtId="0" fontId="138" fillId="2" borderId="0" xfId="59" applyFont="1" applyFill="1" applyAlignment="1">
      <alignment horizontal="center"/>
    </xf>
    <xf numFmtId="3" fontId="152" fillId="40" borderId="0" xfId="59" applyNumberFormat="1" applyFont="1" applyFill="1" applyAlignment="1">
      <alignment horizontal="center" vertical="center"/>
    </xf>
    <xf numFmtId="164" fontId="152" fillId="40" borderId="1" xfId="59" applyNumberFormat="1" applyFont="1" applyFill="1" applyBorder="1" applyAlignment="1">
      <alignment horizontal="center" vertical="center"/>
    </xf>
    <xf numFmtId="164" fontId="152" fillId="40" borderId="0" xfId="59" applyNumberFormat="1" applyFont="1" applyFill="1" applyAlignment="1">
      <alignment horizontal="center" vertical="center"/>
    </xf>
    <xf numFmtId="164" fontId="138" fillId="2" borderId="0" xfId="59" applyNumberFormat="1" applyFont="1" applyFill="1"/>
    <xf numFmtId="0" fontId="143" fillId="2" borderId="0" xfId="59" applyFont="1" applyFill="1"/>
    <xf numFmtId="0" fontId="152" fillId="0" borderId="0" xfId="59" applyFont="1" applyAlignment="1">
      <alignment wrapText="1"/>
    </xf>
    <xf numFmtId="3" fontId="138" fillId="2" borderId="1" xfId="59" applyNumberFormat="1" applyFont="1" applyFill="1" applyBorder="1" applyAlignment="1">
      <alignment horizontal="center"/>
    </xf>
    <xf numFmtId="176" fontId="138" fillId="2" borderId="1" xfId="47" applyNumberFormat="1" applyFont="1" applyFill="1" applyBorder="1" applyAlignment="1">
      <alignment horizontal="right" vertical="center"/>
    </xf>
    <xf numFmtId="174" fontId="156" fillId="2" borderId="1" xfId="59" applyNumberFormat="1" applyFont="1" applyFill="1" applyBorder="1" applyAlignment="1">
      <alignment horizontal="center"/>
    </xf>
    <xf numFmtId="176" fontId="156" fillId="2" borderId="1" xfId="47" applyNumberFormat="1" applyFont="1" applyFill="1" applyBorder="1" applyAlignment="1">
      <alignment horizontal="right" vertical="center"/>
    </xf>
    <xf numFmtId="0" fontId="152" fillId="0" borderId="0" xfId="59" applyFont="1"/>
    <xf numFmtId="0" fontId="156" fillId="40" borderId="0" xfId="59" applyFont="1" applyFill="1"/>
    <xf numFmtId="178" fontId="156" fillId="40" borderId="0" xfId="47" applyNumberFormat="1" applyFont="1" applyFill="1"/>
    <xf numFmtId="178" fontId="156" fillId="40" borderId="0" xfId="47" applyNumberFormat="1" applyFont="1" applyFill="1" applyBorder="1"/>
    <xf numFmtId="178" fontId="156" fillId="40" borderId="0" xfId="47" applyNumberFormat="1" applyFont="1" applyFill="1" applyBorder="1" applyAlignment="1">
      <alignment horizontal="center"/>
    </xf>
    <xf numFmtId="164" fontId="156" fillId="40" borderId="0" xfId="59" applyNumberFormat="1" applyFont="1" applyFill="1" applyAlignment="1">
      <alignment horizontal="right" vertical="center"/>
    </xf>
    <xf numFmtId="164" fontId="156" fillId="40" borderId="0" xfId="59" applyNumberFormat="1" applyFont="1" applyFill="1"/>
    <xf numFmtId="0" fontId="156" fillId="2" borderId="0" xfId="59" applyFont="1" applyFill="1"/>
    <xf numFmtId="3" fontId="156" fillId="2" borderId="0" xfId="59" applyNumberFormat="1" applyFont="1" applyFill="1"/>
    <xf numFmtId="0" fontId="156" fillId="2" borderId="0" xfId="59" applyFont="1" applyFill="1" applyAlignment="1">
      <alignment horizontal="center"/>
    </xf>
    <xf numFmtId="164" fontId="156" fillId="2" borderId="0" xfId="59" applyNumberFormat="1" applyFont="1" applyFill="1" applyAlignment="1">
      <alignment horizontal="center"/>
    </xf>
    <xf numFmtId="176" fontId="156" fillId="2" borderId="0" xfId="47" applyNumberFormat="1" applyFont="1" applyFill="1" applyAlignment="1">
      <alignment horizontal="center"/>
    </xf>
    <xf numFmtId="176" fontId="156" fillId="2" borderId="0" xfId="59" applyNumberFormat="1" applyFont="1" applyFill="1" applyAlignment="1">
      <alignment horizontal="center"/>
    </xf>
    <xf numFmtId="0" fontId="145" fillId="2" borderId="0" xfId="59" applyFont="1" applyFill="1" applyAlignment="1">
      <alignment horizontal="center"/>
    </xf>
    <xf numFmtId="3" fontId="156" fillId="2" borderId="0" xfId="59" applyNumberFormat="1" applyFont="1" applyFill="1" applyAlignment="1">
      <alignment horizontal="center"/>
    </xf>
    <xf numFmtId="0" fontId="138" fillId="0" borderId="0" xfId="59" applyFont="1" applyAlignment="1">
      <alignment horizontal="center"/>
    </xf>
    <xf numFmtId="0" fontId="156" fillId="0" borderId="0" xfId="59" applyFont="1" applyAlignment="1">
      <alignment horizontal="center"/>
    </xf>
    <xf numFmtId="0" fontId="141" fillId="39" borderId="1" xfId="59" applyFont="1" applyFill="1" applyBorder="1" applyAlignment="1">
      <alignment horizontal="center" vertical="center" wrapText="1"/>
    </xf>
    <xf numFmtId="0" fontId="185" fillId="39" borderId="1" xfId="59" applyFont="1" applyFill="1" applyBorder="1" applyAlignment="1">
      <alignment horizontal="center" vertical="center" wrapText="1"/>
    </xf>
    <xf numFmtId="0" fontId="185" fillId="39" borderId="1" xfId="59" applyFont="1" applyFill="1" applyBorder="1" applyAlignment="1">
      <alignment horizontal="center" vertical="center" wrapText="1" shrinkToFit="1"/>
    </xf>
    <xf numFmtId="0" fontId="184" fillId="39" borderId="1" xfId="59" applyFont="1" applyFill="1" applyBorder="1" applyAlignment="1">
      <alignment horizontal="center" vertical="center" wrapText="1" shrinkToFit="1"/>
    </xf>
    <xf numFmtId="0" fontId="184" fillId="39" borderId="18" xfId="59" applyFont="1" applyFill="1" applyBorder="1" applyAlignment="1">
      <alignment horizontal="left" vertical="center"/>
    </xf>
    <xf numFmtId="0" fontId="184" fillId="39" borderId="22" xfId="59" applyFont="1" applyFill="1" applyBorder="1" applyAlignment="1">
      <alignment horizontal="left" vertical="center"/>
    </xf>
    <xf numFmtId="164" fontId="196" fillId="56" borderId="60" xfId="59" applyNumberFormat="1" applyFont="1" applyFill="1" applyBorder="1" applyAlignment="1">
      <alignment horizontal="center" vertical="center"/>
    </xf>
    <xf numFmtId="0" fontId="152" fillId="2" borderId="0" xfId="0" applyFont="1" applyFill="1" applyAlignment="1">
      <alignment horizontal="center"/>
    </xf>
    <xf numFmtId="0" fontId="138" fillId="2" borderId="0" xfId="0" applyFont="1" applyFill="1" applyAlignment="1">
      <alignment horizontal="center"/>
    </xf>
    <xf numFmtId="172" fontId="138" fillId="2" borderId="0" xfId="47" applyNumberFormat="1" applyFont="1" applyFill="1"/>
    <xf numFmtId="166" fontId="195" fillId="0" borderId="57" xfId="0" applyNumberFormat="1" applyFont="1" applyBorder="1" applyAlignment="1">
      <alignment vertical="center"/>
    </xf>
    <xf numFmtId="166" fontId="138" fillId="2" borderId="0" xfId="0" applyNumberFormat="1" applyFont="1" applyFill="1" applyAlignment="1">
      <alignment horizontal="center"/>
    </xf>
    <xf numFmtId="166" fontId="157" fillId="43" borderId="48" xfId="0" applyNumberFormat="1" applyFont="1" applyFill="1" applyBorder="1" applyAlignment="1">
      <alignment horizontal="center" vertical="center" wrapText="1" shrinkToFit="1"/>
    </xf>
    <xf numFmtId="166" fontId="132" fillId="39" borderId="0" xfId="0" applyNumberFormat="1" applyFont="1" applyFill="1" applyAlignment="1">
      <alignment vertical="center" textRotation="255" wrapText="1" shrinkToFit="1"/>
    </xf>
    <xf numFmtId="0" fontId="88" fillId="40" borderId="0" xfId="60" applyFont="1" applyFill="1"/>
    <xf numFmtId="166" fontId="132" fillId="0" borderId="0" xfId="0" applyNumberFormat="1" applyFont="1" applyAlignment="1">
      <alignment vertical="center" textRotation="255" wrapText="1" shrinkToFit="1"/>
    </xf>
    <xf numFmtId="0" fontId="143" fillId="0" borderId="22" xfId="0" applyFont="1" applyBorder="1" applyAlignment="1">
      <alignment vertical="center"/>
    </xf>
    <xf numFmtId="172" fontId="159" fillId="40" borderId="1" xfId="47" applyNumberFormat="1" applyFont="1" applyFill="1" applyBorder="1" applyAlignment="1">
      <alignment vertical="center"/>
    </xf>
    <xf numFmtId="172" fontId="159" fillId="40" borderId="0" xfId="47" applyNumberFormat="1" applyFont="1" applyFill="1" applyBorder="1" applyAlignment="1">
      <alignment vertical="center"/>
    </xf>
    <xf numFmtId="172" fontId="153" fillId="40" borderId="0" xfId="47" applyNumberFormat="1" applyFont="1" applyFill="1" applyBorder="1" applyAlignment="1">
      <alignment horizontal="center" vertical="center"/>
    </xf>
    <xf numFmtId="3" fontId="156" fillId="40" borderId="0" xfId="0" applyNumberFormat="1" applyFont="1" applyFill="1" applyAlignment="1">
      <alignment horizontal="center"/>
    </xf>
    <xf numFmtId="0" fontId="156" fillId="40" borderId="0" xfId="0" applyFont="1" applyFill="1" applyAlignment="1">
      <alignment horizontal="center"/>
    </xf>
    <xf numFmtId="179" fontId="153" fillId="41" borderId="0" xfId="73" applyNumberFormat="1" applyFont="1" applyFill="1" applyAlignment="1">
      <alignment horizontal="center"/>
    </xf>
    <xf numFmtId="166" fontId="152" fillId="53" borderId="48" xfId="0" applyNumberFormat="1" applyFont="1" applyFill="1" applyBorder="1" applyAlignment="1">
      <alignment horizontal="center" vertical="center" wrapText="1" shrinkToFit="1"/>
    </xf>
    <xf numFmtId="166" fontId="152" fillId="0" borderId="48" xfId="0" applyNumberFormat="1" applyFont="1" applyBorder="1" applyAlignment="1">
      <alignment horizontal="center" vertical="center" wrapText="1" shrinkToFit="1"/>
    </xf>
    <xf numFmtId="0" fontId="199" fillId="40" borderId="0" xfId="0" applyFont="1" applyFill="1"/>
    <xf numFmtId="176" fontId="138" fillId="0" borderId="0" xfId="47" applyNumberFormat="1" applyFont="1" applyFill="1"/>
    <xf numFmtId="176" fontId="138" fillId="0" borderId="0" xfId="47" applyNumberFormat="1" applyFont="1" applyFill="1" applyAlignment="1">
      <alignment horizontal="center"/>
    </xf>
    <xf numFmtId="0" fontId="199" fillId="0" borderId="0" xfId="0" applyFont="1"/>
    <xf numFmtId="0" fontId="138" fillId="40" borderId="50" xfId="0" applyFont="1" applyFill="1" applyBorder="1" applyAlignment="1">
      <alignment horizontal="right"/>
    </xf>
    <xf numFmtId="176" fontId="138" fillId="0" borderId="50" xfId="0" applyNumberFormat="1" applyFont="1" applyBorder="1"/>
    <xf numFmtId="0" fontId="138" fillId="0" borderId="0" xfId="0" applyFont="1" applyAlignment="1">
      <alignment horizontal="center"/>
    </xf>
    <xf numFmtId="0" fontId="163" fillId="39" borderId="50" xfId="0" applyFont="1" applyFill="1" applyBorder="1"/>
    <xf numFmtId="176" fontId="138" fillId="39" borderId="50" xfId="0" applyNumberFormat="1" applyFont="1" applyFill="1" applyBorder="1"/>
    <xf numFmtId="166" fontId="197" fillId="39" borderId="61" xfId="0" applyNumberFormat="1" applyFont="1" applyFill="1" applyBorder="1" applyAlignment="1">
      <alignment vertical="center" textRotation="255" wrapText="1" shrinkToFit="1"/>
    </xf>
    <xf numFmtId="166" fontId="138" fillId="39" borderId="61" xfId="0" applyNumberFormat="1" applyFont="1" applyFill="1" applyBorder="1" applyAlignment="1">
      <alignment horizontal="center" vertical="center"/>
    </xf>
    <xf numFmtId="166" fontId="160" fillId="56" borderId="76" xfId="0" applyNumberFormat="1" applyFont="1" applyFill="1" applyBorder="1" applyAlignment="1">
      <alignment horizontal="center" vertical="center" wrapText="1" shrinkToFit="1"/>
    </xf>
    <xf numFmtId="166" fontId="188" fillId="56" borderId="76" xfId="0" applyNumberFormat="1" applyFont="1" applyFill="1" applyBorder="1" applyAlignment="1">
      <alignment horizontal="center" vertical="center"/>
    </xf>
    <xf numFmtId="166" fontId="160" fillId="56" borderId="76" xfId="47" applyNumberFormat="1" applyFont="1" applyFill="1" applyBorder="1" applyAlignment="1">
      <alignment vertical="center"/>
    </xf>
    <xf numFmtId="176" fontId="200" fillId="2" borderId="0" xfId="47" applyNumberFormat="1" applyFont="1" applyFill="1" applyBorder="1" applyAlignment="1">
      <alignment vertical="center"/>
    </xf>
    <xf numFmtId="3" fontId="152" fillId="40" borderId="64" xfId="59" applyNumberFormat="1" applyFont="1" applyFill="1" applyBorder="1" applyAlignment="1">
      <alignment horizontal="center" vertical="center"/>
    </xf>
    <xf numFmtId="0" fontId="181" fillId="40" borderId="0" xfId="45431" applyFont="1" applyFill="1" applyAlignment="1" applyProtection="1">
      <alignment horizontal="right" vertical="center"/>
      <protection locked="0"/>
    </xf>
    <xf numFmtId="3" fontId="129" fillId="40" borderId="78" xfId="59" applyNumberFormat="1" applyFont="1" applyFill="1" applyBorder="1" applyAlignment="1">
      <alignment horizontal="center" vertical="center"/>
    </xf>
    <xf numFmtId="3" fontId="152" fillId="40" borderId="79" xfId="59" applyNumberFormat="1" applyFont="1" applyFill="1" applyBorder="1" applyAlignment="1">
      <alignment horizontal="center" vertical="center"/>
    </xf>
    <xf numFmtId="3" fontId="129" fillId="39" borderId="77" xfId="59" applyNumberFormat="1" applyFont="1" applyFill="1" applyBorder="1" applyAlignment="1">
      <alignment horizontal="center" vertical="center"/>
    </xf>
    <xf numFmtId="0" fontId="128" fillId="40" borderId="0" xfId="59" applyFont="1" applyFill="1" applyAlignment="1" applyProtection="1">
      <alignment horizontal="left" vertical="center" indent="2"/>
      <protection locked="0"/>
    </xf>
    <xf numFmtId="9" fontId="129" fillId="40" borderId="78" xfId="73" applyFont="1" applyFill="1" applyBorder="1" applyAlignment="1" applyProtection="1">
      <alignment horizontal="center" vertical="center"/>
    </xf>
    <xf numFmtId="9" fontId="129" fillId="39" borderId="77" xfId="73" applyFont="1" applyFill="1" applyBorder="1" applyAlignment="1" applyProtection="1">
      <alignment horizontal="center" vertical="center"/>
    </xf>
    <xf numFmtId="9" fontId="152" fillId="40" borderId="79" xfId="73" applyFont="1" applyFill="1" applyBorder="1" applyAlignment="1" applyProtection="1">
      <alignment horizontal="center" vertical="center"/>
    </xf>
    <xf numFmtId="41" fontId="0" fillId="0" borderId="0" xfId="45426" applyFont="1" applyBorder="1" applyAlignment="1">
      <alignment horizontal="right"/>
    </xf>
    <xf numFmtId="2" fontId="143" fillId="57" borderId="51" xfId="59" applyNumberFormat="1" applyFont="1" applyFill="1" applyBorder="1" applyAlignment="1">
      <alignment horizontal="right" vertical="center"/>
    </xf>
    <xf numFmtId="3" fontId="155" fillId="57" borderId="51" xfId="59" applyNumberFormat="1" applyFont="1" applyFill="1" applyBorder="1" applyAlignment="1">
      <alignment horizontal="center" vertical="center"/>
    </xf>
    <xf numFmtId="3" fontId="143" fillId="57" borderId="52" xfId="59" applyNumberFormat="1" applyFont="1" applyFill="1" applyBorder="1" applyAlignment="1">
      <alignment horizontal="center" vertical="center"/>
    </xf>
    <xf numFmtId="180" fontId="143" fillId="57" borderId="51" xfId="59" applyNumberFormat="1" applyFont="1" applyFill="1" applyBorder="1" applyAlignment="1">
      <alignment vertical="center"/>
    </xf>
    <xf numFmtId="0" fontId="155" fillId="0" borderId="0" xfId="0" applyFont="1" applyAlignment="1">
      <alignment vertical="center"/>
    </xf>
    <xf numFmtId="3" fontId="143" fillId="57" borderId="51" xfId="59" applyNumberFormat="1" applyFont="1" applyFill="1" applyBorder="1" applyAlignment="1">
      <alignment horizontal="center" vertical="center"/>
    </xf>
    <xf numFmtId="166" fontId="143" fillId="57" borderId="51" xfId="59" applyNumberFormat="1" applyFont="1" applyFill="1" applyBorder="1" applyAlignment="1">
      <alignment vertical="center"/>
    </xf>
    <xf numFmtId="2" fontId="143" fillId="57" borderId="52" xfId="59" applyNumberFormat="1" applyFont="1" applyFill="1" applyBorder="1" applyAlignment="1">
      <alignment horizontal="right" vertical="center"/>
    </xf>
    <xf numFmtId="0" fontId="155" fillId="39" borderId="50" xfId="59" applyFont="1" applyFill="1" applyBorder="1" applyAlignment="1">
      <alignment horizontal="center" vertical="center" wrapText="1"/>
    </xf>
    <xf numFmtId="3" fontId="143" fillId="39" borderId="50" xfId="59" applyNumberFormat="1" applyFont="1" applyFill="1" applyBorder="1" applyAlignment="1">
      <alignment horizontal="center" vertical="center" wrapText="1"/>
    </xf>
    <xf numFmtId="164" fontId="155" fillId="39" borderId="50" xfId="59" applyNumberFormat="1" applyFont="1" applyFill="1" applyBorder="1" applyAlignment="1">
      <alignment horizontal="center" vertical="center" wrapText="1"/>
    </xf>
    <xf numFmtId="171" fontId="201" fillId="0" borderId="0" xfId="0" applyNumberFormat="1" applyFont="1" applyAlignment="1">
      <alignment horizontal="center" vertical="center" wrapText="1"/>
    </xf>
    <xf numFmtId="0" fontId="155" fillId="2" borderId="0" xfId="0" applyFont="1" applyFill="1" applyAlignment="1">
      <alignment vertical="center" wrapText="1"/>
    </xf>
    <xf numFmtId="0" fontId="155" fillId="0" borderId="0" xfId="0" applyFont="1" applyAlignment="1">
      <alignment vertical="center" wrapText="1"/>
    </xf>
    <xf numFmtId="0" fontId="143" fillId="40" borderId="0" xfId="0" applyFont="1" applyFill="1" applyAlignment="1">
      <alignment vertical="center"/>
    </xf>
    <xf numFmtId="17" fontId="141" fillId="2" borderId="1" xfId="59" applyNumberFormat="1" applyFont="1" applyFill="1" applyBorder="1" applyAlignment="1">
      <alignment horizontal="center" vertical="center"/>
    </xf>
    <xf numFmtId="174" fontId="152" fillId="40" borderId="0" xfId="59" applyNumberFormat="1" applyFont="1" applyFill="1" applyAlignment="1">
      <alignment horizontal="left" vertical="center"/>
    </xf>
    <xf numFmtId="3" fontId="129" fillId="40" borderId="0" xfId="59" applyNumberFormat="1" applyFont="1" applyFill="1" applyAlignment="1">
      <alignment horizontal="center" vertical="center"/>
    </xf>
    <xf numFmtId="176" fontId="129" fillId="40" borderId="0" xfId="59" applyNumberFormat="1" applyFont="1" applyFill="1" applyAlignment="1">
      <alignment horizontal="center" vertical="center"/>
    </xf>
    <xf numFmtId="174" fontId="155" fillId="40" borderId="0" xfId="59" applyNumberFormat="1" applyFont="1" applyFill="1" applyAlignment="1">
      <alignment horizontal="center" vertical="center"/>
    </xf>
    <xf numFmtId="2" fontId="143" fillId="0" borderId="2" xfId="0" applyNumberFormat="1" applyFont="1" applyBorder="1" applyAlignment="1">
      <alignment horizontal="center" vertical="center"/>
    </xf>
    <xf numFmtId="0" fontId="163" fillId="39" borderId="0" xfId="0" applyFont="1" applyFill="1" applyAlignment="1">
      <alignment horizontal="center" vertical="center"/>
    </xf>
    <xf numFmtId="3" fontId="157" fillId="57" borderId="51" xfId="59" applyNumberFormat="1" applyFont="1" applyFill="1" applyBorder="1" applyAlignment="1">
      <alignment horizontal="center" vertical="center"/>
    </xf>
    <xf numFmtId="0" fontId="203" fillId="2" borderId="0" xfId="59" applyFont="1" applyFill="1" applyAlignment="1">
      <alignment vertical="center"/>
    </xf>
    <xf numFmtId="180" fontId="155" fillId="39" borderId="50" xfId="59" applyNumberFormat="1" applyFont="1" applyFill="1" applyBorder="1" applyAlignment="1">
      <alignment horizontal="center" vertical="center" wrapText="1"/>
    </xf>
    <xf numFmtId="9" fontId="103" fillId="40" borderId="0" xfId="73" applyFont="1" applyFill="1" applyAlignment="1" applyProtection="1">
      <alignment horizontal="center" vertical="center"/>
      <protection locked="0"/>
    </xf>
    <xf numFmtId="0" fontId="205" fillId="56" borderId="0" xfId="59" applyFont="1" applyFill="1" applyAlignment="1" applyProtection="1">
      <alignment horizontal="center" vertical="center"/>
      <protection locked="0"/>
    </xf>
    <xf numFmtId="0" fontId="143" fillId="40" borderId="2" xfId="0" applyFont="1" applyFill="1" applyBorder="1" applyAlignment="1">
      <alignment horizontal="center" vertical="center"/>
    </xf>
    <xf numFmtId="3" fontId="138" fillId="40" borderId="0" xfId="0" applyNumberFormat="1" applyFont="1" applyFill="1"/>
    <xf numFmtId="176" fontId="0" fillId="0" borderId="0" xfId="47" applyNumberFormat="1" applyFont="1" applyBorder="1" applyAlignment="1"/>
    <xf numFmtId="0" fontId="62" fillId="41" borderId="0" xfId="0" applyFont="1" applyFill="1" applyAlignment="1" applyProtection="1">
      <alignment horizontal="center"/>
      <protection locked="0"/>
    </xf>
    <xf numFmtId="176" fontId="62" fillId="41" borderId="0" xfId="47" applyNumberFormat="1" applyFont="1" applyFill="1" applyBorder="1" applyAlignment="1" applyProtection="1">
      <alignment horizontal="center"/>
      <protection locked="0"/>
    </xf>
    <xf numFmtId="0" fontId="62" fillId="0" borderId="0" xfId="0" applyFont="1"/>
    <xf numFmtId="0" fontId="206" fillId="0" borderId="0" xfId="0" applyFont="1" applyAlignment="1">
      <alignment horizontal="center" vertical="center"/>
    </xf>
    <xf numFmtId="176" fontId="62" fillId="0" borderId="0" xfId="420" applyNumberFormat="1" applyFont="1" applyFill="1" applyBorder="1" applyAlignment="1">
      <alignment horizontal="center"/>
    </xf>
    <xf numFmtId="0" fontId="62" fillId="0" borderId="0" xfId="0" applyFont="1" applyAlignment="1">
      <alignment horizontal="center"/>
    </xf>
    <xf numFmtId="0" fontId="62" fillId="0" borderId="0" xfId="0" applyFont="1" applyAlignment="1">
      <alignment horizontal="center" vertical="center"/>
    </xf>
    <xf numFmtId="176" fontId="62" fillId="0" borderId="0" xfId="420" applyNumberFormat="1" applyFont="1" applyAlignment="1">
      <alignment horizontal="center"/>
    </xf>
    <xf numFmtId="0" fontId="62" fillId="38" borderId="0" xfId="0" applyFont="1" applyFill="1" applyAlignment="1">
      <alignment horizontal="center" vertical="center"/>
    </xf>
    <xf numFmtId="0" fontId="62" fillId="59" borderId="0" xfId="0" applyFont="1" applyFill="1" applyAlignment="1">
      <alignment horizontal="center" vertical="center"/>
    </xf>
    <xf numFmtId="0" fontId="143" fillId="0" borderId="0" xfId="0" applyFont="1" applyAlignment="1">
      <alignment horizontal="center" vertical="center"/>
    </xf>
    <xf numFmtId="0" fontId="163" fillId="40" borderId="0" xfId="0" applyFont="1" applyFill="1" applyAlignment="1">
      <alignment horizontal="center" vertical="center"/>
    </xf>
    <xf numFmtId="176" fontId="138" fillId="40" borderId="0" xfId="47" applyNumberFormat="1" applyFont="1" applyFill="1"/>
    <xf numFmtId="176" fontId="138" fillId="40" borderId="0" xfId="0" applyNumberFormat="1" applyFont="1" applyFill="1"/>
    <xf numFmtId="3" fontId="160" fillId="56" borderId="84" xfId="59" applyNumberFormat="1" applyFont="1" applyFill="1" applyBorder="1" applyAlignment="1">
      <alignment horizontal="center" vertical="center"/>
    </xf>
    <xf numFmtId="176" fontId="160" fillId="56" borderId="85" xfId="59" applyNumberFormat="1" applyFont="1" applyFill="1" applyBorder="1" applyAlignment="1">
      <alignment vertical="center"/>
    </xf>
    <xf numFmtId="176" fontId="62" fillId="0" borderId="0" xfId="47" applyNumberFormat="1" applyFont="1" applyAlignment="1">
      <alignment horizontal="center" vertical="center"/>
    </xf>
    <xf numFmtId="176" fontId="62" fillId="38" borderId="0" xfId="420" applyNumberFormat="1" applyFont="1" applyFill="1" applyAlignment="1">
      <alignment horizontal="center"/>
    </xf>
    <xf numFmtId="176" fontId="62" fillId="59" borderId="0" xfId="420" applyNumberFormat="1" applyFont="1" applyFill="1" applyAlignment="1">
      <alignment horizontal="center"/>
    </xf>
    <xf numFmtId="0" fontId="163" fillId="2" borderId="0" xfId="59" applyFont="1" applyFill="1" applyAlignment="1">
      <alignment vertical="center"/>
    </xf>
    <xf numFmtId="0" fontId="157" fillId="0" borderId="0" xfId="0" applyFont="1" applyAlignment="1">
      <alignment vertical="center"/>
    </xf>
    <xf numFmtId="0" fontId="189" fillId="39" borderId="0" xfId="59" applyFont="1" applyFill="1" applyAlignment="1">
      <alignment horizontal="center" vertical="center"/>
    </xf>
    <xf numFmtId="0" fontId="152" fillId="0" borderId="0" xfId="0" applyFont="1" applyAlignment="1">
      <alignment vertical="center"/>
    </xf>
    <xf numFmtId="176" fontId="156" fillId="2" borderId="0" xfId="47" applyNumberFormat="1" applyFont="1" applyFill="1" applyBorder="1"/>
    <xf numFmtId="176" fontId="156" fillId="2" borderId="0" xfId="47" applyNumberFormat="1" applyFont="1" applyFill="1"/>
    <xf numFmtId="174" fontId="183" fillId="0" borderId="86" xfId="59" applyNumberFormat="1" applyFont="1" applyBorder="1" applyAlignment="1">
      <alignment vertical="center"/>
    </xf>
    <xf numFmtId="3" fontId="138" fillId="40" borderId="0" xfId="0" applyNumberFormat="1" applyFont="1" applyFill="1" applyAlignment="1">
      <alignment vertical="center"/>
    </xf>
    <xf numFmtId="176" fontId="143" fillId="0" borderId="0" xfId="420" applyNumberFormat="1" applyFont="1" applyFill="1" applyBorder="1" applyAlignment="1">
      <alignment horizontal="right"/>
    </xf>
    <xf numFmtId="176" fontId="62" fillId="0" borderId="0" xfId="420" applyNumberFormat="1" applyFont="1" applyFill="1" applyBorder="1" applyAlignment="1"/>
    <xf numFmtId="176" fontId="62" fillId="0" borderId="0" xfId="47" applyNumberFormat="1" applyFont="1" applyFill="1" applyBorder="1" applyAlignment="1"/>
    <xf numFmtId="176" fontId="62" fillId="0" borderId="0" xfId="47" applyNumberFormat="1" applyFont="1" applyAlignment="1"/>
    <xf numFmtId="166" fontId="157" fillId="51" borderId="88" xfId="47" applyNumberFormat="1" applyFont="1" applyFill="1" applyBorder="1" applyAlignment="1">
      <alignment vertical="center"/>
    </xf>
    <xf numFmtId="166" fontId="178" fillId="40" borderId="0" xfId="0" applyNumberFormat="1" applyFont="1" applyFill="1" applyAlignment="1">
      <alignment vertical="center"/>
    </xf>
    <xf numFmtId="176" fontId="206" fillId="0" borderId="0" xfId="47" applyNumberFormat="1" applyFont="1" applyBorder="1" applyAlignment="1">
      <alignment horizontal="center" vertical="center"/>
    </xf>
    <xf numFmtId="183" fontId="0" fillId="0" borderId="0" xfId="0" applyNumberFormat="1"/>
    <xf numFmtId="3" fontId="0" fillId="0" borderId="0" xfId="0" applyNumberFormat="1"/>
    <xf numFmtId="3" fontId="155" fillId="39" borderId="24" xfId="47" applyNumberFormat="1" applyFont="1" applyFill="1" applyBorder="1" applyAlignment="1">
      <alignment vertical="center" wrapText="1"/>
    </xf>
    <xf numFmtId="0" fontId="59" fillId="52" borderId="0" xfId="0" applyFont="1" applyFill="1"/>
    <xf numFmtId="176" fontId="59" fillId="52" borderId="0" xfId="47" applyNumberFormat="1" applyFont="1" applyFill="1" applyAlignment="1"/>
    <xf numFmtId="41" fontId="59" fillId="52" borderId="0" xfId="45426" applyFont="1" applyFill="1" applyAlignment="1">
      <alignment horizontal="center"/>
    </xf>
    <xf numFmtId="176" fontId="62" fillId="0" borderId="0" xfId="47" applyNumberFormat="1" applyFont="1" applyAlignment="1">
      <alignment horizontal="center"/>
    </xf>
    <xf numFmtId="176" fontId="142" fillId="40" borderId="47" xfId="47" applyNumberFormat="1" applyFont="1" applyFill="1" applyBorder="1" applyAlignment="1">
      <alignment horizontal="center" vertical="center"/>
    </xf>
    <xf numFmtId="170" fontId="144" fillId="2" borderId="68" xfId="59" applyNumberFormat="1" applyFont="1" applyFill="1" applyBorder="1" applyAlignment="1">
      <alignment vertical="center"/>
    </xf>
    <xf numFmtId="0" fontId="202" fillId="40" borderId="25" xfId="59" applyFont="1" applyFill="1" applyBorder="1" applyAlignment="1">
      <alignment vertical="center"/>
    </xf>
    <xf numFmtId="3" fontId="143" fillId="40" borderId="0" xfId="0" applyNumberFormat="1" applyFont="1" applyFill="1"/>
    <xf numFmtId="166" fontId="163" fillId="0" borderId="88" xfId="0" applyNumberFormat="1" applyFont="1" applyBorder="1" applyAlignment="1">
      <alignment vertical="center"/>
    </xf>
    <xf numFmtId="176" fontId="143" fillId="40" borderId="48" xfId="47" applyNumberFormat="1" applyFont="1" applyFill="1" applyBorder="1" applyAlignment="1">
      <alignment horizontal="right" vertical="center" wrapText="1"/>
    </xf>
    <xf numFmtId="176" fontId="143" fillId="54" borderId="48" xfId="47" applyNumberFormat="1" applyFont="1" applyFill="1" applyBorder="1" applyAlignment="1">
      <alignment horizontal="right" vertical="center" wrapText="1"/>
    </xf>
    <xf numFmtId="176" fontId="152" fillId="39" borderId="61" xfId="47" applyNumberFormat="1" applyFont="1" applyFill="1" applyBorder="1" applyAlignment="1">
      <alignment vertical="center"/>
    </xf>
    <xf numFmtId="176" fontId="143" fillId="0" borderId="87" xfId="47" applyNumberFormat="1" applyFont="1" applyBorder="1" applyAlignment="1">
      <alignment horizontal="right" vertical="center" wrapText="1"/>
    </xf>
    <xf numFmtId="176" fontId="143" fillId="54" borderId="87" xfId="47" applyNumberFormat="1" applyFont="1" applyFill="1" applyBorder="1" applyAlignment="1">
      <alignment horizontal="right" vertical="center" wrapText="1"/>
    </xf>
    <xf numFmtId="176" fontId="143" fillId="0" borderId="87" xfId="47" applyNumberFormat="1" applyFont="1" applyBorder="1" applyAlignment="1">
      <alignment vertical="center"/>
    </xf>
    <xf numFmtId="176" fontId="163" fillId="2" borderId="47" xfId="47" applyNumberFormat="1" applyFont="1" applyFill="1" applyBorder="1" applyAlignment="1">
      <alignment vertical="center"/>
    </xf>
    <xf numFmtId="166" fontId="184" fillId="39" borderId="57" xfId="0" applyNumberFormat="1" applyFont="1" applyFill="1" applyBorder="1" applyAlignment="1">
      <alignment horizontal="center" vertical="center" wrapText="1"/>
    </xf>
    <xf numFmtId="166" fontId="197" fillId="39" borderId="89" xfId="0" applyNumberFormat="1" applyFont="1" applyFill="1" applyBorder="1" applyAlignment="1">
      <alignment vertical="center" textRotation="255" wrapText="1" shrinkToFit="1"/>
    </xf>
    <xf numFmtId="9" fontId="153" fillId="54" borderId="0" xfId="73" applyFont="1" applyFill="1" applyAlignment="1">
      <alignment horizontal="center"/>
    </xf>
    <xf numFmtId="166" fontId="185" fillId="39" borderId="56" xfId="0" applyNumberFormat="1" applyFont="1" applyFill="1" applyBorder="1" applyAlignment="1">
      <alignment horizontal="center" vertical="center" wrapText="1"/>
    </xf>
    <xf numFmtId="166" fontId="185" fillId="39" borderId="56" xfId="0" applyNumberFormat="1" applyFont="1" applyFill="1" applyBorder="1" applyAlignment="1">
      <alignment horizontal="center" vertical="center" wrapText="1" shrinkToFit="1"/>
    </xf>
    <xf numFmtId="176" fontId="156" fillId="2" borderId="0" xfId="59" applyNumberFormat="1" applyFont="1" applyFill="1"/>
    <xf numFmtId="175" fontId="141" fillId="39" borderId="19" xfId="59" applyNumberFormat="1" applyFont="1" applyFill="1" applyBorder="1" applyAlignment="1">
      <alignment horizontal="center" vertical="center"/>
    </xf>
    <xf numFmtId="0" fontId="179" fillId="2" borderId="48" xfId="59" applyFont="1" applyFill="1" applyBorder="1" applyAlignment="1">
      <alignment vertical="center"/>
    </xf>
    <xf numFmtId="175" fontId="141" fillId="39" borderId="48" xfId="59" applyNumberFormat="1" applyFont="1" applyFill="1" applyBorder="1" applyAlignment="1">
      <alignment horizontal="center" vertical="center"/>
    </xf>
    <xf numFmtId="176" fontId="142" fillId="0" borderId="47" xfId="54" applyNumberFormat="1" applyFont="1" applyFill="1" applyBorder="1" applyAlignment="1">
      <alignment horizontal="center" vertical="center"/>
    </xf>
    <xf numFmtId="179" fontId="152" fillId="39" borderId="0" xfId="73" applyNumberFormat="1" applyFont="1" applyFill="1" applyBorder="1" applyAlignment="1">
      <alignment horizontal="center" vertical="center"/>
    </xf>
    <xf numFmtId="180" fontId="157" fillId="40" borderId="47" xfId="47" applyNumberFormat="1" applyFont="1" applyFill="1" applyBorder="1" applyAlignment="1">
      <alignment horizontal="center" vertical="center"/>
    </xf>
    <xf numFmtId="166" fontId="138" fillId="39" borderId="89" xfId="0" applyNumberFormat="1" applyFont="1" applyFill="1" applyBorder="1" applyAlignment="1">
      <alignment horizontal="center" vertical="center"/>
    </xf>
    <xf numFmtId="166" fontId="184" fillId="39" borderId="56" xfId="0" applyNumberFormat="1" applyFont="1" applyFill="1" applyBorder="1" applyAlignment="1">
      <alignment horizontal="center" vertical="center" wrapText="1" shrinkToFit="1"/>
    </xf>
    <xf numFmtId="183" fontId="142" fillId="2" borderId="47" xfId="54" applyNumberFormat="1" applyFont="1" applyFill="1" applyBorder="1" applyAlignment="1">
      <alignment horizontal="center" vertical="center"/>
    </xf>
    <xf numFmtId="176" fontId="156" fillId="40" borderId="0" xfId="47" applyNumberFormat="1" applyFont="1" applyFill="1" applyAlignment="1">
      <alignment horizontal="center"/>
    </xf>
    <xf numFmtId="176" fontId="156" fillId="2" borderId="0" xfId="47" applyNumberFormat="1" applyFont="1" applyFill="1" applyBorder="1" applyAlignment="1">
      <alignment vertical="center"/>
    </xf>
    <xf numFmtId="176" fontId="143" fillId="0" borderId="73" xfId="47" applyNumberFormat="1" applyFont="1" applyBorder="1" applyAlignment="1">
      <alignment horizontal="right" vertical="center"/>
    </xf>
    <xf numFmtId="3" fontId="164" fillId="40" borderId="0" xfId="0" applyNumberFormat="1" applyFont="1" applyFill="1" applyAlignment="1">
      <alignment vertical="center"/>
    </xf>
    <xf numFmtId="166" fontId="161" fillId="56" borderId="76" xfId="0" applyNumberFormat="1" applyFont="1" applyFill="1" applyBorder="1" applyAlignment="1">
      <alignment horizontal="left" vertical="center" wrapText="1"/>
    </xf>
    <xf numFmtId="0" fontId="143" fillId="2" borderId="0" xfId="0" applyFont="1" applyFill="1" applyAlignment="1">
      <alignment horizontal="left" vertical="center" wrapText="1"/>
    </xf>
    <xf numFmtId="3" fontId="187" fillId="40" borderId="0" xfId="0" applyNumberFormat="1" applyFont="1" applyFill="1" applyAlignment="1">
      <alignment horizontal="left" vertical="center" wrapText="1"/>
    </xf>
    <xf numFmtId="0" fontId="187" fillId="40" borderId="0" xfId="0" applyFont="1" applyFill="1" applyAlignment="1">
      <alignment horizontal="left" vertical="center" wrapText="1"/>
    </xf>
    <xf numFmtId="0" fontId="143" fillId="40" borderId="0" xfId="0" applyFont="1" applyFill="1" applyAlignment="1">
      <alignment horizontal="left" vertical="center" wrapText="1"/>
    </xf>
    <xf numFmtId="172" fontId="158" fillId="40" borderId="0" xfId="47" applyNumberFormat="1" applyFont="1" applyFill="1" applyBorder="1" applyAlignment="1">
      <alignment horizontal="left" vertical="center" wrapText="1"/>
    </xf>
    <xf numFmtId="166" fontId="152" fillId="39" borderId="61" xfId="0" applyNumberFormat="1" applyFont="1" applyFill="1" applyBorder="1" applyAlignment="1">
      <alignment horizontal="center" vertical="center"/>
    </xf>
    <xf numFmtId="168" fontId="62" fillId="0" borderId="0" xfId="47" applyFont="1" applyFill="1" applyBorder="1" applyAlignment="1">
      <alignment horizontal="center"/>
    </xf>
    <xf numFmtId="168" fontId="62" fillId="0" borderId="0" xfId="47" applyFont="1" applyAlignment="1">
      <alignment horizontal="center"/>
    </xf>
    <xf numFmtId="168" fontId="62" fillId="38" borderId="0" xfId="47" applyFont="1" applyFill="1" applyAlignment="1">
      <alignment horizontal="center"/>
    </xf>
    <xf numFmtId="168" fontId="62" fillId="59" borderId="0" xfId="47" applyFont="1" applyFill="1" applyAlignment="1">
      <alignment horizontal="center"/>
    </xf>
    <xf numFmtId="0" fontId="183" fillId="40" borderId="0" xfId="45521" applyFont="1" applyFill="1"/>
    <xf numFmtId="3" fontId="183" fillId="40" borderId="0" xfId="45521" applyNumberFormat="1" applyFont="1" applyFill="1"/>
    <xf numFmtId="0" fontId="167" fillId="40" borderId="0" xfId="45521" applyFont="1" applyFill="1"/>
    <xf numFmtId="180" fontId="167" fillId="40" borderId="0" xfId="45521" applyNumberFormat="1" applyFont="1" applyFill="1"/>
    <xf numFmtId="180" fontId="161" fillId="56" borderId="75" xfId="45522" applyNumberFormat="1" applyFont="1" applyFill="1" applyBorder="1" applyAlignment="1">
      <alignment horizontal="center" vertical="center"/>
    </xf>
    <xf numFmtId="180" fontId="143" fillId="58" borderId="75" xfId="45522" applyNumberFormat="1" applyFont="1" applyFill="1" applyBorder="1" applyAlignment="1">
      <alignment horizontal="right" vertical="center"/>
    </xf>
    <xf numFmtId="166" fontId="155" fillId="58" borderId="75" xfId="45523" applyNumberFormat="1" applyFont="1" applyFill="1" applyBorder="1" applyAlignment="1">
      <alignment horizontal="right" vertical="center"/>
    </xf>
    <xf numFmtId="166" fontId="143" fillId="58" borderId="75" xfId="45523" applyNumberFormat="1" applyFont="1" applyFill="1" applyBorder="1" applyAlignment="1">
      <alignment vertical="center"/>
    </xf>
    <xf numFmtId="0" fontId="143" fillId="58" borderId="75" xfId="45523" applyFont="1" applyFill="1" applyBorder="1" applyAlignment="1">
      <alignment horizontal="center" vertical="center"/>
    </xf>
    <xf numFmtId="166" fontId="195" fillId="39" borderId="73" xfId="45523" applyNumberFormat="1" applyFont="1" applyFill="1" applyBorder="1" applyAlignment="1">
      <alignment horizontal="right" vertical="center"/>
    </xf>
    <xf numFmtId="166" fontId="195" fillId="0" borderId="70" xfId="45523" applyNumberFormat="1" applyFont="1" applyBorder="1" applyAlignment="1">
      <alignment horizontal="right" vertical="center"/>
    </xf>
    <xf numFmtId="166" fontId="143" fillId="0" borderId="70" xfId="45523" applyNumberFormat="1" applyFont="1" applyBorder="1" applyAlignment="1">
      <alignment horizontal="right" vertical="center"/>
    </xf>
    <xf numFmtId="166" fontId="195" fillId="57" borderId="70" xfId="45523" applyNumberFormat="1" applyFont="1" applyFill="1" applyBorder="1" applyAlignment="1">
      <alignment vertical="center"/>
    </xf>
    <xf numFmtId="166" fontId="195" fillId="57" borderId="73" xfId="45523" applyNumberFormat="1" applyFont="1" applyFill="1" applyBorder="1" applyAlignment="1">
      <alignment vertical="center"/>
    </xf>
    <xf numFmtId="0" fontId="195" fillId="40" borderId="0" xfId="45521" applyFont="1" applyFill="1"/>
    <xf numFmtId="180" fontId="143" fillId="58" borderId="75" xfId="45523" applyNumberFormat="1" applyFont="1" applyFill="1" applyBorder="1" applyAlignment="1">
      <alignment horizontal="center" vertical="center"/>
    </xf>
    <xf numFmtId="0" fontId="155" fillId="58" borderId="75" xfId="45523" applyFont="1" applyFill="1" applyBorder="1" applyAlignment="1">
      <alignment horizontal="center" vertical="center"/>
    </xf>
    <xf numFmtId="166" fontId="143" fillId="0" borderId="73" xfId="45523" applyNumberFormat="1" applyFont="1" applyBorder="1" applyAlignment="1">
      <alignment horizontal="right" vertical="center"/>
    </xf>
    <xf numFmtId="180" fontId="143" fillId="52" borderId="75" xfId="45522" applyNumberFormat="1" applyFont="1" applyFill="1" applyBorder="1" applyAlignment="1">
      <alignment horizontal="right" vertical="center"/>
    </xf>
    <xf numFmtId="0" fontId="143" fillId="52" borderId="75" xfId="45523" applyFont="1" applyFill="1" applyBorder="1" applyAlignment="1">
      <alignment horizontal="center" vertical="center"/>
    </xf>
    <xf numFmtId="17" fontId="185" fillId="39" borderId="70" xfId="45524" applyNumberFormat="1" applyFont="1" applyFill="1" applyBorder="1" applyAlignment="1">
      <alignment horizontal="center" vertical="center"/>
    </xf>
    <xf numFmtId="0" fontId="185" fillId="39" borderId="70" xfId="45524" applyFont="1" applyFill="1" applyBorder="1" applyAlignment="1">
      <alignment horizontal="center" vertical="center"/>
    </xf>
    <xf numFmtId="0" fontId="194" fillId="40" borderId="0" xfId="45521" applyFont="1" applyFill="1" applyAlignment="1">
      <alignment vertical="center"/>
    </xf>
    <xf numFmtId="0" fontId="203" fillId="40" borderId="0" xfId="45521" applyFont="1" applyFill="1" applyAlignment="1">
      <alignment vertical="center"/>
    </xf>
    <xf numFmtId="0" fontId="59" fillId="52" borderId="0" xfId="0" applyFont="1" applyFill="1" applyAlignment="1">
      <alignment horizontal="center"/>
    </xf>
    <xf numFmtId="0" fontId="62" fillId="0" borderId="0" xfId="420" applyFont="1" applyFill="1" applyBorder="1" applyAlignment="1">
      <alignment horizontal="center"/>
    </xf>
    <xf numFmtId="1" fontId="143" fillId="2" borderId="1" xfId="0" applyNumberFormat="1" applyFont="1" applyFill="1" applyBorder="1" applyAlignment="1">
      <alignment horizontal="center" vertical="center"/>
    </xf>
    <xf numFmtId="176" fontId="183" fillId="0" borderId="86" xfId="47" applyNumberFormat="1" applyFont="1" applyFill="1" applyBorder="1" applyAlignment="1">
      <alignment vertical="center"/>
    </xf>
    <xf numFmtId="176" fontId="183" fillId="39" borderId="3" xfId="47" applyNumberFormat="1" applyFont="1" applyFill="1" applyBorder="1" applyAlignment="1">
      <alignment vertical="center"/>
    </xf>
    <xf numFmtId="2" fontId="143" fillId="2" borderId="0" xfId="0" applyNumberFormat="1" applyFont="1" applyFill="1" applyAlignment="1">
      <alignment horizontal="center" vertical="center"/>
    </xf>
    <xf numFmtId="0" fontId="143" fillId="0" borderId="0" xfId="420" applyFont="1" applyFill="1" applyBorder="1" applyAlignment="1">
      <alignment horizontal="center"/>
    </xf>
    <xf numFmtId="0" fontId="0" fillId="0" borderId="0" xfId="0" applyAlignment="1">
      <alignment horizontal="center"/>
    </xf>
    <xf numFmtId="176" fontId="181" fillId="0" borderId="3" xfId="47" applyNumberFormat="1" applyFont="1" applyFill="1" applyBorder="1" applyAlignment="1">
      <alignment vertical="center"/>
    </xf>
    <xf numFmtId="176" fontId="181" fillId="39" borderId="3" xfId="47" applyNumberFormat="1" applyFont="1" applyFill="1" applyBorder="1" applyAlignment="1">
      <alignment vertical="center"/>
    </xf>
    <xf numFmtId="166" fontId="138" fillId="0" borderId="3" xfId="59" applyNumberFormat="1" applyFont="1" applyBorder="1" applyAlignment="1">
      <alignment vertical="center"/>
    </xf>
    <xf numFmtId="166" fontId="138" fillId="39" borderId="3" xfId="59" applyNumberFormat="1" applyFont="1" applyFill="1" applyBorder="1" applyAlignment="1">
      <alignment vertical="center"/>
    </xf>
    <xf numFmtId="166" fontId="195" fillId="57" borderId="70" xfId="45523" applyNumberFormat="1" applyFont="1" applyFill="1" applyBorder="1" applyAlignment="1">
      <alignment horizontal="center" vertical="center"/>
    </xf>
    <xf numFmtId="3" fontId="163" fillId="57" borderId="51" xfId="59" applyNumberFormat="1" applyFont="1" applyFill="1" applyBorder="1" applyAlignment="1">
      <alignment horizontal="center" vertical="center"/>
    </xf>
    <xf numFmtId="176" fontId="181" fillId="0" borderId="3" xfId="47" applyNumberFormat="1" applyFont="1" applyFill="1" applyBorder="1" applyAlignment="1">
      <alignment horizontal="center" vertical="center"/>
    </xf>
    <xf numFmtId="176" fontId="0" fillId="0" borderId="0" xfId="0" applyNumberFormat="1"/>
    <xf numFmtId="176" fontId="138" fillId="0" borderId="0" xfId="59" applyNumberFormat="1" applyFont="1"/>
    <xf numFmtId="0" fontId="181" fillId="0" borderId="0" xfId="0" applyFont="1"/>
    <xf numFmtId="3" fontId="181" fillId="0" borderId="0" xfId="0" applyNumberFormat="1" applyFont="1"/>
    <xf numFmtId="166" fontId="195" fillId="0" borderId="73" xfId="45523" applyNumberFormat="1" applyFont="1" applyBorder="1" applyAlignment="1">
      <alignment horizontal="center" vertical="center"/>
    </xf>
    <xf numFmtId="166" fontId="143" fillId="0" borderId="72" xfId="45523" applyNumberFormat="1" applyFont="1" applyBorder="1" applyAlignment="1">
      <alignment horizontal="right" vertical="center"/>
    </xf>
    <xf numFmtId="166" fontId="143" fillId="0" borderId="71" xfId="45523" applyNumberFormat="1" applyFont="1" applyBorder="1" applyAlignment="1">
      <alignment horizontal="right" vertical="center"/>
    </xf>
    <xf numFmtId="3" fontId="138" fillId="0" borderId="0" xfId="59" applyNumberFormat="1" applyFont="1"/>
    <xf numFmtId="176" fontId="143" fillId="0" borderId="48" xfId="47" applyNumberFormat="1" applyFont="1" applyBorder="1" applyAlignment="1">
      <alignment horizontal="right" vertical="center" wrapText="1"/>
    </xf>
    <xf numFmtId="176" fontId="143" fillId="0" borderId="48" xfId="47" applyNumberFormat="1" applyFont="1" applyBorder="1" applyAlignment="1">
      <alignment vertical="center"/>
    </xf>
    <xf numFmtId="3" fontId="138" fillId="39" borderId="0" xfId="0" applyNumberFormat="1" applyFont="1" applyFill="1" applyAlignment="1">
      <alignment horizontal="center" vertical="center"/>
    </xf>
    <xf numFmtId="176" fontId="138" fillId="39" borderId="0" xfId="0" applyNumberFormat="1" applyFont="1" applyFill="1" applyAlignment="1">
      <alignment vertical="center"/>
    </xf>
    <xf numFmtId="0" fontId="138" fillId="39" borderId="0" xfId="0" applyFont="1" applyFill="1" applyAlignment="1">
      <alignment vertical="center"/>
    </xf>
    <xf numFmtId="0" fontId="138" fillId="39" borderId="0" xfId="59" applyFont="1" applyFill="1" applyAlignment="1">
      <alignment vertical="center"/>
    </xf>
    <xf numFmtId="164" fontId="138" fillId="39" borderId="0" xfId="0" applyNumberFormat="1" applyFont="1" applyFill="1" applyAlignment="1">
      <alignment vertical="center"/>
    </xf>
    <xf numFmtId="0" fontId="207" fillId="39" borderId="0" xfId="0" applyFont="1" applyFill="1" applyAlignment="1">
      <alignment horizontal="center" vertical="center" wrapText="1"/>
    </xf>
    <xf numFmtId="176" fontId="138" fillId="39" borderId="0" xfId="47" applyNumberFormat="1" applyFont="1" applyFill="1" applyAlignment="1">
      <alignment vertical="center"/>
    </xf>
    <xf numFmtId="174" fontId="152" fillId="53" borderId="65" xfId="0" applyNumberFormat="1" applyFont="1" applyFill="1" applyBorder="1" applyAlignment="1">
      <alignment horizontal="left" vertical="center"/>
    </xf>
    <xf numFmtId="167" fontId="143" fillId="0" borderId="88" xfId="45419" applyNumberFormat="1" applyFont="1" applyBorder="1" applyAlignment="1">
      <alignment vertical="center"/>
    </xf>
    <xf numFmtId="167" fontId="143" fillId="0" borderId="96" xfId="45419" applyNumberFormat="1" applyFont="1" applyBorder="1" applyAlignment="1">
      <alignment vertical="center"/>
    </xf>
    <xf numFmtId="167" fontId="143" fillId="0" borderId="96" xfId="45409" applyNumberFormat="1" applyFont="1" applyBorder="1" applyAlignment="1">
      <alignment vertical="center"/>
    </xf>
    <xf numFmtId="167" fontId="143" fillId="0" borderId="88" xfId="45409" applyNumberFormat="1" applyFont="1" applyBorder="1" applyAlignment="1">
      <alignment vertical="center"/>
    </xf>
    <xf numFmtId="167" fontId="143" fillId="0" borderId="97" xfId="45419" applyNumberFormat="1" applyFont="1" applyBorder="1" applyAlignment="1">
      <alignment vertical="center"/>
    </xf>
    <xf numFmtId="176" fontId="143" fillId="0" borderId="56" xfId="47" applyNumberFormat="1" applyFont="1" applyBorder="1" applyAlignment="1">
      <alignment horizontal="right" vertical="center" wrapText="1"/>
    </xf>
    <xf numFmtId="176" fontId="143" fillId="54" borderId="56" xfId="47" applyNumberFormat="1" applyFont="1" applyFill="1" applyBorder="1" applyAlignment="1">
      <alignment horizontal="right" vertical="center" wrapText="1"/>
    </xf>
    <xf numFmtId="176" fontId="142" fillId="2" borderId="0" xfId="54" applyNumberFormat="1" applyFont="1" applyFill="1" applyBorder="1" applyAlignment="1">
      <alignment horizontal="center" vertical="center"/>
    </xf>
    <xf numFmtId="176" fontId="143" fillId="39" borderId="0" xfId="54" applyNumberFormat="1" applyFont="1" applyFill="1" applyBorder="1" applyAlignment="1">
      <alignment vertical="center"/>
    </xf>
    <xf numFmtId="167" fontId="143" fillId="0" borderId="97" xfId="45409" applyNumberFormat="1" applyFont="1" applyBorder="1" applyAlignment="1">
      <alignment vertical="center"/>
    </xf>
    <xf numFmtId="176" fontId="143" fillId="0" borderId="56" xfId="47" applyNumberFormat="1" applyFont="1" applyBorder="1" applyAlignment="1">
      <alignment vertical="center"/>
    </xf>
    <xf numFmtId="3" fontId="208" fillId="57" borderId="51" xfId="59" applyNumberFormat="1" applyFont="1" applyFill="1" applyBorder="1" applyAlignment="1">
      <alignment horizontal="center" vertical="center"/>
    </xf>
    <xf numFmtId="3" fontId="196" fillId="56" borderId="50" xfId="59" applyNumberFormat="1" applyFont="1" applyFill="1" applyBorder="1" applyAlignment="1">
      <alignment horizontal="center" vertical="center"/>
    </xf>
    <xf numFmtId="3" fontId="209" fillId="56" borderId="50" xfId="59" applyNumberFormat="1" applyFont="1" applyFill="1" applyBorder="1" applyAlignment="1">
      <alignment horizontal="center" vertical="center"/>
    </xf>
    <xf numFmtId="0" fontId="170" fillId="0" borderId="0" xfId="59" applyFont="1" applyAlignment="1">
      <alignment vertical="center"/>
    </xf>
    <xf numFmtId="174" fontId="138" fillId="39" borderId="1" xfId="47" applyNumberFormat="1" applyFont="1" applyFill="1" applyBorder="1" applyAlignment="1">
      <alignment horizontal="right" vertical="center"/>
    </xf>
    <xf numFmtId="174" fontId="138" fillId="2" borderId="1" xfId="59" applyNumberFormat="1" applyFont="1" applyFill="1" applyBorder="1" applyAlignment="1">
      <alignment horizontal="right" vertical="center"/>
    </xf>
    <xf numFmtId="174" fontId="138" fillId="2" borderId="1" xfId="47" applyNumberFormat="1" applyFont="1" applyFill="1" applyBorder="1" applyAlignment="1">
      <alignment horizontal="right" vertical="center"/>
    </xf>
    <xf numFmtId="174" fontId="138" fillId="39" borderId="1" xfId="59" applyNumberFormat="1" applyFont="1" applyFill="1" applyBorder="1" applyAlignment="1">
      <alignment horizontal="right" vertical="center"/>
    </xf>
    <xf numFmtId="174" fontId="156" fillId="2" borderId="0" xfId="59" applyNumberFormat="1" applyFont="1" applyFill="1" applyAlignment="1">
      <alignment horizontal="center"/>
    </xf>
    <xf numFmtId="166" fontId="152" fillId="39" borderId="61" xfId="47" applyNumberFormat="1" applyFont="1" applyFill="1" applyBorder="1" applyAlignment="1">
      <alignment vertical="center"/>
    </xf>
    <xf numFmtId="1" fontId="143" fillId="2" borderId="24" xfId="0" applyNumberFormat="1" applyFont="1" applyFill="1" applyBorder="1" applyAlignment="1">
      <alignment horizontal="center" vertical="center"/>
    </xf>
    <xf numFmtId="0" fontId="143" fillId="0" borderId="48" xfId="0" applyFont="1" applyBorder="1" applyAlignment="1">
      <alignment horizontal="left" vertical="center"/>
    </xf>
    <xf numFmtId="17" fontId="169" fillId="0" borderId="3" xfId="59" applyNumberFormat="1" applyFont="1" applyBorder="1" applyAlignment="1">
      <alignment horizontal="left" vertical="center"/>
    </xf>
    <xf numFmtId="175" fontId="153" fillId="39" borderId="19" xfId="59" applyNumberFormat="1" applyFont="1" applyFill="1" applyBorder="1" applyAlignment="1">
      <alignment horizontal="center" vertical="center"/>
    </xf>
    <xf numFmtId="166" fontId="143" fillId="52" borderId="75" xfId="45523" applyNumberFormat="1" applyFont="1" applyFill="1" applyBorder="1" applyAlignment="1">
      <alignment vertical="center"/>
    </xf>
    <xf numFmtId="166" fontId="155" fillId="52" borderId="75" xfId="45523" applyNumberFormat="1" applyFont="1" applyFill="1" applyBorder="1" applyAlignment="1">
      <alignment horizontal="right" vertical="center"/>
    </xf>
    <xf numFmtId="3" fontId="181" fillId="0" borderId="0" xfId="0" applyNumberFormat="1" applyFont="1" applyAlignment="1">
      <alignment wrapText="1"/>
    </xf>
    <xf numFmtId="180" fontId="143" fillId="40" borderId="0" xfId="0" applyNumberFormat="1" applyFont="1" applyFill="1"/>
    <xf numFmtId="0" fontId="143" fillId="39" borderId="75" xfId="45523" applyFont="1" applyFill="1" applyBorder="1" applyAlignment="1">
      <alignment horizontal="center" vertical="center"/>
    </xf>
    <xf numFmtId="0" fontId="155" fillId="39" borderId="75" xfId="45523" applyFont="1" applyFill="1" applyBorder="1" applyAlignment="1">
      <alignment horizontal="center" vertical="center"/>
    </xf>
    <xf numFmtId="180" fontId="143" fillId="39" borderId="75" xfId="45523" applyNumberFormat="1" applyFont="1" applyFill="1" applyBorder="1" applyAlignment="1">
      <alignment horizontal="center" vertical="center"/>
    </xf>
    <xf numFmtId="180" fontId="143" fillId="39" borderId="75" xfId="45522" applyNumberFormat="1" applyFont="1" applyFill="1" applyBorder="1" applyAlignment="1">
      <alignment horizontal="right" vertical="center"/>
    </xf>
    <xf numFmtId="172" fontId="138" fillId="52" borderId="1" xfId="47" applyNumberFormat="1" applyFont="1" applyFill="1" applyBorder="1" applyAlignment="1">
      <alignment vertical="center"/>
    </xf>
    <xf numFmtId="0" fontId="62" fillId="41" borderId="0" xfId="0" applyFont="1" applyFill="1" applyAlignment="1" applyProtection="1">
      <alignment horizontal="center" vertical="center"/>
      <protection locked="0"/>
    </xf>
    <xf numFmtId="176" fontId="62" fillId="41" borderId="0" xfId="47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vertical="center"/>
    </xf>
    <xf numFmtId="0" fontId="62" fillId="0" borderId="0" xfId="420" applyFont="1" applyFill="1" applyBorder="1" applyAlignment="1">
      <alignment horizontal="center" vertical="center"/>
    </xf>
    <xf numFmtId="176" fontId="62" fillId="0" borderId="0" xfId="420" applyNumberFormat="1" applyFont="1" applyFill="1" applyBorder="1" applyAlignment="1">
      <alignment horizontal="center" vertical="center"/>
    </xf>
    <xf numFmtId="168" fontId="62" fillId="0" borderId="0" xfId="47" applyFont="1" applyFill="1" applyBorder="1" applyAlignment="1">
      <alignment horizontal="center" vertical="center"/>
    </xf>
    <xf numFmtId="3" fontId="0" fillId="0" borderId="0" xfId="0" applyNumberFormat="1" applyAlignment="1">
      <alignment vertical="center"/>
    </xf>
    <xf numFmtId="176" fontId="62" fillId="0" borderId="0" xfId="420" applyNumberFormat="1" applyFont="1" applyAlignment="1">
      <alignment horizontal="center" vertical="center"/>
    </xf>
    <xf numFmtId="168" fontId="62" fillId="0" borderId="0" xfId="47" applyFont="1" applyAlignment="1">
      <alignment horizontal="center" vertical="center"/>
    </xf>
    <xf numFmtId="176" fontId="62" fillId="38" borderId="0" xfId="420" applyNumberFormat="1" applyFont="1" applyFill="1" applyAlignment="1">
      <alignment horizontal="center" vertical="center"/>
    </xf>
    <xf numFmtId="168" fontId="62" fillId="38" borderId="0" xfId="47" applyFont="1" applyFill="1" applyAlignment="1">
      <alignment horizontal="center" vertical="center"/>
    </xf>
    <xf numFmtId="176" fontId="62" fillId="59" borderId="0" xfId="420" applyNumberFormat="1" applyFont="1" applyFill="1" applyAlignment="1">
      <alignment horizontal="center" vertical="center"/>
    </xf>
    <xf numFmtId="168" fontId="62" fillId="59" borderId="0" xfId="47" applyFont="1" applyFill="1" applyAlignment="1">
      <alignment horizontal="center" vertical="center"/>
    </xf>
    <xf numFmtId="0" fontId="181" fillId="0" borderId="0" xfId="0" applyFont="1" applyAlignment="1">
      <alignment wrapText="1"/>
    </xf>
    <xf numFmtId="176" fontId="167" fillId="40" borderId="0" xfId="0" applyNumberFormat="1" applyFont="1" applyFill="1"/>
    <xf numFmtId="0" fontId="164" fillId="39" borderId="0" xfId="0" applyFont="1" applyFill="1" applyAlignment="1">
      <alignment vertical="center"/>
    </xf>
    <xf numFmtId="0" fontId="155" fillId="39" borderId="0" xfId="0" applyFont="1" applyFill="1" applyAlignment="1">
      <alignment vertical="center"/>
    </xf>
    <xf numFmtId="0" fontId="155" fillId="39" borderId="0" xfId="0" applyFont="1" applyFill="1" applyAlignment="1">
      <alignment vertical="center" wrapText="1"/>
    </xf>
    <xf numFmtId="0" fontId="143" fillId="39" borderId="0" xfId="0" applyFont="1" applyFill="1" applyAlignment="1">
      <alignment vertical="center"/>
    </xf>
    <xf numFmtId="3" fontId="138" fillId="2" borderId="1" xfId="47" applyNumberFormat="1" applyFont="1" applyFill="1" applyBorder="1" applyAlignment="1">
      <alignment vertical="center"/>
    </xf>
    <xf numFmtId="176" fontId="59" fillId="0" borderId="0" xfId="0" applyNumberFormat="1" applyFont="1"/>
    <xf numFmtId="2" fontId="0" fillId="0" borderId="0" xfId="0" applyNumberFormat="1"/>
    <xf numFmtId="1" fontId="155" fillId="39" borderId="53" xfId="0" applyNumberFormat="1" applyFont="1" applyFill="1" applyBorder="1" applyAlignment="1">
      <alignment vertical="center" wrapText="1"/>
    </xf>
    <xf numFmtId="44" fontId="0" fillId="0" borderId="0" xfId="0" applyNumberFormat="1"/>
    <xf numFmtId="0" fontId="0" fillId="0" borderId="0" xfId="0" applyAlignment="1">
      <alignment horizontal="center" vertical="center" wrapText="1"/>
    </xf>
    <xf numFmtId="0" fontId="0" fillId="0" borderId="0" xfId="0" pivotButton="1" applyAlignment="1">
      <alignment horizontal="center"/>
    </xf>
    <xf numFmtId="44" fontId="0" fillId="0" borderId="0" xfId="0" applyNumberFormat="1" applyAlignment="1">
      <alignment horizontal="center"/>
    </xf>
    <xf numFmtId="0" fontId="152" fillId="2" borderId="0" xfId="0" applyFont="1" applyFill="1" applyAlignment="1">
      <alignment horizontal="center" vertical="top"/>
    </xf>
    <xf numFmtId="0" fontId="145" fillId="40" borderId="0" xfId="0" applyFont="1" applyFill="1" applyAlignment="1">
      <alignment horizontal="center" vertical="top"/>
    </xf>
    <xf numFmtId="0" fontId="145" fillId="0" borderId="0" xfId="0" applyFont="1" applyAlignment="1">
      <alignment horizontal="center" vertical="top"/>
    </xf>
    <xf numFmtId="0" fontId="0" fillId="0" borderId="0" xfId="0" pivotButton="1" applyAlignment="1">
      <alignment horizontal="center" vertical="top"/>
    </xf>
    <xf numFmtId="0" fontId="0" fillId="0" borderId="0" xfId="0" applyAlignment="1">
      <alignment horizontal="center" vertical="top"/>
    </xf>
    <xf numFmtId="0" fontId="138" fillId="40" borderId="0" xfId="0" applyFont="1" applyFill="1" applyAlignment="1">
      <alignment horizontal="center" vertical="top"/>
    </xf>
    <xf numFmtId="0" fontId="0" fillId="0" borderId="0" xfId="0" pivotButton="1" applyAlignment="1">
      <alignment horizontal="center" vertical="center"/>
    </xf>
    <xf numFmtId="44" fontId="138" fillId="40" borderId="0" xfId="45525" applyFont="1" applyFill="1"/>
    <xf numFmtId="44" fontId="138" fillId="0" borderId="0" xfId="45525" applyFont="1"/>
    <xf numFmtId="44" fontId="156" fillId="0" borderId="0" xfId="45525" applyFont="1"/>
    <xf numFmtId="44" fontId="156" fillId="40" borderId="0" xfId="45525" applyFont="1" applyFill="1"/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103" fillId="39" borderId="71" xfId="45523" applyFont="1" applyFill="1" applyBorder="1" applyAlignment="1">
      <alignment vertical="center"/>
    </xf>
    <xf numFmtId="44" fontId="194" fillId="40" borderId="0" xfId="45525" applyFont="1" applyFill="1" applyAlignment="1">
      <alignment vertical="center"/>
    </xf>
    <xf numFmtId="44" fontId="0" fillId="0" borderId="0" xfId="45525" applyFont="1"/>
    <xf numFmtId="44" fontId="183" fillId="40" borderId="0" xfId="45525" applyFont="1" applyFill="1"/>
    <xf numFmtId="0" fontId="195" fillId="40" borderId="0" xfId="45521" applyFont="1" applyFill="1" applyAlignment="1">
      <alignment vertical="center"/>
    </xf>
    <xf numFmtId="175" fontId="138" fillId="0" borderId="0" xfId="59" applyNumberFormat="1" applyFont="1"/>
    <xf numFmtId="176" fontId="183" fillId="39" borderId="86" xfId="47" applyNumberFormat="1" applyFont="1" applyFill="1" applyBorder="1" applyAlignment="1">
      <alignment vertical="center"/>
    </xf>
    <xf numFmtId="0" fontId="170" fillId="58" borderId="101" xfId="0" applyFont="1" applyFill="1" applyBorder="1" applyAlignment="1">
      <alignment horizontal="center" vertical="center" wrapText="1"/>
    </xf>
    <xf numFmtId="0" fontId="186" fillId="39" borderId="67" xfId="59" applyFont="1" applyFill="1" applyBorder="1" applyAlignment="1">
      <alignment horizontal="center" vertical="center" wrapText="1"/>
    </xf>
    <xf numFmtId="0" fontId="186" fillId="39" borderId="102" xfId="59" applyFont="1" applyFill="1" applyBorder="1" applyAlignment="1">
      <alignment horizontal="center" vertical="center" wrapText="1"/>
    </xf>
    <xf numFmtId="0" fontId="163" fillId="40" borderId="103" xfId="0" applyFont="1" applyFill="1" applyBorder="1" applyAlignment="1">
      <alignment vertical="center"/>
    </xf>
    <xf numFmtId="0" fontId="0" fillId="0" borderId="104" xfId="0" applyBorder="1"/>
    <xf numFmtId="0" fontId="163" fillId="40" borderId="105" xfId="0" applyFont="1" applyFill="1" applyBorder="1" applyAlignment="1">
      <alignment vertical="center"/>
    </xf>
    <xf numFmtId="0" fontId="211" fillId="56" borderId="106" xfId="59" applyFont="1" applyFill="1" applyBorder="1" applyAlignment="1">
      <alignment horizontal="center" vertical="center" wrapText="1"/>
    </xf>
    <xf numFmtId="0" fontId="212" fillId="56" borderId="92" xfId="0" applyFont="1" applyFill="1" applyBorder="1"/>
    <xf numFmtId="44" fontId="212" fillId="56" borderId="92" xfId="0" applyNumberFormat="1" applyFont="1" applyFill="1" applyBorder="1"/>
    <xf numFmtId="0" fontId="212" fillId="56" borderId="107" xfId="0" applyFont="1" applyFill="1" applyBorder="1"/>
    <xf numFmtId="0" fontId="0" fillId="40" borderId="0" xfId="0" applyFill="1"/>
    <xf numFmtId="44" fontId="0" fillId="40" borderId="0" xfId="45525" applyFont="1" applyFill="1" applyBorder="1"/>
    <xf numFmtId="44" fontId="0" fillId="40" borderId="104" xfId="0" applyNumberFormat="1" applyFill="1" applyBorder="1"/>
    <xf numFmtId="0" fontId="0" fillId="40" borderId="104" xfId="0" applyFill="1" applyBorder="1"/>
    <xf numFmtId="44" fontId="0" fillId="40" borderId="104" xfId="45525" applyFont="1" applyFill="1" applyBorder="1"/>
    <xf numFmtId="0" fontId="171" fillId="56" borderId="106" xfId="59" applyFont="1" applyFill="1" applyBorder="1" applyAlignment="1">
      <alignment horizontal="center" vertical="center" wrapText="1"/>
    </xf>
    <xf numFmtId="0" fontId="163" fillId="40" borderId="110" xfId="0" applyFont="1" applyFill="1" applyBorder="1" applyAlignment="1">
      <alignment vertical="center"/>
    </xf>
    <xf numFmtId="0" fontId="163" fillId="40" borderId="109" xfId="0" applyFont="1" applyFill="1" applyBorder="1" applyAlignment="1">
      <alignment vertical="center"/>
    </xf>
    <xf numFmtId="0" fontId="186" fillId="39" borderId="112" xfId="59" applyFont="1" applyFill="1" applyBorder="1" applyAlignment="1">
      <alignment horizontal="center" vertical="center" wrapText="1"/>
    </xf>
    <xf numFmtId="0" fontId="0" fillId="40" borderId="113" xfId="0" applyFill="1" applyBorder="1"/>
    <xf numFmtId="0" fontId="186" fillId="39" borderId="108" xfId="59" applyFont="1" applyFill="1" applyBorder="1" applyAlignment="1">
      <alignment horizontal="center" vertical="center" wrapText="1"/>
    </xf>
    <xf numFmtId="44" fontId="0" fillId="40" borderId="113" xfId="45525" applyFont="1" applyFill="1" applyBorder="1"/>
    <xf numFmtId="44" fontId="212" fillId="56" borderId="114" xfId="0" applyNumberFormat="1" applyFont="1" applyFill="1" applyBorder="1"/>
    <xf numFmtId="0" fontId="189" fillId="39" borderId="67" xfId="59" applyFont="1" applyFill="1" applyBorder="1" applyAlignment="1">
      <alignment horizontal="center" vertical="center" wrapText="1"/>
    </xf>
    <xf numFmtId="0" fontId="189" fillId="39" borderId="102" xfId="59" applyFont="1" applyFill="1" applyBorder="1" applyAlignment="1">
      <alignment horizontal="center" vertical="center" wrapText="1"/>
    </xf>
    <xf numFmtId="0" fontId="189" fillId="39" borderId="101" xfId="59" applyFont="1" applyFill="1" applyBorder="1" applyAlignment="1">
      <alignment horizontal="center" vertical="center" wrapText="1"/>
    </xf>
    <xf numFmtId="2" fontId="138" fillId="57" borderId="115" xfId="59" applyNumberFormat="1" applyFont="1" applyFill="1" applyBorder="1" applyAlignment="1">
      <alignment horizontal="left" vertical="center"/>
    </xf>
    <xf numFmtId="3" fontId="152" fillId="57" borderId="116" xfId="59" applyNumberFormat="1" applyFont="1" applyFill="1" applyBorder="1" applyAlignment="1">
      <alignment horizontal="center" vertical="center"/>
    </xf>
    <xf numFmtId="2" fontId="138" fillId="57" borderId="117" xfId="59" applyNumberFormat="1" applyFont="1" applyFill="1" applyBorder="1" applyAlignment="1">
      <alignment horizontal="left" vertical="center"/>
    </xf>
    <xf numFmtId="0" fontId="160" fillId="56" borderId="106" xfId="59" applyFont="1" applyFill="1" applyBorder="1" applyAlignment="1">
      <alignment horizontal="center" vertical="center" wrapText="1"/>
    </xf>
    <xf numFmtId="164" fontId="135" fillId="56" borderId="111" xfId="59" applyNumberFormat="1" applyFont="1" applyFill="1" applyBorder="1" applyAlignment="1">
      <alignment horizontal="center" vertical="center" wrapText="1"/>
    </xf>
    <xf numFmtId="0" fontId="141" fillId="61" borderId="1" xfId="59" applyFont="1" applyFill="1" applyBorder="1" applyAlignment="1">
      <alignment horizontal="center" vertical="center" wrapText="1"/>
    </xf>
    <xf numFmtId="0" fontId="141" fillId="62" borderId="0" xfId="59" applyFont="1" applyFill="1" applyAlignment="1">
      <alignment horizontal="center" vertical="center" wrapText="1"/>
    </xf>
    <xf numFmtId="0" fontId="141" fillId="63" borderId="1" xfId="59" applyFont="1" applyFill="1" applyBorder="1" applyAlignment="1">
      <alignment horizontal="center" vertical="center" wrapText="1"/>
    </xf>
    <xf numFmtId="0" fontId="0" fillId="0" borderId="0" xfId="0" pivotButton="1"/>
    <xf numFmtId="17" fontId="0" fillId="0" borderId="0" xfId="0" applyNumberFormat="1"/>
    <xf numFmtId="0" fontId="112" fillId="64" borderId="0" xfId="0" applyFont="1" applyFill="1" applyAlignment="1">
      <alignment horizontal="center" vertical="center"/>
    </xf>
    <xf numFmtId="0" fontId="159" fillId="64" borderId="1" xfId="59" applyFont="1" applyFill="1" applyBorder="1" applyAlignment="1">
      <alignment horizontal="center" vertical="center" wrapText="1"/>
    </xf>
    <xf numFmtId="0" fontId="112" fillId="64" borderId="0" xfId="0" applyFont="1" applyFill="1" applyAlignment="1">
      <alignment vertical="center"/>
    </xf>
    <xf numFmtId="0" fontId="214" fillId="0" borderId="0" xfId="0" applyFont="1" applyAlignment="1">
      <alignment horizontal="center" vertical="center"/>
    </xf>
    <xf numFmtId="0" fontId="75" fillId="0" borderId="0" xfId="0" applyFont="1"/>
    <xf numFmtId="44" fontId="214" fillId="0" borderId="0" xfId="45525" applyFont="1" applyAlignment="1">
      <alignment horizontal="center" vertical="center"/>
    </xf>
    <xf numFmtId="44" fontId="214" fillId="39" borderId="0" xfId="45525" applyFont="1" applyFill="1"/>
    <xf numFmtId="0" fontId="214" fillId="39" borderId="0" xfId="0" applyFont="1" applyFill="1"/>
    <xf numFmtId="44" fontId="0" fillId="0" borderId="0" xfId="0" applyNumberFormat="1" applyAlignment="1">
      <alignment horizontal="center" vertical="center" wrapText="1"/>
    </xf>
    <xf numFmtId="174" fontId="156" fillId="65" borderId="1" xfId="59" applyNumberFormat="1" applyFont="1" applyFill="1" applyBorder="1" applyAlignment="1">
      <alignment horizontal="center"/>
    </xf>
    <xf numFmtId="174" fontId="156" fillId="0" borderId="1" xfId="59" applyNumberFormat="1" applyFont="1" applyBorder="1" applyAlignment="1">
      <alignment horizontal="center"/>
    </xf>
    <xf numFmtId="0" fontId="216" fillId="0" borderId="0" xfId="0" applyFont="1" applyAlignment="1">
      <alignment vertical="center"/>
    </xf>
    <xf numFmtId="44" fontId="218" fillId="39" borderId="84" xfId="0" applyNumberFormat="1" applyFont="1" applyFill="1" applyBorder="1" applyAlignment="1">
      <alignment horizontal="center" vertical="center" wrapText="1"/>
    </xf>
    <xf numFmtId="44" fontId="218" fillId="39" borderId="84" xfId="0" applyNumberFormat="1" applyFont="1" applyFill="1" applyBorder="1" applyAlignment="1">
      <alignment vertical="center"/>
    </xf>
    <xf numFmtId="44" fontId="218" fillId="39" borderId="108" xfId="45525" applyFont="1" applyFill="1" applyBorder="1" applyAlignment="1">
      <alignment horizontal="center" vertical="center" wrapText="1"/>
    </xf>
    <xf numFmtId="44" fontId="218" fillId="39" borderId="108" xfId="0" applyNumberFormat="1" applyFont="1" applyFill="1" applyBorder="1" applyAlignment="1">
      <alignment vertical="center"/>
    </xf>
    <xf numFmtId="44" fontId="216" fillId="39" borderId="0" xfId="0" applyNumberFormat="1" applyFont="1" applyFill="1"/>
    <xf numFmtId="3" fontId="216" fillId="39" borderId="0" xfId="0" applyNumberFormat="1" applyFont="1" applyFill="1"/>
    <xf numFmtId="17" fontId="109" fillId="64" borderId="0" xfId="0" applyNumberFormat="1" applyFont="1" applyFill="1"/>
    <xf numFmtId="3" fontId="109" fillId="64" borderId="0" xfId="0" applyNumberFormat="1" applyFont="1" applyFill="1"/>
    <xf numFmtId="0" fontId="112" fillId="64" borderId="1" xfId="59" applyFont="1" applyFill="1" applyBorder="1" applyAlignment="1">
      <alignment horizontal="center" vertical="center"/>
    </xf>
    <xf numFmtId="44" fontId="219" fillId="39" borderId="0" xfId="45525" applyFont="1" applyFill="1"/>
    <xf numFmtId="3" fontId="75" fillId="0" borderId="0" xfId="0" applyNumberFormat="1" applyFont="1"/>
    <xf numFmtId="0" fontId="214" fillId="39" borderId="0" xfId="45525" applyNumberFormat="1" applyFont="1" applyFill="1"/>
    <xf numFmtId="0" fontId="0" fillId="0" borderId="0" xfId="0" applyAlignment="1">
      <alignment wrapText="1"/>
    </xf>
    <xf numFmtId="0" fontId="112" fillId="64" borderId="0" xfId="0" applyFont="1" applyFill="1" applyAlignment="1">
      <alignment vertical="center" wrapText="1"/>
    </xf>
    <xf numFmtId="44" fontId="218" fillId="39" borderId="84" xfId="0" applyNumberFormat="1" applyFont="1" applyFill="1" applyBorder="1" applyAlignment="1">
      <alignment vertical="center" wrapText="1"/>
    </xf>
    <xf numFmtId="3" fontId="109" fillId="64" borderId="0" xfId="0" applyNumberFormat="1" applyFont="1" applyFill="1" applyAlignment="1">
      <alignment wrapText="1"/>
    </xf>
    <xf numFmtId="0" fontId="112" fillId="64" borderId="1" xfId="59" applyFont="1" applyFill="1" applyBorder="1" applyAlignment="1">
      <alignment horizontal="center" vertical="center" wrapText="1"/>
    </xf>
    <xf numFmtId="184" fontId="75" fillId="0" borderId="0" xfId="0" applyNumberFormat="1" applyFont="1" applyAlignment="1">
      <alignment wrapText="1"/>
    </xf>
    <xf numFmtId="184" fontId="75" fillId="0" borderId="0" xfId="45525" applyNumberFormat="1" applyFont="1" applyAlignment="1">
      <alignment wrapText="1"/>
    </xf>
    <xf numFmtId="184" fontId="214" fillId="39" borderId="0" xfId="45525" applyNumberFormat="1" applyFont="1" applyFill="1" applyAlignment="1">
      <alignment wrapText="1"/>
    </xf>
    <xf numFmtId="176" fontId="75" fillId="0" borderId="0" xfId="47" applyNumberFormat="1" applyFont="1" applyAlignment="1">
      <alignment wrapText="1" shrinkToFit="1"/>
    </xf>
    <xf numFmtId="176" fontId="220" fillId="39" borderId="0" xfId="47" applyNumberFormat="1" applyFont="1" applyFill="1" applyAlignment="1">
      <alignment wrapText="1" shrinkToFit="1"/>
    </xf>
    <xf numFmtId="3" fontId="218" fillId="0" borderId="92" xfId="0" applyNumberFormat="1" applyFont="1" applyBorder="1" applyAlignment="1">
      <alignment shrinkToFit="1"/>
    </xf>
    <xf numFmtId="44" fontId="218" fillId="0" borderId="92" xfId="45525" applyFont="1" applyBorder="1" applyAlignment="1">
      <alignment shrinkToFit="1"/>
    </xf>
    <xf numFmtId="0" fontId="218" fillId="0" borderId="92" xfId="0" applyFont="1" applyBorder="1" applyAlignment="1">
      <alignment shrinkToFit="1"/>
    </xf>
    <xf numFmtId="44" fontId="218" fillId="0" borderId="92" xfId="0" applyNumberFormat="1" applyFont="1" applyBorder="1" applyAlignment="1">
      <alignment wrapText="1" shrinkToFit="1"/>
    </xf>
    <xf numFmtId="0" fontId="218" fillId="0" borderId="92" xfId="0" applyFont="1" applyBorder="1" applyAlignment="1">
      <alignment wrapText="1" shrinkToFit="1"/>
    </xf>
    <xf numFmtId="44" fontId="218" fillId="0" borderId="92" xfId="0" applyNumberFormat="1" applyFont="1" applyBorder="1" applyAlignment="1">
      <alignment shrinkToFit="1"/>
    </xf>
    <xf numFmtId="17" fontId="217" fillId="39" borderId="0" xfId="0" applyNumberFormat="1" applyFont="1" applyFill="1"/>
    <xf numFmtId="3" fontId="217" fillId="39" borderId="0" xfId="0" applyNumberFormat="1" applyFont="1" applyFill="1"/>
    <xf numFmtId="3" fontId="217" fillId="39" borderId="0" xfId="0" applyNumberFormat="1" applyFont="1" applyFill="1" applyAlignment="1">
      <alignment wrapText="1"/>
    </xf>
    <xf numFmtId="17" fontId="0" fillId="0" borderId="0" xfId="0" applyNumberFormat="1" applyAlignment="1">
      <alignment horizontal="left"/>
    </xf>
    <xf numFmtId="44" fontId="59" fillId="0" borderId="0" xfId="0" applyNumberFormat="1" applyFont="1"/>
    <xf numFmtId="0" fontId="204" fillId="40" borderId="0" xfId="45431" applyFont="1" applyFill="1" applyAlignment="1" applyProtection="1">
      <alignment horizontal="center" vertical="center"/>
      <protection locked="0"/>
    </xf>
    <xf numFmtId="181" fontId="147" fillId="40" borderId="0" xfId="45431" applyNumberFormat="1" applyFont="1" applyFill="1" applyAlignment="1" applyProtection="1">
      <alignment horizontal="center" vertical="center"/>
      <protection locked="0"/>
    </xf>
    <xf numFmtId="0" fontId="203" fillId="2" borderId="0" xfId="0" applyFont="1" applyFill="1" applyAlignment="1">
      <alignment horizontal="center" vertical="center" wrapText="1" shrinkToFit="1"/>
    </xf>
    <xf numFmtId="0" fontId="203" fillId="0" borderId="0" xfId="0" applyFont="1" applyAlignment="1">
      <alignment horizontal="center" vertical="center" wrapText="1" shrinkToFit="1"/>
    </xf>
    <xf numFmtId="170" fontId="144" fillId="0" borderId="0" xfId="0" applyNumberFormat="1" applyFont="1" applyAlignment="1">
      <alignment horizontal="center" vertical="center"/>
    </xf>
    <xf numFmtId="0" fontId="140" fillId="39" borderId="47" xfId="59" applyFont="1" applyFill="1" applyBorder="1" applyAlignment="1">
      <alignment horizontal="center" vertical="center" wrapText="1" shrinkToFit="1"/>
    </xf>
    <xf numFmtId="175" fontId="185" fillId="52" borderId="57" xfId="59" applyNumberFormat="1" applyFont="1" applyFill="1" applyBorder="1" applyAlignment="1">
      <alignment horizontal="center" vertical="center"/>
    </xf>
    <xf numFmtId="175" fontId="185" fillId="52" borderId="90" xfId="59" applyNumberFormat="1" applyFont="1" applyFill="1" applyBorder="1" applyAlignment="1">
      <alignment horizontal="center" vertical="center"/>
    </xf>
    <xf numFmtId="175" fontId="185" fillId="52" borderId="88" xfId="59" applyNumberFormat="1" applyFont="1" applyFill="1" applyBorder="1" applyAlignment="1">
      <alignment horizontal="center" vertical="center"/>
    </xf>
    <xf numFmtId="175" fontId="185" fillId="39" borderId="57" xfId="59" applyNumberFormat="1" applyFont="1" applyFill="1" applyBorder="1" applyAlignment="1">
      <alignment horizontal="center" vertical="center"/>
    </xf>
    <xf numFmtId="175" fontId="185" fillId="39" borderId="90" xfId="59" applyNumberFormat="1" applyFont="1" applyFill="1" applyBorder="1" applyAlignment="1">
      <alignment horizontal="center" vertical="center"/>
    </xf>
    <xf numFmtId="175" fontId="185" fillId="39" borderId="88" xfId="59" applyNumberFormat="1" applyFont="1" applyFill="1" applyBorder="1" applyAlignment="1">
      <alignment horizontal="center" vertical="center"/>
    </xf>
    <xf numFmtId="169" fontId="164" fillId="2" borderId="0" xfId="59" applyNumberFormat="1" applyFont="1" applyFill="1" applyAlignment="1">
      <alignment horizontal="center" vertical="center"/>
    </xf>
    <xf numFmtId="175" fontId="141" fillId="52" borderId="48" xfId="59" applyNumberFormat="1" applyFont="1" applyFill="1" applyBorder="1" applyAlignment="1">
      <alignment horizontal="center" vertical="center"/>
    </xf>
    <xf numFmtId="175" fontId="185" fillId="39" borderId="48" xfId="59" applyNumberFormat="1" applyFont="1" applyFill="1" applyBorder="1" applyAlignment="1">
      <alignment horizontal="center" vertical="center"/>
    </xf>
    <xf numFmtId="175" fontId="185" fillId="52" borderId="48" xfId="59" applyNumberFormat="1" applyFont="1" applyFill="1" applyBorder="1" applyAlignment="1">
      <alignment horizontal="center" vertical="center"/>
    </xf>
    <xf numFmtId="0" fontId="152" fillId="39" borderId="23" xfId="0" applyFont="1" applyFill="1" applyBorder="1" applyAlignment="1">
      <alignment horizontal="center" vertical="center"/>
    </xf>
    <xf numFmtId="0" fontId="152" fillId="39" borderId="27" xfId="0" applyFont="1" applyFill="1" applyBorder="1" applyAlignment="1">
      <alignment horizontal="center" vertical="center"/>
    </xf>
    <xf numFmtId="0" fontId="152" fillId="39" borderId="28" xfId="0" applyFont="1" applyFill="1" applyBorder="1" applyAlignment="1">
      <alignment horizontal="center" vertical="center"/>
    </xf>
    <xf numFmtId="0" fontId="203" fillId="2" borderId="0" xfId="0" applyFont="1" applyFill="1" applyAlignment="1">
      <alignment horizontal="center" vertical="center"/>
    </xf>
    <xf numFmtId="170" fontId="144" fillId="2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141" fillId="39" borderId="25" xfId="59" applyFont="1" applyFill="1" applyBorder="1" applyAlignment="1">
      <alignment horizontal="center" vertical="center"/>
    </xf>
    <xf numFmtId="0" fontId="202" fillId="40" borderId="0" xfId="59" applyFont="1" applyFill="1" applyAlignment="1">
      <alignment horizontal="center" vertical="center"/>
    </xf>
    <xf numFmtId="170" fontId="144" fillId="2" borderId="25" xfId="59" applyNumberFormat="1" applyFont="1" applyFill="1" applyBorder="1" applyAlignment="1">
      <alignment horizontal="center" vertical="center"/>
    </xf>
    <xf numFmtId="3" fontId="155" fillId="39" borderId="53" xfId="47" applyNumberFormat="1" applyFont="1" applyFill="1" applyBorder="1" applyAlignment="1">
      <alignment horizontal="center" vertical="center" wrapText="1"/>
    </xf>
    <xf numFmtId="3" fontId="155" fillId="39" borderId="29" xfId="47" applyNumberFormat="1" applyFont="1" applyFill="1" applyBorder="1" applyAlignment="1">
      <alignment horizontal="center" vertical="center" wrapText="1"/>
    </xf>
    <xf numFmtId="3" fontId="155" fillId="39" borderId="82" xfId="47" applyNumberFormat="1" applyFont="1" applyFill="1" applyBorder="1" applyAlignment="1">
      <alignment horizontal="center" vertical="center" wrapText="1"/>
    </xf>
    <xf numFmtId="172" fontId="155" fillId="39" borderId="84" xfId="47" applyNumberFormat="1" applyFont="1" applyFill="1" applyBorder="1" applyAlignment="1">
      <alignment horizontal="center" vertical="center" wrapText="1"/>
    </xf>
    <xf numFmtId="172" fontId="155" fillId="39" borderId="0" xfId="47" applyNumberFormat="1" applyFont="1" applyFill="1" applyBorder="1" applyAlignment="1">
      <alignment horizontal="center" vertical="center" wrapText="1"/>
    </xf>
    <xf numFmtId="172" fontId="155" fillId="39" borderId="92" xfId="47" applyNumberFormat="1" applyFont="1" applyFill="1" applyBorder="1" applyAlignment="1">
      <alignment horizontal="center" vertical="center" wrapText="1"/>
    </xf>
    <xf numFmtId="172" fontId="155" fillId="39" borderId="53" xfId="47" applyNumberFormat="1" applyFont="1" applyFill="1" applyBorder="1" applyAlignment="1">
      <alignment horizontal="center" vertical="center" wrapText="1"/>
    </xf>
    <xf numFmtId="172" fontId="155" fillId="39" borderId="82" xfId="47" applyNumberFormat="1" applyFont="1" applyFill="1" applyBorder="1" applyAlignment="1">
      <alignment horizontal="center" vertical="center" wrapText="1"/>
    </xf>
    <xf numFmtId="3" fontId="155" fillId="39" borderId="67" xfId="47" applyNumberFormat="1" applyFont="1" applyFill="1" applyBorder="1" applyAlignment="1">
      <alignment horizontal="center" vertical="center" wrapText="1"/>
    </xf>
    <xf numFmtId="3" fontId="155" fillId="39" borderId="24" xfId="47" applyNumberFormat="1" applyFont="1" applyFill="1" applyBorder="1" applyAlignment="1">
      <alignment horizontal="center" vertical="center" wrapText="1"/>
    </xf>
    <xf numFmtId="3" fontId="155" fillId="39" borderId="80" xfId="47" applyNumberFormat="1" applyFont="1" applyFill="1" applyBorder="1" applyAlignment="1">
      <alignment horizontal="center" vertical="center" wrapText="1"/>
    </xf>
    <xf numFmtId="0" fontId="132" fillId="2" borderId="0" xfId="0" applyFont="1" applyFill="1" applyAlignment="1">
      <alignment horizontal="center" vertical="center"/>
    </xf>
    <xf numFmtId="172" fontId="155" fillId="39" borderId="29" xfId="47" applyNumberFormat="1" applyFont="1" applyFill="1" applyBorder="1" applyAlignment="1">
      <alignment horizontal="center" vertical="center" wrapText="1"/>
    </xf>
    <xf numFmtId="0" fontId="155" fillId="39" borderId="84" xfId="0" applyFont="1" applyFill="1" applyBorder="1" applyAlignment="1">
      <alignment horizontal="center" vertical="center" wrapText="1"/>
    </xf>
    <xf numFmtId="0" fontId="155" fillId="39" borderId="0" xfId="0" applyFont="1" applyFill="1" applyAlignment="1">
      <alignment horizontal="center" vertical="center" wrapText="1"/>
    </xf>
    <xf numFmtId="0" fontId="155" fillId="39" borderId="92" xfId="0" applyFont="1" applyFill="1" applyBorder="1" applyAlignment="1">
      <alignment horizontal="center" vertical="center" wrapText="1"/>
    </xf>
    <xf numFmtId="172" fontId="155" fillId="39" borderId="81" xfId="47" applyNumberFormat="1" applyFont="1" applyFill="1" applyBorder="1" applyAlignment="1">
      <alignment horizontal="center" vertical="center"/>
    </xf>
    <xf numFmtId="172" fontId="155" fillId="39" borderId="59" xfId="47" applyNumberFormat="1" applyFont="1" applyFill="1" applyBorder="1" applyAlignment="1">
      <alignment horizontal="center" vertical="center"/>
    </xf>
    <xf numFmtId="172" fontId="155" fillId="39" borderId="95" xfId="47" applyNumberFormat="1" applyFont="1" applyFill="1" applyBorder="1" applyAlignment="1">
      <alignment horizontal="center" vertical="center"/>
    </xf>
    <xf numFmtId="172" fontId="155" fillId="39" borderId="81" xfId="47" applyNumberFormat="1" applyFont="1" applyFill="1" applyBorder="1" applyAlignment="1">
      <alignment horizontal="center" vertical="center" wrapText="1"/>
    </xf>
    <xf numFmtId="172" fontId="155" fillId="39" borderId="59" xfId="47" applyNumberFormat="1" applyFont="1" applyFill="1" applyBorder="1" applyAlignment="1">
      <alignment horizontal="center" vertical="center" wrapText="1"/>
    </xf>
    <xf numFmtId="172" fontId="155" fillId="39" borderId="95" xfId="47" applyNumberFormat="1" applyFont="1" applyFill="1" applyBorder="1" applyAlignment="1">
      <alignment horizontal="center" vertical="center" wrapText="1"/>
    </xf>
    <xf numFmtId="0" fontId="203" fillId="2" borderId="0" xfId="0" applyFont="1" applyFill="1" applyAlignment="1">
      <alignment horizontal="center"/>
    </xf>
    <xf numFmtId="170" fontId="191" fillId="2" borderId="25" xfId="0" applyNumberFormat="1" applyFont="1" applyFill="1" applyBorder="1" applyAlignment="1">
      <alignment horizontal="center"/>
    </xf>
    <xf numFmtId="170" fontId="129" fillId="2" borderId="0" xfId="0" applyNumberFormat="1" applyFont="1" applyFill="1" applyAlignment="1">
      <alignment horizontal="center" vertical="center"/>
    </xf>
    <xf numFmtId="170" fontId="140" fillId="58" borderId="38" xfId="0" applyNumberFormat="1" applyFont="1" applyFill="1" applyBorder="1" applyAlignment="1">
      <alignment horizontal="center"/>
    </xf>
    <xf numFmtId="175" fontId="141" fillId="52" borderId="68" xfId="0" applyNumberFormat="1" applyFont="1" applyFill="1" applyBorder="1" applyAlignment="1">
      <alignment horizontal="center" vertical="center" wrapText="1" shrinkToFit="1"/>
    </xf>
    <xf numFmtId="175" fontId="141" fillId="52" borderId="25" xfId="0" applyNumberFormat="1" applyFont="1" applyFill="1" applyBorder="1" applyAlignment="1">
      <alignment horizontal="center" vertical="center" wrapText="1" shrinkToFit="1"/>
    </xf>
    <xf numFmtId="170" fontId="140" fillId="39" borderId="38" xfId="0" applyNumberFormat="1" applyFont="1" applyFill="1" applyBorder="1" applyAlignment="1">
      <alignment horizontal="center"/>
    </xf>
    <xf numFmtId="170" fontId="140" fillId="53" borderId="38" xfId="0" applyNumberFormat="1" applyFont="1" applyFill="1" applyBorder="1" applyAlignment="1">
      <alignment horizontal="center"/>
    </xf>
    <xf numFmtId="170" fontId="140" fillId="60" borderId="38" xfId="0" applyNumberFormat="1" applyFont="1" applyFill="1" applyBorder="1" applyAlignment="1">
      <alignment horizontal="center"/>
    </xf>
    <xf numFmtId="0" fontId="146" fillId="2" borderId="0" xfId="0" applyFont="1" applyFill="1" applyAlignment="1">
      <alignment horizontal="center"/>
    </xf>
    <xf numFmtId="170" fontId="164" fillId="2" borderId="0" xfId="0" applyNumberFormat="1" applyFont="1" applyFill="1" applyAlignment="1">
      <alignment horizontal="center"/>
    </xf>
    <xf numFmtId="166" fontId="132" fillId="52" borderId="94" xfId="0" applyNumberFormat="1" applyFont="1" applyFill="1" applyBorder="1" applyAlignment="1">
      <alignment horizontal="center" vertical="center" wrapText="1" shrinkToFit="1"/>
    </xf>
    <xf numFmtId="166" fontId="132" fillId="52" borderId="0" xfId="0" applyNumberFormat="1" applyFont="1" applyFill="1" applyAlignment="1">
      <alignment horizontal="center" vertical="center" wrapText="1" shrinkToFit="1"/>
    </xf>
    <xf numFmtId="166" fontId="198" fillId="39" borderId="93" xfId="0" applyNumberFormat="1" applyFont="1" applyFill="1" applyBorder="1" applyAlignment="1">
      <alignment horizontal="center" vertical="center"/>
    </xf>
    <xf numFmtId="166" fontId="198" fillId="39" borderId="91" xfId="0" applyNumberFormat="1" applyFont="1" applyFill="1" applyBorder="1" applyAlignment="1">
      <alignment horizontal="center" vertical="center"/>
    </xf>
    <xf numFmtId="166" fontId="164" fillId="52" borderId="84" xfId="0" applyNumberFormat="1" applyFont="1" applyFill="1" applyBorder="1" applyAlignment="1">
      <alignment horizontal="center" vertical="center" wrapText="1" shrinkToFit="1"/>
    </xf>
    <xf numFmtId="166" fontId="164" fillId="52" borderId="0" xfId="0" applyNumberFormat="1" applyFont="1" applyFill="1" applyAlignment="1">
      <alignment horizontal="center" vertical="center" wrapText="1" shrinkToFit="1"/>
    </xf>
    <xf numFmtId="166" fontId="132" fillId="39" borderId="93" xfId="0" applyNumberFormat="1" applyFont="1" applyFill="1" applyBorder="1" applyAlignment="1">
      <alignment horizontal="center" vertical="center" textRotation="91" wrapText="1" shrinkToFit="1"/>
    </xf>
    <xf numFmtId="166" fontId="132" fillId="39" borderId="91" xfId="0" applyNumberFormat="1" applyFont="1" applyFill="1" applyBorder="1" applyAlignment="1">
      <alignment horizontal="center" vertical="center" textRotation="91" wrapText="1" shrinkToFit="1"/>
    </xf>
    <xf numFmtId="0" fontId="143" fillId="0" borderId="48" xfId="0" applyFont="1" applyBorder="1" applyAlignment="1">
      <alignment horizontal="left" vertical="center"/>
    </xf>
    <xf numFmtId="166" fontId="197" fillId="52" borderId="100" xfId="0" applyNumberFormat="1" applyFont="1" applyFill="1" applyBorder="1" applyAlignment="1">
      <alignment horizontal="center" vertical="center" textRotation="255" wrapText="1" shrinkToFit="1"/>
    </xf>
    <xf numFmtId="166" fontId="197" fillId="52" borderId="99" xfId="0" applyNumberFormat="1" applyFont="1" applyFill="1" applyBorder="1" applyAlignment="1">
      <alignment horizontal="center" vertical="center" textRotation="255" wrapText="1" shrinkToFit="1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center"/>
    </xf>
    <xf numFmtId="0" fontId="203" fillId="2" borderId="0" xfId="59" applyFont="1" applyFill="1" applyAlignment="1">
      <alignment horizontal="center"/>
    </xf>
    <xf numFmtId="169" fontId="147" fillId="2" borderId="0" xfId="59" applyNumberFormat="1" applyFont="1" applyFill="1" applyAlignment="1">
      <alignment horizontal="center"/>
    </xf>
    <xf numFmtId="164" fontId="152" fillId="40" borderId="30" xfId="59" applyNumberFormat="1" applyFont="1" applyFill="1" applyBorder="1" applyAlignment="1">
      <alignment horizontal="center" vertical="center"/>
    </xf>
    <xf numFmtId="164" fontId="152" fillId="40" borderId="0" xfId="59" applyNumberFormat="1" applyFont="1" applyFill="1" applyAlignment="1">
      <alignment horizontal="center" vertical="center"/>
    </xf>
    <xf numFmtId="3" fontId="152" fillId="40" borderId="30" xfId="59" applyNumberFormat="1" applyFont="1" applyFill="1" applyBorder="1" applyAlignment="1">
      <alignment horizontal="center" vertical="center"/>
    </xf>
    <xf numFmtId="3" fontId="152" fillId="40" borderId="0" xfId="59" applyNumberFormat="1" applyFont="1" applyFill="1" applyAlignment="1">
      <alignment horizontal="center" vertical="center"/>
    </xf>
    <xf numFmtId="0" fontId="216" fillId="39" borderId="92" xfId="0" applyFont="1" applyFill="1" applyBorder="1" applyAlignment="1">
      <alignment horizontal="center" vertical="center"/>
    </xf>
    <xf numFmtId="0" fontId="216" fillId="39" borderId="107" xfId="0" applyFont="1" applyFill="1" applyBorder="1" applyAlignment="1">
      <alignment horizontal="center" vertical="center"/>
    </xf>
    <xf numFmtId="0" fontId="216" fillId="39" borderId="118" xfId="0" applyFont="1" applyFill="1" applyBorder="1" applyAlignment="1">
      <alignment horizontal="center" vertical="center"/>
    </xf>
    <xf numFmtId="17" fontId="213" fillId="39" borderId="0" xfId="0" applyNumberFormat="1" applyFont="1" applyFill="1" applyAlignment="1">
      <alignment horizontal="center"/>
    </xf>
    <xf numFmtId="3" fontId="213" fillId="39" borderId="68" xfId="0" applyNumberFormat="1" applyFont="1" applyFill="1" applyBorder="1" applyAlignment="1">
      <alignment horizontal="center"/>
    </xf>
    <xf numFmtId="3" fontId="213" fillId="39" borderId="0" xfId="0" applyNumberFormat="1" applyFont="1" applyFill="1" applyAlignment="1">
      <alignment horizontal="center"/>
    </xf>
    <xf numFmtId="0" fontId="140" fillId="39" borderId="83" xfId="45523" applyFont="1" applyFill="1" applyBorder="1" applyAlignment="1">
      <alignment horizontal="center" vertical="center"/>
    </xf>
    <xf numFmtId="0" fontId="140" fillId="39" borderId="72" xfId="45523" applyFont="1" applyFill="1" applyBorder="1" applyAlignment="1">
      <alignment horizontal="center" vertical="center"/>
    </xf>
    <xf numFmtId="170" fontId="164" fillId="2" borderId="74" xfId="45434" applyNumberFormat="1" applyFont="1" applyFill="1" applyBorder="1" applyAlignment="1">
      <alignment horizontal="center"/>
    </xf>
    <xf numFmtId="0" fontId="103" fillId="39" borderId="71" xfId="45523" applyFont="1" applyFill="1" applyBorder="1" applyAlignment="1">
      <alignment horizontal="center" vertical="center"/>
    </xf>
    <xf numFmtId="0" fontId="103" fillId="39" borderId="72" xfId="45523" applyFont="1" applyFill="1" applyBorder="1" applyAlignment="1">
      <alignment horizontal="center" vertical="center"/>
    </xf>
    <xf numFmtId="0" fontId="140" fillId="52" borderId="83" xfId="45523" applyFont="1" applyFill="1" applyBorder="1" applyAlignment="1">
      <alignment horizontal="center" vertical="center"/>
    </xf>
    <xf numFmtId="0" fontId="140" fillId="52" borderId="72" xfId="45523" applyFont="1" applyFill="1" applyBorder="1" applyAlignment="1">
      <alignment horizontal="center" vertical="center"/>
    </xf>
    <xf numFmtId="0" fontId="143" fillId="58" borderId="83" xfId="45523" applyFont="1" applyFill="1" applyBorder="1" applyAlignment="1">
      <alignment horizontal="center" vertical="center"/>
    </xf>
    <xf numFmtId="0" fontId="143" fillId="58" borderId="72" xfId="45523" applyFont="1" applyFill="1" applyBorder="1" applyAlignment="1">
      <alignment horizontal="center" vertical="center"/>
    </xf>
    <xf numFmtId="0" fontId="143" fillId="58" borderId="98" xfId="45523" applyFont="1" applyFill="1" applyBorder="1" applyAlignment="1">
      <alignment horizontal="center" vertical="center"/>
    </xf>
    <xf numFmtId="0" fontId="105" fillId="2" borderId="0" xfId="59" applyFont="1" applyFill="1" applyAlignment="1">
      <alignment horizontal="left" vertical="center"/>
    </xf>
    <xf numFmtId="174" fontId="82" fillId="52" borderId="0" xfId="59" applyNumberFormat="1" applyFont="1" applyFill="1" applyAlignment="1">
      <alignment horizontal="center" vertical="center" wrapText="1"/>
    </xf>
    <xf numFmtId="0" fontId="113" fillId="2" borderId="0" xfId="59" applyFont="1" applyFill="1" applyAlignment="1">
      <alignment horizontal="center" vertical="center" wrapText="1" shrinkToFit="1"/>
    </xf>
    <xf numFmtId="0" fontId="60" fillId="5" borderId="33" xfId="59" applyFont="1" applyFill="1" applyBorder="1" applyAlignment="1">
      <alignment horizontal="center" vertical="center" wrapText="1" shrinkToFit="1"/>
    </xf>
    <xf numFmtId="0" fontId="60" fillId="5" borderId="34" xfId="59" applyFont="1" applyFill="1" applyBorder="1" applyAlignment="1">
      <alignment horizontal="center" vertical="center" wrapText="1" shrinkToFit="1"/>
    </xf>
    <xf numFmtId="0" fontId="60" fillId="5" borderId="31" xfId="59" applyFont="1" applyFill="1" applyBorder="1" applyAlignment="1">
      <alignment horizontal="center" vertical="center" wrapText="1" shrinkToFit="1"/>
    </xf>
    <xf numFmtId="0" fontId="60" fillId="5" borderId="32" xfId="59" applyFont="1" applyFill="1" applyBorder="1" applyAlignment="1">
      <alignment horizontal="center" vertical="center" wrapText="1" shrinkToFit="1"/>
    </xf>
    <xf numFmtId="0" fontId="63" fillId="2" borderId="0" xfId="59" applyFont="1" applyFill="1" applyAlignment="1">
      <alignment horizontal="center" vertical="center"/>
    </xf>
    <xf numFmtId="0" fontId="81" fillId="2" borderId="0" xfId="59" applyFont="1" applyFill="1" applyAlignment="1">
      <alignment horizontal="center" vertical="center"/>
    </xf>
    <xf numFmtId="169" fontId="116" fillId="2" borderId="0" xfId="59" applyNumberFormat="1" applyFont="1" applyFill="1" applyAlignment="1">
      <alignment horizontal="right" vertical="center"/>
    </xf>
    <xf numFmtId="0" fontId="82" fillId="39" borderId="47" xfId="0" applyFont="1" applyFill="1" applyBorder="1" applyAlignment="1">
      <alignment horizontal="center" vertical="center" wrapText="1" shrinkToFit="1"/>
    </xf>
  </cellXfs>
  <cellStyles count="45526">
    <cellStyle name="20% - Énfasis1" xfId="1" builtinId="30" customBuiltin="1"/>
    <cellStyle name="20% - Énfasis1 10" xfId="7860" xr:uid="{00000000-0005-0000-0000-000001000000}"/>
    <cellStyle name="20% - Énfasis1 10 2" xfId="30506" xr:uid="{00000000-0005-0000-0000-000002000000}"/>
    <cellStyle name="20% - Énfasis1 11" xfId="22751" xr:uid="{00000000-0005-0000-0000-000003000000}"/>
    <cellStyle name="20% - Énfasis1 12" xfId="45451" xr:uid="{00000000-0005-0000-0000-000004000000}"/>
    <cellStyle name="20% - Énfasis1 13" xfId="45490" xr:uid="{00000000-0005-0000-0000-000005000000}"/>
    <cellStyle name="20% - Énfasis1 2" xfId="2" xr:uid="{00000000-0005-0000-0000-000006000000}"/>
    <cellStyle name="20% - Énfasis1 2 10" xfId="22764" xr:uid="{00000000-0005-0000-0000-000007000000}"/>
    <cellStyle name="20% - Énfasis1 2 2" xfId="97" xr:uid="{00000000-0005-0000-0000-000008000000}"/>
    <cellStyle name="20% - Énfasis1 2 2 2" xfId="180" xr:uid="{00000000-0005-0000-0000-000009000000}"/>
    <cellStyle name="20% - Énfasis1 2 2 2 2" xfId="341" xr:uid="{00000000-0005-0000-0000-00000A000000}"/>
    <cellStyle name="20% - Énfasis1 2 2 2 2 2" xfId="2168" xr:uid="{00000000-0005-0000-0000-00000B000000}"/>
    <cellStyle name="20% - Énfasis1 2 2 2 2 2 2" xfId="4018" xr:uid="{00000000-0005-0000-0000-00000C000000}"/>
    <cellStyle name="20% - Énfasis1 2 2 2 2 2 2 2" xfId="7739" xr:uid="{00000000-0005-0000-0000-00000D000000}"/>
    <cellStyle name="20% - Énfasis1 2 2 2 2 2 2 2 2" xfId="22623" xr:uid="{00000000-0005-0000-0000-00000E000000}"/>
    <cellStyle name="20% - Énfasis1 2 2 2 2 2 2 2 2 2" xfId="45266" xr:uid="{00000000-0005-0000-0000-00000F000000}"/>
    <cellStyle name="20% - Énfasis1 2 2 2 2 2 2 2 3" xfId="15183" xr:uid="{00000000-0005-0000-0000-000010000000}"/>
    <cellStyle name="20% - Énfasis1 2 2 2 2 2 2 2 3 2" xfId="37826" xr:uid="{00000000-0005-0000-0000-000011000000}"/>
    <cellStyle name="20% - Énfasis1 2 2 2 2 2 2 2 4" xfId="30385" xr:uid="{00000000-0005-0000-0000-000012000000}"/>
    <cellStyle name="20% - Énfasis1 2 2 2 2 2 2 3" xfId="18905" xr:uid="{00000000-0005-0000-0000-000013000000}"/>
    <cellStyle name="20% - Énfasis1 2 2 2 2 2 2 3 2" xfId="41548" xr:uid="{00000000-0005-0000-0000-000014000000}"/>
    <cellStyle name="20% - Énfasis1 2 2 2 2 2 2 4" xfId="11465" xr:uid="{00000000-0005-0000-0000-000015000000}"/>
    <cellStyle name="20% - Énfasis1 2 2 2 2 2 2 4 2" xfId="34108" xr:uid="{00000000-0005-0000-0000-000016000000}"/>
    <cellStyle name="20% - Énfasis1 2 2 2 2 2 2 5" xfId="26667" xr:uid="{00000000-0005-0000-0000-000017000000}"/>
    <cellStyle name="20% - Énfasis1 2 2 2 2 2 3" xfId="5892" xr:uid="{00000000-0005-0000-0000-000018000000}"/>
    <cellStyle name="20% - Énfasis1 2 2 2 2 2 3 2" xfId="20776" xr:uid="{00000000-0005-0000-0000-000019000000}"/>
    <cellStyle name="20% - Énfasis1 2 2 2 2 2 3 2 2" xfId="43419" xr:uid="{00000000-0005-0000-0000-00001A000000}"/>
    <cellStyle name="20% - Énfasis1 2 2 2 2 2 3 3" xfId="13336" xr:uid="{00000000-0005-0000-0000-00001B000000}"/>
    <cellStyle name="20% - Énfasis1 2 2 2 2 2 3 3 2" xfId="35979" xr:uid="{00000000-0005-0000-0000-00001C000000}"/>
    <cellStyle name="20% - Énfasis1 2 2 2 2 2 3 4" xfId="28538" xr:uid="{00000000-0005-0000-0000-00001D000000}"/>
    <cellStyle name="20% - Énfasis1 2 2 2 2 2 4" xfId="17058" xr:uid="{00000000-0005-0000-0000-00001E000000}"/>
    <cellStyle name="20% - Énfasis1 2 2 2 2 2 4 2" xfId="39701" xr:uid="{00000000-0005-0000-0000-00001F000000}"/>
    <cellStyle name="20% - Énfasis1 2 2 2 2 2 5" xfId="9618" xr:uid="{00000000-0005-0000-0000-000020000000}"/>
    <cellStyle name="20% - Énfasis1 2 2 2 2 2 5 2" xfId="32261" xr:uid="{00000000-0005-0000-0000-000021000000}"/>
    <cellStyle name="20% - Énfasis1 2 2 2 2 2 6" xfId="24820" xr:uid="{00000000-0005-0000-0000-000022000000}"/>
    <cellStyle name="20% - Énfasis1 2 2 2 2 3" xfId="3093" xr:uid="{00000000-0005-0000-0000-000023000000}"/>
    <cellStyle name="20% - Énfasis1 2 2 2 2 3 2" xfId="6814" xr:uid="{00000000-0005-0000-0000-000024000000}"/>
    <cellStyle name="20% - Énfasis1 2 2 2 2 3 2 2" xfId="21698" xr:uid="{00000000-0005-0000-0000-000025000000}"/>
    <cellStyle name="20% - Énfasis1 2 2 2 2 3 2 2 2" xfId="44341" xr:uid="{00000000-0005-0000-0000-000026000000}"/>
    <cellStyle name="20% - Énfasis1 2 2 2 2 3 2 3" xfId="14258" xr:uid="{00000000-0005-0000-0000-000027000000}"/>
    <cellStyle name="20% - Énfasis1 2 2 2 2 3 2 3 2" xfId="36901" xr:uid="{00000000-0005-0000-0000-000028000000}"/>
    <cellStyle name="20% - Énfasis1 2 2 2 2 3 2 4" xfId="29460" xr:uid="{00000000-0005-0000-0000-000029000000}"/>
    <cellStyle name="20% - Énfasis1 2 2 2 2 3 3" xfId="17980" xr:uid="{00000000-0005-0000-0000-00002A000000}"/>
    <cellStyle name="20% - Énfasis1 2 2 2 2 3 3 2" xfId="40623" xr:uid="{00000000-0005-0000-0000-00002B000000}"/>
    <cellStyle name="20% - Énfasis1 2 2 2 2 3 4" xfId="10540" xr:uid="{00000000-0005-0000-0000-00002C000000}"/>
    <cellStyle name="20% - Énfasis1 2 2 2 2 3 4 2" xfId="33183" xr:uid="{00000000-0005-0000-0000-00002D000000}"/>
    <cellStyle name="20% - Énfasis1 2 2 2 2 3 5" xfId="25742" xr:uid="{00000000-0005-0000-0000-00002E000000}"/>
    <cellStyle name="20% - Énfasis1 2 2 2 2 4" xfId="4967" xr:uid="{00000000-0005-0000-0000-00002F000000}"/>
    <cellStyle name="20% - Énfasis1 2 2 2 2 4 2" xfId="19851" xr:uid="{00000000-0005-0000-0000-000030000000}"/>
    <cellStyle name="20% - Énfasis1 2 2 2 2 4 2 2" xfId="42494" xr:uid="{00000000-0005-0000-0000-000031000000}"/>
    <cellStyle name="20% - Énfasis1 2 2 2 2 4 3" xfId="12411" xr:uid="{00000000-0005-0000-0000-000032000000}"/>
    <cellStyle name="20% - Énfasis1 2 2 2 2 4 3 2" xfId="35054" xr:uid="{00000000-0005-0000-0000-000033000000}"/>
    <cellStyle name="20% - Énfasis1 2 2 2 2 4 4" xfId="27613" xr:uid="{00000000-0005-0000-0000-000034000000}"/>
    <cellStyle name="20% - Énfasis1 2 2 2 2 5" xfId="1240" xr:uid="{00000000-0005-0000-0000-000035000000}"/>
    <cellStyle name="20% - Énfasis1 2 2 2 2 5 2" xfId="16133" xr:uid="{00000000-0005-0000-0000-000036000000}"/>
    <cellStyle name="20% - Énfasis1 2 2 2 2 5 2 2" xfId="38776" xr:uid="{00000000-0005-0000-0000-000037000000}"/>
    <cellStyle name="20% - Énfasis1 2 2 2 2 5 3" xfId="23895" xr:uid="{00000000-0005-0000-0000-000038000000}"/>
    <cellStyle name="20% - Énfasis1 2 2 2 2 6" xfId="8693" xr:uid="{00000000-0005-0000-0000-000039000000}"/>
    <cellStyle name="20% - Énfasis1 2 2 2 2 6 2" xfId="31336" xr:uid="{00000000-0005-0000-0000-00003A000000}"/>
    <cellStyle name="20% - Énfasis1 2 2 2 2 7" xfId="23039" xr:uid="{00000000-0005-0000-0000-00003B000000}"/>
    <cellStyle name="20% - Énfasis1 2 2 2 3" xfId="1706" xr:uid="{00000000-0005-0000-0000-00003C000000}"/>
    <cellStyle name="20% - Énfasis1 2 2 2 3 2" xfId="3556" xr:uid="{00000000-0005-0000-0000-00003D000000}"/>
    <cellStyle name="20% - Énfasis1 2 2 2 3 2 2" xfId="7277" xr:uid="{00000000-0005-0000-0000-00003E000000}"/>
    <cellStyle name="20% - Énfasis1 2 2 2 3 2 2 2" xfId="22161" xr:uid="{00000000-0005-0000-0000-00003F000000}"/>
    <cellStyle name="20% - Énfasis1 2 2 2 3 2 2 2 2" xfId="44804" xr:uid="{00000000-0005-0000-0000-000040000000}"/>
    <cellStyle name="20% - Énfasis1 2 2 2 3 2 2 3" xfId="14721" xr:uid="{00000000-0005-0000-0000-000041000000}"/>
    <cellStyle name="20% - Énfasis1 2 2 2 3 2 2 3 2" xfId="37364" xr:uid="{00000000-0005-0000-0000-000042000000}"/>
    <cellStyle name="20% - Énfasis1 2 2 2 3 2 2 4" xfId="29923" xr:uid="{00000000-0005-0000-0000-000043000000}"/>
    <cellStyle name="20% - Énfasis1 2 2 2 3 2 3" xfId="18443" xr:uid="{00000000-0005-0000-0000-000044000000}"/>
    <cellStyle name="20% - Énfasis1 2 2 2 3 2 3 2" xfId="41086" xr:uid="{00000000-0005-0000-0000-000045000000}"/>
    <cellStyle name="20% - Énfasis1 2 2 2 3 2 4" xfId="11003" xr:uid="{00000000-0005-0000-0000-000046000000}"/>
    <cellStyle name="20% - Énfasis1 2 2 2 3 2 4 2" xfId="33646" xr:uid="{00000000-0005-0000-0000-000047000000}"/>
    <cellStyle name="20% - Énfasis1 2 2 2 3 2 5" xfId="26205" xr:uid="{00000000-0005-0000-0000-000048000000}"/>
    <cellStyle name="20% - Énfasis1 2 2 2 3 3" xfId="5430" xr:uid="{00000000-0005-0000-0000-000049000000}"/>
    <cellStyle name="20% - Énfasis1 2 2 2 3 3 2" xfId="20314" xr:uid="{00000000-0005-0000-0000-00004A000000}"/>
    <cellStyle name="20% - Énfasis1 2 2 2 3 3 2 2" xfId="42957" xr:uid="{00000000-0005-0000-0000-00004B000000}"/>
    <cellStyle name="20% - Énfasis1 2 2 2 3 3 3" xfId="12874" xr:uid="{00000000-0005-0000-0000-00004C000000}"/>
    <cellStyle name="20% - Énfasis1 2 2 2 3 3 3 2" xfId="35517" xr:uid="{00000000-0005-0000-0000-00004D000000}"/>
    <cellStyle name="20% - Énfasis1 2 2 2 3 3 4" xfId="28076" xr:uid="{00000000-0005-0000-0000-00004E000000}"/>
    <cellStyle name="20% - Énfasis1 2 2 2 3 4" xfId="16596" xr:uid="{00000000-0005-0000-0000-00004F000000}"/>
    <cellStyle name="20% - Énfasis1 2 2 2 3 4 2" xfId="39239" xr:uid="{00000000-0005-0000-0000-000050000000}"/>
    <cellStyle name="20% - Énfasis1 2 2 2 3 5" xfId="9156" xr:uid="{00000000-0005-0000-0000-000051000000}"/>
    <cellStyle name="20% - Énfasis1 2 2 2 3 5 2" xfId="31799" xr:uid="{00000000-0005-0000-0000-000052000000}"/>
    <cellStyle name="20% - Énfasis1 2 2 2 3 6" xfId="24358" xr:uid="{00000000-0005-0000-0000-000053000000}"/>
    <cellStyle name="20% - Énfasis1 2 2 2 4" xfId="2631" xr:uid="{00000000-0005-0000-0000-000054000000}"/>
    <cellStyle name="20% - Énfasis1 2 2 2 4 2" xfId="6352" xr:uid="{00000000-0005-0000-0000-000055000000}"/>
    <cellStyle name="20% - Énfasis1 2 2 2 4 2 2" xfId="21236" xr:uid="{00000000-0005-0000-0000-000056000000}"/>
    <cellStyle name="20% - Énfasis1 2 2 2 4 2 2 2" xfId="43879" xr:uid="{00000000-0005-0000-0000-000057000000}"/>
    <cellStyle name="20% - Énfasis1 2 2 2 4 2 3" xfId="13796" xr:uid="{00000000-0005-0000-0000-000058000000}"/>
    <cellStyle name="20% - Énfasis1 2 2 2 4 2 3 2" xfId="36439" xr:uid="{00000000-0005-0000-0000-000059000000}"/>
    <cellStyle name="20% - Énfasis1 2 2 2 4 2 4" xfId="28998" xr:uid="{00000000-0005-0000-0000-00005A000000}"/>
    <cellStyle name="20% - Énfasis1 2 2 2 4 3" xfId="17518" xr:uid="{00000000-0005-0000-0000-00005B000000}"/>
    <cellStyle name="20% - Énfasis1 2 2 2 4 3 2" xfId="40161" xr:uid="{00000000-0005-0000-0000-00005C000000}"/>
    <cellStyle name="20% - Énfasis1 2 2 2 4 4" xfId="10078" xr:uid="{00000000-0005-0000-0000-00005D000000}"/>
    <cellStyle name="20% - Énfasis1 2 2 2 4 4 2" xfId="32721" xr:uid="{00000000-0005-0000-0000-00005E000000}"/>
    <cellStyle name="20% - Énfasis1 2 2 2 4 5" xfId="25280" xr:uid="{00000000-0005-0000-0000-00005F000000}"/>
    <cellStyle name="20% - Énfasis1 2 2 2 5" xfId="4505" xr:uid="{00000000-0005-0000-0000-000060000000}"/>
    <cellStyle name="20% - Énfasis1 2 2 2 5 2" xfId="19389" xr:uid="{00000000-0005-0000-0000-000061000000}"/>
    <cellStyle name="20% - Énfasis1 2 2 2 5 2 2" xfId="42032" xr:uid="{00000000-0005-0000-0000-000062000000}"/>
    <cellStyle name="20% - Énfasis1 2 2 2 5 3" xfId="11949" xr:uid="{00000000-0005-0000-0000-000063000000}"/>
    <cellStyle name="20% - Énfasis1 2 2 2 5 3 2" xfId="34592" xr:uid="{00000000-0005-0000-0000-000064000000}"/>
    <cellStyle name="20% - Énfasis1 2 2 2 5 4" xfId="27151" xr:uid="{00000000-0005-0000-0000-000065000000}"/>
    <cellStyle name="20% - Énfasis1 2 2 2 6" xfId="775" xr:uid="{00000000-0005-0000-0000-000066000000}"/>
    <cellStyle name="20% - Énfasis1 2 2 2 6 2" xfId="15671" xr:uid="{00000000-0005-0000-0000-000067000000}"/>
    <cellStyle name="20% - Énfasis1 2 2 2 6 2 2" xfId="38314" xr:uid="{00000000-0005-0000-0000-000068000000}"/>
    <cellStyle name="20% - Énfasis1 2 2 2 6 3" xfId="23433" xr:uid="{00000000-0005-0000-0000-000069000000}"/>
    <cellStyle name="20% - Énfasis1 2 2 2 7" xfId="8231" xr:uid="{00000000-0005-0000-0000-00006A000000}"/>
    <cellStyle name="20% - Énfasis1 2 2 2 7 2" xfId="30874" xr:uid="{00000000-0005-0000-0000-00006B000000}"/>
    <cellStyle name="20% - Énfasis1 2 2 2 8" xfId="22883" xr:uid="{00000000-0005-0000-0000-00006C000000}"/>
    <cellStyle name="20% - Énfasis1 2 2 3" xfId="263" xr:uid="{00000000-0005-0000-0000-00006D000000}"/>
    <cellStyle name="20% - Énfasis1 2 2 3 2" xfId="1957" xr:uid="{00000000-0005-0000-0000-00006E000000}"/>
    <cellStyle name="20% - Énfasis1 2 2 3 2 2" xfId="3807" xr:uid="{00000000-0005-0000-0000-00006F000000}"/>
    <cellStyle name="20% - Énfasis1 2 2 3 2 2 2" xfId="7528" xr:uid="{00000000-0005-0000-0000-000070000000}"/>
    <cellStyle name="20% - Énfasis1 2 2 3 2 2 2 2" xfId="22412" xr:uid="{00000000-0005-0000-0000-000071000000}"/>
    <cellStyle name="20% - Énfasis1 2 2 3 2 2 2 2 2" xfId="45055" xr:uid="{00000000-0005-0000-0000-000072000000}"/>
    <cellStyle name="20% - Énfasis1 2 2 3 2 2 2 3" xfId="14972" xr:uid="{00000000-0005-0000-0000-000073000000}"/>
    <cellStyle name="20% - Énfasis1 2 2 3 2 2 2 3 2" xfId="37615" xr:uid="{00000000-0005-0000-0000-000074000000}"/>
    <cellStyle name="20% - Énfasis1 2 2 3 2 2 2 4" xfId="30174" xr:uid="{00000000-0005-0000-0000-000075000000}"/>
    <cellStyle name="20% - Énfasis1 2 2 3 2 2 3" xfId="18694" xr:uid="{00000000-0005-0000-0000-000076000000}"/>
    <cellStyle name="20% - Énfasis1 2 2 3 2 2 3 2" xfId="41337" xr:uid="{00000000-0005-0000-0000-000077000000}"/>
    <cellStyle name="20% - Énfasis1 2 2 3 2 2 4" xfId="11254" xr:uid="{00000000-0005-0000-0000-000078000000}"/>
    <cellStyle name="20% - Énfasis1 2 2 3 2 2 4 2" xfId="33897" xr:uid="{00000000-0005-0000-0000-000079000000}"/>
    <cellStyle name="20% - Énfasis1 2 2 3 2 2 5" xfId="26456" xr:uid="{00000000-0005-0000-0000-00007A000000}"/>
    <cellStyle name="20% - Énfasis1 2 2 3 2 3" xfId="5681" xr:uid="{00000000-0005-0000-0000-00007B000000}"/>
    <cellStyle name="20% - Énfasis1 2 2 3 2 3 2" xfId="20565" xr:uid="{00000000-0005-0000-0000-00007C000000}"/>
    <cellStyle name="20% - Énfasis1 2 2 3 2 3 2 2" xfId="43208" xr:uid="{00000000-0005-0000-0000-00007D000000}"/>
    <cellStyle name="20% - Énfasis1 2 2 3 2 3 3" xfId="13125" xr:uid="{00000000-0005-0000-0000-00007E000000}"/>
    <cellStyle name="20% - Énfasis1 2 2 3 2 3 3 2" xfId="35768" xr:uid="{00000000-0005-0000-0000-00007F000000}"/>
    <cellStyle name="20% - Énfasis1 2 2 3 2 3 4" xfId="28327" xr:uid="{00000000-0005-0000-0000-000080000000}"/>
    <cellStyle name="20% - Énfasis1 2 2 3 2 4" xfId="16847" xr:uid="{00000000-0005-0000-0000-000081000000}"/>
    <cellStyle name="20% - Énfasis1 2 2 3 2 4 2" xfId="39490" xr:uid="{00000000-0005-0000-0000-000082000000}"/>
    <cellStyle name="20% - Énfasis1 2 2 3 2 5" xfId="9407" xr:uid="{00000000-0005-0000-0000-000083000000}"/>
    <cellStyle name="20% - Énfasis1 2 2 3 2 5 2" xfId="32050" xr:uid="{00000000-0005-0000-0000-000084000000}"/>
    <cellStyle name="20% - Énfasis1 2 2 3 2 6" xfId="24609" xr:uid="{00000000-0005-0000-0000-000085000000}"/>
    <cellStyle name="20% - Énfasis1 2 2 3 3" xfId="2882" xr:uid="{00000000-0005-0000-0000-000086000000}"/>
    <cellStyle name="20% - Énfasis1 2 2 3 3 2" xfId="6603" xr:uid="{00000000-0005-0000-0000-000087000000}"/>
    <cellStyle name="20% - Énfasis1 2 2 3 3 2 2" xfId="21487" xr:uid="{00000000-0005-0000-0000-000088000000}"/>
    <cellStyle name="20% - Énfasis1 2 2 3 3 2 2 2" xfId="44130" xr:uid="{00000000-0005-0000-0000-000089000000}"/>
    <cellStyle name="20% - Énfasis1 2 2 3 3 2 3" xfId="14047" xr:uid="{00000000-0005-0000-0000-00008A000000}"/>
    <cellStyle name="20% - Énfasis1 2 2 3 3 2 3 2" xfId="36690" xr:uid="{00000000-0005-0000-0000-00008B000000}"/>
    <cellStyle name="20% - Énfasis1 2 2 3 3 2 4" xfId="29249" xr:uid="{00000000-0005-0000-0000-00008C000000}"/>
    <cellStyle name="20% - Énfasis1 2 2 3 3 3" xfId="17769" xr:uid="{00000000-0005-0000-0000-00008D000000}"/>
    <cellStyle name="20% - Énfasis1 2 2 3 3 3 2" xfId="40412" xr:uid="{00000000-0005-0000-0000-00008E000000}"/>
    <cellStyle name="20% - Énfasis1 2 2 3 3 4" xfId="10329" xr:uid="{00000000-0005-0000-0000-00008F000000}"/>
    <cellStyle name="20% - Énfasis1 2 2 3 3 4 2" xfId="32972" xr:uid="{00000000-0005-0000-0000-000090000000}"/>
    <cellStyle name="20% - Énfasis1 2 2 3 3 5" xfId="25531" xr:uid="{00000000-0005-0000-0000-000091000000}"/>
    <cellStyle name="20% - Énfasis1 2 2 3 4" xfId="4756" xr:uid="{00000000-0005-0000-0000-000092000000}"/>
    <cellStyle name="20% - Énfasis1 2 2 3 4 2" xfId="19640" xr:uid="{00000000-0005-0000-0000-000093000000}"/>
    <cellStyle name="20% - Énfasis1 2 2 3 4 2 2" xfId="42283" xr:uid="{00000000-0005-0000-0000-000094000000}"/>
    <cellStyle name="20% - Énfasis1 2 2 3 4 3" xfId="12200" xr:uid="{00000000-0005-0000-0000-000095000000}"/>
    <cellStyle name="20% - Énfasis1 2 2 3 4 3 2" xfId="34843" xr:uid="{00000000-0005-0000-0000-000096000000}"/>
    <cellStyle name="20% - Énfasis1 2 2 3 4 4" xfId="27402" xr:uid="{00000000-0005-0000-0000-000097000000}"/>
    <cellStyle name="20% - Énfasis1 2 2 3 5" xfId="1029" xr:uid="{00000000-0005-0000-0000-000098000000}"/>
    <cellStyle name="20% - Énfasis1 2 2 3 5 2" xfId="15922" xr:uid="{00000000-0005-0000-0000-000099000000}"/>
    <cellStyle name="20% - Énfasis1 2 2 3 5 2 2" xfId="38565" xr:uid="{00000000-0005-0000-0000-00009A000000}"/>
    <cellStyle name="20% - Énfasis1 2 2 3 5 3" xfId="23684" xr:uid="{00000000-0005-0000-0000-00009B000000}"/>
    <cellStyle name="20% - Énfasis1 2 2 3 6" xfId="8482" xr:uid="{00000000-0005-0000-0000-00009C000000}"/>
    <cellStyle name="20% - Énfasis1 2 2 3 6 2" xfId="31125" xr:uid="{00000000-0005-0000-0000-00009D000000}"/>
    <cellStyle name="20% - Énfasis1 2 2 3 7" xfId="22961" xr:uid="{00000000-0005-0000-0000-00009E000000}"/>
    <cellStyle name="20% - Énfasis1 2 2 4" xfId="1495" xr:uid="{00000000-0005-0000-0000-00009F000000}"/>
    <cellStyle name="20% - Énfasis1 2 2 4 2" xfId="3345" xr:uid="{00000000-0005-0000-0000-0000A0000000}"/>
    <cellStyle name="20% - Énfasis1 2 2 4 2 2" xfId="7066" xr:uid="{00000000-0005-0000-0000-0000A1000000}"/>
    <cellStyle name="20% - Énfasis1 2 2 4 2 2 2" xfId="21950" xr:uid="{00000000-0005-0000-0000-0000A2000000}"/>
    <cellStyle name="20% - Énfasis1 2 2 4 2 2 2 2" xfId="44593" xr:uid="{00000000-0005-0000-0000-0000A3000000}"/>
    <cellStyle name="20% - Énfasis1 2 2 4 2 2 3" xfId="14510" xr:uid="{00000000-0005-0000-0000-0000A4000000}"/>
    <cellStyle name="20% - Énfasis1 2 2 4 2 2 3 2" xfId="37153" xr:uid="{00000000-0005-0000-0000-0000A5000000}"/>
    <cellStyle name="20% - Énfasis1 2 2 4 2 2 4" xfId="29712" xr:uid="{00000000-0005-0000-0000-0000A6000000}"/>
    <cellStyle name="20% - Énfasis1 2 2 4 2 3" xfId="18232" xr:uid="{00000000-0005-0000-0000-0000A7000000}"/>
    <cellStyle name="20% - Énfasis1 2 2 4 2 3 2" xfId="40875" xr:uid="{00000000-0005-0000-0000-0000A8000000}"/>
    <cellStyle name="20% - Énfasis1 2 2 4 2 4" xfId="10792" xr:uid="{00000000-0005-0000-0000-0000A9000000}"/>
    <cellStyle name="20% - Énfasis1 2 2 4 2 4 2" xfId="33435" xr:uid="{00000000-0005-0000-0000-0000AA000000}"/>
    <cellStyle name="20% - Énfasis1 2 2 4 2 5" xfId="25994" xr:uid="{00000000-0005-0000-0000-0000AB000000}"/>
    <cellStyle name="20% - Énfasis1 2 2 4 3" xfId="5219" xr:uid="{00000000-0005-0000-0000-0000AC000000}"/>
    <cellStyle name="20% - Énfasis1 2 2 4 3 2" xfId="20103" xr:uid="{00000000-0005-0000-0000-0000AD000000}"/>
    <cellStyle name="20% - Énfasis1 2 2 4 3 2 2" xfId="42746" xr:uid="{00000000-0005-0000-0000-0000AE000000}"/>
    <cellStyle name="20% - Énfasis1 2 2 4 3 3" xfId="12663" xr:uid="{00000000-0005-0000-0000-0000AF000000}"/>
    <cellStyle name="20% - Énfasis1 2 2 4 3 3 2" xfId="35306" xr:uid="{00000000-0005-0000-0000-0000B0000000}"/>
    <cellStyle name="20% - Énfasis1 2 2 4 3 4" xfId="27865" xr:uid="{00000000-0005-0000-0000-0000B1000000}"/>
    <cellStyle name="20% - Énfasis1 2 2 4 4" xfId="16385" xr:uid="{00000000-0005-0000-0000-0000B2000000}"/>
    <cellStyle name="20% - Énfasis1 2 2 4 4 2" xfId="39028" xr:uid="{00000000-0005-0000-0000-0000B3000000}"/>
    <cellStyle name="20% - Énfasis1 2 2 4 5" xfId="8945" xr:uid="{00000000-0005-0000-0000-0000B4000000}"/>
    <cellStyle name="20% - Énfasis1 2 2 4 5 2" xfId="31588" xr:uid="{00000000-0005-0000-0000-0000B5000000}"/>
    <cellStyle name="20% - Énfasis1 2 2 4 6" xfId="24147" xr:uid="{00000000-0005-0000-0000-0000B6000000}"/>
    <cellStyle name="20% - Énfasis1 2 2 5" xfId="2420" xr:uid="{00000000-0005-0000-0000-0000B7000000}"/>
    <cellStyle name="20% - Énfasis1 2 2 5 2" xfId="6141" xr:uid="{00000000-0005-0000-0000-0000B8000000}"/>
    <cellStyle name="20% - Énfasis1 2 2 5 2 2" xfId="21025" xr:uid="{00000000-0005-0000-0000-0000B9000000}"/>
    <cellStyle name="20% - Énfasis1 2 2 5 2 2 2" xfId="43668" xr:uid="{00000000-0005-0000-0000-0000BA000000}"/>
    <cellStyle name="20% - Énfasis1 2 2 5 2 3" xfId="13585" xr:uid="{00000000-0005-0000-0000-0000BB000000}"/>
    <cellStyle name="20% - Énfasis1 2 2 5 2 3 2" xfId="36228" xr:uid="{00000000-0005-0000-0000-0000BC000000}"/>
    <cellStyle name="20% - Énfasis1 2 2 5 2 4" xfId="28787" xr:uid="{00000000-0005-0000-0000-0000BD000000}"/>
    <cellStyle name="20% - Énfasis1 2 2 5 3" xfId="17307" xr:uid="{00000000-0005-0000-0000-0000BE000000}"/>
    <cellStyle name="20% - Énfasis1 2 2 5 3 2" xfId="39950" xr:uid="{00000000-0005-0000-0000-0000BF000000}"/>
    <cellStyle name="20% - Énfasis1 2 2 5 4" xfId="9867" xr:uid="{00000000-0005-0000-0000-0000C0000000}"/>
    <cellStyle name="20% - Énfasis1 2 2 5 4 2" xfId="32510" xr:uid="{00000000-0005-0000-0000-0000C1000000}"/>
    <cellStyle name="20% - Énfasis1 2 2 5 5" xfId="25069" xr:uid="{00000000-0005-0000-0000-0000C2000000}"/>
    <cellStyle name="20% - Énfasis1 2 2 6" xfId="4294" xr:uid="{00000000-0005-0000-0000-0000C3000000}"/>
    <cellStyle name="20% - Énfasis1 2 2 6 2" xfId="19178" xr:uid="{00000000-0005-0000-0000-0000C4000000}"/>
    <cellStyle name="20% - Énfasis1 2 2 6 2 2" xfId="41821" xr:uid="{00000000-0005-0000-0000-0000C5000000}"/>
    <cellStyle name="20% - Énfasis1 2 2 6 3" xfId="11738" xr:uid="{00000000-0005-0000-0000-0000C6000000}"/>
    <cellStyle name="20% - Énfasis1 2 2 6 3 2" xfId="34381" xr:uid="{00000000-0005-0000-0000-0000C7000000}"/>
    <cellStyle name="20% - Énfasis1 2 2 6 4" xfId="26940" xr:uid="{00000000-0005-0000-0000-0000C8000000}"/>
    <cellStyle name="20% - Énfasis1 2 2 7" xfId="563" xr:uid="{00000000-0005-0000-0000-0000C9000000}"/>
    <cellStyle name="20% - Énfasis1 2 2 7 2" xfId="15460" xr:uid="{00000000-0005-0000-0000-0000CA000000}"/>
    <cellStyle name="20% - Énfasis1 2 2 7 2 2" xfId="38103" xr:uid="{00000000-0005-0000-0000-0000CB000000}"/>
    <cellStyle name="20% - Énfasis1 2 2 7 3" xfId="23223" xr:uid="{00000000-0005-0000-0000-0000CC000000}"/>
    <cellStyle name="20% - Énfasis1 2 2 8" xfId="8020" xr:uid="{00000000-0005-0000-0000-0000CD000000}"/>
    <cellStyle name="20% - Énfasis1 2 2 8 2" xfId="30663" xr:uid="{00000000-0005-0000-0000-0000CE000000}"/>
    <cellStyle name="20% - Énfasis1 2 2 9" xfId="22805" xr:uid="{00000000-0005-0000-0000-0000CF000000}"/>
    <cellStyle name="20% - Énfasis1 2 3" xfId="139" xr:uid="{00000000-0005-0000-0000-0000D0000000}"/>
    <cellStyle name="20% - Énfasis1 2 3 2" xfId="302" xr:uid="{00000000-0005-0000-0000-0000D1000000}"/>
    <cellStyle name="20% - Énfasis1 2 3 2 2" xfId="2063" xr:uid="{00000000-0005-0000-0000-0000D2000000}"/>
    <cellStyle name="20% - Énfasis1 2 3 2 2 2" xfId="3913" xr:uid="{00000000-0005-0000-0000-0000D3000000}"/>
    <cellStyle name="20% - Énfasis1 2 3 2 2 2 2" xfId="7634" xr:uid="{00000000-0005-0000-0000-0000D4000000}"/>
    <cellStyle name="20% - Énfasis1 2 3 2 2 2 2 2" xfId="22518" xr:uid="{00000000-0005-0000-0000-0000D5000000}"/>
    <cellStyle name="20% - Énfasis1 2 3 2 2 2 2 2 2" xfId="45161" xr:uid="{00000000-0005-0000-0000-0000D6000000}"/>
    <cellStyle name="20% - Énfasis1 2 3 2 2 2 2 3" xfId="15078" xr:uid="{00000000-0005-0000-0000-0000D7000000}"/>
    <cellStyle name="20% - Énfasis1 2 3 2 2 2 2 3 2" xfId="37721" xr:uid="{00000000-0005-0000-0000-0000D8000000}"/>
    <cellStyle name="20% - Énfasis1 2 3 2 2 2 2 4" xfId="30280" xr:uid="{00000000-0005-0000-0000-0000D9000000}"/>
    <cellStyle name="20% - Énfasis1 2 3 2 2 2 3" xfId="18800" xr:uid="{00000000-0005-0000-0000-0000DA000000}"/>
    <cellStyle name="20% - Énfasis1 2 3 2 2 2 3 2" xfId="41443" xr:uid="{00000000-0005-0000-0000-0000DB000000}"/>
    <cellStyle name="20% - Énfasis1 2 3 2 2 2 4" xfId="11360" xr:uid="{00000000-0005-0000-0000-0000DC000000}"/>
    <cellStyle name="20% - Énfasis1 2 3 2 2 2 4 2" xfId="34003" xr:uid="{00000000-0005-0000-0000-0000DD000000}"/>
    <cellStyle name="20% - Énfasis1 2 3 2 2 2 5" xfId="26562" xr:uid="{00000000-0005-0000-0000-0000DE000000}"/>
    <cellStyle name="20% - Énfasis1 2 3 2 2 3" xfId="5787" xr:uid="{00000000-0005-0000-0000-0000DF000000}"/>
    <cellStyle name="20% - Énfasis1 2 3 2 2 3 2" xfId="20671" xr:uid="{00000000-0005-0000-0000-0000E0000000}"/>
    <cellStyle name="20% - Énfasis1 2 3 2 2 3 2 2" xfId="43314" xr:uid="{00000000-0005-0000-0000-0000E1000000}"/>
    <cellStyle name="20% - Énfasis1 2 3 2 2 3 3" xfId="13231" xr:uid="{00000000-0005-0000-0000-0000E2000000}"/>
    <cellStyle name="20% - Énfasis1 2 3 2 2 3 3 2" xfId="35874" xr:uid="{00000000-0005-0000-0000-0000E3000000}"/>
    <cellStyle name="20% - Énfasis1 2 3 2 2 3 4" xfId="28433" xr:uid="{00000000-0005-0000-0000-0000E4000000}"/>
    <cellStyle name="20% - Énfasis1 2 3 2 2 4" xfId="16953" xr:uid="{00000000-0005-0000-0000-0000E5000000}"/>
    <cellStyle name="20% - Énfasis1 2 3 2 2 4 2" xfId="39596" xr:uid="{00000000-0005-0000-0000-0000E6000000}"/>
    <cellStyle name="20% - Énfasis1 2 3 2 2 5" xfId="9513" xr:uid="{00000000-0005-0000-0000-0000E7000000}"/>
    <cellStyle name="20% - Énfasis1 2 3 2 2 5 2" xfId="32156" xr:uid="{00000000-0005-0000-0000-0000E8000000}"/>
    <cellStyle name="20% - Énfasis1 2 3 2 2 6" xfId="24715" xr:uid="{00000000-0005-0000-0000-0000E9000000}"/>
    <cellStyle name="20% - Énfasis1 2 3 2 3" xfId="2988" xr:uid="{00000000-0005-0000-0000-0000EA000000}"/>
    <cellStyle name="20% - Énfasis1 2 3 2 3 2" xfId="6709" xr:uid="{00000000-0005-0000-0000-0000EB000000}"/>
    <cellStyle name="20% - Énfasis1 2 3 2 3 2 2" xfId="21593" xr:uid="{00000000-0005-0000-0000-0000EC000000}"/>
    <cellStyle name="20% - Énfasis1 2 3 2 3 2 2 2" xfId="44236" xr:uid="{00000000-0005-0000-0000-0000ED000000}"/>
    <cellStyle name="20% - Énfasis1 2 3 2 3 2 3" xfId="14153" xr:uid="{00000000-0005-0000-0000-0000EE000000}"/>
    <cellStyle name="20% - Énfasis1 2 3 2 3 2 3 2" xfId="36796" xr:uid="{00000000-0005-0000-0000-0000EF000000}"/>
    <cellStyle name="20% - Énfasis1 2 3 2 3 2 4" xfId="29355" xr:uid="{00000000-0005-0000-0000-0000F0000000}"/>
    <cellStyle name="20% - Énfasis1 2 3 2 3 3" xfId="17875" xr:uid="{00000000-0005-0000-0000-0000F1000000}"/>
    <cellStyle name="20% - Énfasis1 2 3 2 3 3 2" xfId="40518" xr:uid="{00000000-0005-0000-0000-0000F2000000}"/>
    <cellStyle name="20% - Énfasis1 2 3 2 3 4" xfId="10435" xr:uid="{00000000-0005-0000-0000-0000F3000000}"/>
    <cellStyle name="20% - Énfasis1 2 3 2 3 4 2" xfId="33078" xr:uid="{00000000-0005-0000-0000-0000F4000000}"/>
    <cellStyle name="20% - Énfasis1 2 3 2 3 5" xfId="25637" xr:uid="{00000000-0005-0000-0000-0000F5000000}"/>
    <cellStyle name="20% - Énfasis1 2 3 2 4" xfId="4862" xr:uid="{00000000-0005-0000-0000-0000F6000000}"/>
    <cellStyle name="20% - Énfasis1 2 3 2 4 2" xfId="19746" xr:uid="{00000000-0005-0000-0000-0000F7000000}"/>
    <cellStyle name="20% - Énfasis1 2 3 2 4 2 2" xfId="42389" xr:uid="{00000000-0005-0000-0000-0000F8000000}"/>
    <cellStyle name="20% - Énfasis1 2 3 2 4 3" xfId="12306" xr:uid="{00000000-0005-0000-0000-0000F9000000}"/>
    <cellStyle name="20% - Énfasis1 2 3 2 4 3 2" xfId="34949" xr:uid="{00000000-0005-0000-0000-0000FA000000}"/>
    <cellStyle name="20% - Énfasis1 2 3 2 4 4" xfId="27508" xr:uid="{00000000-0005-0000-0000-0000FB000000}"/>
    <cellStyle name="20% - Énfasis1 2 3 2 5" xfId="1135" xr:uid="{00000000-0005-0000-0000-0000FC000000}"/>
    <cellStyle name="20% - Énfasis1 2 3 2 5 2" xfId="16028" xr:uid="{00000000-0005-0000-0000-0000FD000000}"/>
    <cellStyle name="20% - Énfasis1 2 3 2 5 2 2" xfId="38671" xr:uid="{00000000-0005-0000-0000-0000FE000000}"/>
    <cellStyle name="20% - Énfasis1 2 3 2 5 3" xfId="23790" xr:uid="{00000000-0005-0000-0000-0000FF000000}"/>
    <cellStyle name="20% - Énfasis1 2 3 2 6" xfId="8588" xr:uid="{00000000-0005-0000-0000-000000010000}"/>
    <cellStyle name="20% - Énfasis1 2 3 2 6 2" xfId="31231" xr:uid="{00000000-0005-0000-0000-000001010000}"/>
    <cellStyle name="20% - Énfasis1 2 3 2 7" xfId="23000" xr:uid="{00000000-0005-0000-0000-000002010000}"/>
    <cellStyle name="20% - Énfasis1 2 3 3" xfId="1601" xr:uid="{00000000-0005-0000-0000-000003010000}"/>
    <cellStyle name="20% - Énfasis1 2 3 3 2" xfId="3451" xr:uid="{00000000-0005-0000-0000-000004010000}"/>
    <cellStyle name="20% - Énfasis1 2 3 3 2 2" xfId="7172" xr:uid="{00000000-0005-0000-0000-000005010000}"/>
    <cellStyle name="20% - Énfasis1 2 3 3 2 2 2" xfId="22056" xr:uid="{00000000-0005-0000-0000-000006010000}"/>
    <cellStyle name="20% - Énfasis1 2 3 3 2 2 2 2" xfId="44699" xr:uid="{00000000-0005-0000-0000-000007010000}"/>
    <cellStyle name="20% - Énfasis1 2 3 3 2 2 3" xfId="14616" xr:uid="{00000000-0005-0000-0000-000008010000}"/>
    <cellStyle name="20% - Énfasis1 2 3 3 2 2 3 2" xfId="37259" xr:uid="{00000000-0005-0000-0000-000009010000}"/>
    <cellStyle name="20% - Énfasis1 2 3 3 2 2 4" xfId="29818" xr:uid="{00000000-0005-0000-0000-00000A010000}"/>
    <cellStyle name="20% - Énfasis1 2 3 3 2 3" xfId="18338" xr:uid="{00000000-0005-0000-0000-00000B010000}"/>
    <cellStyle name="20% - Énfasis1 2 3 3 2 3 2" xfId="40981" xr:uid="{00000000-0005-0000-0000-00000C010000}"/>
    <cellStyle name="20% - Énfasis1 2 3 3 2 4" xfId="10898" xr:uid="{00000000-0005-0000-0000-00000D010000}"/>
    <cellStyle name="20% - Énfasis1 2 3 3 2 4 2" xfId="33541" xr:uid="{00000000-0005-0000-0000-00000E010000}"/>
    <cellStyle name="20% - Énfasis1 2 3 3 2 5" xfId="26100" xr:uid="{00000000-0005-0000-0000-00000F010000}"/>
    <cellStyle name="20% - Énfasis1 2 3 3 3" xfId="5325" xr:uid="{00000000-0005-0000-0000-000010010000}"/>
    <cellStyle name="20% - Énfasis1 2 3 3 3 2" xfId="20209" xr:uid="{00000000-0005-0000-0000-000011010000}"/>
    <cellStyle name="20% - Énfasis1 2 3 3 3 2 2" xfId="42852" xr:uid="{00000000-0005-0000-0000-000012010000}"/>
    <cellStyle name="20% - Énfasis1 2 3 3 3 3" xfId="12769" xr:uid="{00000000-0005-0000-0000-000013010000}"/>
    <cellStyle name="20% - Énfasis1 2 3 3 3 3 2" xfId="35412" xr:uid="{00000000-0005-0000-0000-000014010000}"/>
    <cellStyle name="20% - Énfasis1 2 3 3 3 4" xfId="27971" xr:uid="{00000000-0005-0000-0000-000015010000}"/>
    <cellStyle name="20% - Énfasis1 2 3 3 4" xfId="16491" xr:uid="{00000000-0005-0000-0000-000016010000}"/>
    <cellStyle name="20% - Énfasis1 2 3 3 4 2" xfId="39134" xr:uid="{00000000-0005-0000-0000-000017010000}"/>
    <cellStyle name="20% - Énfasis1 2 3 3 5" xfId="9051" xr:uid="{00000000-0005-0000-0000-000018010000}"/>
    <cellStyle name="20% - Énfasis1 2 3 3 5 2" xfId="31694" xr:uid="{00000000-0005-0000-0000-000019010000}"/>
    <cellStyle name="20% - Énfasis1 2 3 3 6" xfId="24253" xr:uid="{00000000-0005-0000-0000-00001A010000}"/>
    <cellStyle name="20% - Énfasis1 2 3 4" xfId="2526" xr:uid="{00000000-0005-0000-0000-00001B010000}"/>
    <cellStyle name="20% - Énfasis1 2 3 4 2" xfId="6247" xr:uid="{00000000-0005-0000-0000-00001C010000}"/>
    <cellStyle name="20% - Énfasis1 2 3 4 2 2" xfId="21131" xr:uid="{00000000-0005-0000-0000-00001D010000}"/>
    <cellStyle name="20% - Énfasis1 2 3 4 2 2 2" xfId="43774" xr:uid="{00000000-0005-0000-0000-00001E010000}"/>
    <cellStyle name="20% - Énfasis1 2 3 4 2 3" xfId="13691" xr:uid="{00000000-0005-0000-0000-00001F010000}"/>
    <cellStyle name="20% - Énfasis1 2 3 4 2 3 2" xfId="36334" xr:uid="{00000000-0005-0000-0000-000020010000}"/>
    <cellStyle name="20% - Énfasis1 2 3 4 2 4" xfId="28893" xr:uid="{00000000-0005-0000-0000-000021010000}"/>
    <cellStyle name="20% - Énfasis1 2 3 4 3" xfId="17413" xr:uid="{00000000-0005-0000-0000-000022010000}"/>
    <cellStyle name="20% - Énfasis1 2 3 4 3 2" xfId="40056" xr:uid="{00000000-0005-0000-0000-000023010000}"/>
    <cellStyle name="20% - Énfasis1 2 3 4 4" xfId="9973" xr:uid="{00000000-0005-0000-0000-000024010000}"/>
    <cellStyle name="20% - Énfasis1 2 3 4 4 2" xfId="32616" xr:uid="{00000000-0005-0000-0000-000025010000}"/>
    <cellStyle name="20% - Énfasis1 2 3 4 5" xfId="25175" xr:uid="{00000000-0005-0000-0000-000026010000}"/>
    <cellStyle name="20% - Énfasis1 2 3 5" xfId="4400" xr:uid="{00000000-0005-0000-0000-000027010000}"/>
    <cellStyle name="20% - Énfasis1 2 3 5 2" xfId="19284" xr:uid="{00000000-0005-0000-0000-000028010000}"/>
    <cellStyle name="20% - Énfasis1 2 3 5 2 2" xfId="41927" xr:uid="{00000000-0005-0000-0000-000029010000}"/>
    <cellStyle name="20% - Énfasis1 2 3 5 3" xfId="11844" xr:uid="{00000000-0005-0000-0000-00002A010000}"/>
    <cellStyle name="20% - Énfasis1 2 3 5 3 2" xfId="34487" xr:uid="{00000000-0005-0000-0000-00002B010000}"/>
    <cellStyle name="20% - Énfasis1 2 3 5 4" xfId="27046" xr:uid="{00000000-0005-0000-0000-00002C010000}"/>
    <cellStyle name="20% - Énfasis1 2 3 6" xfId="670" xr:uid="{00000000-0005-0000-0000-00002D010000}"/>
    <cellStyle name="20% - Énfasis1 2 3 6 2" xfId="15566" xr:uid="{00000000-0005-0000-0000-00002E010000}"/>
    <cellStyle name="20% - Énfasis1 2 3 6 2 2" xfId="38209" xr:uid="{00000000-0005-0000-0000-00002F010000}"/>
    <cellStyle name="20% - Énfasis1 2 3 6 3" xfId="23328" xr:uid="{00000000-0005-0000-0000-000030010000}"/>
    <cellStyle name="20% - Énfasis1 2 3 7" xfId="8126" xr:uid="{00000000-0005-0000-0000-000031010000}"/>
    <cellStyle name="20% - Énfasis1 2 3 7 2" xfId="30769" xr:uid="{00000000-0005-0000-0000-000032010000}"/>
    <cellStyle name="20% - Énfasis1 2 3 8" xfId="22844" xr:uid="{00000000-0005-0000-0000-000033010000}"/>
    <cellStyle name="20% - Énfasis1 2 4" xfId="222" xr:uid="{00000000-0005-0000-0000-000034010000}"/>
    <cellStyle name="20% - Énfasis1 2 4 2" xfId="1852" xr:uid="{00000000-0005-0000-0000-000035010000}"/>
    <cellStyle name="20% - Énfasis1 2 4 2 2" xfId="3702" xr:uid="{00000000-0005-0000-0000-000036010000}"/>
    <cellStyle name="20% - Énfasis1 2 4 2 2 2" xfId="7423" xr:uid="{00000000-0005-0000-0000-000037010000}"/>
    <cellStyle name="20% - Énfasis1 2 4 2 2 2 2" xfId="22307" xr:uid="{00000000-0005-0000-0000-000038010000}"/>
    <cellStyle name="20% - Énfasis1 2 4 2 2 2 2 2" xfId="44950" xr:uid="{00000000-0005-0000-0000-000039010000}"/>
    <cellStyle name="20% - Énfasis1 2 4 2 2 2 3" xfId="14867" xr:uid="{00000000-0005-0000-0000-00003A010000}"/>
    <cellStyle name="20% - Énfasis1 2 4 2 2 2 3 2" xfId="37510" xr:uid="{00000000-0005-0000-0000-00003B010000}"/>
    <cellStyle name="20% - Énfasis1 2 4 2 2 2 4" xfId="30069" xr:uid="{00000000-0005-0000-0000-00003C010000}"/>
    <cellStyle name="20% - Énfasis1 2 4 2 2 3" xfId="18589" xr:uid="{00000000-0005-0000-0000-00003D010000}"/>
    <cellStyle name="20% - Énfasis1 2 4 2 2 3 2" xfId="41232" xr:uid="{00000000-0005-0000-0000-00003E010000}"/>
    <cellStyle name="20% - Énfasis1 2 4 2 2 4" xfId="11149" xr:uid="{00000000-0005-0000-0000-00003F010000}"/>
    <cellStyle name="20% - Énfasis1 2 4 2 2 4 2" xfId="33792" xr:uid="{00000000-0005-0000-0000-000040010000}"/>
    <cellStyle name="20% - Énfasis1 2 4 2 2 5" xfId="26351" xr:uid="{00000000-0005-0000-0000-000041010000}"/>
    <cellStyle name="20% - Énfasis1 2 4 2 3" xfId="5576" xr:uid="{00000000-0005-0000-0000-000042010000}"/>
    <cellStyle name="20% - Énfasis1 2 4 2 3 2" xfId="20460" xr:uid="{00000000-0005-0000-0000-000043010000}"/>
    <cellStyle name="20% - Énfasis1 2 4 2 3 2 2" xfId="43103" xr:uid="{00000000-0005-0000-0000-000044010000}"/>
    <cellStyle name="20% - Énfasis1 2 4 2 3 3" xfId="13020" xr:uid="{00000000-0005-0000-0000-000045010000}"/>
    <cellStyle name="20% - Énfasis1 2 4 2 3 3 2" xfId="35663" xr:uid="{00000000-0005-0000-0000-000046010000}"/>
    <cellStyle name="20% - Énfasis1 2 4 2 3 4" xfId="28222" xr:uid="{00000000-0005-0000-0000-000047010000}"/>
    <cellStyle name="20% - Énfasis1 2 4 2 4" xfId="16742" xr:uid="{00000000-0005-0000-0000-000048010000}"/>
    <cellStyle name="20% - Énfasis1 2 4 2 4 2" xfId="39385" xr:uid="{00000000-0005-0000-0000-000049010000}"/>
    <cellStyle name="20% - Énfasis1 2 4 2 5" xfId="9302" xr:uid="{00000000-0005-0000-0000-00004A010000}"/>
    <cellStyle name="20% - Énfasis1 2 4 2 5 2" xfId="31945" xr:uid="{00000000-0005-0000-0000-00004B010000}"/>
    <cellStyle name="20% - Énfasis1 2 4 2 6" xfId="24504" xr:uid="{00000000-0005-0000-0000-00004C010000}"/>
    <cellStyle name="20% - Énfasis1 2 4 3" xfId="2777" xr:uid="{00000000-0005-0000-0000-00004D010000}"/>
    <cellStyle name="20% - Énfasis1 2 4 3 2" xfId="6498" xr:uid="{00000000-0005-0000-0000-00004E010000}"/>
    <cellStyle name="20% - Énfasis1 2 4 3 2 2" xfId="21382" xr:uid="{00000000-0005-0000-0000-00004F010000}"/>
    <cellStyle name="20% - Énfasis1 2 4 3 2 2 2" xfId="44025" xr:uid="{00000000-0005-0000-0000-000050010000}"/>
    <cellStyle name="20% - Énfasis1 2 4 3 2 3" xfId="13942" xr:uid="{00000000-0005-0000-0000-000051010000}"/>
    <cellStyle name="20% - Énfasis1 2 4 3 2 3 2" xfId="36585" xr:uid="{00000000-0005-0000-0000-000052010000}"/>
    <cellStyle name="20% - Énfasis1 2 4 3 2 4" xfId="29144" xr:uid="{00000000-0005-0000-0000-000053010000}"/>
    <cellStyle name="20% - Énfasis1 2 4 3 3" xfId="17664" xr:uid="{00000000-0005-0000-0000-000054010000}"/>
    <cellStyle name="20% - Énfasis1 2 4 3 3 2" xfId="40307" xr:uid="{00000000-0005-0000-0000-000055010000}"/>
    <cellStyle name="20% - Énfasis1 2 4 3 4" xfId="10224" xr:uid="{00000000-0005-0000-0000-000056010000}"/>
    <cellStyle name="20% - Énfasis1 2 4 3 4 2" xfId="32867" xr:uid="{00000000-0005-0000-0000-000057010000}"/>
    <cellStyle name="20% - Énfasis1 2 4 3 5" xfId="25426" xr:uid="{00000000-0005-0000-0000-000058010000}"/>
    <cellStyle name="20% - Énfasis1 2 4 4" xfId="4651" xr:uid="{00000000-0005-0000-0000-000059010000}"/>
    <cellStyle name="20% - Énfasis1 2 4 4 2" xfId="19535" xr:uid="{00000000-0005-0000-0000-00005A010000}"/>
    <cellStyle name="20% - Énfasis1 2 4 4 2 2" xfId="42178" xr:uid="{00000000-0005-0000-0000-00005B010000}"/>
    <cellStyle name="20% - Énfasis1 2 4 4 3" xfId="12095" xr:uid="{00000000-0005-0000-0000-00005C010000}"/>
    <cellStyle name="20% - Énfasis1 2 4 4 3 2" xfId="34738" xr:uid="{00000000-0005-0000-0000-00005D010000}"/>
    <cellStyle name="20% - Énfasis1 2 4 4 4" xfId="27297" xr:uid="{00000000-0005-0000-0000-00005E010000}"/>
    <cellStyle name="20% - Énfasis1 2 4 5" xfId="924" xr:uid="{00000000-0005-0000-0000-00005F010000}"/>
    <cellStyle name="20% - Énfasis1 2 4 5 2" xfId="15817" xr:uid="{00000000-0005-0000-0000-000060010000}"/>
    <cellStyle name="20% - Énfasis1 2 4 5 2 2" xfId="38460" xr:uid="{00000000-0005-0000-0000-000061010000}"/>
    <cellStyle name="20% - Énfasis1 2 4 5 3" xfId="23579" xr:uid="{00000000-0005-0000-0000-000062010000}"/>
    <cellStyle name="20% - Énfasis1 2 4 6" xfId="8377" xr:uid="{00000000-0005-0000-0000-000063010000}"/>
    <cellStyle name="20% - Énfasis1 2 4 6 2" xfId="31020" xr:uid="{00000000-0005-0000-0000-000064010000}"/>
    <cellStyle name="20% - Énfasis1 2 4 7" xfId="22922" xr:uid="{00000000-0005-0000-0000-000065010000}"/>
    <cellStyle name="20% - Énfasis1 2 5" xfId="1390" xr:uid="{00000000-0005-0000-0000-000066010000}"/>
    <cellStyle name="20% - Énfasis1 2 5 2" xfId="3240" xr:uid="{00000000-0005-0000-0000-000067010000}"/>
    <cellStyle name="20% - Énfasis1 2 5 2 2" xfId="6961" xr:uid="{00000000-0005-0000-0000-000068010000}"/>
    <cellStyle name="20% - Énfasis1 2 5 2 2 2" xfId="21845" xr:uid="{00000000-0005-0000-0000-000069010000}"/>
    <cellStyle name="20% - Énfasis1 2 5 2 2 2 2" xfId="44488" xr:uid="{00000000-0005-0000-0000-00006A010000}"/>
    <cellStyle name="20% - Énfasis1 2 5 2 2 3" xfId="14405" xr:uid="{00000000-0005-0000-0000-00006B010000}"/>
    <cellStyle name="20% - Énfasis1 2 5 2 2 3 2" xfId="37048" xr:uid="{00000000-0005-0000-0000-00006C010000}"/>
    <cellStyle name="20% - Énfasis1 2 5 2 2 4" xfId="29607" xr:uid="{00000000-0005-0000-0000-00006D010000}"/>
    <cellStyle name="20% - Énfasis1 2 5 2 3" xfId="18127" xr:uid="{00000000-0005-0000-0000-00006E010000}"/>
    <cellStyle name="20% - Énfasis1 2 5 2 3 2" xfId="40770" xr:uid="{00000000-0005-0000-0000-00006F010000}"/>
    <cellStyle name="20% - Énfasis1 2 5 2 4" xfId="10687" xr:uid="{00000000-0005-0000-0000-000070010000}"/>
    <cellStyle name="20% - Énfasis1 2 5 2 4 2" xfId="33330" xr:uid="{00000000-0005-0000-0000-000071010000}"/>
    <cellStyle name="20% - Énfasis1 2 5 2 5" xfId="25889" xr:uid="{00000000-0005-0000-0000-000072010000}"/>
    <cellStyle name="20% - Énfasis1 2 5 3" xfId="5114" xr:uid="{00000000-0005-0000-0000-000073010000}"/>
    <cellStyle name="20% - Énfasis1 2 5 3 2" xfId="19998" xr:uid="{00000000-0005-0000-0000-000074010000}"/>
    <cellStyle name="20% - Énfasis1 2 5 3 2 2" xfId="42641" xr:uid="{00000000-0005-0000-0000-000075010000}"/>
    <cellStyle name="20% - Énfasis1 2 5 3 3" xfId="12558" xr:uid="{00000000-0005-0000-0000-000076010000}"/>
    <cellStyle name="20% - Énfasis1 2 5 3 3 2" xfId="35201" xr:uid="{00000000-0005-0000-0000-000077010000}"/>
    <cellStyle name="20% - Énfasis1 2 5 3 4" xfId="27760" xr:uid="{00000000-0005-0000-0000-000078010000}"/>
    <cellStyle name="20% - Énfasis1 2 5 4" xfId="16280" xr:uid="{00000000-0005-0000-0000-000079010000}"/>
    <cellStyle name="20% - Énfasis1 2 5 4 2" xfId="38923" xr:uid="{00000000-0005-0000-0000-00007A010000}"/>
    <cellStyle name="20% - Énfasis1 2 5 5" xfId="8840" xr:uid="{00000000-0005-0000-0000-00007B010000}"/>
    <cellStyle name="20% - Énfasis1 2 5 5 2" xfId="31483" xr:uid="{00000000-0005-0000-0000-00007C010000}"/>
    <cellStyle name="20% - Énfasis1 2 5 6" xfId="24042" xr:uid="{00000000-0005-0000-0000-00007D010000}"/>
    <cellStyle name="20% - Énfasis1 2 6" xfId="2315" xr:uid="{00000000-0005-0000-0000-00007E010000}"/>
    <cellStyle name="20% - Énfasis1 2 6 2" xfId="6036" xr:uid="{00000000-0005-0000-0000-00007F010000}"/>
    <cellStyle name="20% - Énfasis1 2 6 2 2" xfId="20920" xr:uid="{00000000-0005-0000-0000-000080010000}"/>
    <cellStyle name="20% - Énfasis1 2 6 2 2 2" xfId="43563" xr:uid="{00000000-0005-0000-0000-000081010000}"/>
    <cellStyle name="20% - Énfasis1 2 6 2 3" xfId="13480" xr:uid="{00000000-0005-0000-0000-000082010000}"/>
    <cellStyle name="20% - Énfasis1 2 6 2 3 2" xfId="36123" xr:uid="{00000000-0005-0000-0000-000083010000}"/>
    <cellStyle name="20% - Énfasis1 2 6 2 4" xfId="28682" xr:uid="{00000000-0005-0000-0000-000084010000}"/>
    <cellStyle name="20% - Énfasis1 2 6 3" xfId="17202" xr:uid="{00000000-0005-0000-0000-000085010000}"/>
    <cellStyle name="20% - Énfasis1 2 6 3 2" xfId="39845" xr:uid="{00000000-0005-0000-0000-000086010000}"/>
    <cellStyle name="20% - Énfasis1 2 6 4" xfId="9762" xr:uid="{00000000-0005-0000-0000-000087010000}"/>
    <cellStyle name="20% - Énfasis1 2 6 4 2" xfId="32405" xr:uid="{00000000-0005-0000-0000-000088010000}"/>
    <cellStyle name="20% - Énfasis1 2 6 5" xfId="24964" xr:uid="{00000000-0005-0000-0000-000089010000}"/>
    <cellStyle name="20% - Énfasis1 2 7" xfId="4189" xr:uid="{00000000-0005-0000-0000-00008A010000}"/>
    <cellStyle name="20% - Énfasis1 2 7 2" xfId="19073" xr:uid="{00000000-0005-0000-0000-00008B010000}"/>
    <cellStyle name="20% - Énfasis1 2 7 2 2" xfId="41716" xr:uid="{00000000-0005-0000-0000-00008C010000}"/>
    <cellStyle name="20% - Énfasis1 2 7 3" xfId="11633" xr:uid="{00000000-0005-0000-0000-00008D010000}"/>
    <cellStyle name="20% - Énfasis1 2 7 3 2" xfId="34276" xr:uid="{00000000-0005-0000-0000-00008E010000}"/>
    <cellStyle name="20% - Énfasis1 2 7 4" xfId="26835" xr:uid="{00000000-0005-0000-0000-00008F010000}"/>
    <cellStyle name="20% - Énfasis1 2 8" xfId="456" xr:uid="{00000000-0005-0000-0000-000090010000}"/>
    <cellStyle name="20% - Énfasis1 2 8 2" xfId="15355" xr:uid="{00000000-0005-0000-0000-000091010000}"/>
    <cellStyle name="20% - Énfasis1 2 8 2 2" xfId="37998" xr:uid="{00000000-0005-0000-0000-000092010000}"/>
    <cellStyle name="20% - Énfasis1 2 8 3" xfId="23118" xr:uid="{00000000-0005-0000-0000-000093010000}"/>
    <cellStyle name="20% - Énfasis1 2 9" xfId="7915" xr:uid="{00000000-0005-0000-0000-000094010000}"/>
    <cellStyle name="20% - Énfasis1 2 9 2" xfId="30558" xr:uid="{00000000-0005-0000-0000-000095010000}"/>
    <cellStyle name="20% - Énfasis1 3" xfId="84" xr:uid="{00000000-0005-0000-0000-000096010000}"/>
    <cellStyle name="20% - Énfasis1 3 2" xfId="168" xr:uid="{00000000-0005-0000-0000-000097010000}"/>
    <cellStyle name="20% - Énfasis1 3 2 2" xfId="329" xr:uid="{00000000-0005-0000-0000-000098010000}"/>
    <cellStyle name="20% - Énfasis1 3 2 2 2" xfId="2116" xr:uid="{00000000-0005-0000-0000-000099010000}"/>
    <cellStyle name="20% - Énfasis1 3 2 2 2 2" xfId="3966" xr:uid="{00000000-0005-0000-0000-00009A010000}"/>
    <cellStyle name="20% - Énfasis1 3 2 2 2 2 2" xfId="7687" xr:uid="{00000000-0005-0000-0000-00009B010000}"/>
    <cellStyle name="20% - Énfasis1 3 2 2 2 2 2 2" xfId="22571" xr:uid="{00000000-0005-0000-0000-00009C010000}"/>
    <cellStyle name="20% - Énfasis1 3 2 2 2 2 2 2 2" xfId="45214" xr:uid="{00000000-0005-0000-0000-00009D010000}"/>
    <cellStyle name="20% - Énfasis1 3 2 2 2 2 2 3" xfId="15131" xr:uid="{00000000-0005-0000-0000-00009E010000}"/>
    <cellStyle name="20% - Énfasis1 3 2 2 2 2 2 3 2" xfId="37774" xr:uid="{00000000-0005-0000-0000-00009F010000}"/>
    <cellStyle name="20% - Énfasis1 3 2 2 2 2 2 4" xfId="30333" xr:uid="{00000000-0005-0000-0000-0000A0010000}"/>
    <cellStyle name="20% - Énfasis1 3 2 2 2 2 3" xfId="18853" xr:uid="{00000000-0005-0000-0000-0000A1010000}"/>
    <cellStyle name="20% - Énfasis1 3 2 2 2 2 3 2" xfId="41496" xr:uid="{00000000-0005-0000-0000-0000A2010000}"/>
    <cellStyle name="20% - Énfasis1 3 2 2 2 2 4" xfId="11413" xr:uid="{00000000-0005-0000-0000-0000A3010000}"/>
    <cellStyle name="20% - Énfasis1 3 2 2 2 2 4 2" xfId="34056" xr:uid="{00000000-0005-0000-0000-0000A4010000}"/>
    <cellStyle name="20% - Énfasis1 3 2 2 2 2 5" xfId="26615" xr:uid="{00000000-0005-0000-0000-0000A5010000}"/>
    <cellStyle name="20% - Énfasis1 3 2 2 2 3" xfId="5840" xr:uid="{00000000-0005-0000-0000-0000A6010000}"/>
    <cellStyle name="20% - Énfasis1 3 2 2 2 3 2" xfId="20724" xr:uid="{00000000-0005-0000-0000-0000A7010000}"/>
    <cellStyle name="20% - Énfasis1 3 2 2 2 3 2 2" xfId="43367" xr:uid="{00000000-0005-0000-0000-0000A8010000}"/>
    <cellStyle name="20% - Énfasis1 3 2 2 2 3 3" xfId="13284" xr:uid="{00000000-0005-0000-0000-0000A9010000}"/>
    <cellStyle name="20% - Énfasis1 3 2 2 2 3 3 2" xfId="35927" xr:uid="{00000000-0005-0000-0000-0000AA010000}"/>
    <cellStyle name="20% - Énfasis1 3 2 2 2 3 4" xfId="28486" xr:uid="{00000000-0005-0000-0000-0000AB010000}"/>
    <cellStyle name="20% - Énfasis1 3 2 2 2 4" xfId="17006" xr:uid="{00000000-0005-0000-0000-0000AC010000}"/>
    <cellStyle name="20% - Énfasis1 3 2 2 2 4 2" xfId="39649" xr:uid="{00000000-0005-0000-0000-0000AD010000}"/>
    <cellStyle name="20% - Énfasis1 3 2 2 2 5" xfId="9566" xr:uid="{00000000-0005-0000-0000-0000AE010000}"/>
    <cellStyle name="20% - Énfasis1 3 2 2 2 5 2" xfId="32209" xr:uid="{00000000-0005-0000-0000-0000AF010000}"/>
    <cellStyle name="20% - Énfasis1 3 2 2 2 6" xfId="24768" xr:uid="{00000000-0005-0000-0000-0000B0010000}"/>
    <cellStyle name="20% - Énfasis1 3 2 2 3" xfId="3041" xr:uid="{00000000-0005-0000-0000-0000B1010000}"/>
    <cellStyle name="20% - Énfasis1 3 2 2 3 2" xfId="6762" xr:uid="{00000000-0005-0000-0000-0000B2010000}"/>
    <cellStyle name="20% - Énfasis1 3 2 2 3 2 2" xfId="21646" xr:uid="{00000000-0005-0000-0000-0000B3010000}"/>
    <cellStyle name="20% - Énfasis1 3 2 2 3 2 2 2" xfId="44289" xr:uid="{00000000-0005-0000-0000-0000B4010000}"/>
    <cellStyle name="20% - Énfasis1 3 2 2 3 2 3" xfId="14206" xr:uid="{00000000-0005-0000-0000-0000B5010000}"/>
    <cellStyle name="20% - Énfasis1 3 2 2 3 2 3 2" xfId="36849" xr:uid="{00000000-0005-0000-0000-0000B6010000}"/>
    <cellStyle name="20% - Énfasis1 3 2 2 3 2 4" xfId="29408" xr:uid="{00000000-0005-0000-0000-0000B7010000}"/>
    <cellStyle name="20% - Énfasis1 3 2 2 3 3" xfId="17928" xr:uid="{00000000-0005-0000-0000-0000B8010000}"/>
    <cellStyle name="20% - Énfasis1 3 2 2 3 3 2" xfId="40571" xr:uid="{00000000-0005-0000-0000-0000B9010000}"/>
    <cellStyle name="20% - Énfasis1 3 2 2 3 4" xfId="10488" xr:uid="{00000000-0005-0000-0000-0000BA010000}"/>
    <cellStyle name="20% - Énfasis1 3 2 2 3 4 2" xfId="33131" xr:uid="{00000000-0005-0000-0000-0000BB010000}"/>
    <cellStyle name="20% - Énfasis1 3 2 2 3 5" xfId="25690" xr:uid="{00000000-0005-0000-0000-0000BC010000}"/>
    <cellStyle name="20% - Énfasis1 3 2 2 4" xfId="4915" xr:uid="{00000000-0005-0000-0000-0000BD010000}"/>
    <cellStyle name="20% - Énfasis1 3 2 2 4 2" xfId="19799" xr:uid="{00000000-0005-0000-0000-0000BE010000}"/>
    <cellStyle name="20% - Énfasis1 3 2 2 4 2 2" xfId="42442" xr:uid="{00000000-0005-0000-0000-0000BF010000}"/>
    <cellStyle name="20% - Énfasis1 3 2 2 4 3" xfId="12359" xr:uid="{00000000-0005-0000-0000-0000C0010000}"/>
    <cellStyle name="20% - Énfasis1 3 2 2 4 3 2" xfId="35002" xr:uid="{00000000-0005-0000-0000-0000C1010000}"/>
    <cellStyle name="20% - Énfasis1 3 2 2 4 4" xfId="27561" xr:uid="{00000000-0005-0000-0000-0000C2010000}"/>
    <cellStyle name="20% - Énfasis1 3 2 2 5" xfId="1188" xr:uid="{00000000-0005-0000-0000-0000C3010000}"/>
    <cellStyle name="20% - Énfasis1 3 2 2 5 2" xfId="16081" xr:uid="{00000000-0005-0000-0000-0000C4010000}"/>
    <cellStyle name="20% - Énfasis1 3 2 2 5 2 2" xfId="38724" xr:uid="{00000000-0005-0000-0000-0000C5010000}"/>
    <cellStyle name="20% - Énfasis1 3 2 2 5 3" xfId="23843" xr:uid="{00000000-0005-0000-0000-0000C6010000}"/>
    <cellStyle name="20% - Énfasis1 3 2 2 6" xfId="8641" xr:uid="{00000000-0005-0000-0000-0000C7010000}"/>
    <cellStyle name="20% - Énfasis1 3 2 2 6 2" xfId="31284" xr:uid="{00000000-0005-0000-0000-0000C8010000}"/>
    <cellStyle name="20% - Énfasis1 3 2 2 7" xfId="23027" xr:uid="{00000000-0005-0000-0000-0000C9010000}"/>
    <cellStyle name="20% - Énfasis1 3 2 3" xfId="1654" xr:uid="{00000000-0005-0000-0000-0000CA010000}"/>
    <cellStyle name="20% - Énfasis1 3 2 3 2" xfId="3504" xr:uid="{00000000-0005-0000-0000-0000CB010000}"/>
    <cellStyle name="20% - Énfasis1 3 2 3 2 2" xfId="7225" xr:uid="{00000000-0005-0000-0000-0000CC010000}"/>
    <cellStyle name="20% - Énfasis1 3 2 3 2 2 2" xfId="22109" xr:uid="{00000000-0005-0000-0000-0000CD010000}"/>
    <cellStyle name="20% - Énfasis1 3 2 3 2 2 2 2" xfId="44752" xr:uid="{00000000-0005-0000-0000-0000CE010000}"/>
    <cellStyle name="20% - Énfasis1 3 2 3 2 2 3" xfId="14669" xr:uid="{00000000-0005-0000-0000-0000CF010000}"/>
    <cellStyle name="20% - Énfasis1 3 2 3 2 2 3 2" xfId="37312" xr:uid="{00000000-0005-0000-0000-0000D0010000}"/>
    <cellStyle name="20% - Énfasis1 3 2 3 2 2 4" xfId="29871" xr:uid="{00000000-0005-0000-0000-0000D1010000}"/>
    <cellStyle name="20% - Énfasis1 3 2 3 2 3" xfId="18391" xr:uid="{00000000-0005-0000-0000-0000D2010000}"/>
    <cellStyle name="20% - Énfasis1 3 2 3 2 3 2" xfId="41034" xr:uid="{00000000-0005-0000-0000-0000D3010000}"/>
    <cellStyle name="20% - Énfasis1 3 2 3 2 4" xfId="10951" xr:uid="{00000000-0005-0000-0000-0000D4010000}"/>
    <cellStyle name="20% - Énfasis1 3 2 3 2 4 2" xfId="33594" xr:uid="{00000000-0005-0000-0000-0000D5010000}"/>
    <cellStyle name="20% - Énfasis1 3 2 3 2 5" xfId="26153" xr:uid="{00000000-0005-0000-0000-0000D6010000}"/>
    <cellStyle name="20% - Énfasis1 3 2 3 3" xfId="5378" xr:uid="{00000000-0005-0000-0000-0000D7010000}"/>
    <cellStyle name="20% - Énfasis1 3 2 3 3 2" xfId="20262" xr:uid="{00000000-0005-0000-0000-0000D8010000}"/>
    <cellStyle name="20% - Énfasis1 3 2 3 3 2 2" xfId="42905" xr:uid="{00000000-0005-0000-0000-0000D9010000}"/>
    <cellStyle name="20% - Énfasis1 3 2 3 3 3" xfId="12822" xr:uid="{00000000-0005-0000-0000-0000DA010000}"/>
    <cellStyle name="20% - Énfasis1 3 2 3 3 3 2" xfId="35465" xr:uid="{00000000-0005-0000-0000-0000DB010000}"/>
    <cellStyle name="20% - Énfasis1 3 2 3 3 4" xfId="28024" xr:uid="{00000000-0005-0000-0000-0000DC010000}"/>
    <cellStyle name="20% - Énfasis1 3 2 3 4" xfId="16544" xr:uid="{00000000-0005-0000-0000-0000DD010000}"/>
    <cellStyle name="20% - Énfasis1 3 2 3 4 2" xfId="39187" xr:uid="{00000000-0005-0000-0000-0000DE010000}"/>
    <cellStyle name="20% - Énfasis1 3 2 3 5" xfId="9104" xr:uid="{00000000-0005-0000-0000-0000DF010000}"/>
    <cellStyle name="20% - Énfasis1 3 2 3 5 2" xfId="31747" xr:uid="{00000000-0005-0000-0000-0000E0010000}"/>
    <cellStyle name="20% - Énfasis1 3 2 3 6" xfId="24306" xr:uid="{00000000-0005-0000-0000-0000E1010000}"/>
    <cellStyle name="20% - Énfasis1 3 2 4" xfId="2579" xr:uid="{00000000-0005-0000-0000-0000E2010000}"/>
    <cellStyle name="20% - Énfasis1 3 2 4 2" xfId="6300" xr:uid="{00000000-0005-0000-0000-0000E3010000}"/>
    <cellStyle name="20% - Énfasis1 3 2 4 2 2" xfId="21184" xr:uid="{00000000-0005-0000-0000-0000E4010000}"/>
    <cellStyle name="20% - Énfasis1 3 2 4 2 2 2" xfId="43827" xr:uid="{00000000-0005-0000-0000-0000E5010000}"/>
    <cellStyle name="20% - Énfasis1 3 2 4 2 3" xfId="13744" xr:uid="{00000000-0005-0000-0000-0000E6010000}"/>
    <cellStyle name="20% - Énfasis1 3 2 4 2 3 2" xfId="36387" xr:uid="{00000000-0005-0000-0000-0000E7010000}"/>
    <cellStyle name="20% - Énfasis1 3 2 4 2 4" xfId="28946" xr:uid="{00000000-0005-0000-0000-0000E8010000}"/>
    <cellStyle name="20% - Énfasis1 3 2 4 3" xfId="17466" xr:uid="{00000000-0005-0000-0000-0000E9010000}"/>
    <cellStyle name="20% - Énfasis1 3 2 4 3 2" xfId="40109" xr:uid="{00000000-0005-0000-0000-0000EA010000}"/>
    <cellStyle name="20% - Énfasis1 3 2 4 4" xfId="10026" xr:uid="{00000000-0005-0000-0000-0000EB010000}"/>
    <cellStyle name="20% - Énfasis1 3 2 4 4 2" xfId="32669" xr:uid="{00000000-0005-0000-0000-0000EC010000}"/>
    <cellStyle name="20% - Énfasis1 3 2 4 5" xfId="25228" xr:uid="{00000000-0005-0000-0000-0000ED010000}"/>
    <cellStyle name="20% - Énfasis1 3 2 5" xfId="4453" xr:uid="{00000000-0005-0000-0000-0000EE010000}"/>
    <cellStyle name="20% - Énfasis1 3 2 5 2" xfId="19337" xr:uid="{00000000-0005-0000-0000-0000EF010000}"/>
    <cellStyle name="20% - Énfasis1 3 2 5 2 2" xfId="41980" xr:uid="{00000000-0005-0000-0000-0000F0010000}"/>
    <cellStyle name="20% - Énfasis1 3 2 5 3" xfId="11897" xr:uid="{00000000-0005-0000-0000-0000F1010000}"/>
    <cellStyle name="20% - Énfasis1 3 2 5 3 2" xfId="34540" xr:uid="{00000000-0005-0000-0000-0000F2010000}"/>
    <cellStyle name="20% - Énfasis1 3 2 5 4" xfId="27099" xr:uid="{00000000-0005-0000-0000-0000F3010000}"/>
    <cellStyle name="20% - Énfasis1 3 2 6" xfId="723" xr:uid="{00000000-0005-0000-0000-0000F4010000}"/>
    <cellStyle name="20% - Énfasis1 3 2 6 2" xfId="15619" xr:uid="{00000000-0005-0000-0000-0000F5010000}"/>
    <cellStyle name="20% - Énfasis1 3 2 6 2 2" xfId="38262" xr:uid="{00000000-0005-0000-0000-0000F6010000}"/>
    <cellStyle name="20% - Énfasis1 3 2 6 3" xfId="23381" xr:uid="{00000000-0005-0000-0000-0000F7010000}"/>
    <cellStyle name="20% - Énfasis1 3 2 7" xfId="8179" xr:uid="{00000000-0005-0000-0000-0000F8010000}"/>
    <cellStyle name="20% - Énfasis1 3 2 7 2" xfId="30822" xr:uid="{00000000-0005-0000-0000-0000F9010000}"/>
    <cellStyle name="20% - Énfasis1 3 2 8" xfId="22871" xr:uid="{00000000-0005-0000-0000-0000FA010000}"/>
    <cellStyle name="20% - Énfasis1 3 3" xfId="251" xr:uid="{00000000-0005-0000-0000-0000FB010000}"/>
    <cellStyle name="20% - Énfasis1 3 3 2" xfId="1905" xr:uid="{00000000-0005-0000-0000-0000FC010000}"/>
    <cellStyle name="20% - Énfasis1 3 3 2 2" xfId="3755" xr:uid="{00000000-0005-0000-0000-0000FD010000}"/>
    <cellStyle name="20% - Énfasis1 3 3 2 2 2" xfId="7476" xr:uid="{00000000-0005-0000-0000-0000FE010000}"/>
    <cellStyle name="20% - Énfasis1 3 3 2 2 2 2" xfId="22360" xr:uid="{00000000-0005-0000-0000-0000FF010000}"/>
    <cellStyle name="20% - Énfasis1 3 3 2 2 2 2 2" xfId="45003" xr:uid="{00000000-0005-0000-0000-000000020000}"/>
    <cellStyle name="20% - Énfasis1 3 3 2 2 2 3" xfId="14920" xr:uid="{00000000-0005-0000-0000-000001020000}"/>
    <cellStyle name="20% - Énfasis1 3 3 2 2 2 3 2" xfId="37563" xr:uid="{00000000-0005-0000-0000-000002020000}"/>
    <cellStyle name="20% - Énfasis1 3 3 2 2 2 4" xfId="30122" xr:uid="{00000000-0005-0000-0000-000003020000}"/>
    <cellStyle name="20% - Énfasis1 3 3 2 2 3" xfId="18642" xr:uid="{00000000-0005-0000-0000-000004020000}"/>
    <cellStyle name="20% - Énfasis1 3 3 2 2 3 2" xfId="41285" xr:uid="{00000000-0005-0000-0000-000005020000}"/>
    <cellStyle name="20% - Énfasis1 3 3 2 2 4" xfId="11202" xr:uid="{00000000-0005-0000-0000-000006020000}"/>
    <cellStyle name="20% - Énfasis1 3 3 2 2 4 2" xfId="33845" xr:uid="{00000000-0005-0000-0000-000007020000}"/>
    <cellStyle name="20% - Énfasis1 3 3 2 2 5" xfId="26404" xr:uid="{00000000-0005-0000-0000-000008020000}"/>
    <cellStyle name="20% - Énfasis1 3 3 2 3" xfId="5629" xr:uid="{00000000-0005-0000-0000-000009020000}"/>
    <cellStyle name="20% - Énfasis1 3 3 2 3 2" xfId="20513" xr:uid="{00000000-0005-0000-0000-00000A020000}"/>
    <cellStyle name="20% - Énfasis1 3 3 2 3 2 2" xfId="43156" xr:uid="{00000000-0005-0000-0000-00000B020000}"/>
    <cellStyle name="20% - Énfasis1 3 3 2 3 3" xfId="13073" xr:uid="{00000000-0005-0000-0000-00000C020000}"/>
    <cellStyle name="20% - Énfasis1 3 3 2 3 3 2" xfId="35716" xr:uid="{00000000-0005-0000-0000-00000D020000}"/>
    <cellStyle name="20% - Énfasis1 3 3 2 3 4" xfId="28275" xr:uid="{00000000-0005-0000-0000-00000E020000}"/>
    <cellStyle name="20% - Énfasis1 3 3 2 4" xfId="16795" xr:uid="{00000000-0005-0000-0000-00000F020000}"/>
    <cellStyle name="20% - Énfasis1 3 3 2 4 2" xfId="39438" xr:uid="{00000000-0005-0000-0000-000010020000}"/>
    <cellStyle name="20% - Énfasis1 3 3 2 5" xfId="9355" xr:uid="{00000000-0005-0000-0000-000011020000}"/>
    <cellStyle name="20% - Énfasis1 3 3 2 5 2" xfId="31998" xr:uid="{00000000-0005-0000-0000-000012020000}"/>
    <cellStyle name="20% - Énfasis1 3 3 2 6" xfId="24557" xr:uid="{00000000-0005-0000-0000-000013020000}"/>
    <cellStyle name="20% - Énfasis1 3 3 3" xfId="2830" xr:uid="{00000000-0005-0000-0000-000014020000}"/>
    <cellStyle name="20% - Énfasis1 3 3 3 2" xfId="6551" xr:uid="{00000000-0005-0000-0000-000015020000}"/>
    <cellStyle name="20% - Énfasis1 3 3 3 2 2" xfId="21435" xr:uid="{00000000-0005-0000-0000-000016020000}"/>
    <cellStyle name="20% - Énfasis1 3 3 3 2 2 2" xfId="44078" xr:uid="{00000000-0005-0000-0000-000017020000}"/>
    <cellStyle name="20% - Énfasis1 3 3 3 2 3" xfId="13995" xr:uid="{00000000-0005-0000-0000-000018020000}"/>
    <cellStyle name="20% - Énfasis1 3 3 3 2 3 2" xfId="36638" xr:uid="{00000000-0005-0000-0000-000019020000}"/>
    <cellStyle name="20% - Énfasis1 3 3 3 2 4" xfId="29197" xr:uid="{00000000-0005-0000-0000-00001A020000}"/>
    <cellStyle name="20% - Énfasis1 3 3 3 3" xfId="17717" xr:uid="{00000000-0005-0000-0000-00001B020000}"/>
    <cellStyle name="20% - Énfasis1 3 3 3 3 2" xfId="40360" xr:uid="{00000000-0005-0000-0000-00001C020000}"/>
    <cellStyle name="20% - Énfasis1 3 3 3 4" xfId="10277" xr:uid="{00000000-0005-0000-0000-00001D020000}"/>
    <cellStyle name="20% - Énfasis1 3 3 3 4 2" xfId="32920" xr:uid="{00000000-0005-0000-0000-00001E020000}"/>
    <cellStyle name="20% - Énfasis1 3 3 3 5" xfId="25479" xr:uid="{00000000-0005-0000-0000-00001F020000}"/>
    <cellStyle name="20% - Énfasis1 3 3 4" xfId="4704" xr:uid="{00000000-0005-0000-0000-000020020000}"/>
    <cellStyle name="20% - Énfasis1 3 3 4 2" xfId="19588" xr:uid="{00000000-0005-0000-0000-000021020000}"/>
    <cellStyle name="20% - Énfasis1 3 3 4 2 2" xfId="42231" xr:uid="{00000000-0005-0000-0000-000022020000}"/>
    <cellStyle name="20% - Énfasis1 3 3 4 3" xfId="12148" xr:uid="{00000000-0005-0000-0000-000023020000}"/>
    <cellStyle name="20% - Énfasis1 3 3 4 3 2" xfId="34791" xr:uid="{00000000-0005-0000-0000-000024020000}"/>
    <cellStyle name="20% - Énfasis1 3 3 4 4" xfId="27350" xr:uid="{00000000-0005-0000-0000-000025020000}"/>
    <cellStyle name="20% - Énfasis1 3 3 5" xfId="977" xr:uid="{00000000-0005-0000-0000-000026020000}"/>
    <cellStyle name="20% - Énfasis1 3 3 5 2" xfId="15870" xr:uid="{00000000-0005-0000-0000-000027020000}"/>
    <cellStyle name="20% - Énfasis1 3 3 5 2 2" xfId="38513" xr:uid="{00000000-0005-0000-0000-000028020000}"/>
    <cellStyle name="20% - Énfasis1 3 3 5 3" xfId="23632" xr:uid="{00000000-0005-0000-0000-000029020000}"/>
    <cellStyle name="20% - Énfasis1 3 3 6" xfId="8430" xr:uid="{00000000-0005-0000-0000-00002A020000}"/>
    <cellStyle name="20% - Énfasis1 3 3 6 2" xfId="31073" xr:uid="{00000000-0005-0000-0000-00002B020000}"/>
    <cellStyle name="20% - Énfasis1 3 3 7" xfId="22949" xr:uid="{00000000-0005-0000-0000-00002C020000}"/>
    <cellStyle name="20% - Énfasis1 3 4" xfId="1443" xr:uid="{00000000-0005-0000-0000-00002D020000}"/>
    <cellStyle name="20% - Énfasis1 3 4 2" xfId="3293" xr:uid="{00000000-0005-0000-0000-00002E020000}"/>
    <cellStyle name="20% - Énfasis1 3 4 2 2" xfId="7014" xr:uid="{00000000-0005-0000-0000-00002F020000}"/>
    <cellStyle name="20% - Énfasis1 3 4 2 2 2" xfId="21898" xr:uid="{00000000-0005-0000-0000-000030020000}"/>
    <cellStyle name="20% - Énfasis1 3 4 2 2 2 2" xfId="44541" xr:uid="{00000000-0005-0000-0000-000031020000}"/>
    <cellStyle name="20% - Énfasis1 3 4 2 2 3" xfId="14458" xr:uid="{00000000-0005-0000-0000-000032020000}"/>
    <cellStyle name="20% - Énfasis1 3 4 2 2 3 2" xfId="37101" xr:uid="{00000000-0005-0000-0000-000033020000}"/>
    <cellStyle name="20% - Énfasis1 3 4 2 2 4" xfId="29660" xr:uid="{00000000-0005-0000-0000-000034020000}"/>
    <cellStyle name="20% - Énfasis1 3 4 2 3" xfId="18180" xr:uid="{00000000-0005-0000-0000-000035020000}"/>
    <cellStyle name="20% - Énfasis1 3 4 2 3 2" xfId="40823" xr:uid="{00000000-0005-0000-0000-000036020000}"/>
    <cellStyle name="20% - Énfasis1 3 4 2 4" xfId="10740" xr:uid="{00000000-0005-0000-0000-000037020000}"/>
    <cellStyle name="20% - Énfasis1 3 4 2 4 2" xfId="33383" xr:uid="{00000000-0005-0000-0000-000038020000}"/>
    <cellStyle name="20% - Énfasis1 3 4 2 5" xfId="25942" xr:uid="{00000000-0005-0000-0000-000039020000}"/>
    <cellStyle name="20% - Énfasis1 3 4 3" xfId="5167" xr:uid="{00000000-0005-0000-0000-00003A020000}"/>
    <cellStyle name="20% - Énfasis1 3 4 3 2" xfId="20051" xr:uid="{00000000-0005-0000-0000-00003B020000}"/>
    <cellStyle name="20% - Énfasis1 3 4 3 2 2" xfId="42694" xr:uid="{00000000-0005-0000-0000-00003C020000}"/>
    <cellStyle name="20% - Énfasis1 3 4 3 3" xfId="12611" xr:uid="{00000000-0005-0000-0000-00003D020000}"/>
    <cellStyle name="20% - Énfasis1 3 4 3 3 2" xfId="35254" xr:uid="{00000000-0005-0000-0000-00003E020000}"/>
    <cellStyle name="20% - Énfasis1 3 4 3 4" xfId="27813" xr:uid="{00000000-0005-0000-0000-00003F020000}"/>
    <cellStyle name="20% - Énfasis1 3 4 4" xfId="16333" xr:uid="{00000000-0005-0000-0000-000040020000}"/>
    <cellStyle name="20% - Énfasis1 3 4 4 2" xfId="38976" xr:uid="{00000000-0005-0000-0000-000041020000}"/>
    <cellStyle name="20% - Énfasis1 3 4 5" xfId="8893" xr:uid="{00000000-0005-0000-0000-000042020000}"/>
    <cellStyle name="20% - Énfasis1 3 4 5 2" xfId="31536" xr:uid="{00000000-0005-0000-0000-000043020000}"/>
    <cellStyle name="20% - Énfasis1 3 4 6" xfId="24095" xr:uid="{00000000-0005-0000-0000-000044020000}"/>
    <cellStyle name="20% - Énfasis1 3 5" xfId="2368" xr:uid="{00000000-0005-0000-0000-000045020000}"/>
    <cellStyle name="20% - Énfasis1 3 5 2" xfId="6089" xr:uid="{00000000-0005-0000-0000-000046020000}"/>
    <cellStyle name="20% - Énfasis1 3 5 2 2" xfId="20973" xr:uid="{00000000-0005-0000-0000-000047020000}"/>
    <cellStyle name="20% - Énfasis1 3 5 2 2 2" xfId="43616" xr:uid="{00000000-0005-0000-0000-000048020000}"/>
    <cellStyle name="20% - Énfasis1 3 5 2 3" xfId="13533" xr:uid="{00000000-0005-0000-0000-000049020000}"/>
    <cellStyle name="20% - Énfasis1 3 5 2 3 2" xfId="36176" xr:uid="{00000000-0005-0000-0000-00004A020000}"/>
    <cellStyle name="20% - Énfasis1 3 5 2 4" xfId="28735" xr:uid="{00000000-0005-0000-0000-00004B020000}"/>
    <cellStyle name="20% - Énfasis1 3 5 3" xfId="17255" xr:uid="{00000000-0005-0000-0000-00004C020000}"/>
    <cellStyle name="20% - Énfasis1 3 5 3 2" xfId="39898" xr:uid="{00000000-0005-0000-0000-00004D020000}"/>
    <cellStyle name="20% - Énfasis1 3 5 4" xfId="9815" xr:uid="{00000000-0005-0000-0000-00004E020000}"/>
    <cellStyle name="20% - Énfasis1 3 5 4 2" xfId="32458" xr:uid="{00000000-0005-0000-0000-00004F020000}"/>
    <cellStyle name="20% - Énfasis1 3 5 5" xfId="25017" xr:uid="{00000000-0005-0000-0000-000050020000}"/>
    <cellStyle name="20% - Énfasis1 3 6" xfId="4242" xr:uid="{00000000-0005-0000-0000-000051020000}"/>
    <cellStyle name="20% - Énfasis1 3 6 2" xfId="19126" xr:uid="{00000000-0005-0000-0000-000052020000}"/>
    <cellStyle name="20% - Énfasis1 3 6 2 2" xfId="41769" xr:uid="{00000000-0005-0000-0000-000053020000}"/>
    <cellStyle name="20% - Énfasis1 3 6 3" xfId="11686" xr:uid="{00000000-0005-0000-0000-000054020000}"/>
    <cellStyle name="20% - Énfasis1 3 6 3 2" xfId="34329" xr:uid="{00000000-0005-0000-0000-000055020000}"/>
    <cellStyle name="20% - Énfasis1 3 6 4" xfId="26888" xr:uid="{00000000-0005-0000-0000-000056020000}"/>
    <cellStyle name="20% - Énfasis1 3 7" xfId="510" xr:uid="{00000000-0005-0000-0000-000057020000}"/>
    <cellStyle name="20% - Énfasis1 3 7 2" xfId="15408" xr:uid="{00000000-0005-0000-0000-000058020000}"/>
    <cellStyle name="20% - Énfasis1 3 7 2 2" xfId="38051" xr:uid="{00000000-0005-0000-0000-000059020000}"/>
    <cellStyle name="20% - Énfasis1 3 7 3" xfId="23171" xr:uid="{00000000-0005-0000-0000-00005A020000}"/>
    <cellStyle name="20% - Énfasis1 3 8" xfId="7968" xr:uid="{00000000-0005-0000-0000-00005B020000}"/>
    <cellStyle name="20% - Énfasis1 3 8 2" xfId="30611" xr:uid="{00000000-0005-0000-0000-00005C020000}"/>
    <cellStyle name="20% - Énfasis1 3 9" xfId="22793" xr:uid="{00000000-0005-0000-0000-00005D020000}"/>
    <cellStyle name="20% - Énfasis1 4" xfId="126" xr:uid="{00000000-0005-0000-0000-00005E020000}"/>
    <cellStyle name="20% - Énfasis1 4 2" xfId="290" xr:uid="{00000000-0005-0000-0000-00005F020000}"/>
    <cellStyle name="20% - Énfasis1 4 2 2" xfId="2011" xr:uid="{00000000-0005-0000-0000-000060020000}"/>
    <cellStyle name="20% - Énfasis1 4 2 2 2" xfId="3861" xr:uid="{00000000-0005-0000-0000-000061020000}"/>
    <cellStyle name="20% - Énfasis1 4 2 2 2 2" xfId="7582" xr:uid="{00000000-0005-0000-0000-000062020000}"/>
    <cellStyle name="20% - Énfasis1 4 2 2 2 2 2" xfId="22466" xr:uid="{00000000-0005-0000-0000-000063020000}"/>
    <cellStyle name="20% - Énfasis1 4 2 2 2 2 2 2" xfId="45109" xr:uid="{00000000-0005-0000-0000-000064020000}"/>
    <cellStyle name="20% - Énfasis1 4 2 2 2 2 3" xfId="15026" xr:uid="{00000000-0005-0000-0000-000065020000}"/>
    <cellStyle name="20% - Énfasis1 4 2 2 2 2 3 2" xfId="37669" xr:uid="{00000000-0005-0000-0000-000066020000}"/>
    <cellStyle name="20% - Énfasis1 4 2 2 2 2 4" xfId="30228" xr:uid="{00000000-0005-0000-0000-000067020000}"/>
    <cellStyle name="20% - Énfasis1 4 2 2 2 3" xfId="18748" xr:uid="{00000000-0005-0000-0000-000068020000}"/>
    <cellStyle name="20% - Énfasis1 4 2 2 2 3 2" xfId="41391" xr:uid="{00000000-0005-0000-0000-000069020000}"/>
    <cellStyle name="20% - Énfasis1 4 2 2 2 4" xfId="11308" xr:uid="{00000000-0005-0000-0000-00006A020000}"/>
    <cellStyle name="20% - Énfasis1 4 2 2 2 4 2" xfId="33951" xr:uid="{00000000-0005-0000-0000-00006B020000}"/>
    <cellStyle name="20% - Énfasis1 4 2 2 2 5" xfId="26510" xr:uid="{00000000-0005-0000-0000-00006C020000}"/>
    <cellStyle name="20% - Énfasis1 4 2 2 3" xfId="5735" xr:uid="{00000000-0005-0000-0000-00006D020000}"/>
    <cellStyle name="20% - Énfasis1 4 2 2 3 2" xfId="20619" xr:uid="{00000000-0005-0000-0000-00006E020000}"/>
    <cellStyle name="20% - Énfasis1 4 2 2 3 2 2" xfId="43262" xr:uid="{00000000-0005-0000-0000-00006F020000}"/>
    <cellStyle name="20% - Énfasis1 4 2 2 3 3" xfId="13179" xr:uid="{00000000-0005-0000-0000-000070020000}"/>
    <cellStyle name="20% - Énfasis1 4 2 2 3 3 2" xfId="35822" xr:uid="{00000000-0005-0000-0000-000071020000}"/>
    <cellStyle name="20% - Énfasis1 4 2 2 3 4" xfId="28381" xr:uid="{00000000-0005-0000-0000-000072020000}"/>
    <cellStyle name="20% - Énfasis1 4 2 2 4" xfId="16901" xr:uid="{00000000-0005-0000-0000-000073020000}"/>
    <cellStyle name="20% - Énfasis1 4 2 2 4 2" xfId="39544" xr:uid="{00000000-0005-0000-0000-000074020000}"/>
    <cellStyle name="20% - Énfasis1 4 2 2 5" xfId="9461" xr:uid="{00000000-0005-0000-0000-000075020000}"/>
    <cellStyle name="20% - Énfasis1 4 2 2 5 2" xfId="32104" xr:uid="{00000000-0005-0000-0000-000076020000}"/>
    <cellStyle name="20% - Énfasis1 4 2 2 6" xfId="24663" xr:uid="{00000000-0005-0000-0000-000077020000}"/>
    <cellStyle name="20% - Énfasis1 4 2 3" xfId="2936" xr:uid="{00000000-0005-0000-0000-000078020000}"/>
    <cellStyle name="20% - Énfasis1 4 2 3 2" xfId="6657" xr:uid="{00000000-0005-0000-0000-000079020000}"/>
    <cellStyle name="20% - Énfasis1 4 2 3 2 2" xfId="21541" xr:uid="{00000000-0005-0000-0000-00007A020000}"/>
    <cellStyle name="20% - Énfasis1 4 2 3 2 2 2" xfId="44184" xr:uid="{00000000-0005-0000-0000-00007B020000}"/>
    <cellStyle name="20% - Énfasis1 4 2 3 2 3" xfId="14101" xr:uid="{00000000-0005-0000-0000-00007C020000}"/>
    <cellStyle name="20% - Énfasis1 4 2 3 2 3 2" xfId="36744" xr:uid="{00000000-0005-0000-0000-00007D020000}"/>
    <cellStyle name="20% - Énfasis1 4 2 3 2 4" xfId="29303" xr:uid="{00000000-0005-0000-0000-00007E020000}"/>
    <cellStyle name="20% - Énfasis1 4 2 3 3" xfId="17823" xr:uid="{00000000-0005-0000-0000-00007F020000}"/>
    <cellStyle name="20% - Énfasis1 4 2 3 3 2" xfId="40466" xr:uid="{00000000-0005-0000-0000-000080020000}"/>
    <cellStyle name="20% - Énfasis1 4 2 3 4" xfId="10383" xr:uid="{00000000-0005-0000-0000-000081020000}"/>
    <cellStyle name="20% - Énfasis1 4 2 3 4 2" xfId="33026" xr:uid="{00000000-0005-0000-0000-000082020000}"/>
    <cellStyle name="20% - Énfasis1 4 2 3 5" xfId="25585" xr:uid="{00000000-0005-0000-0000-000083020000}"/>
    <cellStyle name="20% - Énfasis1 4 2 4" xfId="4810" xr:uid="{00000000-0005-0000-0000-000084020000}"/>
    <cellStyle name="20% - Énfasis1 4 2 4 2" xfId="19694" xr:uid="{00000000-0005-0000-0000-000085020000}"/>
    <cellStyle name="20% - Énfasis1 4 2 4 2 2" xfId="42337" xr:uid="{00000000-0005-0000-0000-000086020000}"/>
    <cellStyle name="20% - Énfasis1 4 2 4 3" xfId="12254" xr:uid="{00000000-0005-0000-0000-000087020000}"/>
    <cellStyle name="20% - Énfasis1 4 2 4 3 2" xfId="34897" xr:uid="{00000000-0005-0000-0000-000088020000}"/>
    <cellStyle name="20% - Énfasis1 4 2 4 4" xfId="27456" xr:uid="{00000000-0005-0000-0000-000089020000}"/>
    <cellStyle name="20% - Énfasis1 4 2 5" xfId="1083" xr:uid="{00000000-0005-0000-0000-00008A020000}"/>
    <cellStyle name="20% - Énfasis1 4 2 5 2" xfId="15976" xr:uid="{00000000-0005-0000-0000-00008B020000}"/>
    <cellStyle name="20% - Énfasis1 4 2 5 2 2" xfId="38619" xr:uid="{00000000-0005-0000-0000-00008C020000}"/>
    <cellStyle name="20% - Énfasis1 4 2 5 3" xfId="23738" xr:uid="{00000000-0005-0000-0000-00008D020000}"/>
    <cellStyle name="20% - Énfasis1 4 2 6" xfId="8536" xr:uid="{00000000-0005-0000-0000-00008E020000}"/>
    <cellStyle name="20% - Énfasis1 4 2 6 2" xfId="31179" xr:uid="{00000000-0005-0000-0000-00008F020000}"/>
    <cellStyle name="20% - Énfasis1 4 2 7" xfId="22988" xr:uid="{00000000-0005-0000-0000-000090020000}"/>
    <cellStyle name="20% - Énfasis1 4 3" xfId="1549" xr:uid="{00000000-0005-0000-0000-000091020000}"/>
    <cellStyle name="20% - Énfasis1 4 3 2" xfId="3399" xr:uid="{00000000-0005-0000-0000-000092020000}"/>
    <cellStyle name="20% - Énfasis1 4 3 2 2" xfId="7120" xr:uid="{00000000-0005-0000-0000-000093020000}"/>
    <cellStyle name="20% - Énfasis1 4 3 2 2 2" xfId="22004" xr:uid="{00000000-0005-0000-0000-000094020000}"/>
    <cellStyle name="20% - Énfasis1 4 3 2 2 2 2" xfId="44647" xr:uid="{00000000-0005-0000-0000-000095020000}"/>
    <cellStyle name="20% - Énfasis1 4 3 2 2 3" xfId="14564" xr:uid="{00000000-0005-0000-0000-000096020000}"/>
    <cellStyle name="20% - Énfasis1 4 3 2 2 3 2" xfId="37207" xr:uid="{00000000-0005-0000-0000-000097020000}"/>
    <cellStyle name="20% - Énfasis1 4 3 2 2 4" xfId="29766" xr:uid="{00000000-0005-0000-0000-000098020000}"/>
    <cellStyle name="20% - Énfasis1 4 3 2 3" xfId="18286" xr:uid="{00000000-0005-0000-0000-000099020000}"/>
    <cellStyle name="20% - Énfasis1 4 3 2 3 2" xfId="40929" xr:uid="{00000000-0005-0000-0000-00009A020000}"/>
    <cellStyle name="20% - Énfasis1 4 3 2 4" xfId="10846" xr:uid="{00000000-0005-0000-0000-00009B020000}"/>
    <cellStyle name="20% - Énfasis1 4 3 2 4 2" xfId="33489" xr:uid="{00000000-0005-0000-0000-00009C020000}"/>
    <cellStyle name="20% - Énfasis1 4 3 2 5" xfId="26048" xr:uid="{00000000-0005-0000-0000-00009D020000}"/>
    <cellStyle name="20% - Énfasis1 4 3 3" xfId="5273" xr:uid="{00000000-0005-0000-0000-00009E020000}"/>
    <cellStyle name="20% - Énfasis1 4 3 3 2" xfId="20157" xr:uid="{00000000-0005-0000-0000-00009F020000}"/>
    <cellStyle name="20% - Énfasis1 4 3 3 2 2" xfId="42800" xr:uid="{00000000-0005-0000-0000-0000A0020000}"/>
    <cellStyle name="20% - Énfasis1 4 3 3 3" xfId="12717" xr:uid="{00000000-0005-0000-0000-0000A1020000}"/>
    <cellStyle name="20% - Énfasis1 4 3 3 3 2" xfId="35360" xr:uid="{00000000-0005-0000-0000-0000A2020000}"/>
    <cellStyle name="20% - Énfasis1 4 3 3 4" xfId="27919" xr:uid="{00000000-0005-0000-0000-0000A3020000}"/>
    <cellStyle name="20% - Énfasis1 4 3 4" xfId="16439" xr:uid="{00000000-0005-0000-0000-0000A4020000}"/>
    <cellStyle name="20% - Énfasis1 4 3 4 2" xfId="39082" xr:uid="{00000000-0005-0000-0000-0000A5020000}"/>
    <cellStyle name="20% - Énfasis1 4 3 5" xfId="8999" xr:uid="{00000000-0005-0000-0000-0000A6020000}"/>
    <cellStyle name="20% - Énfasis1 4 3 5 2" xfId="31642" xr:uid="{00000000-0005-0000-0000-0000A7020000}"/>
    <cellStyle name="20% - Énfasis1 4 3 6" xfId="24201" xr:uid="{00000000-0005-0000-0000-0000A8020000}"/>
    <cellStyle name="20% - Énfasis1 4 4" xfId="2474" xr:uid="{00000000-0005-0000-0000-0000A9020000}"/>
    <cellStyle name="20% - Énfasis1 4 4 2" xfId="6195" xr:uid="{00000000-0005-0000-0000-0000AA020000}"/>
    <cellStyle name="20% - Énfasis1 4 4 2 2" xfId="21079" xr:uid="{00000000-0005-0000-0000-0000AB020000}"/>
    <cellStyle name="20% - Énfasis1 4 4 2 2 2" xfId="43722" xr:uid="{00000000-0005-0000-0000-0000AC020000}"/>
    <cellStyle name="20% - Énfasis1 4 4 2 3" xfId="13639" xr:uid="{00000000-0005-0000-0000-0000AD020000}"/>
    <cellStyle name="20% - Énfasis1 4 4 2 3 2" xfId="36282" xr:uid="{00000000-0005-0000-0000-0000AE020000}"/>
    <cellStyle name="20% - Énfasis1 4 4 2 4" xfId="28841" xr:uid="{00000000-0005-0000-0000-0000AF020000}"/>
    <cellStyle name="20% - Énfasis1 4 4 3" xfId="17361" xr:uid="{00000000-0005-0000-0000-0000B0020000}"/>
    <cellStyle name="20% - Énfasis1 4 4 3 2" xfId="40004" xr:uid="{00000000-0005-0000-0000-0000B1020000}"/>
    <cellStyle name="20% - Énfasis1 4 4 4" xfId="9921" xr:uid="{00000000-0005-0000-0000-0000B2020000}"/>
    <cellStyle name="20% - Énfasis1 4 4 4 2" xfId="32564" xr:uid="{00000000-0005-0000-0000-0000B3020000}"/>
    <cellStyle name="20% - Énfasis1 4 4 5" xfId="25123" xr:uid="{00000000-0005-0000-0000-0000B4020000}"/>
    <cellStyle name="20% - Énfasis1 4 5" xfId="4348" xr:uid="{00000000-0005-0000-0000-0000B5020000}"/>
    <cellStyle name="20% - Énfasis1 4 5 2" xfId="19232" xr:uid="{00000000-0005-0000-0000-0000B6020000}"/>
    <cellStyle name="20% - Énfasis1 4 5 2 2" xfId="41875" xr:uid="{00000000-0005-0000-0000-0000B7020000}"/>
    <cellStyle name="20% - Énfasis1 4 5 3" xfId="11792" xr:uid="{00000000-0005-0000-0000-0000B8020000}"/>
    <cellStyle name="20% - Énfasis1 4 5 3 2" xfId="34435" xr:uid="{00000000-0005-0000-0000-0000B9020000}"/>
    <cellStyle name="20% - Énfasis1 4 5 4" xfId="26994" xr:uid="{00000000-0005-0000-0000-0000BA020000}"/>
    <cellStyle name="20% - Énfasis1 4 6" xfId="616" xr:uid="{00000000-0005-0000-0000-0000BB020000}"/>
    <cellStyle name="20% - Énfasis1 4 6 2" xfId="15514" xr:uid="{00000000-0005-0000-0000-0000BC020000}"/>
    <cellStyle name="20% - Énfasis1 4 6 2 2" xfId="38157" xr:uid="{00000000-0005-0000-0000-0000BD020000}"/>
    <cellStyle name="20% - Énfasis1 4 6 3" xfId="23276" xr:uid="{00000000-0005-0000-0000-0000BE020000}"/>
    <cellStyle name="20% - Énfasis1 4 7" xfId="8074" xr:uid="{00000000-0005-0000-0000-0000BF020000}"/>
    <cellStyle name="20% - Énfasis1 4 7 2" xfId="30717" xr:uid="{00000000-0005-0000-0000-0000C0020000}"/>
    <cellStyle name="20% - Énfasis1 4 8" xfId="22832" xr:uid="{00000000-0005-0000-0000-0000C1020000}"/>
    <cellStyle name="20% - Énfasis1 5" xfId="209" xr:uid="{00000000-0005-0000-0000-0000C2020000}"/>
    <cellStyle name="20% - Énfasis1 5 2" xfId="1800" xr:uid="{00000000-0005-0000-0000-0000C3020000}"/>
    <cellStyle name="20% - Énfasis1 5 2 2" xfId="3650" xr:uid="{00000000-0005-0000-0000-0000C4020000}"/>
    <cellStyle name="20% - Énfasis1 5 2 2 2" xfId="7371" xr:uid="{00000000-0005-0000-0000-0000C5020000}"/>
    <cellStyle name="20% - Énfasis1 5 2 2 2 2" xfId="22255" xr:uid="{00000000-0005-0000-0000-0000C6020000}"/>
    <cellStyle name="20% - Énfasis1 5 2 2 2 2 2" xfId="44898" xr:uid="{00000000-0005-0000-0000-0000C7020000}"/>
    <cellStyle name="20% - Énfasis1 5 2 2 2 3" xfId="14815" xr:uid="{00000000-0005-0000-0000-0000C8020000}"/>
    <cellStyle name="20% - Énfasis1 5 2 2 2 3 2" xfId="37458" xr:uid="{00000000-0005-0000-0000-0000C9020000}"/>
    <cellStyle name="20% - Énfasis1 5 2 2 2 4" xfId="30017" xr:uid="{00000000-0005-0000-0000-0000CA020000}"/>
    <cellStyle name="20% - Énfasis1 5 2 2 3" xfId="18537" xr:uid="{00000000-0005-0000-0000-0000CB020000}"/>
    <cellStyle name="20% - Énfasis1 5 2 2 3 2" xfId="41180" xr:uid="{00000000-0005-0000-0000-0000CC020000}"/>
    <cellStyle name="20% - Énfasis1 5 2 2 4" xfId="11097" xr:uid="{00000000-0005-0000-0000-0000CD020000}"/>
    <cellStyle name="20% - Énfasis1 5 2 2 4 2" xfId="33740" xr:uid="{00000000-0005-0000-0000-0000CE020000}"/>
    <cellStyle name="20% - Énfasis1 5 2 2 5" xfId="26299" xr:uid="{00000000-0005-0000-0000-0000CF020000}"/>
    <cellStyle name="20% - Énfasis1 5 2 3" xfId="5524" xr:uid="{00000000-0005-0000-0000-0000D0020000}"/>
    <cellStyle name="20% - Énfasis1 5 2 3 2" xfId="20408" xr:uid="{00000000-0005-0000-0000-0000D1020000}"/>
    <cellStyle name="20% - Énfasis1 5 2 3 2 2" xfId="43051" xr:uid="{00000000-0005-0000-0000-0000D2020000}"/>
    <cellStyle name="20% - Énfasis1 5 2 3 3" xfId="12968" xr:uid="{00000000-0005-0000-0000-0000D3020000}"/>
    <cellStyle name="20% - Énfasis1 5 2 3 3 2" xfId="35611" xr:uid="{00000000-0005-0000-0000-0000D4020000}"/>
    <cellStyle name="20% - Énfasis1 5 2 3 4" xfId="28170" xr:uid="{00000000-0005-0000-0000-0000D5020000}"/>
    <cellStyle name="20% - Énfasis1 5 2 4" xfId="16690" xr:uid="{00000000-0005-0000-0000-0000D6020000}"/>
    <cellStyle name="20% - Énfasis1 5 2 4 2" xfId="39333" xr:uid="{00000000-0005-0000-0000-0000D7020000}"/>
    <cellStyle name="20% - Énfasis1 5 2 5" xfId="9250" xr:uid="{00000000-0005-0000-0000-0000D8020000}"/>
    <cellStyle name="20% - Énfasis1 5 2 5 2" xfId="31893" xr:uid="{00000000-0005-0000-0000-0000D9020000}"/>
    <cellStyle name="20% - Énfasis1 5 2 6" xfId="24452" xr:uid="{00000000-0005-0000-0000-0000DA020000}"/>
    <cellStyle name="20% - Énfasis1 5 3" xfId="2725" xr:uid="{00000000-0005-0000-0000-0000DB020000}"/>
    <cellStyle name="20% - Énfasis1 5 3 2" xfId="6446" xr:uid="{00000000-0005-0000-0000-0000DC020000}"/>
    <cellStyle name="20% - Énfasis1 5 3 2 2" xfId="21330" xr:uid="{00000000-0005-0000-0000-0000DD020000}"/>
    <cellStyle name="20% - Énfasis1 5 3 2 2 2" xfId="43973" xr:uid="{00000000-0005-0000-0000-0000DE020000}"/>
    <cellStyle name="20% - Énfasis1 5 3 2 3" xfId="13890" xr:uid="{00000000-0005-0000-0000-0000DF020000}"/>
    <cellStyle name="20% - Énfasis1 5 3 2 3 2" xfId="36533" xr:uid="{00000000-0005-0000-0000-0000E0020000}"/>
    <cellStyle name="20% - Énfasis1 5 3 2 4" xfId="29092" xr:uid="{00000000-0005-0000-0000-0000E1020000}"/>
    <cellStyle name="20% - Énfasis1 5 3 3" xfId="17612" xr:uid="{00000000-0005-0000-0000-0000E2020000}"/>
    <cellStyle name="20% - Énfasis1 5 3 3 2" xfId="40255" xr:uid="{00000000-0005-0000-0000-0000E3020000}"/>
    <cellStyle name="20% - Énfasis1 5 3 4" xfId="10172" xr:uid="{00000000-0005-0000-0000-0000E4020000}"/>
    <cellStyle name="20% - Énfasis1 5 3 4 2" xfId="32815" xr:uid="{00000000-0005-0000-0000-0000E5020000}"/>
    <cellStyle name="20% - Énfasis1 5 3 5" xfId="25374" xr:uid="{00000000-0005-0000-0000-0000E6020000}"/>
    <cellStyle name="20% - Énfasis1 5 4" xfId="4599" xr:uid="{00000000-0005-0000-0000-0000E7020000}"/>
    <cellStyle name="20% - Énfasis1 5 4 2" xfId="19483" xr:uid="{00000000-0005-0000-0000-0000E8020000}"/>
    <cellStyle name="20% - Énfasis1 5 4 2 2" xfId="42126" xr:uid="{00000000-0005-0000-0000-0000E9020000}"/>
    <cellStyle name="20% - Énfasis1 5 4 3" xfId="12043" xr:uid="{00000000-0005-0000-0000-0000EA020000}"/>
    <cellStyle name="20% - Énfasis1 5 4 3 2" xfId="34686" xr:uid="{00000000-0005-0000-0000-0000EB020000}"/>
    <cellStyle name="20% - Énfasis1 5 4 4" xfId="27245" xr:uid="{00000000-0005-0000-0000-0000EC020000}"/>
    <cellStyle name="20% - Énfasis1 5 5" xfId="869" xr:uid="{00000000-0005-0000-0000-0000ED020000}"/>
    <cellStyle name="20% - Énfasis1 5 5 2" xfId="15765" xr:uid="{00000000-0005-0000-0000-0000EE020000}"/>
    <cellStyle name="20% - Énfasis1 5 5 2 2" xfId="38408" xr:uid="{00000000-0005-0000-0000-0000EF020000}"/>
    <cellStyle name="20% - Énfasis1 5 5 3" xfId="23527" xr:uid="{00000000-0005-0000-0000-0000F0020000}"/>
    <cellStyle name="20% - Énfasis1 5 6" xfId="8325" xr:uid="{00000000-0005-0000-0000-0000F1020000}"/>
    <cellStyle name="20% - Énfasis1 5 6 2" xfId="30968" xr:uid="{00000000-0005-0000-0000-0000F2020000}"/>
    <cellStyle name="20% - Énfasis1 5 7" xfId="22910" xr:uid="{00000000-0005-0000-0000-0000F3020000}"/>
    <cellStyle name="20% - Énfasis1 6" xfId="1335" xr:uid="{00000000-0005-0000-0000-0000F4020000}"/>
    <cellStyle name="20% - Énfasis1 6 2" xfId="3188" xr:uid="{00000000-0005-0000-0000-0000F5020000}"/>
    <cellStyle name="20% - Énfasis1 6 2 2" xfId="6909" xr:uid="{00000000-0005-0000-0000-0000F6020000}"/>
    <cellStyle name="20% - Énfasis1 6 2 2 2" xfId="21793" xr:uid="{00000000-0005-0000-0000-0000F7020000}"/>
    <cellStyle name="20% - Énfasis1 6 2 2 2 2" xfId="44436" xr:uid="{00000000-0005-0000-0000-0000F8020000}"/>
    <cellStyle name="20% - Énfasis1 6 2 2 3" xfId="14353" xr:uid="{00000000-0005-0000-0000-0000F9020000}"/>
    <cellStyle name="20% - Énfasis1 6 2 2 3 2" xfId="36996" xr:uid="{00000000-0005-0000-0000-0000FA020000}"/>
    <cellStyle name="20% - Énfasis1 6 2 2 4" xfId="29555" xr:uid="{00000000-0005-0000-0000-0000FB020000}"/>
    <cellStyle name="20% - Énfasis1 6 2 3" xfId="18075" xr:uid="{00000000-0005-0000-0000-0000FC020000}"/>
    <cellStyle name="20% - Énfasis1 6 2 3 2" xfId="40718" xr:uid="{00000000-0005-0000-0000-0000FD020000}"/>
    <cellStyle name="20% - Énfasis1 6 2 4" xfId="10635" xr:uid="{00000000-0005-0000-0000-0000FE020000}"/>
    <cellStyle name="20% - Énfasis1 6 2 4 2" xfId="33278" xr:uid="{00000000-0005-0000-0000-0000FF020000}"/>
    <cellStyle name="20% - Énfasis1 6 2 5" xfId="25837" xr:uid="{00000000-0005-0000-0000-000000030000}"/>
    <cellStyle name="20% - Énfasis1 6 3" xfId="5062" xr:uid="{00000000-0005-0000-0000-000001030000}"/>
    <cellStyle name="20% - Énfasis1 6 3 2" xfId="19946" xr:uid="{00000000-0005-0000-0000-000002030000}"/>
    <cellStyle name="20% - Énfasis1 6 3 2 2" xfId="42589" xr:uid="{00000000-0005-0000-0000-000003030000}"/>
    <cellStyle name="20% - Énfasis1 6 3 3" xfId="12506" xr:uid="{00000000-0005-0000-0000-000004030000}"/>
    <cellStyle name="20% - Énfasis1 6 3 3 2" xfId="35149" xr:uid="{00000000-0005-0000-0000-000005030000}"/>
    <cellStyle name="20% - Énfasis1 6 3 4" xfId="27708" xr:uid="{00000000-0005-0000-0000-000006030000}"/>
    <cellStyle name="20% - Énfasis1 6 4" xfId="16228" xr:uid="{00000000-0005-0000-0000-000007030000}"/>
    <cellStyle name="20% - Énfasis1 6 4 2" xfId="38871" xr:uid="{00000000-0005-0000-0000-000008030000}"/>
    <cellStyle name="20% - Énfasis1 6 5" xfId="8788" xr:uid="{00000000-0005-0000-0000-000009030000}"/>
    <cellStyle name="20% - Énfasis1 6 5 2" xfId="31431" xr:uid="{00000000-0005-0000-0000-00000A030000}"/>
    <cellStyle name="20% - Énfasis1 6 6" xfId="23990" xr:uid="{00000000-0005-0000-0000-00000B030000}"/>
    <cellStyle name="20% - Énfasis1 7" xfId="2260" xr:uid="{00000000-0005-0000-0000-00000C030000}"/>
    <cellStyle name="20% - Énfasis1 7 2" xfId="5984" xr:uid="{00000000-0005-0000-0000-00000D030000}"/>
    <cellStyle name="20% - Énfasis1 7 2 2" xfId="20868" xr:uid="{00000000-0005-0000-0000-00000E030000}"/>
    <cellStyle name="20% - Énfasis1 7 2 2 2" xfId="43511" xr:uid="{00000000-0005-0000-0000-00000F030000}"/>
    <cellStyle name="20% - Énfasis1 7 2 3" xfId="13428" xr:uid="{00000000-0005-0000-0000-000010030000}"/>
    <cellStyle name="20% - Énfasis1 7 2 3 2" xfId="36071" xr:uid="{00000000-0005-0000-0000-000011030000}"/>
    <cellStyle name="20% - Énfasis1 7 2 4" xfId="28630" xr:uid="{00000000-0005-0000-0000-000012030000}"/>
    <cellStyle name="20% - Énfasis1 7 3" xfId="17150" xr:uid="{00000000-0005-0000-0000-000013030000}"/>
    <cellStyle name="20% - Énfasis1 7 3 2" xfId="39793" xr:uid="{00000000-0005-0000-0000-000014030000}"/>
    <cellStyle name="20% - Énfasis1 7 4" xfId="9710" xr:uid="{00000000-0005-0000-0000-000015030000}"/>
    <cellStyle name="20% - Énfasis1 7 4 2" xfId="32353" xr:uid="{00000000-0005-0000-0000-000016030000}"/>
    <cellStyle name="20% - Énfasis1 7 5" xfId="24912" xr:uid="{00000000-0005-0000-0000-000017030000}"/>
    <cellStyle name="20% - Énfasis1 8" xfId="4134" xr:uid="{00000000-0005-0000-0000-000018030000}"/>
    <cellStyle name="20% - Énfasis1 8 2" xfId="19021" xr:uid="{00000000-0005-0000-0000-000019030000}"/>
    <cellStyle name="20% - Énfasis1 8 2 2" xfId="41664" xr:uid="{00000000-0005-0000-0000-00001A030000}"/>
    <cellStyle name="20% - Énfasis1 8 3" xfId="11581" xr:uid="{00000000-0005-0000-0000-00001B030000}"/>
    <cellStyle name="20% - Énfasis1 8 3 2" xfId="34224" xr:uid="{00000000-0005-0000-0000-00001C030000}"/>
    <cellStyle name="20% - Énfasis1 8 4" xfId="26783" xr:uid="{00000000-0005-0000-0000-00001D030000}"/>
    <cellStyle name="20% - Énfasis1 9" xfId="369" xr:uid="{00000000-0005-0000-0000-00001E030000}"/>
    <cellStyle name="20% - Énfasis1 9 2" xfId="15303" xr:uid="{00000000-0005-0000-0000-00001F030000}"/>
    <cellStyle name="20% - Énfasis1 9 2 2" xfId="37946" xr:uid="{00000000-0005-0000-0000-000020030000}"/>
    <cellStyle name="20% - Énfasis1 9 3" xfId="23066" xr:uid="{00000000-0005-0000-0000-000021030000}"/>
    <cellStyle name="20% - Énfasis2" xfId="3" builtinId="34" customBuiltin="1"/>
    <cellStyle name="20% - Énfasis2 10" xfId="7862" xr:uid="{00000000-0005-0000-0000-000023030000}"/>
    <cellStyle name="20% - Énfasis2 10 2" xfId="30508" xr:uid="{00000000-0005-0000-0000-000024030000}"/>
    <cellStyle name="20% - Énfasis2 11" xfId="22753" xr:uid="{00000000-0005-0000-0000-000025030000}"/>
    <cellStyle name="20% - Énfasis2 12" xfId="45453" xr:uid="{00000000-0005-0000-0000-000026030000}"/>
    <cellStyle name="20% - Énfasis2 13" xfId="45492" xr:uid="{00000000-0005-0000-0000-000027030000}"/>
    <cellStyle name="20% - Énfasis2 2" xfId="4" xr:uid="{00000000-0005-0000-0000-000028030000}"/>
    <cellStyle name="20% - Énfasis2 2 10" xfId="22765" xr:uid="{00000000-0005-0000-0000-000029030000}"/>
    <cellStyle name="20% - Énfasis2 2 2" xfId="98" xr:uid="{00000000-0005-0000-0000-00002A030000}"/>
    <cellStyle name="20% - Énfasis2 2 2 2" xfId="181" xr:uid="{00000000-0005-0000-0000-00002B030000}"/>
    <cellStyle name="20% - Énfasis2 2 2 2 2" xfId="342" xr:uid="{00000000-0005-0000-0000-00002C030000}"/>
    <cellStyle name="20% - Énfasis2 2 2 2 2 2" xfId="2170" xr:uid="{00000000-0005-0000-0000-00002D030000}"/>
    <cellStyle name="20% - Énfasis2 2 2 2 2 2 2" xfId="4020" xr:uid="{00000000-0005-0000-0000-00002E030000}"/>
    <cellStyle name="20% - Énfasis2 2 2 2 2 2 2 2" xfId="7741" xr:uid="{00000000-0005-0000-0000-00002F030000}"/>
    <cellStyle name="20% - Énfasis2 2 2 2 2 2 2 2 2" xfId="22625" xr:uid="{00000000-0005-0000-0000-000030030000}"/>
    <cellStyle name="20% - Énfasis2 2 2 2 2 2 2 2 2 2" xfId="45268" xr:uid="{00000000-0005-0000-0000-000031030000}"/>
    <cellStyle name="20% - Énfasis2 2 2 2 2 2 2 2 3" xfId="15185" xr:uid="{00000000-0005-0000-0000-000032030000}"/>
    <cellStyle name="20% - Énfasis2 2 2 2 2 2 2 2 3 2" xfId="37828" xr:uid="{00000000-0005-0000-0000-000033030000}"/>
    <cellStyle name="20% - Énfasis2 2 2 2 2 2 2 2 4" xfId="30387" xr:uid="{00000000-0005-0000-0000-000034030000}"/>
    <cellStyle name="20% - Énfasis2 2 2 2 2 2 2 3" xfId="18907" xr:uid="{00000000-0005-0000-0000-000035030000}"/>
    <cellStyle name="20% - Énfasis2 2 2 2 2 2 2 3 2" xfId="41550" xr:uid="{00000000-0005-0000-0000-000036030000}"/>
    <cellStyle name="20% - Énfasis2 2 2 2 2 2 2 4" xfId="11467" xr:uid="{00000000-0005-0000-0000-000037030000}"/>
    <cellStyle name="20% - Énfasis2 2 2 2 2 2 2 4 2" xfId="34110" xr:uid="{00000000-0005-0000-0000-000038030000}"/>
    <cellStyle name="20% - Énfasis2 2 2 2 2 2 2 5" xfId="26669" xr:uid="{00000000-0005-0000-0000-000039030000}"/>
    <cellStyle name="20% - Énfasis2 2 2 2 2 2 3" xfId="5894" xr:uid="{00000000-0005-0000-0000-00003A030000}"/>
    <cellStyle name="20% - Énfasis2 2 2 2 2 2 3 2" xfId="20778" xr:uid="{00000000-0005-0000-0000-00003B030000}"/>
    <cellStyle name="20% - Énfasis2 2 2 2 2 2 3 2 2" xfId="43421" xr:uid="{00000000-0005-0000-0000-00003C030000}"/>
    <cellStyle name="20% - Énfasis2 2 2 2 2 2 3 3" xfId="13338" xr:uid="{00000000-0005-0000-0000-00003D030000}"/>
    <cellStyle name="20% - Énfasis2 2 2 2 2 2 3 3 2" xfId="35981" xr:uid="{00000000-0005-0000-0000-00003E030000}"/>
    <cellStyle name="20% - Énfasis2 2 2 2 2 2 3 4" xfId="28540" xr:uid="{00000000-0005-0000-0000-00003F030000}"/>
    <cellStyle name="20% - Énfasis2 2 2 2 2 2 4" xfId="17060" xr:uid="{00000000-0005-0000-0000-000040030000}"/>
    <cellStyle name="20% - Énfasis2 2 2 2 2 2 4 2" xfId="39703" xr:uid="{00000000-0005-0000-0000-000041030000}"/>
    <cellStyle name="20% - Énfasis2 2 2 2 2 2 5" xfId="9620" xr:uid="{00000000-0005-0000-0000-000042030000}"/>
    <cellStyle name="20% - Énfasis2 2 2 2 2 2 5 2" xfId="32263" xr:uid="{00000000-0005-0000-0000-000043030000}"/>
    <cellStyle name="20% - Énfasis2 2 2 2 2 2 6" xfId="24822" xr:uid="{00000000-0005-0000-0000-000044030000}"/>
    <cellStyle name="20% - Énfasis2 2 2 2 2 3" xfId="3095" xr:uid="{00000000-0005-0000-0000-000045030000}"/>
    <cellStyle name="20% - Énfasis2 2 2 2 2 3 2" xfId="6816" xr:uid="{00000000-0005-0000-0000-000046030000}"/>
    <cellStyle name="20% - Énfasis2 2 2 2 2 3 2 2" xfId="21700" xr:uid="{00000000-0005-0000-0000-000047030000}"/>
    <cellStyle name="20% - Énfasis2 2 2 2 2 3 2 2 2" xfId="44343" xr:uid="{00000000-0005-0000-0000-000048030000}"/>
    <cellStyle name="20% - Énfasis2 2 2 2 2 3 2 3" xfId="14260" xr:uid="{00000000-0005-0000-0000-000049030000}"/>
    <cellStyle name="20% - Énfasis2 2 2 2 2 3 2 3 2" xfId="36903" xr:uid="{00000000-0005-0000-0000-00004A030000}"/>
    <cellStyle name="20% - Énfasis2 2 2 2 2 3 2 4" xfId="29462" xr:uid="{00000000-0005-0000-0000-00004B030000}"/>
    <cellStyle name="20% - Énfasis2 2 2 2 2 3 3" xfId="17982" xr:uid="{00000000-0005-0000-0000-00004C030000}"/>
    <cellStyle name="20% - Énfasis2 2 2 2 2 3 3 2" xfId="40625" xr:uid="{00000000-0005-0000-0000-00004D030000}"/>
    <cellStyle name="20% - Énfasis2 2 2 2 2 3 4" xfId="10542" xr:uid="{00000000-0005-0000-0000-00004E030000}"/>
    <cellStyle name="20% - Énfasis2 2 2 2 2 3 4 2" xfId="33185" xr:uid="{00000000-0005-0000-0000-00004F030000}"/>
    <cellStyle name="20% - Énfasis2 2 2 2 2 3 5" xfId="25744" xr:uid="{00000000-0005-0000-0000-000050030000}"/>
    <cellStyle name="20% - Énfasis2 2 2 2 2 4" xfId="4969" xr:uid="{00000000-0005-0000-0000-000051030000}"/>
    <cellStyle name="20% - Énfasis2 2 2 2 2 4 2" xfId="19853" xr:uid="{00000000-0005-0000-0000-000052030000}"/>
    <cellStyle name="20% - Énfasis2 2 2 2 2 4 2 2" xfId="42496" xr:uid="{00000000-0005-0000-0000-000053030000}"/>
    <cellStyle name="20% - Énfasis2 2 2 2 2 4 3" xfId="12413" xr:uid="{00000000-0005-0000-0000-000054030000}"/>
    <cellStyle name="20% - Énfasis2 2 2 2 2 4 3 2" xfId="35056" xr:uid="{00000000-0005-0000-0000-000055030000}"/>
    <cellStyle name="20% - Énfasis2 2 2 2 2 4 4" xfId="27615" xr:uid="{00000000-0005-0000-0000-000056030000}"/>
    <cellStyle name="20% - Énfasis2 2 2 2 2 5" xfId="1242" xr:uid="{00000000-0005-0000-0000-000057030000}"/>
    <cellStyle name="20% - Énfasis2 2 2 2 2 5 2" xfId="16135" xr:uid="{00000000-0005-0000-0000-000058030000}"/>
    <cellStyle name="20% - Énfasis2 2 2 2 2 5 2 2" xfId="38778" xr:uid="{00000000-0005-0000-0000-000059030000}"/>
    <cellStyle name="20% - Énfasis2 2 2 2 2 5 3" xfId="23897" xr:uid="{00000000-0005-0000-0000-00005A030000}"/>
    <cellStyle name="20% - Énfasis2 2 2 2 2 6" xfId="8695" xr:uid="{00000000-0005-0000-0000-00005B030000}"/>
    <cellStyle name="20% - Énfasis2 2 2 2 2 6 2" xfId="31338" xr:uid="{00000000-0005-0000-0000-00005C030000}"/>
    <cellStyle name="20% - Énfasis2 2 2 2 2 7" xfId="23040" xr:uid="{00000000-0005-0000-0000-00005D030000}"/>
    <cellStyle name="20% - Énfasis2 2 2 2 3" xfId="1708" xr:uid="{00000000-0005-0000-0000-00005E030000}"/>
    <cellStyle name="20% - Énfasis2 2 2 2 3 2" xfId="3558" xr:uid="{00000000-0005-0000-0000-00005F030000}"/>
    <cellStyle name="20% - Énfasis2 2 2 2 3 2 2" xfId="7279" xr:uid="{00000000-0005-0000-0000-000060030000}"/>
    <cellStyle name="20% - Énfasis2 2 2 2 3 2 2 2" xfId="22163" xr:uid="{00000000-0005-0000-0000-000061030000}"/>
    <cellStyle name="20% - Énfasis2 2 2 2 3 2 2 2 2" xfId="44806" xr:uid="{00000000-0005-0000-0000-000062030000}"/>
    <cellStyle name="20% - Énfasis2 2 2 2 3 2 2 3" xfId="14723" xr:uid="{00000000-0005-0000-0000-000063030000}"/>
    <cellStyle name="20% - Énfasis2 2 2 2 3 2 2 3 2" xfId="37366" xr:uid="{00000000-0005-0000-0000-000064030000}"/>
    <cellStyle name="20% - Énfasis2 2 2 2 3 2 2 4" xfId="29925" xr:uid="{00000000-0005-0000-0000-000065030000}"/>
    <cellStyle name="20% - Énfasis2 2 2 2 3 2 3" xfId="18445" xr:uid="{00000000-0005-0000-0000-000066030000}"/>
    <cellStyle name="20% - Énfasis2 2 2 2 3 2 3 2" xfId="41088" xr:uid="{00000000-0005-0000-0000-000067030000}"/>
    <cellStyle name="20% - Énfasis2 2 2 2 3 2 4" xfId="11005" xr:uid="{00000000-0005-0000-0000-000068030000}"/>
    <cellStyle name="20% - Énfasis2 2 2 2 3 2 4 2" xfId="33648" xr:uid="{00000000-0005-0000-0000-000069030000}"/>
    <cellStyle name="20% - Énfasis2 2 2 2 3 2 5" xfId="26207" xr:uid="{00000000-0005-0000-0000-00006A030000}"/>
    <cellStyle name="20% - Énfasis2 2 2 2 3 3" xfId="5432" xr:uid="{00000000-0005-0000-0000-00006B030000}"/>
    <cellStyle name="20% - Énfasis2 2 2 2 3 3 2" xfId="20316" xr:uid="{00000000-0005-0000-0000-00006C030000}"/>
    <cellStyle name="20% - Énfasis2 2 2 2 3 3 2 2" xfId="42959" xr:uid="{00000000-0005-0000-0000-00006D030000}"/>
    <cellStyle name="20% - Énfasis2 2 2 2 3 3 3" xfId="12876" xr:uid="{00000000-0005-0000-0000-00006E030000}"/>
    <cellStyle name="20% - Énfasis2 2 2 2 3 3 3 2" xfId="35519" xr:uid="{00000000-0005-0000-0000-00006F030000}"/>
    <cellStyle name="20% - Énfasis2 2 2 2 3 3 4" xfId="28078" xr:uid="{00000000-0005-0000-0000-000070030000}"/>
    <cellStyle name="20% - Énfasis2 2 2 2 3 4" xfId="16598" xr:uid="{00000000-0005-0000-0000-000071030000}"/>
    <cellStyle name="20% - Énfasis2 2 2 2 3 4 2" xfId="39241" xr:uid="{00000000-0005-0000-0000-000072030000}"/>
    <cellStyle name="20% - Énfasis2 2 2 2 3 5" xfId="9158" xr:uid="{00000000-0005-0000-0000-000073030000}"/>
    <cellStyle name="20% - Énfasis2 2 2 2 3 5 2" xfId="31801" xr:uid="{00000000-0005-0000-0000-000074030000}"/>
    <cellStyle name="20% - Énfasis2 2 2 2 3 6" xfId="24360" xr:uid="{00000000-0005-0000-0000-000075030000}"/>
    <cellStyle name="20% - Énfasis2 2 2 2 4" xfId="2633" xr:uid="{00000000-0005-0000-0000-000076030000}"/>
    <cellStyle name="20% - Énfasis2 2 2 2 4 2" xfId="6354" xr:uid="{00000000-0005-0000-0000-000077030000}"/>
    <cellStyle name="20% - Énfasis2 2 2 2 4 2 2" xfId="21238" xr:uid="{00000000-0005-0000-0000-000078030000}"/>
    <cellStyle name="20% - Énfasis2 2 2 2 4 2 2 2" xfId="43881" xr:uid="{00000000-0005-0000-0000-000079030000}"/>
    <cellStyle name="20% - Énfasis2 2 2 2 4 2 3" xfId="13798" xr:uid="{00000000-0005-0000-0000-00007A030000}"/>
    <cellStyle name="20% - Énfasis2 2 2 2 4 2 3 2" xfId="36441" xr:uid="{00000000-0005-0000-0000-00007B030000}"/>
    <cellStyle name="20% - Énfasis2 2 2 2 4 2 4" xfId="29000" xr:uid="{00000000-0005-0000-0000-00007C030000}"/>
    <cellStyle name="20% - Énfasis2 2 2 2 4 3" xfId="17520" xr:uid="{00000000-0005-0000-0000-00007D030000}"/>
    <cellStyle name="20% - Énfasis2 2 2 2 4 3 2" xfId="40163" xr:uid="{00000000-0005-0000-0000-00007E030000}"/>
    <cellStyle name="20% - Énfasis2 2 2 2 4 4" xfId="10080" xr:uid="{00000000-0005-0000-0000-00007F030000}"/>
    <cellStyle name="20% - Énfasis2 2 2 2 4 4 2" xfId="32723" xr:uid="{00000000-0005-0000-0000-000080030000}"/>
    <cellStyle name="20% - Énfasis2 2 2 2 4 5" xfId="25282" xr:uid="{00000000-0005-0000-0000-000081030000}"/>
    <cellStyle name="20% - Énfasis2 2 2 2 5" xfId="4507" xr:uid="{00000000-0005-0000-0000-000082030000}"/>
    <cellStyle name="20% - Énfasis2 2 2 2 5 2" xfId="19391" xr:uid="{00000000-0005-0000-0000-000083030000}"/>
    <cellStyle name="20% - Énfasis2 2 2 2 5 2 2" xfId="42034" xr:uid="{00000000-0005-0000-0000-000084030000}"/>
    <cellStyle name="20% - Énfasis2 2 2 2 5 3" xfId="11951" xr:uid="{00000000-0005-0000-0000-000085030000}"/>
    <cellStyle name="20% - Énfasis2 2 2 2 5 3 2" xfId="34594" xr:uid="{00000000-0005-0000-0000-000086030000}"/>
    <cellStyle name="20% - Énfasis2 2 2 2 5 4" xfId="27153" xr:uid="{00000000-0005-0000-0000-000087030000}"/>
    <cellStyle name="20% - Énfasis2 2 2 2 6" xfId="777" xr:uid="{00000000-0005-0000-0000-000088030000}"/>
    <cellStyle name="20% - Énfasis2 2 2 2 6 2" xfId="15673" xr:uid="{00000000-0005-0000-0000-000089030000}"/>
    <cellStyle name="20% - Énfasis2 2 2 2 6 2 2" xfId="38316" xr:uid="{00000000-0005-0000-0000-00008A030000}"/>
    <cellStyle name="20% - Énfasis2 2 2 2 6 3" xfId="23435" xr:uid="{00000000-0005-0000-0000-00008B030000}"/>
    <cellStyle name="20% - Énfasis2 2 2 2 7" xfId="8233" xr:uid="{00000000-0005-0000-0000-00008C030000}"/>
    <cellStyle name="20% - Énfasis2 2 2 2 7 2" xfId="30876" xr:uid="{00000000-0005-0000-0000-00008D030000}"/>
    <cellStyle name="20% - Énfasis2 2 2 2 8" xfId="22884" xr:uid="{00000000-0005-0000-0000-00008E030000}"/>
    <cellStyle name="20% - Énfasis2 2 2 3" xfId="264" xr:uid="{00000000-0005-0000-0000-00008F030000}"/>
    <cellStyle name="20% - Énfasis2 2 2 3 2" xfId="1959" xr:uid="{00000000-0005-0000-0000-000090030000}"/>
    <cellStyle name="20% - Énfasis2 2 2 3 2 2" xfId="3809" xr:uid="{00000000-0005-0000-0000-000091030000}"/>
    <cellStyle name="20% - Énfasis2 2 2 3 2 2 2" xfId="7530" xr:uid="{00000000-0005-0000-0000-000092030000}"/>
    <cellStyle name="20% - Énfasis2 2 2 3 2 2 2 2" xfId="22414" xr:uid="{00000000-0005-0000-0000-000093030000}"/>
    <cellStyle name="20% - Énfasis2 2 2 3 2 2 2 2 2" xfId="45057" xr:uid="{00000000-0005-0000-0000-000094030000}"/>
    <cellStyle name="20% - Énfasis2 2 2 3 2 2 2 3" xfId="14974" xr:uid="{00000000-0005-0000-0000-000095030000}"/>
    <cellStyle name="20% - Énfasis2 2 2 3 2 2 2 3 2" xfId="37617" xr:uid="{00000000-0005-0000-0000-000096030000}"/>
    <cellStyle name="20% - Énfasis2 2 2 3 2 2 2 4" xfId="30176" xr:uid="{00000000-0005-0000-0000-000097030000}"/>
    <cellStyle name="20% - Énfasis2 2 2 3 2 2 3" xfId="18696" xr:uid="{00000000-0005-0000-0000-000098030000}"/>
    <cellStyle name="20% - Énfasis2 2 2 3 2 2 3 2" xfId="41339" xr:uid="{00000000-0005-0000-0000-000099030000}"/>
    <cellStyle name="20% - Énfasis2 2 2 3 2 2 4" xfId="11256" xr:uid="{00000000-0005-0000-0000-00009A030000}"/>
    <cellStyle name="20% - Énfasis2 2 2 3 2 2 4 2" xfId="33899" xr:uid="{00000000-0005-0000-0000-00009B030000}"/>
    <cellStyle name="20% - Énfasis2 2 2 3 2 2 5" xfId="26458" xr:uid="{00000000-0005-0000-0000-00009C030000}"/>
    <cellStyle name="20% - Énfasis2 2 2 3 2 3" xfId="5683" xr:uid="{00000000-0005-0000-0000-00009D030000}"/>
    <cellStyle name="20% - Énfasis2 2 2 3 2 3 2" xfId="20567" xr:uid="{00000000-0005-0000-0000-00009E030000}"/>
    <cellStyle name="20% - Énfasis2 2 2 3 2 3 2 2" xfId="43210" xr:uid="{00000000-0005-0000-0000-00009F030000}"/>
    <cellStyle name="20% - Énfasis2 2 2 3 2 3 3" xfId="13127" xr:uid="{00000000-0005-0000-0000-0000A0030000}"/>
    <cellStyle name="20% - Énfasis2 2 2 3 2 3 3 2" xfId="35770" xr:uid="{00000000-0005-0000-0000-0000A1030000}"/>
    <cellStyle name="20% - Énfasis2 2 2 3 2 3 4" xfId="28329" xr:uid="{00000000-0005-0000-0000-0000A2030000}"/>
    <cellStyle name="20% - Énfasis2 2 2 3 2 4" xfId="16849" xr:uid="{00000000-0005-0000-0000-0000A3030000}"/>
    <cellStyle name="20% - Énfasis2 2 2 3 2 4 2" xfId="39492" xr:uid="{00000000-0005-0000-0000-0000A4030000}"/>
    <cellStyle name="20% - Énfasis2 2 2 3 2 5" xfId="9409" xr:uid="{00000000-0005-0000-0000-0000A5030000}"/>
    <cellStyle name="20% - Énfasis2 2 2 3 2 5 2" xfId="32052" xr:uid="{00000000-0005-0000-0000-0000A6030000}"/>
    <cellStyle name="20% - Énfasis2 2 2 3 2 6" xfId="24611" xr:uid="{00000000-0005-0000-0000-0000A7030000}"/>
    <cellStyle name="20% - Énfasis2 2 2 3 3" xfId="2884" xr:uid="{00000000-0005-0000-0000-0000A8030000}"/>
    <cellStyle name="20% - Énfasis2 2 2 3 3 2" xfId="6605" xr:uid="{00000000-0005-0000-0000-0000A9030000}"/>
    <cellStyle name="20% - Énfasis2 2 2 3 3 2 2" xfId="21489" xr:uid="{00000000-0005-0000-0000-0000AA030000}"/>
    <cellStyle name="20% - Énfasis2 2 2 3 3 2 2 2" xfId="44132" xr:uid="{00000000-0005-0000-0000-0000AB030000}"/>
    <cellStyle name="20% - Énfasis2 2 2 3 3 2 3" xfId="14049" xr:uid="{00000000-0005-0000-0000-0000AC030000}"/>
    <cellStyle name="20% - Énfasis2 2 2 3 3 2 3 2" xfId="36692" xr:uid="{00000000-0005-0000-0000-0000AD030000}"/>
    <cellStyle name="20% - Énfasis2 2 2 3 3 2 4" xfId="29251" xr:uid="{00000000-0005-0000-0000-0000AE030000}"/>
    <cellStyle name="20% - Énfasis2 2 2 3 3 3" xfId="17771" xr:uid="{00000000-0005-0000-0000-0000AF030000}"/>
    <cellStyle name="20% - Énfasis2 2 2 3 3 3 2" xfId="40414" xr:uid="{00000000-0005-0000-0000-0000B0030000}"/>
    <cellStyle name="20% - Énfasis2 2 2 3 3 4" xfId="10331" xr:uid="{00000000-0005-0000-0000-0000B1030000}"/>
    <cellStyle name="20% - Énfasis2 2 2 3 3 4 2" xfId="32974" xr:uid="{00000000-0005-0000-0000-0000B2030000}"/>
    <cellStyle name="20% - Énfasis2 2 2 3 3 5" xfId="25533" xr:uid="{00000000-0005-0000-0000-0000B3030000}"/>
    <cellStyle name="20% - Énfasis2 2 2 3 4" xfId="4758" xr:uid="{00000000-0005-0000-0000-0000B4030000}"/>
    <cellStyle name="20% - Énfasis2 2 2 3 4 2" xfId="19642" xr:uid="{00000000-0005-0000-0000-0000B5030000}"/>
    <cellStyle name="20% - Énfasis2 2 2 3 4 2 2" xfId="42285" xr:uid="{00000000-0005-0000-0000-0000B6030000}"/>
    <cellStyle name="20% - Énfasis2 2 2 3 4 3" xfId="12202" xr:uid="{00000000-0005-0000-0000-0000B7030000}"/>
    <cellStyle name="20% - Énfasis2 2 2 3 4 3 2" xfId="34845" xr:uid="{00000000-0005-0000-0000-0000B8030000}"/>
    <cellStyle name="20% - Énfasis2 2 2 3 4 4" xfId="27404" xr:uid="{00000000-0005-0000-0000-0000B9030000}"/>
    <cellStyle name="20% - Énfasis2 2 2 3 5" xfId="1031" xr:uid="{00000000-0005-0000-0000-0000BA030000}"/>
    <cellStyle name="20% - Énfasis2 2 2 3 5 2" xfId="15924" xr:uid="{00000000-0005-0000-0000-0000BB030000}"/>
    <cellStyle name="20% - Énfasis2 2 2 3 5 2 2" xfId="38567" xr:uid="{00000000-0005-0000-0000-0000BC030000}"/>
    <cellStyle name="20% - Énfasis2 2 2 3 5 3" xfId="23686" xr:uid="{00000000-0005-0000-0000-0000BD030000}"/>
    <cellStyle name="20% - Énfasis2 2 2 3 6" xfId="8484" xr:uid="{00000000-0005-0000-0000-0000BE030000}"/>
    <cellStyle name="20% - Énfasis2 2 2 3 6 2" xfId="31127" xr:uid="{00000000-0005-0000-0000-0000BF030000}"/>
    <cellStyle name="20% - Énfasis2 2 2 3 7" xfId="22962" xr:uid="{00000000-0005-0000-0000-0000C0030000}"/>
    <cellStyle name="20% - Énfasis2 2 2 4" xfId="1497" xr:uid="{00000000-0005-0000-0000-0000C1030000}"/>
    <cellStyle name="20% - Énfasis2 2 2 4 2" xfId="3347" xr:uid="{00000000-0005-0000-0000-0000C2030000}"/>
    <cellStyle name="20% - Énfasis2 2 2 4 2 2" xfId="7068" xr:uid="{00000000-0005-0000-0000-0000C3030000}"/>
    <cellStyle name="20% - Énfasis2 2 2 4 2 2 2" xfId="21952" xr:uid="{00000000-0005-0000-0000-0000C4030000}"/>
    <cellStyle name="20% - Énfasis2 2 2 4 2 2 2 2" xfId="44595" xr:uid="{00000000-0005-0000-0000-0000C5030000}"/>
    <cellStyle name="20% - Énfasis2 2 2 4 2 2 3" xfId="14512" xr:uid="{00000000-0005-0000-0000-0000C6030000}"/>
    <cellStyle name="20% - Énfasis2 2 2 4 2 2 3 2" xfId="37155" xr:uid="{00000000-0005-0000-0000-0000C7030000}"/>
    <cellStyle name="20% - Énfasis2 2 2 4 2 2 4" xfId="29714" xr:uid="{00000000-0005-0000-0000-0000C8030000}"/>
    <cellStyle name="20% - Énfasis2 2 2 4 2 3" xfId="18234" xr:uid="{00000000-0005-0000-0000-0000C9030000}"/>
    <cellStyle name="20% - Énfasis2 2 2 4 2 3 2" xfId="40877" xr:uid="{00000000-0005-0000-0000-0000CA030000}"/>
    <cellStyle name="20% - Énfasis2 2 2 4 2 4" xfId="10794" xr:uid="{00000000-0005-0000-0000-0000CB030000}"/>
    <cellStyle name="20% - Énfasis2 2 2 4 2 4 2" xfId="33437" xr:uid="{00000000-0005-0000-0000-0000CC030000}"/>
    <cellStyle name="20% - Énfasis2 2 2 4 2 5" xfId="25996" xr:uid="{00000000-0005-0000-0000-0000CD030000}"/>
    <cellStyle name="20% - Énfasis2 2 2 4 3" xfId="5221" xr:uid="{00000000-0005-0000-0000-0000CE030000}"/>
    <cellStyle name="20% - Énfasis2 2 2 4 3 2" xfId="20105" xr:uid="{00000000-0005-0000-0000-0000CF030000}"/>
    <cellStyle name="20% - Énfasis2 2 2 4 3 2 2" xfId="42748" xr:uid="{00000000-0005-0000-0000-0000D0030000}"/>
    <cellStyle name="20% - Énfasis2 2 2 4 3 3" xfId="12665" xr:uid="{00000000-0005-0000-0000-0000D1030000}"/>
    <cellStyle name="20% - Énfasis2 2 2 4 3 3 2" xfId="35308" xr:uid="{00000000-0005-0000-0000-0000D2030000}"/>
    <cellStyle name="20% - Énfasis2 2 2 4 3 4" xfId="27867" xr:uid="{00000000-0005-0000-0000-0000D3030000}"/>
    <cellStyle name="20% - Énfasis2 2 2 4 4" xfId="16387" xr:uid="{00000000-0005-0000-0000-0000D4030000}"/>
    <cellStyle name="20% - Énfasis2 2 2 4 4 2" xfId="39030" xr:uid="{00000000-0005-0000-0000-0000D5030000}"/>
    <cellStyle name="20% - Énfasis2 2 2 4 5" xfId="8947" xr:uid="{00000000-0005-0000-0000-0000D6030000}"/>
    <cellStyle name="20% - Énfasis2 2 2 4 5 2" xfId="31590" xr:uid="{00000000-0005-0000-0000-0000D7030000}"/>
    <cellStyle name="20% - Énfasis2 2 2 4 6" xfId="24149" xr:uid="{00000000-0005-0000-0000-0000D8030000}"/>
    <cellStyle name="20% - Énfasis2 2 2 5" xfId="2422" xr:uid="{00000000-0005-0000-0000-0000D9030000}"/>
    <cellStyle name="20% - Énfasis2 2 2 5 2" xfId="6143" xr:uid="{00000000-0005-0000-0000-0000DA030000}"/>
    <cellStyle name="20% - Énfasis2 2 2 5 2 2" xfId="21027" xr:uid="{00000000-0005-0000-0000-0000DB030000}"/>
    <cellStyle name="20% - Énfasis2 2 2 5 2 2 2" xfId="43670" xr:uid="{00000000-0005-0000-0000-0000DC030000}"/>
    <cellStyle name="20% - Énfasis2 2 2 5 2 3" xfId="13587" xr:uid="{00000000-0005-0000-0000-0000DD030000}"/>
    <cellStyle name="20% - Énfasis2 2 2 5 2 3 2" xfId="36230" xr:uid="{00000000-0005-0000-0000-0000DE030000}"/>
    <cellStyle name="20% - Énfasis2 2 2 5 2 4" xfId="28789" xr:uid="{00000000-0005-0000-0000-0000DF030000}"/>
    <cellStyle name="20% - Énfasis2 2 2 5 3" xfId="17309" xr:uid="{00000000-0005-0000-0000-0000E0030000}"/>
    <cellStyle name="20% - Énfasis2 2 2 5 3 2" xfId="39952" xr:uid="{00000000-0005-0000-0000-0000E1030000}"/>
    <cellStyle name="20% - Énfasis2 2 2 5 4" xfId="9869" xr:uid="{00000000-0005-0000-0000-0000E2030000}"/>
    <cellStyle name="20% - Énfasis2 2 2 5 4 2" xfId="32512" xr:uid="{00000000-0005-0000-0000-0000E3030000}"/>
    <cellStyle name="20% - Énfasis2 2 2 5 5" xfId="25071" xr:uid="{00000000-0005-0000-0000-0000E4030000}"/>
    <cellStyle name="20% - Énfasis2 2 2 6" xfId="4296" xr:uid="{00000000-0005-0000-0000-0000E5030000}"/>
    <cellStyle name="20% - Énfasis2 2 2 6 2" xfId="19180" xr:uid="{00000000-0005-0000-0000-0000E6030000}"/>
    <cellStyle name="20% - Énfasis2 2 2 6 2 2" xfId="41823" xr:uid="{00000000-0005-0000-0000-0000E7030000}"/>
    <cellStyle name="20% - Énfasis2 2 2 6 3" xfId="11740" xr:uid="{00000000-0005-0000-0000-0000E8030000}"/>
    <cellStyle name="20% - Énfasis2 2 2 6 3 2" xfId="34383" xr:uid="{00000000-0005-0000-0000-0000E9030000}"/>
    <cellStyle name="20% - Énfasis2 2 2 6 4" xfId="26942" xr:uid="{00000000-0005-0000-0000-0000EA030000}"/>
    <cellStyle name="20% - Énfasis2 2 2 7" xfId="565" xr:uid="{00000000-0005-0000-0000-0000EB030000}"/>
    <cellStyle name="20% - Énfasis2 2 2 7 2" xfId="15462" xr:uid="{00000000-0005-0000-0000-0000EC030000}"/>
    <cellStyle name="20% - Énfasis2 2 2 7 2 2" xfId="38105" xr:uid="{00000000-0005-0000-0000-0000ED030000}"/>
    <cellStyle name="20% - Énfasis2 2 2 7 3" xfId="23225" xr:uid="{00000000-0005-0000-0000-0000EE030000}"/>
    <cellStyle name="20% - Énfasis2 2 2 8" xfId="8022" xr:uid="{00000000-0005-0000-0000-0000EF030000}"/>
    <cellStyle name="20% - Énfasis2 2 2 8 2" xfId="30665" xr:uid="{00000000-0005-0000-0000-0000F0030000}"/>
    <cellStyle name="20% - Énfasis2 2 2 9" xfId="22806" xr:uid="{00000000-0005-0000-0000-0000F1030000}"/>
    <cellStyle name="20% - Énfasis2 2 3" xfId="140" xr:uid="{00000000-0005-0000-0000-0000F2030000}"/>
    <cellStyle name="20% - Énfasis2 2 3 2" xfId="303" xr:uid="{00000000-0005-0000-0000-0000F3030000}"/>
    <cellStyle name="20% - Énfasis2 2 3 2 2" xfId="2065" xr:uid="{00000000-0005-0000-0000-0000F4030000}"/>
    <cellStyle name="20% - Énfasis2 2 3 2 2 2" xfId="3915" xr:uid="{00000000-0005-0000-0000-0000F5030000}"/>
    <cellStyle name="20% - Énfasis2 2 3 2 2 2 2" xfId="7636" xr:uid="{00000000-0005-0000-0000-0000F6030000}"/>
    <cellStyle name="20% - Énfasis2 2 3 2 2 2 2 2" xfId="22520" xr:uid="{00000000-0005-0000-0000-0000F7030000}"/>
    <cellStyle name="20% - Énfasis2 2 3 2 2 2 2 2 2" xfId="45163" xr:uid="{00000000-0005-0000-0000-0000F8030000}"/>
    <cellStyle name="20% - Énfasis2 2 3 2 2 2 2 3" xfId="15080" xr:uid="{00000000-0005-0000-0000-0000F9030000}"/>
    <cellStyle name="20% - Énfasis2 2 3 2 2 2 2 3 2" xfId="37723" xr:uid="{00000000-0005-0000-0000-0000FA030000}"/>
    <cellStyle name="20% - Énfasis2 2 3 2 2 2 2 4" xfId="30282" xr:uid="{00000000-0005-0000-0000-0000FB030000}"/>
    <cellStyle name="20% - Énfasis2 2 3 2 2 2 3" xfId="18802" xr:uid="{00000000-0005-0000-0000-0000FC030000}"/>
    <cellStyle name="20% - Énfasis2 2 3 2 2 2 3 2" xfId="41445" xr:uid="{00000000-0005-0000-0000-0000FD030000}"/>
    <cellStyle name="20% - Énfasis2 2 3 2 2 2 4" xfId="11362" xr:uid="{00000000-0005-0000-0000-0000FE030000}"/>
    <cellStyle name="20% - Énfasis2 2 3 2 2 2 4 2" xfId="34005" xr:uid="{00000000-0005-0000-0000-0000FF030000}"/>
    <cellStyle name="20% - Énfasis2 2 3 2 2 2 5" xfId="26564" xr:uid="{00000000-0005-0000-0000-000000040000}"/>
    <cellStyle name="20% - Énfasis2 2 3 2 2 3" xfId="5789" xr:uid="{00000000-0005-0000-0000-000001040000}"/>
    <cellStyle name="20% - Énfasis2 2 3 2 2 3 2" xfId="20673" xr:uid="{00000000-0005-0000-0000-000002040000}"/>
    <cellStyle name="20% - Énfasis2 2 3 2 2 3 2 2" xfId="43316" xr:uid="{00000000-0005-0000-0000-000003040000}"/>
    <cellStyle name="20% - Énfasis2 2 3 2 2 3 3" xfId="13233" xr:uid="{00000000-0005-0000-0000-000004040000}"/>
    <cellStyle name="20% - Énfasis2 2 3 2 2 3 3 2" xfId="35876" xr:uid="{00000000-0005-0000-0000-000005040000}"/>
    <cellStyle name="20% - Énfasis2 2 3 2 2 3 4" xfId="28435" xr:uid="{00000000-0005-0000-0000-000006040000}"/>
    <cellStyle name="20% - Énfasis2 2 3 2 2 4" xfId="16955" xr:uid="{00000000-0005-0000-0000-000007040000}"/>
    <cellStyle name="20% - Énfasis2 2 3 2 2 4 2" xfId="39598" xr:uid="{00000000-0005-0000-0000-000008040000}"/>
    <cellStyle name="20% - Énfasis2 2 3 2 2 5" xfId="9515" xr:uid="{00000000-0005-0000-0000-000009040000}"/>
    <cellStyle name="20% - Énfasis2 2 3 2 2 5 2" xfId="32158" xr:uid="{00000000-0005-0000-0000-00000A040000}"/>
    <cellStyle name="20% - Énfasis2 2 3 2 2 6" xfId="24717" xr:uid="{00000000-0005-0000-0000-00000B040000}"/>
    <cellStyle name="20% - Énfasis2 2 3 2 3" xfId="2990" xr:uid="{00000000-0005-0000-0000-00000C040000}"/>
    <cellStyle name="20% - Énfasis2 2 3 2 3 2" xfId="6711" xr:uid="{00000000-0005-0000-0000-00000D040000}"/>
    <cellStyle name="20% - Énfasis2 2 3 2 3 2 2" xfId="21595" xr:uid="{00000000-0005-0000-0000-00000E040000}"/>
    <cellStyle name="20% - Énfasis2 2 3 2 3 2 2 2" xfId="44238" xr:uid="{00000000-0005-0000-0000-00000F040000}"/>
    <cellStyle name="20% - Énfasis2 2 3 2 3 2 3" xfId="14155" xr:uid="{00000000-0005-0000-0000-000010040000}"/>
    <cellStyle name="20% - Énfasis2 2 3 2 3 2 3 2" xfId="36798" xr:uid="{00000000-0005-0000-0000-000011040000}"/>
    <cellStyle name="20% - Énfasis2 2 3 2 3 2 4" xfId="29357" xr:uid="{00000000-0005-0000-0000-000012040000}"/>
    <cellStyle name="20% - Énfasis2 2 3 2 3 3" xfId="17877" xr:uid="{00000000-0005-0000-0000-000013040000}"/>
    <cellStyle name="20% - Énfasis2 2 3 2 3 3 2" xfId="40520" xr:uid="{00000000-0005-0000-0000-000014040000}"/>
    <cellStyle name="20% - Énfasis2 2 3 2 3 4" xfId="10437" xr:uid="{00000000-0005-0000-0000-000015040000}"/>
    <cellStyle name="20% - Énfasis2 2 3 2 3 4 2" xfId="33080" xr:uid="{00000000-0005-0000-0000-000016040000}"/>
    <cellStyle name="20% - Énfasis2 2 3 2 3 5" xfId="25639" xr:uid="{00000000-0005-0000-0000-000017040000}"/>
    <cellStyle name="20% - Énfasis2 2 3 2 4" xfId="4864" xr:uid="{00000000-0005-0000-0000-000018040000}"/>
    <cellStyle name="20% - Énfasis2 2 3 2 4 2" xfId="19748" xr:uid="{00000000-0005-0000-0000-000019040000}"/>
    <cellStyle name="20% - Énfasis2 2 3 2 4 2 2" xfId="42391" xr:uid="{00000000-0005-0000-0000-00001A040000}"/>
    <cellStyle name="20% - Énfasis2 2 3 2 4 3" xfId="12308" xr:uid="{00000000-0005-0000-0000-00001B040000}"/>
    <cellStyle name="20% - Énfasis2 2 3 2 4 3 2" xfId="34951" xr:uid="{00000000-0005-0000-0000-00001C040000}"/>
    <cellStyle name="20% - Énfasis2 2 3 2 4 4" xfId="27510" xr:uid="{00000000-0005-0000-0000-00001D040000}"/>
    <cellStyle name="20% - Énfasis2 2 3 2 5" xfId="1137" xr:uid="{00000000-0005-0000-0000-00001E040000}"/>
    <cellStyle name="20% - Énfasis2 2 3 2 5 2" xfId="16030" xr:uid="{00000000-0005-0000-0000-00001F040000}"/>
    <cellStyle name="20% - Énfasis2 2 3 2 5 2 2" xfId="38673" xr:uid="{00000000-0005-0000-0000-000020040000}"/>
    <cellStyle name="20% - Énfasis2 2 3 2 5 3" xfId="23792" xr:uid="{00000000-0005-0000-0000-000021040000}"/>
    <cellStyle name="20% - Énfasis2 2 3 2 6" xfId="8590" xr:uid="{00000000-0005-0000-0000-000022040000}"/>
    <cellStyle name="20% - Énfasis2 2 3 2 6 2" xfId="31233" xr:uid="{00000000-0005-0000-0000-000023040000}"/>
    <cellStyle name="20% - Énfasis2 2 3 2 7" xfId="23001" xr:uid="{00000000-0005-0000-0000-000024040000}"/>
    <cellStyle name="20% - Énfasis2 2 3 3" xfId="1603" xr:uid="{00000000-0005-0000-0000-000025040000}"/>
    <cellStyle name="20% - Énfasis2 2 3 3 2" xfId="3453" xr:uid="{00000000-0005-0000-0000-000026040000}"/>
    <cellStyle name="20% - Énfasis2 2 3 3 2 2" xfId="7174" xr:uid="{00000000-0005-0000-0000-000027040000}"/>
    <cellStyle name="20% - Énfasis2 2 3 3 2 2 2" xfId="22058" xr:uid="{00000000-0005-0000-0000-000028040000}"/>
    <cellStyle name="20% - Énfasis2 2 3 3 2 2 2 2" xfId="44701" xr:uid="{00000000-0005-0000-0000-000029040000}"/>
    <cellStyle name="20% - Énfasis2 2 3 3 2 2 3" xfId="14618" xr:uid="{00000000-0005-0000-0000-00002A040000}"/>
    <cellStyle name="20% - Énfasis2 2 3 3 2 2 3 2" xfId="37261" xr:uid="{00000000-0005-0000-0000-00002B040000}"/>
    <cellStyle name="20% - Énfasis2 2 3 3 2 2 4" xfId="29820" xr:uid="{00000000-0005-0000-0000-00002C040000}"/>
    <cellStyle name="20% - Énfasis2 2 3 3 2 3" xfId="18340" xr:uid="{00000000-0005-0000-0000-00002D040000}"/>
    <cellStyle name="20% - Énfasis2 2 3 3 2 3 2" xfId="40983" xr:uid="{00000000-0005-0000-0000-00002E040000}"/>
    <cellStyle name="20% - Énfasis2 2 3 3 2 4" xfId="10900" xr:uid="{00000000-0005-0000-0000-00002F040000}"/>
    <cellStyle name="20% - Énfasis2 2 3 3 2 4 2" xfId="33543" xr:uid="{00000000-0005-0000-0000-000030040000}"/>
    <cellStyle name="20% - Énfasis2 2 3 3 2 5" xfId="26102" xr:uid="{00000000-0005-0000-0000-000031040000}"/>
    <cellStyle name="20% - Énfasis2 2 3 3 3" xfId="5327" xr:uid="{00000000-0005-0000-0000-000032040000}"/>
    <cellStyle name="20% - Énfasis2 2 3 3 3 2" xfId="20211" xr:uid="{00000000-0005-0000-0000-000033040000}"/>
    <cellStyle name="20% - Énfasis2 2 3 3 3 2 2" xfId="42854" xr:uid="{00000000-0005-0000-0000-000034040000}"/>
    <cellStyle name="20% - Énfasis2 2 3 3 3 3" xfId="12771" xr:uid="{00000000-0005-0000-0000-000035040000}"/>
    <cellStyle name="20% - Énfasis2 2 3 3 3 3 2" xfId="35414" xr:uid="{00000000-0005-0000-0000-000036040000}"/>
    <cellStyle name="20% - Énfasis2 2 3 3 3 4" xfId="27973" xr:uid="{00000000-0005-0000-0000-000037040000}"/>
    <cellStyle name="20% - Énfasis2 2 3 3 4" xfId="16493" xr:uid="{00000000-0005-0000-0000-000038040000}"/>
    <cellStyle name="20% - Énfasis2 2 3 3 4 2" xfId="39136" xr:uid="{00000000-0005-0000-0000-000039040000}"/>
    <cellStyle name="20% - Énfasis2 2 3 3 5" xfId="9053" xr:uid="{00000000-0005-0000-0000-00003A040000}"/>
    <cellStyle name="20% - Énfasis2 2 3 3 5 2" xfId="31696" xr:uid="{00000000-0005-0000-0000-00003B040000}"/>
    <cellStyle name="20% - Énfasis2 2 3 3 6" xfId="24255" xr:uid="{00000000-0005-0000-0000-00003C040000}"/>
    <cellStyle name="20% - Énfasis2 2 3 4" xfId="2528" xr:uid="{00000000-0005-0000-0000-00003D040000}"/>
    <cellStyle name="20% - Énfasis2 2 3 4 2" xfId="6249" xr:uid="{00000000-0005-0000-0000-00003E040000}"/>
    <cellStyle name="20% - Énfasis2 2 3 4 2 2" xfId="21133" xr:uid="{00000000-0005-0000-0000-00003F040000}"/>
    <cellStyle name="20% - Énfasis2 2 3 4 2 2 2" xfId="43776" xr:uid="{00000000-0005-0000-0000-000040040000}"/>
    <cellStyle name="20% - Énfasis2 2 3 4 2 3" xfId="13693" xr:uid="{00000000-0005-0000-0000-000041040000}"/>
    <cellStyle name="20% - Énfasis2 2 3 4 2 3 2" xfId="36336" xr:uid="{00000000-0005-0000-0000-000042040000}"/>
    <cellStyle name="20% - Énfasis2 2 3 4 2 4" xfId="28895" xr:uid="{00000000-0005-0000-0000-000043040000}"/>
    <cellStyle name="20% - Énfasis2 2 3 4 3" xfId="17415" xr:uid="{00000000-0005-0000-0000-000044040000}"/>
    <cellStyle name="20% - Énfasis2 2 3 4 3 2" xfId="40058" xr:uid="{00000000-0005-0000-0000-000045040000}"/>
    <cellStyle name="20% - Énfasis2 2 3 4 4" xfId="9975" xr:uid="{00000000-0005-0000-0000-000046040000}"/>
    <cellStyle name="20% - Énfasis2 2 3 4 4 2" xfId="32618" xr:uid="{00000000-0005-0000-0000-000047040000}"/>
    <cellStyle name="20% - Énfasis2 2 3 4 5" xfId="25177" xr:uid="{00000000-0005-0000-0000-000048040000}"/>
    <cellStyle name="20% - Énfasis2 2 3 5" xfId="4402" xr:uid="{00000000-0005-0000-0000-000049040000}"/>
    <cellStyle name="20% - Énfasis2 2 3 5 2" xfId="19286" xr:uid="{00000000-0005-0000-0000-00004A040000}"/>
    <cellStyle name="20% - Énfasis2 2 3 5 2 2" xfId="41929" xr:uid="{00000000-0005-0000-0000-00004B040000}"/>
    <cellStyle name="20% - Énfasis2 2 3 5 3" xfId="11846" xr:uid="{00000000-0005-0000-0000-00004C040000}"/>
    <cellStyle name="20% - Énfasis2 2 3 5 3 2" xfId="34489" xr:uid="{00000000-0005-0000-0000-00004D040000}"/>
    <cellStyle name="20% - Énfasis2 2 3 5 4" xfId="27048" xr:uid="{00000000-0005-0000-0000-00004E040000}"/>
    <cellStyle name="20% - Énfasis2 2 3 6" xfId="672" xr:uid="{00000000-0005-0000-0000-00004F040000}"/>
    <cellStyle name="20% - Énfasis2 2 3 6 2" xfId="15568" xr:uid="{00000000-0005-0000-0000-000050040000}"/>
    <cellStyle name="20% - Énfasis2 2 3 6 2 2" xfId="38211" xr:uid="{00000000-0005-0000-0000-000051040000}"/>
    <cellStyle name="20% - Énfasis2 2 3 6 3" xfId="23330" xr:uid="{00000000-0005-0000-0000-000052040000}"/>
    <cellStyle name="20% - Énfasis2 2 3 7" xfId="8128" xr:uid="{00000000-0005-0000-0000-000053040000}"/>
    <cellStyle name="20% - Énfasis2 2 3 7 2" xfId="30771" xr:uid="{00000000-0005-0000-0000-000054040000}"/>
    <cellStyle name="20% - Énfasis2 2 3 8" xfId="22845" xr:uid="{00000000-0005-0000-0000-000055040000}"/>
    <cellStyle name="20% - Énfasis2 2 4" xfId="223" xr:uid="{00000000-0005-0000-0000-000056040000}"/>
    <cellStyle name="20% - Énfasis2 2 4 2" xfId="1854" xr:uid="{00000000-0005-0000-0000-000057040000}"/>
    <cellStyle name="20% - Énfasis2 2 4 2 2" xfId="3704" xr:uid="{00000000-0005-0000-0000-000058040000}"/>
    <cellStyle name="20% - Énfasis2 2 4 2 2 2" xfId="7425" xr:uid="{00000000-0005-0000-0000-000059040000}"/>
    <cellStyle name="20% - Énfasis2 2 4 2 2 2 2" xfId="22309" xr:uid="{00000000-0005-0000-0000-00005A040000}"/>
    <cellStyle name="20% - Énfasis2 2 4 2 2 2 2 2" xfId="44952" xr:uid="{00000000-0005-0000-0000-00005B040000}"/>
    <cellStyle name="20% - Énfasis2 2 4 2 2 2 3" xfId="14869" xr:uid="{00000000-0005-0000-0000-00005C040000}"/>
    <cellStyle name="20% - Énfasis2 2 4 2 2 2 3 2" xfId="37512" xr:uid="{00000000-0005-0000-0000-00005D040000}"/>
    <cellStyle name="20% - Énfasis2 2 4 2 2 2 4" xfId="30071" xr:uid="{00000000-0005-0000-0000-00005E040000}"/>
    <cellStyle name="20% - Énfasis2 2 4 2 2 3" xfId="18591" xr:uid="{00000000-0005-0000-0000-00005F040000}"/>
    <cellStyle name="20% - Énfasis2 2 4 2 2 3 2" xfId="41234" xr:uid="{00000000-0005-0000-0000-000060040000}"/>
    <cellStyle name="20% - Énfasis2 2 4 2 2 4" xfId="11151" xr:uid="{00000000-0005-0000-0000-000061040000}"/>
    <cellStyle name="20% - Énfasis2 2 4 2 2 4 2" xfId="33794" xr:uid="{00000000-0005-0000-0000-000062040000}"/>
    <cellStyle name="20% - Énfasis2 2 4 2 2 5" xfId="26353" xr:uid="{00000000-0005-0000-0000-000063040000}"/>
    <cellStyle name="20% - Énfasis2 2 4 2 3" xfId="5578" xr:uid="{00000000-0005-0000-0000-000064040000}"/>
    <cellStyle name="20% - Énfasis2 2 4 2 3 2" xfId="20462" xr:uid="{00000000-0005-0000-0000-000065040000}"/>
    <cellStyle name="20% - Énfasis2 2 4 2 3 2 2" xfId="43105" xr:uid="{00000000-0005-0000-0000-000066040000}"/>
    <cellStyle name="20% - Énfasis2 2 4 2 3 3" xfId="13022" xr:uid="{00000000-0005-0000-0000-000067040000}"/>
    <cellStyle name="20% - Énfasis2 2 4 2 3 3 2" xfId="35665" xr:uid="{00000000-0005-0000-0000-000068040000}"/>
    <cellStyle name="20% - Énfasis2 2 4 2 3 4" xfId="28224" xr:uid="{00000000-0005-0000-0000-000069040000}"/>
    <cellStyle name="20% - Énfasis2 2 4 2 4" xfId="16744" xr:uid="{00000000-0005-0000-0000-00006A040000}"/>
    <cellStyle name="20% - Énfasis2 2 4 2 4 2" xfId="39387" xr:uid="{00000000-0005-0000-0000-00006B040000}"/>
    <cellStyle name="20% - Énfasis2 2 4 2 5" xfId="9304" xr:uid="{00000000-0005-0000-0000-00006C040000}"/>
    <cellStyle name="20% - Énfasis2 2 4 2 5 2" xfId="31947" xr:uid="{00000000-0005-0000-0000-00006D040000}"/>
    <cellStyle name="20% - Énfasis2 2 4 2 6" xfId="24506" xr:uid="{00000000-0005-0000-0000-00006E040000}"/>
    <cellStyle name="20% - Énfasis2 2 4 3" xfId="2779" xr:uid="{00000000-0005-0000-0000-00006F040000}"/>
    <cellStyle name="20% - Énfasis2 2 4 3 2" xfId="6500" xr:uid="{00000000-0005-0000-0000-000070040000}"/>
    <cellStyle name="20% - Énfasis2 2 4 3 2 2" xfId="21384" xr:uid="{00000000-0005-0000-0000-000071040000}"/>
    <cellStyle name="20% - Énfasis2 2 4 3 2 2 2" xfId="44027" xr:uid="{00000000-0005-0000-0000-000072040000}"/>
    <cellStyle name="20% - Énfasis2 2 4 3 2 3" xfId="13944" xr:uid="{00000000-0005-0000-0000-000073040000}"/>
    <cellStyle name="20% - Énfasis2 2 4 3 2 3 2" xfId="36587" xr:uid="{00000000-0005-0000-0000-000074040000}"/>
    <cellStyle name="20% - Énfasis2 2 4 3 2 4" xfId="29146" xr:uid="{00000000-0005-0000-0000-000075040000}"/>
    <cellStyle name="20% - Énfasis2 2 4 3 3" xfId="17666" xr:uid="{00000000-0005-0000-0000-000076040000}"/>
    <cellStyle name="20% - Énfasis2 2 4 3 3 2" xfId="40309" xr:uid="{00000000-0005-0000-0000-000077040000}"/>
    <cellStyle name="20% - Énfasis2 2 4 3 4" xfId="10226" xr:uid="{00000000-0005-0000-0000-000078040000}"/>
    <cellStyle name="20% - Énfasis2 2 4 3 4 2" xfId="32869" xr:uid="{00000000-0005-0000-0000-000079040000}"/>
    <cellStyle name="20% - Énfasis2 2 4 3 5" xfId="25428" xr:uid="{00000000-0005-0000-0000-00007A040000}"/>
    <cellStyle name="20% - Énfasis2 2 4 4" xfId="4653" xr:uid="{00000000-0005-0000-0000-00007B040000}"/>
    <cellStyle name="20% - Énfasis2 2 4 4 2" xfId="19537" xr:uid="{00000000-0005-0000-0000-00007C040000}"/>
    <cellStyle name="20% - Énfasis2 2 4 4 2 2" xfId="42180" xr:uid="{00000000-0005-0000-0000-00007D040000}"/>
    <cellStyle name="20% - Énfasis2 2 4 4 3" xfId="12097" xr:uid="{00000000-0005-0000-0000-00007E040000}"/>
    <cellStyle name="20% - Énfasis2 2 4 4 3 2" xfId="34740" xr:uid="{00000000-0005-0000-0000-00007F040000}"/>
    <cellStyle name="20% - Énfasis2 2 4 4 4" xfId="27299" xr:uid="{00000000-0005-0000-0000-000080040000}"/>
    <cellStyle name="20% - Énfasis2 2 4 5" xfId="926" xr:uid="{00000000-0005-0000-0000-000081040000}"/>
    <cellStyle name="20% - Énfasis2 2 4 5 2" xfId="15819" xr:uid="{00000000-0005-0000-0000-000082040000}"/>
    <cellStyle name="20% - Énfasis2 2 4 5 2 2" xfId="38462" xr:uid="{00000000-0005-0000-0000-000083040000}"/>
    <cellStyle name="20% - Énfasis2 2 4 5 3" xfId="23581" xr:uid="{00000000-0005-0000-0000-000084040000}"/>
    <cellStyle name="20% - Énfasis2 2 4 6" xfId="8379" xr:uid="{00000000-0005-0000-0000-000085040000}"/>
    <cellStyle name="20% - Énfasis2 2 4 6 2" xfId="31022" xr:uid="{00000000-0005-0000-0000-000086040000}"/>
    <cellStyle name="20% - Énfasis2 2 4 7" xfId="22923" xr:uid="{00000000-0005-0000-0000-000087040000}"/>
    <cellStyle name="20% - Énfasis2 2 5" xfId="1392" xr:uid="{00000000-0005-0000-0000-000088040000}"/>
    <cellStyle name="20% - Énfasis2 2 5 2" xfId="3242" xr:uid="{00000000-0005-0000-0000-000089040000}"/>
    <cellStyle name="20% - Énfasis2 2 5 2 2" xfId="6963" xr:uid="{00000000-0005-0000-0000-00008A040000}"/>
    <cellStyle name="20% - Énfasis2 2 5 2 2 2" xfId="21847" xr:uid="{00000000-0005-0000-0000-00008B040000}"/>
    <cellStyle name="20% - Énfasis2 2 5 2 2 2 2" xfId="44490" xr:uid="{00000000-0005-0000-0000-00008C040000}"/>
    <cellStyle name="20% - Énfasis2 2 5 2 2 3" xfId="14407" xr:uid="{00000000-0005-0000-0000-00008D040000}"/>
    <cellStyle name="20% - Énfasis2 2 5 2 2 3 2" xfId="37050" xr:uid="{00000000-0005-0000-0000-00008E040000}"/>
    <cellStyle name="20% - Énfasis2 2 5 2 2 4" xfId="29609" xr:uid="{00000000-0005-0000-0000-00008F040000}"/>
    <cellStyle name="20% - Énfasis2 2 5 2 3" xfId="18129" xr:uid="{00000000-0005-0000-0000-000090040000}"/>
    <cellStyle name="20% - Énfasis2 2 5 2 3 2" xfId="40772" xr:uid="{00000000-0005-0000-0000-000091040000}"/>
    <cellStyle name="20% - Énfasis2 2 5 2 4" xfId="10689" xr:uid="{00000000-0005-0000-0000-000092040000}"/>
    <cellStyle name="20% - Énfasis2 2 5 2 4 2" xfId="33332" xr:uid="{00000000-0005-0000-0000-000093040000}"/>
    <cellStyle name="20% - Énfasis2 2 5 2 5" xfId="25891" xr:uid="{00000000-0005-0000-0000-000094040000}"/>
    <cellStyle name="20% - Énfasis2 2 5 3" xfId="5116" xr:uid="{00000000-0005-0000-0000-000095040000}"/>
    <cellStyle name="20% - Énfasis2 2 5 3 2" xfId="20000" xr:uid="{00000000-0005-0000-0000-000096040000}"/>
    <cellStyle name="20% - Énfasis2 2 5 3 2 2" xfId="42643" xr:uid="{00000000-0005-0000-0000-000097040000}"/>
    <cellStyle name="20% - Énfasis2 2 5 3 3" xfId="12560" xr:uid="{00000000-0005-0000-0000-000098040000}"/>
    <cellStyle name="20% - Énfasis2 2 5 3 3 2" xfId="35203" xr:uid="{00000000-0005-0000-0000-000099040000}"/>
    <cellStyle name="20% - Énfasis2 2 5 3 4" xfId="27762" xr:uid="{00000000-0005-0000-0000-00009A040000}"/>
    <cellStyle name="20% - Énfasis2 2 5 4" xfId="16282" xr:uid="{00000000-0005-0000-0000-00009B040000}"/>
    <cellStyle name="20% - Énfasis2 2 5 4 2" xfId="38925" xr:uid="{00000000-0005-0000-0000-00009C040000}"/>
    <cellStyle name="20% - Énfasis2 2 5 5" xfId="8842" xr:uid="{00000000-0005-0000-0000-00009D040000}"/>
    <cellStyle name="20% - Énfasis2 2 5 5 2" xfId="31485" xr:uid="{00000000-0005-0000-0000-00009E040000}"/>
    <cellStyle name="20% - Énfasis2 2 5 6" xfId="24044" xr:uid="{00000000-0005-0000-0000-00009F040000}"/>
    <cellStyle name="20% - Énfasis2 2 6" xfId="2317" xr:uid="{00000000-0005-0000-0000-0000A0040000}"/>
    <cellStyle name="20% - Énfasis2 2 6 2" xfId="6038" xr:uid="{00000000-0005-0000-0000-0000A1040000}"/>
    <cellStyle name="20% - Énfasis2 2 6 2 2" xfId="20922" xr:uid="{00000000-0005-0000-0000-0000A2040000}"/>
    <cellStyle name="20% - Énfasis2 2 6 2 2 2" xfId="43565" xr:uid="{00000000-0005-0000-0000-0000A3040000}"/>
    <cellStyle name="20% - Énfasis2 2 6 2 3" xfId="13482" xr:uid="{00000000-0005-0000-0000-0000A4040000}"/>
    <cellStyle name="20% - Énfasis2 2 6 2 3 2" xfId="36125" xr:uid="{00000000-0005-0000-0000-0000A5040000}"/>
    <cellStyle name="20% - Énfasis2 2 6 2 4" xfId="28684" xr:uid="{00000000-0005-0000-0000-0000A6040000}"/>
    <cellStyle name="20% - Énfasis2 2 6 3" xfId="17204" xr:uid="{00000000-0005-0000-0000-0000A7040000}"/>
    <cellStyle name="20% - Énfasis2 2 6 3 2" xfId="39847" xr:uid="{00000000-0005-0000-0000-0000A8040000}"/>
    <cellStyle name="20% - Énfasis2 2 6 4" xfId="9764" xr:uid="{00000000-0005-0000-0000-0000A9040000}"/>
    <cellStyle name="20% - Énfasis2 2 6 4 2" xfId="32407" xr:uid="{00000000-0005-0000-0000-0000AA040000}"/>
    <cellStyle name="20% - Énfasis2 2 6 5" xfId="24966" xr:uid="{00000000-0005-0000-0000-0000AB040000}"/>
    <cellStyle name="20% - Énfasis2 2 7" xfId="4191" xr:uid="{00000000-0005-0000-0000-0000AC040000}"/>
    <cellStyle name="20% - Énfasis2 2 7 2" xfId="19075" xr:uid="{00000000-0005-0000-0000-0000AD040000}"/>
    <cellStyle name="20% - Énfasis2 2 7 2 2" xfId="41718" xr:uid="{00000000-0005-0000-0000-0000AE040000}"/>
    <cellStyle name="20% - Énfasis2 2 7 3" xfId="11635" xr:uid="{00000000-0005-0000-0000-0000AF040000}"/>
    <cellStyle name="20% - Énfasis2 2 7 3 2" xfId="34278" xr:uid="{00000000-0005-0000-0000-0000B0040000}"/>
    <cellStyle name="20% - Énfasis2 2 7 4" xfId="26837" xr:uid="{00000000-0005-0000-0000-0000B1040000}"/>
    <cellStyle name="20% - Énfasis2 2 8" xfId="458" xr:uid="{00000000-0005-0000-0000-0000B2040000}"/>
    <cellStyle name="20% - Énfasis2 2 8 2" xfId="15357" xr:uid="{00000000-0005-0000-0000-0000B3040000}"/>
    <cellStyle name="20% - Énfasis2 2 8 2 2" xfId="38000" xr:uid="{00000000-0005-0000-0000-0000B4040000}"/>
    <cellStyle name="20% - Énfasis2 2 8 3" xfId="23120" xr:uid="{00000000-0005-0000-0000-0000B5040000}"/>
    <cellStyle name="20% - Énfasis2 2 9" xfId="7917" xr:uid="{00000000-0005-0000-0000-0000B6040000}"/>
    <cellStyle name="20% - Énfasis2 2 9 2" xfId="30560" xr:uid="{00000000-0005-0000-0000-0000B7040000}"/>
    <cellStyle name="20% - Énfasis2 3" xfId="86" xr:uid="{00000000-0005-0000-0000-0000B8040000}"/>
    <cellStyle name="20% - Énfasis2 3 2" xfId="170" xr:uid="{00000000-0005-0000-0000-0000B9040000}"/>
    <cellStyle name="20% - Énfasis2 3 2 2" xfId="331" xr:uid="{00000000-0005-0000-0000-0000BA040000}"/>
    <cellStyle name="20% - Énfasis2 3 2 2 2" xfId="2118" xr:uid="{00000000-0005-0000-0000-0000BB040000}"/>
    <cellStyle name="20% - Énfasis2 3 2 2 2 2" xfId="3968" xr:uid="{00000000-0005-0000-0000-0000BC040000}"/>
    <cellStyle name="20% - Énfasis2 3 2 2 2 2 2" xfId="7689" xr:uid="{00000000-0005-0000-0000-0000BD040000}"/>
    <cellStyle name="20% - Énfasis2 3 2 2 2 2 2 2" xfId="22573" xr:uid="{00000000-0005-0000-0000-0000BE040000}"/>
    <cellStyle name="20% - Énfasis2 3 2 2 2 2 2 2 2" xfId="45216" xr:uid="{00000000-0005-0000-0000-0000BF040000}"/>
    <cellStyle name="20% - Énfasis2 3 2 2 2 2 2 3" xfId="15133" xr:uid="{00000000-0005-0000-0000-0000C0040000}"/>
    <cellStyle name="20% - Énfasis2 3 2 2 2 2 2 3 2" xfId="37776" xr:uid="{00000000-0005-0000-0000-0000C1040000}"/>
    <cellStyle name="20% - Énfasis2 3 2 2 2 2 2 4" xfId="30335" xr:uid="{00000000-0005-0000-0000-0000C2040000}"/>
    <cellStyle name="20% - Énfasis2 3 2 2 2 2 3" xfId="18855" xr:uid="{00000000-0005-0000-0000-0000C3040000}"/>
    <cellStyle name="20% - Énfasis2 3 2 2 2 2 3 2" xfId="41498" xr:uid="{00000000-0005-0000-0000-0000C4040000}"/>
    <cellStyle name="20% - Énfasis2 3 2 2 2 2 4" xfId="11415" xr:uid="{00000000-0005-0000-0000-0000C5040000}"/>
    <cellStyle name="20% - Énfasis2 3 2 2 2 2 4 2" xfId="34058" xr:uid="{00000000-0005-0000-0000-0000C6040000}"/>
    <cellStyle name="20% - Énfasis2 3 2 2 2 2 5" xfId="26617" xr:uid="{00000000-0005-0000-0000-0000C7040000}"/>
    <cellStyle name="20% - Énfasis2 3 2 2 2 3" xfId="5842" xr:uid="{00000000-0005-0000-0000-0000C8040000}"/>
    <cellStyle name="20% - Énfasis2 3 2 2 2 3 2" xfId="20726" xr:uid="{00000000-0005-0000-0000-0000C9040000}"/>
    <cellStyle name="20% - Énfasis2 3 2 2 2 3 2 2" xfId="43369" xr:uid="{00000000-0005-0000-0000-0000CA040000}"/>
    <cellStyle name="20% - Énfasis2 3 2 2 2 3 3" xfId="13286" xr:uid="{00000000-0005-0000-0000-0000CB040000}"/>
    <cellStyle name="20% - Énfasis2 3 2 2 2 3 3 2" xfId="35929" xr:uid="{00000000-0005-0000-0000-0000CC040000}"/>
    <cellStyle name="20% - Énfasis2 3 2 2 2 3 4" xfId="28488" xr:uid="{00000000-0005-0000-0000-0000CD040000}"/>
    <cellStyle name="20% - Énfasis2 3 2 2 2 4" xfId="17008" xr:uid="{00000000-0005-0000-0000-0000CE040000}"/>
    <cellStyle name="20% - Énfasis2 3 2 2 2 4 2" xfId="39651" xr:uid="{00000000-0005-0000-0000-0000CF040000}"/>
    <cellStyle name="20% - Énfasis2 3 2 2 2 5" xfId="9568" xr:uid="{00000000-0005-0000-0000-0000D0040000}"/>
    <cellStyle name="20% - Énfasis2 3 2 2 2 5 2" xfId="32211" xr:uid="{00000000-0005-0000-0000-0000D1040000}"/>
    <cellStyle name="20% - Énfasis2 3 2 2 2 6" xfId="24770" xr:uid="{00000000-0005-0000-0000-0000D2040000}"/>
    <cellStyle name="20% - Énfasis2 3 2 2 3" xfId="3043" xr:uid="{00000000-0005-0000-0000-0000D3040000}"/>
    <cellStyle name="20% - Énfasis2 3 2 2 3 2" xfId="6764" xr:uid="{00000000-0005-0000-0000-0000D4040000}"/>
    <cellStyle name="20% - Énfasis2 3 2 2 3 2 2" xfId="21648" xr:uid="{00000000-0005-0000-0000-0000D5040000}"/>
    <cellStyle name="20% - Énfasis2 3 2 2 3 2 2 2" xfId="44291" xr:uid="{00000000-0005-0000-0000-0000D6040000}"/>
    <cellStyle name="20% - Énfasis2 3 2 2 3 2 3" xfId="14208" xr:uid="{00000000-0005-0000-0000-0000D7040000}"/>
    <cellStyle name="20% - Énfasis2 3 2 2 3 2 3 2" xfId="36851" xr:uid="{00000000-0005-0000-0000-0000D8040000}"/>
    <cellStyle name="20% - Énfasis2 3 2 2 3 2 4" xfId="29410" xr:uid="{00000000-0005-0000-0000-0000D9040000}"/>
    <cellStyle name="20% - Énfasis2 3 2 2 3 3" xfId="17930" xr:uid="{00000000-0005-0000-0000-0000DA040000}"/>
    <cellStyle name="20% - Énfasis2 3 2 2 3 3 2" xfId="40573" xr:uid="{00000000-0005-0000-0000-0000DB040000}"/>
    <cellStyle name="20% - Énfasis2 3 2 2 3 4" xfId="10490" xr:uid="{00000000-0005-0000-0000-0000DC040000}"/>
    <cellStyle name="20% - Énfasis2 3 2 2 3 4 2" xfId="33133" xr:uid="{00000000-0005-0000-0000-0000DD040000}"/>
    <cellStyle name="20% - Énfasis2 3 2 2 3 5" xfId="25692" xr:uid="{00000000-0005-0000-0000-0000DE040000}"/>
    <cellStyle name="20% - Énfasis2 3 2 2 4" xfId="4917" xr:uid="{00000000-0005-0000-0000-0000DF040000}"/>
    <cellStyle name="20% - Énfasis2 3 2 2 4 2" xfId="19801" xr:uid="{00000000-0005-0000-0000-0000E0040000}"/>
    <cellStyle name="20% - Énfasis2 3 2 2 4 2 2" xfId="42444" xr:uid="{00000000-0005-0000-0000-0000E1040000}"/>
    <cellStyle name="20% - Énfasis2 3 2 2 4 3" xfId="12361" xr:uid="{00000000-0005-0000-0000-0000E2040000}"/>
    <cellStyle name="20% - Énfasis2 3 2 2 4 3 2" xfId="35004" xr:uid="{00000000-0005-0000-0000-0000E3040000}"/>
    <cellStyle name="20% - Énfasis2 3 2 2 4 4" xfId="27563" xr:uid="{00000000-0005-0000-0000-0000E4040000}"/>
    <cellStyle name="20% - Énfasis2 3 2 2 5" xfId="1190" xr:uid="{00000000-0005-0000-0000-0000E5040000}"/>
    <cellStyle name="20% - Énfasis2 3 2 2 5 2" xfId="16083" xr:uid="{00000000-0005-0000-0000-0000E6040000}"/>
    <cellStyle name="20% - Énfasis2 3 2 2 5 2 2" xfId="38726" xr:uid="{00000000-0005-0000-0000-0000E7040000}"/>
    <cellStyle name="20% - Énfasis2 3 2 2 5 3" xfId="23845" xr:uid="{00000000-0005-0000-0000-0000E8040000}"/>
    <cellStyle name="20% - Énfasis2 3 2 2 6" xfId="8643" xr:uid="{00000000-0005-0000-0000-0000E9040000}"/>
    <cellStyle name="20% - Énfasis2 3 2 2 6 2" xfId="31286" xr:uid="{00000000-0005-0000-0000-0000EA040000}"/>
    <cellStyle name="20% - Énfasis2 3 2 2 7" xfId="23029" xr:uid="{00000000-0005-0000-0000-0000EB040000}"/>
    <cellStyle name="20% - Énfasis2 3 2 3" xfId="1656" xr:uid="{00000000-0005-0000-0000-0000EC040000}"/>
    <cellStyle name="20% - Énfasis2 3 2 3 2" xfId="3506" xr:uid="{00000000-0005-0000-0000-0000ED040000}"/>
    <cellStyle name="20% - Énfasis2 3 2 3 2 2" xfId="7227" xr:uid="{00000000-0005-0000-0000-0000EE040000}"/>
    <cellStyle name="20% - Énfasis2 3 2 3 2 2 2" xfId="22111" xr:uid="{00000000-0005-0000-0000-0000EF040000}"/>
    <cellStyle name="20% - Énfasis2 3 2 3 2 2 2 2" xfId="44754" xr:uid="{00000000-0005-0000-0000-0000F0040000}"/>
    <cellStyle name="20% - Énfasis2 3 2 3 2 2 3" xfId="14671" xr:uid="{00000000-0005-0000-0000-0000F1040000}"/>
    <cellStyle name="20% - Énfasis2 3 2 3 2 2 3 2" xfId="37314" xr:uid="{00000000-0005-0000-0000-0000F2040000}"/>
    <cellStyle name="20% - Énfasis2 3 2 3 2 2 4" xfId="29873" xr:uid="{00000000-0005-0000-0000-0000F3040000}"/>
    <cellStyle name="20% - Énfasis2 3 2 3 2 3" xfId="18393" xr:uid="{00000000-0005-0000-0000-0000F4040000}"/>
    <cellStyle name="20% - Énfasis2 3 2 3 2 3 2" xfId="41036" xr:uid="{00000000-0005-0000-0000-0000F5040000}"/>
    <cellStyle name="20% - Énfasis2 3 2 3 2 4" xfId="10953" xr:uid="{00000000-0005-0000-0000-0000F6040000}"/>
    <cellStyle name="20% - Énfasis2 3 2 3 2 4 2" xfId="33596" xr:uid="{00000000-0005-0000-0000-0000F7040000}"/>
    <cellStyle name="20% - Énfasis2 3 2 3 2 5" xfId="26155" xr:uid="{00000000-0005-0000-0000-0000F8040000}"/>
    <cellStyle name="20% - Énfasis2 3 2 3 3" xfId="5380" xr:uid="{00000000-0005-0000-0000-0000F9040000}"/>
    <cellStyle name="20% - Énfasis2 3 2 3 3 2" xfId="20264" xr:uid="{00000000-0005-0000-0000-0000FA040000}"/>
    <cellStyle name="20% - Énfasis2 3 2 3 3 2 2" xfId="42907" xr:uid="{00000000-0005-0000-0000-0000FB040000}"/>
    <cellStyle name="20% - Énfasis2 3 2 3 3 3" xfId="12824" xr:uid="{00000000-0005-0000-0000-0000FC040000}"/>
    <cellStyle name="20% - Énfasis2 3 2 3 3 3 2" xfId="35467" xr:uid="{00000000-0005-0000-0000-0000FD040000}"/>
    <cellStyle name="20% - Énfasis2 3 2 3 3 4" xfId="28026" xr:uid="{00000000-0005-0000-0000-0000FE040000}"/>
    <cellStyle name="20% - Énfasis2 3 2 3 4" xfId="16546" xr:uid="{00000000-0005-0000-0000-0000FF040000}"/>
    <cellStyle name="20% - Énfasis2 3 2 3 4 2" xfId="39189" xr:uid="{00000000-0005-0000-0000-000000050000}"/>
    <cellStyle name="20% - Énfasis2 3 2 3 5" xfId="9106" xr:uid="{00000000-0005-0000-0000-000001050000}"/>
    <cellStyle name="20% - Énfasis2 3 2 3 5 2" xfId="31749" xr:uid="{00000000-0005-0000-0000-000002050000}"/>
    <cellStyle name="20% - Énfasis2 3 2 3 6" xfId="24308" xr:uid="{00000000-0005-0000-0000-000003050000}"/>
    <cellStyle name="20% - Énfasis2 3 2 4" xfId="2581" xr:uid="{00000000-0005-0000-0000-000004050000}"/>
    <cellStyle name="20% - Énfasis2 3 2 4 2" xfId="6302" xr:uid="{00000000-0005-0000-0000-000005050000}"/>
    <cellStyle name="20% - Énfasis2 3 2 4 2 2" xfId="21186" xr:uid="{00000000-0005-0000-0000-000006050000}"/>
    <cellStyle name="20% - Énfasis2 3 2 4 2 2 2" xfId="43829" xr:uid="{00000000-0005-0000-0000-000007050000}"/>
    <cellStyle name="20% - Énfasis2 3 2 4 2 3" xfId="13746" xr:uid="{00000000-0005-0000-0000-000008050000}"/>
    <cellStyle name="20% - Énfasis2 3 2 4 2 3 2" xfId="36389" xr:uid="{00000000-0005-0000-0000-000009050000}"/>
    <cellStyle name="20% - Énfasis2 3 2 4 2 4" xfId="28948" xr:uid="{00000000-0005-0000-0000-00000A050000}"/>
    <cellStyle name="20% - Énfasis2 3 2 4 3" xfId="17468" xr:uid="{00000000-0005-0000-0000-00000B050000}"/>
    <cellStyle name="20% - Énfasis2 3 2 4 3 2" xfId="40111" xr:uid="{00000000-0005-0000-0000-00000C050000}"/>
    <cellStyle name="20% - Énfasis2 3 2 4 4" xfId="10028" xr:uid="{00000000-0005-0000-0000-00000D050000}"/>
    <cellStyle name="20% - Énfasis2 3 2 4 4 2" xfId="32671" xr:uid="{00000000-0005-0000-0000-00000E050000}"/>
    <cellStyle name="20% - Énfasis2 3 2 4 5" xfId="25230" xr:uid="{00000000-0005-0000-0000-00000F050000}"/>
    <cellStyle name="20% - Énfasis2 3 2 5" xfId="4455" xr:uid="{00000000-0005-0000-0000-000010050000}"/>
    <cellStyle name="20% - Énfasis2 3 2 5 2" xfId="19339" xr:uid="{00000000-0005-0000-0000-000011050000}"/>
    <cellStyle name="20% - Énfasis2 3 2 5 2 2" xfId="41982" xr:uid="{00000000-0005-0000-0000-000012050000}"/>
    <cellStyle name="20% - Énfasis2 3 2 5 3" xfId="11899" xr:uid="{00000000-0005-0000-0000-000013050000}"/>
    <cellStyle name="20% - Énfasis2 3 2 5 3 2" xfId="34542" xr:uid="{00000000-0005-0000-0000-000014050000}"/>
    <cellStyle name="20% - Énfasis2 3 2 5 4" xfId="27101" xr:uid="{00000000-0005-0000-0000-000015050000}"/>
    <cellStyle name="20% - Énfasis2 3 2 6" xfId="725" xr:uid="{00000000-0005-0000-0000-000016050000}"/>
    <cellStyle name="20% - Énfasis2 3 2 6 2" xfId="15621" xr:uid="{00000000-0005-0000-0000-000017050000}"/>
    <cellStyle name="20% - Énfasis2 3 2 6 2 2" xfId="38264" xr:uid="{00000000-0005-0000-0000-000018050000}"/>
    <cellStyle name="20% - Énfasis2 3 2 6 3" xfId="23383" xr:uid="{00000000-0005-0000-0000-000019050000}"/>
    <cellStyle name="20% - Énfasis2 3 2 7" xfId="8181" xr:uid="{00000000-0005-0000-0000-00001A050000}"/>
    <cellStyle name="20% - Énfasis2 3 2 7 2" xfId="30824" xr:uid="{00000000-0005-0000-0000-00001B050000}"/>
    <cellStyle name="20% - Énfasis2 3 2 8" xfId="22873" xr:uid="{00000000-0005-0000-0000-00001C050000}"/>
    <cellStyle name="20% - Énfasis2 3 3" xfId="253" xr:uid="{00000000-0005-0000-0000-00001D050000}"/>
    <cellStyle name="20% - Énfasis2 3 3 2" xfId="1907" xr:uid="{00000000-0005-0000-0000-00001E050000}"/>
    <cellStyle name="20% - Énfasis2 3 3 2 2" xfId="3757" xr:uid="{00000000-0005-0000-0000-00001F050000}"/>
    <cellStyle name="20% - Énfasis2 3 3 2 2 2" xfId="7478" xr:uid="{00000000-0005-0000-0000-000020050000}"/>
    <cellStyle name="20% - Énfasis2 3 3 2 2 2 2" xfId="22362" xr:uid="{00000000-0005-0000-0000-000021050000}"/>
    <cellStyle name="20% - Énfasis2 3 3 2 2 2 2 2" xfId="45005" xr:uid="{00000000-0005-0000-0000-000022050000}"/>
    <cellStyle name="20% - Énfasis2 3 3 2 2 2 3" xfId="14922" xr:uid="{00000000-0005-0000-0000-000023050000}"/>
    <cellStyle name="20% - Énfasis2 3 3 2 2 2 3 2" xfId="37565" xr:uid="{00000000-0005-0000-0000-000024050000}"/>
    <cellStyle name="20% - Énfasis2 3 3 2 2 2 4" xfId="30124" xr:uid="{00000000-0005-0000-0000-000025050000}"/>
    <cellStyle name="20% - Énfasis2 3 3 2 2 3" xfId="18644" xr:uid="{00000000-0005-0000-0000-000026050000}"/>
    <cellStyle name="20% - Énfasis2 3 3 2 2 3 2" xfId="41287" xr:uid="{00000000-0005-0000-0000-000027050000}"/>
    <cellStyle name="20% - Énfasis2 3 3 2 2 4" xfId="11204" xr:uid="{00000000-0005-0000-0000-000028050000}"/>
    <cellStyle name="20% - Énfasis2 3 3 2 2 4 2" xfId="33847" xr:uid="{00000000-0005-0000-0000-000029050000}"/>
    <cellStyle name="20% - Énfasis2 3 3 2 2 5" xfId="26406" xr:uid="{00000000-0005-0000-0000-00002A050000}"/>
    <cellStyle name="20% - Énfasis2 3 3 2 3" xfId="5631" xr:uid="{00000000-0005-0000-0000-00002B050000}"/>
    <cellStyle name="20% - Énfasis2 3 3 2 3 2" xfId="20515" xr:uid="{00000000-0005-0000-0000-00002C050000}"/>
    <cellStyle name="20% - Énfasis2 3 3 2 3 2 2" xfId="43158" xr:uid="{00000000-0005-0000-0000-00002D050000}"/>
    <cellStyle name="20% - Énfasis2 3 3 2 3 3" xfId="13075" xr:uid="{00000000-0005-0000-0000-00002E050000}"/>
    <cellStyle name="20% - Énfasis2 3 3 2 3 3 2" xfId="35718" xr:uid="{00000000-0005-0000-0000-00002F050000}"/>
    <cellStyle name="20% - Énfasis2 3 3 2 3 4" xfId="28277" xr:uid="{00000000-0005-0000-0000-000030050000}"/>
    <cellStyle name="20% - Énfasis2 3 3 2 4" xfId="16797" xr:uid="{00000000-0005-0000-0000-000031050000}"/>
    <cellStyle name="20% - Énfasis2 3 3 2 4 2" xfId="39440" xr:uid="{00000000-0005-0000-0000-000032050000}"/>
    <cellStyle name="20% - Énfasis2 3 3 2 5" xfId="9357" xr:uid="{00000000-0005-0000-0000-000033050000}"/>
    <cellStyle name="20% - Énfasis2 3 3 2 5 2" xfId="32000" xr:uid="{00000000-0005-0000-0000-000034050000}"/>
    <cellStyle name="20% - Énfasis2 3 3 2 6" xfId="24559" xr:uid="{00000000-0005-0000-0000-000035050000}"/>
    <cellStyle name="20% - Énfasis2 3 3 3" xfId="2832" xr:uid="{00000000-0005-0000-0000-000036050000}"/>
    <cellStyle name="20% - Énfasis2 3 3 3 2" xfId="6553" xr:uid="{00000000-0005-0000-0000-000037050000}"/>
    <cellStyle name="20% - Énfasis2 3 3 3 2 2" xfId="21437" xr:uid="{00000000-0005-0000-0000-000038050000}"/>
    <cellStyle name="20% - Énfasis2 3 3 3 2 2 2" xfId="44080" xr:uid="{00000000-0005-0000-0000-000039050000}"/>
    <cellStyle name="20% - Énfasis2 3 3 3 2 3" xfId="13997" xr:uid="{00000000-0005-0000-0000-00003A050000}"/>
    <cellStyle name="20% - Énfasis2 3 3 3 2 3 2" xfId="36640" xr:uid="{00000000-0005-0000-0000-00003B050000}"/>
    <cellStyle name="20% - Énfasis2 3 3 3 2 4" xfId="29199" xr:uid="{00000000-0005-0000-0000-00003C050000}"/>
    <cellStyle name="20% - Énfasis2 3 3 3 3" xfId="17719" xr:uid="{00000000-0005-0000-0000-00003D050000}"/>
    <cellStyle name="20% - Énfasis2 3 3 3 3 2" xfId="40362" xr:uid="{00000000-0005-0000-0000-00003E050000}"/>
    <cellStyle name="20% - Énfasis2 3 3 3 4" xfId="10279" xr:uid="{00000000-0005-0000-0000-00003F050000}"/>
    <cellStyle name="20% - Énfasis2 3 3 3 4 2" xfId="32922" xr:uid="{00000000-0005-0000-0000-000040050000}"/>
    <cellStyle name="20% - Énfasis2 3 3 3 5" xfId="25481" xr:uid="{00000000-0005-0000-0000-000041050000}"/>
    <cellStyle name="20% - Énfasis2 3 3 4" xfId="4706" xr:uid="{00000000-0005-0000-0000-000042050000}"/>
    <cellStyle name="20% - Énfasis2 3 3 4 2" xfId="19590" xr:uid="{00000000-0005-0000-0000-000043050000}"/>
    <cellStyle name="20% - Énfasis2 3 3 4 2 2" xfId="42233" xr:uid="{00000000-0005-0000-0000-000044050000}"/>
    <cellStyle name="20% - Énfasis2 3 3 4 3" xfId="12150" xr:uid="{00000000-0005-0000-0000-000045050000}"/>
    <cellStyle name="20% - Énfasis2 3 3 4 3 2" xfId="34793" xr:uid="{00000000-0005-0000-0000-000046050000}"/>
    <cellStyle name="20% - Énfasis2 3 3 4 4" xfId="27352" xr:uid="{00000000-0005-0000-0000-000047050000}"/>
    <cellStyle name="20% - Énfasis2 3 3 5" xfId="979" xr:uid="{00000000-0005-0000-0000-000048050000}"/>
    <cellStyle name="20% - Énfasis2 3 3 5 2" xfId="15872" xr:uid="{00000000-0005-0000-0000-000049050000}"/>
    <cellStyle name="20% - Énfasis2 3 3 5 2 2" xfId="38515" xr:uid="{00000000-0005-0000-0000-00004A050000}"/>
    <cellStyle name="20% - Énfasis2 3 3 5 3" xfId="23634" xr:uid="{00000000-0005-0000-0000-00004B050000}"/>
    <cellStyle name="20% - Énfasis2 3 3 6" xfId="8432" xr:uid="{00000000-0005-0000-0000-00004C050000}"/>
    <cellStyle name="20% - Énfasis2 3 3 6 2" xfId="31075" xr:uid="{00000000-0005-0000-0000-00004D050000}"/>
    <cellStyle name="20% - Énfasis2 3 3 7" xfId="22951" xr:uid="{00000000-0005-0000-0000-00004E050000}"/>
    <cellStyle name="20% - Énfasis2 3 4" xfId="1445" xr:uid="{00000000-0005-0000-0000-00004F050000}"/>
    <cellStyle name="20% - Énfasis2 3 4 2" xfId="3295" xr:uid="{00000000-0005-0000-0000-000050050000}"/>
    <cellStyle name="20% - Énfasis2 3 4 2 2" xfId="7016" xr:uid="{00000000-0005-0000-0000-000051050000}"/>
    <cellStyle name="20% - Énfasis2 3 4 2 2 2" xfId="21900" xr:uid="{00000000-0005-0000-0000-000052050000}"/>
    <cellStyle name="20% - Énfasis2 3 4 2 2 2 2" xfId="44543" xr:uid="{00000000-0005-0000-0000-000053050000}"/>
    <cellStyle name="20% - Énfasis2 3 4 2 2 3" xfId="14460" xr:uid="{00000000-0005-0000-0000-000054050000}"/>
    <cellStyle name="20% - Énfasis2 3 4 2 2 3 2" xfId="37103" xr:uid="{00000000-0005-0000-0000-000055050000}"/>
    <cellStyle name="20% - Énfasis2 3 4 2 2 4" xfId="29662" xr:uid="{00000000-0005-0000-0000-000056050000}"/>
    <cellStyle name="20% - Énfasis2 3 4 2 3" xfId="18182" xr:uid="{00000000-0005-0000-0000-000057050000}"/>
    <cellStyle name="20% - Énfasis2 3 4 2 3 2" xfId="40825" xr:uid="{00000000-0005-0000-0000-000058050000}"/>
    <cellStyle name="20% - Énfasis2 3 4 2 4" xfId="10742" xr:uid="{00000000-0005-0000-0000-000059050000}"/>
    <cellStyle name="20% - Énfasis2 3 4 2 4 2" xfId="33385" xr:uid="{00000000-0005-0000-0000-00005A050000}"/>
    <cellStyle name="20% - Énfasis2 3 4 2 5" xfId="25944" xr:uid="{00000000-0005-0000-0000-00005B050000}"/>
    <cellStyle name="20% - Énfasis2 3 4 3" xfId="5169" xr:uid="{00000000-0005-0000-0000-00005C050000}"/>
    <cellStyle name="20% - Énfasis2 3 4 3 2" xfId="20053" xr:uid="{00000000-0005-0000-0000-00005D050000}"/>
    <cellStyle name="20% - Énfasis2 3 4 3 2 2" xfId="42696" xr:uid="{00000000-0005-0000-0000-00005E050000}"/>
    <cellStyle name="20% - Énfasis2 3 4 3 3" xfId="12613" xr:uid="{00000000-0005-0000-0000-00005F050000}"/>
    <cellStyle name="20% - Énfasis2 3 4 3 3 2" xfId="35256" xr:uid="{00000000-0005-0000-0000-000060050000}"/>
    <cellStyle name="20% - Énfasis2 3 4 3 4" xfId="27815" xr:uid="{00000000-0005-0000-0000-000061050000}"/>
    <cellStyle name="20% - Énfasis2 3 4 4" xfId="16335" xr:uid="{00000000-0005-0000-0000-000062050000}"/>
    <cellStyle name="20% - Énfasis2 3 4 4 2" xfId="38978" xr:uid="{00000000-0005-0000-0000-000063050000}"/>
    <cellStyle name="20% - Énfasis2 3 4 5" xfId="8895" xr:uid="{00000000-0005-0000-0000-000064050000}"/>
    <cellStyle name="20% - Énfasis2 3 4 5 2" xfId="31538" xr:uid="{00000000-0005-0000-0000-000065050000}"/>
    <cellStyle name="20% - Énfasis2 3 4 6" xfId="24097" xr:uid="{00000000-0005-0000-0000-000066050000}"/>
    <cellStyle name="20% - Énfasis2 3 5" xfId="2370" xr:uid="{00000000-0005-0000-0000-000067050000}"/>
    <cellStyle name="20% - Énfasis2 3 5 2" xfId="6091" xr:uid="{00000000-0005-0000-0000-000068050000}"/>
    <cellStyle name="20% - Énfasis2 3 5 2 2" xfId="20975" xr:uid="{00000000-0005-0000-0000-000069050000}"/>
    <cellStyle name="20% - Énfasis2 3 5 2 2 2" xfId="43618" xr:uid="{00000000-0005-0000-0000-00006A050000}"/>
    <cellStyle name="20% - Énfasis2 3 5 2 3" xfId="13535" xr:uid="{00000000-0005-0000-0000-00006B050000}"/>
    <cellStyle name="20% - Énfasis2 3 5 2 3 2" xfId="36178" xr:uid="{00000000-0005-0000-0000-00006C050000}"/>
    <cellStyle name="20% - Énfasis2 3 5 2 4" xfId="28737" xr:uid="{00000000-0005-0000-0000-00006D050000}"/>
    <cellStyle name="20% - Énfasis2 3 5 3" xfId="17257" xr:uid="{00000000-0005-0000-0000-00006E050000}"/>
    <cellStyle name="20% - Énfasis2 3 5 3 2" xfId="39900" xr:uid="{00000000-0005-0000-0000-00006F050000}"/>
    <cellStyle name="20% - Énfasis2 3 5 4" xfId="9817" xr:uid="{00000000-0005-0000-0000-000070050000}"/>
    <cellStyle name="20% - Énfasis2 3 5 4 2" xfId="32460" xr:uid="{00000000-0005-0000-0000-000071050000}"/>
    <cellStyle name="20% - Énfasis2 3 5 5" xfId="25019" xr:uid="{00000000-0005-0000-0000-000072050000}"/>
    <cellStyle name="20% - Énfasis2 3 6" xfId="4244" xr:uid="{00000000-0005-0000-0000-000073050000}"/>
    <cellStyle name="20% - Énfasis2 3 6 2" xfId="19128" xr:uid="{00000000-0005-0000-0000-000074050000}"/>
    <cellStyle name="20% - Énfasis2 3 6 2 2" xfId="41771" xr:uid="{00000000-0005-0000-0000-000075050000}"/>
    <cellStyle name="20% - Énfasis2 3 6 3" xfId="11688" xr:uid="{00000000-0005-0000-0000-000076050000}"/>
    <cellStyle name="20% - Énfasis2 3 6 3 2" xfId="34331" xr:uid="{00000000-0005-0000-0000-000077050000}"/>
    <cellStyle name="20% - Énfasis2 3 6 4" xfId="26890" xr:uid="{00000000-0005-0000-0000-000078050000}"/>
    <cellStyle name="20% - Énfasis2 3 7" xfId="512" xr:uid="{00000000-0005-0000-0000-000079050000}"/>
    <cellStyle name="20% - Énfasis2 3 7 2" xfId="15410" xr:uid="{00000000-0005-0000-0000-00007A050000}"/>
    <cellStyle name="20% - Énfasis2 3 7 2 2" xfId="38053" xr:uid="{00000000-0005-0000-0000-00007B050000}"/>
    <cellStyle name="20% - Énfasis2 3 7 3" xfId="23173" xr:uid="{00000000-0005-0000-0000-00007C050000}"/>
    <cellStyle name="20% - Énfasis2 3 8" xfId="7970" xr:uid="{00000000-0005-0000-0000-00007D050000}"/>
    <cellStyle name="20% - Énfasis2 3 8 2" xfId="30613" xr:uid="{00000000-0005-0000-0000-00007E050000}"/>
    <cellStyle name="20% - Énfasis2 3 9" xfId="22795" xr:uid="{00000000-0005-0000-0000-00007F050000}"/>
    <cellStyle name="20% - Énfasis2 4" xfId="128" xr:uid="{00000000-0005-0000-0000-000080050000}"/>
    <cellStyle name="20% - Énfasis2 4 2" xfId="292" xr:uid="{00000000-0005-0000-0000-000081050000}"/>
    <cellStyle name="20% - Énfasis2 4 2 2" xfId="2013" xr:uid="{00000000-0005-0000-0000-000082050000}"/>
    <cellStyle name="20% - Énfasis2 4 2 2 2" xfId="3863" xr:uid="{00000000-0005-0000-0000-000083050000}"/>
    <cellStyle name="20% - Énfasis2 4 2 2 2 2" xfId="7584" xr:uid="{00000000-0005-0000-0000-000084050000}"/>
    <cellStyle name="20% - Énfasis2 4 2 2 2 2 2" xfId="22468" xr:uid="{00000000-0005-0000-0000-000085050000}"/>
    <cellStyle name="20% - Énfasis2 4 2 2 2 2 2 2" xfId="45111" xr:uid="{00000000-0005-0000-0000-000086050000}"/>
    <cellStyle name="20% - Énfasis2 4 2 2 2 2 3" xfId="15028" xr:uid="{00000000-0005-0000-0000-000087050000}"/>
    <cellStyle name="20% - Énfasis2 4 2 2 2 2 3 2" xfId="37671" xr:uid="{00000000-0005-0000-0000-000088050000}"/>
    <cellStyle name="20% - Énfasis2 4 2 2 2 2 4" xfId="30230" xr:uid="{00000000-0005-0000-0000-000089050000}"/>
    <cellStyle name="20% - Énfasis2 4 2 2 2 3" xfId="18750" xr:uid="{00000000-0005-0000-0000-00008A050000}"/>
    <cellStyle name="20% - Énfasis2 4 2 2 2 3 2" xfId="41393" xr:uid="{00000000-0005-0000-0000-00008B050000}"/>
    <cellStyle name="20% - Énfasis2 4 2 2 2 4" xfId="11310" xr:uid="{00000000-0005-0000-0000-00008C050000}"/>
    <cellStyle name="20% - Énfasis2 4 2 2 2 4 2" xfId="33953" xr:uid="{00000000-0005-0000-0000-00008D050000}"/>
    <cellStyle name="20% - Énfasis2 4 2 2 2 5" xfId="26512" xr:uid="{00000000-0005-0000-0000-00008E050000}"/>
    <cellStyle name="20% - Énfasis2 4 2 2 3" xfId="5737" xr:uid="{00000000-0005-0000-0000-00008F050000}"/>
    <cellStyle name="20% - Énfasis2 4 2 2 3 2" xfId="20621" xr:uid="{00000000-0005-0000-0000-000090050000}"/>
    <cellStyle name="20% - Énfasis2 4 2 2 3 2 2" xfId="43264" xr:uid="{00000000-0005-0000-0000-000091050000}"/>
    <cellStyle name="20% - Énfasis2 4 2 2 3 3" xfId="13181" xr:uid="{00000000-0005-0000-0000-000092050000}"/>
    <cellStyle name="20% - Énfasis2 4 2 2 3 3 2" xfId="35824" xr:uid="{00000000-0005-0000-0000-000093050000}"/>
    <cellStyle name="20% - Énfasis2 4 2 2 3 4" xfId="28383" xr:uid="{00000000-0005-0000-0000-000094050000}"/>
    <cellStyle name="20% - Énfasis2 4 2 2 4" xfId="16903" xr:uid="{00000000-0005-0000-0000-000095050000}"/>
    <cellStyle name="20% - Énfasis2 4 2 2 4 2" xfId="39546" xr:uid="{00000000-0005-0000-0000-000096050000}"/>
    <cellStyle name="20% - Énfasis2 4 2 2 5" xfId="9463" xr:uid="{00000000-0005-0000-0000-000097050000}"/>
    <cellStyle name="20% - Énfasis2 4 2 2 5 2" xfId="32106" xr:uid="{00000000-0005-0000-0000-000098050000}"/>
    <cellStyle name="20% - Énfasis2 4 2 2 6" xfId="24665" xr:uid="{00000000-0005-0000-0000-000099050000}"/>
    <cellStyle name="20% - Énfasis2 4 2 3" xfId="2938" xr:uid="{00000000-0005-0000-0000-00009A050000}"/>
    <cellStyle name="20% - Énfasis2 4 2 3 2" xfId="6659" xr:uid="{00000000-0005-0000-0000-00009B050000}"/>
    <cellStyle name="20% - Énfasis2 4 2 3 2 2" xfId="21543" xr:uid="{00000000-0005-0000-0000-00009C050000}"/>
    <cellStyle name="20% - Énfasis2 4 2 3 2 2 2" xfId="44186" xr:uid="{00000000-0005-0000-0000-00009D050000}"/>
    <cellStyle name="20% - Énfasis2 4 2 3 2 3" xfId="14103" xr:uid="{00000000-0005-0000-0000-00009E050000}"/>
    <cellStyle name="20% - Énfasis2 4 2 3 2 3 2" xfId="36746" xr:uid="{00000000-0005-0000-0000-00009F050000}"/>
    <cellStyle name="20% - Énfasis2 4 2 3 2 4" xfId="29305" xr:uid="{00000000-0005-0000-0000-0000A0050000}"/>
    <cellStyle name="20% - Énfasis2 4 2 3 3" xfId="17825" xr:uid="{00000000-0005-0000-0000-0000A1050000}"/>
    <cellStyle name="20% - Énfasis2 4 2 3 3 2" xfId="40468" xr:uid="{00000000-0005-0000-0000-0000A2050000}"/>
    <cellStyle name="20% - Énfasis2 4 2 3 4" xfId="10385" xr:uid="{00000000-0005-0000-0000-0000A3050000}"/>
    <cellStyle name="20% - Énfasis2 4 2 3 4 2" xfId="33028" xr:uid="{00000000-0005-0000-0000-0000A4050000}"/>
    <cellStyle name="20% - Énfasis2 4 2 3 5" xfId="25587" xr:uid="{00000000-0005-0000-0000-0000A5050000}"/>
    <cellStyle name="20% - Énfasis2 4 2 4" xfId="4812" xr:uid="{00000000-0005-0000-0000-0000A6050000}"/>
    <cellStyle name="20% - Énfasis2 4 2 4 2" xfId="19696" xr:uid="{00000000-0005-0000-0000-0000A7050000}"/>
    <cellStyle name="20% - Énfasis2 4 2 4 2 2" xfId="42339" xr:uid="{00000000-0005-0000-0000-0000A8050000}"/>
    <cellStyle name="20% - Énfasis2 4 2 4 3" xfId="12256" xr:uid="{00000000-0005-0000-0000-0000A9050000}"/>
    <cellStyle name="20% - Énfasis2 4 2 4 3 2" xfId="34899" xr:uid="{00000000-0005-0000-0000-0000AA050000}"/>
    <cellStyle name="20% - Énfasis2 4 2 4 4" xfId="27458" xr:uid="{00000000-0005-0000-0000-0000AB050000}"/>
    <cellStyle name="20% - Énfasis2 4 2 5" xfId="1085" xr:uid="{00000000-0005-0000-0000-0000AC050000}"/>
    <cellStyle name="20% - Énfasis2 4 2 5 2" xfId="15978" xr:uid="{00000000-0005-0000-0000-0000AD050000}"/>
    <cellStyle name="20% - Énfasis2 4 2 5 2 2" xfId="38621" xr:uid="{00000000-0005-0000-0000-0000AE050000}"/>
    <cellStyle name="20% - Énfasis2 4 2 5 3" xfId="23740" xr:uid="{00000000-0005-0000-0000-0000AF050000}"/>
    <cellStyle name="20% - Énfasis2 4 2 6" xfId="8538" xr:uid="{00000000-0005-0000-0000-0000B0050000}"/>
    <cellStyle name="20% - Énfasis2 4 2 6 2" xfId="31181" xr:uid="{00000000-0005-0000-0000-0000B1050000}"/>
    <cellStyle name="20% - Énfasis2 4 2 7" xfId="22990" xr:uid="{00000000-0005-0000-0000-0000B2050000}"/>
    <cellStyle name="20% - Énfasis2 4 3" xfId="1551" xr:uid="{00000000-0005-0000-0000-0000B3050000}"/>
    <cellStyle name="20% - Énfasis2 4 3 2" xfId="3401" xr:uid="{00000000-0005-0000-0000-0000B4050000}"/>
    <cellStyle name="20% - Énfasis2 4 3 2 2" xfId="7122" xr:uid="{00000000-0005-0000-0000-0000B5050000}"/>
    <cellStyle name="20% - Énfasis2 4 3 2 2 2" xfId="22006" xr:uid="{00000000-0005-0000-0000-0000B6050000}"/>
    <cellStyle name="20% - Énfasis2 4 3 2 2 2 2" xfId="44649" xr:uid="{00000000-0005-0000-0000-0000B7050000}"/>
    <cellStyle name="20% - Énfasis2 4 3 2 2 3" xfId="14566" xr:uid="{00000000-0005-0000-0000-0000B8050000}"/>
    <cellStyle name="20% - Énfasis2 4 3 2 2 3 2" xfId="37209" xr:uid="{00000000-0005-0000-0000-0000B9050000}"/>
    <cellStyle name="20% - Énfasis2 4 3 2 2 4" xfId="29768" xr:uid="{00000000-0005-0000-0000-0000BA050000}"/>
    <cellStyle name="20% - Énfasis2 4 3 2 3" xfId="18288" xr:uid="{00000000-0005-0000-0000-0000BB050000}"/>
    <cellStyle name="20% - Énfasis2 4 3 2 3 2" xfId="40931" xr:uid="{00000000-0005-0000-0000-0000BC050000}"/>
    <cellStyle name="20% - Énfasis2 4 3 2 4" xfId="10848" xr:uid="{00000000-0005-0000-0000-0000BD050000}"/>
    <cellStyle name="20% - Énfasis2 4 3 2 4 2" xfId="33491" xr:uid="{00000000-0005-0000-0000-0000BE050000}"/>
    <cellStyle name="20% - Énfasis2 4 3 2 5" xfId="26050" xr:uid="{00000000-0005-0000-0000-0000BF050000}"/>
    <cellStyle name="20% - Énfasis2 4 3 3" xfId="5275" xr:uid="{00000000-0005-0000-0000-0000C0050000}"/>
    <cellStyle name="20% - Énfasis2 4 3 3 2" xfId="20159" xr:uid="{00000000-0005-0000-0000-0000C1050000}"/>
    <cellStyle name="20% - Énfasis2 4 3 3 2 2" xfId="42802" xr:uid="{00000000-0005-0000-0000-0000C2050000}"/>
    <cellStyle name="20% - Énfasis2 4 3 3 3" xfId="12719" xr:uid="{00000000-0005-0000-0000-0000C3050000}"/>
    <cellStyle name="20% - Énfasis2 4 3 3 3 2" xfId="35362" xr:uid="{00000000-0005-0000-0000-0000C4050000}"/>
    <cellStyle name="20% - Énfasis2 4 3 3 4" xfId="27921" xr:uid="{00000000-0005-0000-0000-0000C5050000}"/>
    <cellStyle name="20% - Énfasis2 4 3 4" xfId="16441" xr:uid="{00000000-0005-0000-0000-0000C6050000}"/>
    <cellStyle name="20% - Énfasis2 4 3 4 2" xfId="39084" xr:uid="{00000000-0005-0000-0000-0000C7050000}"/>
    <cellStyle name="20% - Énfasis2 4 3 5" xfId="9001" xr:uid="{00000000-0005-0000-0000-0000C8050000}"/>
    <cellStyle name="20% - Énfasis2 4 3 5 2" xfId="31644" xr:uid="{00000000-0005-0000-0000-0000C9050000}"/>
    <cellStyle name="20% - Énfasis2 4 3 6" xfId="24203" xr:uid="{00000000-0005-0000-0000-0000CA050000}"/>
    <cellStyle name="20% - Énfasis2 4 4" xfId="2476" xr:uid="{00000000-0005-0000-0000-0000CB050000}"/>
    <cellStyle name="20% - Énfasis2 4 4 2" xfId="6197" xr:uid="{00000000-0005-0000-0000-0000CC050000}"/>
    <cellStyle name="20% - Énfasis2 4 4 2 2" xfId="21081" xr:uid="{00000000-0005-0000-0000-0000CD050000}"/>
    <cellStyle name="20% - Énfasis2 4 4 2 2 2" xfId="43724" xr:uid="{00000000-0005-0000-0000-0000CE050000}"/>
    <cellStyle name="20% - Énfasis2 4 4 2 3" xfId="13641" xr:uid="{00000000-0005-0000-0000-0000CF050000}"/>
    <cellStyle name="20% - Énfasis2 4 4 2 3 2" xfId="36284" xr:uid="{00000000-0005-0000-0000-0000D0050000}"/>
    <cellStyle name="20% - Énfasis2 4 4 2 4" xfId="28843" xr:uid="{00000000-0005-0000-0000-0000D1050000}"/>
    <cellStyle name="20% - Énfasis2 4 4 3" xfId="17363" xr:uid="{00000000-0005-0000-0000-0000D2050000}"/>
    <cellStyle name="20% - Énfasis2 4 4 3 2" xfId="40006" xr:uid="{00000000-0005-0000-0000-0000D3050000}"/>
    <cellStyle name="20% - Énfasis2 4 4 4" xfId="9923" xr:uid="{00000000-0005-0000-0000-0000D4050000}"/>
    <cellStyle name="20% - Énfasis2 4 4 4 2" xfId="32566" xr:uid="{00000000-0005-0000-0000-0000D5050000}"/>
    <cellStyle name="20% - Énfasis2 4 4 5" xfId="25125" xr:uid="{00000000-0005-0000-0000-0000D6050000}"/>
    <cellStyle name="20% - Énfasis2 4 5" xfId="4350" xr:uid="{00000000-0005-0000-0000-0000D7050000}"/>
    <cellStyle name="20% - Énfasis2 4 5 2" xfId="19234" xr:uid="{00000000-0005-0000-0000-0000D8050000}"/>
    <cellStyle name="20% - Énfasis2 4 5 2 2" xfId="41877" xr:uid="{00000000-0005-0000-0000-0000D9050000}"/>
    <cellStyle name="20% - Énfasis2 4 5 3" xfId="11794" xr:uid="{00000000-0005-0000-0000-0000DA050000}"/>
    <cellStyle name="20% - Énfasis2 4 5 3 2" xfId="34437" xr:uid="{00000000-0005-0000-0000-0000DB050000}"/>
    <cellStyle name="20% - Énfasis2 4 5 4" xfId="26996" xr:uid="{00000000-0005-0000-0000-0000DC050000}"/>
    <cellStyle name="20% - Énfasis2 4 6" xfId="618" xr:uid="{00000000-0005-0000-0000-0000DD050000}"/>
    <cellStyle name="20% - Énfasis2 4 6 2" xfId="15516" xr:uid="{00000000-0005-0000-0000-0000DE050000}"/>
    <cellStyle name="20% - Énfasis2 4 6 2 2" xfId="38159" xr:uid="{00000000-0005-0000-0000-0000DF050000}"/>
    <cellStyle name="20% - Énfasis2 4 6 3" xfId="23278" xr:uid="{00000000-0005-0000-0000-0000E0050000}"/>
    <cellStyle name="20% - Énfasis2 4 7" xfId="8076" xr:uid="{00000000-0005-0000-0000-0000E1050000}"/>
    <cellStyle name="20% - Énfasis2 4 7 2" xfId="30719" xr:uid="{00000000-0005-0000-0000-0000E2050000}"/>
    <cellStyle name="20% - Énfasis2 4 8" xfId="22834" xr:uid="{00000000-0005-0000-0000-0000E3050000}"/>
    <cellStyle name="20% - Énfasis2 5" xfId="211" xr:uid="{00000000-0005-0000-0000-0000E4050000}"/>
    <cellStyle name="20% - Énfasis2 5 2" xfId="1802" xr:uid="{00000000-0005-0000-0000-0000E5050000}"/>
    <cellStyle name="20% - Énfasis2 5 2 2" xfId="3652" xr:uid="{00000000-0005-0000-0000-0000E6050000}"/>
    <cellStyle name="20% - Énfasis2 5 2 2 2" xfId="7373" xr:uid="{00000000-0005-0000-0000-0000E7050000}"/>
    <cellStyle name="20% - Énfasis2 5 2 2 2 2" xfId="22257" xr:uid="{00000000-0005-0000-0000-0000E8050000}"/>
    <cellStyle name="20% - Énfasis2 5 2 2 2 2 2" xfId="44900" xr:uid="{00000000-0005-0000-0000-0000E9050000}"/>
    <cellStyle name="20% - Énfasis2 5 2 2 2 3" xfId="14817" xr:uid="{00000000-0005-0000-0000-0000EA050000}"/>
    <cellStyle name="20% - Énfasis2 5 2 2 2 3 2" xfId="37460" xr:uid="{00000000-0005-0000-0000-0000EB050000}"/>
    <cellStyle name="20% - Énfasis2 5 2 2 2 4" xfId="30019" xr:uid="{00000000-0005-0000-0000-0000EC050000}"/>
    <cellStyle name="20% - Énfasis2 5 2 2 3" xfId="18539" xr:uid="{00000000-0005-0000-0000-0000ED050000}"/>
    <cellStyle name="20% - Énfasis2 5 2 2 3 2" xfId="41182" xr:uid="{00000000-0005-0000-0000-0000EE050000}"/>
    <cellStyle name="20% - Énfasis2 5 2 2 4" xfId="11099" xr:uid="{00000000-0005-0000-0000-0000EF050000}"/>
    <cellStyle name="20% - Énfasis2 5 2 2 4 2" xfId="33742" xr:uid="{00000000-0005-0000-0000-0000F0050000}"/>
    <cellStyle name="20% - Énfasis2 5 2 2 5" xfId="26301" xr:uid="{00000000-0005-0000-0000-0000F1050000}"/>
    <cellStyle name="20% - Énfasis2 5 2 3" xfId="5526" xr:uid="{00000000-0005-0000-0000-0000F2050000}"/>
    <cellStyle name="20% - Énfasis2 5 2 3 2" xfId="20410" xr:uid="{00000000-0005-0000-0000-0000F3050000}"/>
    <cellStyle name="20% - Énfasis2 5 2 3 2 2" xfId="43053" xr:uid="{00000000-0005-0000-0000-0000F4050000}"/>
    <cellStyle name="20% - Énfasis2 5 2 3 3" xfId="12970" xr:uid="{00000000-0005-0000-0000-0000F5050000}"/>
    <cellStyle name="20% - Énfasis2 5 2 3 3 2" xfId="35613" xr:uid="{00000000-0005-0000-0000-0000F6050000}"/>
    <cellStyle name="20% - Énfasis2 5 2 3 4" xfId="28172" xr:uid="{00000000-0005-0000-0000-0000F7050000}"/>
    <cellStyle name="20% - Énfasis2 5 2 4" xfId="16692" xr:uid="{00000000-0005-0000-0000-0000F8050000}"/>
    <cellStyle name="20% - Énfasis2 5 2 4 2" xfId="39335" xr:uid="{00000000-0005-0000-0000-0000F9050000}"/>
    <cellStyle name="20% - Énfasis2 5 2 5" xfId="9252" xr:uid="{00000000-0005-0000-0000-0000FA050000}"/>
    <cellStyle name="20% - Énfasis2 5 2 5 2" xfId="31895" xr:uid="{00000000-0005-0000-0000-0000FB050000}"/>
    <cellStyle name="20% - Énfasis2 5 2 6" xfId="24454" xr:uid="{00000000-0005-0000-0000-0000FC050000}"/>
    <cellStyle name="20% - Énfasis2 5 3" xfId="2727" xr:uid="{00000000-0005-0000-0000-0000FD050000}"/>
    <cellStyle name="20% - Énfasis2 5 3 2" xfId="6448" xr:uid="{00000000-0005-0000-0000-0000FE050000}"/>
    <cellStyle name="20% - Énfasis2 5 3 2 2" xfId="21332" xr:uid="{00000000-0005-0000-0000-0000FF050000}"/>
    <cellStyle name="20% - Énfasis2 5 3 2 2 2" xfId="43975" xr:uid="{00000000-0005-0000-0000-000000060000}"/>
    <cellStyle name="20% - Énfasis2 5 3 2 3" xfId="13892" xr:uid="{00000000-0005-0000-0000-000001060000}"/>
    <cellStyle name="20% - Énfasis2 5 3 2 3 2" xfId="36535" xr:uid="{00000000-0005-0000-0000-000002060000}"/>
    <cellStyle name="20% - Énfasis2 5 3 2 4" xfId="29094" xr:uid="{00000000-0005-0000-0000-000003060000}"/>
    <cellStyle name="20% - Énfasis2 5 3 3" xfId="17614" xr:uid="{00000000-0005-0000-0000-000004060000}"/>
    <cellStyle name="20% - Énfasis2 5 3 3 2" xfId="40257" xr:uid="{00000000-0005-0000-0000-000005060000}"/>
    <cellStyle name="20% - Énfasis2 5 3 4" xfId="10174" xr:uid="{00000000-0005-0000-0000-000006060000}"/>
    <cellStyle name="20% - Énfasis2 5 3 4 2" xfId="32817" xr:uid="{00000000-0005-0000-0000-000007060000}"/>
    <cellStyle name="20% - Énfasis2 5 3 5" xfId="25376" xr:uid="{00000000-0005-0000-0000-000008060000}"/>
    <cellStyle name="20% - Énfasis2 5 4" xfId="4601" xr:uid="{00000000-0005-0000-0000-000009060000}"/>
    <cellStyle name="20% - Énfasis2 5 4 2" xfId="19485" xr:uid="{00000000-0005-0000-0000-00000A060000}"/>
    <cellStyle name="20% - Énfasis2 5 4 2 2" xfId="42128" xr:uid="{00000000-0005-0000-0000-00000B060000}"/>
    <cellStyle name="20% - Énfasis2 5 4 3" xfId="12045" xr:uid="{00000000-0005-0000-0000-00000C060000}"/>
    <cellStyle name="20% - Énfasis2 5 4 3 2" xfId="34688" xr:uid="{00000000-0005-0000-0000-00000D060000}"/>
    <cellStyle name="20% - Énfasis2 5 4 4" xfId="27247" xr:uid="{00000000-0005-0000-0000-00000E060000}"/>
    <cellStyle name="20% - Énfasis2 5 5" xfId="871" xr:uid="{00000000-0005-0000-0000-00000F060000}"/>
    <cellStyle name="20% - Énfasis2 5 5 2" xfId="15767" xr:uid="{00000000-0005-0000-0000-000010060000}"/>
    <cellStyle name="20% - Énfasis2 5 5 2 2" xfId="38410" xr:uid="{00000000-0005-0000-0000-000011060000}"/>
    <cellStyle name="20% - Énfasis2 5 5 3" xfId="23529" xr:uid="{00000000-0005-0000-0000-000012060000}"/>
    <cellStyle name="20% - Énfasis2 5 6" xfId="8327" xr:uid="{00000000-0005-0000-0000-000013060000}"/>
    <cellStyle name="20% - Énfasis2 5 6 2" xfId="30970" xr:uid="{00000000-0005-0000-0000-000014060000}"/>
    <cellStyle name="20% - Énfasis2 5 7" xfId="22912" xr:uid="{00000000-0005-0000-0000-000015060000}"/>
    <cellStyle name="20% - Énfasis2 6" xfId="1337" xr:uid="{00000000-0005-0000-0000-000016060000}"/>
    <cellStyle name="20% - Énfasis2 6 2" xfId="3190" xr:uid="{00000000-0005-0000-0000-000017060000}"/>
    <cellStyle name="20% - Énfasis2 6 2 2" xfId="6911" xr:uid="{00000000-0005-0000-0000-000018060000}"/>
    <cellStyle name="20% - Énfasis2 6 2 2 2" xfId="21795" xr:uid="{00000000-0005-0000-0000-000019060000}"/>
    <cellStyle name="20% - Énfasis2 6 2 2 2 2" xfId="44438" xr:uid="{00000000-0005-0000-0000-00001A060000}"/>
    <cellStyle name="20% - Énfasis2 6 2 2 3" xfId="14355" xr:uid="{00000000-0005-0000-0000-00001B060000}"/>
    <cellStyle name="20% - Énfasis2 6 2 2 3 2" xfId="36998" xr:uid="{00000000-0005-0000-0000-00001C060000}"/>
    <cellStyle name="20% - Énfasis2 6 2 2 4" xfId="29557" xr:uid="{00000000-0005-0000-0000-00001D060000}"/>
    <cellStyle name="20% - Énfasis2 6 2 3" xfId="18077" xr:uid="{00000000-0005-0000-0000-00001E060000}"/>
    <cellStyle name="20% - Énfasis2 6 2 3 2" xfId="40720" xr:uid="{00000000-0005-0000-0000-00001F060000}"/>
    <cellStyle name="20% - Énfasis2 6 2 4" xfId="10637" xr:uid="{00000000-0005-0000-0000-000020060000}"/>
    <cellStyle name="20% - Énfasis2 6 2 4 2" xfId="33280" xr:uid="{00000000-0005-0000-0000-000021060000}"/>
    <cellStyle name="20% - Énfasis2 6 2 5" xfId="25839" xr:uid="{00000000-0005-0000-0000-000022060000}"/>
    <cellStyle name="20% - Énfasis2 6 3" xfId="5064" xr:uid="{00000000-0005-0000-0000-000023060000}"/>
    <cellStyle name="20% - Énfasis2 6 3 2" xfId="19948" xr:uid="{00000000-0005-0000-0000-000024060000}"/>
    <cellStyle name="20% - Énfasis2 6 3 2 2" xfId="42591" xr:uid="{00000000-0005-0000-0000-000025060000}"/>
    <cellStyle name="20% - Énfasis2 6 3 3" xfId="12508" xr:uid="{00000000-0005-0000-0000-000026060000}"/>
    <cellStyle name="20% - Énfasis2 6 3 3 2" xfId="35151" xr:uid="{00000000-0005-0000-0000-000027060000}"/>
    <cellStyle name="20% - Énfasis2 6 3 4" xfId="27710" xr:uid="{00000000-0005-0000-0000-000028060000}"/>
    <cellStyle name="20% - Énfasis2 6 4" xfId="16230" xr:uid="{00000000-0005-0000-0000-000029060000}"/>
    <cellStyle name="20% - Énfasis2 6 4 2" xfId="38873" xr:uid="{00000000-0005-0000-0000-00002A060000}"/>
    <cellStyle name="20% - Énfasis2 6 5" xfId="8790" xr:uid="{00000000-0005-0000-0000-00002B060000}"/>
    <cellStyle name="20% - Énfasis2 6 5 2" xfId="31433" xr:uid="{00000000-0005-0000-0000-00002C060000}"/>
    <cellStyle name="20% - Énfasis2 6 6" xfId="23992" xr:uid="{00000000-0005-0000-0000-00002D060000}"/>
    <cellStyle name="20% - Énfasis2 7" xfId="2262" xr:uid="{00000000-0005-0000-0000-00002E060000}"/>
    <cellStyle name="20% - Énfasis2 7 2" xfId="5986" xr:uid="{00000000-0005-0000-0000-00002F060000}"/>
    <cellStyle name="20% - Énfasis2 7 2 2" xfId="20870" xr:uid="{00000000-0005-0000-0000-000030060000}"/>
    <cellStyle name="20% - Énfasis2 7 2 2 2" xfId="43513" xr:uid="{00000000-0005-0000-0000-000031060000}"/>
    <cellStyle name="20% - Énfasis2 7 2 3" xfId="13430" xr:uid="{00000000-0005-0000-0000-000032060000}"/>
    <cellStyle name="20% - Énfasis2 7 2 3 2" xfId="36073" xr:uid="{00000000-0005-0000-0000-000033060000}"/>
    <cellStyle name="20% - Énfasis2 7 2 4" xfId="28632" xr:uid="{00000000-0005-0000-0000-000034060000}"/>
    <cellStyle name="20% - Énfasis2 7 3" xfId="17152" xr:uid="{00000000-0005-0000-0000-000035060000}"/>
    <cellStyle name="20% - Énfasis2 7 3 2" xfId="39795" xr:uid="{00000000-0005-0000-0000-000036060000}"/>
    <cellStyle name="20% - Énfasis2 7 4" xfId="9712" xr:uid="{00000000-0005-0000-0000-000037060000}"/>
    <cellStyle name="20% - Énfasis2 7 4 2" xfId="32355" xr:uid="{00000000-0005-0000-0000-000038060000}"/>
    <cellStyle name="20% - Énfasis2 7 5" xfId="24914" xr:uid="{00000000-0005-0000-0000-000039060000}"/>
    <cellStyle name="20% - Énfasis2 8" xfId="4136" xr:uid="{00000000-0005-0000-0000-00003A060000}"/>
    <cellStyle name="20% - Énfasis2 8 2" xfId="19023" xr:uid="{00000000-0005-0000-0000-00003B060000}"/>
    <cellStyle name="20% - Énfasis2 8 2 2" xfId="41666" xr:uid="{00000000-0005-0000-0000-00003C060000}"/>
    <cellStyle name="20% - Énfasis2 8 3" xfId="11583" xr:uid="{00000000-0005-0000-0000-00003D060000}"/>
    <cellStyle name="20% - Énfasis2 8 3 2" xfId="34226" xr:uid="{00000000-0005-0000-0000-00003E060000}"/>
    <cellStyle name="20% - Énfasis2 8 4" xfId="26785" xr:uid="{00000000-0005-0000-0000-00003F060000}"/>
    <cellStyle name="20% - Énfasis2 9" xfId="371" xr:uid="{00000000-0005-0000-0000-000040060000}"/>
    <cellStyle name="20% - Énfasis2 9 2" xfId="15305" xr:uid="{00000000-0005-0000-0000-000041060000}"/>
    <cellStyle name="20% - Énfasis2 9 2 2" xfId="37948" xr:uid="{00000000-0005-0000-0000-000042060000}"/>
    <cellStyle name="20% - Énfasis2 9 3" xfId="23068" xr:uid="{00000000-0005-0000-0000-000043060000}"/>
    <cellStyle name="20% - Énfasis3" xfId="5" builtinId="38" customBuiltin="1"/>
    <cellStyle name="20% - Énfasis3 10" xfId="7864" xr:uid="{00000000-0005-0000-0000-000045060000}"/>
    <cellStyle name="20% - Énfasis3 10 2" xfId="30510" xr:uid="{00000000-0005-0000-0000-000046060000}"/>
    <cellStyle name="20% - Énfasis3 11" xfId="22755" xr:uid="{00000000-0005-0000-0000-000047060000}"/>
    <cellStyle name="20% - Énfasis3 12" xfId="45456" xr:uid="{00000000-0005-0000-0000-000048060000}"/>
    <cellStyle name="20% - Énfasis3 13" xfId="45495" xr:uid="{00000000-0005-0000-0000-000049060000}"/>
    <cellStyle name="20% - Énfasis3 2" xfId="6" xr:uid="{00000000-0005-0000-0000-00004A060000}"/>
    <cellStyle name="20% - Énfasis3 2 10" xfId="22766" xr:uid="{00000000-0005-0000-0000-00004B060000}"/>
    <cellStyle name="20% - Énfasis3 2 2" xfId="99" xr:uid="{00000000-0005-0000-0000-00004C060000}"/>
    <cellStyle name="20% - Énfasis3 2 2 2" xfId="182" xr:uid="{00000000-0005-0000-0000-00004D060000}"/>
    <cellStyle name="20% - Énfasis3 2 2 2 2" xfId="343" xr:uid="{00000000-0005-0000-0000-00004E060000}"/>
    <cellStyle name="20% - Énfasis3 2 2 2 2 2" xfId="2172" xr:uid="{00000000-0005-0000-0000-00004F060000}"/>
    <cellStyle name="20% - Énfasis3 2 2 2 2 2 2" xfId="4022" xr:uid="{00000000-0005-0000-0000-000050060000}"/>
    <cellStyle name="20% - Énfasis3 2 2 2 2 2 2 2" xfId="7743" xr:uid="{00000000-0005-0000-0000-000051060000}"/>
    <cellStyle name="20% - Énfasis3 2 2 2 2 2 2 2 2" xfId="22627" xr:uid="{00000000-0005-0000-0000-000052060000}"/>
    <cellStyle name="20% - Énfasis3 2 2 2 2 2 2 2 2 2" xfId="45270" xr:uid="{00000000-0005-0000-0000-000053060000}"/>
    <cellStyle name="20% - Énfasis3 2 2 2 2 2 2 2 3" xfId="15187" xr:uid="{00000000-0005-0000-0000-000054060000}"/>
    <cellStyle name="20% - Énfasis3 2 2 2 2 2 2 2 3 2" xfId="37830" xr:uid="{00000000-0005-0000-0000-000055060000}"/>
    <cellStyle name="20% - Énfasis3 2 2 2 2 2 2 2 4" xfId="30389" xr:uid="{00000000-0005-0000-0000-000056060000}"/>
    <cellStyle name="20% - Énfasis3 2 2 2 2 2 2 3" xfId="18909" xr:uid="{00000000-0005-0000-0000-000057060000}"/>
    <cellStyle name="20% - Énfasis3 2 2 2 2 2 2 3 2" xfId="41552" xr:uid="{00000000-0005-0000-0000-000058060000}"/>
    <cellStyle name="20% - Énfasis3 2 2 2 2 2 2 4" xfId="11469" xr:uid="{00000000-0005-0000-0000-000059060000}"/>
    <cellStyle name="20% - Énfasis3 2 2 2 2 2 2 4 2" xfId="34112" xr:uid="{00000000-0005-0000-0000-00005A060000}"/>
    <cellStyle name="20% - Énfasis3 2 2 2 2 2 2 5" xfId="26671" xr:uid="{00000000-0005-0000-0000-00005B060000}"/>
    <cellStyle name="20% - Énfasis3 2 2 2 2 2 3" xfId="5896" xr:uid="{00000000-0005-0000-0000-00005C060000}"/>
    <cellStyle name="20% - Énfasis3 2 2 2 2 2 3 2" xfId="20780" xr:uid="{00000000-0005-0000-0000-00005D060000}"/>
    <cellStyle name="20% - Énfasis3 2 2 2 2 2 3 2 2" xfId="43423" xr:uid="{00000000-0005-0000-0000-00005E060000}"/>
    <cellStyle name="20% - Énfasis3 2 2 2 2 2 3 3" xfId="13340" xr:uid="{00000000-0005-0000-0000-00005F060000}"/>
    <cellStyle name="20% - Énfasis3 2 2 2 2 2 3 3 2" xfId="35983" xr:uid="{00000000-0005-0000-0000-000060060000}"/>
    <cellStyle name="20% - Énfasis3 2 2 2 2 2 3 4" xfId="28542" xr:uid="{00000000-0005-0000-0000-000061060000}"/>
    <cellStyle name="20% - Énfasis3 2 2 2 2 2 4" xfId="17062" xr:uid="{00000000-0005-0000-0000-000062060000}"/>
    <cellStyle name="20% - Énfasis3 2 2 2 2 2 4 2" xfId="39705" xr:uid="{00000000-0005-0000-0000-000063060000}"/>
    <cellStyle name="20% - Énfasis3 2 2 2 2 2 5" xfId="9622" xr:uid="{00000000-0005-0000-0000-000064060000}"/>
    <cellStyle name="20% - Énfasis3 2 2 2 2 2 5 2" xfId="32265" xr:uid="{00000000-0005-0000-0000-000065060000}"/>
    <cellStyle name="20% - Énfasis3 2 2 2 2 2 6" xfId="24824" xr:uid="{00000000-0005-0000-0000-000066060000}"/>
    <cellStyle name="20% - Énfasis3 2 2 2 2 3" xfId="3097" xr:uid="{00000000-0005-0000-0000-000067060000}"/>
    <cellStyle name="20% - Énfasis3 2 2 2 2 3 2" xfId="6818" xr:uid="{00000000-0005-0000-0000-000068060000}"/>
    <cellStyle name="20% - Énfasis3 2 2 2 2 3 2 2" xfId="21702" xr:uid="{00000000-0005-0000-0000-000069060000}"/>
    <cellStyle name="20% - Énfasis3 2 2 2 2 3 2 2 2" xfId="44345" xr:uid="{00000000-0005-0000-0000-00006A060000}"/>
    <cellStyle name="20% - Énfasis3 2 2 2 2 3 2 3" xfId="14262" xr:uid="{00000000-0005-0000-0000-00006B060000}"/>
    <cellStyle name="20% - Énfasis3 2 2 2 2 3 2 3 2" xfId="36905" xr:uid="{00000000-0005-0000-0000-00006C060000}"/>
    <cellStyle name="20% - Énfasis3 2 2 2 2 3 2 4" xfId="29464" xr:uid="{00000000-0005-0000-0000-00006D060000}"/>
    <cellStyle name="20% - Énfasis3 2 2 2 2 3 3" xfId="17984" xr:uid="{00000000-0005-0000-0000-00006E060000}"/>
    <cellStyle name="20% - Énfasis3 2 2 2 2 3 3 2" xfId="40627" xr:uid="{00000000-0005-0000-0000-00006F060000}"/>
    <cellStyle name="20% - Énfasis3 2 2 2 2 3 4" xfId="10544" xr:uid="{00000000-0005-0000-0000-000070060000}"/>
    <cellStyle name="20% - Énfasis3 2 2 2 2 3 4 2" xfId="33187" xr:uid="{00000000-0005-0000-0000-000071060000}"/>
    <cellStyle name="20% - Énfasis3 2 2 2 2 3 5" xfId="25746" xr:uid="{00000000-0005-0000-0000-000072060000}"/>
    <cellStyle name="20% - Énfasis3 2 2 2 2 4" xfId="4971" xr:uid="{00000000-0005-0000-0000-000073060000}"/>
    <cellStyle name="20% - Énfasis3 2 2 2 2 4 2" xfId="19855" xr:uid="{00000000-0005-0000-0000-000074060000}"/>
    <cellStyle name="20% - Énfasis3 2 2 2 2 4 2 2" xfId="42498" xr:uid="{00000000-0005-0000-0000-000075060000}"/>
    <cellStyle name="20% - Énfasis3 2 2 2 2 4 3" xfId="12415" xr:uid="{00000000-0005-0000-0000-000076060000}"/>
    <cellStyle name="20% - Énfasis3 2 2 2 2 4 3 2" xfId="35058" xr:uid="{00000000-0005-0000-0000-000077060000}"/>
    <cellStyle name="20% - Énfasis3 2 2 2 2 4 4" xfId="27617" xr:uid="{00000000-0005-0000-0000-000078060000}"/>
    <cellStyle name="20% - Énfasis3 2 2 2 2 5" xfId="1244" xr:uid="{00000000-0005-0000-0000-000079060000}"/>
    <cellStyle name="20% - Énfasis3 2 2 2 2 5 2" xfId="16137" xr:uid="{00000000-0005-0000-0000-00007A060000}"/>
    <cellStyle name="20% - Énfasis3 2 2 2 2 5 2 2" xfId="38780" xr:uid="{00000000-0005-0000-0000-00007B060000}"/>
    <cellStyle name="20% - Énfasis3 2 2 2 2 5 3" xfId="23899" xr:uid="{00000000-0005-0000-0000-00007C060000}"/>
    <cellStyle name="20% - Énfasis3 2 2 2 2 6" xfId="8697" xr:uid="{00000000-0005-0000-0000-00007D060000}"/>
    <cellStyle name="20% - Énfasis3 2 2 2 2 6 2" xfId="31340" xr:uid="{00000000-0005-0000-0000-00007E060000}"/>
    <cellStyle name="20% - Énfasis3 2 2 2 2 7" xfId="23041" xr:uid="{00000000-0005-0000-0000-00007F060000}"/>
    <cellStyle name="20% - Énfasis3 2 2 2 3" xfId="1710" xr:uid="{00000000-0005-0000-0000-000080060000}"/>
    <cellStyle name="20% - Énfasis3 2 2 2 3 2" xfId="3560" xr:uid="{00000000-0005-0000-0000-000081060000}"/>
    <cellStyle name="20% - Énfasis3 2 2 2 3 2 2" xfId="7281" xr:uid="{00000000-0005-0000-0000-000082060000}"/>
    <cellStyle name="20% - Énfasis3 2 2 2 3 2 2 2" xfId="22165" xr:uid="{00000000-0005-0000-0000-000083060000}"/>
    <cellStyle name="20% - Énfasis3 2 2 2 3 2 2 2 2" xfId="44808" xr:uid="{00000000-0005-0000-0000-000084060000}"/>
    <cellStyle name="20% - Énfasis3 2 2 2 3 2 2 3" xfId="14725" xr:uid="{00000000-0005-0000-0000-000085060000}"/>
    <cellStyle name="20% - Énfasis3 2 2 2 3 2 2 3 2" xfId="37368" xr:uid="{00000000-0005-0000-0000-000086060000}"/>
    <cellStyle name="20% - Énfasis3 2 2 2 3 2 2 4" xfId="29927" xr:uid="{00000000-0005-0000-0000-000087060000}"/>
    <cellStyle name="20% - Énfasis3 2 2 2 3 2 3" xfId="18447" xr:uid="{00000000-0005-0000-0000-000088060000}"/>
    <cellStyle name="20% - Énfasis3 2 2 2 3 2 3 2" xfId="41090" xr:uid="{00000000-0005-0000-0000-000089060000}"/>
    <cellStyle name="20% - Énfasis3 2 2 2 3 2 4" xfId="11007" xr:uid="{00000000-0005-0000-0000-00008A060000}"/>
    <cellStyle name="20% - Énfasis3 2 2 2 3 2 4 2" xfId="33650" xr:uid="{00000000-0005-0000-0000-00008B060000}"/>
    <cellStyle name="20% - Énfasis3 2 2 2 3 2 5" xfId="26209" xr:uid="{00000000-0005-0000-0000-00008C060000}"/>
    <cellStyle name="20% - Énfasis3 2 2 2 3 3" xfId="5434" xr:uid="{00000000-0005-0000-0000-00008D060000}"/>
    <cellStyle name="20% - Énfasis3 2 2 2 3 3 2" xfId="20318" xr:uid="{00000000-0005-0000-0000-00008E060000}"/>
    <cellStyle name="20% - Énfasis3 2 2 2 3 3 2 2" xfId="42961" xr:uid="{00000000-0005-0000-0000-00008F060000}"/>
    <cellStyle name="20% - Énfasis3 2 2 2 3 3 3" xfId="12878" xr:uid="{00000000-0005-0000-0000-000090060000}"/>
    <cellStyle name="20% - Énfasis3 2 2 2 3 3 3 2" xfId="35521" xr:uid="{00000000-0005-0000-0000-000091060000}"/>
    <cellStyle name="20% - Énfasis3 2 2 2 3 3 4" xfId="28080" xr:uid="{00000000-0005-0000-0000-000092060000}"/>
    <cellStyle name="20% - Énfasis3 2 2 2 3 4" xfId="16600" xr:uid="{00000000-0005-0000-0000-000093060000}"/>
    <cellStyle name="20% - Énfasis3 2 2 2 3 4 2" xfId="39243" xr:uid="{00000000-0005-0000-0000-000094060000}"/>
    <cellStyle name="20% - Énfasis3 2 2 2 3 5" xfId="9160" xr:uid="{00000000-0005-0000-0000-000095060000}"/>
    <cellStyle name="20% - Énfasis3 2 2 2 3 5 2" xfId="31803" xr:uid="{00000000-0005-0000-0000-000096060000}"/>
    <cellStyle name="20% - Énfasis3 2 2 2 3 6" xfId="24362" xr:uid="{00000000-0005-0000-0000-000097060000}"/>
    <cellStyle name="20% - Énfasis3 2 2 2 4" xfId="2635" xr:uid="{00000000-0005-0000-0000-000098060000}"/>
    <cellStyle name="20% - Énfasis3 2 2 2 4 2" xfId="6356" xr:uid="{00000000-0005-0000-0000-000099060000}"/>
    <cellStyle name="20% - Énfasis3 2 2 2 4 2 2" xfId="21240" xr:uid="{00000000-0005-0000-0000-00009A060000}"/>
    <cellStyle name="20% - Énfasis3 2 2 2 4 2 2 2" xfId="43883" xr:uid="{00000000-0005-0000-0000-00009B060000}"/>
    <cellStyle name="20% - Énfasis3 2 2 2 4 2 3" xfId="13800" xr:uid="{00000000-0005-0000-0000-00009C060000}"/>
    <cellStyle name="20% - Énfasis3 2 2 2 4 2 3 2" xfId="36443" xr:uid="{00000000-0005-0000-0000-00009D060000}"/>
    <cellStyle name="20% - Énfasis3 2 2 2 4 2 4" xfId="29002" xr:uid="{00000000-0005-0000-0000-00009E060000}"/>
    <cellStyle name="20% - Énfasis3 2 2 2 4 3" xfId="17522" xr:uid="{00000000-0005-0000-0000-00009F060000}"/>
    <cellStyle name="20% - Énfasis3 2 2 2 4 3 2" xfId="40165" xr:uid="{00000000-0005-0000-0000-0000A0060000}"/>
    <cellStyle name="20% - Énfasis3 2 2 2 4 4" xfId="10082" xr:uid="{00000000-0005-0000-0000-0000A1060000}"/>
    <cellStyle name="20% - Énfasis3 2 2 2 4 4 2" xfId="32725" xr:uid="{00000000-0005-0000-0000-0000A2060000}"/>
    <cellStyle name="20% - Énfasis3 2 2 2 4 5" xfId="25284" xr:uid="{00000000-0005-0000-0000-0000A3060000}"/>
    <cellStyle name="20% - Énfasis3 2 2 2 5" xfId="4509" xr:uid="{00000000-0005-0000-0000-0000A4060000}"/>
    <cellStyle name="20% - Énfasis3 2 2 2 5 2" xfId="19393" xr:uid="{00000000-0005-0000-0000-0000A5060000}"/>
    <cellStyle name="20% - Énfasis3 2 2 2 5 2 2" xfId="42036" xr:uid="{00000000-0005-0000-0000-0000A6060000}"/>
    <cellStyle name="20% - Énfasis3 2 2 2 5 3" xfId="11953" xr:uid="{00000000-0005-0000-0000-0000A7060000}"/>
    <cellStyle name="20% - Énfasis3 2 2 2 5 3 2" xfId="34596" xr:uid="{00000000-0005-0000-0000-0000A8060000}"/>
    <cellStyle name="20% - Énfasis3 2 2 2 5 4" xfId="27155" xr:uid="{00000000-0005-0000-0000-0000A9060000}"/>
    <cellStyle name="20% - Énfasis3 2 2 2 6" xfId="779" xr:uid="{00000000-0005-0000-0000-0000AA060000}"/>
    <cellStyle name="20% - Énfasis3 2 2 2 6 2" xfId="15675" xr:uid="{00000000-0005-0000-0000-0000AB060000}"/>
    <cellStyle name="20% - Énfasis3 2 2 2 6 2 2" xfId="38318" xr:uid="{00000000-0005-0000-0000-0000AC060000}"/>
    <cellStyle name="20% - Énfasis3 2 2 2 6 3" xfId="23437" xr:uid="{00000000-0005-0000-0000-0000AD060000}"/>
    <cellStyle name="20% - Énfasis3 2 2 2 7" xfId="8235" xr:uid="{00000000-0005-0000-0000-0000AE060000}"/>
    <cellStyle name="20% - Énfasis3 2 2 2 7 2" xfId="30878" xr:uid="{00000000-0005-0000-0000-0000AF060000}"/>
    <cellStyle name="20% - Énfasis3 2 2 2 8" xfId="22885" xr:uid="{00000000-0005-0000-0000-0000B0060000}"/>
    <cellStyle name="20% - Énfasis3 2 2 3" xfId="265" xr:uid="{00000000-0005-0000-0000-0000B1060000}"/>
    <cellStyle name="20% - Énfasis3 2 2 3 2" xfId="1961" xr:uid="{00000000-0005-0000-0000-0000B2060000}"/>
    <cellStyle name="20% - Énfasis3 2 2 3 2 2" xfId="3811" xr:uid="{00000000-0005-0000-0000-0000B3060000}"/>
    <cellStyle name="20% - Énfasis3 2 2 3 2 2 2" xfId="7532" xr:uid="{00000000-0005-0000-0000-0000B4060000}"/>
    <cellStyle name="20% - Énfasis3 2 2 3 2 2 2 2" xfId="22416" xr:uid="{00000000-0005-0000-0000-0000B5060000}"/>
    <cellStyle name="20% - Énfasis3 2 2 3 2 2 2 2 2" xfId="45059" xr:uid="{00000000-0005-0000-0000-0000B6060000}"/>
    <cellStyle name="20% - Énfasis3 2 2 3 2 2 2 3" xfId="14976" xr:uid="{00000000-0005-0000-0000-0000B7060000}"/>
    <cellStyle name="20% - Énfasis3 2 2 3 2 2 2 3 2" xfId="37619" xr:uid="{00000000-0005-0000-0000-0000B8060000}"/>
    <cellStyle name="20% - Énfasis3 2 2 3 2 2 2 4" xfId="30178" xr:uid="{00000000-0005-0000-0000-0000B9060000}"/>
    <cellStyle name="20% - Énfasis3 2 2 3 2 2 3" xfId="18698" xr:uid="{00000000-0005-0000-0000-0000BA060000}"/>
    <cellStyle name="20% - Énfasis3 2 2 3 2 2 3 2" xfId="41341" xr:uid="{00000000-0005-0000-0000-0000BB060000}"/>
    <cellStyle name="20% - Énfasis3 2 2 3 2 2 4" xfId="11258" xr:uid="{00000000-0005-0000-0000-0000BC060000}"/>
    <cellStyle name="20% - Énfasis3 2 2 3 2 2 4 2" xfId="33901" xr:uid="{00000000-0005-0000-0000-0000BD060000}"/>
    <cellStyle name="20% - Énfasis3 2 2 3 2 2 5" xfId="26460" xr:uid="{00000000-0005-0000-0000-0000BE060000}"/>
    <cellStyle name="20% - Énfasis3 2 2 3 2 3" xfId="5685" xr:uid="{00000000-0005-0000-0000-0000BF060000}"/>
    <cellStyle name="20% - Énfasis3 2 2 3 2 3 2" xfId="20569" xr:uid="{00000000-0005-0000-0000-0000C0060000}"/>
    <cellStyle name="20% - Énfasis3 2 2 3 2 3 2 2" xfId="43212" xr:uid="{00000000-0005-0000-0000-0000C1060000}"/>
    <cellStyle name="20% - Énfasis3 2 2 3 2 3 3" xfId="13129" xr:uid="{00000000-0005-0000-0000-0000C2060000}"/>
    <cellStyle name="20% - Énfasis3 2 2 3 2 3 3 2" xfId="35772" xr:uid="{00000000-0005-0000-0000-0000C3060000}"/>
    <cellStyle name="20% - Énfasis3 2 2 3 2 3 4" xfId="28331" xr:uid="{00000000-0005-0000-0000-0000C4060000}"/>
    <cellStyle name="20% - Énfasis3 2 2 3 2 4" xfId="16851" xr:uid="{00000000-0005-0000-0000-0000C5060000}"/>
    <cellStyle name="20% - Énfasis3 2 2 3 2 4 2" xfId="39494" xr:uid="{00000000-0005-0000-0000-0000C6060000}"/>
    <cellStyle name="20% - Énfasis3 2 2 3 2 5" xfId="9411" xr:uid="{00000000-0005-0000-0000-0000C7060000}"/>
    <cellStyle name="20% - Énfasis3 2 2 3 2 5 2" xfId="32054" xr:uid="{00000000-0005-0000-0000-0000C8060000}"/>
    <cellStyle name="20% - Énfasis3 2 2 3 2 6" xfId="24613" xr:uid="{00000000-0005-0000-0000-0000C9060000}"/>
    <cellStyle name="20% - Énfasis3 2 2 3 3" xfId="2886" xr:uid="{00000000-0005-0000-0000-0000CA060000}"/>
    <cellStyle name="20% - Énfasis3 2 2 3 3 2" xfId="6607" xr:uid="{00000000-0005-0000-0000-0000CB060000}"/>
    <cellStyle name="20% - Énfasis3 2 2 3 3 2 2" xfId="21491" xr:uid="{00000000-0005-0000-0000-0000CC060000}"/>
    <cellStyle name="20% - Énfasis3 2 2 3 3 2 2 2" xfId="44134" xr:uid="{00000000-0005-0000-0000-0000CD060000}"/>
    <cellStyle name="20% - Énfasis3 2 2 3 3 2 3" xfId="14051" xr:uid="{00000000-0005-0000-0000-0000CE060000}"/>
    <cellStyle name="20% - Énfasis3 2 2 3 3 2 3 2" xfId="36694" xr:uid="{00000000-0005-0000-0000-0000CF060000}"/>
    <cellStyle name="20% - Énfasis3 2 2 3 3 2 4" xfId="29253" xr:uid="{00000000-0005-0000-0000-0000D0060000}"/>
    <cellStyle name="20% - Énfasis3 2 2 3 3 3" xfId="17773" xr:uid="{00000000-0005-0000-0000-0000D1060000}"/>
    <cellStyle name="20% - Énfasis3 2 2 3 3 3 2" xfId="40416" xr:uid="{00000000-0005-0000-0000-0000D2060000}"/>
    <cellStyle name="20% - Énfasis3 2 2 3 3 4" xfId="10333" xr:uid="{00000000-0005-0000-0000-0000D3060000}"/>
    <cellStyle name="20% - Énfasis3 2 2 3 3 4 2" xfId="32976" xr:uid="{00000000-0005-0000-0000-0000D4060000}"/>
    <cellStyle name="20% - Énfasis3 2 2 3 3 5" xfId="25535" xr:uid="{00000000-0005-0000-0000-0000D5060000}"/>
    <cellStyle name="20% - Énfasis3 2 2 3 4" xfId="4760" xr:uid="{00000000-0005-0000-0000-0000D6060000}"/>
    <cellStyle name="20% - Énfasis3 2 2 3 4 2" xfId="19644" xr:uid="{00000000-0005-0000-0000-0000D7060000}"/>
    <cellStyle name="20% - Énfasis3 2 2 3 4 2 2" xfId="42287" xr:uid="{00000000-0005-0000-0000-0000D8060000}"/>
    <cellStyle name="20% - Énfasis3 2 2 3 4 3" xfId="12204" xr:uid="{00000000-0005-0000-0000-0000D9060000}"/>
    <cellStyle name="20% - Énfasis3 2 2 3 4 3 2" xfId="34847" xr:uid="{00000000-0005-0000-0000-0000DA060000}"/>
    <cellStyle name="20% - Énfasis3 2 2 3 4 4" xfId="27406" xr:uid="{00000000-0005-0000-0000-0000DB060000}"/>
    <cellStyle name="20% - Énfasis3 2 2 3 5" xfId="1033" xr:uid="{00000000-0005-0000-0000-0000DC060000}"/>
    <cellStyle name="20% - Énfasis3 2 2 3 5 2" xfId="15926" xr:uid="{00000000-0005-0000-0000-0000DD060000}"/>
    <cellStyle name="20% - Énfasis3 2 2 3 5 2 2" xfId="38569" xr:uid="{00000000-0005-0000-0000-0000DE060000}"/>
    <cellStyle name="20% - Énfasis3 2 2 3 5 3" xfId="23688" xr:uid="{00000000-0005-0000-0000-0000DF060000}"/>
    <cellStyle name="20% - Énfasis3 2 2 3 6" xfId="8486" xr:uid="{00000000-0005-0000-0000-0000E0060000}"/>
    <cellStyle name="20% - Énfasis3 2 2 3 6 2" xfId="31129" xr:uid="{00000000-0005-0000-0000-0000E1060000}"/>
    <cellStyle name="20% - Énfasis3 2 2 3 7" xfId="22963" xr:uid="{00000000-0005-0000-0000-0000E2060000}"/>
    <cellStyle name="20% - Énfasis3 2 2 4" xfId="1499" xr:uid="{00000000-0005-0000-0000-0000E3060000}"/>
    <cellStyle name="20% - Énfasis3 2 2 4 2" xfId="3349" xr:uid="{00000000-0005-0000-0000-0000E4060000}"/>
    <cellStyle name="20% - Énfasis3 2 2 4 2 2" xfId="7070" xr:uid="{00000000-0005-0000-0000-0000E5060000}"/>
    <cellStyle name="20% - Énfasis3 2 2 4 2 2 2" xfId="21954" xr:uid="{00000000-0005-0000-0000-0000E6060000}"/>
    <cellStyle name="20% - Énfasis3 2 2 4 2 2 2 2" xfId="44597" xr:uid="{00000000-0005-0000-0000-0000E7060000}"/>
    <cellStyle name="20% - Énfasis3 2 2 4 2 2 3" xfId="14514" xr:uid="{00000000-0005-0000-0000-0000E8060000}"/>
    <cellStyle name="20% - Énfasis3 2 2 4 2 2 3 2" xfId="37157" xr:uid="{00000000-0005-0000-0000-0000E9060000}"/>
    <cellStyle name="20% - Énfasis3 2 2 4 2 2 4" xfId="29716" xr:uid="{00000000-0005-0000-0000-0000EA060000}"/>
    <cellStyle name="20% - Énfasis3 2 2 4 2 3" xfId="18236" xr:uid="{00000000-0005-0000-0000-0000EB060000}"/>
    <cellStyle name="20% - Énfasis3 2 2 4 2 3 2" xfId="40879" xr:uid="{00000000-0005-0000-0000-0000EC060000}"/>
    <cellStyle name="20% - Énfasis3 2 2 4 2 4" xfId="10796" xr:uid="{00000000-0005-0000-0000-0000ED060000}"/>
    <cellStyle name="20% - Énfasis3 2 2 4 2 4 2" xfId="33439" xr:uid="{00000000-0005-0000-0000-0000EE060000}"/>
    <cellStyle name="20% - Énfasis3 2 2 4 2 5" xfId="25998" xr:uid="{00000000-0005-0000-0000-0000EF060000}"/>
    <cellStyle name="20% - Énfasis3 2 2 4 3" xfId="5223" xr:uid="{00000000-0005-0000-0000-0000F0060000}"/>
    <cellStyle name="20% - Énfasis3 2 2 4 3 2" xfId="20107" xr:uid="{00000000-0005-0000-0000-0000F1060000}"/>
    <cellStyle name="20% - Énfasis3 2 2 4 3 2 2" xfId="42750" xr:uid="{00000000-0005-0000-0000-0000F2060000}"/>
    <cellStyle name="20% - Énfasis3 2 2 4 3 3" xfId="12667" xr:uid="{00000000-0005-0000-0000-0000F3060000}"/>
    <cellStyle name="20% - Énfasis3 2 2 4 3 3 2" xfId="35310" xr:uid="{00000000-0005-0000-0000-0000F4060000}"/>
    <cellStyle name="20% - Énfasis3 2 2 4 3 4" xfId="27869" xr:uid="{00000000-0005-0000-0000-0000F5060000}"/>
    <cellStyle name="20% - Énfasis3 2 2 4 4" xfId="16389" xr:uid="{00000000-0005-0000-0000-0000F6060000}"/>
    <cellStyle name="20% - Énfasis3 2 2 4 4 2" xfId="39032" xr:uid="{00000000-0005-0000-0000-0000F7060000}"/>
    <cellStyle name="20% - Énfasis3 2 2 4 5" xfId="8949" xr:uid="{00000000-0005-0000-0000-0000F8060000}"/>
    <cellStyle name="20% - Énfasis3 2 2 4 5 2" xfId="31592" xr:uid="{00000000-0005-0000-0000-0000F9060000}"/>
    <cellStyle name="20% - Énfasis3 2 2 4 6" xfId="24151" xr:uid="{00000000-0005-0000-0000-0000FA060000}"/>
    <cellStyle name="20% - Énfasis3 2 2 5" xfId="2424" xr:uid="{00000000-0005-0000-0000-0000FB060000}"/>
    <cellStyle name="20% - Énfasis3 2 2 5 2" xfId="6145" xr:uid="{00000000-0005-0000-0000-0000FC060000}"/>
    <cellStyle name="20% - Énfasis3 2 2 5 2 2" xfId="21029" xr:uid="{00000000-0005-0000-0000-0000FD060000}"/>
    <cellStyle name="20% - Énfasis3 2 2 5 2 2 2" xfId="43672" xr:uid="{00000000-0005-0000-0000-0000FE060000}"/>
    <cellStyle name="20% - Énfasis3 2 2 5 2 3" xfId="13589" xr:uid="{00000000-0005-0000-0000-0000FF060000}"/>
    <cellStyle name="20% - Énfasis3 2 2 5 2 3 2" xfId="36232" xr:uid="{00000000-0005-0000-0000-000000070000}"/>
    <cellStyle name="20% - Énfasis3 2 2 5 2 4" xfId="28791" xr:uid="{00000000-0005-0000-0000-000001070000}"/>
    <cellStyle name="20% - Énfasis3 2 2 5 3" xfId="17311" xr:uid="{00000000-0005-0000-0000-000002070000}"/>
    <cellStyle name="20% - Énfasis3 2 2 5 3 2" xfId="39954" xr:uid="{00000000-0005-0000-0000-000003070000}"/>
    <cellStyle name="20% - Énfasis3 2 2 5 4" xfId="9871" xr:uid="{00000000-0005-0000-0000-000004070000}"/>
    <cellStyle name="20% - Énfasis3 2 2 5 4 2" xfId="32514" xr:uid="{00000000-0005-0000-0000-000005070000}"/>
    <cellStyle name="20% - Énfasis3 2 2 5 5" xfId="25073" xr:uid="{00000000-0005-0000-0000-000006070000}"/>
    <cellStyle name="20% - Énfasis3 2 2 6" xfId="4298" xr:uid="{00000000-0005-0000-0000-000007070000}"/>
    <cellStyle name="20% - Énfasis3 2 2 6 2" xfId="19182" xr:uid="{00000000-0005-0000-0000-000008070000}"/>
    <cellStyle name="20% - Énfasis3 2 2 6 2 2" xfId="41825" xr:uid="{00000000-0005-0000-0000-000009070000}"/>
    <cellStyle name="20% - Énfasis3 2 2 6 3" xfId="11742" xr:uid="{00000000-0005-0000-0000-00000A070000}"/>
    <cellStyle name="20% - Énfasis3 2 2 6 3 2" xfId="34385" xr:uid="{00000000-0005-0000-0000-00000B070000}"/>
    <cellStyle name="20% - Énfasis3 2 2 6 4" xfId="26944" xr:uid="{00000000-0005-0000-0000-00000C070000}"/>
    <cellStyle name="20% - Énfasis3 2 2 7" xfId="567" xr:uid="{00000000-0005-0000-0000-00000D070000}"/>
    <cellStyle name="20% - Énfasis3 2 2 7 2" xfId="15464" xr:uid="{00000000-0005-0000-0000-00000E070000}"/>
    <cellStyle name="20% - Énfasis3 2 2 7 2 2" xfId="38107" xr:uid="{00000000-0005-0000-0000-00000F070000}"/>
    <cellStyle name="20% - Énfasis3 2 2 7 3" xfId="23227" xr:uid="{00000000-0005-0000-0000-000010070000}"/>
    <cellStyle name="20% - Énfasis3 2 2 8" xfId="8024" xr:uid="{00000000-0005-0000-0000-000011070000}"/>
    <cellStyle name="20% - Énfasis3 2 2 8 2" xfId="30667" xr:uid="{00000000-0005-0000-0000-000012070000}"/>
    <cellStyle name="20% - Énfasis3 2 2 9" xfId="22807" xr:uid="{00000000-0005-0000-0000-000013070000}"/>
    <cellStyle name="20% - Énfasis3 2 3" xfId="141" xr:uid="{00000000-0005-0000-0000-000014070000}"/>
    <cellStyle name="20% - Énfasis3 2 3 2" xfId="304" xr:uid="{00000000-0005-0000-0000-000015070000}"/>
    <cellStyle name="20% - Énfasis3 2 3 2 2" xfId="2067" xr:uid="{00000000-0005-0000-0000-000016070000}"/>
    <cellStyle name="20% - Énfasis3 2 3 2 2 2" xfId="3917" xr:uid="{00000000-0005-0000-0000-000017070000}"/>
    <cellStyle name="20% - Énfasis3 2 3 2 2 2 2" xfId="7638" xr:uid="{00000000-0005-0000-0000-000018070000}"/>
    <cellStyle name="20% - Énfasis3 2 3 2 2 2 2 2" xfId="22522" xr:uid="{00000000-0005-0000-0000-000019070000}"/>
    <cellStyle name="20% - Énfasis3 2 3 2 2 2 2 2 2" xfId="45165" xr:uid="{00000000-0005-0000-0000-00001A070000}"/>
    <cellStyle name="20% - Énfasis3 2 3 2 2 2 2 3" xfId="15082" xr:uid="{00000000-0005-0000-0000-00001B070000}"/>
    <cellStyle name="20% - Énfasis3 2 3 2 2 2 2 3 2" xfId="37725" xr:uid="{00000000-0005-0000-0000-00001C070000}"/>
    <cellStyle name="20% - Énfasis3 2 3 2 2 2 2 4" xfId="30284" xr:uid="{00000000-0005-0000-0000-00001D070000}"/>
    <cellStyle name="20% - Énfasis3 2 3 2 2 2 3" xfId="18804" xr:uid="{00000000-0005-0000-0000-00001E070000}"/>
    <cellStyle name="20% - Énfasis3 2 3 2 2 2 3 2" xfId="41447" xr:uid="{00000000-0005-0000-0000-00001F070000}"/>
    <cellStyle name="20% - Énfasis3 2 3 2 2 2 4" xfId="11364" xr:uid="{00000000-0005-0000-0000-000020070000}"/>
    <cellStyle name="20% - Énfasis3 2 3 2 2 2 4 2" xfId="34007" xr:uid="{00000000-0005-0000-0000-000021070000}"/>
    <cellStyle name="20% - Énfasis3 2 3 2 2 2 5" xfId="26566" xr:uid="{00000000-0005-0000-0000-000022070000}"/>
    <cellStyle name="20% - Énfasis3 2 3 2 2 3" xfId="5791" xr:uid="{00000000-0005-0000-0000-000023070000}"/>
    <cellStyle name="20% - Énfasis3 2 3 2 2 3 2" xfId="20675" xr:uid="{00000000-0005-0000-0000-000024070000}"/>
    <cellStyle name="20% - Énfasis3 2 3 2 2 3 2 2" xfId="43318" xr:uid="{00000000-0005-0000-0000-000025070000}"/>
    <cellStyle name="20% - Énfasis3 2 3 2 2 3 3" xfId="13235" xr:uid="{00000000-0005-0000-0000-000026070000}"/>
    <cellStyle name="20% - Énfasis3 2 3 2 2 3 3 2" xfId="35878" xr:uid="{00000000-0005-0000-0000-000027070000}"/>
    <cellStyle name="20% - Énfasis3 2 3 2 2 3 4" xfId="28437" xr:uid="{00000000-0005-0000-0000-000028070000}"/>
    <cellStyle name="20% - Énfasis3 2 3 2 2 4" xfId="16957" xr:uid="{00000000-0005-0000-0000-000029070000}"/>
    <cellStyle name="20% - Énfasis3 2 3 2 2 4 2" xfId="39600" xr:uid="{00000000-0005-0000-0000-00002A070000}"/>
    <cellStyle name="20% - Énfasis3 2 3 2 2 5" xfId="9517" xr:uid="{00000000-0005-0000-0000-00002B070000}"/>
    <cellStyle name="20% - Énfasis3 2 3 2 2 5 2" xfId="32160" xr:uid="{00000000-0005-0000-0000-00002C070000}"/>
    <cellStyle name="20% - Énfasis3 2 3 2 2 6" xfId="24719" xr:uid="{00000000-0005-0000-0000-00002D070000}"/>
    <cellStyle name="20% - Énfasis3 2 3 2 3" xfId="2992" xr:uid="{00000000-0005-0000-0000-00002E070000}"/>
    <cellStyle name="20% - Énfasis3 2 3 2 3 2" xfId="6713" xr:uid="{00000000-0005-0000-0000-00002F070000}"/>
    <cellStyle name="20% - Énfasis3 2 3 2 3 2 2" xfId="21597" xr:uid="{00000000-0005-0000-0000-000030070000}"/>
    <cellStyle name="20% - Énfasis3 2 3 2 3 2 2 2" xfId="44240" xr:uid="{00000000-0005-0000-0000-000031070000}"/>
    <cellStyle name="20% - Énfasis3 2 3 2 3 2 3" xfId="14157" xr:uid="{00000000-0005-0000-0000-000032070000}"/>
    <cellStyle name="20% - Énfasis3 2 3 2 3 2 3 2" xfId="36800" xr:uid="{00000000-0005-0000-0000-000033070000}"/>
    <cellStyle name="20% - Énfasis3 2 3 2 3 2 4" xfId="29359" xr:uid="{00000000-0005-0000-0000-000034070000}"/>
    <cellStyle name="20% - Énfasis3 2 3 2 3 3" xfId="17879" xr:uid="{00000000-0005-0000-0000-000035070000}"/>
    <cellStyle name="20% - Énfasis3 2 3 2 3 3 2" xfId="40522" xr:uid="{00000000-0005-0000-0000-000036070000}"/>
    <cellStyle name="20% - Énfasis3 2 3 2 3 4" xfId="10439" xr:uid="{00000000-0005-0000-0000-000037070000}"/>
    <cellStyle name="20% - Énfasis3 2 3 2 3 4 2" xfId="33082" xr:uid="{00000000-0005-0000-0000-000038070000}"/>
    <cellStyle name="20% - Énfasis3 2 3 2 3 5" xfId="25641" xr:uid="{00000000-0005-0000-0000-000039070000}"/>
    <cellStyle name="20% - Énfasis3 2 3 2 4" xfId="4866" xr:uid="{00000000-0005-0000-0000-00003A070000}"/>
    <cellStyle name="20% - Énfasis3 2 3 2 4 2" xfId="19750" xr:uid="{00000000-0005-0000-0000-00003B070000}"/>
    <cellStyle name="20% - Énfasis3 2 3 2 4 2 2" xfId="42393" xr:uid="{00000000-0005-0000-0000-00003C070000}"/>
    <cellStyle name="20% - Énfasis3 2 3 2 4 3" xfId="12310" xr:uid="{00000000-0005-0000-0000-00003D070000}"/>
    <cellStyle name="20% - Énfasis3 2 3 2 4 3 2" xfId="34953" xr:uid="{00000000-0005-0000-0000-00003E070000}"/>
    <cellStyle name="20% - Énfasis3 2 3 2 4 4" xfId="27512" xr:uid="{00000000-0005-0000-0000-00003F070000}"/>
    <cellStyle name="20% - Énfasis3 2 3 2 5" xfId="1139" xr:uid="{00000000-0005-0000-0000-000040070000}"/>
    <cellStyle name="20% - Énfasis3 2 3 2 5 2" xfId="16032" xr:uid="{00000000-0005-0000-0000-000041070000}"/>
    <cellStyle name="20% - Énfasis3 2 3 2 5 2 2" xfId="38675" xr:uid="{00000000-0005-0000-0000-000042070000}"/>
    <cellStyle name="20% - Énfasis3 2 3 2 5 3" xfId="23794" xr:uid="{00000000-0005-0000-0000-000043070000}"/>
    <cellStyle name="20% - Énfasis3 2 3 2 6" xfId="8592" xr:uid="{00000000-0005-0000-0000-000044070000}"/>
    <cellStyle name="20% - Énfasis3 2 3 2 6 2" xfId="31235" xr:uid="{00000000-0005-0000-0000-000045070000}"/>
    <cellStyle name="20% - Énfasis3 2 3 2 7" xfId="23002" xr:uid="{00000000-0005-0000-0000-000046070000}"/>
    <cellStyle name="20% - Énfasis3 2 3 3" xfId="1605" xr:uid="{00000000-0005-0000-0000-000047070000}"/>
    <cellStyle name="20% - Énfasis3 2 3 3 2" xfId="3455" xr:uid="{00000000-0005-0000-0000-000048070000}"/>
    <cellStyle name="20% - Énfasis3 2 3 3 2 2" xfId="7176" xr:uid="{00000000-0005-0000-0000-000049070000}"/>
    <cellStyle name="20% - Énfasis3 2 3 3 2 2 2" xfId="22060" xr:uid="{00000000-0005-0000-0000-00004A070000}"/>
    <cellStyle name="20% - Énfasis3 2 3 3 2 2 2 2" xfId="44703" xr:uid="{00000000-0005-0000-0000-00004B070000}"/>
    <cellStyle name="20% - Énfasis3 2 3 3 2 2 3" xfId="14620" xr:uid="{00000000-0005-0000-0000-00004C070000}"/>
    <cellStyle name="20% - Énfasis3 2 3 3 2 2 3 2" xfId="37263" xr:uid="{00000000-0005-0000-0000-00004D070000}"/>
    <cellStyle name="20% - Énfasis3 2 3 3 2 2 4" xfId="29822" xr:uid="{00000000-0005-0000-0000-00004E070000}"/>
    <cellStyle name="20% - Énfasis3 2 3 3 2 3" xfId="18342" xr:uid="{00000000-0005-0000-0000-00004F070000}"/>
    <cellStyle name="20% - Énfasis3 2 3 3 2 3 2" xfId="40985" xr:uid="{00000000-0005-0000-0000-000050070000}"/>
    <cellStyle name="20% - Énfasis3 2 3 3 2 4" xfId="10902" xr:uid="{00000000-0005-0000-0000-000051070000}"/>
    <cellStyle name="20% - Énfasis3 2 3 3 2 4 2" xfId="33545" xr:uid="{00000000-0005-0000-0000-000052070000}"/>
    <cellStyle name="20% - Énfasis3 2 3 3 2 5" xfId="26104" xr:uid="{00000000-0005-0000-0000-000053070000}"/>
    <cellStyle name="20% - Énfasis3 2 3 3 3" xfId="5329" xr:uid="{00000000-0005-0000-0000-000054070000}"/>
    <cellStyle name="20% - Énfasis3 2 3 3 3 2" xfId="20213" xr:uid="{00000000-0005-0000-0000-000055070000}"/>
    <cellStyle name="20% - Énfasis3 2 3 3 3 2 2" xfId="42856" xr:uid="{00000000-0005-0000-0000-000056070000}"/>
    <cellStyle name="20% - Énfasis3 2 3 3 3 3" xfId="12773" xr:uid="{00000000-0005-0000-0000-000057070000}"/>
    <cellStyle name="20% - Énfasis3 2 3 3 3 3 2" xfId="35416" xr:uid="{00000000-0005-0000-0000-000058070000}"/>
    <cellStyle name="20% - Énfasis3 2 3 3 3 4" xfId="27975" xr:uid="{00000000-0005-0000-0000-000059070000}"/>
    <cellStyle name="20% - Énfasis3 2 3 3 4" xfId="16495" xr:uid="{00000000-0005-0000-0000-00005A070000}"/>
    <cellStyle name="20% - Énfasis3 2 3 3 4 2" xfId="39138" xr:uid="{00000000-0005-0000-0000-00005B070000}"/>
    <cellStyle name="20% - Énfasis3 2 3 3 5" xfId="9055" xr:uid="{00000000-0005-0000-0000-00005C070000}"/>
    <cellStyle name="20% - Énfasis3 2 3 3 5 2" xfId="31698" xr:uid="{00000000-0005-0000-0000-00005D070000}"/>
    <cellStyle name="20% - Énfasis3 2 3 3 6" xfId="24257" xr:uid="{00000000-0005-0000-0000-00005E070000}"/>
    <cellStyle name="20% - Énfasis3 2 3 4" xfId="2530" xr:uid="{00000000-0005-0000-0000-00005F070000}"/>
    <cellStyle name="20% - Énfasis3 2 3 4 2" xfId="6251" xr:uid="{00000000-0005-0000-0000-000060070000}"/>
    <cellStyle name="20% - Énfasis3 2 3 4 2 2" xfId="21135" xr:uid="{00000000-0005-0000-0000-000061070000}"/>
    <cellStyle name="20% - Énfasis3 2 3 4 2 2 2" xfId="43778" xr:uid="{00000000-0005-0000-0000-000062070000}"/>
    <cellStyle name="20% - Énfasis3 2 3 4 2 3" xfId="13695" xr:uid="{00000000-0005-0000-0000-000063070000}"/>
    <cellStyle name="20% - Énfasis3 2 3 4 2 3 2" xfId="36338" xr:uid="{00000000-0005-0000-0000-000064070000}"/>
    <cellStyle name="20% - Énfasis3 2 3 4 2 4" xfId="28897" xr:uid="{00000000-0005-0000-0000-000065070000}"/>
    <cellStyle name="20% - Énfasis3 2 3 4 3" xfId="17417" xr:uid="{00000000-0005-0000-0000-000066070000}"/>
    <cellStyle name="20% - Énfasis3 2 3 4 3 2" xfId="40060" xr:uid="{00000000-0005-0000-0000-000067070000}"/>
    <cellStyle name="20% - Énfasis3 2 3 4 4" xfId="9977" xr:uid="{00000000-0005-0000-0000-000068070000}"/>
    <cellStyle name="20% - Énfasis3 2 3 4 4 2" xfId="32620" xr:uid="{00000000-0005-0000-0000-000069070000}"/>
    <cellStyle name="20% - Énfasis3 2 3 4 5" xfId="25179" xr:uid="{00000000-0005-0000-0000-00006A070000}"/>
    <cellStyle name="20% - Énfasis3 2 3 5" xfId="4404" xr:uid="{00000000-0005-0000-0000-00006B070000}"/>
    <cellStyle name="20% - Énfasis3 2 3 5 2" xfId="19288" xr:uid="{00000000-0005-0000-0000-00006C070000}"/>
    <cellStyle name="20% - Énfasis3 2 3 5 2 2" xfId="41931" xr:uid="{00000000-0005-0000-0000-00006D070000}"/>
    <cellStyle name="20% - Énfasis3 2 3 5 3" xfId="11848" xr:uid="{00000000-0005-0000-0000-00006E070000}"/>
    <cellStyle name="20% - Énfasis3 2 3 5 3 2" xfId="34491" xr:uid="{00000000-0005-0000-0000-00006F070000}"/>
    <cellStyle name="20% - Énfasis3 2 3 5 4" xfId="27050" xr:uid="{00000000-0005-0000-0000-000070070000}"/>
    <cellStyle name="20% - Énfasis3 2 3 6" xfId="674" xr:uid="{00000000-0005-0000-0000-000071070000}"/>
    <cellStyle name="20% - Énfasis3 2 3 6 2" xfId="15570" xr:uid="{00000000-0005-0000-0000-000072070000}"/>
    <cellStyle name="20% - Énfasis3 2 3 6 2 2" xfId="38213" xr:uid="{00000000-0005-0000-0000-000073070000}"/>
    <cellStyle name="20% - Énfasis3 2 3 6 3" xfId="23332" xr:uid="{00000000-0005-0000-0000-000074070000}"/>
    <cellStyle name="20% - Énfasis3 2 3 7" xfId="8130" xr:uid="{00000000-0005-0000-0000-000075070000}"/>
    <cellStyle name="20% - Énfasis3 2 3 7 2" xfId="30773" xr:uid="{00000000-0005-0000-0000-000076070000}"/>
    <cellStyle name="20% - Énfasis3 2 3 8" xfId="22846" xr:uid="{00000000-0005-0000-0000-000077070000}"/>
    <cellStyle name="20% - Énfasis3 2 4" xfId="224" xr:uid="{00000000-0005-0000-0000-000078070000}"/>
    <cellStyle name="20% - Énfasis3 2 4 2" xfId="1856" xr:uid="{00000000-0005-0000-0000-000079070000}"/>
    <cellStyle name="20% - Énfasis3 2 4 2 2" xfId="3706" xr:uid="{00000000-0005-0000-0000-00007A070000}"/>
    <cellStyle name="20% - Énfasis3 2 4 2 2 2" xfId="7427" xr:uid="{00000000-0005-0000-0000-00007B070000}"/>
    <cellStyle name="20% - Énfasis3 2 4 2 2 2 2" xfId="22311" xr:uid="{00000000-0005-0000-0000-00007C070000}"/>
    <cellStyle name="20% - Énfasis3 2 4 2 2 2 2 2" xfId="44954" xr:uid="{00000000-0005-0000-0000-00007D070000}"/>
    <cellStyle name="20% - Énfasis3 2 4 2 2 2 3" xfId="14871" xr:uid="{00000000-0005-0000-0000-00007E070000}"/>
    <cellStyle name="20% - Énfasis3 2 4 2 2 2 3 2" xfId="37514" xr:uid="{00000000-0005-0000-0000-00007F070000}"/>
    <cellStyle name="20% - Énfasis3 2 4 2 2 2 4" xfId="30073" xr:uid="{00000000-0005-0000-0000-000080070000}"/>
    <cellStyle name="20% - Énfasis3 2 4 2 2 3" xfId="18593" xr:uid="{00000000-0005-0000-0000-000081070000}"/>
    <cellStyle name="20% - Énfasis3 2 4 2 2 3 2" xfId="41236" xr:uid="{00000000-0005-0000-0000-000082070000}"/>
    <cellStyle name="20% - Énfasis3 2 4 2 2 4" xfId="11153" xr:uid="{00000000-0005-0000-0000-000083070000}"/>
    <cellStyle name="20% - Énfasis3 2 4 2 2 4 2" xfId="33796" xr:uid="{00000000-0005-0000-0000-000084070000}"/>
    <cellStyle name="20% - Énfasis3 2 4 2 2 5" xfId="26355" xr:uid="{00000000-0005-0000-0000-000085070000}"/>
    <cellStyle name="20% - Énfasis3 2 4 2 3" xfId="5580" xr:uid="{00000000-0005-0000-0000-000086070000}"/>
    <cellStyle name="20% - Énfasis3 2 4 2 3 2" xfId="20464" xr:uid="{00000000-0005-0000-0000-000087070000}"/>
    <cellStyle name="20% - Énfasis3 2 4 2 3 2 2" xfId="43107" xr:uid="{00000000-0005-0000-0000-000088070000}"/>
    <cellStyle name="20% - Énfasis3 2 4 2 3 3" xfId="13024" xr:uid="{00000000-0005-0000-0000-000089070000}"/>
    <cellStyle name="20% - Énfasis3 2 4 2 3 3 2" xfId="35667" xr:uid="{00000000-0005-0000-0000-00008A070000}"/>
    <cellStyle name="20% - Énfasis3 2 4 2 3 4" xfId="28226" xr:uid="{00000000-0005-0000-0000-00008B070000}"/>
    <cellStyle name="20% - Énfasis3 2 4 2 4" xfId="16746" xr:uid="{00000000-0005-0000-0000-00008C070000}"/>
    <cellStyle name="20% - Énfasis3 2 4 2 4 2" xfId="39389" xr:uid="{00000000-0005-0000-0000-00008D070000}"/>
    <cellStyle name="20% - Énfasis3 2 4 2 5" xfId="9306" xr:uid="{00000000-0005-0000-0000-00008E070000}"/>
    <cellStyle name="20% - Énfasis3 2 4 2 5 2" xfId="31949" xr:uid="{00000000-0005-0000-0000-00008F070000}"/>
    <cellStyle name="20% - Énfasis3 2 4 2 6" xfId="24508" xr:uid="{00000000-0005-0000-0000-000090070000}"/>
    <cellStyle name="20% - Énfasis3 2 4 3" xfId="2781" xr:uid="{00000000-0005-0000-0000-000091070000}"/>
    <cellStyle name="20% - Énfasis3 2 4 3 2" xfId="6502" xr:uid="{00000000-0005-0000-0000-000092070000}"/>
    <cellStyle name="20% - Énfasis3 2 4 3 2 2" xfId="21386" xr:uid="{00000000-0005-0000-0000-000093070000}"/>
    <cellStyle name="20% - Énfasis3 2 4 3 2 2 2" xfId="44029" xr:uid="{00000000-0005-0000-0000-000094070000}"/>
    <cellStyle name="20% - Énfasis3 2 4 3 2 3" xfId="13946" xr:uid="{00000000-0005-0000-0000-000095070000}"/>
    <cellStyle name="20% - Énfasis3 2 4 3 2 3 2" xfId="36589" xr:uid="{00000000-0005-0000-0000-000096070000}"/>
    <cellStyle name="20% - Énfasis3 2 4 3 2 4" xfId="29148" xr:uid="{00000000-0005-0000-0000-000097070000}"/>
    <cellStyle name="20% - Énfasis3 2 4 3 3" xfId="17668" xr:uid="{00000000-0005-0000-0000-000098070000}"/>
    <cellStyle name="20% - Énfasis3 2 4 3 3 2" xfId="40311" xr:uid="{00000000-0005-0000-0000-000099070000}"/>
    <cellStyle name="20% - Énfasis3 2 4 3 4" xfId="10228" xr:uid="{00000000-0005-0000-0000-00009A070000}"/>
    <cellStyle name="20% - Énfasis3 2 4 3 4 2" xfId="32871" xr:uid="{00000000-0005-0000-0000-00009B070000}"/>
    <cellStyle name="20% - Énfasis3 2 4 3 5" xfId="25430" xr:uid="{00000000-0005-0000-0000-00009C070000}"/>
    <cellStyle name="20% - Énfasis3 2 4 4" xfId="4655" xr:uid="{00000000-0005-0000-0000-00009D070000}"/>
    <cellStyle name="20% - Énfasis3 2 4 4 2" xfId="19539" xr:uid="{00000000-0005-0000-0000-00009E070000}"/>
    <cellStyle name="20% - Énfasis3 2 4 4 2 2" xfId="42182" xr:uid="{00000000-0005-0000-0000-00009F070000}"/>
    <cellStyle name="20% - Énfasis3 2 4 4 3" xfId="12099" xr:uid="{00000000-0005-0000-0000-0000A0070000}"/>
    <cellStyle name="20% - Énfasis3 2 4 4 3 2" xfId="34742" xr:uid="{00000000-0005-0000-0000-0000A1070000}"/>
    <cellStyle name="20% - Énfasis3 2 4 4 4" xfId="27301" xr:uid="{00000000-0005-0000-0000-0000A2070000}"/>
    <cellStyle name="20% - Énfasis3 2 4 5" xfId="928" xr:uid="{00000000-0005-0000-0000-0000A3070000}"/>
    <cellStyle name="20% - Énfasis3 2 4 5 2" xfId="15821" xr:uid="{00000000-0005-0000-0000-0000A4070000}"/>
    <cellStyle name="20% - Énfasis3 2 4 5 2 2" xfId="38464" xr:uid="{00000000-0005-0000-0000-0000A5070000}"/>
    <cellStyle name="20% - Énfasis3 2 4 5 3" xfId="23583" xr:uid="{00000000-0005-0000-0000-0000A6070000}"/>
    <cellStyle name="20% - Énfasis3 2 4 6" xfId="8381" xr:uid="{00000000-0005-0000-0000-0000A7070000}"/>
    <cellStyle name="20% - Énfasis3 2 4 6 2" xfId="31024" xr:uid="{00000000-0005-0000-0000-0000A8070000}"/>
    <cellStyle name="20% - Énfasis3 2 4 7" xfId="22924" xr:uid="{00000000-0005-0000-0000-0000A9070000}"/>
    <cellStyle name="20% - Énfasis3 2 5" xfId="1394" xr:uid="{00000000-0005-0000-0000-0000AA070000}"/>
    <cellStyle name="20% - Énfasis3 2 5 2" xfId="3244" xr:uid="{00000000-0005-0000-0000-0000AB070000}"/>
    <cellStyle name="20% - Énfasis3 2 5 2 2" xfId="6965" xr:uid="{00000000-0005-0000-0000-0000AC070000}"/>
    <cellStyle name="20% - Énfasis3 2 5 2 2 2" xfId="21849" xr:uid="{00000000-0005-0000-0000-0000AD070000}"/>
    <cellStyle name="20% - Énfasis3 2 5 2 2 2 2" xfId="44492" xr:uid="{00000000-0005-0000-0000-0000AE070000}"/>
    <cellStyle name="20% - Énfasis3 2 5 2 2 3" xfId="14409" xr:uid="{00000000-0005-0000-0000-0000AF070000}"/>
    <cellStyle name="20% - Énfasis3 2 5 2 2 3 2" xfId="37052" xr:uid="{00000000-0005-0000-0000-0000B0070000}"/>
    <cellStyle name="20% - Énfasis3 2 5 2 2 4" xfId="29611" xr:uid="{00000000-0005-0000-0000-0000B1070000}"/>
    <cellStyle name="20% - Énfasis3 2 5 2 3" xfId="18131" xr:uid="{00000000-0005-0000-0000-0000B2070000}"/>
    <cellStyle name="20% - Énfasis3 2 5 2 3 2" xfId="40774" xr:uid="{00000000-0005-0000-0000-0000B3070000}"/>
    <cellStyle name="20% - Énfasis3 2 5 2 4" xfId="10691" xr:uid="{00000000-0005-0000-0000-0000B4070000}"/>
    <cellStyle name="20% - Énfasis3 2 5 2 4 2" xfId="33334" xr:uid="{00000000-0005-0000-0000-0000B5070000}"/>
    <cellStyle name="20% - Énfasis3 2 5 2 5" xfId="25893" xr:uid="{00000000-0005-0000-0000-0000B6070000}"/>
    <cellStyle name="20% - Énfasis3 2 5 3" xfId="5118" xr:uid="{00000000-0005-0000-0000-0000B7070000}"/>
    <cellStyle name="20% - Énfasis3 2 5 3 2" xfId="20002" xr:uid="{00000000-0005-0000-0000-0000B8070000}"/>
    <cellStyle name="20% - Énfasis3 2 5 3 2 2" xfId="42645" xr:uid="{00000000-0005-0000-0000-0000B9070000}"/>
    <cellStyle name="20% - Énfasis3 2 5 3 3" xfId="12562" xr:uid="{00000000-0005-0000-0000-0000BA070000}"/>
    <cellStyle name="20% - Énfasis3 2 5 3 3 2" xfId="35205" xr:uid="{00000000-0005-0000-0000-0000BB070000}"/>
    <cellStyle name="20% - Énfasis3 2 5 3 4" xfId="27764" xr:uid="{00000000-0005-0000-0000-0000BC070000}"/>
    <cellStyle name="20% - Énfasis3 2 5 4" xfId="16284" xr:uid="{00000000-0005-0000-0000-0000BD070000}"/>
    <cellStyle name="20% - Énfasis3 2 5 4 2" xfId="38927" xr:uid="{00000000-0005-0000-0000-0000BE070000}"/>
    <cellStyle name="20% - Énfasis3 2 5 5" xfId="8844" xr:uid="{00000000-0005-0000-0000-0000BF070000}"/>
    <cellStyle name="20% - Énfasis3 2 5 5 2" xfId="31487" xr:uid="{00000000-0005-0000-0000-0000C0070000}"/>
    <cellStyle name="20% - Énfasis3 2 5 6" xfId="24046" xr:uid="{00000000-0005-0000-0000-0000C1070000}"/>
    <cellStyle name="20% - Énfasis3 2 6" xfId="2319" xr:uid="{00000000-0005-0000-0000-0000C2070000}"/>
    <cellStyle name="20% - Énfasis3 2 6 2" xfId="6040" xr:uid="{00000000-0005-0000-0000-0000C3070000}"/>
    <cellStyle name="20% - Énfasis3 2 6 2 2" xfId="20924" xr:uid="{00000000-0005-0000-0000-0000C4070000}"/>
    <cellStyle name="20% - Énfasis3 2 6 2 2 2" xfId="43567" xr:uid="{00000000-0005-0000-0000-0000C5070000}"/>
    <cellStyle name="20% - Énfasis3 2 6 2 3" xfId="13484" xr:uid="{00000000-0005-0000-0000-0000C6070000}"/>
    <cellStyle name="20% - Énfasis3 2 6 2 3 2" xfId="36127" xr:uid="{00000000-0005-0000-0000-0000C7070000}"/>
    <cellStyle name="20% - Énfasis3 2 6 2 4" xfId="28686" xr:uid="{00000000-0005-0000-0000-0000C8070000}"/>
    <cellStyle name="20% - Énfasis3 2 6 3" xfId="17206" xr:uid="{00000000-0005-0000-0000-0000C9070000}"/>
    <cellStyle name="20% - Énfasis3 2 6 3 2" xfId="39849" xr:uid="{00000000-0005-0000-0000-0000CA070000}"/>
    <cellStyle name="20% - Énfasis3 2 6 4" xfId="9766" xr:uid="{00000000-0005-0000-0000-0000CB070000}"/>
    <cellStyle name="20% - Énfasis3 2 6 4 2" xfId="32409" xr:uid="{00000000-0005-0000-0000-0000CC070000}"/>
    <cellStyle name="20% - Énfasis3 2 6 5" xfId="24968" xr:uid="{00000000-0005-0000-0000-0000CD070000}"/>
    <cellStyle name="20% - Énfasis3 2 7" xfId="4193" xr:uid="{00000000-0005-0000-0000-0000CE070000}"/>
    <cellStyle name="20% - Énfasis3 2 7 2" xfId="19077" xr:uid="{00000000-0005-0000-0000-0000CF070000}"/>
    <cellStyle name="20% - Énfasis3 2 7 2 2" xfId="41720" xr:uid="{00000000-0005-0000-0000-0000D0070000}"/>
    <cellStyle name="20% - Énfasis3 2 7 3" xfId="11637" xr:uid="{00000000-0005-0000-0000-0000D1070000}"/>
    <cellStyle name="20% - Énfasis3 2 7 3 2" xfId="34280" xr:uid="{00000000-0005-0000-0000-0000D2070000}"/>
    <cellStyle name="20% - Énfasis3 2 7 4" xfId="26839" xr:uid="{00000000-0005-0000-0000-0000D3070000}"/>
    <cellStyle name="20% - Énfasis3 2 8" xfId="460" xr:uid="{00000000-0005-0000-0000-0000D4070000}"/>
    <cellStyle name="20% - Énfasis3 2 8 2" xfId="15359" xr:uid="{00000000-0005-0000-0000-0000D5070000}"/>
    <cellStyle name="20% - Énfasis3 2 8 2 2" xfId="38002" xr:uid="{00000000-0005-0000-0000-0000D6070000}"/>
    <cellStyle name="20% - Énfasis3 2 8 3" xfId="23122" xr:uid="{00000000-0005-0000-0000-0000D7070000}"/>
    <cellStyle name="20% - Énfasis3 2 9" xfId="7919" xr:uid="{00000000-0005-0000-0000-0000D8070000}"/>
    <cellStyle name="20% - Énfasis3 2 9 2" xfId="30562" xr:uid="{00000000-0005-0000-0000-0000D9070000}"/>
    <cellStyle name="20% - Énfasis3 3" xfId="88" xr:uid="{00000000-0005-0000-0000-0000DA070000}"/>
    <cellStyle name="20% - Énfasis3 3 2" xfId="172" xr:uid="{00000000-0005-0000-0000-0000DB070000}"/>
    <cellStyle name="20% - Énfasis3 3 2 2" xfId="333" xr:uid="{00000000-0005-0000-0000-0000DC070000}"/>
    <cellStyle name="20% - Énfasis3 3 2 2 2" xfId="2120" xr:uid="{00000000-0005-0000-0000-0000DD070000}"/>
    <cellStyle name="20% - Énfasis3 3 2 2 2 2" xfId="3970" xr:uid="{00000000-0005-0000-0000-0000DE070000}"/>
    <cellStyle name="20% - Énfasis3 3 2 2 2 2 2" xfId="7691" xr:uid="{00000000-0005-0000-0000-0000DF070000}"/>
    <cellStyle name="20% - Énfasis3 3 2 2 2 2 2 2" xfId="22575" xr:uid="{00000000-0005-0000-0000-0000E0070000}"/>
    <cellStyle name="20% - Énfasis3 3 2 2 2 2 2 2 2" xfId="45218" xr:uid="{00000000-0005-0000-0000-0000E1070000}"/>
    <cellStyle name="20% - Énfasis3 3 2 2 2 2 2 3" xfId="15135" xr:uid="{00000000-0005-0000-0000-0000E2070000}"/>
    <cellStyle name="20% - Énfasis3 3 2 2 2 2 2 3 2" xfId="37778" xr:uid="{00000000-0005-0000-0000-0000E3070000}"/>
    <cellStyle name="20% - Énfasis3 3 2 2 2 2 2 4" xfId="30337" xr:uid="{00000000-0005-0000-0000-0000E4070000}"/>
    <cellStyle name="20% - Énfasis3 3 2 2 2 2 3" xfId="18857" xr:uid="{00000000-0005-0000-0000-0000E5070000}"/>
    <cellStyle name="20% - Énfasis3 3 2 2 2 2 3 2" xfId="41500" xr:uid="{00000000-0005-0000-0000-0000E6070000}"/>
    <cellStyle name="20% - Énfasis3 3 2 2 2 2 4" xfId="11417" xr:uid="{00000000-0005-0000-0000-0000E7070000}"/>
    <cellStyle name="20% - Énfasis3 3 2 2 2 2 4 2" xfId="34060" xr:uid="{00000000-0005-0000-0000-0000E8070000}"/>
    <cellStyle name="20% - Énfasis3 3 2 2 2 2 5" xfId="26619" xr:uid="{00000000-0005-0000-0000-0000E9070000}"/>
    <cellStyle name="20% - Énfasis3 3 2 2 2 3" xfId="5844" xr:uid="{00000000-0005-0000-0000-0000EA070000}"/>
    <cellStyle name="20% - Énfasis3 3 2 2 2 3 2" xfId="20728" xr:uid="{00000000-0005-0000-0000-0000EB070000}"/>
    <cellStyle name="20% - Énfasis3 3 2 2 2 3 2 2" xfId="43371" xr:uid="{00000000-0005-0000-0000-0000EC070000}"/>
    <cellStyle name="20% - Énfasis3 3 2 2 2 3 3" xfId="13288" xr:uid="{00000000-0005-0000-0000-0000ED070000}"/>
    <cellStyle name="20% - Énfasis3 3 2 2 2 3 3 2" xfId="35931" xr:uid="{00000000-0005-0000-0000-0000EE070000}"/>
    <cellStyle name="20% - Énfasis3 3 2 2 2 3 4" xfId="28490" xr:uid="{00000000-0005-0000-0000-0000EF070000}"/>
    <cellStyle name="20% - Énfasis3 3 2 2 2 4" xfId="17010" xr:uid="{00000000-0005-0000-0000-0000F0070000}"/>
    <cellStyle name="20% - Énfasis3 3 2 2 2 4 2" xfId="39653" xr:uid="{00000000-0005-0000-0000-0000F1070000}"/>
    <cellStyle name="20% - Énfasis3 3 2 2 2 5" xfId="9570" xr:uid="{00000000-0005-0000-0000-0000F2070000}"/>
    <cellStyle name="20% - Énfasis3 3 2 2 2 5 2" xfId="32213" xr:uid="{00000000-0005-0000-0000-0000F3070000}"/>
    <cellStyle name="20% - Énfasis3 3 2 2 2 6" xfId="24772" xr:uid="{00000000-0005-0000-0000-0000F4070000}"/>
    <cellStyle name="20% - Énfasis3 3 2 2 3" xfId="3045" xr:uid="{00000000-0005-0000-0000-0000F5070000}"/>
    <cellStyle name="20% - Énfasis3 3 2 2 3 2" xfId="6766" xr:uid="{00000000-0005-0000-0000-0000F6070000}"/>
    <cellStyle name="20% - Énfasis3 3 2 2 3 2 2" xfId="21650" xr:uid="{00000000-0005-0000-0000-0000F7070000}"/>
    <cellStyle name="20% - Énfasis3 3 2 2 3 2 2 2" xfId="44293" xr:uid="{00000000-0005-0000-0000-0000F8070000}"/>
    <cellStyle name="20% - Énfasis3 3 2 2 3 2 3" xfId="14210" xr:uid="{00000000-0005-0000-0000-0000F9070000}"/>
    <cellStyle name="20% - Énfasis3 3 2 2 3 2 3 2" xfId="36853" xr:uid="{00000000-0005-0000-0000-0000FA070000}"/>
    <cellStyle name="20% - Énfasis3 3 2 2 3 2 4" xfId="29412" xr:uid="{00000000-0005-0000-0000-0000FB070000}"/>
    <cellStyle name="20% - Énfasis3 3 2 2 3 3" xfId="17932" xr:uid="{00000000-0005-0000-0000-0000FC070000}"/>
    <cellStyle name="20% - Énfasis3 3 2 2 3 3 2" xfId="40575" xr:uid="{00000000-0005-0000-0000-0000FD070000}"/>
    <cellStyle name="20% - Énfasis3 3 2 2 3 4" xfId="10492" xr:uid="{00000000-0005-0000-0000-0000FE070000}"/>
    <cellStyle name="20% - Énfasis3 3 2 2 3 4 2" xfId="33135" xr:uid="{00000000-0005-0000-0000-0000FF070000}"/>
    <cellStyle name="20% - Énfasis3 3 2 2 3 5" xfId="25694" xr:uid="{00000000-0005-0000-0000-000000080000}"/>
    <cellStyle name="20% - Énfasis3 3 2 2 4" xfId="4919" xr:uid="{00000000-0005-0000-0000-000001080000}"/>
    <cellStyle name="20% - Énfasis3 3 2 2 4 2" xfId="19803" xr:uid="{00000000-0005-0000-0000-000002080000}"/>
    <cellStyle name="20% - Énfasis3 3 2 2 4 2 2" xfId="42446" xr:uid="{00000000-0005-0000-0000-000003080000}"/>
    <cellStyle name="20% - Énfasis3 3 2 2 4 3" xfId="12363" xr:uid="{00000000-0005-0000-0000-000004080000}"/>
    <cellStyle name="20% - Énfasis3 3 2 2 4 3 2" xfId="35006" xr:uid="{00000000-0005-0000-0000-000005080000}"/>
    <cellStyle name="20% - Énfasis3 3 2 2 4 4" xfId="27565" xr:uid="{00000000-0005-0000-0000-000006080000}"/>
    <cellStyle name="20% - Énfasis3 3 2 2 5" xfId="1192" xr:uid="{00000000-0005-0000-0000-000007080000}"/>
    <cellStyle name="20% - Énfasis3 3 2 2 5 2" xfId="16085" xr:uid="{00000000-0005-0000-0000-000008080000}"/>
    <cellStyle name="20% - Énfasis3 3 2 2 5 2 2" xfId="38728" xr:uid="{00000000-0005-0000-0000-000009080000}"/>
    <cellStyle name="20% - Énfasis3 3 2 2 5 3" xfId="23847" xr:uid="{00000000-0005-0000-0000-00000A080000}"/>
    <cellStyle name="20% - Énfasis3 3 2 2 6" xfId="8645" xr:uid="{00000000-0005-0000-0000-00000B080000}"/>
    <cellStyle name="20% - Énfasis3 3 2 2 6 2" xfId="31288" xr:uid="{00000000-0005-0000-0000-00000C080000}"/>
    <cellStyle name="20% - Énfasis3 3 2 2 7" xfId="23031" xr:uid="{00000000-0005-0000-0000-00000D080000}"/>
    <cellStyle name="20% - Énfasis3 3 2 3" xfId="1658" xr:uid="{00000000-0005-0000-0000-00000E080000}"/>
    <cellStyle name="20% - Énfasis3 3 2 3 2" xfId="3508" xr:uid="{00000000-0005-0000-0000-00000F080000}"/>
    <cellStyle name="20% - Énfasis3 3 2 3 2 2" xfId="7229" xr:uid="{00000000-0005-0000-0000-000010080000}"/>
    <cellStyle name="20% - Énfasis3 3 2 3 2 2 2" xfId="22113" xr:uid="{00000000-0005-0000-0000-000011080000}"/>
    <cellStyle name="20% - Énfasis3 3 2 3 2 2 2 2" xfId="44756" xr:uid="{00000000-0005-0000-0000-000012080000}"/>
    <cellStyle name="20% - Énfasis3 3 2 3 2 2 3" xfId="14673" xr:uid="{00000000-0005-0000-0000-000013080000}"/>
    <cellStyle name="20% - Énfasis3 3 2 3 2 2 3 2" xfId="37316" xr:uid="{00000000-0005-0000-0000-000014080000}"/>
    <cellStyle name="20% - Énfasis3 3 2 3 2 2 4" xfId="29875" xr:uid="{00000000-0005-0000-0000-000015080000}"/>
    <cellStyle name="20% - Énfasis3 3 2 3 2 3" xfId="18395" xr:uid="{00000000-0005-0000-0000-000016080000}"/>
    <cellStyle name="20% - Énfasis3 3 2 3 2 3 2" xfId="41038" xr:uid="{00000000-0005-0000-0000-000017080000}"/>
    <cellStyle name="20% - Énfasis3 3 2 3 2 4" xfId="10955" xr:uid="{00000000-0005-0000-0000-000018080000}"/>
    <cellStyle name="20% - Énfasis3 3 2 3 2 4 2" xfId="33598" xr:uid="{00000000-0005-0000-0000-000019080000}"/>
    <cellStyle name="20% - Énfasis3 3 2 3 2 5" xfId="26157" xr:uid="{00000000-0005-0000-0000-00001A080000}"/>
    <cellStyle name="20% - Énfasis3 3 2 3 3" xfId="5382" xr:uid="{00000000-0005-0000-0000-00001B080000}"/>
    <cellStyle name="20% - Énfasis3 3 2 3 3 2" xfId="20266" xr:uid="{00000000-0005-0000-0000-00001C080000}"/>
    <cellStyle name="20% - Énfasis3 3 2 3 3 2 2" xfId="42909" xr:uid="{00000000-0005-0000-0000-00001D080000}"/>
    <cellStyle name="20% - Énfasis3 3 2 3 3 3" xfId="12826" xr:uid="{00000000-0005-0000-0000-00001E080000}"/>
    <cellStyle name="20% - Énfasis3 3 2 3 3 3 2" xfId="35469" xr:uid="{00000000-0005-0000-0000-00001F080000}"/>
    <cellStyle name="20% - Énfasis3 3 2 3 3 4" xfId="28028" xr:uid="{00000000-0005-0000-0000-000020080000}"/>
    <cellStyle name="20% - Énfasis3 3 2 3 4" xfId="16548" xr:uid="{00000000-0005-0000-0000-000021080000}"/>
    <cellStyle name="20% - Énfasis3 3 2 3 4 2" xfId="39191" xr:uid="{00000000-0005-0000-0000-000022080000}"/>
    <cellStyle name="20% - Énfasis3 3 2 3 5" xfId="9108" xr:uid="{00000000-0005-0000-0000-000023080000}"/>
    <cellStyle name="20% - Énfasis3 3 2 3 5 2" xfId="31751" xr:uid="{00000000-0005-0000-0000-000024080000}"/>
    <cellStyle name="20% - Énfasis3 3 2 3 6" xfId="24310" xr:uid="{00000000-0005-0000-0000-000025080000}"/>
    <cellStyle name="20% - Énfasis3 3 2 4" xfId="2583" xr:uid="{00000000-0005-0000-0000-000026080000}"/>
    <cellStyle name="20% - Énfasis3 3 2 4 2" xfId="6304" xr:uid="{00000000-0005-0000-0000-000027080000}"/>
    <cellStyle name="20% - Énfasis3 3 2 4 2 2" xfId="21188" xr:uid="{00000000-0005-0000-0000-000028080000}"/>
    <cellStyle name="20% - Énfasis3 3 2 4 2 2 2" xfId="43831" xr:uid="{00000000-0005-0000-0000-000029080000}"/>
    <cellStyle name="20% - Énfasis3 3 2 4 2 3" xfId="13748" xr:uid="{00000000-0005-0000-0000-00002A080000}"/>
    <cellStyle name="20% - Énfasis3 3 2 4 2 3 2" xfId="36391" xr:uid="{00000000-0005-0000-0000-00002B080000}"/>
    <cellStyle name="20% - Énfasis3 3 2 4 2 4" xfId="28950" xr:uid="{00000000-0005-0000-0000-00002C080000}"/>
    <cellStyle name="20% - Énfasis3 3 2 4 3" xfId="17470" xr:uid="{00000000-0005-0000-0000-00002D080000}"/>
    <cellStyle name="20% - Énfasis3 3 2 4 3 2" xfId="40113" xr:uid="{00000000-0005-0000-0000-00002E080000}"/>
    <cellStyle name="20% - Énfasis3 3 2 4 4" xfId="10030" xr:uid="{00000000-0005-0000-0000-00002F080000}"/>
    <cellStyle name="20% - Énfasis3 3 2 4 4 2" xfId="32673" xr:uid="{00000000-0005-0000-0000-000030080000}"/>
    <cellStyle name="20% - Énfasis3 3 2 4 5" xfId="25232" xr:uid="{00000000-0005-0000-0000-000031080000}"/>
    <cellStyle name="20% - Énfasis3 3 2 5" xfId="4457" xr:uid="{00000000-0005-0000-0000-000032080000}"/>
    <cellStyle name="20% - Énfasis3 3 2 5 2" xfId="19341" xr:uid="{00000000-0005-0000-0000-000033080000}"/>
    <cellStyle name="20% - Énfasis3 3 2 5 2 2" xfId="41984" xr:uid="{00000000-0005-0000-0000-000034080000}"/>
    <cellStyle name="20% - Énfasis3 3 2 5 3" xfId="11901" xr:uid="{00000000-0005-0000-0000-000035080000}"/>
    <cellStyle name="20% - Énfasis3 3 2 5 3 2" xfId="34544" xr:uid="{00000000-0005-0000-0000-000036080000}"/>
    <cellStyle name="20% - Énfasis3 3 2 5 4" xfId="27103" xr:uid="{00000000-0005-0000-0000-000037080000}"/>
    <cellStyle name="20% - Énfasis3 3 2 6" xfId="727" xr:uid="{00000000-0005-0000-0000-000038080000}"/>
    <cellStyle name="20% - Énfasis3 3 2 6 2" xfId="15623" xr:uid="{00000000-0005-0000-0000-000039080000}"/>
    <cellStyle name="20% - Énfasis3 3 2 6 2 2" xfId="38266" xr:uid="{00000000-0005-0000-0000-00003A080000}"/>
    <cellStyle name="20% - Énfasis3 3 2 6 3" xfId="23385" xr:uid="{00000000-0005-0000-0000-00003B080000}"/>
    <cellStyle name="20% - Énfasis3 3 2 7" xfId="8183" xr:uid="{00000000-0005-0000-0000-00003C080000}"/>
    <cellStyle name="20% - Énfasis3 3 2 7 2" xfId="30826" xr:uid="{00000000-0005-0000-0000-00003D080000}"/>
    <cellStyle name="20% - Énfasis3 3 2 8" xfId="22875" xr:uid="{00000000-0005-0000-0000-00003E080000}"/>
    <cellStyle name="20% - Énfasis3 3 3" xfId="255" xr:uid="{00000000-0005-0000-0000-00003F080000}"/>
    <cellStyle name="20% - Énfasis3 3 3 2" xfId="1909" xr:uid="{00000000-0005-0000-0000-000040080000}"/>
    <cellStyle name="20% - Énfasis3 3 3 2 2" xfId="3759" xr:uid="{00000000-0005-0000-0000-000041080000}"/>
    <cellStyle name="20% - Énfasis3 3 3 2 2 2" xfId="7480" xr:uid="{00000000-0005-0000-0000-000042080000}"/>
    <cellStyle name="20% - Énfasis3 3 3 2 2 2 2" xfId="22364" xr:uid="{00000000-0005-0000-0000-000043080000}"/>
    <cellStyle name="20% - Énfasis3 3 3 2 2 2 2 2" xfId="45007" xr:uid="{00000000-0005-0000-0000-000044080000}"/>
    <cellStyle name="20% - Énfasis3 3 3 2 2 2 3" xfId="14924" xr:uid="{00000000-0005-0000-0000-000045080000}"/>
    <cellStyle name="20% - Énfasis3 3 3 2 2 2 3 2" xfId="37567" xr:uid="{00000000-0005-0000-0000-000046080000}"/>
    <cellStyle name="20% - Énfasis3 3 3 2 2 2 4" xfId="30126" xr:uid="{00000000-0005-0000-0000-000047080000}"/>
    <cellStyle name="20% - Énfasis3 3 3 2 2 3" xfId="18646" xr:uid="{00000000-0005-0000-0000-000048080000}"/>
    <cellStyle name="20% - Énfasis3 3 3 2 2 3 2" xfId="41289" xr:uid="{00000000-0005-0000-0000-000049080000}"/>
    <cellStyle name="20% - Énfasis3 3 3 2 2 4" xfId="11206" xr:uid="{00000000-0005-0000-0000-00004A080000}"/>
    <cellStyle name="20% - Énfasis3 3 3 2 2 4 2" xfId="33849" xr:uid="{00000000-0005-0000-0000-00004B080000}"/>
    <cellStyle name="20% - Énfasis3 3 3 2 2 5" xfId="26408" xr:uid="{00000000-0005-0000-0000-00004C080000}"/>
    <cellStyle name="20% - Énfasis3 3 3 2 3" xfId="5633" xr:uid="{00000000-0005-0000-0000-00004D080000}"/>
    <cellStyle name="20% - Énfasis3 3 3 2 3 2" xfId="20517" xr:uid="{00000000-0005-0000-0000-00004E080000}"/>
    <cellStyle name="20% - Énfasis3 3 3 2 3 2 2" xfId="43160" xr:uid="{00000000-0005-0000-0000-00004F080000}"/>
    <cellStyle name="20% - Énfasis3 3 3 2 3 3" xfId="13077" xr:uid="{00000000-0005-0000-0000-000050080000}"/>
    <cellStyle name="20% - Énfasis3 3 3 2 3 3 2" xfId="35720" xr:uid="{00000000-0005-0000-0000-000051080000}"/>
    <cellStyle name="20% - Énfasis3 3 3 2 3 4" xfId="28279" xr:uid="{00000000-0005-0000-0000-000052080000}"/>
    <cellStyle name="20% - Énfasis3 3 3 2 4" xfId="16799" xr:uid="{00000000-0005-0000-0000-000053080000}"/>
    <cellStyle name="20% - Énfasis3 3 3 2 4 2" xfId="39442" xr:uid="{00000000-0005-0000-0000-000054080000}"/>
    <cellStyle name="20% - Énfasis3 3 3 2 5" xfId="9359" xr:uid="{00000000-0005-0000-0000-000055080000}"/>
    <cellStyle name="20% - Énfasis3 3 3 2 5 2" xfId="32002" xr:uid="{00000000-0005-0000-0000-000056080000}"/>
    <cellStyle name="20% - Énfasis3 3 3 2 6" xfId="24561" xr:uid="{00000000-0005-0000-0000-000057080000}"/>
    <cellStyle name="20% - Énfasis3 3 3 3" xfId="2834" xr:uid="{00000000-0005-0000-0000-000058080000}"/>
    <cellStyle name="20% - Énfasis3 3 3 3 2" xfId="6555" xr:uid="{00000000-0005-0000-0000-000059080000}"/>
    <cellStyle name="20% - Énfasis3 3 3 3 2 2" xfId="21439" xr:uid="{00000000-0005-0000-0000-00005A080000}"/>
    <cellStyle name="20% - Énfasis3 3 3 3 2 2 2" xfId="44082" xr:uid="{00000000-0005-0000-0000-00005B080000}"/>
    <cellStyle name="20% - Énfasis3 3 3 3 2 3" xfId="13999" xr:uid="{00000000-0005-0000-0000-00005C080000}"/>
    <cellStyle name="20% - Énfasis3 3 3 3 2 3 2" xfId="36642" xr:uid="{00000000-0005-0000-0000-00005D080000}"/>
    <cellStyle name="20% - Énfasis3 3 3 3 2 4" xfId="29201" xr:uid="{00000000-0005-0000-0000-00005E080000}"/>
    <cellStyle name="20% - Énfasis3 3 3 3 3" xfId="17721" xr:uid="{00000000-0005-0000-0000-00005F080000}"/>
    <cellStyle name="20% - Énfasis3 3 3 3 3 2" xfId="40364" xr:uid="{00000000-0005-0000-0000-000060080000}"/>
    <cellStyle name="20% - Énfasis3 3 3 3 4" xfId="10281" xr:uid="{00000000-0005-0000-0000-000061080000}"/>
    <cellStyle name="20% - Énfasis3 3 3 3 4 2" xfId="32924" xr:uid="{00000000-0005-0000-0000-000062080000}"/>
    <cellStyle name="20% - Énfasis3 3 3 3 5" xfId="25483" xr:uid="{00000000-0005-0000-0000-000063080000}"/>
    <cellStyle name="20% - Énfasis3 3 3 4" xfId="4708" xr:uid="{00000000-0005-0000-0000-000064080000}"/>
    <cellStyle name="20% - Énfasis3 3 3 4 2" xfId="19592" xr:uid="{00000000-0005-0000-0000-000065080000}"/>
    <cellStyle name="20% - Énfasis3 3 3 4 2 2" xfId="42235" xr:uid="{00000000-0005-0000-0000-000066080000}"/>
    <cellStyle name="20% - Énfasis3 3 3 4 3" xfId="12152" xr:uid="{00000000-0005-0000-0000-000067080000}"/>
    <cellStyle name="20% - Énfasis3 3 3 4 3 2" xfId="34795" xr:uid="{00000000-0005-0000-0000-000068080000}"/>
    <cellStyle name="20% - Énfasis3 3 3 4 4" xfId="27354" xr:uid="{00000000-0005-0000-0000-000069080000}"/>
    <cellStyle name="20% - Énfasis3 3 3 5" xfId="981" xr:uid="{00000000-0005-0000-0000-00006A080000}"/>
    <cellStyle name="20% - Énfasis3 3 3 5 2" xfId="15874" xr:uid="{00000000-0005-0000-0000-00006B080000}"/>
    <cellStyle name="20% - Énfasis3 3 3 5 2 2" xfId="38517" xr:uid="{00000000-0005-0000-0000-00006C080000}"/>
    <cellStyle name="20% - Énfasis3 3 3 5 3" xfId="23636" xr:uid="{00000000-0005-0000-0000-00006D080000}"/>
    <cellStyle name="20% - Énfasis3 3 3 6" xfId="8434" xr:uid="{00000000-0005-0000-0000-00006E080000}"/>
    <cellStyle name="20% - Énfasis3 3 3 6 2" xfId="31077" xr:uid="{00000000-0005-0000-0000-00006F080000}"/>
    <cellStyle name="20% - Énfasis3 3 3 7" xfId="22953" xr:uid="{00000000-0005-0000-0000-000070080000}"/>
    <cellStyle name="20% - Énfasis3 3 4" xfId="1447" xr:uid="{00000000-0005-0000-0000-000071080000}"/>
    <cellStyle name="20% - Énfasis3 3 4 2" xfId="3297" xr:uid="{00000000-0005-0000-0000-000072080000}"/>
    <cellStyle name="20% - Énfasis3 3 4 2 2" xfId="7018" xr:uid="{00000000-0005-0000-0000-000073080000}"/>
    <cellStyle name="20% - Énfasis3 3 4 2 2 2" xfId="21902" xr:uid="{00000000-0005-0000-0000-000074080000}"/>
    <cellStyle name="20% - Énfasis3 3 4 2 2 2 2" xfId="44545" xr:uid="{00000000-0005-0000-0000-000075080000}"/>
    <cellStyle name="20% - Énfasis3 3 4 2 2 3" xfId="14462" xr:uid="{00000000-0005-0000-0000-000076080000}"/>
    <cellStyle name="20% - Énfasis3 3 4 2 2 3 2" xfId="37105" xr:uid="{00000000-0005-0000-0000-000077080000}"/>
    <cellStyle name="20% - Énfasis3 3 4 2 2 4" xfId="29664" xr:uid="{00000000-0005-0000-0000-000078080000}"/>
    <cellStyle name="20% - Énfasis3 3 4 2 3" xfId="18184" xr:uid="{00000000-0005-0000-0000-000079080000}"/>
    <cellStyle name="20% - Énfasis3 3 4 2 3 2" xfId="40827" xr:uid="{00000000-0005-0000-0000-00007A080000}"/>
    <cellStyle name="20% - Énfasis3 3 4 2 4" xfId="10744" xr:uid="{00000000-0005-0000-0000-00007B080000}"/>
    <cellStyle name="20% - Énfasis3 3 4 2 4 2" xfId="33387" xr:uid="{00000000-0005-0000-0000-00007C080000}"/>
    <cellStyle name="20% - Énfasis3 3 4 2 5" xfId="25946" xr:uid="{00000000-0005-0000-0000-00007D080000}"/>
    <cellStyle name="20% - Énfasis3 3 4 3" xfId="5171" xr:uid="{00000000-0005-0000-0000-00007E080000}"/>
    <cellStyle name="20% - Énfasis3 3 4 3 2" xfId="20055" xr:uid="{00000000-0005-0000-0000-00007F080000}"/>
    <cellStyle name="20% - Énfasis3 3 4 3 2 2" xfId="42698" xr:uid="{00000000-0005-0000-0000-000080080000}"/>
    <cellStyle name="20% - Énfasis3 3 4 3 3" xfId="12615" xr:uid="{00000000-0005-0000-0000-000081080000}"/>
    <cellStyle name="20% - Énfasis3 3 4 3 3 2" xfId="35258" xr:uid="{00000000-0005-0000-0000-000082080000}"/>
    <cellStyle name="20% - Énfasis3 3 4 3 4" xfId="27817" xr:uid="{00000000-0005-0000-0000-000083080000}"/>
    <cellStyle name="20% - Énfasis3 3 4 4" xfId="16337" xr:uid="{00000000-0005-0000-0000-000084080000}"/>
    <cellStyle name="20% - Énfasis3 3 4 4 2" xfId="38980" xr:uid="{00000000-0005-0000-0000-000085080000}"/>
    <cellStyle name="20% - Énfasis3 3 4 5" xfId="8897" xr:uid="{00000000-0005-0000-0000-000086080000}"/>
    <cellStyle name="20% - Énfasis3 3 4 5 2" xfId="31540" xr:uid="{00000000-0005-0000-0000-000087080000}"/>
    <cellStyle name="20% - Énfasis3 3 4 6" xfId="24099" xr:uid="{00000000-0005-0000-0000-000088080000}"/>
    <cellStyle name="20% - Énfasis3 3 5" xfId="2372" xr:uid="{00000000-0005-0000-0000-000089080000}"/>
    <cellStyle name="20% - Énfasis3 3 5 2" xfId="6093" xr:uid="{00000000-0005-0000-0000-00008A080000}"/>
    <cellStyle name="20% - Énfasis3 3 5 2 2" xfId="20977" xr:uid="{00000000-0005-0000-0000-00008B080000}"/>
    <cellStyle name="20% - Énfasis3 3 5 2 2 2" xfId="43620" xr:uid="{00000000-0005-0000-0000-00008C080000}"/>
    <cellStyle name="20% - Énfasis3 3 5 2 3" xfId="13537" xr:uid="{00000000-0005-0000-0000-00008D080000}"/>
    <cellStyle name="20% - Énfasis3 3 5 2 3 2" xfId="36180" xr:uid="{00000000-0005-0000-0000-00008E080000}"/>
    <cellStyle name="20% - Énfasis3 3 5 2 4" xfId="28739" xr:uid="{00000000-0005-0000-0000-00008F080000}"/>
    <cellStyle name="20% - Énfasis3 3 5 3" xfId="17259" xr:uid="{00000000-0005-0000-0000-000090080000}"/>
    <cellStyle name="20% - Énfasis3 3 5 3 2" xfId="39902" xr:uid="{00000000-0005-0000-0000-000091080000}"/>
    <cellStyle name="20% - Énfasis3 3 5 4" xfId="9819" xr:uid="{00000000-0005-0000-0000-000092080000}"/>
    <cellStyle name="20% - Énfasis3 3 5 4 2" xfId="32462" xr:uid="{00000000-0005-0000-0000-000093080000}"/>
    <cellStyle name="20% - Énfasis3 3 5 5" xfId="25021" xr:uid="{00000000-0005-0000-0000-000094080000}"/>
    <cellStyle name="20% - Énfasis3 3 6" xfId="4246" xr:uid="{00000000-0005-0000-0000-000095080000}"/>
    <cellStyle name="20% - Énfasis3 3 6 2" xfId="19130" xr:uid="{00000000-0005-0000-0000-000096080000}"/>
    <cellStyle name="20% - Énfasis3 3 6 2 2" xfId="41773" xr:uid="{00000000-0005-0000-0000-000097080000}"/>
    <cellStyle name="20% - Énfasis3 3 6 3" xfId="11690" xr:uid="{00000000-0005-0000-0000-000098080000}"/>
    <cellStyle name="20% - Énfasis3 3 6 3 2" xfId="34333" xr:uid="{00000000-0005-0000-0000-000099080000}"/>
    <cellStyle name="20% - Énfasis3 3 6 4" xfId="26892" xr:uid="{00000000-0005-0000-0000-00009A080000}"/>
    <cellStyle name="20% - Énfasis3 3 7" xfId="514" xr:uid="{00000000-0005-0000-0000-00009B080000}"/>
    <cellStyle name="20% - Énfasis3 3 7 2" xfId="15412" xr:uid="{00000000-0005-0000-0000-00009C080000}"/>
    <cellStyle name="20% - Énfasis3 3 7 2 2" xfId="38055" xr:uid="{00000000-0005-0000-0000-00009D080000}"/>
    <cellStyle name="20% - Énfasis3 3 7 3" xfId="23175" xr:uid="{00000000-0005-0000-0000-00009E080000}"/>
    <cellStyle name="20% - Énfasis3 3 8" xfId="7972" xr:uid="{00000000-0005-0000-0000-00009F080000}"/>
    <cellStyle name="20% - Énfasis3 3 8 2" xfId="30615" xr:uid="{00000000-0005-0000-0000-0000A0080000}"/>
    <cellStyle name="20% - Énfasis3 3 9" xfId="22797" xr:uid="{00000000-0005-0000-0000-0000A1080000}"/>
    <cellStyle name="20% - Énfasis3 4" xfId="130" xr:uid="{00000000-0005-0000-0000-0000A2080000}"/>
    <cellStyle name="20% - Énfasis3 4 2" xfId="294" xr:uid="{00000000-0005-0000-0000-0000A3080000}"/>
    <cellStyle name="20% - Énfasis3 4 2 2" xfId="2015" xr:uid="{00000000-0005-0000-0000-0000A4080000}"/>
    <cellStyle name="20% - Énfasis3 4 2 2 2" xfId="3865" xr:uid="{00000000-0005-0000-0000-0000A5080000}"/>
    <cellStyle name="20% - Énfasis3 4 2 2 2 2" xfId="7586" xr:uid="{00000000-0005-0000-0000-0000A6080000}"/>
    <cellStyle name="20% - Énfasis3 4 2 2 2 2 2" xfId="22470" xr:uid="{00000000-0005-0000-0000-0000A7080000}"/>
    <cellStyle name="20% - Énfasis3 4 2 2 2 2 2 2" xfId="45113" xr:uid="{00000000-0005-0000-0000-0000A8080000}"/>
    <cellStyle name="20% - Énfasis3 4 2 2 2 2 3" xfId="15030" xr:uid="{00000000-0005-0000-0000-0000A9080000}"/>
    <cellStyle name="20% - Énfasis3 4 2 2 2 2 3 2" xfId="37673" xr:uid="{00000000-0005-0000-0000-0000AA080000}"/>
    <cellStyle name="20% - Énfasis3 4 2 2 2 2 4" xfId="30232" xr:uid="{00000000-0005-0000-0000-0000AB080000}"/>
    <cellStyle name="20% - Énfasis3 4 2 2 2 3" xfId="18752" xr:uid="{00000000-0005-0000-0000-0000AC080000}"/>
    <cellStyle name="20% - Énfasis3 4 2 2 2 3 2" xfId="41395" xr:uid="{00000000-0005-0000-0000-0000AD080000}"/>
    <cellStyle name="20% - Énfasis3 4 2 2 2 4" xfId="11312" xr:uid="{00000000-0005-0000-0000-0000AE080000}"/>
    <cellStyle name="20% - Énfasis3 4 2 2 2 4 2" xfId="33955" xr:uid="{00000000-0005-0000-0000-0000AF080000}"/>
    <cellStyle name="20% - Énfasis3 4 2 2 2 5" xfId="26514" xr:uid="{00000000-0005-0000-0000-0000B0080000}"/>
    <cellStyle name="20% - Énfasis3 4 2 2 3" xfId="5739" xr:uid="{00000000-0005-0000-0000-0000B1080000}"/>
    <cellStyle name="20% - Énfasis3 4 2 2 3 2" xfId="20623" xr:uid="{00000000-0005-0000-0000-0000B2080000}"/>
    <cellStyle name="20% - Énfasis3 4 2 2 3 2 2" xfId="43266" xr:uid="{00000000-0005-0000-0000-0000B3080000}"/>
    <cellStyle name="20% - Énfasis3 4 2 2 3 3" xfId="13183" xr:uid="{00000000-0005-0000-0000-0000B4080000}"/>
    <cellStyle name="20% - Énfasis3 4 2 2 3 3 2" xfId="35826" xr:uid="{00000000-0005-0000-0000-0000B5080000}"/>
    <cellStyle name="20% - Énfasis3 4 2 2 3 4" xfId="28385" xr:uid="{00000000-0005-0000-0000-0000B6080000}"/>
    <cellStyle name="20% - Énfasis3 4 2 2 4" xfId="16905" xr:uid="{00000000-0005-0000-0000-0000B7080000}"/>
    <cellStyle name="20% - Énfasis3 4 2 2 4 2" xfId="39548" xr:uid="{00000000-0005-0000-0000-0000B8080000}"/>
    <cellStyle name="20% - Énfasis3 4 2 2 5" xfId="9465" xr:uid="{00000000-0005-0000-0000-0000B9080000}"/>
    <cellStyle name="20% - Énfasis3 4 2 2 5 2" xfId="32108" xr:uid="{00000000-0005-0000-0000-0000BA080000}"/>
    <cellStyle name="20% - Énfasis3 4 2 2 6" xfId="24667" xr:uid="{00000000-0005-0000-0000-0000BB080000}"/>
    <cellStyle name="20% - Énfasis3 4 2 3" xfId="2940" xr:uid="{00000000-0005-0000-0000-0000BC080000}"/>
    <cellStyle name="20% - Énfasis3 4 2 3 2" xfId="6661" xr:uid="{00000000-0005-0000-0000-0000BD080000}"/>
    <cellStyle name="20% - Énfasis3 4 2 3 2 2" xfId="21545" xr:uid="{00000000-0005-0000-0000-0000BE080000}"/>
    <cellStyle name="20% - Énfasis3 4 2 3 2 2 2" xfId="44188" xr:uid="{00000000-0005-0000-0000-0000BF080000}"/>
    <cellStyle name="20% - Énfasis3 4 2 3 2 3" xfId="14105" xr:uid="{00000000-0005-0000-0000-0000C0080000}"/>
    <cellStyle name="20% - Énfasis3 4 2 3 2 3 2" xfId="36748" xr:uid="{00000000-0005-0000-0000-0000C1080000}"/>
    <cellStyle name="20% - Énfasis3 4 2 3 2 4" xfId="29307" xr:uid="{00000000-0005-0000-0000-0000C2080000}"/>
    <cellStyle name="20% - Énfasis3 4 2 3 3" xfId="17827" xr:uid="{00000000-0005-0000-0000-0000C3080000}"/>
    <cellStyle name="20% - Énfasis3 4 2 3 3 2" xfId="40470" xr:uid="{00000000-0005-0000-0000-0000C4080000}"/>
    <cellStyle name="20% - Énfasis3 4 2 3 4" xfId="10387" xr:uid="{00000000-0005-0000-0000-0000C5080000}"/>
    <cellStyle name="20% - Énfasis3 4 2 3 4 2" xfId="33030" xr:uid="{00000000-0005-0000-0000-0000C6080000}"/>
    <cellStyle name="20% - Énfasis3 4 2 3 5" xfId="25589" xr:uid="{00000000-0005-0000-0000-0000C7080000}"/>
    <cellStyle name="20% - Énfasis3 4 2 4" xfId="4814" xr:uid="{00000000-0005-0000-0000-0000C8080000}"/>
    <cellStyle name="20% - Énfasis3 4 2 4 2" xfId="19698" xr:uid="{00000000-0005-0000-0000-0000C9080000}"/>
    <cellStyle name="20% - Énfasis3 4 2 4 2 2" xfId="42341" xr:uid="{00000000-0005-0000-0000-0000CA080000}"/>
    <cellStyle name="20% - Énfasis3 4 2 4 3" xfId="12258" xr:uid="{00000000-0005-0000-0000-0000CB080000}"/>
    <cellStyle name="20% - Énfasis3 4 2 4 3 2" xfId="34901" xr:uid="{00000000-0005-0000-0000-0000CC080000}"/>
    <cellStyle name="20% - Énfasis3 4 2 4 4" xfId="27460" xr:uid="{00000000-0005-0000-0000-0000CD080000}"/>
    <cellStyle name="20% - Énfasis3 4 2 5" xfId="1087" xr:uid="{00000000-0005-0000-0000-0000CE080000}"/>
    <cellStyle name="20% - Énfasis3 4 2 5 2" xfId="15980" xr:uid="{00000000-0005-0000-0000-0000CF080000}"/>
    <cellStyle name="20% - Énfasis3 4 2 5 2 2" xfId="38623" xr:uid="{00000000-0005-0000-0000-0000D0080000}"/>
    <cellStyle name="20% - Énfasis3 4 2 5 3" xfId="23742" xr:uid="{00000000-0005-0000-0000-0000D1080000}"/>
    <cellStyle name="20% - Énfasis3 4 2 6" xfId="8540" xr:uid="{00000000-0005-0000-0000-0000D2080000}"/>
    <cellStyle name="20% - Énfasis3 4 2 6 2" xfId="31183" xr:uid="{00000000-0005-0000-0000-0000D3080000}"/>
    <cellStyle name="20% - Énfasis3 4 2 7" xfId="22992" xr:uid="{00000000-0005-0000-0000-0000D4080000}"/>
    <cellStyle name="20% - Énfasis3 4 3" xfId="1553" xr:uid="{00000000-0005-0000-0000-0000D5080000}"/>
    <cellStyle name="20% - Énfasis3 4 3 2" xfId="3403" xr:uid="{00000000-0005-0000-0000-0000D6080000}"/>
    <cellStyle name="20% - Énfasis3 4 3 2 2" xfId="7124" xr:uid="{00000000-0005-0000-0000-0000D7080000}"/>
    <cellStyle name="20% - Énfasis3 4 3 2 2 2" xfId="22008" xr:uid="{00000000-0005-0000-0000-0000D8080000}"/>
    <cellStyle name="20% - Énfasis3 4 3 2 2 2 2" xfId="44651" xr:uid="{00000000-0005-0000-0000-0000D9080000}"/>
    <cellStyle name="20% - Énfasis3 4 3 2 2 3" xfId="14568" xr:uid="{00000000-0005-0000-0000-0000DA080000}"/>
    <cellStyle name="20% - Énfasis3 4 3 2 2 3 2" xfId="37211" xr:uid="{00000000-0005-0000-0000-0000DB080000}"/>
    <cellStyle name="20% - Énfasis3 4 3 2 2 4" xfId="29770" xr:uid="{00000000-0005-0000-0000-0000DC080000}"/>
    <cellStyle name="20% - Énfasis3 4 3 2 3" xfId="18290" xr:uid="{00000000-0005-0000-0000-0000DD080000}"/>
    <cellStyle name="20% - Énfasis3 4 3 2 3 2" xfId="40933" xr:uid="{00000000-0005-0000-0000-0000DE080000}"/>
    <cellStyle name="20% - Énfasis3 4 3 2 4" xfId="10850" xr:uid="{00000000-0005-0000-0000-0000DF080000}"/>
    <cellStyle name="20% - Énfasis3 4 3 2 4 2" xfId="33493" xr:uid="{00000000-0005-0000-0000-0000E0080000}"/>
    <cellStyle name="20% - Énfasis3 4 3 2 5" xfId="26052" xr:uid="{00000000-0005-0000-0000-0000E1080000}"/>
    <cellStyle name="20% - Énfasis3 4 3 3" xfId="5277" xr:uid="{00000000-0005-0000-0000-0000E2080000}"/>
    <cellStyle name="20% - Énfasis3 4 3 3 2" xfId="20161" xr:uid="{00000000-0005-0000-0000-0000E3080000}"/>
    <cellStyle name="20% - Énfasis3 4 3 3 2 2" xfId="42804" xr:uid="{00000000-0005-0000-0000-0000E4080000}"/>
    <cellStyle name="20% - Énfasis3 4 3 3 3" xfId="12721" xr:uid="{00000000-0005-0000-0000-0000E5080000}"/>
    <cellStyle name="20% - Énfasis3 4 3 3 3 2" xfId="35364" xr:uid="{00000000-0005-0000-0000-0000E6080000}"/>
    <cellStyle name="20% - Énfasis3 4 3 3 4" xfId="27923" xr:uid="{00000000-0005-0000-0000-0000E7080000}"/>
    <cellStyle name="20% - Énfasis3 4 3 4" xfId="16443" xr:uid="{00000000-0005-0000-0000-0000E8080000}"/>
    <cellStyle name="20% - Énfasis3 4 3 4 2" xfId="39086" xr:uid="{00000000-0005-0000-0000-0000E9080000}"/>
    <cellStyle name="20% - Énfasis3 4 3 5" xfId="9003" xr:uid="{00000000-0005-0000-0000-0000EA080000}"/>
    <cellStyle name="20% - Énfasis3 4 3 5 2" xfId="31646" xr:uid="{00000000-0005-0000-0000-0000EB080000}"/>
    <cellStyle name="20% - Énfasis3 4 3 6" xfId="24205" xr:uid="{00000000-0005-0000-0000-0000EC080000}"/>
    <cellStyle name="20% - Énfasis3 4 4" xfId="2478" xr:uid="{00000000-0005-0000-0000-0000ED080000}"/>
    <cellStyle name="20% - Énfasis3 4 4 2" xfId="6199" xr:uid="{00000000-0005-0000-0000-0000EE080000}"/>
    <cellStyle name="20% - Énfasis3 4 4 2 2" xfId="21083" xr:uid="{00000000-0005-0000-0000-0000EF080000}"/>
    <cellStyle name="20% - Énfasis3 4 4 2 2 2" xfId="43726" xr:uid="{00000000-0005-0000-0000-0000F0080000}"/>
    <cellStyle name="20% - Énfasis3 4 4 2 3" xfId="13643" xr:uid="{00000000-0005-0000-0000-0000F1080000}"/>
    <cellStyle name="20% - Énfasis3 4 4 2 3 2" xfId="36286" xr:uid="{00000000-0005-0000-0000-0000F2080000}"/>
    <cellStyle name="20% - Énfasis3 4 4 2 4" xfId="28845" xr:uid="{00000000-0005-0000-0000-0000F3080000}"/>
    <cellStyle name="20% - Énfasis3 4 4 3" xfId="17365" xr:uid="{00000000-0005-0000-0000-0000F4080000}"/>
    <cellStyle name="20% - Énfasis3 4 4 3 2" xfId="40008" xr:uid="{00000000-0005-0000-0000-0000F5080000}"/>
    <cellStyle name="20% - Énfasis3 4 4 4" xfId="9925" xr:uid="{00000000-0005-0000-0000-0000F6080000}"/>
    <cellStyle name="20% - Énfasis3 4 4 4 2" xfId="32568" xr:uid="{00000000-0005-0000-0000-0000F7080000}"/>
    <cellStyle name="20% - Énfasis3 4 4 5" xfId="25127" xr:uid="{00000000-0005-0000-0000-0000F8080000}"/>
    <cellStyle name="20% - Énfasis3 4 5" xfId="4352" xr:uid="{00000000-0005-0000-0000-0000F9080000}"/>
    <cellStyle name="20% - Énfasis3 4 5 2" xfId="19236" xr:uid="{00000000-0005-0000-0000-0000FA080000}"/>
    <cellStyle name="20% - Énfasis3 4 5 2 2" xfId="41879" xr:uid="{00000000-0005-0000-0000-0000FB080000}"/>
    <cellStyle name="20% - Énfasis3 4 5 3" xfId="11796" xr:uid="{00000000-0005-0000-0000-0000FC080000}"/>
    <cellStyle name="20% - Énfasis3 4 5 3 2" xfId="34439" xr:uid="{00000000-0005-0000-0000-0000FD080000}"/>
    <cellStyle name="20% - Énfasis3 4 5 4" xfId="26998" xr:uid="{00000000-0005-0000-0000-0000FE080000}"/>
    <cellStyle name="20% - Énfasis3 4 6" xfId="620" xr:uid="{00000000-0005-0000-0000-0000FF080000}"/>
    <cellStyle name="20% - Énfasis3 4 6 2" xfId="15518" xr:uid="{00000000-0005-0000-0000-000000090000}"/>
    <cellStyle name="20% - Énfasis3 4 6 2 2" xfId="38161" xr:uid="{00000000-0005-0000-0000-000001090000}"/>
    <cellStyle name="20% - Énfasis3 4 6 3" xfId="23280" xr:uid="{00000000-0005-0000-0000-000002090000}"/>
    <cellStyle name="20% - Énfasis3 4 7" xfId="8078" xr:uid="{00000000-0005-0000-0000-000003090000}"/>
    <cellStyle name="20% - Énfasis3 4 7 2" xfId="30721" xr:uid="{00000000-0005-0000-0000-000004090000}"/>
    <cellStyle name="20% - Énfasis3 4 8" xfId="22836" xr:uid="{00000000-0005-0000-0000-000005090000}"/>
    <cellStyle name="20% - Énfasis3 5" xfId="213" xr:uid="{00000000-0005-0000-0000-000006090000}"/>
    <cellStyle name="20% - Énfasis3 5 2" xfId="1804" xr:uid="{00000000-0005-0000-0000-000007090000}"/>
    <cellStyle name="20% - Énfasis3 5 2 2" xfId="3654" xr:uid="{00000000-0005-0000-0000-000008090000}"/>
    <cellStyle name="20% - Énfasis3 5 2 2 2" xfId="7375" xr:uid="{00000000-0005-0000-0000-000009090000}"/>
    <cellStyle name="20% - Énfasis3 5 2 2 2 2" xfId="22259" xr:uid="{00000000-0005-0000-0000-00000A090000}"/>
    <cellStyle name="20% - Énfasis3 5 2 2 2 2 2" xfId="44902" xr:uid="{00000000-0005-0000-0000-00000B090000}"/>
    <cellStyle name="20% - Énfasis3 5 2 2 2 3" xfId="14819" xr:uid="{00000000-0005-0000-0000-00000C090000}"/>
    <cellStyle name="20% - Énfasis3 5 2 2 2 3 2" xfId="37462" xr:uid="{00000000-0005-0000-0000-00000D090000}"/>
    <cellStyle name="20% - Énfasis3 5 2 2 2 4" xfId="30021" xr:uid="{00000000-0005-0000-0000-00000E090000}"/>
    <cellStyle name="20% - Énfasis3 5 2 2 3" xfId="18541" xr:uid="{00000000-0005-0000-0000-00000F090000}"/>
    <cellStyle name="20% - Énfasis3 5 2 2 3 2" xfId="41184" xr:uid="{00000000-0005-0000-0000-000010090000}"/>
    <cellStyle name="20% - Énfasis3 5 2 2 4" xfId="11101" xr:uid="{00000000-0005-0000-0000-000011090000}"/>
    <cellStyle name="20% - Énfasis3 5 2 2 4 2" xfId="33744" xr:uid="{00000000-0005-0000-0000-000012090000}"/>
    <cellStyle name="20% - Énfasis3 5 2 2 5" xfId="26303" xr:uid="{00000000-0005-0000-0000-000013090000}"/>
    <cellStyle name="20% - Énfasis3 5 2 3" xfId="5528" xr:uid="{00000000-0005-0000-0000-000014090000}"/>
    <cellStyle name="20% - Énfasis3 5 2 3 2" xfId="20412" xr:uid="{00000000-0005-0000-0000-000015090000}"/>
    <cellStyle name="20% - Énfasis3 5 2 3 2 2" xfId="43055" xr:uid="{00000000-0005-0000-0000-000016090000}"/>
    <cellStyle name="20% - Énfasis3 5 2 3 3" xfId="12972" xr:uid="{00000000-0005-0000-0000-000017090000}"/>
    <cellStyle name="20% - Énfasis3 5 2 3 3 2" xfId="35615" xr:uid="{00000000-0005-0000-0000-000018090000}"/>
    <cellStyle name="20% - Énfasis3 5 2 3 4" xfId="28174" xr:uid="{00000000-0005-0000-0000-000019090000}"/>
    <cellStyle name="20% - Énfasis3 5 2 4" xfId="16694" xr:uid="{00000000-0005-0000-0000-00001A090000}"/>
    <cellStyle name="20% - Énfasis3 5 2 4 2" xfId="39337" xr:uid="{00000000-0005-0000-0000-00001B090000}"/>
    <cellStyle name="20% - Énfasis3 5 2 5" xfId="9254" xr:uid="{00000000-0005-0000-0000-00001C090000}"/>
    <cellStyle name="20% - Énfasis3 5 2 5 2" xfId="31897" xr:uid="{00000000-0005-0000-0000-00001D090000}"/>
    <cellStyle name="20% - Énfasis3 5 2 6" xfId="24456" xr:uid="{00000000-0005-0000-0000-00001E090000}"/>
    <cellStyle name="20% - Énfasis3 5 3" xfId="2729" xr:uid="{00000000-0005-0000-0000-00001F090000}"/>
    <cellStyle name="20% - Énfasis3 5 3 2" xfId="6450" xr:uid="{00000000-0005-0000-0000-000020090000}"/>
    <cellStyle name="20% - Énfasis3 5 3 2 2" xfId="21334" xr:uid="{00000000-0005-0000-0000-000021090000}"/>
    <cellStyle name="20% - Énfasis3 5 3 2 2 2" xfId="43977" xr:uid="{00000000-0005-0000-0000-000022090000}"/>
    <cellStyle name="20% - Énfasis3 5 3 2 3" xfId="13894" xr:uid="{00000000-0005-0000-0000-000023090000}"/>
    <cellStyle name="20% - Énfasis3 5 3 2 3 2" xfId="36537" xr:uid="{00000000-0005-0000-0000-000024090000}"/>
    <cellStyle name="20% - Énfasis3 5 3 2 4" xfId="29096" xr:uid="{00000000-0005-0000-0000-000025090000}"/>
    <cellStyle name="20% - Énfasis3 5 3 3" xfId="17616" xr:uid="{00000000-0005-0000-0000-000026090000}"/>
    <cellStyle name="20% - Énfasis3 5 3 3 2" xfId="40259" xr:uid="{00000000-0005-0000-0000-000027090000}"/>
    <cellStyle name="20% - Énfasis3 5 3 4" xfId="10176" xr:uid="{00000000-0005-0000-0000-000028090000}"/>
    <cellStyle name="20% - Énfasis3 5 3 4 2" xfId="32819" xr:uid="{00000000-0005-0000-0000-000029090000}"/>
    <cellStyle name="20% - Énfasis3 5 3 5" xfId="25378" xr:uid="{00000000-0005-0000-0000-00002A090000}"/>
    <cellStyle name="20% - Énfasis3 5 4" xfId="4603" xr:uid="{00000000-0005-0000-0000-00002B090000}"/>
    <cellStyle name="20% - Énfasis3 5 4 2" xfId="19487" xr:uid="{00000000-0005-0000-0000-00002C090000}"/>
    <cellStyle name="20% - Énfasis3 5 4 2 2" xfId="42130" xr:uid="{00000000-0005-0000-0000-00002D090000}"/>
    <cellStyle name="20% - Énfasis3 5 4 3" xfId="12047" xr:uid="{00000000-0005-0000-0000-00002E090000}"/>
    <cellStyle name="20% - Énfasis3 5 4 3 2" xfId="34690" xr:uid="{00000000-0005-0000-0000-00002F090000}"/>
    <cellStyle name="20% - Énfasis3 5 4 4" xfId="27249" xr:uid="{00000000-0005-0000-0000-000030090000}"/>
    <cellStyle name="20% - Énfasis3 5 5" xfId="873" xr:uid="{00000000-0005-0000-0000-000031090000}"/>
    <cellStyle name="20% - Énfasis3 5 5 2" xfId="15769" xr:uid="{00000000-0005-0000-0000-000032090000}"/>
    <cellStyle name="20% - Énfasis3 5 5 2 2" xfId="38412" xr:uid="{00000000-0005-0000-0000-000033090000}"/>
    <cellStyle name="20% - Énfasis3 5 5 3" xfId="23531" xr:uid="{00000000-0005-0000-0000-000034090000}"/>
    <cellStyle name="20% - Énfasis3 5 6" xfId="8329" xr:uid="{00000000-0005-0000-0000-000035090000}"/>
    <cellStyle name="20% - Énfasis3 5 6 2" xfId="30972" xr:uid="{00000000-0005-0000-0000-000036090000}"/>
    <cellStyle name="20% - Énfasis3 5 7" xfId="22914" xr:uid="{00000000-0005-0000-0000-000037090000}"/>
    <cellStyle name="20% - Énfasis3 6" xfId="1339" xr:uid="{00000000-0005-0000-0000-000038090000}"/>
    <cellStyle name="20% - Énfasis3 6 2" xfId="3192" xr:uid="{00000000-0005-0000-0000-000039090000}"/>
    <cellStyle name="20% - Énfasis3 6 2 2" xfId="6913" xr:uid="{00000000-0005-0000-0000-00003A090000}"/>
    <cellStyle name="20% - Énfasis3 6 2 2 2" xfId="21797" xr:uid="{00000000-0005-0000-0000-00003B090000}"/>
    <cellStyle name="20% - Énfasis3 6 2 2 2 2" xfId="44440" xr:uid="{00000000-0005-0000-0000-00003C090000}"/>
    <cellStyle name="20% - Énfasis3 6 2 2 3" xfId="14357" xr:uid="{00000000-0005-0000-0000-00003D090000}"/>
    <cellStyle name="20% - Énfasis3 6 2 2 3 2" xfId="37000" xr:uid="{00000000-0005-0000-0000-00003E090000}"/>
    <cellStyle name="20% - Énfasis3 6 2 2 4" xfId="29559" xr:uid="{00000000-0005-0000-0000-00003F090000}"/>
    <cellStyle name="20% - Énfasis3 6 2 3" xfId="18079" xr:uid="{00000000-0005-0000-0000-000040090000}"/>
    <cellStyle name="20% - Énfasis3 6 2 3 2" xfId="40722" xr:uid="{00000000-0005-0000-0000-000041090000}"/>
    <cellStyle name="20% - Énfasis3 6 2 4" xfId="10639" xr:uid="{00000000-0005-0000-0000-000042090000}"/>
    <cellStyle name="20% - Énfasis3 6 2 4 2" xfId="33282" xr:uid="{00000000-0005-0000-0000-000043090000}"/>
    <cellStyle name="20% - Énfasis3 6 2 5" xfId="25841" xr:uid="{00000000-0005-0000-0000-000044090000}"/>
    <cellStyle name="20% - Énfasis3 6 3" xfId="5066" xr:uid="{00000000-0005-0000-0000-000045090000}"/>
    <cellStyle name="20% - Énfasis3 6 3 2" xfId="19950" xr:uid="{00000000-0005-0000-0000-000046090000}"/>
    <cellStyle name="20% - Énfasis3 6 3 2 2" xfId="42593" xr:uid="{00000000-0005-0000-0000-000047090000}"/>
    <cellStyle name="20% - Énfasis3 6 3 3" xfId="12510" xr:uid="{00000000-0005-0000-0000-000048090000}"/>
    <cellStyle name="20% - Énfasis3 6 3 3 2" xfId="35153" xr:uid="{00000000-0005-0000-0000-000049090000}"/>
    <cellStyle name="20% - Énfasis3 6 3 4" xfId="27712" xr:uid="{00000000-0005-0000-0000-00004A090000}"/>
    <cellStyle name="20% - Énfasis3 6 4" xfId="16232" xr:uid="{00000000-0005-0000-0000-00004B090000}"/>
    <cellStyle name="20% - Énfasis3 6 4 2" xfId="38875" xr:uid="{00000000-0005-0000-0000-00004C090000}"/>
    <cellStyle name="20% - Énfasis3 6 5" xfId="8792" xr:uid="{00000000-0005-0000-0000-00004D090000}"/>
    <cellStyle name="20% - Énfasis3 6 5 2" xfId="31435" xr:uid="{00000000-0005-0000-0000-00004E090000}"/>
    <cellStyle name="20% - Énfasis3 6 6" xfId="23994" xr:uid="{00000000-0005-0000-0000-00004F090000}"/>
    <cellStyle name="20% - Énfasis3 7" xfId="2264" xr:uid="{00000000-0005-0000-0000-000050090000}"/>
    <cellStyle name="20% - Énfasis3 7 2" xfId="5988" xr:uid="{00000000-0005-0000-0000-000051090000}"/>
    <cellStyle name="20% - Énfasis3 7 2 2" xfId="20872" xr:uid="{00000000-0005-0000-0000-000052090000}"/>
    <cellStyle name="20% - Énfasis3 7 2 2 2" xfId="43515" xr:uid="{00000000-0005-0000-0000-000053090000}"/>
    <cellStyle name="20% - Énfasis3 7 2 3" xfId="13432" xr:uid="{00000000-0005-0000-0000-000054090000}"/>
    <cellStyle name="20% - Énfasis3 7 2 3 2" xfId="36075" xr:uid="{00000000-0005-0000-0000-000055090000}"/>
    <cellStyle name="20% - Énfasis3 7 2 4" xfId="28634" xr:uid="{00000000-0005-0000-0000-000056090000}"/>
    <cellStyle name="20% - Énfasis3 7 3" xfId="17154" xr:uid="{00000000-0005-0000-0000-000057090000}"/>
    <cellStyle name="20% - Énfasis3 7 3 2" xfId="39797" xr:uid="{00000000-0005-0000-0000-000058090000}"/>
    <cellStyle name="20% - Énfasis3 7 4" xfId="9714" xr:uid="{00000000-0005-0000-0000-000059090000}"/>
    <cellStyle name="20% - Énfasis3 7 4 2" xfId="32357" xr:uid="{00000000-0005-0000-0000-00005A090000}"/>
    <cellStyle name="20% - Énfasis3 7 5" xfId="24916" xr:uid="{00000000-0005-0000-0000-00005B090000}"/>
    <cellStyle name="20% - Énfasis3 8" xfId="4138" xr:uid="{00000000-0005-0000-0000-00005C090000}"/>
    <cellStyle name="20% - Énfasis3 8 2" xfId="19025" xr:uid="{00000000-0005-0000-0000-00005D090000}"/>
    <cellStyle name="20% - Énfasis3 8 2 2" xfId="41668" xr:uid="{00000000-0005-0000-0000-00005E090000}"/>
    <cellStyle name="20% - Énfasis3 8 3" xfId="11585" xr:uid="{00000000-0005-0000-0000-00005F090000}"/>
    <cellStyle name="20% - Énfasis3 8 3 2" xfId="34228" xr:uid="{00000000-0005-0000-0000-000060090000}"/>
    <cellStyle name="20% - Énfasis3 8 4" xfId="26787" xr:uid="{00000000-0005-0000-0000-000061090000}"/>
    <cellStyle name="20% - Énfasis3 9" xfId="373" xr:uid="{00000000-0005-0000-0000-000062090000}"/>
    <cellStyle name="20% - Énfasis3 9 2" xfId="15307" xr:uid="{00000000-0005-0000-0000-000063090000}"/>
    <cellStyle name="20% - Énfasis3 9 2 2" xfId="37950" xr:uid="{00000000-0005-0000-0000-000064090000}"/>
    <cellStyle name="20% - Énfasis3 9 3" xfId="23070" xr:uid="{00000000-0005-0000-0000-000065090000}"/>
    <cellStyle name="20% - Énfasis4" xfId="7" builtinId="42" customBuiltin="1"/>
    <cellStyle name="20% - Énfasis4 10" xfId="7866" xr:uid="{00000000-0005-0000-0000-000067090000}"/>
    <cellStyle name="20% - Énfasis4 10 2" xfId="30512" xr:uid="{00000000-0005-0000-0000-000068090000}"/>
    <cellStyle name="20% - Énfasis4 11" xfId="22757" xr:uid="{00000000-0005-0000-0000-000069090000}"/>
    <cellStyle name="20% - Énfasis4 12" xfId="45458" xr:uid="{00000000-0005-0000-0000-00006A090000}"/>
    <cellStyle name="20% - Énfasis4 13" xfId="45498" xr:uid="{00000000-0005-0000-0000-00006B090000}"/>
    <cellStyle name="20% - Énfasis4 2" xfId="8" xr:uid="{00000000-0005-0000-0000-00006C090000}"/>
    <cellStyle name="20% - Énfasis4 2 10" xfId="22767" xr:uid="{00000000-0005-0000-0000-00006D090000}"/>
    <cellStyle name="20% - Énfasis4 2 2" xfId="100" xr:uid="{00000000-0005-0000-0000-00006E090000}"/>
    <cellStyle name="20% - Énfasis4 2 2 2" xfId="183" xr:uid="{00000000-0005-0000-0000-00006F090000}"/>
    <cellStyle name="20% - Énfasis4 2 2 2 2" xfId="344" xr:uid="{00000000-0005-0000-0000-000070090000}"/>
    <cellStyle name="20% - Énfasis4 2 2 2 2 2" xfId="2174" xr:uid="{00000000-0005-0000-0000-000071090000}"/>
    <cellStyle name="20% - Énfasis4 2 2 2 2 2 2" xfId="4024" xr:uid="{00000000-0005-0000-0000-000072090000}"/>
    <cellStyle name="20% - Énfasis4 2 2 2 2 2 2 2" xfId="7745" xr:uid="{00000000-0005-0000-0000-000073090000}"/>
    <cellStyle name="20% - Énfasis4 2 2 2 2 2 2 2 2" xfId="22629" xr:uid="{00000000-0005-0000-0000-000074090000}"/>
    <cellStyle name="20% - Énfasis4 2 2 2 2 2 2 2 2 2" xfId="45272" xr:uid="{00000000-0005-0000-0000-000075090000}"/>
    <cellStyle name="20% - Énfasis4 2 2 2 2 2 2 2 3" xfId="15189" xr:uid="{00000000-0005-0000-0000-000076090000}"/>
    <cellStyle name="20% - Énfasis4 2 2 2 2 2 2 2 3 2" xfId="37832" xr:uid="{00000000-0005-0000-0000-000077090000}"/>
    <cellStyle name="20% - Énfasis4 2 2 2 2 2 2 2 4" xfId="30391" xr:uid="{00000000-0005-0000-0000-000078090000}"/>
    <cellStyle name="20% - Énfasis4 2 2 2 2 2 2 3" xfId="18911" xr:uid="{00000000-0005-0000-0000-000079090000}"/>
    <cellStyle name="20% - Énfasis4 2 2 2 2 2 2 3 2" xfId="41554" xr:uid="{00000000-0005-0000-0000-00007A090000}"/>
    <cellStyle name="20% - Énfasis4 2 2 2 2 2 2 4" xfId="11471" xr:uid="{00000000-0005-0000-0000-00007B090000}"/>
    <cellStyle name="20% - Énfasis4 2 2 2 2 2 2 4 2" xfId="34114" xr:uid="{00000000-0005-0000-0000-00007C090000}"/>
    <cellStyle name="20% - Énfasis4 2 2 2 2 2 2 5" xfId="26673" xr:uid="{00000000-0005-0000-0000-00007D090000}"/>
    <cellStyle name="20% - Énfasis4 2 2 2 2 2 3" xfId="5898" xr:uid="{00000000-0005-0000-0000-00007E090000}"/>
    <cellStyle name="20% - Énfasis4 2 2 2 2 2 3 2" xfId="20782" xr:uid="{00000000-0005-0000-0000-00007F090000}"/>
    <cellStyle name="20% - Énfasis4 2 2 2 2 2 3 2 2" xfId="43425" xr:uid="{00000000-0005-0000-0000-000080090000}"/>
    <cellStyle name="20% - Énfasis4 2 2 2 2 2 3 3" xfId="13342" xr:uid="{00000000-0005-0000-0000-000081090000}"/>
    <cellStyle name="20% - Énfasis4 2 2 2 2 2 3 3 2" xfId="35985" xr:uid="{00000000-0005-0000-0000-000082090000}"/>
    <cellStyle name="20% - Énfasis4 2 2 2 2 2 3 4" xfId="28544" xr:uid="{00000000-0005-0000-0000-000083090000}"/>
    <cellStyle name="20% - Énfasis4 2 2 2 2 2 4" xfId="17064" xr:uid="{00000000-0005-0000-0000-000084090000}"/>
    <cellStyle name="20% - Énfasis4 2 2 2 2 2 4 2" xfId="39707" xr:uid="{00000000-0005-0000-0000-000085090000}"/>
    <cellStyle name="20% - Énfasis4 2 2 2 2 2 5" xfId="9624" xr:uid="{00000000-0005-0000-0000-000086090000}"/>
    <cellStyle name="20% - Énfasis4 2 2 2 2 2 5 2" xfId="32267" xr:uid="{00000000-0005-0000-0000-000087090000}"/>
    <cellStyle name="20% - Énfasis4 2 2 2 2 2 6" xfId="24826" xr:uid="{00000000-0005-0000-0000-000088090000}"/>
    <cellStyle name="20% - Énfasis4 2 2 2 2 3" xfId="3099" xr:uid="{00000000-0005-0000-0000-000089090000}"/>
    <cellStyle name="20% - Énfasis4 2 2 2 2 3 2" xfId="6820" xr:uid="{00000000-0005-0000-0000-00008A090000}"/>
    <cellStyle name="20% - Énfasis4 2 2 2 2 3 2 2" xfId="21704" xr:uid="{00000000-0005-0000-0000-00008B090000}"/>
    <cellStyle name="20% - Énfasis4 2 2 2 2 3 2 2 2" xfId="44347" xr:uid="{00000000-0005-0000-0000-00008C090000}"/>
    <cellStyle name="20% - Énfasis4 2 2 2 2 3 2 3" xfId="14264" xr:uid="{00000000-0005-0000-0000-00008D090000}"/>
    <cellStyle name="20% - Énfasis4 2 2 2 2 3 2 3 2" xfId="36907" xr:uid="{00000000-0005-0000-0000-00008E090000}"/>
    <cellStyle name="20% - Énfasis4 2 2 2 2 3 2 4" xfId="29466" xr:uid="{00000000-0005-0000-0000-00008F090000}"/>
    <cellStyle name="20% - Énfasis4 2 2 2 2 3 3" xfId="17986" xr:uid="{00000000-0005-0000-0000-000090090000}"/>
    <cellStyle name="20% - Énfasis4 2 2 2 2 3 3 2" xfId="40629" xr:uid="{00000000-0005-0000-0000-000091090000}"/>
    <cellStyle name="20% - Énfasis4 2 2 2 2 3 4" xfId="10546" xr:uid="{00000000-0005-0000-0000-000092090000}"/>
    <cellStyle name="20% - Énfasis4 2 2 2 2 3 4 2" xfId="33189" xr:uid="{00000000-0005-0000-0000-000093090000}"/>
    <cellStyle name="20% - Énfasis4 2 2 2 2 3 5" xfId="25748" xr:uid="{00000000-0005-0000-0000-000094090000}"/>
    <cellStyle name="20% - Énfasis4 2 2 2 2 4" xfId="4973" xr:uid="{00000000-0005-0000-0000-000095090000}"/>
    <cellStyle name="20% - Énfasis4 2 2 2 2 4 2" xfId="19857" xr:uid="{00000000-0005-0000-0000-000096090000}"/>
    <cellStyle name="20% - Énfasis4 2 2 2 2 4 2 2" xfId="42500" xr:uid="{00000000-0005-0000-0000-000097090000}"/>
    <cellStyle name="20% - Énfasis4 2 2 2 2 4 3" xfId="12417" xr:uid="{00000000-0005-0000-0000-000098090000}"/>
    <cellStyle name="20% - Énfasis4 2 2 2 2 4 3 2" xfId="35060" xr:uid="{00000000-0005-0000-0000-000099090000}"/>
    <cellStyle name="20% - Énfasis4 2 2 2 2 4 4" xfId="27619" xr:uid="{00000000-0005-0000-0000-00009A090000}"/>
    <cellStyle name="20% - Énfasis4 2 2 2 2 5" xfId="1246" xr:uid="{00000000-0005-0000-0000-00009B090000}"/>
    <cellStyle name="20% - Énfasis4 2 2 2 2 5 2" xfId="16139" xr:uid="{00000000-0005-0000-0000-00009C090000}"/>
    <cellStyle name="20% - Énfasis4 2 2 2 2 5 2 2" xfId="38782" xr:uid="{00000000-0005-0000-0000-00009D090000}"/>
    <cellStyle name="20% - Énfasis4 2 2 2 2 5 3" xfId="23901" xr:uid="{00000000-0005-0000-0000-00009E090000}"/>
    <cellStyle name="20% - Énfasis4 2 2 2 2 6" xfId="8699" xr:uid="{00000000-0005-0000-0000-00009F090000}"/>
    <cellStyle name="20% - Énfasis4 2 2 2 2 6 2" xfId="31342" xr:uid="{00000000-0005-0000-0000-0000A0090000}"/>
    <cellStyle name="20% - Énfasis4 2 2 2 2 7" xfId="23042" xr:uid="{00000000-0005-0000-0000-0000A1090000}"/>
    <cellStyle name="20% - Énfasis4 2 2 2 3" xfId="1712" xr:uid="{00000000-0005-0000-0000-0000A2090000}"/>
    <cellStyle name="20% - Énfasis4 2 2 2 3 2" xfId="3562" xr:uid="{00000000-0005-0000-0000-0000A3090000}"/>
    <cellStyle name="20% - Énfasis4 2 2 2 3 2 2" xfId="7283" xr:uid="{00000000-0005-0000-0000-0000A4090000}"/>
    <cellStyle name="20% - Énfasis4 2 2 2 3 2 2 2" xfId="22167" xr:uid="{00000000-0005-0000-0000-0000A5090000}"/>
    <cellStyle name="20% - Énfasis4 2 2 2 3 2 2 2 2" xfId="44810" xr:uid="{00000000-0005-0000-0000-0000A6090000}"/>
    <cellStyle name="20% - Énfasis4 2 2 2 3 2 2 3" xfId="14727" xr:uid="{00000000-0005-0000-0000-0000A7090000}"/>
    <cellStyle name="20% - Énfasis4 2 2 2 3 2 2 3 2" xfId="37370" xr:uid="{00000000-0005-0000-0000-0000A8090000}"/>
    <cellStyle name="20% - Énfasis4 2 2 2 3 2 2 4" xfId="29929" xr:uid="{00000000-0005-0000-0000-0000A9090000}"/>
    <cellStyle name="20% - Énfasis4 2 2 2 3 2 3" xfId="18449" xr:uid="{00000000-0005-0000-0000-0000AA090000}"/>
    <cellStyle name="20% - Énfasis4 2 2 2 3 2 3 2" xfId="41092" xr:uid="{00000000-0005-0000-0000-0000AB090000}"/>
    <cellStyle name="20% - Énfasis4 2 2 2 3 2 4" xfId="11009" xr:uid="{00000000-0005-0000-0000-0000AC090000}"/>
    <cellStyle name="20% - Énfasis4 2 2 2 3 2 4 2" xfId="33652" xr:uid="{00000000-0005-0000-0000-0000AD090000}"/>
    <cellStyle name="20% - Énfasis4 2 2 2 3 2 5" xfId="26211" xr:uid="{00000000-0005-0000-0000-0000AE090000}"/>
    <cellStyle name="20% - Énfasis4 2 2 2 3 3" xfId="5436" xr:uid="{00000000-0005-0000-0000-0000AF090000}"/>
    <cellStyle name="20% - Énfasis4 2 2 2 3 3 2" xfId="20320" xr:uid="{00000000-0005-0000-0000-0000B0090000}"/>
    <cellStyle name="20% - Énfasis4 2 2 2 3 3 2 2" xfId="42963" xr:uid="{00000000-0005-0000-0000-0000B1090000}"/>
    <cellStyle name="20% - Énfasis4 2 2 2 3 3 3" xfId="12880" xr:uid="{00000000-0005-0000-0000-0000B2090000}"/>
    <cellStyle name="20% - Énfasis4 2 2 2 3 3 3 2" xfId="35523" xr:uid="{00000000-0005-0000-0000-0000B3090000}"/>
    <cellStyle name="20% - Énfasis4 2 2 2 3 3 4" xfId="28082" xr:uid="{00000000-0005-0000-0000-0000B4090000}"/>
    <cellStyle name="20% - Énfasis4 2 2 2 3 4" xfId="16602" xr:uid="{00000000-0005-0000-0000-0000B5090000}"/>
    <cellStyle name="20% - Énfasis4 2 2 2 3 4 2" xfId="39245" xr:uid="{00000000-0005-0000-0000-0000B6090000}"/>
    <cellStyle name="20% - Énfasis4 2 2 2 3 5" xfId="9162" xr:uid="{00000000-0005-0000-0000-0000B7090000}"/>
    <cellStyle name="20% - Énfasis4 2 2 2 3 5 2" xfId="31805" xr:uid="{00000000-0005-0000-0000-0000B8090000}"/>
    <cellStyle name="20% - Énfasis4 2 2 2 3 6" xfId="24364" xr:uid="{00000000-0005-0000-0000-0000B9090000}"/>
    <cellStyle name="20% - Énfasis4 2 2 2 4" xfId="2637" xr:uid="{00000000-0005-0000-0000-0000BA090000}"/>
    <cellStyle name="20% - Énfasis4 2 2 2 4 2" xfId="6358" xr:uid="{00000000-0005-0000-0000-0000BB090000}"/>
    <cellStyle name="20% - Énfasis4 2 2 2 4 2 2" xfId="21242" xr:uid="{00000000-0005-0000-0000-0000BC090000}"/>
    <cellStyle name="20% - Énfasis4 2 2 2 4 2 2 2" xfId="43885" xr:uid="{00000000-0005-0000-0000-0000BD090000}"/>
    <cellStyle name="20% - Énfasis4 2 2 2 4 2 3" xfId="13802" xr:uid="{00000000-0005-0000-0000-0000BE090000}"/>
    <cellStyle name="20% - Énfasis4 2 2 2 4 2 3 2" xfId="36445" xr:uid="{00000000-0005-0000-0000-0000BF090000}"/>
    <cellStyle name="20% - Énfasis4 2 2 2 4 2 4" xfId="29004" xr:uid="{00000000-0005-0000-0000-0000C0090000}"/>
    <cellStyle name="20% - Énfasis4 2 2 2 4 3" xfId="17524" xr:uid="{00000000-0005-0000-0000-0000C1090000}"/>
    <cellStyle name="20% - Énfasis4 2 2 2 4 3 2" xfId="40167" xr:uid="{00000000-0005-0000-0000-0000C2090000}"/>
    <cellStyle name="20% - Énfasis4 2 2 2 4 4" xfId="10084" xr:uid="{00000000-0005-0000-0000-0000C3090000}"/>
    <cellStyle name="20% - Énfasis4 2 2 2 4 4 2" xfId="32727" xr:uid="{00000000-0005-0000-0000-0000C4090000}"/>
    <cellStyle name="20% - Énfasis4 2 2 2 4 5" xfId="25286" xr:uid="{00000000-0005-0000-0000-0000C5090000}"/>
    <cellStyle name="20% - Énfasis4 2 2 2 5" xfId="4511" xr:uid="{00000000-0005-0000-0000-0000C6090000}"/>
    <cellStyle name="20% - Énfasis4 2 2 2 5 2" xfId="19395" xr:uid="{00000000-0005-0000-0000-0000C7090000}"/>
    <cellStyle name="20% - Énfasis4 2 2 2 5 2 2" xfId="42038" xr:uid="{00000000-0005-0000-0000-0000C8090000}"/>
    <cellStyle name="20% - Énfasis4 2 2 2 5 3" xfId="11955" xr:uid="{00000000-0005-0000-0000-0000C9090000}"/>
    <cellStyle name="20% - Énfasis4 2 2 2 5 3 2" xfId="34598" xr:uid="{00000000-0005-0000-0000-0000CA090000}"/>
    <cellStyle name="20% - Énfasis4 2 2 2 5 4" xfId="27157" xr:uid="{00000000-0005-0000-0000-0000CB090000}"/>
    <cellStyle name="20% - Énfasis4 2 2 2 6" xfId="781" xr:uid="{00000000-0005-0000-0000-0000CC090000}"/>
    <cellStyle name="20% - Énfasis4 2 2 2 6 2" xfId="15677" xr:uid="{00000000-0005-0000-0000-0000CD090000}"/>
    <cellStyle name="20% - Énfasis4 2 2 2 6 2 2" xfId="38320" xr:uid="{00000000-0005-0000-0000-0000CE090000}"/>
    <cellStyle name="20% - Énfasis4 2 2 2 6 3" xfId="23439" xr:uid="{00000000-0005-0000-0000-0000CF090000}"/>
    <cellStyle name="20% - Énfasis4 2 2 2 7" xfId="8237" xr:uid="{00000000-0005-0000-0000-0000D0090000}"/>
    <cellStyle name="20% - Énfasis4 2 2 2 7 2" xfId="30880" xr:uid="{00000000-0005-0000-0000-0000D1090000}"/>
    <cellStyle name="20% - Énfasis4 2 2 2 8" xfId="22886" xr:uid="{00000000-0005-0000-0000-0000D2090000}"/>
    <cellStyle name="20% - Énfasis4 2 2 3" xfId="266" xr:uid="{00000000-0005-0000-0000-0000D3090000}"/>
    <cellStyle name="20% - Énfasis4 2 2 3 2" xfId="1963" xr:uid="{00000000-0005-0000-0000-0000D4090000}"/>
    <cellStyle name="20% - Énfasis4 2 2 3 2 2" xfId="3813" xr:uid="{00000000-0005-0000-0000-0000D5090000}"/>
    <cellStyle name="20% - Énfasis4 2 2 3 2 2 2" xfId="7534" xr:uid="{00000000-0005-0000-0000-0000D6090000}"/>
    <cellStyle name="20% - Énfasis4 2 2 3 2 2 2 2" xfId="22418" xr:uid="{00000000-0005-0000-0000-0000D7090000}"/>
    <cellStyle name="20% - Énfasis4 2 2 3 2 2 2 2 2" xfId="45061" xr:uid="{00000000-0005-0000-0000-0000D8090000}"/>
    <cellStyle name="20% - Énfasis4 2 2 3 2 2 2 3" xfId="14978" xr:uid="{00000000-0005-0000-0000-0000D9090000}"/>
    <cellStyle name="20% - Énfasis4 2 2 3 2 2 2 3 2" xfId="37621" xr:uid="{00000000-0005-0000-0000-0000DA090000}"/>
    <cellStyle name="20% - Énfasis4 2 2 3 2 2 2 4" xfId="30180" xr:uid="{00000000-0005-0000-0000-0000DB090000}"/>
    <cellStyle name="20% - Énfasis4 2 2 3 2 2 3" xfId="18700" xr:uid="{00000000-0005-0000-0000-0000DC090000}"/>
    <cellStyle name="20% - Énfasis4 2 2 3 2 2 3 2" xfId="41343" xr:uid="{00000000-0005-0000-0000-0000DD090000}"/>
    <cellStyle name="20% - Énfasis4 2 2 3 2 2 4" xfId="11260" xr:uid="{00000000-0005-0000-0000-0000DE090000}"/>
    <cellStyle name="20% - Énfasis4 2 2 3 2 2 4 2" xfId="33903" xr:uid="{00000000-0005-0000-0000-0000DF090000}"/>
    <cellStyle name="20% - Énfasis4 2 2 3 2 2 5" xfId="26462" xr:uid="{00000000-0005-0000-0000-0000E0090000}"/>
    <cellStyle name="20% - Énfasis4 2 2 3 2 3" xfId="5687" xr:uid="{00000000-0005-0000-0000-0000E1090000}"/>
    <cellStyle name="20% - Énfasis4 2 2 3 2 3 2" xfId="20571" xr:uid="{00000000-0005-0000-0000-0000E2090000}"/>
    <cellStyle name="20% - Énfasis4 2 2 3 2 3 2 2" xfId="43214" xr:uid="{00000000-0005-0000-0000-0000E3090000}"/>
    <cellStyle name="20% - Énfasis4 2 2 3 2 3 3" xfId="13131" xr:uid="{00000000-0005-0000-0000-0000E4090000}"/>
    <cellStyle name="20% - Énfasis4 2 2 3 2 3 3 2" xfId="35774" xr:uid="{00000000-0005-0000-0000-0000E5090000}"/>
    <cellStyle name="20% - Énfasis4 2 2 3 2 3 4" xfId="28333" xr:uid="{00000000-0005-0000-0000-0000E6090000}"/>
    <cellStyle name="20% - Énfasis4 2 2 3 2 4" xfId="16853" xr:uid="{00000000-0005-0000-0000-0000E7090000}"/>
    <cellStyle name="20% - Énfasis4 2 2 3 2 4 2" xfId="39496" xr:uid="{00000000-0005-0000-0000-0000E8090000}"/>
    <cellStyle name="20% - Énfasis4 2 2 3 2 5" xfId="9413" xr:uid="{00000000-0005-0000-0000-0000E9090000}"/>
    <cellStyle name="20% - Énfasis4 2 2 3 2 5 2" xfId="32056" xr:uid="{00000000-0005-0000-0000-0000EA090000}"/>
    <cellStyle name="20% - Énfasis4 2 2 3 2 6" xfId="24615" xr:uid="{00000000-0005-0000-0000-0000EB090000}"/>
    <cellStyle name="20% - Énfasis4 2 2 3 3" xfId="2888" xr:uid="{00000000-0005-0000-0000-0000EC090000}"/>
    <cellStyle name="20% - Énfasis4 2 2 3 3 2" xfId="6609" xr:uid="{00000000-0005-0000-0000-0000ED090000}"/>
    <cellStyle name="20% - Énfasis4 2 2 3 3 2 2" xfId="21493" xr:uid="{00000000-0005-0000-0000-0000EE090000}"/>
    <cellStyle name="20% - Énfasis4 2 2 3 3 2 2 2" xfId="44136" xr:uid="{00000000-0005-0000-0000-0000EF090000}"/>
    <cellStyle name="20% - Énfasis4 2 2 3 3 2 3" xfId="14053" xr:uid="{00000000-0005-0000-0000-0000F0090000}"/>
    <cellStyle name="20% - Énfasis4 2 2 3 3 2 3 2" xfId="36696" xr:uid="{00000000-0005-0000-0000-0000F1090000}"/>
    <cellStyle name="20% - Énfasis4 2 2 3 3 2 4" xfId="29255" xr:uid="{00000000-0005-0000-0000-0000F2090000}"/>
    <cellStyle name="20% - Énfasis4 2 2 3 3 3" xfId="17775" xr:uid="{00000000-0005-0000-0000-0000F3090000}"/>
    <cellStyle name="20% - Énfasis4 2 2 3 3 3 2" xfId="40418" xr:uid="{00000000-0005-0000-0000-0000F4090000}"/>
    <cellStyle name="20% - Énfasis4 2 2 3 3 4" xfId="10335" xr:uid="{00000000-0005-0000-0000-0000F5090000}"/>
    <cellStyle name="20% - Énfasis4 2 2 3 3 4 2" xfId="32978" xr:uid="{00000000-0005-0000-0000-0000F6090000}"/>
    <cellStyle name="20% - Énfasis4 2 2 3 3 5" xfId="25537" xr:uid="{00000000-0005-0000-0000-0000F7090000}"/>
    <cellStyle name="20% - Énfasis4 2 2 3 4" xfId="4762" xr:uid="{00000000-0005-0000-0000-0000F8090000}"/>
    <cellStyle name="20% - Énfasis4 2 2 3 4 2" xfId="19646" xr:uid="{00000000-0005-0000-0000-0000F9090000}"/>
    <cellStyle name="20% - Énfasis4 2 2 3 4 2 2" xfId="42289" xr:uid="{00000000-0005-0000-0000-0000FA090000}"/>
    <cellStyle name="20% - Énfasis4 2 2 3 4 3" xfId="12206" xr:uid="{00000000-0005-0000-0000-0000FB090000}"/>
    <cellStyle name="20% - Énfasis4 2 2 3 4 3 2" xfId="34849" xr:uid="{00000000-0005-0000-0000-0000FC090000}"/>
    <cellStyle name="20% - Énfasis4 2 2 3 4 4" xfId="27408" xr:uid="{00000000-0005-0000-0000-0000FD090000}"/>
    <cellStyle name="20% - Énfasis4 2 2 3 5" xfId="1035" xr:uid="{00000000-0005-0000-0000-0000FE090000}"/>
    <cellStyle name="20% - Énfasis4 2 2 3 5 2" xfId="15928" xr:uid="{00000000-0005-0000-0000-0000FF090000}"/>
    <cellStyle name="20% - Énfasis4 2 2 3 5 2 2" xfId="38571" xr:uid="{00000000-0005-0000-0000-0000000A0000}"/>
    <cellStyle name="20% - Énfasis4 2 2 3 5 3" xfId="23690" xr:uid="{00000000-0005-0000-0000-0000010A0000}"/>
    <cellStyle name="20% - Énfasis4 2 2 3 6" xfId="8488" xr:uid="{00000000-0005-0000-0000-0000020A0000}"/>
    <cellStyle name="20% - Énfasis4 2 2 3 6 2" xfId="31131" xr:uid="{00000000-0005-0000-0000-0000030A0000}"/>
    <cellStyle name="20% - Énfasis4 2 2 3 7" xfId="22964" xr:uid="{00000000-0005-0000-0000-0000040A0000}"/>
    <cellStyle name="20% - Énfasis4 2 2 4" xfId="1501" xr:uid="{00000000-0005-0000-0000-0000050A0000}"/>
    <cellStyle name="20% - Énfasis4 2 2 4 2" xfId="3351" xr:uid="{00000000-0005-0000-0000-0000060A0000}"/>
    <cellStyle name="20% - Énfasis4 2 2 4 2 2" xfId="7072" xr:uid="{00000000-0005-0000-0000-0000070A0000}"/>
    <cellStyle name="20% - Énfasis4 2 2 4 2 2 2" xfId="21956" xr:uid="{00000000-0005-0000-0000-0000080A0000}"/>
    <cellStyle name="20% - Énfasis4 2 2 4 2 2 2 2" xfId="44599" xr:uid="{00000000-0005-0000-0000-0000090A0000}"/>
    <cellStyle name="20% - Énfasis4 2 2 4 2 2 3" xfId="14516" xr:uid="{00000000-0005-0000-0000-00000A0A0000}"/>
    <cellStyle name="20% - Énfasis4 2 2 4 2 2 3 2" xfId="37159" xr:uid="{00000000-0005-0000-0000-00000B0A0000}"/>
    <cellStyle name="20% - Énfasis4 2 2 4 2 2 4" xfId="29718" xr:uid="{00000000-0005-0000-0000-00000C0A0000}"/>
    <cellStyle name="20% - Énfasis4 2 2 4 2 3" xfId="18238" xr:uid="{00000000-0005-0000-0000-00000D0A0000}"/>
    <cellStyle name="20% - Énfasis4 2 2 4 2 3 2" xfId="40881" xr:uid="{00000000-0005-0000-0000-00000E0A0000}"/>
    <cellStyle name="20% - Énfasis4 2 2 4 2 4" xfId="10798" xr:uid="{00000000-0005-0000-0000-00000F0A0000}"/>
    <cellStyle name="20% - Énfasis4 2 2 4 2 4 2" xfId="33441" xr:uid="{00000000-0005-0000-0000-0000100A0000}"/>
    <cellStyle name="20% - Énfasis4 2 2 4 2 5" xfId="26000" xr:uid="{00000000-0005-0000-0000-0000110A0000}"/>
    <cellStyle name="20% - Énfasis4 2 2 4 3" xfId="5225" xr:uid="{00000000-0005-0000-0000-0000120A0000}"/>
    <cellStyle name="20% - Énfasis4 2 2 4 3 2" xfId="20109" xr:uid="{00000000-0005-0000-0000-0000130A0000}"/>
    <cellStyle name="20% - Énfasis4 2 2 4 3 2 2" xfId="42752" xr:uid="{00000000-0005-0000-0000-0000140A0000}"/>
    <cellStyle name="20% - Énfasis4 2 2 4 3 3" xfId="12669" xr:uid="{00000000-0005-0000-0000-0000150A0000}"/>
    <cellStyle name="20% - Énfasis4 2 2 4 3 3 2" xfId="35312" xr:uid="{00000000-0005-0000-0000-0000160A0000}"/>
    <cellStyle name="20% - Énfasis4 2 2 4 3 4" xfId="27871" xr:uid="{00000000-0005-0000-0000-0000170A0000}"/>
    <cellStyle name="20% - Énfasis4 2 2 4 4" xfId="16391" xr:uid="{00000000-0005-0000-0000-0000180A0000}"/>
    <cellStyle name="20% - Énfasis4 2 2 4 4 2" xfId="39034" xr:uid="{00000000-0005-0000-0000-0000190A0000}"/>
    <cellStyle name="20% - Énfasis4 2 2 4 5" xfId="8951" xr:uid="{00000000-0005-0000-0000-00001A0A0000}"/>
    <cellStyle name="20% - Énfasis4 2 2 4 5 2" xfId="31594" xr:uid="{00000000-0005-0000-0000-00001B0A0000}"/>
    <cellStyle name="20% - Énfasis4 2 2 4 6" xfId="24153" xr:uid="{00000000-0005-0000-0000-00001C0A0000}"/>
    <cellStyle name="20% - Énfasis4 2 2 5" xfId="2426" xr:uid="{00000000-0005-0000-0000-00001D0A0000}"/>
    <cellStyle name="20% - Énfasis4 2 2 5 2" xfId="6147" xr:uid="{00000000-0005-0000-0000-00001E0A0000}"/>
    <cellStyle name="20% - Énfasis4 2 2 5 2 2" xfId="21031" xr:uid="{00000000-0005-0000-0000-00001F0A0000}"/>
    <cellStyle name="20% - Énfasis4 2 2 5 2 2 2" xfId="43674" xr:uid="{00000000-0005-0000-0000-0000200A0000}"/>
    <cellStyle name="20% - Énfasis4 2 2 5 2 3" xfId="13591" xr:uid="{00000000-0005-0000-0000-0000210A0000}"/>
    <cellStyle name="20% - Énfasis4 2 2 5 2 3 2" xfId="36234" xr:uid="{00000000-0005-0000-0000-0000220A0000}"/>
    <cellStyle name="20% - Énfasis4 2 2 5 2 4" xfId="28793" xr:uid="{00000000-0005-0000-0000-0000230A0000}"/>
    <cellStyle name="20% - Énfasis4 2 2 5 3" xfId="17313" xr:uid="{00000000-0005-0000-0000-0000240A0000}"/>
    <cellStyle name="20% - Énfasis4 2 2 5 3 2" xfId="39956" xr:uid="{00000000-0005-0000-0000-0000250A0000}"/>
    <cellStyle name="20% - Énfasis4 2 2 5 4" xfId="9873" xr:uid="{00000000-0005-0000-0000-0000260A0000}"/>
    <cellStyle name="20% - Énfasis4 2 2 5 4 2" xfId="32516" xr:uid="{00000000-0005-0000-0000-0000270A0000}"/>
    <cellStyle name="20% - Énfasis4 2 2 5 5" xfId="25075" xr:uid="{00000000-0005-0000-0000-0000280A0000}"/>
    <cellStyle name="20% - Énfasis4 2 2 6" xfId="4300" xr:uid="{00000000-0005-0000-0000-0000290A0000}"/>
    <cellStyle name="20% - Énfasis4 2 2 6 2" xfId="19184" xr:uid="{00000000-0005-0000-0000-00002A0A0000}"/>
    <cellStyle name="20% - Énfasis4 2 2 6 2 2" xfId="41827" xr:uid="{00000000-0005-0000-0000-00002B0A0000}"/>
    <cellStyle name="20% - Énfasis4 2 2 6 3" xfId="11744" xr:uid="{00000000-0005-0000-0000-00002C0A0000}"/>
    <cellStyle name="20% - Énfasis4 2 2 6 3 2" xfId="34387" xr:uid="{00000000-0005-0000-0000-00002D0A0000}"/>
    <cellStyle name="20% - Énfasis4 2 2 6 4" xfId="26946" xr:uid="{00000000-0005-0000-0000-00002E0A0000}"/>
    <cellStyle name="20% - Énfasis4 2 2 7" xfId="569" xr:uid="{00000000-0005-0000-0000-00002F0A0000}"/>
    <cellStyle name="20% - Énfasis4 2 2 7 2" xfId="15466" xr:uid="{00000000-0005-0000-0000-0000300A0000}"/>
    <cellStyle name="20% - Énfasis4 2 2 7 2 2" xfId="38109" xr:uid="{00000000-0005-0000-0000-0000310A0000}"/>
    <cellStyle name="20% - Énfasis4 2 2 7 3" xfId="23229" xr:uid="{00000000-0005-0000-0000-0000320A0000}"/>
    <cellStyle name="20% - Énfasis4 2 2 8" xfId="8026" xr:uid="{00000000-0005-0000-0000-0000330A0000}"/>
    <cellStyle name="20% - Énfasis4 2 2 8 2" xfId="30669" xr:uid="{00000000-0005-0000-0000-0000340A0000}"/>
    <cellStyle name="20% - Énfasis4 2 2 9" xfId="22808" xr:uid="{00000000-0005-0000-0000-0000350A0000}"/>
    <cellStyle name="20% - Énfasis4 2 3" xfId="142" xr:uid="{00000000-0005-0000-0000-0000360A0000}"/>
    <cellStyle name="20% - Énfasis4 2 3 2" xfId="305" xr:uid="{00000000-0005-0000-0000-0000370A0000}"/>
    <cellStyle name="20% - Énfasis4 2 3 2 2" xfId="2069" xr:uid="{00000000-0005-0000-0000-0000380A0000}"/>
    <cellStyle name="20% - Énfasis4 2 3 2 2 2" xfId="3919" xr:uid="{00000000-0005-0000-0000-0000390A0000}"/>
    <cellStyle name="20% - Énfasis4 2 3 2 2 2 2" xfId="7640" xr:uid="{00000000-0005-0000-0000-00003A0A0000}"/>
    <cellStyle name="20% - Énfasis4 2 3 2 2 2 2 2" xfId="22524" xr:uid="{00000000-0005-0000-0000-00003B0A0000}"/>
    <cellStyle name="20% - Énfasis4 2 3 2 2 2 2 2 2" xfId="45167" xr:uid="{00000000-0005-0000-0000-00003C0A0000}"/>
    <cellStyle name="20% - Énfasis4 2 3 2 2 2 2 3" xfId="15084" xr:uid="{00000000-0005-0000-0000-00003D0A0000}"/>
    <cellStyle name="20% - Énfasis4 2 3 2 2 2 2 3 2" xfId="37727" xr:uid="{00000000-0005-0000-0000-00003E0A0000}"/>
    <cellStyle name="20% - Énfasis4 2 3 2 2 2 2 4" xfId="30286" xr:uid="{00000000-0005-0000-0000-00003F0A0000}"/>
    <cellStyle name="20% - Énfasis4 2 3 2 2 2 3" xfId="18806" xr:uid="{00000000-0005-0000-0000-0000400A0000}"/>
    <cellStyle name="20% - Énfasis4 2 3 2 2 2 3 2" xfId="41449" xr:uid="{00000000-0005-0000-0000-0000410A0000}"/>
    <cellStyle name="20% - Énfasis4 2 3 2 2 2 4" xfId="11366" xr:uid="{00000000-0005-0000-0000-0000420A0000}"/>
    <cellStyle name="20% - Énfasis4 2 3 2 2 2 4 2" xfId="34009" xr:uid="{00000000-0005-0000-0000-0000430A0000}"/>
    <cellStyle name="20% - Énfasis4 2 3 2 2 2 5" xfId="26568" xr:uid="{00000000-0005-0000-0000-0000440A0000}"/>
    <cellStyle name="20% - Énfasis4 2 3 2 2 3" xfId="5793" xr:uid="{00000000-0005-0000-0000-0000450A0000}"/>
    <cellStyle name="20% - Énfasis4 2 3 2 2 3 2" xfId="20677" xr:uid="{00000000-0005-0000-0000-0000460A0000}"/>
    <cellStyle name="20% - Énfasis4 2 3 2 2 3 2 2" xfId="43320" xr:uid="{00000000-0005-0000-0000-0000470A0000}"/>
    <cellStyle name="20% - Énfasis4 2 3 2 2 3 3" xfId="13237" xr:uid="{00000000-0005-0000-0000-0000480A0000}"/>
    <cellStyle name="20% - Énfasis4 2 3 2 2 3 3 2" xfId="35880" xr:uid="{00000000-0005-0000-0000-0000490A0000}"/>
    <cellStyle name="20% - Énfasis4 2 3 2 2 3 4" xfId="28439" xr:uid="{00000000-0005-0000-0000-00004A0A0000}"/>
    <cellStyle name="20% - Énfasis4 2 3 2 2 4" xfId="16959" xr:uid="{00000000-0005-0000-0000-00004B0A0000}"/>
    <cellStyle name="20% - Énfasis4 2 3 2 2 4 2" xfId="39602" xr:uid="{00000000-0005-0000-0000-00004C0A0000}"/>
    <cellStyle name="20% - Énfasis4 2 3 2 2 5" xfId="9519" xr:uid="{00000000-0005-0000-0000-00004D0A0000}"/>
    <cellStyle name="20% - Énfasis4 2 3 2 2 5 2" xfId="32162" xr:uid="{00000000-0005-0000-0000-00004E0A0000}"/>
    <cellStyle name="20% - Énfasis4 2 3 2 2 6" xfId="24721" xr:uid="{00000000-0005-0000-0000-00004F0A0000}"/>
    <cellStyle name="20% - Énfasis4 2 3 2 3" xfId="2994" xr:uid="{00000000-0005-0000-0000-0000500A0000}"/>
    <cellStyle name="20% - Énfasis4 2 3 2 3 2" xfId="6715" xr:uid="{00000000-0005-0000-0000-0000510A0000}"/>
    <cellStyle name="20% - Énfasis4 2 3 2 3 2 2" xfId="21599" xr:uid="{00000000-0005-0000-0000-0000520A0000}"/>
    <cellStyle name="20% - Énfasis4 2 3 2 3 2 2 2" xfId="44242" xr:uid="{00000000-0005-0000-0000-0000530A0000}"/>
    <cellStyle name="20% - Énfasis4 2 3 2 3 2 3" xfId="14159" xr:uid="{00000000-0005-0000-0000-0000540A0000}"/>
    <cellStyle name="20% - Énfasis4 2 3 2 3 2 3 2" xfId="36802" xr:uid="{00000000-0005-0000-0000-0000550A0000}"/>
    <cellStyle name="20% - Énfasis4 2 3 2 3 2 4" xfId="29361" xr:uid="{00000000-0005-0000-0000-0000560A0000}"/>
    <cellStyle name="20% - Énfasis4 2 3 2 3 3" xfId="17881" xr:uid="{00000000-0005-0000-0000-0000570A0000}"/>
    <cellStyle name="20% - Énfasis4 2 3 2 3 3 2" xfId="40524" xr:uid="{00000000-0005-0000-0000-0000580A0000}"/>
    <cellStyle name="20% - Énfasis4 2 3 2 3 4" xfId="10441" xr:uid="{00000000-0005-0000-0000-0000590A0000}"/>
    <cellStyle name="20% - Énfasis4 2 3 2 3 4 2" xfId="33084" xr:uid="{00000000-0005-0000-0000-00005A0A0000}"/>
    <cellStyle name="20% - Énfasis4 2 3 2 3 5" xfId="25643" xr:uid="{00000000-0005-0000-0000-00005B0A0000}"/>
    <cellStyle name="20% - Énfasis4 2 3 2 4" xfId="4868" xr:uid="{00000000-0005-0000-0000-00005C0A0000}"/>
    <cellStyle name="20% - Énfasis4 2 3 2 4 2" xfId="19752" xr:uid="{00000000-0005-0000-0000-00005D0A0000}"/>
    <cellStyle name="20% - Énfasis4 2 3 2 4 2 2" xfId="42395" xr:uid="{00000000-0005-0000-0000-00005E0A0000}"/>
    <cellStyle name="20% - Énfasis4 2 3 2 4 3" xfId="12312" xr:uid="{00000000-0005-0000-0000-00005F0A0000}"/>
    <cellStyle name="20% - Énfasis4 2 3 2 4 3 2" xfId="34955" xr:uid="{00000000-0005-0000-0000-0000600A0000}"/>
    <cellStyle name="20% - Énfasis4 2 3 2 4 4" xfId="27514" xr:uid="{00000000-0005-0000-0000-0000610A0000}"/>
    <cellStyle name="20% - Énfasis4 2 3 2 5" xfId="1141" xr:uid="{00000000-0005-0000-0000-0000620A0000}"/>
    <cellStyle name="20% - Énfasis4 2 3 2 5 2" xfId="16034" xr:uid="{00000000-0005-0000-0000-0000630A0000}"/>
    <cellStyle name="20% - Énfasis4 2 3 2 5 2 2" xfId="38677" xr:uid="{00000000-0005-0000-0000-0000640A0000}"/>
    <cellStyle name="20% - Énfasis4 2 3 2 5 3" xfId="23796" xr:uid="{00000000-0005-0000-0000-0000650A0000}"/>
    <cellStyle name="20% - Énfasis4 2 3 2 6" xfId="8594" xr:uid="{00000000-0005-0000-0000-0000660A0000}"/>
    <cellStyle name="20% - Énfasis4 2 3 2 6 2" xfId="31237" xr:uid="{00000000-0005-0000-0000-0000670A0000}"/>
    <cellStyle name="20% - Énfasis4 2 3 2 7" xfId="23003" xr:uid="{00000000-0005-0000-0000-0000680A0000}"/>
    <cellStyle name="20% - Énfasis4 2 3 3" xfId="1607" xr:uid="{00000000-0005-0000-0000-0000690A0000}"/>
    <cellStyle name="20% - Énfasis4 2 3 3 2" xfId="3457" xr:uid="{00000000-0005-0000-0000-00006A0A0000}"/>
    <cellStyle name="20% - Énfasis4 2 3 3 2 2" xfId="7178" xr:uid="{00000000-0005-0000-0000-00006B0A0000}"/>
    <cellStyle name="20% - Énfasis4 2 3 3 2 2 2" xfId="22062" xr:uid="{00000000-0005-0000-0000-00006C0A0000}"/>
    <cellStyle name="20% - Énfasis4 2 3 3 2 2 2 2" xfId="44705" xr:uid="{00000000-0005-0000-0000-00006D0A0000}"/>
    <cellStyle name="20% - Énfasis4 2 3 3 2 2 3" xfId="14622" xr:uid="{00000000-0005-0000-0000-00006E0A0000}"/>
    <cellStyle name="20% - Énfasis4 2 3 3 2 2 3 2" xfId="37265" xr:uid="{00000000-0005-0000-0000-00006F0A0000}"/>
    <cellStyle name="20% - Énfasis4 2 3 3 2 2 4" xfId="29824" xr:uid="{00000000-0005-0000-0000-0000700A0000}"/>
    <cellStyle name="20% - Énfasis4 2 3 3 2 3" xfId="18344" xr:uid="{00000000-0005-0000-0000-0000710A0000}"/>
    <cellStyle name="20% - Énfasis4 2 3 3 2 3 2" xfId="40987" xr:uid="{00000000-0005-0000-0000-0000720A0000}"/>
    <cellStyle name="20% - Énfasis4 2 3 3 2 4" xfId="10904" xr:uid="{00000000-0005-0000-0000-0000730A0000}"/>
    <cellStyle name="20% - Énfasis4 2 3 3 2 4 2" xfId="33547" xr:uid="{00000000-0005-0000-0000-0000740A0000}"/>
    <cellStyle name="20% - Énfasis4 2 3 3 2 5" xfId="26106" xr:uid="{00000000-0005-0000-0000-0000750A0000}"/>
    <cellStyle name="20% - Énfasis4 2 3 3 3" xfId="5331" xr:uid="{00000000-0005-0000-0000-0000760A0000}"/>
    <cellStyle name="20% - Énfasis4 2 3 3 3 2" xfId="20215" xr:uid="{00000000-0005-0000-0000-0000770A0000}"/>
    <cellStyle name="20% - Énfasis4 2 3 3 3 2 2" xfId="42858" xr:uid="{00000000-0005-0000-0000-0000780A0000}"/>
    <cellStyle name="20% - Énfasis4 2 3 3 3 3" xfId="12775" xr:uid="{00000000-0005-0000-0000-0000790A0000}"/>
    <cellStyle name="20% - Énfasis4 2 3 3 3 3 2" xfId="35418" xr:uid="{00000000-0005-0000-0000-00007A0A0000}"/>
    <cellStyle name="20% - Énfasis4 2 3 3 3 4" xfId="27977" xr:uid="{00000000-0005-0000-0000-00007B0A0000}"/>
    <cellStyle name="20% - Énfasis4 2 3 3 4" xfId="16497" xr:uid="{00000000-0005-0000-0000-00007C0A0000}"/>
    <cellStyle name="20% - Énfasis4 2 3 3 4 2" xfId="39140" xr:uid="{00000000-0005-0000-0000-00007D0A0000}"/>
    <cellStyle name="20% - Énfasis4 2 3 3 5" xfId="9057" xr:uid="{00000000-0005-0000-0000-00007E0A0000}"/>
    <cellStyle name="20% - Énfasis4 2 3 3 5 2" xfId="31700" xr:uid="{00000000-0005-0000-0000-00007F0A0000}"/>
    <cellStyle name="20% - Énfasis4 2 3 3 6" xfId="24259" xr:uid="{00000000-0005-0000-0000-0000800A0000}"/>
    <cellStyle name="20% - Énfasis4 2 3 4" xfId="2532" xr:uid="{00000000-0005-0000-0000-0000810A0000}"/>
    <cellStyle name="20% - Énfasis4 2 3 4 2" xfId="6253" xr:uid="{00000000-0005-0000-0000-0000820A0000}"/>
    <cellStyle name="20% - Énfasis4 2 3 4 2 2" xfId="21137" xr:uid="{00000000-0005-0000-0000-0000830A0000}"/>
    <cellStyle name="20% - Énfasis4 2 3 4 2 2 2" xfId="43780" xr:uid="{00000000-0005-0000-0000-0000840A0000}"/>
    <cellStyle name="20% - Énfasis4 2 3 4 2 3" xfId="13697" xr:uid="{00000000-0005-0000-0000-0000850A0000}"/>
    <cellStyle name="20% - Énfasis4 2 3 4 2 3 2" xfId="36340" xr:uid="{00000000-0005-0000-0000-0000860A0000}"/>
    <cellStyle name="20% - Énfasis4 2 3 4 2 4" xfId="28899" xr:uid="{00000000-0005-0000-0000-0000870A0000}"/>
    <cellStyle name="20% - Énfasis4 2 3 4 3" xfId="17419" xr:uid="{00000000-0005-0000-0000-0000880A0000}"/>
    <cellStyle name="20% - Énfasis4 2 3 4 3 2" xfId="40062" xr:uid="{00000000-0005-0000-0000-0000890A0000}"/>
    <cellStyle name="20% - Énfasis4 2 3 4 4" xfId="9979" xr:uid="{00000000-0005-0000-0000-00008A0A0000}"/>
    <cellStyle name="20% - Énfasis4 2 3 4 4 2" xfId="32622" xr:uid="{00000000-0005-0000-0000-00008B0A0000}"/>
    <cellStyle name="20% - Énfasis4 2 3 4 5" xfId="25181" xr:uid="{00000000-0005-0000-0000-00008C0A0000}"/>
    <cellStyle name="20% - Énfasis4 2 3 5" xfId="4406" xr:uid="{00000000-0005-0000-0000-00008D0A0000}"/>
    <cellStyle name="20% - Énfasis4 2 3 5 2" xfId="19290" xr:uid="{00000000-0005-0000-0000-00008E0A0000}"/>
    <cellStyle name="20% - Énfasis4 2 3 5 2 2" xfId="41933" xr:uid="{00000000-0005-0000-0000-00008F0A0000}"/>
    <cellStyle name="20% - Énfasis4 2 3 5 3" xfId="11850" xr:uid="{00000000-0005-0000-0000-0000900A0000}"/>
    <cellStyle name="20% - Énfasis4 2 3 5 3 2" xfId="34493" xr:uid="{00000000-0005-0000-0000-0000910A0000}"/>
    <cellStyle name="20% - Énfasis4 2 3 5 4" xfId="27052" xr:uid="{00000000-0005-0000-0000-0000920A0000}"/>
    <cellStyle name="20% - Énfasis4 2 3 6" xfId="676" xr:uid="{00000000-0005-0000-0000-0000930A0000}"/>
    <cellStyle name="20% - Énfasis4 2 3 6 2" xfId="15572" xr:uid="{00000000-0005-0000-0000-0000940A0000}"/>
    <cellStyle name="20% - Énfasis4 2 3 6 2 2" xfId="38215" xr:uid="{00000000-0005-0000-0000-0000950A0000}"/>
    <cellStyle name="20% - Énfasis4 2 3 6 3" xfId="23334" xr:uid="{00000000-0005-0000-0000-0000960A0000}"/>
    <cellStyle name="20% - Énfasis4 2 3 7" xfId="8132" xr:uid="{00000000-0005-0000-0000-0000970A0000}"/>
    <cellStyle name="20% - Énfasis4 2 3 7 2" xfId="30775" xr:uid="{00000000-0005-0000-0000-0000980A0000}"/>
    <cellStyle name="20% - Énfasis4 2 3 8" xfId="22847" xr:uid="{00000000-0005-0000-0000-0000990A0000}"/>
    <cellStyle name="20% - Énfasis4 2 4" xfId="225" xr:uid="{00000000-0005-0000-0000-00009A0A0000}"/>
    <cellStyle name="20% - Énfasis4 2 4 2" xfId="1858" xr:uid="{00000000-0005-0000-0000-00009B0A0000}"/>
    <cellStyle name="20% - Énfasis4 2 4 2 2" xfId="3708" xr:uid="{00000000-0005-0000-0000-00009C0A0000}"/>
    <cellStyle name="20% - Énfasis4 2 4 2 2 2" xfId="7429" xr:uid="{00000000-0005-0000-0000-00009D0A0000}"/>
    <cellStyle name="20% - Énfasis4 2 4 2 2 2 2" xfId="22313" xr:uid="{00000000-0005-0000-0000-00009E0A0000}"/>
    <cellStyle name="20% - Énfasis4 2 4 2 2 2 2 2" xfId="44956" xr:uid="{00000000-0005-0000-0000-00009F0A0000}"/>
    <cellStyle name="20% - Énfasis4 2 4 2 2 2 3" xfId="14873" xr:uid="{00000000-0005-0000-0000-0000A00A0000}"/>
    <cellStyle name="20% - Énfasis4 2 4 2 2 2 3 2" xfId="37516" xr:uid="{00000000-0005-0000-0000-0000A10A0000}"/>
    <cellStyle name="20% - Énfasis4 2 4 2 2 2 4" xfId="30075" xr:uid="{00000000-0005-0000-0000-0000A20A0000}"/>
    <cellStyle name="20% - Énfasis4 2 4 2 2 3" xfId="18595" xr:uid="{00000000-0005-0000-0000-0000A30A0000}"/>
    <cellStyle name="20% - Énfasis4 2 4 2 2 3 2" xfId="41238" xr:uid="{00000000-0005-0000-0000-0000A40A0000}"/>
    <cellStyle name="20% - Énfasis4 2 4 2 2 4" xfId="11155" xr:uid="{00000000-0005-0000-0000-0000A50A0000}"/>
    <cellStyle name="20% - Énfasis4 2 4 2 2 4 2" xfId="33798" xr:uid="{00000000-0005-0000-0000-0000A60A0000}"/>
    <cellStyle name="20% - Énfasis4 2 4 2 2 5" xfId="26357" xr:uid="{00000000-0005-0000-0000-0000A70A0000}"/>
    <cellStyle name="20% - Énfasis4 2 4 2 3" xfId="5582" xr:uid="{00000000-0005-0000-0000-0000A80A0000}"/>
    <cellStyle name="20% - Énfasis4 2 4 2 3 2" xfId="20466" xr:uid="{00000000-0005-0000-0000-0000A90A0000}"/>
    <cellStyle name="20% - Énfasis4 2 4 2 3 2 2" xfId="43109" xr:uid="{00000000-0005-0000-0000-0000AA0A0000}"/>
    <cellStyle name="20% - Énfasis4 2 4 2 3 3" xfId="13026" xr:uid="{00000000-0005-0000-0000-0000AB0A0000}"/>
    <cellStyle name="20% - Énfasis4 2 4 2 3 3 2" xfId="35669" xr:uid="{00000000-0005-0000-0000-0000AC0A0000}"/>
    <cellStyle name="20% - Énfasis4 2 4 2 3 4" xfId="28228" xr:uid="{00000000-0005-0000-0000-0000AD0A0000}"/>
    <cellStyle name="20% - Énfasis4 2 4 2 4" xfId="16748" xr:uid="{00000000-0005-0000-0000-0000AE0A0000}"/>
    <cellStyle name="20% - Énfasis4 2 4 2 4 2" xfId="39391" xr:uid="{00000000-0005-0000-0000-0000AF0A0000}"/>
    <cellStyle name="20% - Énfasis4 2 4 2 5" xfId="9308" xr:uid="{00000000-0005-0000-0000-0000B00A0000}"/>
    <cellStyle name="20% - Énfasis4 2 4 2 5 2" xfId="31951" xr:uid="{00000000-0005-0000-0000-0000B10A0000}"/>
    <cellStyle name="20% - Énfasis4 2 4 2 6" xfId="24510" xr:uid="{00000000-0005-0000-0000-0000B20A0000}"/>
    <cellStyle name="20% - Énfasis4 2 4 3" xfId="2783" xr:uid="{00000000-0005-0000-0000-0000B30A0000}"/>
    <cellStyle name="20% - Énfasis4 2 4 3 2" xfId="6504" xr:uid="{00000000-0005-0000-0000-0000B40A0000}"/>
    <cellStyle name="20% - Énfasis4 2 4 3 2 2" xfId="21388" xr:uid="{00000000-0005-0000-0000-0000B50A0000}"/>
    <cellStyle name="20% - Énfasis4 2 4 3 2 2 2" xfId="44031" xr:uid="{00000000-0005-0000-0000-0000B60A0000}"/>
    <cellStyle name="20% - Énfasis4 2 4 3 2 3" xfId="13948" xr:uid="{00000000-0005-0000-0000-0000B70A0000}"/>
    <cellStyle name="20% - Énfasis4 2 4 3 2 3 2" xfId="36591" xr:uid="{00000000-0005-0000-0000-0000B80A0000}"/>
    <cellStyle name="20% - Énfasis4 2 4 3 2 4" xfId="29150" xr:uid="{00000000-0005-0000-0000-0000B90A0000}"/>
    <cellStyle name="20% - Énfasis4 2 4 3 3" xfId="17670" xr:uid="{00000000-0005-0000-0000-0000BA0A0000}"/>
    <cellStyle name="20% - Énfasis4 2 4 3 3 2" xfId="40313" xr:uid="{00000000-0005-0000-0000-0000BB0A0000}"/>
    <cellStyle name="20% - Énfasis4 2 4 3 4" xfId="10230" xr:uid="{00000000-0005-0000-0000-0000BC0A0000}"/>
    <cellStyle name="20% - Énfasis4 2 4 3 4 2" xfId="32873" xr:uid="{00000000-0005-0000-0000-0000BD0A0000}"/>
    <cellStyle name="20% - Énfasis4 2 4 3 5" xfId="25432" xr:uid="{00000000-0005-0000-0000-0000BE0A0000}"/>
    <cellStyle name="20% - Énfasis4 2 4 4" xfId="4657" xr:uid="{00000000-0005-0000-0000-0000BF0A0000}"/>
    <cellStyle name="20% - Énfasis4 2 4 4 2" xfId="19541" xr:uid="{00000000-0005-0000-0000-0000C00A0000}"/>
    <cellStyle name="20% - Énfasis4 2 4 4 2 2" xfId="42184" xr:uid="{00000000-0005-0000-0000-0000C10A0000}"/>
    <cellStyle name="20% - Énfasis4 2 4 4 3" xfId="12101" xr:uid="{00000000-0005-0000-0000-0000C20A0000}"/>
    <cellStyle name="20% - Énfasis4 2 4 4 3 2" xfId="34744" xr:uid="{00000000-0005-0000-0000-0000C30A0000}"/>
    <cellStyle name="20% - Énfasis4 2 4 4 4" xfId="27303" xr:uid="{00000000-0005-0000-0000-0000C40A0000}"/>
    <cellStyle name="20% - Énfasis4 2 4 5" xfId="930" xr:uid="{00000000-0005-0000-0000-0000C50A0000}"/>
    <cellStyle name="20% - Énfasis4 2 4 5 2" xfId="15823" xr:uid="{00000000-0005-0000-0000-0000C60A0000}"/>
    <cellStyle name="20% - Énfasis4 2 4 5 2 2" xfId="38466" xr:uid="{00000000-0005-0000-0000-0000C70A0000}"/>
    <cellStyle name="20% - Énfasis4 2 4 5 3" xfId="23585" xr:uid="{00000000-0005-0000-0000-0000C80A0000}"/>
    <cellStyle name="20% - Énfasis4 2 4 6" xfId="8383" xr:uid="{00000000-0005-0000-0000-0000C90A0000}"/>
    <cellStyle name="20% - Énfasis4 2 4 6 2" xfId="31026" xr:uid="{00000000-0005-0000-0000-0000CA0A0000}"/>
    <cellStyle name="20% - Énfasis4 2 4 7" xfId="22925" xr:uid="{00000000-0005-0000-0000-0000CB0A0000}"/>
    <cellStyle name="20% - Énfasis4 2 5" xfId="1396" xr:uid="{00000000-0005-0000-0000-0000CC0A0000}"/>
    <cellStyle name="20% - Énfasis4 2 5 2" xfId="3246" xr:uid="{00000000-0005-0000-0000-0000CD0A0000}"/>
    <cellStyle name="20% - Énfasis4 2 5 2 2" xfId="6967" xr:uid="{00000000-0005-0000-0000-0000CE0A0000}"/>
    <cellStyle name="20% - Énfasis4 2 5 2 2 2" xfId="21851" xr:uid="{00000000-0005-0000-0000-0000CF0A0000}"/>
    <cellStyle name="20% - Énfasis4 2 5 2 2 2 2" xfId="44494" xr:uid="{00000000-0005-0000-0000-0000D00A0000}"/>
    <cellStyle name="20% - Énfasis4 2 5 2 2 3" xfId="14411" xr:uid="{00000000-0005-0000-0000-0000D10A0000}"/>
    <cellStyle name="20% - Énfasis4 2 5 2 2 3 2" xfId="37054" xr:uid="{00000000-0005-0000-0000-0000D20A0000}"/>
    <cellStyle name="20% - Énfasis4 2 5 2 2 4" xfId="29613" xr:uid="{00000000-0005-0000-0000-0000D30A0000}"/>
    <cellStyle name="20% - Énfasis4 2 5 2 3" xfId="18133" xr:uid="{00000000-0005-0000-0000-0000D40A0000}"/>
    <cellStyle name="20% - Énfasis4 2 5 2 3 2" xfId="40776" xr:uid="{00000000-0005-0000-0000-0000D50A0000}"/>
    <cellStyle name="20% - Énfasis4 2 5 2 4" xfId="10693" xr:uid="{00000000-0005-0000-0000-0000D60A0000}"/>
    <cellStyle name="20% - Énfasis4 2 5 2 4 2" xfId="33336" xr:uid="{00000000-0005-0000-0000-0000D70A0000}"/>
    <cellStyle name="20% - Énfasis4 2 5 2 5" xfId="25895" xr:uid="{00000000-0005-0000-0000-0000D80A0000}"/>
    <cellStyle name="20% - Énfasis4 2 5 3" xfId="5120" xr:uid="{00000000-0005-0000-0000-0000D90A0000}"/>
    <cellStyle name="20% - Énfasis4 2 5 3 2" xfId="20004" xr:uid="{00000000-0005-0000-0000-0000DA0A0000}"/>
    <cellStyle name="20% - Énfasis4 2 5 3 2 2" xfId="42647" xr:uid="{00000000-0005-0000-0000-0000DB0A0000}"/>
    <cellStyle name="20% - Énfasis4 2 5 3 3" xfId="12564" xr:uid="{00000000-0005-0000-0000-0000DC0A0000}"/>
    <cellStyle name="20% - Énfasis4 2 5 3 3 2" xfId="35207" xr:uid="{00000000-0005-0000-0000-0000DD0A0000}"/>
    <cellStyle name="20% - Énfasis4 2 5 3 4" xfId="27766" xr:uid="{00000000-0005-0000-0000-0000DE0A0000}"/>
    <cellStyle name="20% - Énfasis4 2 5 4" xfId="16286" xr:uid="{00000000-0005-0000-0000-0000DF0A0000}"/>
    <cellStyle name="20% - Énfasis4 2 5 4 2" xfId="38929" xr:uid="{00000000-0005-0000-0000-0000E00A0000}"/>
    <cellStyle name="20% - Énfasis4 2 5 5" xfId="8846" xr:uid="{00000000-0005-0000-0000-0000E10A0000}"/>
    <cellStyle name="20% - Énfasis4 2 5 5 2" xfId="31489" xr:uid="{00000000-0005-0000-0000-0000E20A0000}"/>
    <cellStyle name="20% - Énfasis4 2 5 6" xfId="24048" xr:uid="{00000000-0005-0000-0000-0000E30A0000}"/>
    <cellStyle name="20% - Énfasis4 2 6" xfId="2321" xr:uid="{00000000-0005-0000-0000-0000E40A0000}"/>
    <cellStyle name="20% - Énfasis4 2 6 2" xfId="6042" xr:uid="{00000000-0005-0000-0000-0000E50A0000}"/>
    <cellStyle name="20% - Énfasis4 2 6 2 2" xfId="20926" xr:uid="{00000000-0005-0000-0000-0000E60A0000}"/>
    <cellStyle name="20% - Énfasis4 2 6 2 2 2" xfId="43569" xr:uid="{00000000-0005-0000-0000-0000E70A0000}"/>
    <cellStyle name="20% - Énfasis4 2 6 2 3" xfId="13486" xr:uid="{00000000-0005-0000-0000-0000E80A0000}"/>
    <cellStyle name="20% - Énfasis4 2 6 2 3 2" xfId="36129" xr:uid="{00000000-0005-0000-0000-0000E90A0000}"/>
    <cellStyle name="20% - Énfasis4 2 6 2 4" xfId="28688" xr:uid="{00000000-0005-0000-0000-0000EA0A0000}"/>
    <cellStyle name="20% - Énfasis4 2 6 3" xfId="17208" xr:uid="{00000000-0005-0000-0000-0000EB0A0000}"/>
    <cellStyle name="20% - Énfasis4 2 6 3 2" xfId="39851" xr:uid="{00000000-0005-0000-0000-0000EC0A0000}"/>
    <cellStyle name="20% - Énfasis4 2 6 4" xfId="9768" xr:uid="{00000000-0005-0000-0000-0000ED0A0000}"/>
    <cellStyle name="20% - Énfasis4 2 6 4 2" xfId="32411" xr:uid="{00000000-0005-0000-0000-0000EE0A0000}"/>
    <cellStyle name="20% - Énfasis4 2 6 5" xfId="24970" xr:uid="{00000000-0005-0000-0000-0000EF0A0000}"/>
    <cellStyle name="20% - Énfasis4 2 7" xfId="4195" xr:uid="{00000000-0005-0000-0000-0000F00A0000}"/>
    <cellStyle name="20% - Énfasis4 2 7 2" xfId="19079" xr:uid="{00000000-0005-0000-0000-0000F10A0000}"/>
    <cellStyle name="20% - Énfasis4 2 7 2 2" xfId="41722" xr:uid="{00000000-0005-0000-0000-0000F20A0000}"/>
    <cellStyle name="20% - Énfasis4 2 7 3" xfId="11639" xr:uid="{00000000-0005-0000-0000-0000F30A0000}"/>
    <cellStyle name="20% - Énfasis4 2 7 3 2" xfId="34282" xr:uid="{00000000-0005-0000-0000-0000F40A0000}"/>
    <cellStyle name="20% - Énfasis4 2 7 4" xfId="26841" xr:uid="{00000000-0005-0000-0000-0000F50A0000}"/>
    <cellStyle name="20% - Énfasis4 2 8" xfId="462" xr:uid="{00000000-0005-0000-0000-0000F60A0000}"/>
    <cellStyle name="20% - Énfasis4 2 8 2" xfId="15361" xr:uid="{00000000-0005-0000-0000-0000F70A0000}"/>
    <cellStyle name="20% - Énfasis4 2 8 2 2" xfId="38004" xr:uid="{00000000-0005-0000-0000-0000F80A0000}"/>
    <cellStyle name="20% - Énfasis4 2 8 3" xfId="23124" xr:uid="{00000000-0005-0000-0000-0000F90A0000}"/>
    <cellStyle name="20% - Énfasis4 2 9" xfId="7921" xr:uid="{00000000-0005-0000-0000-0000FA0A0000}"/>
    <cellStyle name="20% - Énfasis4 2 9 2" xfId="30564" xr:uid="{00000000-0005-0000-0000-0000FB0A0000}"/>
    <cellStyle name="20% - Énfasis4 3" xfId="90" xr:uid="{00000000-0005-0000-0000-0000FC0A0000}"/>
    <cellStyle name="20% - Énfasis4 3 2" xfId="174" xr:uid="{00000000-0005-0000-0000-0000FD0A0000}"/>
    <cellStyle name="20% - Énfasis4 3 2 2" xfId="335" xr:uid="{00000000-0005-0000-0000-0000FE0A0000}"/>
    <cellStyle name="20% - Énfasis4 3 2 2 2" xfId="2122" xr:uid="{00000000-0005-0000-0000-0000FF0A0000}"/>
    <cellStyle name="20% - Énfasis4 3 2 2 2 2" xfId="3972" xr:uid="{00000000-0005-0000-0000-0000000B0000}"/>
    <cellStyle name="20% - Énfasis4 3 2 2 2 2 2" xfId="7693" xr:uid="{00000000-0005-0000-0000-0000010B0000}"/>
    <cellStyle name="20% - Énfasis4 3 2 2 2 2 2 2" xfId="22577" xr:uid="{00000000-0005-0000-0000-0000020B0000}"/>
    <cellStyle name="20% - Énfasis4 3 2 2 2 2 2 2 2" xfId="45220" xr:uid="{00000000-0005-0000-0000-0000030B0000}"/>
    <cellStyle name="20% - Énfasis4 3 2 2 2 2 2 3" xfId="15137" xr:uid="{00000000-0005-0000-0000-0000040B0000}"/>
    <cellStyle name="20% - Énfasis4 3 2 2 2 2 2 3 2" xfId="37780" xr:uid="{00000000-0005-0000-0000-0000050B0000}"/>
    <cellStyle name="20% - Énfasis4 3 2 2 2 2 2 4" xfId="30339" xr:uid="{00000000-0005-0000-0000-0000060B0000}"/>
    <cellStyle name="20% - Énfasis4 3 2 2 2 2 3" xfId="18859" xr:uid="{00000000-0005-0000-0000-0000070B0000}"/>
    <cellStyle name="20% - Énfasis4 3 2 2 2 2 3 2" xfId="41502" xr:uid="{00000000-0005-0000-0000-0000080B0000}"/>
    <cellStyle name="20% - Énfasis4 3 2 2 2 2 4" xfId="11419" xr:uid="{00000000-0005-0000-0000-0000090B0000}"/>
    <cellStyle name="20% - Énfasis4 3 2 2 2 2 4 2" xfId="34062" xr:uid="{00000000-0005-0000-0000-00000A0B0000}"/>
    <cellStyle name="20% - Énfasis4 3 2 2 2 2 5" xfId="26621" xr:uid="{00000000-0005-0000-0000-00000B0B0000}"/>
    <cellStyle name="20% - Énfasis4 3 2 2 2 3" xfId="5846" xr:uid="{00000000-0005-0000-0000-00000C0B0000}"/>
    <cellStyle name="20% - Énfasis4 3 2 2 2 3 2" xfId="20730" xr:uid="{00000000-0005-0000-0000-00000D0B0000}"/>
    <cellStyle name="20% - Énfasis4 3 2 2 2 3 2 2" xfId="43373" xr:uid="{00000000-0005-0000-0000-00000E0B0000}"/>
    <cellStyle name="20% - Énfasis4 3 2 2 2 3 3" xfId="13290" xr:uid="{00000000-0005-0000-0000-00000F0B0000}"/>
    <cellStyle name="20% - Énfasis4 3 2 2 2 3 3 2" xfId="35933" xr:uid="{00000000-0005-0000-0000-0000100B0000}"/>
    <cellStyle name="20% - Énfasis4 3 2 2 2 3 4" xfId="28492" xr:uid="{00000000-0005-0000-0000-0000110B0000}"/>
    <cellStyle name="20% - Énfasis4 3 2 2 2 4" xfId="17012" xr:uid="{00000000-0005-0000-0000-0000120B0000}"/>
    <cellStyle name="20% - Énfasis4 3 2 2 2 4 2" xfId="39655" xr:uid="{00000000-0005-0000-0000-0000130B0000}"/>
    <cellStyle name="20% - Énfasis4 3 2 2 2 5" xfId="9572" xr:uid="{00000000-0005-0000-0000-0000140B0000}"/>
    <cellStyle name="20% - Énfasis4 3 2 2 2 5 2" xfId="32215" xr:uid="{00000000-0005-0000-0000-0000150B0000}"/>
    <cellStyle name="20% - Énfasis4 3 2 2 2 6" xfId="24774" xr:uid="{00000000-0005-0000-0000-0000160B0000}"/>
    <cellStyle name="20% - Énfasis4 3 2 2 3" xfId="3047" xr:uid="{00000000-0005-0000-0000-0000170B0000}"/>
    <cellStyle name="20% - Énfasis4 3 2 2 3 2" xfId="6768" xr:uid="{00000000-0005-0000-0000-0000180B0000}"/>
    <cellStyle name="20% - Énfasis4 3 2 2 3 2 2" xfId="21652" xr:uid="{00000000-0005-0000-0000-0000190B0000}"/>
    <cellStyle name="20% - Énfasis4 3 2 2 3 2 2 2" xfId="44295" xr:uid="{00000000-0005-0000-0000-00001A0B0000}"/>
    <cellStyle name="20% - Énfasis4 3 2 2 3 2 3" xfId="14212" xr:uid="{00000000-0005-0000-0000-00001B0B0000}"/>
    <cellStyle name="20% - Énfasis4 3 2 2 3 2 3 2" xfId="36855" xr:uid="{00000000-0005-0000-0000-00001C0B0000}"/>
    <cellStyle name="20% - Énfasis4 3 2 2 3 2 4" xfId="29414" xr:uid="{00000000-0005-0000-0000-00001D0B0000}"/>
    <cellStyle name="20% - Énfasis4 3 2 2 3 3" xfId="17934" xr:uid="{00000000-0005-0000-0000-00001E0B0000}"/>
    <cellStyle name="20% - Énfasis4 3 2 2 3 3 2" xfId="40577" xr:uid="{00000000-0005-0000-0000-00001F0B0000}"/>
    <cellStyle name="20% - Énfasis4 3 2 2 3 4" xfId="10494" xr:uid="{00000000-0005-0000-0000-0000200B0000}"/>
    <cellStyle name="20% - Énfasis4 3 2 2 3 4 2" xfId="33137" xr:uid="{00000000-0005-0000-0000-0000210B0000}"/>
    <cellStyle name="20% - Énfasis4 3 2 2 3 5" xfId="25696" xr:uid="{00000000-0005-0000-0000-0000220B0000}"/>
    <cellStyle name="20% - Énfasis4 3 2 2 4" xfId="4921" xr:uid="{00000000-0005-0000-0000-0000230B0000}"/>
    <cellStyle name="20% - Énfasis4 3 2 2 4 2" xfId="19805" xr:uid="{00000000-0005-0000-0000-0000240B0000}"/>
    <cellStyle name="20% - Énfasis4 3 2 2 4 2 2" xfId="42448" xr:uid="{00000000-0005-0000-0000-0000250B0000}"/>
    <cellStyle name="20% - Énfasis4 3 2 2 4 3" xfId="12365" xr:uid="{00000000-0005-0000-0000-0000260B0000}"/>
    <cellStyle name="20% - Énfasis4 3 2 2 4 3 2" xfId="35008" xr:uid="{00000000-0005-0000-0000-0000270B0000}"/>
    <cellStyle name="20% - Énfasis4 3 2 2 4 4" xfId="27567" xr:uid="{00000000-0005-0000-0000-0000280B0000}"/>
    <cellStyle name="20% - Énfasis4 3 2 2 5" xfId="1194" xr:uid="{00000000-0005-0000-0000-0000290B0000}"/>
    <cellStyle name="20% - Énfasis4 3 2 2 5 2" xfId="16087" xr:uid="{00000000-0005-0000-0000-00002A0B0000}"/>
    <cellStyle name="20% - Énfasis4 3 2 2 5 2 2" xfId="38730" xr:uid="{00000000-0005-0000-0000-00002B0B0000}"/>
    <cellStyle name="20% - Énfasis4 3 2 2 5 3" xfId="23849" xr:uid="{00000000-0005-0000-0000-00002C0B0000}"/>
    <cellStyle name="20% - Énfasis4 3 2 2 6" xfId="8647" xr:uid="{00000000-0005-0000-0000-00002D0B0000}"/>
    <cellStyle name="20% - Énfasis4 3 2 2 6 2" xfId="31290" xr:uid="{00000000-0005-0000-0000-00002E0B0000}"/>
    <cellStyle name="20% - Énfasis4 3 2 2 7" xfId="23033" xr:uid="{00000000-0005-0000-0000-00002F0B0000}"/>
    <cellStyle name="20% - Énfasis4 3 2 3" xfId="1660" xr:uid="{00000000-0005-0000-0000-0000300B0000}"/>
    <cellStyle name="20% - Énfasis4 3 2 3 2" xfId="3510" xr:uid="{00000000-0005-0000-0000-0000310B0000}"/>
    <cellStyle name="20% - Énfasis4 3 2 3 2 2" xfId="7231" xr:uid="{00000000-0005-0000-0000-0000320B0000}"/>
    <cellStyle name="20% - Énfasis4 3 2 3 2 2 2" xfId="22115" xr:uid="{00000000-0005-0000-0000-0000330B0000}"/>
    <cellStyle name="20% - Énfasis4 3 2 3 2 2 2 2" xfId="44758" xr:uid="{00000000-0005-0000-0000-0000340B0000}"/>
    <cellStyle name="20% - Énfasis4 3 2 3 2 2 3" xfId="14675" xr:uid="{00000000-0005-0000-0000-0000350B0000}"/>
    <cellStyle name="20% - Énfasis4 3 2 3 2 2 3 2" xfId="37318" xr:uid="{00000000-0005-0000-0000-0000360B0000}"/>
    <cellStyle name="20% - Énfasis4 3 2 3 2 2 4" xfId="29877" xr:uid="{00000000-0005-0000-0000-0000370B0000}"/>
    <cellStyle name="20% - Énfasis4 3 2 3 2 3" xfId="18397" xr:uid="{00000000-0005-0000-0000-0000380B0000}"/>
    <cellStyle name="20% - Énfasis4 3 2 3 2 3 2" xfId="41040" xr:uid="{00000000-0005-0000-0000-0000390B0000}"/>
    <cellStyle name="20% - Énfasis4 3 2 3 2 4" xfId="10957" xr:uid="{00000000-0005-0000-0000-00003A0B0000}"/>
    <cellStyle name="20% - Énfasis4 3 2 3 2 4 2" xfId="33600" xr:uid="{00000000-0005-0000-0000-00003B0B0000}"/>
    <cellStyle name="20% - Énfasis4 3 2 3 2 5" xfId="26159" xr:uid="{00000000-0005-0000-0000-00003C0B0000}"/>
    <cellStyle name="20% - Énfasis4 3 2 3 3" xfId="5384" xr:uid="{00000000-0005-0000-0000-00003D0B0000}"/>
    <cellStyle name="20% - Énfasis4 3 2 3 3 2" xfId="20268" xr:uid="{00000000-0005-0000-0000-00003E0B0000}"/>
    <cellStyle name="20% - Énfasis4 3 2 3 3 2 2" xfId="42911" xr:uid="{00000000-0005-0000-0000-00003F0B0000}"/>
    <cellStyle name="20% - Énfasis4 3 2 3 3 3" xfId="12828" xr:uid="{00000000-0005-0000-0000-0000400B0000}"/>
    <cellStyle name="20% - Énfasis4 3 2 3 3 3 2" xfId="35471" xr:uid="{00000000-0005-0000-0000-0000410B0000}"/>
    <cellStyle name="20% - Énfasis4 3 2 3 3 4" xfId="28030" xr:uid="{00000000-0005-0000-0000-0000420B0000}"/>
    <cellStyle name="20% - Énfasis4 3 2 3 4" xfId="16550" xr:uid="{00000000-0005-0000-0000-0000430B0000}"/>
    <cellStyle name="20% - Énfasis4 3 2 3 4 2" xfId="39193" xr:uid="{00000000-0005-0000-0000-0000440B0000}"/>
    <cellStyle name="20% - Énfasis4 3 2 3 5" xfId="9110" xr:uid="{00000000-0005-0000-0000-0000450B0000}"/>
    <cellStyle name="20% - Énfasis4 3 2 3 5 2" xfId="31753" xr:uid="{00000000-0005-0000-0000-0000460B0000}"/>
    <cellStyle name="20% - Énfasis4 3 2 3 6" xfId="24312" xr:uid="{00000000-0005-0000-0000-0000470B0000}"/>
    <cellStyle name="20% - Énfasis4 3 2 4" xfId="2585" xr:uid="{00000000-0005-0000-0000-0000480B0000}"/>
    <cellStyle name="20% - Énfasis4 3 2 4 2" xfId="6306" xr:uid="{00000000-0005-0000-0000-0000490B0000}"/>
    <cellStyle name="20% - Énfasis4 3 2 4 2 2" xfId="21190" xr:uid="{00000000-0005-0000-0000-00004A0B0000}"/>
    <cellStyle name="20% - Énfasis4 3 2 4 2 2 2" xfId="43833" xr:uid="{00000000-0005-0000-0000-00004B0B0000}"/>
    <cellStyle name="20% - Énfasis4 3 2 4 2 3" xfId="13750" xr:uid="{00000000-0005-0000-0000-00004C0B0000}"/>
    <cellStyle name="20% - Énfasis4 3 2 4 2 3 2" xfId="36393" xr:uid="{00000000-0005-0000-0000-00004D0B0000}"/>
    <cellStyle name="20% - Énfasis4 3 2 4 2 4" xfId="28952" xr:uid="{00000000-0005-0000-0000-00004E0B0000}"/>
    <cellStyle name="20% - Énfasis4 3 2 4 3" xfId="17472" xr:uid="{00000000-0005-0000-0000-00004F0B0000}"/>
    <cellStyle name="20% - Énfasis4 3 2 4 3 2" xfId="40115" xr:uid="{00000000-0005-0000-0000-0000500B0000}"/>
    <cellStyle name="20% - Énfasis4 3 2 4 4" xfId="10032" xr:uid="{00000000-0005-0000-0000-0000510B0000}"/>
    <cellStyle name="20% - Énfasis4 3 2 4 4 2" xfId="32675" xr:uid="{00000000-0005-0000-0000-0000520B0000}"/>
    <cellStyle name="20% - Énfasis4 3 2 4 5" xfId="25234" xr:uid="{00000000-0005-0000-0000-0000530B0000}"/>
    <cellStyle name="20% - Énfasis4 3 2 5" xfId="4459" xr:uid="{00000000-0005-0000-0000-0000540B0000}"/>
    <cellStyle name="20% - Énfasis4 3 2 5 2" xfId="19343" xr:uid="{00000000-0005-0000-0000-0000550B0000}"/>
    <cellStyle name="20% - Énfasis4 3 2 5 2 2" xfId="41986" xr:uid="{00000000-0005-0000-0000-0000560B0000}"/>
    <cellStyle name="20% - Énfasis4 3 2 5 3" xfId="11903" xr:uid="{00000000-0005-0000-0000-0000570B0000}"/>
    <cellStyle name="20% - Énfasis4 3 2 5 3 2" xfId="34546" xr:uid="{00000000-0005-0000-0000-0000580B0000}"/>
    <cellStyle name="20% - Énfasis4 3 2 5 4" xfId="27105" xr:uid="{00000000-0005-0000-0000-0000590B0000}"/>
    <cellStyle name="20% - Énfasis4 3 2 6" xfId="729" xr:uid="{00000000-0005-0000-0000-00005A0B0000}"/>
    <cellStyle name="20% - Énfasis4 3 2 6 2" xfId="15625" xr:uid="{00000000-0005-0000-0000-00005B0B0000}"/>
    <cellStyle name="20% - Énfasis4 3 2 6 2 2" xfId="38268" xr:uid="{00000000-0005-0000-0000-00005C0B0000}"/>
    <cellStyle name="20% - Énfasis4 3 2 6 3" xfId="23387" xr:uid="{00000000-0005-0000-0000-00005D0B0000}"/>
    <cellStyle name="20% - Énfasis4 3 2 7" xfId="8185" xr:uid="{00000000-0005-0000-0000-00005E0B0000}"/>
    <cellStyle name="20% - Énfasis4 3 2 7 2" xfId="30828" xr:uid="{00000000-0005-0000-0000-00005F0B0000}"/>
    <cellStyle name="20% - Énfasis4 3 2 8" xfId="22877" xr:uid="{00000000-0005-0000-0000-0000600B0000}"/>
    <cellStyle name="20% - Énfasis4 3 3" xfId="257" xr:uid="{00000000-0005-0000-0000-0000610B0000}"/>
    <cellStyle name="20% - Énfasis4 3 3 2" xfId="1911" xr:uid="{00000000-0005-0000-0000-0000620B0000}"/>
    <cellStyle name="20% - Énfasis4 3 3 2 2" xfId="3761" xr:uid="{00000000-0005-0000-0000-0000630B0000}"/>
    <cellStyle name="20% - Énfasis4 3 3 2 2 2" xfId="7482" xr:uid="{00000000-0005-0000-0000-0000640B0000}"/>
    <cellStyle name="20% - Énfasis4 3 3 2 2 2 2" xfId="22366" xr:uid="{00000000-0005-0000-0000-0000650B0000}"/>
    <cellStyle name="20% - Énfasis4 3 3 2 2 2 2 2" xfId="45009" xr:uid="{00000000-0005-0000-0000-0000660B0000}"/>
    <cellStyle name="20% - Énfasis4 3 3 2 2 2 3" xfId="14926" xr:uid="{00000000-0005-0000-0000-0000670B0000}"/>
    <cellStyle name="20% - Énfasis4 3 3 2 2 2 3 2" xfId="37569" xr:uid="{00000000-0005-0000-0000-0000680B0000}"/>
    <cellStyle name="20% - Énfasis4 3 3 2 2 2 4" xfId="30128" xr:uid="{00000000-0005-0000-0000-0000690B0000}"/>
    <cellStyle name="20% - Énfasis4 3 3 2 2 3" xfId="18648" xr:uid="{00000000-0005-0000-0000-00006A0B0000}"/>
    <cellStyle name="20% - Énfasis4 3 3 2 2 3 2" xfId="41291" xr:uid="{00000000-0005-0000-0000-00006B0B0000}"/>
    <cellStyle name="20% - Énfasis4 3 3 2 2 4" xfId="11208" xr:uid="{00000000-0005-0000-0000-00006C0B0000}"/>
    <cellStyle name="20% - Énfasis4 3 3 2 2 4 2" xfId="33851" xr:uid="{00000000-0005-0000-0000-00006D0B0000}"/>
    <cellStyle name="20% - Énfasis4 3 3 2 2 5" xfId="26410" xr:uid="{00000000-0005-0000-0000-00006E0B0000}"/>
    <cellStyle name="20% - Énfasis4 3 3 2 3" xfId="5635" xr:uid="{00000000-0005-0000-0000-00006F0B0000}"/>
    <cellStyle name="20% - Énfasis4 3 3 2 3 2" xfId="20519" xr:uid="{00000000-0005-0000-0000-0000700B0000}"/>
    <cellStyle name="20% - Énfasis4 3 3 2 3 2 2" xfId="43162" xr:uid="{00000000-0005-0000-0000-0000710B0000}"/>
    <cellStyle name="20% - Énfasis4 3 3 2 3 3" xfId="13079" xr:uid="{00000000-0005-0000-0000-0000720B0000}"/>
    <cellStyle name="20% - Énfasis4 3 3 2 3 3 2" xfId="35722" xr:uid="{00000000-0005-0000-0000-0000730B0000}"/>
    <cellStyle name="20% - Énfasis4 3 3 2 3 4" xfId="28281" xr:uid="{00000000-0005-0000-0000-0000740B0000}"/>
    <cellStyle name="20% - Énfasis4 3 3 2 4" xfId="16801" xr:uid="{00000000-0005-0000-0000-0000750B0000}"/>
    <cellStyle name="20% - Énfasis4 3 3 2 4 2" xfId="39444" xr:uid="{00000000-0005-0000-0000-0000760B0000}"/>
    <cellStyle name="20% - Énfasis4 3 3 2 5" xfId="9361" xr:uid="{00000000-0005-0000-0000-0000770B0000}"/>
    <cellStyle name="20% - Énfasis4 3 3 2 5 2" xfId="32004" xr:uid="{00000000-0005-0000-0000-0000780B0000}"/>
    <cellStyle name="20% - Énfasis4 3 3 2 6" xfId="24563" xr:uid="{00000000-0005-0000-0000-0000790B0000}"/>
    <cellStyle name="20% - Énfasis4 3 3 3" xfId="2836" xr:uid="{00000000-0005-0000-0000-00007A0B0000}"/>
    <cellStyle name="20% - Énfasis4 3 3 3 2" xfId="6557" xr:uid="{00000000-0005-0000-0000-00007B0B0000}"/>
    <cellStyle name="20% - Énfasis4 3 3 3 2 2" xfId="21441" xr:uid="{00000000-0005-0000-0000-00007C0B0000}"/>
    <cellStyle name="20% - Énfasis4 3 3 3 2 2 2" xfId="44084" xr:uid="{00000000-0005-0000-0000-00007D0B0000}"/>
    <cellStyle name="20% - Énfasis4 3 3 3 2 3" xfId="14001" xr:uid="{00000000-0005-0000-0000-00007E0B0000}"/>
    <cellStyle name="20% - Énfasis4 3 3 3 2 3 2" xfId="36644" xr:uid="{00000000-0005-0000-0000-00007F0B0000}"/>
    <cellStyle name="20% - Énfasis4 3 3 3 2 4" xfId="29203" xr:uid="{00000000-0005-0000-0000-0000800B0000}"/>
    <cellStyle name="20% - Énfasis4 3 3 3 3" xfId="17723" xr:uid="{00000000-0005-0000-0000-0000810B0000}"/>
    <cellStyle name="20% - Énfasis4 3 3 3 3 2" xfId="40366" xr:uid="{00000000-0005-0000-0000-0000820B0000}"/>
    <cellStyle name="20% - Énfasis4 3 3 3 4" xfId="10283" xr:uid="{00000000-0005-0000-0000-0000830B0000}"/>
    <cellStyle name="20% - Énfasis4 3 3 3 4 2" xfId="32926" xr:uid="{00000000-0005-0000-0000-0000840B0000}"/>
    <cellStyle name="20% - Énfasis4 3 3 3 5" xfId="25485" xr:uid="{00000000-0005-0000-0000-0000850B0000}"/>
    <cellStyle name="20% - Énfasis4 3 3 4" xfId="4710" xr:uid="{00000000-0005-0000-0000-0000860B0000}"/>
    <cellStyle name="20% - Énfasis4 3 3 4 2" xfId="19594" xr:uid="{00000000-0005-0000-0000-0000870B0000}"/>
    <cellStyle name="20% - Énfasis4 3 3 4 2 2" xfId="42237" xr:uid="{00000000-0005-0000-0000-0000880B0000}"/>
    <cellStyle name="20% - Énfasis4 3 3 4 3" xfId="12154" xr:uid="{00000000-0005-0000-0000-0000890B0000}"/>
    <cellStyle name="20% - Énfasis4 3 3 4 3 2" xfId="34797" xr:uid="{00000000-0005-0000-0000-00008A0B0000}"/>
    <cellStyle name="20% - Énfasis4 3 3 4 4" xfId="27356" xr:uid="{00000000-0005-0000-0000-00008B0B0000}"/>
    <cellStyle name="20% - Énfasis4 3 3 5" xfId="983" xr:uid="{00000000-0005-0000-0000-00008C0B0000}"/>
    <cellStyle name="20% - Énfasis4 3 3 5 2" xfId="15876" xr:uid="{00000000-0005-0000-0000-00008D0B0000}"/>
    <cellStyle name="20% - Énfasis4 3 3 5 2 2" xfId="38519" xr:uid="{00000000-0005-0000-0000-00008E0B0000}"/>
    <cellStyle name="20% - Énfasis4 3 3 5 3" xfId="23638" xr:uid="{00000000-0005-0000-0000-00008F0B0000}"/>
    <cellStyle name="20% - Énfasis4 3 3 6" xfId="8436" xr:uid="{00000000-0005-0000-0000-0000900B0000}"/>
    <cellStyle name="20% - Énfasis4 3 3 6 2" xfId="31079" xr:uid="{00000000-0005-0000-0000-0000910B0000}"/>
    <cellStyle name="20% - Énfasis4 3 3 7" xfId="22955" xr:uid="{00000000-0005-0000-0000-0000920B0000}"/>
    <cellStyle name="20% - Énfasis4 3 4" xfId="1449" xr:uid="{00000000-0005-0000-0000-0000930B0000}"/>
    <cellStyle name="20% - Énfasis4 3 4 2" xfId="3299" xr:uid="{00000000-0005-0000-0000-0000940B0000}"/>
    <cellStyle name="20% - Énfasis4 3 4 2 2" xfId="7020" xr:uid="{00000000-0005-0000-0000-0000950B0000}"/>
    <cellStyle name="20% - Énfasis4 3 4 2 2 2" xfId="21904" xr:uid="{00000000-0005-0000-0000-0000960B0000}"/>
    <cellStyle name="20% - Énfasis4 3 4 2 2 2 2" xfId="44547" xr:uid="{00000000-0005-0000-0000-0000970B0000}"/>
    <cellStyle name="20% - Énfasis4 3 4 2 2 3" xfId="14464" xr:uid="{00000000-0005-0000-0000-0000980B0000}"/>
    <cellStyle name="20% - Énfasis4 3 4 2 2 3 2" xfId="37107" xr:uid="{00000000-0005-0000-0000-0000990B0000}"/>
    <cellStyle name="20% - Énfasis4 3 4 2 2 4" xfId="29666" xr:uid="{00000000-0005-0000-0000-00009A0B0000}"/>
    <cellStyle name="20% - Énfasis4 3 4 2 3" xfId="18186" xr:uid="{00000000-0005-0000-0000-00009B0B0000}"/>
    <cellStyle name="20% - Énfasis4 3 4 2 3 2" xfId="40829" xr:uid="{00000000-0005-0000-0000-00009C0B0000}"/>
    <cellStyle name="20% - Énfasis4 3 4 2 4" xfId="10746" xr:uid="{00000000-0005-0000-0000-00009D0B0000}"/>
    <cellStyle name="20% - Énfasis4 3 4 2 4 2" xfId="33389" xr:uid="{00000000-0005-0000-0000-00009E0B0000}"/>
    <cellStyle name="20% - Énfasis4 3 4 2 5" xfId="25948" xr:uid="{00000000-0005-0000-0000-00009F0B0000}"/>
    <cellStyle name="20% - Énfasis4 3 4 3" xfId="5173" xr:uid="{00000000-0005-0000-0000-0000A00B0000}"/>
    <cellStyle name="20% - Énfasis4 3 4 3 2" xfId="20057" xr:uid="{00000000-0005-0000-0000-0000A10B0000}"/>
    <cellStyle name="20% - Énfasis4 3 4 3 2 2" xfId="42700" xr:uid="{00000000-0005-0000-0000-0000A20B0000}"/>
    <cellStyle name="20% - Énfasis4 3 4 3 3" xfId="12617" xr:uid="{00000000-0005-0000-0000-0000A30B0000}"/>
    <cellStyle name="20% - Énfasis4 3 4 3 3 2" xfId="35260" xr:uid="{00000000-0005-0000-0000-0000A40B0000}"/>
    <cellStyle name="20% - Énfasis4 3 4 3 4" xfId="27819" xr:uid="{00000000-0005-0000-0000-0000A50B0000}"/>
    <cellStyle name="20% - Énfasis4 3 4 4" xfId="16339" xr:uid="{00000000-0005-0000-0000-0000A60B0000}"/>
    <cellStyle name="20% - Énfasis4 3 4 4 2" xfId="38982" xr:uid="{00000000-0005-0000-0000-0000A70B0000}"/>
    <cellStyle name="20% - Énfasis4 3 4 5" xfId="8899" xr:uid="{00000000-0005-0000-0000-0000A80B0000}"/>
    <cellStyle name="20% - Énfasis4 3 4 5 2" xfId="31542" xr:uid="{00000000-0005-0000-0000-0000A90B0000}"/>
    <cellStyle name="20% - Énfasis4 3 4 6" xfId="24101" xr:uid="{00000000-0005-0000-0000-0000AA0B0000}"/>
    <cellStyle name="20% - Énfasis4 3 5" xfId="2374" xr:uid="{00000000-0005-0000-0000-0000AB0B0000}"/>
    <cellStyle name="20% - Énfasis4 3 5 2" xfId="6095" xr:uid="{00000000-0005-0000-0000-0000AC0B0000}"/>
    <cellStyle name="20% - Énfasis4 3 5 2 2" xfId="20979" xr:uid="{00000000-0005-0000-0000-0000AD0B0000}"/>
    <cellStyle name="20% - Énfasis4 3 5 2 2 2" xfId="43622" xr:uid="{00000000-0005-0000-0000-0000AE0B0000}"/>
    <cellStyle name="20% - Énfasis4 3 5 2 3" xfId="13539" xr:uid="{00000000-0005-0000-0000-0000AF0B0000}"/>
    <cellStyle name="20% - Énfasis4 3 5 2 3 2" xfId="36182" xr:uid="{00000000-0005-0000-0000-0000B00B0000}"/>
    <cellStyle name="20% - Énfasis4 3 5 2 4" xfId="28741" xr:uid="{00000000-0005-0000-0000-0000B10B0000}"/>
    <cellStyle name="20% - Énfasis4 3 5 3" xfId="17261" xr:uid="{00000000-0005-0000-0000-0000B20B0000}"/>
    <cellStyle name="20% - Énfasis4 3 5 3 2" xfId="39904" xr:uid="{00000000-0005-0000-0000-0000B30B0000}"/>
    <cellStyle name="20% - Énfasis4 3 5 4" xfId="9821" xr:uid="{00000000-0005-0000-0000-0000B40B0000}"/>
    <cellStyle name="20% - Énfasis4 3 5 4 2" xfId="32464" xr:uid="{00000000-0005-0000-0000-0000B50B0000}"/>
    <cellStyle name="20% - Énfasis4 3 5 5" xfId="25023" xr:uid="{00000000-0005-0000-0000-0000B60B0000}"/>
    <cellStyle name="20% - Énfasis4 3 6" xfId="4248" xr:uid="{00000000-0005-0000-0000-0000B70B0000}"/>
    <cellStyle name="20% - Énfasis4 3 6 2" xfId="19132" xr:uid="{00000000-0005-0000-0000-0000B80B0000}"/>
    <cellStyle name="20% - Énfasis4 3 6 2 2" xfId="41775" xr:uid="{00000000-0005-0000-0000-0000B90B0000}"/>
    <cellStyle name="20% - Énfasis4 3 6 3" xfId="11692" xr:uid="{00000000-0005-0000-0000-0000BA0B0000}"/>
    <cellStyle name="20% - Énfasis4 3 6 3 2" xfId="34335" xr:uid="{00000000-0005-0000-0000-0000BB0B0000}"/>
    <cellStyle name="20% - Énfasis4 3 6 4" xfId="26894" xr:uid="{00000000-0005-0000-0000-0000BC0B0000}"/>
    <cellStyle name="20% - Énfasis4 3 7" xfId="516" xr:uid="{00000000-0005-0000-0000-0000BD0B0000}"/>
    <cellStyle name="20% - Énfasis4 3 7 2" xfId="15414" xr:uid="{00000000-0005-0000-0000-0000BE0B0000}"/>
    <cellStyle name="20% - Énfasis4 3 7 2 2" xfId="38057" xr:uid="{00000000-0005-0000-0000-0000BF0B0000}"/>
    <cellStyle name="20% - Énfasis4 3 7 3" xfId="23177" xr:uid="{00000000-0005-0000-0000-0000C00B0000}"/>
    <cellStyle name="20% - Énfasis4 3 8" xfId="7974" xr:uid="{00000000-0005-0000-0000-0000C10B0000}"/>
    <cellStyle name="20% - Énfasis4 3 8 2" xfId="30617" xr:uid="{00000000-0005-0000-0000-0000C20B0000}"/>
    <cellStyle name="20% - Énfasis4 3 9" xfId="22799" xr:uid="{00000000-0005-0000-0000-0000C30B0000}"/>
    <cellStyle name="20% - Énfasis4 4" xfId="132" xr:uid="{00000000-0005-0000-0000-0000C40B0000}"/>
    <cellStyle name="20% - Énfasis4 4 2" xfId="296" xr:uid="{00000000-0005-0000-0000-0000C50B0000}"/>
    <cellStyle name="20% - Énfasis4 4 2 2" xfId="2017" xr:uid="{00000000-0005-0000-0000-0000C60B0000}"/>
    <cellStyle name="20% - Énfasis4 4 2 2 2" xfId="3867" xr:uid="{00000000-0005-0000-0000-0000C70B0000}"/>
    <cellStyle name="20% - Énfasis4 4 2 2 2 2" xfId="7588" xr:uid="{00000000-0005-0000-0000-0000C80B0000}"/>
    <cellStyle name="20% - Énfasis4 4 2 2 2 2 2" xfId="22472" xr:uid="{00000000-0005-0000-0000-0000C90B0000}"/>
    <cellStyle name="20% - Énfasis4 4 2 2 2 2 2 2" xfId="45115" xr:uid="{00000000-0005-0000-0000-0000CA0B0000}"/>
    <cellStyle name="20% - Énfasis4 4 2 2 2 2 3" xfId="15032" xr:uid="{00000000-0005-0000-0000-0000CB0B0000}"/>
    <cellStyle name="20% - Énfasis4 4 2 2 2 2 3 2" xfId="37675" xr:uid="{00000000-0005-0000-0000-0000CC0B0000}"/>
    <cellStyle name="20% - Énfasis4 4 2 2 2 2 4" xfId="30234" xr:uid="{00000000-0005-0000-0000-0000CD0B0000}"/>
    <cellStyle name="20% - Énfasis4 4 2 2 2 3" xfId="18754" xr:uid="{00000000-0005-0000-0000-0000CE0B0000}"/>
    <cellStyle name="20% - Énfasis4 4 2 2 2 3 2" xfId="41397" xr:uid="{00000000-0005-0000-0000-0000CF0B0000}"/>
    <cellStyle name="20% - Énfasis4 4 2 2 2 4" xfId="11314" xr:uid="{00000000-0005-0000-0000-0000D00B0000}"/>
    <cellStyle name="20% - Énfasis4 4 2 2 2 4 2" xfId="33957" xr:uid="{00000000-0005-0000-0000-0000D10B0000}"/>
    <cellStyle name="20% - Énfasis4 4 2 2 2 5" xfId="26516" xr:uid="{00000000-0005-0000-0000-0000D20B0000}"/>
    <cellStyle name="20% - Énfasis4 4 2 2 3" xfId="5741" xr:uid="{00000000-0005-0000-0000-0000D30B0000}"/>
    <cellStyle name="20% - Énfasis4 4 2 2 3 2" xfId="20625" xr:uid="{00000000-0005-0000-0000-0000D40B0000}"/>
    <cellStyle name="20% - Énfasis4 4 2 2 3 2 2" xfId="43268" xr:uid="{00000000-0005-0000-0000-0000D50B0000}"/>
    <cellStyle name="20% - Énfasis4 4 2 2 3 3" xfId="13185" xr:uid="{00000000-0005-0000-0000-0000D60B0000}"/>
    <cellStyle name="20% - Énfasis4 4 2 2 3 3 2" xfId="35828" xr:uid="{00000000-0005-0000-0000-0000D70B0000}"/>
    <cellStyle name="20% - Énfasis4 4 2 2 3 4" xfId="28387" xr:uid="{00000000-0005-0000-0000-0000D80B0000}"/>
    <cellStyle name="20% - Énfasis4 4 2 2 4" xfId="16907" xr:uid="{00000000-0005-0000-0000-0000D90B0000}"/>
    <cellStyle name="20% - Énfasis4 4 2 2 4 2" xfId="39550" xr:uid="{00000000-0005-0000-0000-0000DA0B0000}"/>
    <cellStyle name="20% - Énfasis4 4 2 2 5" xfId="9467" xr:uid="{00000000-0005-0000-0000-0000DB0B0000}"/>
    <cellStyle name="20% - Énfasis4 4 2 2 5 2" xfId="32110" xr:uid="{00000000-0005-0000-0000-0000DC0B0000}"/>
    <cellStyle name="20% - Énfasis4 4 2 2 6" xfId="24669" xr:uid="{00000000-0005-0000-0000-0000DD0B0000}"/>
    <cellStyle name="20% - Énfasis4 4 2 3" xfId="2942" xr:uid="{00000000-0005-0000-0000-0000DE0B0000}"/>
    <cellStyle name="20% - Énfasis4 4 2 3 2" xfId="6663" xr:uid="{00000000-0005-0000-0000-0000DF0B0000}"/>
    <cellStyle name="20% - Énfasis4 4 2 3 2 2" xfId="21547" xr:uid="{00000000-0005-0000-0000-0000E00B0000}"/>
    <cellStyle name="20% - Énfasis4 4 2 3 2 2 2" xfId="44190" xr:uid="{00000000-0005-0000-0000-0000E10B0000}"/>
    <cellStyle name="20% - Énfasis4 4 2 3 2 3" xfId="14107" xr:uid="{00000000-0005-0000-0000-0000E20B0000}"/>
    <cellStyle name="20% - Énfasis4 4 2 3 2 3 2" xfId="36750" xr:uid="{00000000-0005-0000-0000-0000E30B0000}"/>
    <cellStyle name="20% - Énfasis4 4 2 3 2 4" xfId="29309" xr:uid="{00000000-0005-0000-0000-0000E40B0000}"/>
    <cellStyle name="20% - Énfasis4 4 2 3 3" xfId="17829" xr:uid="{00000000-0005-0000-0000-0000E50B0000}"/>
    <cellStyle name="20% - Énfasis4 4 2 3 3 2" xfId="40472" xr:uid="{00000000-0005-0000-0000-0000E60B0000}"/>
    <cellStyle name="20% - Énfasis4 4 2 3 4" xfId="10389" xr:uid="{00000000-0005-0000-0000-0000E70B0000}"/>
    <cellStyle name="20% - Énfasis4 4 2 3 4 2" xfId="33032" xr:uid="{00000000-0005-0000-0000-0000E80B0000}"/>
    <cellStyle name="20% - Énfasis4 4 2 3 5" xfId="25591" xr:uid="{00000000-0005-0000-0000-0000E90B0000}"/>
    <cellStyle name="20% - Énfasis4 4 2 4" xfId="4816" xr:uid="{00000000-0005-0000-0000-0000EA0B0000}"/>
    <cellStyle name="20% - Énfasis4 4 2 4 2" xfId="19700" xr:uid="{00000000-0005-0000-0000-0000EB0B0000}"/>
    <cellStyle name="20% - Énfasis4 4 2 4 2 2" xfId="42343" xr:uid="{00000000-0005-0000-0000-0000EC0B0000}"/>
    <cellStyle name="20% - Énfasis4 4 2 4 3" xfId="12260" xr:uid="{00000000-0005-0000-0000-0000ED0B0000}"/>
    <cellStyle name="20% - Énfasis4 4 2 4 3 2" xfId="34903" xr:uid="{00000000-0005-0000-0000-0000EE0B0000}"/>
    <cellStyle name="20% - Énfasis4 4 2 4 4" xfId="27462" xr:uid="{00000000-0005-0000-0000-0000EF0B0000}"/>
    <cellStyle name="20% - Énfasis4 4 2 5" xfId="1089" xr:uid="{00000000-0005-0000-0000-0000F00B0000}"/>
    <cellStyle name="20% - Énfasis4 4 2 5 2" xfId="15982" xr:uid="{00000000-0005-0000-0000-0000F10B0000}"/>
    <cellStyle name="20% - Énfasis4 4 2 5 2 2" xfId="38625" xr:uid="{00000000-0005-0000-0000-0000F20B0000}"/>
    <cellStyle name="20% - Énfasis4 4 2 5 3" xfId="23744" xr:uid="{00000000-0005-0000-0000-0000F30B0000}"/>
    <cellStyle name="20% - Énfasis4 4 2 6" xfId="8542" xr:uid="{00000000-0005-0000-0000-0000F40B0000}"/>
    <cellStyle name="20% - Énfasis4 4 2 6 2" xfId="31185" xr:uid="{00000000-0005-0000-0000-0000F50B0000}"/>
    <cellStyle name="20% - Énfasis4 4 2 7" xfId="22994" xr:uid="{00000000-0005-0000-0000-0000F60B0000}"/>
    <cellStyle name="20% - Énfasis4 4 3" xfId="1555" xr:uid="{00000000-0005-0000-0000-0000F70B0000}"/>
    <cellStyle name="20% - Énfasis4 4 3 2" xfId="3405" xr:uid="{00000000-0005-0000-0000-0000F80B0000}"/>
    <cellStyle name="20% - Énfasis4 4 3 2 2" xfId="7126" xr:uid="{00000000-0005-0000-0000-0000F90B0000}"/>
    <cellStyle name="20% - Énfasis4 4 3 2 2 2" xfId="22010" xr:uid="{00000000-0005-0000-0000-0000FA0B0000}"/>
    <cellStyle name="20% - Énfasis4 4 3 2 2 2 2" xfId="44653" xr:uid="{00000000-0005-0000-0000-0000FB0B0000}"/>
    <cellStyle name="20% - Énfasis4 4 3 2 2 3" xfId="14570" xr:uid="{00000000-0005-0000-0000-0000FC0B0000}"/>
    <cellStyle name="20% - Énfasis4 4 3 2 2 3 2" xfId="37213" xr:uid="{00000000-0005-0000-0000-0000FD0B0000}"/>
    <cellStyle name="20% - Énfasis4 4 3 2 2 4" xfId="29772" xr:uid="{00000000-0005-0000-0000-0000FE0B0000}"/>
    <cellStyle name="20% - Énfasis4 4 3 2 3" xfId="18292" xr:uid="{00000000-0005-0000-0000-0000FF0B0000}"/>
    <cellStyle name="20% - Énfasis4 4 3 2 3 2" xfId="40935" xr:uid="{00000000-0005-0000-0000-0000000C0000}"/>
    <cellStyle name="20% - Énfasis4 4 3 2 4" xfId="10852" xr:uid="{00000000-0005-0000-0000-0000010C0000}"/>
    <cellStyle name="20% - Énfasis4 4 3 2 4 2" xfId="33495" xr:uid="{00000000-0005-0000-0000-0000020C0000}"/>
    <cellStyle name="20% - Énfasis4 4 3 2 5" xfId="26054" xr:uid="{00000000-0005-0000-0000-0000030C0000}"/>
    <cellStyle name="20% - Énfasis4 4 3 3" xfId="5279" xr:uid="{00000000-0005-0000-0000-0000040C0000}"/>
    <cellStyle name="20% - Énfasis4 4 3 3 2" xfId="20163" xr:uid="{00000000-0005-0000-0000-0000050C0000}"/>
    <cellStyle name="20% - Énfasis4 4 3 3 2 2" xfId="42806" xr:uid="{00000000-0005-0000-0000-0000060C0000}"/>
    <cellStyle name="20% - Énfasis4 4 3 3 3" xfId="12723" xr:uid="{00000000-0005-0000-0000-0000070C0000}"/>
    <cellStyle name="20% - Énfasis4 4 3 3 3 2" xfId="35366" xr:uid="{00000000-0005-0000-0000-0000080C0000}"/>
    <cellStyle name="20% - Énfasis4 4 3 3 4" xfId="27925" xr:uid="{00000000-0005-0000-0000-0000090C0000}"/>
    <cellStyle name="20% - Énfasis4 4 3 4" xfId="16445" xr:uid="{00000000-0005-0000-0000-00000A0C0000}"/>
    <cellStyle name="20% - Énfasis4 4 3 4 2" xfId="39088" xr:uid="{00000000-0005-0000-0000-00000B0C0000}"/>
    <cellStyle name="20% - Énfasis4 4 3 5" xfId="9005" xr:uid="{00000000-0005-0000-0000-00000C0C0000}"/>
    <cellStyle name="20% - Énfasis4 4 3 5 2" xfId="31648" xr:uid="{00000000-0005-0000-0000-00000D0C0000}"/>
    <cellStyle name="20% - Énfasis4 4 3 6" xfId="24207" xr:uid="{00000000-0005-0000-0000-00000E0C0000}"/>
    <cellStyle name="20% - Énfasis4 4 4" xfId="2480" xr:uid="{00000000-0005-0000-0000-00000F0C0000}"/>
    <cellStyle name="20% - Énfasis4 4 4 2" xfId="6201" xr:uid="{00000000-0005-0000-0000-0000100C0000}"/>
    <cellStyle name="20% - Énfasis4 4 4 2 2" xfId="21085" xr:uid="{00000000-0005-0000-0000-0000110C0000}"/>
    <cellStyle name="20% - Énfasis4 4 4 2 2 2" xfId="43728" xr:uid="{00000000-0005-0000-0000-0000120C0000}"/>
    <cellStyle name="20% - Énfasis4 4 4 2 3" xfId="13645" xr:uid="{00000000-0005-0000-0000-0000130C0000}"/>
    <cellStyle name="20% - Énfasis4 4 4 2 3 2" xfId="36288" xr:uid="{00000000-0005-0000-0000-0000140C0000}"/>
    <cellStyle name="20% - Énfasis4 4 4 2 4" xfId="28847" xr:uid="{00000000-0005-0000-0000-0000150C0000}"/>
    <cellStyle name="20% - Énfasis4 4 4 3" xfId="17367" xr:uid="{00000000-0005-0000-0000-0000160C0000}"/>
    <cellStyle name="20% - Énfasis4 4 4 3 2" xfId="40010" xr:uid="{00000000-0005-0000-0000-0000170C0000}"/>
    <cellStyle name="20% - Énfasis4 4 4 4" xfId="9927" xr:uid="{00000000-0005-0000-0000-0000180C0000}"/>
    <cellStyle name="20% - Énfasis4 4 4 4 2" xfId="32570" xr:uid="{00000000-0005-0000-0000-0000190C0000}"/>
    <cellStyle name="20% - Énfasis4 4 4 5" xfId="25129" xr:uid="{00000000-0005-0000-0000-00001A0C0000}"/>
    <cellStyle name="20% - Énfasis4 4 5" xfId="4354" xr:uid="{00000000-0005-0000-0000-00001B0C0000}"/>
    <cellStyle name="20% - Énfasis4 4 5 2" xfId="19238" xr:uid="{00000000-0005-0000-0000-00001C0C0000}"/>
    <cellStyle name="20% - Énfasis4 4 5 2 2" xfId="41881" xr:uid="{00000000-0005-0000-0000-00001D0C0000}"/>
    <cellStyle name="20% - Énfasis4 4 5 3" xfId="11798" xr:uid="{00000000-0005-0000-0000-00001E0C0000}"/>
    <cellStyle name="20% - Énfasis4 4 5 3 2" xfId="34441" xr:uid="{00000000-0005-0000-0000-00001F0C0000}"/>
    <cellStyle name="20% - Énfasis4 4 5 4" xfId="27000" xr:uid="{00000000-0005-0000-0000-0000200C0000}"/>
    <cellStyle name="20% - Énfasis4 4 6" xfId="622" xr:uid="{00000000-0005-0000-0000-0000210C0000}"/>
    <cellStyle name="20% - Énfasis4 4 6 2" xfId="15520" xr:uid="{00000000-0005-0000-0000-0000220C0000}"/>
    <cellStyle name="20% - Énfasis4 4 6 2 2" xfId="38163" xr:uid="{00000000-0005-0000-0000-0000230C0000}"/>
    <cellStyle name="20% - Énfasis4 4 6 3" xfId="23282" xr:uid="{00000000-0005-0000-0000-0000240C0000}"/>
    <cellStyle name="20% - Énfasis4 4 7" xfId="8080" xr:uid="{00000000-0005-0000-0000-0000250C0000}"/>
    <cellStyle name="20% - Énfasis4 4 7 2" xfId="30723" xr:uid="{00000000-0005-0000-0000-0000260C0000}"/>
    <cellStyle name="20% - Énfasis4 4 8" xfId="22838" xr:uid="{00000000-0005-0000-0000-0000270C0000}"/>
    <cellStyle name="20% - Énfasis4 5" xfId="215" xr:uid="{00000000-0005-0000-0000-0000280C0000}"/>
    <cellStyle name="20% - Énfasis4 5 2" xfId="1806" xr:uid="{00000000-0005-0000-0000-0000290C0000}"/>
    <cellStyle name="20% - Énfasis4 5 2 2" xfId="3656" xr:uid="{00000000-0005-0000-0000-00002A0C0000}"/>
    <cellStyle name="20% - Énfasis4 5 2 2 2" xfId="7377" xr:uid="{00000000-0005-0000-0000-00002B0C0000}"/>
    <cellStyle name="20% - Énfasis4 5 2 2 2 2" xfId="22261" xr:uid="{00000000-0005-0000-0000-00002C0C0000}"/>
    <cellStyle name="20% - Énfasis4 5 2 2 2 2 2" xfId="44904" xr:uid="{00000000-0005-0000-0000-00002D0C0000}"/>
    <cellStyle name="20% - Énfasis4 5 2 2 2 3" xfId="14821" xr:uid="{00000000-0005-0000-0000-00002E0C0000}"/>
    <cellStyle name="20% - Énfasis4 5 2 2 2 3 2" xfId="37464" xr:uid="{00000000-0005-0000-0000-00002F0C0000}"/>
    <cellStyle name="20% - Énfasis4 5 2 2 2 4" xfId="30023" xr:uid="{00000000-0005-0000-0000-0000300C0000}"/>
    <cellStyle name="20% - Énfasis4 5 2 2 3" xfId="18543" xr:uid="{00000000-0005-0000-0000-0000310C0000}"/>
    <cellStyle name="20% - Énfasis4 5 2 2 3 2" xfId="41186" xr:uid="{00000000-0005-0000-0000-0000320C0000}"/>
    <cellStyle name="20% - Énfasis4 5 2 2 4" xfId="11103" xr:uid="{00000000-0005-0000-0000-0000330C0000}"/>
    <cellStyle name="20% - Énfasis4 5 2 2 4 2" xfId="33746" xr:uid="{00000000-0005-0000-0000-0000340C0000}"/>
    <cellStyle name="20% - Énfasis4 5 2 2 5" xfId="26305" xr:uid="{00000000-0005-0000-0000-0000350C0000}"/>
    <cellStyle name="20% - Énfasis4 5 2 3" xfId="5530" xr:uid="{00000000-0005-0000-0000-0000360C0000}"/>
    <cellStyle name="20% - Énfasis4 5 2 3 2" xfId="20414" xr:uid="{00000000-0005-0000-0000-0000370C0000}"/>
    <cellStyle name="20% - Énfasis4 5 2 3 2 2" xfId="43057" xr:uid="{00000000-0005-0000-0000-0000380C0000}"/>
    <cellStyle name="20% - Énfasis4 5 2 3 3" xfId="12974" xr:uid="{00000000-0005-0000-0000-0000390C0000}"/>
    <cellStyle name="20% - Énfasis4 5 2 3 3 2" xfId="35617" xr:uid="{00000000-0005-0000-0000-00003A0C0000}"/>
    <cellStyle name="20% - Énfasis4 5 2 3 4" xfId="28176" xr:uid="{00000000-0005-0000-0000-00003B0C0000}"/>
    <cellStyle name="20% - Énfasis4 5 2 4" xfId="16696" xr:uid="{00000000-0005-0000-0000-00003C0C0000}"/>
    <cellStyle name="20% - Énfasis4 5 2 4 2" xfId="39339" xr:uid="{00000000-0005-0000-0000-00003D0C0000}"/>
    <cellStyle name="20% - Énfasis4 5 2 5" xfId="9256" xr:uid="{00000000-0005-0000-0000-00003E0C0000}"/>
    <cellStyle name="20% - Énfasis4 5 2 5 2" xfId="31899" xr:uid="{00000000-0005-0000-0000-00003F0C0000}"/>
    <cellStyle name="20% - Énfasis4 5 2 6" xfId="24458" xr:uid="{00000000-0005-0000-0000-0000400C0000}"/>
    <cellStyle name="20% - Énfasis4 5 3" xfId="2731" xr:uid="{00000000-0005-0000-0000-0000410C0000}"/>
    <cellStyle name="20% - Énfasis4 5 3 2" xfId="6452" xr:uid="{00000000-0005-0000-0000-0000420C0000}"/>
    <cellStyle name="20% - Énfasis4 5 3 2 2" xfId="21336" xr:uid="{00000000-0005-0000-0000-0000430C0000}"/>
    <cellStyle name="20% - Énfasis4 5 3 2 2 2" xfId="43979" xr:uid="{00000000-0005-0000-0000-0000440C0000}"/>
    <cellStyle name="20% - Énfasis4 5 3 2 3" xfId="13896" xr:uid="{00000000-0005-0000-0000-0000450C0000}"/>
    <cellStyle name="20% - Énfasis4 5 3 2 3 2" xfId="36539" xr:uid="{00000000-0005-0000-0000-0000460C0000}"/>
    <cellStyle name="20% - Énfasis4 5 3 2 4" xfId="29098" xr:uid="{00000000-0005-0000-0000-0000470C0000}"/>
    <cellStyle name="20% - Énfasis4 5 3 3" xfId="17618" xr:uid="{00000000-0005-0000-0000-0000480C0000}"/>
    <cellStyle name="20% - Énfasis4 5 3 3 2" xfId="40261" xr:uid="{00000000-0005-0000-0000-0000490C0000}"/>
    <cellStyle name="20% - Énfasis4 5 3 4" xfId="10178" xr:uid="{00000000-0005-0000-0000-00004A0C0000}"/>
    <cellStyle name="20% - Énfasis4 5 3 4 2" xfId="32821" xr:uid="{00000000-0005-0000-0000-00004B0C0000}"/>
    <cellStyle name="20% - Énfasis4 5 3 5" xfId="25380" xr:uid="{00000000-0005-0000-0000-00004C0C0000}"/>
    <cellStyle name="20% - Énfasis4 5 4" xfId="4605" xr:uid="{00000000-0005-0000-0000-00004D0C0000}"/>
    <cellStyle name="20% - Énfasis4 5 4 2" xfId="19489" xr:uid="{00000000-0005-0000-0000-00004E0C0000}"/>
    <cellStyle name="20% - Énfasis4 5 4 2 2" xfId="42132" xr:uid="{00000000-0005-0000-0000-00004F0C0000}"/>
    <cellStyle name="20% - Énfasis4 5 4 3" xfId="12049" xr:uid="{00000000-0005-0000-0000-0000500C0000}"/>
    <cellStyle name="20% - Énfasis4 5 4 3 2" xfId="34692" xr:uid="{00000000-0005-0000-0000-0000510C0000}"/>
    <cellStyle name="20% - Énfasis4 5 4 4" xfId="27251" xr:uid="{00000000-0005-0000-0000-0000520C0000}"/>
    <cellStyle name="20% - Énfasis4 5 5" xfId="875" xr:uid="{00000000-0005-0000-0000-0000530C0000}"/>
    <cellStyle name="20% - Énfasis4 5 5 2" xfId="15771" xr:uid="{00000000-0005-0000-0000-0000540C0000}"/>
    <cellStyle name="20% - Énfasis4 5 5 2 2" xfId="38414" xr:uid="{00000000-0005-0000-0000-0000550C0000}"/>
    <cellStyle name="20% - Énfasis4 5 5 3" xfId="23533" xr:uid="{00000000-0005-0000-0000-0000560C0000}"/>
    <cellStyle name="20% - Énfasis4 5 6" xfId="8331" xr:uid="{00000000-0005-0000-0000-0000570C0000}"/>
    <cellStyle name="20% - Énfasis4 5 6 2" xfId="30974" xr:uid="{00000000-0005-0000-0000-0000580C0000}"/>
    <cellStyle name="20% - Énfasis4 5 7" xfId="22916" xr:uid="{00000000-0005-0000-0000-0000590C0000}"/>
    <cellStyle name="20% - Énfasis4 6" xfId="1341" xr:uid="{00000000-0005-0000-0000-00005A0C0000}"/>
    <cellStyle name="20% - Énfasis4 6 2" xfId="3194" xr:uid="{00000000-0005-0000-0000-00005B0C0000}"/>
    <cellStyle name="20% - Énfasis4 6 2 2" xfId="6915" xr:uid="{00000000-0005-0000-0000-00005C0C0000}"/>
    <cellStyle name="20% - Énfasis4 6 2 2 2" xfId="21799" xr:uid="{00000000-0005-0000-0000-00005D0C0000}"/>
    <cellStyle name="20% - Énfasis4 6 2 2 2 2" xfId="44442" xr:uid="{00000000-0005-0000-0000-00005E0C0000}"/>
    <cellStyle name="20% - Énfasis4 6 2 2 3" xfId="14359" xr:uid="{00000000-0005-0000-0000-00005F0C0000}"/>
    <cellStyle name="20% - Énfasis4 6 2 2 3 2" xfId="37002" xr:uid="{00000000-0005-0000-0000-0000600C0000}"/>
    <cellStyle name="20% - Énfasis4 6 2 2 4" xfId="29561" xr:uid="{00000000-0005-0000-0000-0000610C0000}"/>
    <cellStyle name="20% - Énfasis4 6 2 3" xfId="18081" xr:uid="{00000000-0005-0000-0000-0000620C0000}"/>
    <cellStyle name="20% - Énfasis4 6 2 3 2" xfId="40724" xr:uid="{00000000-0005-0000-0000-0000630C0000}"/>
    <cellStyle name="20% - Énfasis4 6 2 4" xfId="10641" xr:uid="{00000000-0005-0000-0000-0000640C0000}"/>
    <cellStyle name="20% - Énfasis4 6 2 4 2" xfId="33284" xr:uid="{00000000-0005-0000-0000-0000650C0000}"/>
    <cellStyle name="20% - Énfasis4 6 2 5" xfId="25843" xr:uid="{00000000-0005-0000-0000-0000660C0000}"/>
    <cellStyle name="20% - Énfasis4 6 3" xfId="5068" xr:uid="{00000000-0005-0000-0000-0000670C0000}"/>
    <cellStyle name="20% - Énfasis4 6 3 2" xfId="19952" xr:uid="{00000000-0005-0000-0000-0000680C0000}"/>
    <cellStyle name="20% - Énfasis4 6 3 2 2" xfId="42595" xr:uid="{00000000-0005-0000-0000-0000690C0000}"/>
    <cellStyle name="20% - Énfasis4 6 3 3" xfId="12512" xr:uid="{00000000-0005-0000-0000-00006A0C0000}"/>
    <cellStyle name="20% - Énfasis4 6 3 3 2" xfId="35155" xr:uid="{00000000-0005-0000-0000-00006B0C0000}"/>
    <cellStyle name="20% - Énfasis4 6 3 4" xfId="27714" xr:uid="{00000000-0005-0000-0000-00006C0C0000}"/>
    <cellStyle name="20% - Énfasis4 6 4" xfId="16234" xr:uid="{00000000-0005-0000-0000-00006D0C0000}"/>
    <cellStyle name="20% - Énfasis4 6 4 2" xfId="38877" xr:uid="{00000000-0005-0000-0000-00006E0C0000}"/>
    <cellStyle name="20% - Énfasis4 6 5" xfId="8794" xr:uid="{00000000-0005-0000-0000-00006F0C0000}"/>
    <cellStyle name="20% - Énfasis4 6 5 2" xfId="31437" xr:uid="{00000000-0005-0000-0000-0000700C0000}"/>
    <cellStyle name="20% - Énfasis4 6 6" xfId="23996" xr:uid="{00000000-0005-0000-0000-0000710C0000}"/>
    <cellStyle name="20% - Énfasis4 7" xfId="2266" xr:uid="{00000000-0005-0000-0000-0000720C0000}"/>
    <cellStyle name="20% - Énfasis4 7 2" xfId="5990" xr:uid="{00000000-0005-0000-0000-0000730C0000}"/>
    <cellStyle name="20% - Énfasis4 7 2 2" xfId="20874" xr:uid="{00000000-0005-0000-0000-0000740C0000}"/>
    <cellStyle name="20% - Énfasis4 7 2 2 2" xfId="43517" xr:uid="{00000000-0005-0000-0000-0000750C0000}"/>
    <cellStyle name="20% - Énfasis4 7 2 3" xfId="13434" xr:uid="{00000000-0005-0000-0000-0000760C0000}"/>
    <cellStyle name="20% - Énfasis4 7 2 3 2" xfId="36077" xr:uid="{00000000-0005-0000-0000-0000770C0000}"/>
    <cellStyle name="20% - Énfasis4 7 2 4" xfId="28636" xr:uid="{00000000-0005-0000-0000-0000780C0000}"/>
    <cellStyle name="20% - Énfasis4 7 3" xfId="17156" xr:uid="{00000000-0005-0000-0000-0000790C0000}"/>
    <cellStyle name="20% - Énfasis4 7 3 2" xfId="39799" xr:uid="{00000000-0005-0000-0000-00007A0C0000}"/>
    <cellStyle name="20% - Énfasis4 7 4" xfId="9716" xr:uid="{00000000-0005-0000-0000-00007B0C0000}"/>
    <cellStyle name="20% - Énfasis4 7 4 2" xfId="32359" xr:uid="{00000000-0005-0000-0000-00007C0C0000}"/>
    <cellStyle name="20% - Énfasis4 7 5" xfId="24918" xr:uid="{00000000-0005-0000-0000-00007D0C0000}"/>
    <cellStyle name="20% - Énfasis4 8" xfId="4140" xr:uid="{00000000-0005-0000-0000-00007E0C0000}"/>
    <cellStyle name="20% - Énfasis4 8 2" xfId="19027" xr:uid="{00000000-0005-0000-0000-00007F0C0000}"/>
    <cellStyle name="20% - Énfasis4 8 2 2" xfId="41670" xr:uid="{00000000-0005-0000-0000-0000800C0000}"/>
    <cellStyle name="20% - Énfasis4 8 3" xfId="11587" xr:uid="{00000000-0005-0000-0000-0000810C0000}"/>
    <cellStyle name="20% - Énfasis4 8 3 2" xfId="34230" xr:uid="{00000000-0005-0000-0000-0000820C0000}"/>
    <cellStyle name="20% - Énfasis4 8 4" xfId="26789" xr:uid="{00000000-0005-0000-0000-0000830C0000}"/>
    <cellStyle name="20% - Énfasis4 9" xfId="375" xr:uid="{00000000-0005-0000-0000-0000840C0000}"/>
    <cellStyle name="20% - Énfasis4 9 2" xfId="15309" xr:uid="{00000000-0005-0000-0000-0000850C0000}"/>
    <cellStyle name="20% - Énfasis4 9 2 2" xfId="37952" xr:uid="{00000000-0005-0000-0000-0000860C0000}"/>
    <cellStyle name="20% - Énfasis4 9 3" xfId="23072" xr:uid="{00000000-0005-0000-0000-0000870C0000}"/>
    <cellStyle name="20% - Énfasis5" xfId="9" builtinId="46" customBuiltin="1"/>
    <cellStyle name="20% - Énfasis5 10" xfId="7868" xr:uid="{00000000-0005-0000-0000-0000890C0000}"/>
    <cellStyle name="20% - Énfasis5 10 2" xfId="30514" xr:uid="{00000000-0005-0000-0000-00008A0C0000}"/>
    <cellStyle name="20% - Énfasis5 11" xfId="22759" xr:uid="{00000000-0005-0000-0000-00008B0C0000}"/>
    <cellStyle name="20% - Énfasis5 12" xfId="45461" xr:uid="{00000000-0005-0000-0000-00008C0C0000}"/>
    <cellStyle name="20% - Énfasis5 13" xfId="45501" xr:uid="{00000000-0005-0000-0000-00008D0C0000}"/>
    <cellStyle name="20% - Énfasis5 2" xfId="10" xr:uid="{00000000-0005-0000-0000-00008E0C0000}"/>
    <cellStyle name="20% - Énfasis5 2 10" xfId="22768" xr:uid="{00000000-0005-0000-0000-00008F0C0000}"/>
    <cellStyle name="20% - Énfasis5 2 2" xfId="101" xr:uid="{00000000-0005-0000-0000-0000900C0000}"/>
    <cellStyle name="20% - Énfasis5 2 2 2" xfId="184" xr:uid="{00000000-0005-0000-0000-0000910C0000}"/>
    <cellStyle name="20% - Énfasis5 2 2 2 2" xfId="345" xr:uid="{00000000-0005-0000-0000-0000920C0000}"/>
    <cellStyle name="20% - Énfasis5 2 2 2 2 2" xfId="2176" xr:uid="{00000000-0005-0000-0000-0000930C0000}"/>
    <cellStyle name="20% - Énfasis5 2 2 2 2 2 2" xfId="4026" xr:uid="{00000000-0005-0000-0000-0000940C0000}"/>
    <cellStyle name="20% - Énfasis5 2 2 2 2 2 2 2" xfId="7747" xr:uid="{00000000-0005-0000-0000-0000950C0000}"/>
    <cellStyle name="20% - Énfasis5 2 2 2 2 2 2 2 2" xfId="22631" xr:uid="{00000000-0005-0000-0000-0000960C0000}"/>
    <cellStyle name="20% - Énfasis5 2 2 2 2 2 2 2 2 2" xfId="45274" xr:uid="{00000000-0005-0000-0000-0000970C0000}"/>
    <cellStyle name="20% - Énfasis5 2 2 2 2 2 2 2 3" xfId="15191" xr:uid="{00000000-0005-0000-0000-0000980C0000}"/>
    <cellStyle name="20% - Énfasis5 2 2 2 2 2 2 2 3 2" xfId="37834" xr:uid="{00000000-0005-0000-0000-0000990C0000}"/>
    <cellStyle name="20% - Énfasis5 2 2 2 2 2 2 2 4" xfId="30393" xr:uid="{00000000-0005-0000-0000-00009A0C0000}"/>
    <cellStyle name="20% - Énfasis5 2 2 2 2 2 2 3" xfId="18913" xr:uid="{00000000-0005-0000-0000-00009B0C0000}"/>
    <cellStyle name="20% - Énfasis5 2 2 2 2 2 2 3 2" xfId="41556" xr:uid="{00000000-0005-0000-0000-00009C0C0000}"/>
    <cellStyle name="20% - Énfasis5 2 2 2 2 2 2 4" xfId="11473" xr:uid="{00000000-0005-0000-0000-00009D0C0000}"/>
    <cellStyle name="20% - Énfasis5 2 2 2 2 2 2 4 2" xfId="34116" xr:uid="{00000000-0005-0000-0000-00009E0C0000}"/>
    <cellStyle name="20% - Énfasis5 2 2 2 2 2 2 5" xfId="26675" xr:uid="{00000000-0005-0000-0000-00009F0C0000}"/>
    <cellStyle name="20% - Énfasis5 2 2 2 2 2 3" xfId="5900" xr:uid="{00000000-0005-0000-0000-0000A00C0000}"/>
    <cellStyle name="20% - Énfasis5 2 2 2 2 2 3 2" xfId="20784" xr:uid="{00000000-0005-0000-0000-0000A10C0000}"/>
    <cellStyle name="20% - Énfasis5 2 2 2 2 2 3 2 2" xfId="43427" xr:uid="{00000000-0005-0000-0000-0000A20C0000}"/>
    <cellStyle name="20% - Énfasis5 2 2 2 2 2 3 3" xfId="13344" xr:uid="{00000000-0005-0000-0000-0000A30C0000}"/>
    <cellStyle name="20% - Énfasis5 2 2 2 2 2 3 3 2" xfId="35987" xr:uid="{00000000-0005-0000-0000-0000A40C0000}"/>
    <cellStyle name="20% - Énfasis5 2 2 2 2 2 3 4" xfId="28546" xr:uid="{00000000-0005-0000-0000-0000A50C0000}"/>
    <cellStyle name="20% - Énfasis5 2 2 2 2 2 4" xfId="17066" xr:uid="{00000000-0005-0000-0000-0000A60C0000}"/>
    <cellStyle name="20% - Énfasis5 2 2 2 2 2 4 2" xfId="39709" xr:uid="{00000000-0005-0000-0000-0000A70C0000}"/>
    <cellStyle name="20% - Énfasis5 2 2 2 2 2 5" xfId="9626" xr:uid="{00000000-0005-0000-0000-0000A80C0000}"/>
    <cellStyle name="20% - Énfasis5 2 2 2 2 2 5 2" xfId="32269" xr:uid="{00000000-0005-0000-0000-0000A90C0000}"/>
    <cellStyle name="20% - Énfasis5 2 2 2 2 2 6" xfId="24828" xr:uid="{00000000-0005-0000-0000-0000AA0C0000}"/>
    <cellStyle name="20% - Énfasis5 2 2 2 2 3" xfId="3101" xr:uid="{00000000-0005-0000-0000-0000AB0C0000}"/>
    <cellStyle name="20% - Énfasis5 2 2 2 2 3 2" xfId="6822" xr:uid="{00000000-0005-0000-0000-0000AC0C0000}"/>
    <cellStyle name="20% - Énfasis5 2 2 2 2 3 2 2" xfId="21706" xr:uid="{00000000-0005-0000-0000-0000AD0C0000}"/>
    <cellStyle name="20% - Énfasis5 2 2 2 2 3 2 2 2" xfId="44349" xr:uid="{00000000-0005-0000-0000-0000AE0C0000}"/>
    <cellStyle name="20% - Énfasis5 2 2 2 2 3 2 3" xfId="14266" xr:uid="{00000000-0005-0000-0000-0000AF0C0000}"/>
    <cellStyle name="20% - Énfasis5 2 2 2 2 3 2 3 2" xfId="36909" xr:uid="{00000000-0005-0000-0000-0000B00C0000}"/>
    <cellStyle name="20% - Énfasis5 2 2 2 2 3 2 4" xfId="29468" xr:uid="{00000000-0005-0000-0000-0000B10C0000}"/>
    <cellStyle name="20% - Énfasis5 2 2 2 2 3 3" xfId="17988" xr:uid="{00000000-0005-0000-0000-0000B20C0000}"/>
    <cellStyle name="20% - Énfasis5 2 2 2 2 3 3 2" xfId="40631" xr:uid="{00000000-0005-0000-0000-0000B30C0000}"/>
    <cellStyle name="20% - Énfasis5 2 2 2 2 3 4" xfId="10548" xr:uid="{00000000-0005-0000-0000-0000B40C0000}"/>
    <cellStyle name="20% - Énfasis5 2 2 2 2 3 4 2" xfId="33191" xr:uid="{00000000-0005-0000-0000-0000B50C0000}"/>
    <cellStyle name="20% - Énfasis5 2 2 2 2 3 5" xfId="25750" xr:uid="{00000000-0005-0000-0000-0000B60C0000}"/>
    <cellStyle name="20% - Énfasis5 2 2 2 2 4" xfId="4975" xr:uid="{00000000-0005-0000-0000-0000B70C0000}"/>
    <cellStyle name="20% - Énfasis5 2 2 2 2 4 2" xfId="19859" xr:uid="{00000000-0005-0000-0000-0000B80C0000}"/>
    <cellStyle name="20% - Énfasis5 2 2 2 2 4 2 2" xfId="42502" xr:uid="{00000000-0005-0000-0000-0000B90C0000}"/>
    <cellStyle name="20% - Énfasis5 2 2 2 2 4 3" xfId="12419" xr:uid="{00000000-0005-0000-0000-0000BA0C0000}"/>
    <cellStyle name="20% - Énfasis5 2 2 2 2 4 3 2" xfId="35062" xr:uid="{00000000-0005-0000-0000-0000BB0C0000}"/>
    <cellStyle name="20% - Énfasis5 2 2 2 2 4 4" xfId="27621" xr:uid="{00000000-0005-0000-0000-0000BC0C0000}"/>
    <cellStyle name="20% - Énfasis5 2 2 2 2 5" xfId="1248" xr:uid="{00000000-0005-0000-0000-0000BD0C0000}"/>
    <cellStyle name="20% - Énfasis5 2 2 2 2 5 2" xfId="16141" xr:uid="{00000000-0005-0000-0000-0000BE0C0000}"/>
    <cellStyle name="20% - Énfasis5 2 2 2 2 5 2 2" xfId="38784" xr:uid="{00000000-0005-0000-0000-0000BF0C0000}"/>
    <cellStyle name="20% - Énfasis5 2 2 2 2 5 3" xfId="23903" xr:uid="{00000000-0005-0000-0000-0000C00C0000}"/>
    <cellStyle name="20% - Énfasis5 2 2 2 2 6" xfId="8701" xr:uid="{00000000-0005-0000-0000-0000C10C0000}"/>
    <cellStyle name="20% - Énfasis5 2 2 2 2 6 2" xfId="31344" xr:uid="{00000000-0005-0000-0000-0000C20C0000}"/>
    <cellStyle name="20% - Énfasis5 2 2 2 2 7" xfId="23043" xr:uid="{00000000-0005-0000-0000-0000C30C0000}"/>
    <cellStyle name="20% - Énfasis5 2 2 2 3" xfId="1714" xr:uid="{00000000-0005-0000-0000-0000C40C0000}"/>
    <cellStyle name="20% - Énfasis5 2 2 2 3 2" xfId="3564" xr:uid="{00000000-0005-0000-0000-0000C50C0000}"/>
    <cellStyle name="20% - Énfasis5 2 2 2 3 2 2" xfId="7285" xr:uid="{00000000-0005-0000-0000-0000C60C0000}"/>
    <cellStyle name="20% - Énfasis5 2 2 2 3 2 2 2" xfId="22169" xr:uid="{00000000-0005-0000-0000-0000C70C0000}"/>
    <cellStyle name="20% - Énfasis5 2 2 2 3 2 2 2 2" xfId="44812" xr:uid="{00000000-0005-0000-0000-0000C80C0000}"/>
    <cellStyle name="20% - Énfasis5 2 2 2 3 2 2 3" xfId="14729" xr:uid="{00000000-0005-0000-0000-0000C90C0000}"/>
    <cellStyle name="20% - Énfasis5 2 2 2 3 2 2 3 2" xfId="37372" xr:uid="{00000000-0005-0000-0000-0000CA0C0000}"/>
    <cellStyle name="20% - Énfasis5 2 2 2 3 2 2 4" xfId="29931" xr:uid="{00000000-0005-0000-0000-0000CB0C0000}"/>
    <cellStyle name="20% - Énfasis5 2 2 2 3 2 3" xfId="18451" xr:uid="{00000000-0005-0000-0000-0000CC0C0000}"/>
    <cellStyle name="20% - Énfasis5 2 2 2 3 2 3 2" xfId="41094" xr:uid="{00000000-0005-0000-0000-0000CD0C0000}"/>
    <cellStyle name="20% - Énfasis5 2 2 2 3 2 4" xfId="11011" xr:uid="{00000000-0005-0000-0000-0000CE0C0000}"/>
    <cellStyle name="20% - Énfasis5 2 2 2 3 2 4 2" xfId="33654" xr:uid="{00000000-0005-0000-0000-0000CF0C0000}"/>
    <cellStyle name="20% - Énfasis5 2 2 2 3 2 5" xfId="26213" xr:uid="{00000000-0005-0000-0000-0000D00C0000}"/>
    <cellStyle name="20% - Énfasis5 2 2 2 3 3" xfId="5438" xr:uid="{00000000-0005-0000-0000-0000D10C0000}"/>
    <cellStyle name="20% - Énfasis5 2 2 2 3 3 2" xfId="20322" xr:uid="{00000000-0005-0000-0000-0000D20C0000}"/>
    <cellStyle name="20% - Énfasis5 2 2 2 3 3 2 2" xfId="42965" xr:uid="{00000000-0005-0000-0000-0000D30C0000}"/>
    <cellStyle name="20% - Énfasis5 2 2 2 3 3 3" xfId="12882" xr:uid="{00000000-0005-0000-0000-0000D40C0000}"/>
    <cellStyle name="20% - Énfasis5 2 2 2 3 3 3 2" xfId="35525" xr:uid="{00000000-0005-0000-0000-0000D50C0000}"/>
    <cellStyle name="20% - Énfasis5 2 2 2 3 3 4" xfId="28084" xr:uid="{00000000-0005-0000-0000-0000D60C0000}"/>
    <cellStyle name="20% - Énfasis5 2 2 2 3 4" xfId="16604" xr:uid="{00000000-0005-0000-0000-0000D70C0000}"/>
    <cellStyle name="20% - Énfasis5 2 2 2 3 4 2" xfId="39247" xr:uid="{00000000-0005-0000-0000-0000D80C0000}"/>
    <cellStyle name="20% - Énfasis5 2 2 2 3 5" xfId="9164" xr:uid="{00000000-0005-0000-0000-0000D90C0000}"/>
    <cellStyle name="20% - Énfasis5 2 2 2 3 5 2" xfId="31807" xr:uid="{00000000-0005-0000-0000-0000DA0C0000}"/>
    <cellStyle name="20% - Énfasis5 2 2 2 3 6" xfId="24366" xr:uid="{00000000-0005-0000-0000-0000DB0C0000}"/>
    <cellStyle name="20% - Énfasis5 2 2 2 4" xfId="2639" xr:uid="{00000000-0005-0000-0000-0000DC0C0000}"/>
    <cellStyle name="20% - Énfasis5 2 2 2 4 2" xfId="6360" xr:uid="{00000000-0005-0000-0000-0000DD0C0000}"/>
    <cellStyle name="20% - Énfasis5 2 2 2 4 2 2" xfId="21244" xr:uid="{00000000-0005-0000-0000-0000DE0C0000}"/>
    <cellStyle name="20% - Énfasis5 2 2 2 4 2 2 2" xfId="43887" xr:uid="{00000000-0005-0000-0000-0000DF0C0000}"/>
    <cellStyle name="20% - Énfasis5 2 2 2 4 2 3" xfId="13804" xr:uid="{00000000-0005-0000-0000-0000E00C0000}"/>
    <cellStyle name="20% - Énfasis5 2 2 2 4 2 3 2" xfId="36447" xr:uid="{00000000-0005-0000-0000-0000E10C0000}"/>
    <cellStyle name="20% - Énfasis5 2 2 2 4 2 4" xfId="29006" xr:uid="{00000000-0005-0000-0000-0000E20C0000}"/>
    <cellStyle name="20% - Énfasis5 2 2 2 4 3" xfId="17526" xr:uid="{00000000-0005-0000-0000-0000E30C0000}"/>
    <cellStyle name="20% - Énfasis5 2 2 2 4 3 2" xfId="40169" xr:uid="{00000000-0005-0000-0000-0000E40C0000}"/>
    <cellStyle name="20% - Énfasis5 2 2 2 4 4" xfId="10086" xr:uid="{00000000-0005-0000-0000-0000E50C0000}"/>
    <cellStyle name="20% - Énfasis5 2 2 2 4 4 2" xfId="32729" xr:uid="{00000000-0005-0000-0000-0000E60C0000}"/>
    <cellStyle name="20% - Énfasis5 2 2 2 4 5" xfId="25288" xr:uid="{00000000-0005-0000-0000-0000E70C0000}"/>
    <cellStyle name="20% - Énfasis5 2 2 2 5" xfId="4513" xr:uid="{00000000-0005-0000-0000-0000E80C0000}"/>
    <cellStyle name="20% - Énfasis5 2 2 2 5 2" xfId="19397" xr:uid="{00000000-0005-0000-0000-0000E90C0000}"/>
    <cellStyle name="20% - Énfasis5 2 2 2 5 2 2" xfId="42040" xr:uid="{00000000-0005-0000-0000-0000EA0C0000}"/>
    <cellStyle name="20% - Énfasis5 2 2 2 5 3" xfId="11957" xr:uid="{00000000-0005-0000-0000-0000EB0C0000}"/>
    <cellStyle name="20% - Énfasis5 2 2 2 5 3 2" xfId="34600" xr:uid="{00000000-0005-0000-0000-0000EC0C0000}"/>
    <cellStyle name="20% - Énfasis5 2 2 2 5 4" xfId="27159" xr:uid="{00000000-0005-0000-0000-0000ED0C0000}"/>
    <cellStyle name="20% - Énfasis5 2 2 2 6" xfId="783" xr:uid="{00000000-0005-0000-0000-0000EE0C0000}"/>
    <cellStyle name="20% - Énfasis5 2 2 2 6 2" xfId="15679" xr:uid="{00000000-0005-0000-0000-0000EF0C0000}"/>
    <cellStyle name="20% - Énfasis5 2 2 2 6 2 2" xfId="38322" xr:uid="{00000000-0005-0000-0000-0000F00C0000}"/>
    <cellStyle name="20% - Énfasis5 2 2 2 6 3" xfId="23441" xr:uid="{00000000-0005-0000-0000-0000F10C0000}"/>
    <cellStyle name="20% - Énfasis5 2 2 2 7" xfId="8239" xr:uid="{00000000-0005-0000-0000-0000F20C0000}"/>
    <cellStyle name="20% - Énfasis5 2 2 2 7 2" xfId="30882" xr:uid="{00000000-0005-0000-0000-0000F30C0000}"/>
    <cellStyle name="20% - Énfasis5 2 2 2 8" xfId="22887" xr:uid="{00000000-0005-0000-0000-0000F40C0000}"/>
    <cellStyle name="20% - Énfasis5 2 2 3" xfId="267" xr:uid="{00000000-0005-0000-0000-0000F50C0000}"/>
    <cellStyle name="20% - Énfasis5 2 2 3 2" xfId="1965" xr:uid="{00000000-0005-0000-0000-0000F60C0000}"/>
    <cellStyle name="20% - Énfasis5 2 2 3 2 2" xfId="3815" xr:uid="{00000000-0005-0000-0000-0000F70C0000}"/>
    <cellStyle name="20% - Énfasis5 2 2 3 2 2 2" xfId="7536" xr:uid="{00000000-0005-0000-0000-0000F80C0000}"/>
    <cellStyle name="20% - Énfasis5 2 2 3 2 2 2 2" xfId="22420" xr:uid="{00000000-0005-0000-0000-0000F90C0000}"/>
    <cellStyle name="20% - Énfasis5 2 2 3 2 2 2 2 2" xfId="45063" xr:uid="{00000000-0005-0000-0000-0000FA0C0000}"/>
    <cellStyle name="20% - Énfasis5 2 2 3 2 2 2 3" xfId="14980" xr:uid="{00000000-0005-0000-0000-0000FB0C0000}"/>
    <cellStyle name="20% - Énfasis5 2 2 3 2 2 2 3 2" xfId="37623" xr:uid="{00000000-0005-0000-0000-0000FC0C0000}"/>
    <cellStyle name="20% - Énfasis5 2 2 3 2 2 2 4" xfId="30182" xr:uid="{00000000-0005-0000-0000-0000FD0C0000}"/>
    <cellStyle name="20% - Énfasis5 2 2 3 2 2 3" xfId="18702" xr:uid="{00000000-0005-0000-0000-0000FE0C0000}"/>
    <cellStyle name="20% - Énfasis5 2 2 3 2 2 3 2" xfId="41345" xr:uid="{00000000-0005-0000-0000-0000FF0C0000}"/>
    <cellStyle name="20% - Énfasis5 2 2 3 2 2 4" xfId="11262" xr:uid="{00000000-0005-0000-0000-0000000D0000}"/>
    <cellStyle name="20% - Énfasis5 2 2 3 2 2 4 2" xfId="33905" xr:uid="{00000000-0005-0000-0000-0000010D0000}"/>
    <cellStyle name="20% - Énfasis5 2 2 3 2 2 5" xfId="26464" xr:uid="{00000000-0005-0000-0000-0000020D0000}"/>
    <cellStyle name="20% - Énfasis5 2 2 3 2 3" xfId="5689" xr:uid="{00000000-0005-0000-0000-0000030D0000}"/>
    <cellStyle name="20% - Énfasis5 2 2 3 2 3 2" xfId="20573" xr:uid="{00000000-0005-0000-0000-0000040D0000}"/>
    <cellStyle name="20% - Énfasis5 2 2 3 2 3 2 2" xfId="43216" xr:uid="{00000000-0005-0000-0000-0000050D0000}"/>
    <cellStyle name="20% - Énfasis5 2 2 3 2 3 3" xfId="13133" xr:uid="{00000000-0005-0000-0000-0000060D0000}"/>
    <cellStyle name="20% - Énfasis5 2 2 3 2 3 3 2" xfId="35776" xr:uid="{00000000-0005-0000-0000-0000070D0000}"/>
    <cellStyle name="20% - Énfasis5 2 2 3 2 3 4" xfId="28335" xr:uid="{00000000-0005-0000-0000-0000080D0000}"/>
    <cellStyle name="20% - Énfasis5 2 2 3 2 4" xfId="16855" xr:uid="{00000000-0005-0000-0000-0000090D0000}"/>
    <cellStyle name="20% - Énfasis5 2 2 3 2 4 2" xfId="39498" xr:uid="{00000000-0005-0000-0000-00000A0D0000}"/>
    <cellStyle name="20% - Énfasis5 2 2 3 2 5" xfId="9415" xr:uid="{00000000-0005-0000-0000-00000B0D0000}"/>
    <cellStyle name="20% - Énfasis5 2 2 3 2 5 2" xfId="32058" xr:uid="{00000000-0005-0000-0000-00000C0D0000}"/>
    <cellStyle name="20% - Énfasis5 2 2 3 2 6" xfId="24617" xr:uid="{00000000-0005-0000-0000-00000D0D0000}"/>
    <cellStyle name="20% - Énfasis5 2 2 3 3" xfId="2890" xr:uid="{00000000-0005-0000-0000-00000E0D0000}"/>
    <cellStyle name="20% - Énfasis5 2 2 3 3 2" xfId="6611" xr:uid="{00000000-0005-0000-0000-00000F0D0000}"/>
    <cellStyle name="20% - Énfasis5 2 2 3 3 2 2" xfId="21495" xr:uid="{00000000-0005-0000-0000-0000100D0000}"/>
    <cellStyle name="20% - Énfasis5 2 2 3 3 2 2 2" xfId="44138" xr:uid="{00000000-0005-0000-0000-0000110D0000}"/>
    <cellStyle name="20% - Énfasis5 2 2 3 3 2 3" xfId="14055" xr:uid="{00000000-0005-0000-0000-0000120D0000}"/>
    <cellStyle name="20% - Énfasis5 2 2 3 3 2 3 2" xfId="36698" xr:uid="{00000000-0005-0000-0000-0000130D0000}"/>
    <cellStyle name="20% - Énfasis5 2 2 3 3 2 4" xfId="29257" xr:uid="{00000000-0005-0000-0000-0000140D0000}"/>
    <cellStyle name="20% - Énfasis5 2 2 3 3 3" xfId="17777" xr:uid="{00000000-0005-0000-0000-0000150D0000}"/>
    <cellStyle name="20% - Énfasis5 2 2 3 3 3 2" xfId="40420" xr:uid="{00000000-0005-0000-0000-0000160D0000}"/>
    <cellStyle name="20% - Énfasis5 2 2 3 3 4" xfId="10337" xr:uid="{00000000-0005-0000-0000-0000170D0000}"/>
    <cellStyle name="20% - Énfasis5 2 2 3 3 4 2" xfId="32980" xr:uid="{00000000-0005-0000-0000-0000180D0000}"/>
    <cellStyle name="20% - Énfasis5 2 2 3 3 5" xfId="25539" xr:uid="{00000000-0005-0000-0000-0000190D0000}"/>
    <cellStyle name="20% - Énfasis5 2 2 3 4" xfId="4764" xr:uid="{00000000-0005-0000-0000-00001A0D0000}"/>
    <cellStyle name="20% - Énfasis5 2 2 3 4 2" xfId="19648" xr:uid="{00000000-0005-0000-0000-00001B0D0000}"/>
    <cellStyle name="20% - Énfasis5 2 2 3 4 2 2" xfId="42291" xr:uid="{00000000-0005-0000-0000-00001C0D0000}"/>
    <cellStyle name="20% - Énfasis5 2 2 3 4 3" xfId="12208" xr:uid="{00000000-0005-0000-0000-00001D0D0000}"/>
    <cellStyle name="20% - Énfasis5 2 2 3 4 3 2" xfId="34851" xr:uid="{00000000-0005-0000-0000-00001E0D0000}"/>
    <cellStyle name="20% - Énfasis5 2 2 3 4 4" xfId="27410" xr:uid="{00000000-0005-0000-0000-00001F0D0000}"/>
    <cellStyle name="20% - Énfasis5 2 2 3 5" xfId="1037" xr:uid="{00000000-0005-0000-0000-0000200D0000}"/>
    <cellStyle name="20% - Énfasis5 2 2 3 5 2" xfId="15930" xr:uid="{00000000-0005-0000-0000-0000210D0000}"/>
    <cellStyle name="20% - Énfasis5 2 2 3 5 2 2" xfId="38573" xr:uid="{00000000-0005-0000-0000-0000220D0000}"/>
    <cellStyle name="20% - Énfasis5 2 2 3 5 3" xfId="23692" xr:uid="{00000000-0005-0000-0000-0000230D0000}"/>
    <cellStyle name="20% - Énfasis5 2 2 3 6" xfId="8490" xr:uid="{00000000-0005-0000-0000-0000240D0000}"/>
    <cellStyle name="20% - Énfasis5 2 2 3 6 2" xfId="31133" xr:uid="{00000000-0005-0000-0000-0000250D0000}"/>
    <cellStyle name="20% - Énfasis5 2 2 3 7" xfId="22965" xr:uid="{00000000-0005-0000-0000-0000260D0000}"/>
    <cellStyle name="20% - Énfasis5 2 2 4" xfId="1503" xr:uid="{00000000-0005-0000-0000-0000270D0000}"/>
    <cellStyle name="20% - Énfasis5 2 2 4 2" xfId="3353" xr:uid="{00000000-0005-0000-0000-0000280D0000}"/>
    <cellStyle name="20% - Énfasis5 2 2 4 2 2" xfId="7074" xr:uid="{00000000-0005-0000-0000-0000290D0000}"/>
    <cellStyle name="20% - Énfasis5 2 2 4 2 2 2" xfId="21958" xr:uid="{00000000-0005-0000-0000-00002A0D0000}"/>
    <cellStyle name="20% - Énfasis5 2 2 4 2 2 2 2" xfId="44601" xr:uid="{00000000-0005-0000-0000-00002B0D0000}"/>
    <cellStyle name="20% - Énfasis5 2 2 4 2 2 3" xfId="14518" xr:uid="{00000000-0005-0000-0000-00002C0D0000}"/>
    <cellStyle name="20% - Énfasis5 2 2 4 2 2 3 2" xfId="37161" xr:uid="{00000000-0005-0000-0000-00002D0D0000}"/>
    <cellStyle name="20% - Énfasis5 2 2 4 2 2 4" xfId="29720" xr:uid="{00000000-0005-0000-0000-00002E0D0000}"/>
    <cellStyle name="20% - Énfasis5 2 2 4 2 3" xfId="18240" xr:uid="{00000000-0005-0000-0000-00002F0D0000}"/>
    <cellStyle name="20% - Énfasis5 2 2 4 2 3 2" xfId="40883" xr:uid="{00000000-0005-0000-0000-0000300D0000}"/>
    <cellStyle name="20% - Énfasis5 2 2 4 2 4" xfId="10800" xr:uid="{00000000-0005-0000-0000-0000310D0000}"/>
    <cellStyle name="20% - Énfasis5 2 2 4 2 4 2" xfId="33443" xr:uid="{00000000-0005-0000-0000-0000320D0000}"/>
    <cellStyle name="20% - Énfasis5 2 2 4 2 5" xfId="26002" xr:uid="{00000000-0005-0000-0000-0000330D0000}"/>
    <cellStyle name="20% - Énfasis5 2 2 4 3" xfId="5227" xr:uid="{00000000-0005-0000-0000-0000340D0000}"/>
    <cellStyle name="20% - Énfasis5 2 2 4 3 2" xfId="20111" xr:uid="{00000000-0005-0000-0000-0000350D0000}"/>
    <cellStyle name="20% - Énfasis5 2 2 4 3 2 2" xfId="42754" xr:uid="{00000000-0005-0000-0000-0000360D0000}"/>
    <cellStyle name="20% - Énfasis5 2 2 4 3 3" xfId="12671" xr:uid="{00000000-0005-0000-0000-0000370D0000}"/>
    <cellStyle name="20% - Énfasis5 2 2 4 3 3 2" xfId="35314" xr:uid="{00000000-0005-0000-0000-0000380D0000}"/>
    <cellStyle name="20% - Énfasis5 2 2 4 3 4" xfId="27873" xr:uid="{00000000-0005-0000-0000-0000390D0000}"/>
    <cellStyle name="20% - Énfasis5 2 2 4 4" xfId="16393" xr:uid="{00000000-0005-0000-0000-00003A0D0000}"/>
    <cellStyle name="20% - Énfasis5 2 2 4 4 2" xfId="39036" xr:uid="{00000000-0005-0000-0000-00003B0D0000}"/>
    <cellStyle name="20% - Énfasis5 2 2 4 5" xfId="8953" xr:uid="{00000000-0005-0000-0000-00003C0D0000}"/>
    <cellStyle name="20% - Énfasis5 2 2 4 5 2" xfId="31596" xr:uid="{00000000-0005-0000-0000-00003D0D0000}"/>
    <cellStyle name="20% - Énfasis5 2 2 4 6" xfId="24155" xr:uid="{00000000-0005-0000-0000-00003E0D0000}"/>
    <cellStyle name="20% - Énfasis5 2 2 5" xfId="2428" xr:uid="{00000000-0005-0000-0000-00003F0D0000}"/>
    <cellStyle name="20% - Énfasis5 2 2 5 2" xfId="6149" xr:uid="{00000000-0005-0000-0000-0000400D0000}"/>
    <cellStyle name="20% - Énfasis5 2 2 5 2 2" xfId="21033" xr:uid="{00000000-0005-0000-0000-0000410D0000}"/>
    <cellStyle name="20% - Énfasis5 2 2 5 2 2 2" xfId="43676" xr:uid="{00000000-0005-0000-0000-0000420D0000}"/>
    <cellStyle name="20% - Énfasis5 2 2 5 2 3" xfId="13593" xr:uid="{00000000-0005-0000-0000-0000430D0000}"/>
    <cellStyle name="20% - Énfasis5 2 2 5 2 3 2" xfId="36236" xr:uid="{00000000-0005-0000-0000-0000440D0000}"/>
    <cellStyle name="20% - Énfasis5 2 2 5 2 4" xfId="28795" xr:uid="{00000000-0005-0000-0000-0000450D0000}"/>
    <cellStyle name="20% - Énfasis5 2 2 5 3" xfId="17315" xr:uid="{00000000-0005-0000-0000-0000460D0000}"/>
    <cellStyle name="20% - Énfasis5 2 2 5 3 2" xfId="39958" xr:uid="{00000000-0005-0000-0000-0000470D0000}"/>
    <cellStyle name="20% - Énfasis5 2 2 5 4" xfId="9875" xr:uid="{00000000-0005-0000-0000-0000480D0000}"/>
    <cellStyle name="20% - Énfasis5 2 2 5 4 2" xfId="32518" xr:uid="{00000000-0005-0000-0000-0000490D0000}"/>
    <cellStyle name="20% - Énfasis5 2 2 5 5" xfId="25077" xr:uid="{00000000-0005-0000-0000-00004A0D0000}"/>
    <cellStyle name="20% - Énfasis5 2 2 6" xfId="4302" xr:uid="{00000000-0005-0000-0000-00004B0D0000}"/>
    <cellStyle name="20% - Énfasis5 2 2 6 2" xfId="19186" xr:uid="{00000000-0005-0000-0000-00004C0D0000}"/>
    <cellStyle name="20% - Énfasis5 2 2 6 2 2" xfId="41829" xr:uid="{00000000-0005-0000-0000-00004D0D0000}"/>
    <cellStyle name="20% - Énfasis5 2 2 6 3" xfId="11746" xr:uid="{00000000-0005-0000-0000-00004E0D0000}"/>
    <cellStyle name="20% - Énfasis5 2 2 6 3 2" xfId="34389" xr:uid="{00000000-0005-0000-0000-00004F0D0000}"/>
    <cellStyle name="20% - Énfasis5 2 2 6 4" xfId="26948" xr:uid="{00000000-0005-0000-0000-0000500D0000}"/>
    <cellStyle name="20% - Énfasis5 2 2 7" xfId="571" xr:uid="{00000000-0005-0000-0000-0000510D0000}"/>
    <cellStyle name="20% - Énfasis5 2 2 7 2" xfId="15468" xr:uid="{00000000-0005-0000-0000-0000520D0000}"/>
    <cellStyle name="20% - Énfasis5 2 2 7 2 2" xfId="38111" xr:uid="{00000000-0005-0000-0000-0000530D0000}"/>
    <cellStyle name="20% - Énfasis5 2 2 7 3" xfId="23231" xr:uid="{00000000-0005-0000-0000-0000540D0000}"/>
    <cellStyle name="20% - Énfasis5 2 2 8" xfId="8028" xr:uid="{00000000-0005-0000-0000-0000550D0000}"/>
    <cellStyle name="20% - Énfasis5 2 2 8 2" xfId="30671" xr:uid="{00000000-0005-0000-0000-0000560D0000}"/>
    <cellStyle name="20% - Énfasis5 2 2 9" xfId="22809" xr:uid="{00000000-0005-0000-0000-0000570D0000}"/>
    <cellStyle name="20% - Énfasis5 2 3" xfId="143" xr:uid="{00000000-0005-0000-0000-0000580D0000}"/>
    <cellStyle name="20% - Énfasis5 2 3 2" xfId="306" xr:uid="{00000000-0005-0000-0000-0000590D0000}"/>
    <cellStyle name="20% - Énfasis5 2 3 2 2" xfId="2071" xr:uid="{00000000-0005-0000-0000-00005A0D0000}"/>
    <cellStyle name="20% - Énfasis5 2 3 2 2 2" xfId="3921" xr:uid="{00000000-0005-0000-0000-00005B0D0000}"/>
    <cellStyle name="20% - Énfasis5 2 3 2 2 2 2" xfId="7642" xr:uid="{00000000-0005-0000-0000-00005C0D0000}"/>
    <cellStyle name="20% - Énfasis5 2 3 2 2 2 2 2" xfId="22526" xr:uid="{00000000-0005-0000-0000-00005D0D0000}"/>
    <cellStyle name="20% - Énfasis5 2 3 2 2 2 2 2 2" xfId="45169" xr:uid="{00000000-0005-0000-0000-00005E0D0000}"/>
    <cellStyle name="20% - Énfasis5 2 3 2 2 2 2 3" xfId="15086" xr:uid="{00000000-0005-0000-0000-00005F0D0000}"/>
    <cellStyle name="20% - Énfasis5 2 3 2 2 2 2 3 2" xfId="37729" xr:uid="{00000000-0005-0000-0000-0000600D0000}"/>
    <cellStyle name="20% - Énfasis5 2 3 2 2 2 2 4" xfId="30288" xr:uid="{00000000-0005-0000-0000-0000610D0000}"/>
    <cellStyle name="20% - Énfasis5 2 3 2 2 2 3" xfId="18808" xr:uid="{00000000-0005-0000-0000-0000620D0000}"/>
    <cellStyle name="20% - Énfasis5 2 3 2 2 2 3 2" xfId="41451" xr:uid="{00000000-0005-0000-0000-0000630D0000}"/>
    <cellStyle name="20% - Énfasis5 2 3 2 2 2 4" xfId="11368" xr:uid="{00000000-0005-0000-0000-0000640D0000}"/>
    <cellStyle name="20% - Énfasis5 2 3 2 2 2 4 2" xfId="34011" xr:uid="{00000000-0005-0000-0000-0000650D0000}"/>
    <cellStyle name="20% - Énfasis5 2 3 2 2 2 5" xfId="26570" xr:uid="{00000000-0005-0000-0000-0000660D0000}"/>
    <cellStyle name="20% - Énfasis5 2 3 2 2 3" xfId="5795" xr:uid="{00000000-0005-0000-0000-0000670D0000}"/>
    <cellStyle name="20% - Énfasis5 2 3 2 2 3 2" xfId="20679" xr:uid="{00000000-0005-0000-0000-0000680D0000}"/>
    <cellStyle name="20% - Énfasis5 2 3 2 2 3 2 2" xfId="43322" xr:uid="{00000000-0005-0000-0000-0000690D0000}"/>
    <cellStyle name="20% - Énfasis5 2 3 2 2 3 3" xfId="13239" xr:uid="{00000000-0005-0000-0000-00006A0D0000}"/>
    <cellStyle name="20% - Énfasis5 2 3 2 2 3 3 2" xfId="35882" xr:uid="{00000000-0005-0000-0000-00006B0D0000}"/>
    <cellStyle name="20% - Énfasis5 2 3 2 2 3 4" xfId="28441" xr:uid="{00000000-0005-0000-0000-00006C0D0000}"/>
    <cellStyle name="20% - Énfasis5 2 3 2 2 4" xfId="16961" xr:uid="{00000000-0005-0000-0000-00006D0D0000}"/>
    <cellStyle name="20% - Énfasis5 2 3 2 2 4 2" xfId="39604" xr:uid="{00000000-0005-0000-0000-00006E0D0000}"/>
    <cellStyle name="20% - Énfasis5 2 3 2 2 5" xfId="9521" xr:uid="{00000000-0005-0000-0000-00006F0D0000}"/>
    <cellStyle name="20% - Énfasis5 2 3 2 2 5 2" xfId="32164" xr:uid="{00000000-0005-0000-0000-0000700D0000}"/>
    <cellStyle name="20% - Énfasis5 2 3 2 2 6" xfId="24723" xr:uid="{00000000-0005-0000-0000-0000710D0000}"/>
    <cellStyle name="20% - Énfasis5 2 3 2 3" xfId="2996" xr:uid="{00000000-0005-0000-0000-0000720D0000}"/>
    <cellStyle name="20% - Énfasis5 2 3 2 3 2" xfId="6717" xr:uid="{00000000-0005-0000-0000-0000730D0000}"/>
    <cellStyle name="20% - Énfasis5 2 3 2 3 2 2" xfId="21601" xr:uid="{00000000-0005-0000-0000-0000740D0000}"/>
    <cellStyle name="20% - Énfasis5 2 3 2 3 2 2 2" xfId="44244" xr:uid="{00000000-0005-0000-0000-0000750D0000}"/>
    <cellStyle name="20% - Énfasis5 2 3 2 3 2 3" xfId="14161" xr:uid="{00000000-0005-0000-0000-0000760D0000}"/>
    <cellStyle name="20% - Énfasis5 2 3 2 3 2 3 2" xfId="36804" xr:uid="{00000000-0005-0000-0000-0000770D0000}"/>
    <cellStyle name="20% - Énfasis5 2 3 2 3 2 4" xfId="29363" xr:uid="{00000000-0005-0000-0000-0000780D0000}"/>
    <cellStyle name="20% - Énfasis5 2 3 2 3 3" xfId="17883" xr:uid="{00000000-0005-0000-0000-0000790D0000}"/>
    <cellStyle name="20% - Énfasis5 2 3 2 3 3 2" xfId="40526" xr:uid="{00000000-0005-0000-0000-00007A0D0000}"/>
    <cellStyle name="20% - Énfasis5 2 3 2 3 4" xfId="10443" xr:uid="{00000000-0005-0000-0000-00007B0D0000}"/>
    <cellStyle name="20% - Énfasis5 2 3 2 3 4 2" xfId="33086" xr:uid="{00000000-0005-0000-0000-00007C0D0000}"/>
    <cellStyle name="20% - Énfasis5 2 3 2 3 5" xfId="25645" xr:uid="{00000000-0005-0000-0000-00007D0D0000}"/>
    <cellStyle name="20% - Énfasis5 2 3 2 4" xfId="4870" xr:uid="{00000000-0005-0000-0000-00007E0D0000}"/>
    <cellStyle name="20% - Énfasis5 2 3 2 4 2" xfId="19754" xr:uid="{00000000-0005-0000-0000-00007F0D0000}"/>
    <cellStyle name="20% - Énfasis5 2 3 2 4 2 2" xfId="42397" xr:uid="{00000000-0005-0000-0000-0000800D0000}"/>
    <cellStyle name="20% - Énfasis5 2 3 2 4 3" xfId="12314" xr:uid="{00000000-0005-0000-0000-0000810D0000}"/>
    <cellStyle name="20% - Énfasis5 2 3 2 4 3 2" xfId="34957" xr:uid="{00000000-0005-0000-0000-0000820D0000}"/>
    <cellStyle name="20% - Énfasis5 2 3 2 4 4" xfId="27516" xr:uid="{00000000-0005-0000-0000-0000830D0000}"/>
    <cellStyle name="20% - Énfasis5 2 3 2 5" xfId="1143" xr:uid="{00000000-0005-0000-0000-0000840D0000}"/>
    <cellStyle name="20% - Énfasis5 2 3 2 5 2" xfId="16036" xr:uid="{00000000-0005-0000-0000-0000850D0000}"/>
    <cellStyle name="20% - Énfasis5 2 3 2 5 2 2" xfId="38679" xr:uid="{00000000-0005-0000-0000-0000860D0000}"/>
    <cellStyle name="20% - Énfasis5 2 3 2 5 3" xfId="23798" xr:uid="{00000000-0005-0000-0000-0000870D0000}"/>
    <cellStyle name="20% - Énfasis5 2 3 2 6" xfId="8596" xr:uid="{00000000-0005-0000-0000-0000880D0000}"/>
    <cellStyle name="20% - Énfasis5 2 3 2 6 2" xfId="31239" xr:uid="{00000000-0005-0000-0000-0000890D0000}"/>
    <cellStyle name="20% - Énfasis5 2 3 2 7" xfId="23004" xr:uid="{00000000-0005-0000-0000-00008A0D0000}"/>
    <cellStyle name="20% - Énfasis5 2 3 3" xfId="1609" xr:uid="{00000000-0005-0000-0000-00008B0D0000}"/>
    <cellStyle name="20% - Énfasis5 2 3 3 2" xfId="3459" xr:uid="{00000000-0005-0000-0000-00008C0D0000}"/>
    <cellStyle name="20% - Énfasis5 2 3 3 2 2" xfId="7180" xr:uid="{00000000-0005-0000-0000-00008D0D0000}"/>
    <cellStyle name="20% - Énfasis5 2 3 3 2 2 2" xfId="22064" xr:uid="{00000000-0005-0000-0000-00008E0D0000}"/>
    <cellStyle name="20% - Énfasis5 2 3 3 2 2 2 2" xfId="44707" xr:uid="{00000000-0005-0000-0000-00008F0D0000}"/>
    <cellStyle name="20% - Énfasis5 2 3 3 2 2 3" xfId="14624" xr:uid="{00000000-0005-0000-0000-0000900D0000}"/>
    <cellStyle name="20% - Énfasis5 2 3 3 2 2 3 2" xfId="37267" xr:uid="{00000000-0005-0000-0000-0000910D0000}"/>
    <cellStyle name="20% - Énfasis5 2 3 3 2 2 4" xfId="29826" xr:uid="{00000000-0005-0000-0000-0000920D0000}"/>
    <cellStyle name="20% - Énfasis5 2 3 3 2 3" xfId="18346" xr:uid="{00000000-0005-0000-0000-0000930D0000}"/>
    <cellStyle name="20% - Énfasis5 2 3 3 2 3 2" xfId="40989" xr:uid="{00000000-0005-0000-0000-0000940D0000}"/>
    <cellStyle name="20% - Énfasis5 2 3 3 2 4" xfId="10906" xr:uid="{00000000-0005-0000-0000-0000950D0000}"/>
    <cellStyle name="20% - Énfasis5 2 3 3 2 4 2" xfId="33549" xr:uid="{00000000-0005-0000-0000-0000960D0000}"/>
    <cellStyle name="20% - Énfasis5 2 3 3 2 5" xfId="26108" xr:uid="{00000000-0005-0000-0000-0000970D0000}"/>
    <cellStyle name="20% - Énfasis5 2 3 3 3" xfId="5333" xr:uid="{00000000-0005-0000-0000-0000980D0000}"/>
    <cellStyle name="20% - Énfasis5 2 3 3 3 2" xfId="20217" xr:uid="{00000000-0005-0000-0000-0000990D0000}"/>
    <cellStyle name="20% - Énfasis5 2 3 3 3 2 2" xfId="42860" xr:uid="{00000000-0005-0000-0000-00009A0D0000}"/>
    <cellStyle name="20% - Énfasis5 2 3 3 3 3" xfId="12777" xr:uid="{00000000-0005-0000-0000-00009B0D0000}"/>
    <cellStyle name="20% - Énfasis5 2 3 3 3 3 2" xfId="35420" xr:uid="{00000000-0005-0000-0000-00009C0D0000}"/>
    <cellStyle name="20% - Énfasis5 2 3 3 3 4" xfId="27979" xr:uid="{00000000-0005-0000-0000-00009D0D0000}"/>
    <cellStyle name="20% - Énfasis5 2 3 3 4" xfId="16499" xr:uid="{00000000-0005-0000-0000-00009E0D0000}"/>
    <cellStyle name="20% - Énfasis5 2 3 3 4 2" xfId="39142" xr:uid="{00000000-0005-0000-0000-00009F0D0000}"/>
    <cellStyle name="20% - Énfasis5 2 3 3 5" xfId="9059" xr:uid="{00000000-0005-0000-0000-0000A00D0000}"/>
    <cellStyle name="20% - Énfasis5 2 3 3 5 2" xfId="31702" xr:uid="{00000000-0005-0000-0000-0000A10D0000}"/>
    <cellStyle name="20% - Énfasis5 2 3 3 6" xfId="24261" xr:uid="{00000000-0005-0000-0000-0000A20D0000}"/>
    <cellStyle name="20% - Énfasis5 2 3 4" xfId="2534" xr:uid="{00000000-0005-0000-0000-0000A30D0000}"/>
    <cellStyle name="20% - Énfasis5 2 3 4 2" xfId="6255" xr:uid="{00000000-0005-0000-0000-0000A40D0000}"/>
    <cellStyle name="20% - Énfasis5 2 3 4 2 2" xfId="21139" xr:uid="{00000000-0005-0000-0000-0000A50D0000}"/>
    <cellStyle name="20% - Énfasis5 2 3 4 2 2 2" xfId="43782" xr:uid="{00000000-0005-0000-0000-0000A60D0000}"/>
    <cellStyle name="20% - Énfasis5 2 3 4 2 3" xfId="13699" xr:uid="{00000000-0005-0000-0000-0000A70D0000}"/>
    <cellStyle name="20% - Énfasis5 2 3 4 2 3 2" xfId="36342" xr:uid="{00000000-0005-0000-0000-0000A80D0000}"/>
    <cellStyle name="20% - Énfasis5 2 3 4 2 4" xfId="28901" xr:uid="{00000000-0005-0000-0000-0000A90D0000}"/>
    <cellStyle name="20% - Énfasis5 2 3 4 3" xfId="17421" xr:uid="{00000000-0005-0000-0000-0000AA0D0000}"/>
    <cellStyle name="20% - Énfasis5 2 3 4 3 2" xfId="40064" xr:uid="{00000000-0005-0000-0000-0000AB0D0000}"/>
    <cellStyle name="20% - Énfasis5 2 3 4 4" xfId="9981" xr:uid="{00000000-0005-0000-0000-0000AC0D0000}"/>
    <cellStyle name="20% - Énfasis5 2 3 4 4 2" xfId="32624" xr:uid="{00000000-0005-0000-0000-0000AD0D0000}"/>
    <cellStyle name="20% - Énfasis5 2 3 4 5" xfId="25183" xr:uid="{00000000-0005-0000-0000-0000AE0D0000}"/>
    <cellStyle name="20% - Énfasis5 2 3 5" xfId="4408" xr:uid="{00000000-0005-0000-0000-0000AF0D0000}"/>
    <cellStyle name="20% - Énfasis5 2 3 5 2" xfId="19292" xr:uid="{00000000-0005-0000-0000-0000B00D0000}"/>
    <cellStyle name="20% - Énfasis5 2 3 5 2 2" xfId="41935" xr:uid="{00000000-0005-0000-0000-0000B10D0000}"/>
    <cellStyle name="20% - Énfasis5 2 3 5 3" xfId="11852" xr:uid="{00000000-0005-0000-0000-0000B20D0000}"/>
    <cellStyle name="20% - Énfasis5 2 3 5 3 2" xfId="34495" xr:uid="{00000000-0005-0000-0000-0000B30D0000}"/>
    <cellStyle name="20% - Énfasis5 2 3 5 4" xfId="27054" xr:uid="{00000000-0005-0000-0000-0000B40D0000}"/>
    <cellStyle name="20% - Énfasis5 2 3 6" xfId="678" xr:uid="{00000000-0005-0000-0000-0000B50D0000}"/>
    <cellStyle name="20% - Énfasis5 2 3 6 2" xfId="15574" xr:uid="{00000000-0005-0000-0000-0000B60D0000}"/>
    <cellStyle name="20% - Énfasis5 2 3 6 2 2" xfId="38217" xr:uid="{00000000-0005-0000-0000-0000B70D0000}"/>
    <cellStyle name="20% - Énfasis5 2 3 6 3" xfId="23336" xr:uid="{00000000-0005-0000-0000-0000B80D0000}"/>
    <cellStyle name="20% - Énfasis5 2 3 7" xfId="8134" xr:uid="{00000000-0005-0000-0000-0000B90D0000}"/>
    <cellStyle name="20% - Énfasis5 2 3 7 2" xfId="30777" xr:uid="{00000000-0005-0000-0000-0000BA0D0000}"/>
    <cellStyle name="20% - Énfasis5 2 3 8" xfId="22848" xr:uid="{00000000-0005-0000-0000-0000BB0D0000}"/>
    <cellStyle name="20% - Énfasis5 2 4" xfId="226" xr:uid="{00000000-0005-0000-0000-0000BC0D0000}"/>
    <cellStyle name="20% - Énfasis5 2 4 2" xfId="1860" xr:uid="{00000000-0005-0000-0000-0000BD0D0000}"/>
    <cellStyle name="20% - Énfasis5 2 4 2 2" xfId="3710" xr:uid="{00000000-0005-0000-0000-0000BE0D0000}"/>
    <cellStyle name="20% - Énfasis5 2 4 2 2 2" xfId="7431" xr:uid="{00000000-0005-0000-0000-0000BF0D0000}"/>
    <cellStyle name="20% - Énfasis5 2 4 2 2 2 2" xfId="22315" xr:uid="{00000000-0005-0000-0000-0000C00D0000}"/>
    <cellStyle name="20% - Énfasis5 2 4 2 2 2 2 2" xfId="44958" xr:uid="{00000000-0005-0000-0000-0000C10D0000}"/>
    <cellStyle name="20% - Énfasis5 2 4 2 2 2 3" xfId="14875" xr:uid="{00000000-0005-0000-0000-0000C20D0000}"/>
    <cellStyle name="20% - Énfasis5 2 4 2 2 2 3 2" xfId="37518" xr:uid="{00000000-0005-0000-0000-0000C30D0000}"/>
    <cellStyle name="20% - Énfasis5 2 4 2 2 2 4" xfId="30077" xr:uid="{00000000-0005-0000-0000-0000C40D0000}"/>
    <cellStyle name="20% - Énfasis5 2 4 2 2 3" xfId="18597" xr:uid="{00000000-0005-0000-0000-0000C50D0000}"/>
    <cellStyle name="20% - Énfasis5 2 4 2 2 3 2" xfId="41240" xr:uid="{00000000-0005-0000-0000-0000C60D0000}"/>
    <cellStyle name="20% - Énfasis5 2 4 2 2 4" xfId="11157" xr:uid="{00000000-0005-0000-0000-0000C70D0000}"/>
    <cellStyle name="20% - Énfasis5 2 4 2 2 4 2" xfId="33800" xr:uid="{00000000-0005-0000-0000-0000C80D0000}"/>
    <cellStyle name="20% - Énfasis5 2 4 2 2 5" xfId="26359" xr:uid="{00000000-0005-0000-0000-0000C90D0000}"/>
    <cellStyle name="20% - Énfasis5 2 4 2 3" xfId="5584" xr:uid="{00000000-0005-0000-0000-0000CA0D0000}"/>
    <cellStyle name="20% - Énfasis5 2 4 2 3 2" xfId="20468" xr:uid="{00000000-0005-0000-0000-0000CB0D0000}"/>
    <cellStyle name="20% - Énfasis5 2 4 2 3 2 2" xfId="43111" xr:uid="{00000000-0005-0000-0000-0000CC0D0000}"/>
    <cellStyle name="20% - Énfasis5 2 4 2 3 3" xfId="13028" xr:uid="{00000000-0005-0000-0000-0000CD0D0000}"/>
    <cellStyle name="20% - Énfasis5 2 4 2 3 3 2" xfId="35671" xr:uid="{00000000-0005-0000-0000-0000CE0D0000}"/>
    <cellStyle name="20% - Énfasis5 2 4 2 3 4" xfId="28230" xr:uid="{00000000-0005-0000-0000-0000CF0D0000}"/>
    <cellStyle name="20% - Énfasis5 2 4 2 4" xfId="16750" xr:uid="{00000000-0005-0000-0000-0000D00D0000}"/>
    <cellStyle name="20% - Énfasis5 2 4 2 4 2" xfId="39393" xr:uid="{00000000-0005-0000-0000-0000D10D0000}"/>
    <cellStyle name="20% - Énfasis5 2 4 2 5" xfId="9310" xr:uid="{00000000-0005-0000-0000-0000D20D0000}"/>
    <cellStyle name="20% - Énfasis5 2 4 2 5 2" xfId="31953" xr:uid="{00000000-0005-0000-0000-0000D30D0000}"/>
    <cellStyle name="20% - Énfasis5 2 4 2 6" xfId="24512" xr:uid="{00000000-0005-0000-0000-0000D40D0000}"/>
    <cellStyle name="20% - Énfasis5 2 4 3" xfId="2785" xr:uid="{00000000-0005-0000-0000-0000D50D0000}"/>
    <cellStyle name="20% - Énfasis5 2 4 3 2" xfId="6506" xr:uid="{00000000-0005-0000-0000-0000D60D0000}"/>
    <cellStyle name="20% - Énfasis5 2 4 3 2 2" xfId="21390" xr:uid="{00000000-0005-0000-0000-0000D70D0000}"/>
    <cellStyle name="20% - Énfasis5 2 4 3 2 2 2" xfId="44033" xr:uid="{00000000-0005-0000-0000-0000D80D0000}"/>
    <cellStyle name="20% - Énfasis5 2 4 3 2 3" xfId="13950" xr:uid="{00000000-0005-0000-0000-0000D90D0000}"/>
    <cellStyle name="20% - Énfasis5 2 4 3 2 3 2" xfId="36593" xr:uid="{00000000-0005-0000-0000-0000DA0D0000}"/>
    <cellStyle name="20% - Énfasis5 2 4 3 2 4" xfId="29152" xr:uid="{00000000-0005-0000-0000-0000DB0D0000}"/>
    <cellStyle name="20% - Énfasis5 2 4 3 3" xfId="17672" xr:uid="{00000000-0005-0000-0000-0000DC0D0000}"/>
    <cellStyle name="20% - Énfasis5 2 4 3 3 2" xfId="40315" xr:uid="{00000000-0005-0000-0000-0000DD0D0000}"/>
    <cellStyle name="20% - Énfasis5 2 4 3 4" xfId="10232" xr:uid="{00000000-0005-0000-0000-0000DE0D0000}"/>
    <cellStyle name="20% - Énfasis5 2 4 3 4 2" xfId="32875" xr:uid="{00000000-0005-0000-0000-0000DF0D0000}"/>
    <cellStyle name="20% - Énfasis5 2 4 3 5" xfId="25434" xr:uid="{00000000-0005-0000-0000-0000E00D0000}"/>
    <cellStyle name="20% - Énfasis5 2 4 4" xfId="4659" xr:uid="{00000000-0005-0000-0000-0000E10D0000}"/>
    <cellStyle name="20% - Énfasis5 2 4 4 2" xfId="19543" xr:uid="{00000000-0005-0000-0000-0000E20D0000}"/>
    <cellStyle name="20% - Énfasis5 2 4 4 2 2" xfId="42186" xr:uid="{00000000-0005-0000-0000-0000E30D0000}"/>
    <cellStyle name="20% - Énfasis5 2 4 4 3" xfId="12103" xr:uid="{00000000-0005-0000-0000-0000E40D0000}"/>
    <cellStyle name="20% - Énfasis5 2 4 4 3 2" xfId="34746" xr:uid="{00000000-0005-0000-0000-0000E50D0000}"/>
    <cellStyle name="20% - Énfasis5 2 4 4 4" xfId="27305" xr:uid="{00000000-0005-0000-0000-0000E60D0000}"/>
    <cellStyle name="20% - Énfasis5 2 4 5" xfId="932" xr:uid="{00000000-0005-0000-0000-0000E70D0000}"/>
    <cellStyle name="20% - Énfasis5 2 4 5 2" xfId="15825" xr:uid="{00000000-0005-0000-0000-0000E80D0000}"/>
    <cellStyle name="20% - Énfasis5 2 4 5 2 2" xfId="38468" xr:uid="{00000000-0005-0000-0000-0000E90D0000}"/>
    <cellStyle name="20% - Énfasis5 2 4 5 3" xfId="23587" xr:uid="{00000000-0005-0000-0000-0000EA0D0000}"/>
    <cellStyle name="20% - Énfasis5 2 4 6" xfId="8385" xr:uid="{00000000-0005-0000-0000-0000EB0D0000}"/>
    <cellStyle name="20% - Énfasis5 2 4 6 2" xfId="31028" xr:uid="{00000000-0005-0000-0000-0000EC0D0000}"/>
    <cellStyle name="20% - Énfasis5 2 4 7" xfId="22926" xr:uid="{00000000-0005-0000-0000-0000ED0D0000}"/>
    <cellStyle name="20% - Énfasis5 2 5" xfId="1398" xr:uid="{00000000-0005-0000-0000-0000EE0D0000}"/>
    <cellStyle name="20% - Énfasis5 2 5 2" xfId="3248" xr:uid="{00000000-0005-0000-0000-0000EF0D0000}"/>
    <cellStyle name="20% - Énfasis5 2 5 2 2" xfId="6969" xr:uid="{00000000-0005-0000-0000-0000F00D0000}"/>
    <cellStyle name="20% - Énfasis5 2 5 2 2 2" xfId="21853" xr:uid="{00000000-0005-0000-0000-0000F10D0000}"/>
    <cellStyle name="20% - Énfasis5 2 5 2 2 2 2" xfId="44496" xr:uid="{00000000-0005-0000-0000-0000F20D0000}"/>
    <cellStyle name="20% - Énfasis5 2 5 2 2 3" xfId="14413" xr:uid="{00000000-0005-0000-0000-0000F30D0000}"/>
    <cellStyle name="20% - Énfasis5 2 5 2 2 3 2" xfId="37056" xr:uid="{00000000-0005-0000-0000-0000F40D0000}"/>
    <cellStyle name="20% - Énfasis5 2 5 2 2 4" xfId="29615" xr:uid="{00000000-0005-0000-0000-0000F50D0000}"/>
    <cellStyle name="20% - Énfasis5 2 5 2 3" xfId="18135" xr:uid="{00000000-0005-0000-0000-0000F60D0000}"/>
    <cellStyle name="20% - Énfasis5 2 5 2 3 2" xfId="40778" xr:uid="{00000000-0005-0000-0000-0000F70D0000}"/>
    <cellStyle name="20% - Énfasis5 2 5 2 4" xfId="10695" xr:uid="{00000000-0005-0000-0000-0000F80D0000}"/>
    <cellStyle name="20% - Énfasis5 2 5 2 4 2" xfId="33338" xr:uid="{00000000-0005-0000-0000-0000F90D0000}"/>
    <cellStyle name="20% - Énfasis5 2 5 2 5" xfId="25897" xr:uid="{00000000-0005-0000-0000-0000FA0D0000}"/>
    <cellStyle name="20% - Énfasis5 2 5 3" xfId="5122" xr:uid="{00000000-0005-0000-0000-0000FB0D0000}"/>
    <cellStyle name="20% - Énfasis5 2 5 3 2" xfId="20006" xr:uid="{00000000-0005-0000-0000-0000FC0D0000}"/>
    <cellStyle name="20% - Énfasis5 2 5 3 2 2" xfId="42649" xr:uid="{00000000-0005-0000-0000-0000FD0D0000}"/>
    <cellStyle name="20% - Énfasis5 2 5 3 3" xfId="12566" xr:uid="{00000000-0005-0000-0000-0000FE0D0000}"/>
    <cellStyle name="20% - Énfasis5 2 5 3 3 2" xfId="35209" xr:uid="{00000000-0005-0000-0000-0000FF0D0000}"/>
    <cellStyle name="20% - Énfasis5 2 5 3 4" xfId="27768" xr:uid="{00000000-0005-0000-0000-0000000E0000}"/>
    <cellStyle name="20% - Énfasis5 2 5 4" xfId="16288" xr:uid="{00000000-0005-0000-0000-0000010E0000}"/>
    <cellStyle name="20% - Énfasis5 2 5 4 2" xfId="38931" xr:uid="{00000000-0005-0000-0000-0000020E0000}"/>
    <cellStyle name="20% - Énfasis5 2 5 5" xfId="8848" xr:uid="{00000000-0005-0000-0000-0000030E0000}"/>
    <cellStyle name="20% - Énfasis5 2 5 5 2" xfId="31491" xr:uid="{00000000-0005-0000-0000-0000040E0000}"/>
    <cellStyle name="20% - Énfasis5 2 5 6" xfId="24050" xr:uid="{00000000-0005-0000-0000-0000050E0000}"/>
    <cellStyle name="20% - Énfasis5 2 6" xfId="2323" xr:uid="{00000000-0005-0000-0000-0000060E0000}"/>
    <cellStyle name="20% - Énfasis5 2 6 2" xfId="6044" xr:uid="{00000000-0005-0000-0000-0000070E0000}"/>
    <cellStyle name="20% - Énfasis5 2 6 2 2" xfId="20928" xr:uid="{00000000-0005-0000-0000-0000080E0000}"/>
    <cellStyle name="20% - Énfasis5 2 6 2 2 2" xfId="43571" xr:uid="{00000000-0005-0000-0000-0000090E0000}"/>
    <cellStyle name="20% - Énfasis5 2 6 2 3" xfId="13488" xr:uid="{00000000-0005-0000-0000-00000A0E0000}"/>
    <cellStyle name="20% - Énfasis5 2 6 2 3 2" xfId="36131" xr:uid="{00000000-0005-0000-0000-00000B0E0000}"/>
    <cellStyle name="20% - Énfasis5 2 6 2 4" xfId="28690" xr:uid="{00000000-0005-0000-0000-00000C0E0000}"/>
    <cellStyle name="20% - Énfasis5 2 6 3" xfId="17210" xr:uid="{00000000-0005-0000-0000-00000D0E0000}"/>
    <cellStyle name="20% - Énfasis5 2 6 3 2" xfId="39853" xr:uid="{00000000-0005-0000-0000-00000E0E0000}"/>
    <cellStyle name="20% - Énfasis5 2 6 4" xfId="9770" xr:uid="{00000000-0005-0000-0000-00000F0E0000}"/>
    <cellStyle name="20% - Énfasis5 2 6 4 2" xfId="32413" xr:uid="{00000000-0005-0000-0000-0000100E0000}"/>
    <cellStyle name="20% - Énfasis5 2 6 5" xfId="24972" xr:uid="{00000000-0005-0000-0000-0000110E0000}"/>
    <cellStyle name="20% - Énfasis5 2 7" xfId="4197" xr:uid="{00000000-0005-0000-0000-0000120E0000}"/>
    <cellStyle name="20% - Énfasis5 2 7 2" xfId="19081" xr:uid="{00000000-0005-0000-0000-0000130E0000}"/>
    <cellStyle name="20% - Énfasis5 2 7 2 2" xfId="41724" xr:uid="{00000000-0005-0000-0000-0000140E0000}"/>
    <cellStyle name="20% - Énfasis5 2 7 3" xfId="11641" xr:uid="{00000000-0005-0000-0000-0000150E0000}"/>
    <cellStyle name="20% - Énfasis5 2 7 3 2" xfId="34284" xr:uid="{00000000-0005-0000-0000-0000160E0000}"/>
    <cellStyle name="20% - Énfasis5 2 7 4" xfId="26843" xr:uid="{00000000-0005-0000-0000-0000170E0000}"/>
    <cellStyle name="20% - Énfasis5 2 8" xfId="464" xr:uid="{00000000-0005-0000-0000-0000180E0000}"/>
    <cellStyle name="20% - Énfasis5 2 8 2" xfId="15363" xr:uid="{00000000-0005-0000-0000-0000190E0000}"/>
    <cellStyle name="20% - Énfasis5 2 8 2 2" xfId="38006" xr:uid="{00000000-0005-0000-0000-00001A0E0000}"/>
    <cellStyle name="20% - Énfasis5 2 8 3" xfId="23126" xr:uid="{00000000-0005-0000-0000-00001B0E0000}"/>
    <cellStyle name="20% - Énfasis5 2 9" xfId="7923" xr:uid="{00000000-0005-0000-0000-00001C0E0000}"/>
    <cellStyle name="20% - Énfasis5 2 9 2" xfId="30566" xr:uid="{00000000-0005-0000-0000-00001D0E0000}"/>
    <cellStyle name="20% - Énfasis5 3" xfId="92" xr:uid="{00000000-0005-0000-0000-00001E0E0000}"/>
    <cellStyle name="20% - Énfasis5 3 2" xfId="176" xr:uid="{00000000-0005-0000-0000-00001F0E0000}"/>
    <cellStyle name="20% - Énfasis5 3 2 2" xfId="337" xr:uid="{00000000-0005-0000-0000-0000200E0000}"/>
    <cellStyle name="20% - Énfasis5 3 2 2 2" xfId="2124" xr:uid="{00000000-0005-0000-0000-0000210E0000}"/>
    <cellStyle name="20% - Énfasis5 3 2 2 2 2" xfId="3974" xr:uid="{00000000-0005-0000-0000-0000220E0000}"/>
    <cellStyle name="20% - Énfasis5 3 2 2 2 2 2" xfId="7695" xr:uid="{00000000-0005-0000-0000-0000230E0000}"/>
    <cellStyle name="20% - Énfasis5 3 2 2 2 2 2 2" xfId="22579" xr:uid="{00000000-0005-0000-0000-0000240E0000}"/>
    <cellStyle name="20% - Énfasis5 3 2 2 2 2 2 2 2" xfId="45222" xr:uid="{00000000-0005-0000-0000-0000250E0000}"/>
    <cellStyle name="20% - Énfasis5 3 2 2 2 2 2 3" xfId="15139" xr:uid="{00000000-0005-0000-0000-0000260E0000}"/>
    <cellStyle name="20% - Énfasis5 3 2 2 2 2 2 3 2" xfId="37782" xr:uid="{00000000-0005-0000-0000-0000270E0000}"/>
    <cellStyle name="20% - Énfasis5 3 2 2 2 2 2 4" xfId="30341" xr:uid="{00000000-0005-0000-0000-0000280E0000}"/>
    <cellStyle name="20% - Énfasis5 3 2 2 2 2 3" xfId="18861" xr:uid="{00000000-0005-0000-0000-0000290E0000}"/>
    <cellStyle name="20% - Énfasis5 3 2 2 2 2 3 2" xfId="41504" xr:uid="{00000000-0005-0000-0000-00002A0E0000}"/>
    <cellStyle name="20% - Énfasis5 3 2 2 2 2 4" xfId="11421" xr:uid="{00000000-0005-0000-0000-00002B0E0000}"/>
    <cellStyle name="20% - Énfasis5 3 2 2 2 2 4 2" xfId="34064" xr:uid="{00000000-0005-0000-0000-00002C0E0000}"/>
    <cellStyle name="20% - Énfasis5 3 2 2 2 2 5" xfId="26623" xr:uid="{00000000-0005-0000-0000-00002D0E0000}"/>
    <cellStyle name="20% - Énfasis5 3 2 2 2 3" xfId="5848" xr:uid="{00000000-0005-0000-0000-00002E0E0000}"/>
    <cellStyle name="20% - Énfasis5 3 2 2 2 3 2" xfId="20732" xr:uid="{00000000-0005-0000-0000-00002F0E0000}"/>
    <cellStyle name="20% - Énfasis5 3 2 2 2 3 2 2" xfId="43375" xr:uid="{00000000-0005-0000-0000-0000300E0000}"/>
    <cellStyle name="20% - Énfasis5 3 2 2 2 3 3" xfId="13292" xr:uid="{00000000-0005-0000-0000-0000310E0000}"/>
    <cellStyle name="20% - Énfasis5 3 2 2 2 3 3 2" xfId="35935" xr:uid="{00000000-0005-0000-0000-0000320E0000}"/>
    <cellStyle name="20% - Énfasis5 3 2 2 2 3 4" xfId="28494" xr:uid="{00000000-0005-0000-0000-0000330E0000}"/>
    <cellStyle name="20% - Énfasis5 3 2 2 2 4" xfId="17014" xr:uid="{00000000-0005-0000-0000-0000340E0000}"/>
    <cellStyle name="20% - Énfasis5 3 2 2 2 4 2" xfId="39657" xr:uid="{00000000-0005-0000-0000-0000350E0000}"/>
    <cellStyle name="20% - Énfasis5 3 2 2 2 5" xfId="9574" xr:uid="{00000000-0005-0000-0000-0000360E0000}"/>
    <cellStyle name="20% - Énfasis5 3 2 2 2 5 2" xfId="32217" xr:uid="{00000000-0005-0000-0000-0000370E0000}"/>
    <cellStyle name="20% - Énfasis5 3 2 2 2 6" xfId="24776" xr:uid="{00000000-0005-0000-0000-0000380E0000}"/>
    <cellStyle name="20% - Énfasis5 3 2 2 3" xfId="3049" xr:uid="{00000000-0005-0000-0000-0000390E0000}"/>
    <cellStyle name="20% - Énfasis5 3 2 2 3 2" xfId="6770" xr:uid="{00000000-0005-0000-0000-00003A0E0000}"/>
    <cellStyle name="20% - Énfasis5 3 2 2 3 2 2" xfId="21654" xr:uid="{00000000-0005-0000-0000-00003B0E0000}"/>
    <cellStyle name="20% - Énfasis5 3 2 2 3 2 2 2" xfId="44297" xr:uid="{00000000-0005-0000-0000-00003C0E0000}"/>
    <cellStyle name="20% - Énfasis5 3 2 2 3 2 3" xfId="14214" xr:uid="{00000000-0005-0000-0000-00003D0E0000}"/>
    <cellStyle name="20% - Énfasis5 3 2 2 3 2 3 2" xfId="36857" xr:uid="{00000000-0005-0000-0000-00003E0E0000}"/>
    <cellStyle name="20% - Énfasis5 3 2 2 3 2 4" xfId="29416" xr:uid="{00000000-0005-0000-0000-00003F0E0000}"/>
    <cellStyle name="20% - Énfasis5 3 2 2 3 3" xfId="17936" xr:uid="{00000000-0005-0000-0000-0000400E0000}"/>
    <cellStyle name="20% - Énfasis5 3 2 2 3 3 2" xfId="40579" xr:uid="{00000000-0005-0000-0000-0000410E0000}"/>
    <cellStyle name="20% - Énfasis5 3 2 2 3 4" xfId="10496" xr:uid="{00000000-0005-0000-0000-0000420E0000}"/>
    <cellStyle name="20% - Énfasis5 3 2 2 3 4 2" xfId="33139" xr:uid="{00000000-0005-0000-0000-0000430E0000}"/>
    <cellStyle name="20% - Énfasis5 3 2 2 3 5" xfId="25698" xr:uid="{00000000-0005-0000-0000-0000440E0000}"/>
    <cellStyle name="20% - Énfasis5 3 2 2 4" xfId="4923" xr:uid="{00000000-0005-0000-0000-0000450E0000}"/>
    <cellStyle name="20% - Énfasis5 3 2 2 4 2" xfId="19807" xr:uid="{00000000-0005-0000-0000-0000460E0000}"/>
    <cellStyle name="20% - Énfasis5 3 2 2 4 2 2" xfId="42450" xr:uid="{00000000-0005-0000-0000-0000470E0000}"/>
    <cellStyle name="20% - Énfasis5 3 2 2 4 3" xfId="12367" xr:uid="{00000000-0005-0000-0000-0000480E0000}"/>
    <cellStyle name="20% - Énfasis5 3 2 2 4 3 2" xfId="35010" xr:uid="{00000000-0005-0000-0000-0000490E0000}"/>
    <cellStyle name="20% - Énfasis5 3 2 2 4 4" xfId="27569" xr:uid="{00000000-0005-0000-0000-00004A0E0000}"/>
    <cellStyle name="20% - Énfasis5 3 2 2 5" xfId="1196" xr:uid="{00000000-0005-0000-0000-00004B0E0000}"/>
    <cellStyle name="20% - Énfasis5 3 2 2 5 2" xfId="16089" xr:uid="{00000000-0005-0000-0000-00004C0E0000}"/>
    <cellStyle name="20% - Énfasis5 3 2 2 5 2 2" xfId="38732" xr:uid="{00000000-0005-0000-0000-00004D0E0000}"/>
    <cellStyle name="20% - Énfasis5 3 2 2 5 3" xfId="23851" xr:uid="{00000000-0005-0000-0000-00004E0E0000}"/>
    <cellStyle name="20% - Énfasis5 3 2 2 6" xfId="8649" xr:uid="{00000000-0005-0000-0000-00004F0E0000}"/>
    <cellStyle name="20% - Énfasis5 3 2 2 6 2" xfId="31292" xr:uid="{00000000-0005-0000-0000-0000500E0000}"/>
    <cellStyle name="20% - Énfasis5 3 2 2 7" xfId="23035" xr:uid="{00000000-0005-0000-0000-0000510E0000}"/>
    <cellStyle name="20% - Énfasis5 3 2 3" xfId="1662" xr:uid="{00000000-0005-0000-0000-0000520E0000}"/>
    <cellStyle name="20% - Énfasis5 3 2 3 2" xfId="3512" xr:uid="{00000000-0005-0000-0000-0000530E0000}"/>
    <cellStyle name="20% - Énfasis5 3 2 3 2 2" xfId="7233" xr:uid="{00000000-0005-0000-0000-0000540E0000}"/>
    <cellStyle name="20% - Énfasis5 3 2 3 2 2 2" xfId="22117" xr:uid="{00000000-0005-0000-0000-0000550E0000}"/>
    <cellStyle name="20% - Énfasis5 3 2 3 2 2 2 2" xfId="44760" xr:uid="{00000000-0005-0000-0000-0000560E0000}"/>
    <cellStyle name="20% - Énfasis5 3 2 3 2 2 3" xfId="14677" xr:uid="{00000000-0005-0000-0000-0000570E0000}"/>
    <cellStyle name="20% - Énfasis5 3 2 3 2 2 3 2" xfId="37320" xr:uid="{00000000-0005-0000-0000-0000580E0000}"/>
    <cellStyle name="20% - Énfasis5 3 2 3 2 2 4" xfId="29879" xr:uid="{00000000-0005-0000-0000-0000590E0000}"/>
    <cellStyle name="20% - Énfasis5 3 2 3 2 3" xfId="18399" xr:uid="{00000000-0005-0000-0000-00005A0E0000}"/>
    <cellStyle name="20% - Énfasis5 3 2 3 2 3 2" xfId="41042" xr:uid="{00000000-0005-0000-0000-00005B0E0000}"/>
    <cellStyle name="20% - Énfasis5 3 2 3 2 4" xfId="10959" xr:uid="{00000000-0005-0000-0000-00005C0E0000}"/>
    <cellStyle name="20% - Énfasis5 3 2 3 2 4 2" xfId="33602" xr:uid="{00000000-0005-0000-0000-00005D0E0000}"/>
    <cellStyle name="20% - Énfasis5 3 2 3 2 5" xfId="26161" xr:uid="{00000000-0005-0000-0000-00005E0E0000}"/>
    <cellStyle name="20% - Énfasis5 3 2 3 3" xfId="5386" xr:uid="{00000000-0005-0000-0000-00005F0E0000}"/>
    <cellStyle name="20% - Énfasis5 3 2 3 3 2" xfId="20270" xr:uid="{00000000-0005-0000-0000-0000600E0000}"/>
    <cellStyle name="20% - Énfasis5 3 2 3 3 2 2" xfId="42913" xr:uid="{00000000-0005-0000-0000-0000610E0000}"/>
    <cellStyle name="20% - Énfasis5 3 2 3 3 3" xfId="12830" xr:uid="{00000000-0005-0000-0000-0000620E0000}"/>
    <cellStyle name="20% - Énfasis5 3 2 3 3 3 2" xfId="35473" xr:uid="{00000000-0005-0000-0000-0000630E0000}"/>
    <cellStyle name="20% - Énfasis5 3 2 3 3 4" xfId="28032" xr:uid="{00000000-0005-0000-0000-0000640E0000}"/>
    <cellStyle name="20% - Énfasis5 3 2 3 4" xfId="16552" xr:uid="{00000000-0005-0000-0000-0000650E0000}"/>
    <cellStyle name="20% - Énfasis5 3 2 3 4 2" xfId="39195" xr:uid="{00000000-0005-0000-0000-0000660E0000}"/>
    <cellStyle name="20% - Énfasis5 3 2 3 5" xfId="9112" xr:uid="{00000000-0005-0000-0000-0000670E0000}"/>
    <cellStyle name="20% - Énfasis5 3 2 3 5 2" xfId="31755" xr:uid="{00000000-0005-0000-0000-0000680E0000}"/>
    <cellStyle name="20% - Énfasis5 3 2 3 6" xfId="24314" xr:uid="{00000000-0005-0000-0000-0000690E0000}"/>
    <cellStyle name="20% - Énfasis5 3 2 4" xfId="2587" xr:uid="{00000000-0005-0000-0000-00006A0E0000}"/>
    <cellStyle name="20% - Énfasis5 3 2 4 2" xfId="6308" xr:uid="{00000000-0005-0000-0000-00006B0E0000}"/>
    <cellStyle name="20% - Énfasis5 3 2 4 2 2" xfId="21192" xr:uid="{00000000-0005-0000-0000-00006C0E0000}"/>
    <cellStyle name="20% - Énfasis5 3 2 4 2 2 2" xfId="43835" xr:uid="{00000000-0005-0000-0000-00006D0E0000}"/>
    <cellStyle name="20% - Énfasis5 3 2 4 2 3" xfId="13752" xr:uid="{00000000-0005-0000-0000-00006E0E0000}"/>
    <cellStyle name="20% - Énfasis5 3 2 4 2 3 2" xfId="36395" xr:uid="{00000000-0005-0000-0000-00006F0E0000}"/>
    <cellStyle name="20% - Énfasis5 3 2 4 2 4" xfId="28954" xr:uid="{00000000-0005-0000-0000-0000700E0000}"/>
    <cellStyle name="20% - Énfasis5 3 2 4 3" xfId="17474" xr:uid="{00000000-0005-0000-0000-0000710E0000}"/>
    <cellStyle name="20% - Énfasis5 3 2 4 3 2" xfId="40117" xr:uid="{00000000-0005-0000-0000-0000720E0000}"/>
    <cellStyle name="20% - Énfasis5 3 2 4 4" xfId="10034" xr:uid="{00000000-0005-0000-0000-0000730E0000}"/>
    <cellStyle name="20% - Énfasis5 3 2 4 4 2" xfId="32677" xr:uid="{00000000-0005-0000-0000-0000740E0000}"/>
    <cellStyle name="20% - Énfasis5 3 2 4 5" xfId="25236" xr:uid="{00000000-0005-0000-0000-0000750E0000}"/>
    <cellStyle name="20% - Énfasis5 3 2 5" xfId="4461" xr:uid="{00000000-0005-0000-0000-0000760E0000}"/>
    <cellStyle name="20% - Énfasis5 3 2 5 2" xfId="19345" xr:uid="{00000000-0005-0000-0000-0000770E0000}"/>
    <cellStyle name="20% - Énfasis5 3 2 5 2 2" xfId="41988" xr:uid="{00000000-0005-0000-0000-0000780E0000}"/>
    <cellStyle name="20% - Énfasis5 3 2 5 3" xfId="11905" xr:uid="{00000000-0005-0000-0000-0000790E0000}"/>
    <cellStyle name="20% - Énfasis5 3 2 5 3 2" xfId="34548" xr:uid="{00000000-0005-0000-0000-00007A0E0000}"/>
    <cellStyle name="20% - Énfasis5 3 2 5 4" xfId="27107" xr:uid="{00000000-0005-0000-0000-00007B0E0000}"/>
    <cellStyle name="20% - Énfasis5 3 2 6" xfId="731" xr:uid="{00000000-0005-0000-0000-00007C0E0000}"/>
    <cellStyle name="20% - Énfasis5 3 2 6 2" xfId="15627" xr:uid="{00000000-0005-0000-0000-00007D0E0000}"/>
    <cellStyle name="20% - Énfasis5 3 2 6 2 2" xfId="38270" xr:uid="{00000000-0005-0000-0000-00007E0E0000}"/>
    <cellStyle name="20% - Énfasis5 3 2 6 3" xfId="23389" xr:uid="{00000000-0005-0000-0000-00007F0E0000}"/>
    <cellStyle name="20% - Énfasis5 3 2 7" xfId="8187" xr:uid="{00000000-0005-0000-0000-0000800E0000}"/>
    <cellStyle name="20% - Énfasis5 3 2 7 2" xfId="30830" xr:uid="{00000000-0005-0000-0000-0000810E0000}"/>
    <cellStyle name="20% - Énfasis5 3 2 8" xfId="22879" xr:uid="{00000000-0005-0000-0000-0000820E0000}"/>
    <cellStyle name="20% - Énfasis5 3 3" xfId="259" xr:uid="{00000000-0005-0000-0000-0000830E0000}"/>
    <cellStyle name="20% - Énfasis5 3 3 2" xfId="1913" xr:uid="{00000000-0005-0000-0000-0000840E0000}"/>
    <cellStyle name="20% - Énfasis5 3 3 2 2" xfId="3763" xr:uid="{00000000-0005-0000-0000-0000850E0000}"/>
    <cellStyle name="20% - Énfasis5 3 3 2 2 2" xfId="7484" xr:uid="{00000000-0005-0000-0000-0000860E0000}"/>
    <cellStyle name="20% - Énfasis5 3 3 2 2 2 2" xfId="22368" xr:uid="{00000000-0005-0000-0000-0000870E0000}"/>
    <cellStyle name="20% - Énfasis5 3 3 2 2 2 2 2" xfId="45011" xr:uid="{00000000-0005-0000-0000-0000880E0000}"/>
    <cellStyle name="20% - Énfasis5 3 3 2 2 2 3" xfId="14928" xr:uid="{00000000-0005-0000-0000-0000890E0000}"/>
    <cellStyle name="20% - Énfasis5 3 3 2 2 2 3 2" xfId="37571" xr:uid="{00000000-0005-0000-0000-00008A0E0000}"/>
    <cellStyle name="20% - Énfasis5 3 3 2 2 2 4" xfId="30130" xr:uid="{00000000-0005-0000-0000-00008B0E0000}"/>
    <cellStyle name="20% - Énfasis5 3 3 2 2 3" xfId="18650" xr:uid="{00000000-0005-0000-0000-00008C0E0000}"/>
    <cellStyle name="20% - Énfasis5 3 3 2 2 3 2" xfId="41293" xr:uid="{00000000-0005-0000-0000-00008D0E0000}"/>
    <cellStyle name="20% - Énfasis5 3 3 2 2 4" xfId="11210" xr:uid="{00000000-0005-0000-0000-00008E0E0000}"/>
    <cellStyle name="20% - Énfasis5 3 3 2 2 4 2" xfId="33853" xr:uid="{00000000-0005-0000-0000-00008F0E0000}"/>
    <cellStyle name="20% - Énfasis5 3 3 2 2 5" xfId="26412" xr:uid="{00000000-0005-0000-0000-0000900E0000}"/>
    <cellStyle name="20% - Énfasis5 3 3 2 3" xfId="5637" xr:uid="{00000000-0005-0000-0000-0000910E0000}"/>
    <cellStyle name="20% - Énfasis5 3 3 2 3 2" xfId="20521" xr:uid="{00000000-0005-0000-0000-0000920E0000}"/>
    <cellStyle name="20% - Énfasis5 3 3 2 3 2 2" xfId="43164" xr:uid="{00000000-0005-0000-0000-0000930E0000}"/>
    <cellStyle name="20% - Énfasis5 3 3 2 3 3" xfId="13081" xr:uid="{00000000-0005-0000-0000-0000940E0000}"/>
    <cellStyle name="20% - Énfasis5 3 3 2 3 3 2" xfId="35724" xr:uid="{00000000-0005-0000-0000-0000950E0000}"/>
    <cellStyle name="20% - Énfasis5 3 3 2 3 4" xfId="28283" xr:uid="{00000000-0005-0000-0000-0000960E0000}"/>
    <cellStyle name="20% - Énfasis5 3 3 2 4" xfId="16803" xr:uid="{00000000-0005-0000-0000-0000970E0000}"/>
    <cellStyle name="20% - Énfasis5 3 3 2 4 2" xfId="39446" xr:uid="{00000000-0005-0000-0000-0000980E0000}"/>
    <cellStyle name="20% - Énfasis5 3 3 2 5" xfId="9363" xr:uid="{00000000-0005-0000-0000-0000990E0000}"/>
    <cellStyle name="20% - Énfasis5 3 3 2 5 2" xfId="32006" xr:uid="{00000000-0005-0000-0000-00009A0E0000}"/>
    <cellStyle name="20% - Énfasis5 3 3 2 6" xfId="24565" xr:uid="{00000000-0005-0000-0000-00009B0E0000}"/>
    <cellStyle name="20% - Énfasis5 3 3 3" xfId="2838" xr:uid="{00000000-0005-0000-0000-00009C0E0000}"/>
    <cellStyle name="20% - Énfasis5 3 3 3 2" xfId="6559" xr:uid="{00000000-0005-0000-0000-00009D0E0000}"/>
    <cellStyle name="20% - Énfasis5 3 3 3 2 2" xfId="21443" xr:uid="{00000000-0005-0000-0000-00009E0E0000}"/>
    <cellStyle name="20% - Énfasis5 3 3 3 2 2 2" xfId="44086" xr:uid="{00000000-0005-0000-0000-00009F0E0000}"/>
    <cellStyle name="20% - Énfasis5 3 3 3 2 3" xfId="14003" xr:uid="{00000000-0005-0000-0000-0000A00E0000}"/>
    <cellStyle name="20% - Énfasis5 3 3 3 2 3 2" xfId="36646" xr:uid="{00000000-0005-0000-0000-0000A10E0000}"/>
    <cellStyle name="20% - Énfasis5 3 3 3 2 4" xfId="29205" xr:uid="{00000000-0005-0000-0000-0000A20E0000}"/>
    <cellStyle name="20% - Énfasis5 3 3 3 3" xfId="17725" xr:uid="{00000000-0005-0000-0000-0000A30E0000}"/>
    <cellStyle name="20% - Énfasis5 3 3 3 3 2" xfId="40368" xr:uid="{00000000-0005-0000-0000-0000A40E0000}"/>
    <cellStyle name="20% - Énfasis5 3 3 3 4" xfId="10285" xr:uid="{00000000-0005-0000-0000-0000A50E0000}"/>
    <cellStyle name="20% - Énfasis5 3 3 3 4 2" xfId="32928" xr:uid="{00000000-0005-0000-0000-0000A60E0000}"/>
    <cellStyle name="20% - Énfasis5 3 3 3 5" xfId="25487" xr:uid="{00000000-0005-0000-0000-0000A70E0000}"/>
    <cellStyle name="20% - Énfasis5 3 3 4" xfId="4712" xr:uid="{00000000-0005-0000-0000-0000A80E0000}"/>
    <cellStyle name="20% - Énfasis5 3 3 4 2" xfId="19596" xr:uid="{00000000-0005-0000-0000-0000A90E0000}"/>
    <cellStyle name="20% - Énfasis5 3 3 4 2 2" xfId="42239" xr:uid="{00000000-0005-0000-0000-0000AA0E0000}"/>
    <cellStyle name="20% - Énfasis5 3 3 4 3" xfId="12156" xr:uid="{00000000-0005-0000-0000-0000AB0E0000}"/>
    <cellStyle name="20% - Énfasis5 3 3 4 3 2" xfId="34799" xr:uid="{00000000-0005-0000-0000-0000AC0E0000}"/>
    <cellStyle name="20% - Énfasis5 3 3 4 4" xfId="27358" xr:uid="{00000000-0005-0000-0000-0000AD0E0000}"/>
    <cellStyle name="20% - Énfasis5 3 3 5" xfId="985" xr:uid="{00000000-0005-0000-0000-0000AE0E0000}"/>
    <cellStyle name="20% - Énfasis5 3 3 5 2" xfId="15878" xr:uid="{00000000-0005-0000-0000-0000AF0E0000}"/>
    <cellStyle name="20% - Énfasis5 3 3 5 2 2" xfId="38521" xr:uid="{00000000-0005-0000-0000-0000B00E0000}"/>
    <cellStyle name="20% - Énfasis5 3 3 5 3" xfId="23640" xr:uid="{00000000-0005-0000-0000-0000B10E0000}"/>
    <cellStyle name="20% - Énfasis5 3 3 6" xfId="8438" xr:uid="{00000000-0005-0000-0000-0000B20E0000}"/>
    <cellStyle name="20% - Énfasis5 3 3 6 2" xfId="31081" xr:uid="{00000000-0005-0000-0000-0000B30E0000}"/>
    <cellStyle name="20% - Énfasis5 3 3 7" xfId="22957" xr:uid="{00000000-0005-0000-0000-0000B40E0000}"/>
    <cellStyle name="20% - Énfasis5 3 4" xfId="1451" xr:uid="{00000000-0005-0000-0000-0000B50E0000}"/>
    <cellStyle name="20% - Énfasis5 3 4 2" xfId="3301" xr:uid="{00000000-0005-0000-0000-0000B60E0000}"/>
    <cellStyle name="20% - Énfasis5 3 4 2 2" xfId="7022" xr:uid="{00000000-0005-0000-0000-0000B70E0000}"/>
    <cellStyle name="20% - Énfasis5 3 4 2 2 2" xfId="21906" xr:uid="{00000000-0005-0000-0000-0000B80E0000}"/>
    <cellStyle name="20% - Énfasis5 3 4 2 2 2 2" xfId="44549" xr:uid="{00000000-0005-0000-0000-0000B90E0000}"/>
    <cellStyle name="20% - Énfasis5 3 4 2 2 3" xfId="14466" xr:uid="{00000000-0005-0000-0000-0000BA0E0000}"/>
    <cellStyle name="20% - Énfasis5 3 4 2 2 3 2" xfId="37109" xr:uid="{00000000-0005-0000-0000-0000BB0E0000}"/>
    <cellStyle name="20% - Énfasis5 3 4 2 2 4" xfId="29668" xr:uid="{00000000-0005-0000-0000-0000BC0E0000}"/>
    <cellStyle name="20% - Énfasis5 3 4 2 3" xfId="18188" xr:uid="{00000000-0005-0000-0000-0000BD0E0000}"/>
    <cellStyle name="20% - Énfasis5 3 4 2 3 2" xfId="40831" xr:uid="{00000000-0005-0000-0000-0000BE0E0000}"/>
    <cellStyle name="20% - Énfasis5 3 4 2 4" xfId="10748" xr:uid="{00000000-0005-0000-0000-0000BF0E0000}"/>
    <cellStyle name="20% - Énfasis5 3 4 2 4 2" xfId="33391" xr:uid="{00000000-0005-0000-0000-0000C00E0000}"/>
    <cellStyle name="20% - Énfasis5 3 4 2 5" xfId="25950" xr:uid="{00000000-0005-0000-0000-0000C10E0000}"/>
    <cellStyle name="20% - Énfasis5 3 4 3" xfId="5175" xr:uid="{00000000-0005-0000-0000-0000C20E0000}"/>
    <cellStyle name="20% - Énfasis5 3 4 3 2" xfId="20059" xr:uid="{00000000-0005-0000-0000-0000C30E0000}"/>
    <cellStyle name="20% - Énfasis5 3 4 3 2 2" xfId="42702" xr:uid="{00000000-0005-0000-0000-0000C40E0000}"/>
    <cellStyle name="20% - Énfasis5 3 4 3 3" xfId="12619" xr:uid="{00000000-0005-0000-0000-0000C50E0000}"/>
    <cellStyle name="20% - Énfasis5 3 4 3 3 2" xfId="35262" xr:uid="{00000000-0005-0000-0000-0000C60E0000}"/>
    <cellStyle name="20% - Énfasis5 3 4 3 4" xfId="27821" xr:uid="{00000000-0005-0000-0000-0000C70E0000}"/>
    <cellStyle name="20% - Énfasis5 3 4 4" xfId="16341" xr:uid="{00000000-0005-0000-0000-0000C80E0000}"/>
    <cellStyle name="20% - Énfasis5 3 4 4 2" xfId="38984" xr:uid="{00000000-0005-0000-0000-0000C90E0000}"/>
    <cellStyle name="20% - Énfasis5 3 4 5" xfId="8901" xr:uid="{00000000-0005-0000-0000-0000CA0E0000}"/>
    <cellStyle name="20% - Énfasis5 3 4 5 2" xfId="31544" xr:uid="{00000000-0005-0000-0000-0000CB0E0000}"/>
    <cellStyle name="20% - Énfasis5 3 4 6" xfId="24103" xr:uid="{00000000-0005-0000-0000-0000CC0E0000}"/>
    <cellStyle name="20% - Énfasis5 3 5" xfId="2376" xr:uid="{00000000-0005-0000-0000-0000CD0E0000}"/>
    <cellStyle name="20% - Énfasis5 3 5 2" xfId="6097" xr:uid="{00000000-0005-0000-0000-0000CE0E0000}"/>
    <cellStyle name="20% - Énfasis5 3 5 2 2" xfId="20981" xr:uid="{00000000-0005-0000-0000-0000CF0E0000}"/>
    <cellStyle name="20% - Énfasis5 3 5 2 2 2" xfId="43624" xr:uid="{00000000-0005-0000-0000-0000D00E0000}"/>
    <cellStyle name="20% - Énfasis5 3 5 2 3" xfId="13541" xr:uid="{00000000-0005-0000-0000-0000D10E0000}"/>
    <cellStyle name="20% - Énfasis5 3 5 2 3 2" xfId="36184" xr:uid="{00000000-0005-0000-0000-0000D20E0000}"/>
    <cellStyle name="20% - Énfasis5 3 5 2 4" xfId="28743" xr:uid="{00000000-0005-0000-0000-0000D30E0000}"/>
    <cellStyle name="20% - Énfasis5 3 5 3" xfId="17263" xr:uid="{00000000-0005-0000-0000-0000D40E0000}"/>
    <cellStyle name="20% - Énfasis5 3 5 3 2" xfId="39906" xr:uid="{00000000-0005-0000-0000-0000D50E0000}"/>
    <cellStyle name="20% - Énfasis5 3 5 4" xfId="9823" xr:uid="{00000000-0005-0000-0000-0000D60E0000}"/>
    <cellStyle name="20% - Énfasis5 3 5 4 2" xfId="32466" xr:uid="{00000000-0005-0000-0000-0000D70E0000}"/>
    <cellStyle name="20% - Énfasis5 3 5 5" xfId="25025" xr:uid="{00000000-0005-0000-0000-0000D80E0000}"/>
    <cellStyle name="20% - Énfasis5 3 6" xfId="4250" xr:uid="{00000000-0005-0000-0000-0000D90E0000}"/>
    <cellStyle name="20% - Énfasis5 3 6 2" xfId="19134" xr:uid="{00000000-0005-0000-0000-0000DA0E0000}"/>
    <cellStyle name="20% - Énfasis5 3 6 2 2" xfId="41777" xr:uid="{00000000-0005-0000-0000-0000DB0E0000}"/>
    <cellStyle name="20% - Énfasis5 3 6 3" xfId="11694" xr:uid="{00000000-0005-0000-0000-0000DC0E0000}"/>
    <cellStyle name="20% - Énfasis5 3 6 3 2" xfId="34337" xr:uid="{00000000-0005-0000-0000-0000DD0E0000}"/>
    <cellStyle name="20% - Énfasis5 3 6 4" xfId="26896" xr:uid="{00000000-0005-0000-0000-0000DE0E0000}"/>
    <cellStyle name="20% - Énfasis5 3 7" xfId="518" xr:uid="{00000000-0005-0000-0000-0000DF0E0000}"/>
    <cellStyle name="20% - Énfasis5 3 7 2" xfId="15416" xr:uid="{00000000-0005-0000-0000-0000E00E0000}"/>
    <cellStyle name="20% - Énfasis5 3 7 2 2" xfId="38059" xr:uid="{00000000-0005-0000-0000-0000E10E0000}"/>
    <cellStyle name="20% - Énfasis5 3 7 3" xfId="23179" xr:uid="{00000000-0005-0000-0000-0000E20E0000}"/>
    <cellStyle name="20% - Énfasis5 3 8" xfId="7976" xr:uid="{00000000-0005-0000-0000-0000E30E0000}"/>
    <cellStyle name="20% - Énfasis5 3 8 2" xfId="30619" xr:uid="{00000000-0005-0000-0000-0000E40E0000}"/>
    <cellStyle name="20% - Énfasis5 3 9" xfId="22801" xr:uid="{00000000-0005-0000-0000-0000E50E0000}"/>
    <cellStyle name="20% - Énfasis5 4" xfId="134" xr:uid="{00000000-0005-0000-0000-0000E60E0000}"/>
    <cellStyle name="20% - Énfasis5 4 2" xfId="298" xr:uid="{00000000-0005-0000-0000-0000E70E0000}"/>
    <cellStyle name="20% - Énfasis5 4 2 2" xfId="2019" xr:uid="{00000000-0005-0000-0000-0000E80E0000}"/>
    <cellStyle name="20% - Énfasis5 4 2 2 2" xfId="3869" xr:uid="{00000000-0005-0000-0000-0000E90E0000}"/>
    <cellStyle name="20% - Énfasis5 4 2 2 2 2" xfId="7590" xr:uid="{00000000-0005-0000-0000-0000EA0E0000}"/>
    <cellStyle name="20% - Énfasis5 4 2 2 2 2 2" xfId="22474" xr:uid="{00000000-0005-0000-0000-0000EB0E0000}"/>
    <cellStyle name="20% - Énfasis5 4 2 2 2 2 2 2" xfId="45117" xr:uid="{00000000-0005-0000-0000-0000EC0E0000}"/>
    <cellStyle name="20% - Énfasis5 4 2 2 2 2 3" xfId="15034" xr:uid="{00000000-0005-0000-0000-0000ED0E0000}"/>
    <cellStyle name="20% - Énfasis5 4 2 2 2 2 3 2" xfId="37677" xr:uid="{00000000-0005-0000-0000-0000EE0E0000}"/>
    <cellStyle name="20% - Énfasis5 4 2 2 2 2 4" xfId="30236" xr:uid="{00000000-0005-0000-0000-0000EF0E0000}"/>
    <cellStyle name="20% - Énfasis5 4 2 2 2 3" xfId="18756" xr:uid="{00000000-0005-0000-0000-0000F00E0000}"/>
    <cellStyle name="20% - Énfasis5 4 2 2 2 3 2" xfId="41399" xr:uid="{00000000-0005-0000-0000-0000F10E0000}"/>
    <cellStyle name="20% - Énfasis5 4 2 2 2 4" xfId="11316" xr:uid="{00000000-0005-0000-0000-0000F20E0000}"/>
    <cellStyle name="20% - Énfasis5 4 2 2 2 4 2" xfId="33959" xr:uid="{00000000-0005-0000-0000-0000F30E0000}"/>
    <cellStyle name="20% - Énfasis5 4 2 2 2 5" xfId="26518" xr:uid="{00000000-0005-0000-0000-0000F40E0000}"/>
    <cellStyle name="20% - Énfasis5 4 2 2 3" xfId="5743" xr:uid="{00000000-0005-0000-0000-0000F50E0000}"/>
    <cellStyle name="20% - Énfasis5 4 2 2 3 2" xfId="20627" xr:uid="{00000000-0005-0000-0000-0000F60E0000}"/>
    <cellStyle name="20% - Énfasis5 4 2 2 3 2 2" xfId="43270" xr:uid="{00000000-0005-0000-0000-0000F70E0000}"/>
    <cellStyle name="20% - Énfasis5 4 2 2 3 3" xfId="13187" xr:uid="{00000000-0005-0000-0000-0000F80E0000}"/>
    <cellStyle name="20% - Énfasis5 4 2 2 3 3 2" xfId="35830" xr:uid="{00000000-0005-0000-0000-0000F90E0000}"/>
    <cellStyle name="20% - Énfasis5 4 2 2 3 4" xfId="28389" xr:uid="{00000000-0005-0000-0000-0000FA0E0000}"/>
    <cellStyle name="20% - Énfasis5 4 2 2 4" xfId="16909" xr:uid="{00000000-0005-0000-0000-0000FB0E0000}"/>
    <cellStyle name="20% - Énfasis5 4 2 2 4 2" xfId="39552" xr:uid="{00000000-0005-0000-0000-0000FC0E0000}"/>
    <cellStyle name="20% - Énfasis5 4 2 2 5" xfId="9469" xr:uid="{00000000-0005-0000-0000-0000FD0E0000}"/>
    <cellStyle name="20% - Énfasis5 4 2 2 5 2" xfId="32112" xr:uid="{00000000-0005-0000-0000-0000FE0E0000}"/>
    <cellStyle name="20% - Énfasis5 4 2 2 6" xfId="24671" xr:uid="{00000000-0005-0000-0000-0000FF0E0000}"/>
    <cellStyle name="20% - Énfasis5 4 2 3" xfId="2944" xr:uid="{00000000-0005-0000-0000-0000000F0000}"/>
    <cellStyle name="20% - Énfasis5 4 2 3 2" xfId="6665" xr:uid="{00000000-0005-0000-0000-0000010F0000}"/>
    <cellStyle name="20% - Énfasis5 4 2 3 2 2" xfId="21549" xr:uid="{00000000-0005-0000-0000-0000020F0000}"/>
    <cellStyle name="20% - Énfasis5 4 2 3 2 2 2" xfId="44192" xr:uid="{00000000-0005-0000-0000-0000030F0000}"/>
    <cellStyle name="20% - Énfasis5 4 2 3 2 3" xfId="14109" xr:uid="{00000000-0005-0000-0000-0000040F0000}"/>
    <cellStyle name="20% - Énfasis5 4 2 3 2 3 2" xfId="36752" xr:uid="{00000000-0005-0000-0000-0000050F0000}"/>
    <cellStyle name="20% - Énfasis5 4 2 3 2 4" xfId="29311" xr:uid="{00000000-0005-0000-0000-0000060F0000}"/>
    <cellStyle name="20% - Énfasis5 4 2 3 3" xfId="17831" xr:uid="{00000000-0005-0000-0000-0000070F0000}"/>
    <cellStyle name="20% - Énfasis5 4 2 3 3 2" xfId="40474" xr:uid="{00000000-0005-0000-0000-0000080F0000}"/>
    <cellStyle name="20% - Énfasis5 4 2 3 4" xfId="10391" xr:uid="{00000000-0005-0000-0000-0000090F0000}"/>
    <cellStyle name="20% - Énfasis5 4 2 3 4 2" xfId="33034" xr:uid="{00000000-0005-0000-0000-00000A0F0000}"/>
    <cellStyle name="20% - Énfasis5 4 2 3 5" xfId="25593" xr:uid="{00000000-0005-0000-0000-00000B0F0000}"/>
    <cellStyle name="20% - Énfasis5 4 2 4" xfId="4818" xr:uid="{00000000-0005-0000-0000-00000C0F0000}"/>
    <cellStyle name="20% - Énfasis5 4 2 4 2" xfId="19702" xr:uid="{00000000-0005-0000-0000-00000D0F0000}"/>
    <cellStyle name="20% - Énfasis5 4 2 4 2 2" xfId="42345" xr:uid="{00000000-0005-0000-0000-00000E0F0000}"/>
    <cellStyle name="20% - Énfasis5 4 2 4 3" xfId="12262" xr:uid="{00000000-0005-0000-0000-00000F0F0000}"/>
    <cellStyle name="20% - Énfasis5 4 2 4 3 2" xfId="34905" xr:uid="{00000000-0005-0000-0000-0000100F0000}"/>
    <cellStyle name="20% - Énfasis5 4 2 4 4" xfId="27464" xr:uid="{00000000-0005-0000-0000-0000110F0000}"/>
    <cellStyle name="20% - Énfasis5 4 2 5" xfId="1091" xr:uid="{00000000-0005-0000-0000-0000120F0000}"/>
    <cellStyle name="20% - Énfasis5 4 2 5 2" xfId="15984" xr:uid="{00000000-0005-0000-0000-0000130F0000}"/>
    <cellStyle name="20% - Énfasis5 4 2 5 2 2" xfId="38627" xr:uid="{00000000-0005-0000-0000-0000140F0000}"/>
    <cellStyle name="20% - Énfasis5 4 2 5 3" xfId="23746" xr:uid="{00000000-0005-0000-0000-0000150F0000}"/>
    <cellStyle name="20% - Énfasis5 4 2 6" xfId="8544" xr:uid="{00000000-0005-0000-0000-0000160F0000}"/>
    <cellStyle name="20% - Énfasis5 4 2 6 2" xfId="31187" xr:uid="{00000000-0005-0000-0000-0000170F0000}"/>
    <cellStyle name="20% - Énfasis5 4 2 7" xfId="22996" xr:uid="{00000000-0005-0000-0000-0000180F0000}"/>
    <cellStyle name="20% - Énfasis5 4 3" xfId="1557" xr:uid="{00000000-0005-0000-0000-0000190F0000}"/>
    <cellStyle name="20% - Énfasis5 4 3 2" xfId="3407" xr:uid="{00000000-0005-0000-0000-00001A0F0000}"/>
    <cellStyle name="20% - Énfasis5 4 3 2 2" xfId="7128" xr:uid="{00000000-0005-0000-0000-00001B0F0000}"/>
    <cellStyle name="20% - Énfasis5 4 3 2 2 2" xfId="22012" xr:uid="{00000000-0005-0000-0000-00001C0F0000}"/>
    <cellStyle name="20% - Énfasis5 4 3 2 2 2 2" xfId="44655" xr:uid="{00000000-0005-0000-0000-00001D0F0000}"/>
    <cellStyle name="20% - Énfasis5 4 3 2 2 3" xfId="14572" xr:uid="{00000000-0005-0000-0000-00001E0F0000}"/>
    <cellStyle name="20% - Énfasis5 4 3 2 2 3 2" xfId="37215" xr:uid="{00000000-0005-0000-0000-00001F0F0000}"/>
    <cellStyle name="20% - Énfasis5 4 3 2 2 4" xfId="29774" xr:uid="{00000000-0005-0000-0000-0000200F0000}"/>
    <cellStyle name="20% - Énfasis5 4 3 2 3" xfId="18294" xr:uid="{00000000-0005-0000-0000-0000210F0000}"/>
    <cellStyle name="20% - Énfasis5 4 3 2 3 2" xfId="40937" xr:uid="{00000000-0005-0000-0000-0000220F0000}"/>
    <cellStyle name="20% - Énfasis5 4 3 2 4" xfId="10854" xr:uid="{00000000-0005-0000-0000-0000230F0000}"/>
    <cellStyle name="20% - Énfasis5 4 3 2 4 2" xfId="33497" xr:uid="{00000000-0005-0000-0000-0000240F0000}"/>
    <cellStyle name="20% - Énfasis5 4 3 2 5" xfId="26056" xr:uid="{00000000-0005-0000-0000-0000250F0000}"/>
    <cellStyle name="20% - Énfasis5 4 3 3" xfId="5281" xr:uid="{00000000-0005-0000-0000-0000260F0000}"/>
    <cellStyle name="20% - Énfasis5 4 3 3 2" xfId="20165" xr:uid="{00000000-0005-0000-0000-0000270F0000}"/>
    <cellStyle name="20% - Énfasis5 4 3 3 2 2" xfId="42808" xr:uid="{00000000-0005-0000-0000-0000280F0000}"/>
    <cellStyle name="20% - Énfasis5 4 3 3 3" xfId="12725" xr:uid="{00000000-0005-0000-0000-0000290F0000}"/>
    <cellStyle name="20% - Énfasis5 4 3 3 3 2" xfId="35368" xr:uid="{00000000-0005-0000-0000-00002A0F0000}"/>
    <cellStyle name="20% - Énfasis5 4 3 3 4" xfId="27927" xr:uid="{00000000-0005-0000-0000-00002B0F0000}"/>
    <cellStyle name="20% - Énfasis5 4 3 4" xfId="16447" xr:uid="{00000000-0005-0000-0000-00002C0F0000}"/>
    <cellStyle name="20% - Énfasis5 4 3 4 2" xfId="39090" xr:uid="{00000000-0005-0000-0000-00002D0F0000}"/>
    <cellStyle name="20% - Énfasis5 4 3 5" xfId="9007" xr:uid="{00000000-0005-0000-0000-00002E0F0000}"/>
    <cellStyle name="20% - Énfasis5 4 3 5 2" xfId="31650" xr:uid="{00000000-0005-0000-0000-00002F0F0000}"/>
    <cellStyle name="20% - Énfasis5 4 3 6" xfId="24209" xr:uid="{00000000-0005-0000-0000-0000300F0000}"/>
    <cellStyle name="20% - Énfasis5 4 4" xfId="2482" xr:uid="{00000000-0005-0000-0000-0000310F0000}"/>
    <cellStyle name="20% - Énfasis5 4 4 2" xfId="6203" xr:uid="{00000000-0005-0000-0000-0000320F0000}"/>
    <cellStyle name="20% - Énfasis5 4 4 2 2" xfId="21087" xr:uid="{00000000-0005-0000-0000-0000330F0000}"/>
    <cellStyle name="20% - Énfasis5 4 4 2 2 2" xfId="43730" xr:uid="{00000000-0005-0000-0000-0000340F0000}"/>
    <cellStyle name="20% - Énfasis5 4 4 2 3" xfId="13647" xr:uid="{00000000-0005-0000-0000-0000350F0000}"/>
    <cellStyle name="20% - Énfasis5 4 4 2 3 2" xfId="36290" xr:uid="{00000000-0005-0000-0000-0000360F0000}"/>
    <cellStyle name="20% - Énfasis5 4 4 2 4" xfId="28849" xr:uid="{00000000-0005-0000-0000-0000370F0000}"/>
    <cellStyle name="20% - Énfasis5 4 4 3" xfId="17369" xr:uid="{00000000-0005-0000-0000-0000380F0000}"/>
    <cellStyle name="20% - Énfasis5 4 4 3 2" xfId="40012" xr:uid="{00000000-0005-0000-0000-0000390F0000}"/>
    <cellStyle name="20% - Énfasis5 4 4 4" xfId="9929" xr:uid="{00000000-0005-0000-0000-00003A0F0000}"/>
    <cellStyle name="20% - Énfasis5 4 4 4 2" xfId="32572" xr:uid="{00000000-0005-0000-0000-00003B0F0000}"/>
    <cellStyle name="20% - Énfasis5 4 4 5" xfId="25131" xr:uid="{00000000-0005-0000-0000-00003C0F0000}"/>
    <cellStyle name="20% - Énfasis5 4 5" xfId="4356" xr:uid="{00000000-0005-0000-0000-00003D0F0000}"/>
    <cellStyle name="20% - Énfasis5 4 5 2" xfId="19240" xr:uid="{00000000-0005-0000-0000-00003E0F0000}"/>
    <cellStyle name="20% - Énfasis5 4 5 2 2" xfId="41883" xr:uid="{00000000-0005-0000-0000-00003F0F0000}"/>
    <cellStyle name="20% - Énfasis5 4 5 3" xfId="11800" xr:uid="{00000000-0005-0000-0000-0000400F0000}"/>
    <cellStyle name="20% - Énfasis5 4 5 3 2" xfId="34443" xr:uid="{00000000-0005-0000-0000-0000410F0000}"/>
    <cellStyle name="20% - Énfasis5 4 5 4" xfId="27002" xr:uid="{00000000-0005-0000-0000-0000420F0000}"/>
    <cellStyle name="20% - Énfasis5 4 6" xfId="624" xr:uid="{00000000-0005-0000-0000-0000430F0000}"/>
    <cellStyle name="20% - Énfasis5 4 6 2" xfId="15522" xr:uid="{00000000-0005-0000-0000-0000440F0000}"/>
    <cellStyle name="20% - Énfasis5 4 6 2 2" xfId="38165" xr:uid="{00000000-0005-0000-0000-0000450F0000}"/>
    <cellStyle name="20% - Énfasis5 4 6 3" xfId="23284" xr:uid="{00000000-0005-0000-0000-0000460F0000}"/>
    <cellStyle name="20% - Énfasis5 4 7" xfId="8082" xr:uid="{00000000-0005-0000-0000-0000470F0000}"/>
    <cellStyle name="20% - Énfasis5 4 7 2" xfId="30725" xr:uid="{00000000-0005-0000-0000-0000480F0000}"/>
    <cellStyle name="20% - Énfasis5 4 8" xfId="22840" xr:uid="{00000000-0005-0000-0000-0000490F0000}"/>
    <cellStyle name="20% - Énfasis5 5" xfId="217" xr:uid="{00000000-0005-0000-0000-00004A0F0000}"/>
    <cellStyle name="20% - Énfasis5 5 2" xfId="1808" xr:uid="{00000000-0005-0000-0000-00004B0F0000}"/>
    <cellStyle name="20% - Énfasis5 5 2 2" xfId="3658" xr:uid="{00000000-0005-0000-0000-00004C0F0000}"/>
    <cellStyle name="20% - Énfasis5 5 2 2 2" xfId="7379" xr:uid="{00000000-0005-0000-0000-00004D0F0000}"/>
    <cellStyle name="20% - Énfasis5 5 2 2 2 2" xfId="22263" xr:uid="{00000000-0005-0000-0000-00004E0F0000}"/>
    <cellStyle name="20% - Énfasis5 5 2 2 2 2 2" xfId="44906" xr:uid="{00000000-0005-0000-0000-00004F0F0000}"/>
    <cellStyle name="20% - Énfasis5 5 2 2 2 3" xfId="14823" xr:uid="{00000000-0005-0000-0000-0000500F0000}"/>
    <cellStyle name="20% - Énfasis5 5 2 2 2 3 2" xfId="37466" xr:uid="{00000000-0005-0000-0000-0000510F0000}"/>
    <cellStyle name="20% - Énfasis5 5 2 2 2 4" xfId="30025" xr:uid="{00000000-0005-0000-0000-0000520F0000}"/>
    <cellStyle name="20% - Énfasis5 5 2 2 3" xfId="18545" xr:uid="{00000000-0005-0000-0000-0000530F0000}"/>
    <cellStyle name="20% - Énfasis5 5 2 2 3 2" xfId="41188" xr:uid="{00000000-0005-0000-0000-0000540F0000}"/>
    <cellStyle name="20% - Énfasis5 5 2 2 4" xfId="11105" xr:uid="{00000000-0005-0000-0000-0000550F0000}"/>
    <cellStyle name="20% - Énfasis5 5 2 2 4 2" xfId="33748" xr:uid="{00000000-0005-0000-0000-0000560F0000}"/>
    <cellStyle name="20% - Énfasis5 5 2 2 5" xfId="26307" xr:uid="{00000000-0005-0000-0000-0000570F0000}"/>
    <cellStyle name="20% - Énfasis5 5 2 3" xfId="5532" xr:uid="{00000000-0005-0000-0000-0000580F0000}"/>
    <cellStyle name="20% - Énfasis5 5 2 3 2" xfId="20416" xr:uid="{00000000-0005-0000-0000-0000590F0000}"/>
    <cellStyle name="20% - Énfasis5 5 2 3 2 2" xfId="43059" xr:uid="{00000000-0005-0000-0000-00005A0F0000}"/>
    <cellStyle name="20% - Énfasis5 5 2 3 3" xfId="12976" xr:uid="{00000000-0005-0000-0000-00005B0F0000}"/>
    <cellStyle name="20% - Énfasis5 5 2 3 3 2" xfId="35619" xr:uid="{00000000-0005-0000-0000-00005C0F0000}"/>
    <cellStyle name="20% - Énfasis5 5 2 3 4" xfId="28178" xr:uid="{00000000-0005-0000-0000-00005D0F0000}"/>
    <cellStyle name="20% - Énfasis5 5 2 4" xfId="16698" xr:uid="{00000000-0005-0000-0000-00005E0F0000}"/>
    <cellStyle name="20% - Énfasis5 5 2 4 2" xfId="39341" xr:uid="{00000000-0005-0000-0000-00005F0F0000}"/>
    <cellStyle name="20% - Énfasis5 5 2 5" xfId="9258" xr:uid="{00000000-0005-0000-0000-0000600F0000}"/>
    <cellStyle name="20% - Énfasis5 5 2 5 2" xfId="31901" xr:uid="{00000000-0005-0000-0000-0000610F0000}"/>
    <cellStyle name="20% - Énfasis5 5 2 6" xfId="24460" xr:uid="{00000000-0005-0000-0000-0000620F0000}"/>
    <cellStyle name="20% - Énfasis5 5 3" xfId="2733" xr:uid="{00000000-0005-0000-0000-0000630F0000}"/>
    <cellStyle name="20% - Énfasis5 5 3 2" xfId="6454" xr:uid="{00000000-0005-0000-0000-0000640F0000}"/>
    <cellStyle name="20% - Énfasis5 5 3 2 2" xfId="21338" xr:uid="{00000000-0005-0000-0000-0000650F0000}"/>
    <cellStyle name="20% - Énfasis5 5 3 2 2 2" xfId="43981" xr:uid="{00000000-0005-0000-0000-0000660F0000}"/>
    <cellStyle name="20% - Énfasis5 5 3 2 3" xfId="13898" xr:uid="{00000000-0005-0000-0000-0000670F0000}"/>
    <cellStyle name="20% - Énfasis5 5 3 2 3 2" xfId="36541" xr:uid="{00000000-0005-0000-0000-0000680F0000}"/>
    <cellStyle name="20% - Énfasis5 5 3 2 4" xfId="29100" xr:uid="{00000000-0005-0000-0000-0000690F0000}"/>
    <cellStyle name="20% - Énfasis5 5 3 3" xfId="17620" xr:uid="{00000000-0005-0000-0000-00006A0F0000}"/>
    <cellStyle name="20% - Énfasis5 5 3 3 2" xfId="40263" xr:uid="{00000000-0005-0000-0000-00006B0F0000}"/>
    <cellStyle name="20% - Énfasis5 5 3 4" xfId="10180" xr:uid="{00000000-0005-0000-0000-00006C0F0000}"/>
    <cellStyle name="20% - Énfasis5 5 3 4 2" xfId="32823" xr:uid="{00000000-0005-0000-0000-00006D0F0000}"/>
    <cellStyle name="20% - Énfasis5 5 3 5" xfId="25382" xr:uid="{00000000-0005-0000-0000-00006E0F0000}"/>
    <cellStyle name="20% - Énfasis5 5 4" xfId="4607" xr:uid="{00000000-0005-0000-0000-00006F0F0000}"/>
    <cellStyle name="20% - Énfasis5 5 4 2" xfId="19491" xr:uid="{00000000-0005-0000-0000-0000700F0000}"/>
    <cellStyle name="20% - Énfasis5 5 4 2 2" xfId="42134" xr:uid="{00000000-0005-0000-0000-0000710F0000}"/>
    <cellStyle name="20% - Énfasis5 5 4 3" xfId="12051" xr:uid="{00000000-0005-0000-0000-0000720F0000}"/>
    <cellStyle name="20% - Énfasis5 5 4 3 2" xfId="34694" xr:uid="{00000000-0005-0000-0000-0000730F0000}"/>
    <cellStyle name="20% - Énfasis5 5 4 4" xfId="27253" xr:uid="{00000000-0005-0000-0000-0000740F0000}"/>
    <cellStyle name="20% - Énfasis5 5 5" xfId="877" xr:uid="{00000000-0005-0000-0000-0000750F0000}"/>
    <cellStyle name="20% - Énfasis5 5 5 2" xfId="15773" xr:uid="{00000000-0005-0000-0000-0000760F0000}"/>
    <cellStyle name="20% - Énfasis5 5 5 2 2" xfId="38416" xr:uid="{00000000-0005-0000-0000-0000770F0000}"/>
    <cellStyle name="20% - Énfasis5 5 5 3" xfId="23535" xr:uid="{00000000-0005-0000-0000-0000780F0000}"/>
    <cellStyle name="20% - Énfasis5 5 6" xfId="8333" xr:uid="{00000000-0005-0000-0000-0000790F0000}"/>
    <cellStyle name="20% - Énfasis5 5 6 2" xfId="30976" xr:uid="{00000000-0005-0000-0000-00007A0F0000}"/>
    <cellStyle name="20% - Énfasis5 5 7" xfId="22918" xr:uid="{00000000-0005-0000-0000-00007B0F0000}"/>
    <cellStyle name="20% - Énfasis5 6" xfId="1343" xr:uid="{00000000-0005-0000-0000-00007C0F0000}"/>
    <cellStyle name="20% - Énfasis5 6 2" xfId="3196" xr:uid="{00000000-0005-0000-0000-00007D0F0000}"/>
    <cellStyle name="20% - Énfasis5 6 2 2" xfId="6917" xr:uid="{00000000-0005-0000-0000-00007E0F0000}"/>
    <cellStyle name="20% - Énfasis5 6 2 2 2" xfId="21801" xr:uid="{00000000-0005-0000-0000-00007F0F0000}"/>
    <cellStyle name="20% - Énfasis5 6 2 2 2 2" xfId="44444" xr:uid="{00000000-0005-0000-0000-0000800F0000}"/>
    <cellStyle name="20% - Énfasis5 6 2 2 3" xfId="14361" xr:uid="{00000000-0005-0000-0000-0000810F0000}"/>
    <cellStyle name="20% - Énfasis5 6 2 2 3 2" xfId="37004" xr:uid="{00000000-0005-0000-0000-0000820F0000}"/>
    <cellStyle name="20% - Énfasis5 6 2 2 4" xfId="29563" xr:uid="{00000000-0005-0000-0000-0000830F0000}"/>
    <cellStyle name="20% - Énfasis5 6 2 3" xfId="18083" xr:uid="{00000000-0005-0000-0000-0000840F0000}"/>
    <cellStyle name="20% - Énfasis5 6 2 3 2" xfId="40726" xr:uid="{00000000-0005-0000-0000-0000850F0000}"/>
    <cellStyle name="20% - Énfasis5 6 2 4" xfId="10643" xr:uid="{00000000-0005-0000-0000-0000860F0000}"/>
    <cellStyle name="20% - Énfasis5 6 2 4 2" xfId="33286" xr:uid="{00000000-0005-0000-0000-0000870F0000}"/>
    <cellStyle name="20% - Énfasis5 6 2 5" xfId="25845" xr:uid="{00000000-0005-0000-0000-0000880F0000}"/>
    <cellStyle name="20% - Énfasis5 6 3" xfId="5070" xr:uid="{00000000-0005-0000-0000-0000890F0000}"/>
    <cellStyle name="20% - Énfasis5 6 3 2" xfId="19954" xr:uid="{00000000-0005-0000-0000-00008A0F0000}"/>
    <cellStyle name="20% - Énfasis5 6 3 2 2" xfId="42597" xr:uid="{00000000-0005-0000-0000-00008B0F0000}"/>
    <cellStyle name="20% - Énfasis5 6 3 3" xfId="12514" xr:uid="{00000000-0005-0000-0000-00008C0F0000}"/>
    <cellStyle name="20% - Énfasis5 6 3 3 2" xfId="35157" xr:uid="{00000000-0005-0000-0000-00008D0F0000}"/>
    <cellStyle name="20% - Énfasis5 6 3 4" xfId="27716" xr:uid="{00000000-0005-0000-0000-00008E0F0000}"/>
    <cellStyle name="20% - Énfasis5 6 4" xfId="16236" xr:uid="{00000000-0005-0000-0000-00008F0F0000}"/>
    <cellStyle name="20% - Énfasis5 6 4 2" xfId="38879" xr:uid="{00000000-0005-0000-0000-0000900F0000}"/>
    <cellStyle name="20% - Énfasis5 6 5" xfId="8796" xr:uid="{00000000-0005-0000-0000-0000910F0000}"/>
    <cellStyle name="20% - Énfasis5 6 5 2" xfId="31439" xr:uid="{00000000-0005-0000-0000-0000920F0000}"/>
    <cellStyle name="20% - Énfasis5 6 6" xfId="23998" xr:uid="{00000000-0005-0000-0000-0000930F0000}"/>
    <cellStyle name="20% - Énfasis5 7" xfId="2268" xr:uid="{00000000-0005-0000-0000-0000940F0000}"/>
    <cellStyle name="20% - Énfasis5 7 2" xfId="5992" xr:uid="{00000000-0005-0000-0000-0000950F0000}"/>
    <cellStyle name="20% - Énfasis5 7 2 2" xfId="20876" xr:uid="{00000000-0005-0000-0000-0000960F0000}"/>
    <cellStyle name="20% - Énfasis5 7 2 2 2" xfId="43519" xr:uid="{00000000-0005-0000-0000-0000970F0000}"/>
    <cellStyle name="20% - Énfasis5 7 2 3" xfId="13436" xr:uid="{00000000-0005-0000-0000-0000980F0000}"/>
    <cellStyle name="20% - Énfasis5 7 2 3 2" xfId="36079" xr:uid="{00000000-0005-0000-0000-0000990F0000}"/>
    <cellStyle name="20% - Énfasis5 7 2 4" xfId="28638" xr:uid="{00000000-0005-0000-0000-00009A0F0000}"/>
    <cellStyle name="20% - Énfasis5 7 3" xfId="17158" xr:uid="{00000000-0005-0000-0000-00009B0F0000}"/>
    <cellStyle name="20% - Énfasis5 7 3 2" xfId="39801" xr:uid="{00000000-0005-0000-0000-00009C0F0000}"/>
    <cellStyle name="20% - Énfasis5 7 4" xfId="9718" xr:uid="{00000000-0005-0000-0000-00009D0F0000}"/>
    <cellStyle name="20% - Énfasis5 7 4 2" xfId="32361" xr:uid="{00000000-0005-0000-0000-00009E0F0000}"/>
    <cellStyle name="20% - Énfasis5 7 5" xfId="24920" xr:uid="{00000000-0005-0000-0000-00009F0F0000}"/>
    <cellStyle name="20% - Énfasis5 8" xfId="4142" xr:uid="{00000000-0005-0000-0000-0000A00F0000}"/>
    <cellStyle name="20% - Énfasis5 8 2" xfId="19029" xr:uid="{00000000-0005-0000-0000-0000A10F0000}"/>
    <cellStyle name="20% - Énfasis5 8 2 2" xfId="41672" xr:uid="{00000000-0005-0000-0000-0000A20F0000}"/>
    <cellStyle name="20% - Énfasis5 8 3" xfId="11589" xr:uid="{00000000-0005-0000-0000-0000A30F0000}"/>
    <cellStyle name="20% - Énfasis5 8 3 2" xfId="34232" xr:uid="{00000000-0005-0000-0000-0000A40F0000}"/>
    <cellStyle name="20% - Énfasis5 8 4" xfId="26791" xr:uid="{00000000-0005-0000-0000-0000A50F0000}"/>
    <cellStyle name="20% - Énfasis5 9" xfId="377" xr:uid="{00000000-0005-0000-0000-0000A60F0000}"/>
    <cellStyle name="20% - Énfasis5 9 2" xfId="15311" xr:uid="{00000000-0005-0000-0000-0000A70F0000}"/>
    <cellStyle name="20% - Énfasis5 9 2 2" xfId="37954" xr:uid="{00000000-0005-0000-0000-0000A80F0000}"/>
    <cellStyle name="20% - Énfasis5 9 3" xfId="23074" xr:uid="{00000000-0005-0000-0000-0000A90F0000}"/>
    <cellStyle name="20% - Énfasis6" xfId="11" builtinId="50" customBuiltin="1"/>
    <cellStyle name="20% - Énfasis6 10" xfId="7870" xr:uid="{00000000-0005-0000-0000-0000AB0F0000}"/>
    <cellStyle name="20% - Énfasis6 10 2" xfId="30516" xr:uid="{00000000-0005-0000-0000-0000AC0F0000}"/>
    <cellStyle name="20% - Énfasis6 11" xfId="22761" xr:uid="{00000000-0005-0000-0000-0000AD0F0000}"/>
    <cellStyle name="20% - Énfasis6 12" xfId="45463" xr:uid="{00000000-0005-0000-0000-0000AE0F0000}"/>
    <cellStyle name="20% - Énfasis6 13" xfId="45504" xr:uid="{00000000-0005-0000-0000-0000AF0F0000}"/>
    <cellStyle name="20% - Énfasis6 2" xfId="12" xr:uid="{00000000-0005-0000-0000-0000B00F0000}"/>
    <cellStyle name="20% - Énfasis6 2 10" xfId="22769" xr:uid="{00000000-0005-0000-0000-0000B10F0000}"/>
    <cellStyle name="20% - Énfasis6 2 2" xfId="102" xr:uid="{00000000-0005-0000-0000-0000B20F0000}"/>
    <cellStyle name="20% - Énfasis6 2 2 2" xfId="185" xr:uid="{00000000-0005-0000-0000-0000B30F0000}"/>
    <cellStyle name="20% - Énfasis6 2 2 2 2" xfId="346" xr:uid="{00000000-0005-0000-0000-0000B40F0000}"/>
    <cellStyle name="20% - Énfasis6 2 2 2 2 2" xfId="2178" xr:uid="{00000000-0005-0000-0000-0000B50F0000}"/>
    <cellStyle name="20% - Énfasis6 2 2 2 2 2 2" xfId="4028" xr:uid="{00000000-0005-0000-0000-0000B60F0000}"/>
    <cellStyle name="20% - Énfasis6 2 2 2 2 2 2 2" xfId="7749" xr:uid="{00000000-0005-0000-0000-0000B70F0000}"/>
    <cellStyle name="20% - Énfasis6 2 2 2 2 2 2 2 2" xfId="22633" xr:uid="{00000000-0005-0000-0000-0000B80F0000}"/>
    <cellStyle name="20% - Énfasis6 2 2 2 2 2 2 2 2 2" xfId="45276" xr:uid="{00000000-0005-0000-0000-0000B90F0000}"/>
    <cellStyle name="20% - Énfasis6 2 2 2 2 2 2 2 3" xfId="15193" xr:uid="{00000000-0005-0000-0000-0000BA0F0000}"/>
    <cellStyle name="20% - Énfasis6 2 2 2 2 2 2 2 3 2" xfId="37836" xr:uid="{00000000-0005-0000-0000-0000BB0F0000}"/>
    <cellStyle name="20% - Énfasis6 2 2 2 2 2 2 2 4" xfId="30395" xr:uid="{00000000-0005-0000-0000-0000BC0F0000}"/>
    <cellStyle name="20% - Énfasis6 2 2 2 2 2 2 3" xfId="18915" xr:uid="{00000000-0005-0000-0000-0000BD0F0000}"/>
    <cellStyle name="20% - Énfasis6 2 2 2 2 2 2 3 2" xfId="41558" xr:uid="{00000000-0005-0000-0000-0000BE0F0000}"/>
    <cellStyle name="20% - Énfasis6 2 2 2 2 2 2 4" xfId="11475" xr:uid="{00000000-0005-0000-0000-0000BF0F0000}"/>
    <cellStyle name="20% - Énfasis6 2 2 2 2 2 2 4 2" xfId="34118" xr:uid="{00000000-0005-0000-0000-0000C00F0000}"/>
    <cellStyle name="20% - Énfasis6 2 2 2 2 2 2 5" xfId="26677" xr:uid="{00000000-0005-0000-0000-0000C10F0000}"/>
    <cellStyle name="20% - Énfasis6 2 2 2 2 2 3" xfId="5902" xr:uid="{00000000-0005-0000-0000-0000C20F0000}"/>
    <cellStyle name="20% - Énfasis6 2 2 2 2 2 3 2" xfId="20786" xr:uid="{00000000-0005-0000-0000-0000C30F0000}"/>
    <cellStyle name="20% - Énfasis6 2 2 2 2 2 3 2 2" xfId="43429" xr:uid="{00000000-0005-0000-0000-0000C40F0000}"/>
    <cellStyle name="20% - Énfasis6 2 2 2 2 2 3 3" xfId="13346" xr:uid="{00000000-0005-0000-0000-0000C50F0000}"/>
    <cellStyle name="20% - Énfasis6 2 2 2 2 2 3 3 2" xfId="35989" xr:uid="{00000000-0005-0000-0000-0000C60F0000}"/>
    <cellStyle name="20% - Énfasis6 2 2 2 2 2 3 4" xfId="28548" xr:uid="{00000000-0005-0000-0000-0000C70F0000}"/>
    <cellStyle name="20% - Énfasis6 2 2 2 2 2 4" xfId="17068" xr:uid="{00000000-0005-0000-0000-0000C80F0000}"/>
    <cellStyle name="20% - Énfasis6 2 2 2 2 2 4 2" xfId="39711" xr:uid="{00000000-0005-0000-0000-0000C90F0000}"/>
    <cellStyle name="20% - Énfasis6 2 2 2 2 2 5" xfId="9628" xr:uid="{00000000-0005-0000-0000-0000CA0F0000}"/>
    <cellStyle name="20% - Énfasis6 2 2 2 2 2 5 2" xfId="32271" xr:uid="{00000000-0005-0000-0000-0000CB0F0000}"/>
    <cellStyle name="20% - Énfasis6 2 2 2 2 2 6" xfId="24830" xr:uid="{00000000-0005-0000-0000-0000CC0F0000}"/>
    <cellStyle name="20% - Énfasis6 2 2 2 2 3" xfId="3103" xr:uid="{00000000-0005-0000-0000-0000CD0F0000}"/>
    <cellStyle name="20% - Énfasis6 2 2 2 2 3 2" xfId="6824" xr:uid="{00000000-0005-0000-0000-0000CE0F0000}"/>
    <cellStyle name="20% - Énfasis6 2 2 2 2 3 2 2" xfId="21708" xr:uid="{00000000-0005-0000-0000-0000CF0F0000}"/>
    <cellStyle name="20% - Énfasis6 2 2 2 2 3 2 2 2" xfId="44351" xr:uid="{00000000-0005-0000-0000-0000D00F0000}"/>
    <cellStyle name="20% - Énfasis6 2 2 2 2 3 2 3" xfId="14268" xr:uid="{00000000-0005-0000-0000-0000D10F0000}"/>
    <cellStyle name="20% - Énfasis6 2 2 2 2 3 2 3 2" xfId="36911" xr:uid="{00000000-0005-0000-0000-0000D20F0000}"/>
    <cellStyle name="20% - Énfasis6 2 2 2 2 3 2 4" xfId="29470" xr:uid="{00000000-0005-0000-0000-0000D30F0000}"/>
    <cellStyle name="20% - Énfasis6 2 2 2 2 3 3" xfId="17990" xr:uid="{00000000-0005-0000-0000-0000D40F0000}"/>
    <cellStyle name="20% - Énfasis6 2 2 2 2 3 3 2" xfId="40633" xr:uid="{00000000-0005-0000-0000-0000D50F0000}"/>
    <cellStyle name="20% - Énfasis6 2 2 2 2 3 4" xfId="10550" xr:uid="{00000000-0005-0000-0000-0000D60F0000}"/>
    <cellStyle name="20% - Énfasis6 2 2 2 2 3 4 2" xfId="33193" xr:uid="{00000000-0005-0000-0000-0000D70F0000}"/>
    <cellStyle name="20% - Énfasis6 2 2 2 2 3 5" xfId="25752" xr:uid="{00000000-0005-0000-0000-0000D80F0000}"/>
    <cellStyle name="20% - Énfasis6 2 2 2 2 4" xfId="4977" xr:uid="{00000000-0005-0000-0000-0000D90F0000}"/>
    <cellStyle name="20% - Énfasis6 2 2 2 2 4 2" xfId="19861" xr:uid="{00000000-0005-0000-0000-0000DA0F0000}"/>
    <cellStyle name="20% - Énfasis6 2 2 2 2 4 2 2" xfId="42504" xr:uid="{00000000-0005-0000-0000-0000DB0F0000}"/>
    <cellStyle name="20% - Énfasis6 2 2 2 2 4 3" xfId="12421" xr:uid="{00000000-0005-0000-0000-0000DC0F0000}"/>
    <cellStyle name="20% - Énfasis6 2 2 2 2 4 3 2" xfId="35064" xr:uid="{00000000-0005-0000-0000-0000DD0F0000}"/>
    <cellStyle name="20% - Énfasis6 2 2 2 2 4 4" xfId="27623" xr:uid="{00000000-0005-0000-0000-0000DE0F0000}"/>
    <cellStyle name="20% - Énfasis6 2 2 2 2 5" xfId="1250" xr:uid="{00000000-0005-0000-0000-0000DF0F0000}"/>
    <cellStyle name="20% - Énfasis6 2 2 2 2 5 2" xfId="16143" xr:uid="{00000000-0005-0000-0000-0000E00F0000}"/>
    <cellStyle name="20% - Énfasis6 2 2 2 2 5 2 2" xfId="38786" xr:uid="{00000000-0005-0000-0000-0000E10F0000}"/>
    <cellStyle name="20% - Énfasis6 2 2 2 2 5 3" xfId="23905" xr:uid="{00000000-0005-0000-0000-0000E20F0000}"/>
    <cellStyle name="20% - Énfasis6 2 2 2 2 6" xfId="8703" xr:uid="{00000000-0005-0000-0000-0000E30F0000}"/>
    <cellStyle name="20% - Énfasis6 2 2 2 2 6 2" xfId="31346" xr:uid="{00000000-0005-0000-0000-0000E40F0000}"/>
    <cellStyle name="20% - Énfasis6 2 2 2 2 7" xfId="23044" xr:uid="{00000000-0005-0000-0000-0000E50F0000}"/>
    <cellStyle name="20% - Énfasis6 2 2 2 3" xfId="1716" xr:uid="{00000000-0005-0000-0000-0000E60F0000}"/>
    <cellStyle name="20% - Énfasis6 2 2 2 3 2" xfId="3566" xr:uid="{00000000-0005-0000-0000-0000E70F0000}"/>
    <cellStyle name="20% - Énfasis6 2 2 2 3 2 2" xfId="7287" xr:uid="{00000000-0005-0000-0000-0000E80F0000}"/>
    <cellStyle name="20% - Énfasis6 2 2 2 3 2 2 2" xfId="22171" xr:uid="{00000000-0005-0000-0000-0000E90F0000}"/>
    <cellStyle name="20% - Énfasis6 2 2 2 3 2 2 2 2" xfId="44814" xr:uid="{00000000-0005-0000-0000-0000EA0F0000}"/>
    <cellStyle name="20% - Énfasis6 2 2 2 3 2 2 3" xfId="14731" xr:uid="{00000000-0005-0000-0000-0000EB0F0000}"/>
    <cellStyle name="20% - Énfasis6 2 2 2 3 2 2 3 2" xfId="37374" xr:uid="{00000000-0005-0000-0000-0000EC0F0000}"/>
    <cellStyle name="20% - Énfasis6 2 2 2 3 2 2 4" xfId="29933" xr:uid="{00000000-0005-0000-0000-0000ED0F0000}"/>
    <cellStyle name="20% - Énfasis6 2 2 2 3 2 3" xfId="18453" xr:uid="{00000000-0005-0000-0000-0000EE0F0000}"/>
    <cellStyle name="20% - Énfasis6 2 2 2 3 2 3 2" xfId="41096" xr:uid="{00000000-0005-0000-0000-0000EF0F0000}"/>
    <cellStyle name="20% - Énfasis6 2 2 2 3 2 4" xfId="11013" xr:uid="{00000000-0005-0000-0000-0000F00F0000}"/>
    <cellStyle name="20% - Énfasis6 2 2 2 3 2 4 2" xfId="33656" xr:uid="{00000000-0005-0000-0000-0000F10F0000}"/>
    <cellStyle name="20% - Énfasis6 2 2 2 3 2 5" xfId="26215" xr:uid="{00000000-0005-0000-0000-0000F20F0000}"/>
    <cellStyle name="20% - Énfasis6 2 2 2 3 3" xfId="5440" xr:uid="{00000000-0005-0000-0000-0000F30F0000}"/>
    <cellStyle name="20% - Énfasis6 2 2 2 3 3 2" xfId="20324" xr:uid="{00000000-0005-0000-0000-0000F40F0000}"/>
    <cellStyle name="20% - Énfasis6 2 2 2 3 3 2 2" xfId="42967" xr:uid="{00000000-0005-0000-0000-0000F50F0000}"/>
    <cellStyle name="20% - Énfasis6 2 2 2 3 3 3" xfId="12884" xr:uid="{00000000-0005-0000-0000-0000F60F0000}"/>
    <cellStyle name="20% - Énfasis6 2 2 2 3 3 3 2" xfId="35527" xr:uid="{00000000-0005-0000-0000-0000F70F0000}"/>
    <cellStyle name="20% - Énfasis6 2 2 2 3 3 4" xfId="28086" xr:uid="{00000000-0005-0000-0000-0000F80F0000}"/>
    <cellStyle name="20% - Énfasis6 2 2 2 3 4" xfId="16606" xr:uid="{00000000-0005-0000-0000-0000F90F0000}"/>
    <cellStyle name="20% - Énfasis6 2 2 2 3 4 2" xfId="39249" xr:uid="{00000000-0005-0000-0000-0000FA0F0000}"/>
    <cellStyle name="20% - Énfasis6 2 2 2 3 5" xfId="9166" xr:uid="{00000000-0005-0000-0000-0000FB0F0000}"/>
    <cellStyle name="20% - Énfasis6 2 2 2 3 5 2" xfId="31809" xr:uid="{00000000-0005-0000-0000-0000FC0F0000}"/>
    <cellStyle name="20% - Énfasis6 2 2 2 3 6" xfId="24368" xr:uid="{00000000-0005-0000-0000-0000FD0F0000}"/>
    <cellStyle name="20% - Énfasis6 2 2 2 4" xfId="2641" xr:uid="{00000000-0005-0000-0000-0000FE0F0000}"/>
    <cellStyle name="20% - Énfasis6 2 2 2 4 2" xfId="6362" xr:uid="{00000000-0005-0000-0000-0000FF0F0000}"/>
    <cellStyle name="20% - Énfasis6 2 2 2 4 2 2" xfId="21246" xr:uid="{00000000-0005-0000-0000-000000100000}"/>
    <cellStyle name="20% - Énfasis6 2 2 2 4 2 2 2" xfId="43889" xr:uid="{00000000-0005-0000-0000-000001100000}"/>
    <cellStyle name="20% - Énfasis6 2 2 2 4 2 3" xfId="13806" xr:uid="{00000000-0005-0000-0000-000002100000}"/>
    <cellStyle name="20% - Énfasis6 2 2 2 4 2 3 2" xfId="36449" xr:uid="{00000000-0005-0000-0000-000003100000}"/>
    <cellStyle name="20% - Énfasis6 2 2 2 4 2 4" xfId="29008" xr:uid="{00000000-0005-0000-0000-000004100000}"/>
    <cellStyle name="20% - Énfasis6 2 2 2 4 3" xfId="17528" xr:uid="{00000000-0005-0000-0000-000005100000}"/>
    <cellStyle name="20% - Énfasis6 2 2 2 4 3 2" xfId="40171" xr:uid="{00000000-0005-0000-0000-000006100000}"/>
    <cellStyle name="20% - Énfasis6 2 2 2 4 4" xfId="10088" xr:uid="{00000000-0005-0000-0000-000007100000}"/>
    <cellStyle name="20% - Énfasis6 2 2 2 4 4 2" xfId="32731" xr:uid="{00000000-0005-0000-0000-000008100000}"/>
    <cellStyle name="20% - Énfasis6 2 2 2 4 5" xfId="25290" xr:uid="{00000000-0005-0000-0000-000009100000}"/>
    <cellStyle name="20% - Énfasis6 2 2 2 5" xfId="4515" xr:uid="{00000000-0005-0000-0000-00000A100000}"/>
    <cellStyle name="20% - Énfasis6 2 2 2 5 2" xfId="19399" xr:uid="{00000000-0005-0000-0000-00000B100000}"/>
    <cellStyle name="20% - Énfasis6 2 2 2 5 2 2" xfId="42042" xr:uid="{00000000-0005-0000-0000-00000C100000}"/>
    <cellStyle name="20% - Énfasis6 2 2 2 5 3" xfId="11959" xr:uid="{00000000-0005-0000-0000-00000D100000}"/>
    <cellStyle name="20% - Énfasis6 2 2 2 5 3 2" xfId="34602" xr:uid="{00000000-0005-0000-0000-00000E100000}"/>
    <cellStyle name="20% - Énfasis6 2 2 2 5 4" xfId="27161" xr:uid="{00000000-0005-0000-0000-00000F100000}"/>
    <cellStyle name="20% - Énfasis6 2 2 2 6" xfId="785" xr:uid="{00000000-0005-0000-0000-000010100000}"/>
    <cellStyle name="20% - Énfasis6 2 2 2 6 2" xfId="15681" xr:uid="{00000000-0005-0000-0000-000011100000}"/>
    <cellStyle name="20% - Énfasis6 2 2 2 6 2 2" xfId="38324" xr:uid="{00000000-0005-0000-0000-000012100000}"/>
    <cellStyle name="20% - Énfasis6 2 2 2 6 3" xfId="23443" xr:uid="{00000000-0005-0000-0000-000013100000}"/>
    <cellStyle name="20% - Énfasis6 2 2 2 7" xfId="8241" xr:uid="{00000000-0005-0000-0000-000014100000}"/>
    <cellStyle name="20% - Énfasis6 2 2 2 7 2" xfId="30884" xr:uid="{00000000-0005-0000-0000-000015100000}"/>
    <cellStyle name="20% - Énfasis6 2 2 2 8" xfId="22888" xr:uid="{00000000-0005-0000-0000-000016100000}"/>
    <cellStyle name="20% - Énfasis6 2 2 3" xfId="268" xr:uid="{00000000-0005-0000-0000-000017100000}"/>
    <cellStyle name="20% - Énfasis6 2 2 3 2" xfId="1967" xr:uid="{00000000-0005-0000-0000-000018100000}"/>
    <cellStyle name="20% - Énfasis6 2 2 3 2 2" xfId="3817" xr:uid="{00000000-0005-0000-0000-000019100000}"/>
    <cellStyle name="20% - Énfasis6 2 2 3 2 2 2" xfId="7538" xr:uid="{00000000-0005-0000-0000-00001A100000}"/>
    <cellStyle name="20% - Énfasis6 2 2 3 2 2 2 2" xfId="22422" xr:uid="{00000000-0005-0000-0000-00001B100000}"/>
    <cellStyle name="20% - Énfasis6 2 2 3 2 2 2 2 2" xfId="45065" xr:uid="{00000000-0005-0000-0000-00001C100000}"/>
    <cellStyle name="20% - Énfasis6 2 2 3 2 2 2 3" xfId="14982" xr:uid="{00000000-0005-0000-0000-00001D100000}"/>
    <cellStyle name="20% - Énfasis6 2 2 3 2 2 2 3 2" xfId="37625" xr:uid="{00000000-0005-0000-0000-00001E100000}"/>
    <cellStyle name="20% - Énfasis6 2 2 3 2 2 2 4" xfId="30184" xr:uid="{00000000-0005-0000-0000-00001F100000}"/>
    <cellStyle name="20% - Énfasis6 2 2 3 2 2 3" xfId="18704" xr:uid="{00000000-0005-0000-0000-000020100000}"/>
    <cellStyle name="20% - Énfasis6 2 2 3 2 2 3 2" xfId="41347" xr:uid="{00000000-0005-0000-0000-000021100000}"/>
    <cellStyle name="20% - Énfasis6 2 2 3 2 2 4" xfId="11264" xr:uid="{00000000-0005-0000-0000-000022100000}"/>
    <cellStyle name="20% - Énfasis6 2 2 3 2 2 4 2" xfId="33907" xr:uid="{00000000-0005-0000-0000-000023100000}"/>
    <cellStyle name="20% - Énfasis6 2 2 3 2 2 5" xfId="26466" xr:uid="{00000000-0005-0000-0000-000024100000}"/>
    <cellStyle name="20% - Énfasis6 2 2 3 2 3" xfId="5691" xr:uid="{00000000-0005-0000-0000-000025100000}"/>
    <cellStyle name="20% - Énfasis6 2 2 3 2 3 2" xfId="20575" xr:uid="{00000000-0005-0000-0000-000026100000}"/>
    <cellStyle name="20% - Énfasis6 2 2 3 2 3 2 2" xfId="43218" xr:uid="{00000000-0005-0000-0000-000027100000}"/>
    <cellStyle name="20% - Énfasis6 2 2 3 2 3 3" xfId="13135" xr:uid="{00000000-0005-0000-0000-000028100000}"/>
    <cellStyle name="20% - Énfasis6 2 2 3 2 3 3 2" xfId="35778" xr:uid="{00000000-0005-0000-0000-000029100000}"/>
    <cellStyle name="20% - Énfasis6 2 2 3 2 3 4" xfId="28337" xr:uid="{00000000-0005-0000-0000-00002A100000}"/>
    <cellStyle name="20% - Énfasis6 2 2 3 2 4" xfId="16857" xr:uid="{00000000-0005-0000-0000-00002B100000}"/>
    <cellStyle name="20% - Énfasis6 2 2 3 2 4 2" xfId="39500" xr:uid="{00000000-0005-0000-0000-00002C100000}"/>
    <cellStyle name="20% - Énfasis6 2 2 3 2 5" xfId="9417" xr:uid="{00000000-0005-0000-0000-00002D100000}"/>
    <cellStyle name="20% - Énfasis6 2 2 3 2 5 2" xfId="32060" xr:uid="{00000000-0005-0000-0000-00002E100000}"/>
    <cellStyle name="20% - Énfasis6 2 2 3 2 6" xfId="24619" xr:uid="{00000000-0005-0000-0000-00002F100000}"/>
    <cellStyle name="20% - Énfasis6 2 2 3 3" xfId="2892" xr:uid="{00000000-0005-0000-0000-000030100000}"/>
    <cellStyle name="20% - Énfasis6 2 2 3 3 2" xfId="6613" xr:uid="{00000000-0005-0000-0000-000031100000}"/>
    <cellStyle name="20% - Énfasis6 2 2 3 3 2 2" xfId="21497" xr:uid="{00000000-0005-0000-0000-000032100000}"/>
    <cellStyle name="20% - Énfasis6 2 2 3 3 2 2 2" xfId="44140" xr:uid="{00000000-0005-0000-0000-000033100000}"/>
    <cellStyle name="20% - Énfasis6 2 2 3 3 2 3" xfId="14057" xr:uid="{00000000-0005-0000-0000-000034100000}"/>
    <cellStyle name="20% - Énfasis6 2 2 3 3 2 3 2" xfId="36700" xr:uid="{00000000-0005-0000-0000-000035100000}"/>
    <cellStyle name="20% - Énfasis6 2 2 3 3 2 4" xfId="29259" xr:uid="{00000000-0005-0000-0000-000036100000}"/>
    <cellStyle name="20% - Énfasis6 2 2 3 3 3" xfId="17779" xr:uid="{00000000-0005-0000-0000-000037100000}"/>
    <cellStyle name="20% - Énfasis6 2 2 3 3 3 2" xfId="40422" xr:uid="{00000000-0005-0000-0000-000038100000}"/>
    <cellStyle name="20% - Énfasis6 2 2 3 3 4" xfId="10339" xr:uid="{00000000-0005-0000-0000-000039100000}"/>
    <cellStyle name="20% - Énfasis6 2 2 3 3 4 2" xfId="32982" xr:uid="{00000000-0005-0000-0000-00003A100000}"/>
    <cellStyle name="20% - Énfasis6 2 2 3 3 5" xfId="25541" xr:uid="{00000000-0005-0000-0000-00003B100000}"/>
    <cellStyle name="20% - Énfasis6 2 2 3 4" xfId="4766" xr:uid="{00000000-0005-0000-0000-00003C100000}"/>
    <cellStyle name="20% - Énfasis6 2 2 3 4 2" xfId="19650" xr:uid="{00000000-0005-0000-0000-00003D100000}"/>
    <cellStyle name="20% - Énfasis6 2 2 3 4 2 2" xfId="42293" xr:uid="{00000000-0005-0000-0000-00003E100000}"/>
    <cellStyle name="20% - Énfasis6 2 2 3 4 3" xfId="12210" xr:uid="{00000000-0005-0000-0000-00003F100000}"/>
    <cellStyle name="20% - Énfasis6 2 2 3 4 3 2" xfId="34853" xr:uid="{00000000-0005-0000-0000-000040100000}"/>
    <cellStyle name="20% - Énfasis6 2 2 3 4 4" xfId="27412" xr:uid="{00000000-0005-0000-0000-000041100000}"/>
    <cellStyle name="20% - Énfasis6 2 2 3 5" xfId="1039" xr:uid="{00000000-0005-0000-0000-000042100000}"/>
    <cellStyle name="20% - Énfasis6 2 2 3 5 2" xfId="15932" xr:uid="{00000000-0005-0000-0000-000043100000}"/>
    <cellStyle name="20% - Énfasis6 2 2 3 5 2 2" xfId="38575" xr:uid="{00000000-0005-0000-0000-000044100000}"/>
    <cellStyle name="20% - Énfasis6 2 2 3 5 3" xfId="23694" xr:uid="{00000000-0005-0000-0000-000045100000}"/>
    <cellStyle name="20% - Énfasis6 2 2 3 6" xfId="8492" xr:uid="{00000000-0005-0000-0000-000046100000}"/>
    <cellStyle name="20% - Énfasis6 2 2 3 6 2" xfId="31135" xr:uid="{00000000-0005-0000-0000-000047100000}"/>
    <cellStyle name="20% - Énfasis6 2 2 3 7" xfId="22966" xr:uid="{00000000-0005-0000-0000-000048100000}"/>
    <cellStyle name="20% - Énfasis6 2 2 4" xfId="1505" xr:uid="{00000000-0005-0000-0000-000049100000}"/>
    <cellStyle name="20% - Énfasis6 2 2 4 2" xfId="3355" xr:uid="{00000000-0005-0000-0000-00004A100000}"/>
    <cellStyle name="20% - Énfasis6 2 2 4 2 2" xfId="7076" xr:uid="{00000000-0005-0000-0000-00004B100000}"/>
    <cellStyle name="20% - Énfasis6 2 2 4 2 2 2" xfId="21960" xr:uid="{00000000-0005-0000-0000-00004C100000}"/>
    <cellStyle name="20% - Énfasis6 2 2 4 2 2 2 2" xfId="44603" xr:uid="{00000000-0005-0000-0000-00004D100000}"/>
    <cellStyle name="20% - Énfasis6 2 2 4 2 2 3" xfId="14520" xr:uid="{00000000-0005-0000-0000-00004E100000}"/>
    <cellStyle name="20% - Énfasis6 2 2 4 2 2 3 2" xfId="37163" xr:uid="{00000000-0005-0000-0000-00004F100000}"/>
    <cellStyle name="20% - Énfasis6 2 2 4 2 2 4" xfId="29722" xr:uid="{00000000-0005-0000-0000-000050100000}"/>
    <cellStyle name="20% - Énfasis6 2 2 4 2 3" xfId="18242" xr:uid="{00000000-0005-0000-0000-000051100000}"/>
    <cellStyle name="20% - Énfasis6 2 2 4 2 3 2" xfId="40885" xr:uid="{00000000-0005-0000-0000-000052100000}"/>
    <cellStyle name="20% - Énfasis6 2 2 4 2 4" xfId="10802" xr:uid="{00000000-0005-0000-0000-000053100000}"/>
    <cellStyle name="20% - Énfasis6 2 2 4 2 4 2" xfId="33445" xr:uid="{00000000-0005-0000-0000-000054100000}"/>
    <cellStyle name="20% - Énfasis6 2 2 4 2 5" xfId="26004" xr:uid="{00000000-0005-0000-0000-000055100000}"/>
    <cellStyle name="20% - Énfasis6 2 2 4 3" xfId="5229" xr:uid="{00000000-0005-0000-0000-000056100000}"/>
    <cellStyle name="20% - Énfasis6 2 2 4 3 2" xfId="20113" xr:uid="{00000000-0005-0000-0000-000057100000}"/>
    <cellStyle name="20% - Énfasis6 2 2 4 3 2 2" xfId="42756" xr:uid="{00000000-0005-0000-0000-000058100000}"/>
    <cellStyle name="20% - Énfasis6 2 2 4 3 3" xfId="12673" xr:uid="{00000000-0005-0000-0000-000059100000}"/>
    <cellStyle name="20% - Énfasis6 2 2 4 3 3 2" xfId="35316" xr:uid="{00000000-0005-0000-0000-00005A100000}"/>
    <cellStyle name="20% - Énfasis6 2 2 4 3 4" xfId="27875" xr:uid="{00000000-0005-0000-0000-00005B100000}"/>
    <cellStyle name="20% - Énfasis6 2 2 4 4" xfId="16395" xr:uid="{00000000-0005-0000-0000-00005C100000}"/>
    <cellStyle name="20% - Énfasis6 2 2 4 4 2" xfId="39038" xr:uid="{00000000-0005-0000-0000-00005D100000}"/>
    <cellStyle name="20% - Énfasis6 2 2 4 5" xfId="8955" xr:uid="{00000000-0005-0000-0000-00005E100000}"/>
    <cellStyle name="20% - Énfasis6 2 2 4 5 2" xfId="31598" xr:uid="{00000000-0005-0000-0000-00005F100000}"/>
    <cellStyle name="20% - Énfasis6 2 2 4 6" xfId="24157" xr:uid="{00000000-0005-0000-0000-000060100000}"/>
    <cellStyle name="20% - Énfasis6 2 2 5" xfId="2430" xr:uid="{00000000-0005-0000-0000-000061100000}"/>
    <cellStyle name="20% - Énfasis6 2 2 5 2" xfId="6151" xr:uid="{00000000-0005-0000-0000-000062100000}"/>
    <cellStyle name="20% - Énfasis6 2 2 5 2 2" xfId="21035" xr:uid="{00000000-0005-0000-0000-000063100000}"/>
    <cellStyle name="20% - Énfasis6 2 2 5 2 2 2" xfId="43678" xr:uid="{00000000-0005-0000-0000-000064100000}"/>
    <cellStyle name="20% - Énfasis6 2 2 5 2 3" xfId="13595" xr:uid="{00000000-0005-0000-0000-000065100000}"/>
    <cellStyle name="20% - Énfasis6 2 2 5 2 3 2" xfId="36238" xr:uid="{00000000-0005-0000-0000-000066100000}"/>
    <cellStyle name="20% - Énfasis6 2 2 5 2 4" xfId="28797" xr:uid="{00000000-0005-0000-0000-000067100000}"/>
    <cellStyle name="20% - Énfasis6 2 2 5 3" xfId="17317" xr:uid="{00000000-0005-0000-0000-000068100000}"/>
    <cellStyle name="20% - Énfasis6 2 2 5 3 2" xfId="39960" xr:uid="{00000000-0005-0000-0000-000069100000}"/>
    <cellStyle name="20% - Énfasis6 2 2 5 4" xfId="9877" xr:uid="{00000000-0005-0000-0000-00006A100000}"/>
    <cellStyle name="20% - Énfasis6 2 2 5 4 2" xfId="32520" xr:uid="{00000000-0005-0000-0000-00006B100000}"/>
    <cellStyle name="20% - Énfasis6 2 2 5 5" xfId="25079" xr:uid="{00000000-0005-0000-0000-00006C100000}"/>
    <cellStyle name="20% - Énfasis6 2 2 6" xfId="4304" xr:uid="{00000000-0005-0000-0000-00006D100000}"/>
    <cellStyle name="20% - Énfasis6 2 2 6 2" xfId="19188" xr:uid="{00000000-0005-0000-0000-00006E100000}"/>
    <cellStyle name="20% - Énfasis6 2 2 6 2 2" xfId="41831" xr:uid="{00000000-0005-0000-0000-00006F100000}"/>
    <cellStyle name="20% - Énfasis6 2 2 6 3" xfId="11748" xr:uid="{00000000-0005-0000-0000-000070100000}"/>
    <cellStyle name="20% - Énfasis6 2 2 6 3 2" xfId="34391" xr:uid="{00000000-0005-0000-0000-000071100000}"/>
    <cellStyle name="20% - Énfasis6 2 2 6 4" xfId="26950" xr:uid="{00000000-0005-0000-0000-000072100000}"/>
    <cellStyle name="20% - Énfasis6 2 2 7" xfId="573" xr:uid="{00000000-0005-0000-0000-000073100000}"/>
    <cellStyle name="20% - Énfasis6 2 2 7 2" xfId="15470" xr:uid="{00000000-0005-0000-0000-000074100000}"/>
    <cellStyle name="20% - Énfasis6 2 2 7 2 2" xfId="38113" xr:uid="{00000000-0005-0000-0000-000075100000}"/>
    <cellStyle name="20% - Énfasis6 2 2 7 3" xfId="23233" xr:uid="{00000000-0005-0000-0000-000076100000}"/>
    <cellStyle name="20% - Énfasis6 2 2 8" xfId="8030" xr:uid="{00000000-0005-0000-0000-000077100000}"/>
    <cellStyle name="20% - Énfasis6 2 2 8 2" xfId="30673" xr:uid="{00000000-0005-0000-0000-000078100000}"/>
    <cellStyle name="20% - Énfasis6 2 2 9" xfId="22810" xr:uid="{00000000-0005-0000-0000-000079100000}"/>
    <cellStyle name="20% - Énfasis6 2 3" xfId="144" xr:uid="{00000000-0005-0000-0000-00007A100000}"/>
    <cellStyle name="20% - Énfasis6 2 3 2" xfId="307" xr:uid="{00000000-0005-0000-0000-00007B100000}"/>
    <cellStyle name="20% - Énfasis6 2 3 2 2" xfId="2073" xr:uid="{00000000-0005-0000-0000-00007C100000}"/>
    <cellStyle name="20% - Énfasis6 2 3 2 2 2" xfId="3923" xr:uid="{00000000-0005-0000-0000-00007D100000}"/>
    <cellStyle name="20% - Énfasis6 2 3 2 2 2 2" xfId="7644" xr:uid="{00000000-0005-0000-0000-00007E100000}"/>
    <cellStyle name="20% - Énfasis6 2 3 2 2 2 2 2" xfId="22528" xr:uid="{00000000-0005-0000-0000-00007F100000}"/>
    <cellStyle name="20% - Énfasis6 2 3 2 2 2 2 2 2" xfId="45171" xr:uid="{00000000-0005-0000-0000-000080100000}"/>
    <cellStyle name="20% - Énfasis6 2 3 2 2 2 2 3" xfId="15088" xr:uid="{00000000-0005-0000-0000-000081100000}"/>
    <cellStyle name="20% - Énfasis6 2 3 2 2 2 2 3 2" xfId="37731" xr:uid="{00000000-0005-0000-0000-000082100000}"/>
    <cellStyle name="20% - Énfasis6 2 3 2 2 2 2 4" xfId="30290" xr:uid="{00000000-0005-0000-0000-000083100000}"/>
    <cellStyle name="20% - Énfasis6 2 3 2 2 2 3" xfId="18810" xr:uid="{00000000-0005-0000-0000-000084100000}"/>
    <cellStyle name="20% - Énfasis6 2 3 2 2 2 3 2" xfId="41453" xr:uid="{00000000-0005-0000-0000-000085100000}"/>
    <cellStyle name="20% - Énfasis6 2 3 2 2 2 4" xfId="11370" xr:uid="{00000000-0005-0000-0000-000086100000}"/>
    <cellStyle name="20% - Énfasis6 2 3 2 2 2 4 2" xfId="34013" xr:uid="{00000000-0005-0000-0000-000087100000}"/>
    <cellStyle name="20% - Énfasis6 2 3 2 2 2 5" xfId="26572" xr:uid="{00000000-0005-0000-0000-000088100000}"/>
    <cellStyle name="20% - Énfasis6 2 3 2 2 3" xfId="5797" xr:uid="{00000000-0005-0000-0000-000089100000}"/>
    <cellStyle name="20% - Énfasis6 2 3 2 2 3 2" xfId="20681" xr:uid="{00000000-0005-0000-0000-00008A100000}"/>
    <cellStyle name="20% - Énfasis6 2 3 2 2 3 2 2" xfId="43324" xr:uid="{00000000-0005-0000-0000-00008B100000}"/>
    <cellStyle name="20% - Énfasis6 2 3 2 2 3 3" xfId="13241" xr:uid="{00000000-0005-0000-0000-00008C100000}"/>
    <cellStyle name="20% - Énfasis6 2 3 2 2 3 3 2" xfId="35884" xr:uid="{00000000-0005-0000-0000-00008D100000}"/>
    <cellStyle name="20% - Énfasis6 2 3 2 2 3 4" xfId="28443" xr:uid="{00000000-0005-0000-0000-00008E100000}"/>
    <cellStyle name="20% - Énfasis6 2 3 2 2 4" xfId="16963" xr:uid="{00000000-0005-0000-0000-00008F100000}"/>
    <cellStyle name="20% - Énfasis6 2 3 2 2 4 2" xfId="39606" xr:uid="{00000000-0005-0000-0000-000090100000}"/>
    <cellStyle name="20% - Énfasis6 2 3 2 2 5" xfId="9523" xr:uid="{00000000-0005-0000-0000-000091100000}"/>
    <cellStyle name="20% - Énfasis6 2 3 2 2 5 2" xfId="32166" xr:uid="{00000000-0005-0000-0000-000092100000}"/>
    <cellStyle name="20% - Énfasis6 2 3 2 2 6" xfId="24725" xr:uid="{00000000-0005-0000-0000-000093100000}"/>
    <cellStyle name="20% - Énfasis6 2 3 2 3" xfId="2998" xr:uid="{00000000-0005-0000-0000-000094100000}"/>
    <cellStyle name="20% - Énfasis6 2 3 2 3 2" xfId="6719" xr:uid="{00000000-0005-0000-0000-000095100000}"/>
    <cellStyle name="20% - Énfasis6 2 3 2 3 2 2" xfId="21603" xr:uid="{00000000-0005-0000-0000-000096100000}"/>
    <cellStyle name="20% - Énfasis6 2 3 2 3 2 2 2" xfId="44246" xr:uid="{00000000-0005-0000-0000-000097100000}"/>
    <cellStyle name="20% - Énfasis6 2 3 2 3 2 3" xfId="14163" xr:uid="{00000000-0005-0000-0000-000098100000}"/>
    <cellStyle name="20% - Énfasis6 2 3 2 3 2 3 2" xfId="36806" xr:uid="{00000000-0005-0000-0000-000099100000}"/>
    <cellStyle name="20% - Énfasis6 2 3 2 3 2 4" xfId="29365" xr:uid="{00000000-0005-0000-0000-00009A100000}"/>
    <cellStyle name="20% - Énfasis6 2 3 2 3 3" xfId="17885" xr:uid="{00000000-0005-0000-0000-00009B100000}"/>
    <cellStyle name="20% - Énfasis6 2 3 2 3 3 2" xfId="40528" xr:uid="{00000000-0005-0000-0000-00009C100000}"/>
    <cellStyle name="20% - Énfasis6 2 3 2 3 4" xfId="10445" xr:uid="{00000000-0005-0000-0000-00009D100000}"/>
    <cellStyle name="20% - Énfasis6 2 3 2 3 4 2" xfId="33088" xr:uid="{00000000-0005-0000-0000-00009E100000}"/>
    <cellStyle name="20% - Énfasis6 2 3 2 3 5" xfId="25647" xr:uid="{00000000-0005-0000-0000-00009F100000}"/>
    <cellStyle name="20% - Énfasis6 2 3 2 4" xfId="4872" xr:uid="{00000000-0005-0000-0000-0000A0100000}"/>
    <cellStyle name="20% - Énfasis6 2 3 2 4 2" xfId="19756" xr:uid="{00000000-0005-0000-0000-0000A1100000}"/>
    <cellStyle name="20% - Énfasis6 2 3 2 4 2 2" xfId="42399" xr:uid="{00000000-0005-0000-0000-0000A2100000}"/>
    <cellStyle name="20% - Énfasis6 2 3 2 4 3" xfId="12316" xr:uid="{00000000-0005-0000-0000-0000A3100000}"/>
    <cellStyle name="20% - Énfasis6 2 3 2 4 3 2" xfId="34959" xr:uid="{00000000-0005-0000-0000-0000A4100000}"/>
    <cellStyle name="20% - Énfasis6 2 3 2 4 4" xfId="27518" xr:uid="{00000000-0005-0000-0000-0000A5100000}"/>
    <cellStyle name="20% - Énfasis6 2 3 2 5" xfId="1145" xr:uid="{00000000-0005-0000-0000-0000A6100000}"/>
    <cellStyle name="20% - Énfasis6 2 3 2 5 2" xfId="16038" xr:uid="{00000000-0005-0000-0000-0000A7100000}"/>
    <cellStyle name="20% - Énfasis6 2 3 2 5 2 2" xfId="38681" xr:uid="{00000000-0005-0000-0000-0000A8100000}"/>
    <cellStyle name="20% - Énfasis6 2 3 2 5 3" xfId="23800" xr:uid="{00000000-0005-0000-0000-0000A9100000}"/>
    <cellStyle name="20% - Énfasis6 2 3 2 6" xfId="8598" xr:uid="{00000000-0005-0000-0000-0000AA100000}"/>
    <cellStyle name="20% - Énfasis6 2 3 2 6 2" xfId="31241" xr:uid="{00000000-0005-0000-0000-0000AB100000}"/>
    <cellStyle name="20% - Énfasis6 2 3 2 7" xfId="23005" xr:uid="{00000000-0005-0000-0000-0000AC100000}"/>
    <cellStyle name="20% - Énfasis6 2 3 3" xfId="1611" xr:uid="{00000000-0005-0000-0000-0000AD100000}"/>
    <cellStyle name="20% - Énfasis6 2 3 3 2" xfId="3461" xr:uid="{00000000-0005-0000-0000-0000AE100000}"/>
    <cellStyle name="20% - Énfasis6 2 3 3 2 2" xfId="7182" xr:uid="{00000000-0005-0000-0000-0000AF100000}"/>
    <cellStyle name="20% - Énfasis6 2 3 3 2 2 2" xfId="22066" xr:uid="{00000000-0005-0000-0000-0000B0100000}"/>
    <cellStyle name="20% - Énfasis6 2 3 3 2 2 2 2" xfId="44709" xr:uid="{00000000-0005-0000-0000-0000B1100000}"/>
    <cellStyle name="20% - Énfasis6 2 3 3 2 2 3" xfId="14626" xr:uid="{00000000-0005-0000-0000-0000B2100000}"/>
    <cellStyle name="20% - Énfasis6 2 3 3 2 2 3 2" xfId="37269" xr:uid="{00000000-0005-0000-0000-0000B3100000}"/>
    <cellStyle name="20% - Énfasis6 2 3 3 2 2 4" xfId="29828" xr:uid="{00000000-0005-0000-0000-0000B4100000}"/>
    <cellStyle name="20% - Énfasis6 2 3 3 2 3" xfId="18348" xr:uid="{00000000-0005-0000-0000-0000B5100000}"/>
    <cellStyle name="20% - Énfasis6 2 3 3 2 3 2" xfId="40991" xr:uid="{00000000-0005-0000-0000-0000B6100000}"/>
    <cellStyle name="20% - Énfasis6 2 3 3 2 4" xfId="10908" xr:uid="{00000000-0005-0000-0000-0000B7100000}"/>
    <cellStyle name="20% - Énfasis6 2 3 3 2 4 2" xfId="33551" xr:uid="{00000000-0005-0000-0000-0000B8100000}"/>
    <cellStyle name="20% - Énfasis6 2 3 3 2 5" xfId="26110" xr:uid="{00000000-0005-0000-0000-0000B9100000}"/>
    <cellStyle name="20% - Énfasis6 2 3 3 3" xfId="5335" xr:uid="{00000000-0005-0000-0000-0000BA100000}"/>
    <cellStyle name="20% - Énfasis6 2 3 3 3 2" xfId="20219" xr:uid="{00000000-0005-0000-0000-0000BB100000}"/>
    <cellStyle name="20% - Énfasis6 2 3 3 3 2 2" xfId="42862" xr:uid="{00000000-0005-0000-0000-0000BC100000}"/>
    <cellStyle name="20% - Énfasis6 2 3 3 3 3" xfId="12779" xr:uid="{00000000-0005-0000-0000-0000BD100000}"/>
    <cellStyle name="20% - Énfasis6 2 3 3 3 3 2" xfId="35422" xr:uid="{00000000-0005-0000-0000-0000BE100000}"/>
    <cellStyle name="20% - Énfasis6 2 3 3 3 4" xfId="27981" xr:uid="{00000000-0005-0000-0000-0000BF100000}"/>
    <cellStyle name="20% - Énfasis6 2 3 3 4" xfId="16501" xr:uid="{00000000-0005-0000-0000-0000C0100000}"/>
    <cellStyle name="20% - Énfasis6 2 3 3 4 2" xfId="39144" xr:uid="{00000000-0005-0000-0000-0000C1100000}"/>
    <cellStyle name="20% - Énfasis6 2 3 3 5" xfId="9061" xr:uid="{00000000-0005-0000-0000-0000C2100000}"/>
    <cellStyle name="20% - Énfasis6 2 3 3 5 2" xfId="31704" xr:uid="{00000000-0005-0000-0000-0000C3100000}"/>
    <cellStyle name="20% - Énfasis6 2 3 3 6" xfId="24263" xr:uid="{00000000-0005-0000-0000-0000C4100000}"/>
    <cellStyle name="20% - Énfasis6 2 3 4" xfId="2536" xr:uid="{00000000-0005-0000-0000-0000C5100000}"/>
    <cellStyle name="20% - Énfasis6 2 3 4 2" xfId="6257" xr:uid="{00000000-0005-0000-0000-0000C6100000}"/>
    <cellStyle name="20% - Énfasis6 2 3 4 2 2" xfId="21141" xr:uid="{00000000-0005-0000-0000-0000C7100000}"/>
    <cellStyle name="20% - Énfasis6 2 3 4 2 2 2" xfId="43784" xr:uid="{00000000-0005-0000-0000-0000C8100000}"/>
    <cellStyle name="20% - Énfasis6 2 3 4 2 3" xfId="13701" xr:uid="{00000000-0005-0000-0000-0000C9100000}"/>
    <cellStyle name="20% - Énfasis6 2 3 4 2 3 2" xfId="36344" xr:uid="{00000000-0005-0000-0000-0000CA100000}"/>
    <cellStyle name="20% - Énfasis6 2 3 4 2 4" xfId="28903" xr:uid="{00000000-0005-0000-0000-0000CB100000}"/>
    <cellStyle name="20% - Énfasis6 2 3 4 3" xfId="17423" xr:uid="{00000000-0005-0000-0000-0000CC100000}"/>
    <cellStyle name="20% - Énfasis6 2 3 4 3 2" xfId="40066" xr:uid="{00000000-0005-0000-0000-0000CD100000}"/>
    <cellStyle name="20% - Énfasis6 2 3 4 4" xfId="9983" xr:uid="{00000000-0005-0000-0000-0000CE100000}"/>
    <cellStyle name="20% - Énfasis6 2 3 4 4 2" xfId="32626" xr:uid="{00000000-0005-0000-0000-0000CF100000}"/>
    <cellStyle name="20% - Énfasis6 2 3 4 5" xfId="25185" xr:uid="{00000000-0005-0000-0000-0000D0100000}"/>
    <cellStyle name="20% - Énfasis6 2 3 5" xfId="4410" xr:uid="{00000000-0005-0000-0000-0000D1100000}"/>
    <cellStyle name="20% - Énfasis6 2 3 5 2" xfId="19294" xr:uid="{00000000-0005-0000-0000-0000D2100000}"/>
    <cellStyle name="20% - Énfasis6 2 3 5 2 2" xfId="41937" xr:uid="{00000000-0005-0000-0000-0000D3100000}"/>
    <cellStyle name="20% - Énfasis6 2 3 5 3" xfId="11854" xr:uid="{00000000-0005-0000-0000-0000D4100000}"/>
    <cellStyle name="20% - Énfasis6 2 3 5 3 2" xfId="34497" xr:uid="{00000000-0005-0000-0000-0000D5100000}"/>
    <cellStyle name="20% - Énfasis6 2 3 5 4" xfId="27056" xr:uid="{00000000-0005-0000-0000-0000D6100000}"/>
    <cellStyle name="20% - Énfasis6 2 3 6" xfId="680" xr:uid="{00000000-0005-0000-0000-0000D7100000}"/>
    <cellStyle name="20% - Énfasis6 2 3 6 2" xfId="15576" xr:uid="{00000000-0005-0000-0000-0000D8100000}"/>
    <cellStyle name="20% - Énfasis6 2 3 6 2 2" xfId="38219" xr:uid="{00000000-0005-0000-0000-0000D9100000}"/>
    <cellStyle name="20% - Énfasis6 2 3 6 3" xfId="23338" xr:uid="{00000000-0005-0000-0000-0000DA100000}"/>
    <cellStyle name="20% - Énfasis6 2 3 7" xfId="8136" xr:uid="{00000000-0005-0000-0000-0000DB100000}"/>
    <cellStyle name="20% - Énfasis6 2 3 7 2" xfId="30779" xr:uid="{00000000-0005-0000-0000-0000DC100000}"/>
    <cellStyle name="20% - Énfasis6 2 3 8" xfId="22849" xr:uid="{00000000-0005-0000-0000-0000DD100000}"/>
    <cellStyle name="20% - Énfasis6 2 4" xfId="227" xr:uid="{00000000-0005-0000-0000-0000DE100000}"/>
    <cellStyle name="20% - Énfasis6 2 4 2" xfId="1862" xr:uid="{00000000-0005-0000-0000-0000DF100000}"/>
    <cellStyle name="20% - Énfasis6 2 4 2 2" xfId="3712" xr:uid="{00000000-0005-0000-0000-0000E0100000}"/>
    <cellStyle name="20% - Énfasis6 2 4 2 2 2" xfId="7433" xr:uid="{00000000-0005-0000-0000-0000E1100000}"/>
    <cellStyle name="20% - Énfasis6 2 4 2 2 2 2" xfId="22317" xr:uid="{00000000-0005-0000-0000-0000E2100000}"/>
    <cellStyle name="20% - Énfasis6 2 4 2 2 2 2 2" xfId="44960" xr:uid="{00000000-0005-0000-0000-0000E3100000}"/>
    <cellStyle name="20% - Énfasis6 2 4 2 2 2 3" xfId="14877" xr:uid="{00000000-0005-0000-0000-0000E4100000}"/>
    <cellStyle name="20% - Énfasis6 2 4 2 2 2 3 2" xfId="37520" xr:uid="{00000000-0005-0000-0000-0000E5100000}"/>
    <cellStyle name="20% - Énfasis6 2 4 2 2 2 4" xfId="30079" xr:uid="{00000000-0005-0000-0000-0000E6100000}"/>
    <cellStyle name="20% - Énfasis6 2 4 2 2 3" xfId="18599" xr:uid="{00000000-0005-0000-0000-0000E7100000}"/>
    <cellStyle name="20% - Énfasis6 2 4 2 2 3 2" xfId="41242" xr:uid="{00000000-0005-0000-0000-0000E8100000}"/>
    <cellStyle name="20% - Énfasis6 2 4 2 2 4" xfId="11159" xr:uid="{00000000-0005-0000-0000-0000E9100000}"/>
    <cellStyle name="20% - Énfasis6 2 4 2 2 4 2" xfId="33802" xr:uid="{00000000-0005-0000-0000-0000EA100000}"/>
    <cellStyle name="20% - Énfasis6 2 4 2 2 5" xfId="26361" xr:uid="{00000000-0005-0000-0000-0000EB100000}"/>
    <cellStyle name="20% - Énfasis6 2 4 2 3" xfId="5586" xr:uid="{00000000-0005-0000-0000-0000EC100000}"/>
    <cellStyle name="20% - Énfasis6 2 4 2 3 2" xfId="20470" xr:uid="{00000000-0005-0000-0000-0000ED100000}"/>
    <cellStyle name="20% - Énfasis6 2 4 2 3 2 2" xfId="43113" xr:uid="{00000000-0005-0000-0000-0000EE100000}"/>
    <cellStyle name="20% - Énfasis6 2 4 2 3 3" xfId="13030" xr:uid="{00000000-0005-0000-0000-0000EF100000}"/>
    <cellStyle name="20% - Énfasis6 2 4 2 3 3 2" xfId="35673" xr:uid="{00000000-0005-0000-0000-0000F0100000}"/>
    <cellStyle name="20% - Énfasis6 2 4 2 3 4" xfId="28232" xr:uid="{00000000-0005-0000-0000-0000F1100000}"/>
    <cellStyle name="20% - Énfasis6 2 4 2 4" xfId="16752" xr:uid="{00000000-0005-0000-0000-0000F2100000}"/>
    <cellStyle name="20% - Énfasis6 2 4 2 4 2" xfId="39395" xr:uid="{00000000-0005-0000-0000-0000F3100000}"/>
    <cellStyle name="20% - Énfasis6 2 4 2 5" xfId="9312" xr:uid="{00000000-0005-0000-0000-0000F4100000}"/>
    <cellStyle name="20% - Énfasis6 2 4 2 5 2" xfId="31955" xr:uid="{00000000-0005-0000-0000-0000F5100000}"/>
    <cellStyle name="20% - Énfasis6 2 4 2 6" xfId="24514" xr:uid="{00000000-0005-0000-0000-0000F6100000}"/>
    <cellStyle name="20% - Énfasis6 2 4 3" xfId="2787" xr:uid="{00000000-0005-0000-0000-0000F7100000}"/>
    <cellStyle name="20% - Énfasis6 2 4 3 2" xfId="6508" xr:uid="{00000000-0005-0000-0000-0000F8100000}"/>
    <cellStyle name="20% - Énfasis6 2 4 3 2 2" xfId="21392" xr:uid="{00000000-0005-0000-0000-0000F9100000}"/>
    <cellStyle name="20% - Énfasis6 2 4 3 2 2 2" xfId="44035" xr:uid="{00000000-0005-0000-0000-0000FA100000}"/>
    <cellStyle name="20% - Énfasis6 2 4 3 2 3" xfId="13952" xr:uid="{00000000-0005-0000-0000-0000FB100000}"/>
    <cellStyle name="20% - Énfasis6 2 4 3 2 3 2" xfId="36595" xr:uid="{00000000-0005-0000-0000-0000FC100000}"/>
    <cellStyle name="20% - Énfasis6 2 4 3 2 4" xfId="29154" xr:uid="{00000000-0005-0000-0000-0000FD100000}"/>
    <cellStyle name="20% - Énfasis6 2 4 3 3" xfId="17674" xr:uid="{00000000-0005-0000-0000-0000FE100000}"/>
    <cellStyle name="20% - Énfasis6 2 4 3 3 2" xfId="40317" xr:uid="{00000000-0005-0000-0000-0000FF100000}"/>
    <cellStyle name="20% - Énfasis6 2 4 3 4" xfId="10234" xr:uid="{00000000-0005-0000-0000-000000110000}"/>
    <cellStyle name="20% - Énfasis6 2 4 3 4 2" xfId="32877" xr:uid="{00000000-0005-0000-0000-000001110000}"/>
    <cellStyle name="20% - Énfasis6 2 4 3 5" xfId="25436" xr:uid="{00000000-0005-0000-0000-000002110000}"/>
    <cellStyle name="20% - Énfasis6 2 4 4" xfId="4661" xr:uid="{00000000-0005-0000-0000-000003110000}"/>
    <cellStyle name="20% - Énfasis6 2 4 4 2" xfId="19545" xr:uid="{00000000-0005-0000-0000-000004110000}"/>
    <cellStyle name="20% - Énfasis6 2 4 4 2 2" xfId="42188" xr:uid="{00000000-0005-0000-0000-000005110000}"/>
    <cellStyle name="20% - Énfasis6 2 4 4 3" xfId="12105" xr:uid="{00000000-0005-0000-0000-000006110000}"/>
    <cellStyle name="20% - Énfasis6 2 4 4 3 2" xfId="34748" xr:uid="{00000000-0005-0000-0000-000007110000}"/>
    <cellStyle name="20% - Énfasis6 2 4 4 4" xfId="27307" xr:uid="{00000000-0005-0000-0000-000008110000}"/>
    <cellStyle name="20% - Énfasis6 2 4 5" xfId="934" xr:uid="{00000000-0005-0000-0000-000009110000}"/>
    <cellStyle name="20% - Énfasis6 2 4 5 2" xfId="15827" xr:uid="{00000000-0005-0000-0000-00000A110000}"/>
    <cellStyle name="20% - Énfasis6 2 4 5 2 2" xfId="38470" xr:uid="{00000000-0005-0000-0000-00000B110000}"/>
    <cellStyle name="20% - Énfasis6 2 4 5 3" xfId="23589" xr:uid="{00000000-0005-0000-0000-00000C110000}"/>
    <cellStyle name="20% - Énfasis6 2 4 6" xfId="8387" xr:uid="{00000000-0005-0000-0000-00000D110000}"/>
    <cellStyle name="20% - Énfasis6 2 4 6 2" xfId="31030" xr:uid="{00000000-0005-0000-0000-00000E110000}"/>
    <cellStyle name="20% - Énfasis6 2 4 7" xfId="22927" xr:uid="{00000000-0005-0000-0000-00000F110000}"/>
    <cellStyle name="20% - Énfasis6 2 5" xfId="1400" xr:uid="{00000000-0005-0000-0000-000010110000}"/>
    <cellStyle name="20% - Énfasis6 2 5 2" xfId="3250" xr:uid="{00000000-0005-0000-0000-000011110000}"/>
    <cellStyle name="20% - Énfasis6 2 5 2 2" xfId="6971" xr:uid="{00000000-0005-0000-0000-000012110000}"/>
    <cellStyle name="20% - Énfasis6 2 5 2 2 2" xfId="21855" xr:uid="{00000000-0005-0000-0000-000013110000}"/>
    <cellStyle name="20% - Énfasis6 2 5 2 2 2 2" xfId="44498" xr:uid="{00000000-0005-0000-0000-000014110000}"/>
    <cellStyle name="20% - Énfasis6 2 5 2 2 3" xfId="14415" xr:uid="{00000000-0005-0000-0000-000015110000}"/>
    <cellStyle name="20% - Énfasis6 2 5 2 2 3 2" xfId="37058" xr:uid="{00000000-0005-0000-0000-000016110000}"/>
    <cellStyle name="20% - Énfasis6 2 5 2 2 4" xfId="29617" xr:uid="{00000000-0005-0000-0000-000017110000}"/>
    <cellStyle name="20% - Énfasis6 2 5 2 3" xfId="18137" xr:uid="{00000000-0005-0000-0000-000018110000}"/>
    <cellStyle name="20% - Énfasis6 2 5 2 3 2" xfId="40780" xr:uid="{00000000-0005-0000-0000-000019110000}"/>
    <cellStyle name="20% - Énfasis6 2 5 2 4" xfId="10697" xr:uid="{00000000-0005-0000-0000-00001A110000}"/>
    <cellStyle name="20% - Énfasis6 2 5 2 4 2" xfId="33340" xr:uid="{00000000-0005-0000-0000-00001B110000}"/>
    <cellStyle name="20% - Énfasis6 2 5 2 5" xfId="25899" xr:uid="{00000000-0005-0000-0000-00001C110000}"/>
    <cellStyle name="20% - Énfasis6 2 5 3" xfId="5124" xr:uid="{00000000-0005-0000-0000-00001D110000}"/>
    <cellStyle name="20% - Énfasis6 2 5 3 2" xfId="20008" xr:uid="{00000000-0005-0000-0000-00001E110000}"/>
    <cellStyle name="20% - Énfasis6 2 5 3 2 2" xfId="42651" xr:uid="{00000000-0005-0000-0000-00001F110000}"/>
    <cellStyle name="20% - Énfasis6 2 5 3 3" xfId="12568" xr:uid="{00000000-0005-0000-0000-000020110000}"/>
    <cellStyle name="20% - Énfasis6 2 5 3 3 2" xfId="35211" xr:uid="{00000000-0005-0000-0000-000021110000}"/>
    <cellStyle name="20% - Énfasis6 2 5 3 4" xfId="27770" xr:uid="{00000000-0005-0000-0000-000022110000}"/>
    <cellStyle name="20% - Énfasis6 2 5 4" xfId="16290" xr:uid="{00000000-0005-0000-0000-000023110000}"/>
    <cellStyle name="20% - Énfasis6 2 5 4 2" xfId="38933" xr:uid="{00000000-0005-0000-0000-000024110000}"/>
    <cellStyle name="20% - Énfasis6 2 5 5" xfId="8850" xr:uid="{00000000-0005-0000-0000-000025110000}"/>
    <cellStyle name="20% - Énfasis6 2 5 5 2" xfId="31493" xr:uid="{00000000-0005-0000-0000-000026110000}"/>
    <cellStyle name="20% - Énfasis6 2 5 6" xfId="24052" xr:uid="{00000000-0005-0000-0000-000027110000}"/>
    <cellStyle name="20% - Énfasis6 2 6" xfId="2325" xr:uid="{00000000-0005-0000-0000-000028110000}"/>
    <cellStyle name="20% - Énfasis6 2 6 2" xfId="6046" xr:uid="{00000000-0005-0000-0000-000029110000}"/>
    <cellStyle name="20% - Énfasis6 2 6 2 2" xfId="20930" xr:uid="{00000000-0005-0000-0000-00002A110000}"/>
    <cellStyle name="20% - Énfasis6 2 6 2 2 2" xfId="43573" xr:uid="{00000000-0005-0000-0000-00002B110000}"/>
    <cellStyle name="20% - Énfasis6 2 6 2 3" xfId="13490" xr:uid="{00000000-0005-0000-0000-00002C110000}"/>
    <cellStyle name="20% - Énfasis6 2 6 2 3 2" xfId="36133" xr:uid="{00000000-0005-0000-0000-00002D110000}"/>
    <cellStyle name="20% - Énfasis6 2 6 2 4" xfId="28692" xr:uid="{00000000-0005-0000-0000-00002E110000}"/>
    <cellStyle name="20% - Énfasis6 2 6 3" xfId="17212" xr:uid="{00000000-0005-0000-0000-00002F110000}"/>
    <cellStyle name="20% - Énfasis6 2 6 3 2" xfId="39855" xr:uid="{00000000-0005-0000-0000-000030110000}"/>
    <cellStyle name="20% - Énfasis6 2 6 4" xfId="9772" xr:uid="{00000000-0005-0000-0000-000031110000}"/>
    <cellStyle name="20% - Énfasis6 2 6 4 2" xfId="32415" xr:uid="{00000000-0005-0000-0000-000032110000}"/>
    <cellStyle name="20% - Énfasis6 2 6 5" xfId="24974" xr:uid="{00000000-0005-0000-0000-000033110000}"/>
    <cellStyle name="20% - Énfasis6 2 7" xfId="4199" xr:uid="{00000000-0005-0000-0000-000034110000}"/>
    <cellStyle name="20% - Énfasis6 2 7 2" xfId="19083" xr:uid="{00000000-0005-0000-0000-000035110000}"/>
    <cellStyle name="20% - Énfasis6 2 7 2 2" xfId="41726" xr:uid="{00000000-0005-0000-0000-000036110000}"/>
    <cellStyle name="20% - Énfasis6 2 7 3" xfId="11643" xr:uid="{00000000-0005-0000-0000-000037110000}"/>
    <cellStyle name="20% - Énfasis6 2 7 3 2" xfId="34286" xr:uid="{00000000-0005-0000-0000-000038110000}"/>
    <cellStyle name="20% - Énfasis6 2 7 4" xfId="26845" xr:uid="{00000000-0005-0000-0000-000039110000}"/>
    <cellStyle name="20% - Énfasis6 2 8" xfId="466" xr:uid="{00000000-0005-0000-0000-00003A110000}"/>
    <cellStyle name="20% - Énfasis6 2 8 2" xfId="15365" xr:uid="{00000000-0005-0000-0000-00003B110000}"/>
    <cellStyle name="20% - Énfasis6 2 8 2 2" xfId="38008" xr:uid="{00000000-0005-0000-0000-00003C110000}"/>
    <cellStyle name="20% - Énfasis6 2 8 3" xfId="23128" xr:uid="{00000000-0005-0000-0000-00003D110000}"/>
    <cellStyle name="20% - Énfasis6 2 9" xfId="7925" xr:uid="{00000000-0005-0000-0000-00003E110000}"/>
    <cellStyle name="20% - Énfasis6 2 9 2" xfId="30568" xr:uid="{00000000-0005-0000-0000-00003F110000}"/>
    <cellStyle name="20% - Énfasis6 3" xfId="94" xr:uid="{00000000-0005-0000-0000-000040110000}"/>
    <cellStyle name="20% - Énfasis6 3 2" xfId="178" xr:uid="{00000000-0005-0000-0000-000041110000}"/>
    <cellStyle name="20% - Énfasis6 3 2 2" xfId="339" xr:uid="{00000000-0005-0000-0000-000042110000}"/>
    <cellStyle name="20% - Énfasis6 3 2 2 2" xfId="2126" xr:uid="{00000000-0005-0000-0000-000043110000}"/>
    <cellStyle name="20% - Énfasis6 3 2 2 2 2" xfId="3976" xr:uid="{00000000-0005-0000-0000-000044110000}"/>
    <cellStyle name="20% - Énfasis6 3 2 2 2 2 2" xfId="7697" xr:uid="{00000000-0005-0000-0000-000045110000}"/>
    <cellStyle name="20% - Énfasis6 3 2 2 2 2 2 2" xfId="22581" xr:uid="{00000000-0005-0000-0000-000046110000}"/>
    <cellStyle name="20% - Énfasis6 3 2 2 2 2 2 2 2" xfId="45224" xr:uid="{00000000-0005-0000-0000-000047110000}"/>
    <cellStyle name="20% - Énfasis6 3 2 2 2 2 2 3" xfId="15141" xr:uid="{00000000-0005-0000-0000-000048110000}"/>
    <cellStyle name="20% - Énfasis6 3 2 2 2 2 2 3 2" xfId="37784" xr:uid="{00000000-0005-0000-0000-000049110000}"/>
    <cellStyle name="20% - Énfasis6 3 2 2 2 2 2 4" xfId="30343" xr:uid="{00000000-0005-0000-0000-00004A110000}"/>
    <cellStyle name="20% - Énfasis6 3 2 2 2 2 3" xfId="18863" xr:uid="{00000000-0005-0000-0000-00004B110000}"/>
    <cellStyle name="20% - Énfasis6 3 2 2 2 2 3 2" xfId="41506" xr:uid="{00000000-0005-0000-0000-00004C110000}"/>
    <cellStyle name="20% - Énfasis6 3 2 2 2 2 4" xfId="11423" xr:uid="{00000000-0005-0000-0000-00004D110000}"/>
    <cellStyle name="20% - Énfasis6 3 2 2 2 2 4 2" xfId="34066" xr:uid="{00000000-0005-0000-0000-00004E110000}"/>
    <cellStyle name="20% - Énfasis6 3 2 2 2 2 5" xfId="26625" xr:uid="{00000000-0005-0000-0000-00004F110000}"/>
    <cellStyle name="20% - Énfasis6 3 2 2 2 3" xfId="5850" xr:uid="{00000000-0005-0000-0000-000050110000}"/>
    <cellStyle name="20% - Énfasis6 3 2 2 2 3 2" xfId="20734" xr:uid="{00000000-0005-0000-0000-000051110000}"/>
    <cellStyle name="20% - Énfasis6 3 2 2 2 3 2 2" xfId="43377" xr:uid="{00000000-0005-0000-0000-000052110000}"/>
    <cellStyle name="20% - Énfasis6 3 2 2 2 3 3" xfId="13294" xr:uid="{00000000-0005-0000-0000-000053110000}"/>
    <cellStyle name="20% - Énfasis6 3 2 2 2 3 3 2" xfId="35937" xr:uid="{00000000-0005-0000-0000-000054110000}"/>
    <cellStyle name="20% - Énfasis6 3 2 2 2 3 4" xfId="28496" xr:uid="{00000000-0005-0000-0000-000055110000}"/>
    <cellStyle name="20% - Énfasis6 3 2 2 2 4" xfId="17016" xr:uid="{00000000-0005-0000-0000-000056110000}"/>
    <cellStyle name="20% - Énfasis6 3 2 2 2 4 2" xfId="39659" xr:uid="{00000000-0005-0000-0000-000057110000}"/>
    <cellStyle name="20% - Énfasis6 3 2 2 2 5" xfId="9576" xr:uid="{00000000-0005-0000-0000-000058110000}"/>
    <cellStyle name="20% - Énfasis6 3 2 2 2 5 2" xfId="32219" xr:uid="{00000000-0005-0000-0000-000059110000}"/>
    <cellStyle name="20% - Énfasis6 3 2 2 2 6" xfId="24778" xr:uid="{00000000-0005-0000-0000-00005A110000}"/>
    <cellStyle name="20% - Énfasis6 3 2 2 3" xfId="3051" xr:uid="{00000000-0005-0000-0000-00005B110000}"/>
    <cellStyle name="20% - Énfasis6 3 2 2 3 2" xfId="6772" xr:uid="{00000000-0005-0000-0000-00005C110000}"/>
    <cellStyle name="20% - Énfasis6 3 2 2 3 2 2" xfId="21656" xr:uid="{00000000-0005-0000-0000-00005D110000}"/>
    <cellStyle name="20% - Énfasis6 3 2 2 3 2 2 2" xfId="44299" xr:uid="{00000000-0005-0000-0000-00005E110000}"/>
    <cellStyle name="20% - Énfasis6 3 2 2 3 2 3" xfId="14216" xr:uid="{00000000-0005-0000-0000-00005F110000}"/>
    <cellStyle name="20% - Énfasis6 3 2 2 3 2 3 2" xfId="36859" xr:uid="{00000000-0005-0000-0000-000060110000}"/>
    <cellStyle name="20% - Énfasis6 3 2 2 3 2 4" xfId="29418" xr:uid="{00000000-0005-0000-0000-000061110000}"/>
    <cellStyle name="20% - Énfasis6 3 2 2 3 3" xfId="17938" xr:uid="{00000000-0005-0000-0000-000062110000}"/>
    <cellStyle name="20% - Énfasis6 3 2 2 3 3 2" xfId="40581" xr:uid="{00000000-0005-0000-0000-000063110000}"/>
    <cellStyle name="20% - Énfasis6 3 2 2 3 4" xfId="10498" xr:uid="{00000000-0005-0000-0000-000064110000}"/>
    <cellStyle name="20% - Énfasis6 3 2 2 3 4 2" xfId="33141" xr:uid="{00000000-0005-0000-0000-000065110000}"/>
    <cellStyle name="20% - Énfasis6 3 2 2 3 5" xfId="25700" xr:uid="{00000000-0005-0000-0000-000066110000}"/>
    <cellStyle name="20% - Énfasis6 3 2 2 4" xfId="4925" xr:uid="{00000000-0005-0000-0000-000067110000}"/>
    <cellStyle name="20% - Énfasis6 3 2 2 4 2" xfId="19809" xr:uid="{00000000-0005-0000-0000-000068110000}"/>
    <cellStyle name="20% - Énfasis6 3 2 2 4 2 2" xfId="42452" xr:uid="{00000000-0005-0000-0000-000069110000}"/>
    <cellStyle name="20% - Énfasis6 3 2 2 4 3" xfId="12369" xr:uid="{00000000-0005-0000-0000-00006A110000}"/>
    <cellStyle name="20% - Énfasis6 3 2 2 4 3 2" xfId="35012" xr:uid="{00000000-0005-0000-0000-00006B110000}"/>
    <cellStyle name="20% - Énfasis6 3 2 2 4 4" xfId="27571" xr:uid="{00000000-0005-0000-0000-00006C110000}"/>
    <cellStyle name="20% - Énfasis6 3 2 2 5" xfId="1198" xr:uid="{00000000-0005-0000-0000-00006D110000}"/>
    <cellStyle name="20% - Énfasis6 3 2 2 5 2" xfId="16091" xr:uid="{00000000-0005-0000-0000-00006E110000}"/>
    <cellStyle name="20% - Énfasis6 3 2 2 5 2 2" xfId="38734" xr:uid="{00000000-0005-0000-0000-00006F110000}"/>
    <cellStyle name="20% - Énfasis6 3 2 2 5 3" xfId="23853" xr:uid="{00000000-0005-0000-0000-000070110000}"/>
    <cellStyle name="20% - Énfasis6 3 2 2 6" xfId="8651" xr:uid="{00000000-0005-0000-0000-000071110000}"/>
    <cellStyle name="20% - Énfasis6 3 2 2 6 2" xfId="31294" xr:uid="{00000000-0005-0000-0000-000072110000}"/>
    <cellStyle name="20% - Énfasis6 3 2 2 7" xfId="23037" xr:uid="{00000000-0005-0000-0000-000073110000}"/>
    <cellStyle name="20% - Énfasis6 3 2 3" xfId="1664" xr:uid="{00000000-0005-0000-0000-000074110000}"/>
    <cellStyle name="20% - Énfasis6 3 2 3 2" xfId="3514" xr:uid="{00000000-0005-0000-0000-000075110000}"/>
    <cellStyle name="20% - Énfasis6 3 2 3 2 2" xfId="7235" xr:uid="{00000000-0005-0000-0000-000076110000}"/>
    <cellStyle name="20% - Énfasis6 3 2 3 2 2 2" xfId="22119" xr:uid="{00000000-0005-0000-0000-000077110000}"/>
    <cellStyle name="20% - Énfasis6 3 2 3 2 2 2 2" xfId="44762" xr:uid="{00000000-0005-0000-0000-000078110000}"/>
    <cellStyle name="20% - Énfasis6 3 2 3 2 2 3" xfId="14679" xr:uid="{00000000-0005-0000-0000-000079110000}"/>
    <cellStyle name="20% - Énfasis6 3 2 3 2 2 3 2" xfId="37322" xr:uid="{00000000-0005-0000-0000-00007A110000}"/>
    <cellStyle name="20% - Énfasis6 3 2 3 2 2 4" xfId="29881" xr:uid="{00000000-0005-0000-0000-00007B110000}"/>
    <cellStyle name="20% - Énfasis6 3 2 3 2 3" xfId="18401" xr:uid="{00000000-0005-0000-0000-00007C110000}"/>
    <cellStyle name="20% - Énfasis6 3 2 3 2 3 2" xfId="41044" xr:uid="{00000000-0005-0000-0000-00007D110000}"/>
    <cellStyle name="20% - Énfasis6 3 2 3 2 4" xfId="10961" xr:uid="{00000000-0005-0000-0000-00007E110000}"/>
    <cellStyle name="20% - Énfasis6 3 2 3 2 4 2" xfId="33604" xr:uid="{00000000-0005-0000-0000-00007F110000}"/>
    <cellStyle name="20% - Énfasis6 3 2 3 2 5" xfId="26163" xr:uid="{00000000-0005-0000-0000-000080110000}"/>
    <cellStyle name="20% - Énfasis6 3 2 3 3" xfId="5388" xr:uid="{00000000-0005-0000-0000-000081110000}"/>
    <cellStyle name="20% - Énfasis6 3 2 3 3 2" xfId="20272" xr:uid="{00000000-0005-0000-0000-000082110000}"/>
    <cellStyle name="20% - Énfasis6 3 2 3 3 2 2" xfId="42915" xr:uid="{00000000-0005-0000-0000-000083110000}"/>
    <cellStyle name="20% - Énfasis6 3 2 3 3 3" xfId="12832" xr:uid="{00000000-0005-0000-0000-000084110000}"/>
    <cellStyle name="20% - Énfasis6 3 2 3 3 3 2" xfId="35475" xr:uid="{00000000-0005-0000-0000-000085110000}"/>
    <cellStyle name="20% - Énfasis6 3 2 3 3 4" xfId="28034" xr:uid="{00000000-0005-0000-0000-000086110000}"/>
    <cellStyle name="20% - Énfasis6 3 2 3 4" xfId="16554" xr:uid="{00000000-0005-0000-0000-000087110000}"/>
    <cellStyle name="20% - Énfasis6 3 2 3 4 2" xfId="39197" xr:uid="{00000000-0005-0000-0000-000088110000}"/>
    <cellStyle name="20% - Énfasis6 3 2 3 5" xfId="9114" xr:uid="{00000000-0005-0000-0000-000089110000}"/>
    <cellStyle name="20% - Énfasis6 3 2 3 5 2" xfId="31757" xr:uid="{00000000-0005-0000-0000-00008A110000}"/>
    <cellStyle name="20% - Énfasis6 3 2 3 6" xfId="24316" xr:uid="{00000000-0005-0000-0000-00008B110000}"/>
    <cellStyle name="20% - Énfasis6 3 2 4" xfId="2589" xr:uid="{00000000-0005-0000-0000-00008C110000}"/>
    <cellStyle name="20% - Énfasis6 3 2 4 2" xfId="6310" xr:uid="{00000000-0005-0000-0000-00008D110000}"/>
    <cellStyle name="20% - Énfasis6 3 2 4 2 2" xfId="21194" xr:uid="{00000000-0005-0000-0000-00008E110000}"/>
    <cellStyle name="20% - Énfasis6 3 2 4 2 2 2" xfId="43837" xr:uid="{00000000-0005-0000-0000-00008F110000}"/>
    <cellStyle name="20% - Énfasis6 3 2 4 2 3" xfId="13754" xr:uid="{00000000-0005-0000-0000-000090110000}"/>
    <cellStyle name="20% - Énfasis6 3 2 4 2 3 2" xfId="36397" xr:uid="{00000000-0005-0000-0000-000091110000}"/>
    <cellStyle name="20% - Énfasis6 3 2 4 2 4" xfId="28956" xr:uid="{00000000-0005-0000-0000-000092110000}"/>
    <cellStyle name="20% - Énfasis6 3 2 4 3" xfId="17476" xr:uid="{00000000-0005-0000-0000-000093110000}"/>
    <cellStyle name="20% - Énfasis6 3 2 4 3 2" xfId="40119" xr:uid="{00000000-0005-0000-0000-000094110000}"/>
    <cellStyle name="20% - Énfasis6 3 2 4 4" xfId="10036" xr:uid="{00000000-0005-0000-0000-000095110000}"/>
    <cellStyle name="20% - Énfasis6 3 2 4 4 2" xfId="32679" xr:uid="{00000000-0005-0000-0000-000096110000}"/>
    <cellStyle name="20% - Énfasis6 3 2 4 5" xfId="25238" xr:uid="{00000000-0005-0000-0000-000097110000}"/>
    <cellStyle name="20% - Énfasis6 3 2 5" xfId="4463" xr:uid="{00000000-0005-0000-0000-000098110000}"/>
    <cellStyle name="20% - Énfasis6 3 2 5 2" xfId="19347" xr:uid="{00000000-0005-0000-0000-000099110000}"/>
    <cellStyle name="20% - Énfasis6 3 2 5 2 2" xfId="41990" xr:uid="{00000000-0005-0000-0000-00009A110000}"/>
    <cellStyle name="20% - Énfasis6 3 2 5 3" xfId="11907" xr:uid="{00000000-0005-0000-0000-00009B110000}"/>
    <cellStyle name="20% - Énfasis6 3 2 5 3 2" xfId="34550" xr:uid="{00000000-0005-0000-0000-00009C110000}"/>
    <cellStyle name="20% - Énfasis6 3 2 5 4" xfId="27109" xr:uid="{00000000-0005-0000-0000-00009D110000}"/>
    <cellStyle name="20% - Énfasis6 3 2 6" xfId="733" xr:uid="{00000000-0005-0000-0000-00009E110000}"/>
    <cellStyle name="20% - Énfasis6 3 2 6 2" xfId="15629" xr:uid="{00000000-0005-0000-0000-00009F110000}"/>
    <cellStyle name="20% - Énfasis6 3 2 6 2 2" xfId="38272" xr:uid="{00000000-0005-0000-0000-0000A0110000}"/>
    <cellStyle name="20% - Énfasis6 3 2 6 3" xfId="23391" xr:uid="{00000000-0005-0000-0000-0000A1110000}"/>
    <cellStyle name="20% - Énfasis6 3 2 7" xfId="8189" xr:uid="{00000000-0005-0000-0000-0000A2110000}"/>
    <cellStyle name="20% - Énfasis6 3 2 7 2" xfId="30832" xr:uid="{00000000-0005-0000-0000-0000A3110000}"/>
    <cellStyle name="20% - Énfasis6 3 2 8" xfId="22881" xr:uid="{00000000-0005-0000-0000-0000A4110000}"/>
    <cellStyle name="20% - Énfasis6 3 3" xfId="261" xr:uid="{00000000-0005-0000-0000-0000A5110000}"/>
    <cellStyle name="20% - Énfasis6 3 3 2" xfId="1915" xr:uid="{00000000-0005-0000-0000-0000A6110000}"/>
    <cellStyle name="20% - Énfasis6 3 3 2 2" xfId="3765" xr:uid="{00000000-0005-0000-0000-0000A7110000}"/>
    <cellStyle name="20% - Énfasis6 3 3 2 2 2" xfId="7486" xr:uid="{00000000-0005-0000-0000-0000A8110000}"/>
    <cellStyle name="20% - Énfasis6 3 3 2 2 2 2" xfId="22370" xr:uid="{00000000-0005-0000-0000-0000A9110000}"/>
    <cellStyle name="20% - Énfasis6 3 3 2 2 2 2 2" xfId="45013" xr:uid="{00000000-0005-0000-0000-0000AA110000}"/>
    <cellStyle name="20% - Énfasis6 3 3 2 2 2 3" xfId="14930" xr:uid="{00000000-0005-0000-0000-0000AB110000}"/>
    <cellStyle name="20% - Énfasis6 3 3 2 2 2 3 2" xfId="37573" xr:uid="{00000000-0005-0000-0000-0000AC110000}"/>
    <cellStyle name="20% - Énfasis6 3 3 2 2 2 4" xfId="30132" xr:uid="{00000000-0005-0000-0000-0000AD110000}"/>
    <cellStyle name="20% - Énfasis6 3 3 2 2 3" xfId="18652" xr:uid="{00000000-0005-0000-0000-0000AE110000}"/>
    <cellStyle name="20% - Énfasis6 3 3 2 2 3 2" xfId="41295" xr:uid="{00000000-0005-0000-0000-0000AF110000}"/>
    <cellStyle name="20% - Énfasis6 3 3 2 2 4" xfId="11212" xr:uid="{00000000-0005-0000-0000-0000B0110000}"/>
    <cellStyle name="20% - Énfasis6 3 3 2 2 4 2" xfId="33855" xr:uid="{00000000-0005-0000-0000-0000B1110000}"/>
    <cellStyle name="20% - Énfasis6 3 3 2 2 5" xfId="26414" xr:uid="{00000000-0005-0000-0000-0000B2110000}"/>
    <cellStyle name="20% - Énfasis6 3 3 2 3" xfId="5639" xr:uid="{00000000-0005-0000-0000-0000B3110000}"/>
    <cellStyle name="20% - Énfasis6 3 3 2 3 2" xfId="20523" xr:uid="{00000000-0005-0000-0000-0000B4110000}"/>
    <cellStyle name="20% - Énfasis6 3 3 2 3 2 2" xfId="43166" xr:uid="{00000000-0005-0000-0000-0000B5110000}"/>
    <cellStyle name="20% - Énfasis6 3 3 2 3 3" xfId="13083" xr:uid="{00000000-0005-0000-0000-0000B6110000}"/>
    <cellStyle name="20% - Énfasis6 3 3 2 3 3 2" xfId="35726" xr:uid="{00000000-0005-0000-0000-0000B7110000}"/>
    <cellStyle name="20% - Énfasis6 3 3 2 3 4" xfId="28285" xr:uid="{00000000-0005-0000-0000-0000B8110000}"/>
    <cellStyle name="20% - Énfasis6 3 3 2 4" xfId="16805" xr:uid="{00000000-0005-0000-0000-0000B9110000}"/>
    <cellStyle name="20% - Énfasis6 3 3 2 4 2" xfId="39448" xr:uid="{00000000-0005-0000-0000-0000BA110000}"/>
    <cellStyle name="20% - Énfasis6 3 3 2 5" xfId="9365" xr:uid="{00000000-0005-0000-0000-0000BB110000}"/>
    <cellStyle name="20% - Énfasis6 3 3 2 5 2" xfId="32008" xr:uid="{00000000-0005-0000-0000-0000BC110000}"/>
    <cellStyle name="20% - Énfasis6 3 3 2 6" xfId="24567" xr:uid="{00000000-0005-0000-0000-0000BD110000}"/>
    <cellStyle name="20% - Énfasis6 3 3 3" xfId="2840" xr:uid="{00000000-0005-0000-0000-0000BE110000}"/>
    <cellStyle name="20% - Énfasis6 3 3 3 2" xfId="6561" xr:uid="{00000000-0005-0000-0000-0000BF110000}"/>
    <cellStyle name="20% - Énfasis6 3 3 3 2 2" xfId="21445" xr:uid="{00000000-0005-0000-0000-0000C0110000}"/>
    <cellStyle name="20% - Énfasis6 3 3 3 2 2 2" xfId="44088" xr:uid="{00000000-0005-0000-0000-0000C1110000}"/>
    <cellStyle name="20% - Énfasis6 3 3 3 2 3" xfId="14005" xr:uid="{00000000-0005-0000-0000-0000C2110000}"/>
    <cellStyle name="20% - Énfasis6 3 3 3 2 3 2" xfId="36648" xr:uid="{00000000-0005-0000-0000-0000C3110000}"/>
    <cellStyle name="20% - Énfasis6 3 3 3 2 4" xfId="29207" xr:uid="{00000000-0005-0000-0000-0000C4110000}"/>
    <cellStyle name="20% - Énfasis6 3 3 3 3" xfId="17727" xr:uid="{00000000-0005-0000-0000-0000C5110000}"/>
    <cellStyle name="20% - Énfasis6 3 3 3 3 2" xfId="40370" xr:uid="{00000000-0005-0000-0000-0000C6110000}"/>
    <cellStyle name="20% - Énfasis6 3 3 3 4" xfId="10287" xr:uid="{00000000-0005-0000-0000-0000C7110000}"/>
    <cellStyle name="20% - Énfasis6 3 3 3 4 2" xfId="32930" xr:uid="{00000000-0005-0000-0000-0000C8110000}"/>
    <cellStyle name="20% - Énfasis6 3 3 3 5" xfId="25489" xr:uid="{00000000-0005-0000-0000-0000C9110000}"/>
    <cellStyle name="20% - Énfasis6 3 3 4" xfId="4714" xr:uid="{00000000-0005-0000-0000-0000CA110000}"/>
    <cellStyle name="20% - Énfasis6 3 3 4 2" xfId="19598" xr:uid="{00000000-0005-0000-0000-0000CB110000}"/>
    <cellStyle name="20% - Énfasis6 3 3 4 2 2" xfId="42241" xr:uid="{00000000-0005-0000-0000-0000CC110000}"/>
    <cellStyle name="20% - Énfasis6 3 3 4 3" xfId="12158" xr:uid="{00000000-0005-0000-0000-0000CD110000}"/>
    <cellStyle name="20% - Énfasis6 3 3 4 3 2" xfId="34801" xr:uid="{00000000-0005-0000-0000-0000CE110000}"/>
    <cellStyle name="20% - Énfasis6 3 3 4 4" xfId="27360" xr:uid="{00000000-0005-0000-0000-0000CF110000}"/>
    <cellStyle name="20% - Énfasis6 3 3 5" xfId="987" xr:uid="{00000000-0005-0000-0000-0000D0110000}"/>
    <cellStyle name="20% - Énfasis6 3 3 5 2" xfId="15880" xr:uid="{00000000-0005-0000-0000-0000D1110000}"/>
    <cellStyle name="20% - Énfasis6 3 3 5 2 2" xfId="38523" xr:uid="{00000000-0005-0000-0000-0000D2110000}"/>
    <cellStyle name="20% - Énfasis6 3 3 5 3" xfId="23642" xr:uid="{00000000-0005-0000-0000-0000D3110000}"/>
    <cellStyle name="20% - Énfasis6 3 3 6" xfId="8440" xr:uid="{00000000-0005-0000-0000-0000D4110000}"/>
    <cellStyle name="20% - Énfasis6 3 3 6 2" xfId="31083" xr:uid="{00000000-0005-0000-0000-0000D5110000}"/>
    <cellStyle name="20% - Énfasis6 3 3 7" xfId="22959" xr:uid="{00000000-0005-0000-0000-0000D6110000}"/>
    <cellStyle name="20% - Énfasis6 3 4" xfId="1453" xr:uid="{00000000-0005-0000-0000-0000D7110000}"/>
    <cellStyle name="20% - Énfasis6 3 4 2" xfId="3303" xr:uid="{00000000-0005-0000-0000-0000D8110000}"/>
    <cellStyle name="20% - Énfasis6 3 4 2 2" xfId="7024" xr:uid="{00000000-0005-0000-0000-0000D9110000}"/>
    <cellStyle name="20% - Énfasis6 3 4 2 2 2" xfId="21908" xr:uid="{00000000-0005-0000-0000-0000DA110000}"/>
    <cellStyle name="20% - Énfasis6 3 4 2 2 2 2" xfId="44551" xr:uid="{00000000-0005-0000-0000-0000DB110000}"/>
    <cellStyle name="20% - Énfasis6 3 4 2 2 3" xfId="14468" xr:uid="{00000000-0005-0000-0000-0000DC110000}"/>
    <cellStyle name="20% - Énfasis6 3 4 2 2 3 2" xfId="37111" xr:uid="{00000000-0005-0000-0000-0000DD110000}"/>
    <cellStyle name="20% - Énfasis6 3 4 2 2 4" xfId="29670" xr:uid="{00000000-0005-0000-0000-0000DE110000}"/>
    <cellStyle name="20% - Énfasis6 3 4 2 3" xfId="18190" xr:uid="{00000000-0005-0000-0000-0000DF110000}"/>
    <cellStyle name="20% - Énfasis6 3 4 2 3 2" xfId="40833" xr:uid="{00000000-0005-0000-0000-0000E0110000}"/>
    <cellStyle name="20% - Énfasis6 3 4 2 4" xfId="10750" xr:uid="{00000000-0005-0000-0000-0000E1110000}"/>
    <cellStyle name="20% - Énfasis6 3 4 2 4 2" xfId="33393" xr:uid="{00000000-0005-0000-0000-0000E2110000}"/>
    <cellStyle name="20% - Énfasis6 3 4 2 5" xfId="25952" xr:uid="{00000000-0005-0000-0000-0000E3110000}"/>
    <cellStyle name="20% - Énfasis6 3 4 3" xfId="5177" xr:uid="{00000000-0005-0000-0000-0000E4110000}"/>
    <cellStyle name="20% - Énfasis6 3 4 3 2" xfId="20061" xr:uid="{00000000-0005-0000-0000-0000E5110000}"/>
    <cellStyle name="20% - Énfasis6 3 4 3 2 2" xfId="42704" xr:uid="{00000000-0005-0000-0000-0000E6110000}"/>
    <cellStyle name="20% - Énfasis6 3 4 3 3" xfId="12621" xr:uid="{00000000-0005-0000-0000-0000E7110000}"/>
    <cellStyle name="20% - Énfasis6 3 4 3 3 2" xfId="35264" xr:uid="{00000000-0005-0000-0000-0000E8110000}"/>
    <cellStyle name="20% - Énfasis6 3 4 3 4" xfId="27823" xr:uid="{00000000-0005-0000-0000-0000E9110000}"/>
    <cellStyle name="20% - Énfasis6 3 4 4" xfId="16343" xr:uid="{00000000-0005-0000-0000-0000EA110000}"/>
    <cellStyle name="20% - Énfasis6 3 4 4 2" xfId="38986" xr:uid="{00000000-0005-0000-0000-0000EB110000}"/>
    <cellStyle name="20% - Énfasis6 3 4 5" xfId="8903" xr:uid="{00000000-0005-0000-0000-0000EC110000}"/>
    <cellStyle name="20% - Énfasis6 3 4 5 2" xfId="31546" xr:uid="{00000000-0005-0000-0000-0000ED110000}"/>
    <cellStyle name="20% - Énfasis6 3 4 6" xfId="24105" xr:uid="{00000000-0005-0000-0000-0000EE110000}"/>
    <cellStyle name="20% - Énfasis6 3 5" xfId="2378" xr:uid="{00000000-0005-0000-0000-0000EF110000}"/>
    <cellStyle name="20% - Énfasis6 3 5 2" xfId="6099" xr:uid="{00000000-0005-0000-0000-0000F0110000}"/>
    <cellStyle name="20% - Énfasis6 3 5 2 2" xfId="20983" xr:uid="{00000000-0005-0000-0000-0000F1110000}"/>
    <cellStyle name="20% - Énfasis6 3 5 2 2 2" xfId="43626" xr:uid="{00000000-0005-0000-0000-0000F2110000}"/>
    <cellStyle name="20% - Énfasis6 3 5 2 3" xfId="13543" xr:uid="{00000000-0005-0000-0000-0000F3110000}"/>
    <cellStyle name="20% - Énfasis6 3 5 2 3 2" xfId="36186" xr:uid="{00000000-0005-0000-0000-0000F4110000}"/>
    <cellStyle name="20% - Énfasis6 3 5 2 4" xfId="28745" xr:uid="{00000000-0005-0000-0000-0000F5110000}"/>
    <cellStyle name="20% - Énfasis6 3 5 3" xfId="17265" xr:uid="{00000000-0005-0000-0000-0000F6110000}"/>
    <cellStyle name="20% - Énfasis6 3 5 3 2" xfId="39908" xr:uid="{00000000-0005-0000-0000-0000F7110000}"/>
    <cellStyle name="20% - Énfasis6 3 5 4" xfId="9825" xr:uid="{00000000-0005-0000-0000-0000F8110000}"/>
    <cellStyle name="20% - Énfasis6 3 5 4 2" xfId="32468" xr:uid="{00000000-0005-0000-0000-0000F9110000}"/>
    <cellStyle name="20% - Énfasis6 3 5 5" xfId="25027" xr:uid="{00000000-0005-0000-0000-0000FA110000}"/>
    <cellStyle name="20% - Énfasis6 3 6" xfId="4252" xr:uid="{00000000-0005-0000-0000-0000FB110000}"/>
    <cellStyle name="20% - Énfasis6 3 6 2" xfId="19136" xr:uid="{00000000-0005-0000-0000-0000FC110000}"/>
    <cellStyle name="20% - Énfasis6 3 6 2 2" xfId="41779" xr:uid="{00000000-0005-0000-0000-0000FD110000}"/>
    <cellStyle name="20% - Énfasis6 3 6 3" xfId="11696" xr:uid="{00000000-0005-0000-0000-0000FE110000}"/>
    <cellStyle name="20% - Énfasis6 3 6 3 2" xfId="34339" xr:uid="{00000000-0005-0000-0000-0000FF110000}"/>
    <cellStyle name="20% - Énfasis6 3 6 4" xfId="26898" xr:uid="{00000000-0005-0000-0000-000000120000}"/>
    <cellStyle name="20% - Énfasis6 3 7" xfId="520" xr:uid="{00000000-0005-0000-0000-000001120000}"/>
    <cellStyle name="20% - Énfasis6 3 7 2" xfId="15418" xr:uid="{00000000-0005-0000-0000-000002120000}"/>
    <cellStyle name="20% - Énfasis6 3 7 2 2" xfId="38061" xr:uid="{00000000-0005-0000-0000-000003120000}"/>
    <cellStyle name="20% - Énfasis6 3 7 3" xfId="23181" xr:uid="{00000000-0005-0000-0000-000004120000}"/>
    <cellStyle name="20% - Énfasis6 3 8" xfId="7978" xr:uid="{00000000-0005-0000-0000-000005120000}"/>
    <cellStyle name="20% - Énfasis6 3 8 2" xfId="30621" xr:uid="{00000000-0005-0000-0000-000006120000}"/>
    <cellStyle name="20% - Énfasis6 3 9" xfId="22803" xr:uid="{00000000-0005-0000-0000-000007120000}"/>
    <cellStyle name="20% - Énfasis6 4" xfId="136" xr:uid="{00000000-0005-0000-0000-000008120000}"/>
    <cellStyle name="20% - Énfasis6 4 2" xfId="300" xr:uid="{00000000-0005-0000-0000-000009120000}"/>
    <cellStyle name="20% - Énfasis6 4 2 2" xfId="2021" xr:uid="{00000000-0005-0000-0000-00000A120000}"/>
    <cellStyle name="20% - Énfasis6 4 2 2 2" xfId="3871" xr:uid="{00000000-0005-0000-0000-00000B120000}"/>
    <cellStyle name="20% - Énfasis6 4 2 2 2 2" xfId="7592" xr:uid="{00000000-0005-0000-0000-00000C120000}"/>
    <cellStyle name="20% - Énfasis6 4 2 2 2 2 2" xfId="22476" xr:uid="{00000000-0005-0000-0000-00000D120000}"/>
    <cellStyle name="20% - Énfasis6 4 2 2 2 2 2 2" xfId="45119" xr:uid="{00000000-0005-0000-0000-00000E120000}"/>
    <cellStyle name="20% - Énfasis6 4 2 2 2 2 3" xfId="15036" xr:uid="{00000000-0005-0000-0000-00000F120000}"/>
    <cellStyle name="20% - Énfasis6 4 2 2 2 2 3 2" xfId="37679" xr:uid="{00000000-0005-0000-0000-000010120000}"/>
    <cellStyle name="20% - Énfasis6 4 2 2 2 2 4" xfId="30238" xr:uid="{00000000-0005-0000-0000-000011120000}"/>
    <cellStyle name="20% - Énfasis6 4 2 2 2 3" xfId="18758" xr:uid="{00000000-0005-0000-0000-000012120000}"/>
    <cellStyle name="20% - Énfasis6 4 2 2 2 3 2" xfId="41401" xr:uid="{00000000-0005-0000-0000-000013120000}"/>
    <cellStyle name="20% - Énfasis6 4 2 2 2 4" xfId="11318" xr:uid="{00000000-0005-0000-0000-000014120000}"/>
    <cellStyle name="20% - Énfasis6 4 2 2 2 4 2" xfId="33961" xr:uid="{00000000-0005-0000-0000-000015120000}"/>
    <cellStyle name="20% - Énfasis6 4 2 2 2 5" xfId="26520" xr:uid="{00000000-0005-0000-0000-000016120000}"/>
    <cellStyle name="20% - Énfasis6 4 2 2 3" xfId="5745" xr:uid="{00000000-0005-0000-0000-000017120000}"/>
    <cellStyle name="20% - Énfasis6 4 2 2 3 2" xfId="20629" xr:uid="{00000000-0005-0000-0000-000018120000}"/>
    <cellStyle name="20% - Énfasis6 4 2 2 3 2 2" xfId="43272" xr:uid="{00000000-0005-0000-0000-000019120000}"/>
    <cellStyle name="20% - Énfasis6 4 2 2 3 3" xfId="13189" xr:uid="{00000000-0005-0000-0000-00001A120000}"/>
    <cellStyle name="20% - Énfasis6 4 2 2 3 3 2" xfId="35832" xr:uid="{00000000-0005-0000-0000-00001B120000}"/>
    <cellStyle name="20% - Énfasis6 4 2 2 3 4" xfId="28391" xr:uid="{00000000-0005-0000-0000-00001C120000}"/>
    <cellStyle name="20% - Énfasis6 4 2 2 4" xfId="16911" xr:uid="{00000000-0005-0000-0000-00001D120000}"/>
    <cellStyle name="20% - Énfasis6 4 2 2 4 2" xfId="39554" xr:uid="{00000000-0005-0000-0000-00001E120000}"/>
    <cellStyle name="20% - Énfasis6 4 2 2 5" xfId="9471" xr:uid="{00000000-0005-0000-0000-00001F120000}"/>
    <cellStyle name="20% - Énfasis6 4 2 2 5 2" xfId="32114" xr:uid="{00000000-0005-0000-0000-000020120000}"/>
    <cellStyle name="20% - Énfasis6 4 2 2 6" xfId="24673" xr:uid="{00000000-0005-0000-0000-000021120000}"/>
    <cellStyle name="20% - Énfasis6 4 2 3" xfId="2946" xr:uid="{00000000-0005-0000-0000-000022120000}"/>
    <cellStyle name="20% - Énfasis6 4 2 3 2" xfId="6667" xr:uid="{00000000-0005-0000-0000-000023120000}"/>
    <cellStyle name="20% - Énfasis6 4 2 3 2 2" xfId="21551" xr:uid="{00000000-0005-0000-0000-000024120000}"/>
    <cellStyle name="20% - Énfasis6 4 2 3 2 2 2" xfId="44194" xr:uid="{00000000-0005-0000-0000-000025120000}"/>
    <cellStyle name="20% - Énfasis6 4 2 3 2 3" xfId="14111" xr:uid="{00000000-0005-0000-0000-000026120000}"/>
    <cellStyle name="20% - Énfasis6 4 2 3 2 3 2" xfId="36754" xr:uid="{00000000-0005-0000-0000-000027120000}"/>
    <cellStyle name="20% - Énfasis6 4 2 3 2 4" xfId="29313" xr:uid="{00000000-0005-0000-0000-000028120000}"/>
    <cellStyle name="20% - Énfasis6 4 2 3 3" xfId="17833" xr:uid="{00000000-0005-0000-0000-000029120000}"/>
    <cellStyle name="20% - Énfasis6 4 2 3 3 2" xfId="40476" xr:uid="{00000000-0005-0000-0000-00002A120000}"/>
    <cellStyle name="20% - Énfasis6 4 2 3 4" xfId="10393" xr:uid="{00000000-0005-0000-0000-00002B120000}"/>
    <cellStyle name="20% - Énfasis6 4 2 3 4 2" xfId="33036" xr:uid="{00000000-0005-0000-0000-00002C120000}"/>
    <cellStyle name="20% - Énfasis6 4 2 3 5" xfId="25595" xr:uid="{00000000-0005-0000-0000-00002D120000}"/>
    <cellStyle name="20% - Énfasis6 4 2 4" xfId="4820" xr:uid="{00000000-0005-0000-0000-00002E120000}"/>
    <cellStyle name="20% - Énfasis6 4 2 4 2" xfId="19704" xr:uid="{00000000-0005-0000-0000-00002F120000}"/>
    <cellStyle name="20% - Énfasis6 4 2 4 2 2" xfId="42347" xr:uid="{00000000-0005-0000-0000-000030120000}"/>
    <cellStyle name="20% - Énfasis6 4 2 4 3" xfId="12264" xr:uid="{00000000-0005-0000-0000-000031120000}"/>
    <cellStyle name="20% - Énfasis6 4 2 4 3 2" xfId="34907" xr:uid="{00000000-0005-0000-0000-000032120000}"/>
    <cellStyle name="20% - Énfasis6 4 2 4 4" xfId="27466" xr:uid="{00000000-0005-0000-0000-000033120000}"/>
    <cellStyle name="20% - Énfasis6 4 2 5" xfId="1093" xr:uid="{00000000-0005-0000-0000-000034120000}"/>
    <cellStyle name="20% - Énfasis6 4 2 5 2" xfId="15986" xr:uid="{00000000-0005-0000-0000-000035120000}"/>
    <cellStyle name="20% - Énfasis6 4 2 5 2 2" xfId="38629" xr:uid="{00000000-0005-0000-0000-000036120000}"/>
    <cellStyle name="20% - Énfasis6 4 2 5 3" xfId="23748" xr:uid="{00000000-0005-0000-0000-000037120000}"/>
    <cellStyle name="20% - Énfasis6 4 2 6" xfId="8546" xr:uid="{00000000-0005-0000-0000-000038120000}"/>
    <cellStyle name="20% - Énfasis6 4 2 6 2" xfId="31189" xr:uid="{00000000-0005-0000-0000-000039120000}"/>
    <cellStyle name="20% - Énfasis6 4 2 7" xfId="22998" xr:uid="{00000000-0005-0000-0000-00003A120000}"/>
    <cellStyle name="20% - Énfasis6 4 3" xfId="1559" xr:uid="{00000000-0005-0000-0000-00003B120000}"/>
    <cellStyle name="20% - Énfasis6 4 3 2" xfId="3409" xr:uid="{00000000-0005-0000-0000-00003C120000}"/>
    <cellStyle name="20% - Énfasis6 4 3 2 2" xfId="7130" xr:uid="{00000000-0005-0000-0000-00003D120000}"/>
    <cellStyle name="20% - Énfasis6 4 3 2 2 2" xfId="22014" xr:uid="{00000000-0005-0000-0000-00003E120000}"/>
    <cellStyle name="20% - Énfasis6 4 3 2 2 2 2" xfId="44657" xr:uid="{00000000-0005-0000-0000-00003F120000}"/>
    <cellStyle name="20% - Énfasis6 4 3 2 2 3" xfId="14574" xr:uid="{00000000-0005-0000-0000-000040120000}"/>
    <cellStyle name="20% - Énfasis6 4 3 2 2 3 2" xfId="37217" xr:uid="{00000000-0005-0000-0000-000041120000}"/>
    <cellStyle name="20% - Énfasis6 4 3 2 2 4" xfId="29776" xr:uid="{00000000-0005-0000-0000-000042120000}"/>
    <cellStyle name="20% - Énfasis6 4 3 2 3" xfId="18296" xr:uid="{00000000-0005-0000-0000-000043120000}"/>
    <cellStyle name="20% - Énfasis6 4 3 2 3 2" xfId="40939" xr:uid="{00000000-0005-0000-0000-000044120000}"/>
    <cellStyle name="20% - Énfasis6 4 3 2 4" xfId="10856" xr:uid="{00000000-0005-0000-0000-000045120000}"/>
    <cellStyle name="20% - Énfasis6 4 3 2 4 2" xfId="33499" xr:uid="{00000000-0005-0000-0000-000046120000}"/>
    <cellStyle name="20% - Énfasis6 4 3 2 5" xfId="26058" xr:uid="{00000000-0005-0000-0000-000047120000}"/>
    <cellStyle name="20% - Énfasis6 4 3 3" xfId="5283" xr:uid="{00000000-0005-0000-0000-000048120000}"/>
    <cellStyle name="20% - Énfasis6 4 3 3 2" xfId="20167" xr:uid="{00000000-0005-0000-0000-000049120000}"/>
    <cellStyle name="20% - Énfasis6 4 3 3 2 2" xfId="42810" xr:uid="{00000000-0005-0000-0000-00004A120000}"/>
    <cellStyle name="20% - Énfasis6 4 3 3 3" xfId="12727" xr:uid="{00000000-0005-0000-0000-00004B120000}"/>
    <cellStyle name="20% - Énfasis6 4 3 3 3 2" xfId="35370" xr:uid="{00000000-0005-0000-0000-00004C120000}"/>
    <cellStyle name="20% - Énfasis6 4 3 3 4" xfId="27929" xr:uid="{00000000-0005-0000-0000-00004D120000}"/>
    <cellStyle name="20% - Énfasis6 4 3 4" xfId="16449" xr:uid="{00000000-0005-0000-0000-00004E120000}"/>
    <cellStyle name="20% - Énfasis6 4 3 4 2" xfId="39092" xr:uid="{00000000-0005-0000-0000-00004F120000}"/>
    <cellStyle name="20% - Énfasis6 4 3 5" xfId="9009" xr:uid="{00000000-0005-0000-0000-000050120000}"/>
    <cellStyle name="20% - Énfasis6 4 3 5 2" xfId="31652" xr:uid="{00000000-0005-0000-0000-000051120000}"/>
    <cellStyle name="20% - Énfasis6 4 3 6" xfId="24211" xr:uid="{00000000-0005-0000-0000-000052120000}"/>
    <cellStyle name="20% - Énfasis6 4 4" xfId="2484" xr:uid="{00000000-0005-0000-0000-000053120000}"/>
    <cellStyle name="20% - Énfasis6 4 4 2" xfId="6205" xr:uid="{00000000-0005-0000-0000-000054120000}"/>
    <cellStyle name="20% - Énfasis6 4 4 2 2" xfId="21089" xr:uid="{00000000-0005-0000-0000-000055120000}"/>
    <cellStyle name="20% - Énfasis6 4 4 2 2 2" xfId="43732" xr:uid="{00000000-0005-0000-0000-000056120000}"/>
    <cellStyle name="20% - Énfasis6 4 4 2 3" xfId="13649" xr:uid="{00000000-0005-0000-0000-000057120000}"/>
    <cellStyle name="20% - Énfasis6 4 4 2 3 2" xfId="36292" xr:uid="{00000000-0005-0000-0000-000058120000}"/>
    <cellStyle name="20% - Énfasis6 4 4 2 4" xfId="28851" xr:uid="{00000000-0005-0000-0000-000059120000}"/>
    <cellStyle name="20% - Énfasis6 4 4 3" xfId="17371" xr:uid="{00000000-0005-0000-0000-00005A120000}"/>
    <cellStyle name="20% - Énfasis6 4 4 3 2" xfId="40014" xr:uid="{00000000-0005-0000-0000-00005B120000}"/>
    <cellStyle name="20% - Énfasis6 4 4 4" xfId="9931" xr:uid="{00000000-0005-0000-0000-00005C120000}"/>
    <cellStyle name="20% - Énfasis6 4 4 4 2" xfId="32574" xr:uid="{00000000-0005-0000-0000-00005D120000}"/>
    <cellStyle name="20% - Énfasis6 4 4 5" xfId="25133" xr:uid="{00000000-0005-0000-0000-00005E120000}"/>
    <cellStyle name="20% - Énfasis6 4 5" xfId="4358" xr:uid="{00000000-0005-0000-0000-00005F120000}"/>
    <cellStyle name="20% - Énfasis6 4 5 2" xfId="19242" xr:uid="{00000000-0005-0000-0000-000060120000}"/>
    <cellStyle name="20% - Énfasis6 4 5 2 2" xfId="41885" xr:uid="{00000000-0005-0000-0000-000061120000}"/>
    <cellStyle name="20% - Énfasis6 4 5 3" xfId="11802" xr:uid="{00000000-0005-0000-0000-000062120000}"/>
    <cellStyle name="20% - Énfasis6 4 5 3 2" xfId="34445" xr:uid="{00000000-0005-0000-0000-000063120000}"/>
    <cellStyle name="20% - Énfasis6 4 5 4" xfId="27004" xr:uid="{00000000-0005-0000-0000-000064120000}"/>
    <cellStyle name="20% - Énfasis6 4 6" xfId="626" xr:uid="{00000000-0005-0000-0000-000065120000}"/>
    <cellStyle name="20% - Énfasis6 4 6 2" xfId="15524" xr:uid="{00000000-0005-0000-0000-000066120000}"/>
    <cellStyle name="20% - Énfasis6 4 6 2 2" xfId="38167" xr:uid="{00000000-0005-0000-0000-000067120000}"/>
    <cellStyle name="20% - Énfasis6 4 6 3" xfId="23286" xr:uid="{00000000-0005-0000-0000-000068120000}"/>
    <cellStyle name="20% - Énfasis6 4 7" xfId="8084" xr:uid="{00000000-0005-0000-0000-000069120000}"/>
    <cellStyle name="20% - Énfasis6 4 7 2" xfId="30727" xr:uid="{00000000-0005-0000-0000-00006A120000}"/>
    <cellStyle name="20% - Énfasis6 4 8" xfId="22842" xr:uid="{00000000-0005-0000-0000-00006B120000}"/>
    <cellStyle name="20% - Énfasis6 5" xfId="219" xr:uid="{00000000-0005-0000-0000-00006C120000}"/>
    <cellStyle name="20% - Énfasis6 5 2" xfId="1810" xr:uid="{00000000-0005-0000-0000-00006D120000}"/>
    <cellStyle name="20% - Énfasis6 5 2 2" xfId="3660" xr:uid="{00000000-0005-0000-0000-00006E120000}"/>
    <cellStyle name="20% - Énfasis6 5 2 2 2" xfId="7381" xr:uid="{00000000-0005-0000-0000-00006F120000}"/>
    <cellStyle name="20% - Énfasis6 5 2 2 2 2" xfId="22265" xr:uid="{00000000-0005-0000-0000-000070120000}"/>
    <cellStyle name="20% - Énfasis6 5 2 2 2 2 2" xfId="44908" xr:uid="{00000000-0005-0000-0000-000071120000}"/>
    <cellStyle name="20% - Énfasis6 5 2 2 2 3" xfId="14825" xr:uid="{00000000-0005-0000-0000-000072120000}"/>
    <cellStyle name="20% - Énfasis6 5 2 2 2 3 2" xfId="37468" xr:uid="{00000000-0005-0000-0000-000073120000}"/>
    <cellStyle name="20% - Énfasis6 5 2 2 2 4" xfId="30027" xr:uid="{00000000-0005-0000-0000-000074120000}"/>
    <cellStyle name="20% - Énfasis6 5 2 2 3" xfId="18547" xr:uid="{00000000-0005-0000-0000-000075120000}"/>
    <cellStyle name="20% - Énfasis6 5 2 2 3 2" xfId="41190" xr:uid="{00000000-0005-0000-0000-000076120000}"/>
    <cellStyle name="20% - Énfasis6 5 2 2 4" xfId="11107" xr:uid="{00000000-0005-0000-0000-000077120000}"/>
    <cellStyle name="20% - Énfasis6 5 2 2 4 2" xfId="33750" xr:uid="{00000000-0005-0000-0000-000078120000}"/>
    <cellStyle name="20% - Énfasis6 5 2 2 5" xfId="26309" xr:uid="{00000000-0005-0000-0000-000079120000}"/>
    <cellStyle name="20% - Énfasis6 5 2 3" xfId="5534" xr:uid="{00000000-0005-0000-0000-00007A120000}"/>
    <cellStyle name="20% - Énfasis6 5 2 3 2" xfId="20418" xr:uid="{00000000-0005-0000-0000-00007B120000}"/>
    <cellStyle name="20% - Énfasis6 5 2 3 2 2" xfId="43061" xr:uid="{00000000-0005-0000-0000-00007C120000}"/>
    <cellStyle name="20% - Énfasis6 5 2 3 3" xfId="12978" xr:uid="{00000000-0005-0000-0000-00007D120000}"/>
    <cellStyle name="20% - Énfasis6 5 2 3 3 2" xfId="35621" xr:uid="{00000000-0005-0000-0000-00007E120000}"/>
    <cellStyle name="20% - Énfasis6 5 2 3 4" xfId="28180" xr:uid="{00000000-0005-0000-0000-00007F120000}"/>
    <cellStyle name="20% - Énfasis6 5 2 4" xfId="16700" xr:uid="{00000000-0005-0000-0000-000080120000}"/>
    <cellStyle name="20% - Énfasis6 5 2 4 2" xfId="39343" xr:uid="{00000000-0005-0000-0000-000081120000}"/>
    <cellStyle name="20% - Énfasis6 5 2 5" xfId="9260" xr:uid="{00000000-0005-0000-0000-000082120000}"/>
    <cellStyle name="20% - Énfasis6 5 2 5 2" xfId="31903" xr:uid="{00000000-0005-0000-0000-000083120000}"/>
    <cellStyle name="20% - Énfasis6 5 2 6" xfId="24462" xr:uid="{00000000-0005-0000-0000-000084120000}"/>
    <cellStyle name="20% - Énfasis6 5 3" xfId="2735" xr:uid="{00000000-0005-0000-0000-000085120000}"/>
    <cellStyle name="20% - Énfasis6 5 3 2" xfId="6456" xr:uid="{00000000-0005-0000-0000-000086120000}"/>
    <cellStyle name="20% - Énfasis6 5 3 2 2" xfId="21340" xr:uid="{00000000-0005-0000-0000-000087120000}"/>
    <cellStyle name="20% - Énfasis6 5 3 2 2 2" xfId="43983" xr:uid="{00000000-0005-0000-0000-000088120000}"/>
    <cellStyle name="20% - Énfasis6 5 3 2 3" xfId="13900" xr:uid="{00000000-0005-0000-0000-000089120000}"/>
    <cellStyle name="20% - Énfasis6 5 3 2 3 2" xfId="36543" xr:uid="{00000000-0005-0000-0000-00008A120000}"/>
    <cellStyle name="20% - Énfasis6 5 3 2 4" xfId="29102" xr:uid="{00000000-0005-0000-0000-00008B120000}"/>
    <cellStyle name="20% - Énfasis6 5 3 3" xfId="17622" xr:uid="{00000000-0005-0000-0000-00008C120000}"/>
    <cellStyle name="20% - Énfasis6 5 3 3 2" xfId="40265" xr:uid="{00000000-0005-0000-0000-00008D120000}"/>
    <cellStyle name="20% - Énfasis6 5 3 4" xfId="10182" xr:uid="{00000000-0005-0000-0000-00008E120000}"/>
    <cellStyle name="20% - Énfasis6 5 3 4 2" xfId="32825" xr:uid="{00000000-0005-0000-0000-00008F120000}"/>
    <cellStyle name="20% - Énfasis6 5 3 5" xfId="25384" xr:uid="{00000000-0005-0000-0000-000090120000}"/>
    <cellStyle name="20% - Énfasis6 5 4" xfId="4609" xr:uid="{00000000-0005-0000-0000-000091120000}"/>
    <cellStyle name="20% - Énfasis6 5 4 2" xfId="19493" xr:uid="{00000000-0005-0000-0000-000092120000}"/>
    <cellStyle name="20% - Énfasis6 5 4 2 2" xfId="42136" xr:uid="{00000000-0005-0000-0000-000093120000}"/>
    <cellStyle name="20% - Énfasis6 5 4 3" xfId="12053" xr:uid="{00000000-0005-0000-0000-000094120000}"/>
    <cellStyle name="20% - Énfasis6 5 4 3 2" xfId="34696" xr:uid="{00000000-0005-0000-0000-000095120000}"/>
    <cellStyle name="20% - Énfasis6 5 4 4" xfId="27255" xr:uid="{00000000-0005-0000-0000-000096120000}"/>
    <cellStyle name="20% - Énfasis6 5 5" xfId="879" xr:uid="{00000000-0005-0000-0000-000097120000}"/>
    <cellStyle name="20% - Énfasis6 5 5 2" xfId="15775" xr:uid="{00000000-0005-0000-0000-000098120000}"/>
    <cellStyle name="20% - Énfasis6 5 5 2 2" xfId="38418" xr:uid="{00000000-0005-0000-0000-000099120000}"/>
    <cellStyle name="20% - Énfasis6 5 5 3" xfId="23537" xr:uid="{00000000-0005-0000-0000-00009A120000}"/>
    <cellStyle name="20% - Énfasis6 5 6" xfId="8335" xr:uid="{00000000-0005-0000-0000-00009B120000}"/>
    <cellStyle name="20% - Énfasis6 5 6 2" xfId="30978" xr:uid="{00000000-0005-0000-0000-00009C120000}"/>
    <cellStyle name="20% - Énfasis6 5 7" xfId="22920" xr:uid="{00000000-0005-0000-0000-00009D120000}"/>
    <cellStyle name="20% - Énfasis6 6" xfId="1345" xr:uid="{00000000-0005-0000-0000-00009E120000}"/>
    <cellStyle name="20% - Énfasis6 6 2" xfId="3198" xr:uid="{00000000-0005-0000-0000-00009F120000}"/>
    <cellStyle name="20% - Énfasis6 6 2 2" xfId="6919" xr:uid="{00000000-0005-0000-0000-0000A0120000}"/>
    <cellStyle name="20% - Énfasis6 6 2 2 2" xfId="21803" xr:uid="{00000000-0005-0000-0000-0000A1120000}"/>
    <cellStyle name="20% - Énfasis6 6 2 2 2 2" xfId="44446" xr:uid="{00000000-0005-0000-0000-0000A2120000}"/>
    <cellStyle name="20% - Énfasis6 6 2 2 3" xfId="14363" xr:uid="{00000000-0005-0000-0000-0000A3120000}"/>
    <cellStyle name="20% - Énfasis6 6 2 2 3 2" xfId="37006" xr:uid="{00000000-0005-0000-0000-0000A4120000}"/>
    <cellStyle name="20% - Énfasis6 6 2 2 4" xfId="29565" xr:uid="{00000000-0005-0000-0000-0000A5120000}"/>
    <cellStyle name="20% - Énfasis6 6 2 3" xfId="18085" xr:uid="{00000000-0005-0000-0000-0000A6120000}"/>
    <cellStyle name="20% - Énfasis6 6 2 3 2" xfId="40728" xr:uid="{00000000-0005-0000-0000-0000A7120000}"/>
    <cellStyle name="20% - Énfasis6 6 2 4" xfId="10645" xr:uid="{00000000-0005-0000-0000-0000A8120000}"/>
    <cellStyle name="20% - Énfasis6 6 2 4 2" xfId="33288" xr:uid="{00000000-0005-0000-0000-0000A9120000}"/>
    <cellStyle name="20% - Énfasis6 6 2 5" xfId="25847" xr:uid="{00000000-0005-0000-0000-0000AA120000}"/>
    <cellStyle name="20% - Énfasis6 6 3" xfId="5072" xr:uid="{00000000-0005-0000-0000-0000AB120000}"/>
    <cellStyle name="20% - Énfasis6 6 3 2" xfId="19956" xr:uid="{00000000-0005-0000-0000-0000AC120000}"/>
    <cellStyle name="20% - Énfasis6 6 3 2 2" xfId="42599" xr:uid="{00000000-0005-0000-0000-0000AD120000}"/>
    <cellStyle name="20% - Énfasis6 6 3 3" xfId="12516" xr:uid="{00000000-0005-0000-0000-0000AE120000}"/>
    <cellStyle name="20% - Énfasis6 6 3 3 2" xfId="35159" xr:uid="{00000000-0005-0000-0000-0000AF120000}"/>
    <cellStyle name="20% - Énfasis6 6 3 4" xfId="27718" xr:uid="{00000000-0005-0000-0000-0000B0120000}"/>
    <cellStyle name="20% - Énfasis6 6 4" xfId="16238" xr:uid="{00000000-0005-0000-0000-0000B1120000}"/>
    <cellStyle name="20% - Énfasis6 6 4 2" xfId="38881" xr:uid="{00000000-0005-0000-0000-0000B2120000}"/>
    <cellStyle name="20% - Énfasis6 6 5" xfId="8798" xr:uid="{00000000-0005-0000-0000-0000B3120000}"/>
    <cellStyle name="20% - Énfasis6 6 5 2" xfId="31441" xr:uid="{00000000-0005-0000-0000-0000B4120000}"/>
    <cellStyle name="20% - Énfasis6 6 6" xfId="24000" xr:uid="{00000000-0005-0000-0000-0000B5120000}"/>
    <cellStyle name="20% - Énfasis6 7" xfId="2270" xr:uid="{00000000-0005-0000-0000-0000B6120000}"/>
    <cellStyle name="20% - Énfasis6 7 2" xfId="5994" xr:uid="{00000000-0005-0000-0000-0000B7120000}"/>
    <cellStyle name="20% - Énfasis6 7 2 2" xfId="20878" xr:uid="{00000000-0005-0000-0000-0000B8120000}"/>
    <cellStyle name="20% - Énfasis6 7 2 2 2" xfId="43521" xr:uid="{00000000-0005-0000-0000-0000B9120000}"/>
    <cellStyle name="20% - Énfasis6 7 2 3" xfId="13438" xr:uid="{00000000-0005-0000-0000-0000BA120000}"/>
    <cellStyle name="20% - Énfasis6 7 2 3 2" xfId="36081" xr:uid="{00000000-0005-0000-0000-0000BB120000}"/>
    <cellStyle name="20% - Énfasis6 7 2 4" xfId="28640" xr:uid="{00000000-0005-0000-0000-0000BC120000}"/>
    <cellStyle name="20% - Énfasis6 7 3" xfId="17160" xr:uid="{00000000-0005-0000-0000-0000BD120000}"/>
    <cellStyle name="20% - Énfasis6 7 3 2" xfId="39803" xr:uid="{00000000-0005-0000-0000-0000BE120000}"/>
    <cellStyle name="20% - Énfasis6 7 4" xfId="9720" xr:uid="{00000000-0005-0000-0000-0000BF120000}"/>
    <cellStyle name="20% - Énfasis6 7 4 2" xfId="32363" xr:uid="{00000000-0005-0000-0000-0000C0120000}"/>
    <cellStyle name="20% - Énfasis6 7 5" xfId="24922" xr:uid="{00000000-0005-0000-0000-0000C1120000}"/>
    <cellStyle name="20% - Énfasis6 8" xfId="4144" xr:uid="{00000000-0005-0000-0000-0000C2120000}"/>
    <cellStyle name="20% - Énfasis6 8 2" xfId="19031" xr:uid="{00000000-0005-0000-0000-0000C3120000}"/>
    <cellStyle name="20% - Énfasis6 8 2 2" xfId="41674" xr:uid="{00000000-0005-0000-0000-0000C4120000}"/>
    <cellStyle name="20% - Énfasis6 8 3" xfId="11591" xr:uid="{00000000-0005-0000-0000-0000C5120000}"/>
    <cellStyle name="20% - Énfasis6 8 3 2" xfId="34234" xr:uid="{00000000-0005-0000-0000-0000C6120000}"/>
    <cellStyle name="20% - Énfasis6 8 4" xfId="26793" xr:uid="{00000000-0005-0000-0000-0000C7120000}"/>
    <cellStyle name="20% - Énfasis6 9" xfId="379" xr:uid="{00000000-0005-0000-0000-0000C8120000}"/>
    <cellStyle name="20% - Énfasis6 9 2" xfId="15313" xr:uid="{00000000-0005-0000-0000-0000C9120000}"/>
    <cellStyle name="20% - Énfasis6 9 2 2" xfId="37956" xr:uid="{00000000-0005-0000-0000-0000CA120000}"/>
    <cellStyle name="20% - Énfasis6 9 3" xfId="23076" xr:uid="{00000000-0005-0000-0000-0000CB120000}"/>
    <cellStyle name="40% - Énfasis1" xfId="13" builtinId="31" customBuiltin="1"/>
    <cellStyle name="40% - Énfasis1 10" xfId="7861" xr:uid="{00000000-0005-0000-0000-0000CD120000}"/>
    <cellStyle name="40% - Énfasis1 10 2" xfId="30507" xr:uid="{00000000-0005-0000-0000-0000CE120000}"/>
    <cellStyle name="40% - Énfasis1 11" xfId="22752" xr:uid="{00000000-0005-0000-0000-0000CF120000}"/>
    <cellStyle name="40% - Énfasis1 12" xfId="45452" xr:uid="{00000000-0005-0000-0000-0000D0120000}"/>
    <cellStyle name="40% - Énfasis1 13" xfId="45491" xr:uid="{00000000-0005-0000-0000-0000D1120000}"/>
    <cellStyle name="40% - Énfasis1 2" xfId="14" xr:uid="{00000000-0005-0000-0000-0000D2120000}"/>
    <cellStyle name="40% - Énfasis1 2 10" xfId="22770" xr:uid="{00000000-0005-0000-0000-0000D3120000}"/>
    <cellStyle name="40% - Énfasis1 2 2" xfId="103" xr:uid="{00000000-0005-0000-0000-0000D4120000}"/>
    <cellStyle name="40% - Énfasis1 2 2 2" xfId="186" xr:uid="{00000000-0005-0000-0000-0000D5120000}"/>
    <cellStyle name="40% - Énfasis1 2 2 2 2" xfId="347" xr:uid="{00000000-0005-0000-0000-0000D6120000}"/>
    <cellStyle name="40% - Énfasis1 2 2 2 2 2" xfId="2169" xr:uid="{00000000-0005-0000-0000-0000D7120000}"/>
    <cellStyle name="40% - Énfasis1 2 2 2 2 2 2" xfId="4019" xr:uid="{00000000-0005-0000-0000-0000D8120000}"/>
    <cellStyle name="40% - Énfasis1 2 2 2 2 2 2 2" xfId="7740" xr:uid="{00000000-0005-0000-0000-0000D9120000}"/>
    <cellStyle name="40% - Énfasis1 2 2 2 2 2 2 2 2" xfId="22624" xr:uid="{00000000-0005-0000-0000-0000DA120000}"/>
    <cellStyle name="40% - Énfasis1 2 2 2 2 2 2 2 2 2" xfId="45267" xr:uid="{00000000-0005-0000-0000-0000DB120000}"/>
    <cellStyle name="40% - Énfasis1 2 2 2 2 2 2 2 3" xfId="15184" xr:uid="{00000000-0005-0000-0000-0000DC120000}"/>
    <cellStyle name="40% - Énfasis1 2 2 2 2 2 2 2 3 2" xfId="37827" xr:uid="{00000000-0005-0000-0000-0000DD120000}"/>
    <cellStyle name="40% - Énfasis1 2 2 2 2 2 2 2 4" xfId="30386" xr:uid="{00000000-0005-0000-0000-0000DE120000}"/>
    <cellStyle name="40% - Énfasis1 2 2 2 2 2 2 3" xfId="18906" xr:uid="{00000000-0005-0000-0000-0000DF120000}"/>
    <cellStyle name="40% - Énfasis1 2 2 2 2 2 2 3 2" xfId="41549" xr:uid="{00000000-0005-0000-0000-0000E0120000}"/>
    <cellStyle name="40% - Énfasis1 2 2 2 2 2 2 4" xfId="11466" xr:uid="{00000000-0005-0000-0000-0000E1120000}"/>
    <cellStyle name="40% - Énfasis1 2 2 2 2 2 2 4 2" xfId="34109" xr:uid="{00000000-0005-0000-0000-0000E2120000}"/>
    <cellStyle name="40% - Énfasis1 2 2 2 2 2 2 5" xfId="26668" xr:uid="{00000000-0005-0000-0000-0000E3120000}"/>
    <cellStyle name="40% - Énfasis1 2 2 2 2 2 3" xfId="5893" xr:uid="{00000000-0005-0000-0000-0000E4120000}"/>
    <cellStyle name="40% - Énfasis1 2 2 2 2 2 3 2" xfId="20777" xr:uid="{00000000-0005-0000-0000-0000E5120000}"/>
    <cellStyle name="40% - Énfasis1 2 2 2 2 2 3 2 2" xfId="43420" xr:uid="{00000000-0005-0000-0000-0000E6120000}"/>
    <cellStyle name="40% - Énfasis1 2 2 2 2 2 3 3" xfId="13337" xr:uid="{00000000-0005-0000-0000-0000E7120000}"/>
    <cellStyle name="40% - Énfasis1 2 2 2 2 2 3 3 2" xfId="35980" xr:uid="{00000000-0005-0000-0000-0000E8120000}"/>
    <cellStyle name="40% - Énfasis1 2 2 2 2 2 3 4" xfId="28539" xr:uid="{00000000-0005-0000-0000-0000E9120000}"/>
    <cellStyle name="40% - Énfasis1 2 2 2 2 2 4" xfId="17059" xr:uid="{00000000-0005-0000-0000-0000EA120000}"/>
    <cellStyle name="40% - Énfasis1 2 2 2 2 2 4 2" xfId="39702" xr:uid="{00000000-0005-0000-0000-0000EB120000}"/>
    <cellStyle name="40% - Énfasis1 2 2 2 2 2 5" xfId="9619" xr:uid="{00000000-0005-0000-0000-0000EC120000}"/>
    <cellStyle name="40% - Énfasis1 2 2 2 2 2 5 2" xfId="32262" xr:uid="{00000000-0005-0000-0000-0000ED120000}"/>
    <cellStyle name="40% - Énfasis1 2 2 2 2 2 6" xfId="24821" xr:uid="{00000000-0005-0000-0000-0000EE120000}"/>
    <cellStyle name="40% - Énfasis1 2 2 2 2 3" xfId="3094" xr:uid="{00000000-0005-0000-0000-0000EF120000}"/>
    <cellStyle name="40% - Énfasis1 2 2 2 2 3 2" xfId="6815" xr:uid="{00000000-0005-0000-0000-0000F0120000}"/>
    <cellStyle name="40% - Énfasis1 2 2 2 2 3 2 2" xfId="21699" xr:uid="{00000000-0005-0000-0000-0000F1120000}"/>
    <cellStyle name="40% - Énfasis1 2 2 2 2 3 2 2 2" xfId="44342" xr:uid="{00000000-0005-0000-0000-0000F2120000}"/>
    <cellStyle name="40% - Énfasis1 2 2 2 2 3 2 3" xfId="14259" xr:uid="{00000000-0005-0000-0000-0000F3120000}"/>
    <cellStyle name="40% - Énfasis1 2 2 2 2 3 2 3 2" xfId="36902" xr:uid="{00000000-0005-0000-0000-0000F4120000}"/>
    <cellStyle name="40% - Énfasis1 2 2 2 2 3 2 4" xfId="29461" xr:uid="{00000000-0005-0000-0000-0000F5120000}"/>
    <cellStyle name="40% - Énfasis1 2 2 2 2 3 3" xfId="17981" xr:uid="{00000000-0005-0000-0000-0000F6120000}"/>
    <cellStyle name="40% - Énfasis1 2 2 2 2 3 3 2" xfId="40624" xr:uid="{00000000-0005-0000-0000-0000F7120000}"/>
    <cellStyle name="40% - Énfasis1 2 2 2 2 3 4" xfId="10541" xr:uid="{00000000-0005-0000-0000-0000F8120000}"/>
    <cellStyle name="40% - Énfasis1 2 2 2 2 3 4 2" xfId="33184" xr:uid="{00000000-0005-0000-0000-0000F9120000}"/>
    <cellStyle name="40% - Énfasis1 2 2 2 2 3 5" xfId="25743" xr:uid="{00000000-0005-0000-0000-0000FA120000}"/>
    <cellStyle name="40% - Énfasis1 2 2 2 2 4" xfId="4968" xr:uid="{00000000-0005-0000-0000-0000FB120000}"/>
    <cellStyle name="40% - Énfasis1 2 2 2 2 4 2" xfId="19852" xr:uid="{00000000-0005-0000-0000-0000FC120000}"/>
    <cellStyle name="40% - Énfasis1 2 2 2 2 4 2 2" xfId="42495" xr:uid="{00000000-0005-0000-0000-0000FD120000}"/>
    <cellStyle name="40% - Énfasis1 2 2 2 2 4 3" xfId="12412" xr:uid="{00000000-0005-0000-0000-0000FE120000}"/>
    <cellStyle name="40% - Énfasis1 2 2 2 2 4 3 2" xfId="35055" xr:uid="{00000000-0005-0000-0000-0000FF120000}"/>
    <cellStyle name="40% - Énfasis1 2 2 2 2 4 4" xfId="27614" xr:uid="{00000000-0005-0000-0000-000000130000}"/>
    <cellStyle name="40% - Énfasis1 2 2 2 2 5" xfId="1241" xr:uid="{00000000-0005-0000-0000-000001130000}"/>
    <cellStyle name="40% - Énfasis1 2 2 2 2 5 2" xfId="16134" xr:uid="{00000000-0005-0000-0000-000002130000}"/>
    <cellStyle name="40% - Énfasis1 2 2 2 2 5 2 2" xfId="38777" xr:uid="{00000000-0005-0000-0000-000003130000}"/>
    <cellStyle name="40% - Énfasis1 2 2 2 2 5 3" xfId="23896" xr:uid="{00000000-0005-0000-0000-000004130000}"/>
    <cellStyle name="40% - Énfasis1 2 2 2 2 6" xfId="8694" xr:uid="{00000000-0005-0000-0000-000005130000}"/>
    <cellStyle name="40% - Énfasis1 2 2 2 2 6 2" xfId="31337" xr:uid="{00000000-0005-0000-0000-000006130000}"/>
    <cellStyle name="40% - Énfasis1 2 2 2 2 7" xfId="23045" xr:uid="{00000000-0005-0000-0000-000007130000}"/>
    <cellStyle name="40% - Énfasis1 2 2 2 3" xfId="1707" xr:uid="{00000000-0005-0000-0000-000008130000}"/>
    <cellStyle name="40% - Énfasis1 2 2 2 3 2" xfId="3557" xr:uid="{00000000-0005-0000-0000-000009130000}"/>
    <cellStyle name="40% - Énfasis1 2 2 2 3 2 2" xfId="7278" xr:uid="{00000000-0005-0000-0000-00000A130000}"/>
    <cellStyle name="40% - Énfasis1 2 2 2 3 2 2 2" xfId="22162" xr:uid="{00000000-0005-0000-0000-00000B130000}"/>
    <cellStyle name="40% - Énfasis1 2 2 2 3 2 2 2 2" xfId="44805" xr:uid="{00000000-0005-0000-0000-00000C130000}"/>
    <cellStyle name="40% - Énfasis1 2 2 2 3 2 2 3" xfId="14722" xr:uid="{00000000-0005-0000-0000-00000D130000}"/>
    <cellStyle name="40% - Énfasis1 2 2 2 3 2 2 3 2" xfId="37365" xr:uid="{00000000-0005-0000-0000-00000E130000}"/>
    <cellStyle name="40% - Énfasis1 2 2 2 3 2 2 4" xfId="29924" xr:uid="{00000000-0005-0000-0000-00000F130000}"/>
    <cellStyle name="40% - Énfasis1 2 2 2 3 2 3" xfId="18444" xr:uid="{00000000-0005-0000-0000-000010130000}"/>
    <cellStyle name="40% - Énfasis1 2 2 2 3 2 3 2" xfId="41087" xr:uid="{00000000-0005-0000-0000-000011130000}"/>
    <cellStyle name="40% - Énfasis1 2 2 2 3 2 4" xfId="11004" xr:uid="{00000000-0005-0000-0000-000012130000}"/>
    <cellStyle name="40% - Énfasis1 2 2 2 3 2 4 2" xfId="33647" xr:uid="{00000000-0005-0000-0000-000013130000}"/>
    <cellStyle name="40% - Énfasis1 2 2 2 3 2 5" xfId="26206" xr:uid="{00000000-0005-0000-0000-000014130000}"/>
    <cellStyle name="40% - Énfasis1 2 2 2 3 3" xfId="5431" xr:uid="{00000000-0005-0000-0000-000015130000}"/>
    <cellStyle name="40% - Énfasis1 2 2 2 3 3 2" xfId="20315" xr:uid="{00000000-0005-0000-0000-000016130000}"/>
    <cellStyle name="40% - Énfasis1 2 2 2 3 3 2 2" xfId="42958" xr:uid="{00000000-0005-0000-0000-000017130000}"/>
    <cellStyle name="40% - Énfasis1 2 2 2 3 3 3" xfId="12875" xr:uid="{00000000-0005-0000-0000-000018130000}"/>
    <cellStyle name="40% - Énfasis1 2 2 2 3 3 3 2" xfId="35518" xr:uid="{00000000-0005-0000-0000-000019130000}"/>
    <cellStyle name="40% - Énfasis1 2 2 2 3 3 4" xfId="28077" xr:uid="{00000000-0005-0000-0000-00001A130000}"/>
    <cellStyle name="40% - Énfasis1 2 2 2 3 4" xfId="16597" xr:uid="{00000000-0005-0000-0000-00001B130000}"/>
    <cellStyle name="40% - Énfasis1 2 2 2 3 4 2" xfId="39240" xr:uid="{00000000-0005-0000-0000-00001C130000}"/>
    <cellStyle name="40% - Énfasis1 2 2 2 3 5" xfId="9157" xr:uid="{00000000-0005-0000-0000-00001D130000}"/>
    <cellStyle name="40% - Énfasis1 2 2 2 3 5 2" xfId="31800" xr:uid="{00000000-0005-0000-0000-00001E130000}"/>
    <cellStyle name="40% - Énfasis1 2 2 2 3 6" xfId="24359" xr:uid="{00000000-0005-0000-0000-00001F130000}"/>
    <cellStyle name="40% - Énfasis1 2 2 2 4" xfId="2632" xr:uid="{00000000-0005-0000-0000-000020130000}"/>
    <cellStyle name="40% - Énfasis1 2 2 2 4 2" xfId="6353" xr:uid="{00000000-0005-0000-0000-000021130000}"/>
    <cellStyle name="40% - Énfasis1 2 2 2 4 2 2" xfId="21237" xr:uid="{00000000-0005-0000-0000-000022130000}"/>
    <cellStyle name="40% - Énfasis1 2 2 2 4 2 2 2" xfId="43880" xr:uid="{00000000-0005-0000-0000-000023130000}"/>
    <cellStyle name="40% - Énfasis1 2 2 2 4 2 3" xfId="13797" xr:uid="{00000000-0005-0000-0000-000024130000}"/>
    <cellStyle name="40% - Énfasis1 2 2 2 4 2 3 2" xfId="36440" xr:uid="{00000000-0005-0000-0000-000025130000}"/>
    <cellStyle name="40% - Énfasis1 2 2 2 4 2 4" xfId="28999" xr:uid="{00000000-0005-0000-0000-000026130000}"/>
    <cellStyle name="40% - Énfasis1 2 2 2 4 3" xfId="17519" xr:uid="{00000000-0005-0000-0000-000027130000}"/>
    <cellStyle name="40% - Énfasis1 2 2 2 4 3 2" xfId="40162" xr:uid="{00000000-0005-0000-0000-000028130000}"/>
    <cellStyle name="40% - Énfasis1 2 2 2 4 4" xfId="10079" xr:uid="{00000000-0005-0000-0000-000029130000}"/>
    <cellStyle name="40% - Énfasis1 2 2 2 4 4 2" xfId="32722" xr:uid="{00000000-0005-0000-0000-00002A130000}"/>
    <cellStyle name="40% - Énfasis1 2 2 2 4 5" xfId="25281" xr:uid="{00000000-0005-0000-0000-00002B130000}"/>
    <cellStyle name="40% - Énfasis1 2 2 2 5" xfId="4506" xr:uid="{00000000-0005-0000-0000-00002C130000}"/>
    <cellStyle name="40% - Énfasis1 2 2 2 5 2" xfId="19390" xr:uid="{00000000-0005-0000-0000-00002D130000}"/>
    <cellStyle name="40% - Énfasis1 2 2 2 5 2 2" xfId="42033" xr:uid="{00000000-0005-0000-0000-00002E130000}"/>
    <cellStyle name="40% - Énfasis1 2 2 2 5 3" xfId="11950" xr:uid="{00000000-0005-0000-0000-00002F130000}"/>
    <cellStyle name="40% - Énfasis1 2 2 2 5 3 2" xfId="34593" xr:uid="{00000000-0005-0000-0000-000030130000}"/>
    <cellStyle name="40% - Énfasis1 2 2 2 5 4" xfId="27152" xr:uid="{00000000-0005-0000-0000-000031130000}"/>
    <cellStyle name="40% - Énfasis1 2 2 2 6" xfId="776" xr:uid="{00000000-0005-0000-0000-000032130000}"/>
    <cellStyle name="40% - Énfasis1 2 2 2 6 2" xfId="15672" xr:uid="{00000000-0005-0000-0000-000033130000}"/>
    <cellStyle name="40% - Énfasis1 2 2 2 6 2 2" xfId="38315" xr:uid="{00000000-0005-0000-0000-000034130000}"/>
    <cellStyle name="40% - Énfasis1 2 2 2 6 3" xfId="23434" xr:uid="{00000000-0005-0000-0000-000035130000}"/>
    <cellStyle name="40% - Énfasis1 2 2 2 7" xfId="8232" xr:uid="{00000000-0005-0000-0000-000036130000}"/>
    <cellStyle name="40% - Énfasis1 2 2 2 7 2" xfId="30875" xr:uid="{00000000-0005-0000-0000-000037130000}"/>
    <cellStyle name="40% - Énfasis1 2 2 2 8" xfId="22889" xr:uid="{00000000-0005-0000-0000-000038130000}"/>
    <cellStyle name="40% - Énfasis1 2 2 3" xfId="269" xr:uid="{00000000-0005-0000-0000-000039130000}"/>
    <cellStyle name="40% - Énfasis1 2 2 3 2" xfId="1958" xr:uid="{00000000-0005-0000-0000-00003A130000}"/>
    <cellStyle name="40% - Énfasis1 2 2 3 2 2" xfId="3808" xr:uid="{00000000-0005-0000-0000-00003B130000}"/>
    <cellStyle name="40% - Énfasis1 2 2 3 2 2 2" xfId="7529" xr:uid="{00000000-0005-0000-0000-00003C130000}"/>
    <cellStyle name="40% - Énfasis1 2 2 3 2 2 2 2" xfId="22413" xr:uid="{00000000-0005-0000-0000-00003D130000}"/>
    <cellStyle name="40% - Énfasis1 2 2 3 2 2 2 2 2" xfId="45056" xr:uid="{00000000-0005-0000-0000-00003E130000}"/>
    <cellStyle name="40% - Énfasis1 2 2 3 2 2 2 3" xfId="14973" xr:uid="{00000000-0005-0000-0000-00003F130000}"/>
    <cellStyle name="40% - Énfasis1 2 2 3 2 2 2 3 2" xfId="37616" xr:uid="{00000000-0005-0000-0000-000040130000}"/>
    <cellStyle name="40% - Énfasis1 2 2 3 2 2 2 4" xfId="30175" xr:uid="{00000000-0005-0000-0000-000041130000}"/>
    <cellStyle name="40% - Énfasis1 2 2 3 2 2 3" xfId="18695" xr:uid="{00000000-0005-0000-0000-000042130000}"/>
    <cellStyle name="40% - Énfasis1 2 2 3 2 2 3 2" xfId="41338" xr:uid="{00000000-0005-0000-0000-000043130000}"/>
    <cellStyle name="40% - Énfasis1 2 2 3 2 2 4" xfId="11255" xr:uid="{00000000-0005-0000-0000-000044130000}"/>
    <cellStyle name="40% - Énfasis1 2 2 3 2 2 4 2" xfId="33898" xr:uid="{00000000-0005-0000-0000-000045130000}"/>
    <cellStyle name="40% - Énfasis1 2 2 3 2 2 5" xfId="26457" xr:uid="{00000000-0005-0000-0000-000046130000}"/>
    <cellStyle name="40% - Énfasis1 2 2 3 2 3" xfId="5682" xr:uid="{00000000-0005-0000-0000-000047130000}"/>
    <cellStyle name="40% - Énfasis1 2 2 3 2 3 2" xfId="20566" xr:uid="{00000000-0005-0000-0000-000048130000}"/>
    <cellStyle name="40% - Énfasis1 2 2 3 2 3 2 2" xfId="43209" xr:uid="{00000000-0005-0000-0000-000049130000}"/>
    <cellStyle name="40% - Énfasis1 2 2 3 2 3 3" xfId="13126" xr:uid="{00000000-0005-0000-0000-00004A130000}"/>
    <cellStyle name="40% - Énfasis1 2 2 3 2 3 3 2" xfId="35769" xr:uid="{00000000-0005-0000-0000-00004B130000}"/>
    <cellStyle name="40% - Énfasis1 2 2 3 2 3 4" xfId="28328" xr:uid="{00000000-0005-0000-0000-00004C130000}"/>
    <cellStyle name="40% - Énfasis1 2 2 3 2 4" xfId="16848" xr:uid="{00000000-0005-0000-0000-00004D130000}"/>
    <cellStyle name="40% - Énfasis1 2 2 3 2 4 2" xfId="39491" xr:uid="{00000000-0005-0000-0000-00004E130000}"/>
    <cellStyle name="40% - Énfasis1 2 2 3 2 5" xfId="9408" xr:uid="{00000000-0005-0000-0000-00004F130000}"/>
    <cellStyle name="40% - Énfasis1 2 2 3 2 5 2" xfId="32051" xr:uid="{00000000-0005-0000-0000-000050130000}"/>
    <cellStyle name="40% - Énfasis1 2 2 3 2 6" xfId="24610" xr:uid="{00000000-0005-0000-0000-000051130000}"/>
    <cellStyle name="40% - Énfasis1 2 2 3 3" xfId="2883" xr:uid="{00000000-0005-0000-0000-000052130000}"/>
    <cellStyle name="40% - Énfasis1 2 2 3 3 2" xfId="6604" xr:uid="{00000000-0005-0000-0000-000053130000}"/>
    <cellStyle name="40% - Énfasis1 2 2 3 3 2 2" xfId="21488" xr:uid="{00000000-0005-0000-0000-000054130000}"/>
    <cellStyle name="40% - Énfasis1 2 2 3 3 2 2 2" xfId="44131" xr:uid="{00000000-0005-0000-0000-000055130000}"/>
    <cellStyle name="40% - Énfasis1 2 2 3 3 2 3" xfId="14048" xr:uid="{00000000-0005-0000-0000-000056130000}"/>
    <cellStyle name="40% - Énfasis1 2 2 3 3 2 3 2" xfId="36691" xr:uid="{00000000-0005-0000-0000-000057130000}"/>
    <cellStyle name="40% - Énfasis1 2 2 3 3 2 4" xfId="29250" xr:uid="{00000000-0005-0000-0000-000058130000}"/>
    <cellStyle name="40% - Énfasis1 2 2 3 3 3" xfId="17770" xr:uid="{00000000-0005-0000-0000-000059130000}"/>
    <cellStyle name="40% - Énfasis1 2 2 3 3 3 2" xfId="40413" xr:uid="{00000000-0005-0000-0000-00005A130000}"/>
    <cellStyle name="40% - Énfasis1 2 2 3 3 4" xfId="10330" xr:uid="{00000000-0005-0000-0000-00005B130000}"/>
    <cellStyle name="40% - Énfasis1 2 2 3 3 4 2" xfId="32973" xr:uid="{00000000-0005-0000-0000-00005C130000}"/>
    <cellStyle name="40% - Énfasis1 2 2 3 3 5" xfId="25532" xr:uid="{00000000-0005-0000-0000-00005D130000}"/>
    <cellStyle name="40% - Énfasis1 2 2 3 4" xfId="4757" xr:uid="{00000000-0005-0000-0000-00005E130000}"/>
    <cellStyle name="40% - Énfasis1 2 2 3 4 2" xfId="19641" xr:uid="{00000000-0005-0000-0000-00005F130000}"/>
    <cellStyle name="40% - Énfasis1 2 2 3 4 2 2" xfId="42284" xr:uid="{00000000-0005-0000-0000-000060130000}"/>
    <cellStyle name="40% - Énfasis1 2 2 3 4 3" xfId="12201" xr:uid="{00000000-0005-0000-0000-000061130000}"/>
    <cellStyle name="40% - Énfasis1 2 2 3 4 3 2" xfId="34844" xr:uid="{00000000-0005-0000-0000-000062130000}"/>
    <cellStyle name="40% - Énfasis1 2 2 3 4 4" xfId="27403" xr:uid="{00000000-0005-0000-0000-000063130000}"/>
    <cellStyle name="40% - Énfasis1 2 2 3 5" xfId="1030" xr:uid="{00000000-0005-0000-0000-000064130000}"/>
    <cellStyle name="40% - Énfasis1 2 2 3 5 2" xfId="15923" xr:uid="{00000000-0005-0000-0000-000065130000}"/>
    <cellStyle name="40% - Énfasis1 2 2 3 5 2 2" xfId="38566" xr:uid="{00000000-0005-0000-0000-000066130000}"/>
    <cellStyle name="40% - Énfasis1 2 2 3 5 3" xfId="23685" xr:uid="{00000000-0005-0000-0000-000067130000}"/>
    <cellStyle name="40% - Énfasis1 2 2 3 6" xfId="8483" xr:uid="{00000000-0005-0000-0000-000068130000}"/>
    <cellStyle name="40% - Énfasis1 2 2 3 6 2" xfId="31126" xr:uid="{00000000-0005-0000-0000-000069130000}"/>
    <cellStyle name="40% - Énfasis1 2 2 3 7" xfId="22967" xr:uid="{00000000-0005-0000-0000-00006A130000}"/>
    <cellStyle name="40% - Énfasis1 2 2 4" xfId="1496" xr:uid="{00000000-0005-0000-0000-00006B130000}"/>
    <cellStyle name="40% - Énfasis1 2 2 4 2" xfId="3346" xr:uid="{00000000-0005-0000-0000-00006C130000}"/>
    <cellStyle name="40% - Énfasis1 2 2 4 2 2" xfId="7067" xr:uid="{00000000-0005-0000-0000-00006D130000}"/>
    <cellStyle name="40% - Énfasis1 2 2 4 2 2 2" xfId="21951" xr:uid="{00000000-0005-0000-0000-00006E130000}"/>
    <cellStyle name="40% - Énfasis1 2 2 4 2 2 2 2" xfId="44594" xr:uid="{00000000-0005-0000-0000-00006F130000}"/>
    <cellStyle name="40% - Énfasis1 2 2 4 2 2 3" xfId="14511" xr:uid="{00000000-0005-0000-0000-000070130000}"/>
    <cellStyle name="40% - Énfasis1 2 2 4 2 2 3 2" xfId="37154" xr:uid="{00000000-0005-0000-0000-000071130000}"/>
    <cellStyle name="40% - Énfasis1 2 2 4 2 2 4" xfId="29713" xr:uid="{00000000-0005-0000-0000-000072130000}"/>
    <cellStyle name="40% - Énfasis1 2 2 4 2 3" xfId="18233" xr:uid="{00000000-0005-0000-0000-000073130000}"/>
    <cellStyle name="40% - Énfasis1 2 2 4 2 3 2" xfId="40876" xr:uid="{00000000-0005-0000-0000-000074130000}"/>
    <cellStyle name="40% - Énfasis1 2 2 4 2 4" xfId="10793" xr:uid="{00000000-0005-0000-0000-000075130000}"/>
    <cellStyle name="40% - Énfasis1 2 2 4 2 4 2" xfId="33436" xr:uid="{00000000-0005-0000-0000-000076130000}"/>
    <cellStyle name="40% - Énfasis1 2 2 4 2 5" xfId="25995" xr:uid="{00000000-0005-0000-0000-000077130000}"/>
    <cellStyle name="40% - Énfasis1 2 2 4 3" xfId="5220" xr:uid="{00000000-0005-0000-0000-000078130000}"/>
    <cellStyle name="40% - Énfasis1 2 2 4 3 2" xfId="20104" xr:uid="{00000000-0005-0000-0000-000079130000}"/>
    <cellStyle name="40% - Énfasis1 2 2 4 3 2 2" xfId="42747" xr:uid="{00000000-0005-0000-0000-00007A130000}"/>
    <cellStyle name="40% - Énfasis1 2 2 4 3 3" xfId="12664" xr:uid="{00000000-0005-0000-0000-00007B130000}"/>
    <cellStyle name="40% - Énfasis1 2 2 4 3 3 2" xfId="35307" xr:uid="{00000000-0005-0000-0000-00007C130000}"/>
    <cellStyle name="40% - Énfasis1 2 2 4 3 4" xfId="27866" xr:uid="{00000000-0005-0000-0000-00007D130000}"/>
    <cellStyle name="40% - Énfasis1 2 2 4 4" xfId="16386" xr:uid="{00000000-0005-0000-0000-00007E130000}"/>
    <cellStyle name="40% - Énfasis1 2 2 4 4 2" xfId="39029" xr:uid="{00000000-0005-0000-0000-00007F130000}"/>
    <cellStyle name="40% - Énfasis1 2 2 4 5" xfId="8946" xr:uid="{00000000-0005-0000-0000-000080130000}"/>
    <cellStyle name="40% - Énfasis1 2 2 4 5 2" xfId="31589" xr:uid="{00000000-0005-0000-0000-000081130000}"/>
    <cellStyle name="40% - Énfasis1 2 2 4 6" xfId="24148" xr:uid="{00000000-0005-0000-0000-000082130000}"/>
    <cellStyle name="40% - Énfasis1 2 2 5" xfId="2421" xr:uid="{00000000-0005-0000-0000-000083130000}"/>
    <cellStyle name="40% - Énfasis1 2 2 5 2" xfId="6142" xr:uid="{00000000-0005-0000-0000-000084130000}"/>
    <cellStyle name="40% - Énfasis1 2 2 5 2 2" xfId="21026" xr:uid="{00000000-0005-0000-0000-000085130000}"/>
    <cellStyle name="40% - Énfasis1 2 2 5 2 2 2" xfId="43669" xr:uid="{00000000-0005-0000-0000-000086130000}"/>
    <cellStyle name="40% - Énfasis1 2 2 5 2 3" xfId="13586" xr:uid="{00000000-0005-0000-0000-000087130000}"/>
    <cellStyle name="40% - Énfasis1 2 2 5 2 3 2" xfId="36229" xr:uid="{00000000-0005-0000-0000-000088130000}"/>
    <cellStyle name="40% - Énfasis1 2 2 5 2 4" xfId="28788" xr:uid="{00000000-0005-0000-0000-000089130000}"/>
    <cellStyle name="40% - Énfasis1 2 2 5 3" xfId="17308" xr:uid="{00000000-0005-0000-0000-00008A130000}"/>
    <cellStyle name="40% - Énfasis1 2 2 5 3 2" xfId="39951" xr:uid="{00000000-0005-0000-0000-00008B130000}"/>
    <cellStyle name="40% - Énfasis1 2 2 5 4" xfId="9868" xr:uid="{00000000-0005-0000-0000-00008C130000}"/>
    <cellStyle name="40% - Énfasis1 2 2 5 4 2" xfId="32511" xr:uid="{00000000-0005-0000-0000-00008D130000}"/>
    <cellStyle name="40% - Énfasis1 2 2 5 5" xfId="25070" xr:uid="{00000000-0005-0000-0000-00008E130000}"/>
    <cellStyle name="40% - Énfasis1 2 2 6" xfId="4295" xr:uid="{00000000-0005-0000-0000-00008F130000}"/>
    <cellStyle name="40% - Énfasis1 2 2 6 2" xfId="19179" xr:uid="{00000000-0005-0000-0000-000090130000}"/>
    <cellStyle name="40% - Énfasis1 2 2 6 2 2" xfId="41822" xr:uid="{00000000-0005-0000-0000-000091130000}"/>
    <cellStyle name="40% - Énfasis1 2 2 6 3" xfId="11739" xr:uid="{00000000-0005-0000-0000-000092130000}"/>
    <cellStyle name="40% - Énfasis1 2 2 6 3 2" xfId="34382" xr:uid="{00000000-0005-0000-0000-000093130000}"/>
    <cellStyle name="40% - Énfasis1 2 2 6 4" xfId="26941" xr:uid="{00000000-0005-0000-0000-000094130000}"/>
    <cellStyle name="40% - Énfasis1 2 2 7" xfId="564" xr:uid="{00000000-0005-0000-0000-000095130000}"/>
    <cellStyle name="40% - Énfasis1 2 2 7 2" xfId="15461" xr:uid="{00000000-0005-0000-0000-000096130000}"/>
    <cellStyle name="40% - Énfasis1 2 2 7 2 2" xfId="38104" xr:uid="{00000000-0005-0000-0000-000097130000}"/>
    <cellStyle name="40% - Énfasis1 2 2 7 3" xfId="23224" xr:uid="{00000000-0005-0000-0000-000098130000}"/>
    <cellStyle name="40% - Énfasis1 2 2 8" xfId="8021" xr:uid="{00000000-0005-0000-0000-000099130000}"/>
    <cellStyle name="40% - Énfasis1 2 2 8 2" xfId="30664" xr:uid="{00000000-0005-0000-0000-00009A130000}"/>
    <cellStyle name="40% - Énfasis1 2 2 9" xfId="22811" xr:uid="{00000000-0005-0000-0000-00009B130000}"/>
    <cellStyle name="40% - Énfasis1 2 3" xfId="145" xr:uid="{00000000-0005-0000-0000-00009C130000}"/>
    <cellStyle name="40% - Énfasis1 2 3 2" xfId="308" xr:uid="{00000000-0005-0000-0000-00009D130000}"/>
    <cellStyle name="40% - Énfasis1 2 3 2 2" xfId="2064" xr:uid="{00000000-0005-0000-0000-00009E130000}"/>
    <cellStyle name="40% - Énfasis1 2 3 2 2 2" xfId="3914" xr:uid="{00000000-0005-0000-0000-00009F130000}"/>
    <cellStyle name="40% - Énfasis1 2 3 2 2 2 2" xfId="7635" xr:uid="{00000000-0005-0000-0000-0000A0130000}"/>
    <cellStyle name="40% - Énfasis1 2 3 2 2 2 2 2" xfId="22519" xr:uid="{00000000-0005-0000-0000-0000A1130000}"/>
    <cellStyle name="40% - Énfasis1 2 3 2 2 2 2 2 2" xfId="45162" xr:uid="{00000000-0005-0000-0000-0000A2130000}"/>
    <cellStyle name="40% - Énfasis1 2 3 2 2 2 2 3" xfId="15079" xr:uid="{00000000-0005-0000-0000-0000A3130000}"/>
    <cellStyle name="40% - Énfasis1 2 3 2 2 2 2 3 2" xfId="37722" xr:uid="{00000000-0005-0000-0000-0000A4130000}"/>
    <cellStyle name="40% - Énfasis1 2 3 2 2 2 2 4" xfId="30281" xr:uid="{00000000-0005-0000-0000-0000A5130000}"/>
    <cellStyle name="40% - Énfasis1 2 3 2 2 2 3" xfId="18801" xr:uid="{00000000-0005-0000-0000-0000A6130000}"/>
    <cellStyle name="40% - Énfasis1 2 3 2 2 2 3 2" xfId="41444" xr:uid="{00000000-0005-0000-0000-0000A7130000}"/>
    <cellStyle name="40% - Énfasis1 2 3 2 2 2 4" xfId="11361" xr:uid="{00000000-0005-0000-0000-0000A8130000}"/>
    <cellStyle name="40% - Énfasis1 2 3 2 2 2 4 2" xfId="34004" xr:uid="{00000000-0005-0000-0000-0000A9130000}"/>
    <cellStyle name="40% - Énfasis1 2 3 2 2 2 5" xfId="26563" xr:uid="{00000000-0005-0000-0000-0000AA130000}"/>
    <cellStyle name="40% - Énfasis1 2 3 2 2 3" xfId="5788" xr:uid="{00000000-0005-0000-0000-0000AB130000}"/>
    <cellStyle name="40% - Énfasis1 2 3 2 2 3 2" xfId="20672" xr:uid="{00000000-0005-0000-0000-0000AC130000}"/>
    <cellStyle name="40% - Énfasis1 2 3 2 2 3 2 2" xfId="43315" xr:uid="{00000000-0005-0000-0000-0000AD130000}"/>
    <cellStyle name="40% - Énfasis1 2 3 2 2 3 3" xfId="13232" xr:uid="{00000000-0005-0000-0000-0000AE130000}"/>
    <cellStyle name="40% - Énfasis1 2 3 2 2 3 3 2" xfId="35875" xr:uid="{00000000-0005-0000-0000-0000AF130000}"/>
    <cellStyle name="40% - Énfasis1 2 3 2 2 3 4" xfId="28434" xr:uid="{00000000-0005-0000-0000-0000B0130000}"/>
    <cellStyle name="40% - Énfasis1 2 3 2 2 4" xfId="16954" xr:uid="{00000000-0005-0000-0000-0000B1130000}"/>
    <cellStyle name="40% - Énfasis1 2 3 2 2 4 2" xfId="39597" xr:uid="{00000000-0005-0000-0000-0000B2130000}"/>
    <cellStyle name="40% - Énfasis1 2 3 2 2 5" xfId="9514" xr:uid="{00000000-0005-0000-0000-0000B3130000}"/>
    <cellStyle name="40% - Énfasis1 2 3 2 2 5 2" xfId="32157" xr:uid="{00000000-0005-0000-0000-0000B4130000}"/>
    <cellStyle name="40% - Énfasis1 2 3 2 2 6" xfId="24716" xr:uid="{00000000-0005-0000-0000-0000B5130000}"/>
    <cellStyle name="40% - Énfasis1 2 3 2 3" xfId="2989" xr:uid="{00000000-0005-0000-0000-0000B6130000}"/>
    <cellStyle name="40% - Énfasis1 2 3 2 3 2" xfId="6710" xr:uid="{00000000-0005-0000-0000-0000B7130000}"/>
    <cellStyle name="40% - Énfasis1 2 3 2 3 2 2" xfId="21594" xr:uid="{00000000-0005-0000-0000-0000B8130000}"/>
    <cellStyle name="40% - Énfasis1 2 3 2 3 2 2 2" xfId="44237" xr:uid="{00000000-0005-0000-0000-0000B9130000}"/>
    <cellStyle name="40% - Énfasis1 2 3 2 3 2 3" xfId="14154" xr:uid="{00000000-0005-0000-0000-0000BA130000}"/>
    <cellStyle name="40% - Énfasis1 2 3 2 3 2 3 2" xfId="36797" xr:uid="{00000000-0005-0000-0000-0000BB130000}"/>
    <cellStyle name="40% - Énfasis1 2 3 2 3 2 4" xfId="29356" xr:uid="{00000000-0005-0000-0000-0000BC130000}"/>
    <cellStyle name="40% - Énfasis1 2 3 2 3 3" xfId="17876" xr:uid="{00000000-0005-0000-0000-0000BD130000}"/>
    <cellStyle name="40% - Énfasis1 2 3 2 3 3 2" xfId="40519" xr:uid="{00000000-0005-0000-0000-0000BE130000}"/>
    <cellStyle name="40% - Énfasis1 2 3 2 3 4" xfId="10436" xr:uid="{00000000-0005-0000-0000-0000BF130000}"/>
    <cellStyle name="40% - Énfasis1 2 3 2 3 4 2" xfId="33079" xr:uid="{00000000-0005-0000-0000-0000C0130000}"/>
    <cellStyle name="40% - Énfasis1 2 3 2 3 5" xfId="25638" xr:uid="{00000000-0005-0000-0000-0000C1130000}"/>
    <cellStyle name="40% - Énfasis1 2 3 2 4" xfId="4863" xr:uid="{00000000-0005-0000-0000-0000C2130000}"/>
    <cellStyle name="40% - Énfasis1 2 3 2 4 2" xfId="19747" xr:uid="{00000000-0005-0000-0000-0000C3130000}"/>
    <cellStyle name="40% - Énfasis1 2 3 2 4 2 2" xfId="42390" xr:uid="{00000000-0005-0000-0000-0000C4130000}"/>
    <cellStyle name="40% - Énfasis1 2 3 2 4 3" xfId="12307" xr:uid="{00000000-0005-0000-0000-0000C5130000}"/>
    <cellStyle name="40% - Énfasis1 2 3 2 4 3 2" xfId="34950" xr:uid="{00000000-0005-0000-0000-0000C6130000}"/>
    <cellStyle name="40% - Énfasis1 2 3 2 4 4" xfId="27509" xr:uid="{00000000-0005-0000-0000-0000C7130000}"/>
    <cellStyle name="40% - Énfasis1 2 3 2 5" xfId="1136" xr:uid="{00000000-0005-0000-0000-0000C8130000}"/>
    <cellStyle name="40% - Énfasis1 2 3 2 5 2" xfId="16029" xr:uid="{00000000-0005-0000-0000-0000C9130000}"/>
    <cellStyle name="40% - Énfasis1 2 3 2 5 2 2" xfId="38672" xr:uid="{00000000-0005-0000-0000-0000CA130000}"/>
    <cellStyle name="40% - Énfasis1 2 3 2 5 3" xfId="23791" xr:uid="{00000000-0005-0000-0000-0000CB130000}"/>
    <cellStyle name="40% - Énfasis1 2 3 2 6" xfId="8589" xr:uid="{00000000-0005-0000-0000-0000CC130000}"/>
    <cellStyle name="40% - Énfasis1 2 3 2 6 2" xfId="31232" xr:uid="{00000000-0005-0000-0000-0000CD130000}"/>
    <cellStyle name="40% - Énfasis1 2 3 2 7" xfId="23006" xr:uid="{00000000-0005-0000-0000-0000CE130000}"/>
    <cellStyle name="40% - Énfasis1 2 3 3" xfId="1602" xr:uid="{00000000-0005-0000-0000-0000CF130000}"/>
    <cellStyle name="40% - Énfasis1 2 3 3 2" xfId="3452" xr:uid="{00000000-0005-0000-0000-0000D0130000}"/>
    <cellStyle name="40% - Énfasis1 2 3 3 2 2" xfId="7173" xr:uid="{00000000-0005-0000-0000-0000D1130000}"/>
    <cellStyle name="40% - Énfasis1 2 3 3 2 2 2" xfId="22057" xr:uid="{00000000-0005-0000-0000-0000D2130000}"/>
    <cellStyle name="40% - Énfasis1 2 3 3 2 2 2 2" xfId="44700" xr:uid="{00000000-0005-0000-0000-0000D3130000}"/>
    <cellStyle name="40% - Énfasis1 2 3 3 2 2 3" xfId="14617" xr:uid="{00000000-0005-0000-0000-0000D4130000}"/>
    <cellStyle name="40% - Énfasis1 2 3 3 2 2 3 2" xfId="37260" xr:uid="{00000000-0005-0000-0000-0000D5130000}"/>
    <cellStyle name="40% - Énfasis1 2 3 3 2 2 4" xfId="29819" xr:uid="{00000000-0005-0000-0000-0000D6130000}"/>
    <cellStyle name="40% - Énfasis1 2 3 3 2 3" xfId="18339" xr:uid="{00000000-0005-0000-0000-0000D7130000}"/>
    <cellStyle name="40% - Énfasis1 2 3 3 2 3 2" xfId="40982" xr:uid="{00000000-0005-0000-0000-0000D8130000}"/>
    <cellStyle name="40% - Énfasis1 2 3 3 2 4" xfId="10899" xr:uid="{00000000-0005-0000-0000-0000D9130000}"/>
    <cellStyle name="40% - Énfasis1 2 3 3 2 4 2" xfId="33542" xr:uid="{00000000-0005-0000-0000-0000DA130000}"/>
    <cellStyle name="40% - Énfasis1 2 3 3 2 5" xfId="26101" xr:uid="{00000000-0005-0000-0000-0000DB130000}"/>
    <cellStyle name="40% - Énfasis1 2 3 3 3" xfId="5326" xr:uid="{00000000-0005-0000-0000-0000DC130000}"/>
    <cellStyle name="40% - Énfasis1 2 3 3 3 2" xfId="20210" xr:uid="{00000000-0005-0000-0000-0000DD130000}"/>
    <cellStyle name="40% - Énfasis1 2 3 3 3 2 2" xfId="42853" xr:uid="{00000000-0005-0000-0000-0000DE130000}"/>
    <cellStyle name="40% - Énfasis1 2 3 3 3 3" xfId="12770" xr:uid="{00000000-0005-0000-0000-0000DF130000}"/>
    <cellStyle name="40% - Énfasis1 2 3 3 3 3 2" xfId="35413" xr:uid="{00000000-0005-0000-0000-0000E0130000}"/>
    <cellStyle name="40% - Énfasis1 2 3 3 3 4" xfId="27972" xr:uid="{00000000-0005-0000-0000-0000E1130000}"/>
    <cellStyle name="40% - Énfasis1 2 3 3 4" xfId="16492" xr:uid="{00000000-0005-0000-0000-0000E2130000}"/>
    <cellStyle name="40% - Énfasis1 2 3 3 4 2" xfId="39135" xr:uid="{00000000-0005-0000-0000-0000E3130000}"/>
    <cellStyle name="40% - Énfasis1 2 3 3 5" xfId="9052" xr:uid="{00000000-0005-0000-0000-0000E4130000}"/>
    <cellStyle name="40% - Énfasis1 2 3 3 5 2" xfId="31695" xr:uid="{00000000-0005-0000-0000-0000E5130000}"/>
    <cellStyle name="40% - Énfasis1 2 3 3 6" xfId="24254" xr:uid="{00000000-0005-0000-0000-0000E6130000}"/>
    <cellStyle name="40% - Énfasis1 2 3 4" xfId="2527" xr:uid="{00000000-0005-0000-0000-0000E7130000}"/>
    <cellStyle name="40% - Énfasis1 2 3 4 2" xfId="6248" xr:uid="{00000000-0005-0000-0000-0000E8130000}"/>
    <cellStyle name="40% - Énfasis1 2 3 4 2 2" xfId="21132" xr:uid="{00000000-0005-0000-0000-0000E9130000}"/>
    <cellStyle name="40% - Énfasis1 2 3 4 2 2 2" xfId="43775" xr:uid="{00000000-0005-0000-0000-0000EA130000}"/>
    <cellStyle name="40% - Énfasis1 2 3 4 2 3" xfId="13692" xr:uid="{00000000-0005-0000-0000-0000EB130000}"/>
    <cellStyle name="40% - Énfasis1 2 3 4 2 3 2" xfId="36335" xr:uid="{00000000-0005-0000-0000-0000EC130000}"/>
    <cellStyle name="40% - Énfasis1 2 3 4 2 4" xfId="28894" xr:uid="{00000000-0005-0000-0000-0000ED130000}"/>
    <cellStyle name="40% - Énfasis1 2 3 4 3" xfId="17414" xr:uid="{00000000-0005-0000-0000-0000EE130000}"/>
    <cellStyle name="40% - Énfasis1 2 3 4 3 2" xfId="40057" xr:uid="{00000000-0005-0000-0000-0000EF130000}"/>
    <cellStyle name="40% - Énfasis1 2 3 4 4" xfId="9974" xr:uid="{00000000-0005-0000-0000-0000F0130000}"/>
    <cellStyle name="40% - Énfasis1 2 3 4 4 2" xfId="32617" xr:uid="{00000000-0005-0000-0000-0000F1130000}"/>
    <cellStyle name="40% - Énfasis1 2 3 4 5" xfId="25176" xr:uid="{00000000-0005-0000-0000-0000F2130000}"/>
    <cellStyle name="40% - Énfasis1 2 3 5" xfId="4401" xr:uid="{00000000-0005-0000-0000-0000F3130000}"/>
    <cellStyle name="40% - Énfasis1 2 3 5 2" xfId="19285" xr:uid="{00000000-0005-0000-0000-0000F4130000}"/>
    <cellStyle name="40% - Énfasis1 2 3 5 2 2" xfId="41928" xr:uid="{00000000-0005-0000-0000-0000F5130000}"/>
    <cellStyle name="40% - Énfasis1 2 3 5 3" xfId="11845" xr:uid="{00000000-0005-0000-0000-0000F6130000}"/>
    <cellStyle name="40% - Énfasis1 2 3 5 3 2" xfId="34488" xr:uid="{00000000-0005-0000-0000-0000F7130000}"/>
    <cellStyle name="40% - Énfasis1 2 3 5 4" xfId="27047" xr:uid="{00000000-0005-0000-0000-0000F8130000}"/>
    <cellStyle name="40% - Énfasis1 2 3 6" xfId="671" xr:uid="{00000000-0005-0000-0000-0000F9130000}"/>
    <cellStyle name="40% - Énfasis1 2 3 6 2" xfId="15567" xr:uid="{00000000-0005-0000-0000-0000FA130000}"/>
    <cellStyle name="40% - Énfasis1 2 3 6 2 2" xfId="38210" xr:uid="{00000000-0005-0000-0000-0000FB130000}"/>
    <cellStyle name="40% - Énfasis1 2 3 6 3" xfId="23329" xr:uid="{00000000-0005-0000-0000-0000FC130000}"/>
    <cellStyle name="40% - Énfasis1 2 3 7" xfId="8127" xr:uid="{00000000-0005-0000-0000-0000FD130000}"/>
    <cellStyle name="40% - Énfasis1 2 3 7 2" xfId="30770" xr:uid="{00000000-0005-0000-0000-0000FE130000}"/>
    <cellStyle name="40% - Énfasis1 2 3 8" xfId="22850" xr:uid="{00000000-0005-0000-0000-0000FF130000}"/>
    <cellStyle name="40% - Énfasis1 2 4" xfId="228" xr:uid="{00000000-0005-0000-0000-000000140000}"/>
    <cellStyle name="40% - Énfasis1 2 4 2" xfId="1853" xr:uid="{00000000-0005-0000-0000-000001140000}"/>
    <cellStyle name="40% - Énfasis1 2 4 2 2" xfId="3703" xr:uid="{00000000-0005-0000-0000-000002140000}"/>
    <cellStyle name="40% - Énfasis1 2 4 2 2 2" xfId="7424" xr:uid="{00000000-0005-0000-0000-000003140000}"/>
    <cellStyle name="40% - Énfasis1 2 4 2 2 2 2" xfId="22308" xr:uid="{00000000-0005-0000-0000-000004140000}"/>
    <cellStyle name="40% - Énfasis1 2 4 2 2 2 2 2" xfId="44951" xr:uid="{00000000-0005-0000-0000-000005140000}"/>
    <cellStyle name="40% - Énfasis1 2 4 2 2 2 3" xfId="14868" xr:uid="{00000000-0005-0000-0000-000006140000}"/>
    <cellStyle name="40% - Énfasis1 2 4 2 2 2 3 2" xfId="37511" xr:uid="{00000000-0005-0000-0000-000007140000}"/>
    <cellStyle name="40% - Énfasis1 2 4 2 2 2 4" xfId="30070" xr:uid="{00000000-0005-0000-0000-000008140000}"/>
    <cellStyle name="40% - Énfasis1 2 4 2 2 3" xfId="18590" xr:uid="{00000000-0005-0000-0000-000009140000}"/>
    <cellStyle name="40% - Énfasis1 2 4 2 2 3 2" xfId="41233" xr:uid="{00000000-0005-0000-0000-00000A140000}"/>
    <cellStyle name="40% - Énfasis1 2 4 2 2 4" xfId="11150" xr:uid="{00000000-0005-0000-0000-00000B140000}"/>
    <cellStyle name="40% - Énfasis1 2 4 2 2 4 2" xfId="33793" xr:uid="{00000000-0005-0000-0000-00000C140000}"/>
    <cellStyle name="40% - Énfasis1 2 4 2 2 5" xfId="26352" xr:uid="{00000000-0005-0000-0000-00000D140000}"/>
    <cellStyle name="40% - Énfasis1 2 4 2 3" xfId="5577" xr:uid="{00000000-0005-0000-0000-00000E140000}"/>
    <cellStyle name="40% - Énfasis1 2 4 2 3 2" xfId="20461" xr:uid="{00000000-0005-0000-0000-00000F140000}"/>
    <cellStyle name="40% - Énfasis1 2 4 2 3 2 2" xfId="43104" xr:uid="{00000000-0005-0000-0000-000010140000}"/>
    <cellStyle name="40% - Énfasis1 2 4 2 3 3" xfId="13021" xr:uid="{00000000-0005-0000-0000-000011140000}"/>
    <cellStyle name="40% - Énfasis1 2 4 2 3 3 2" xfId="35664" xr:uid="{00000000-0005-0000-0000-000012140000}"/>
    <cellStyle name="40% - Énfasis1 2 4 2 3 4" xfId="28223" xr:uid="{00000000-0005-0000-0000-000013140000}"/>
    <cellStyle name="40% - Énfasis1 2 4 2 4" xfId="16743" xr:uid="{00000000-0005-0000-0000-000014140000}"/>
    <cellStyle name="40% - Énfasis1 2 4 2 4 2" xfId="39386" xr:uid="{00000000-0005-0000-0000-000015140000}"/>
    <cellStyle name="40% - Énfasis1 2 4 2 5" xfId="9303" xr:uid="{00000000-0005-0000-0000-000016140000}"/>
    <cellStyle name="40% - Énfasis1 2 4 2 5 2" xfId="31946" xr:uid="{00000000-0005-0000-0000-000017140000}"/>
    <cellStyle name="40% - Énfasis1 2 4 2 6" xfId="24505" xr:uid="{00000000-0005-0000-0000-000018140000}"/>
    <cellStyle name="40% - Énfasis1 2 4 3" xfId="2778" xr:uid="{00000000-0005-0000-0000-000019140000}"/>
    <cellStyle name="40% - Énfasis1 2 4 3 2" xfId="6499" xr:uid="{00000000-0005-0000-0000-00001A140000}"/>
    <cellStyle name="40% - Énfasis1 2 4 3 2 2" xfId="21383" xr:uid="{00000000-0005-0000-0000-00001B140000}"/>
    <cellStyle name="40% - Énfasis1 2 4 3 2 2 2" xfId="44026" xr:uid="{00000000-0005-0000-0000-00001C140000}"/>
    <cellStyle name="40% - Énfasis1 2 4 3 2 3" xfId="13943" xr:uid="{00000000-0005-0000-0000-00001D140000}"/>
    <cellStyle name="40% - Énfasis1 2 4 3 2 3 2" xfId="36586" xr:uid="{00000000-0005-0000-0000-00001E140000}"/>
    <cellStyle name="40% - Énfasis1 2 4 3 2 4" xfId="29145" xr:uid="{00000000-0005-0000-0000-00001F140000}"/>
    <cellStyle name="40% - Énfasis1 2 4 3 3" xfId="17665" xr:uid="{00000000-0005-0000-0000-000020140000}"/>
    <cellStyle name="40% - Énfasis1 2 4 3 3 2" xfId="40308" xr:uid="{00000000-0005-0000-0000-000021140000}"/>
    <cellStyle name="40% - Énfasis1 2 4 3 4" xfId="10225" xr:uid="{00000000-0005-0000-0000-000022140000}"/>
    <cellStyle name="40% - Énfasis1 2 4 3 4 2" xfId="32868" xr:uid="{00000000-0005-0000-0000-000023140000}"/>
    <cellStyle name="40% - Énfasis1 2 4 3 5" xfId="25427" xr:uid="{00000000-0005-0000-0000-000024140000}"/>
    <cellStyle name="40% - Énfasis1 2 4 4" xfId="4652" xr:uid="{00000000-0005-0000-0000-000025140000}"/>
    <cellStyle name="40% - Énfasis1 2 4 4 2" xfId="19536" xr:uid="{00000000-0005-0000-0000-000026140000}"/>
    <cellStyle name="40% - Énfasis1 2 4 4 2 2" xfId="42179" xr:uid="{00000000-0005-0000-0000-000027140000}"/>
    <cellStyle name="40% - Énfasis1 2 4 4 3" xfId="12096" xr:uid="{00000000-0005-0000-0000-000028140000}"/>
    <cellStyle name="40% - Énfasis1 2 4 4 3 2" xfId="34739" xr:uid="{00000000-0005-0000-0000-000029140000}"/>
    <cellStyle name="40% - Énfasis1 2 4 4 4" xfId="27298" xr:uid="{00000000-0005-0000-0000-00002A140000}"/>
    <cellStyle name="40% - Énfasis1 2 4 5" xfId="925" xr:uid="{00000000-0005-0000-0000-00002B140000}"/>
    <cellStyle name="40% - Énfasis1 2 4 5 2" xfId="15818" xr:uid="{00000000-0005-0000-0000-00002C140000}"/>
    <cellStyle name="40% - Énfasis1 2 4 5 2 2" xfId="38461" xr:uid="{00000000-0005-0000-0000-00002D140000}"/>
    <cellStyle name="40% - Énfasis1 2 4 5 3" xfId="23580" xr:uid="{00000000-0005-0000-0000-00002E140000}"/>
    <cellStyle name="40% - Énfasis1 2 4 6" xfId="8378" xr:uid="{00000000-0005-0000-0000-00002F140000}"/>
    <cellStyle name="40% - Énfasis1 2 4 6 2" xfId="31021" xr:uid="{00000000-0005-0000-0000-000030140000}"/>
    <cellStyle name="40% - Énfasis1 2 4 7" xfId="22928" xr:uid="{00000000-0005-0000-0000-000031140000}"/>
    <cellStyle name="40% - Énfasis1 2 5" xfId="1391" xr:uid="{00000000-0005-0000-0000-000032140000}"/>
    <cellStyle name="40% - Énfasis1 2 5 2" xfId="3241" xr:uid="{00000000-0005-0000-0000-000033140000}"/>
    <cellStyle name="40% - Énfasis1 2 5 2 2" xfId="6962" xr:uid="{00000000-0005-0000-0000-000034140000}"/>
    <cellStyle name="40% - Énfasis1 2 5 2 2 2" xfId="21846" xr:uid="{00000000-0005-0000-0000-000035140000}"/>
    <cellStyle name="40% - Énfasis1 2 5 2 2 2 2" xfId="44489" xr:uid="{00000000-0005-0000-0000-000036140000}"/>
    <cellStyle name="40% - Énfasis1 2 5 2 2 3" xfId="14406" xr:uid="{00000000-0005-0000-0000-000037140000}"/>
    <cellStyle name="40% - Énfasis1 2 5 2 2 3 2" xfId="37049" xr:uid="{00000000-0005-0000-0000-000038140000}"/>
    <cellStyle name="40% - Énfasis1 2 5 2 2 4" xfId="29608" xr:uid="{00000000-0005-0000-0000-000039140000}"/>
    <cellStyle name="40% - Énfasis1 2 5 2 3" xfId="18128" xr:uid="{00000000-0005-0000-0000-00003A140000}"/>
    <cellStyle name="40% - Énfasis1 2 5 2 3 2" xfId="40771" xr:uid="{00000000-0005-0000-0000-00003B140000}"/>
    <cellStyle name="40% - Énfasis1 2 5 2 4" xfId="10688" xr:uid="{00000000-0005-0000-0000-00003C140000}"/>
    <cellStyle name="40% - Énfasis1 2 5 2 4 2" xfId="33331" xr:uid="{00000000-0005-0000-0000-00003D140000}"/>
    <cellStyle name="40% - Énfasis1 2 5 2 5" xfId="25890" xr:uid="{00000000-0005-0000-0000-00003E140000}"/>
    <cellStyle name="40% - Énfasis1 2 5 3" xfId="5115" xr:uid="{00000000-0005-0000-0000-00003F140000}"/>
    <cellStyle name="40% - Énfasis1 2 5 3 2" xfId="19999" xr:uid="{00000000-0005-0000-0000-000040140000}"/>
    <cellStyle name="40% - Énfasis1 2 5 3 2 2" xfId="42642" xr:uid="{00000000-0005-0000-0000-000041140000}"/>
    <cellStyle name="40% - Énfasis1 2 5 3 3" xfId="12559" xr:uid="{00000000-0005-0000-0000-000042140000}"/>
    <cellStyle name="40% - Énfasis1 2 5 3 3 2" xfId="35202" xr:uid="{00000000-0005-0000-0000-000043140000}"/>
    <cellStyle name="40% - Énfasis1 2 5 3 4" xfId="27761" xr:uid="{00000000-0005-0000-0000-000044140000}"/>
    <cellStyle name="40% - Énfasis1 2 5 4" xfId="16281" xr:uid="{00000000-0005-0000-0000-000045140000}"/>
    <cellStyle name="40% - Énfasis1 2 5 4 2" xfId="38924" xr:uid="{00000000-0005-0000-0000-000046140000}"/>
    <cellStyle name="40% - Énfasis1 2 5 5" xfId="8841" xr:uid="{00000000-0005-0000-0000-000047140000}"/>
    <cellStyle name="40% - Énfasis1 2 5 5 2" xfId="31484" xr:uid="{00000000-0005-0000-0000-000048140000}"/>
    <cellStyle name="40% - Énfasis1 2 5 6" xfId="24043" xr:uid="{00000000-0005-0000-0000-000049140000}"/>
    <cellStyle name="40% - Énfasis1 2 6" xfId="2316" xr:uid="{00000000-0005-0000-0000-00004A140000}"/>
    <cellStyle name="40% - Énfasis1 2 6 2" xfId="6037" xr:uid="{00000000-0005-0000-0000-00004B140000}"/>
    <cellStyle name="40% - Énfasis1 2 6 2 2" xfId="20921" xr:uid="{00000000-0005-0000-0000-00004C140000}"/>
    <cellStyle name="40% - Énfasis1 2 6 2 2 2" xfId="43564" xr:uid="{00000000-0005-0000-0000-00004D140000}"/>
    <cellStyle name="40% - Énfasis1 2 6 2 3" xfId="13481" xr:uid="{00000000-0005-0000-0000-00004E140000}"/>
    <cellStyle name="40% - Énfasis1 2 6 2 3 2" xfId="36124" xr:uid="{00000000-0005-0000-0000-00004F140000}"/>
    <cellStyle name="40% - Énfasis1 2 6 2 4" xfId="28683" xr:uid="{00000000-0005-0000-0000-000050140000}"/>
    <cellStyle name="40% - Énfasis1 2 6 3" xfId="17203" xr:uid="{00000000-0005-0000-0000-000051140000}"/>
    <cellStyle name="40% - Énfasis1 2 6 3 2" xfId="39846" xr:uid="{00000000-0005-0000-0000-000052140000}"/>
    <cellStyle name="40% - Énfasis1 2 6 4" xfId="9763" xr:uid="{00000000-0005-0000-0000-000053140000}"/>
    <cellStyle name="40% - Énfasis1 2 6 4 2" xfId="32406" xr:uid="{00000000-0005-0000-0000-000054140000}"/>
    <cellStyle name="40% - Énfasis1 2 6 5" xfId="24965" xr:uid="{00000000-0005-0000-0000-000055140000}"/>
    <cellStyle name="40% - Énfasis1 2 7" xfId="4190" xr:uid="{00000000-0005-0000-0000-000056140000}"/>
    <cellStyle name="40% - Énfasis1 2 7 2" xfId="19074" xr:uid="{00000000-0005-0000-0000-000057140000}"/>
    <cellStyle name="40% - Énfasis1 2 7 2 2" xfId="41717" xr:uid="{00000000-0005-0000-0000-000058140000}"/>
    <cellStyle name="40% - Énfasis1 2 7 3" xfId="11634" xr:uid="{00000000-0005-0000-0000-000059140000}"/>
    <cellStyle name="40% - Énfasis1 2 7 3 2" xfId="34277" xr:uid="{00000000-0005-0000-0000-00005A140000}"/>
    <cellStyle name="40% - Énfasis1 2 7 4" xfId="26836" xr:uid="{00000000-0005-0000-0000-00005B140000}"/>
    <cellStyle name="40% - Énfasis1 2 8" xfId="457" xr:uid="{00000000-0005-0000-0000-00005C140000}"/>
    <cellStyle name="40% - Énfasis1 2 8 2" xfId="15356" xr:uid="{00000000-0005-0000-0000-00005D140000}"/>
    <cellStyle name="40% - Énfasis1 2 8 2 2" xfId="37999" xr:uid="{00000000-0005-0000-0000-00005E140000}"/>
    <cellStyle name="40% - Énfasis1 2 8 3" xfId="23119" xr:uid="{00000000-0005-0000-0000-00005F140000}"/>
    <cellStyle name="40% - Énfasis1 2 9" xfId="7916" xr:uid="{00000000-0005-0000-0000-000060140000}"/>
    <cellStyle name="40% - Énfasis1 2 9 2" xfId="30559" xr:uid="{00000000-0005-0000-0000-000061140000}"/>
    <cellStyle name="40% - Énfasis1 3" xfId="85" xr:uid="{00000000-0005-0000-0000-000062140000}"/>
    <cellStyle name="40% - Énfasis1 3 2" xfId="169" xr:uid="{00000000-0005-0000-0000-000063140000}"/>
    <cellStyle name="40% - Énfasis1 3 2 2" xfId="330" xr:uid="{00000000-0005-0000-0000-000064140000}"/>
    <cellStyle name="40% - Énfasis1 3 2 2 2" xfId="2117" xr:uid="{00000000-0005-0000-0000-000065140000}"/>
    <cellStyle name="40% - Énfasis1 3 2 2 2 2" xfId="3967" xr:uid="{00000000-0005-0000-0000-000066140000}"/>
    <cellStyle name="40% - Énfasis1 3 2 2 2 2 2" xfId="7688" xr:uid="{00000000-0005-0000-0000-000067140000}"/>
    <cellStyle name="40% - Énfasis1 3 2 2 2 2 2 2" xfId="22572" xr:uid="{00000000-0005-0000-0000-000068140000}"/>
    <cellStyle name="40% - Énfasis1 3 2 2 2 2 2 2 2" xfId="45215" xr:uid="{00000000-0005-0000-0000-000069140000}"/>
    <cellStyle name="40% - Énfasis1 3 2 2 2 2 2 3" xfId="15132" xr:uid="{00000000-0005-0000-0000-00006A140000}"/>
    <cellStyle name="40% - Énfasis1 3 2 2 2 2 2 3 2" xfId="37775" xr:uid="{00000000-0005-0000-0000-00006B140000}"/>
    <cellStyle name="40% - Énfasis1 3 2 2 2 2 2 4" xfId="30334" xr:uid="{00000000-0005-0000-0000-00006C140000}"/>
    <cellStyle name="40% - Énfasis1 3 2 2 2 2 3" xfId="18854" xr:uid="{00000000-0005-0000-0000-00006D140000}"/>
    <cellStyle name="40% - Énfasis1 3 2 2 2 2 3 2" xfId="41497" xr:uid="{00000000-0005-0000-0000-00006E140000}"/>
    <cellStyle name="40% - Énfasis1 3 2 2 2 2 4" xfId="11414" xr:uid="{00000000-0005-0000-0000-00006F140000}"/>
    <cellStyle name="40% - Énfasis1 3 2 2 2 2 4 2" xfId="34057" xr:uid="{00000000-0005-0000-0000-000070140000}"/>
    <cellStyle name="40% - Énfasis1 3 2 2 2 2 5" xfId="26616" xr:uid="{00000000-0005-0000-0000-000071140000}"/>
    <cellStyle name="40% - Énfasis1 3 2 2 2 3" xfId="5841" xr:uid="{00000000-0005-0000-0000-000072140000}"/>
    <cellStyle name="40% - Énfasis1 3 2 2 2 3 2" xfId="20725" xr:uid="{00000000-0005-0000-0000-000073140000}"/>
    <cellStyle name="40% - Énfasis1 3 2 2 2 3 2 2" xfId="43368" xr:uid="{00000000-0005-0000-0000-000074140000}"/>
    <cellStyle name="40% - Énfasis1 3 2 2 2 3 3" xfId="13285" xr:uid="{00000000-0005-0000-0000-000075140000}"/>
    <cellStyle name="40% - Énfasis1 3 2 2 2 3 3 2" xfId="35928" xr:uid="{00000000-0005-0000-0000-000076140000}"/>
    <cellStyle name="40% - Énfasis1 3 2 2 2 3 4" xfId="28487" xr:uid="{00000000-0005-0000-0000-000077140000}"/>
    <cellStyle name="40% - Énfasis1 3 2 2 2 4" xfId="17007" xr:uid="{00000000-0005-0000-0000-000078140000}"/>
    <cellStyle name="40% - Énfasis1 3 2 2 2 4 2" xfId="39650" xr:uid="{00000000-0005-0000-0000-000079140000}"/>
    <cellStyle name="40% - Énfasis1 3 2 2 2 5" xfId="9567" xr:uid="{00000000-0005-0000-0000-00007A140000}"/>
    <cellStyle name="40% - Énfasis1 3 2 2 2 5 2" xfId="32210" xr:uid="{00000000-0005-0000-0000-00007B140000}"/>
    <cellStyle name="40% - Énfasis1 3 2 2 2 6" xfId="24769" xr:uid="{00000000-0005-0000-0000-00007C140000}"/>
    <cellStyle name="40% - Énfasis1 3 2 2 3" xfId="3042" xr:uid="{00000000-0005-0000-0000-00007D140000}"/>
    <cellStyle name="40% - Énfasis1 3 2 2 3 2" xfId="6763" xr:uid="{00000000-0005-0000-0000-00007E140000}"/>
    <cellStyle name="40% - Énfasis1 3 2 2 3 2 2" xfId="21647" xr:uid="{00000000-0005-0000-0000-00007F140000}"/>
    <cellStyle name="40% - Énfasis1 3 2 2 3 2 2 2" xfId="44290" xr:uid="{00000000-0005-0000-0000-000080140000}"/>
    <cellStyle name="40% - Énfasis1 3 2 2 3 2 3" xfId="14207" xr:uid="{00000000-0005-0000-0000-000081140000}"/>
    <cellStyle name="40% - Énfasis1 3 2 2 3 2 3 2" xfId="36850" xr:uid="{00000000-0005-0000-0000-000082140000}"/>
    <cellStyle name="40% - Énfasis1 3 2 2 3 2 4" xfId="29409" xr:uid="{00000000-0005-0000-0000-000083140000}"/>
    <cellStyle name="40% - Énfasis1 3 2 2 3 3" xfId="17929" xr:uid="{00000000-0005-0000-0000-000084140000}"/>
    <cellStyle name="40% - Énfasis1 3 2 2 3 3 2" xfId="40572" xr:uid="{00000000-0005-0000-0000-000085140000}"/>
    <cellStyle name="40% - Énfasis1 3 2 2 3 4" xfId="10489" xr:uid="{00000000-0005-0000-0000-000086140000}"/>
    <cellStyle name="40% - Énfasis1 3 2 2 3 4 2" xfId="33132" xr:uid="{00000000-0005-0000-0000-000087140000}"/>
    <cellStyle name="40% - Énfasis1 3 2 2 3 5" xfId="25691" xr:uid="{00000000-0005-0000-0000-000088140000}"/>
    <cellStyle name="40% - Énfasis1 3 2 2 4" xfId="4916" xr:uid="{00000000-0005-0000-0000-000089140000}"/>
    <cellStyle name="40% - Énfasis1 3 2 2 4 2" xfId="19800" xr:uid="{00000000-0005-0000-0000-00008A140000}"/>
    <cellStyle name="40% - Énfasis1 3 2 2 4 2 2" xfId="42443" xr:uid="{00000000-0005-0000-0000-00008B140000}"/>
    <cellStyle name="40% - Énfasis1 3 2 2 4 3" xfId="12360" xr:uid="{00000000-0005-0000-0000-00008C140000}"/>
    <cellStyle name="40% - Énfasis1 3 2 2 4 3 2" xfId="35003" xr:uid="{00000000-0005-0000-0000-00008D140000}"/>
    <cellStyle name="40% - Énfasis1 3 2 2 4 4" xfId="27562" xr:uid="{00000000-0005-0000-0000-00008E140000}"/>
    <cellStyle name="40% - Énfasis1 3 2 2 5" xfId="1189" xr:uid="{00000000-0005-0000-0000-00008F140000}"/>
    <cellStyle name="40% - Énfasis1 3 2 2 5 2" xfId="16082" xr:uid="{00000000-0005-0000-0000-000090140000}"/>
    <cellStyle name="40% - Énfasis1 3 2 2 5 2 2" xfId="38725" xr:uid="{00000000-0005-0000-0000-000091140000}"/>
    <cellStyle name="40% - Énfasis1 3 2 2 5 3" xfId="23844" xr:uid="{00000000-0005-0000-0000-000092140000}"/>
    <cellStyle name="40% - Énfasis1 3 2 2 6" xfId="8642" xr:uid="{00000000-0005-0000-0000-000093140000}"/>
    <cellStyle name="40% - Énfasis1 3 2 2 6 2" xfId="31285" xr:uid="{00000000-0005-0000-0000-000094140000}"/>
    <cellStyle name="40% - Énfasis1 3 2 2 7" xfId="23028" xr:uid="{00000000-0005-0000-0000-000095140000}"/>
    <cellStyle name="40% - Énfasis1 3 2 3" xfId="1655" xr:uid="{00000000-0005-0000-0000-000096140000}"/>
    <cellStyle name="40% - Énfasis1 3 2 3 2" xfId="3505" xr:uid="{00000000-0005-0000-0000-000097140000}"/>
    <cellStyle name="40% - Énfasis1 3 2 3 2 2" xfId="7226" xr:uid="{00000000-0005-0000-0000-000098140000}"/>
    <cellStyle name="40% - Énfasis1 3 2 3 2 2 2" xfId="22110" xr:uid="{00000000-0005-0000-0000-000099140000}"/>
    <cellStyle name="40% - Énfasis1 3 2 3 2 2 2 2" xfId="44753" xr:uid="{00000000-0005-0000-0000-00009A140000}"/>
    <cellStyle name="40% - Énfasis1 3 2 3 2 2 3" xfId="14670" xr:uid="{00000000-0005-0000-0000-00009B140000}"/>
    <cellStyle name="40% - Énfasis1 3 2 3 2 2 3 2" xfId="37313" xr:uid="{00000000-0005-0000-0000-00009C140000}"/>
    <cellStyle name="40% - Énfasis1 3 2 3 2 2 4" xfId="29872" xr:uid="{00000000-0005-0000-0000-00009D140000}"/>
    <cellStyle name="40% - Énfasis1 3 2 3 2 3" xfId="18392" xr:uid="{00000000-0005-0000-0000-00009E140000}"/>
    <cellStyle name="40% - Énfasis1 3 2 3 2 3 2" xfId="41035" xr:uid="{00000000-0005-0000-0000-00009F140000}"/>
    <cellStyle name="40% - Énfasis1 3 2 3 2 4" xfId="10952" xr:uid="{00000000-0005-0000-0000-0000A0140000}"/>
    <cellStyle name="40% - Énfasis1 3 2 3 2 4 2" xfId="33595" xr:uid="{00000000-0005-0000-0000-0000A1140000}"/>
    <cellStyle name="40% - Énfasis1 3 2 3 2 5" xfId="26154" xr:uid="{00000000-0005-0000-0000-0000A2140000}"/>
    <cellStyle name="40% - Énfasis1 3 2 3 3" xfId="5379" xr:uid="{00000000-0005-0000-0000-0000A3140000}"/>
    <cellStyle name="40% - Énfasis1 3 2 3 3 2" xfId="20263" xr:uid="{00000000-0005-0000-0000-0000A4140000}"/>
    <cellStyle name="40% - Énfasis1 3 2 3 3 2 2" xfId="42906" xr:uid="{00000000-0005-0000-0000-0000A5140000}"/>
    <cellStyle name="40% - Énfasis1 3 2 3 3 3" xfId="12823" xr:uid="{00000000-0005-0000-0000-0000A6140000}"/>
    <cellStyle name="40% - Énfasis1 3 2 3 3 3 2" xfId="35466" xr:uid="{00000000-0005-0000-0000-0000A7140000}"/>
    <cellStyle name="40% - Énfasis1 3 2 3 3 4" xfId="28025" xr:uid="{00000000-0005-0000-0000-0000A8140000}"/>
    <cellStyle name="40% - Énfasis1 3 2 3 4" xfId="16545" xr:uid="{00000000-0005-0000-0000-0000A9140000}"/>
    <cellStyle name="40% - Énfasis1 3 2 3 4 2" xfId="39188" xr:uid="{00000000-0005-0000-0000-0000AA140000}"/>
    <cellStyle name="40% - Énfasis1 3 2 3 5" xfId="9105" xr:uid="{00000000-0005-0000-0000-0000AB140000}"/>
    <cellStyle name="40% - Énfasis1 3 2 3 5 2" xfId="31748" xr:uid="{00000000-0005-0000-0000-0000AC140000}"/>
    <cellStyle name="40% - Énfasis1 3 2 3 6" xfId="24307" xr:uid="{00000000-0005-0000-0000-0000AD140000}"/>
    <cellStyle name="40% - Énfasis1 3 2 4" xfId="2580" xr:uid="{00000000-0005-0000-0000-0000AE140000}"/>
    <cellStyle name="40% - Énfasis1 3 2 4 2" xfId="6301" xr:uid="{00000000-0005-0000-0000-0000AF140000}"/>
    <cellStyle name="40% - Énfasis1 3 2 4 2 2" xfId="21185" xr:uid="{00000000-0005-0000-0000-0000B0140000}"/>
    <cellStyle name="40% - Énfasis1 3 2 4 2 2 2" xfId="43828" xr:uid="{00000000-0005-0000-0000-0000B1140000}"/>
    <cellStyle name="40% - Énfasis1 3 2 4 2 3" xfId="13745" xr:uid="{00000000-0005-0000-0000-0000B2140000}"/>
    <cellStyle name="40% - Énfasis1 3 2 4 2 3 2" xfId="36388" xr:uid="{00000000-0005-0000-0000-0000B3140000}"/>
    <cellStyle name="40% - Énfasis1 3 2 4 2 4" xfId="28947" xr:uid="{00000000-0005-0000-0000-0000B4140000}"/>
    <cellStyle name="40% - Énfasis1 3 2 4 3" xfId="17467" xr:uid="{00000000-0005-0000-0000-0000B5140000}"/>
    <cellStyle name="40% - Énfasis1 3 2 4 3 2" xfId="40110" xr:uid="{00000000-0005-0000-0000-0000B6140000}"/>
    <cellStyle name="40% - Énfasis1 3 2 4 4" xfId="10027" xr:uid="{00000000-0005-0000-0000-0000B7140000}"/>
    <cellStyle name="40% - Énfasis1 3 2 4 4 2" xfId="32670" xr:uid="{00000000-0005-0000-0000-0000B8140000}"/>
    <cellStyle name="40% - Énfasis1 3 2 4 5" xfId="25229" xr:uid="{00000000-0005-0000-0000-0000B9140000}"/>
    <cellStyle name="40% - Énfasis1 3 2 5" xfId="4454" xr:uid="{00000000-0005-0000-0000-0000BA140000}"/>
    <cellStyle name="40% - Énfasis1 3 2 5 2" xfId="19338" xr:uid="{00000000-0005-0000-0000-0000BB140000}"/>
    <cellStyle name="40% - Énfasis1 3 2 5 2 2" xfId="41981" xr:uid="{00000000-0005-0000-0000-0000BC140000}"/>
    <cellStyle name="40% - Énfasis1 3 2 5 3" xfId="11898" xr:uid="{00000000-0005-0000-0000-0000BD140000}"/>
    <cellStyle name="40% - Énfasis1 3 2 5 3 2" xfId="34541" xr:uid="{00000000-0005-0000-0000-0000BE140000}"/>
    <cellStyle name="40% - Énfasis1 3 2 5 4" xfId="27100" xr:uid="{00000000-0005-0000-0000-0000BF140000}"/>
    <cellStyle name="40% - Énfasis1 3 2 6" xfId="724" xr:uid="{00000000-0005-0000-0000-0000C0140000}"/>
    <cellStyle name="40% - Énfasis1 3 2 6 2" xfId="15620" xr:uid="{00000000-0005-0000-0000-0000C1140000}"/>
    <cellStyle name="40% - Énfasis1 3 2 6 2 2" xfId="38263" xr:uid="{00000000-0005-0000-0000-0000C2140000}"/>
    <cellStyle name="40% - Énfasis1 3 2 6 3" xfId="23382" xr:uid="{00000000-0005-0000-0000-0000C3140000}"/>
    <cellStyle name="40% - Énfasis1 3 2 7" xfId="8180" xr:uid="{00000000-0005-0000-0000-0000C4140000}"/>
    <cellStyle name="40% - Énfasis1 3 2 7 2" xfId="30823" xr:uid="{00000000-0005-0000-0000-0000C5140000}"/>
    <cellStyle name="40% - Énfasis1 3 2 8" xfId="22872" xr:uid="{00000000-0005-0000-0000-0000C6140000}"/>
    <cellStyle name="40% - Énfasis1 3 3" xfId="252" xr:uid="{00000000-0005-0000-0000-0000C7140000}"/>
    <cellStyle name="40% - Énfasis1 3 3 2" xfId="1906" xr:uid="{00000000-0005-0000-0000-0000C8140000}"/>
    <cellStyle name="40% - Énfasis1 3 3 2 2" xfId="3756" xr:uid="{00000000-0005-0000-0000-0000C9140000}"/>
    <cellStyle name="40% - Énfasis1 3 3 2 2 2" xfId="7477" xr:uid="{00000000-0005-0000-0000-0000CA140000}"/>
    <cellStyle name="40% - Énfasis1 3 3 2 2 2 2" xfId="22361" xr:uid="{00000000-0005-0000-0000-0000CB140000}"/>
    <cellStyle name="40% - Énfasis1 3 3 2 2 2 2 2" xfId="45004" xr:uid="{00000000-0005-0000-0000-0000CC140000}"/>
    <cellStyle name="40% - Énfasis1 3 3 2 2 2 3" xfId="14921" xr:uid="{00000000-0005-0000-0000-0000CD140000}"/>
    <cellStyle name="40% - Énfasis1 3 3 2 2 2 3 2" xfId="37564" xr:uid="{00000000-0005-0000-0000-0000CE140000}"/>
    <cellStyle name="40% - Énfasis1 3 3 2 2 2 4" xfId="30123" xr:uid="{00000000-0005-0000-0000-0000CF140000}"/>
    <cellStyle name="40% - Énfasis1 3 3 2 2 3" xfId="18643" xr:uid="{00000000-0005-0000-0000-0000D0140000}"/>
    <cellStyle name="40% - Énfasis1 3 3 2 2 3 2" xfId="41286" xr:uid="{00000000-0005-0000-0000-0000D1140000}"/>
    <cellStyle name="40% - Énfasis1 3 3 2 2 4" xfId="11203" xr:uid="{00000000-0005-0000-0000-0000D2140000}"/>
    <cellStyle name="40% - Énfasis1 3 3 2 2 4 2" xfId="33846" xr:uid="{00000000-0005-0000-0000-0000D3140000}"/>
    <cellStyle name="40% - Énfasis1 3 3 2 2 5" xfId="26405" xr:uid="{00000000-0005-0000-0000-0000D4140000}"/>
    <cellStyle name="40% - Énfasis1 3 3 2 3" xfId="5630" xr:uid="{00000000-0005-0000-0000-0000D5140000}"/>
    <cellStyle name="40% - Énfasis1 3 3 2 3 2" xfId="20514" xr:uid="{00000000-0005-0000-0000-0000D6140000}"/>
    <cellStyle name="40% - Énfasis1 3 3 2 3 2 2" xfId="43157" xr:uid="{00000000-0005-0000-0000-0000D7140000}"/>
    <cellStyle name="40% - Énfasis1 3 3 2 3 3" xfId="13074" xr:uid="{00000000-0005-0000-0000-0000D8140000}"/>
    <cellStyle name="40% - Énfasis1 3 3 2 3 3 2" xfId="35717" xr:uid="{00000000-0005-0000-0000-0000D9140000}"/>
    <cellStyle name="40% - Énfasis1 3 3 2 3 4" xfId="28276" xr:uid="{00000000-0005-0000-0000-0000DA140000}"/>
    <cellStyle name="40% - Énfasis1 3 3 2 4" xfId="16796" xr:uid="{00000000-0005-0000-0000-0000DB140000}"/>
    <cellStyle name="40% - Énfasis1 3 3 2 4 2" xfId="39439" xr:uid="{00000000-0005-0000-0000-0000DC140000}"/>
    <cellStyle name="40% - Énfasis1 3 3 2 5" xfId="9356" xr:uid="{00000000-0005-0000-0000-0000DD140000}"/>
    <cellStyle name="40% - Énfasis1 3 3 2 5 2" xfId="31999" xr:uid="{00000000-0005-0000-0000-0000DE140000}"/>
    <cellStyle name="40% - Énfasis1 3 3 2 6" xfId="24558" xr:uid="{00000000-0005-0000-0000-0000DF140000}"/>
    <cellStyle name="40% - Énfasis1 3 3 3" xfId="2831" xr:uid="{00000000-0005-0000-0000-0000E0140000}"/>
    <cellStyle name="40% - Énfasis1 3 3 3 2" xfId="6552" xr:uid="{00000000-0005-0000-0000-0000E1140000}"/>
    <cellStyle name="40% - Énfasis1 3 3 3 2 2" xfId="21436" xr:uid="{00000000-0005-0000-0000-0000E2140000}"/>
    <cellStyle name="40% - Énfasis1 3 3 3 2 2 2" xfId="44079" xr:uid="{00000000-0005-0000-0000-0000E3140000}"/>
    <cellStyle name="40% - Énfasis1 3 3 3 2 3" xfId="13996" xr:uid="{00000000-0005-0000-0000-0000E4140000}"/>
    <cellStyle name="40% - Énfasis1 3 3 3 2 3 2" xfId="36639" xr:uid="{00000000-0005-0000-0000-0000E5140000}"/>
    <cellStyle name="40% - Énfasis1 3 3 3 2 4" xfId="29198" xr:uid="{00000000-0005-0000-0000-0000E6140000}"/>
    <cellStyle name="40% - Énfasis1 3 3 3 3" xfId="17718" xr:uid="{00000000-0005-0000-0000-0000E7140000}"/>
    <cellStyle name="40% - Énfasis1 3 3 3 3 2" xfId="40361" xr:uid="{00000000-0005-0000-0000-0000E8140000}"/>
    <cellStyle name="40% - Énfasis1 3 3 3 4" xfId="10278" xr:uid="{00000000-0005-0000-0000-0000E9140000}"/>
    <cellStyle name="40% - Énfasis1 3 3 3 4 2" xfId="32921" xr:uid="{00000000-0005-0000-0000-0000EA140000}"/>
    <cellStyle name="40% - Énfasis1 3 3 3 5" xfId="25480" xr:uid="{00000000-0005-0000-0000-0000EB140000}"/>
    <cellStyle name="40% - Énfasis1 3 3 4" xfId="4705" xr:uid="{00000000-0005-0000-0000-0000EC140000}"/>
    <cellStyle name="40% - Énfasis1 3 3 4 2" xfId="19589" xr:uid="{00000000-0005-0000-0000-0000ED140000}"/>
    <cellStyle name="40% - Énfasis1 3 3 4 2 2" xfId="42232" xr:uid="{00000000-0005-0000-0000-0000EE140000}"/>
    <cellStyle name="40% - Énfasis1 3 3 4 3" xfId="12149" xr:uid="{00000000-0005-0000-0000-0000EF140000}"/>
    <cellStyle name="40% - Énfasis1 3 3 4 3 2" xfId="34792" xr:uid="{00000000-0005-0000-0000-0000F0140000}"/>
    <cellStyle name="40% - Énfasis1 3 3 4 4" xfId="27351" xr:uid="{00000000-0005-0000-0000-0000F1140000}"/>
    <cellStyle name="40% - Énfasis1 3 3 5" xfId="978" xr:uid="{00000000-0005-0000-0000-0000F2140000}"/>
    <cellStyle name="40% - Énfasis1 3 3 5 2" xfId="15871" xr:uid="{00000000-0005-0000-0000-0000F3140000}"/>
    <cellStyle name="40% - Énfasis1 3 3 5 2 2" xfId="38514" xr:uid="{00000000-0005-0000-0000-0000F4140000}"/>
    <cellStyle name="40% - Énfasis1 3 3 5 3" xfId="23633" xr:uid="{00000000-0005-0000-0000-0000F5140000}"/>
    <cellStyle name="40% - Énfasis1 3 3 6" xfId="8431" xr:uid="{00000000-0005-0000-0000-0000F6140000}"/>
    <cellStyle name="40% - Énfasis1 3 3 6 2" xfId="31074" xr:uid="{00000000-0005-0000-0000-0000F7140000}"/>
    <cellStyle name="40% - Énfasis1 3 3 7" xfId="22950" xr:uid="{00000000-0005-0000-0000-0000F8140000}"/>
    <cellStyle name="40% - Énfasis1 3 4" xfId="1444" xr:uid="{00000000-0005-0000-0000-0000F9140000}"/>
    <cellStyle name="40% - Énfasis1 3 4 2" xfId="3294" xr:uid="{00000000-0005-0000-0000-0000FA140000}"/>
    <cellStyle name="40% - Énfasis1 3 4 2 2" xfId="7015" xr:uid="{00000000-0005-0000-0000-0000FB140000}"/>
    <cellStyle name="40% - Énfasis1 3 4 2 2 2" xfId="21899" xr:uid="{00000000-0005-0000-0000-0000FC140000}"/>
    <cellStyle name="40% - Énfasis1 3 4 2 2 2 2" xfId="44542" xr:uid="{00000000-0005-0000-0000-0000FD140000}"/>
    <cellStyle name="40% - Énfasis1 3 4 2 2 3" xfId="14459" xr:uid="{00000000-0005-0000-0000-0000FE140000}"/>
    <cellStyle name="40% - Énfasis1 3 4 2 2 3 2" xfId="37102" xr:uid="{00000000-0005-0000-0000-0000FF140000}"/>
    <cellStyle name="40% - Énfasis1 3 4 2 2 4" xfId="29661" xr:uid="{00000000-0005-0000-0000-000000150000}"/>
    <cellStyle name="40% - Énfasis1 3 4 2 3" xfId="18181" xr:uid="{00000000-0005-0000-0000-000001150000}"/>
    <cellStyle name="40% - Énfasis1 3 4 2 3 2" xfId="40824" xr:uid="{00000000-0005-0000-0000-000002150000}"/>
    <cellStyle name="40% - Énfasis1 3 4 2 4" xfId="10741" xr:uid="{00000000-0005-0000-0000-000003150000}"/>
    <cellStyle name="40% - Énfasis1 3 4 2 4 2" xfId="33384" xr:uid="{00000000-0005-0000-0000-000004150000}"/>
    <cellStyle name="40% - Énfasis1 3 4 2 5" xfId="25943" xr:uid="{00000000-0005-0000-0000-000005150000}"/>
    <cellStyle name="40% - Énfasis1 3 4 3" xfId="5168" xr:uid="{00000000-0005-0000-0000-000006150000}"/>
    <cellStyle name="40% - Énfasis1 3 4 3 2" xfId="20052" xr:uid="{00000000-0005-0000-0000-000007150000}"/>
    <cellStyle name="40% - Énfasis1 3 4 3 2 2" xfId="42695" xr:uid="{00000000-0005-0000-0000-000008150000}"/>
    <cellStyle name="40% - Énfasis1 3 4 3 3" xfId="12612" xr:uid="{00000000-0005-0000-0000-000009150000}"/>
    <cellStyle name="40% - Énfasis1 3 4 3 3 2" xfId="35255" xr:uid="{00000000-0005-0000-0000-00000A150000}"/>
    <cellStyle name="40% - Énfasis1 3 4 3 4" xfId="27814" xr:uid="{00000000-0005-0000-0000-00000B150000}"/>
    <cellStyle name="40% - Énfasis1 3 4 4" xfId="16334" xr:uid="{00000000-0005-0000-0000-00000C150000}"/>
    <cellStyle name="40% - Énfasis1 3 4 4 2" xfId="38977" xr:uid="{00000000-0005-0000-0000-00000D150000}"/>
    <cellStyle name="40% - Énfasis1 3 4 5" xfId="8894" xr:uid="{00000000-0005-0000-0000-00000E150000}"/>
    <cellStyle name="40% - Énfasis1 3 4 5 2" xfId="31537" xr:uid="{00000000-0005-0000-0000-00000F150000}"/>
    <cellStyle name="40% - Énfasis1 3 4 6" xfId="24096" xr:uid="{00000000-0005-0000-0000-000010150000}"/>
    <cellStyle name="40% - Énfasis1 3 5" xfId="2369" xr:uid="{00000000-0005-0000-0000-000011150000}"/>
    <cellStyle name="40% - Énfasis1 3 5 2" xfId="6090" xr:uid="{00000000-0005-0000-0000-000012150000}"/>
    <cellStyle name="40% - Énfasis1 3 5 2 2" xfId="20974" xr:uid="{00000000-0005-0000-0000-000013150000}"/>
    <cellStyle name="40% - Énfasis1 3 5 2 2 2" xfId="43617" xr:uid="{00000000-0005-0000-0000-000014150000}"/>
    <cellStyle name="40% - Énfasis1 3 5 2 3" xfId="13534" xr:uid="{00000000-0005-0000-0000-000015150000}"/>
    <cellStyle name="40% - Énfasis1 3 5 2 3 2" xfId="36177" xr:uid="{00000000-0005-0000-0000-000016150000}"/>
    <cellStyle name="40% - Énfasis1 3 5 2 4" xfId="28736" xr:uid="{00000000-0005-0000-0000-000017150000}"/>
    <cellStyle name="40% - Énfasis1 3 5 3" xfId="17256" xr:uid="{00000000-0005-0000-0000-000018150000}"/>
    <cellStyle name="40% - Énfasis1 3 5 3 2" xfId="39899" xr:uid="{00000000-0005-0000-0000-000019150000}"/>
    <cellStyle name="40% - Énfasis1 3 5 4" xfId="9816" xr:uid="{00000000-0005-0000-0000-00001A150000}"/>
    <cellStyle name="40% - Énfasis1 3 5 4 2" xfId="32459" xr:uid="{00000000-0005-0000-0000-00001B150000}"/>
    <cellStyle name="40% - Énfasis1 3 5 5" xfId="25018" xr:uid="{00000000-0005-0000-0000-00001C150000}"/>
    <cellStyle name="40% - Énfasis1 3 6" xfId="4243" xr:uid="{00000000-0005-0000-0000-00001D150000}"/>
    <cellStyle name="40% - Énfasis1 3 6 2" xfId="19127" xr:uid="{00000000-0005-0000-0000-00001E150000}"/>
    <cellStyle name="40% - Énfasis1 3 6 2 2" xfId="41770" xr:uid="{00000000-0005-0000-0000-00001F150000}"/>
    <cellStyle name="40% - Énfasis1 3 6 3" xfId="11687" xr:uid="{00000000-0005-0000-0000-000020150000}"/>
    <cellStyle name="40% - Énfasis1 3 6 3 2" xfId="34330" xr:uid="{00000000-0005-0000-0000-000021150000}"/>
    <cellStyle name="40% - Énfasis1 3 6 4" xfId="26889" xr:uid="{00000000-0005-0000-0000-000022150000}"/>
    <cellStyle name="40% - Énfasis1 3 7" xfId="511" xr:uid="{00000000-0005-0000-0000-000023150000}"/>
    <cellStyle name="40% - Énfasis1 3 7 2" xfId="15409" xr:uid="{00000000-0005-0000-0000-000024150000}"/>
    <cellStyle name="40% - Énfasis1 3 7 2 2" xfId="38052" xr:uid="{00000000-0005-0000-0000-000025150000}"/>
    <cellStyle name="40% - Énfasis1 3 7 3" xfId="23172" xr:uid="{00000000-0005-0000-0000-000026150000}"/>
    <cellStyle name="40% - Énfasis1 3 8" xfId="7969" xr:uid="{00000000-0005-0000-0000-000027150000}"/>
    <cellStyle name="40% - Énfasis1 3 8 2" xfId="30612" xr:uid="{00000000-0005-0000-0000-000028150000}"/>
    <cellStyle name="40% - Énfasis1 3 9" xfId="22794" xr:uid="{00000000-0005-0000-0000-000029150000}"/>
    <cellStyle name="40% - Énfasis1 4" xfId="127" xr:uid="{00000000-0005-0000-0000-00002A150000}"/>
    <cellStyle name="40% - Énfasis1 4 2" xfId="291" xr:uid="{00000000-0005-0000-0000-00002B150000}"/>
    <cellStyle name="40% - Énfasis1 4 2 2" xfId="2012" xr:uid="{00000000-0005-0000-0000-00002C150000}"/>
    <cellStyle name="40% - Énfasis1 4 2 2 2" xfId="3862" xr:uid="{00000000-0005-0000-0000-00002D150000}"/>
    <cellStyle name="40% - Énfasis1 4 2 2 2 2" xfId="7583" xr:uid="{00000000-0005-0000-0000-00002E150000}"/>
    <cellStyle name="40% - Énfasis1 4 2 2 2 2 2" xfId="22467" xr:uid="{00000000-0005-0000-0000-00002F150000}"/>
    <cellStyle name="40% - Énfasis1 4 2 2 2 2 2 2" xfId="45110" xr:uid="{00000000-0005-0000-0000-000030150000}"/>
    <cellStyle name="40% - Énfasis1 4 2 2 2 2 3" xfId="15027" xr:uid="{00000000-0005-0000-0000-000031150000}"/>
    <cellStyle name="40% - Énfasis1 4 2 2 2 2 3 2" xfId="37670" xr:uid="{00000000-0005-0000-0000-000032150000}"/>
    <cellStyle name="40% - Énfasis1 4 2 2 2 2 4" xfId="30229" xr:uid="{00000000-0005-0000-0000-000033150000}"/>
    <cellStyle name="40% - Énfasis1 4 2 2 2 3" xfId="18749" xr:uid="{00000000-0005-0000-0000-000034150000}"/>
    <cellStyle name="40% - Énfasis1 4 2 2 2 3 2" xfId="41392" xr:uid="{00000000-0005-0000-0000-000035150000}"/>
    <cellStyle name="40% - Énfasis1 4 2 2 2 4" xfId="11309" xr:uid="{00000000-0005-0000-0000-000036150000}"/>
    <cellStyle name="40% - Énfasis1 4 2 2 2 4 2" xfId="33952" xr:uid="{00000000-0005-0000-0000-000037150000}"/>
    <cellStyle name="40% - Énfasis1 4 2 2 2 5" xfId="26511" xr:uid="{00000000-0005-0000-0000-000038150000}"/>
    <cellStyle name="40% - Énfasis1 4 2 2 3" xfId="5736" xr:uid="{00000000-0005-0000-0000-000039150000}"/>
    <cellStyle name="40% - Énfasis1 4 2 2 3 2" xfId="20620" xr:uid="{00000000-0005-0000-0000-00003A150000}"/>
    <cellStyle name="40% - Énfasis1 4 2 2 3 2 2" xfId="43263" xr:uid="{00000000-0005-0000-0000-00003B150000}"/>
    <cellStyle name="40% - Énfasis1 4 2 2 3 3" xfId="13180" xr:uid="{00000000-0005-0000-0000-00003C150000}"/>
    <cellStyle name="40% - Énfasis1 4 2 2 3 3 2" xfId="35823" xr:uid="{00000000-0005-0000-0000-00003D150000}"/>
    <cellStyle name="40% - Énfasis1 4 2 2 3 4" xfId="28382" xr:uid="{00000000-0005-0000-0000-00003E150000}"/>
    <cellStyle name="40% - Énfasis1 4 2 2 4" xfId="16902" xr:uid="{00000000-0005-0000-0000-00003F150000}"/>
    <cellStyle name="40% - Énfasis1 4 2 2 4 2" xfId="39545" xr:uid="{00000000-0005-0000-0000-000040150000}"/>
    <cellStyle name="40% - Énfasis1 4 2 2 5" xfId="9462" xr:uid="{00000000-0005-0000-0000-000041150000}"/>
    <cellStyle name="40% - Énfasis1 4 2 2 5 2" xfId="32105" xr:uid="{00000000-0005-0000-0000-000042150000}"/>
    <cellStyle name="40% - Énfasis1 4 2 2 6" xfId="24664" xr:uid="{00000000-0005-0000-0000-000043150000}"/>
    <cellStyle name="40% - Énfasis1 4 2 3" xfId="2937" xr:uid="{00000000-0005-0000-0000-000044150000}"/>
    <cellStyle name="40% - Énfasis1 4 2 3 2" xfId="6658" xr:uid="{00000000-0005-0000-0000-000045150000}"/>
    <cellStyle name="40% - Énfasis1 4 2 3 2 2" xfId="21542" xr:uid="{00000000-0005-0000-0000-000046150000}"/>
    <cellStyle name="40% - Énfasis1 4 2 3 2 2 2" xfId="44185" xr:uid="{00000000-0005-0000-0000-000047150000}"/>
    <cellStyle name="40% - Énfasis1 4 2 3 2 3" xfId="14102" xr:uid="{00000000-0005-0000-0000-000048150000}"/>
    <cellStyle name="40% - Énfasis1 4 2 3 2 3 2" xfId="36745" xr:uid="{00000000-0005-0000-0000-000049150000}"/>
    <cellStyle name="40% - Énfasis1 4 2 3 2 4" xfId="29304" xr:uid="{00000000-0005-0000-0000-00004A150000}"/>
    <cellStyle name="40% - Énfasis1 4 2 3 3" xfId="17824" xr:uid="{00000000-0005-0000-0000-00004B150000}"/>
    <cellStyle name="40% - Énfasis1 4 2 3 3 2" xfId="40467" xr:uid="{00000000-0005-0000-0000-00004C150000}"/>
    <cellStyle name="40% - Énfasis1 4 2 3 4" xfId="10384" xr:uid="{00000000-0005-0000-0000-00004D150000}"/>
    <cellStyle name="40% - Énfasis1 4 2 3 4 2" xfId="33027" xr:uid="{00000000-0005-0000-0000-00004E150000}"/>
    <cellStyle name="40% - Énfasis1 4 2 3 5" xfId="25586" xr:uid="{00000000-0005-0000-0000-00004F150000}"/>
    <cellStyle name="40% - Énfasis1 4 2 4" xfId="4811" xr:uid="{00000000-0005-0000-0000-000050150000}"/>
    <cellStyle name="40% - Énfasis1 4 2 4 2" xfId="19695" xr:uid="{00000000-0005-0000-0000-000051150000}"/>
    <cellStyle name="40% - Énfasis1 4 2 4 2 2" xfId="42338" xr:uid="{00000000-0005-0000-0000-000052150000}"/>
    <cellStyle name="40% - Énfasis1 4 2 4 3" xfId="12255" xr:uid="{00000000-0005-0000-0000-000053150000}"/>
    <cellStyle name="40% - Énfasis1 4 2 4 3 2" xfId="34898" xr:uid="{00000000-0005-0000-0000-000054150000}"/>
    <cellStyle name="40% - Énfasis1 4 2 4 4" xfId="27457" xr:uid="{00000000-0005-0000-0000-000055150000}"/>
    <cellStyle name="40% - Énfasis1 4 2 5" xfId="1084" xr:uid="{00000000-0005-0000-0000-000056150000}"/>
    <cellStyle name="40% - Énfasis1 4 2 5 2" xfId="15977" xr:uid="{00000000-0005-0000-0000-000057150000}"/>
    <cellStyle name="40% - Énfasis1 4 2 5 2 2" xfId="38620" xr:uid="{00000000-0005-0000-0000-000058150000}"/>
    <cellStyle name="40% - Énfasis1 4 2 5 3" xfId="23739" xr:uid="{00000000-0005-0000-0000-000059150000}"/>
    <cellStyle name="40% - Énfasis1 4 2 6" xfId="8537" xr:uid="{00000000-0005-0000-0000-00005A150000}"/>
    <cellStyle name="40% - Énfasis1 4 2 6 2" xfId="31180" xr:uid="{00000000-0005-0000-0000-00005B150000}"/>
    <cellStyle name="40% - Énfasis1 4 2 7" xfId="22989" xr:uid="{00000000-0005-0000-0000-00005C150000}"/>
    <cellStyle name="40% - Énfasis1 4 3" xfId="1550" xr:uid="{00000000-0005-0000-0000-00005D150000}"/>
    <cellStyle name="40% - Énfasis1 4 3 2" xfId="3400" xr:uid="{00000000-0005-0000-0000-00005E150000}"/>
    <cellStyle name="40% - Énfasis1 4 3 2 2" xfId="7121" xr:uid="{00000000-0005-0000-0000-00005F150000}"/>
    <cellStyle name="40% - Énfasis1 4 3 2 2 2" xfId="22005" xr:uid="{00000000-0005-0000-0000-000060150000}"/>
    <cellStyle name="40% - Énfasis1 4 3 2 2 2 2" xfId="44648" xr:uid="{00000000-0005-0000-0000-000061150000}"/>
    <cellStyle name="40% - Énfasis1 4 3 2 2 3" xfId="14565" xr:uid="{00000000-0005-0000-0000-000062150000}"/>
    <cellStyle name="40% - Énfasis1 4 3 2 2 3 2" xfId="37208" xr:uid="{00000000-0005-0000-0000-000063150000}"/>
    <cellStyle name="40% - Énfasis1 4 3 2 2 4" xfId="29767" xr:uid="{00000000-0005-0000-0000-000064150000}"/>
    <cellStyle name="40% - Énfasis1 4 3 2 3" xfId="18287" xr:uid="{00000000-0005-0000-0000-000065150000}"/>
    <cellStyle name="40% - Énfasis1 4 3 2 3 2" xfId="40930" xr:uid="{00000000-0005-0000-0000-000066150000}"/>
    <cellStyle name="40% - Énfasis1 4 3 2 4" xfId="10847" xr:uid="{00000000-0005-0000-0000-000067150000}"/>
    <cellStyle name="40% - Énfasis1 4 3 2 4 2" xfId="33490" xr:uid="{00000000-0005-0000-0000-000068150000}"/>
    <cellStyle name="40% - Énfasis1 4 3 2 5" xfId="26049" xr:uid="{00000000-0005-0000-0000-000069150000}"/>
    <cellStyle name="40% - Énfasis1 4 3 3" xfId="5274" xr:uid="{00000000-0005-0000-0000-00006A150000}"/>
    <cellStyle name="40% - Énfasis1 4 3 3 2" xfId="20158" xr:uid="{00000000-0005-0000-0000-00006B150000}"/>
    <cellStyle name="40% - Énfasis1 4 3 3 2 2" xfId="42801" xr:uid="{00000000-0005-0000-0000-00006C150000}"/>
    <cellStyle name="40% - Énfasis1 4 3 3 3" xfId="12718" xr:uid="{00000000-0005-0000-0000-00006D150000}"/>
    <cellStyle name="40% - Énfasis1 4 3 3 3 2" xfId="35361" xr:uid="{00000000-0005-0000-0000-00006E150000}"/>
    <cellStyle name="40% - Énfasis1 4 3 3 4" xfId="27920" xr:uid="{00000000-0005-0000-0000-00006F150000}"/>
    <cellStyle name="40% - Énfasis1 4 3 4" xfId="16440" xr:uid="{00000000-0005-0000-0000-000070150000}"/>
    <cellStyle name="40% - Énfasis1 4 3 4 2" xfId="39083" xr:uid="{00000000-0005-0000-0000-000071150000}"/>
    <cellStyle name="40% - Énfasis1 4 3 5" xfId="9000" xr:uid="{00000000-0005-0000-0000-000072150000}"/>
    <cellStyle name="40% - Énfasis1 4 3 5 2" xfId="31643" xr:uid="{00000000-0005-0000-0000-000073150000}"/>
    <cellStyle name="40% - Énfasis1 4 3 6" xfId="24202" xr:uid="{00000000-0005-0000-0000-000074150000}"/>
    <cellStyle name="40% - Énfasis1 4 4" xfId="2475" xr:uid="{00000000-0005-0000-0000-000075150000}"/>
    <cellStyle name="40% - Énfasis1 4 4 2" xfId="6196" xr:uid="{00000000-0005-0000-0000-000076150000}"/>
    <cellStyle name="40% - Énfasis1 4 4 2 2" xfId="21080" xr:uid="{00000000-0005-0000-0000-000077150000}"/>
    <cellStyle name="40% - Énfasis1 4 4 2 2 2" xfId="43723" xr:uid="{00000000-0005-0000-0000-000078150000}"/>
    <cellStyle name="40% - Énfasis1 4 4 2 3" xfId="13640" xr:uid="{00000000-0005-0000-0000-000079150000}"/>
    <cellStyle name="40% - Énfasis1 4 4 2 3 2" xfId="36283" xr:uid="{00000000-0005-0000-0000-00007A150000}"/>
    <cellStyle name="40% - Énfasis1 4 4 2 4" xfId="28842" xr:uid="{00000000-0005-0000-0000-00007B150000}"/>
    <cellStyle name="40% - Énfasis1 4 4 3" xfId="17362" xr:uid="{00000000-0005-0000-0000-00007C150000}"/>
    <cellStyle name="40% - Énfasis1 4 4 3 2" xfId="40005" xr:uid="{00000000-0005-0000-0000-00007D150000}"/>
    <cellStyle name="40% - Énfasis1 4 4 4" xfId="9922" xr:uid="{00000000-0005-0000-0000-00007E150000}"/>
    <cellStyle name="40% - Énfasis1 4 4 4 2" xfId="32565" xr:uid="{00000000-0005-0000-0000-00007F150000}"/>
    <cellStyle name="40% - Énfasis1 4 4 5" xfId="25124" xr:uid="{00000000-0005-0000-0000-000080150000}"/>
    <cellStyle name="40% - Énfasis1 4 5" xfId="4349" xr:uid="{00000000-0005-0000-0000-000081150000}"/>
    <cellStyle name="40% - Énfasis1 4 5 2" xfId="19233" xr:uid="{00000000-0005-0000-0000-000082150000}"/>
    <cellStyle name="40% - Énfasis1 4 5 2 2" xfId="41876" xr:uid="{00000000-0005-0000-0000-000083150000}"/>
    <cellStyle name="40% - Énfasis1 4 5 3" xfId="11793" xr:uid="{00000000-0005-0000-0000-000084150000}"/>
    <cellStyle name="40% - Énfasis1 4 5 3 2" xfId="34436" xr:uid="{00000000-0005-0000-0000-000085150000}"/>
    <cellStyle name="40% - Énfasis1 4 5 4" xfId="26995" xr:uid="{00000000-0005-0000-0000-000086150000}"/>
    <cellStyle name="40% - Énfasis1 4 6" xfId="617" xr:uid="{00000000-0005-0000-0000-000087150000}"/>
    <cellStyle name="40% - Énfasis1 4 6 2" xfId="15515" xr:uid="{00000000-0005-0000-0000-000088150000}"/>
    <cellStyle name="40% - Énfasis1 4 6 2 2" xfId="38158" xr:uid="{00000000-0005-0000-0000-000089150000}"/>
    <cellStyle name="40% - Énfasis1 4 6 3" xfId="23277" xr:uid="{00000000-0005-0000-0000-00008A150000}"/>
    <cellStyle name="40% - Énfasis1 4 7" xfId="8075" xr:uid="{00000000-0005-0000-0000-00008B150000}"/>
    <cellStyle name="40% - Énfasis1 4 7 2" xfId="30718" xr:uid="{00000000-0005-0000-0000-00008C150000}"/>
    <cellStyle name="40% - Énfasis1 4 8" xfId="22833" xr:uid="{00000000-0005-0000-0000-00008D150000}"/>
    <cellStyle name="40% - Énfasis1 5" xfId="210" xr:uid="{00000000-0005-0000-0000-00008E150000}"/>
    <cellStyle name="40% - Énfasis1 5 2" xfId="1801" xr:uid="{00000000-0005-0000-0000-00008F150000}"/>
    <cellStyle name="40% - Énfasis1 5 2 2" xfId="3651" xr:uid="{00000000-0005-0000-0000-000090150000}"/>
    <cellStyle name="40% - Énfasis1 5 2 2 2" xfId="7372" xr:uid="{00000000-0005-0000-0000-000091150000}"/>
    <cellStyle name="40% - Énfasis1 5 2 2 2 2" xfId="22256" xr:uid="{00000000-0005-0000-0000-000092150000}"/>
    <cellStyle name="40% - Énfasis1 5 2 2 2 2 2" xfId="44899" xr:uid="{00000000-0005-0000-0000-000093150000}"/>
    <cellStyle name="40% - Énfasis1 5 2 2 2 3" xfId="14816" xr:uid="{00000000-0005-0000-0000-000094150000}"/>
    <cellStyle name="40% - Énfasis1 5 2 2 2 3 2" xfId="37459" xr:uid="{00000000-0005-0000-0000-000095150000}"/>
    <cellStyle name="40% - Énfasis1 5 2 2 2 4" xfId="30018" xr:uid="{00000000-0005-0000-0000-000096150000}"/>
    <cellStyle name="40% - Énfasis1 5 2 2 3" xfId="18538" xr:uid="{00000000-0005-0000-0000-000097150000}"/>
    <cellStyle name="40% - Énfasis1 5 2 2 3 2" xfId="41181" xr:uid="{00000000-0005-0000-0000-000098150000}"/>
    <cellStyle name="40% - Énfasis1 5 2 2 4" xfId="11098" xr:uid="{00000000-0005-0000-0000-000099150000}"/>
    <cellStyle name="40% - Énfasis1 5 2 2 4 2" xfId="33741" xr:uid="{00000000-0005-0000-0000-00009A150000}"/>
    <cellStyle name="40% - Énfasis1 5 2 2 5" xfId="26300" xr:uid="{00000000-0005-0000-0000-00009B150000}"/>
    <cellStyle name="40% - Énfasis1 5 2 3" xfId="5525" xr:uid="{00000000-0005-0000-0000-00009C150000}"/>
    <cellStyle name="40% - Énfasis1 5 2 3 2" xfId="20409" xr:uid="{00000000-0005-0000-0000-00009D150000}"/>
    <cellStyle name="40% - Énfasis1 5 2 3 2 2" xfId="43052" xr:uid="{00000000-0005-0000-0000-00009E150000}"/>
    <cellStyle name="40% - Énfasis1 5 2 3 3" xfId="12969" xr:uid="{00000000-0005-0000-0000-00009F150000}"/>
    <cellStyle name="40% - Énfasis1 5 2 3 3 2" xfId="35612" xr:uid="{00000000-0005-0000-0000-0000A0150000}"/>
    <cellStyle name="40% - Énfasis1 5 2 3 4" xfId="28171" xr:uid="{00000000-0005-0000-0000-0000A1150000}"/>
    <cellStyle name="40% - Énfasis1 5 2 4" xfId="16691" xr:uid="{00000000-0005-0000-0000-0000A2150000}"/>
    <cellStyle name="40% - Énfasis1 5 2 4 2" xfId="39334" xr:uid="{00000000-0005-0000-0000-0000A3150000}"/>
    <cellStyle name="40% - Énfasis1 5 2 5" xfId="9251" xr:uid="{00000000-0005-0000-0000-0000A4150000}"/>
    <cellStyle name="40% - Énfasis1 5 2 5 2" xfId="31894" xr:uid="{00000000-0005-0000-0000-0000A5150000}"/>
    <cellStyle name="40% - Énfasis1 5 2 6" xfId="24453" xr:uid="{00000000-0005-0000-0000-0000A6150000}"/>
    <cellStyle name="40% - Énfasis1 5 3" xfId="2726" xr:uid="{00000000-0005-0000-0000-0000A7150000}"/>
    <cellStyle name="40% - Énfasis1 5 3 2" xfId="6447" xr:uid="{00000000-0005-0000-0000-0000A8150000}"/>
    <cellStyle name="40% - Énfasis1 5 3 2 2" xfId="21331" xr:uid="{00000000-0005-0000-0000-0000A9150000}"/>
    <cellStyle name="40% - Énfasis1 5 3 2 2 2" xfId="43974" xr:uid="{00000000-0005-0000-0000-0000AA150000}"/>
    <cellStyle name="40% - Énfasis1 5 3 2 3" xfId="13891" xr:uid="{00000000-0005-0000-0000-0000AB150000}"/>
    <cellStyle name="40% - Énfasis1 5 3 2 3 2" xfId="36534" xr:uid="{00000000-0005-0000-0000-0000AC150000}"/>
    <cellStyle name="40% - Énfasis1 5 3 2 4" xfId="29093" xr:uid="{00000000-0005-0000-0000-0000AD150000}"/>
    <cellStyle name="40% - Énfasis1 5 3 3" xfId="17613" xr:uid="{00000000-0005-0000-0000-0000AE150000}"/>
    <cellStyle name="40% - Énfasis1 5 3 3 2" xfId="40256" xr:uid="{00000000-0005-0000-0000-0000AF150000}"/>
    <cellStyle name="40% - Énfasis1 5 3 4" xfId="10173" xr:uid="{00000000-0005-0000-0000-0000B0150000}"/>
    <cellStyle name="40% - Énfasis1 5 3 4 2" xfId="32816" xr:uid="{00000000-0005-0000-0000-0000B1150000}"/>
    <cellStyle name="40% - Énfasis1 5 3 5" xfId="25375" xr:uid="{00000000-0005-0000-0000-0000B2150000}"/>
    <cellStyle name="40% - Énfasis1 5 4" xfId="4600" xr:uid="{00000000-0005-0000-0000-0000B3150000}"/>
    <cellStyle name="40% - Énfasis1 5 4 2" xfId="19484" xr:uid="{00000000-0005-0000-0000-0000B4150000}"/>
    <cellStyle name="40% - Énfasis1 5 4 2 2" xfId="42127" xr:uid="{00000000-0005-0000-0000-0000B5150000}"/>
    <cellStyle name="40% - Énfasis1 5 4 3" xfId="12044" xr:uid="{00000000-0005-0000-0000-0000B6150000}"/>
    <cellStyle name="40% - Énfasis1 5 4 3 2" xfId="34687" xr:uid="{00000000-0005-0000-0000-0000B7150000}"/>
    <cellStyle name="40% - Énfasis1 5 4 4" xfId="27246" xr:uid="{00000000-0005-0000-0000-0000B8150000}"/>
    <cellStyle name="40% - Énfasis1 5 5" xfId="870" xr:uid="{00000000-0005-0000-0000-0000B9150000}"/>
    <cellStyle name="40% - Énfasis1 5 5 2" xfId="15766" xr:uid="{00000000-0005-0000-0000-0000BA150000}"/>
    <cellStyle name="40% - Énfasis1 5 5 2 2" xfId="38409" xr:uid="{00000000-0005-0000-0000-0000BB150000}"/>
    <cellStyle name="40% - Énfasis1 5 5 3" xfId="23528" xr:uid="{00000000-0005-0000-0000-0000BC150000}"/>
    <cellStyle name="40% - Énfasis1 5 6" xfId="8326" xr:uid="{00000000-0005-0000-0000-0000BD150000}"/>
    <cellStyle name="40% - Énfasis1 5 6 2" xfId="30969" xr:uid="{00000000-0005-0000-0000-0000BE150000}"/>
    <cellStyle name="40% - Énfasis1 5 7" xfId="22911" xr:uid="{00000000-0005-0000-0000-0000BF150000}"/>
    <cellStyle name="40% - Énfasis1 6" xfId="1336" xr:uid="{00000000-0005-0000-0000-0000C0150000}"/>
    <cellStyle name="40% - Énfasis1 6 2" xfId="3189" xr:uid="{00000000-0005-0000-0000-0000C1150000}"/>
    <cellStyle name="40% - Énfasis1 6 2 2" xfId="6910" xr:uid="{00000000-0005-0000-0000-0000C2150000}"/>
    <cellStyle name="40% - Énfasis1 6 2 2 2" xfId="21794" xr:uid="{00000000-0005-0000-0000-0000C3150000}"/>
    <cellStyle name="40% - Énfasis1 6 2 2 2 2" xfId="44437" xr:uid="{00000000-0005-0000-0000-0000C4150000}"/>
    <cellStyle name="40% - Énfasis1 6 2 2 3" xfId="14354" xr:uid="{00000000-0005-0000-0000-0000C5150000}"/>
    <cellStyle name="40% - Énfasis1 6 2 2 3 2" xfId="36997" xr:uid="{00000000-0005-0000-0000-0000C6150000}"/>
    <cellStyle name="40% - Énfasis1 6 2 2 4" xfId="29556" xr:uid="{00000000-0005-0000-0000-0000C7150000}"/>
    <cellStyle name="40% - Énfasis1 6 2 3" xfId="18076" xr:uid="{00000000-0005-0000-0000-0000C8150000}"/>
    <cellStyle name="40% - Énfasis1 6 2 3 2" xfId="40719" xr:uid="{00000000-0005-0000-0000-0000C9150000}"/>
    <cellStyle name="40% - Énfasis1 6 2 4" xfId="10636" xr:uid="{00000000-0005-0000-0000-0000CA150000}"/>
    <cellStyle name="40% - Énfasis1 6 2 4 2" xfId="33279" xr:uid="{00000000-0005-0000-0000-0000CB150000}"/>
    <cellStyle name="40% - Énfasis1 6 2 5" xfId="25838" xr:uid="{00000000-0005-0000-0000-0000CC150000}"/>
    <cellStyle name="40% - Énfasis1 6 3" xfId="5063" xr:uid="{00000000-0005-0000-0000-0000CD150000}"/>
    <cellStyle name="40% - Énfasis1 6 3 2" xfId="19947" xr:uid="{00000000-0005-0000-0000-0000CE150000}"/>
    <cellStyle name="40% - Énfasis1 6 3 2 2" xfId="42590" xr:uid="{00000000-0005-0000-0000-0000CF150000}"/>
    <cellStyle name="40% - Énfasis1 6 3 3" xfId="12507" xr:uid="{00000000-0005-0000-0000-0000D0150000}"/>
    <cellStyle name="40% - Énfasis1 6 3 3 2" xfId="35150" xr:uid="{00000000-0005-0000-0000-0000D1150000}"/>
    <cellStyle name="40% - Énfasis1 6 3 4" xfId="27709" xr:uid="{00000000-0005-0000-0000-0000D2150000}"/>
    <cellStyle name="40% - Énfasis1 6 4" xfId="16229" xr:uid="{00000000-0005-0000-0000-0000D3150000}"/>
    <cellStyle name="40% - Énfasis1 6 4 2" xfId="38872" xr:uid="{00000000-0005-0000-0000-0000D4150000}"/>
    <cellStyle name="40% - Énfasis1 6 5" xfId="8789" xr:uid="{00000000-0005-0000-0000-0000D5150000}"/>
    <cellStyle name="40% - Énfasis1 6 5 2" xfId="31432" xr:uid="{00000000-0005-0000-0000-0000D6150000}"/>
    <cellStyle name="40% - Énfasis1 6 6" xfId="23991" xr:uid="{00000000-0005-0000-0000-0000D7150000}"/>
    <cellStyle name="40% - Énfasis1 7" xfId="2261" xr:uid="{00000000-0005-0000-0000-0000D8150000}"/>
    <cellStyle name="40% - Énfasis1 7 2" xfId="5985" xr:uid="{00000000-0005-0000-0000-0000D9150000}"/>
    <cellStyle name="40% - Énfasis1 7 2 2" xfId="20869" xr:uid="{00000000-0005-0000-0000-0000DA150000}"/>
    <cellStyle name="40% - Énfasis1 7 2 2 2" xfId="43512" xr:uid="{00000000-0005-0000-0000-0000DB150000}"/>
    <cellStyle name="40% - Énfasis1 7 2 3" xfId="13429" xr:uid="{00000000-0005-0000-0000-0000DC150000}"/>
    <cellStyle name="40% - Énfasis1 7 2 3 2" xfId="36072" xr:uid="{00000000-0005-0000-0000-0000DD150000}"/>
    <cellStyle name="40% - Énfasis1 7 2 4" xfId="28631" xr:uid="{00000000-0005-0000-0000-0000DE150000}"/>
    <cellStyle name="40% - Énfasis1 7 3" xfId="17151" xr:uid="{00000000-0005-0000-0000-0000DF150000}"/>
    <cellStyle name="40% - Énfasis1 7 3 2" xfId="39794" xr:uid="{00000000-0005-0000-0000-0000E0150000}"/>
    <cellStyle name="40% - Énfasis1 7 4" xfId="9711" xr:uid="{00000000-0005-0000-0000-0000E1150000}"/>
    <cellStyle name="40% - Énfasis1 7 4 2" xfId="32354" xr:uid="{00000000-0005-0000-0000-0000E2150000}"/>
    <cellStyle name="40% - Énfasis1 7 5" xfId="24913" xr:uid="{00000000-0005-0000-0000-0000E3150000}"/>
    <cellStyle name="40% - Énfasis1 8" xfId="4135" xr:uid="{00000000-0005-0000-0000-0000E4150000}"/>
    <cellStyle name="40% - Énfasis1 8 2" xfId="19022" xr:uid="{00000000-0005-0000-0000-0000E5150000}"/>
    <cellStyle name="40% - Énfasis1 8 2 2" xfId="41665" xr:uid="{00000000-0005-0000-0000-0000E6150000}"/>
    <cellStyle name="40% - Énfasis1 8 3" xfId="11582" xr:uid="{00000000-0005-0000-0000-0000E7150000}"/>
    <cellStyle name="40% - Énfasis1 8 3 2" xfId="34225" xr:uid="{00000000-0005-0000-0000-0000E8150000}"/>
    <cellStyle name="40% - Énfasis1 8 4" xfId="26784" xr:uid="{00000000-0005-0000-0000-0000E9150000}"/>
    <cellStyle name="40% - Énfasis1 9" xfId="370" xr:uid="{00000000-0005-0000-0000-0000EA150000}"/>
    <cellStyle name="40% - Énfasis1 9 2" xfId="15304" xr:uid="{00000000-0005-0000-0000-0000EB150000}"/>
    <cellStyle name="40% - Énfasis1 9 2 2" xfId="37947" xr:uid="{00000000-0005-0000-0000-0000EC150000}"/>
    <cellStyle name="40% - Énfasis1 9 3" xfId="23067" xr:uid="{00000000-0005-0000-0000-0000ED150000}"/>
    <cellStyle name="40% - Énfasis2" xfId="15" builtinId="35" customBuiltin="1"/>
    <cellStyle name="40% - Énfasis2 10" xfId="7863" xr:uid="{00000000-0005-0000-0000-0000EF150000}"/>
    <cellStyle name="40% - Énfasis2 10 2" xfId="30509" xr:uid="{00000000-0005-0000-0000-0000F0150000}"/>
    <cellStyle name="40% - Énfasis2 11" xfId="22754" xr:uid="{00000000-0005-0000-0000-0000F1150000}"/>
    <cellStyle name="40% - Énfasis2 12" xfId="45454" xr:uid="{00000000-0005-0000-0000-0000F2150000}"/>
    <cellStyle name="40% - Énfasis2 13" xfId="45493" xr:uid="{00000000-0005-0000-0000-0000F3150000}"/>
    <cellStyle name="40% - Énfasis2 2" xfId="16" xr:uid="{00000000-0005-0000-0000-0000F4150000}"/>
    <cellStyle name="40% - Énfasis2 2 10" xfId="22771" xr:uid="{00000000-0005-0000-0000-0000F5150000}"/>
    <cellStyle name="40% - Énfasis2 2 2" xfId="104" xr:uid="{00000000-0005-0000-0000-0000F6150000}"/>
    <cellStyle name="40% - Énfasis2 2 2 2" xfId="187" xr:uid="{00000000-0005-0000-0000-0000F7150000}"/>
    <cellStyle name="40% - Énfasis2 2 2 2 2" xfId="348" xr:uid="{00000000-0005-0000-0000-0000F8150000}"/>
    <cellStyle name="40% - Énfasis2 2 2 2 2 2" xfId="2171" xr:uid="{00000000-0005-0000-0000-0000F9150000}"/>
    <cellStyle name="40% - Énfasis2 2 2 2 2 2 2" xfId="4021" xr:uid="{00000000-0005-0000-0000-0000FA150000}"/>
    <cellStyle name="40% - Énfasis2 2 2 2 2 2 2 2" xfId="7742" xr:uid="{00000000-0005-0000-0000-0000FB150000}"/>
    <cellStyle name="40% - Énfasis2 2 2 2 2 2 2 2 2" xfId="22626" xr:uid="{00000000-0005-0000-0000-0000FC150000}"/>
    <cellStyle name="40% - Énfasis2 2 2 2 2 2 2 2 2 2" xfId="45269" xr:uid="{00000000-0005-0000-0000-0000FD150000}"/>
    <cellStyle name="40% - Énfasis2 2 2 2 2 2 2 2 3" xfId="15186" xr:uid="{00000000-0005-0000-0000-0000FE150000}"/>
    <cellStyle name="40% - Énfasis2 2 2 2 2 2 2 2 3 2" xfId="37829" xr:uid="{00000000-0005-0000-0000-0000FF150000}"/>
    <cellStyle name="40% - Énfasis2 2 2 2 2 2 2 2 4" xfId="30388" xr:uid="{00000000-0005-0000-0000-000000160000}"/>
    <cellStyle name="40% - Énfasis2 2 2 2 2 2 2 3" xfId="18908" xr:uid="{00000000-0005-0000-0000-000001160000}"/>
    <cellStyle name="40% - Énfasis2 2 2 2 2 2 2 3 2" xfId="41551" xr:uid="{00000000-0005-0000-0000-000002160000}"/>
    <cellStyle name="40% - Énfasis2 2 2 2 2 2 2 4" xfId="11468" xr:uid="{00000000-0005-0000-0000-000003160000}"/>
    <cellStyle name="40% - Énfasis2 2 2 2 2 2 2 4 2" xfId="34111" xr:uid="{00000000-0005-0000-0000-000004160000}"/>
    <cellStyle name="40% - Énfasis2 2 2 2 2 2 2 5" xfId="26670" xr:uid="{00000000-0005-0000-0000-000005160000}"/>
    <cellStyle name="40% - Énfasis2 2 2 2 2 2 3" xfId="5895" xr:uid="{00000000-0005-0000-0000-000006160000}"/>
    <cellStyle name="40% - Énfasis2 2 2 2 2 2 3 2" xfId="20779" xr:uid="{00000000-0005-0000-0000-000007160000}"/>
    <cellStyle name="40% - Énfasis2 2 2 2 2 2 3 2 2" xfId="43422" xr:uid="{00000000-0005-0000-0000-000008160000}"/>
    <cellStyle name="40% - Énfasis2 2 2 2 2 2 3 3" xfId="13339" xr:uid="{00000000-0005-0000-0000-000009160000}"/>
    <cellStyle name="40% - Énfasis2 2 2 2 2 2 3 3 2" xfId="35982" xr:uid="{00000000-0005-0000-0000-00000A160000}"/>
    <cellStyle name="40% - Énfasis2 2 2 2 2 2 3 4" xfId="28541" xr:uid="{00000000-0005-0000-0000-00000B160000}"/>
    <cellStyle name="40% - Énfasis2 2 2 2 2 2 4" xfId="17061" xr:uid="{00000000-0005-0000-0000-00000C160000}"/>
    <cellStyle name="40% - Énfasis2 2 2 2 2 2 4 2" xfId="39704" xr:uid="{00000000-0005-0000-0000-00000D160000}"/>
    <cellStyle name="40% - Énfasis2 2 2 2 2 2 5" xfId="9621" xr:uid="{00000000-0005-0000-0000-00000E160000}"/>
    <cellStyle name="40% - Énfasis2 2 2 2 2 2 5 2" xfId="32264" xr:uid="{00000000-0005-0000-0000-00000F160000}"/>
    <cellStyle name="40% - Énfasis2 2 2 2 2 2 6" xfId="24823" xr:uid="{00000000-0005-0000-0000-000010160000}"/>
    <cellStyle name="40% - Énfasis2 2 2 2 2 3" xfId="3096" xr:uid="{00000000-0005-0000-0000-000011160000}"/>
    <cellStyle name="40% - Énfasis2 2 2 2 2 3 2" xfId="6817" xr:uid="{00000000-0005-0000-0000-000012160000}"/>
    <cellStyle name="40% - Énfasis2 2 2 2 2 3 2 2" xfId="21701" xr:uid="{00000000-0005-0000-0000-000013160000}"/>
    <cellStyle name="40% - Énfasis2 2 2 2 2 3 2 2 2" xfId="44344" xr:uid="{00000000-0005-0000-0000-000014160000}"/>
    <cellStyle name="40% - Énfasis2 2 2 2 2 3 2 3" xfId="14261" xr:uid="{00000000-0005-0000-0000-000015160000}"/>
    <cellStyle name="40% - Énfasis2 2 2 2 2 3 2 3 2" xfId="36904" xr:uid="{00000000-0005-0000-0000-000016160000}"/>
    <cellStyle name="40% - Énfasis2 2 2 2 2 3 2 4" xfId="29463" xr:uid="{00000000-0005-0000-0000-000017160000}"/>
    <cellStyle name="40% - Énfasis2 2 2 2 2 3 3" xfId="17983" xr:uid="{00000000-0005-0000-0000-000018160000}"/>
    <cellStyle name="40% - Énfasis2 2 2 2 2 3 3 2" xfId="40626" xr:uid="{00000000-0005-0000-0000-000019160000}"/>
    <cellStyle name="40% - Énfasis2 2 2 2 2 3 4" xfId="10543" xr:uid="{00000000-0005-0000-0000-00001A160000}"/>
    <cellStyle name="40% - Énfasis2 2 2 2 2 3 4 2" xfId="33186" xr:uid="{00000000-0005-0000-0000-00001B160000}"/>
    <cellStyle name="40% - Énfasis2 2 2 2 2 3 5" xfId="25745" xr:uid="{00000000-0005-0000-0000-00001C160000}"/>
    <cellStyle name="40% - Énfasis2 2 2 2 2 4" xfId="4970" xr:uid="{00000000-0005-0000-0000-00001D160000}"/>
    <cellStyle name="40% - Énfasis2 2 2 2 2 4 2" xfId="19854" xr:uid="{00000000-0005-0000-0000-00001E160000}"/>
    <cellStyle name="40% - Énfasis2 2 2 2 2 4 2 2" xfId="42497" xr:uid="{00000000-0005-0000-0000-00001F160000}"/>
    <cellStyle name="40% - Énfasis2 2 2 2 2 4 3" xfId="12414" xr:uid="{00000000-0005-0000-0000-000020160000}"/>
    <cellStyle name="40% - Énfasis2 2 2 2 2 4 3 2" xfId="35057" xr:uid="{00000000-0005-0000-0000-000021160000}"/>
    <cellStyle name="40% - Énfasis2 2 2 2 2 4 4" xfId="27616" xr:uid="{00000000-0005-0000-0000-000022160000}"/>
    <cellStyle name="40% - Énfasis2 2 2 2 2 5" xfId="1243" xr:uid="{00000000-0005-0000-0000-000023160000}"/>
    <cellStyle name="40% - Énfasis2 2 2 2 2 5 2" xfId="16136" xr:uid="{00000000-0005-0000-0000-000024160000}"/>
    <cellStyle name="40% - Énfasis2 2 2 2 2 5 2 2" xfId="38779" xr:uid="{00000000-0005-0000-0000-000025160000}"/>
    <cellStyle name="40% - Énfasis2 2 2 2 2 5 3" xfId="23898" xr:uid="{00000000-0005-0000-0000-000026160000}"/>
    <cellStyle name="40% - Énfasis2 2 2 2 2 6" xfId="8696" xr:uid="{00000000-0005-0000-0000-000027160000}"/>
    <cellStyle name="40% - Énfasis2 2 2 2 2 6 2" xfId="31339" xr:uid="{00000000-0005-0000-0000-000028160000}"/>
    <cellStyle name="40% - Énfasis2 2 2 2 2 7" xfId="23046" xr:uid="{00000000-0005-0000-0000-000029160000}"/>
    <cellStyle name="40% - Énfasis2 2 2 2 3" xfId="1709" xr:uid="{00000000-0005-0000-0000-00002A160000}"/>
    <cellStyle name="40% - Énfasis2 2 2 2 3 2" xfId="3559" xr:uid="{00000000-0005-0000-0000-00002B160000}"/>
    <cellStyle name="40% - Énfasis2 2 2 2 3 2 2" xfId="7280" xr:uid="{00000000-0005-0000-0000-00002C160000}"/>
    <cellStyle name="40% - Énfasis2 2 2 2 3 2 2 2" xfId="22164" xr:uid="{00000000-0005-0000-0000-00002D160000}"/>
    <cellStyle name="40% - Énfasis2 2 2 2 3 2 2 2 2" xfId="44807" xr:uid="{00000000-0005-0000-0000-00002E160000}"/>
    <cellStyle name="40% - Énfasis2 2 2 2 3 2 2 3" xfId="14724" xr:uid="{00000000-0005-0000-0000-00002F160000}"/>
    <cellStyle name="40% - Énfasis2 2 2 2 3 2 2 3 2" xfId="37367" xr:uid="{00000000-0005-0000-0000-000030160000}"/>
    <cellStyle name="40% - Énfasis2 2 2 2 3 2 2 4" xfId="29926" xr:uid="{00000000-0005-0000-0000-000031160000}"/>
    <cellStyle name="40% - Énfasis2 2 2 2 3 2 3" xfId="18446" xr:uid="{00000000-0005-0000-0000-000032160000}"/>
    <cellStyle name="40% - Énfasis2 2 2 2 3 2 3 2" xfId="41089" xr:uid="{00000000-0005-0000-0000-000033160000}"/>
    <cellStyle name="40% - Énfasis2 2 2 2 3 2 4" xfId="11006" xr:uid="{00000000-0005-0000-0000-000034160000}"/>
    <cellStyle name="40% - Énfasis2 2 2 2 3 2 4 2" xfId="33649" xr:uid="{00000000-0005-0000-0000-000035160000}"/>
    <cellStyle name="40% - Énfasis2 2 2 2 3 2 5" xfId="26208" xr:uid="{00000000-0005-0000-0000-000036160000}"/>
    <cellStyle name="40% - Énfasis2 2 2 2 3 3" xfId="5433" xr:uid="{00000000-0005-0000-0000-000037160000}"/>
    <cellStyle name="40% - Énfasis2 2 2 2 3 3 2" xfId="20317" xr:uid="{00000000-0005-0000-0000-000038160000}"/>
    <cellStyle name="40% - Énfasis2 2 2 2 3 3 2 2" xfId="42960" xr:uid="{00000000-0005-0000-0000-000039160000}"/>
    <cellStyle name="40% - Énfasis2 2 2 2 3 3 3" xfId="12877" xr:uid="{00000000-0005-0000-0000-00003A160000}"/>
    <cellStyle name="40% - Énfasis2 2 2 2 3 3 3 2" xfId="35520" xr:uid="{00000000-0005-0000-0000-00003B160000}"/>
    <cellStyle name="40% - Énfasis2 2 2 2 3 3 4" xfId="28079" xr:uid="{00000000-0005-0000-0000-00003C160000}"/>
    <cellStyle name="40% - Énfasis2 2 2 2 3 4" xfId="16599" xr:uid="{00000000-0005-0000-0000-00003D160000}"/>
    <cellStyle name="40% - Énfasis2 2 2 2 3 4 2" xfId="39242" xr:uid="{00000000-0005-0000-0000-00003E160000}"/>
    <cellStyle name="40% - Énfasis2 2 2 2 3 5" xfId="9159" xr:uid="{00000000-0005-0000-0000-00003F160000}"/>
    <cellStyle name="40% - Énfasis2 2 2 2 3 5 2" xfId="31802" xr:uid="{00000000-0005-0000-0000-000040160000}"/>
    <cellStyle name="40% - Énfasis2 2 2 2 3 6" xfId="24361" xr:uid="{00000000-0005-0000-0000-000041160000}"/>
    <cellStyle name="40% - Énfasis2 2 2 2 4" xfId="2634" xr:uid="{00000000-0005-0000-0000-000042160000}"/>
    <cellStyle name="40% - Énfasis2 2 2 2 4 2" xfId="6355" xr:uid="{00000000-0005-0000-0000-000043160000}"/>
    <cellStyle name="40% - Énfasis2 2 2 2 4 2 2" xfId="21239" xr:uid="{00000000-0005-0000-0000-000044160000}"/>
    <cellStyle name="40% - Énfasis2 2 2 2 4 2 2 2" xfId="43882" xr:uid="{00000000-0005-0000-0000-000045160000}"/>
    <cellStyle name="40% - Énfasis2 2 2 2 4 2 3" xfId="13799" xr:uid="{00000000-0005-0000-0000-000046160000}"/>
    <cellStyle name="40% - Énfasis2 2 2 2 4 2 3 2" xfId="36442" xr:uid="{00000000-0005-0000-0000-000047160000}"/>
    <cellStyle name="40% - Énfasis2 2 2 2 4 2 4" xfId="29001" xr:uid="{00000000-0005-0000-0000-000048160000}"/>
    <cellStyle name="40% - Énfasis2 2 2 2 4 3" xfId="17521" xr:uid="{00000000-0005-0000-0000-000049160000}"/>
    <cellStyle name="40% - Énfasis2 2 2 2 4 3 2" xfId="40164" xr:uid="{00000000-0005-0000-0000-00004A160000}"/>
    <cellStyle name="40% - Énfasis2 2 2 2 4 4" xfId="10081" xr:uid="{00000000-0005-0000-0000-00004B160000}"/>
    <cellStyle name="40% - Énfasis2 2 2 2 4 4 2" xfId="32724" xr:uid="{00000000-0005-0000-0000-00004C160000}"/>
    <cellStyle name="40% - Énfasis2 2 2 2 4 5" xfId="25283" xr:uid="{00000000-0005-0000-0000-00004D160000}"/>
    <cellStyle name="40% - Énfasis2 2 2 2 5" xfId="4508" xr:uid="{00000000-0005-0000-0000-00004E160000}"/>
    <cellStyle name="40% - Énfasis2 2 2 2 5 2" xfId="19392" xr:uid="{00000000-0005-0000-0000-00004F160000}"/>
    <cellStyle name="40% - Énfasis2 2 2 2 5 2 2" xfId="42035" xr:uid="{00000000-0005-0000-0000-000050160000}"/>
    <cellStyle name="40% - Énfasis2 2 2 2 5 3" xfId="11952" xr:uid="{00000000-0005-0000-0000-000051160000}"/>
    <cellStyle name="40% - Énfasis2 2 2 2 5 3 2" xfId="34595" xr:uid="{00000000-0005-0000-0000-000052160000}"/>
    <cellStyle name="40% - Énfasis2 2 2 2 5 4" xfId="27154" xr:uid="{00000000-0005-0000-0000-000053160000}"/>
    <cellStyle name="40% - Énfasis2 2 2 2 6" xfId="778" xr:uid="{00000000-0005-0000-0000-000054160000}"/>
    <cellStyle name="40% - Énfasis2 2 2 2 6 2" xfId="15674" xr:uid="{00000000-0005-0000-0000-000055160000}"/>
    <cellStyle name="40% - Énfasis2 2 2 2 6 2 2" xfId="38317" xr:uid="{00000000-0005-0000-0000-000056160000}"/>
    <cellStyle name="40% - Énfasis2 2 2 2 6 3" xfId="23436" xr:uid="{00000000-0005-0000-0000-000057160000}"/>
    <cellStyle name="40% - Énfasis2 2 2 2 7" xfId="8234" xr:uid="{00000000-0005-0000-0000-000058160000}"/>
    <cellStyle name="40% - Énfasis2 2 2 2 7 2" xfId="30877" xr:uid="{00000000-0005-0000-0000-000059160000}"/>
    <cellStyle name="40% - Énfasis2 2 2 2 8" xfId="22890" xr:uid="{00000000-0005-0000-0000-00005A160000}"/>
    <cellStyle name="40% - Énfasis2 2 2 3" xfId="270" xr:uid="{00000000-0005-0000-0000-00005B160000}"/>
    <cellStyle name="40% - Énfasis2 2 2 3 2" xfId="1960" xr:uid="{00000000-0005-0000-0000-00005C160000}"/>
    <cellStyle name="40% - Énfasis2 2 2 3 2 2" xfId="3810" xr:uid="{00000000-0005-0000-0000-00005D160000}"/>
    <cellStyle name="40% - Énfasis2 2 2 3 2 2 2" xfId="7531" xr:uid="{00000000-0005-0000-0000-00005E160000}"/>
    <cellStyle name="40% - Énfasis2 2 2 3 2 2 2 2" xfId="22415" xr:uid="{00000000-0005-0000-0000-00005F160000}"/>
    <cellStyle name="40% - Énfasis2 2 2 3 2 2 2 2 2" xfId="45058" xr:uid="{00000000-0005-0000-0000-000060160000}"/>
    <cellStyle name="40% - Énfasis2 2 2 3 2 2 2 3" xfId="14975" xr:uid="{00000000-0005-0000-0000-000061160000}"/>
    <cellStyle name="40% - Énfasis2 2 2 3 2 2 2 3 2" xfId="37618" xr:uid="{00000000-0005-0000-0000-000062160000}"/>
    <cellStyle name="40% - Énfasis2 2 2 3 2 2 2 4" xfId="30177" xr:uid="{00000000-0005-0000-0000-000063160000}"/>
    <cellStyle name="40% - Énfasis2 2 2 3 2 2 3" xfId="18697" xr:uid="{00000000-0005-0000-0000-000064160000}"/>
    <cellStyle name="40% - Énfasis2 2 2 3 2 2 3 2" xfId="41340" xr:uid="{00000000-0005-0000-0000-000065160000}"/>
    <cellStyle name="40% - Énfasis2 2 2 3 2 2 4" xfId="11257" xr:uid="{00000000-0005-0000-0000-000066160000}"/>
    <cellStyle name="40% - Énfasis2 2 2 3 2 2 4 2" xfId="33900" xr:uid="{00000000-0005-0000-0000-000067160000}"/>
    <cellStyle name="40% - Énfasis2 2 2 3 2 2 5" xfId="26459" xr:uid="{00000000-0005-0000-0000-000068160000}"/>
    <cellStyle name="40% - Énfasis2 2 2 3 2 3" xfId="5684" xr:uid="{00000000-0005-0000-0000-000069160000}"/>
    <cellStyle name="40% - Énfasis2 2 2 3 2 3 2" xfId="20568" xr:uid="{00000000-0005-0000-0000-00006A160000}"/>
    <cellStyle name="40% - Énfasis2 2 2 3 2 3 2 2" xfId="43211" xr:uid="{00000000-0005-0000-0000-00006B160000}"/>
    <cellStyle name="40% - Énfasis2 2 2 3 2 3 3" xfId="13128" xr:uid="{00000000-0005-0000-0000-00006C160000}"/>
    <cellStyle name="40% - Énfasis2 2 2 3 2 3 3 2" xfId="35771" xr:uid="{00000000-0005-0000-0000-00006D160000}"/>
    <cellStyle name="40% - Énfasis2 2 2 3 2 3 4" xfId="28330" xr:uid="{00000000-0005-0000-0000-00006E160000}"/>
    <cellStyle name="40% - Énfasis2 2 2 3 2 4" xfId="16850" xr:uid="{00000000-0005-0000-0000-00006F160000}"/>
    <cellStyle name="40% - Énfasis2 2 2 3 2 4 2" xfId="39493" xr:uid="{00000000-0005-0000-0000-000070160000}"/>
    <cellStyle name="40% - Énfasis2 2 2 3 2 5" xfId="9410" xr:uid="{00000000-0005-0000-0000-000071160000}"/>
    <cellStyle name="40% - Énfasis2 2 2 3 2 5 2" xfId="32053" xr:uid="{00000000-0005-0000-0000-000072160000}"/>
    <cellStyle name="40% - Énfasis2 2 2 3 2 6" xfId="24612" xr:uid="{00000000-0005-0000-0000-000073160000}"/>
    <cellStyle name="40% - Énfasis2 2 2 3 3" xfId="2885" xr:uid="{00000000-0005-0000-0000-000074160000}"/>
    <cellStyle name="40% - Énfasis2 2 2 3 3 2" xfId="6606" xr:uid="{00000000-0005-0000-0000-000075160000}"/>
    <cellStyle name="40% - Énfasis2 2 2 3 3 2 2" xfId="21490" xr:uid="{00000000-0005-0000-0000-000076160000}"/>
    <cellStyle name="40% - Énfasis2 2 2 3 3 2 2 2" xfId="44133" xr:uid="{00000000-0005-0000-0000-000077160000}"/>
    <cellStyle name="40% - Énfasis2 2 2 3 3 2 3" xfId="14050" xr:uid="{00000000-0005-0000-0000-000078160000}"/>
    <cellStyle name="40% - Énfasis2 2 2 3 3 2 3 2" xfId="36693" xr:uid="{00000000-0005-0000-0000-000079160000}"/>
    <cellStyle name="40% - Énfasis2 2 2 3 3 2 4" xfId="29252" xr:uid="{00000000-0005-0000-0000-00007A160000}"/>
    <cellStyle name="40% - Énfasis2 2 2 3 3 3" xfId="17772" xr:uid="{00000000-0005-0000-0000-00007B160000}"/>
    <cellStyle name="40% - Énfasis2 2 2 3 3 3 2" xfId="40415" xr:uid="{00000000-0005-0000-0000-00007C160000}"/>
    <cellStyle name="40% - Énfasis2 2 2 3 3 4" xfId="10332" xr:uid="{00000000-0005-0000-0000-00007D160000}"/>
    <cellStyle name="40% - Énfasis2 2 2 3 3 4 2" xfId="32975" xr:uid="{00000000-0005-0000-0000-00007E160000}"/>
    <cellStyle name="40% - Énfasis2 2 2 3 3 5" xfId="25534" xr:uid="{00000000-0005-0000-0000-00007F160000}"/>
    <cellStyle name="40% - Énfasis2 2 2 3 4" xfId="4759" xr:uid="{00000000-0005-0000-0000-000080160000}"/>
    <cellStyle name="40% - Énfasis2 2 2 3 4 2" xfId="19643" xr:uid="{00000000-0005-0000-0000-000081160000}"/>
    <cellStyle name="40% - Énfasis2 2 2 3 4 2 2" xfId="42286" xr:uid="{00000000-0005-0000-0000-000082160000}"/>
    <cellStyle name="40% - Énfasis2 2 2 3 4 3" xfId="12203" xr:uid="{00000000-0005-0000-0000-000083160000}"/>
    <cellStyle name="40% - Énfasis2 2 2 3 4 3 2" xfId="34846" xr:uid="{00000000-0005-0000-0000-000084160000}"/>
    <cellStyle name="40% - Énfasis2 2 2 3 4 4" xfId="27405" xr:uid="{00000000-0005-0000-0000-000085160000}"/>
    <cellStyle name="40% - Énfasis2 2 2 3 5" xfId="1032" xr:uid="{00000000-0005-0000-0000-000086160000}"/>
    <cellStyle name="40% - Énfasis2 2 2 3 5 2" xfId="15925" xr:uid="{00000000-0005-0000-0000-000087160000}"/>
    <cellStyle name="40% - Énfasis2 2 2 3 5 2 2" xfId="38568" xr:uid="{00000000-0005-0000-0000-000088160000}"/>
    <cellStyle name="40% - Énfasis2 2 2 3 5 3" xfId="23687" xr:uid="{00000000-0005-0000-0000-000089160000}"/>
    <cellStyle name="40% - Énfasis2 2 2 3 6" xfId="8485" xr:uid="{00000000-0005-0000-0000-00008A160000}"/>
    <cellStyle name="40% - Énfasis2 2 2 3 6 2" xfId="31128" xr:uid="{00000000-0005-0000-0000-00008B160000}"/>
    <cellStyle name="40% - Énfasis2 2 2 3 7" xfId="22968" xr:uid="{00000000-0005-0000-0000-00008C160000}"/>
    <cellStyle name="40% - Énfasis2 2 2 4" xfId="1498" xr:uid="{00000000-0005-0000-0000-00008D160000}"/>
    <cellStyle name="40% - Énfasis2 2 2 4 2" xfId="3348" xr:uid="{00000000-0005-0000-0000-00008E160000}"/>
    <cellStyle name="40% - Énfasis2 2 2 4 2 2" xfId="7069" xr:uid="{00000000-0005-0000-0000-00008F160000}"/>
    <cellStyle name="40% - Énfasis2 2 2 4 2 2 2" xfId="21953" xr:uid="{00000000-0005-0000-0000-000090160000}"/>
    <cellStyle name="40% - Énfasis2 2 2 4 2 2 2 2" xfId="44596" xr:uid="{00000000-0005-0000-0000-000091160000}"/>
    <cellStyle name="40% - Énfasis2 2 2 4 2 2 3" xfId="14513" xr:uid="{00000000-0005-0000-0000-000092160000}"/>
    <cellStyle name="40% - Énfasis2 2 2 4 2 2 3 2" xfId="37156" xr:uid="{00000000-0005-0000-0000-000093160000}"/>
    <cellStyle name="40% - Énfasis2 2 2 4 2 2 4" xfId="29715" xr:uid="{00000000-0005-0000-0000-000094160000}"/>
    <cellStyle name="40% - Énfasis2 2 2 4 2 3" xfId="18235" xr:uid="{00000000-0005-0000-0000-000095160000}"/>
    <cellStyle name="40% - Énfasis2 2 2 4 2 3 2" xfId="40878" xr:uid="{00000000-0005-0000-0000-000096160000}"/>
    <cellStyle name="40% - Énfasis2 2 2 4 2 4" xfId="10795" xr:uid="{00000000-0005-0000-0000-000097160000}"/>
    <cellStyle name="40% - Énfasis2 2 2 4 2 4 2" xfId="33438" xr:uid="{00000000-0005-0000-0000-000098160000}"/>
    <cellStyle name="40% - Énfasis2 2 2 4 2 5" xfId="25997" xr:uid="{00000000-0005-0000-0000-000099160000}"/>
    <cellStyle name="40% - Énfasis2 2 2 4 3" xfId="5222" xr:uid="{00000000-0005-0000-0000-00009A160000}"/>
    <cellStyle name="40% - Énfasis2 2 2 4 3 2" xfId="20106" xr:uid="{00000000-0005-0000-0000-00009B160000}"/>
    <cellStyle name="40% - Énfasis2 2 2 4 3 2 2" xfId="42749" xr:uid="{00000000-0005-0000-0000-00009C160000}"/>
    <cellStyle name="40% - Énfasis2 2 2 4 3 3" xfId="12666" xr:uid="{00000000-0005-0000-0000-00009D160000}"/>
    <cellStyle name="40% - Énfasis2 2 2 4 3 3 2" xfId="35309" xr:uid="{00000000-0005-0000-0000-00009E160000}"/>
    <cellStyle name="40% - Énfasis2 2 2 4 3 4" xfId="27868" xr:uid="{00000000-0005-0000-0000-00009F160000}"/>
    <cellStyle name="40% - Énfasis2 2 2 4 4" xfId="16388" xr:uid="{00000000-0005-0000-0000-0000A0160000}"/>
    <cellStyle name="40% - Énfasis2 2 2 4 4 2" xfId="39031" xr:uid="{00000000-0005-0000-0000-0000A1160000}"/>
    <cellStyle name="40% - Énfasis2 2 2 4 5" xfId="8948" xr:uid="{00000000-0005-0000-0000-0000A2160000}"/>
    <cellStyle name="40% - Énfasis2 2 2 4 5 2" xfId="31591" xr:uid="{00000000-0005-0000-0000-0000A3160000}"/>
    <cellStyle name="40% - Énfasis2 2 2 4 6" xfId="24150" xr:uid="{00000000-0005-0000-0000-0000A4160000}"/>
    <cellStyle name="40% - Énfasis2 2 2 5" xfId="2423" xr:uid="{00000000-0005-0000-0000-0000A5160000}"/>
    <cellStyle name="40% - Énfasis2 2 2 5 2" xfId="6144" xr:uid="{00000000-0005-0000-0000-0000A6160000}"/>
    <cellStyle name="40% - Énfasis2 2 2 5 2 2" xfId="21028" xr:uid="{00000000-0005-0000-0000-0000A7160000}"/>
    <cellStyle name="40% - Énfasis2 2 2 5 2 2 2" xfId="43671" xr:uid="{00000000-0005-0000-0000-0000A8160000}"/>
    <cellStyle name="40% - Énfasis2 2 2 5 2 3" xfId="13588" xr:uid="{00000000-0005-0000-0000-0000A9160000}"/>
    <cellStyle name="40% - Énfasis2 2 2 5 2 3 2" xfId="36231" xr:uid="{00000000-0005-0000-0000-0000AA160000}"/>
    <cellStyle name="40% - Énfasis2 2 2 5 2 4" xfId="28790" xr:uid="{00000000-0005-0000-0000-0000AB160000}"/>
    <cellStyle name="40% - Énfasis2 2 2 5 3" xfId="17310" xr:uid="{00000000-0005-0000-0000-0000AC160000}"/>
    <cellStyle name="40% - Énfasis2 2 2 5 3 2" xfId="39953" xr:uid="{00000000-0005-0000-0000-0000AD160000}"/>
    <cellStyle name="40% - Énfasis2 2 2 5 4" xfId="9870" xr:uid="{00000000-0005-0000-0000-0000AE160000}"/>
    <cellStyle name="40% - Énfasis2 2 2 5 4 2" xfId="32513" xr:uid="{00000000-0005-0000-0000-0000AF160000}"/>
    <cellStyle name="40% - Énfasis2 2 2 5 5" xfId="25072" xr:uid="{00000000-0005-0000-0000-0000B0160000}"/>
    <cellStyle name="40% - Énfasis2 2 2 6" xfId="4297" xr:uid="{00000000-0005-0000-0000-0000B1160000}"/>
    <cellStyle name="40% - Énfasis2 2 2 6 2" xfId="19181" xr:uid="{00000000-0005-0000-0000-0000B2160000}"/>
    <cellStyle name="40% - Énfasis2 2 2 6 2 2" xfId="41824" xr:uid="{00000000-0005-0000-0000-0000B3160000}"/>
    <cellStyle name="40% - Énfasis2 2 2 6 3" xfId="11741" xr:uid="{00000000-0005-0000-0000-0000B4160000}"/>
    <cellStyle name="40% - Énfasis2 2 2 6 3 2" xfId="34384" xr:uid="{00000000-0005-0000-0000-0000B5160000}"/>
    <cellStyle name="40% - Énfasis2 2 2 6 4" xfId="26943" xr:uid="{00000000-0005-0000-0000-0000B6160000}"/>
    <cellStyle name="40% - Énfasis2 2 2 7" xfId="566" xr:uid="{00000000-0005-0000-0000-0000B7160000}"/>
    <cellStyle name="40% - Énfasis2 2 2 7 2" xfId="15463" xr:uid="{00000000-0005-0000-0000-0000B8160000}"/>
    <cellStyle name="40% - Énfasis2 2 2 7 2 2" xfId="38106" xr:uid="{00000000-0005-0000-0000-0000B9160000}"/>
    <cellStyle name="40% - Énfasis2 2 2 7 3" xfId="23226" xr:uid="{00000000-0005-0000-0000-0000BA160000}"/>
    <cellStyle name="40% - Énfasis2 2 2 8" xfId="8023" xr:uid="{00000000-0005-0000-0000-0000BB160000}"/>
    <cellStyle name="40% - Énfasis2 2 2 8 2" xfId="30666" xr:uid="{00000000-0005-0000-0000-0000BC160000}"/>
    <cellStyle name="40% - Énfasis2 2 2 9" xfId="22812" xr:uid="{00000000-0005-0000-0000-0000BD160000}"/>
    <cellStyle name="40% - Énfasis2 2 3" xfId="146" xr:uid="{00000000-0005-0000-0000-0000BE160000}"/>
    <cellStyle name="40% - Énfasis2 2 3 2" xfId="309" xr:uid="{00000000-0005-0000-0000-0000BF160000}"/>
    <cellStyle name="40% - Énfasis2 2 3 2 2" xfId="2066" xr:uid="{00000000-0005-0000-0000-0000C0160000}"/>
    <cellStyle name="40% - Énfasis2 2 3 2 2 2" xfId="3916" xr:uid="{00000000-0005-0000-0000-0000C1160000}"/>
    <cellStyle name="40% - Énfasis2 2 3 2 2 2 2" xfId="7637" xr:uid="{00000000-0005-0000-0000-0000C2160000}"/>
    <cellStyle name="40% - Énfasis2 2 3 2 2 2 2 2" xfId="22521" xr:uid="{00000000-0005-0000-0000-0000C3160000}"/>
    <cellStyle name="40% - Énfasis2 2 3 2 2 2 2 2 2" xfId="45164" xr:uid="{00000000-0005-0000-0000-0000C4160000}"/>
    <cellStyle name="40% - Énfasis2 2 3 2 2 2 2 3" xfId="15081" xr:uid="{00000000-0005-0000-0000-0000C5160000}"/>
    <cellStyle name="40% - Énfasis2 2 3 2 2 2 2 3 2" xfId="37724" xr:uid="{00000000-0005-0000-0000-0000C6160000}"/>
    <cellStyle name="40% - Énfasis2 2 3 2 2 2 2 4" xfId="30283" xr:uid="{00000000-0005-0000-0000-0000C7160000}"/>
    <cellStyle name="40% - Énfasis2 2 3 2 2 2 3" xfId="18803" xr:uid="{00000000-0005-0000-0000-0000C8160000}"/>
    <cellStyle name="40% - Énfasis2 2 3 2 2 2 3 2" xfId="41446" xr:uid="{00000000-0005-0000-0000-0000C9160000}"/>
    <cellStyle name="40% - Énfasis2 2 3 2 2 2 4" xfId="11363" xr:uid="{00000000-0005-0000-0000-0000CA160000}"/>
    <cellStyle name="40% - Énfasis2 2 3 2 2 2 4 2" xfId="34006" xr:uid="{00000000-0005-0000-0000-0000CB160000}"/>
    <cellStyle name="40% - Énfasis2 2 3 2 2 2 5" xfId="26565" xr:uid="{00000000-0005-0000-0000-0000CC160000}"/>
    <cellStyle name="40% - Énfasis2 2 3 2 2 3" xfId="5790" xr:uid="{00000000-0005-0000-0000-0000CD160000}"/>
    <cellStyle name="40% - Énfasis2 2 3 2 2 3 2" xfId="20674" xr:uid="{00000000-0005-0000-0000-0000CE160000}"/>
    <cellStyle name="40% - Énfasis2 2 3 2 2 3 2 2" xfId="43317" xr:uid="{00000000-0005-0000-0000-0000CF160000}"/>
    <cellStyle name="40% - Énfasis2 2 3 2 2 3 3" xfId="13234" xr:uid="{00000000-0005-0000-0000-0000D0160000}"/>
    <cellStyle name="40% - Énfasis2 2 3 2 2 3 3 2" xfId="35877" xr:uid="{00000000-0005-0000-0000-0000D1160000}"/>
    <cellStyle name="40% - Énfasis2 2 3 2 2 3 4" xfId="28436" xr:uid="{00000000-0005-0000-0000-0000D2160000}"/>
    <cellStyle name="40% - Énfasis2 2 3 2 2 4" xfId="16956" xr:uid="{00000000-0005-0000-0000-0000D3160000}"/>
    <cellStyle name="40% - Énfasis2 2 3 2 2 4 2" xfId="39599" xr:uid="{00000000-0005-0000-0000-0000D4160000}"/>
    <cellStyle name="40% - Énfasis2 2 3 2 2 5" xfId="9516" xr:uid="{00000000-0005-0000-0000-0000D5160000}"/>
    <cellStyle name="40% - Énfasis2 2 3 2 2 5 2" xfId="32159" xr:uid="{00000000-0005-0000-0000-0000D6160000}"/>
    <cellStyle name="40% - Énfasis2 2 3 2 2 6" xfId="24718" xr:uid="{00000000-0005-0000-0000-0000D7160000}"/>
    <cellStyle name="40% - Énfasis2 2 3 2 3" xfId="2991" xr:uid="{00000000-0005-0000-0000-0000D8160000}"/>
    <cellStyle name="40% - Énfasis2 2 3 2 3 2" xfId="6712" xr:uid="{00000000-0005-0000-0000-0000D9160000}"/>
    <cellStyle name="40% - Énfasis2 2 3 2 3 2 2" xfId="21596" xr:uid="{00000000-0005-0000-0000-0000DA160000}"/>
    <cellStyle name="40% - Énfasis2 2 3 2 3 2 2 2" xfId="44239" xr:uid="{00000000-0005-0000-0000-0000DB160000}"/>
    <cellStyle name="40% - Énfasis2 2 3 2 3 2 3" xfId="14156" xr:uid="{00000000-0005-0000-0000-0000DC160000}"/>
    <cellStyle name="40% - Énfasis2 2 3 2 3 2 3 2" xfId="36799" xr:uid="{00000000-0005-0000-0000-0000DD160000}"/>
    <cellStyle name="40% - Énfasis2 2 3 2 3 2 4" xfId="29358" xr:uid="{00000000-0005-0000-0000-0000DE160000}"/>
    <cellStyle name="40% - Énfasis2 2 3 2 3 3" xfId="17878" xr:uid="{00000000-0005-0000-0000-0000DF160000}"/>
    <cellStyle name="40% - Énfasis2 2 3 2 3 3 2" xfId="40521" xr:uid="{00000000-0005-0000-0000-0000E0160000}"/>
    <cellStyle name="40% - Énfasis2 2 3 2 3 4" xfId="10438" xr:uid="{00000000-0005-0000-0000-0000E1160000}"/>
    <cellStyle name="40% - Énfasis2 2 3 2 3 4 2" xfId="33081" xr:uid="{00000000-0005-0000-0000-0000E2160000}"/>
    <cellStyle name="40% - Énfasis2 2 3 2 3 5" xfId="25640" xr:uid="{00000000-0005-0000-0000-0000E3160000}"/>
    <cellStyle name="40% - Énfasis2 2 3 2 4" xfId="4865" xr:uid="{00000000-0005-0000-0000-0000E4160000}"/>
    <cellStyle name="40% - Énfasis2 2 3 2 4 2" xfId="19749" xr:uid="{00000000-0005-0000-0000-0000E5160000}"/>
    <cellStyle name="40% - Énfasis2 2 3 2 4 2 2" xfId="42392" xr:uid="{00000000-0005-0000-0000-0000E6160000}"/>
    <cellStyle name="40% - Énfasis2 2 3 2 4 3" xfId="12309" xr:uid="{00000000-0005-0000-0000-0000E7160000}"/>
    <cellStyle name="40% - Énfasis2 2 3 2 4 3 2" xfId="34952" xr:uid="{00000000-0005-0000-0000-0000E8160000}"/>
    <cellStyle name="40% - Énfasis2 2 3 2 4 4" xfId="27511" xr:uid="{00000000-0005-0000-0000-0000E9160000}"/>
    <cellStyle name="40% - Énfasis2 2 3 2 5" xfId="1138" xr:uid="{00000000-0005-0000-0000-0000EA160000}"/>
    <cellStyle name="40% - Énfasis2 2 3 2 5 2" xfId="16031" xr:uid="{00000000-0005-0000-0000-0000EB160000}"/>
    <cellStyle name="40% - Énfasis2 2 3 2 5 2 2" xfId="38674" xr:uid="{00000000-0005-0000-0000-0000EC160000}"/>
    <cellStyle name="40% - Énfasis2 2 3 2 5 3" xfId="23793" xr:uid="{00000000-0005-0000-0000-0000ED160000}"/>
    <cellStyle name="40% - Énfasis2 2 3 2 6" xfId="8591" xr:uid="{00000000-0005-0000-0000-0000EE160000}"/>
    <cellStyle name="40% - Énfasis2 2 3 2 6 2" xfId="31234" xr:uid="{00000000-0005-0000-0000-0000EF160000}"/>
    <cellStyle name="40% - Énfasis2 2 3 2 7" xfId="23007" xr:uid="{00000000-0005-0000-0000-0000F0160000}"/>
    <cellStyle name="40% - Énfasis2 2 3 3" xfId="1604" xr:uid="{00000000-0005-0000-0000-0000F1160000}"/>
    <cellStyle name="40% - Énfasis2 2 3 3 2" xfId="3454" xr:uid="{00000000-0005-0000-0000-0000F2160000}"/>
    <cellStyle name="40% - Énfasis2 2 3 3 2 2" xfId="7175" xr:uid="{00000000-0005-0000-0000-0000F3160000}"/>
    <cellStyle name="40% - Énfasis2 2 3 3 2 2 2" xfId="22059" xr:uid="{00000000-0005-0000-0000-0000F4160000}"/>
    <cellStyle name="40% - Énfasis2 2 3 3 2 2 2 2" xfId="44702" xr:uid="{00000000-0005-0000-0000-0000F5160000}"/>
    <cellStyle name="40% - Énfasis2 2 3 3 2 2 3" xfId="14619" xr:uid="{00000000-0005-0000-0000-0000F6160000}"/>
    <cellStyle name="40% - Énfasis2 2 3 3 2 2 3 2" xfId="37262" xr:uid="{00000000-0005-0000-0000-0000F7160000}"/>
    <cellStyle name="40% - Énfasis2 2 3 3 2 2 4" xfId="29821" xr:uid="{00000000-0005-0000-0000-0000F8160000}"/>
    <cellStyle name="40% - Énfasis2 2 3 3 2 3" xfId="18341" xr:uid="{00000000-0005-0000-0000-0000F9160000}"/>
    <cellStyle name="40% - Énfasis2 2 3 3 2 3 2" xfId="40984" xr:uid="{00000000-0005-0000-0000-0000FA160000}"/>
    <cellStyle name="40% - Énfasis2 2 3 3 2 4" xfId="10901" xr:uid="{00000000-0005-0000-0000-0000FB160000}"/>
    <cellStyle name="40% - Énfasis2 2 3 3 2 4 2" xfId="33544" xr:uid="{00000000-0005-0000-0000-0000FC160000}"/>
    <cellStyle name="40% - Énfasis2 2 3 3 2 5" xfId="26103" xr:uid="{00000000-0005-0000-0000-0000FD160000}"/>
    <cellStyle name="40% - Énfasis2 2 3 3 3" xfId="5328" xr:uid="{00000000-0005-0000-0000-0000FE160000}"/>
    <cellStyle name="40% - Énfasis2 2 3 3 3 2" xfId="20212" xr:uid="{00000000-0005-0000-0000-0000FF160000}"/>
    <cellStyle name="40% - Énfasis2 2 3 3 3 2 2" xfId="42855" xr:uid="{00000000-0005-0000-0000-000000170000}"/>
    <cellStyle name="40% - Énfasis2 2 3 3 3 3" xfId="12772" xr:uid="{00000000-0005-0000-0000-000001170000}"/>
    <cellStyle name="40% - Énfasis2 2 3 3 3 3 2" xfId="35415" xr:uid="{00000000-0005-0000-0000-000002170000}"/>
    <cellStyle name="40% - Énfasis2 2 3 3 3 4" xfId="27974" xr:uid="{00000000-0005-0000-0000-000003170000}"/>
    <cellStyle name="40% - Énfasis2 2 3 3 4" xfId="16494" xr:uid="{00000000-0005-0000-0000-000004170000}"/>
    <cellStyle name="40% - Énfasis2 2 3 3 4 2" xfId="39137" xr:uid="{00000000-0005-0000-0000-000005170000}"/>
    <cellStyle name="40% - Énfasis2 2 3 3 5" xfId="9054" xr:uid="{00000000-0005-0000-0000-000006170000}"/>
    <cellStyle name="40% - Énfasis2 2 3 3 5 2" xfId="31697" xr:uid="{00000000-0005-0000-0000-000007170000}"/>
    <cellStyle name="40% - Énfasis2 2 3 3 6" xfId="24256" xr:uid="{00000000-0005-0000-0000-000008170000}"/>
    <cellStyle name="40% - Énfasis2 2 3 4" xfId="2529" xr:uid="{00000000-0005-0000-0000-000009170000}"/>
    <cellStyle name="40% - Énfasis2 2 3 4 2" xfId="6250" xr:uid="{00000000-0005-0000-0000-00000A170000}"/>
    <cellStyle name="40% - Énfasis2 2 3 4 2 2" xfId="21134" xr:uid="{00000000-0005-0000-0000-00000B170000}"/>
    <cellStyle name="40% - Énfasis2 2 3 4 2 2 2" xfId="43777" xr:uid="{00000000-0005-0000-0000-00000C170000}"/>
    <cellStyle name="40% - Énfasis2 2 3 4 2 3" xfId="13694" xr:uid="{00000000-0005-0000-0000-00000D170000}"/>
    <cellStyle name="40% - Énfasis2 2 3 4 2 3 2" xfId="36337" xr:uid="{00000000-0005-0000-0000-00000E170000}"/>
    <cellStyle name="40% - Énfasis2 2 3 4 2 4" xfId="28896" xr:uid="{00000000-0005-0000-0000-00000F170000}"/>
    <cellStyle name="40% - Énfasis2 2 3 4 3" xfId="17416" xr:uid="{00000000-0005-0000-0000-000010170000}"/>
    <cellStyle name="40% - Énfasis2 2 3 4 3 2" xfId="40059" xr:uid="{00000000-0005-0000-0000-000011170000}"/>
    <cellStyle name="40% - Énfasis2 2 3 4 4" xfId="9976" xr:uid="{00000000-0005-0000-0000-000012170000}"/>
    <cellStyle name="40% - Énfasis2 2 3 4 4 2" xfId="32619" xr:uid="{00000000-0005-0000-0000-000013170000}"/>
    <cellStyle name="40% - Énfasis2 2 3 4 5" xfId="25178" xr:uid="{00000000-0005-0000-0000-000014170000}"/>
    <cellStyle name="40% - Énfasis2 2 3 5" xfId="4403" xr:uid="{00000000-0005-0000-0000-000015170000}"/>
    <cellStyle name="40% - Énfasis2 2 3 5 2" xfId="19287" xr:uid="{00000000-0005-0000-0000-000016170000}"/>
    <cellStyle name="40% - Énfasis2 2 3 5 2 2" xfId="41930" xr:uid="{00000000-0005-0000-0000-000017170000}"/>
    <cellStyle name="40% - Énfasis2 2 3 5 3" xfId="11847" xr:uid="{00000000-0005-0000-0000-000018170000}"/>
    <cellStyle name="40% - Énfasis2 2 3 5 3 2" xfId="34490" xr:uid="{00000000-0005-0000-0000-000019170000}"/>
    <cellStyle name="40% - Énfasis2 2 3 5 4" xfId="27049" xr:uid="{00000000-0005-0000-0000-00001A170000}"/>
    <cellStyle name="40% - Énfasis2 2 3 6" xfId="673" xr:uid="{00000000-0005-0000-0000-00001B170000}"/>
    <cellStyle name="40% - Énfasis2 2 3 6 2" xfId="15569" xr:uid="{00000000-0005-0000-0000-00001C170000}"/>
    <cellStyle name="40% - Énfasis2 2 3 6 2 2" xfId="38212" xr:uid="{00000000-0005-0000-0000-00001D170000}"/>
    <cellStyle name="40% - Énfasis2 2 3 6 3" xfId="23331" xr:uid="{00000000-0005-0000-0000-00001E170000}"/>
    <cellStyle name="40% - Énfasis2 2 3 7" xfId="8129" xr:uid="{00000000-0005-0000-0000-00001F170000}"/>
    <cellStyle name="40% - Énfasis2 2 3 7 2" xfId="30772" xr:uid="{00000000-0005-0000-0000-000020170000}"/>
    <cellStyle name="40% - Énfasis2 2 3 8" xfId="22851" xr:uid="{00000000-0005-0000-0000-000021170000}"/>
    <cellStyle name="40% - Énfasis2 2 4" xfId="229" xr:uid="{00000000-0005-0000-0000-000022170000}"/>
    <cellStyle name="40% - Énfasis2 2 4 2" xfId="1855" xr:uid="{00000000-0005-0000-0000-000023170000}"/>
    <cellStyle name="40% - Énfasis2 2 4 2 2" xfId="3705" xr:uid="{00000000-0005-0000-0000-000024170000}"/>
    <cellStyle name="40% - Énfasis2 2 4 2 2 2" xfId="7426" xr:uid="{00000000-0005-0000-0000-000025170000}"/>
    <cellStyle name="40% - Énfasis2 2 4 2 2 2 2" xfId="22310" xr:uid="{00000000-0005-0000-0000-000026170000}"/>
    <cellStyle name="40% - Énfasis2 2 4 2 2 2 2 2" xfId="44953" xr:uid="{00000000-0005-0000-0000-000027170000}"/>
    <cellStyle name="40% - Énfasis2 2 4 2 2 2 3" xfId="14870" xr:uid="{00000000-0005-0000-0000-000028170000}"/>
    <cellStyle name="40% - Énfasis2 2 4 2 2 2 3 2" xfId="37513" xr:uid="{00000000-0005-0000-0000-000029170000}"/>
    <cellStyle name="40% - Énfasis2 2 4 2 2 2 4" xfId="30072" xr:uid="{00000000-0005-0000-0000-00002A170000}"/>
    <cellStyle name="40% - Énfasis2 2 4 2 2 3" xfId="18592" xr:uid="{00000000-0005-0000-0000-00002B170000}"/>
    <cellStyle name="40% - Énfasis2 2 4 2 2 3 2" xfId="41235" xr:uid="{00000000-0005-0000-0000-00002C170000}"/>
    <cellStyle name="40% - Énfasis2 2 4 2 2 4" xfId="11152" xr:uid="{00000000-0005-0000-0000-00002D170000}"/>
    <cellStyle name="40% - Énfasis2 2 4 2 2 4 2" xfId="33795" xr:uid="{00000000-0005-0000-0000-00002E170000}"/>
    <cellStyle name="40% - Énfasis2 2 4 2 2 5" xfId="26354" xr:uid="{00000000-0005-0000-0000-00002F170000}"/>
    <cellStyle name="40% - Énfasis2 2 4 2 3" xfId="5579" xr:uid="{00000000-0005-0000-0000-000030170000}"/>
    <cellStyle name="40% - Énfasis2 2 4 2 3 2" xfId="20463" xr:uid="{00000000-0005-0000-0000-000031170000}"/>
    <cellStyle name="40% - Énfasis2 2 4 2 3 2 2" xfId="43106" xr:uid="{00000000-0005-0000-0000-000032170000}"/>
    <cellStyle name="40% - Énfasis2 2 4 2 3 3" xfId="13023" xr:uid="{00000000-0005-0000-0000-000033170000}"/>
    <cellStyle name="40% - Énfasis2 2 4 2 3 3 2" xfId="35666" xr:uid="{00000000-0005-0000-0000-000034170000}"/>
    <cellStyle name="40% - Énfasis2 2 4 2 3 4" xfId="28225" xr:uid="{00000000-0005-0000-0000-000035170000}"/>
    <cellStyle name="40% - Énfasis2 2 4 2 4" xfId="16745" xr:uid="{00000000-0005-0000-0000-000036170000}"/>
    <cellStyle name="40% - Énfasis2 2 4 2 4 2" xfId="39388" xr:uid="{00000000-0005-0000-0000-000037170000}"/>
    <cellStyle name="40% - Énfasis2 2 4 2 5" xfId="9305" xr:uid="{00000000-0005-0000-0000-000038170000}"/>
    <cellStyle name="40% - Énfasis2 2 4 2 5 2" xfId="31948" xr:uid="{00000000-0005-0000-0000-000039170000}"/>
    <cellStyle name="40% - Énfasis2 2 4 2 6" xfId="24507" xr:uid="{00000000-0005-0000-0000-00003A170000}"/>
    <cellStyle name="40% - Énfasis2 2 4 3" xfId="2780" xr:uid="{00000000-0005-0000-0000-00003B170000}"/>
    <cellStyle name="40% - Énfasis2 2 4 3 2" xfId="6501" xr:uid="{00000000-0005-0000-0000-00003C170000}"/>
    <cellStyle name="40% - Énfasis2 2 4 3 2 2" xfId="21385" xr:uid="{00000000-0005-0000-0000-00003D170000}"/>
    <cellStyle name="40% - Énfasis2 2 4 3 2 2 2" xfId="44028" xr:uid="{00000000-0005-0000-0000-00003E170000}"/>
    <cellStyle name="40% - Énfasis2 2 4 3 2 3" xfId="13945" xr:uid="{00000000-0005-0000-0000-00003F170000}"/>
    <cellStyle name="40% - Énfasis2 2 4 3 2 3 2" xfId="36588" xr:uid="{00000000-0005-0000-0000-000040170000}"/>
    <cellStyle name="40% - Énfasis2 2 4 3 2 4" xfId="29147" xr:uid="{00000000-0005-0000-0000-000041170000}"/>
    <cellStyle name="40% - Énfasis2 2 4 3 3" xfId="17667" xr:uid="{00000000-0005-0000-0000-000042170000}"/>
    <cellStyle name="40% - Énfasis2 2 4 3 3 2" xfId="40310" xr:uid="{00000000-0005-0000-0000-000043170000}"/>
    <cellStyle name="40% - Énfasis2 2 4 3 4" xfId="10227" xr:uid="{00000000-0005-0000-0000-000044170000}"/>
    <cellStyle name="40% - Énfasis2 2 4 3 4 2" xfId="32870" xr:uid="{00000000-0005-0000-0000-000045170000}"/>
    <cellStyle name="40% - Énfasis2 2 4 3 5" xfId="25429" xr:uid="{00000000-0005-0000-0000-000046170000}"/>
    <cellStyle name="40% - Énfasis2 2 4 4" xfId="4654" xr:uid="{00000000-0005-0000-0000-000047170000}"/>
    <cellStyle name="40% - Énfasis2 2 4 4 2" xfId="19538" xr:uid="{00000000-0005-0000-0000-000048170000}"/>
    <cellStyle name="40% - Énfasis2 2 4 4 2 2" xfId="42181" xr:uid="{00000000-0005-0000-0000-000049170000}"/>
    <cellStyle name="40% - Énfasis2 2 4 4 3" xfId="12098" xr:uid="{00000000-0005-0000-0000-00004A170000}"/>
    <cellStyle name="40% - Énfasis2 2 4 4 3 2" xfId="34741" xr:uid="{00000000-0005-0000-0000-00004B170000}"/>
    <cellStyle name="40% - Énfasis2 2 4 4 4" xfId="27300" xr:uid="{00000000-0005-0000-0000-00004C170000}"/>
    <cellStyle name="40% - Énfasis2 2 4 5" xfId="927" xr:uid="{00000000-0005-0000-0000-00004D170000}"/>
    <cellStyle name="40% - Énfasis2 2 4 5 2" xfId="15820" xr:uid="{00000000-0005-0000-0000-00004E170000}"/>
    <cellStyle name="40% - Énfasis2 2 4 5 2 2" xfId="38463" xr:uid="{00000000-0005-0000-0000-00004F170000}"/>
    <cellStyle name="40% - Énfasis2 2 4 5 3" xfId="23582" xr:uid="{00000000-0005-0000-0000-000050170000}"/>
    <cellStyle name="40% - Énfasis2 2 4 6" xfId="8380" xr:uid="{00000000-0005-0000-0000-000051170000}"/>
    <cellStyle name="40% - Énfasis2 2 4 6 2" xfId="31023" xr:uid="{00000000-0005-0000-0000-000052170000}"/>
    <cellStyle name="40% - Énfasis2 2 4 7" xfId="22929" xr:uid="{00000000-0005-0000-0000-000053170000}"/>
    <cellStyle name="40% - Énfasis2 2 5" xfId="1393" xr:uid="{00000000-0005-0000-0000-000054170000}"/>
    <cellStyle name="40% - Énfasis2 2 5 2" xfId="3243" xr:uid="{00000000-0005-0000-0000-000055170000}"/>
    <cellStyle name="40% - Énfasis2 2 5 2 2" xfId="6964" xr:uid="{00000000-0005-0000-0000-000056170000}"/>
    <cellStyle name="40% - Énfasis2 2 5 2 2 2" xfId="21848" xr:uid="{00000000-0005-0000-0000-000057170000}"/>
    <cellStyle name="40% - Énfasis2 2 5 2 2 2 2" xfId="44491" xr:uid="{00000000-0005-0000-0000-000058170000}"/>
    <cellStyle name="40% - Énfasis2 2 5 2 2 3" xfId="14408" xr:uid="{00000000-0005-0000-0000-000059170000}"/>
    <cellStyle name="40% - Énfasis2 2 5 2 2 3 2" xfId="37051" xr:uid="{00000000-0005-0000-0000-00005A170000}"/>
    <cellStyle name="40% - Énfasis2 2 5 2 2 4" xfId="29610" xr:uid="{00000000-0005-0000-0000-00005B170000}"/>
    <cellStyle name="40% - Énfasis2 2 5 2 3" xfId="18130" xr:uid="{00000000-0005-0000-0000-00005C170000}"/>
    <cellStyle name="40% - Énfasis2 2 5 2 3 2" xfId="40773" xr:uid="{00000000-0005-0000-0000-00005D170000}"/>
    <cellStyle name="40% - Énfasis2 2 5 2 4" xfId="10690" xr:uid="{00000000-0005-0000-0000-00005E170000}"/>
    <cellStyle name="40% - Énfasis2 2 5 2 4 2" xfId="33333" xr:uid="{00000000-0005-0000-0000-00005F170000}"/>
    <cellStyle name="40% - Énfasis2 2 5 2 5" xfId="25892" xr:uid="{00000000-0005-0000-0000-000060170000}"/>
    <cellStyle name="40% - Énfasis2 2 5 3" xfId="5117" xr:uid="{00000000-0005-0000-0000-000061170000}"/>
    <cellStyle name="40% - Énfasis2 2 5 3 2" xfId="20001" xr:uid="{00000000-0005-0000-0000-000062170000}"/>
    <cellStyle name="40% - Énfasis2 2 5 3 2 2" xfId="42644" xr:uid="{00000000-0005-0000-0000-000063170000}"/>
    <cellStyle name="40% - Énfasis2 2 5 3 3" xfId="12561" xr:uid="{00000000-0005-0000-0000-000064170000}"/>
    <cellStyle name="40% - Énfasis2 2 5 3 3 2" xfId="35204" xr:uid="{00000000-0005-0000-0000-000065170000}"/>
    <cellStyle name="40% - Énfasis2 2 5 3 4" xfId="27763" xr:uid="{00000000-0005-0000-0000-000066170000}"/>
    <cellStyle name="40% - Énfasis2 2 5 4" xfId="16283" xr:uid="{00000000-0005-0000-0000-000067170000}"/>
    <cellStyle name="40% - Énfasis2 2 5 4 2" xfId="38926" xr:uid="{00000000-0005-0000-0000-000068170000}"/>
    <cellStyle name="40% - Énfasis2 2 5 5" xfId="8843" xr:uid="{00000000-0005-0000-0000-000069170000}"/>
    <cellStyle name="40% - Énfasis2 2 5 5 2" xfId="31486" xr:uid="{00000000-0005-0000-0000-00006A170000}"/>
    <cellStyle name="40% - Énfasis2 2 5 6" xfId="24045" xr:uid="{00000000-0005-0000-0000-00006B170000}"/>
    <cellStyle name="40% - Énfasis2 2 6" xfId="2318" xr:uid="{00000000-0005-0000-0000-00006C170000}"/>
    <cellStyle name="40% - Énfasis2 2 6 2" xfId="6039" xr:uid="{00000000-0005-0000-0000-00006D170000}"/>
    <cellStyle name="40% - Énfasis2 2 6 2 2" xfId="20923" xr:uid="{00000000-0005-0000-0000-00006E170000}"/>
    <cellStyle name="40% - Énfasis2 2 6 2 2 2" xfId="43566" xr:uid="{00000000-0005-0000-0000-00006F170000}"/>
    <cellStyle name="40% - Énfasis2 2 6 2 3" xfId="13483" xr:uid="{00000000-0005-0000-0000-000070170000}"/>
    <cellStyle name="40% - Énfasis2 2 6 2 3 2" xfId="36126" xr:uid="{00000000-0005-0000-0000-000071170000}"/>
    <cellStyle name="40% - Énfasis2 2 6 2 4" xfId="28685" xr:uid="{00000000-0005-0000-0000-000072170000}"/>
    <cellStyle name="40% - Énfasis2 2 6 3" xfId="17205" xr:uid="{00000000-0005-0000-0000-000073170000}"/>
    <cellStyle name="40% - Énfasis2 2 6 3 2" xfId="39848" xr:uid="{00000000-0005-0000-0000-000074170000}"/>
    <cellStyle name="40% - Énfasis2 2 6 4" xfId="9765" xr:uid="{00000000-0005-0000-0000-000075170000}"/>
    <cellStyle name="40% - Énfasis2 2 6 4 2" xfId="32408" xr:uid="{00000000-0005-0000-0000-000076170000}"/>
    <cellStyle name="40% - Énfasis2 2 6 5" xfId="24967" xr:uid="{00000000-0005-0000-0000-000077170000}"/>
    <cellStyle name="40% - Énfasis2 2 7" xfId="4192" xr:uid="{00000000-0005-0000-0000-000078170000}"/>
    <cellStyle name="40% - Énfasis2 2 7 2" xfId="19076" xr:uid="{00000000-0005-0000-0000-000079170000}"/>
    <cellStyle name="40% - Énfasis2 2 7 2 2" xfId="41719" xr:uid="{00000000-0005-0000-0000-00007A170000}"/>
    <cellStyle name="40% - Énfasis2 2 7 3" xfId="11636" xr:uid="{00000000-0005-0000-0000-00007B170000}"/>
    <cellStyle name="40% - Énfasis2 2 7 3 2" xfId="34279" xr:uid="{00000000-0005-0000-0000-00007C170000}"/>
    <cellStyle name="40% - Énfasis2 2 7 4" xfId="26838" xr:uid="{00000000-0005-0000-0000-00007D170000}"/>
    <cellStyle name="40% - Énfasis2 2 8" xfId="459" xr:uid="{00000000-0005-0000-0000-00007E170000}"/>
    <cellStyle name="40% - Énfasis2 2 8 2" xfId="15358" xr:uid="{00000000-0005-0000-0000-00007F170000}"/>
    <cellStyle name="40% - Énfasis2 2 8 2 2" xfId="38001" xr:uid="{00000000-0005-0000-0000-000080170000}"/>
    <cellStyle name="40% - Énfasis2 2 8 3" xfId="23121" xr:uid="{00000000-0005-0000-0000-000081170000}"/>
    <cellStyle name="40% - Énfasis2 2 9" xfId="7918" xr:uid="{00000000-0005-0000-0000-000082170000}"/>
    <cellStyle name="40% - Énfasis2 2 9 2" xfId="30561" xr:uid="{00000000-0005-0000-0000-000083170000}"/>
    <cellStyle name="40% - Énfasis2 3" xfId="87" xr:uid="{00000000-0005-0000-0000-000084170000}"/>
    <cellStyle name="40% - Énfasis2 3 2" xfId="171" xr:uid="{00000000-0005-0000-0000-000085170000}"/>
    <cellStyle name="40% - Énfasis2 3 2 2" xfId="332" xr:uid="{00000000-0005-0000-0000-000086170000}"/>
    <cellStyle name="40% - Énfasis2 3 2 2 2" xfId="2119" xr:uid="{00000000-0005-0000-0000-000087170000}"/>
    <cellStyle name="40% - Énfasis2 3 2 2 2 2" xfId="3969" xr:uid="{00000000-0005-0000-0000-000088170000}"/>
    <cellStyle name="40% - Énfasis2 3 2 2 2 2 2" xfId="7690" xr:uid="{00000000-0005-0000-0000-000089170000}"/>
    <cellStyle name="40% - Énfasis2 3 2 2 2 2 2 2" xfId="22574" xr:uid="{00000000-0005-0000-0000-00008A170000}"/>
    <cellStyle name="40% - Énfasis2 3 2 2 2 2 2 2 2" xfId="45217" xr:uid="{00000000-0005-0000-0000-00008B170000}"/>
    <cellStyle name="40% - Énfasis2 3 2 2 2 2 2 3" xfId="15134" xr:uid="{00000000-0005-0000-0000-00008C170000}"/>
    <cellStyle name="40% - Énfasis2 3 2 2 2 2 2 3 2" xfId="37777" xr:uid="{00000000-0005-0000-0000-00008D170000}"/>
    <cellStyle name="40% - Énfasis2 3 2 2 2 2 2 4" xfId="30336" xr:uid="{00000000-0005-0000-0000-00008E170000}"/>
    <cellStyle name="40% - Énfasis2 3 2 2 2 2 3" xfId="18856" xr:uid="{00000000-0005-0000-0000-00008F170000}"/>
    <cellStyle name="40% - Énfasis2 3 2 2 2 2 3 2" xfId="41499" xr:uid="{00000000-0005-0000-0000-000090170000}"/>
    <cellStyle name="40% - Énfasis2 3 2 2 2 2 4" xfId="11416" xr:uid="{00000000-0005-0000-0000-000091170000}"/>
    <cellStyle name="40% - Énfasis2 3 2 2 2 2 4 2" xfId="34059" xr:uid="{00000000-0005-0000-0000-000092170000}"/>
    <cellStyle name="40% - Énfasis2 3 2 2 2 2 5" xfId="26618" xr:uid="{00000000-0005-0000-0000-000093170000}"/>
    <cellStyle name="40% - Énfasis2 3 2 2 2 3" xfId="5843" xr:uid="{00000000-0005-0000-0000-000094170000}"/>
    <cellStyle name="40% - Énfasis2 3 2 2 2 3 2" xfId="20727" xr:uid="{00000000-0005-0000-0000-000095170000}"/>
    <cellStyle name="40% - Énfasis2 3 2 2 2 3 2 2" xfId="43370" xr:uid="{00000000-0005-0000-0000-000096170000}"/>
    <cellStyle name="40% - Énfasis2 3 2 2 2 3 3" xfId="13287" xr:uid="{00000000-0005-0000-0000-000097170000}"/>
    <cellStyle name="40% - Énfasis2 3 2 2 2 3 3 2" xfId="35930" xr:uid="{00000000-0005-0000-0000-000098170000}"/>
    <cellStyle name="40% - Énfasis2 3 2 2 2 3 4" xfId="28489" xr:uid="{00000000-0005-0000-0000-000099170000}"/>
    <cellStyle name="40% - Énfasis2 3 2 2 2 4" xfId="17009" xr:uid="{00000000-0005-0000-0000-00009A170000}"/>
    <cellStyle name="40% - Énfasis2 3 2 2 2 4 2" xfId="39652" xr:uid="{00000000-0005-0000-0000-00009B170000}"/>
    <cellStyle name="40% - Énfasis2 3 2 2 2 5" xfId="9569" xr:uid="{00000000-0005-0000-0000-00009C170000}"/>
    <cellStyle name="40% - Énfasis2 3 2 2 2 5 2" xfId="32212" xr:uid="{00000000-0005-0000-0000-00009D170000}"/>
    <cellStyle name="40% - Énfasis2 3 2 2 2 6" xfId="24771" xr:uid="{00000000-0005-0000-0000-00009E170000}"/>
    <cellStyle name="40% - Énfasis2 3 2 2 3" xfId="3044" xr:uid="{00000000-0005-0000-0000-00009F170000}"/>
    <cellStyle name="40% - Énfasis2 3 2 2 3 2" xfId="6765" xr:uid="{00000000-0005-0000-0000-0000A0170000}"/>
    <cellStyle name="40% - Énfasis2 3 2 2 3 2 2" xfId="21649" xr:uid="{00000000-0005-0000-0000-0000A1170000}"/>
    <cellStyle name="40% - Énfasis2 3 2 2 3 2 2 2" xfId="44292" xr:uid="{00000000-0005-0000-0000-0000A2170000}"/>
    <cellStyle name="40% - Énfasis2 3 2 2 3 2 3" xfId="14209" xr:uid="{00000000-0005-0000-0000-0000A3170000}"/>
    <cellStyle name="40% - Énfasis2 3 2 2 3 2 3 2" xfId="36852" xr:uid="{00000000-0005-0000-0000-0000A4170000}"/>
    <cellStyle name="40% - Énfasis2 3 2 2 3 2 4" xfId="29411" xr:uid="{00000000-0005-0000-0000-0000A5170000}"/>
    <cellStyle name="40% - Énfasis2 3 2 2 3 3" xfId="17931" xr:uid="{00000000-0005-0000-0000-0000A6170000}"/>
    <cellStyle name="40% - Énfasis2 3 2 2 3 3 2" xfId="40574" xr:uid="{00000000-0005-0000-0000-0000A7170000}"/>
    <cellStyle name="40% - Énfasis2 3 2 2 3 4" xfId="10491" xr:uid="{00000000-0005-0000-0000-0000A8170000}"/>
    <cellStyle name="40% - Énfasis2 3 2 2 3 4 2" xfId="33134" xr:uid="{00000000-0005-0000-0000-0000A9170000}"/>
    <cellStyle name="40% - Énfasis2 3 2 2 3 5" xfId="25693" xr:uid="{00000000-0005-0000-0000-0000AA170000}"/>
    <cellStyle name="40% - Énfasis2 3 2 2 4" xfId="4918" xr:uid="{00000000-0005-0000-0000-0000AB170000}"/>
    <cellStyle name="40% - Énfasis2 3 2 2 4 2" xfId="19802" xr:uid="{00000000-0005-0000-0000-0000AC170000}"/>
    <cellStyle name="40% - Énfasis2 3 2 2 4 2 2" xfId="42445" xr:uid="{00000000-0005-0000-0000-0000AD170000}"/>
    <cellStyle name="40% - Énfasis2 3 2 2 4 3" xfId="12362" xr:uid="{00000000-0005-0000-0000-0000AE170000}"/>
    <cellStyle name="40% - Énfasis2 3 2 2 4 3 2" xfId="35005" xr:uid="{00000000-0005-0000-0000-0000AF170000}"/>
    <cellStyle name="40% - Énfasis2 3 2 2 4 4" xfId="27564" xr:uid="{00000000-0005-0000-0000-0000B0170000}"/>
    <cellStyle name="40% - Énfasis2 3 2 2 5" xfId="1191" xr:uid="{00000000-0005-0000-0000-0000B1170000}"/>
    <cellStyle name="40% - Énfasis2 3 2 2 5 2" xfId="16084" xr:uid="{00000000-0005-0000-0000-0000B2170000}"/>
    <cellStyle name="40% - Énfasis2 3 2 2 5 2 2" xfId="38727" xr:uid="{00000000-0005-0000-0000-0000B3170000}"/>
    <cellStyle name="40% - Énfasis2 3 2 2 5 3" xfId="23846" xr:uid="{00000000-0005-0000-0000-0000B4170000}"/>
    <cellStyle name="40% - Énfasis2 3 2 2 6" xfId="8644" xr:uid="{00000000-0005-0000-0000-0000B5170000}"/>
    <cellStyle name="40% - Énfasis2 3 2 2 6 2" xfId="31287" xr:uid="{00000000-0005-0000-0000-0000B6170000}"/>
    <cellStyle name="40% - Énfasis2 3 2 2 7" xfId="23030" xr:uid="{00000000-0005-0000-0000-0000B7170000}"/>
    <cellStyle name="40% - Énfasis2 3 2 3" xfId="1657" xr:uid="{00000000-0005-0000-0000-0000B8170000}"/>
    <cellStyle name="40% - Énfasis2 3 2 3 2" xfId="3507" xr:uid="{00000000-0005-0000-0000-0000B9170000}"/>
    <cellStyle name="40% - Énfasis2 3 2 3 2 2" xfId="7228" xr:uid="{00000000-0005-0000-0000-0000BA170000}"/>
    <cellStyle name="40% - Énfasis2 3 2 3 2 2 2" xfId="22112" xr:uid="{00000000-0005-0000-0000-0000BB170000}"/>
    <cellStyle name="40% - Énfasis2 3 2 3 2 2 2 2" xfId="44755" xr:uid="{00000000-0005-0000-0000-0000BC170000}"/>
    <cellStyle name="40% - Énfasis2 3 2 3 2 2 3" xfId="14672" xr:uid="{00000000-0005-0000-0000-0000BD170000}"/>
    <cellStyle name="40% - Énfasis2 3 2 3 2 2 3 2" xfId="37315" xr:uid="{00000000-0005-0000-0000-0000BE170000}"/>
    <cellStyle name="40% - Énfasis2 3 2 3 2 2 4" xfId="29874" xr:uid="{00000000-0005-0000-0000-0000BF170000}"/>
    <cellStyle name="40% - Énfasis2 3 2 3 2 3" xfId="18394" xr:uid="{00000000-0005-0000-0000-0000C0170000}"/>
    <cellStyle name="40% - Énfasis2 3 2 3 2 3 2" xfId="41037" xr:uid="{00000000-0005-0000-0000-0000C1170000}"/>
    <cellStyle name="40% - Énfasis2 3 2 3 2 4" xfId="10954" xr:uid="{00000000-0005-0000-0000-0000C2170000}"/>
    <cellStyle name="40% - Énfasis2 3 2 3 2 4 2" xfId="33597" xr:uid="{00000000-0005-0000-0000-0000C3170000}"/>
    <cellStyle name="40% - Énfasis2 3 2 3 2 5" xfId="26156" xr:uid="{00000000-0005-0000-0000-0000C4170000}"/>
    <cellStyle name="40% - Énfasis2 3 2 3 3" xfId="5381" xr:uid="{00000000-0005-0000-0000-0000C5170000}"/>
    <cellStyle name="40% - Énfasis2 3 2 3 3 2" xfId="20265" xr:uid="{00000000-0005-0000-0000-0000C6170000}"/>
    <cellStyle name="40% - Énfasis2 3 2 3 3 2 2" xfId="42908" xr:uid="{00000000-0005-0000-0000-0000C7170000}"/>
    <cellStyle name="40% - Énfasis2 3 2 3 3 3" xfId="12825" xr:uid="{00000000-0005-0000-0000-0000C8170000}"/>
    <cellStyle name="40% - Énfasis2 3 2 3 3 3 2" xfId="35468" xr:uid="{00000000-0005-0000-0000-0000C9170000}"/>
    <cellStyle name="40% - Énfasis2 3 2 3 3 4" xfId="28027" xr:uid="{00000000-0005-0000-0000-0000CA170000}"/>
    <cellStyle name="40% - Énfasis2 3 2 3 4" xfId="16547" xr:uid="{00000000-0005-0000-0000-0000CB170000}"/>
    <cellStyle name="40% - Énfasis2 3 2 3 4 2" xfId="39190" xr:uid="{00000000-0005-0000-0000-0000CC170000}"/>
    <cellStyle name="40% - Énfasis2 3 2 3 5" xfId="9107" xr:uid="{00000000-0005-0000-0000-0000CD170000}"/>
    <cellStyle name="40% - Énfasis2 3 2 3 5 2" xfId="31750" xr:uid="{00000000-0005-0000-0000-0000CE170000}"/>
    <cellStyle name="40% - Énfasis2 3 2 3 6" xfId="24309" xr:uid="{00000000-0005-0000-0000-0000CF170000}"/>
    <cellStyle name="40% - Énfasis2 3 2 4" xfId="2582" xr:uid="{00000000-0005-0000-0000-0000D0170000}"/>
    <cellStyle name="40% - Énfasis2 3 2 4 2" xfId="6303" xr:uid="{00000000-0005-0000-0000-0000D1170000}"/>
    <cellStyle name="40% - Énfasis2 3 2 4 2 2" xfId="21187" xr:uid="{00000000-0005-0000-0000-0000D2170000}"/>
    <cellStyle name="40% - Énfasis2 3 2 4 2 2 2" xfId="43830" xr:uid="{00000000-0005-0000-0000-0000D3170000}"/>
    <cellStyle name="40% - Énfasis2 3 2 4 2 3" xfId="13747" xr:uid="{00000000-0005-0000-0000-0000D4170000}"/>
    <cellStyle name="40% - Énfasis2 3 2 4 2 3 2" xfId="36390" xr:uid="{00000000-0005-0000-0000-0000D5170000}"/>
    <cellStyle name="40% - Énfasis2 3 2 4 2 4" xfId="28949" xr:uid="{00000000-0005-0000-0000-0000D6170000}"/>
    <cellStyle name="40% - Énfasis2 3 2 4 3" xfId="17469" xr:uid="{00000000-0005-0000-0000-0000D7170000}"/>
    <cellStyle name="40% - Énfasis2 3 2 4 3 2" xfId="40112" xr:uid="{00000000-0005-0000-0000-0000D8170000}"/>
    <cellStyle name="40% - Énfasis2 3 2 4 4" xfId="10029" xr:uid="{00000000-0005-0000-0000-0000D9170000}"/>
    <cellStyle name="40% - Énfasis2 3 2 4 4 2" xfId="32672" xr:uid="{00000000-0005-0000-0000-0000DA170000}"/>
    <cellStyle name="40% - Énfasis2 3 2 4 5" xfId="25231" xr:uid="{00000000-0005-0000-0000-0000DB170000}"/>
    <cellStyle name="40% - Énfasis2 3 2 5" xfId="4456" xr:uid="{00000000-0005-0000-0000-0000DC170000}"/>
    <cellStyle name="40% - Énfasis2 3 2 5 2" xfId="19340" xr:uid="{00000000-0005-0000-0000-0000DD170000}"/>
    <cellStyle name="40% - Énfasis2 3 2 5 2 2" xfId="41983" xr:uid="{00000000-0005-0000-0000-0000DE170000}"/>
    <cellStyle name="40% - Énfasis2 3 2 5 3" xfId="11900" xr:uid="{00000000-0005-0000-0000-0000DF170000}"/>
    <cellStyle name="40% - Énfasis2 3 2 5 3 2" xfId="34543" xr:uid="{00000000-0005-0000-0000-0000E0170000}"/>
    <cellStyle name="40% - Énfasis2 3 2 5 4" xfId="27102" xr:uid="{00000000-0005-0000-0000-0000E1170000}"/>
    <cellStyle name="40% - Énfasis2 3 2 6" xfId="726" xr:uid="{00000000-0005-0000-0000-0000E2170000}"/>
    <cellStyle name="40% - Énfasis2 3 2 6 2" xfId="15622" xr:uid="{00000000-0005-0000-0000-0000E3170000}"/>
    <cellStyle name="40% - Énfasis2 3 2 6 2 2" xfId="38265" xr:uid="{00000000-0005-0000-0000-0000E4170000}"/>
    <cellStyle name="40% - Énfasis2 3 2 6 3" xfId="23384" xr:uid="{00000000-0005-0000-0000-0000E5170000}"/>
    <cellStyle name="40% - Énfasis2 3 2 7" xfId="8182" xr:uid="{00000000-0005-0000-0000-0000E6170000}"/>
    <cellStyle name="40% - Énfasis2 3 2 7 2" xfId="30825" xr:uid="{00000000-0005-0000-0000-0000E7170000}"/>
    <cellStyle name="40% - Énfasis2 3 2 8" xfId="22874" xr:uid="{00000000-0005-0000-0000-0000E8170000}"/>
    <cellStyle name="40% - Énfasis2 3 3" xfId="254" xr:uid="{00000000-0005-0000-0000-0000E9170000}"/>
    <cellStyle name="40% - Énfasis2 3 3 2" xfId="1908" xr:uid="{00000000-0005-0000-0000-0000EA170000}"/>
    <cellStyle name="40% - Énfasis2 3 3 2 2" xfId="3758" xr:uid="{00000000-0005-0000-0000-0000EB170000}"/>
    <cellStyle name="40% - Énfasis2 3 3 2 2 2" xfId="7479" xr:uid="{00000000-0005-0000-0000-0000EC170000}"/>
    <cellStyle name="40% - Énfasis2 3 3 2 2 2 2" xfId="22363" xr:uid="{00000000-0005-0000-0000-0000ED170000}"/>
    <cellStyle name="40% - Énfasis2 3 3 2 2 2 2 2" xfId="45006" xr:uid="{00000000-0005-0000-0000-0000EE170000}"/>
    <cellStyle name="40% - Énfasis2 3 3 2 2 2 3" xfId="14923" xr:uid="{00000000-0005-0000-0000-0000EF170000}"/>
    <cellStyle name="40% - Énfasis2 3 3 2 2 2 3 2" xfId="37566" xr:uid="{00000000-0005-0000-0000-0000F0170000}"/>
    <cellStyle name="40% - Énfasis2 3 3 2 2 2 4" xfId="30125" xr:uid="{00000000-0005-0000-0000-0000F1170000}"/>
    <cellStyle name="40% - Énfasis2 3 3 2 2 3" xfId="18645" xr:uid="{00000000-0005-0000-0000-0000F2170000}"/>
    <cellStyle name="40% - Énfasis2 3 3 2 2 3 2" xfId="41288" xr:uid="{00000000-0005-0000-0000-0000F3170000}"/>
    <cellStyle name="40% - Énfasis2 3 3 2 2 4" xfId="11205" xr:uid="{00000000-0005-0000-0000-0000F4170000}"/>
    <cellStyle name="40% - Énfasis2 3 3 2 2 4 2" xfId="33848" xr:uid="{00000000-0005-0000-0000-0000F5170000}"/>
    <cellStyle name="40% - Énfasis2 3 3 2 2 5" xfId="26407" xr:uid="{00000000-0005-0000-0000-0000F6170000}"/>
    <cellStyle name="40% - Énfasis2 3 3 2 3" xfId="5632" xr:uid="{00000000-0005-0000-0000-0000F7170000}"/>
    <cellStyle name="40% - Énfasis2 3 3 2 3 2" xfId="20516" xr:uid="{00000000-0005-0000-0000-0000F8170000}"/>
    <cellStyle name="40% - Énfasis2 3 3 2 3 2 2" xfId="43159" xr:uid="{00000000-0005-0000-0000-0000F9170000}"/>
    <cellStyle name="40% - Énfasis2 3 3 2 3 3" xfId="13076" xr:uid="{00000000-0005-0000-0000-0000FA170000}"/>
    <cellStyle name="40% - Énfasis2 3 3 2 3 3 2" xfId="35719" xr:uid="{00000000-0005-0000-0000-0000FB170000}"/>
    <cellStyle name="40% - Énfasis2 3 3 2 3 4" xfId="28278" xr:uid="{00000000-0005-0000-0000-0000FC170000}"/>
    <cellStyle name="40% - Énfasis2 3 3 2 4" xfId="16798" xr:uid="{00000000-0005-0000-0000-0000FD170000}"/>
    <cellStyle name="40% - Énfasis2 3 3 2 4 2" xfId="39441" xr:uid="{00000000-0005-0000-0000-0000FE170000}"/>
    <cellStyle name="40% - Énfasis2 3 3 2 5" xfId="9358" xr:uid="{00000000-0005-0000-0000-0000FF170000}"/>
    <cellStyle name="40% - Énfasis2 3 3 2 5 2" xfId="32001" xr:uid="{00000000-0005-0000-0000-000000180000}"/>
    <cellStyle name="40% - Énfasis2 3 3 2 6" xfId="24560" xr:uid="{00000000-0005-0000-0000-000001180000}"/>
    <cellStyle name="40% - Énfasis2 3 3 3" xfId="2833" xr:uid="{00000000-0005-0000-0000-000002180000}"/>
    <cellStyle name="40% - Énfasis2 3 3 3 2" xfId="6554" xr:uid="{00000000-0005-0000-0000-000003180000}"/>
    <cellStyle name="40% - Énfasis2 3 3 3 2 2" xfId="21438" xr:uid="{00000000-0005-0000-0000-000004180000}"/>
    <cellStyle name="40% - Énfasis2 3 3 3 2 2 2" xfId="44081" xr:uid="{00000000-0005-0000-0000-000005180000}"/>
    <cellStyle name="40% - Énfasis2 3 3 3 2 3" xfId="13998" xr:uid="{00000000-0005-0000-0000-000006180000}"/>
    <cellStyle name="40% - Énfasis2 3 3 3 2 3 2" xfId="36641" xr:uid="{00000000-0005-0000-0000-000007180000}"/>
    <cellStyle name="40% - Énfasis2 3 3 3 2 4" xfId="29200" xr:uid="{00000000-0005-0000-0000-000008180000}"/>
    <cellStyle name="40% - Énfasis2 3 3 3 3" xfId="17720" xr:uid="{00000000-0005-0000-0000-000009180000}"/>
    <cellStyle name="40% - Énfasis2 3 3 3 3 2" xfId="40363" xr:uid="{00000000-0005-0000-0000-00000A180000}"/>
    <cellStyle name="40% - Énfasis2 3 3 3 4" xfId="10280" xr:uid="{00000000-0005-0000-0000-00000B180000}"/>
    <cellStyle name="40% - Énfasis2 3 3 3 4 2" xfId="32923" xr:uid="{00000000-0005-0000-0000-00000C180000}"/>
    <cellStyle name="40% - Énfasis2 3 3 3 5" xfId="25482" xr:uid="{00000000-0005-0000-0000-00000D180000}"/>
    <cellStyle name="40% - Énfasis2 3 3 4" xfId="4707" xr:uid="{00000000-0005-0000-0000-00000E180000}"/>
    <cellStyle name="40% - Énfasis2 3 3 4 2" xfId="19591" xr:uid="{00000000-0005-0000-0000-00000F180000}"/>
    <cellStyle name="40% - Énfasis2 3 3 4 2 2" xfId="42234" xr:uid="{00000000-0005-0000-0000-000010180000}"/>
    <cellStyle name="40% - Énfasis2 3 3 4 3" xfId="12151" xr:uid="{00000000-0005-0000-0000-000011180000}"/>
    <cellStyle name="40% - Énfasis2 3 3 4 3 2" xfId="34794" xr:uid="{00000000-0005-0000-0000-000012180000}"/>
    <cellStyle name="40% - Énfasis2 3 3 4 4" xfId="27353" xr:uid="{00000000-0005-0000-0000-000013180000}"/>
    <cellStyle name="40% - Énfasis2 3 3 5" xfId="980" xr:uid="{00000000-0005-0000-0000-000014180000}"/>
    <cellStyle name="40% - Énfasis2 3 3 5 2" xfId="15873" xr:uid="{00000000-0005-0000-0000-000015180000}"/>
    <cellStyle name="40% - Énfasis2 3 3 5 2 2" xfId="38516" xr:uid="{00000000-0005-0000-0000-000016180000}"/>
    <cellStyle name="40% - Énfasis2 3 3 5 3" xfId="23635" xr:uid="{00000000-0005-0000-0000-000017180000}"/>
    <cellStyle name="40% - Énfasis2 3 3 6" xfId="8433" xr:uid="{00000000-0005-0000-0000-000018180000}"/>
    <cellStyle name="40% - Énfasis2 3 3 6 2" xfId="31076" xr:uid="{00000000-0005-0000-0000-000019180000}"/>
    <cellStyle name="40% - Énfasis2 3 3 7" xfId="22952" xr:uid="{00000000-0005-0000-0000-00001A180000}"/>
    <cellStyle name="40% - Énfasis2 3 4" xfId="1446" xr:uid="{00000000-0005-0000-0000-00001B180000}"/>
    <cellStyle name="40% - Énfasis2 3 4 2" xfId="3296" xr:uid="{00000000-0005-0000-0000-00001C180000}"/>
    <cellStyle name="40% - Énfasis2 3 4 2 2" xfId="7017" xr:uid="{00000000-0005-0000-0000-00001D180000}"/>
    <cellStyle name="40% - Énfasis2 3 4 2 2 2" xfId="21901" xr:uid="{00000000-0005-0000-0000-00001E180000}"/>
    <cellStyle name="40% - Énfasis2 3 4 2 2 2 2" xfId="44544" xr:uid="{00000000-0005-0000-0000-00001F180000}"/>
    <cellStyle name="40% - Énfasis2 3 4 2 2 3" xfId="14461" xr:uid="{00000000-0005-0000-0000-000020180000}"/>
    <cellStyle name="40% - Énfasis2 3 4 2 2 3 2" xfId="37104" xr:uid="{00000000-0005-0000-0000-000021180000}"/>
    <cellStyle name="40% - Énfasis2 3 4 2 2 4" xfId="29663" xr:uid="{00000000-0005-0000-0000-000022180000}"/>
    <cellStyle name="40% - Énfasis2 3 4 2 3" xfId="18183" xr:uid="{00000000-0005-0000-0000-000023180000}"/>
    <cellStyle name="40% - Énfasis2 3 4 2 3 2" xfId="40826" xr:uid="{00000000-0005-0000-0000-000024180000}"/>
    <cellStyle name="40% - Énfasis2 3 4 2 4" xfId="10743" xr:uid="{00000000-0005-0000-0000-000025180000}"/>
    <cellStyle name="40% - Énfasis2 3 4 2 4 2" xfId="33386" xr:uid="{00000000-0005-0000-0000-000026180000}"/>
    <cellStyle name="40% - Énfasis2 3 4 2 5" xfId="25945" xr:uid="{00000000-0005-0000-0000-000027180000}"/>
    <cellStyle name="40% - Énfasis2 3 4 3" xfId="5170" xr:uid="{00000000-0005-0000-0000-000028180000}"/>
    <cellStyle name="40% - Énfasis2 3 4 3 2" xfId="20054" xr:uid="{00000000-0005-0000-0000-000029180000}"/>
    <cellStyle name="40% - Énfasis2 3 4 3 2 2" xfId="42697" xr:uid="{00000000-0005-0000-0000-00002A180000}"/>
    <cellStyle name="40% - Énfasis2 3 4 3 3" xfId="12614" xr:uid="{00000000-0005-0000-0000-00002B180000}"/>
    <cellStyle name="40% - Énfasis2 3 4 3 3 2" xfId="35257" xr:uid="{00000000-0005-0000-0000-00002C180000}"/>
    <cellStyle name="40% - Énfasis2 3 4 3 4" xfId="27816" xr:uid="{00000000-0005-0000-0000-00002D180000}"/>
    <cellStyle name="40% - Énfasis2 3 4 4" xfId="16336" xr:uid="{00000000-0005-0000-0000-00002E180000}"/>
    <cellStyle name="40% - Énfasis2 3 4 4 2" xfId="38979" xr:uid="{00000000-0005-0000-0000-00002F180000}"/>
    <cellStyle name="40% - Énfasis2 3 4 5" xfId="8896" xr:uid="{00000000-0005-0000-0000-000030180000}"/>
    <cellStyle name="40% - Énfasis2 3 4 5 2" xfId="31539" xr:uid="{00000000-0005-0000-0000-000031180000}"/>
    <cellStyle name="40% - Énfasis2 3 4 6" xfId="24098" xr:uid="{00000000-0005-0000-0000-000032180000}"/>
    <cellStyle name="40% - Énfasis2 3 5" xfId="2371" xr:uid="{00000000-0005-0000-0000-000033180000}"/>
    <cellStyle name="40% - Énfasis2 3 5 2" xfId="6092" xr:uid="{00000000-0005-0000-0000-000034180000}"/>
    <cellStyle name="40% - Énfasis2 3 5 2 2" xfId="20976" xr:uid="{00000000-0005-0000-0000-000035180000}"/>
    <cellStyle name="40% - Énfasis2 3 5 2 2 2" xfId="43619" xr:uid="{00000000-0005-0000-0000-000036180000}"/>
    <cellStyle name="40% - Énfasis2 3 5 2 3" xfId="13536" xr:uid="{00000000-0005-0000-0000-000037180000}"/>
    <cellStyle name="40% - Énfasis2 3 5 2 3 2" xfId="36179" xr:uid="{00000000-0005-0000-0000-000038180000}"/>
    <cellStyle name="40% - Énfasis2 3 5 2 4" xfId="28738" xr:uid="{00000000-0005-0000-0000-000039180000}"/>
    <cellStyle name="40% - Énfasis2 3 5 3" xfId="17258" xr:uid="{00000000-0005-0000-0000-00003A180000}"/>
    <cellStyle name="40% - Énfasis2 3 5 3 2" xfId="39901" xr:uid="{00000000-0005-0000-0000-00003B180000}"/>
    <cellStyle name="40% - Énfasis2 3 5 4" xfId="9818" xr:uid="{00000000-0005-0000-0000-00003C180000}"/>
    <cellStyle name="40% - Énfasis2 3 5 4 2" xfId="32461" xr:uid="{00000000-0005-0000-0000-00003D180000}"/>
    <cellStyle name="40% - Énfasis2 3 5 5" xfId="25020" xr:uid="{00000000-0005-0000-0000-00003E180000}"/>
    <cellStyle name="40% - Énfasis2 3 6" xfId="4245" xr:uid="{00000000-0005-0000-0000-00003F180000}"/>
    <cellStyle name="40% - Énfasis2 3 6 2" xfId="19129" xr:uid="{00000000-0005-0000-0000-000040180000}"/>
    <cellStyle name="40% - Énfasis2 3 6 2 2" xfId="41772" xr:uid="{00000000-0005-0000-0000-000041180000}"/>
    <cellStyle name="40% - Énfasis2 3 6 3" xfId="11689" xr:uid="{00000000-0005-0000-0000-000042180000}"/>
    <cellStyle name="40% - Énfasis2 3 6 3 2" xfId="34332" xr:uid="{00000000-0005-0000-0000-000043180000}"/>
    <cellStyle name="40% - Énfasis2 3 6 4" xfId="26891" xr:uid="{00000000-0005-0000-0000-000044180000}"/>
    <cellStyle name="40% - Énfasis2 3 7" xfId="513" xr:uid="{00000000-0005-0000-0000-000045180000}"/>
    <cellStyle name="40% - Énfasis2 3 7 2" xfId="15411" xr:uid="{00000000-0005-0000-0000-000046180000}"/>
    <cellStyle name="40% - Énfasis2 3 7 2 2" xfId="38054" xr:uid="{00000000-0005-0000-0000-000047180000}"/>
    <cellStyle name="40% - Énfasis2 3 7 3" xfId="23174" xr:uid="{00000000-0005-0000-0000-000048180000}"/>
    <cellStyle name="40% - Énfasis2 3 8" xfId="7971" xr:uid="{00000000-0005-0000-0000-000049180000}"/>
    <cellStyle name="40% - Énfasis2 3 8 2" xfId="30614" xr:uid="{00000000-0005-0000-0000-00004A180000}"/>
    <cellStyle name="40% - Énfasis2 3 9" xfId="22796" xr:uid="{00000000-0005-0000-0000-00004B180000}"/>
    <cellStyle name="40% - Énfasis2 4" xfId="129" xr:uid="{00000000-0005-0000-0000-00004C180000}"/>
    <cellStyle name="40% - Énfasis2 4 2" xfId="293" xr:uid="{00000000-0005-0000-0000-00004D180000}"/>
    <cellStyle name="40% - Énfasis2 4 2 2" xfId="2014" xr:uid="{00000000-0005-0000-0000-00004E180000}"/>
    <cellStyle name="40% - Énfasis2 4 2 2 2" xfId="3864" xr:uid="{00000000-0005-0000-0000-00004F180000}"/>
    <cellStyle name="40% - Énfasis2 4 2 2 2 2" xfId="7585" xr:uid="{00000000-0005-0000-0000-000050180000}"/>
    <cellStyle name="40% - Énfasis2 4 2 2 2 2 2" xfId="22469" xr:uid="{00000000-0005-0000-0000-000051180000}"/>
    <cellStyle name="40% - Énfasis2 4 2 2 2 2 2 2" xfId="45112" xr:uid="{00000000-0005-0000-0000-000052180000}"/>
    <cellStyle name="40% - Énfasis2 4 2 2 2 2 3" xfId="15029" xr:uid="{00000000-0005-0000-0000-000053180000}"/>
    <cellStyle name="40% - Énfasis2 4 2 2 2 2 3 2" xfId="37672" xr:uid="{00000000-0005-0000-0000-000054180000}"/>
    <cellStyle name="40% - Énfasis2 4 2 2 2 2 4" xfId="30231" xr:uid="{00000000-0005-0000-0000-000055180000}"/>
    <cellStyle name="40% - Énfasis2 4 2 2 2 3" xfId="18751" xr:uid="{00000000-0005-0000-0000-000056180000}"/>
    <cellStyle name="40% - Énfasis2 4 2 2 2 3 2" xfId="41394" xr:uid="{00000000-0005-0000-0000-000057180000}"/>
    <cellStyle name="40% - Énfasis2 4 2 2 2 4" xfId="11311" xr:uid="{00000000-0005-0000-0000-000058180000}"/>
    <cellStyle name="40% - Énfasis2 4 2 2 2 4 2" xfId="33954" xr:uid="{00000000-0005-0000-0000-000059180000}"/>
    <cellStyle name="40% - Énfasis2 4 2 2 2 5" xfId="26513" xr:uid="{00000000-0005-0000-0000-00005A180000}"/>
    <cellStyle name="40% - Énfasis2 4 2 2 3" xfId="5738" xr:uid="{00000000-0005-0000-0000-00005B180000}"/>
    <cellStyle name="40% - Énfasis2 4 2 2 3 2" xfId="20622" xr:uid="{00000000-0005-0000-0000-00005C180000}"/>
    <cellStyle name="40% - Énfasis2 4 2 2 3 2 2" xfId="43265" xr:uid="{00000000-0005-0000-0000-00005D180000}"/>
    <cellStyle name="40% - Énfasis2 4 2 2 3 3" xfId="13182" xr:uid="{00000000-0005-0000-0000-00005E180000}"/>
    <cellStyle name="40% - Énfasis2 4 2 2 3 3 2" xfId="35825" xr:uid="{00000000-0005-0000-0000-00005F180000}"/>
    <cellStyle name="40% - Énfasis2 4 2 2 3 4" xfId="28384" xr:uid="{00000000-0005-0000-0000-000060180000}"/>
    <cellStyle name="40% - Énfasis2 4 2 2 4" xfId="16904" xr:uid="{00000000-0005-0000-0000-000061180000}"/>
    <cellStyle name="40% - Énfasis2 4 2 2 4 2" xfId="39547" xr:uid="{00000000-0005-0000-0000-000062180000}"/>
    <cellStyle name="40% - Énfasis2 4 2 2 5" xfId="9464" xr:uid="{00000000-0005-0000-0000-000063180000}"/>
    <cellStyle name="40% - Énfasis2 4 2 2 5 2" xfId="32107" xr:uid="{00000000-0005-0000-0000-000064180000}"/>
    <cellStyle name="40% - Énfasis2 4 2 2 6" xfId="24666" xr:uid="{00000000-0005-0000-0000-000065180000}"/>
    <cellStyle name="40% - Énfasis2 4 2 3" xfId="2939" xr:uid="{00000000-0005-0000-0000-000066180000}"/>
    <cellStyle name="40% - Énfasis2 4 2 3 2" xfId="6660" xr:uid="{00000000-0005-0000-0000-000067180000}"/>
    <cellStyle name="40% - Énfasis2 4 2 3 2 2" xfId="21544" xr:uid="{00000000-0005-0000-0000-000068180000}"/>
    <cellStyle name="40% - Énfasis2 4 2 3 2 2 2" xfId="44187" xr:uid="{00000000-0005-0000-0000-000069180000}"/>
    <cellStyle name="40% - Énfasis2 4 2 3 2 3" xfId="14104" xr:uid="{00000000-0005-0000-0000-00006A180000}"/>
    <cellStyle name="40% - Énfasis2 4 2 3 2 3 2" xfId="36747" xr:uid="{00000000-0005-0000-0000-00006B180000}"/>
    <cellStyle name="40% - Énfasis2 4 2 3 2 4" xfId="29306" xr:uid="{00000000-0005-0000-0000-00006C180000}"/>
    <cellStyle name="40% - Énfasis2 4 2 3 3" xfId="17826" xr:uid="{00000000-0005-0000-0000-00006D180000}"/>
    <cellStyle name="40% - Énfasis2 4 2 3 3 2" xfId="40469" xr:uid="{00000000-0005-0000-0000-00006E180000}"/>
    <cellStyle name="40% - Énfasis2 4 2 3 4" xfId="10386" xr:uid="{00000000-0005-0000-0000-00006F180000}"/>
    <cellStyle name="40% - Énfasis2 4 2 3 4 2" xfId="33029" xr:uid="{00000000-0005-0000-0000-000070180000}"/>
    <cellStyle name="40% - Énfasis2 4 2 3 5" xfId="25588" xr:uid="{00000000-0005-0000-0000-000071180000}"/>
    <cellStyle name="40% - Énfasis2 4 2 4" xfId="4813" xr:uid="{00000000-0005-0000-0000-000072180000}"/>
    <cellStyle name="40% - Énfasis2 4 2 4 2" xfId="19697" xr:uid="{00000000-0005-0000-0000-000073180000}"/>
    <cellStyle name="40% - Énfasis2 4 2 4 2 2" xfId="42340" xr:uid="{00000000-0005-0000-0000-000074180000}"/>
    <cellStyle name="40% - Énfasis2 4 2 4 3" xfId="12257" xr:uid="{00000000-0005-0000-0000-000075180000}"/>
    <cellStyle name="40% - Énfasis2 4 2 4 3 2" xfId="34900" xr:uid="{00000000-0005-0000-0000-000076180000}"/>
    <cellStyle name="40% - Énfasis2 4 2 4 4" xfId="27459" xr:uid="{00000000-0005-0000-0000-000077180000}"/>
    <cellStyle name="40% - Énfasis2 4 2 5" xfId="1086" xr:uid="{00000000-0005-0000-0000-000078180000}"/>
    <cellStyle name="40% - Énfasis2 4 2 5 2" xfId="15979" xr:uid="{00000000-0005-0000-0000-000079180000}"/>
    <cellStyle name="40% - Énfasis2 4 2 5 2 2" xfId="38622" xr:uid="{00000000-0005-0000-0000-00007A180000}"/>
    <cellStyle name="40% - Énfasis2 4 2 5 3" xfId="23741" xr:uid="{00000000-0005-0000-0000-00007B180000}"/>
    <cellStyle name="40% - Énfasis2 4 2 6" xfId="8539" xr:uid="{00000000-0005-0000-0000-00007C180000}"/>
    <cellStyle name="40% - Énfasis2 4 2 6 2" xfId="31182" xr:uid="{00000000-0005-0000-0000-00007D180000}"/>
    <cellStyle name="40% - Énfasis2 4 2 7" xfId="22991" xr:uid="{00000000-0005-0000-0000-00007E180000}"/>
    <cellStyle name="40% - Énfasis2 4 3" xfId="1552" xr:uid="{00000000-0005-0000-0000-00007F180000}"/>
    <cellStyle name="40% - Énfasis2 4 3 2" xfId="3402" xr:uid="{00000000-0005-0000-0000-000080180000}"/>
    <cellStyle name="40% - Énfasis2 4 3 2 2" xfId="7123" xr:uid="{00000000-0005-0000-0000-000081180000}"/>
    <cellStyle name="40% - Énfasis2 4 3 2 2 2" xfId="22007" xr:uid="{00000000-0005-0000-0000-000082180000}"/>
    <cellStyle name="40% - Énfasis2 4 3 2 2 2 2" xfId="44650" xr:uid="{00000000-0005-0000-0000-000083180000}"/>
    <cellStyle name="40% - Énfasis2 4 3 2 2 3" xfId="14567" xr:uid="{00000000-0005-0000-0000-000084180000}"/>
    <cellStyle name="40% - Énfasis2 4 3 2 2 3 2" xfId="37210" xr:uid="{00000000-0005-0000-0000-000085180000}"/>
    <cellStyle name="40% - Énfasis2 4 3 2 2 4" xfId="29769" xr:uid="{00000000-0005-0000-0000-000086180000}"/>
    <cellStyle name="40% - Énfasis2 4 3 2 3" xfId="18289" xr:uid="{00000000-0005-0000-0000-000087180000}"/>
    <cellStyle name="40% - Énfasis2 4 3 2 3 2" xfId="40932" xr:uid="{00000000-0005-0000-0000-000088180000}"/>
    <cellStyle name="40% - Énfasis2 4 3 2 4" xfId="10849" xr:uid="{00000000-0005-0000-0000-000089180000}"/>
    <cellStyle name="40% - Énfasis2 4 3 2 4 2" xfId="33492" xr:uid="{00000000-0005-0000-0000-00008A180000}"/>
    <cellStyle name="40% - Énfasis2 4 3 2 5" xfId="26051" xr:uid="{00000000-0005-0000-0000-00008B180000}"/>
    <cellStyle name="40% - Énfasis2 4 3 3" xfId="5276" xr:uid="{00000000-0005-0000-0000-00008C180000}"/>
    <cellStyle name="40% - Énfasis2 4 3 3 2" xfId="20160" xr:uid="{00000000-0005-0000-0000-00008D180000}"/>
    <cellStyle name="40% - Énfasis2 4 3 3 2 2" xfId="42803" xr:uid="{00000000-0005-0000-0000-00008E180000}"/>
    <cellStyle name="40% - Énfasis2 4 3 3 3" xfId="12720" xr:uid="{00000000-0005-0000-0000-00008F180000}"/>
    <cellStyle name="40% - Énfasis2 4 3 3 3 2" xfId="35363" xr:uid="{00000000-0005-0000-0000-000090180000}"/>
    <cellStyle name="40% - Énfasis2 4 3 3 4" xfId="27922" xr:uid="{00000000-0005-0000-0000-000091180000}"/>
    <cellStyle name="40% - Énfasis2 4 3 4" xfId="16442" xr:uid="{00000000-0005-0000-0000-000092180000}"/>
    <cellStyle name="40% - Énfasis2 4 3 4 2" xfId="39085" xr:uid="{00000000-0005-0000-0000-000093180000}"/>
    <cellStyle name="40% - Énfasis2 4 3 5" xfId="9002" xr:uid="{00000000-0005-0000-0000-000094180000}"/>
    <cellStyle name="40% - Énfasis2 4 3 5 2" xfId="31645" xr:uid="{00000000-0005-0000-0000-000095180000}"/>
    <cellStyle name="40% - Énfasis2 4 3 6" xfId="24204" xr:uid="{00000000-0005-0000-0000-000096180000}"/>
    <cellStyle name="40% - Énfasis2 4 4" xfId="2477" xr:uid="{00000000-0005-0000-0000-000097180000}"/>
    <cellStyle name="40% - Énfasis2 4 4 2" xfId="6198" xr:uid="{00000000-0005-0000-0000-000098180000}"/>
    <cellStyle name="40% - Énfasis2 4 4 2 2" xfId="21082" xr:uid="{00000000-0005-0000-0000-000099180000}"/>
    <cellStyle name="40% - Énfasis2 4 4 2 2 2" xfId="43725" xr:uid="{00000000-0005-0000-0000-00009A180000}"/>
    <cellStyle name="40% - Énfasis2 4 4 2 3" xfId="13642" xr:uid="{00000000-0005-0000-0000-00009B180000}"/>
    <cellStyle name="40% - Énfasis2 4 4 2 3 2" xfId="36285" xr:uid="{00000000-0005-0000-0000-00009C180000}"/>
    <cellStyle name="40% - Énfasis2 4 4 2 4" xfId="28844" xr:uid="{00000000-0005-0000-0000-00009D180000}"/>
    <cellStyle name="40% - Énfasis2 4 4 3" xfId="17364" xr:uid="{00000000-0005-0000-0000-00009E180000}"/>
    <cellStyle name="40% - Énfasis2 4 4 3 2" xfId="40007" xr:uid="{00000000-0005-0000-0000-00009F180000}"/>
    <cellStyle name="40% - Énfasis2 4 4 4" xfId="9924" xr:uid="{00000000-0005-0000-0000-0000A0180000}"/>
    <cellStyle name="40% - Énfasis2 4 4 4 2" xfId="32567" xr:uid="{00000000-0005-0000-0000-0000A1180000}"/>
    <cellStyle name="40% - Énfasis2 4 4 5" xfId="25126" xr:uid="{00000000-0005-0000-0000-0000A2180000}"/>
    <cellStyle name="40% - Énfasis2 4 5" xfId="4351" xr:uid="{00000000-0005-0000-0000-0000A3180000}"/>
    <cellStyle name="40% - Énfasis2 4 5 2" xfId="19235" xr:uid="{00000000-0005-0000-0000-0000A4180000}"/>
    <cellStyle name="40% - Énfasis2 4 5 2 2" xfId="41878" xr:uid="{00000000-0005-0000-0000-0000A5180000}"/>
    <cellStyle name="40% - Énfasis2 4 5 3" xfId="11795" xr:uid="{00000000-0005-0000-0000-0000A6180000}"/>
    <cellStyle name="40% - Énfasis2 4 5 3 2" xfId="34438" xr:uid="{00000000-0005-0000-0000-0000A7180000}"/>
    <cellStyle name="40% - Énfasis2 4 5 4" xfId="26997" xr:uid="{00000000-0005-0000-0000-0000A8180000}"/>
    <cellStyle name="40% - Énfasis2 4 6" xfId="619" xr:uid="{00000000-0005-0000-0000-0000A9180000}"/>
    <cellStyle name="40% - Énfasis2 4 6 2" xfId="15517" xr:uid="{00000000-0005-0000-0000-0000AA180000}"/>
    <cellStyle name="40% - Énfasis2 4 6 2 2" xfId="38160" xr:uid="{00000000-0005-0000-0000-0000AB180000}"/>
    <cellStyle name="40% - Énfasis2 4 6 3" xfId="23279" xr:uid="{00000000-0005-0000-0000-0000AC180000}"/>
    <cellStyle name="40% - Énfasis2 4 7" xfId="8077" xr:uid="{00000000-0005-0000-0000-0000AD180000}"/>
    <cellStyle name="40% - Énfasis2 4 7 2" xfId="30720" xr:uid="{00000000-0005-0000-0000-0000AE180000}"/>
    <cellStyle name="40% - Énfasis2 4 8" xfId="22835" xr:uid="{00000000-0005-0000-0000-0000AF180000}"/>
    <cellStyle name="40% - Énfasis2 5" xfId="212" xr:uid="{00000000-0005-0000-0000-0000B0180000}"/>
    <cellStyle name="40% - Énfasis2 5 2" xfId="1803" xr:uid="{00000000-0005-0000-0000-0000B1180000}"/>
    <cellStyle name="40% - Énfasis2 5 2 2" xfId="3653" xr:uid="{00000000-0005-0000-0000-0000B2180000}"/>
    <cellStyle name="40% - Énfasis2 5 2 2 2" xfId="7374" xr:uid="{00000000-0005-0000-0000-0000B3180000}"/>
    <cellStyle name="40% - Énfasis2 5 2 2 2 2" xfId="22258" xr:uid="{00000000-0005-0000-0000-0000B4180000}"/>
    <cellStyle name="40% - Énfasis2 5 2 2 2 2 2" xfId="44901" xr:uid="{00000000-0005-0000-0000-0000B5180000}"/>
    <cellStyle name="40% - Énfasis2 5 2 2 2 3" xfId="14818" xr:uid="{00000000-0005-0000-0000-0000B6180000}"/>
    <cellStyle name="40% - Énfasis2 5 2 2 2 3 2" xfId="37461" xr:uid="{00000000-0005-0000-0000-0000B7180000}"/>
    <cellStyle name="40% - Énfasis2 5 2 2 2 4" xfId="30020" xr:uid="{00000000-0005-0000-0000-0000B8180000}"/>
    <cellStyle name="40% - Énfasis2 5 2 2 3" xfId="18540" xr:uid="{00000000-0005-0000-0000-0000B9180000}"/>
    <cellStyle name="40% - Énfasis2 5 2 2 3 2" xfId="41183" xr:uid="{00000000-0005-0000-0000-0000BA180000}"/>
    <cellStyle name="40% - Énfasis2 5 2 2 4" xfId="11100" xr:uid="{00000000-0005-0000-0000-0000BB180000}"/>
    <cellStyle name="40% - Énfasis2 5 2 2 4 2" xfId="33743" xr:uid="{00000000-0005-0000-0000-0000BC180000}"/>
    <cellStyle name="40% - Énfasis2 5 2 2 5" xfId="26302" xr:uid="{00000000-0005-0000-0000-0000BD180000}"/>
    <cellStyle name="40% - Énfasis2 5 2 3" xfId="5527" xr:uid="{00000000-0005-0000-0000-0000BE180000}"/>
    <cellStyle name="40% - Énfasis2 5 2 3 2" xfId="20411" xr:uid="{00000000-0005-0000-0000-0000BF180000}"/>
    <cellStyle name="40% - Énfasis2 5 2 3 2 2" xfId="43054" xr:uid="{00000000-0005-0000-0000-0000C0180000}"/>
    <cellStyle name="40% - Énfasis2 5 2 3 3" xfId="12971" xr:uid="{00000000-0005-0000-0000-0000C1180000}"/>
    <cellStyle name="40% - Énfasis2 5 2 3 3 2" xfId="35614" xr:uid="{00000000-0005-0000-0000-0000C2180000}"/>
    <cellStyle name="40% - Énfasis2 5 2 3 4" xfId="28173" xr:uid="{00000000-0005-0000-0000-0000C3180000}"/>
    <cellStyle name="40% - Énfasis2 5 2 4" xfId="16693" xr:uid="{00000000-0005-0000-0000-0000C4180000}"/>
    <cellStyle name="40% - Énfasis2 5 2 4 2" xfId="39336" xr:uid="{00000000-0005-0000-0000-0000C5180000}"/>
    <cellStyle name="40% - Énfasis2 5 2 5" xfId="9253" xr:uid="{00000000-0005-0000-0000-0000C6180000}"/>
    <cellStyle name="40% - Énfasis2 5 2 5 2" xfId="31896" xr:uid="{00000000-0005-0000-0000-0000C7180000}"/>
    <cellStyle name="40% - Énfasis2 5 2 6" xfId="24455" xr:uid="{00000000-0005-0000-0000-0000C8180000}"/>
    <cellStyle name="40% - Énfasis2 5 3" xfId="2728" xr:uid="{00000000-0005-0000-0000-0000C9180000}"/>
    <cellStyle name="40% - Énfasis2 5 3 2" xfId="6449" xr:uid="{00000000-0005-0000-0000-0000CA180000}"/>
    <cellStyle name="40% - Énfasis2 5 3 2 2" xfId="21333" xr:uid="{00000000-0005-0000-0000-0000CB180000}"/>
    <cellStyle name="40% - Énfasis2 5 3 2 2 2" xfId="43976" xr:uid="{00000000-0005-0000-0000-0000CC180000}"/>
    <cellStyle name="40% - Énfasis2 5 3 2 3" xfId="13893" xr:uid="{00000000-0005-0000-0000-0000CD180000}"/>
    <cellStyle name="40% - Énfasis2 5 3 2 3 2" xfId="36536" xr:uid="{00000000-0005-0000-0000-0000CE180000}"/>
    <cellStyle name="40% - Énfasis2 5 3 2 4" xfId="29095" xr:uid="{00000000-0005-0000-0000-0000CF180000}"/>
    <cellStyle name="40% - Énfasis2 5 3 3" xfId="17615" xr:uid="{00000000-0005-0000-0000-0000D0180000}"/>
    <cellStyle name="40% - Énfasis2 5 3 3 2" xfId="40258" xr:uid="{00000000-0005-0000-0000-0000D1180000}"/>
    <cellStyle name="40% - Énfasis2 5 3 4" xfId="10175" xr:uid="{00000000-0005-0000-0000-0000D2180000}"/>
    <cellStyle name="40% - Énfasis2 5 3 4 2" xfId="32818" xr:uid="{00000000-0005-0000-0000-0000D3180000}"/>
    <cellStyle name="40% - Énfasis2 5 3 5" xfId="25377" xr:uid="{00000000-0005-0000-0000-0000D4180000}"/>
    <cellStyle name="40% - Énfasis2 5 4" xfId="4602" xr:uid="{00000000-0005-0000-0000-0000D5180000}"/>
    <cellStyle name="40% - Énfasis2 5 4 2" xfId="19486" xr:uid="{00000000-0005-0000-0000-0000D6180000}"/>
    <cellStyle name="40% - Énfasis2 5 4 2 2" xfId="42129" xr:uid="{00000000-0005-0000-0000-0000D7180000}"/>
    <cellStyle name="40% - Énfasis2 5 4 3" xfId="12046" xr:uid="{00000000-0005-0000-0000-0000D8180000}"/>
    <cellStyle name="40% - Énfasis2 5 4 3 2" xfId="34689" xr:uid="{00000000-0005-0000-0000-0000D9180000}"/>
    <cellStyle name="40% - Énfasis2 5 4 4" xfId="27248" xr:uid="{00000000-0005-0000-0000-0000DA180000}"/>
    <cellStyle name="40% - Énfasis2 5 5" xfId="872" xr:uid="{00000000-0005-0000-0000-0000DB180000}"/>
    <cellStyle name="40% - Énfasis2 5 5 2" xfId="15768" xr:uid="{00000000-0005-0000-0000-0000DC180000}"/>
    <cellStyle name="40% - Énfasis2 5 5 2 2" xfId="38411" xr:uid="{00000000-0005-0000-0000-0000DD180000}"/>
    <cellStyle name="40% - Énfasis2 5 5 3" xfId="23530" xr:uid="{00000000-0005-0000-0000-0000DE180000}"/>
    <cellStyle name="40% - Énfasis2 5 6" xfId="8328" xr:uid="{00000000-0005-0000-0000-0000DF180000}"/>
    <cellStyle name="40% - Énfasis2 5 6 2" xfId="30971" xr:uid="{00000000-0005-0000-0000-0000E0180000}"/>
    <cellStyle name="40% - Énfasis2 5 7" xfId="22913" xr:uid="{00000000-0005-0000-0000-0000E1180000}"/>
    <cellStyle name="40% - Énfasis2 6" xfId="1338" xr:uid="{00000000-0005-0000-0000-0000E2180000}"/>
    <cellStyle name="40% - Énfasis2 6 2" xfId="3191" xr:uid="{00000000-0005-0000-0000-0000E3180000}"/>
    <cellStyle name="40% - Énfasis2 6 2 2" xfId="6912" xr:uid="{00000000-0005-0000-0000-0000E4180000}"/>
    <cellStyle name="40% - Énfasis2 6 2 2 2" xfId="21796" xr:uid="{00000000-0005-0000-0000-0000E5180000}"/>
    <cellStyle name="40% - Énfasis2 6 2 2 2 2" xfId="44439" xr:uid="{00000000-0005-0000-0000-0000E6180000}"/>
    <cellStyle name="40% - Énfasis2 6 2 2 3" xfId="14356" xr:uid="{00000000-0005-0000-0000-0000E7180000}"/>
    <cellStyle name="40% - Énfasis2 6 2 2 3 2" xfId="36999" xr:uid="{00000000-0005-0000-0000-0000E8180000}"/>
    <cellStyle name="40% - Énfasis2 6 2 2 4" xfId="29558" xr:uid="{00000000-0005-0000-0000-0000E9180000}"/>
    <cellStyle name="40% - Énfasis2 6 2 3" xfId="18078" xr:uid="{00000000-0005-0000-0000-0000EA180000}"/>
    <cellStyle name="40% - Énfasis2 6 2 3 2" xfId="40721" xr:uid="{00000000-0005-0000-0000-0000EB180000}"/>
    <cellStyle name="40% - Énfasis2 6 2 4" xfId="10638" xr:uid="{00000000-0005-0000-0000-0000EC180000}"/>
    <cellStyle name="40% - Énfasis2 6 2 4 2" xfId="33281" xr:uid="{00000000-0005-0000-0000-0000ED180000}"/>
    <cellStyle name="40% - Énfasis2 6 2 5" xfId="25840" xr:uid="{00000000-0005-0000-0000-0000EE180000}"/>
    <cellStyle name="40% - Énfasis2 6 3" xfId="5065" xr:uid="{00000000-0005-0000-0000-0000EF180000}"/>
    <cellStyle name="40% - Énfasis2 6 3 2" xfId="19949" xr:uid="{00000000-0005-0000-0000-0000F0180000}"/>
    <cellStyle name="40% - Énfasis2 6 3 2 2" xfId="42592" xr:uid="{00000000-0005-0000-0000-0000F1180000}"/>
    <cellStyle name="40% - Énfasis2 6 3 3" xfId="12509" xr:uid="{00000000-0005-0000-0000-0000F2180000}"/>
    <cellStyle name="40% - Énfasis2 6 3 3 2" xfId="35152" xr:uid="{00000000-0005-0000-0000-0000F3180000}"/>
    <cellStyle name="40% - Énfasis2 6 3 4" xfId="27711" xr:uid="{00000000-0005-0000-0000-0000F4180000}"/>
    <cellStyle name="40% - Énfasis2 6 4" xfId="16231" xr:uid="{00000000-0005-0000-0000-0000F5180000}"/>
    <cellStyle name="40% - Énfasis2 6 4 2" xfId="38874" xr:uid="{00000000-0005-0000-0000-0000F6180000}"/>
    <cellStyle name="40% - Énfasis2 6 5" xfId="8791" xr:uid="{00000000-0005-0000-0000-0000F7180000}"/>
    <cellStyle name="40% - Énfasis2 6 5 2" xfId="31434" xr:uid="{00000000-0005-0000-0000-0000F8180000}"/>
    <cellStyle name="40% - Énfasis2 6 6" xfId="23993" xr:uid="{00000000-0005-0000-0000-0000F9180000}"/>
    <cellStyle name="40% - Énfasis2 7" xfId="2263" xr:uid="{00000000-0005-0000-0000-0000FA180000}"/>
    <cellStyle name="40% - Énfasis2 7 2" xfId="5987" xr:uid="{00000000-0005-0000-0000-0000FB180000}"/>
    <cellStyle name="40% - Énfasis2 7 2 2" xfId="20871" xr:uid="{00000000-0005-0000-0000-0000FC180000}"/>
    <cellStyle name="40% - Énfasis2 7 2 2 2" xfId="43514" xr:uid="{00000000-0005-0000-0000-0000FD180000}"/>
    <cellStyle name="40% - Énfasis2 7 2 3" xfId="13431" xr:uid="{00000000-0005-0000-0000-0000FE180000}"/>
    <cellStyle name="40% - Énfasis2 7 2 3 2" xfId="36074" xr:uid="{00000000-0005-0000-0000-0000FF180000}"/>
    <cellStyle name="40% - Énfasis2 7 2 4" xfId="28633" xr:uid="{00000000-0005-0000-0000-000000190000}"/>
    <cellStyle name="40% - Énfasis2 7 3" xfId="17153" xr:uid="{00000000-0005-0000-0000-000001190000}"/>
    <cellStyle name="40% - Énfasis2 7 3 2" xfId="39796" xr:uid="{00000000-0005-0000-0000-000002190000}"/>
    <cellStyle name="40% - Énfasis2 7 4" xfId="9713" xr:uid="{00000000-0005-0000-0000-000003190000}"/>
    <cellStyle name="40% - Énfasis2 7 4 2" xfId="32356" xr:uid="{00000000-0005-0000-0000-000004190000}"/>
    <cellStyle name="40% - Énfasis2 7 5" xfId="24915" xr:uid="{00000000-0005-0000-0000-000005190000}"/>
    <cellStyle name="40% - Énfasis2 8" xfId="4137" xr:uid="{00000000-0005-0000-0000-000006190000}"/>
    <cellStyle name="40% - Énfasis2 8 2" xfId="19024" xr:uid="{00000000-0005-0000-0000-000007190000}"/>
    <cellStyle name="40% - Énfasis2 8 2 2" xfId="41667" xr:uid="{00000000-0005-0000-0000-000008190000}"/>
    <cellStyle name="40% - Énfasis2 8 3" xfId="11584" xr:uid="{00000000-0005-0000-0000-000009190000}"/>
    <cellStyle name="40% - Énfasis2 8 3 2" xfId="34227" xr:uid="{00000000-0005-0000-0000-00000A190000}"/>
    <cellStyle name="40% - Énfasis2 8 4" xfId="26786" xr:uid="{00000000-0005-0000-0000-00000B190000}"/>
    <cellStyle name="40% - Énfasis2 9" xfId="372" xr:uid="{00000000-0005-0000-0000-00000C190000}"/>
    <cellStyle name="40% - Énfasis2 9 2" xfId="15306" xr:uid="{00000000-0005-0000-0000-00000D190000}"/>
    <cellStyle name="40% - Énfasis2 9 2 2" xfId="37949" xr:uid="{00000000-0005-0000-0000-00000E190000}"/>
    <cellStyle name="40% - Énfasis2 9 3" xfId="23069" xr:uid="{00000000-0005-0000-0000-00000F190000}"/>
    <cellStyle name="40% - Énfasis3" xfId="17" builtinId="39" customBuiltin="1"/>
    <cellStyle name="40% - Énfasis3 10" xfId="7865" xr:uid="{00000000-0005-0000-0000-000011190000}"/>
    <cellStyle name="40% - Énfasis3 10 2" xfId="30511" xr:uid="{00000000-0005-0000-0000-000012190000}"/>
    <cellStyle name="40% - Énfasis3 11" xfId="22756" xr:uid="{00000000-0005-0000-0000-000013190000}"/>
    <cellStyle name="40% - Énfasis3 12" xfId="45457" xr:uid="{00000000-0005-0000-0000-000014190000}"/>
    <cellStyle name="40% - Énfasis3 13" xfId="45496" xr:uid="{00000000-0005-0000-0000-000015190000}"/>
    <cellStyle name="40% - Énfasis3 2" xfId="18" xr:uid="{00000000-0005-0000-0000-000016190000}"/>
    <cellStyle name="40% - Énfasis3 2 10" xfId="22772" xr:uid="{00000000-0005-0000-0000-000017190000}"/>
    <cellStyle name="40% - Énfasis3 2 2" xfId="105" xr:uid="{00000000-0005-0000-0000-000018190000}"/>
    <cellStyle name="40% - Énfasis3 2 2 2" xfId="188" xr:uid="{00000000-0005-0000-0000-000019190000}"/>
    <cellStyle name="40% - Énfasis3 2 2 2 2" xfId="349" xr:uid="{00000000-0005-0000-0000-00001A190000}"/>
    <cellStyle name="40% - Énfasis3 2 2 2 2 2" xfId="2173" xr:uid="{00000000-0005-0000-0000-00001B190000}"/>
    <cellStyle name="40% - Énfasis3 2 2 2 2 2 2" xfId="4023" xr:uid="{00000000-0005-0000-0000-00001C190000}"/>
    <cellStyle name="40% - Énfasis3 2 2 2 2 2 2 2" xfId="7744" xr:uid="{00000000-0005-0000-0000-00001D190000}"/>
    <cellStyle name="40% - Énfasis3 2 2 2 2 2 2 2 2" xfId="22628" xr:uid="{00000000-0005-0000-0000-00001E190000}"/>
    <cellStyle name="40% - Énfasis3 2 2 2 2 2 2 2 2 2" xfId="45271" xr:uid="{00000000-0005-0000-0000-00001F190000}"/>
    <cellStyle name="40% - Énfasis3 2 2 2 2 2 2 2 3" xfId="15188" xr:uid="{00000000-0005-0000-0000-000020190000}"/>
    <cellStyle name="40% - Énfasis3 2 2 2 2 2 2 2 3 2" xfId="37831" xr:uid="{00000000-0005-0000-0000-000021190000}"/>
    <cellStyle name="40% - Énfasis3 2 2 2 2 2 2 2 4" xfId="30390" xr:uid="{00000000-0005-0000-0000-000022190000}"/>
    <cellStyle name="40% - Énfasis3 2 2 2 2 2 2 3" xfId="18910" xr:uid="{00000000-0005-0000-0000-000023190000}"/>
    <cellStyle name="40% - Énfasis3 2 2 2 2 2 2 3 2" xfId="41553" xr:uid="{00000000-0005-0000-0000-000024190000}"/>
    <cellStyle name="40% - Énfasis3 2 2 2 2 2 2 4" xfId="11470" xr:uid="{00000000-0005-0000-0000-000025190000}"/>
    <cellStyle name="40% - Énfasis3 2 2 2 2 2 2 4 2" xfId="34113" xr:uid="{00000000-0005-0000-0000-000026190000}"/>
    <cellStyle name="40% - Énfasis3 2 2 2 2 2 2 5" xfId="26672" xr:uid="{00000000-0005-0000-0000-000027190000}"/>
    <cellStyle name="40% - Énfasis3 2 2 2 2 2 3" xfId="5897" xr:uid="{00000000-0005-0000-0000-000028190000}"/>
    <cellStyle name="40% - Énfasis3 2 2 2 2 2 3 2" xfId="20781" xr:uid="{00000000-0005-0000-0000-000029190000}"/>
    <cellStyle name="40% - Énfasis3 2 2 2 2 2 3 2 2" xfId="43424" xr:uid="{00000000-0005-0000-0000-00002A190000}"/>
    <cellStyle name="40% - Énfasis3 2 2 2 2 2 3 3" xfId="13341" xr:uid="{00000000-0005-0000-0000-00002B190000}"/>
    <cellStyle name="40% - Énfasis3 2 2 2 2 2 3 3 2" xfId="35984" xr:uid="{00000000-0005-0000-0000-00002C190000}"/>
    <cellStyle name="40% - Énfasis3 2 2 2 2 2 3 4" xfId="28543" xr:uid="{00000000-0005-0000-0000-00002D190000}"/>
    <cellStyle name="40% - Énfasis3 2 2 2 2 2 4" xfId="17063" xr:uid="{00000000-0005-0000-0000-00002E190000}"/>
    <cellStyle name="40% - Énfasis3 2 2 2 2 2 4 2" xfId="39706" xr:uid="{00000000-0005-0000-0000-00002F190000}"/>
    <cellStyle name="40% - Énfasis3 2 2 2 2 2 5" xfId="9623" xr:uid="{00000000-0005-0000-0000-000030190000}"/>
    <cellStyle name="40% - Énfasis3 2 2 2 2 2 5 2" xfId="32266" xr:uid="{00000000-0005-0000-0000-000031190000}"/>
    <cellStyle name="40% - Énfasis3 2 2 2 2 2 6" xfId="24825" xr:uid="{00000000-0005-0000-0000-000032190000}"/>
    <cellStyle name="40% - Énfasis3 2 2 2 2 3" xfId="3098" xr:uid="{00000000-0005-0000-0000-000033190000}"/>
    <cellStyle name="40% - Énfasis3 2 2 2 2 3 2" xfId="6819" xr:uid="{00000000-0005-0000-0000-000034190000}"/>
    <cellStyle name="40% - Énfasis3 2 2 2 2 3 2 2" xfId="21703" xr:uid="{00000000-0005-0000-0000-000035190000}"/>
    <cellStyle name="40% - Énfasis3 2 2 2 2 3 2 2 2" xfId="44346" xr:uid="{00000000-0005-0000-0000-000036190000}"/>
    <cellStyle name="40% - Énfasis3 2 2 2 2 3 2 3" xfId="14263" xr:uid="{00000000-0005-0000-0000-000037190000}"/>
    <cellStyle name="40% - Énfasis3 2 2 2 2 3 2 3 2" xfId="36906" xr:uid="{00000000-0005-0000-0000-000038190000}"/>
    <cellStyle name="40% - Énfasis3 2 2 2 2 3 2 4" xfId="29465" xr:uid="{00000000-0005-0000-0000-000039190000}"/>
    <cellStyle name="40% - Énfasis3 2 2 2 2 3 3" xfId="17985" xr:uid="{00000000-0005-0000-0000-00003A190000}"/>
    <cellStyle name="40% - Énfasis3 2 2 2 2 3 3 2" xfId="40628" xr:uid="{00000000-0005-0000-0000-00003B190000}"/>
    <cellStyle name="40% - Énfasis3 2 2 2 2 3 4" xfId="10545" xr:uid="{00000000-0005-0000-0000-00003C190000}"/>
    <cellStyle name="40% - Énfasis3 2 2 2 2 3 4 2" xfId="33188" xr:uid="{00000000-0005-0000-0000-00003D190000}"/>
    <cellStyle name="40% - Énfasis3 2 2 2 2 3 5" xfId="25747" xr:uid="{00000000-0005-0000-0000-00003E190000}"/>
    <cellStyle name="40% - Énfasis3 2 2 2 2 4" xfId="4972" xr:uid="{00000000-0005-0000-0000-00003F190000}"/>
    <cellStyle name="40% - Énfasis3 2 2 2 2 4 2" xfId="19856" xr:uid="{00000000-0005-0000-0000-000040190000}"/>
    <cellStyle name="40% - Énfasis3 2 2 2 2 4 2 2" xfId="42499" xr:uid="{00000000-0005-0000-0000-000041190000}"/>
    <cellStyle name="40% - Énfasis3 2 2 2 2 4 3" xfId="12416" xr:uid="{00000000-0005-0000-0000-000042190000}"/>
    <cellStyle name="40% - Énfasis3 2 2 2 2 4 3 2" xfId="35059" xr:uid="{00000000-0005-0000-0000-000043190000}"/>
    <cellStyle name="40% - Énfasis3 2 2 2 2 4 4" xfId="27618" xr:uid="{00000000-0005-0000-0000-000044190000}"/>
    <cellStyle name="40% - Énfasis3 2 2 2 2 5" xfId="1245" xr:uid="{00000000-0005-0000-0000-000045190000}"/>
    <cellStyle name="40% - Énfasis3 2 2 2 2 5 2" xfId="16138" xr:uid="{00000000-0005-0000-0000-000046190000}"/>
    <cellStyle name="40% - Énfasis3 2 2 2 2 5 2 2" xfId="38781" xr:uid="{00000000-0005-0000-0000-000047190000}"/>
    <cellStyle name="40% - Énfasis3 2 2 2 2 5 3" xfId="23900" xr:uid="{00000000-0005-0000-0000-000048190000}"/>
    <cellStyle name="40% - Énfasis3 2 2 2 2 6" xfId="8698" xr:uid="{00000000-0005-0000-0000-000049190000}"/>
    <cellStyle name="40% - Énfasis3 2 2 2 2 6 2" xfId="31341" xr:uid="{00000000-0005-0000-0000-00004A190000}"/>
    <cellStyle name="40% - Énfasis3 2 2 2 2 7" xfId="23047" xr:uid="{00000000-0005-0000-0000-00004B190000}"/>
    <cellStyle name="40% - Énfasis3 2 2 2 3" xfId="1711" xr:uid="{00000000-0005-0000-0000-00004C190000}"/>
    <cellStyle name="40% - Énfasis3 2 2 2 3 2" xfId="3561" xr:uid="{00000000-0005-0000-0000-00004D190000}"/>
    <cellStyle name="40% - Énfasis3 2 2 2 3 2 2" xfId="7282" xr:uid="{00000000-0005-0000-0000-00004E190000}"/>
    <cellStyle name="40% - Énfasis3 2 2 2 3 2 2 2" xfId="22166" xr:uid="{00000000-0005-0000-0000-00004F190000}"/>
    <cellStyle name="40% - Énfasis3 2 2 2 3 2 2 2 2" xfId="44809" xr:uid="{00000000-0005-0000-0000-000050190000}"/>
    <cellStyle name="40% - Énfasis3 2 2 2 3 2 2 3" xfId="14726" xr:uid="{00000000-0005-0000-0000-000051190000}"/>
    <cellStyle name="40% - Énfasis3 2 2 2 3 2 2 3 2" xfId="37369" xr:uid="{00000000-0005-0000-0000-000052190000}"/>
    <cellStyle name="40% - Énfasis3 2 2 2 3 2 2 4" xfId="29928" xr:uid="{00000000-0005-0000-0000-000053190000}"/>
    <cellStyle name="40% - Énfasis3 2 2 2 3 2 3" xfId="18448" xr:uid="{00000000-0005-0000-0000-000054190000}"/>
    <cellStyle name="40% - Énfasis3 2 2 2 3 2 3 2" xfId="41091" xr:uid="{00000000-0005-0000-0000-000055190000}"/>
    <cellStyle name="40% - Énfasis3 2 2 2 3 2 4" xfId="11008" xr:uid="{00000000-0005-0000-0000-000056190000}"/>
    <cellStyle name="40% - Énfasis3 2 2 2 3 2 4 2" xfId="33651" xr:uid="{00000000-0005-0000-0000-000057190000}"/>
    <cellStyle name="40% - Énfasis3 2 2 2 3 2 5" xfId="26210" xr:uid="{00000000-0005-0000-0000-000058190000}"/>
    <cellStyle name="40% - Énfasis3 2 2 2 3 3" xfId="5435" xr:uid="{00000000-0005-0000-0000-000059190000}"/>
    <cellStyle name="40% - Énfasis3 2 2 2 3 3 2" xfId="20319" xr:uid="{00000000-0005-0000-0000-00005A190000}"/>
    <cellStyle name="40% - Énfasis3 2 2 2 3 3 2 2" xfId="42962" xr:uid="{00000000-0005-0000-0000-00005B190000}"/>
    <cellStyle name="40% - Énfasis3 2 2 2 3 3 3" xfId="12879" xr:uid="{00000000-0005-0000-0000-00005C190000}"/>
    <cellStyle name="40% - Énfasis3 2 2 2 3 3 3 2" xfId="35522" xr:uid="{00000000-0005-0000-0000-00005D190000}"/>
    <cellStyle name="40% - Énfasis3 2 2 2 3 3 4" xfId="28081" xr:uid="{00000000-0005-0000-0000-00005E190000}"/>
    <cellStyle name="40% - Énfasis3 2 2 2 3 4" xfId="16601" xr:uid="{00000000-0005-0000-0000-00005F190000}"/>
    <cellStyle name="40% - Énfasis3 2 2 2 3 4 2" xfId="39244" xr:uid="{00000000-0005-0000-0000-000060190000}"/>
    <cellStyle name="40% - Énfasis3 2 2 2 3 5" xfId="9161" xr:uid="{00000000-0005-0000-0000-000061190000}"/>
    <cellStyle name="40% - Énfasis3 2 2 2 3 5 2" xfId="31804" xr:uid="{00000000-0005-0000-0000-000062190000}"/>
    <cellStyle name="40% - Énfasis3 2 2 2 3 6" xfId="24363" xr:uid="{00000000-0005-0000-0000-000063190000}"/>
    <cellStyle name="40% - Énfasis3 2 2 2 4" xfId="2636" xr:uid="{00000000-0005-0000-0000-000064190000}"/>
    <cellStyle name="40% - Énfasis3 2 2 2 4 2" xfId="6357" xr:uid="{00000000-0005-0000-0000-000065190000}"/>
    <cellStyle name="40% - Énfasis3 2 2 2 4 2 2" xfId="21241" xr:uid="{00000000-0005-0000-0000-000066190000}"/>
    <cellStyle name="40% - Énfasis3 2 2 2 4 2 2 2" xfId="43884" xr:uid="{00000000-0005-0000-0000-000067190000}"/>
    <cellStyle name="40% - Énfasis3 2 2 2 4 2 3" xfId="13801" xr:uid="{00000000-0005-0000-0000-000068190000}"/>
    <cellStyle name="40% - Énfasis3 2 2 2 4 2 3 2" xfId="36444" xr:uid="{00000000-0005-0000-0000-000069190000}"/>
    <cellStyle name="40% - Énfasis3 2 2 2 4 2 4" xfId="29003" xr:uid="{00000000-0005-0000-0000-00006A190000}"/>
    <cellStyle name="40% - Énfasis3 2 2 2 4 3" xfId="17523" xr:uid="{00000000-0005-0000-0000-00006B190000}"/>
    <cellStyle name="40% - Énfasis3 2 2 2 4 3 2" xfId="40166" xr:uid="{00000000-0005-0000-0000-00006C190000}"/>
    <cellStyle name="40% - Énfasis3 2 2 2 4 4" xfId="10083" xr:uid="{00000000-0005-0000-0000-00006D190000}"/>
    <cellStyle name="40% - Énfasis3 2 2 2 4 4 2" xfId="32726" xr:uid="{00000000-0005-0000-0000-00006E190000}"/>
    <cellStyle name="40% - Énfasis3 2 2 2 4 5" xfId="25285" xr:uid="{00000000-0005-0000-0000-00006F190000}"/>
    <cellStyle name="40% - Énfasis3 2 2 2 5" xfId="4510" xr:uid="{00000000-0005-0000-0000-000070190000}"/>
    <cellStyle name="40% - Énfasis3 2 2 2 5 2" xfId="19394" xr:uid="{00000000-0005-0000-0000-000071190000}"/>
    <cellStyle name="40% - Énfasis3 2 2 2 5 2 2" xfId="42037" xr:uid="{00000000-0005-0000-0000-000072190000}"/>
    <cellStyle name="40% - Énfasis3 2 2 2 5 3" xfId="11954" xr:uid="{00000000-0005-0000-0000-000073190000}"/>
    <cellStyle name="40% - Énfasis3 2 2 2 5 3 2" xfId="34597" xr:uid="{00000000-0005-0000-0000-000074190000}"/>
    <cellStyle name="40% - Énfasis3 2 2 2 5 4" xfId="27156" xr:uid="{00000000-0005-0000-0000-000075190000}"/>
    <cellStyle name="40% - Énfasis3 2 2 2 6" xfId="780" xr:uid="{00000000-0005-0000-0000-000076190000}"/>
    <cellStyle name="40% - Énfasis3 2 2 2 6 2" xfId="15676" xr:uid="{00000000-0005-0000-0000-000077190000}"/>
    <cellStyle name="40% - Énfasis3 2 2 2 6 2 2" xfId="38319" xr:uid="{00000000-0005-0000-0000-000078190000}"/>
    <cellStyle name="40% - Énfasis3 2 2 2 6 3" xfId="23438" xr:uid="{00000000-0005-0000-0000-000079190000}"/>
    <cellStyle name="40% - Énfasis3 2 2 2 7" xfId="8236" xr:uid="{00000000-0005-0000-0000-00007A190000}"/>
    <cellStyle name="40% - Énfasis3 2 2 2 7 2" xfId="30879" xr:uid="{00000000-0005-0000-0000-00007B190000}"/>
    <cellStyle name="40% - Énfasis3 2 2 2 8" xfId="22891" xr:uid="{00000000-0005-0000-0000-00007C190000}"/>
    <cellStyle name="40% - Énfasis3 2 2 3" xfId="271" xr:uid="{00000000-0005-0000-0000-00007D190000}"/>
    <cellStyle name="40% - Énfasis3 2 2 3 2" xfId="1962" xr:uid="{00000000-0005-0000-0000-00007E190000}"/>
    <cellStyle name="40% - Énfasis3 2 2 3 2 2" xfId="3812" xr:uid="{00000000-0005-0000-0000-00007F190000}"/>
    <cellStyle name="40% - Énfasis3 2 2 3 2 2 2" xfId="7533" xr:uid="{00000000-0005-0000-0000-000080190000}"/>
    <cellStyle name="40% - Énfasis3 2 2 3 2 2 2 2" xfId="22417" xr:uid="{00000000-0005-0000-0000-000081190000}"/>
    <cellStyle name="40% - Énfasis3 2 2 3 2 2 2 2 2" xfId="45060" xr:uid="{00000000-0005-0000-0000-000082190000}"/>
    <cellStyle name="40% - Énfasis3 2 2 3 2 2 2 3" xfId="14977" xr:uid="{00000000-0005-0000-0000-000083190000}"/>
    <cellStyle name="40% - Énfasis3 2 2 3 2 2 2 3 2" xfId="37620" xr:uid="{00000000-0005-0000-0000-000084190000}"/>
    <cellStyle name="40% - Énfasis3 2 2 3 2 2 2 4" xfId="30179" xr:uid="{00000000-0005-0000-0000-000085190000}"/>
    <cellStyle name="40% - Énfasis3 2 2 3 2 2 3" xfId="18699" xr:uid="{00000000-0005-0000-0000-000086190000}"/>
    <cellStyle name="40% - Énfasis3 2 2 3 2 2 3 2" xfId="41342" xr:uid="{00000000-0005-0000-0000-000087190000}"/>
    <cellStyle name="40% - Énfasis3 2 2 3 2 2 4" xfId="11259" xr:uid="{00000000-0005-0000-0000-000088190000}"/>
    <cellStyle name="40% - Énfasis3 2 2 3 2 2 4 2" xfId="33902" xr:uid="{00000000-0005-0000-0000-000089190000}"/>
    <cellStyle name="40% - Énfasis3 2 2 3 2 2 5" xfId="26461" xr:uid="{00000000-0005-0000-0000-00008A190000}"/>
    <cellStyle name="40% - Énfasis3 2 2 3 2 3" xfId="5686" xr:uid="{00000000-0005-0000-0000-00008B190000}"/>
    <cellStyle name="40% - Énfasis3 2 2 3 2 3 2" xfId="20570" xr:uid="{00000000-0005-0000-0000-00008C190000}"/>
    <cellStyle name="40% - Énfasis3 2 2 3 2 3 2 2" xfId="43213" xr:uid="{00000000-0005-0000-0000-00008D190000}"/>
    <cellStyle name="40% - Énfasis3 2 2 3 2 3 3" xfId="13130" xr:uid="{00000000-0005-0000-0000-00008E190000}"/>
    <cellStyle name="40% - Énfasis3 2 2 3 2 3 3 2" xfId="35773" xr:uid="{00000000-0005-0000-0000-00008F190000}"/>
    <cellStyle name="40% - Énfasis3 2 2 3 2 3 4" xfId="28332" xr:uid="{00000000-0005-0000-0000-000090190000}"/>
    <cellStyle name="40% - Énfasis3 2 2 3 2 4" xfId="16852" xr:uid="{00000000-0005-0000-0000-000091190000}"/>
    <cellStyle name="40% - Énfasis3 2 2 3 2 4 2" xfId="39495" xr:uid="{00000000-0005-0000-0000-000092190000}"/>
    <cellStyle name="40% - Énfasis3 2 2 3 2 5" xfId="9412" xr:uid="{00000000-0005-0000-0000-000093190000}"/>
    <cellStyle name="40% - Énfasis3 2 2 3 2 5 2" xfId="32055" xr:uid="{00000000-0005-0000-0000-000094190000}"/>
    <cellStyle name="40% - Énfasis3 2 2 3 2 6" xfId="24614" xr:uid="{00000000-0005-0000-0000-000095190000}"/>
    <cellStyle name="40% - Énfasis3 2 2 3 3" xfId="2887" xr:uid="{00000000-0005-0000-0000-000096190000}"/>
    <cellStyle name="40% - Énfasis3 2 2 3 3 2" xfId="6608" xr:uid="{00000000-0005-0000-0000-000097190000}"/>
    <cellStyle name="40% - Énfasis3 2 2 3 3 2 2" xfId="21492" xr:uid="{00000000-0005-0000-0000-000098190000}"/>
    <cellStyle name="40% - Énfasis3 2 2 3 3 2 2 2" xfId="44135" xr:uid="{00000000-0005-0000-0000-000099190000}"/>
    <cellStyle name="40% - Énfasis3 2 2 3 3 2 3" xfId="14052" xr:uid="{00000000-0005-0000-0000-00009A190000}"/>
    <cellStyle name="40% - Énfasis3 2 2 3 3 2 3 2" xfId="36695" xr:uid="{00000000-0005-0000-0000-00009B190000}"/>
    <cellStyle name="40% - Énfasis3 2 2 3 3 2 4" xfId="29254" xr:uid="{00000000-0005-0000-0000-00009C190000}"/>
    <cellStyle name="40% - Énfasis3 2 2 3 3 3" xfId="17774" xr:uid="{00000000-0005-0000-0000-00009D190000}"/>
    <cellStyle name="40% - Énfasis3 2 2 3 3 3 2" xfId="40417" xr:uid="{00000000-0005-0000-0000-00009E190000}"/>
    <cellStyle name="40% - Énfasis3 2 2 3 3 4" xfId="10334" xr:uid="{00000000-0005-0000-0000-00009F190000}"/>
    <cellStyle name="40% - Énfasis3 2 2 3 3 4 2" xfId="32977" xr:uid="{00000000-0005-0000-0000-0000A0190000}"/>
    <cellStyle name="40% - Énfasis3 2 2 3 3 5" xfId="25536" xr:uid="{00000000-0005-0000-0000-0000A1190000}"/>
    <cellStyle name="40% - Énfasis3 2 2 3 4" xfId="4761" xr:uid="{00000000-0005-0000-0000-0000A2190000}"/>
    <cellStyle name="40% - Énfasis3 2 2 3 4 2" xfId="19645" xr:uid="{00000000-0005-0000-0000-0000A3190000}"/>
    <cellStyle name="40% - Énfasis3 2 2 3 4 2 2" xfId="42288" xr:uid="{00000000-0005-0000-0000-0000A4190000}"/>
    <cellStyle name="40% - Énfasis3 2 2 3 4 3" xfId="12205" xr:uid="{00000000-0005-0000-0000-0000A5190000}"/>
    <cellStyle name="40% - Énfasis3 2 2 3 4 3 2" xfId="34848" xr:uid="{00000000-0005-0000-0000-0000A6190000}"/>
    <cellStyle name="40% - Énfasis3 2 2 3 4 4" xfId="27407" xr:uid="{00000000-0005-0000-0000-0000A7190000}"/>
    <cellStyle name="40% - Énfasis3 2 2 3 5" xfId="1034" xr:uid="{00000000-0005-0000-0000-0000A8190000}"/>
    <cellStyle name="40% - Énfasis3 2 2 3 5 2" xfId="15927" xr:uid="{00000000-0005-0000-0000-0000A9190000}"/>
    <cellStyle name="40% - Énfasis3 2 2 3 5 2 2" xfId="38570" xr:uid="{00000000-0005-0000-0000-0000AA190000}"/>
    <cellStyle name="40% - Énfasis3 2 2 3 5 3" xfId="23689" xr:uid="{00000000-0005-0000-0000-0000AB190000}"/>
    <cellStyle name="40% - Énfasis3 2 2 3 6" xfId="8487" xr:uid="{00000000-0005-0000-0000-0000AC190000}"/>
    <cellStyle name="40% - Énfasis3 2 2 3 6 2" xfId="31130" xr:uid="{00000000-0005-0000-0000-0000AD190000}"/>
    <cellStyle name="40% - Énfasis3 2 2 3 7" xfId="22969" xr:uid="{00000000-0005-0000-0000-0000AE190000}"/>
    <cellStyle name="40% - Énfasis3 2 2 4" xfId="1500" xr:uid="{00000000-0005-0000-0000-0000AF190000}"/>
    <cellStyle name="40% - Énfasis3 2 2 4 2" xfId="3350" xr:uid="{00000000-0005-0000-0000-0000B0190000}"/>
    <cellStyle name="40% - Énfasis3 2 2 4 2 2" xfId="7071" xr:uid="{00000000-0005-0000-0000-0000B1190000}"/>
    <cellStyle name="40% - Énfasis3 2 2 4 2 2 2" xfId="21955" xr:uid="{00000000-0005-0000-0000-0000B2190000}"/>
    <cellStyle name="40% - Énfasis3 2 2 4 2 2 2 2" xfId="44598" xr:uid="{00000000-0005-0000-0000-0000B3190000}"/>
    <cellStyle name="40% - Énfasis3 2 2 4 2 2 3" xfId="14515" xr:uid="{00000000-0005-0000-0000-0000B4190000}"/>
    <cellStyle name="40% - Énfasis3 2 2 4 2 2 3 2" xfId="37158" xr:uid="{00000000-0005-0000-0000-0000B5190000}"/>
    <cellStyle name="40% - Énfasis3 2 2 4 2 2 4" xfId="29717" xr:uid="{00000000-0005-0000-0000-0000B6190000}"/>
    <cellStyle name="40% - Énfasis3 2 2 4 2 3" xfId="18237" xr:uid="{00000000-0005-0000-0000-0000B7190000}"/>
    <cellStyle name="40% - Énfasis3 2 2 4 2 3 2" xfId="40880" xr:uid="{00000000-0005-0000-0000-0000B8190000}"/>
    <cellStyle name="40% - Énfasis3 2 2 4 2 4" xfId="10797" xr:uid="{00000000-0005-0000-0000-0000B9190000}"/>
    <cellStyle name="40% - Énfasis3 2 2 4 2 4 2" xfId="33440" xr:uid="{00000000-0005-0000-0000-0000BA190000}"/>
    <cellStyle name="40% - Énfasis3 2 2 4 2 5" xfId="25999" xr:uid="{00000000-0005-0000-0000-0000BB190000}"/>
    <cellStyle name="40% - Énfasis3 2 2 4 3" xfId="5224" xr:uid="{00000000-0005-0000-0000-0000BC190000}"/>
    <cellStyle name="40% - Énfasis3 2 2 4 3 2" xfId="20108" xr:uid="{00000000-0005-0000-0000-0000BD190000}"/>
    <cellStyle name="40% - Énfasis3 2 2 4 3 2 2" xfId="42751" xr:uid="{00000000-0005-0000-0000-0000BE190000}"/>
    <cellStyle name="40% - Énfasis3 2 2 4 3 3" xfId="12668" xr:uid="{00000000-0005-0000-0000-0000BF190000}"/>
    <cellStyle name="40% - Énfasis3 2 2 4 3 3 2" xfId="35311" xr:uid="{00000000-0005-0000-0000-0000C0190000}"/>
    <cellStyle name="40% - Énfasis3 2 2 4 3 4" xfId="27870" xr:uid="{00000000-0005-0000-0000-0000C1190000}"/>
    <cellStyle name="40% - Énfasis3 2 2 4 4" xfId="16390" xr:uid="{00000000-0005-0000-0000-0000C2190000}"/>
    <cellStyle name="40% - Énfasis3 2 2 4 4 2" xfId="39033" xr:uid="{00000000-0005-0000-0000-0000C3190000}"/>
    <cellStyle name="40% - Énfasis3 2 2 4 5" xfId="8950" xr:uid="{00000000-0005-0000-0000-0000C4190000}"/>
    <cellStyle name="40% - Énfasis3 2 2 4 5 2" xfId="31593" xr:uid="{00000000-0005-0000-0000-0000C5190000}"/>
    <cellStyle name="40% - Énfasis3 2 2 4 6" xfId="24152" xr:uid="{00000000-0005-0000-0000-0000C6190000}"/>
    <cellStyle name="40% - Énfasis3 2 2 5" xfId="2425" xr:uid="{00000000-0005-0000-0000-0000C7190000}"/>
    <cellStyle name="40% - Énfasis3 2 2 5 2" xfId="6146" xr:uid="{00000000-0005-0000-0000-0000C8190000}"/>
    <cellStyle name="40% - Énfasis3 2 2 5 2 2" xfId="21030" xr:uid="{00000000-0005-0000-0000-0000C9190000}"/>
    <cellStyle name="40% - Énfasis3 2 2 5 2 2 2" xfId="43673" xr:uid="{00000000-0005-0000-0000-0000CA190000}"/>
    <cellStyle name="40% - Énfasis3 2 2 5 2 3" xfId="13590" xr:uid="{00000000-0005-0000-0000-0000CB190000}"/>
    <cellStyle name="40% - Énfasis3 2 2 5 2 3 2" xfId="36233" xr:uid="{00000000-0005-0000-0000-0000CC190000}"/>
    <cellStyle name="40% - Énfasis3 2 2 5 2 4" xfId="28792" xr:uid="{00000000-0005-0000-0000-0000CD190000}"/>
    <cellStyle name="40% - Énfasis3 2 2 5 3" xfId="17312" xr:uid="{00000000-0005-0000-0000-0000CE190000}"/>
    <cellStyle name="40% - Énfasis3 2 2 5 3 2" xfId="39955" xr:uid="{00000000-0005-0000-0000-0000CF190000}"/>
    <cellStyle name="40% - Énfasis3 2 2 5 4" xfId="9872" xr:uid="{00000000-0005-0000-0000-0000D0190000}"/>
    <cellStyle name="40% - Énfasis3 2 2 5 4 2" xfId="32515" xr:uid="{00000000-0005-0000-0000-0000D1190000}"/>
    <cellStyle name="40% - Énfasis3 2 2 5 5" xfId="25074" xr:uid="{00000000-0005-0000-0000-0000D2190000}"/>
    <cellStyle name="40% - Énfasis3 2 2 6" xfId="4299" xr:uid="{00000000-0005-0000-0000-0000D3190000}"/>
    <cellStyle name="40% - Énfasis3 2 2 6 2" xfId="19183" xr:uid="{00000000-0005-0000-0000-0000D4190000}"/>
    <cellStyle name="40% - Énfasis3 2 2 6 2 2" xfId="41826" xr:uid="{00000000-0005-0000-0000-0000D5190000}"/>
    <cellStyle name="40% - Énfasis3 2 2 6 3" xfId="11743" xr:uid="{00000000-0005-0000-0000-0000D6190000}"/>
    <cellStyle name="40% - Énfasis3 2 2 6 3 2" xfId="34386" xr:uid="{00000000-0005-0000-0000-0000D7190000}"/>
    <cellStyle name="40% - Énfasis3 2 2 6 4" xfId="26945" xr:uid="{00000000-0005-0000-0000-0000D8190000}"/>
    <cellStyle name="40% - Énfasis3 2 2 7" xfId="568" xr:uid="{00000000-0005-0000-0000-0000D9190000}"/>
    <cellStyle name="40% - Énfasis3 2 2 7 2" xfId="15465" xr:uid="{00000000-0005-0000-0000-0000DA190000}"/>
    <cellStyle name="40% - Énfasis3 2 2 7 2 2" xfId="38108" xr:uid="{00000000-0005-0000-0000-0000DB190000}"/>
    <cellStyle name="40% - Énfasis3 2 2 7 3" xfId="23228" xr:uid="{00000000-0005-0000-0000-0000DC190000}"/>
    <cellStyle name="40% - Énfasis3 2 2 8" xfId="8025" xr:uid="{00000000-0005-0000-0000-0000DD190000}"/>
    <cellStyle name="40% - Énfasis3 2 2 8 2" xfId="30668" xr:uid="{00000000-0005-0000-0000-0000DE190000}"/>
    <cellStyle name="40% - Énfasis3 2 2 9" xfId="22813" xr:uid="{00000000-0005-0000-0000-0000DF190000}"/>
    <cellStyle name="40% - Énfasis3 2 3" xfId="147" xr:uid="{00000000-0005-0000-0000-0000E0190000}"/>
    <cellStyle name="40% - Énfasis3 2 3 2" xfId="310" xr:uid="{00000000-0005-0000-0000-0000E1190000}"/>
    <cellStyle name="40% - Énfasis3 2 3 2 2" xfId="2068" xr:uid="{00000000-0005-0000-0000-0000E2190000}"/>
    <cellStyle name="40% - Énfasis3 2 3 2 2 2" xfId="3918" xr:uid="{00000000-0005-0000-0000-0000E3190000}"/>
    <cellStyle name="40% - Énfasis3 2 3 2 2 2 2" xfId="7639" xr:uid="{00000000-0005-0000-0000-0000E4190000}"/>
    <cellStyle name="40% - Énfasis3 2 3 2 2 2 2 2" xfId="22523" xr:uid="{00000000-0005-0000-0000-0000E5190000}"/>
    <cellStyle name="40% - Énfasis3 2 3 2 2 2 2 2 2" xfId="45166" xr:uid="{00000000-0005-0000-0000-0000E6190000}"/>
    <cellStyle name="40% - Énfasis3 2 3 2 2 2 2 3" xfId="15083" xr:uid="{00000000-0005-0000-0000-0000E7190000}"/>
    <cellStyle name="40% - Énfasis3 2 3 2 2 2 2 3 2" xfId="37726" xr:uid="{00000000-0005-0000-0000-0000E8190000}"/>
    <cellStyle name="40% - Énfasis3 2 3 2 2 2 2 4" xfId="30285" xr:uid="{00000000-0005-0000-0000-0000E9190000}"/>
    <cellStyle name="40% - Énfasis3 2 3 2 2 2 3" xfId="18805" xr:uid="{00000000-0005-0000-0000-0000EA190000}"/>
    <cellStyle name="40% - Énfasis3 2 3 2 2 2 3 2" xfId="41448" xr:uid="{00000000-0005-0000-0000-0000EB190000}"/>
    <cellStyle name="40% - Énfasis3 2 3 2 2 2 4" xfId="11365" xr:uid="{00000000-0005-0000-0000-0000EC190000}"/>
    <cellStyle name="40% - Énfasis3 2 3 2 2 2 4 2" xfId="34008" xr:uid="{00000000-0005-0000-0000-0000ED190000}"/>
    <cellStyle name="40% - Énfasis3 2 3 2 2 2 5" xfId="26567" xr:uid="{00000000-0005-0000-0000-0000EE190000}"/>
    <cellStyle name="40% - Énfasis3 2 3 2 2 3" xfId="5792" xr:uid="{00000000-0005-0000-0000-0000EF190000}"/>
    <cellStyle name="40% - Énfasis3 2 3 2 2 3 2" xfId="20676" xr:uid="{00000000-0005-0000-0000-0000F0190000}"/>
    <cellStyle name="40% - Énfasis3 2 3 2 2 3 2 2" xfId="43319" xr:uid="{00000000-0005-0000-0000-0000F1190000}"/>
    <cellStyle name="40% - Énfasis3 2 3 2 2 3 3" xfId="13236" xr:uid="{00000000-0005-0000-0000-0000F2190000}"/>
    <cellStyle name="40% - Énfasis3 2 3 2 2 3 3 2" xfId="35879" xr:uid="{00000000-0005-0000-0000-0000F3190000}"/>
    <cellStyle name="40% - Énfasis3 2 3 2 2 3 4" xfId="28438" xr:uid="{00000000-0005-0000-0000-0000F4190000}"/>
    <cellStyle name="40% - Énfasis3 2 3 2 2 4" xfId="16958" xr:uid="{00000000-0005-0000-0000-0000F5190000}"/>
    <cellStyle name="40% - Énfasis3 2 3 2 2 4 2" xfId="39601" xr:uid="{00000000-0005-0000-0000-0000F6190000}"/>
    <cellStyle name="40% - Énfasis3 2 3 2 2 5" xfId="9518" xr:uid="{00000000-0005-0000-0000-0000F7190000}"/>
    <cellStyle name="40% - Énfasis3 2 3 2 2 5 2" xfId="32161" xr:uid="{00000000-0005-0000-0000-0000F8190000}"/>
    <cellStyle name="40% - Énfasis3 2 3 2 2 6" xfId="24720" xr:uid="{00000000-0005-0000-0000-0000F9190000}"/>
    <cellStyle name="40% - Énfasis3 2 3 2 3" xfId="2993" xr:uid="{00000000-0005-0000-0000-0000FA190000}"/>
    <cellStyle name="40% - Énfasis3 2 3 2 3 2" xfId="6714" xr:uid="{00000000-0005-0000-0000-0000FB190000}"/>
    <cellStyle name="40% - Énfasis3 2 3 2 3 2 2" xfId="21598" xr:uid="{00000000-0005-0000-0000-0000FC190000}"/>
    <cellStyle name="40% - Énfasis3 2 3 2 3 2 2 2" xfId="44241" xr:uid="{00000000-0005-0000-0000-0000FD190000}"/>
    <cellStyle name="40% - Énfasis3 2 3 2 3 2 3" xfId="14158" xr:uid="{00000000-0005-0000-0000-0000FE190000}"/>
    <cellStyle name="40% - Énfasis3 2 3 2 3 2 3 2" xfId="36801" xr:uid="{00000000-0005-0000-0000-0000FF190000}"/>
    <cellStyle name="40% - Énfasis3 2 3 2 3 2 4" xfId="29360" xr:uid="{00000000-0005-0000-0000-0000001A0000}"/>
    <cellStyle name="40% - Énfasis3 2 3 2 3 3" xfId="17880" xr:uid="{00000000-0005-0000-0000-0000011A0000}"/>
    <cellStyle name="40% - Énfasis3 2 3 2 3 3 2" xfId="40523" xr:uid="{00000000-0005-0000-0000-0000021A0000}"/>
    <cellStyle name="40% - Énfasis3 2 3 2 3 4" xfId="10440" xr:uid="{00000000-0005-0000-0000-0000031A0000}"/>
    <cellStyle name="40% - Énfasis3 2 3 2 3 4 2" xfId="33083" xr:uid="{00000000-0005-0000-0000-0000041A0000}"/>
    <cellStyle name="40% - Énfasis3 2 3 2 3 5" xfId="25642" xr:uid="{00000000-0005-0000-0000-0000051A0000}"/>
    <cellStyle name="40% - Énfasis3 2 3 2 4" xfId="4867" xr:uid="{00000000-0005-0000-0000-0000061A0000}"/>
    <cellStyle name="40% - Énfasis3 2 3 2 4 2" xfId="19751" xr:uid="{00000000-0005-0000-0000-0000071A0000}"/>
    <cellStyle name="40% - Énfasis3 2 3 2 4 2 2" xfId="42394" xr:uid="{00000000-0005-0000-0000-0000081A0000}"/>
    <cellStyle name="40% - Énfasis3 2 3 2 4 3" xfId="12311" xr:uid="{00000000-0005-0000-0000-0000091A0000}"/>
    <cellStyle name="40% - Énfasis3 2 3 2 4 3 2" xfId="34954" xr:uid="{00000000-0005-0000-0000-00000A1A0000}"/>
    <cellStyle name="40% - Énfasis3 2 3 2 4 4" xfId="27513" xr:uid="{00000000-0005-0000-0000-00000B1A0000}"/>
    <cellStyle name="40% - Énfasis3 2 3 2 5" xfId="1140" xr:uid="{00000000-0005-0000-0000-00000C1A0000}"/>
    <cellStyle name="40% - Énfasis3 2 3 2 5 2" xfId="16033" xr:uid="{00000000-0005-0000-0000-00000D1A0000}"/>
    <cellStyle name="40% - Énfasis3 2 3 2 5 2 2" xfId="38676" xr:uid="{00000000-0005-0000-0000-00000E1A0000}"/>
    <cellStyle name="40% - Énfasis3 2 3 2 5 3" xfId="23795" xr:uid="{00000000-0005-0000-0000-00000F1A0000}"/>
    <cellStyle name="40% - Énfasis3 2 3 2 6" xfId="8593" xr:uid="{00000000-0005-0000-0000-0000101A0000}"/>
    <cellStyle name="40% - Énfasis3 2 3 2 6 2" xfId="31236" xr:uid="{00000000-0005-0000-0000-0000111A0000}"/>
    <cellStyle name="40% - Énfasis3 2 3 2 7" xfId="23008" xr:uid="{00000000-0005-0000-0000-0000121A0000}"/>
    <cellStyle name="40% - Énfasis3 2 3 3" xfId="1606" xr:uid="{00000000-0005-0000-0000-0000131A0000}"/>
    <cellStyle name="40% - Énfasis3 2 3 3 2" xfId="3456" xr:uid="{00000000-0005-0000-0000-0000141A0000}"/>
    <cellStyle name="40% - Énfasis3 2 3 3 2 2" xfId="7177" xr:uid="{00000000-0005-0000-0000-0000151A0000}"/>
    <cellStyle name="40% - Énfasis3 2 3 3 2 2 2" xfId="22061" xr:uid="{00000000-0005-0000-0000-0000161A0000}"/>
    <cellStyle name="40% - Énfasis3 2 3 3 2 2 2 2" xfId="44704" xr:uid="{00000000-0005-0000-0000-0000171A0000}"/>
    <cellStyle name="40% - Énfasis3 2 3 3 2 2 3" xfId="14621" xr:uid="{00000000-0005-0000-0000-0000181A0000}"/>
    <cellStyle name="40% - Énfasis3 2 3 3 2 2 3 2" xfId="37264" xr:uid="{00000000-0005-0000-0000-0000191A0000}"/>
    <cellStyle name="40% - Énfasis3 2 3 3 2 2 4" xfId="29823" xr:uid="{00000000-0005-0000-0000-00001A1A0000}"/>
    <cellStyle name="40% - Énfasis3 2 3 3 2 3" xfId="18343" xr:uid="{00000000-0005-0000-0000-00001B1A0000}"/>
    <cellStyle name="40% - Énfasis3 2 3 3 2 3 2" xfId="40986" xr:uid="{00000000-0005-0000-0000-00001C1A0000}"/>
    <cellStyle name="40% - Énfasis3 2 3 3 2 4" xfId="10903" xr:uid="{00000000-0005-0000-0000-00001D1A0000}"/>
    <cellStyle name="40% - Énfasis3 2 3 3 2 4 2" xfId="33546" xr:uid="{00000000-0005-0000-0000-00001E1A0000}"/>
    <cellStyle name="40% - Énfasis3 2 3 3 2 5" xfId="26105" xr:uid="{00000000-0005-0000-0000-00001F1A0000}"/>
    <cellStyle name="40% - Énfasis3 2 3 3 3" xfId="5330" xr:uid="{00000000-0005-0000-0000-0000201A0000}"/>
    <cellStyle name="40% - Énfasis3 2 3 3 3 2" xfId="20214" xr:uid="{00000000-0005-0000-0000-0000211A0000}"/>
    <cellStyle name="40% - Énfasis3 2 3 3 3 2 2" xfId="42857" xr:uid="{00000000-0005-0000-0000-0000221A0000}"/>
    <cellStyle name="40% - Énfasis3 2 3 3 3 3" xfId="12774" xr:uid="{00000000-0005-0000-0000-0000231A0000}"/>
    <cellStyle name="40% - Énfasis3 2 3 3 3 3 2" xfId="35417" xr:uid="{00000000-0005-0000-0000-0000241A0000}"/>
    <cellStyle name="40% - Énfasis3 2 3 3 3 4" xfId="27976" xr:uid="{00000000-0005-0000-0000-0000251A0000}"/>
    <cellStyle name="40% - Énfasis3 2 3 3 4" xfId="16496" xr:uid="{00000000-0005-0000-0000-0000261A0000}"/>
    <cellStyle name="40% - Énfasis3 2 3 3 4 2" xfId="39139" xr:uid="{00000000-0005-0000-0000-0000271A0000}"/>
    <cellStyle name="40% - Énfasis3 2 3 3 5" xfId="9056" xr:uid="{00000000-0005-0000-0000-0000281A0000}"/>
    <cellStyle name="40% - Énfasis3 2 3 3 5 2" xfId="31699" xr:uid="{00000000-0005-0000-0000-0000291A0000}"/>
    <cellStyle name="40% - Énfasis3 2 3 3 6" xfId="24258" xr:uid="{00000000-0005-0000-0000-00002A1A0000}"/>
    <cellStyle name="40% - Énfasis3 2 3 4" xfId="2531" xr:uid="{00000000-0005-0000-0000-00002B1A0000}"/>
    <cellStyle name="40% - Énfasis3 2 3 4 2" xfId="6252" xr:uid="{00000000-0005-0000-0000-00002C1A0000}"/>
    <cellStyle name="40% - Énfasis3 2 3 4 2 2" xfId="21136" xr:uid="{00000000-0005-0000-0000-00002D1A0000}"/>
    <cellStyle name="40% - Énfasis3 2 3 4 2 2 2" xfId="43779" xr:uid="{00000000-0005-0000-0000-00002E1A0000}"/>
    <cellStyle name="40% - Énfasis3 2 3 4 2 3" xfId="13696" xr:uid="{00000000-0005-0000-0000-00002F1A0000}"/>
    <cellStyle name="40% - Énfasis3 2 3 4 2 3 2" xfId="36339" xr:uid="{00000000-0005-0000-0000-0000301A0000}"/>
    <cellStyle name="40% - Énfasis3 2 3 4 2 4" xfId="28898" xr:uid="{00000000-0005-0000-0000-0000311A0000}"/>
    <cellStyle name="40% - Énfasis3 2 3 4 3" xfId="17418" xr:uid="{00000000-0005-0000-0000-0000321A0000}"/>
    <cellStyle name="40% - Énfasis3 2 3 4 3 2" xfId="40061" xr:uid="{00000000-0005-0000-0000-0000331A0000}"/>
    <cellStyle name="40% - Énfasis3 2 3 4 4" xfId="9978" xr:uid="{00000000-0005-0000-0000-0000341A0000}"/>
    <cellStyle name="40% - Énfasis3 2 3 4 4 2" xfId="32621" xr:uid="{00000000-0005-0000-0000-0000351A0000}"/>
    <cellStyle name="40% - Énfasis3 2 3 4 5" xfId="25180" xr:uid="{00000000-0005-0000-0000-0000361A0000}"/>
    <cellStyle name="40% - Énfasis3 2 3 5" xfId="4405" xr:uid="{00000000-0005-0000-0000-0000371A0000}"/>
    <cellStyle name="40% - Énfasis3 2 3 5 2" xfId="19289" xr:uid="{00000000-0005-0000-0000-0000381A0000}"/>
    <cellStyle name="40% - Énfasis3 2 3 5 2 2" xfId="41932" xr:uid="{00000000-0005-0000-0000-0000391A0000}"/>
    <cellStyle name="40% - Énfasis3 2 3 5 3" xfId="11849" xr:uid="{00000000-0005-0000-0000-00003A1A0000}"/>
    <cellStyle name="40% - Énfasis3 2 3 5 3 2" xfId="34492" xr:uid="{00000000-0005-0000-0000-00003B1A0000}"/>
    <cellStyle name="40% - Énfasis3 2 3 5 4" xfId="27051" xr:uid="{00000000-0005-0000-0000-00003C1A0000}"/>
    <cellStyle name="40% - Énfasis3 2 3 6" xfId="675" xr:uid="{00000000-0005-0000-0000-00003D1A0000}"/>
    <cellStyle name="40% - Énfasis3 2 3 6 2" xfId="15571" xr:uid="{00000000-0005-0000-0000-00003E1A0000}"/>
    <cellStyle name="40% - Énfasis3 2 3 6 2 2" xfId="38214" xr:uid="{00000000-0005-0000-0000-00003F1A0000}"/>
    <cellStyle name="40% - Énfasis3 2 3 6 3" xfId="23333" xr:uid="{00000000-0005-0000-0000-0000401A0000}"/>
    <cellStyle name="40% - Énfasis3 2 3 7" xfId="8131" xr:uid="{00000000-0005-0000-0000-0000411A0000}"/>
    <cellStyle name="40% - Énfasis3 2 3 7 2" xfId="30774" xr:uid="{00000000-0005-0000-0000-0000421A0000}"/>
    <cellStyle name="40% - Énfasis3 2 3 8" xfId="22852" xr:uid="{00000000-0005-0000-0000-0000431A0000}"/>
    <cellStyle name="40% - Énfasis3 2 4" xfId="230" xr:uid="{00000000-0005-0000-0000-0000441A0000}"/>
    <cellStyle name="40% - Énfasis3 2 4 2" xfId="1857" xr:uid="{00000000-0005-0000-0000-0000451A0000}"/>
    <cellStyle name="40% - Énfasis3 2 4 2 2" xfId="3707" xr:uid="{00000000-0005-0000-0000-0000461A0000}"/>
    <cellStyle name="40% - Énfasis3 2 4 2 2 2" xfId="7428" xr:uid="{00000000-0005-0000-0000-0000471A0000}"/>
    <cellStyle name="40% - Énfasis3 2 4 2 2 2 2" xfId="22312" xr:uid="{00000000-0005-0000-0000-0000481A0000}"/>
    <cellStyle name="40% - Énfasis3 2 4 2 2 2 2 2" xfId="44955" xr:uid="{00000000-0005-0000-0000-0000491A0000}"/>
    <cellStyle name="40% - Énfasis3 2 4 2 2 2 3" xfId="14872" xr:uid="{00000000-0005-0000-0000-00004A1A0000}"/>
    <cellStyle name="40% - Énfasis3 2 4 2 2 2 3 2" xfId="37515" xr:uid="{00000000-0005-0000-0000-00004B1A0000}"/>
    <cellStyle name="40% - Énfasis3 2 4 2 2 2 4" xfId="30074" xr:uid="{00000000-0005-0000-0000-00004C1A0000}"/>
    <cellStyle name="40% - Énfasis3 2 4 2 2 3" xfId="18594" xr:uid="{00000000-0005-0000-0000-00004D1A0000}"/>
    <cellStyle name="40% - Énfasis3 2 4 2 2 3 2" xfId="41237" xr:uid="{00000000-0005-0000-0000-00004E1A0000}"/>
    <cellStyle name="40% - Énfasis3 2 4 2 2 4" xfId="11154" xr:uid="{00000000-0005-0000-0000-00004F1A0000}"/>
    <cellStyle name="40% - Énfasis3 2 4 2 2 4 2" xfId="33797" xr:uid="{00000000-0005-0000-0000-0000501A0000}"/>
    <cellStyle name="40% - Énfasis3 2 4 2 2 5" xfId="26356" xr:uid="{00000000-0005-0000-0000-0000511A0000}"/>
    <cellStyle name="40% - Énfasis3 2 4 2 3" xfId="5581" xr:uid="{00000000-0005-0000-0000-0000521A0000}"/>
    <cellStyle name="40% - Énfasis3 2 4 2 3 2" xfId="20465" xr:uid="{00000000-0005-0000-0000-0000531A0000}"/>
    <cellStyle name="40% - Énfasis3 2 4 2 3 2 2" xfId="43108" xr:uid="{00000000-0005-0000-0000-0000541A0000}"/>
    <cellStyle name="40% - Énfasis3 2 4 2 3 3" xfId="13025" xr:uid="{00000000-0005-0000-0000-0000551A0000}"/>
    <cellStyle name="40% - Énfasis3 2 4 2 3 3 2" xfId="35668" xr:uid="{00000000-0005-0000-0000-0000561A0000}"/>
    <cellStyle name="40% - Énfasis3 2 4 2 3 4" xfId="28227" xr:uid="{00000000-0005-0000-0000-0000571A0000}"/>
    <cellStyle name="40% - Énfasis3 2 4 2 4" xfId="16747" xr:uid="{00000000-0005-0000-0000-0000581A0000}"/>
    <cellStyle name="40% - Énfasis3 2 4 2 4 2" xfId="39390" xr:uid="{00000000-0005-0000-0000-0000591A0000}"/>
    <cellStyle name="40% - Énfasis3 2 4 2 5" xfId="9307" xr:uid="{00000000-0005-0000-0000-00005A1A0000}"/>
    <cellStyle name="40% - Énfasis3 2 4 2 5 2" xfId="31950" xr:uid="{00000000-0005-0000-0000-00005B1A0000}"/>
    <cellStyle name="40% - Énfasis3 2 4 2 6" xfId="24509" xr:uid="{00000000-0005-0000-0000-00005C1A0000}"/>
    <cellStyle name="40% - Énfasis3 2 4 3" xfId="2782" xr:uid="{00000000-0005-0000-0000-00005D1A0000}"/>
    <cellStyle name="40% - Énfasis3 2 4 3 2" xfId="6503" xr:uid="{00000000-0005-0000-0000-00005E1A0000}"/>
    <cellStyle name="40% - Énfasis3 2 4 3 2 2" xfId="21387" xr:uid="{00000000-0005-0000-0000-00005F1A0000}"/>
    <cellStyle name="40% - Énfasis3 2 4 3 2 2 2" xfId="44030" xr:uid="{00000000-0005-0000-0000-0000601A0000}"/>
    <cellStyle name="40% - Énfasis3 2 4 3 2 3" xfId="13947" xr:uid="{00000000-0005-0000-0000-0000611A0000}"/>
    <cellStyle name="40% - Énfasis3 2 4 3 2 3 2" xfId="36590" xr:uid="{00000000-0005-0000-0000-0000621A0000}"/>
    <cellStyle name="40% - Énfasis3 2 4 3 2 4" xfId="29149" xr:uid="{00000000-0005-0000-0000-0000631A0000}"/>
    <cellStyle name="40% - Énfasis3 2 4 3 3" xfId="17669" xr:uid="{00000000-0005-0000-0000-0000641A0000}"/>
    <cellStyle name="40% - Énfasis3 2 4 3 3 2" xfId="40312" xr:uid="{00000000-0005-0000-0000-0000651A0000}"/>
    <cellStyle name="40% - Énfasis3 2 4 3 4" xfId="10229" xr:uid="{00000000-0005-0000-0000-0000661A0000}"/>
    <cellStyle name="40% - Énfasis3 2 4 3 4 2" xfId="32872" xr:uid="{00000000-0005-0000-0000-0000671A0000}"/>
    <cellStyle name="40% - Énfasis3 2 4 3 5" xfId="25431" xr:uid="{00000000-0005-0000-0000-0000681A0000}"/>
    <cellStyle name="40% - Énfasis3 2 4 4" xfId="4656" xr:uid="{00000000-0005-0000-0000-0000691A0000}"/>
    <cellStyle name="40% - Énfasis3 2 4 4 2" xfId="19540" xr:uid="{00000000-0005-0000-0000-00006A1A0000}"/>
    <cellStyle name="40% - Énfasis3 2 4 4 2 2" xfId="42183" xr:uid="{00000000-0005-0000-0000-00006B1A0000}"/>
    <cellStyle name="40% - Énfasis3 2 4 4 3" xfId="12100" xr:uid="{00000000-0005-0000-0000-00006C1A0000}"/>
    <cellStyle name="40% - Énfasis3 2 4 4 3 2" xfId="34743" xr:uid="{00000000-0005-0000-0000-00006D1A0000}"/>
    <cellStyle name="40% - Énfasis3 2 4 4 4" xfId="27302" xr:uid="{00000000-0005-0000-0000-00006E1A0000}"/>
    <cellStyle name="40% - Énfasis3 2 4 5" xfId="929" xr:uid="{00000000-0005-0000-0000-00006F1A0000}"/>
    <cellStyle name="40% - Énfasis3 2 4 5 2" xfId="15822" xr:uid="{00000000-0005-0000-0000-0000701A0000}"/>
    <cellStyle name="40% - Énfasis3 2 4 5 2 2" xfId="38465" xr:uid="{00000000-0005-0000-0000-0000711A0000}"/>
    <cellStyle name="40% - Énfasis3 2 4 5 3" xfId="23584" xr:uid="{00000000-0005-0000-0000-0000721A0000}"/>
    <cellStyle name="40% - Énfasis3 2 4 6" xfId="8382" xr:uid="{00000000-0005-0000-0000-0000731A0000}"/>
    <cellStyle name="40% - Énfasis3 2 4 6 2" xfId="31025" xr:uid="{00000000-0005-0000-0000-0000741A0000}"/>
    <cellStyle name="40% - Énfasis3 2 4 7" xfId="22930" xr:uid="{00000000-0005-0000-0000-0000751A0000}"/>
    <cellStyle name="40% - Énfasis3 2 5" xfId="1395" xr:uid="{00000000-0005-0000-0000-0000761A0000}"/>
    <cellStyle name="40% - Énfasis3 2 5 2" xfId="3245" xr:uid="{00000000-0005-0000-0000-0000771A0000}"/>
    <cellStyle name="40% - Énfasis3 2 5 2 2" xfId="6966" xr:uid="{00000000-0005-0000-0000-0000781A0000}"/>
    <cellStyle name="40% - Énfasis3 2 5 2 2 2" xfId="21850" xr:uid="{00000000-0005-0000-0000-0000791A0000}"/>
    <cellStyle name="40% - Énfasis3 2 5 2 2 2 2" xfId="44493" xr:uid="{00000000-0005-0000-0000-00007A1A0000}"/>
    <cellStyle name="40% - Énfasis3 2 5 2 2 3" xfId="14410" xr:uid="{00000000-0005-0000-0000-00007B1A0000}"/>
    <cellStyle name="40% - Énfasis3 2 5 2 2 3 2" xfId="37053" xr:uid="{00000000-0005-0000-0000-00007C1A0000}"/>
    <cellStyle name="40% - Énfasis3 2 5 2 2 4" xfId="29612" xr:uid="{00000000-0005-0000-0000-00007D1A0000}"/>
    <cellStyle name="40% - Énfasis3 2 5 2 3" xfId="18132" xr:uid="{00000000-0005-0000-0000-00007E1A0000}"/>
    <cellStyle name="40% - Énfasis3 2 5 2 3 2" xfId="40775" xr:uid="{00000000-0005-0000-0000-00007F1A0000}"/>
    <cellStyle name="40% - Énfasis3 2 5 2 4" xfId="10692" xr:uid="{00000000-0005-0000-0000-0000801A0000}"/>
    <cellStyle name="40% - Énfasis3 2 5 2 4 2" xfId="33335" xr:uid="{00000000-0005-0000-0000-0000811A0000}"/>
    <cellStyle name="40% - Énfasis3 2 5 2 5" xfId="25894" xr:uid="{00000000-0005-0000-0000-0000821A0000}"/>
    <cellStyle name="40% - Énfasis3 2 5 3" xfId="5119" xr:uid="{00000000-0005-0000-0000-0000831A0000}"/>
    <cellStyle name="40% - Énfasis3 2 5 3 2" xfId="20003" xr:uid="{00000000-0005-0000-0000-0000841A0000}"/>
    <cellStyle name="40% - Énfasis3 2 5 3 2 2" xfId="42646" xr:uid="{00000000-0005-0000-0000-0000851A0000}"/>
    <cellStyle name="40% - Énfasis3 2 5 3 3" xfId="12563" xr:uid="{00000000-0005-0000-0000-0000861A0000}"/>
    <cellStyle name="40% - Énfasis3 2 5 3 3 2" xfId="35206" xr:uid="{00000000-0005-0000-0000-0000871A0000}"/>
    <cellStyle name="40% - Énfasis3 2 5 3 4" xfId="27765" xr:uid="{00000000-0005-0000-0000-0000881A0000}"/>
    <cellStyle name="40% - Énfasis3 2 5 4" xfId="16285" xr:uid="{00000000-0005-0000-0000-0000891A0000}"/>
    <cellStyle name="40% - Énfasis3 2 5 4 2" xfId="38928" xr:uid="{00000000-0005-0000-0000-00008A1A0000}"/>
    <cellStyle name="40% - Énfasis3 2 5 5" xfId="8845" xr:uid="{00000000-0005-0000-0000-00008B1A0000}"/>
    <cellStyle name="40% - Énfasis3 2 5 5 2" xfId="31488" xr:uid="{00000000-0005-0000-0000-00008C1A0000}"/>
    <cellStyle name="40% - Énfasis3 2 5 6" xfId="24047" xr:uid="{00000000-0005-0000-0000-00008D1A0000}"/>
    <cellStyle name="40% - Énfasis3 2 6" xfId="2320" xr:uid="{00000000-0005-0000-0000-00008E1A0000}"/>
    <cellStyle name="40% - Énfasis3 2 6 2" xfId="6041" xr:uid="{00000000-0005-0000-0000-00008F1A0000}"/>
    <cellStyle name="40% - Énfasis3 2 6 2 2" xfId="20925" xr:uid="{00000000-0005-0000-0000-0000901A0000}"/>
    <cellStyle name="40% - Énfasis3 2 6 2 2 2" xfId="43568" xr:uid="{00000000-0005-0000-0000-0000911A0000}"/>
    <cellStyle name="40% - Énfasis3 2 6 2 3" xfId="13485" xr:uid="{00000000-0005-0000-0000-0000921A0000}"/>
    <cellStyle name="40% - Énfasis3 2 6 2 3 2" xfId="36128" xr:uid="{00000000-0005-0000-0000-0000931A0000}"/>
    <cellStyle name="40% - Énfasis3 2 6 2 4" xfId="28687" xr:uid="{00000000-0005-0000-0000-0000941A0000}"/>
    <cellStyle name="40% - Énfasis3 2 6 3" xfId="17207" xr:uid="{00000000-0005-0000-0000-0000951A0000}"/>
    <cellStyle name="40% - Énfasis3 2 6 3 2" xfId="39850" xr:uid="{00000000-0005-0000-0000-0000961A0000}"/>
    <cellStyle name="40% - Énfasis3 2 6 4" xfId="9767" xr:uid="{00000000-0005-0000-0000-0000971A0000}"/>
    <cellStyle name="40% - Énfasis3 2 6 4 2" xfId="32410" xr:uid="{00000000-0005-0000-0000-0000981A0000}"/>
    <cellStyle name="40% - Énfasis3 2 6 5" xfId="24969" xr:uid="{00000000-0005-0000-0000-0000991A0000}"/>
    <cellStyle name="40% - Énfasis3 2 7" xfId="4194" xr:uid="{00000000-0005-0000-0000-00009A1A0000}"/>
    <cellStyle name="40% - Énfasis3 2 7 2" xfId="19078" xr:uid="{00000000-0005-0000-0000-00009B1A0000}"/>
    <cellStyle name="40% - Énfasis3 2 7 2 2" xfId="41721" xr:uid="{00000000-0005-0000-0000-00009C1A0000}"/>
    <cellStyle name="40% - Énfasis3 2 7 3" xfId="11638" xr:uid="{00000000-0005-0000-0000-00009D1A0000}"/>
    <cellStyle name="40% - Énfasis3 2 7 3 2" xfId="34281" xr:uid="{00000000-0005-0000-0000-00009E1A0000}"/>
    <cellStyle name="40% - Énfasis3 2 7 4" xfId="26840" xr:uid="{00000000-0005-0000-0000-00009F1A0000}"/>
    <cellStyle name="40% - Énfasis3 2 8" xfId="461" xr:uid="{00000000-0005-0000-0000-0000A01A0000}"/>
    <cellStyle name="40% - Énfasis3 2 8 2" xfId="15360" xr:uid="{00000000-0005-0000-0000-0000A11A0000}"/>
    <cellStyle name="40% - Énfasis3 2 8 2 2" xfId="38003" xr:uid="{00000000-0005-0000-0000-0000A21A0000}"/>
    <cellStyle name="40% - Énfasis3 2 8 3" xfId="23123" xr:uid="{00000000-0005-0000-0000-0000A31A0000}"/>
    <cellStyle name="40% - Énfasis3 2 9" xfId="7920" xr:uid="{00000000-0005-0000-0000-0000A41A0000}"/>
    <cellStyle name="40% - Énfasis3 2 9 2" xfId="30563" xr:uid="{00000000-0005-0000-0000-0000A51A0000}"/>
    <cellStyle name="40% - Énfasis3 3" xfId="89" xr:uid="{00000000-0005-0000-0000-0000A61A0000}"/>
    <cellStyle name="40% - Énfasis3 3 2" xfId="173" xr:uid="{00000000-0005-0000-0000-0000A71A0000}"/>
    <cellStyle name="40% - Énfasis3 3 2 2" xfId="334" xr:uid="{00000000-0005-0000-0000-0000A81A0000}"/>
    <cellStyle name="40% - Énfasis3 3 2 2 2" xfId="2121" xr:uid="{00000000-0005-0000-0000-0000A91A0000}"/>
    <cellStyle name="40% - Énfasis3 3 2 2 2 2" xfId="3971" xr:uid="{00000000-0005-0000-0000-0000AA1A0000}"/>
    <cellStyle name="40% - Énfasis3 3 2 2 2 2 2" xfId="7692" xr:uid="{00000000-0005-0000-0000-0000AB1A0000}"/>
    <cellStyle name="40% - Énfasis3 3 2 2 2 2 2 2" xfId="22576" xr:uid="{00000000-0005-0000-0000-0000AC1A0000}"/>
    <cellStyle name="40% - Énfasis3 3 2 2 2 2 2 2 2" xfId="45219" xr:uid="{00000000-0005-0000-0000-0000AD1A0000}"/>
    <cellStyle name="40% - Énfasis3 3 2 2 2 2 2 3" xfId="15136" xr:uid="{00000000-0005-0000-0000-0000AE1A0000}"/>
    <cellStyle name="40% - Énfasis3 3 2 2 2 2 2 3 2" xfId="37779" xr:uid="{00000000-0005-0000-0000-0000AF1A0000}"/>
    <cellStyle name="40% - Énfasis3 3 2 2 2 2 2 4" xfId="30338" xr:uid="{00000000-0005-0000-0000-0000B01A0000}"/>
    <cellStyle name="40% - Énfasis3 3 2 2 2 2 3" xfId="18858" xr:uid="{00000000-0005-0000-0000-0000B11A0000}"/>
    <cellStyle name="40% - Énfasis3 3 2 2 2 2 3 2" xfId="41501" xr:uid="{00000000-0005-0000-0000-0000B21A0000}"/>
    <cellStyle name="40% - Énfasis3 3 2 2 2 2 4" xfId="11418" xr:uid="{00000000-0005-0000-0000-0000B31A0000}"/>
    <cellStyle name="40% - Énfasis3 3 2 2 2 2 4 2" xfId="34061" xr:uid="{00000000-0005-0000-0000-0000B41A0000}"/>
    <cellStyle name="40% - Énfasis3 3 2 2 2 2 5" xfId="26620" xr:uid="{00000000-0005-0000-0000-0000B51A0000}"/>
    <cellStyle name="40% - Énfasis3 3 2 2 2 3" xfId="5845" xr:uid="{00000000-0005-0000-0000-0000B61A0000}"/>
    <cellStyle name="40% - Énfasis3 3 2 2 2 3 2" xfId="20729" xr:uid="{00000000-0005-0000-0000-0000B71A0000}"/>
    <cellStyle name="40% - Énfasis3 3 2 2 2 3 2 2" xfId="43372" xr:uid="{00000000-0005-0000-0000-0000B81A0000}"/>
    <cellStyle name="40% - Énfasis3 3 2 2 2 3 3" xfId="13289" xr:uid="{00000000-0005-0000-0000-0000B91A0000}"/>
    <cellStyle name="40% - Énfasis3 3 2 2 2 3 3 2" xfId="35932" xr:uid="{00000000-0005-0000-0000-0000BA1A0000}"/>
    <cellStyle name="40% - Énfasis3 3 2 2 2 3 4" xfId="28491" xr:uid="{00000000-0005-0000-0000-0000BB1A0000}"/>
    <cellStyle name="40% - Énfasis3 3 2 2 2 4" xfId="17011" xr:uid="{00000000-0005-0000-0000-0000BC1A0000}"/>
    <cellStyle name="40% - Énfasis3 3 2 2 2 4 2" xfId="39654" xr:uid="{00000000-0005-0000-0000-0000BD1A0000}"/>
    <cellStyle name="40% - Énfasis3 3 2 2 2 5" xfId="9571" xr:uid="{00000000-0005-0000-0000-0000BE1A0000}"/>
    <cellStyle name="40% - Énfasis3 3 2 2 2 5 2" xfId="32214" xr:uid="{00000000-0005-0000-0000-0000BF1A0000}"/>
    <cellStyle name="40% - Énfasis3 3 2 2 2 6" xfId="24773" xr:uid="{00000000-0005-0000-0000-0000C01A0000}"/>
    <cellStyle name="40% - Énfasis3 3 2 2 3" xfId="3046" xr:uid="{00000000-0005-0000-0000-0000C11A0000}"/>
    <cellStyle name="40% - Énfasis3 3 2 2 3 2" xfId="6767" xr:uid="{00000000-0005-0000-0000-0000C21A0000}"/>
    <cellStyle name="40% - Énfasis3 3 2 2 3 2 2" xfId="21651" xr:uid="{00000000-0005-0000-0000-0000C31A0000}"/>
    <cellStyle name="40% - Énfasis3 3 2 2 3 2 2 2" xfId="44294" xr:uid="{00000000-0005-0000-0000-0000C41A0000}"/>
    <cellStyle name="40% - Énfasis3 3 2 2 3 2 3" xfId="14211" xr:uid="{00000000-0005-0000-0000-0000C51A0000}"/>
    <cellStyle name="40% - Énfasis3 3 2 2 3 2 3 2" xfId="36854" xr:uid="{00000000-0005-0000-0000-0000C61A0000}"/>
    <cellStyle name="40% - Énfasis3 3 2 2 3 2 4" xfId="29413" xr:uid="{00000000-0005-0000-0000-0000C71A0000}"/>
    <cellStyle name="40% - Énfasis3 3 2 2 3 3" xfId="17933" xr:uid="{00000000-0005-0000-0000-0000C81A0000}"/>
    <cellStyle name="40% - Énfasis3 3 2 2 3 3 2" xfId="40576" xr:uid="{00000000-0005-0000-0000-0000C91A0000}"/>
    <cellStyle name="40% - Énfasis3 3 2 2 3 4" xfId="10493" xr:uid="{00000000-0005-0000-0000-0000CA1A0000}"/>
    <cellStyle name="40% - Énfasis3 3 2 2 3 4 2" xfId="33136" xr:uid="{00000000-0005-0000-0000-0000CB1A0000}"/>
    <cellStyle name="40% - Énfasis3 3 2 2 3 5" xfId="25695" xr:uid="{00000000-0005-0000-0000-0000CC1A0000}"/>
    <cellStyle name="40% - Énfasis3 3 2 2 4" xfId="4920" xr:uid="{00000000-0005-0000-0000-0000CD1A0000}"/>
    <cellStyle name="40% - Énfasis3 3 2 2 4 2" xfId="19804" xr:uid="{00000000-0005-0000-0000-0000CE1A0000}"/>
    <cellStyle name="40% - Énfasis3 3 2 2 4 2 2" xfId="42447" xr:uid="{00000000-0005-0000-0000-0000CF1A0000}"/>
    <cellStyle name="40% - Énfasis3 3 2 2 4 3" xfId="12364" xr:uid="{00000000-0005-0000-0000-0000D01A0000}"/>
    <cellStyle name="40% - Énfasis3 3 2 2 4 3 2" xfId="35007" xr:uid="{00000000-0005-0000-0000-0000D11A0000}"/>
    <cellStyle name="40% - Énfasis3 3 2 2 4 4" xfId="27566" xr:uid="{00000000-0005-0000-0000-0000D21A0000}"/>
    <cellStyle name="40% - Énfasis3 3 2 2 5" xfId="1193" xr:uid="{00000000-0005-0000-0000-0000D31A0000}"/>
    <cellStyle name="40% - Énfasis3 3 2 2 5 2" xfId="16086" xr:uid="{00000000-0005-0000-0000-0000D41A0000}"/>
    <cellStyle name="40% - Énfasis3 3 2 2 5 2 2" xfId="38729" xr:uid="{00000000-0005-0000-0000-0000D51A0000}"/>
    <cellStyle name="40% - Énfasis3 3 2 2 5 3" xfId="23848" xr:uid="{00000000-0005-0000-0000-0000D61A0000}"/>
    <cellStyle name="40% - Énfasis3 3 2 2 6" xfId="8646" xr:uid="{00000000-0005-0000-0000-0000D71A0000}"/>
    <cellStyle name="40% - Énfasis3 3 2 2 6 2" xfId="31289" xr:uid="{00000000-0005-0000-0000-0000D81A0000}"/>
    <cellStyle name="40% - Énfasis3 3 2 2 7" xfId="23032" xr:uid="{00000000-0005-0000-0000-0000D91A0000}"/>
    <cellStyle name="40% - Énfasis3 3 2 3" xfId="1659" xr:uid="{00000000-0005-0000-0000-0000DA1A0000}"/>
    <cellStyle name="40% - Énfasis3 3 2 3 2" xfId="3509" xr:uid="{00000000-0005-0000-0000-0000DB1A0000}"/>
    <cellStyle name="40% - Énfasis3 3 2 3 2 2" xfId="7230" xr:uid="{00000000-0005-0000-0000-0000DC1A0000}"/>
    <cellStyle name="40% - Énfasis3 3 2 3 2 2 2" xfId="22114" xr:uid="{00000000-0005-0000-0000-0000DD1A0000}"/>
    <cellStyle name="40% - Énfasis3 3 2 3 2 2 2 2" xfId="44757" xr:uid="{00000000-0005-0000-0000-0000DE1A0000}"/>
    <cellStyle name="40% - Énfasis3 3 2 3 2 2 3" xfId="14674" xr:uid="{00000000-0005-0000-0000-0000DF1A0000}"/>
    <cellStyle name="40% - Énfasis3 3 2 3 2 2 3 2" xfId="37317" xr:uid="{00000000-0005-0000-0000-0000E01A0000}"/>
    <cellStyle name="40% - Énfasis3 3 2 3 2 2 4" xfId="29876" xr:uid="{00000000-0005-0000-0000-0000E11A0000}"/>
    <cellStyle name="40% - Énfasis3 3 2 3 2 3" xfId="18396" xr:uid="{00000000-0005-0000-0000-0000E21A0000}"/>
    <cellStyle name="40% - Énfasis3 3 2 3 2 3 2" xfId="41039" xr:uid="{00000000-0005-0000-0000-0000E31A0000}"/>
    <cellStyle name="40% - Énfasis3 3 2 3 2 4" xfId="10956" xr:uid="{00000000-0005-0000-0000-0000E41A0000}"/>
    <cellStyle name="40% - Énfasis3 3 2 3 2 4 2" xfId="33599" xr:uid="{00000000-0005-0000-0000-0000E51A0000}"/>
    <cellStyle name="40% - Énfasis3 3 2 3 2 5" xfId="26158" xr:uid="{00000000-0005-0000-0000-0000E61A0000}"/>
    <cellStyle name="40% - Énfasis3 3 2 3 3" xfId="5383" xr:uid="{00000000-0005-0000-0000-0000E71A0000}"/>
    <cellStyle name="40% - Énfasis3 3 2 3 3 2" xfId="20267" xr:uid="{00000000-0005-0000-0000-0000E81A0000}"/>
    <cellStyle name="40% - Énfasis3 3 2 3 3 2 2" xfId="42910" xr:uid="{00000000-0005-0000-0000-0000E91A0000}"/>
    <cellStyle name="40% - Énfasis3 3 2 3 3 3" xfId="12827" xr:uid="{00000000-0005-0000-0000-0000EA1A0000}"/>
    <cellStyle name="40% - Énfasis3 3 2 3 3 3 2" xfId="35470" xr:uid="{00000000-0005-0000-0000-0000EB1A0000}"/>
    <cellStyle name="40% - Énfasis3 3 2 3 3 4" xfId="28029" xr:uid="{00000000-0005-0000-0000-0000EC1A0000}"/>
    <cellStyle name="40% - Énfasis3 3 2 3 4" xfId="16549" xr:uid="{00000000-0005-0000-0000-0000ED1A0000}"/>
    <cellStyle name="40% - Énfasis3 3 2 3 4 2" xfId="39192" xr:uid="{00000000-0005-0000-0000-0000EE1A0000}"/>
    <cellStyle name="40% - Énfasis3 3 2 3 5" xfId="9109" xr:uid="{00000000-0005-0000-0000-0000EF1A0000}"/>
    <cellStyle name="40% - Énfasis3 3 2 3 5 2" xfId="31752" xr:uid="{00000000-0005-0000-0000-0000F01A0000}"/>
    <cellStyle name="40% - Énfasis3 3 2 3 6" xfId="24311" xr:uid="{00000000-0005-0000-0000-0000F11A0000}"/>
    <cellStyle name="40% - Énfasis3 3 2 4" xfId="2584" xr:uid="{00000000-0005-0000-0000-0000F21A0000}"/>
    <cellStyle name="40% - Énfasis3 3 2 4 2" xfId="6305" xr:uid="{00000000-0005-0000-0000-0000F31A0000}"/>
    <cellStyle name="40% - Énfasis3 3 2 4 2 2" xfId="21189" xr:uid="{00000000-0005-0000-0000-0000F41A0000}"/>
    <cellStyle name="40% - Énfasis3 3 2 4 2 2 2" xfId="43832" xr:uid="{00000000-0005-0000-0000-0000F51A0000}"/>
    <cellStyle name="40% - Énfasis3 3 2 4 2 3" xfId="13749" xr:uid="{00000000-0005-0000-0000-0000F61A0000}"/>
    <cellStyle name="40% - Énfasis3 3 2 4 2 3 2" xfId="36392" xr:uid="{00000000-0005-0000-0000-0000F71A0000}"/>
    <cellStyle name="40% - Énfasis3 3 2 4 2 4" xfId="28951" xr:uid="{00000000-0005-0000-0000-0000F81A0000}"/>
    <cellStyle name="40% - Énfasis3 3 2 4 3" xfId="17471" xr:uid="{00000000-0005-0000-0000-0000F91A0000}"/>
    <cellStyle name="40% - Énfasis3 3 2 4 3 2" xfId="40114" xr:uid="{00000000-0005-0000-0000-0000FA1A0000}"/>
    <cellStyle name="40% - Énfasis3 3 2 4 4" xfId="10031" xr:uid="{00000000-0005-0000-0000-0000FB1A0000}"/>
    <cellStyle name="40% - Énfasis3 3 2 4 4 2" xfId="32674" xr:uid="{00000000-0005-0000-0000-0000FC1A0000}"/>
    <cellStyle name="40% - Énfasis3 3 2 4 5" xfId="25233" xr:uid="{00000000-0005-0000-0000-0000FD1A0000}"/>
    <cellStyle name="40% - Énfasis3 3 2 5" xfId="4458" xr:uid="{00000000-0005-0000-0000-0000FE1A0000}"/>
    <cellStyle name="40% - Énfasis3 3 2 5 2" xfId="19342" xr:uid="{00000000-0005-0000-0000-0000FF1A0000}"/>
    <cellStyle name="40% - Énfasis3 3 2 5 2 2" xfId="41985" xr:uid="{00000000-0005-0000-0000-0000001B0000}"/>
    <cellStyle name="40% - Énfasis3 3 2 5 3" xfId="11902" xr:uid="{00000000-0005-0000-0000-0000011B0000}"/>
    <cellStyle name="40% - Énfasis3 3 2 5 3 2" xfId="34545" xr:uid="{00000000-0005-0000-0000-0000021B0000}"/>
    <cellStyle name="40% - Énfasis3 3 2 5 4" xfId="27104" xr:uid="{00000000-0005-0000-0000-0000031B0000}"/>
    <cellStyle name="40% - Énfasis3 3 2 6" xfId="728" xr:uid="{00000000-0005-0000-0000-0000041B0000}"/>
    <cellStyle name="40% - Énfasis3 3 2 6 2" xfId="15624" xr:uid="{00000000-0005-0000-0000-0000051B0000}"/>
    <cellStyle name="40% - Énfasis3 3 2 6 2 2" xfId="38267" xr:uid="{00000000-0005-0000-0000-0000061B0000}"/>
    <cellStyle name="40% - Énfasis3 3 2 6 3" xfId="23386" xr:uid="{00000000-0005-0000-0000-0000071B0000}"/>
    <cellStyle name="40% - Énfasis3 3 2 7" xfId="8184" xr:uid="{00000000-0005-0000-0000-0000081B0000}"/>
    <cellStyle name="40% - Énfasis3 3 2 7 2" xfId="30827" xr:uid="{00000000-0005-0000-0000-0000091B0000}"/>
    <cellStyle name="40% - Énfasis3 3 2 8" xfId="22876" xr:uid="{00000000-0005-0000-0000-00000A1B0000}"/>
    <cellStyle name="40% - Énfasis3 3 3" xfId="256" xr:uid="{00000000-0005-0000-0000-00000B1B0000}"/>
    <cellStyle name="40% - Énfasis3 3 3 2" xfId="1910" xr:uid="{00000000-0005-0000-0000-00000C1B0000}"/>
    <cellStyle name="40% - Énfasis3 3 3 2 2" xfId="3760" xr:uid="{00000000-0005-0000-0000-00000D1B0000}"/>
    <cellStyle name="40% - Énfasis3 3 3 2 2 2" xfId="7481" xr:uid="{00000000-0005-0000-0000-00000E1B0000}"/>
    <cellStyle name="40% - Énfasis3 3 3 2 2 2 2" xfId="22365" xr:uid="{00000000-0005-0000-0000-00000F1B0000}"/>
    <cellStyle name="40% - Énfasis3 3 3 2 2 2 2 2" xfId="45008" xr:uid="{00000000-0005-0000-0000-0000101B0000}"/>
    <cellStyle name="40% - Énfasis3 3 3 2 2 2 3" xfId="14925" xr:uid="{00000000-0005-0000-0000-0000111B0000}"/>
    <cellStyle name="40% - Énfasis3 3 3 2 2 2 3 2" xfId="37568" xr:uid="{00000000-0005-0000-0000-0000121B0000}"/>
    <cellStyle name="40% - Énfasis3 3 3 2 2 2 4" xfId="30127" xr:uid="{00000000-0005-0000-0000-0000131B0000}"/>
    <cellStyle name="40% - Énfasis3 3 3 2 2 3" xfId="18647" xr:uid="{00000000-0005-0000-0000-0000141B0000}"/>
    <cellStyle name="40% - Énfasis3 3 3 2 2 3 2" xfId="41290" xr:uid="{00000000-0005-0000-0000-0000151B0000}"/>
    <cellStyle name="40% - Énfasis3 3 3 2 2 4" xfId="11207" xr:uid="{00000000-0005-0000-0000-0000161B0000}"/>
    <cellStyle name="40% - Énfasis3 3 3 2 2 4 2" xfId="33850" xr:uid="{00000000-0005-0000-0000-0000171B0000}"/>
    <cellStyle name="40% - Énfasis3 3 3 2 2 5" xfId="26409" xr:uid="{00000000-0005-0000-0000-0000181B0000}"/>
    <cellStyle name="40% - Énfasis3 3 3 2 3" xfId="5634" xr:uid="{00000000-0005-0000-0000-0000191B0000}"/>
    <cellStyle name="40% - Énfasis3 3 3 2 3 2" xfId="20518" xr:uid="{00000000-0005-0000-0000-00001A1B0000}"/>
    <cellStyle name="40% - Énfasis3 3 3 2 3 2 2" xfId="43161" xr:uid="{00000000-0005-0000-0000-00001B1B0000}"/>
    <cellStyle name="40% - Énfasis3 3 3 2 3 3" xfId="13078" xr:uid="{00000000-0005-0000-0000-00001C1B0000}"/>
    <cellStyle name="40% - Énfasis3 3 3 2 3 3 2" xfId="35721" xr:uid="{00000000-0005-0000-0000-00001D1B0000}"/>
    <cellStyle name="40% - Énfasis3 3 3 2 3 4" xfId="28280" xr:uid="{00000000-0005-0000-0000-00001E1B0000}"/>
    <cellStyle name="40% - Énfasis3 3 3 2 4" xfId="16800" xr:uid="{00000000-0005-0000-0000-00001F1B0000}"/>
    <cellStyle name="40% - Énfasis3 3 3 2 4 2" xfId="39443" xr:uid="{00000000-0005-0000-0000-0000201B0000}"/>
    <cellStyle name="40% - Énfasis3 3 3 2 5" xfId="9360" xr:uid="{00000000-0005-0000-0000-0000211B0000}"/>
    <cellStyle name="40% - Énfasis3 3 3 2 5 2" xfId="32003" xr:uid="{00000000-0005-0000-0000-0000221B0000}"/>
    <cellStyle name="40% - Énfasis3 3 3 2 6" xfId="24562" xr:uid="{00000000-0005-0000-0000-0000231B0000}"/>
    <cellStyle name="40% - Énfasis3 3 3 3" xfId="2835" xr:uid="{00000000-0005-0000-0000-0000241B0000}"/>
    <cellStyle name="40% - Énfasis3 3 3 3 2" xfId="6556" xr:uid="{00000000-0005-0000-0000-0000251B0000}"/>
    <cellStyle name="40% - Énfasis3 3 3 3 2 2" xfId="21440" xr:uid="{00000000-0005-0000-0000-0000261B0000}"/>
    <cellStyle name="40% - Énfasis3 3 3 3 2 2 2" xfId="44083" xr:uid="{00000000-0005-0000-0000-0000271B0000}"/>
    <cellStyle name="40% - Énfasis3 3 3 3 2 3" xfId="14000" xr:uid="{00000000-0005-0000-0000-0000281B0000}"/>
    <cellStyle name="40% - Énfasis3 3 3 3 2 3 2" xfId="36643" xr:uid="{00000000-0005-0000-0000-0000291B0000}"/>
    <cellStyle name="40% - Énfasis3 3 3 3 2 4" xfId="29202" xr:uid="{00000000-0005-0000-0000-00002A1B0000}"/>
    <cellStyle name="40% - Énfasis3 3 3 3 3" xfId="17722" xr:uid="{00000000-0005-0000-0000-00002B1B0000}"/>
    <cellStyle name="40% - Énfasis3 3 3 3 3 2" xfId="40365" xr:uid="{00000000-0005-0000-0000-00002C1B0000}"/>
    <cellStyle name="40% - Énfasis3 3 3 3 4" xfId="10282" xr:uid="{00000000-0005-0000-0000-00002D1B0000}"/>
    <cellStyle name="40% - Énfasis3 3 3 3 4 2" xfId="32925" xr:uid="{00000000-0005-0000-0000-00002E1B0000}"/>
    <cellStyle name="40% - Énfasis3 3 3 3 5" xfId="25484" xr:uid="{00000000-0005-0000-0000-00002F1B0000}"/>
    <cellStyle name="40% - Énfasis3 3 3 4" xfId="4709" xr:uid="{00000000-0005-0000-0000-0000301B0000}"/>
    <cellStyle name="40% - Énfasis3 3 3 4 2" xfId="19593" xr:uid="{00000000-0005-0000-0000-0000311B0000}"/>
    <cellStyle name="40% - Énfasis3 3 3 4 2 2" xfId="42236" xr:uid="{00000000-0005-0000-0000-0000321B0000}"/>
    <cellStyle name="40% - Énfasis3 3 3 4 3" xfId="12153" xr:uid="{00000000-0005-0000-0000-0000331B0000}"/>
    <cellStyle name="40% - Énfasis3 3 3 4 3 2" xfId="34796" xr:uid="{00000000-0005-0000-0000-0000341B0000}"/>
    <cellStyle name="40% - Énfasis3 3 3 4 4" xfId="27355" xr:uid="{00000000-0005-0000-0000-0000351B0000}"/>
    <cellStyle name="40% - Énfasis3 3 3 5" xfId="982" xr:uid="{00000000-0005-0000-0000-0000361B0000}"/>
    <cellStyle name="40% - Énfasis3 3 3 5 2" xfId="15875" xr:uid="{00000000-0005-0000-0000-0000371B0000}"/>
    <cellStyle name="40% - Énfasis3 3 3 5 2 2" xfId="38518" xr:uid="{00000000-0005-0000-0000-0000381B0000}"/>
    <cellStyle name="40% - Énfasis3 3 3 5 3" xfId="23637" xr:uid="{00000000-0005-0000-0000-0000391B0000}"/>
    <cellStyle name="40% - Énfasis3 3 3 6" xfId="8435" xr:uid="{00000000-0005-0000-0000-00003A1B0000}"/>
    <cellStyle name="40% - Énfasis3 3 3 6 2" xfId="31078" xr:uid="{00000000-0005-0000-0000-00003B1B0000}"/>
    <cellStyle name="40% - Énfasis3 3 3 7" xfId="22954" xr:uid="{00000000-0005-0000-0000-00003C1B0000}"/>
    <cellStyle name="40% - Énfasis3 3 4" xfId="1448" xr:uid="{00000000-0005-0000-0000-00003D1B0000}"/>
    <cellStyle name="40% - Énfasis3 3 4 2" xfId="3298" xr:uid="{00000000-0005-0000-0000-00003E1B0000}"/>
    <cellStyle name="40% - Énfasis3 3 4 2 2" xfId="7019" xr:uid="{00000000-0005-0000-0000-00003F1B0000}"/>
    <cellStyle name="40% - Énfasis3 3 4 2 2 2" xfId="21903" xr:uid="{00000000-0005-0000-0000-0000401B0000}"/>
    <cellStyle name="40% - Énfasis3 3 4 2 2 2 2" xfId="44546" xr:uid="{00000000-0005-0000-0000-0000411B0000}"/>
    <cellStyle name="40% - Énfasis3 3 4 2 2 3" xfId="14463" xr:uid="{00000000-0005-0000-0000-0000421B0000}"/>
    <cellStyle name="40% - Énfasis3 3 4 2 2 3 2" xfId="37106" xr:uid="{00000000-0005-0000-0000-0000431B0000}"/>
    <cellStyle name="40% - Énfasis3 3 4 2 2 4" xfId="29665" xr:uid="{00000000-0005-0000-0000-0000441B0000}"/>
    <cellStyle name="40% - Énfasis3 3 4 2 3" xfId="18185" xr:uid="{00000000-0005-0000-0000-0000451B0000}"/>
    <cellStyle name="40% - Énfasis3 3 4 2 3 2" xfId="40828" xr:uid="{00000000-0005-0000-0000-0000461B0000}"/>
    <cellStyle name="40% - Énfasis3 3 4 2 4" xfId="10745" xr:uid="{00000000-0005-0000-0000-0000471B0000}"/>
    <cellStyle name="40% - Énfasis3 3 4 2 4 2" xfId="33388" xr:uid="{00000000-0005-0000-0000-0000481B0000}"/>
    <cellStyle name="40% - Énfasis3 3 4 2 5" xfId="25947" xr:uid="{00000000-0005-0000-0000-0000491B0000}"/>
    <cellStyle name="40% - Énfasis3 3 4 3" xfId="5172" xr:uid="{00000000-0005-0000-0000-00004A1B0000}"/>
    <cellStyle name="40% - Énfasis3 3 4 3 2" xfId="20056" xr:uid="{00000000-0005-0000-0000-00004B1B0000}"/>
    <cellStyle name="40% - Énfasis3 3 4 3 2 2" xfId="42699" xr:uid="{00000000-0005-0000-0000-00004C1B0000}"/>
    <cellStyle name="40% - Énfasis3 3 4 3 3" xfId="12616" xr:uid="{00000000-0005-0000-0000-00004D1B0000}"/>
    <cellStyle name="40% - Énfasis3 3 4 3 3 2" xfId="35259" xr:uid="{00000000-0005-0000-0000-00004E1B0000}"/>
    <cellStyle name="40% - Énfasis3 3 4 3 4" xfId="27818" xr:uid="{00000000-0005-0000-0000-00004F1B0000}"/>
    <cellStyle name="40% - Énfasis3 3 4 4" xfId="16338" xr:uid="{00000000-0005-0000-0000-0000501B0000}"/>
    <cellStyle name="40% - Énfasis3 3 4 4 2" xfId="38981" xr:uid="{00000000-0005-0000-0000-0000511B0000}"/>
    <cellStyle name="40% - Énfasis3 3 4 5" xfId="8898" xr:uid="{00000000-0005-0000-0000-0000521B0000}"/>
    <cellStyle name="40% - Énfasis3 3 4 5 2" xfId="31541" xr:uid="{00000000-0005-0000-0000-0000531B0000}"/>
    <cellStyle name="40% - Énfasis3 3 4 6" xfId="24100" xr:uid="{00000000-0005-0000-0000-0000541B0000}"/>
    <cellStyle name="40% - Énfasis3 3 5" xfId="2373" xr:uid="{00000000-0005-0000-0000-0000551B0000}"/>
    <cellStyle name="40% - Énfasis3 3 5 2" xfId="6094" xr:uid="{00000000-0005-0000-0000-0000561B0000}"/>
    <cellStyle name="40% - Énfasis3 3 5 2 2" xfId="20978" xr:uid="{00000000-0005-0000-0000-0000571B0000}"/>
    <cellStyle name="40% - Énfasis3 3 5 2 2 2" xfId="43621" xr:uid="{00000000-0005-0000-0000-0000581B0000}"/>
    <cellStyle name="40% - Énfasis3 3 5 2 3" xfId="13538" xr:uid="{00000000-0005-0000-0000-0000591B0000}"/>
    <cellStyle name="40% - Énfasis3 3 5 2 3 2" xfId="36181" xr:uid="{00000000-0005-0000-0000-00005A1B0000}"/>
    <cellStyle name="40% - Énfasis3 3 5 2 4" xfId="28740" xr:uid="{00000000-0005-0000-0000-00005B1B0000}"/>
    <cellStyle name="40% - Énfasis3 3 5 3" xfId="17260" xr:uid="{00000000-0005-0000-0000-00005C1B0000}"/>
    <cellStyle name="40% - Énfasis3 3 5 3 2" xfId="39903" xr:uid="{00000000-0005-0000-0000-00005D1B0000}"/>
    <cellStyle name="40% - Énfasis3 3 5 4" xfId="9820" xr:uid="{00000000-0005-0000-0000-00005E1B0000}"/>
    <cellStyle name="40% - Énfasis3 3 5 4 2" xfId="32463" xr:uid="{00000000-0005-0000-0000-00005F1B0000}"/>
    <cellStyle name="40% - Énfasis3 3 5 5" xfId="25022" xr:uid="{00000000-0005-0000-0000-0000601B0000}"/>
    <cellStyle name="40% - Énfasis3 3 6" xfId="4247" xr:uid="{00000000-0005-0000-0000-0000611B0000}"/>
    <cellStyle name="40% - Énfasis3 3 6 2" xfId="19131" xr:uid="{00000000-0005-0000-0000-0000621B0000}"/>
    <cellStyle name="40% - Énfasis3 3 6 2 2" xfId="41774" xr:uid="{00000000-0005-0000-0000-0000631B0000}"/>
    <cellStyle name="40% - Énfasis3 3 6 3" xfId="11691" xr:uid="{00000000-0005-0000-0000-0000641B0000}"/>
    <cellStyle name="40% - Énfasis3 3 6 3 2" xfId="34334" xr:uid="{00000000-0005-0000-0000-0000651B0000}"/>
    <cellStyle name="40% - Énfasis3 3 6 4" xfId="26893" xr:uid="{00000000-0005-0000-0000-0000661B0000}"/>
    <cellStyle name="40% - Énfasis3 3 7" xfId="515" xr:uid="{00000000-0005-0000-0000-0000671B0000}"/>
    <cellStyle name="40% - Énfasis3 3 7 2" xfId="15413" xr:uid="{00000000-0005-0000-0000-0000681B0000}"/>
    <cellStyle name="40% - Énfasis3 3 7 2 2" xfId="38056" xr:uid="{00000000-0005-0000-0000-0000691B0000}"/>
    <cellStyle name="40% - Énfasis3 3 7 3" xfId="23176" xr:uid="{00000000-0005-0000-0000-00006A1B0000}"/>
    <cellStyle name="40% - Énfasis3 3 8" xfId="7973" xr:uid="{00000000-0005-0000-0000-00006B1B0000}"/>
    <cellStyle name="40% - Énfasis3 3 8 2" xfId="30616" xr:uid="{00000000-0005-0000-0000-00006C1B0000}"/>
    <cellStyle name="40% - Énfasis3 3 9" xfId="22798" xr:uid="{00000000-0005-0000-0000-00006D1B0000}"/>
    <cellStyle name="40% - Énfasis3 4" xfId="131" xr:uid="{00000000-0005-0000-0000-00006E1B0000}"/>
    <cellStyle name="40% - Énfasis3 4 2" xfId="295" xr:uid="{00000000-0005-0000-0000-00006F1B0000}"/>
    <cellStyle name="40% - Énfasis3 4 2 2" xfId="2016" xr:uid="{00000000-0005-0000-0000-0000701B0000}"/>
    <cellStyle name="40% - Énfasis3 4 2 2 2" xfId="3866" xr:uid="{00000000-0005-0000-0000-0000711B0000}"/>
    <cellStyle name="40% - Énfasis3 4 2 2 2 2" xfId="7587" xr:uid="{00000000-0005-0000-0000-0000721B0000}"/>
    <cellStyle name="40% - Énfasis3 4 2 2 2 2 2" xfId="22471" xr:uid="{00000000-0005-0000-0000-0000731B0000}"/>
    <cellStyle name="40% - Énfasis3 4 2 2 2 2 2 2" xfId="45114" xr:uid="{00000000-0005-0000-0000-0000741B0000}"/>
    <cellStyle name="40% - Énfasis3 4 2 2 2 2 3" xfId="15031" xr:uid="{00000000-0005-0000-0000-0000751B0000}"/>
    <cellStyle name="40% - Énfasis3 4 2 2 2 2 3 2" xfId="37674" xr:uid="{00000000-0005-0000-0000-0000761B0000}"/>
    <cellStyle name="40% - Énfasis3 4 2 2 2 2 4" xfId="30233" xr:uid="{00000000-0005-0000-0000-0000771B0000}"/>
    <cellStyle name="40% - Énfasis3 4 2 2 2 3" xfId="18753" xr:uid="{00000000-0005-0000-0000-0000781B0000}"/>
    <cellStyle name="40% - Énfasis3 4 2 2 2 3 2" xfId="41396" xr:uid="{00000000-0005-0000-0000-0000791B0000}"/>
    <cellStyle name="40% - Énfasis3 4 2 2 2 4" xfId="11313" xr:uid="{00000000-0005-0000-0000-00007A1B0000}"/>
    <cellStyle name="40% - Énfasis3 4 2 2 2 4 2" xfId="33956" xr:uid="{00000000-0005-0000-0000-00007B1B0000}"/>
    <cellStyle name="40% - Énfasis3 4 2 2 2 5" xfId="26515" xr:uid="{00000000-0005-0000-0000-00007C1B0000}"/>
    <cellStyle name="40% - Énfasis3 4 2 2 3" xfId="5740" xr:uid="{00000000-0005-0000-0000-00007D1B0000}"/>
    <cellStyle name="40% - Énfasis3 4 2 2 3 2" xfId="20624" xr:uid="{00000000-0005-0000-0000-00007E1B0000}"/>
    <cellStyle name="40% - Énfasis3 4 2 2 3 2 2" xfId="43267" xr:uid="{00000000-0005-0000-0000-00007F1B0000}"/>
    <cellStyle name="40% - Énfasis3 4 2 2 3 3" xfId="13184" xr:uid="{00000000-0005-0000-0000-0000801B0000}"/>
    <cellStyle name="40% - Énfasis3 4 2 2 3 3 2" xfId="35827" xr:uid="{00000000-0005-0000-0000-0000811B0000}"/>
    <cellStyle name="40% - Énfasis3 4 2 2 3 4" xfId="28386" xr:uid="{00000000-0005-0000-0000-0000821B0000}"/>
    <cellStyle name="40% - Énfasis3 4 2 2 4" xfId="16906" xr:uid="{00000000-0005-0000-0000-0000831B0000}"/>
    <cellStyle name="40% - Énfasis3 4 2 2 4 2" xfId="39549" xr:uid="{00000000-0005-0000-0000-0000841B0000}"/>
    <cellStyle name="40% - Énfasis3 4 2 2 5" xfId="9466" xr:uid="{00000000-0005-0000-0000-0000851B0000}"/>
    <cellStyle name="40% - Énfasis3 4 2 2 5 2" xfId="32109" xr:uid="{00000000-0005-0000-0000-0000861B0000}"/>
    <cellStyle name="40% - Énfasis3 4 2 2 6" xfId="24668" xr:uid="{00000000-0005-0000-0000-0000871B0000}"/>
    <cellStyle name="40% - Énfasis3 4 2 3" xfId="2941" xr:uid="{00000000-0005-0000-0000-0000881B0000}"/>
    <cellStyle name="40% - Énfasis3 4 2 3 2" xfId="6662" xr:uid="{00000000-0005-0000-0000-0000891B0000}"/>
    <cellStyle name="40% - Énfasis3 4 2 3 2 2" xfId="21546" xr:uid="{00000000-0005-0000-0000-00008A1B0000}"/>
    <cellStyle name="40% - Énfasis3 4 2 3 2 2 2" xfId="44189" xr:uid="{00000000-0005-0000-0000-00008B1B0000}"/>
    <cellStyle name="40% - Énfasis3 4 2 3 2 3" xfId="14106" xr:uid="{00000000-0005-0000-0000-00008C1B0000}"/>
    <cellStyle name="40% - Énfasis3 4 2 3 2 3 2" xfId="36749" xr:uid="{00000000-0005-0000-0000-00008D1B0000}"/>
    <cellStyle name="40% - Énfasis3 4 2 3 2 4" xfId="29308" xr:uid="{00000000-0005-0000-0000-00008E1B0000}"/>
    <cellStyle name="40% - Énfasis3 4 2 3 3" xfId="17828" xr:uid="{00000000-0005-0000-0000-00008F1B0000}"/>
    <cellStyle name="40% - Énfasis3 4 2 3 3 2" xfId="40471" xr:uid="{00000000-0005-0000-0000-0000901B0000}"/>
    <cellStyle name="40% - Énfasis3 4 2 3 4" xfId="10388" xr:uid="{00000000-0005-0000-0000-0000911B0000}"/>
    <cellStyle name="40% - Énfasis3 4 2 3 4 2" xfId="33031" xr:uid="{00000000-0005-0000-0000-0000921B0000}"/>
    <cellStyle name="40% - Énfasis3 4 2 3 5" xfId="25590" xr:uid="{00000000-0005-0000-0000-0000931B0000}"/>
    <cellStyle name="40% - Énfasis3 4 2 4" xfId="4815" xr:uid="{00000000-0005-0000-0000-0000941B0000}"/>
    <cellStyle name="40% - Énfasis3 4 2 4 2" xfId="19699" xr:uid="{00000000-0005-0000-0000-0000951B0000}"/>
    <cellStyle name="40% - Énfasis3 4 2 4 2 2" xfId="42342" xr:uid="{00000000-0005-0000-0000-0000961B0000}"/>
    <cellStyle name="40% - Énfasis3 4 2 4 3" xfId="12259" xr:uid="{00000000-0005-0000-0000-0000971B0000}"/>
    <cellStyle name="40% - Énfasis3 4 2 4 3 2" xfId="34902" xr:uid="{00000000-0005-0000-0000-0000981B0000}"/>
    <cellStyle name="40% - Énfasis3 4 2 4 4" xfId="27461" xr:uid="{00000000-0005-0000-0000-0000991B0000}"/>
    <cellStyle name="40% - Énfasis3 4 2 5" xfId="1088" xr:uid="{00000000-0005-0000-0000-00009A1B0000}"/>
    <cellStyle name="40% - Énfasis3 4 2 5 2" xfId="15981" xr:uid="{00000000-0005-0000-0000-00009B1B0000}"/>
    <cellStyle name="40% - Énfasis3 4 2 5 2 2" xfId="38624" xr:uid="{00000000-0005-0000-0000-00009C1B0000}"/>
    <cellStyle name="40% - Énfasis3 4 2 5 3" xfId="23743" xr:uid="{00000000-0005-0000-0000-00009D1B0000}"/>
    <cellStyle name="40% - Énfasis3 4 2 6" xfId="8541" xr:uid="{00000000-0005-0000-0000-00009E1B0000}"/>
    <cellStyle name="40% - Énfasis3 4 2 6 2" xfId="31184" xr:uid="{00000000-0005-0000-0000-00009F1B0000}"/>
    <cellStyle name="40% - Énfasis3 4 2 7" xfId="22993" xr:uid="{00000000-0005-0000-0000-0000A01B0000}"/>
    <cellStyle name="40% - Énfasis3 4 3" xfId="1554" xr:uid="{00000000-0005-0000-0000-0000A11B0000}"/>
    <cellStyle name="40% - Énfasis3 4 3 2" xfId="3404" xr:uid="{00000000-0005-0000-0000-0000A21B0000}"/>
    <cellStyle name="40% - Énfasis3 4 3 2 2" xfId="7125" xr:uid="{00000000-0005-0000-0000-0000A31B0000}"/>
    <cellStyle name="40% - Énfasis3 4 3 2 2 2" xfId="22009" xr:uid="{00000000-0005-0000-0000-0000A41B0000}"/>
    <cellStyle name="40% - Énfasis3 4 3 2 2 2 2" xfId="44652" xr:uid="{00000000-0005-0000-0000-0000A51B0000}"/>
    <cellStyle name="40% - Énfasis3 4 3 2 2 3" xfId="14569" xr:uid="{00000000-0005-0000-0000-0000A61B0000}"/>
    <cellStyle name="40% - Énfasis3 4 3 2 2 3 2" xfId="37212" xr:uid="{00000000-0005-0000-0000-0000A71B0000}"/>
    <cellStyle name="40% - Énfasis3 4 3 2 2 4" xfId="29771" xr:uid="{00000000-0005-0000-0000-0000A81B0000}"/>
    <cellStyle name="40% - Énfasis3 4 3 2 3" xfId="18291" xr:uid="{00000000-0005-0000-0000-0000A91B0000}"/>
    <cellStyle name="40% - Énfasis3 4 3 2 3 2" xfId="40934" xr:uid="{00000000-0005-0000-0000-0000AA1B0000}"/>
    <cellStyle name="40% - Énfasis3 4 3 2 4" xfId="10851" xr:uid="{00000000-0005-0000-0000-0000AB1B0000}"/>
    <cellStyle name="40% - Énfasis3 4 3 2 4 2" xfId="33494" xr:uid="{00000000-0005-0000-0000-0000AC1B0000}"/>
    <cellStyle name="40% - Énfasis3 4 3 2 5" xfId="26053" xr:uid="{00000000-0005-0000-0000-0000AD1B0000}"/>
    <cellStyle name="40% - Énfasis3 4 3 3" xfId="5278" xr:uid="{00000000-0005-0000-0000-0000AE1B0000}"/>
    <cellStyle name="40% - Énfasis3 4 3 3 2" xfId="20162" xr:uid="{00000000-0005-0000-0000-0000AF1B0000}"/>
    <cellStyle name="40% - Énfasis3 4 3 3 2 2" xfId="42805" xr:uid="{00000000-0005-0000-0000-0000B01B0000}"/>
    <cellStyle name="40% - Énfasis3 4 3 3 3" xfId="12722" xr:uid="{00000000-0005-0000-0000-0000B11B0000}"/>
    <cellStyle name="40% - Énfasis3 4 3 3 3 2" xfId="35365" xr:uid="{00000000-0005-0000-0000-0000B21B0000}"/>
    <cellStyle name="40% - Énfasis3 4 3 3 4" xfId="27924" xr:uid="{00000000-0005-0000-0000-0000B31B0000}"/>
    <cellStyle name="40% - Énfasis3 4 3 4" xfId="16444" xr:uid="{00000000-0005-0000-0000-0000B41B0000}"/>
    <cellStyle name="40% - Énfasis3 4 3 4 2" xfId="39087" xr:uid="{00000000-0005-0000-0000-0000B51B0000}"/>
    <cellStyle name="40% - Énfasis3 4 3 5" xfId="9004" xr:uid="{00000000-0005-0000-0000-0000B61B0000}"/>
    <cellStyle name="40% - Énfasis3 4 3 5 2" xfId="31647" xr:uid="{00000000-0005-0000-0000-0000B71B0000}"/>
    <cellStyle name="40% - Énfasis3 4 3 6" xfId="24206" xr:uid="{00000000-0005-0000-0000-0000B81B0000}"/>
    <cellStyle name="40% - Énfasis3 4 4" xfId="2479" xr:uid="{00000000-0005-0000-0000-0000B91B0000}"/>
    <cellStyle name="40% - Énfasis3 4 4 2" xfId="6200" xr:uid="{00000000-0005-0000-0000-0000BA1B0000}"/>
    <cellStyle name="40% - Énfasis3 4 4 2 2" xfId="21084" xr:uid="{00000000-0005-0000-0000-0000BB1B0000}"/>
    <cellStyle name="40% - Énfasis3 4 4 2 2 2" xfId="43727" xr:uid="{00000000-0005-0000-0000-0000BC1B0000}"/>
    <cellStyle name="40% - Énfasis3 4 4 2 3" xfId="13644" xr:uid="{00000000-0005-0000-0000-0000BD1B0000}"/>
    <cellStyle name="40% - Énfasis3 4 4 2 3 2" xfId="36287" xr:uid="{00000000-0005-0000-0000-0000BE1B0000}"/>
    <cellStyle name="40% - Énfasis3 4 4 2 4" xfId="28846" xr:uid="{00000000-0005-0000-0000-0000BF1B0000}"/>
    <cellStyle name="40% - Énfasis3 4 4 3" xfId="17366" xr:uid="{00000000-0005-0000-0000-0000C01B0000}"/>
    <cellStyle name="40% - Énfasis3 4 4 3 2" xfId="40009" xr:uid="{00000000-0005-0000-0000-0000C11B0000}"/>
    <cellStyle name="40% - Énfasis3 4 4 4" xfId="9926" xr:uid="{00000000-0005-0000-0000-0000C21B0000}"/>
    <cellStyle name="40% - Énfasis3 4 4 4 2" xfId="32569" xr:uid="{00000000-0005-0000-0000-0000C31B0000}"/>
    <cellStyle name="40% - Énfasis3 4 4 5" xfId="25128" xr:uid="{00000000-0005-0000-0000-0000C41B0000}"/>
    <cellStyle name="40% - Énfasis3 4 5" xfId="4353" xr:uid="{00000000-0005-0000-0000-0000C51B0000}"/>
    <cellStyle name="40% - Énfasis3 4 5 2" xfId="19237" xr:uid="{00000000-0005-0000-0000-0000C61B0000}"/>
    <cellStyle name="40% - Énfasis3 4 5 2 2" xfId="41880" xr:uid="{00000000-0005-0000-0000-0000C71B0000}"/>
    <cellStyle name="40% - Énfasis3 4 5 3" xfId="11797" xr:uid="{00000000-0005-0000-0000-0000C81B0000}"/>
    <cellStyle name="40% - Énfasis3 4 5 3 2" xfId="34440" xr:uid="{00000000-0005-0000-0000-0000C91B0000}"/>
    <cellStyle name="40% - Énfasis3 4 5 4" xfId="26999" xr:uid="{00000000-0005-0000-0000-0000CA1B0000}"/>
    <cellStyle name="40% - Énfasis3 4 6" xfId="621" xr:uid="{00000000-0005-0000-0000-0000CB1B0000}"/>
    <cellStyle name="40% - Énfasis3 4 6 2" xfId="15519" xr:uid="{00000000-0005-0000-0000-0000CC1B0000}"/>
    <cellStyle name="40% - Énfasis3 4 6 2 2" xfId="38162" xr:uid="{00000000-0005-0000-0000-0000CD1B0000}"/>
    <cellStyle name="40% - Énfasis3 4 6 3" xfId="23281" xr:uid="{00000000-0005-0000-0000-0000CE1B0000}"/>
    <cellStyle name="40% - Énfasis3 4 7" xfId="8079" xr:uid="{00000000-0005-0000-0000-0000CF1B0000}"/>
    <cellStyle name="40% - Énfasis3 4 7 2" xfId="30722" xr:uid="{00000000-0005-0000-0000-0000D01B0000}"/>
    <cellStyle name="40% - Énfasis3 4 8" xfId="22837" xr:uid="{00000000-0005-0000-0000-0000D11B0000}"/>
    <cellStyle name="40% - Énfasis3 5" xfId="214" xr:uid="{00000000-0005-0000-0000-0000D21B0000}"/>
    <cellStyle name="40% - Énfasis3 5 2" xfId="1805" xr:uid="{00000000-0005-0000-0000-0000D31B0000}"/>
    <cellStyle name="40% - Énfasis3 5 2 2" xfId="3655" xr:uid="{00000000-0005-0000-0000-0000D41B0000}"/>
    <cellStyle name="40% - Énfasis3 5 2 2 2" xfId="7376" xr:uid="{00000000-0005-0000-0000-0000D51B0000}"/>
    <cellStyle name="40% - Énfasis3 5 2 2 2 2" xfId="22260" xr:uid="{00000000-0005-0000-0000-0000D61B0000}"/>
    <cellStyle name="40% - Énfasis3 5 2 2 2 2 2" xfId="44903" xr:uid="{00000000-0005-0000-0000-0000D71B0000}"/>
    <cellStyle name="40% - Énfasis3 5 2 2 2 3" xfId="14820" xr:uid="{00000000-0005-0000-0000-0000D81B0000}"/>
    <cellStyle name="40% - Énfasis3 5 2 2 2 3 2" xfId="37463" xr:uid="{00000000-0005-0000-0000-0000D91B0000}"/>
    <cellStyle name="40% - Énfasis3 5 2 2 2 4" xfId="30022" xr:uid="{00000000-0005-0000-0000-0000DA1B0000}"/>
    <cellStyle name="40% - Énfasis3 5 2 2 3" xfId="18542" xr:uid="{00000000-0005-0000-0000-0000DB1B0000}"/>
    <cellStyle name="40% - Énfasis3 5 2 2 3 2" xfId="41185" xr:uid="{00000000-0005-0000-0000-0000DC1B0000}"/>
    <cellStyle name="40% - Énfasis3 5 2 2 4" xfId="11102" xr:uid="{00000000-0005-0000-0000-0000DD1B0000}"/>
    <cellStyle name="40% - Énfasis3 5 2 2 4 2" xfId="33745" xr:uid="{00000000-0005-0000-0000-0000DE1B0000}"/>
    <cellStyle name="40% - Énfasis3 5 2 2 5" xfId="26304" xr:uid="{00000000-0005-0000-0000-0000DF1B0000}"/>
    <cellStyle name="40% - Énfasis3 5 2 3" xfId="5529" xr:uid="{00000000-0005-0000-0000-0000E01B0000}"/>
    <cellStyle name="40% - Énfasis3 5 2 3 2" xfId="20413" xr:uid="{00000000-0005-0000-0000-0000E11B0000}"/>
    <cellStyle name="40% - Énfasis3 5 2 3 2 2" xfId="43056" xr:uid="{00000000-0005-0000-0000-0000E21B0000}"/>
    <cellStyle name="40% - Énfasis3 5 2 3 3" xfId="12973" xr:uid="{00000000-0005-0000-0000-0000E31B0000}"/>
    <cellStyle name="40% - Énfasis3 5 2 3 3 2" xfId="35616" xr:uid="{00000000-0005-0000-0000-0000E41B0000}"/>
    <cellStyle name="40% - Énfasis3 5 2 3 4" xfId="28175" xr:uid="{00000000-0005-0000-0000-0000E51B0000}"/>
    <cellStyle name="40% - Énfasis3 5 2 4" xfId="16695" xr:uid="{00000000-0005-0000-0000-0000E61B0000}"/>
    <cellStyle name="40% - Énfasis3 5 2 4 2" xfId="39338" xr:uid="{00000000-0005-0000-0000-0000E71B0000}"/>
    <cellStyle name="40% - Énfasis3 5 2 5" xfId="9255" xr:uid="{00000000-0005-0000-0000-0000E81B0000}"/>
    <cellStyle name="40% - Énfasis3 5 2 5 2" xfId="31898" xr:uid="{00000000-0005-0000-0000-0000E91B0000}"/>
    <cellStyle name="40% - Énfasis3 5 2 6" xfId="24457" xr:uid="{00000000-0005-0000-0000-0000EA1B0000}"/>
    <cellStyle name="40% - Énfasis3 5 3" xfId="2730" xr:uid="{00000000-0005-0000-0000-0000EB1B0000}"/>
    <cellStyle name="40% - Énfasis3 5 3 2" xfId="6451" xr:uid="{00000000-0005-0000-0000-0000EC1B0000}"/>
    <cellStyle name="40% - Énfasis3 5 3 2 2" xfId="21335" xr:uid="{00000000-0005-0000-0000-0000ED1B0000}"/>
    <cellStyle name="40% - Énfasis3 5 3 2 2 2" xfId="43978" xr:uid="{00000000-0005-0000-0000-0000EE1B0000}"/>
    <cellStyle name="40% - Énfasis3 5 3 2 3" xfId="13895" xr:uid="{00000000-0005-0000-0000-0000EF1B0000}"/>
    <cellStyle name="40% - Énfasis3 5 3 2 3 2" xfId="36538" xr:uid="{00000000-0005-0000-0000-0000F01B0000}"/>
    <cellStyle name="40% - Énfasis3 5 3 2 4" xfId="29097" xr:uid="{00000000-0005-0000-0000-0000F11B0000}"/>
    <cellStyle name="40% - Énfasis3 5 3 3" xfId="17617" xr:uid="{00000000-0005-0000-0000-0000F21B0000}"/>
    <cellStyle name="40% - Énfasis3 5 3 3 2" xfId="40260" xr:uid="{00000000-0005-0000-0000-0000F31B0000}"/>
    <cellStyle name="40% - Énfasis3 5 3 4" xfId="10177" xr:uid="{00000000-0005-0000-0000-0000F41B0000}"/>
    <cellStyle name="40% - Énfasis3 5 3 4 2" xfId="32820" xr:uid="{00000000-0005-0000-0000-0000F51B0000}"/>
    <cellStyle name="40% - Énfasis3 5 3 5" xfId="25379" xr:uid="{00000000-0005-0000-0000-0000F61B0000}"/>
    <cellStyle name="40% - Énfasis3 5 4" xfId="4604" xr:uid="{00000000-0005-0000-0000-0000F71B0000}"/>
    <cellStyle name="40% - Énfasis3 5 4 2" xfId="19488" xr:uid="{00000000-0005-0000-0000-0000F81B0000}"/>
    <cellStyle name="40% - Énfasis3 5 4 2 2" xfId="42131" xr:uid="{00000000-0005-0000-0000-0000F91B0000}"/>
    <cellStyle name="40% - Énfasis3 5 4 3" xfId="12048" xr:uid="{00000000-0005-0000-0000-0000FA1B0000}"/>
    <cellStyle name="40% - Énfasis3 5 4 3 2" xfId="34691" xr:uid="{00000000-0005-0000-0000-0000FB1B0000}"/>
    <cellStyle name="40% - Énfasis3 5 4 4" xfId="27250" xr:uid="{00000000-0005-0000-0000-0000FC1B0000}"/>
    <cellStyle name="40% - Énfasis3 5 5" xfId="874" xr:uid="{00000000-0005-0000-0000-0000FD1B0000}"/>
    <cellStyle name="40% - Énfasis3 5 5 2" xfId="15770" xr:uid="{00000000-0005-0000-0000-0000FE1B0000}"/>
    <cellStyle name="40% - Énfasis3 5 5 2 2" xfId="38413" xr:uid="{00000000-0005-0000-0000-0000FF1B0000}"/>
    <cellStyle name="40% - Énfasis3 5 5 3" xfId="23532" xr:uid="{00000000-0005-0000-0000-0000001C0000}"/>
    <cellStyle name="40% - Énfasis3 5 6" xfId="8330" xr:uid="{00000000-0005-0000-0000-0000011C0000}"/>
    <cellStyle name="40% - Énfasis3 5 6 2" xfId="30973" xr:uid="{00000000-0005-0000-0000-0000021C0000}"/>
    <cellStyle name="40% - Énfasis3 5 7" xfId="22915" xr:uid="{00000000-0005-0000-0000-0000031C0000}"/>
    <cellStyle name="40% - Énfasis3 6" xfId="1340" xr:uid="{00000000-0005-0000-0000-0000041C0000}"/>
    <cellStyle name="40% - Énfasis3 6 2" xfId="3193" xr:uid="{00000000-0005-0000-0000-0000051C0000}"/>
    <cellStyle name="40% - Énfasis3 6 2 2" xfId="6914" xr:uid="{00000000-0005-0000-0000-0000061C0000}"/>
    <cellStyle name="40% - Énfasis3 6 2 2 2" xfId="21798" xr:uid="{00000000-0005-0000-0000-0000071C0000}"/>
    <cellStyle name="40% - Énfasis3 6 2 2 2 2" xfId="44441" xr:uid="{00000000-0005-0000-0000-0000081C0000}"/>
    <cellStyle name="40% - Énfasis3 6 2 2 3" xfId="14358" xr:uid="{00000000-0005-0000-0000-0000091C0000}"/>
    <cellStyle name="40% - Énfasis3 6 2 2 3 2" xfId="37001" xr:uid="{00000000-0005-0000-0000-00000A1C0000}"/>
    <cellStyle name="40% - Énfasis3 6 2 2 4" xfId="29560" xr:uid="{00000000-0005-0000-0000-00000B1C0000}"/>
    <cellStyle name="40% - Énfasis3 6 2 3" xfId="18080" xr:uid="{00000000-0005-0000-0000-00000C1C0000}"/>
    <cellStyle name="40% - Énfasis3 6 2 3 2" xfId="40723" xr:uid="{00000000-0005-0000-0000-00000D1C0000}"/>
    <cellStyle name="40% - Énfasis3 6 2 4" xfId="10640" xr:uid="{00000000-0005-0000-0000-00000E1C0000}"/>
    <cellStyle name="40% - Énfasis3 6 2 4 2" xfId="33283" xr:uid="{00000000-0005-0000-0000-00000F1C0000}"/>
    <cellStyle name="40% - Énfasis3 6 2 5" xfId="25842" xr:uid="{00000000-0005-0000-0000-0000101C0000}"/>
    <cellStyle name="40% - Énfasis3 6 3" xfId="5067" xr:uid="{00000000-0005-0000-0000-0000111C0000}"/>
    <cellStyle name="40% - Énfasis3 6 3 2" xfId="19951" xr:uid="{00000000-0005-0000-0000-0000121C0000}"/>
    <cellStyle name="40% - Énfasis3 6 3 2 2" xfId="42594" xr:uid="{00000000-0005-0000-0000-0000131C0000}"/>
    <cellStyle name="40% - Énfasis3 6 3 3" xfId="12511" xr:uid="{00000000-0005-0000-0000-0000141C0000}"/>
    <cellStyle name="40% - Énfasis3 6 3 3 2" xfId="35154" xr:uid="{00000000-0005-0000-0000-0000151C0000}"/>
    <cellStyle name="40% - Énfasis3 6 3 4" xfId="27713" xr:uid="{00000000-0005-0000-0000-0000161C0000}"/>
    <cellStyle name="40% - Énfasis3 6 4" xfId="16233" xr:uid="{00000000-0005-0000-0000-0000171C0000}"/>
    <cellStyle name="40% - Énfasis3 6 4 2" xfId="38876" xr:uid="{00000000-0005-0000-0000-0000181C0000}"/>
    <cellStyle name="40% - Énfasis3 6 5" xfId="8793" xr:uid="{00000000-0005-0000-0000-0000191C0000}"/>
    <cellStyle name="40% - Énfasis3 6 5 2" xfId="31436" xr:uid="{00000000-0005-0000-0000-00001A1C0000}"/>
    <cellStyle name="40% - Énfasis3 6 6" xfId="23995" xr:uid="{00000000-0005-0000-0000-00001B1C0000}"/>
    <cellStyle name="40% - Énfasis3 7" xfId="2265" xr:uid="{00000000-0005-0000-0000-00001C1C0000}"/>
    <cellStyle name="40% - Énfasis3 7 2" xfId="5989" xr:uid="{00000000-0005-0000-0000-00001D1C0000}"/>
    <cellStyle name="40% - Énfasis3 7 2 2" xfId="20873" xr:uid="{00000000-0005-0000-0000-00001E1C0000}"/>
    <cellStyle name="40% - Énfasis3 7 2 2 2" xfId="43516" xr:uid="{00000000-0005-0000-0000-00001F1C0000}"/>
    <cellStyle name="40% - Énfasis3 7 2 3" xfId="13433" xr:uid="{00000000-0005-0000-0000-0000201C0000}"/>
    <cellStyle name="40% - Énfasis3 7 2 3 2" xfId="36076" xr:uid="{00000000-0005-0000-0000-0000211C0000}"/>
    <cellStyle name="40% - Énfasis3 7 2 4" xfId="28635" xr:uid="{00000000-0005-0000-0000-0000221C0000}"/>
    <cellStyle name="40% - Énfasis3 7 3" xfId="17155" xr:uid="{00000000-0005-0000-0000-0000231C0000}"/>
    <cellStyle name="40% - Énfasis3 7 3 2" xfId="39798" xr:uid="{00000000-0005-0000-0000-0000241C0000}"/>
    <cellStyle name="40% - Énfasis3 7 4" xfId="9715" xr:uid="{00000000-0005-0000-0000-0000251C0000}"/>
    <cellStyle name="40% - Énfasis3 7 4 2" xfId="32358" xr:uid="{00000000-0005-0000-0000-0000261C0000}"/>
    <cellStyle name="40% - Énfasis3 7 5" xfId="24917" xr:uid="{00000000-0005-0000-0000-0000271C0000}"/>
    <cellStyle name="40% - Énfasis3 8" xfId="4139" xr:uid="{00000000-0005-0000-0000-0000281C0000}"/>
    <cellStyle name="40% - Énfasis3 8 2" xfId="19026" xr:uid="{00000000-0005-0000-0000-0000291C0000}"/>
    <cellStyle name="40% - Énfasis3 8 2 2" xfId="41669" xr:uid="{00000000-0005-0000-0000-00002A1C0000}"/>
    <cellStyle name="40% - Énfasis3 8 3" xfId="11586" xr:uid="{00000000-0005-0000-0000-00002B1C0000}"/>
    <cellStyle name="40% - Énfasis3 8 3 2" xfId="34229" xr:uid="{00000000-0005-0000-0000-00002C1C0000}"/>
    <cellStyle name="40% - Énfasis3 8 4" xfId="26788" xr:uid="{00000000-0005-0000-0000-00002D1C0000}"/>
    <cellStyle name="40% - Énfasis3 9" xfId="374" xr:uid="{00000000-0005-0000-0000-00002E1C0000}"/>
    <cellStyle name="40% - Énfasis3 9 2" xfId="15308" xr:uid="{00000000-0005-0000-0000-00002F1C0000}"/>
    <cellStyle name="40% - Énfasis3 9 2 2" xfId="37951" xr:uid="{00000000-0005-0000-0000-0000301C0000}"/>
    <cellStyle name="40% - Énfasis3 9 3" xfId="23071" xr:uid="{00000000-0005-0000-0000-0000311C0000}"/>
    <cellStyle name="40% - Énfasis4" xfId="19" builtinId="43" customBuiltin="1"/>
    <cellStyle name="40% - Énfasis4 10" xfId="7867" xr:uid="{00000000-0005-0000-0000-0000331C0000}"/>
    <cellStyle name="40% - Énfasis4 10 2" xfId="30513" xr:uid="{00000000-0005-0000-0000-0000341C0000}"/>
    <cellStyle name="40% - Énfasis4 11" xfId="22758" xr:uid="{00000000-0005-0000-0000-0000351C0000}"/>
    <cellStyle name="40% - Énfasis4 12" xfId="45459" xr:uid="{00000000-0005-0000-0000-0000361C0000}"/>
    <cellStyle name="40% - Énfasis4 13" xfId="45499" xr:uid="{00000000-0005-0000-0000-0000371C0000}"/>
    <cellStyle name="40% - Énfasis4 2" xfId="20" xr:uid="{00000000-0005-0000-0000-0000381C0000}"/>
    <cellStyle name="40% - Énfasis4 2 10" xfId="22773" xr:uid="{00000000-0005-0000-0000-0000391C0000}"/>
    <cellStyle name="40% - Énfasis4 2 2" xfId="106" xr:uid="{00000000-0005-0000-0000-00003A1C0000}"/>
    <cellStyle name="40% - Énfasis4 2 2 2" xfId="189" xr:uid="{00000000-0005-0000-0000-00003B1C0000}"/>
    <cellStyle name="40% - Énfasis4 2 2 2 2" xfId="350" xr:uid="{00000000-0005-0000-0000-00003C1C0000}"/>
    <cellStyle name="40% - Énfasis4 2 2 2 2 2" xfId="2175" xr:uid="{00000000-0005-0000-0000-00003D1C0000}"/>
    <cellStyle name="40% - Énfasis4 2 2 2 2 2 2" xfId="4025" xr:uid="{00000000-0005-0000-0000-00003E1C0000}"/>
    <cellStyle name="40% - Énfasis4 2 2 2 2 2 2 2" xfId="7746" xr:uid="{00000000-0005-0000-0000-00003F1C0000}"/>
    <cellStyle name="40% - Énfasis4 2 2 2 2 2 2 2 2" xfId="22630" xr:uid="{00000000-0005-0000-0000-0000401C0000}"/>
    <cellStyle name="40% - Énfasis4 2 2 2 2 2 2 2 2 2" xfId="45273" xr:uid="{00000000-0005-0000-0000-0000411C0000}"/>
    <cellStyle name="40% - Énfasis4 2 2 2 2 2 2 2 3" xfId="15190" xr:uid="{00000000-0005-0000-0000-0000421C0000}"/>
    <cellStyle name="40% - Énfasis4 2 2 2 2 2 2 2 3 2" xfId="37833" xr:uid="{00000000-0005-0000-0000-0000431C0000}"/>
    <cellStyle name="40% - Énfasis4 2 2 2 2 2 2 2 4" xfId="30392" xr:uid="{00000000-0005-0000-0000-0000441C0000}"/>
    <cellStyle name="40% - Énfasis4 2 2 2 2 2 2 3" xfId="18912" xr:uid="{00000000-0005-0000-0000-0000451C0000}"/>
    <cellStyle name="40% - Énfasis4 2 2 2 2 2 2 3 2" xfId="41555" xr:uid="{00000000-0005-0000-0000-0000461C0000}"/>
    <cellStyle name="40% - Énfasis4 2 2 2 2 2 2 4" xfId="11472" xr:uid="{00000000-0005-0000-0000-0000471C0000}"/>
    <cellStyle name="40% - Énfasis4 2 2 2 2 2 2 4 2" xfId="34115" xr:uid="{00000000-0005-0000-0000-0000481C0000}"/>
    <cellStyle name="40% - Énfasis4 2 2 2 2 2 2 5" xfId="26674" xr:uid="{00000000-0005-0000-0000-0000491C0000}"/>
    <cellStyle name="40% - Énfasis4 2 2 2 2 2 3" xfId="5899" xr:uid="{00000000-0005-0000-0000-00004A1C0000}"/>
    <cellStyle name="40% - Énfasis4 2 2 2 2 2 3 2" xfId="20783" xr:uid="{00000000-0005-0000-0000-00004B1C0000}"/>
    <cellStyle name="40% - Énfasis4 2 2 2 2 2 3 2 2" xfId="43426" xr:uid="{00000000-0005-0000-0000-00004C1C0000}"/>
    <cellStyle name="40% - Énfasis4 2 2 2 2 2 3 3" xfId="13343" xr:uid="{00000000-0005-0000-0000-00004D1C0000}"/>
    <cellStyle name="40% - Énfasis4 2 2 2 2 2 3 3 2" xfId="35986" xr:uid="{00000000-0005-0000-0000-00004E1C0000}"/>
    <cellStyle name="40% - Énfasis4 2 2 2 2 2 3 4" xfId="28545" xr:uid="{00000000-0005-0000-0000-00004F1C0000}"/>
    <cellStyle name="40% - Énfasis4 2 2 2 2 2 4" xfId="17065" xr:uid="{00000000-0005-0000-0000-0000501C0000}"/>
    <cellStyle name="40% - Énfasis4 2 2 2 2 2 4 2" xfId="39708" xr:uid="{00000000-0005-0000-0000-0000511C0000}"/>
    <cellStyle name="40% - Énfasis4 2 2 2 2 2 5" xfId="9625" xr:uid="{00000000-0005-0000-0000-0000521C0000}"/>
    <cellStyle name="40% - Énfasis4 2 2 2 2 2 5 2" xfId="32268" xr:uid="{00000000-0005-0000-0000-0000531C0000}"/>
    <cellStyle name="40% - Énfasis4 2 2 2 2 2 6" xfId="24827" xr:uid="{00000000-0005-0000-0000-0000541C0000}"/>
    <cellStyle name="40% - Énfasis4 2 2 2 2 3" xfId="3100" xr:uid="{00000000-0005-0000-0000-0000551C0000}"/>
    <cellStyle name="40% - Énfasis4 2 2 2 2 3 2" xfId="6821" xr:uid="{00000000-0005-0000-0000-0000561C0000}"/>
    <cellStyle name="40% - Énfasis4 2 2 2 2 3 2 2" xfId="21705" xr:uid="{00000000-0005-0000-0000-0000571C0000}"/>
    <cellStyle name="40% - Énfasis4 2 2 2 2 3 2 2 2" xfId="44348" xr:uid="{00000000-0005-0000-0000-0000581C0000}"/>
    <cellStyle name="40% - Énfasis4 2 2 2 2 3 2 3" xfId="14265" xr:uid="{00000000-0005-0000-0000-0000591C0000}"/>
    <cellStyle name="40% - Énfasis4 2 2 2 2 3 2 3 2" xfId="36908" xr:uid="{00000000-0005-0000-0000-00005A1C0000}"/>
    <cellStyle name="40% - Énfasis4 2 2 2 2 3 2 4" xfId="29467" xr:uid="{00000000-0005-0000-0000-00005B1C0000}"/>
    <cellStyle name="40% - Énfasis4 2 2 2 2 3 3" xfId="17987" xr:uid="{00000000-0005-0000-0000-00005C1C0000}"/>
    <cellStyle name="40% - Énfasis4 2 2 2 2 3 3 2" xfId="40630" xr:uid="{00000000-0005-0000-0000-00005D1C0000}"/>
    <cellStyle name="40% - Énfasis4 2 2 2 2 3 4" xfId="10547" xr:uid="{00000000-0005-0000-0000-00005E1C0000}"/>
    <cellStyle name="40% - Énfasis4 2 2 2 2 3 4 2" xfId="33190" xr:uid="{00000000-0005-0000-0000-00005F1C0000}"/>
    <cellStyle name="40% - Énfasis4 2 2 2 2 3 5" xfId="25749" xr:uid="{00000000-0005-0000-0000-0000601C0000}"/>
    <cellStyle name="40% - Énfasis4 2 2 2 2 4" xfId="4974" xr:uid="{00000000-0005-0000-0000-0000611C0000}"/>
    <cellStyle name="40% - Énfasis4 2 2 2 2 4 2" xfId="19858" xr:uid="{00000000-0005-0000-0000-0000621C0000}"/>
    <cellStyle name="40% - Énfasis4 2 2 2 2 4 2 2" xfId="42501" xr:uid="{00000000-0005-0000-0000-0000631C0000}"/>
    <cellStyle name="40% - Énfasis4 2 2 2 2 4 3" xfId="12418" xr:uid="{00000000-0005-0000-0000-0000641C0000}"/>
    <cellStyle name="40% - Énfasis4 2 2 2 2 4 3 2" xfId="35061" xr:uid="{00000000-0005-0000-0000-0000651C0000}"/>
    <cellStyle name="40% - Énfasis4 2 2 2 2 4 4" xfId="27620" xr:uid="{00000000-0005-0000-0000-0000661C0000}"/>
    <cellStyle name="40% - Énfasis4 2 2 2 2 5" xfId="1247" xr:uid="{00000000-0005-0000-0000-0000671C0000}"/>
    <cellStyle name="40% - Énfasis4 2 2 2 2 5 2" xfId="16140" xr:uid="{00000000-0005-0000-0000-0000681C0000}"/>
    <cellStyle name="40% - Énfasis4 2 2 2 2 5 2 2" xfId="38783" xr:uid="{00000000-0005-0000-0000-0000691C0000}"/>
    <cellStyle name="40% - Énfasis4 2 2 2 2 5 3" xfId="23902" xr:uid="{00000000-0005-0000-0000-00006A1C0000}"/>
    <cellStyle name="40% - Énfasis4 2 2 2 2 6" xfId="8700" xr:uid="{00000000-0005-0000-0000-00006B1C0000}"/>
    <cellStyle name="40% - Énfasis4 2 2 2 2 6 2" xfId="31343" xr:uid="{00000000-0005-0000-0000-00006C1C0000}"/>
    <cellStyle name="40% - Énfasis4 2 2 2 2 7" xfId="23048" xr:uid="{00000000-0005-0000-0000-00006D1C0000}"/>
    <cellStyle name="40% - Énfasis4 2 2 2 3" xfId="1713" xr:uid="{00000000-0005-0000-0000-00006E1C0000}"/>
    <cellStyle name="40% - Énfasis4 2 2 2 3 2" xfId="3563" xr:uid="{00000000-0005-0000-0000-00006F1C0000}"/>
    <cellStyle name="40% - Énfasis4 2 2 2 3 2 2" xfId="7284" xr:uid="{00000000-0005-0000-0000-0000701C0000}"/>
    <cellStyle name="40% - Énfasis4 2 2 2 3 2 2 2" xfId="22168" xr:uid="{00000000-0005-0000-0000-0000711C0000}"/>
    <cellStyle name="40% - Énfasis4 2 2 2 3 2 2 2 2" xfId="44811" xr:uid="{00000000-0005-0000-0000-0000721C0000}"/>
    <cellStyle name="40% - Énfasis4 2 2 2 3 2 2 3" xfId="14728" xr:uid="{00000000-0005-0000-0000-0000731C0000}"/>
    <cellStyle name="40% - Énfasis4 2 2 2 3 2 2 3 2" xfId="37371" xr:uid="{00000000-0005-0000-0000-0000741C0000}"/>
    <cellStyle name="40% - Énfasis4 2 2 2 3 2 2 4" xfId="29930" xr:uid="{00000000-0005-0000-0000-0000751C0000}"/>
    <cellStyle name="40% - Énfasis4 2 2 2 3 2 3" xfId="18450" xr:uid="{00000000-0005-0000-0000-0000761C0000}"/>
    <cellStyle name="40% - Énfasis4 2 2 2 3 2 3 2" xfId="41093" xr:uid="{00000000-0005-0000-0000-0000771C0000}"/>
    <cellStyle name="40% - Énfasis4 2 2 2 3 2 4" xfId="11010" xr:uid="{00000000-0005-0000-0000-0000781C0000}"/>
    <cellStyle name="40% - Énfasis4 2 2 2 3 2 4 2" xfId="33653" xr:uid="{00000000-0005-0000-0000-0000791C0000}"/>
    <cellStyle name="40% - Énfasis4 2 2 2 3 2 5" xfId="26212" xr:uid="{00000000-0005-0000-0000-00007A1C0000}"/>
    <cellStyle name="40% - Énfasis4 2 2 2 3 3" xfId="5437" xr:uid="{00000000-0005-0000-0000-00007B1C0000}"/>
    <cellStyle name="40% - Énfasis4 2 2 2 3 3 2" xfId="20321" xr:uid="{00000000-0005-0000-0000-00007C1C0000}"/>
    <cellStyle name="40% - Énfasis4 2 2 2 3 3 2 2" xfId="42964" xr:uid="{00000000-0005-0000-0000-00007D1C0000}"/>
    <cellStyle name="40% - Énfasis4 2 2 2 3 3 3" xfId="12881" xr:uid="{00000000-0005-0000-0000-00007E1C0000}"/>
    <cellStyle name="40% - Énfasis4 2 2 2 3 3 3 2" xfId="35524" xr:uid="{00000000-0005-0000-0000-00007F1C0000}"/>
    <cellStyle name="40% - Énfasis4 2 2 2 3 3 4" xfId="28083" xr:uid="{00000000-0005-0000-0000-0000801C0000}"/>
    <cellStyle name="40% - Énfasis4 2 2 2 3 4" xfId="16603" xr:uid="{00000000-0005-0000-0000-0000811C0000}"/>
    <cellStyle name="40% - Énfasis4 2 2 2 3 4 2" xfId="39246" xr:uid="{00000000-0005-0000-0000-0000821C0000}"/>
    <cellStyle name="40% - Énfasis4 2 2 2 3 5" xfId="9163" xr:uid="{00000000-0005-0000-0000-0000831C0000}"/>
    <cellStyle name="40% - Énfasis4 2 2 2 3 5 2" xfId="31806" xr:uid="{00000000-0005-0000-0000-0000841C0000}"/>
    <cellStyle name="40% - Énfasis4 2 2 2 3 6" xfId="24365" xr:uid="{00000000-0005-0000-0000-0000851C0000}"/>
    <cellStyle name="40% - Énfasis4 2 2 2 4" xfId="2638" xr:uid="{00000000-0005-0000-0000-0000861C0000}"/>
    <cellStyle name="40% - Énfasis4 2 2 2 4 2" xfId="6359" xr:uid="{00000000-0005-0000-0000-0000871C0000}"/>
    <cellStyle name="40% - Énfasis4 2 2 2 4 2 2" xfId="21243" xr:uid="{00000000-0005-0000-0000-0000881C0000}"/>
    <cellStyle name="40% - Énfasis4 2 2 2 4 2 2 2" xfId="43886" xr:uid="{00000000-0005-0000-0000-0000891C0000}"/>
    <cellStyle name="40% - Énfasis4 2 2 2 4 2 3" xfId="13803" xr:uid="{00000000-0005-0000-0000-00008A1C0000}"/>
    <cellStyle name="40% - Énfasis4 2 2 2 4 2 3 2" xfId="36446" xr:uid="{00000000-0005-0000-0000-00008B1C0000}"/>
    <cellStyle name="40% - Énfasis4 2 2 2 4 2 4" xfId="29005" xr:uid="{00000000-0005-0000-0000-00008C1C0000}"/>
    <cellStyle name="40% - Énfasis4 2 2 2 4 3" xfId="17525" xr:uid="{00000000-0005-0000-0000-00008D1C0000}"/>
    <cellStyle name="40% - Énfasis4 2 2 2 4 3 2" xfId="40168" xr:uid="{00000000-0005-0000-0000-00008E1C0000}"/>
    <cellStyle name="40% - Énfasis4 2 2 2 4 4" xfId="10085" xr:uid="{00000000-0005-0000-0000-00008F1C0000}"/>
    <cellStyle name="40% - Énfasis4 2 2 2 4 4 2" xfId="32728" xr:uid="{00000000-0005-0000-0000-0000901C0000}"/>
    <cellStyle name="40% - Énfasis4 2 2 2 4 5" xfId="25287" xr:uid="{00000000-0005-0000-0000-0000911C0000}"/>
    <cellStyle name="40% - Énfasis4 2 2 2 5" xfId="4512" xr:uid="{00000000-0005-0000-0000-0000921C0000}"/>
    <cellStyle name="40% - Énfasis4 2 2 2 5 2" xfId="19396" xr:uid="{00000000-0005-0000-0000-0000931C0000}"/>
    <cellStyle name="40% - Énfasis4 2 2 2 5 2 2" xfId="42039" xr:uid="{00000000-0005-0000-0000-0000941C0000}"/>
    <cellStyle name="40% - Énfasis4 2 2 2 5 3" xfId="11956" xr:uid="{00000000-0005-0000-0000-0000951C0000}"/>
    <cellStyle name="40% - Énfasis4 2 2 2 5 3 2" xfId="34599" xr:uid="{00000000-0005-0000-0000-0000961C0000}"/>
    <cellStyle name="40% - Énfasis4 2 2 2 5 4" xfId="27158" xr:uid="{00000000-0005-0000-0000-0000971C0000}"/>
    <cellStyle name="40% - Énfasis4 2 2 2 6" xfId="782" xr:uid="{00000000-0005-0000-0000-0000981C0000}"/>
    <cellStyle name="40% - Énfasis4 2 2 2 6 2" xfId="15678" xr:uid="{00000000-0005-0000-0000-0000991C0000}"/>
    <cellStyle name="40% - Énfasis4 2 2 2 6 2 2" xfId="38321" xr:uid="{00000000-0005-0000-0000-00009A1C0000}"/>
    <cellStyle name="40% - Énfasis4 2 2 2 6 3" xfId="23440" xr:uid="{00000000-0005-0000-0000-00009B1C0000}"/>
    <cellStyle name="40% - Énfasis4 2 2 2 7" xfId="8238" xr:uid="{00000000-0005-0000-0000-00009C1C0000}"/>
    <cellStyle name="40% - Énfasis4 2 2 2 7 2" xfId="30881" xr:uid="{00000000-0005-0000-0000-00009D1C0000}"/>
    <cellStyle name="40% - Énfasis4 2 2 2 8" xfId="22892" xr:uid="{00000000-0005-0000-0000-00009E1C0000}"/>
    <cellStyle name="40% - Énfasis4 2 2 3" xfId="272" xr:uid="{00000000-0005-0000-0000-00009F1C0000}"/>
    <cellStyle name="40% - Énfasis4 2 2 3 2" xfId="1964" xr:uid="{00000000-0005-0000-0000-0000A01C0000}"/>
    <cellStyle name="40% - Énfasis4 2 2 3 2 2" xfId="3814" xr:uid="{00000000-0005-0000-0000-0000A11C0000}"/>
    <cellStyle name="40% - Énfasis4 2 2 3 2 2 2" xfId="7535" xr:uid="{00000000-0005-0000-0000-0000A21C0000}"/>
    <cellStyle name="40% - Énfasis4 2 2 3 2 2 2 2" xfId="22419" xr:uid="{00000000-0005-0000-0000-0000A31C0000}"/>
    <cellStyle name="40% - Énfasis4 2 2 3 2 2 2 2 2" xfId="45062" xr:uid="{00000000-0005-0000-0000-0000A41C0000}"/>
    <cellStyle name="40% - Énfasis4 2 2 3 2 2 2 3" xfId="14979" xr:uid="{00000000-0005-0000-0000-0000A51C0000}"/>
    <cellStyle name="40% - Énfasis4 2 2 3 2 2 2 3 2" xfId="37622" xr:uid="{00000000-0005-0000-0000-0000A61C0000}"/>
    <cellStyle name="40% - Énfasis4 2 2 3 2 2 2 4" xfId="30181" xr:uid="{00000000-0005-0000-0000-0000A71C0000}"/>
    <cellStyle name="40% - Énfasis4 2 2 3 2 2 3" xfId="18701" xr:uid="{00000000-0005-0000-0000-0000A81C0000}"/>
    <cellStyle name="40% - Énfasis4 2 2 3 2 2 3 2" xfId="41344" xr:uid="{00000000-0005-0000-0000-0000A91C0000}"/>
    <cellStyle name="40% - Énfasis4 2 2 3 2 2 4" xfId="11261" xr:uid="{00000000-0005-0000-0000-0000AA1C0000}"/>
    <cellStyle name="40% - Énfasis4 2 2 3 2 2 4 2" xfId="33904" xr:uid="{00000000-0005-0000-0000-0000AB1C0000}"/>
    <cellStyle name="40% - Énfasis4 2 2 3 2 2 5" xfId="26463" xr:uid="{00000000-0005-0000-0000-0000AC1C0000}"/>
    <cellStyle name="40% - Énfasis4 2 2 3 2 3" xfId="5688" xr:uid="{00000000-0005-0000-0000-0000AD1C0000}"/>
    <cellStyle name="40% - Énfasis4 2 2 3 2 3 2" xfId="20572" xr:uid="{00000000-0005-0000-0000-0000AE1C0000}"/>
    <cellStyle name="40% - Énfasis4 2 2 3 2 3 2 2" xfId="43215" xr:uid="{00000000-0005-0000-0000-0000AF1C0000}"/>
    <cellStyle name="40% - Énfasis4 2 2 3 2 3 3" xfId="13132" xr:uid="{00000000-0005-0000-0000-0000B01C0000}"/>
    <cellStyle name="40% - Énfasis4 2 2 3 2 3 3 2" xfId="35775" xr:uid="{00000000-0005-0000-0000-0000B11C0000}"/>
    <cellStyle name="40% - Énfasis4 2 2 3 2 3 4" xfId="28334" xr:uid="{00000000-0005-0000-0000-0000B21C0000}"/>
    <cellStyle name="40% - Énfasis4 2 2 3 2 4" xfId="16854" xr:uid="{00000000-0005-0000-0000-0000B31C0000}"/>
    <cellStyle name="40% - Énfasis4 2 2 3 2 4 2" xfId="39497" xr:uid="{00000000-0005-0000-0000-0000B41C0000}"/>
    <cellStyle name="40% - Énfasis4 2 2 3 2 5" xfId="9414" xr:uid="{00000000-0005-0000-0000-0000B51C0000}"/>
    <cellStyle name="40% - Énfasis4 2 2 3 2 5 2" xfId="32057" xr:uid="{00000000-0005-0000-0000-0000B61C0000}"/>
    <cellStyle name="40% - Énfasis4 2 2 3 2 6" xfId="24616" xr:uid="{00000000-0005-0000-0000-0000B71C0000}"/>
    <cellStyle name="40% - Énfasis4 2 2 3 3" xfId="2889" xr:uid="{00000000-0005-0000-0000-0000B81C0000}"/>
    <cellStyle name="40% - Énfasis4 2 2 3 3 2" xfId="6610" xr:uid="{00000000-0005-0000-0000-0000B91C0000}"/>
    <cellStyle name="40% - Énfasis4 2 2 3 3 2 2" xfId="21494" xr:uid="{00000000-0005-0000-0000-0000BA1C0000}"/>
    <cellStyle name="40% - Énfasis4 2 2 3 3 2 2 2" xfId="44137" xr:uid="{00000000-0005-0000-0000-0000BB1C0000}"/>
    <cellStyle name="40% - Énfasis4 2 2 3 3 2 3" xfId="14054" xr:uid="{00000000-0005-0000-0000-0000BC1C0000}"/>
    <cellStyle name="40% - Énfasis4 2 2 3 3 2 3 2" xfId="36697" xr:uid="{00000000-0005-0000-0000-0000BD1C0000}"/>
    <cellStyle name="40% - Énfasis4 2 2 3 3 2 4" xfId="29256" xr:uid="{00000000-0005-0000-0000-0000BE1C0000}"/>
    <cellStyle name="40% - Énfasis4 2 2 3 3 3" xfId="17776" xr:uid="{00000000-0005-0000-0000-0000BF1C0000}"/>
    <cellStyle name="40% - Énfasis4 2 2 3 3 3 2" xfId="40419" xr:uid="{00000000-0005-0000-0000-0000C01C0000}"/>
    <cellStyle name="40% - Énfasis4 2 2 3 3 4" xfId="10336" xr:uid="{00000000-0005-0000-0000-0000C11C0000}"/>
    <cellStyle name="40% - Énfasis4 2 2 3 3 4 2" xfId="32979" xr:uid="{00000000-0005-0000-0000-0000C21C0000}"/>
    <cellStyle name="40% - Énfasis4 2 2 3 3 5" xfId="25538" xr:uid="{00000000-0005-0000-0000-0000C31C0000}"/>
    <cellStyle name="40% - Énfasis4 2 2 3 4" xfId="4763" xr:uid="{00000000-0005-0000-0000-0000C41C0000}"/>
    <cellStyle name="40% - Énfasis4 2 2 3 4 2" xfId="19647" xr:uid="{00000000-0005-0000-0000-0000C51C0000}"/>
    <cellStyle name="40% - Énfasis4 2 2 3 4 2 2" xfId="42290" xr:uid="{00000000-0005-0000-0000-0000C61C0000}"/>
    <cellStyle name="40% - Énfasis4 2 2 3 4 3" xfId="12207" xr:uid="{00000000-0005-0000-0000-0000C71C0000}"/>
    <cellStyle name="40% - Énfasis4 2 2 3 4 3 2" xfId="34850" xr:uid="{00000000-0005-0000-0000-0000C81C0000}"/>
    <cellStyle name="40% - Énfasis4 2 2 3 4 4" xfId="27409" xr:uid="{00000000-0005-0000-0000-0000C91C0000}"/>
    <cellStyle name="40% - Énfasis4 2 2 3 5" xfId="1036" xr:uid="{00000000-0005-0000-0000-0000CA1C0000}"/>
    <cellStyle name="40% - Énfasis4 2 2 3 5 2" xfId="15929" xr:uid="{00000000-0005-0000-0000-0000CB1C0000}"/>
    <cellStyle name="40% - Énfasis4 2 2 3 5 2 2" xfId="38572" xr:uid="{00000000-0005-0000-0000-0000CC1C0000}"/>
    <cellStyle name="40% - Énfasis4 2 2 3 5 3" xfId="23691" xr:uid="{00000000-0005-0000-0000-0000CD1C0000}"/>
    <cellStyle name="40% - Énfasis4 2 2 3 6" xfId="8489" xr:uid="{00000000-0005-0000-0000-0000CE1C0000}"/>
    <cellStyle name="40% - Énfasis4 2 2 3 6 2" xfId="31132" xr:uid="{00000000-0005-0000-0000-0000CF1C0000}"/>
    <cellStyle name="40% - Énfasis4 2 2 3 7" xfId="22970" xr:uid="{00000000-0005-0000-0000-0000D01C0000}"/>
    <cellStyle name="40% - Énfasis4 2 2 4" xfId="1502" xr:uid="{00000000-0005-0000-0000-0000D11C0000}"/>
    <cellStyle name="40% - Énfasis4 2 2 4 2" xfId="3352" xr:uid="{00000000-0005-0000-0000-0000D21C0000}"/>
    <cellStyle name="40% - Énfasis4 2 2 4 2 2" xfId="7073" xr:uid="{00000000-0005-0000-0000-0000D31C0000}"/>
    <cellStyle name="40% - Énfasis4 2 2 4 2 2 2" xfId="21957" xr:uid="{00000000-0005-0000-0000-0000D41C0000}"/>
    <cellStyle name="40% - Énfasis4 2 2 4 2 2 2 2" xfId="44600" xr:uid="{00000000-0005-0000-0000-0000D51C0000}"/>
    <cellStyle name="40% - Énfasis4 2 2 4 2 2 3" xfId="14517" xr:uid="{00000000-0005-0000-0000-0000D61C0000}"/>
    <cellStyle name="40% - Énfasis4 2 2 4 2 2 3 2" xfId="37160" xr:uid="{00000000-0005-0000-0000-0000D71C0000}"/>
    <cellStyle name="40% - Énfasis4 2 2 4 2 2 4" xfId="29719" xr:uid="{00000000-0005-0000-0000-0000D81C0000}"/>
    <cellStyle name="40% - Énfasis4 2 2 4 2 3" xfId="18239" xr:uid="{00000000-0005-0000-0000-0000D91C0000}"/>
    <cellStyle name="40% - Énfasis4 2 2 4 2 3 2" xfId="40882" xr:uid="{00000000-0005-0000-0000-0000DA1C0000}"/>
    <cellStyle name="40% - Énfasis4 2 2 4 2 4" xfId="10799" xr:uid="{00000000-0005-0000-0000-0000DB1C0000}"/>
    <cellStyle name="40% - Énfasis4 2 2 4 2 4 2" xfId="33442" xr:uid="{00000000-0005-0000-0000-0000DC1C0000}"/>
    <cellStyle name="40% - Énfasis4 2 2 4 2 5" xfId="26001" xr:uid="{00000000-0005-0000-0000-0000DD1C0000}"/>
    <cellStyle name="40% - Énfasis4 2 2 4 3" xfId="5226" xr:uid="{00000000-0005-0000-0000-0000DE1C0000}"/>
    <cellStyle name="40% - Énfasis4 2 2 4 3 2" xfId="20110" xr:uid="{00000000-0005-0000-0000-0000DF1C0000}"/>
    <cellStyle name="40% - Énfasis4 2 2 4 3 2 2" xfId="42753" xr:uid="{00000000-0005-0000-0000-0000E01C0000}"/>
    <cellStyle name="40% - Énfasis4 2 2 4 3 3" xfId="12670" xr:uid="{00000000-0005-0000-0000-0000E11C0000}"/>
    <cellStyle name="40% - Énfasis4 2 2 4 3 3 2" xfId="35313" xr:uid="{00000000-0005-0000-0000-0000E21C0000}"/>
    <cellStyle name="40% - Énfasis4 2 2 4 3 4" xfId="27872" xr:uid="{00000000-0005-0000-0000-0000E31C0000}"/>
    <cellStyle name="40% - Énfasis4 2 2 4 4" xfId="16392" xr:uid="{00000000-0005-0000-0000-0000E41C0000}"/>
    <cellStyle name="40% - Énfasis4 2 2 4 4 2" xfId="39035" xr:uid="{00000000-0005-0000-0000-0000E51C0000}"/>
    <cellStyle name="40% - Énfasis4 2 2 4 5" xfId="8952" xr:uid="{00000000-0005-0000-0000-0000E61C0000}"/>
    <cellStyle name="40% - Énfasis4 2 2 4 5 2" xfId="31595" xr:uid="{00000000-0005-0000-0000-0000E71C0000}"/>
    <cellStyle name="40% - Énfasis4 2 2 4 6" xfId="24154" xr:uid="{00000000-0005-0000-0000-0000E81C0000}"/>
    <cellStyle name="40% - Énfasis4 2 2 5" xfId="2427" xr:uid="{00000000-0005-0000-0000-0000E91C0000}"/>
    <cellStyle name="40% - Énfasis4 2 2 5 2" xfId="6148" xr:uid="{00000000-0005-0000-0000-0000EA1C0000}"/>
    <cellStyle name="40% - Énfasis4 2 2 5 2 2" xfId="21032" xr:uid="{00000000-0005-0000-0000-0000EB1C0000}"/>
    <cellStyle name="40% - Énfasis4 2 2 5 2 2 2" xfId="43675" xr:uid="{00000000-0005-0000-0000-0000EC1C0000}"/>
    <cellStyle name="40% - Énfasis4 2 2 5 2 3" xfId="13592" xr:uid="{00000000-0005-0000-0000-0000ED1C0000}"/>
    <cellStyle name="40% - Énfasis4 2 2 5 2 3 2" xfId="36235" xr:uid="{00000000-0005-0000-0000-0000EE1C0000}"/>
    <cellStyle name="40% - Énfasis4 2 2 5 2 4" xfId="28794" xr:uid="{00000000-0005-0000-0000-0000EF1C0000}"/>
    <cellStyle name="40% - Énfasis4 2 2 5 3" xfId="17314" xr:uid="{00000000-0005-0000-0000-0000F01C0000}"/>
    <cellStyle name="40% - Énfasis4 2 2 5 3 2" xfId="39957" xr:uid="{00000000-0005-0000-0000-0000F11C0000}"/>
    <cellStyle name="40% - Énfasis4 2 2 5 4" xfId="9874" xr:uid="{00000000-0005-0000-0000-0000F21C0000}"/>
    <cellStyle name="40% - Énfasis4 2 2 5 4 2" xfId="32517" xr:uid="{00000000-0005-0000-0000-0000F31C0000}"/>
    <cellStyle name="40% - Énfasis4 2 2 5 5" xfId="25076" xr:uid="{00000000-0005-0000-0000-0000F41C0000}"/>
    <cellStyle name="40% - Énfasis4 2 2 6" xfId="4301" xr:uid="{00000000-0005-0000-0000-0000F51C0000}"/>
    <cellStyle name="40% - Énfasis4 2 2 6 2" xfId="19185" xr:uid="{00000000-0005-0000-0000-0000F61C0000}"/>
    <cellStyle name="40% - Énfasis4 2 2 6 2 2" xfId="41828" xr:uid="{00000000-0005-0000-0000-0000F71C0000}"/>
    <cellStyle name="40% - Énfasis4 2 2 6 3" xfId="11745" xr:uid="{00000000-0005-0000-0000-0000F81C0000}"/>
    <cellStyle name="40% - Énfasis4 2 2 6 3 2" xfId="34388" xr:uid="{00000000-0005-0000-0000-0000F91C0000}"/>
    <cellStyle name="40% - Énfasis4 2 2 6 4" xfId="26947" xr:uid="{00000000-0005-0000-0000-0000FA1C0000}"/>
    <cellStyle name="40% - Énfasis4 2 2 7" xfId="570" xr:uid="{00000000-0005-0000-0000-0000FB1C0000}"/>
    <cellStyle name="40% - Énfasis4 2 2 7 2" xfId="15467" xr:uid="{00000000-0005-0000-0000-0000FC1C0000}"/>
    <cellStyle name="40% - Énfasis4 2 2 7 2 2" xfId="38110" xr:uid="{00000000-0005-0000-0000-0000FD1C0000}"/>
    <cellStyle name="40% - Énfasis4 2 2 7 3" xfId="23230" xr:uid="{00000000-0005-0000-0000-0000FE1C0000}"/>
    <cellStyle name="40% - Énfasis4 2 2 8" xfId="8027" xr:uid="{00000000-0005-0000-0000-0000FF1C0000}"/>
    <cellStyle name="40% - Énfasis4 2 2 8 2" xfId="30670" xr:uid="{00000000-0005-0000-0000-0000001D0000}"/>
    <cellStyle name="40% - Énfasis4 2 2 9" xfId="22814" xr:uid="{00000000-0005-0000-0000-0000011D0000}"/>
    <cellStyle name="40% - Énfasis4 2 3" xfId="148" xr:uid="{00000000-0005-0000-0000-0000021D0000}"/>
    <cellStyle name="40% - Énfasis4 2 3 2" xfId="311" xr:uid="{00000000-0005-0000-0000-0000031D0000}"/>
    <cellStyle name="40% - Énfasis4 2 3 2 2" xfId="2070" xr:uid="{00000000-0005-0000-0000-0000041D0000}"/>
    <cellStyle name="40% - Énfasis4 2 3 2 2 2" xfId="3920" xr:uid="{00000000-0005-0000-0000-0000051D0000}"/>
    <cellStyle name="40% - Énfasis4 2 3 2 2 2 2" xfId="7641" xr:uid="{00000000-0005-0000-0000-0000061D0000}"/>
    <cellStyle name="40% - Énfasis4 2 3 2 2 2 2 2" xfId="22525" xr:uid="{00000000-0005-0000-0000-0000071D0000}"/>
    <cellStyle name="40% - Énfasis4 2 3 2 2 2 2 2 2" xfId="45168" xr:uid="{00000000-0005-0000-0000-0000081D0000}"/>
    <cellStyle name="40% - Énfasis4 2 3 2 2 2 2 3" xfId="15085" xr:uid="{00000000-0005-0000-0000-0000091D0000}"/>
    <cellStyle name="40% - Énfasis4 2 3 2 2 2 2 3 2" xfId="37728" xr:uid="{00000000-0005-0000-0000-00000A1D0000}"/>
    <cellStyle name="40% - Énfasis4 2 3 2 2 2 2 4" xfId="30287" xr:uid="{00000000-0005-0000-0000-00000B1D0000}"/>
    <cellStyle name="40% - Énfasis4 2 3 2 2 2 3" xfId="18807" xr:uid="{00000000-0005-0000-0000-00000C1D0000}"/>
    <cellStyle name="40% - Énfasis4 2 3 2 2 2 3 2" xfId="41450" xr:uid="{00000000-0005-0000-0000-00000D1D0000}"/>
    <cellStyle name="40% - Énfasis4 2 3 2 2 2 4" xfId="11367" xr:uid="{00000000-0005-0000-0000-00000E1D0000}"/>
    <cellStyle name="40% - Énfasis4 2 3 2 2 2 4 2" xfId="34010" xr:uid="{00000000-0005-0000-0000-00000F1D0000}"/>
    <cellStyle name="40% - Énfasis4 2 3 2 2 2 5" xfId="26569" xr:uid="{00000000-0005-0000-0000-0000101D0000}"/>
    <cellStyle name="40% - Énfasis4 2 3 2 2 3" xfId="5794" xr:uid="{00000000-0005-0000-0000-0000111D0000}"/>
    <cellStyle name="40% - Énfasis4 2 3 2 2 3 2" xfId="20678" xr:uid="{00000000-0005-0000-0000-0000121D0000}"/>
    <cellStyle name="40% - Énfasis4 2 3 2 2 3 2 2" xfId="43321" xr:uid="{00000000-0005-0000-0000-0000131D0000}"/>
    <cellStyle name="40% - Énfasis4 2 3 2 2 3 3" xfId="13238" xr:uid="{00000000-0005-0000-0000-0000141D0000}"/>
    <cellStyle name="40% - Énfasis4 2 3 2 2 3 3 2" xfId="35881" xr:uid="{00000000-0005-0000-0000-0000151D0000}"/>
    <cellStyle name="40% - Énfasis4 2 3 2 2 3 4" xfId="28440" xr:uid="{00000000-0005-0000-0000-0000161D0000}"/>
    <cellStyle name="40% - Énfasis4 2 3 2 2 4" xfId="16960" xr:uid="{00000000-0005-0000-0000-0000171D0000}"/>
    <cellStyle name="40% - Énfasis4 2 3 2 2 4 2" xfId="39603" xr:uid="{00000000-0005-0000-0000-0000181D0000}"/>
    <cellStyle name="40% - Énfasis4 2 3 2 2 5" xfId="9520" xr:uid="{00000000-0005-0000-0000-0000191D0000}"/>
    <cellStyle name="40% - Énfasis4 2 3 2 2 5 2" xfId="32163" xr:uid="{00000000-0005-0000-0000-00001A1D0000}"/>
    <cellStyle name="40% - Énfasis4 2 3 2 2 6" xfId="24722" xr:uid="{00000000-0005-0000-0000-00001B1D0000}"/>
    <cellStyle name="40% - Énfasis4 2 3 2 3" xfId="2995" xr:uid="{00000000-0005-0000-0000-00001C1D0000}"/>
    <cellStyle name="40% - Énfasis4 2 3 2 3 2" xfId="6716" xr:uid="{00000000-0005-0000-0000-00001D1D0000}"/>
    <cellStyle name="40% - Énfasis4 2 3 2 3 2 2" xfId="21600" xr:uid="{00000000-0005-0000-0000-00001E1D0000}"/>
    <cellStyle name="40% - Énfasis4 2 3 2 3 2 2 2" xfId="44243" xr:uid="{00000000-0005-0000-0000-00001F1D0000}"/>
    <cellStyle name="40% - Énfasis4 2 3 2 3 2 3" xfId="14160" xr:uid="{00000000-0005-0000-0000-0000201D0000}"/>
    <cellStyle name="40% - Énfasis4 2 3 2 3 2 3 2" xfId="36803" xr:uid="{00000000-0005-0000-0000-0000211D0000}"/>
    <cellStyle name="40% - Énfasis4 2 3 2 3 2 4" xfId="29362" xr:uid="{00000000-0005-0000-0000-0000221D0000}"/>
    <cellStyle name="40% - Énfasis4 2 3 2 3 3" xfId="17882" xr:uid="{00000000-0005-0000-0000-0000231D0000}"/>
    <cellStyle name="40% - Énfasis4 2 3 2 3 3 2" xfId="40525" xr:uid="{00000000-0005-0000-0000-0000241D0000}"/>
    <cellStyle name="40% - Énfasis4 2 3 2 3 4" xfId="10442" xr:uid="{00000000-0005-0000-0000-0000251D0000}"/>
    <cellStyle name="40% - Énfasis4 2 3 2 3 4 2" xfId="33085" xr:uid="{00000000-0005-0000-0000-0000261D0000}"/>
    <cellStyle name="40% - Énfasis4 2 3 2 3 5" xfId="25644" xr:uid="{00000000-0005-0000-0000-0000271D0000}"/>
    <cellStyle name="40% - Énfasis4 2 3 2 4" xfId="4869" xr:uid="{00000000-0005-0000-0000-0000281D0000}"/>
    <cellStyle name="40% - Énfasis4 2 3 2 4 2" xfId="19753" xr:uid="{00000000-0005-0000-0000-0000291D0000}"/>
    <cellStyle name="40% - Énfasis4 2 3 2 4 2 2" xfId="42396" xr:uid="{00000000-0005-0000-0000-00002A1D0000}"/>
    <cellStyle name="40% - Énfasis4 2 3 2 4 3" xfId="12313" xr:uid="{00000000-0005-0000-0000-00002B1D0000}"/>
    <cellStyle name="40% - Énfasis4 2 3 2 4 3 2" xfId="34956" xr:uid="{00000000-0005-0000-0000-00002C1D0000}"/>
    <cellStyle name="40% - Énfasis4 2 3 2 4 4" xfId="27515" xr:uid="{00000000-0005-0000-0000-00002D1D0000}"/>
    <cellStyle name="40% - Énfasis4 2 3 2 5" xfId="1142" xr:uid="{00000000-0005-0000-0000-00002E1D0000}"/>
    <cellStyle name="40% - Énfasis4 2 3 2 5 2" xfId="16035" xr:uid="{00000000-0005-0000-0000-00002F1D0000}"/>
    <cellStyle name="40% - Énfasis4 2 3 2 5 2 2" xfId="38678" xr:uid="{00000000-0005-0000-0000-0000301D0000}"/>
    <cellStyle name="40% - Énfasis4 2 3 2 5 3" xfId="23797" xr:uid="{00000000-0005-0000-0000-0000311D0000}"/>
    <cellStyle name="40% - Énfasis4 2 3 2 6" xfId="8595" xr:uid="{00000000-0005-0000-0000-0000321D0000}"/>
    <cellStyle name="40% - Énfasis4 2 3 2 6 2" xfId="31238" xr:uid="{00000000-0005-0000-0000-0000331D0000}"/>
    <cellStyle name="40% - Énfasis4 2 3 2 7" xfId="23009" xr:uid="{00000000-0005-0000-0000-0000341D0000}"/>
    <cellStyle name="40% - Énfasis4 2 3 3" xfId="1608" xr:uid="{00000000-0005-0000-0000-0000351D0000}"/>
    <cellStyle name="40% - Énfasis4 2 3 3 2" xfId="3458" xr:uid="{00000000-0005-0000-0000-0000361D0000}"/>
    <cellStyle name="40% - Énfasis4 2 3 3 2 2" xfId="7179" xr:uid="{00000000-0005-0000-0000-0000371D0000}"/>
    <cellStyle name="40% - Énfasis4 2 3 3 2 2 2" xfId="22063" xr:uid="{00000000-0005-0000-0000-0000381D0000}"/>
    <cellStyle name="40% - Énfasis4 2 3 3 2 2 2 2" xfId="44706" xr:uid="{00000000-0005-0000-0000-0000391D0000}"/>
    <cellStyle name="40% - Énfasis4 2 3 3 2 2 3" xfId="14623" xr:uid="{00000000-0005-0000-0000-00003A1D0000}"/>
    <cellStyle name="40% - Énfasis4 2 3 3 2 2 3 2" xfId="37266" xr:uid="{00000000-0005-0000-0000-00003B1D0000}"/>
    <cellStyle name="40% - Énfasis4 2 3 3 2 2 4" xfId="29825" xr:uid="{00000000-0005-0000-0000-00003C1D0000}"/>
    <cellStyle name="40% - Énfasis4 2 3 3 2 3" xfId="18345" xr:uid="{00000000-0005-0000-0000-00003D1D0000}"/>
    <cellStyle name="40% - Énfasis4 2 3 3 2 3 2" xfId="40988" xr:uid="{00000000-0005-0000-0000-00003E1D0000}"/>
    <cellStyle name="40% - Énfasis4 2 3 3 2 4" xfId="10905" xr:uid="{00000000-0005-0000-0000-00003F1D0000}"/>
    <cellStyle name="40% - Énfasis4 2 3 3 2 4 2" xfId="33548" xr:uid="{00000000-0005-0000-0000-0000401D0000}"/>
    <cellStyle name="40% - Énfasis4 2 3 3 2 5" xfId="26107" xr:uid="{00000000-0005-0000-0000-0000411D0000}"/>
    <cellStyle name="40% - Énfasis4 2 3 3 3" xfId="5332" xr:uid="{00000000-0005-0000-0000-0000421D0000}"/>
    <cellStyle name="40% - Énfasis4 2 3 3 3 2" xfId="20216" xr:uid="{00000000-0005-0000-0000-0000431D0000}"/>
    <cellStyle name="40% - Énfasis4 2 3 3 3 2 2" xfId="42859" xr:uid="{00000000-0005-0000-0000-0000441D0000}"/>
    <cellStyle name="40% - Énfasis4 2 3 3 3 3" xfId="12776" xr:uid="{00000000-0005-0000-0000-0000451D0000}"/>
    <cellStyle name="40% - Énfasis4 2 3 3 3 3 2" xfId="35419" xr:uid="{00000000-0005-0000-0000-0000461D0000}"/>
    <cellStyle name="40% - Énfasis4 2 3 3 3 4" xfId="27978" xr:uid="{00000000-0005-0000-0000-0000471D0000}"/>
    <cellStyle name="40% - Énfasis4 2 3 3 4" xfId="16498" xr:uid="{00000000-0005-0000-0000-0000481D0000}"/>
    <cellStyle name="40% - Énfasis4 2 3 3 4 2" xfId="39141" xr:uid="{00000000-0005-0000-0000-0000491D0000}"/>
    <cellStyle name="40% - Énfasis4 2 3 3 5" xfId="9058" xr:uid="{00000000-0005-0000-0000-00004A1D0000}"/>
    <cellStyle name="40% - Énfasis4 2 3 3 5 2" xfId="31701" xr:uid="{00000000-0005-0000-0000-00004B1D0000}"/>
    <cellStyle name="40% - Énfasis4 2 3 3 6" xfId="24260" xr:uid="{00000000-0005-0000-0000-00004C1D0000}"/>
    <cellStyle name="40% - Énfasis4 2 3 4" xfId="2533" xr:uid="{00000000-0005-0000-0000-00004D1D0000}"/>
    <cellStyle name="40% - Énfasis4 2 3 4 2" xfId="6254" xr:uid="{00000000-0005-0000-0000-00004E1D0000}"/>
    <cellStyle name="40% - Énfasis4 2 3 4 2 2" xfId="21138" xr:uid="{00000000-0005-0000-0000-00004F1D0000}"/>
    <cellStyle name="40% - Énfasis4 2 3 4 2 2 2" xfId="43781" xr:uid="{00000000-0005-0000-0000-0000501D0000}"/>
    <cellStyle name="40% - Énfasis4 2 3 4 2 3" xfId="13698" xr:uid="{00000000-0005-0000-0000-0000511D0000}"/>
    <cellStyle name="40% - Énfasis4 2 3 4 2 3 2" xfId="36341" xr:uid="{00000000-0005-0000-0000-0000521D0000}"/>
    <cellStyle name="40% - Énfasis4 2 3 4 2 4" xfId="28900" xr:uid="{00000000-0005-0000-0000-0000531D0000}"/>
    <cellStyle name="40% - Énfasis4 2 3 4 3" xfId="17420" xr:uid="{00000000-0005-0000-0000-0000541D0000}"/>
    <cellStyle name="40% - Énfasis4 2 3 4 3 2" xfId="40063" xr:uid="{00000000-0005-0000-0000-0000551D0000}"/>
    <cellStyle name="40% - Énfasis4 2 3 4 4" xfId="9980" xr:uid="{00000000-0005-0000-0000-0000561D0000}"/>
    <cellStyle name="40% - Énfasis4 2 3 4 4 2" xfId="32623" xr:uid="{00000000-0005-0000-0000-0000571D0000}"/>
    <cellStyle name="40% - Énfasis4 2 3 4 5" xfId="25182" xr:uid="{00000000-0005-0000-0000-0000581D0000}"/>
    <cellStyle name="40% - Énfasis4 2 3 5" xfId="4407" xr:uid="{00000000-0005-0000-0000-0000591D0000}"/>
    <cellStyle name="40% - Énfasis4 2 3 5 2" xfId="19291" xr:uid="{00000000-0005-0000-0000-00005A1D0000}"/>
    <cellStyle name="40% - Énfasis4 2 3 5 2 2" xfId="41934" xr:uid="{00000000-0005-0000-0000-00005B1D0000}"/>
    <cellStyle name="40% - Énfasis4 2 3 5 3" xfId="11851" xr:uid="{00000000-0005-0000-0000-00005C1D0000}"/>
    <cellStyle name="40% - Énfasis4 2 3 5 3 2" xfId="34494" xr:uid="{00000000-0005-0000-0000-00005D1D0000}"/>
    <cellStyle name="40% - Énfasis4 2 3 5 4" xfId="27053" xr:uid="{00000000-0005-0000-0000-00005E1D0000}"/>
    <cellStyle name="40% - Énfasis4 2 3 6" xfId="677" xr:uid="{00000000-0005-0000-0000-00005F1D0000}"/>
    <cellStyle name="40% - Énfasis4 2 3 6 2" xfId="15573" xr:uid="{00000000-0005-0000-0000-0000601D0000}"/>
    <cellStyle name="40% - Énfasis4 2 3 6 2 2" xfId="38216" xr:uid="{00000000-0005-0000-0000-0000611D0000}"/>
    <cellStyle name="40% - Énfasis4 2 3 6 3" xfId="23335" xr:uid="{00000000-0005-0000-0000-0000621D0000}"/>
    <cellStyle name="40% - Énfasis4 2 3 7" xfId="8133" xr:uid="{00000000-0005-0000-0000-0000631D0000}"/>
    <cellStyle name="40% - Énfasis4 2 3 7 2" xfId="30776" xr:uid="{00000000-0005-0000-0000-0000641D0000}"/>
    <cellStyle name="40% - Énfasis4 2 3 8" xfId="22853" xr:uid="{00000000-0005-0000-0000-0000651D0000}"/>
    <cellStyle name="40% - Énfasis4 2 4" xfId="231" xr:uid="{00000000-0005-0000-0000-0000661D0000}"/>
    <cellStyle name="40% - Énfasis4 2 4 2" xfId="1859" xr:uid="{00000000-0005-0000-0000-0000671D0000}"/>
    <cellStyle name="40% - Énfasis4 2 4 2 2" xfId="3709" xr:uid="{00000000-0005-0000-0000-0000681D0000}"/>
    <cellStyle name="40% - Énfasis4 2 4 2 2 2" xfId="7430" xr:uid="{00000000-0005-0000-0000-0000691D0000}"/>
    <cellStyle name="40% - Énfasis4 2 4 2 2 2 2" xfId="22314" xr:uid="{00000000-0005-0000-0000-00006A1D0000}"/>
    <cellStyle name="40% - Énfasis4 2 4 2 2 2 2 2" xfId="44957" xr:uid="{00000000-0005-0000-0000-00006B1D0000}"/>
    <cellStyle name="40% - Énfasis4 2 4 2 2 2 3" xfId="14874" xr:uid="{00000000-0005-0000-0000-00006C1D0000}"/>
    <cellStyle name="40% - Énfasis4 2 4 2 2 2 3 2" xfId="37517" xr:uid="{00000000-0005-0000-0000-00006D1D0000}"/>
    <cellStyle name="40% - Énfasis4 2 4 2 2 2 4" xfId="30076" xr:uid="{00000000-0005-0000-0000-00006E1D0000}"/>
    <cellStyle name="40% - Énfasis4 2 4 2 2 3" xfId="18596" xr:uid="{00000000-0005-0000-0000-00006F1D0000}"/>
    <cellStyle name="40% - Énfasis4 2 4 2 2 3 2" xfId="41239" xr:uid="{00000000-0005-0000-0000-0000701D0000}"/>
    <cellStyle name="40% - Énfasis4 2 4 2 2 4" xfId="11156" xr:uid="{00000000-0005-0000-0000-0000711D0000}"/>
    <cellStyle name="40% - Énfasis4 2 4 2 2 4 2" xfId="33799" xr:uid="{00000000-0005-0000-0000-0000721D0000}"/>
    <cellStyle name="40% - Énfasis4 2 4 2 2 5" xfId="26358" xr:uid="{00000000-0005-0000-0000-0000731D0000}"/>
    <cellStyle name="40% - Énfasis4 2 4 2 3" xfId="5583" xr:uid="{00000000-0005-0000-0000-0000741D0000}"/>
    <cellStyle name="40% - Énfasis4 2 4 2 3 2" xfId="20467" xr:uid="{00000000-0005-0000-0000-0000751D0000}"/>
    <cellStyle name="40% - Énfasis4 2 4 2 3 2 2" xfId="43110" xr:uid="{00000000-0005-0000-0000-0000761D0000}"/>
    <cellStyle name="40% - Énfasis4 2 4 2 3 3" xfId="13027" xr:uid="{00000000-0005-0000-0000-0000771D0000}"/>
    <cellStyle name="40% - Énfasis4 2 4 2 3 3 2" xfId="35670" xr:uid="{00000000-0005-0000-0000-0000781D0000}"/>
    <cellStyle name="40% - Énfasis4 2 4 2 3 4" xfId="28229" xr:uid="{00000000-0005-0000-0000-0000791D0000}"/>
    <cellStyle name="40% - Énfasis4 2 4 2 4" xfId="16749" xr:uid="{00000000-0005-0000-0000-00007A1D0000}"/>
    <cellStyle name="40% - Énfasis4 2 4 2 4 2" xfId="39392" xr:uid="{00000000-0005-0000-0000-00007B1D0000}"/>
    <cellStyle name="40% - Énfasis4 2 4 2 5" xfId="9309" xr:uid="{00000000-0005-0000-0000-00007C1D0000}"/>
    <cellStyle name="40% - Énfasis4 2 4 2 5 2" xfId="31952" xr:uid="{00000000-0005-0000-0000-00007D1D0000}"/>
    <cellStyle name="40% - Énfasis4 2 4 2 6" xfId="24511" xr:uid="{00000000-0005-0000-0000-00007E1D0000}"/>
    <cellStyle name="40% - Énfasis4 2 4 3" xfId="2784" xr:uid="{00000000-0005-0000-0000-00007F1D0000}"/>
    <cellStyle name="40% - Énfasis4 2 4 3 2" xfId="6505" xr:uid="{00000000-0005-0000-0000-0000801D0000}"/>
    <cellStyle name="40% - Énfasis4 2 4 3 2 2" xfId="21389" xr:uid="{00000000-0005-0000-0000-0000811D0000}"/>
    <cellStyle name="40% - Énfasis4 2 4 3 2 2 2" xfId="44032" xr:uid="{00000000-0005-0000-0000-0000821D0000}"/>
    <cellStyle name="40% - Énfasis4 2 4 3 2 3" xfId="13949" xr:uid="{00000000-0005-0000-0000-0000831D0000}"/>
    <cellStyle name="40% - Énfasis4 2 4 3 2 3 2" xfId="36592" xr:uid="{00000000-0005-0000-0000-0000841D0000}"/>
    <cellStyle name="40% - Énfasis4 2 4 3 2 4" xfId="29151" xr:uid="{00000000-0005-0000-0000-0000851D0000}"/>
    <cellStyle name="40% - Énfasis4 2 4 3 3" xfId="17671" xr:uid="{00000000-0005-0000-0000-0000861D0000}"/>
    <cellStyle name="40% - Énfasis4 2 4 3 3 2" xfId="40314" xr:uid="{00000000-0005-0000-0000-0000871D0000}"/>
    <cellStyle name="40% - Énfasis4 2 4 3 4" xfId="10231" xr:uid="{00000000-0005-0000-0000-0000881D0000}"/>
    <cellStyle name="40% - Énfasis4 2 4 3 4 2" xfId="32874" xr:uid="{00000000-0005-0000-0000-0000891D0000}"/>
    <cellStyle name="40% - Énfasis4 2 4 3 5" xfId="25433" xr:uid="{00000000-0005-0000-0000-00008A1D0000}"/>
    <cellStyle name="40% - Énfasis4 2 4 4" xfId="4658" xr:uid="{00000000-0005-0000-0000-00008B1D0000}"/>
    <cellStyle name="40% - Énfasis4 2 4 4 2" xfId="19542" xr:uid="{00000000-0005-0000-0000-00008C1D0000}"/>
    <cellStyle name="40% - Énfasis4 2 4 4 2 2" xfId="42185" xr:uid="{00000000-0005-0000-0000-00008D1D0000}"/>
    <cellStyle name="40% - Énfasis4 2 4 4 3" xfId="12102" xr:uid="{00000000-0005-0000-0000-00008E1D0000}"/>
    <cellStyle name="40% - Énfasis4 2 4 4 3 2" xfId="34745" xr:uid="{00000000-0005-0000-0000-00008F1D0000}"/>
    <cellStyle name="40% - Énfasis4 2 4 4 4" xfId="27304" xr:uid="{00000000-0005-0000-0000-0000901D0000}"/>
    <cellStyle name="40% - Énfasis4 2 4 5" xfId="931" xr:uid="{00000000-0005-0000-0000-0000911D0000}"/>
    <cellStyle name="40% - Énfasis4 2 4 5 2" xfId="15824" xr:uid="{00000000-0005-0000-0000-0000921D0000}"/>
    <cellStyle name="40% - Énfasis4 2 4 5 2 2" xfId="38467" xr:uid="{00000000-0005-0000-0000-0000931D0000}"/>
    <cellStyle name="40% - Énfasis4 2 4 5 3" xfId="23586" xr:uid="{00000000-0005-0000-0000-0000941D0000}"/>
    <cellStyle name="40% - Énfasis4 2 4 6" xfId="8384" xr:uid="{00000000-0005-0000-0000-0000951D0000}"/>
    <cellStyle name="40% - Énfasis4 2 4 6 2" xfId="31027" xr:uid="{00000000-0005-0000-0000-0000961D0000}"/>
    <cellStyle name="40% - Énfasis4 2 4 7" xfId="22931" xr:uid="{00000000-0005-0000-0000-0000971D0000}"/>
    <cellStyle name="40% - Énfasis4 2 5" xfId="1397" xr:uid="{00000000-0005-0000-0000-0000981D0000}"/>
    <cellStyle name="40% - Énfasis4 2 5 2" xfId="3247" xr:uid="{00000000-0005-0000-0000-0000991D0000}"/>
    <cellStyle name="40% - Énfasis4 2 5 2 2" xfId="6968" xr:uid="{00000000-0005-0000-0000-00009A1D0000}"/>
    <cellStyle name="40% - Énfasis4 2 5 2 2 2" xfId="21852" xr:uid="{00000000-0005-0000-0000-00009B1D0000}"/>
    <cellStyle name="40% - Énfasis4 2 5 2 2 2 2" xfId="44495" xr:uid="{00000000-0005-0000-0000-00009C1D0000}"/>
    <cellStyle name="40% - Énfasis4 2 5 2 2 3" xfId="14412" xr:uid="{00000000-0005-0000-0000-00009D1D0000}"/>
    <cellStyle name="40% - Énfasis4 2 5 2 2 3 2" xfId="37055" xr:uid="{00000000-0005-0000-0000-00009E1D0000}"/>
    <cellStyle name="40% - Énfasis4 2 5 2 2 4" xfId="29614" xr:uid="{00000000-0005-0000-0000-00009F1D0000}"/>
    <cellStyle name="40% - Énfasis4 2 5 2 3" xfId="18134" xr:uid="{00000000-0005-0000-0000-0000A01D0000}"/>
    <cellStyle name="40% - Énfasis4 2 5 2 3 2" xfId="40777" xr:uid="{00000000-0005-0000-0000-0000A11D0000}"/>
    <cellStyle name="40% - Énfasis4 2 5 2 4" xfId="10694" xr:uid="{00000000-0005-0000-0000-0000A21D0000}"/>
    <cellStyle name="40% - Énfasis4 2 5 2 4 2" xfId="33337" xr:uid="{00000000-0005-0000-0000-0000A31D0000}"/>
    <cellStyle name="40% - Énfasis4 2 5 2 5" xfId="25896" xr:uid="{00000000-0005-0000-0000-0000A41D0000}"/>
    <cellStyle name="40% - Énfasis4 2 5 3" xfId="5121" xr:uid="{00000000-0005-0000-0000-0000A51D0000}"/>
    <cellStyle name="40% - Énfasis4 2 5 3 2" xfId="20005" xr:uid="{00000000-0005-0000-0000-0000A61D0000}"/>
    <cellStyle name="40% - Énfasis4 2 5 3 2 2" xfId="42648" xr:uid="{00000000-0005-0000-0000-0000A71D0000}"/>
    <cellStyle name="40% - Énfasis4 2 5 3 3" xfId="12565" xr:uid="{00000000-0005-0000-0000-0000A81D0000}"/>
    <cellStyle name="40% - Énfasis4 2 5 3 3 2" xfId="35208" xr:uid="{00000000-0005-0000-0000-0000A91D0000}"/>
    <cellStyle name="40% - Énfasis4 2 5 3 4" xfId="27767" xr:uid="{00000000-0005-0000-0000-0000AA1D0000}"/>
    <cellStyle name="40% - Énfasis4 2 5 4" xfId="16287" xr:uid="{00000000-0005-0000-0000-0000AB1D0000}"/>
    <cellStyle name="40% - Énfasis4 2 5 4 2" xfId="38930" xr:uid="{00000000-0005-0000-0000-0000AC1D0000}"/>
    <cellStyle name="40% - Énfasis4 2 5 5" xfId="8847" xr:uid="{00000000-0005-0000-0000-0000AD1D0000}"/>
    <cellStyle name="40% - Énfasis4 2 5 5 2" xfId="31490" xr:uid="{00000000-0005-0000-0000-0000AE1D0000}"/>
    <cellStyle name="40% - Énfasis4 2 5 6" xfId="24049" xr:uid="{00000000-0005-0000-0000-0000AF1D0000}"/>
    <cellStyle name="40% - Énfasis4 2 6" xfId="2322" xr:uid="{00000000-0005-0000-0000-0000B01D0000}"/>
    <cellStyle name="40% - Énfasis4 2 6 2" xfId="6043" xr:uid="{00000000-0005-0000-0000-0000B11D0000}"/>
    <cellStyle name="40% - Énfasis4 2 6 2 2" xfId="20927" xr:uid="{00000000-0005-0000-0000-0000B21D0000}"/>
    <cellStyle name="40% - Énfasis4 2 6 2 2 2" xfId="43570" xr:uid="{00000000-0005-0000-0000-0000B31D0000}"/>
    <cellStyle name="40% - Énfasis4 2 6 2 3" xfId="13487" xr:uid="{00000000-0005-0000-0000-0000B41D0000}"/>
    <cellStyle name="40% - Énfasis4 2 6 2 3 2" xfId="36130" xr:uid="{00000000-0005-0000-0000-0000B51D0000}"/>
    <cellStyle name="40% - Énfasis4 2 6 2 4" xfId="28689" xr:uid="{00000000-0005-0000-0000-0000B61D0000}"/>
    <cellStyle name="40% - Énfasis4 2 6 3" xfId="17209" xr:uid="{00000000-0005-0000-0000-0000B71D0000}"/>
    <cellStyle name="40% - Énfasis4 2 6 3 2" xfId="39852" xr:uid="{00000000-0005-0000-0000-0000B81D0000}"/>
    <cellStyle name="40% - Énfasis4 2 6 4" xfId="9769" xr:uid="{00000000-0005-0000-0000-0000B91D0000}"/>
    <cellStyle name="40% - Énfasis4 2 6 4 2" xfId="32412" xr:uid="{00000000-0005-0000-0000-0000BA1D0000}"/>
    <cellStyle name="40% - Énfasis4 2 6 5" xfId="24971" xr:uid="{00000000-0005-0000-0000-0000BB1D0000}"/>
    <cellStyle name="40% - Énfasis4 2 7" xfId="4196" xr:uid="{00000000-0005-0000-0000-0000BC1D0000}"/>
    <cellStyle name="40% - Énfasis4 2 7 2" xfId="19080" xr:uid="{00000000-0005-0000-0000-0000BD1D0000}"/>
    <cellStyle name="40% - Énfasis4 2 7 2 2" xfId="41723" xr:uid="{00000000-0005-0000-0000-0000BE1D0000}"/>
    <cellStyle name="40% - Énfasis4 2 7 3" xfId="11640" xr:uid="{00000000-0005-0000-0000-0000BF1D0000}"/>
    <cellStyle name="40% - Énfasis4 2 7 3 2" xfId="34283" xr:uid="{00000000-0005-0000-0000-0000C01D0000}"/>
    <cellStyle name="40% - Énfasis4 2 7 4" xfId="26842" xr:uid="{00000000-0005-0000-0000-0000C11D0000}"/>
    <cellStyle name="40% - Énfasis4 2 8" xfId="463" xr:uid="{00000000-0005-0000-0000-0000C21D0000}"/>
    <cellStyle name="40% - Énfasis4 2 8 2" xfId="15362" xr:uid="{00000000-0005-0000-0000-0000C31D0000}"/>
    <cellStyle name="40% - Énfasis4 2 8 2 2" xfId="38005" xr:uid="{00000000-0005-0000-0000-0000C41D0000}"/>
    <cellStyle name="40% - Énfasis4 2 8 3" xfId="23125" xr:uid="{00000000-0005-0000-0000-0000C51D0000}"/>
    <cellStyle name="40% - Énfasis4 2 9" xfId="7922" xr:uid="{00000000-0005-0000-0000-0000C61D0000}"/>
    <cellStyle name="40% - Énfasis4 2 9 2" xfId="30565" xr:uid="{00000000-0005-0000-0000-0000C71D0000}"/>
    <cellStyle name="40% - Énfasis4 3" xfId="91" xr:uid="{00000000-0005-0000-0000-0000C81D0000}"/>
    <cellStyle name="40% - Énfasis4 3 2" xfId="175" xr:uid="{00000000-0005-0000-0000-0000C91D0000}"/>
    <cellStyle name="40% - Énfasis4 3 2 2" xfId="336" xr:uid="{00000000-0005-0000-0000-0000CA1D0000}"/>
    <cellStyle name="40% - Énfasis4 3 2 2 2" xfId="2123" xr:uid="{00000000-0005-0000-0000-0000CB1D0000}"/>
    <cellStyle name="40% - Énfasis4 3 2 2 2 2" xfId="3973" xr:uid="{00000000-0005-0000-0000-0000CC1D0000}"/>
    <cellStyle name="40% - Énfasis4 3 2 2 2 2 2" xfId="7694" xr:uid="{00000000-0005-0000-0000-0000CD1D0000}"/>
    <cellStyle name="40% - Énfasis4 3 2 2 2 2 2 2" xfId="22578" xr:uid="{00000000-0005-0000-0000-0000CE1D0000}"/>
    <cellStyle name="40% - Énfasis4 3 2 2 2 2 2 2 2" xfId="45221" xr:uid="{00000000-0005-0000-0000-0000CF1D0000}"/>
    <cellStyle name="40% - Énfasis4 3 2 2 2 2 2 3" xfId="15138" xr:uid="{00000000-0005-0000-0000-0000D01D0000}"/>
    <cellStyle name="40% - Énfasis4 3 2 2 2 2 2 3 2" xfId="37781" xr:uid="{00000000-0005-0000-0000-0000D11D0000}"/>
    <cellStyle name="40% - Énfasis4 3 2 2 2 2 2 4" xfId="30340" xr:uid="{00000000-0005-0000-0000-0000D21D0000}"/>
    <cellStyle name="40% - Énfasis4 3 2 2 2 2 3" xfId="18860" xr:uid="{00000000-0005-0000-0000-0000D31D0000}"/>
    <cellStyle name="40% - Énfasis4 3 2 2 2 2 3 2" xfId="41503" xr:uid="{00000000-0005-0000-0000-0000D41D0000}"/>
    <cellStyle name="40% - Énfasis4 3 2 2 2 2 4" xfId="11420" xr:uid="{00000000-0005-0000-0000-0000D51D0000}"/>
    <cellStyle name="40% - Énfasis4 3 2 2 2 2 4 2" xfId="34063" xr:uid="{00000000-0005-0000-0000-0000D61D0000}"/>
    <cellStyle name="40% - Énfasis4 3 2 2 2 2 5" xfId="26622" xr:uid="{00000000-0005-0000-0000-0000D71D0000}"/>
    <cellStyle name="40% - Énfasis4 3 2 2 2 3" xfId="5847" xr:uid="{00000000-0005-0000-0000-0000D81D0000}"/>
    <cellStyle name="40% - Énfasis4 3 2 2 2 3 2" xfId="20731" xr:uid="{00000000-0005-0000-0000-0000D91D0000}"/>
    <cellStyle name="40% - Énfasis4 3 2 2 2 3 2 2" xfId="43374" xr:uid="{00000000-0005-0000-0000-0000DA1D0000}"/>
    <cellStyle name="40% - Énfasis4 3 2 2 2 3 3" xfId="13291" xr:uid="{00000000-0005-0000-0000-0000DB1D0000}"/>
    <cellStyle name="40% - Énfasis4 3 2 2 2 3 3 2" xfId="35934" xr:uid="{00000000-0005-0000-0000-0000DC1D0000}"/>
    <cellStyle name="40% - Énfasis4 3 2 2 2 3 4" xfId="28493" xr:uid="{00000000-0005-0000-0000-0000DD1D0000}"/>
    <cellStyle name="40% - Énfasis4 3 2 2 2 4" xfId="17013" xr:uid="{00000000-0005-0000-0000-0000DE1D0000}"/>
    <cellStyle name="40% - Énfasis4 3 2 2 2 4 2" xfId="39656" xr:uid="{00000000-0005-0000-0000-0000DF1D0000}"/>
    <cellStyle name="40% - Énfasis4 3 2 2 2 5" xfId="9573" xr:uid="{00000000-0005-0000-0000-0000E01D0000}"/>
    <cellStyle name="40% - Énfasis4 3 2 2 2 5 2" xfId="32216" xr:uid="{00000000-0005-0000-0000-0000E11D0000}"/>
    <cellStyle name="40% - Énfasis4 3 2 2 2 6" xfId="24775" xr:uid="{00000000-0005-0000-0000-0000E21D0000}"/>
    <cellStyle name="40% - Énfasis4 3 2 2 3" xfId="3048" xr:uid="{00000000-0005-0000-0000-0000E31D0000}"/>
    <cellStyle name="40% - Énfasis4 3 2 2 3 2" xfId="6769" xr:uid="{00000000-0005-0000-0000-0000E41D0000}"/>
    <cellStyle name="40% - Énfasis4 3 2 2 3 2 2" xfId="21653" xr:uid="{00000000-0005-0000-0000-0000E51D0000}"/>
    <cellStyle name="40% - Énfasis4 3 2 2 3 2 2 2" xfId="44296" xr:uid="{00000000-0005-0000-0000-0000E61D0000}"/>
    <cellStyle name="40% - Énfasis4 3 2 2 3 2 3" xfId="14213" xr:uid="{00000000-0005-0000-0000-0000E71D0000}"/>
    <cellStyle name="40% - Énfasis4 3 2 2 3 2 3 2" xfId="36856" xr:uid="{00000000-0005-0000-0000-0000E81D0000}"/>
    <cellStyle name="40% - Énfasis4 3 2 2 3 2 4" xfId="29415" xr:uid="{00000000-0005-0000-0000-0000E91D0000}"/>
    <cellStyle name="40% - Énfasis4 3 2 2 3 3" xfId="17935" xr:uid="{00000000-0005-0000-0000-0000EA1D0000}"/>
    <cellStyle name="40% - Énfasis4 3 2 2 3 3 2" xfId="40578" xr:uid="{00000000-0005-0000-0000-0000EB1D0000}"/>
    <cellStyle name="40% - Énfasis4 3 2 2 3 4" xfId="10495" xr:uid="{00000000-0005-0000-0000-0000EC1D0000}"/>
    <cellStyle name="40% - Énfasis4 3 2 2 3 4 2" xfId="33138" xr:uid="{00000000-0005-0000-0000-0000ED1D0000}"/>
    <cellStyle name="40% - Énfasis4 3 2 2 3 5" xfId="25697" xr:uid="{00000000-0005-0000-0000-0000EE1D0000}"/>
    <cellStyle name="40% - Énfasis4 3 2 2 4" xfId="4922" xr:uid="{00000000-0005-0000-0000-0000EF1D0000}"/>
    <cellStyle name="40% - Énfasis4 3 2 2 4 2" xfId="19806" xr:uid="{00000000-0005-0000-0000-0000F01D0000}"/>
    <cellStyle name="40% - Énfasis4 3 2 2 4 2 2" xfId="42449" xr:uid="{00000000-0005-0000-0000-0000F11D0000}"/>
    <cellStyle name="40% - Énfasis4 3 2 2 4 3" xfId="12366" xr:uid="{00000000-0005-0000-0000-0000F21D0000}"/>
    <cellStyle name="40% - Énfasis4 3 2 2 4 3 2" xfId="35009" xr:uid="{00000000-0005-0000-0000-0000F31D0000}"/>
    <cellStyle name="40% - Énfasis4 3 2 2 4 4" xfId="27568" xr:uid="{00000000-0005-0000-0000-0000F41D0000}"/>
    <cellStyle name="40% - Énfasis4 3 2 2 5" xfId="1195" xr:uid="{00000000-0005-0000-0000-0000F51D0000}"/>
    <cellStyle name="40% - Énfasis4 3 2 2 5 2" xfId="16088" xr:uid="{00000000-0005-0000-0000-0000F61D0000}"/>
    <cellStyle name="40% - Énfasis4 3 2 2 5 2 2" xfId="38731" xr:uid="{00000000-0005-0000-0000-0000F71D0000}"/>
    <cellStyle name="40% - Énfasis4 3 2 2 5 3" xfId="23850" xr:uid="{00000000-0005-0000-0000-0000F81D0000}"/>
    <cellStyle name="40% - Énfasis4 3 2 2 6" xfId="8648" xr:uid="{00000000-0005-0000-0000-0000F91D0000}"/>
    <cellStyle name="40% - Énfasis4 3 2 2 6 2" xfId="31291" xr:uid="{00000000-0005-0000-0000-0000FA1D0000}"/>
    <cellStyle name="40% - Énfasis4 3 2 2 7" xfId="23034" xr:uid="{00000000-0005-0000-0000-0000FB1D0000}"/>
    <cellStyle name="40% - Énfasis4 3 2 3" xfId="1661" xr:uid="{00000000-0005-0000-0000-0000FC1D0000}"/>
    <cellStyle name="40% - Énfasis4 3 2 3 2" xfId="3511" xr:uid="{00000000-0005-0000-0000-0000FD1D0000}"/>
    <cellStyle name="40% - Énfasis4 3 2 3 2 2" xfId="7232" xr:uid="{00000000-0005-0000-0000-0000FE1D0000}"/>
    <cellStyle name="40% - Énfasis4 3 2 3 2 2 2" xfId="22116" xr:uid="{00000000-0005-0000-0000-0000FF1D0000}"/>
    <cellStyle name="40% - Énfasis4 3 2 3 2 2 2 2" xfId="44759" xr:uid="{00000000-0005-0000-0000-0000001E0000}"/>
    <cellStyle name="40% - Énfasis4 3 2 3 2 2 3" xfId="14676" xr:uid="{00000000-0005-0000-0000-0000011E0000}"/>
    <cellStyle name="40% - Énfasis4 3 2 3 2 2 3 2" xfId="37319" xr:uid="{00000000-0005-0000-0000-0000021E0000}"/>
    <cellStyle name="40% - Énfasis4 3 2 3 2 2 4" xfId="29878" xr:uid="{00000000-0005-0000-0000-0000031E0000}"/>
    <cellStyle name="40% - Énfasis4 3 2 3 2 3" xfId="18398" xr:uid="{00000000-0005-0000-0000-0000041E0000}"/>
    <cellStyle name="40% - Énfasis4 3 2 3 2 3 2" xfId="41041" xr:uid="{00000000-0005-0000-0000-0000051E0000}"/>
    <cellStyle name="40% - Énfasis4 3 2 3 2 4" xfId="10958" xr:uid="{00000000-0005-0000-0000-0000061E0000}"/>
    <cellStyle name="40% - Énfasis4 3 2 3 2 4 2" xfId="33601" xr:uid="{00000000-0005-0000-0000-0000071E0000}"/>
    <cellStyle name="40% - Énfasis4 3 2 3 2 5" xfId="26160" xr:uid="{00000000-0005-0000-0000-0000081E0000}"/>
    <cellStyle name="40% - Énfasis4 3 2 3 3" xfId="5385" xr:uid="{00000000-0005-0000-0000-0000091E0000}"/>
    <cellStyle name="40% - Énfasis4 3 2 3 3 2" xfId="20269" xr:uid="{00000000-0005-0000-0000-00000A1E0000}"/>
    <cellStyle name="40% - Énfasis4 3 2 3 3 2 2" xfId="42912" xr:uid="{00000000-0005-0000-0000-00000B1E0000}"/>
    <cellStyle name="40% - Énfasis4 3 2 3 3 3" xfId="12829" xr:uid="{00000000-0005-0000-0000-00000C1E0000}"/>
    <cellStyle name="40% - Énfasis4 3 2 3 3 3 2" xfId="35472" xr:uid="{00000000-0005-0000-0000-00000D1E0000}"/>
    <cellStyle name="40% - Énfasis4 3 2 3 3 4" xfId="28031" xr:uid="{00000000-0005-0000-0000-00000E1E0000}"/>
    <cellStyle name="40% - Énfasis4 3 2 3 4" xfId="16551" xr:uid="{00000000-0005-0000-0000-00000F1E0000}"/>
    <cellStyle name="40% - Énfasis4 3 2 3 4 2" xfId="39194" xr:uid="{00000000-0005-0000-0000-0000101E0000}"/>
    <cellStyle name="40% - Énfasis4 3 2 3 5" xfId="9111" xr:uid="{00000000-0005-0000-0000-0000111E0000}"/>
    <cellStyle name="40% - Énfasis4 3 2 3 5 2" xfId="31754" xr:uid="{00000000-0005-0000-0000-0000121E0000}"/>
    <cellStyle name="40% - Énfasis4 3 2 3 6" xfId="24313" xr:uid="{00000000-0005-0000-0000-0000131E0000}"/>
    <cellStyle name="40% - Énfasis4 3 2 4" xfId="2586" xr:uid="{00000000-0005-0000-0000-0000141E0000}"/>
    <cellStyle name="40% - Énfasis4 3 2 4 2" xfId="6307" xr:uid="{00000000-0005-0000-0000-0000151E0000}"/>
    <cellStyle name="40% - Énfasis4 3 2 4 2 2" xfId="21191" xr:uid="{00000000-0005-0000-0000-0000161E0000}"/>
    <cellStyle name="40% - Énfasis4 3 2 4 2 2 2" xfId="43834" xr:uid="{00000000-0005-0000-0000-0000171E0000}"/>
    <cellStyle name="40% - Énfasis4 3 2 4 2 3" xfId="13751" xr:uid="{00000000-0005-0000-0000-0000181E0000}"/>
    <cellStyle name="40% - Énfasis4 3 2 4 2 3 2" xfId="36394" xr:uid="{00000000-0005-0000-0000-0000191E0000}"/>
    <cellStyle name="40% - Énfasis4 3 2 4 2 4" xfId="28953" xr:uid="{00000000-0005-0000-0000-00001A1E0000}"/>
    <cellStyle name="40% - Énfasis4 3 2 4 3" xfId="17473" xr:uid="{00000000-0005-0000-0000-00001B1E0000}"/>
    <cellStyle name="40% - Énfasis4 3 2 4 3 2" xfId="40116" xr:uid="{00000000-0005-0000-0000-00001C1E0000}"/>
    <cellStyle name="40% - Énfasis4 3 2 4 4" xfId="10033" xr:uid="{00000000-0005-0000-0000-00001D1E0000}"/>
    <cellStyle name="40% - Énfasis4 3 2 4 4 2" xfId="32676" xr:uid="{00000000-0005-0000-0000-00001E1E0000}"/>
    <cellStyle name="40% - Énfasis4 3 2 4 5" xfId="25235" xr:uid="{00000000-0005-0000-0000-00001F1E0000}"/>
    <cellStyle name="40% - Énfasis4 3 2 5" xfId="4460" xr:uid="{00000000-0005-0000-0000-0000201E0000}"/>
    <cellStyle name="40% - Énfasis4 3 2 5 2" xfId="19344" xr:uid="{00000000-0005-0000-0000-0000211E0000}"/>
    <cellStyle name="40% - Énfasis4 3 2 5 2 2" xfId="41987" xr:uid="{00000000-0005-0000-0000-0000221E0000}"/>
    <cellStyle name="40% - Énfasis4 3 2 5 3" xfId="11904" xr:uid="{00000000-0005-0000-0000-0000231E0000}"/>
    <cellStyle name="40% - Énfasis4 3 2 5 3 2" xfId="34547" xr:uid="{00000000-0005-0000-0000-0000241E0000}"/>
    <cellStyle name="40% - Énfasis4 3 2 5 4" xfId="27106" xr:uid="{00000000-0005-0000-0000-0000251E0000}"/>
    <cellStyle name="40% - Énfasis4 3 2 6" xfId="730" xr:uid="{00000000-0005-0000-0000-0000261E0000}"/>
    <cellStyle name="40% - Énfasis4 3 2 6 2" xfId="15626" xr:uid="{00000000-0005-0000-0000-0000271E0000}"/>
    <cellStyle name="40% - Énfasis4 3 2 6 2 2" xfId="38269" xr:uid="{00000000-0005-0000-0000-0000281E0000}"/>
    <cellStyle name="40% - Énfasis4 3 2 6 3" xfId="23388" xr:uid="{00000000-0005-0000-0000-0000291E0000}"/>
    <cellStyle name="40% - Énfasis4 3 2 7" xfId="8186" xr:uid="{00000000-0005-0000-0000-00002A1E0000}"/>
    <cellStyle name="40% - Énfasis4 3 2 7 2" xfId="30829" xr:uid="{00000000-0005-0000-0000-00002B1E0000}"/>
    <cellStyle name="40% - Énfasis4 3 2 8" xfId="22878" xr:uid="{00000000-0005-0000-0000-00002C1E0000}"/>
    <cellStyle name="40% - Énfasis4 3 3" xfId="258" xr:uid="{00000000-0005-0000-0000-00002D1E0000}"/>
    <cellStyle name="40% - Énfasis4 3 3 2" xfId="1912" xr:uid="{00000000-0005-0000-0000-00002E1E0000}"/>
    <cellStyle name="40% - Énfasis4 3 3 2 2" xfId="3762" xr:uid="{00000000-0005-0000-0000-00002F1E0000}"/>
    <cellStyle name="40% - Énfasis4 3 3 2 2 2" xfId="7483" xr:uid="{00000000-0005-0000-0000-0000301E0000}"/>
    <cellStyle name="40% - Énfasis4 3 3 2 2 2 2" xfId="22367" xr:uid="{00000000-0005-0000-0000-0000311E0000}"/>
    <cellStyle name="40% - Énfasis4 3 3 2 2 2 2 2" xfId="45010" xr:uid="{00000000-0005-0000-0000-0000321E0000}"/>
    <cellStyle name="40% - Énfasis4 3 3 2 2 2 3" xfId="14927" xr:uid="{00000000-0005-0000-0000-0000331E0000}"/>
    <cellStyle name="40% - Énfasis4 3 3 2 2 2 3 2" xfId="37570" xr:uid="{00000000-0005-0000-0000-0000341E0000}"/>
    <cellStyle name="40% - Énfasis4 3 3 2 2 2 4" xfId="30129" xr:uid="{00000000-0005-0000-0000-0000351E0000}"/>
    <cellStyle name="40% - Énfasis4 3 3 2 2 3" xfId="18649" xr:uid="{00000000-0005-0000-0000-0000361E0000}"/>
    <cellStyle name="40% - Énfasis4 3 3 2 2 3 2" xfId="41292" xr:uid="{00000000-0005-0000-0000-0000371E0000}"/>
    <cellStyle name="40% - Énfasis4 3 3 2 2 4" xfId="11209" xr:uid="{00000000-0005-0000-0000-0000381E0000}"/>
    <cellStyle name="40% - Énfasis4 3 3 2 2 4 2" xfId="33852" xr:uid="{00000000-0005-0000-0000-0000391E0000}"/>
    <cellStyle name="40% - Énfasis4 3 3 2 2 5" xfId="26411" xr:uid="{00000000-0005-0000-0000-00003A1E0000}"/>
    <cellStyle name="40% - Énfasis4 3 3 2 3" xfId="5636" xr:uid="{00000000-0005-0000-0000-00003B1E0000}"/>
    <cellStyle name="40% - Énfasis4 3 3 2 3 2" xfId="20520" xr:uid="{00000000-0005-0000-0000-00003C1E0000}"/>
    <cellStyle name="40% - Énfasis4 3 3 2 3 2 2" xfId="43163" xr:uid="{00000000-0005-0000-0000-00003D1E0000}"/>
    <cellStyle name="40% - Énfasis4 3 3 2 3 3" xfId="13080" xr:uid="{00000000-0005-0000-0000-00003E1E0000}"/>
    <cellStyle name="40% - Énfasis4 3 3 2 3 3 2" xfId="35723" xr:uid="{00000000-0005-0000-0000-00003F1E0000}"/>
    <cellStyle name="40% - Énfasis4 3 3 2 3 4" xfId="28282" xr:uid="{00000000-0005-0000-0000-0000401E0000}"/>
    <cellStyle name="40% - Énfasis4 3 3 2 4" xfId="16802" xr:uid="{00000000-0005-0000-0000-0000411E0000}"/>
    <cellStyle name="40% - Énfasis4 3 3 2 4 2" xfId="39445" xr:uid="{00000000-0005-0000-0000-0000421E0000}"/>
    <cellStyle name="40% - Énfasis4 3 3 2 5" xfId="9362" xr:uid="{00000000-0005-0000-0000-0000431E0000}"/>
    <cellStyle name="40% - Énfasis4 3 3 2 5 2" xfId="32005" xr:uid="{00000000-0005-0000-0000-0000441E0000}"/>
    <cellStyle name="40% - Énfasis4 3 3 2 6" xfId="24564" xr:uid="{00000000-0005-0000-0000-0000451E0000}"/>
    <cellStyle name="40% - Énfasis4 3 3 3" xfId="2837" xr:uid="{00000000-0005-0000-0000-0000461E0000}"/>
    <cellStyle name="40% - Énfasis4 3 3 3 2" xfId="6558" xr:uid="{00000000-0005-0000-0000-0000471E0000}"/>
    <cellStyle name="40% - Énfasis4 3 3 3 2 2" xfId="21442" xr:uid="{00000000-0005-0000-0000-0000481E0000}"/>
    <cellStyle name="40% - Énfasis4 3 3 3 2 2 2" xfId="44085" xr:uid="{00000000-0005-0000-0000-0000491E0000}"/>
    <cellStyle name="40% - Énfasis4 3 3 3 2 3" xfId="14002" xr:uid="{00000000-0005-0000-0000-00004A1E0000}"/>
    <cellStyle name="40% - Énfasis4 3 3 3 2 3 2" xfId="36645" xr:uid="{00000000-0005-0000-0000-00004B1E0000}"/>
    <cellStyle name="40% - Énfasis4 3 3 3 2 4" xfId="29204" xr:uid="{00000000-0005-0000-0000-00004C1E0000}"/>
    <cellStyle name="40% - Énfasis4 3 3 3 3" xfId="17724" xr:uid="{00000000-0005-0000-0000-00004D1E0000}"/>
    <cellStyle name="40% - Énfasis4 3 3 3 3 2" xfId="40367" xr:uid="{00000000-0005-0000-0000-00004E1E0000}"/>
    <cellStyle name="40% - Énfasis4 3 3 3 4" xfId="10284" xr:uid="{00000000-0005-0000-0000-00004F1E0000}"/>
    <cellStyle name="40% - Énfasis4 3 3 3 4 2" xfId="32927" xr:uid="{00000000-0005-0000-0000-0000501E0000}"/>
    <cellStyle name="40% - Énfasis4 3 3 3 5" xfId="25486" xr:uid="{00000000-0005-0000-0000-0000511E0000}"/>
    <cellStyle name="40% - Énfasis4 3 3 4" xfId="4711" xr:uid="{00000000-0005-0000-0000-0000521E0000}"/>
    <cellStyle name="40% - Énfasis4 3 3 4 2" xfId="19595" xr:uid="{00000000-0005-0000-0000-0000531E0000}"/>
    <cellStyle name="40% - Énfasis4 3 3 4 2 2" xfId="42238" xr:uid="{00000000-0005-0000-0000-0000541E0000}"/>
    <cellStyle name="40% - Énfasis4 3 3 4 3" xfId="12155" xr:uid="{00000000-0005-0000-0000-0000551E0000}"/>
    <cellStyle name="40% - Énfasis4 3 3 4 3 2" xfId="34798" xr:uid="{00000000-0005-0000-0000-0000561E0000}"/>
    <cellStyle name="40% - Énfasis4 3 3 4 4" xfId="27357" xr:uid="{00000000-0005-0000-0000-0000571E0000}"/>
    <cellStyle name="40% - Énfasis4 3 3 5" xfId="984" xr:uid="{00000000-0005-0000-0000-0000581E0000}"/>
    <cellStyle name="40% - Énfasis4 3 3 5 2" xfId="15877" xr:uid="{00000000-0005-0000-0000-0000591E0000}"/>
    <cellStyle name="40% - Énfasis4 3 3 5 2 2" xfId="38520" xr:uid="{00000000-0005-0000-0000-00005A1E0000}"/>
    <cellStyle name="40% - Énfasis4 3 3 5 3" xfId="23639" xr:uid="{00000000-0005-0000-0000-00005B1E0000}"/>
    <cellStyle name="40% - Énfasis4 3 3 6" xfId="8437" xr:uid="{00000000-0005-0000-0000-00005C1E0000}"/>
    <cellStyle name="40% - Énfasis4 3 3 6 2" xfId="31080" xr:uid="{00000000-0005-0000-0000-00005D1E0000}"/>
    <cellStyle name="40% - Énfasis4 3 3 7" xfId="22956" xr:uid="{00000000-0005-0000-0000-00005E1E0000}"/>
    <cellStyle name="40% - Énfasis4 3 4" xfId="1450" xr:uid="{00000000-0005-0000-0000-00005F1E0000}"/>
    <cellStyle name="40% - Énfasis4 3 4 2" xfId="3300" xr:uid="{00000000-0005-0000-0000-0000601E0000}"/>
    <cellStyle name="40% - Énfasis4 3 4 2 2" xfId="7021" xr:uid="{00000000-0005-0000-0000-0000611E0000}"/>
    <cellStyle name="40% - Énfasis4 3 4 2 2 2" xfId="21905" xr:uid="{00000000-0005-0000-0000-0000621E0000}"/>
    <cellStyle name="40% - Énfasis4 3 4 2 2 2 2" xfId="44548" xr:uid="{00000000-0005-0000-0000-0000631E0000}"/>
    <cellStyle name="40% - Énfasis4 3 4 2 2 3" xfId="14465" xr:uid="{00000000-0005-0000-0000-0000641E0000}"/>
    <cellStyle name="40% - Énfasis4 3 4 2 2 3 2" xfId="37108" xr:uid="{00000000-0005-0000-0000-0000651E0000}"/>
    <cellStyle name="40% - Énfasis4 3 4 2 2 4" xfId="29667" xr:uid="{00000000-0005-0000-0000-0000661E0000}"/>
    <cellStyle name="40% - Énfasis4 3 4 2 3" xfId="18187" xr:uid="{00000000-0005-0000-0000-0000671E0000}"/>
    <cellStyle name="40% - Énfasis4 3 4 2 3 2" xfId="40830" xr:uid="{00000000-0005-0000-0000-0000681E0000}"/>
    <cellStyle name="40% - Énfasis4 3 4 2 4" xfId="10747" xr:uid="{00000000-0005-0000-0000-0000691E0000}"/>
    <cellStyle name="40% - Énfasis4 3 4 2 4 2" xfId="33390" xr:uid="{00000000-0005-0000-0000-00006A1E0000}"/>
    <cellStyle name="40% - Énfasis4 3 4 2 5" xfId="25949" xr:uid="{00000000-0005-0000-0000-00006B1E0000}"/>
    <cellStyle name="40% - Énfasis4 3 4 3" xfId="5174" xr:uid="{00000000-0005-0000-0000-00006C1E0000}"/>
    <cellStyle name="40% - Énfasis4 3 4 3 2" xfId="20058" xr:uid="{00000000-0005-0000-0000-00006D1E0000}"/>
    <cellStyle name="40% - Énfasis4 3 4 3 2 2" xfId="42701" xr:uid="{00000000-0005-0000-0000-00006E1E0000}"/>
    <cellStyle name="40% - Énfasis4 3 4 3 3" xfId="12618" xr:uid="{00000000-0005-0000-0000-00006F1E0000}"/>
    <cellStyle name="40% - Énfasis4 3 4 3 3 2" xfId="35261" xr:uid="{00000000-0005-0000-0000-0000701E0000}"/>
    <cellStyle name="40% - Énfasis4 3 4 3 4" xfId="27820" xr:uid="{00000000-0005-0000-0000-0000711E0000}"/>
    <cellStyle name="40% - Énfasis4 3 4 4" xfId="16340" xr:uid="{00000000-0005-0000-0000-0000721E0000}"/>
    <cellStyle name="40% - Énfasis4 3 4 4 2" xfId="38983" xr:uid="{00000000-0005-0000-0000-0000731E0000}"/>
    <cellStyle name="40% - Énfasis4 3 4 5" xfId="8900" xr:uid="{00000000-0005-0000-0000-0000741E0000}"/>
    <cellStyle name="40% - Énfasis4 3 4 5 2" xfId="31543" xr:uid="{00000000-0005-0000-0000-0000751E0000}"/>
    <cellStyle name="40% - Énfasis4 3 4 6" xfId="24102" xr:uid="{00000000-0005-0000-0000-0000761E0000}"/>
    <cellStyle name="40% - Énfasis4 3 5" xfId="2375" xr:uid="{00000000-0005-0000-0000-0000771E0000}"/>
    <cellStyle name="40% - Énfasis4 3 5 2" xfId="6096" xr:uid="{00000000-0005-0000-0000-0000781E0000}"/>
    <cellStyle name="40% - Énfasis4 3 5 2 2" xfId="20980" xr:uid="{00000000-0005-0000-0000-0000791E0000}"/>
    <cellStyle name="40% - Énfasis4 3 5 2 2 2" xfId="43623" xr:uid="{00000000-0005-0000-0000-00007A1E0000}"/>
    <cellStyle name="40% - Énfasis4 3 5 2 3" xfId="13540" xr:uid="{00000000-0005-0000-0000-00007B1E0000}"/>
    <cellStyle name="40% - Énfasis4 3 5 2 3 2" xfId="36183" xr:uid="{00000000-0005-0000-0000-00007C1E0000}"/>
    <cellStyle name="40% - Énfasis4 3 5 2 4" xfId="28742" xr:uid="{00000000-0005-0000-0000-00007D1E0000}"/>
    <cellStyle name="40% - Énfasis4 3 5 3" xfId="17262" xr:uid="{00000000-0005-0000-0000-00007E1E0000}"/>
    <cellStyle name="40% - Énfasis4 3 5 3 2" xfId="39905" xr:uid="{00000000-0005-0000-0000-00007F1E0000}"/>
    <cellStyle name="40% - Énfasis4 3 5 4" xfId="9822" xr:uid="{00000000-0005-0000-0000-0000801E0000}"/>
    <cellStyle name="40% - Énfasis4 3 5 4 2" xfId="32465" xr:uid="{00000000-0005-0000-0000-0000811E0000}"/>
    <cellStyle name="40% - Énfasis4 3 5 5" xfId="25024" xr:uid="{00000000-0005-0000-0000-0000821E0000}"/>
    <cellStyle name="40% - Énfasis4 3 6" xfId="4249" xr:uid="{00000000-0005-0000-0000-0000831E0000}"/>
    <cellStyle name="40% - Énfasis4 3 6 2" xfId="19133" xr:uid="{00000000-0005-0000-0000-0000841E0000}"/>
    <cellStyle name="40% - Énfasis4 3 6 2 2" xfId="41776" xr:uid="{00000000-0005-0000-0000-0000851E0000}"/>
    <cellStyle name="40% - Énfasis4 3 6 3" xfId="11693" xr:uid="{00000000-0005-0000-0000-0000861E0000}"/>
    <cellStyle name="40% - Énfasis4 3 6 3 2" xfId="34336" xr:uid="{00000000-0005-0000-0000-0000871E0000}"/>
    <cellStyle name="40% - Énfasis4 3 6 4" xfId="26895" xr:uid="{00000000-0005-0000-0000-0000881E0000}"/>
    <cellStyle name="40% - Énfasis4 3 7" xfId="517" xr:uid="{00000000-0005-0000-0000-0000891E0000}"/>
    <cellStyle name="40% - Énfasis4 3 7 2" xfId="15415" xr:uid="{00000000-0005-0000-0000-00008A1E0000}"/>
    <cellStyle name="40% - Énfasis4 3 7 2 2" xfId="38058" xr:uid="{00000000-0005-0000-0000-00008B1E0000}"/>
    <cellStyle name="40% - Énfasis4 3 7 3" xfId="23178" xr:uid="{00000000-0005-0000-0000-00008C1E0000}"/>
    <cellStyle name="40% - Énfasis4 3 8" xfId="7975" xr:uid="{00000000-0005-0000-0000-00008D1E0000}"/>
    <cellStyle name="40% - Énfasis4 3 8 2" xfId="30618" xr:uid="{00000000-0005-0000-0000-00008E1E0000}"/>
    <cellStyle name="40% - Énfasis4 3 9" xfId="22800" xr:uid="{00000000-0005-0000-0000-00008F1E0000}"/>
    <cellStyle name="40% - Énfasis4 4" xfId="133" xr:uid="{00000000-0005-0000-0000-0000901E0000}"/>
    <cellStyle name="40% - Énfasis4 4 2" xfId="297" xr:uid="{00000000-0005-0000-0000-0000911E0000}"/>
    <cellStyle name="40% - Énfasis4 4 2 2" xfId="2018" xr:uid="{00000000-0005-0000-0000-0000921E0000}"/>
    <cellStyle name="40% - Énfasis4 4 2 2 2" xfId="3868" xr:uid="{00000000-0005-0000-0000-0000931E0000}"/>
    <cellStyle name="40% - Énfasis4 4 2 2 2 2" xfId="7589" xr:uid="{00000000-0005-0000-0000-0000941E0000}"/>
    <cellStyle name="40% - Énfasis4 4 2 2 2 2 2" xfId="22473" xr:uid="{00000000-0005-0000-0000-0000951E0000}"/>
    <cellStyle name="40% - Énfasis4 4 2 2 2 2 2 2" xfId="45116" xr:uid="{00000000-0005-0000-0000-0000961E0000}"/>
    <cellStyle name="40% - Énfasis4 4 2 2 2 2 3" xfId="15033" xr:uid="{00000000-0005-0000-0000-0000971E0000}"/>
    <cellStyle name="40% - Énfasis4 4 2 2 2 2 3 2" xfId="37676" xr:uid="{00000000-0005-0000-0000-0000981E0000}"/>
    <cellStyle name="40% - Énfasis4 4 2 2 2 2 4" xfId="30235" xr:uid="{00000000-0005-0000-0000-0000991E0000}"/>
    <cellStyle name="40% - Énfasis4 4 2 2 2 3" xfId="18755" xr:uid="{00000000-0005-0000-0000-00009A1E0000}"/>
    <cellStyle name="40% - Énfasis4 4 2 2 2 3 2" xfId="41398" xr:uid="{00000000-0005-0000-0000-00009B1E0000}"/>
    <cellStyle name="40% - Énfasis4 4 2 2 2 4" xfId="11315" xr:uid="{00000000-0005-0000-0000-00009C1E0000}"/>
    <cellStyle name="40% - Énfasis4 4 2 2 2 4 2" xfId="33958" xr:uid="{00000000-0005-0000-0000-00009D1E0000}"/>
    <cellStyle name="40% - Énfasis4 4 2 2 2 5" xfId="26517" xr:uid="{00000000-0005-0000-0000-00009E1E0000}"/>
    <cellStyle name="40% - Énfasis4 4 2 2 3" xfId="5742" xr:uid="{00000000-0005-0000-0000-00009F1E0000}"/>
    <cellStyle name="40% - Énfasis4 4 2 2 3 2" xfId="20626" xr:uid="{00000000-0005-0000-0000-0000A01E0000}"/>
    <cellStyle name="40% - Énfasis4 4 2 2 3 2 2" xfId="43269" xr:uid="{00000000-0005-0000-0000-0000A11E0000}"/>
    <cellStyle name="40% - Énfasis4 4 2 2 3 3" xfId="13186" xr:uid="{00000000-0005-0000-0000-0000A21E0000}"/>
    <cellStyle name="40% - Énfasis4 4 2 2 3 3 2" xfId="35829" xr:uid="{00000000-0005-0000-0000-0000A31E0000}"/>
    <cellStyle name="40% - Énfasis4 4 2 2 3 4" xfId="28388" xr:uid="{00000000-0005-0000-0000-0000A41E0000}"/>
    <cellStyle name="40% - Énfasis4 4 2 2 4" xfId="16908" xr:uid="{00000000-0005-0000-0000-0000A51E0000}"/>
    <cellStyle name="40% - Énfasis4 4 2 2 4 2" xfId="39551" xr:uid="{00000000-0005-0000-0000-0000A61E0000}"/>
    <cellStyle name="40% - Énfasis4 4 2 2 5" xfId="9468" xr:uid="{00000000-0005-0000-0000-0000A71E0000}"/>
    <cellStyle name="40% - Énfasis4 4 2 2 5 2" xfId="32111" xr:uid="{00000000-0005-0000-0000-0000A81E0000}"/>
    <cellStyle name="40% - Énfasis4 4 2 2 6" xfId="24670" xr:uid="{00000000-0005-0000-0000-0000A91E0000}"/>
    <cellStyle name="40% - Énfasis4 4 2 3" xfId="2943" xr:uid="{00000000-0005-0000-0000-0000AA1E0000}"/>
    <cellStyle name="40% - Énfasis4 4 2 3 2" xfId="6664" xr:uid="{00000000-0005-0000-0000-0000AB1E0000}"/>
    <cellStyle name="40% - Énfasis4 4 2 3 2 2" xfId="21548" xr:uid="{00000000-0005-0000-0000-0000AC1E0000}"/>
    <cellStyle name="40% - Énfasis4 4 2 3 2 2 2" xfId="44191" xr:uid="{00000000-0005-0000-0000-0000AD1E0000}"/>
    <cellStyle name="40% - Énfasis4 4 2 3 2 3" xfId="14108" xr:uid="{00000000-0005-0000-0000-0000AE1E0000}"/>
    <cellStyle name="40% - Énfasis4 4 2 3 2 3 2" xfId="36751" xr:uid="{00000000-0005-0000-0000-0000AF1E0000}"/>
    <cellStyle name="40% - Énfasis4 4 2 3 2 4" xfId="29310" xr:uid="{00000000-0005-0000-0000-0000B01E0000}"/>
    <cellStyle name="40% - Énfasis4 4 2 3 3" xfId="17830" xr:uid="{00000000-0005-0000-0000-0000B11E0000}"/>
    <cellStyle name="40% - Énfasis4 4 2 3 3 2" xfId="40473" xr:uid="{00000000-0005-0000-0000-0000B21E0000}"/>
    <cellStyle name="40% - Énfasis4 4 2 3 4" xfId="10390" xr:uid="{00000000-0005-0000-0000-0000B31E0000}"/>
    <cellStyle name="40% - Énfasis4 4 2 3 4 2" xfId="33033" xr:uid="{00000000-0005-0000-0000-0000B41E0000}"/>
    <cellStyle name="40% - Énfasis4 4 2 3 5" xfId="25592" xr:uid="{00000000-0005-0000-0000-0000B51E0000}"/>
    <cellStyle name="40% - Énfasis4 4 2 4" xfId="4817" xr:uid="{00000000-0005-0000-0000-0000B61E0000}"/>
    <cellStyle name="40% - Énfasis4 4 2 4 2" xfId="19701" xr:uid="{00000000-0005-0000-0000-0000B71E0000}"/>
    <cellStyle name="40% - Énfasis4 4 2 4 2 2" xfId="42344" xr:uid="{00000000-0005-0000-0000-0000B81E0000}"/>
    <cellStyle name="40% - Énfasis4 4 2 4 3" xfId="12261" xr:uid="{00000000-0005-0000-0000-0000B91E0000}"/>
    <cellStyle name="40% - Énfasis4 4 2 4 3 2" xfId="34904" xr:uid="{00000000-0005-0000-0000-0000BA1E0000}"/>
    <cellStyle name="40% - Énfasis4 4 2 4 4" xfId="27463" xr:uid="{00000000-0005-0000-0000-0000BB1E0000}"/>
    <cellStyle name="40% - Énfasis4 4 2 5" xfId="1090" xr:uid="{00000000-0005-0000-0000-0000BC1E0000}"/>
    <cellStyle name="40% - Énfasis4 4 2 5 2" xfId="15983" xr:uid="{00000000-0005-0000-0000-0000BD1E0000}"/>
    <cellStyle name="40% - Énfasis4 4 2 5 2 2" xfId="38626" xr:uid="{00000000-0005-0000-0000-0000BE1E0000}"/>
    <cellStyle name="40% - Énfasis4 4 2 5 3" xfId="23745" xr:uid="{00000000-0005-0000-0000-0000BF1E0000}"/>
    <cellStyle name="40% - Énfasis4 4 2 6" xfId="8543" xr:uid="{00000000-0005-0000-0000-0000C01E0000}"/>
    <cellStyle name="40% - Énfasis4 4 2 6 2" xfId="31186" xr:uid="{00000000-0005-0000-0000-0000C11E0000}"/>
    <cellStyle name="40% - Énfasis4 4 2 7" xfId="22995" xr:uid="{00000000-0005-0000-0000-0000C21E0000}"/>
    <cellStyle name="40% - Énfasis4 4 3" xfId="1556" xr:uid="{00000000-0005-0000-0000-0000C31E0000}"/>
    <cellStyle name="40% - Énfasis4 4 3 2" xfId="3406" xr:uid="{00000000-0005-0000-0000-0000C41E0000}"/>
    <cellStyle name="40% - Énfasis4 4 3 2 2" xfId="7127" xr:uid="{00000000-0005-0000-0000-0000C51E0000}"/>
    <cellStyle name="40% - Énfasis4 4 3 2 2 2" xfId="22011" xr:uid="{00000000-0005-0000-0000-0000C61E0000}"/>
    <cellStyle name="40% - Énfasis4 4 3 2 2 2 2" xfId="44654" xr:uid="{00000000-0005-0000-0000-0000C71E0000}"/>
    <cellStyle name="40% - Énfasis4 4 3 2 2 3" xfId="14571" xr:uid="{00000000-0005-0000-0000-0000C81E0000}"/>
    <cellStyle name="40% - Énfasis4 4 3 2 2 3 2" xfId="37214" xr:uid="{00000000-0005-0000-0000-0000C91E0000}"/>
    <cellStyle name="40% - Énfasis4 4 3 2 2 4" xfId="29773" xr:uid="{00000000-0005-0000-0000-0000CA1E0000}"/>
    <cellStyle name="40% - Énfasis4 4 3 2 3" xfId="18293" xr:uid="{00000000-0005-0000-0000-0000CB1E0000}"/>
    <cellStyle name="40% - Énfasis4 4 3 2 3 2" xfId="40936" xr:uid="{00000000-0005-0000-0000-0000CC1E0000}"/>
    <cellStyle name="40% - Énfasis4 4 3 2 4" xfId="10853" xr:uid="{00000000-0005-0000-0000-0000CD1E0000}"/>
    <cellStyle name="40% - Énfasis4 4 3 2 4 2" xfId="33496" xr:uid="{00000000-0005-0000-0000-0000CE1E0000}"/>
    <cellStyle name="40% - Énfasis4 4 3 2 5" xfId="26055" xr:uid="{00000000-0005-0000-0000-0000CF1E0000}"/>
    <cellStyle name="40% - Énfasis4 4 3 3" xfId="5280" xr:uid="{00000000-0005-0000-0000-0000D01E0000}"/>
    <cellStyle name="40% - Énfasis4 4 3 3 2" xfId="20164" xr:uid="{00000000-0005-0000-0000-0000D11E0000}"/>
    <cellStyle name="40% - Énfasis4 4 3 3 2 2" xfId="42807" xr:uid="{00000000-0005-0000-0000-0000D21E0000}"/>
    <cellStyle name="40% - Énfasis4 4 3 3 3" xfId="12724" xr:uid="{00000000-0005-0000-0000-0000D31E0000}"/>
    <cellStyle name="40% - Énfasis4 4 3 3 3 2" xfId="35367" xr:uid="{00000000-0005-0000-0000-0000D41E0000}"/>
    <cellStyle name="40% - Énfasis4 4 3 3 4" xfId="27926" xr:uid="{00000000-0005-0000-0000-0000D51E0000}"/>
    <cellStyle name="40% - Énfasis4 4 3 4" xfId="16446" xr:uid="{00000000-0005-0000-0000-0000D61E0000}"/>
    <cellStyle name="40% - Énfasis4 4 3 4 2" xfId="39089" xr:uid="{00000000-0005-0000-0000-0000D71E0000}"/>
    <cellStyle name="40% - Énfasis4 4 3 5" xfId="9006" xr:uid="{00000000-0005-0000-0000-0000D81E0000}"/>
    <cellStyle name="40% - Énfasis4 4 3 5 2" xfId="31649" xr:uid="{00000000-0005-0000-0000-0000D91E0000}"/>
    <cellStyle name="40% - Énfasis4 4 3 6" xfId="24208" xr:uid="{00000000-0005-0000-0000-0000DA1E0000}"/>
    <cellStyle name="40% - Énfasis4 4 4" xfId="2481" xr:uid="{00000000-0005-0000-0000-0000DB1E0000}"/>
    <cellStyle name="40% - Énfasis4 4 4 2" xfId="6202" xr:uid="{00000000-0005-0000-0000-0000DC1E0000}"/>
    <cellStyle name="40% - Énfasis4 4 4 2 2" xfId="21086" xr:uid="{00000000-0005-0000-0000-0000DD1E0000}"/>
    <cellStyle name="40% - Énfasis4 4 4 2 2 2" xfId="43729" xr:uid="{00000000-0005-0000-0000-0000DE1E0000}"/>
    <cellStyle name="40% - Énfasis4 4 4 2 3" xfId="13646" xr:uid="{00000000-0005-0000-0000-0000DF1E0000}"/>
    <cellStyle name="40% - Énfasis4 4 4 2 3 2" xfId="36289" xr:uid="{00000000-0005-0000-0000-0000E01E0000}"/>
    <cellStyle name="40% - Énfasis4 4 4 2 4" xfId="28848" xr:uid="{00000000-0005-0000-0000-0000E11E0000}"/>
    <cellStyle name="40% - Énfasis4 4 4 3" xfId="17368" xr:uid="{00000000-0005-0000-0000-0000E21E0000}"/>
    <cellStyle name="40% - Énfasis4 4 4 3 2" xfId="40011" xr:uid="{00000000-0005-0000-0000-0000E31E0000}"/>
    <cellStyle name="40% - Énfasis4 4 4 4" xfId="9928" xr:uid="{00000000-0005-0000-0000-0000E41E0000}"/>
    <cellStyle name="40% - Énfasis4 4 4 4 2" xfId="32571" xr:uid="{00000000-0005-0000-0000-0000E51E0000}"/>
    <cellStyle name="40% - Énfasis4 4 4 5" xfId="25130" xr:uid="{00000000-0005-0000-0000-0000E61E0000}"/>
    <cellStyle name="40% - Énfasis4 4 5" xfId="4355" xr:uid="{00000000-0005-0000-0000-0000E71E0000}"/>
    <cellStyle name="40% - Énfasis4 4 5 2" xfId="19239" xr:uid="{00000000-0005-0000-0000-0000E81E0000}"/>
    <cellStyle name="40% - Énfasis4 4 5 2 2" xfId="41882" xr:uid="{00000000-0005-0000-0000-0000E91E0000}"/>
    <cellStyle name="40% - Énfasis4 4 5 3" xfId="11799" xr:uid="{00000000-0005-0000-0000-0000EA1E0000}"/>
    <cellStyle name="40% - Énfasis4 4 5 3 2" xfId="34442" xr:uid="{00000000-0005-0000-0000-0000EB1E0000}"/>
    <cellStyle name="40% - Énfasis4 4 5 4" xfId="27001" xr:uid="{00000000-0005-0000-0000-0000EC1E0000}"/>
    <cellStyle name="40% - Énfasis4 4 6" xfId="623" xr:uid="{00000000-0005-0000-0000-0000ED1E0000}"/>
    <cellStyle name="40% - Énfasis4 4 6 2" xfId="15521" xr:uid="{00000000-0005-0000-0000-0000EE1E0000}"/>
    <cellStyle name="40% - Énfasis4 4 6 2 2" xfId="38164" xr:uid="{00000000-0005-0000-0000-0000EF1E0000}"/>
    <cellStyle name="40% - Énfasis4 4 6 3" xfId="23283" xr:uid="{00000000-0005-0000-0000-0000F01E0000}"/>
    <cellStyle name="40% - Énfasis4 4 7" xfId="8081" xr:uid="{00000000-0005-0000-0000-0000F11E0000}"/>
    <cellStyle name="40% - Énfasis4 4 7 2" xfId="30724" xr:uid="{00000000-0005-0000-0000-0000F21E0000}"/>
    <cellStyle name="40% - Énfasis4 4 8" xfId="22839" xr:uid="{00000000-0005-0000-0000-0000F31E0000}"/>
    <cellStyle name="40% - Énfasis4 5" xfId="216" xr:uid="{00000000-0005-0000-0000-0000F41E0000}"/>
    <cellStyle name="40% - Énfasis4 5 2" xfId="1807" xr:uid="{00000000-0005-0000-0000-0000F51E0000}"/>
    <cellStyle name="40% - Énfasis4 5 2 2" xfId="3657" xr:uid="{00000000-0005-0000-0000-0000F61E0000}"/>
    <cellStyle name="40% - Énfasis4 5 2 2 2" xfId="7378" xr:uid="{00000000-0005-0000-0000-0000F71E0000}"/>
    <cellStyle name="40% - Énfasis4 5 2 2 2 2" xfId="22262" xr:uid="{00000000-0005-0000-0000-0000F81E0000}"/>
    <cellStyle name="40% - Énfasis4 5 2 2 2 2 2" xfId="44905" xr:uid="{00000000-0005-0000-0000-0000F91E0000}"/>
    <cellStyle name="40% - Énfasis4 5 2 2 2 3" xfId="14822" xr:uid="{00000000-0005-0000-0000-0000FA1E0000}"/>
    <cellStyle name="40% - Énfasis4 5 2 2 2 3 2" xfId="37465" xr:uid="{00000000-0005-0000-0000-0000FB1E0000}"/>
    <cellStyle name="40% - Énfasis4 5 2 2 2 4" xfId="30024" xr:uid="{00000000-0005-0000-0000-0000FC1E0000}"/>
    <cellStyle name="40% - Énfasis4 5 2 2 3" xfId="18544" xr:uid="{00000000-0005-0000-0000-0000FD1E0000}"/>
    <cellStyle name="40% - Énfasis4 5 2 2 3 2" xfId="41187" xr:uid="{00000000-0005-0000-0000-0000FE1E0000}"/>
    <cellStyle name="40% - Énfasis4 5 2 2 4" xfId="11104" xr:uid="{00000000-0005-0000-0000-0000FF1E0000}"/>
    <cellStyle name="40% - Énfasis4 5 2 2 4 2" xfId="33747" xr:uid="{00000000-0005-0000-0000-0000001F0000}"/>
    <cellStyle name="40% - Énfasis4 5 2 2 5" xfId="26306" xr:uid="{00000000-0005-0000-0000-0000011F0000}"/>
    <cellStyle name="40% - Énfasis4 5 2 3" xfId="5531" xr:uid="{00000000-0005-0000-0000-0000021F0000}"/>
    <cellStyle name="40% - Énfasis4 5 2 3 2" xfId="20415" xr:uid="{00000000-0005-0000-0000-0000031F0000}"/>
    <cellStyle name="40% - Énfasis4 5 2 3 2 2" xfId="43058" xr:uid="{00000000-0005-0000-0000-0000041F0000}"/>
    <cellStyle name="40% - Énfasis4 5 2 3 3" xfId="12975" xr:uid="{00000000-0005-0000-0000-0000051F0000}"/>
    <cellStyle name="40% - Énfasis4 5 2 3 3 2" xfId="35618" xr:uid="{00000000-0005-0000-0000-0000061F0000}"/>
    <cellStyle name="40% - Énfasis4 5 2 3 4" xfId="28177" xr:uid="{00000000-0005-0000-0000-0000071F0000}"/>
    <cellStyle name="40% - Énfasis4 5 2 4" xfId="16697" xr:uid="{00000000-0005-0000-0000-0000081F0000}"/>
    <cellStyle name="40% - Énfasis4 5 2 4 2" xfId="39340" xr:uid="{00000000-0005-0000-0000-0000091F0000}"/>
    <cellStyle name="40% - Énfasis4 5 2 5" xfId="9257" xr:uid="{00000000-0005-0000-0000-00000A1F0000}"/>
    <cellStyle name="40% - Énfasis4 5 2 5 2" xfId="31900" xr:uid="{00000000-0005-0000-0000-00000B1F0000}"/>
    <cellStyle name="40% - Énfasis4 5 2 6" xfId="24459" xr:uid="{00000000-0005-0000-0000-00000C1F0000}"/>
    <cellStyle name="40% - Énfasis4 5 3" xfId="2732" xr:uid="{00000000-0005-0000-0000-00000D1F0000}"/>
    <cellStyle name="40% - Énfasis4 5 3 2" xfId="6453" xr:uid="{00000000-0005-0000-0000-00000E1F0000}"/>
    <cellStyle name="40% - Énfasis4 5 3 2 2" xfId="21337" xr:uid="{00000000-0005-0000-0000-00000F1F0000}"/>
    <cellStyle name="40% - Énfasis4 5 3 2 2 2" xfId="43980" xr:uid="{00000000-0005-0000-0000-0000101F0000}"/>
    <cellStyle name="40% - Énfasis4 5 3 2 3" xfId="13897" xr:uid="{00000000-0005-0000-0000-0000111F0000}"/>
    <cellStyle name="40% - Énfasis4 5 3 2 3 2" xfId="36540" xr:uid="{00000000-0005-0000-0000-0000121F0000}"/>
    <cellStyle name="40% - Énfasis4 5 3 2 4" xfId="29099" xr:uid="{00000000-0005-0000-0000-0000131F0000}"/>
    <cellStyle name="40% - Énfasis4 5 3 3" xfId="17619" xr:uid="{00000000-0005-0000-0000-0000141F0000}"/>
    <cellStyle name="40% - Énfasis4 5 3 3 2" xfId="40262" xr:uid="{00000000-0005-0000-0000-0000151F0000}"/>
    <cellStyle name="40% - Énfasis4 5 3 4" xfId="10179" xr:uid="{00000000-0005-0000-0000-0000161F0000}"/>
    <cellStyle name="40% - Énfasis4 5 3 4 2" xfId="32822" xr:uid="{00000000-0005-0000-0000-0000171F0000}"/>
    <cellStyle name="40% - Énfasis4 5 3 5" xfId="25381" xr:uid="{00000000-0005-0000-0000-0000181F0000}"/>
    <cellStyle name="40% - Énfasis4 5 4" xfId="4606" xr:uid="{00000000-0005-0000-0000-0000191F0000}"/>
    <cellStyle name="40% - Énfasis4 5 4 2" xfId="19490" xr:uid="{00000000-0005-0000-0000-00001A1F0000}"/>
    <cellStyle name="40% - Énfasis4 5 4 2 2" xfId="42133" xr:uid="{00000000-0005-0000-0000-00001B1F0000}"/>
    <cellStyle name="40% - Énfasis4 5 4 3" xfId="12050" xr:uid="{00000000-0005-0000-0000-00001C1F0000}"/>
    <cellStyle name="40% - Énfasis4 5 4 3 2" xfId="34693" xr:uid="{00000000-0005-0000-0000-00001D1F0000}"/>
    <cellStyle name="40% - Énfasis4 5 4 4" xfId="27252" xr:uid="{00000000-0005-0000-0000-00001E1F0000}"/>
    <cellStyle name="40% - Énfasis4 5 5" xfId="876" xr:uid="{00000000-0005-0000-0000-00001F1F0000}"/>
    <cellStyle name="40% - Énfasis4 5 5 2" xfId="15772" xr:uid="{00000000-0005-0000-0000-0000201F0000}"/>
    <cellStyle name="40% - Énfasis4 5 5 2 2" xfId="38415" xr:uid="{00000000-0005-0000-0000-0000211F0000}"/>
    <cellStyle name="40% - Énfasis4 5 5 3" xfId="23534" xr:uid="{00000000-0005-0000-0000-0000221F0000}"/>
    <cellStyle name="40% - Énfasis4 5 6" xfId="8332" xr:uid="{00000000-0005-0000-0000-0000231F0000}"/>
    <cellStyle name="40% - Énfasis4 5 6 2" xfId="30975" xr:uid="{00000000-0005-0000-0000-0000241F0000}"/>
    <cellStyle name="40% - Énfasis4 5 7" xfId="22917" xr:uid="{00000000-0005-0000-0000-0000251F0000}"/>
    <cellStyle name="40% - Énfasis4 6" xfId="1342" xr:uid="{00000000-0005-0000-0000-0000261F0000}"/>
    <cellStyle name="40% - Énfasis4 6 2" xfId="3195" xr:uid="{00000000-0005-0000-0000-0000271F0000}"/>
    <cellStyle name="40% - Énfasis4 6 2 2" xfId="6916" xr:uid="{00000000-0005-0000-0000-0000281F0000}"/>
    <cellStyle name="40% - Énfasis4 6 2 2 2" xfId="21800" xr:uid="{00000000-0005-0000-0000-0000291F0000}"/>
    <cellStyle name="40% - Énfasis4 6 2 2 2 2" xfId="44443" xr:uid="{00000000-0005-0000-0000-00002A1F0000}"/>
    <cellStyle name="40% - Énfasis4 6 2 2 3" xfId="14360" xr:uid="{00000000-0005-0000-0000-00002B1F0000}"/>
    <cellStyle name="40% - Énfasis4 6 2 2 3 2" xfId="37003" xr:uid="{00000000-0005-0000-0000-00002C1F0000}"/>
    <cellStyle name="40% - Énfasis4 6 2 2 4" xfId="29562" xr:uid="{00000000-0005-0000-0000-00002D1F0000}"/>
    <cellStyle name="40% - Énfasis4 6 2 3" xfId="18082" xr:uid="{00000000-0005-0000-0000-00002E1F0000}"/>
    <cellStyle name="40% - Énfasis4 6 2 3 2" xfId="40725" xr:uid="{00000000-0005-0000-0000-00002F1F0000}"/>
    <cellStyle name="40% - Énfasis4 6 2 4" xfId="10642" xr:uid="{00000000-0005-0000-0000-0000301F0000}"/>
    <cellStyle name="40% - Énfasis4 6 2 4 2" xfId="33285" xr:uid="{00000000-0005-0000-0000-0000311F0000}"/>
    <cellStyle name="40% - Énfasis4 6 2 5" xfId="25844" xr:uid="{00000000-0005-0000-0000-0000321F0000}"/>
    <cellStyle name="40% - Énfasis4 6 3" xfId="5069" xr:uid="{00000000-0005-0000-0000-0000331F0000}"/>
    <cellStyle name="40% - Énfasis4 6 3 2" xfId="19953" xr:uid="{00000000-0005-0000-0000-0000341F0000}"/>
    <cellStyle name="40% - Énfasis4 6 3 2 2" xfId="42596" xr:uid="{00000000-0005-0000-0000-0000351F0000}"/>
    <cellStyle name="40% - Énfasis4 6 3 3" xfId="12513" xr:uid="{00000000-0005-0000-0000-0000361F0000}"/>
    <cellStyle name="40% - Énfasis4 6 3 3 2" xfId="35156" xr:uid="{00000000-0005-0000-0000-0000371F0000}"/>
    <cellStyle name="40% - Énfasis4 6 3 4" xfId="27715" xr:uid="{00000000-0005-0000-0000-0000381F0000}"/>
    <cellStyle name="40% - Énfasis4 6 4" xfId="16235" xr:uid="{00000000-0005-0000-0000-0000391F0000}"/>
    <cellStyle name="40% - Énfasis4 6 4 2" xfId="38878" xr:uid="{00000000-0005-0000-0000-00003A1F0000}"/>
    <cellStyle name="40% - Énfasis4 6 5" xfId="8795" xr:uid="{00000000-0005-0000-0000-00003B1F0000}"/>
    <cellStyle name="40% - Énfasis4 6 5 2" xfId="31438" xr:uid="{00000000-0005-0000-0000-00003C1F0000}"/>
    <cellStyle name="40% - Énfasis4 6 6" xfId="23997" xr:uid="{00000000-0005-0000-0000-00003D1F0000}"/>
    <cellStyle name="40% - Énfasis4 7" xfId="2267" xr:uid="{00000000-0005-0000-0000-00003E1F0000}"/>
    <cellStyle name="40% - Énfasis4 7 2" xfId="5991" xr:uid="{00000000-0005-0000-0000-00003F1F0000}"/>
    <cellStyle name="40% - Énfasis4 7 2 2" xfId="20875" xr:uid="{00000000-0005-0000-0000-0000401F0000}"/>
    <cellStyle name="40% - Énfasis4 7 2 2 2" xfId="43518" xr:uid="{00000000-0005-0000-0000-0000411F0000}"/>
    <cellStyle name="40% - Énfasis4 7 2 3" xfId="13435" xr:uid="{00000000-0005-0000-0000-0000421F0000}"/>
    <cellStyle name="40% - Énfasis4 7 2 3 2" xfId="36078" xr:uid="{00000000-0005-0000-0000-0000431F0000}"/>
    <cellStyle name="40% - Énfasis4 7 2 4" xfId="28637" xr:uid="{00000000-0005-0000-0000-0000441F0000}"/>
    <cellStyle name="40% - Énfasis4 7 3" xfId="17157" xr:uid="{00000000-0005-0000-0000-0000451F0000}"/>
    <cellStyle name="40% - Énfasis4 7 3 2" xfId="39800" xr:uid="{00000000-0005-0000-0000-0000461F0000}"/>
    <cellStyle name="40% - Énfasis4 7 4" xfId="9717" xr:uid="{00000000-0005-0000-0000-0000471F0000}"/>
    <cellStyle name="40% - Énfasis4 7 4 2" xfId="32360" xr:uid="{00000000-0005-0000-0000-0000481F0000}"/>
    <cellStyle name="40% - Énfasis4 7 5" xfId="24919" xr:uid="{00000000-0005-0000-0000-0000491F0000}"/>
    <cellStyle name="40% - Énfasis4 8" xfId="4141" xr:uid="{00000000-0005-0000-0000-00004A1F0000}"/>
    <cellStyle name="40% - Énfasis4 8 2" xfId="19028" xr:uid="{00000000-0005-0000-0000-00004B1F0000}"/>
    <cellStyle name="40% - Énfasis4 8 2 2" xfId="41671" xr:uid="{00000000-0005-0000-0000-00004C1F0000}"/>
    <cellStyle name="40% - Énfasis4 8 3" xfId="11588" xr:uid="{00000000-0005-0000-0000-00004D1F0000}"/>
    <cellStyle name="40% - Énfasis4 8 3 2" xfId="34231" xr:uid="{00000000-0005-0000-0000-00004E1F0000}"/>
    <cellStyle name="40% - Énfasis4 8 4" xfId="26790" xr:uid="{00000000-0005-0000-0000-00004F1F0000}"/>
    <cellStyle name="40% - Énfasis4 9" xfId="376" xr:uid="{00000000-0005-0000-0000-0000501F0000}"/>
    <cellStyle name="40% - Énfasis4 9 2" xfId="15310" xr:uid="{00000000-0005-0000-0000-0000511F0000}"/>
    <cellStyle name="40% - Énfasis4 9 2 2" xfId="37953" xr:uid="{00000000-0005-0000-0000-0000521F0000}"/>
    <cellStyle name="40% - Énfasis4 9 3" xfId="23073" xr:uid="{00000000-0005-0000-0000-0000531F0000}"/>
    <cellStyle name="40% - Énfasis5" xfId="21" builtinId="47" customBuiltin="1"/>
    <cellStyle name="40% - Énfasis5 10" xfId="7869" xr:uid="{00000000-0005-0000-0000-0000551F0000}"/>
    <cellStyle name="40% - Énfasis5 10 2" xfId="30515" xr:uid="{00000000-0005-0000-0000-0000561F0000}"/>
    <cellStyle name="40% - Énfasis5 11" xfId="22760" xr:uid="{00000000-0005-0000-0000-0000571F0000}"/>
    <cellStyle name="40% - Énfasis5 12" xfId="45462" xr:uid="{00000000-0005-0000-0000-0000581F0000}"/>
    <cellStyle name="40% - Énfasis5 13" xfId="45502" xr:uid="{00000000-0005-0000-0000-0000591F0000}"/>
    <cellStyle name="40% - Énfasis5 2" xfId="22" xr:uid="{00000000-0005-0000-0000-00005A1F0000}"/>
    <cellStyle name="40% - Énfasis5 2 10" xfId="22774" xr:uid="{00000000-0005-0000-0000-00005B1F0000}"/>
    <cellStyle name="40% - Énfasis5 2 2" xfId="107" xr:uid="{00000000-0005-0000-0000-00005C1F0000}"/>
    <cellStyle name="40% - Énfasis5 2 2 2" xfId="190" xr:uid="{00000000-0005-0000-0000-00005D1F0000}"/>
    <cellStyle name="40% - Énfasis5 2 2 2 2" xfId="351" xr:uid="{00000000-0005-0000-0000-00005E1F0000}"/>
    <cellStyle name="40% - Énfasis5 2 2 2 2 2" xfId="2177" xr:uid="{00000000-0005-0000-0000-00005F1F0000}"/>
    <cellStyle name="40% - Énfasis5 2 2 2 2 2 2" xfId="4027" xr:uid="{00000000-0005-0000-0000-0000601F0000}"/>
    <cellStyle name="40% - Énfasis5 2 2 2 2 2 2 2" xfId="7748" xr:uid="{00000000-0005-0000-0000-0000611F0000}"/>
    <cellStyle name="40% - Énfasis5 2 2 2 2 2 2 2 2" xfId="22632" xr:uid="{00000000-0005-0000-0000-0000621F0000}"/>
    <cellStyle name="40% - Énfasis5 2 2 2 2 2 2 2 2 2" xfId="45275" xr:uid="{00000000-0005-0000-0000-0000631F0000}"/>
    <cellStyle name="40% - Énfasis5 2 2 2 2 2 2 2 3" xfId="15192" xr:uid="{00000000-0005-0000-0000-0000641F0000}"/>
    <cellStyle name="40% - Énfasis5 2 2 2 2 2 2 2 3 2" xfId="37835" xr:uid="{00000000-0005-0000-0000-0000651F0000}"/>
    <cellStyle name="40% - Énfasis5 2 2 2 2 2 2 2 4" xfId="30394" xr:uid="{00000000-0005-0000-0000-0000661F0000}"/>
    <cellStyle name="40% - Énfasis5 2 2 2 2 2 2 3" xfId="18914" xr:uid="{00000000-0005-0000-0000-0000671F0000}"/>
    <cellStyle name="40% - Énfasis5 2 2 2 2 2 2 3 2" xfId="41557" xr:uid="{00000000-0005-0000-0000-0000681F0000}"/>
    <cellStyle name="40% - Énfasis5 2 2 2 2 2 2 4" xfId="11474" xr:uid="{00000000-0005-0000-0000-0000691F0000}"/>
    <cellStyle name="40% - Énfasis5 2 2 2 2 2 2 4 2" xfId="34117" xr:uid="{00000000-0005-0000-0000-00006A1F0000}"/>
    <cellStyle name="40% - Énfasis5 2 2 2 2 2 2 5" xfId="26676" xr:uid="{00000000-0005-0000-0000-00006B1F0000}"/>
    <cellStyle name="40% - Énfasis5 2 2 2 2 2 3" xfId="5901" xr:uid="{00000000-0005-0000-0000-00006C1F0000}"/>
    <cellStyle name="40% - Énfasis5 2 2 2 2 2 3 2" xfId="20785" xr:uid="{00000000-0005-0000-0000-00006D1F0000}"/>
    <cellStyle name="40% - Énfasis5 2 2 2 2 2 3 2 2" xfId="43428" xr:uid="{00000000-0005-0000-0000-00006E1F0000}"/>
    <cellStyle name="40% - Énfasis5 2 2 2 2 2 3 3" xfId="13345" xr:uid="{00000000-0005-0000-0000-00006F1F0000}"/>
    <cellStyle name="40% - Énfasis5 2 2 2 2 2 3 3 2" xfId="35988" xr:uid="{00000000-0005-0000-0000-0000701F0000}"/>
    <cellStyle name="40% - Énfasis5 2 2 2 2 2 3 4" xfId="28547" xr:uid="{00000000-0005-0000-0000-0000711F0000}"/>
    <cellStyle name="40% - Énfasis5 2 2 2 2 2 4" xfId="17067" xr:uid="{00000000-0005-0000-0000-0000721F0000}"/>
    <cellStyle name="40% - Énfasis5 2 2 2 2 2 4 2" xfId="39710" xr:uid="{00000000-0005-0000-0000-0000731F0000}"/>
    <cellStyle name="40% - Énfasis5 2 2 2 2 2 5" xfId="9627" xr:uid="{00000000-0005-0000-0000-0000741F0000}"/>
    <cellStyle name="40% - Énfasis5 2 2 2 2 2 5 2" xfId="32270" xr:uid="{00000000-0005-0000-0000-0000751F0000}"/>
    <cellStyle name="40% - Énfasis5 2 2 2 2 2 6" xfId="24829" xr:uid="{00000000-0005-0000-0000-0000761F0000}"/>
    <cellStyle name="40% - Énfasis5 2 2 2 2 3" xfId="3102" xr:uid="{00000000-0005-0000-0000-0000771F0000}"/>
    <cellStyle name="40% - Énfasis5 2 2 2 2 3 2" xfId="6823" xr:uid="{00000000-0005-0000-0000-0000781F0000}"/>
    <cellStyle name="40% - Énfasis5 2 2 2 2 3 2 2" xfId="21707" xr:uid="{00000000-0005-0000-0000-0000791F0000}"/>
    <cellStyle name="40% - Énfasis5 2 2 2 2 3 2 2 2" xfId="44350" xr:uid="{00000000-0005-0000-0000-00007A1F0000}"/>
    <cellStyle name="40% - Énfasis5 2 2 2 2 3 2 3" xfId="14267" xr:uid="{00000000-0005-0000-0000-00007B1F0000}"/>
    <cellStyle name="40% - Énfasis5 2 2 2 2 3 2 3 2" xfId="36910" xr:uid="{00000000-0005-0000-0000-00007C1F0000}"/>
    <cellStyle name="40% - Énfasis5 2 2 2 2 3 2 4" xfId="29469" xr:uid="{00000000-0005-0000-0000-00007D1F0000}"/>
    <cellStyle name="40% - Énfasis5 2 2 2 2 3 3" xfId="17989" xr:uid="{00000000-0005-0000-0000-00007E1F0000}"/>
    <cellStyle name="40% - Énfasis5 2 2 2 2 3 3 2" xfId="40632" xr:uid="{00000000-0005-0000-0000-00007F1F0000}"/>
    <cellStyle name="40% - Énfasis5 2 2 2 2 3 4" xfId="10549" xr:uid="{00000000-0005-0000-0000-0000801F0000}"/>
    <cellStyle name="40% - Énfasis5 2 2 2 2 3 4 2" xfId="33192" xr:uid="{00000000-0005-0000-0000-0000811F0000}"/>
    <cellStyle name="40% - Énfasis5 2 2 2 2 3 5" xfId="25751" xr:uid="{00000000-0005-0000-0000-0000821F0000}"/>
    <cellStyle name="40% - Énfasis5 2 2 2 2 4" xfId="4976" xr:uid="{00000000-0005-0000-0000-0000831F0000}"/>
    <cellStyle name="40% - Énfasis5 2 2 2 2 4 2" xfId="19860" xr:uid="{00000000-0005-0000-0000-0000841F0000}"/>
    <cellStyle name="40% - Énfasis5 2 2 2 2 4 2 2" xfId="42503" xr:uid="{00000000-0005-0000-0000-0000851F0000}"/>
    <cellStyle name="40% - Énfasis5 2 2 2 2 4 3" xfId="12420" xr:uid="{00000000-0005-0000-0000-0000861F0000}"/>
    <cellStyle name="40% - Énfasis5 2 2 2 2 4 3 2" xfId="35063" xr:uid="{00000000-0005-0000-0000-0000871F0000}"/>
    <cellStyle name="40% - Énfasis5 2 2 2 2 4 4" xfId="27622" xr:uid="{00000000-0005-0000-0000-0000881F0000}"/>
    <cellStyle name="40% - Énfasis5 2 2 2 2 5" xfId="1249" xr:uid="{00000000-0005-0000-0000-0000891F0000}"/>
    <cellStyle name="40% - Énfasis5 2 2 2 2 5 2" xfId="16142" xr:uid="{00000000-0005-0000-0000-00008A1F0000}"/>
    <cellStyle name="40% - Énfasis5 2 2 2 2 5 2 2" xfId="38785" xr:uid="{00000000-0005-0000-0000-00008B1F0000}"/>
    <cellStyle name="40% - Énfasis5 2 2 2 2 5 3" xfId="23904" xr:uid="{00000000-0005-0000-0000-00008C1F0000}"/>
    <cellStyle name="40% - Énfasis5 2 2 2 2 6" xfId="8702" xr:uid="{00000000-0005-0000-0000-00008D1F0000}"/>
    <cellStyle name="40% - Énfasis5 2 2 2 2 6 2" xfId="31345" xr:uid="{00000000-0005-0000-0000-00008E1F0000}"/>
    <cellStyle name="40% - Énfasis5 2 2 2 2 7" xfId="23049" xr:uid="{00000000-0005-0000-0000-00008F1F0000}"/>
    <cellStyle name="40% - Énfasis5 2 2 2 3" xfId="1715" xr:uid="{00000000-0005-0000-0000-0000901F0000}"/>
    <cellStyle name="40% - Énfasis5 2 2 2 3 2" xfId="3565" xr:uid="{00000000-0005-0000-0000-0000911F0000}"/>
    <cellStyle name="40% - Énfasis5 2 2 2 3 2 2" xfId="7286" xr:uid="{00000000-0005-0000-0000-0000921F0000}"/>
    <cellStyle name="40% - Énfasis5 2 2 2 3 2 2 2" xfId="22170" xr:uid="{00000000-0005-0000-0000-0000931F0000}"/>
    <cellStyle name="40% - Énfasis5 2 2 2 3 2 2 2 2" xfId="44813" xr:uid="{00000000-0005-0000-0000-0000941F0000}"/>
    <cellStyle name="40% - Énfasis5 2 2 2 3 2 2 3" xfId="14730" xr:uid="{00000000-0005-0000-0000-0000951F0000}"/>
    <cellStyle name="40% - Énfasis5 2 2 2 3 2 2 3 2" xfId="37373" xr:uid="{00000000-0005-0000-0000-0000961F0000}"/>
    <cellStyle name="40% - Énfasis5 2 2 2 3 2 2 4" xfId="29932" xr:uid="{00000000-0005-0000-0000-0000971F0000}"/>
    <cellStyle name="40% - Énfasis5 2 2 2 3 2 3" xfId="18452" xr:uid="{00000000-0005-0000-0000-0000981F0000}"/>
    <cellStyle name="40% - Énfasis5 2 2 2 3 2 3 2" xfId="41095" xr:uid="{00000000-0005-0000-0000-0000991F0000}"/>
    <cellStyle name="40% - Énfasis5 2 2 2 3 2 4" xfId="11012" xr:uid="{00000000-0005-0000-0000-00009A1F0000}"/>
    <cellStyle name="40% - Énfasis5 2 2 2 3 2 4 2" xfId="33655" xr:uid="{00000000-0005-0000-0000-00009B1F0000}"/>
    <cellStyle name="40% - Énfasis5 2 2 2 3 2 5" xfId="26214" xr:uid="{00000000-0005-0000-0000-00009C1F0000}"/>
    <cellStyle name="40% - Énfasis5 2 2 2 3 3" xfId="5439" xr:uid="{00000000-0005-0000-0000-00009D1F0000}"/>
    <cellStyle name="40% - Énfasis5 2 2 2 3 3 2" xfId="20323" xr:uid="{00000000-0005-0000-0000-00009E1F0000}"/>
    <cellStyle name="40% - Énfasis5 2 2 2 3 3 2 2" xfId="42966" xr:uid="{00000000-0005-0000-0000-00009F1F0000}"/>
    <cellStyle name="40% - Énfasis5 2 2 2 3 3 3" xfId="12883" xr:uid="{00000000-0005-0000-0000-0000A01F0000}"/>
    <cellStyle name="40% - Énfasis5 2 2 2 3 3 3 2" xfId="35526" xr:uid="{00000000-0005-0000-0000-0000A11F0000}"/>
    <cellStyle name="40% - Énfasis5 2 2 2 3 3 4" xfId="28085" xr:uid="{00000000-0005-0000-0000-0000A21F0000}"/>
    <cellStyle name="40% - Énfasis5 2 2 2 3 4" xfId="16605" xr:uid="{00000000-0005-0000-0000-0000A31F0000}"/>
    <cellStyle name="40% - Énfasis5 2 2 2 3 4 2" xfId="39248" xr:uid="{00000000-0005-0000-0000-0000A41F0000}"/>
    <cellStyle name="40% - Énfasis5 2 2 2 3 5" xfId="9165" xr:uid="{00000000-0005-0000-0000-0000A51F0000}"/>
    <cellStyle name="40% - Énfasis5 2 2 2 3 5 2" xfId="31808" xr:uid="{00000000-0005-0000-0000-0000A61F0000}"/>
    <cellStyle name="40% - Énfasis5 2 2 2 3 6" xfId="24367" xr:uid="{00000000-0005-0000-0000-0000A71F0000}"/>
    <cellStyle name="40% - Énfasis5 2 2 2 4" xfId="2640" xr:uid="{00000000-0005-0000-0000-0000A81F0000}"/>
    <cellStyle name="40% - Énfasis5 2 2 2 4 2" xfId="6361" xr:uid="{00000000-0005-0000-0000-0000A91F0000}"/>
    <cellStyle name="40% - Énfasis5 2 2 2 4 2 2" xfId="21245" xr:uid="{00000000-0005-0000-0000-0000AA1F0000}"/>
    <cellStyle name="40% - Énfasis5 2 2 2 4 2 2 2" xfId="43888" xr:uid="{00000000-0005-0000-0000-0000AB1F0000}"/>
    <cellStyle name="40% - Énfasis5 2 2 2 4 2 3" xfId="13805" xr:uid="{00000000-0005-0000-0000-0000AC1F0000}"/>
    <cellStyle name="40% - Énfasis5 2 2 2 4 2 3 2" xfId="36448" xr:uid="{00000000-0005-0000-0000-0000AD1F0000}"/>
    <cellStyle name="40% - Énfasis5 2 2 2 4 2 4" xfId="29007" xr:uid="{00000000-0005-0000-0000-0000AE1F0000}"/>
    <cellStyle name="40% - Énfasis5 2 2 2 4 3" xfId="17527" xr:uid="{00000000-0005-0000-0000-0000AF1F0000}"/>
    <cellStyle name="40% - Énfasis5 2 2 2 4 3 2" xfId="40170" xr:uid="{00000000-0005-0000-0000-0000B01F0000}"/>
    <cellStyle name="40% - Énfasis5 2 2 2 4 4" xfId="10087" xr:uid="{00000000-0005-0000-0000-0000B11F0000}"/>
    <cellStyle name="40% - Énfasis5 2 2 2 4 4 2" xfId="32730" xr:uid="{00000000-0005-0000-0000-0000B21F0000}"/>
    <cellStyle name="40% - Énfasis5 2 2 2 4 5" xfId="25289" xr:uid="{00000000-0005-0000-0000-0000B31F0000}"/>
    <cellStyle name="40% - Énfasis5 2 2 2 5" xfId="4514" xr:uid="{00000000-0005-0000-0000-0000B41F0000}"/>
    <cellStyle name="40% - Énfasis5 2 2 2 5 2" xfId="19398" xr:uid="{00000000-0005-0000-0000-0000B51F0000}"/>
    <cellStyle name="40% - Énfasis5 2 2 2 5 2 2" xfId="42041" xr:uid="{00000000-0005-0000-0000-0000B61F0000}"/>
    <cellStyle name="40% - Énfasis5 2 2 2 5 3" xfId="11958" xr:uid="{00000000-0005-0000-0000-0000B71F0000}"/>
    <cellStyle name="40% - Énfasis5 2 2 2 5 3 2" xfId="34601" xr:uid="{00000000-0005-0000-0000-0000B81F0000}"/>
    <cellStyle name="40% - Énfasis5 2 2 2 5 4" xfId="27160" xr:uid="{00000000-0005-0000-0000-0000B91F0000}"/>
    <cellStyle name="40% - Énfasis5 2 2 2 6" xfId="784" xr:uid="{00000000-0005-0000-0000-0000BA1F0000}"/>
    <cellStyle name="40% - Énfasis5 2 2 2 6 2" xfId="15680" xr:uid="{00000000-0005-0000-0000-0000BB1F0000}"/>
    <cellStyle name="40% - Énfasis5 2 2 2 6 2 2" xfId="38323" xr:uid="{00000000-0005-0000-0000-0000BC1F0000}"/>
    <cellStyle name="40% - Énfasis5 2 2 2 6 3" xfId="23442" xr:uid="{00000000-0005-0000-0000-0000BD1F0000}"/>
    <cellStyle name="40% - Énfasis5 2 2 2 7" xfId="8240" xr:uid="{00000000-0005-0000-0000-0000BE1F0000}"/>
    <cellStyle name="40% - Énfasis5 2 2 2 7 2" xfId="30883" xr:uid="{00000000-0005-0000-0000-0000BF1F0000}"/>
    <cellStyle name="40% - Énfasis5 2 2 2 8" xfId="22893" xr:uid="{00000000-0005-0000-0000-0000C01F0000}"/>
    <cellStyle name="40% - Énfasis5 2 2 3" xfId="273" xr:uid="{00000000-0005-0000-0000-0000C11F0000}"/>
    <cellStyle name="40% - Énfasis5 2 2 3 2" xfId="1966" xr:uid="{00000000-0005-0000-0000-0000C21F0000}"/>
    <cellStyle name="40% - Énfasis5 2 2 3 2 2" xfId="3816" xr:uid="{00000000-0005-0000-0000-0000C31F0000}"/>
    <cellStyle name="40% - Énfasis5 2 2 3 2 2 2" xfId="7537" xr:uid="{00000000-0005-0000-0000-0000C41F0000}"/>
    <cellStyle name="40% - Énfasis5 2 2 3 2 2 2 2" xfId="22421" xr:uid="{00000000-0005-0000-0000-0000C51F0000}"/>
    <cellStyle name="40% - Énfasis5 2 2 3 2 2 2 2 2" xfId="45064" xr:uid="{00000000-0005-0000-0000-0000C61F0000}"/>
    <cellStyle name="40% - Énfasis5 2 2 3 2 2 2 3" xfId="14981" xr:uid="{00000000-0005-0000-0000-0000C71F0000}"/>
    <cellStyle name="40% - Énfasis5 2 2 3 2 2 2 3 2" xfId="37624" xr:uid="{00000000-0005-0000-0000-0000C81F0000}"/>
    <cellStyle name="40% - Énfasis5 2 2 3 2 2 2 4" xfId="30183" xr:uid="{00000000-0005-0000-0000-0000C91F0000}"/>
    <cellStyle name="40% - Énfasis5 2 2 3 2 2 3" xfId="18703" xr:uid="{00000000-0005-0000-0000-0000CA1F0000}"/>
    <cellStyle name="40% - Énfasis5 2 2 3 2 2 3 2" xfId="41346" xr:uid="{00000000-0005-0000-0000-0000CB1F0000}"/>
    <cellStyle name="40% - Énfasis5 2 2 3 2 2 4" xfId="11263" xr:uid="{00000000-0005-0000-0000-0000CC1F0000}"/>
    <cellStyle name="40% - Énfasis5 2 2 3 2 2 4 2" xfId="33906" xr:uid="{00000000-0005-0000-0000-0000CD1F0000}"/>
    <cellStyle name="40% - Énfasis5 2 2 3 2 2 5" xfId="26465" xr:uid="{00000000-0005-0000-0000-0000CE1F0000}"/>
    <cellStyle name="40% - Énfasis5 2 2 3 2 3" xfId="5690" xr:uid="{00000000-0005-0000-0000-0000CF1F0000}"/>
    <cellStyle name="40% - Énfasis5 2 2 3 2 3 2" xfId="20574" xr:uid="{00000000-0005-0000-0000-0000D01F0000}"/>
    <cellStyle name="40% - Énfasis5 2 2 3 2 3 2 2" xfId="43217" xr:uid="{00000000-0005-0000-0000-0000D11F0000}"/>
    <cellStyle name="40% - Énfasis5 2 2 3 2 3 3" xfId="13134" xr:uid="{00000000-0005-0000-0000-0000D21F0000}"/>
    <cellStyle name="40% - Énfasis5 2 2 3 2 3 3 2" xfId="35777" xr:uid="{00000000-0005-0000-0000-0000D31F0000}"/>
    <cellStyle name="40% - Énfasis5 2 2 3 2 3 4" xfId="28336" xr:uid="{00000000-0005-0000-0000-0000D41F0000}"/>
    <cellStyle name="40% - Énfasis5 2 2 3 2 4" xfId="16856" xr:uid="{00000000-0005-0000-0000-0000D51F0000}"/>
    <cellStyle name="40% - Énfasis5 2 2 3 2 4 2" xfId="39499" xr:uid="{00000000-0005-0000-0000-0000D61F0000}"/>
    <cellStyle name="40% - Énfasis5 2 2 3 2 5" xfId="9416" xr:uid="{00000000-0005-0000-0000-0000D71F0000}"/>
    <cellStyle name="40% - Énfasis5 2 2 3 2 5 2" xfId="32059" xr:uid="{00000000-0005-0000-0000-0000D81F0000}"/>
    <cellStyle name="40% - Énfasis5 2 2 3 2 6" xfId="24618" xr:uid="{00000000-0005-0000-0000-0000D91F0000}"/>
    <cellStyle name="40% - Énfasis5 2 2 3 3" xfId="2891" xr:uid="{00000000-0005-0000-0000-0000DA1F0000}"/>
    <cellStyle name="40% - Énfasis5 2 2 3 3 2" xfId="6612" xr:uid="{00000000-0005-0000-0000-0000DB1F0000}"/>
    <cellStyle name="40% - Énfasis5 2 2 3 3 2 2" xfId="21496" xr:uid="{00000000-0005-0000-0000-0000DC1F0000}"/>
    <cellStyle name="40% - Énfasis5 2 2 3 3 2 2 2" xfId="44139" xr:uid="{00000000-0005-0000-0000-0000DD1F0000}"/>
    <cellStyle name="40% - Énfasis5 2 2 3 3 2 3" xfId="14056" xr:uid="{00000000-0005-0000-0000-0000DE1F0000}"/>
    <cellStyle name="40% - Énfasis5 2 2 3 3 2 3 2" xfId="36699" xr:uid="{00000000-0005-0000-0000-0000DF1F0000}"/>
    <cellStyle name="40% - Énfasis5 2 2 3 3 2 4" xfId="29258" xr:uid="{00000000-0005-0000-0000-0000E01F0000}"/>
    <cellStyle name="40% - Énfasis5 2 2 3 3 3" xfId="17778" xr:uid="{00000000-0005-0000-0000-0000E11F0000}"/>
    <cellStyle name="40% - Énfasis5 2 2 3 3 3 2" xfId="40421" xr:uid="{00000000-0005-0000-0000-0000E21F0000}"/>
    <cellStyle name="40% - Énfasis5 2 2 3 3 4" xfId="10338" xr:uid="{00000000-0005-0000-0000-0000E31F0000}"/>
    <cellStyle name="40% - Énfasis5 2 2 3 3 4 2" xfId="32981" xr:uid="{00000000-0005-0000-0000-0000E41F0000}"/>
    <cellStyle name="40% - Énfasis5 2 2 3 3 5" xfId="25540" xr:uid="{00000000-0005-0000-0000-0000E51F0000}"/>
    <cellStyle name="40% - Énfasis5 2 2 3 4" xfId="4765" xr:uid="{00000000-0005-0000-0000-0000E61F0000}"/>
    <cellStyle name="40% - Énfasis5 2 2 3 4 2" xfId="19649" xr:uid="{00000000-0005-0000-0000-0000E71F0000}"/>
    <cellStyle name="40% - Énfasis5 2 2 3 4 2 2" xfId="42292" xr:uid="{00000000-0005-0000-0000-0000E81F0000}"/>
    <cellStyle name="40% - Énfasis5 2 2 3 4 3" xfId="12209" xr:uid="{00000000-0005-0000-0000-0000E91F0000}"/>
    <cellStyle name="40% - Énfasis5 2 2 3 4 3 2" xfId="34852" xr:uid="{00000000-0005-0000-0000-0000EA1F0000}"/>
    <cellStyle name="40% - Énfasis5 2 2 3 4 4" xfId="27411" xr:uid="{00000000-0005-0000-0000-0000EB1F0000}"/>
    <cellStyle name="40% - Énfasis5 2 2 3 5" xfId="1038" xr:uid="{00000000-0005-0000-0000-0000EC1F0000}"/>
    <cellStyle name="40% - Énfasis5 2 2 3 5 2" xfId="15931" xr:uid="{00000000-0005-0000-0000-0000ED1F0000}"/>
    <cellStyle name="40% - Énfasis5 2 2 3 5 2 2" xfId="38574" xr:uid="{00000000-0005-0000-0000-0000EE1F0000}"/>
    <cellStyle name="40% - Énfasis5 2 2 3 5 3" xfId="23693" xr:uid="{00000000-0005-0000-0000-0000EF1F0000}"/>
    <cellStyle name="40% - Énfasis5 2 2 3 6" xfId="8491" xr:uid="{00000000-0005-0000-0000-0000F01F0000}"/>
    <cellStyle name="40% - Énfasis5 2 2 3 6 2" xfId="31134" xr:uid="{00000000-0005-0000-0000-0000F11F0000}"/>
    <cellStyle name="40% - Énfasis5 2 2 3 7" xfId="22971" xr:uid="{00000000-0005-0000-0000-0000F21F0000}"/>
    <cellStyle name="40% - Énfasis5 2 2 4" xfId="1504" xr:uid="{00000000-0005-0000-0000-0000F31F0000}"/>
    <cellStyle name="40% - Énfasis5 2 2 4 2" xfId="3354" xr:uid="{00000000-0005-0000-0000-0000F41F0000}"/>
    <cellStyle name="40% - Énfasis5 2 2 4 2 2" xfId="7075" xr:uid="{00000000-0005-0000-0000-0000F51F0000}"/>
    <cellStyle name="40% - Énfasis5 2 2 4 2 2 2" xfId="21959" xr:uid="{00000000-0005-0000-0000-0000F61F0000}"/>
    <cellStyle name="40% - Énfasis5 2 2 4 2 2 2 2" xfId="44602" xr:uid="{00000000-0005-0000-0000-0000F71F0000}"/>
    <cellStyle name="40% - Énfasis5 2 2 4 2 2 3" xfId="14519" xr:uid="{00000000-0005-0000-0000-0000F81F0000}"/>
    <cellStyle name="40% - Énfasis5 2 2 4 2 2 3 2" xfId="37162" xr:uid="{00000000-0005-0000-0000-0000F91F0000}"/>
    <cellStyle name="40% - Énfasis5 2 2 4 2 2 4" xfId="29721" xr:uid="{00000000-0005-0000-0000-0000FA1F0000}"/>
    <cellStyle name="40% - Énfasis5 2 2 4 2 3" xfId="18241" xr:uid="{00000000-0005-0000-0000-0000FB1F0000}"/>
    <cellStyle name="40% - Énfasis5 2 2 4 2 3 2" xfId="40884" xr:uid="{00000000-0005-0000-0000-0000FC1F0000}"/>
    <cellStyle name="40% - Énfasis5 2 2 4 2 4" xfId="10801" xr:uid="{00000000-0005-0000-0000-0000FD1F0000}"/>
    <cellStyle name="40% - Énfasis5 2 2 4 2 4 2" xfId="33444" xr:uid="{00000000-0005-0000-0000-0000FE1F0000}"/>
    <cellStyle name="40% - Énfasis5 2 2 4 2 5" xfId="26003" xr:uid="{00000000-0005-0000-0000-0000FF1F0000}"/>
    <cellStyle name="40% - Énfasis5 2 2 4 3" xfId="5228" xr:uid="{00000000-0005-0000-0000-000000200000}"/>
    <cellStyle name="40% - Énfasis5 2 2 4 3 2" xfId="20112" xr:uid="{00000000-0005-0000-0000-000001200000}"/>
    <cellStyle name="40% - Énfasis5 2 2 4 3 2 2" xfId="42755" xr:uid="{00000000-0005-0000-0000-000002200000}"/>
    <cellStyle name="40% - Énfasis5 2 2 4 3 3" xfId="12672" xr:uid="{00000000-0005-0000-0000-000003200000}"/>
    <cellStyle name="40% - Énfasis5 2 2 4 3 3 2" xfId="35315" xr:uid="{00000000-0005-0000-0000-000004200000}"/>
    <cellStyle name="40% - Énfasis5 2 2 4 3 4" xfId="27874" xr:uid="{00000000-0005-0000-0000-000005200000}"/>
    <cellStyle name="40% - Énfasis5 2 2 4 4" xfId="16394" xr:uid="{00000000-0005-0000-0000-000006200000}"/>
    <cellStyle name="40% - Énfasis5 2 2 4 4 2" xfId="39037" xr:uid="{00000000-0005-0000-0000-000007200000}"/>
    <cellStyle name="40% - Énfasis5 2 2 4 5" xfId="8954" xr:uid="{00000000-0005-0000-0000-000008200000}"/>
    <cellStyle name="40% - Énfasis5 2 2 4 5 2" xfId="31597" xr:uid="{00000000-0005-0000-0000-000009200000}"/>
    <cellStyle name="40% - Énfasis5 2 2 4 6" xfId="24156" xr:uid="{00000000-0005-0000-0000-00000A200000}"/>
    <cellStyle name="40% - Énfasis5 2 2 5" xfId="2429" xr:uid="{00000000-0005-0000-0000-00000B200000}"/>
    <cellStyle name="40% - Énfasis5 2 2 5 2" xfId="6150" xr:uid="{00000000-0005-0000-0000-00000C200000}"/>
    <cellStyle name="40% - Énfasis5 2 2 5 2 2" xfId="21034" xr:uid="{00000000-0005-0000-0000-00000D200000}"/>
    <cellStyle name="40% - Énfasis5 2 2 5 2 2 2" xfId="43677" xr:uid="{00000000-0005-0000-0000-00000E200000}"/>
    <cellStyle name="40% - Énfasis5 2 2 5 2 3" xfId="13594" xr:uid="{00000000-0005-0000-0000-00000F200000}"/>
    <cellStyle name="40% - Énfasis5 2 2 5 2 3 2" xfId="36237" xr:uid="{00000000-0005-0000-0000-000010200000}"/>
    <cellStyle name="40% - Énfasis5 2 2 5 2 4" xfId="28796" xr:uid="{00000000-0005-0000-0000-000011200000}"/>
    <cellStyle name="40% - Énfasis5 2 2 5 3" xfId="17316" xr:uid="{00000000-0005-0000-0000-000012200000}"/>
    <cellStyle name="40% - Énfasis5 2 2 5 3 2" xfId="39959" xr:uid="{00000000-0005-0000-0000-000013200000}"/>
    <cellStyle name="40% - Énfasis5 2 2 5 4" xfId="9876" xr:uid="{00000000-0005-0000-0000-000014200000}"/>
    <cellStyle name="40% - Énfasis5 2 2 5 4 2" xfId="32519" xr:uid="{00000000-0005-0000-0000-000015200000}"/>
    <cellStyle name="40% - Énfasis5 2 2 5 5" xfId="25078" xr:uid="{00000000-0005-0000-0000-000016200000}"/>
    <cellStyle name="40% - Énfasis5 2 2 6" xfId="4303" xr:uid="{00000000-0005-0000-0000-000017200000}"/>
    <cellStyle name="40% - Énfasis5 2 2 6 2" xfId="19187" xr:uid="{00000000-0005-0000-0000-000018200000}"/>
    <cellStyle name="40% - Énfasis5 2 2 6 2 2" xfId="41830" xr:uid="{00000000-0005-0000-0000-000019200000}"/>
    <cellStyle name="40% - Énfasis5 2 2 6 3" xfId="11747" xr:uid="{00000000-0005-0000-0000-00001A200000}"/>
    <cellStyle name="40% - Énfasis5 2 2 6 3 2" xfId="34390" xr:uid="{00000000-0005-0000-0000-00001B200000}"/>
    <cellStyle name="40% - Énfasis5 2 2 6 4" xfId="26949" xr:uid="{00000000-0005-0000-0000-00001C200000}"/>
    <cellStyle name="40% - Énfasis5 2 2 7" xfId="572" xr:uid="{00000000-0005-0000-0000-00001D200000}"/>
    <cellStyle name="40% - Énfasis5 2 2 7 2" xfId="15469" xr:uid="{00000000-0005-0000-0000-00001E200000}"/>
    <cellStyle name="40% - Énfasis5 2 2 7 2 2" xfId="38112" xr:uid="{00000000-0005-0000-0000-00001F200000}"/>
    <cellStyle name="40% - Énfasis5 2 2 7 3" xfId="23232" xr:uid="{00000000-0005-0000-0000-000020200000}"/>
    <cellStyle name="40% - Énfasis5 2 2 8" xfId="8029" xr:uid="{00000000-0005-0000-0000-000021200000}"/>
    <cellStyle name="40% - Énfasis5 2 2 8 2" xfId="30672" xr:uid="{00000000-0005-0000-0000-000022200000}"/>
    <cellStyle name="40% - Énfasis5 2 2 9" xfId="22815" xr:uid="{00000000-0005-0000-0000-000023200000}"/>
    <cellStyle name="40% - Énfasis5 2 3" xfId="149" xr:uid="{00000000-0005-0000-0000-000024200000}"/>
    <cellStyle name="40% - Énfasis5 2 3 2" xfId="312" xr:uid="{00000000-0005-0000-0000-000025200000}"/>
    <cellStyle name="40% - Énfasis5 2 3 2 2" xfId="2072" xr:uid="{00000000-0005-0000-0000-000026200000}"/>
    <cellStyle name="40% - Énfasis5 2 3 2 2 2" xfId="3922" xr:uid="{00000000-0005-0000-0000-000027200000}"/>
    <cellStyle name="40% - Énfasis5 2 3 2 2 2 2" xfId="7643" xr:uid="{00000000-0005-0000-0000-000028200000}"/>
    <cellStyle name="40% - Énfasis5 2 3 2 2 2 2 2" xfId="22527" xr:uid="{00000000-0005-0000-0000-000029200000}"/>
    <cellStyle name="40% - Énfasis5 2 3 2 2 2 2 2 2" xfId="45170" xr:uid="{00000000-0005-0000-0000-00002A200000}"/>
    <cellStyle name="40% - Énfasis5 2 3 2 2 2 2 3" xfId="15087" xr:uid="{00000000-0005-0000-0000-00002B200000}"/>
    <cellStyle name="40% - Énfasis5 2 3 2 2 2 2 3 2" xfId="37730" xr:uid="{00000000-0005-0000-0000-00002C200000}"/>
    <cellStyle name="40% - Énfasis5 2 3 2 2 2 2 4" xfId="30289" xr:uid="{00000000-0005-0000-0000-00002D200000}"/>
    <cellStyle name="40% - Énfasis5 2 3 2 2 2 3" xfId="18809" xr:uid="{00000000-0005-0000-0000-00002E200000}"/>
    <cellStyle name="40% - Énfasis5 2 3 2 2 2 3 2" xfId="41452" xr:uid="{00000000-0005-0000-0000-00002F200000}"/>
    <cellStyle name="40% - Énfasis5 2 3 2 2 2 4" xfId="11369" xr:uid="{00000000-0005-0000-0000-000030200000}"/>
    <cellStyle name="40% - Énfasis5 2 3 2 2 2 4 2" xfId="34012" xr:uid="{00000000-0005-0000-0000-000031200000}"/>
    <cellStyle name="40% - Énfasis5 2 3 2 2 2 5" xfId="26571" xr:uid="{00000000-0005-0000-0000-000032200000}"/>
    <cellStyle name="40% - Énfasis5 2 3 2 2 3" xfId="5796" xr:uid="{00000000-0005-0000-0000-000033200000}"/>
    <cellStyle name="40% - Énfasis5 2 3 2 2 3 2" xfId="20680" xr:uid="{00000000-0005-0000-0000-000034200000}"/>
    <cellStyle name="40% - Énfasis5 2 3 2 2 3 2 2" xfId="43323" xr:uid="{00000000-0005-0000-0000-000035200000}"/>
    <cellStyle name="40% - Énfasis5 2 3 2 2 3 3" xfId="13240" xr:uid="{00000000-0005-0000-0000-000036200000}"/>
    <cellStyle name="40% - Énfasis5 2 3 2 2 3 3 2" xfId="35883" xr:uid="{00000000-0005-0000-0000-000037200000}"/>
    <cellStyle name="40% - Énfasis5 2 3 2 2 3 4" xfId="28442" xr:uid="{00000000-0005-0000-0000-000038200000}"/>
    <cellStyle name="40% - Énfasis5 2 3 2 2 4" xfId="16962" xr:uid="{00000000-0005-0000-0000-000039200000}"/>
    <cellStyle name="40% - Énfasis5 2 3 2 2 4 2" xfId="39605" xr:uid="{00000000-0005-0000-0000-00003A200000}"/>
    <cellStyle name="40% - Énfasis5 2 3 2 2 5" xfId="9522" xr:uid="{00000000-0005-0000-0000-00003B200000}"/>
    <cellStyle name="40% - Énfasis5 2 3 2 2 5 2" xfId="32165" xr:uid="{00000000-0005-0000-0000-00003C200000}"/>
    <cellStyle name="40% - Énfasis5 2 3 2 2 6" xfId="24724" xr:uid="{00000000-0005-0000-0000-00003D200000}"/>
    <cellStyle name="40% - Énfasis5 2 3 2 3" xfId="2997" xr:uid="{00000000-0005-0000-0000-00003E200000}"/>
    <cellStyle name="40% - Énfasis5 2 3 2 3 2" xfId="6718" xr:uid="{00000000-0005-0000-0000-00003F200000}"/>
    <cellStyle name="40% - Énfasis5 2 3 2 3 2 2" xfId="21602" xr:uid="{00000000-0005-0000-0000-000040200000}"/>
    <cellStyle name="40% - Énfasis5 2 3 2 3 2 2 2" xfId="44245" xr:uid="{00000000-0005-0000-0000-000041200000}"/>
    <cellStyle name="40% - Énfasis5 2 3 2 3 2 3" xfId="14162" xr:uid="{00000000-0005-0000-0000-000042200000}"/>
    <cellStyle name="40% - Énfasis5 2 3 2 3 2 3 2" xfId="36805" xr:uid="{00000000-0005-0000-0000-000043200000}"/>
    <cellStyle name="40% - Énfasis5 2 3 2 3 2 4" xfId="29364" xr:uid="{00000000-0005-0000-0000-000044200000}"/>
    <cellStyle name="40% - Énfasis5 2 3 2 3 3" xfId="17884" xr:uid="{00000000-0005-0000-0000-000045200000}"/>
    <cellStyle name="40% - Énfasis5 2 3 2 3 3 2" xfId="40527" xr:uid="{00000000-0005-0000-0000-000046200000}"/>
    <cellStyle name="40% - Énfasis5 2 3 2 3 4" xfId="10444" xr:uid="{00000000-0005-0000-0000-000047200000}"/>
    <cellStyle name="40% - Énfasis5 2 3 2 3 4 2" xfId="33087" xr:uid="{00000000-0005-0000-0000-000048200000}"/>
    <cellStyle name="40% - Énfasis5 2 3 2 3 5" xfId="25646" xr:uid="{00000000-0005-0000-0000-000049200000}"/>
    <cellStyle name="40% - Énfasis5 2 3 2 4" xfId="4871" xr:uid="{00000000-0005-0000-0000-00004A200000}"/>
    <cellStyle name="40% - Énfasis5 2 3 2 4 2" xfId="19755" xr:uid="{00000000-0005-0000-0000-00004B200000}"/>
    <cellStyle name="40% - Énfasis5 2 3 2 4 2 2" xfId="42398" xr:uid="{00000000-0005-0000-0000-00004C200000}"/>
    <cellStyle name="40% - Énfasis5 2 3 2 4 3" xfId="12315" xr:uid="{00000000-0005-0000-0000-00004D200000}"/>
    <cellStyle name="40% - Énfasis5 2 3 2 4 3 2" xfId="34958" xr:uid="{00000000-0005-0000-0000-00004E200000}"/>
    <cellStyle name="40% - Énfasis5 2 3 2 4 4" xfId="27517" xr:uid="{00000000-0005-0000-0000-00004F200000}"/>
    <cellStyle name="40% - Énfasis5 2 3 2 5" xfId="1144" xr:uid="{00000000-0005-0000-0000-000050200000}"/>
    <cellStyle name="40% - Énfasis5 2 3 2 5 2" xfId="16037" xr:uid="{00000000-0005-0000-0000-000051200000}"/>
    <cellStyle name="40% - Énfasis5 2 3 2 5 2 2" xfId="38680" xr:uid="{00000000-0005-0000-0000-000052200000}"/>
    <cellStyle name="40% - Énfasis5 2 3 2 5 3" xfId="23799" xr:uid="{00000000-0005-0000-0000-000053200000}"/>
    <cellStyle name="40% - Énfasis5 2 3 2 6" xfId="8597" xr:uid="{00000000-0005-0000-0000-000054200000}"/>
    <cellStyle name="40% - Énfasis5 2 3 2 6 2" xfId="31240" xr:uid="{00000000-0005-0000-0000-000055200000}"/>
    <cellStyle name="40% - Énfasis5 2 3 2 7" xfId="23010" xr:uid="{00000000-0005-0000-0000-000056200000}"/>
    <cellStyle name="40% - Énfasis5 2 3 3" xfId="1610" xr:uid="{00000000-0005-0000-0000-000057200000}"/>
    <cellStyle name="40% - Énfasis5 2 3 3 2" xfId="3460" xr:uid="{00000000-0005-0000-0000-000058200000}"/>
    <cellStyle name="40% - Énfasis5 2 3 3 2 2" xfId="7181" xr:uid="{00000000-0005-0000-0000-000059200000}"/>
    <cellStyle name="40% - Énfasis5 2 3 3 2 2 2" xfId="22065" xr:uid="{00000000-0005-0000-0000-00005A200000}"/>
    <cellStyle name="40% - Énfasis5 2 3 3 2 2 2 2" xfId="44708" xr:uid="{00000000-0005-0000-0000-00005B200000}"/>
    <cellStyle name="40% - Énfasis5 2 3 3 2 2 3" xfId="14625" xr:uid="{00000000-0005-0000-0000-00005C200000}"/>
    <cellStyle name="40% - Énfasis5 2 3 3 2 2 3 2" xfId="37268" xr:uid="{00000000-0005-0000-0000-00005D200000}"/>
    <cellStyle name="40% - Énfasis5 2 3 3 2 2 4" xfId="29827" xr:uid="{00000000-0005-0000-0000-00005E200000}"/>
    <cellStyle name="40% - Énfasis5 2 3 3 2 3" xfId="18347" xr:uid="{00000000-0005-0000-0000-00005F200000}"/>
    <cellStyle name="40% - Énfasis5 2 3 3 2 3 2" xfId="40990" xr:uid="{00000000-0005-0000-0000-000060200000}"/>
    <cellStyle name="40% - Énfasis5 2 3 3 2 4" xfId="10907" xr:uid="{00000000-0005-0000-0000-000061200000}"/>
    <cellStyle name="40% - Énfasis5 2 3 3 2 4 2" xfId="33550" xr:uid="{00000000-0005-0000-0000-000062200000}"/>
    <cellStyle name="40% - Énfasis5 2 3 3 2 5" xfId="26109" xr:uid="{00000000-0005-0000-0000-000063200000}"/>
    <cellStyle name="40% - Énfasis5 2 3 3 3" xfId="5334" xr:uid="{00000000-0005-0000-0000-000064200000}"/>
    <cellStyle name="40% - Énfasis5 2 3 3 3 2" xfId="20218" xr:uid="{00000000-0005-0000-0000-000065200000}"/>
    <cellStyle name="40% - Énfasis5 2 3 3 3 2 2" xfId="42861" xr:uid="{00000000-0005-0000-0000-000066200000}"/>
    <cellStyle name="40% - Énfasis5 2 3 3 3 3" xfId="12778" xr:uid="{00000000-0005-0000-0000-000067200000}"/>
    <cellStyle name="40% - Énfasis5 2 3 3 3 3 2" xfId="35421" xr:uid="{00000000-0005-0000-0000-000068200000}"/>
    <cellStyle name="40% - Énfasis5 2 3 3 3 4" xfId="27980" xr:uid="{00000000-0005-0000-0000-000069200000}"/>
    <cellStyle name="40% - Énfasis5 2 3 3 4" xfId="16500" xr:uid="{00000000-0005-0000-0000-00006A200000}"/>
    <cellStyle name="40% - Énfasis5 2 3 3 4 2" xfId="39143" xr:uid="{00000000-0005-0000-0000-00006B200000}"/>
    <cellStyle name="40% - Énfasis5 2 3 3 5" xfId="9060" xr:uid="{00000000-0005-0000-0000-00006C200000}"/>
    <cellStyle name="40% - Énfasis5 2 3 3 5 2" xfId="31703" xr:uid="{00000000-0005-0000-0000-00006D200000}"/>
    <cellStyle name="40% - Énfasis5 2 3 3 6" xfId="24262" xr:uid="{00000000-0005-0000-0000-00006E200000}"/>
    <cellStyle name="40% - Énfasis5 2 3 4" xfId="2535" xr:uid="{00000000-0005-0000-0000-00006F200000}"/>
    <cellStyle name="40% - Énfasis5 2 3 4 2" xfId="6256" xr:uid="{00000000-0005-0000-0000-000070200000}"/>
    <cellStyle name="40% - Énfasis5 2 3 4 2 2" xfId="21140" xr:uid="{00000000-0005-0000-0000-000071200000}"/>
    <cellStyle name="40% - Énfasis5 2 3 4 2 2 2" xfId="43783" xr:uid="{00000000-0005-0000-0000-000072200000}"/>
    <cellStyle name="40% - Énfasis5 2 3 4 2 3" xfId="13700" xr:uid="{00000000-0005-0000-0000-000073200000}"/>
    <cellStyle name="40% - Énfasis5 2 3 4 2 3 2" xfId="36343" xr:uid="{00000000-0005-0000-0000-000074200000}"/>
    <cellStyle name="40% - Énfasis5 2 3 4 2 4" xfId="28902" xr:uid="{00000000-0005-0000-0000-000075200000}"/>
    <cellStyle name="40% - Énfasis5 2 3 4 3" xfId="17422" xr:uid="{00000000-0005-0000-0000-000076200000}"/>
    <cellStyle name="40% - Énfasis5 2 3 4 3 2" xfId="40065" xr:uid="{00000000-0005-0000-0000-000077200000}"/>
    <cellStyle name="40% - Énfasis5 2 3 4 4" xfId="9982" xr:uid="{00000000-0005-0000-0000-000078200000}"/>
    <cellStyle name="40% - Énfasis5 2 3 4 4 2" xfId="32625" xr:uid="{00000000-0005-0000-0000-000079200000}"/>
    <cellStyle name="40% - Énfasis5 2 3 4 5" xfId="25184" xr:uid="{00000000-0005-0000-0000-00007A200000}"/>
    <cellStyle name="40% - Énfasis5 2 3 5" xfId="4409" xr:uid="{00000000-0005-0000-0000-00007B200000}"/>
    <cellStyle name="40% - Énfasis5 2 3 5 2" xfId="19293" xr:uid="{00000000-0005-0000-0000-00007C200000}"/>
    <cellStyle name="40% - Énfasis5 2 3 5 2 2" xfId="41936" xr:uid="{00000000-0005-0000-0000-00007D200000}"/>
    <cellStyle name="40% - Énfasis5 2 3 5 3" xfId="11853" xr:uid="{00000000-0005-0000-0000-00007E200000}"/>
    <cellStyle name="40% - Énfasis5 2 3 5 3 2" xfId="34496" xr:uid="{00000000-0005-0000-0000-00007F200000}"/>
    <cellStyle name="40% - Énfasis5 2 3 5 4" xfId="27055" xr:uid="{00000000-0005-0000-0000-000080200000}"/>
    <cellStyle name="40% - Énfasis5 2 3 6" xfId="679" xr:uid="{00000000-0005-0000-0000-000081200000}"/>
    <cellStyle name="40% - Énfasis5 2 3 6 2" xfId="15575" xr:uid="{00000000-0005-0000-0000-000082200000}"/>
    <cellStyle name="40% - Énfasis5 2 3 6 2 2" xfId="38218" xr:uid="{00000000-0005-0000-0000-000083200000}"/>
    <cellStyle name="40% - Énfasis5 2 3 6 3" xfId="23337" xr:uid="{00000000-0005-0000-0000-000084200000}"/>
    <cellStyle name="40% - Énfasis5 2 3 7" xfId="8135" xr:uid="{00000000-0005-0000-0000-000085200000}"/>
    <cellStyle name="40% - Énfasis5 2 3 7 2" xfId="30778" xr:uid="{00000000-0005-0000-0000-000086200000}"/>
    <cellStyle name="40% - Énfasis5 2 3 8" xfId="22854" xr:uid="{00000000-0005-0000-0000-000087200000}"/>
    <cellStyle name="40% - Énfasis5 2 4" xfId="232" xr:uid="{00000000-0005-0000-0000-000088200000}"/>
    <cellStyle name="40% - Énfasis5 2 4 2" xfId="1861" xr:uid="{00000000-0005-0000-0000-000089200000}"/>
    <cellStyle name="40% - Énfasis5 2 4 2 2" xfId="3711" xr:uid="{00000000-0005-0000-0000-00008A200000}"/>
    <cellStyle name="40% - Énfasis5 2 4 2 2 2" xfId="7432" xr:uid="{00000000-0005-0000-0000-00008B200000}"/>
    <cellStyle name="40% - Énfasis5 2 4 2 2 2 2" xfId="22316" xr:uid="{00000000-0005-0000-0000-00008C200000}"/>
    <cellStyle name="40% - Énfasis5 2 4 2 2 2 2 2" xfId="44959" xr:uid="{00000000-0005-0000-0000-00008D200000}"/>
    <cellStyle name="40% - Énfasis5 2 4 2 2 2 3" xfId="14876" xr:uid="{00000000-0005-0000-0000-00008E200000}"/>
    <cellStyle name="40% - Énfasis5 2 4 2 2 2 3 2" xfId="37519" xr:uid="{00000000-0005-0000-0000-00008F200000}"/>
    <cellStyle name="40% - Énfasis5 2 4 2 2 2 4" xfId="30078" xr:uid="{00000000-0005-0000-0000-000090200000}"/>
    <cellStyle name="40% - Énfasis5 2 4 2 2 3" xfId="18598" xr:uid="{00000000-0005-0000-0000-000091200000}"/>
    <cellStyle name="40% - Énfasis5 2 4 2 2 3 2" xfId="41241" xr:uid="{00000000-0005-0000-0000-000092200000}"/>
    <cellStyle name="40% - Énfasis5 2 4 2 2 4" xfId="11158" xr:uid="{00000000-0005-0000-0000-000093200000}"/>
    <cellStyle name="40% - Énfasis5 2 4 2 2 4 2" xfId="33801" xr:uid="{00000000-0005-0000-0000-000094200000}"/>
    <cellStyle name="40% - Énfasis5 2 4 2 2 5" xfId="26360" xr:uid="{00000000-0005-0000-0000-000095200000}"/>
    <cellStyle name="40% - Énfasis5 2 4 2 3" xfId="5585" xr:uid="{00000000-0005-0000-0000-000096200000}"/>
    <cellStyle name="40% - Énfasis5 2 4 2 3 2" xfId="20469" xr:uid="{00000000-0005-0000-0000-000097200000}"/>
    <cellStyle name="40% - Énfasis5 2 4 2 3 2 2" xfId="43112" xr:uid="{00000000-0005-0000-0000-000098200000}"/>
    <cellStyle name="40% - Énfasis5 2 4 2 3 3" xfId="13029" xr:uid="{00000000-0005-0000-0000-000099200000}"/>
    <cellStyle name="40% - Énfasis5 2 4 2 3 3 2" xfId="35672" xr:uid="{00000000-0005-0000-0000-00009A200000}"/>
    <cellStyle name="40% - Énfasis5 2 4 2 3 4" xfId="28231" xr:uid="{00000000-0005-0000-0000-00009B200000}"/>
    <cellStyle name="40% - Énfasis5 2 4 2 4" xfId="16751" xr:uid="{00000000-0005-0000-0000-00009C200000}"/>
    <cellStyle name="40% - Énfasis5 2 4 2 4 2" xfId="39394" xr:uid="{00000000-0005-0000-0000-00009D200000}"/>
    <cellStyle name="40% - Énfasis5 2 4 2 5" xfId="9311" xr:uid="{00000000-0005-0000-0000-00009E200000}"/>
    <cellStyle name="40% - Énfasis5 2 4 2 5 2" xfId="31954" xr:uid="{00000000-0005-0000-0000-00009F200000}"/>
    <cellStyle name="40% - Énfasis5 2 4 2 6" xfId="24513" xr:uid="{00000000-0005-0000-0000-0000A0200000}"/>
    <cellStyle name="40% - Énfasis5 2 4 3" xfId="2786" xr:uid="{00000000-0005-0000-0000-0000A1200000}"/>
    <cellStyle name="40% - Énfasis5 2 4 3 2" xfId="6507" xr:uid="{00000000-0005-0000-0000-0000A2200000}"/>
    <cellStyle name="40% - Énfasis5 2 4 3 2 2" xfId="21391" xr:uid="{00000000-0005-0000-0000-0000A3200000}"/>
    <cellStyle name="40% - Énfasis5 2 4 3 2 2 2" xfId="44034" xr:uid="{00000000-0005-0000-0000-0000A4200000}"/>
    <cellStyle name="40% - Énfasis5 2 4 3 2 3" xfId="13951" xr:uid="{00000000-0005-0000-0000-0000A5200000}"/>
    <cellStyle name="40% - Énfasis5 2 4 3 2 3 2" xfId="36594" xr:uid="{00000000-0005-0000-0000-0000A6200000}"/>
    <cellStyle name="40% - Énfasis5 2 4 3 2 4" xfId="29153" xr:uid="{00000000-0005-0000-0000-0000A7200000}"/>
    <cellStyle name="40% - Énfasis5 2 4 3 3" xfId="17673" xr:uid="{00000000-0005-0000-0000-0000A8200000}"/>
    <cellStyle name="40% - Énfasis5 2 4 3 3 2" xfId="40316" xr:uid="{00000000-0005-0000-0000-0000A9200000}"/>
    <cellStyle name="40% - Énfasis5 2 4 3 4" xfId="10233" xr:uid="{00000000-0005-0000-0000-0000AA200000}"/>
    <cellStyle name="40% - Énfasis5 2 4 3 4 2" xfId="32876" xr:uid="{00000000-0005-0000-0000-0000AB200000}"/>
    <cellStyle name="40% - Énfasis5 2 4 3 5" xfId="25435" xr:uid="{00000000-0005-0000-0000-0000AC200000}"/>
    <cellStyle name="40% - Énfasis5 2 4 4" xfId="4660" xr:uid="{00000000-0005-0000-0000-0000AD200000}"/>
    <cellStyle name="40% - Énfasis5 2 4 4 2" xfId="19544" xr:uid="{00000000-0005-0000-0000-0000AE200000}"/>
    <cellStyle name="40% - Énfasis5 2 4 4 2 2" xfId="42187" xr:uid="{00000000-0005-0000-0000-0000AF200000}"/>
    <cellStyle name="40% - Énfasis5 2 4 4 3" xfId="12104" xr:uid="{00000000-0005-0000-0000-0000B0200000}"/>
    <cellStyle name="40% - Énfasis5 2 4 4 3 2" xfId="34747" xr:uid="{00000000-0005-0000-0000-0000B1200000}"/>
    <cellStyle name="40% - Énfasis5 2 4 4 4" xfId="27306" xr:uid="{00000000-0005-0000-0000-0000B2200000}"/>
    <cellStyle name="40% - Énfasis5 2 4 5" xfId="933" xr:uid="{00000000-0005-0000-0000-0000B3200000}"/>
    <cellStyle name="40% - Énfasis5 2 4 5 2" xfId="15826" xr:uid="{00000000-0005-0000-0000-0000B4200000}"/>
    <cellStyle name="40% - Énfasis5 2 4 5 2 2" xfId="38469" xr:uid="{00000000-0005-0000-0000-0000B5200000}"/>
    <cellStyle name="40% - Énfasis5 2 4 5 3" xfId="23588" xr:uid="{00000000-0005-0000-0000-0000B6200000}"/>
    <cellStyle name="40% - Énfasis5 2 4 6" xfId="8386" xr:uid="{00000000-0005-0000-0000-0000B7200000}"/>
    <cellStyle name="40% - Énfasis5 2 4 6 2" xfId="31029" xr:uid="{00000000-0005-0000-0000-0000B8200000}"/>
    <cellStyle name="40% - Énfasis5 2 4 7" xfId="22932" xr:uid="{00000000-0005-0000-0000-0000B9200000}"/>
    <cellStyle name="40% - Énfasis5 2 5" xfId="1399" xr:uid="{00000000-0005-0000-0000-0000BA200000}"/>
    <cellStyle name="40% - Énfasis5 2 5 2" xfId="3249" xr:uid="{00000000-0005-0000-0000-0000BB200000}"/>
    <cellStyle name="40% - Énfasis5 2 5 2 2" xfId="6970" xr:uid="{00000000-0005-0000-0000-0000BC200000}"/>
    <cellStyle name="40% - Énfasis5 2 5 2 2 2" xfId="21854" xr:uid="{00000000-0005-0000-0000-0000BD200000}"/>
    <cellStyle name="40% - Énfasis5 2 5 2 2 2 2" xfId="44497" xr:uid="{00000000-0005-0000-0000-0000BE200000}"/>
    <cellStyle name="40% - Énfasis5 2 5 2 2 3" xfId="14414" xr:uid="{00000000-0005-0000-0000-0000BF200000}"/>
    <cellStyle name="40% - Énfasis5 2 5 2 2 3 2" xfId="37057" xr:uid="{00000000-0005-0000-0000-0000C0200000}"/>
    <cellStyle name="40% - Énfasis5 2 5 2 2 4" xfId="29616" xr:uid="{00000000-0005-0000-0000-0000C1200000}"/>
    <cellStyle name="40% - Énfasis5 2 5 2 3" xfId="18136" xr:uid="{00000000-0005-0000-0000-0000C2200000}"/>
    <cellStyle name="40% - Énfasis5 2 5 2 3 2" xfId="40779" xr:uid="{00000000-0005-0000-0000-0000C3200000}"/>
    <cellStyle name="40% - Énfasis5 2 5 2 4" xfId="10696" xr:uid="{00000000-0005-0000-0000-0000C4200000}"/>
    <cellStyle name="40% - Énfasis5 2 5 2 4 2" xfId="33339" xr:uid="{00000000-0005-0000-0000-0000C5200000}"/>
    <cellStyle name="40% - Énfasis5 2 5 2 5" xfId="25898" xr:uid="{00000000-0005-0000-0000-0000C6200000}"/>
    <cellStyle name="40% - Énfasis5 2 5 3" xfId="5123" xr:uid="{00000000-0005-0000-0000-0000C7200000}"/>
    <cellStyle name="40% - Énfasis5 2 5 3 2" xfId="20007" xr:uid="{00000000-0005-0000-0000-0000C8200000}"/>
    <cellStyle name="40% - Énfasis5 2 5 3 2 2" xfId="42650" xr:uid="{00000000-0005-0000-0000-0000C9200000}"/>
    <cellStyle name="40% - Énfasis5 2 5 3 3" xfId="12567" xr:uid="{00000000-0005-0000-0000-0000CA200000}"/>
    <cellStyle name="40% - Énfasis5 2 5 3 3 2" xfId="35210" xr:uid="{00000000-0005-0000-0000-0000CB200000}"/>
    <cellStyle name="40% - Énfasis5 2 5 3 4" xfId="27769" xr:uid="{00000000-0005-0000-0000-0000CC200000}"/>
    <cellStyle name="40% - Énfasis5 2 5 4" xfId="16289" xr:uid="{00000000-0005-0000-0000-0000CD200000}"/>
    <cellStyle name="40% - Énfasis5 2 5 4 2" xfId="38932" xr:uid="{00000000-0005-0000-0000-0000CE200000}"/>
    <cellStyle name="40% - Énfasis5 2 5 5" xfId="8849" xr:uid="{00000000-0005-0000-0000-0000CF200000}"/>
    <cellStyle name="40% - Énfasis5 2 5 5 2" xfId="31492" xr:uid="{00000000-0005-0000-0000-0000D0200000}"/>
    <cellStyle name="40% - Énfasis5 2 5 6" xfId="24051" xr:uid="{00000000-0005-0000-0000-0000D1200000}"/>
    <cellStyle name="40% - Énfasis5 2 6" xfId="2324" xr:uid="{00000000-0005-0000-0000-0000D2200000}"/>
    <cellStyle name="40% - Énfasis5 2 6 2" xfId="6045" xr:uid="{00000000-0005-0000-0000-0000D3200000}"/>
    <cellStyle name="40% - Énfasis5 2 6 2 2" xfId="20929" xr:uid="{00000000-0005-0000-0000-0000D4200000}"/>
    <cellStyle name="40% - Énfasis5 2 6 2 2 2" xfId="43572" xr:uid="{00000000-0005-0000-0000-0000D5200000}"/>
    <cellStyle name="40% - Énfasis5 2 6 2 3" xfId="13489" xr:uid="{00000000-0005-0000-0000-0000D6200000}"/>
    <cellStyle name="40% - Énfasis5 2 6 2 3 2" xfId="36132" xr:uid="{00000000-0005-0000-0000-0000D7200000}"/>
    <cellStyle name="40% - Énfasis5 2 6 2 4" xfId="28691" xr:uid="{00000000-0005-0000-0000-0000D8200000}"/>
    <cellStyle name="40% - Énfasis5 2 6 3" xfId="17211" xr:uid="{00000000-0005-0000-0000-0000D9200000}"/>
    <cellStyle name="40% - Énfasis5 2 6 3 2" xfId="39854" xr:uid="{00000000-0005-0000-0000-0000DA200000}"/>
    <cellStyle name="40% - Énfasis5 2 6 4" xfId="9771" xr:uid="{00000000-0005-0000-0000-0000DB200000}"/>
    <cellStyle name="40% - Énfasis5 2 6 4 2" xfId="32414" xr:uid="{00000000-0005-0000-0000-0000DC200000}"/>
    <cellStyle name="40% - Énfasis5 2 6 5" xfId="24973" xr:uid="{00000000-0005-0000-0000-0000DD200000}"/>
    <cellStyle name="40% - Énfasis5 2 7" xfId="4198" xr:uid="{00000000-0005-0000-0000-0000DE200000}"/>
    <cellStyle name="40% - Énfasis5 2 7 2" xfId="19082" xr:uid="{00000000-0005-0000-0000-0000DF200000}"/>
    <cellStyle name="40% - Énfasis5 2 7 2 2" xfId="41725" xr:uid="{00000000-0005-0000-0000-0000E0200000}"/>
    <cellStyle name="40% - Énfasis5 2 7 3" xfId="11642" xr:uid="{00000000-0005-0000-0000-0000E1200000}"/>
    <cellStyle name="40% - Énfasis5 2 7 3 2" xfId="34285" xr:uid="{00000000-0005-0000-0000-0000E2200000}"/>
    <cellStyle name="40% - Énfasis5 2 7 4" xfId="26844" xr:uid="{00000000-0005-0000-0000-0000E3200000}"/>
    <cellStyle name="40% - Énfasis5 2 8" xfId="465" xr:uid="{00000000-0005-0000-0000-0000E4200000}"/>
    <cellStyle name="40% - Énfasis5 2 8 2" xfId="15364" xr:uid="{00000000-0005-0000-0000-0000E5200000}"/>
    <cellStyle name="40% - Énfasis5 2 8 2 2" xfId="38007" xr:uid="{00000000-0005-0000-0000-0000E6200000}"/>
    <cellStyle name="40% - Énfasis5 2 8 3" xfId="23127" xr:uid="{00000000-0005-0000-0000-0000E7200000}"/>
    <cellStyle name="40% - Énfasis5 2 9" xfId="7924" xr:uid="{00000000-0005-0000-0000-0000E8200000}"/>
    <cellStyle name="40% - Énfasis5 2 9 2" xfId="30567" xr:uid="{00000000-0005-0000-0000-0000E9200000}"/>
    <cellStyle name="40% - Énfasis5 3" xfId="93" xr:uid="{00000000-0005-0000-0000-0000EA200000}"/>
    <cellStyle name="40% - Énfasis5 3 2" xfId="177" xr:uid="{00000000-0005-0000-0000-0000EB200000}"/>
    <cellStyle name="40% - Énfasis5 3 2 2" xfId="338" xr:uid="{00000000-0005-0000-0000-0000EC200000}"/>
    <cellStyle name="40% - Énfasis5 3 2 2 2" xfId="2125" xr:uid="{00000000-0005-0000-0000-0000ED200000}"/>
    <cellStyle name="40% - Énfasis5 3 2 2 2 2" xfId="3975" xr:uid="{00000000-0005-0000-0000-0000EE200000}"/>
    <cellStyle name="40% - Énfasis5 3 2 2 2 2 2" xfId="7696" xr:uid="{00000000-0005-0000-0000-0000EF200000}"/>
    <cellStyle name="40% - Énfasis5 3 2 2 2 2 2 2" xfId="22580" xr:uid="{00000000-0005-0000-0000-0000F0200000}"/>
    <cellStyle name="40% - Énfasis5 3 2 2 2 2 2 2 2" xfId="45223" xr:uid="{00000000-0005-0000-0000-0000F1200000}"/>
    <cellStyle name="40% - Énfasis5 3 2 2 2 2 2 3" xfId="15140" xr:uid="{00000000-0005-0000-0000-0000F2200000}"/>
    <cellStyle name="40% - Énfasis5 3 2 2 2 2 2 3 2" xfId="37783" xr:uid="{00000000-0005-0000-0000-0000F3200000}"/>
    <cellStyle name="40% - Énfasis5 3 2 2 2 2 2 4" xfId="30342" xr:uid="{00000000-0005-0000-0000-0000F4200000}"/>
    <cellStyle name="40% - Énfasis5 3 2 2 2 2 3" xfId="18862" xr:uid="{00000000-0005-0000-0000-0000F5200000}"/>
    <cellStyle name="40% - Énfasis5 3 2 2 2 2 3 2" xfId="41505" xr:uid="{00000000-0005-0000-0000-0000F6200000}"/>
    <cellStyle name="40% - Énfasis5 3 2 2 2 2 4" xfId="11422" xr:uid="{00000000-0005-0000-0000-0000F7200000}"/>
    <cellStyle name="40% - Énfasis5 3 2 2 2 2 4 2" xfId="34065" xr:uid="{00000000-0005-0000-0000-0000F8200000}"/>
    <cellStyle name="40% - Énfasis5 3 2 2 2 2 5" xfId="26624" xr:uid="{00000000-0005-0000-0000-0000F9200000}"/>
    <cellStyle name="40% - Énfasis5 3 2 2 2 3" xfId="5849" xr:uid="{00000000-0005-0000-0000-0000FA200000}"/>
    <cellStyle name="40% - Énfasis5 3 2 2 2 3 2" xfId="20733" xr:uid="{00000000-0005-0000-0000-0000FB200000}"/>
    <cellStyle name="40% - Énfasis5 3 2 2 2 3 2 2" xfId="43376" xr:uid="{00000000-0005-0000-0000-0000FC200000}"/>
    <cellStyle name="40% - Énfasis5 3 2 2 2 3 3" xfId="13293" xr:uid="{00000000-0005-0000-0000-0000FD200000}"/>
    <cellStyle name="40% - Énfasis5 3 2 2 2 3 3 2" xfId="35936" xr:uid="{00000000-0005-0000-0000-0000FE200000}"/>
    <cellStyle name="40% - Énfasis5 3 2 2 2 3 4" xfId="28495" xr:uid="{00000000-0005-0000-0000-0000FF200000}"/>
    <cellStyle name="40% - Énfasis5 3 2 2 2 4" xfId="17015" xr:uid="{00000000-0005-0000-0000-000000210000}"/>
    <cellStyle name="40% - Énfasis5 3 2 2 2 4 2" xfId="39658" xr:uid="{00000000-0005-0000-0000-000001210000}"/>
    <cellStyle name="40% - Énfasis5 3 2 2 2 5" xfId="9575" xr:uid="{00000000-0005-0000-0000-000002210000}"/>
    <cellStyle name="40% - Énfasis5 3 2 2 2 5 2" xfId="32218" xr:uid="{00000000-0005-0000-0000-000003210000}"/>
    <cellStyle name="40% - Énfasis5 3 2 2 2 6" xfId="24777" xr:uid="{00000000-0005-0000-0000-000004210000}"/>
    <cellStyle name="40% - Énfasis5 3 2 2 3" xfId="3050" xr:uid="{00000000-0005-0000-0000-000005210000}"/>
    <cellStyle name="40% - Énfasis5 3 2 2 3 2" xfId="6771" xr:uid="{00000000-0005-0000-0000-000006210000}"/>
    <cellStyle name="40% - Énfasis5 3 2 2 3 2 2" xfId="21655" xr:uid="{00000000-0005-0000-0000-000007210000}"/>
    <cellStyle name="40% - Énfasis5 3 2 2 3 2 2 2" xfId="44298" xr:uid="{00000000-0005-0000-0000-000008210000}"/>
    <cellStyle name="40% - Énfasis5 3 2 2 3 2 3" xfId="14215" xr:uid="{00000000-0005-0000-0000-000009210000}"/>
    <cellStyle name="40% - Énfasis5 3 2 2 3 2 3 2" xfId="36858" xr:uid="{00000000-0005-0000-0000-00000A210000}"/>
    <cellStyle name="40% - Énfasis5 3 2 2 3 2 4" xfId="29417" xr:uid="{00000000-0005-0000-0000-00000B210000}"/>
    <cellStyle name="40% - Énfasis5 3 2 2 3 3" xfId="17937" xr:uid="{00000000-0005-0000-0000-00000C210000}"/>
    <cellStyle name="40% - Énfasis5 3 2 2 3 3 2" xfId="40580" xr:uid="{00000000-0005-0000-0000-00000D210000}"/>
    <cellStyle name="40% - Énfasis5 3 2 2 3 4" xfId="10497" xr:uid="{00000000-0005-0000-0000-00000E210000}"/>
    <cellStyle name="40% - Énfasis5 3 2 2 3 4 2" xfId="33140" xr:uid="{00000000-0005-0000-0000-00000F210000}"/>
    <cellStyle name="40% - Énfasis5 3 2 2 3 5" xfId="25699" xr:uid="{00000000-0005-0000-0000-000010210000}"/>
    <cellStyle name="40% - Énfasis5 3 2 2 4" xfId="4924" xr:uid="{00000000-0005-0000-0000-000011210000}"/>
    <cellStyle name="40% - Énfasis5 3 2 2 4 2" xfId="19808" xr:uid="{00000000-0005-0000-0000-000012210000}"/>
    <cellStyle name="40% - Énfasis5 3 2 2 4 2 2" xfId="42451" xr:uid="{00000000-0005-0000-0000-000013210000}"/>
    <cellStyle name="40% - Énfasis5 3 2 2 4 3" xfId="12368" xr:uid="{00000000-0005-0000-0000-000014210000}"/>
    <cellStyle name="40% - Énfasis5 3 2 2 4 3 2" xfId="35011" xr:uid="{00000000-0005-0000-0000-000015210000}"/>
    <cellStyle name="40% - Énfasis5 3 2 2 4 4" xfId="27570" xr:uid="{00000000-0005-0000-0000-000016210000}"/>
    <cellStyle name="40% - Énfasis5 3 2 2 5" xfId="1197" xr:uid="{00000000-0005-0000-0000-000017210000}"/>
    <cellStyle name="40% - Énfasis5 3 2 2 5 2" xfId="16090" xr:uid="{00000000-0005-0000-0000-000018210000}"/>
    <cellStyle name="40% - Énfasis5 3 2 2 5 2 2" xfId="38733" xr:uid="{00000000-0005-0000-0000-000019210000}"/>
    <cellStyle name="40% - Énfasis5 3 2 2 5 3" xfId="23852" xr:uid="{00000000-0005-0000-0000-00001A210000}"/>
    <cellStyle name="40% - Énfasis5 3 2 2 6" xfId="8650" xr:uid="{00000000-0005-0000-0000-00001B210000}"/>
    <cellStyle name="40% - Énfasis5 3 2 2 6 2" xfId="31293" xr:uid="{00000000-0005-0000-0000-00001C210000}"/>
    <cellStyle name="40% - Énfasis5 3 2 2 7" xfId="23036" xr:uid="{00000000-0005-0000-0000-00001D210000}"/>
    <cellStyle name="40% - Énfasis5 3 2 3" xfId="1663" xr:uid="{00000000-0005-0000-0000-00001E210000}"/>
    <cellStyle name="40% - Énfasis5 3 2 3 2" xfId="3513" xr:uid="{00000000-0005-0000-0000-00001F210000}"/>
    <cellStyle name="40% - Énfasis5 3 2 3 2 2" xfId="7234" xr:uid="{00000000-0005-0000-0000-000020210000}"/>
    <cellStyle name="40% - Énfasis5 3 2 3 2 2 2" xfId="22118" xr:uid="{00000000-0005-0000-0000-000021210000}"/>
    <cellStyle name="40% - Énfasis5 3 2 3 2 2 2 2" xfId="44761" xr:uid="{00000000-0005-0000-0000-000022210000}"/>
    <cellStyle name="40% - Énfasis5 3 2 3 2 2 3" xfId="14678" xr:uid="{00000000-0005-0000-0000-000023210000}"/>
    <cellStyle name="40% - Énfasis5 3 2 3 2 2 3 2" xfId="37321" xr:uid="{00000000-0005-0000-0000-000024210000}"/>
    <cellStyle name="40% - Énfasis5 3 2 3 2 2 4" xfId="29880" xr:uid="{00000000-0005-0000-0000-000025210000}"/>
    <cellStyle name="40% - Énfasis5 3 2 3 2 3" xfId="18400" xr:uid="{00000000-0005-0000-0000-000026210000}"/>
    <cellStyle name="40% - Énfasis5 3 2 3 2 3 2" xfId="41043" xr:uid="{00000000-0005-0000-0000-000027210000}"/>
    <cellStyle name="40% - Énfasis5 3 2 3 2 4" xfId="10960" xr:uid="{00000000-0005-0000-0000-000028210000}"/>
    <cellStyle name="40% - Énfasis5 3 2 3 2 4 2" xfId="33603" xr:uid="{00000000-0005-0000-0000-000029210000}"/>
    <cellStyle name="40% - Énfasis5 3 2 3 2 5" xfId="26162" xr:uid="{00000000-0005-0000-0000-00002A210000}"/>
    <cellStyle name="40% - Énfasis5 3 2 3 3" xfId="5387" xr:uid="{00000000-0005-0000-0000-00002B210000}"/>
    <cellStyle name="40% - Énfasis5 3 2 3 3 2" xfId="20271" xr:uid="{00000000-0005-0000-0000-00002C210000}"/>
    <cellStyle name="40% - Énfasis5 3 2 3 3 2 2" xfId="42914" xr:uid="{00000000-0005-0000-0000-00002D210000}"/>
    <cellStyle name="40% - Énfasis5 3 2 3 3 3" xfId="12831" xr:uid="{00000000-0005-0000-0000-00002E210000}"/>
    <cellStyle name="40% - Énfasis5 3 2 3 3 3 2" xfId="35474" xr:uid="{00000000-0005-0000-0000-00002F210000}"/>
    <cellStyle name="40% - Énfasis5 3 2 3 3 4" xfId="28033" xr:uid="{00000000-0005-0000-0000-000030210000}"/>
    <cellStyle name="40% - Énfasis5 3 2 3 4" xfId="16553" xr:uid="{00000000-0005-0000-0000-000031210000}"/>
    <cellStyle name="40% - Énfasis5 3 2 3 4 2" xfId="39196" xr:uid="{00000000-0005-0000-0000-000032210000}"/>
    <cellStyle name="40% - Énfasis5 3 2 3 5" xfId="9113" xr:uid="{00000000-0005-0000-0000-000033210000}"/>
    <cellStyle name="40% - Énfasis5 3 2 3 5 2" xfId="31756" xr:uid="{00000000-0005-0000-0000-000034210000}"/>
    <cellStyle name="40% - Énfasis5 3 2 3 6" xfId="24315" xr:uid="{00000000-0005-0000-0000-000035210000}"/>
    <cellStyle name="40% - Énfasis5 3 2 4" xfId="2588" xr:uid="{00000000-0005-0000-0000-000036210000}"/>
    <cellStyle name="40% - Énfasis5 3 2 4 2" xfId="6309" xr:uid="{00000000-0005-0000-0000-000037210000}"/>
    <cellStyle name="40% - Énfasis5 3 2 4 2 2" xfId="21193" xr:uid="{00000000-0005-0000-0000-000038210000}"/>
    <cellStyle name="40% - Énfasis5 3 2 4 2 2 2" xfId="43836" xr:uid="{00000000-0005-0000-0000-000039210000}"/>
    <cellStyle name="40% - Énfasis5 3 2 4 2 3" xfId="13753" xr:uid="{00000000-0005-0000-0000-00003A210000}"/>
    <cellStyle name="40% - Énfasis5 3 2 4 2 3 2" xfId="36396" xr:uid="{00000000-0005-0000-0000-00003B210000}"/>
    <cellStyle name="40% - Énfasis5 3 2 4 2 4" xfId="28955" xr:uid="{00000000-0005-0000-0000-00003C210000}"/>
    <cellStyle name="40% - Énfasis5 3 2 4 3" xfId="17475" xr:uid="{00000000-0005-0000-0000-00003D210000}"/>
    <cellStyle name="40% - Énfasis5 3 2 4 3 2" xfId="40118" xr:uid="{00000000-0005-0000-0000-00003E210000}"/>
    <cellStyle name="40% - Énfasis5 3 2 4 4" xfId="10035" xr:uid="{00000000-0005-0000-0000-00003F210000}"/>
    <cellStyle name="40% - Énfasis5 3 2 4 4 2" xfId="32678" xr:uid="{00000000-0005-0000-0000-000040210000}"/>
    <cellStyle name="40% - Énfasis5 3 2 4 5" xfId="25237" xr:uid="{00000000-0005-0000-0000-000041210000}"/>
    <cellStyle name="40% - Énfasis5 3 2 5" xfId="4462" xr:uid="{00000000-0005-0000-0000-000042210000}"/>
    <cellStyle name="40% - Énfasis5 3 2 5 2" xfId="19346" xr:uid="{00000000-0005-0000-0000-000043210000}"/>
    <cellStyle name="40% - Énfasis5 3 2 5 2 2" xfId="41989" xr:uid="{00000000-0005-0000-0000-000044210000}"/>
    <cellStyle name="40% - Énfasis5 3 2 5 3" xfId="11906" xr:uid="{00000000-0005-0000-0000-000045210000}"/>
    <cellStyle name="40% - Énfasis5 3 2 5 3 2" xfId="34549" xr:uid="{00000000-0005-0000-0000-000046210000}"/>
    <cellStyle name="40% - Énfasis5 3 2 5 4" xfId="27108" xr:uid="{00000000-0005-0000-0000-000047210000}"/>
    <cellStyle name="40% - Énfasis5 3 2 6" xfId="732" xr:uid="{00000000-0005-0000-0000-000048210000}"/>
    <cellStyle name="40% - Énfasis5 3 2 6 2" xfId="15628" xr:uid="{00000000-0005-0000-0000-000049210000}"/>
    <cellStyle name="40% - Énfasis5 3 2 6 2 2" xfId="38271" xr:uid="{00000000-0005-0000-0000-00004A210000}"/>
    <cellStyle name="40% - Énfasis5 3 2 6 3" xfId="23390" xr:uid="{00000000-0005-0000-0000-00004B210000}"/>
    <cellStyle name="40% - Énfasis5 3 2 7" xfId="8188" xr:uid="{00000000-0005-0000-0000-00004C210000}"/>
    <cellStyle name="40% - Énfasis5 3 2 7 2" xfId="30831" xr:uid="{00000000-0005-0000-0000-00004D210000}"/>
    <cellStyle name="40% - Énfasis5 3 2 8" xfId="22880" xr:uid="{00000000-0005-0000-0000-00004E210000}"/>
    <cellStyle name="40% - Énfasis5 3 3" xfId="260" xr:uid="{00000000-0005-0000-0000-00004F210000}"/>
    <cellStyle name="40% - Énfasis5 3 3 2" xfId="1914" xr:uid="{00000000-0005-0000-0000-000050210000}"/>
    <cellStyle name="40% - Énfasis5 3 3 2 2" xfId="3764" xr:uid="{00000000-0005-0000-0000-000051210000}"/>
    <cellStyle name="40% - Énfasis5 3 3 2 2 2" xfId="7485" xr:uid="{00000000-0005-0000-0000-000052210000}"/>
    <cellStyle name="40% - Énfasis5 3 3 2 2 2 2" xfId="22369" xr:uid="{00000000-0005-0000-0000-000053210000}"/>
    <cellStyle name="40% - Énfasis5 3 3 2 2 2 2 2" xfId="45012" xr:uid="{00000000-0005-0000-0000-000054210000}"/>
    <cellStyle name="40% - Énfasis5 3 3 2 2 2 3" xfId="14929" xr:uid="{00000000-0005-0000-0000-000055210000}"/>
    <cellStyle name="40% - Énfasis5 3 3 2 2 2 3 2" xfId="37572" xr:uid="{00000000-0005-0000-0000-000056210000}"/>
    <cellStyle name="40% - Énfasis5 3 3 2 2 2 4" xfId="30131" xr:uid="{00000000-0005-0000-0000-000057210000}"/>
    <cellStyle name="40% - Énfasis5 3 3 2 2 3" xfId="18651" xr:uid="{00000000-0005-0000-0000-000058210000}"/>
    <cellStyle name="40% - Énfasis5 3 3 2 2 3 2" xfId="41294" xr:uid="{00000000-0005-0000-0000-000059210000}"/>
    <cellStyle name="40% - Énfasis5 3 3 2 2 4" xfId="11211" xr:uid="{00000000-0005-0000-0000-00005A210000}"/>
    <cellStyle name="40% - Énfasis5 3 3 2 2 4 2" xfId="33854" xr:uid="{00000000-0005-0000-0000-00005B210000}"/>
    <cellStyle name="40% - Énfasis5 3 3 2 2 5" xfId="26413" xr:uid="{00000000-0005-0000-0000-00005C210000}"/>
    <cellStyle name="40% - Énfasis5 3 3 2 3" xfId="5638" xr:uid="{00000000-0005-0000-0000-00005D210000}"/>
    <cellStyle name="40% - Énfasis5 3 3 2 3 2" xfId="20522" xr:uid="{00000000-0005-0000-0000-00005E210000}"/>
    <cellStyle name="40% - Énfasis5 3 3 2 3 2 2" xfId="43165" xr:uid="{00000000-0005-0000-0000-00005F210000}"/>
    <cellStyle name="40% - Énfasis5 3 3 2 3 3" xfId="13082" xr:uid="{00000000-0005-0000-0000-000060210000}"/>
    <cellStyle name="40% - Énfasis5 3 3 2 3 3 2" xfId="35725" xr:uid="{00000000-0005-0000-0000-000061210000}"/>
    <cellStyle name="40% - Énfasis5 3 3 2 3 4" xfId="28284" xr:uid="{00000000-0005-0000-0000-000062210000}"/>
    <cellStyle name="40% - Énfasis5 3 3 2 4" xfId="16804" xr:uid="{00000000-0005-0000-0000-000063210000}"/>
    <cellStyle name="40% - Énfasis5 3 3 2 4 2" xfId="39447" xr:uid="{00000000-0005-0000-0000-000064210000}"/>
    <cellStyle name="40% - Énfasis5 3 3 2 5" xfId="9364" xr:uid="{00000000-0005-0000-0000-000065210000}"/>
    <cellStyle name="40% - Énfasis5 3 3 2 5 2" xfId="32007" xr:uid="{00000000-0005-0000-0000-000066210000}"/>
    <cellStyle name="40% - Énfasis5 3 3 2 6" xfId="24566" xr:uid="{00000000-0005-0000-0000-000067210000}"/>
    <cellStyle name="40% - Énfasis5 3 3 3" xfId="2839" xr:uid="{00000000-0005-0000-0000-000068210000}"/>
    <cellStyle name="40% - Énfasis5 3 3 3 2" xfId="6560" xr:uid="{00000000-0005-0000-0000-000069210000}"/>
    <cellStyle name="40% - Énfasis5 3 3 3 2 2" xfId="21444" xr:uid="{00000000-0005-0000-0000-00006A210000}"/>
    <cellStyle name="40% - Énfasis5 3 3 3 2 2 2" xfId="44087" xr:uid="{00000000-0005-0000-0000-00006B210000}"/>
    <cellStyle name="40% - Énfasis5 3 3 3 2 3" xfId="14004" xr:uid="{00000000-0005-0000-0000-00006C210000}"/>
    <cellStyle name="40% - Énfasis5 3 3 3 2 3 2" xfId="36647" xr:uid="{00000000-0005-0000-0000-00006D210000}"/>
    <cellStyle name="40% - Énfasis5 3 3 3 2 4" xfId="29206" xr:uid="{00000000-0005-0000-0000-00006E210000}"/>
    <cellStyle name="40% - Énfasis5 3 3 3 3" xfId="17726" xr:uid="{00000000-0005-0000-0000-00006F210000}"/>
    <cellStyle name="40% - Énfasis5 3 3 3 3 2" xfId="40369" xr:uid="{00000000-0005-0000-0000-000070210000}"/>
    <cellStyle name="40% - Énfasis5 3 3 3 4" xfId="10286" xr:uid="{00000000-0005-0000-0000-000071210000}"/>
    <cellStyle name="40% - Énfasis5 3 3 3 4 2" xfId="32929" xr:uid="{00000000-0005-0000-0000-000072210000}"/>
    <cellStyle name="40% - Énfasis5 3 3 3 5" xfId="25488" xr:uid="{00000000-0005-0000-0000-000073210000}"/>
    <cellStyle name="40% - Énfasis5 3 3 4" xfId="4713" xr:uid="{00000000-0005-0000-0000-000074210000}"/>
    <cellStyle name="40% - Énfasis5 3 3 4 2" xfId="19597" xr:uid="{00000000-0005-0000-0000-000075210000}"/>
    <cellStyle name="40% - Énfasis5 3 3 4 2 2" xfId="42240" xr:uid="{00000000-0005-0000-0000-000076210000}"/>
    <cellStyle name="40% - Énfasis5 3 3 4 3" xfId="12157" xr:uid="{00000000-0005-0000-0000-000077210000}"/>
    <cellStyle name="40% - Énfasis5 3 3 4 3 2" xfId="34800" xr:uid="{00000000-0005-0000-0000-000078210000}"/>
    <cellStyle name="40% - Énfasis5 3 3 4 4" xfId="27359" xr:uid="{00000000-0005-0000-0000-000079210000}"/>
    <cellStyle name="40% - Énfasis5 3 3 5" xfId="986" xr:uid="{00000000-0005-0000-0000-00007A210000}"/>
    <cellStyle name="40% - Énfasis5 3 3 5 2" xfId="15879" xr:uid="{00000000-0005-0000-0000-00007B210000}"/>
    <cellStyle name="40% - Énfasis5 3 3 5 2 2" xfId="38522" xr:uid="{00000000-0005-0000-0000-00007C210000}"/>
    <cellStyle name="40% - Énfasis5 3 3 5 3" xfId="23641" xr:uid="{00000000-0005-0000-0000-00007D210000}"/>
    <cellStyle name="40% - Énfasis5 3 3 6" xfId="8439" xr:uid="{00000000-0005-0000-0000-00007E210000}"/>
    <cellStyle name="40% - Énfasis5 3 3 6 2" xfId="31082" xr:uid="{00000000-0005-0000-0000-00007F210000}"/>
    <cellStyle name="40% - Énfasis5 3 3 7" xfId="22958" xr:uid="{00000000-0005-0000-0000-000080210000}"/>
    <cellStyle name="40% - Énfasis5 3 4" xfId="1452" xr:uid="{00000000-0005-0000-0000-000081210000}"/>
    <cellStyle name="40% - Énfasis5 3 4 2" xfId="3302" xr:uid="{00000000-0005-0000-0000-000082210000}"/>
    <cellStyle name="40% - Énfasis5 3 4 2 2" xfId="7023" xr:uid="{00000000-0005-0000-0000-000083210000}"/>
    <cellStyle name="40% - Énfasis5 3 4 2 2 2" xfId="21907" xr:uid="{00000000-0005-0000-0000-000084210000}"/>
    <cellStyle name="40% - Énfasis5 3 4 2 2 2 2" xfId="44550" xr:uid="{00000000-0005-0000-0000-000085210000}"/>
    <cellStyle name="40% - Énfasis5 3 4 2 2 3" xfId="14467" xr:uid="{00000000-0005-0000-0000-000086210000}"/>
    <cellStyle name="40% - Énfasis5 3 4 2 2 3 2" xfId="37110" xr:uid="{00000000-0005-0000-0000-000087210000}"/>
    <cellStyle name="40% - Énfasis5 3 4 2 2 4" xfId="29669" xr:uid="{00000000-0005-0000-0000-000088210000}"/>
    <cellStyle name="40% - Énfasis5 3 4 2 3" xfId="18189" xr:uid="{00000000-0005-0000-0000-000089210000}"/>
    <cellStyle name="40% - Énfasis5 3 4 2 3 2" xfId="40832" xr:uid="{00000000-0005-0000-0000-00008A210000}"/>
    <cellStyle name="40% - Énfasis5 3 4 2 4" xfId="10749" xr:uid="{00000000-0005-0000-0000-00008B210000}"/>
    <cellStyle name="40% - Énfasis5 3 4 2 4 2" xfId="33392" xr:uid="{00000000-0005-0000-0000-00008C210000}"/>
    <cellStyle name="40% - Énfasis5 3 4 2 5" xfId="25951" xr:uid="{00000000-0005-0000-0000-00008D210000}"/>
    <cellStyle name="40% - Énfasis5 3 4 3" xfId="5176" xr:uid="{00000000-0005-0000-0000-00008E210000}"/>
    <cellStyle name="40% - Énfasis5 3 4 3 2" xfId="20060" xr:uid="{00000000-0005-0000-0000-00008F210000}"/>
    <cellStyle name="40% - Énfasis5 3 4 3 2 2" xfId="42703" xr:uid="{00000000-0005-0000-0000-000090210000}"/>
    <cellStyle name="40% - Énfasis5 3 4 3 3" xfId="12620" xr:uid="{00000000-0005-0000-0000-000091210000}"/>
    <cellStyle name="40% - Énfasis5 3 4 3 3 2" xfId="35263" xr:uid="{00000000-0005-0000-0000-000092210000}"/>
    <cellStyle name="40% - Énfasis5 3 4 3 4" xfId="27822" xr:uid="{00000000-0005-0000-0000-000093210000}"/>
    <cellStyle name="40% - Énfasis5 3 4 4" xfId="16342" xr:uid="{00000000-0005-0000-0000-000094210000}"/>
    <cellStyle name="40% - Énfasis5 3 4 4 2" xfId="38985" xr:uid="{00000000-0005-0000-0000-000095210000}"/>
    <cellStyle name="40% - Énfasis5 3 4 5" xfId="8902" xr:uid="{00000000-0005-0000-0000-000096210000}"/>
    <cellStyle name="40% - Énfasis5 3 4 5 2" xfId="31545" xr:uid="{00000000-0005-0000-0000-000097210000}"/>
    <cellStyle name="40% - Énfasis5 3 4 6" xfId="24104" xr:uid="{00000000-0005-0000-0000-000098210000}"/>
    <cellStyle name="40% - Énfasis5 3 5" xfId="2377" xr:uid="{00000000-0005-0000-0000-000099210000}"/>
    <cellStyle name="40% - Énfasis5 3 5 2" xfId="6098" xr:uid="{00000000-0005-0000-0000-00009A210000}"/>
    <cellStyle name="40% - Énfasis5 3 5 2 2" xfId="20982" xr:uid="{00000000-0005-0000-0000-00009B210000}"/>
    <cellStyle name="40% - Énfasis5 3 5 2 2 2" xfId="43625" xr:uid="{00000000-0005-0000-0000-00009C210000}"/>
    <cellStyle name="40% - Énfasis5 3 5 2 3" xfId="13542" xr:uid="{00000000-0005-0000-0000-00009D210000}"/>
    <cellStyle name="40% - Énfasis5 3 5 2 3 2" xfId="36185" xr:uid="{00000000-0005-0000-0000-00009E210000}"/>
    <cellStyle name="40% - Énfasis5 3 5 2 4" xfId="28744" xr:uid="{00000000-0005-0000-0000-00009F210000}"/>
    <cellStyle name="40% - Énfasis5 3 5 3" xfId="17264" xr:uid="{00000000-0005-0000-0000-0000A0210000}"/>
    <cellStyle name="40% - Énfasis5 3 5 3 2" xfId="39907" xr:uid="{00000000-0005-0000-0000-0000A1210000}"/>
    <cellStyle name="40% - Énfasis5 3 5 4" xfId="9824" xr:uid="{00000000-0005-0000-0000-0000A2210000}"/>
    <cellStyle name="40% - Énfasis5 3 5 4 2" xfId="32467" xr:uid="{00000000-0005-0000-0000-0000A3210000}"/>
    <cellStyle name="40% - Énfasis5 3 5 5" xfId="25026" xr:uid="{00000000-0005-0000-0000-0000A4210000}"/>
    <cellStyle name="40% - Énfasis5 3 6" xfId="4251" xr:uid="{00000000-0005-0000-0000-0000A5210000}"/>
    <cellStyle name="40% - Énfasis5 3 6 2" xfId="19135" xr:uid="{00000000-0005-0000-0000-0000A6210000}"/>
    <cellStyle name="40% - Énfasis5 3 6 2 2" xfId="41778" xr:uid="{00000000-0005-0000-0000-0000A7210000}"/>
    <cellStyle name="40% - Énfasis5 3 6 3" xfId="11695" xr:uid="{00000000-0005-0000-0000-0000A8210000}"/>
    <cellStyle name="40% - Énfasis5 3 6 3 2" xfId="34338" xr:uid="{00000000-0005-0000-0000-0000A9210000}"/>
    <cellStyle name="40% - Énfasis5 3 6 4" xfId="26897" xr:uid="{00000000-0005-0000-0000-0000AA210000}"/>
    <cellStyle name="40% - Énfasis5 3 7" xfId="519" xr:uid="{00000000-0005-0000-0000-0000AB210000}"/>
    <cellStyle name="40% - Énfasis5 3 7 2" xfId="15417" xr:uid="{00000000-0005-0000-0000-0000AC210000}"/>
    <cellStyle name="40% - Énfasis5 3 7 2 2" xfId="38060" xr:uid="{00000000-0005-0000-0000-0000AD210000}"/>
    <cellStyle name="40% - Énfasis5 3 7 3" xfId="23180" xr:uid="{00000000-0005-0000-0000-0000AE210000}"/>
    <cellStyle name="40% - Énfasis5 3 8" xfId="7977" xr:uid="{00000000-0005-0000-0000-0000AF210000}"/>
    <cellStyle name="40% - Énfasis5 3 8 2" xfId="30620" xr:uid="{00000000-0005-0000-0000-0000B0210000}"/>
    <cellStyle name="40% - Énfasis5 3 9" xfId="22802" xr:uid="{00000000-0005-0000-0000-0000B1210000}"/>
    <cellStyle name="40% - Énfasis5 4" xfId="135" xr:uid="{00000000-0005-0000-0000-0000B2210000}"/>
    <cellStyle name="40% - Énfasis5 4 2" xfId="299" xr:uid="{00000000-0005-0000-0000-0000B3210000}"/>
    <cellStyle name="40% - Énfasis5 4 2 2" xfId="2020" xr:uid="{00000000-0005-0000-0000-0000B4210000}"/>
    <cellStyle name="40% - Énfasis5 4 2 2 2" xfId="3870" xr:uid="{00000000-0005-0000-0000-0000B5210000}"/>
    <cellStyle name="40% - Énfasis5 4 2 2 2 2" xfId="7591" xr:uid="{00000000-0005-0000-0000-0000B6210000}"/>
    <cellStyle name="40% - Énfasis5 4 2 2 2 2 2" xfId="22475" xr:uid="{00000000-0005-0000-0000-0000B7210000}"/>
    <cellStyle name="40% - Énfasis5 4 2 2 2 2 2 2" xfId="45118" xr:uid="{00000000-0005-0000-0000-0000B8210000}"/>
    <cellStyle name="40% - Énfasis5 4 2 2 2 2 3" xfId="15035" xr:uid="{00000000-0005-0000-0000-0000B9210000}"/>
    <cellStyle name="40% - Énfasis5 4 2 2 2 2 3 2" xfId="37678" xr:uid="{00000000-0005-0000-0000-0000BA210000}"/>
    <cellStyle name="40% - Énfasis5 4 2 2 2 2 4" xfId="30237" xr:uid="{00000000-0005-0000-0000-0000BB210000}"/>
    <cellStyle name="40% - Énfasis5 4 2 2 2 3" xfId="18757" xr:uid="{00000000-0005-0000-0000-0000BC210000}"/>
    <cellStyle name="40% - Énfasis5 4 2 2 2 3 2" xfId="41400" xr:uid="{00000000-0005-0000-0000-0000BD210000}"/>
    <cellStyle name="40% - Énfasis5 4 2 2 2 4" xfId="11317" xr:uid="{00000000-0005-0000-0000-0000BE210000}"/>
    <cellStyle name="40% - Énfasis5 4 2 2 2 4 2" xfId="33960" xr:uid="{00000000-0005-0000-0000-0000BF210000}"/>
    <cellStyle name="40% - Énfasis5 4 2 2 2 5" xfId="26519" xr:uid="{00000000-0005-0000-0000-0000C0210000}"/>
    <cellStyle name="40% - Énfasis5 4 2 2 3" xfId="5744" xr:uid="{00000000-0005-0000-0000-0000C1210000}"/>
    <cellStyle name="40% - Énfasis5 4 2 2 3 2" xfId="20628" xr:uid="{00000000-0005-0000-0000-0000C2210000}"/>
    <cellStyle name="40% - Énfasis5 4 2 2 3 2 2" xfId="43271" xr:uid="{00000000-0005-0000-0000-0000C3210000}"/>
    <cellStyle name="40% - Énfasis5 4 2 2 3 3" xfId="13188" xr:uid="{00000000-0005-0000-0000-0000C4210000}"/>
    <cellStyle name="40% - Énfasis5 4 2 2 3 3 2" xfId="35831" xr:uid="{00000000-0005-0000-0000-0000C5210000}"/>
    <cellStyle name="40% - Énfasis5 4 2 2 3 4" xfId="28390" xr:uid="{00000000-0005-0000-0000-0000C6210000}"/>
    <cellStyle name="40% - Énfasis5 4 2 2 4" xfId="16910" xr:uid="{00000000-0005-0000-0000-0000C7210000}"/>
    <cellStyle name="40% - Énfasis5 4 2 2 4 2" xfId="39553" xr:uid="{00000000-0005-0000-0000-0000C8210000}"/>
    <cellStyle name="40% - Énfasis5 4 2 2 5" xfId="9470" xr:uid="{00000000-0005-0000-0000-0000C9210000}"/>
    <cellStyle name="40% - Énfasis5 4 2 2 5 2" xfId="32113" xr:uid="{00000000-0005-0000-0000-0000CA210000}"/>
    <cellStyle name="40% - Énfasis5 4 2 2 6" xfId="24672" xr:uid="{00000000-0005-0000-0000-0000CB210000}"/>
    <cellStyle name="40% - Énfasis5 4 2 3" xfId="2945" xr:uid="{00000000-0005-0000-0000-0000CC210000}"/>
    <cellStyle name="40% - Énfasis5 4 2 3 2" xfId="6666" xr:uid="{00000000-0005-0000-0000-0000CD210000}"/>
    <cellStyle name="40% - Énfasis5 4 2 3 2 2" xfId="21550" xr:uid="{00000000-0005-0000-0000-0000CE210000}"/>
    <cellStyle name="40% - Énfasis5 4 2 3 2 2 2" xfId="44193" xr:uid="{00000000-0005-0000-0000-0000CF210000}"/>
    <cellStyle name="40% - Énfasis5 4 2 3 2 3" xfId="14110" xr:uid="{00000000-0005-0000-0000-0000D0210000}"/>
    <cellStyle name="40% - Énfasis5 4 2 3 2 3 2" xfId="36753" xr:uid="{00000000-0005-0000-0000-0000D1210000}"/>
    <cellStyle name="40% - Énfasis5 4 2 3 2 4" xfId="29312" xr:uid="{00000000-0005-0000-0000-0000D2210000}"/>
    <cellStyle name="40% - Énfasis5 4 2 3 3" xfId="17832" xr:uid="{00000000-0005-0000-0000-0000D3210000}"/>
    <cellStyle name="40% - Énfasis5 4 2 3 3 2" xfId="40475" xr:uid="{00000000-0005-0000-0000-0000D4210000}"/>
    <cellStyle name="40% - Énfasis5 4 2 3 4" xfId="10392" xr:uid="{00000000-0005-0000-0000-0000D5210000}"/>
    <cellStyle name="40% - Énfasis5 4 2 3 4 2" xfId="33035" xr:uid="{00000000-0005-0000-0000-0000D6210000}"/>
    <cellStyle name="40% - Énfasis5 4 2 3 5" xfId="25594" xr:uid="{00000000-0005-0000-0000-0000D7210000}"/>
    <cellStyle name="40% - Énfasis5 4 2 4" xfId="4819" xr:uid="{00000000-0005-0000-0000-0000D8210000}"/>
    <cellStyle name="40% - Énfasis5 4 2 4 2" xfId="19703" xr:uid="{00000000-0005-0000-0000-0000D9210000}"/>
    <cellStyle name="40% - Énfasis5 4 2 4 2 2" xfId="42346" xr:uid="{00000000-0005-0000-0000-0000DA210000}"/>
    <cellStyle name="40% - Énfasis5 4 2 4 3" xfId="12263" xr:uid="{00000000-0005-0000-0000-0000DB210000}"/>
    <cellStyle name="40% - Énfasis5 4 2 4 3 2" xfId="34906" xr:uid="{00000000-0005-0000-0000-0000DC210000}"/>
    <cellStyle name="40% - Énfasis5 4 2 4 4" xfId="27465" xr:uid="{00000000-0005-0000-0000-0000DD210000}"/>
    <cellStyle name="40% - Énfasis5 4 2 5" xfId="1092" xr:uid="{00000000-0005-0000-0000-0000DE210000}"/>
    <cellStyle name="40% - Énfasis5 4 2 5 2" xfId="15985" xr:uid="{00000000-0005-0000-0000-0000DF210000}"/>
    <cellStyle name="40% - Énfasis5 4 2 5 2 2" xfId="38628" xr:uid="{00000000-0005-0000-0000-0000E0210000}"/>
    <cellStyle name="40% - Énfasis5 4 2 5 3" xfId="23747" xr:uid="{00000000-0005-0000-0000-0000E1210000}"/>
    <cellStyle name="40% - Énfasis5 4 2 6" xfId="8545" xr:uid="{00000000-0005-0000-0000-0000E2210000}"/>
    <cellStyle name="40% - Énfasis5 4 2 6 2" xfId="31188" xr:uid="{00000000-0005-0000-0000-0000E3210000}"/>
    <cellStyle name="40% - Énfasis5 4 2 7" xfId="22997" xr:uid="{00000000-0005-0000-0000-0000E4210000}"/>
    <cellStyle name="40% - Énfasis5 4 3" xfId="1558" xr:uid="{00000000-0005-0000-0000-0000E5210000}"/>
    <cellStyle name="40% - Énfasis5 4 3 2" xfId="3408" xr:uid="{00000000-0005-0000-0000-0000E6210000}"/>
    <cellStyle name="40% - Énfasis5 4 3 2 2" xfId="7129" xr:uid="{00000000-0005-0000-0000-0000E7210000}"/>
    <cellStyle name="40% - Énfasis5 4 3 2 2 2" xfId="22013" xr:uid="{00000000-0005-0000-0000-0000E8210000}"/>
    <cellStyle name="40% - Énfasis5 4 3 2 2 2 2" xfId="44656" xr:uid="{00000000-0005-0000-0000-0000E9210000}"/>
    <cellStyle name="40% - Énfasis5 4 3 2 2 3" xfId="14573" xr:uid="{00000000-0005-0000-0000-0000EA210000}"/>
    <cellStyle name="40% - Énfasis5 4 3 2 2 3 2" xfId="37216" xr:uid="{00000000-0005-0000-0000-0000EB210000}"/>
    <cellStyle name="40% - Énfasis5 4 3 2 2 4" xfId="29775" xr:uid="{00000000-0005-0000-0000-0000EC210000}"/>
    <cellStyle name="40% - Énfasis5 4 3 2 3" xfId="18295" xr:uid="{00000000-0005-0000-0000-0000ED210000}"/>
    <cellStyle name="40% - Énfasis5 4 3 2 3 2" xfId="40938" xr:uid="{00000000-0005-0000-0000-0000EE210000}"/>
    <cellStyle name="40% - Énfasis5 4 3 2 4" xfId="10855" xr:uid="{00000000-0005-0000-0000-0000EF210000}"/>
    <cellStyle name="40% - Énfasis5 4 3 2 4 2" xfId="33498" xr:uid="{00000000-0005-0000-0000-0000F0210000}"/>
    <cellStyle name="40% - Énfasis5 4 3 2 5" xfId="26057" xr:uid="{00000000-0005-0000-0000-0000F1210000}"/>
    <cellStyle name="40% - Énfasis5 4 3 3" xfId="5282" xr:uid="{00000000-0005-0000-0000-0000F2210000}"/>
    <cellStyle name="40% - Énfasis5 4 3 3 2" xfId="20166" xr:uid="{00000000-0005-0000-0000-0000F3210000}"/>
    <cellStyle name="40% - Énfasis5 4 3 3 2 2" xfId="42809" xr:uid="{00000000-0005-0000-0000-0000F4210000}"/>
    <cellStyle name="40% - Énfasis5 4 3 3 3" xfId="12726" xr:uid="{00000000-0005-0000-0000-0000F5210000}"/>
    <cellStyle name="40% - Énfasis5 4 3 3 3 2" xfId="35369" xr:uid="{00000000-0005-0000-0000-0000F6210000}"/>
    <cellStyle name="40% - Énfasis5 4 3 3 4" xfId="27928" xr:uid="{00000000-0005-0000-0000-0000F7210000}"/>
    <cellStyle name="40% - Énfasis5 4 3 4" xfId="16448" xr:uid="{00000000-0005-0000-0000-0000F8210000}"/>
    <cellStyle name="40% - Énfasis5 4 3 4 2" xfId="39091" xr:uid="{00000000-0005-0000-0000-0000F9210000}"/>
    <cellStyle name="40% - Énfasis5 4 3 5" xfId="9008" xr:uid="{00000000-0005-0000-0000-0000FA210000}"/>
    <cellStyle name="40% - Énfasis5 4 3 5 2" xfId="31651" xr:uid="{00000000-0005-0000-0000-0000FB210000}"/>
    <cellStyle name="40% - Énfasis5 4 3 6" xfId="24210" xr:uid="{00000000-0005-0000-0000-0000FC210000}"/>
    <cellStyle name="40% - Énfasis5 4 4" xfId="2483" xr:uid="{00000000-0005-0000-0000-0000FD210000}"/>
    <cellStyle name="40% - Énfasis5 4 4 2" xfId="6204" xr:uid="{00000000-0005-0000-0000-0000FE210000}"/>
    <cellStyle name="40% - Énfasis5 4 4 2 2" xfId="21088" xr:uid="{00000000-0005-0000-0000-0000FF210000}"/>
    <cellStyle name="40% - Énfasis5 4 4 2 2 2" xfId="43731" xr:uid="{00000000-0005-0000-0000-000000220000}"/>
    <cellStyle name="40% - Énfasis5 4 4 2 3" xfId="13648" xr:uid="{00000000-0005-0000-0000-000001220000}"/>
    <cellStyle name="40% - Énfasis5 4 4 2 3 2" xfId="36291" xr:uid="{00000000-0005-0000-0000-000002220000}"/>
    <cellStyle name="40% - Énfasis5 4 4 2 4" xfId="28850" xr:uid="{00000000-0005-0000-0000-000003220000}"/>
    <cellStyle name="40% - Énfasis5 4 4 3" xfId="17370" xr:uid="{00000000-0005-0000-0000-000004220000}"/>
    <cellStyle name="40% - Énfasis5 4 4 3 2" xfId="40013" xr:uid="{00000000-0005-0000-0000-000005220000}"/>
    <cellStyle name="40% - Énfasis5 4 4 4" xfId="9930" xr:uid="{00000000-0005-0000-0000-000006220000}"/>
    <cellStyle name="40% - Énfasis5 4 4 4 2" xfId="32573" xr:uid="{00000000-0005-0000-0000-000007220000}"/>
    <cellStyle name="40% - Énfasis5 4 4 5" xfId="25132" xr:uid="{00000000-0005-0000-0000-000008220000}"/>
    <cellStyle name="40% - Énfasis5 4 5" xfId="4357" xr:uid="{00000000-0005-0000-0000-000009220000}"/>
    <cellStyle name="40% - Énfasis5 4 5 2" xfId="19241" xr:uid="{00000000-0005-0000-0000-00000A220000}"/>
    <cellStyle name="40% - Énfasis5 4 5 2 2" xfId="41884" xr:uid="{00000000-0005-0000-0000-00000B220000}"/>
    <cellStyle name="40% - Énfasis5 4 5 3" xfId="11801" xr:uid="{00000000-0005-0000-0000-00000C220000}"/>
    <cellStyle name="40% - Énfasis5 4 5 3 2" xfId="34444" xr:uid="{00000000-0005-0000-0000-00000D220000}"/>
    <cellStyle name="40% - Énfasis5 4 5 4" xfId="27003" xr:uid="{00000000-0005-0000-0000-00000E220000}"/>
    <cellStyle name="40% - Énfasis5 4 6" xfId="625" xr:uid="{00000000-0005-0000-0000-00000F220000}"/>
    <cellStyle name="40% - Énfasis5 4 6 2" xfId="15523" xr:uid="{00000000-0005-0000-0000-000010220000}"/>
    <cellStyle name="40% - Énfasis5 4 6 2 2" xfId="38166" xr:uid="{00000000-0005-0000-0000-000011220000}"/>
    <cellStyle name="40% - Énfasis5 4 6 3" xfId="23285" xr:uid="{00000000-0005-0000-0000-000012220000}"/>
    <cellStyle name="40% - Énfasis5 4 7" xfId="8083" xr:uid="{00000000-0005-0000-0000-000013220000}"/>
    <cellStyle name="40% - Énfasis5 4 7 2" xfId="30726" xr:uid="{00000000-0005-0000-0000-000014220000}"/>
    <cellStyle name="40% - Énfasis5 4 8" xfId="22841" xr:uid="{00000000-0005-0000-0000-000015220000}"/>
    <cellStyle name="40% - Énfasis5 5" xfId="218" xr:uid="{00000000-0005-0000-0000-000016220000}"/>
    <cellStyle name="40% - Énfasis5 5 2" xfId="1809" xr:uid="{00000000-0005-0000-0000-000017220000}"/>
    <cellStyle name="40% - Énfasis5 5 2 2" xfId="3659" xr:uid="{00000000-0005-0000-0000-000018220000}"/>
    <cellStyle name="40% - Énfasis5 5 2 2 2" xfId="7380" xr:uid="{00000000-0005-0000-0000-000019220000}"/>
    <cellStyle name="40% - Énfasis5 5 2 2 2 2" xfId="22264" xr:uid="{00000000-0005-0000-0000-00001A220000}"/>
    <cellStyle name="40% - Énfasis5 5 2 2 2 2 2" xfId="44907" xr:uid="{00000000-0005-0000-0000-00001B220000}"/>
    <cellStyle name="40% - Énfasis5 5 2 2 2 3" xfId="14824" xr:uid="{00000000-0005-0000-0000-00001C220000}"/>
    <cellStyle name="40% - Énfasis5 5 2 2 2 3 2" xfId="37467" xr:uid="{00000000-0005-0000-0000-00001D220000}"/>
    <cellStyle name="40% - Énfasis5 5 2 2 2 4" xfId="30026" xr:uid="{00000000-0005-0000-0000-00001E220000}"/>
    <cellStyle name="40% - Énfasis5 5 2 2 3" xfId="18546" xr:uid="{00000000-0005-0000-0000-00001F220000}"/>
    <cellStyle name="40% - Énfasis5 5 2 2 3 2" xfId="41189" xr:uid="{00000000-0005-0000-0000-000020220000}"/>
    <cellStyle name="40% - Énfasis5 5 2 2 4" xfId="11106" xr:uid="{00000000-0005-0000-0000-000021220000}"/>
    <cellStyle name="40% - Énfasis5 5 2 2 4 2" xfId="33749" xr:uid="{00000000-0005-0000-0000-000022220000}"/>
    <cellStyle name="40% - Énfasis5 5 2 2 5" xfId="26308" xr:uid="{00000000-0005-0000-0000-000023220000}"/>
    <cellStyle name="40% - Énfasis5 5 2 3" xfId="5533" xr:uid="{00000000-0005-0000-0000-000024220000}"/>
    <cellStyle name="40% - Énfasis5 5 2 3 2" xfId="20417" xr:uid="{00000000-0005-0000-0000-000025220000}"/>
    <cellStyle name="40% - Énfasis5 5 2 3 2 2" xfId="43060" xr:uid="{00000000-0005-0000-0000-000026220000}"/>
    <cellStyle name="40% - Énfasis5 5 2 3 3" xfId="12977" xr:uid="{00000000-0005-0000-0000-000027220000}"/>
    <cellStyle name="40% - Énfasis5 5 2 3 3 2" xfId="35620" xr:uid="{00000000-0005-0000-0000-000028220000}"/>
    <cellStyle name="40% - Énfasis5 5 2 3 4" xfId="28179" xr:uid="{00000000-0005-0000-0000-000029220000}"/>
    <cellStyle name="40% - Énfasis5 5 2 4" xfId="16699" xr:uid="{00000000-0005-0000-0000-00002A220000}"/>
    <cellStyle name="40% - Énfasis5 5 2 4 2" xfId="39342" xr:uid="{00000000-0005-0000-0000-00002B220000}"/>
    <cellStyle name="40% - Énfasis5 5 2 5" xfId="9259" xr:uid="{00000000-0005-0000-0000-00002C220000}"/>
    <cellStyle name="40% - Énfasis5 5 2 5 2" xfId="31902" xr:uid="{00000000-0005-0000-0000-00002D220000}"/>
    <cellStyle name="40% - Énfasis5 5 2 6" xfId="24461" xr:uid="{00000000-0005-0000-0000-00002E220000}"/>
    <cellStyle name="40% - Énfasis5 5 3" xfId="2734" xr:uid="{00000000-0005-0000-0000-00002F220000}"/>
    <cellStyle name="40% - Énfasis5 5 3 2" xfId="6455" xr:uid="{00000000-0005-0000-0000-000030220000}"/>
    <cellStyle name="40% - Énfasis5 5 3 2 2" xfId="21339" xr:uid="{00000000-0005-0000-0000-000031220000}"/>
    <cellStyle name="40% - Énfasis5 5 3 2 2 2" xfId="43982" xr:uid="{00000000-0005-0000-0000-000032220000}"/>
    <cellStyle name="40% - Énfasis5 5 3 2 3" xfId="13899" xr:uid="{00000000-0005-0000-0000-000033220000}"/>
    <cellStyle name="40% - Énfasis5 5 3 2 3 2" xfId="36542" xr:uid="{00000000-0005-0000-0000-000034220000}"/>
    <cellStyle name="40% - Énfasis5 5 3 2 4" xfId="29101" xr:uid="{00000000-0005-0000-0000-000035220000}"/>
    <cellStyle name="40% - Énfasis5 5 3 3" xfId="17621" xr:uid="{00000000-0005-0000-0000-000036220000}"/>
    <cellStyle name="40% - Énfasis5 5 3 3 2" xfId="40264" xr:uid="{00000000-0005-0000-0000-000037220000}"/>
    <cellStyle name="40% - Énfasis5 5 3 4" xfId="10181" xr:uid="{00000000-0005-0000-0000-000038220000}"/>
    <cellStyle name="40% - Énfasis5 5 3 4 2" xfId="32824" xr:uid="{00000000-0005-0000-0000-000039220000}"/>
    <cellStyle name="40% - Énfasis5 5 3 5" xfId="25383" xr:uid="{00000000-0005-0000-0000-00003A220000}"/>
    <cellStyle name="40% - Énfasis5 5 4" xfId="4608" xr:uid="{00000000-0005-0000-0000-00003B220000}"/>
    <cellStyle name="40% - Énfasis5 5 4 2" xfId="19492" xr:uid="{00000000-0005-0000-0000-00003C220000}"/>
    <cellStyle name="40% - Énfasis5 5 4 2 2" xfId="42135" xr:uid="{00000000-0005-0000-0000-00003D220000}"/>
    <cellStyle name="40% - Énfasis5 5 4 3" xfId="12052" xr:uid="{00000000-0005-0000-0000-00003E220000}"/>
    <cellStyle name="40% - Énfasis5 5 4 3 2" xfId="34695" xr:uid="{00000000-0005-0000-0000-00003F220000}"/>
    <cellStyle name="40% - Énfasis5 5 4 4" xfId="27254" xr:uid="{00000000-0005-0000-0000-000040220000}"/>
    <cellStyle name="40% - Énfasis5 5 5" xfId="878" xr:uid="{00000000-0005-0000-0000-000041220000}"/>
    <cellStyle name="40% - Énfasis5 5 5 2" xfId="15774" xr:uid="{00000000-0005-0000-0000-000042220000}"/>
    <cellStyle name="40% - Énfasis5 5 5 2 2" xfId="38417" xr:uid="{00000000-0005-0000-0000-000043220000}"/>
    <cellStyle name="40% - Énfasis5 5 5 3" xfId="23536" xr:uid="{00000000-0005-0000-0000-000044220000}"/>
    <cellStyle name="40% - Énfasis5 5 6" xfId="8334" xr:uid="{00000000-0005-0000-0000-000045220000}"/>
    <cellStyle name="40% - Énfasis5 5 6 2" xfId="30977" xr:uid="{00000000-0005-0000-0000-000046220000}"/>
    <cellStyle name="40% - Énfasis5 5 7" xfId="22919" xr:uid="{00000000-0005-0000-0000-000047220000}"/>
    <cellStyle name="40% - Énfasis5 6" xfId="1344" xr:uid="{00000000-0005-0000-0000-000048220000}"/>
    <cellStyle name="40% - Énfasis5 6 2" xfId="3197" xr:uid="{00000000-0005-0000-0000-000049220000}"/>
    <cellStyle name="40% - Énfasis5 6 2 2" xfId="6918" xr:uid="{00000000-0005-0000-0000-00004A220000}"/>
    <cellStyle name="40% - Énfasis5 6 2 2 2" xfId="21802" xr:uid="{00000000-0005-0000-0000-00004B220000}"/>
    <cellStyle name="40% - Énfasis5 6 2 2 2 2" xfId="44445" xr:uid="{00000000-0005-0000-0000-00004C220000}"/>
    <cellStyle name="40% - Énfasis5 6 2 2 3" xfId="14362" xr:uid="{00000000-0005-0000-0000-00004D220000}"/>
    <cellStyle name="40% - Énfasis5 6 2 2 3 2" xfId="37005" xr:uid="{00000000-0005-0000-0000-00004E220000}"/>
    <cellStyle name="40% - Énfasis5 6 2 2 4" xfId="29564" xr:uid="{00000000-0005-0000-0000-00004F220000}"/>
    <cellStyle name="40% - Énfasis5 6 2 3" xfId="18084" xr:uid="{00000000-0005-0000-0000-000050220000}"/>
    <cellStyle name="40% - Énfasis5 6 2 3 2" xfId="40727" xr:uid="{00000000-0005-0000-0000-000051220000}"/>
    <cellStyle name="40% - Énfasis5 6 2 4" xfId="10644" xr:uid="{00000000-0005-0000-0000-000052220000}"/>
    <cellStyle name="40% - Énfasis5 6 2 4 2" xfId="33287" xr:uid="{00000000-0005-0000-0000-000053220000}"/>
    <cellStyle name="40% - Énfasis5 6 2 5" xfId="25846" xr:uid="{00000000-0005-0000-0000-000054220000}"/>
    <cellStyle name="40% - Énfasis5 6 3" xfId="5071" xr:uid="{00000000-0005-0000-0000-000055220000}"/>
    <cellStyle name="40% - Énfasis5 6 3 2" xfId="19955" xr:uid="{00000000-0005-0000-0000-000056220000}"/>
    <cellStyle name="40% - Énfasis5 6 3 2 2" xfId="42598" xr:uid="{00000000-0005-0000-0000-000057220000}"/>
    <cellStyle name="40% - Énfasis5 6 3 3" xfId="12515" xr:uid="{00000000-0005-0000-0000-000058220000}"/>
    <cellStyle name="40% - Énfasis5 6 3 3 2" xfId="35158" xr:uid="{00000000-0005-0000-0000-000059220000}"/>
    <cellStyle name="40% - Énfasis5 6 3 4" xfId="27717" xr:uid="{00000000-0005-0000-0000-00005A220000}"/>
    <cellStyle name="40% - Énfasis5 6 4" xfId="16237" xr:uid="{00000000-0005-0000-0000-00005B220000}"/>
    <cellStyle name="40% - Énfasis5 6 4 2" xfId="38880" xr:uid="{00000000-0005-0000-0000-00005C220000}"/>
    <cellStyle name="40% - Énfasis5 6 5" xfId="8797" xr:uid="{00000000-0005-0000-0000-00005D220000}"/>
    <cellStyle name="40% - Énfasis5 6 5 2" xfId="31440" xr:uid="{00000000-0005-0000-0000-00005E220000}"/>
    <cellStyle name="40% - Énfasis5 6 6" xfId="23999" xr:uid="{00000000-0005-0000-0000-00005F220000}"/>
    <cellStyle name="40% - Énfasis5 7" xfId="2269" xr:uid="{00000000-0005-0000-0000-000060220000}"/>
    <cellStyle name="40% - Énfasis5 7 2" xfId="5993" xr:uid="{00000000-0005-0000-0000-000061220000}"/>
    <cellStyle name="40% - Énfasis5 7 2 2" xfId="20877" xr:uid="{00000000-0005-0000-0000-000062220000}"/>
    <cellStyle name="40% - Énfasis5 7 2 2 2" xfId="43520" xr:uid="{00000000-0005-0000-0000-000063220000}"/>
    <cellStyle name="40% - Énfasis5 7 2 3" xfId="13437" xr:uid="{00000000-0005-0000-0000-000064220000}"/>
    <cellStyle name="40% - Énfasis5 7 2 3 2" xfId="36080" xr:uid="{00000000-0005-0000-0000-000065220000}"/>
    <cellStyle name="40% - Énfasis5 7 2 4" xfId="28639" xr:uid="{00000000-0005-0000-0000-000066220000}"/>
    <cellStyle name="40% - Énfasis5 7 3" xfId="17159" xr:uid="{00000000-0005-0000-0000-000067220000}"/>
    <cellStyle name="40% - Énfasis5 7 3 2" xfId="39802" xr:uid="{00000000-0005-0000-0000-000068220000}"/>
    <cellStyle name="40% - Énfasis5 7 4" xfId="9719" xr:uid="{00000000-0005-0000-0000-000069220000}"/>
    <cellStyle name="40% - Énfasis5 7 4 2" xfId="32362" xr:uid="{00000000-0005-0000-0000-00006A220000}"/>
    <cellStyle name="40% - Énfasis5 7 5" xfId="24921" xr:uid="{00000000-0005-0000-0000-00006B220000}"/>
    <cellStyle name="40% - Énfasis5 8" xfId="4143" xr:uid="{00000000-0005-0000-0000-00006C220000}"/>
    <cellStyle name="40% - Énfasis5 8 2" xfId="19030" xr:uid="{00000000-0005-0000-0000-00006D220000}"/>
    <cellStyle name="40% - Énfasis5 8 2 2" xfId="41673" xr:uid="{00000000-0005-0000-0000-00006E220000}"/>
    <cellStyle name="40% - Énfasis5 8 3" xfId="11590" xr:uid="{00000000-0005-0000-0000-00006F220000}"/>
    <cellStyle name="40% - Énfasis5 8 3 2" xfId="34233" xr:uid="{00000000-0005-0000-0000-000070220000}"/>
    <cellStyle name="40% - Énfasis5 8 4" xfId="26792" xr:uid="{00000000-0005-0000-0000-000071220000}"/>
    <cellStyle name="40% - Énfasis5 9" xfId="378" xr:uid="{00000000-0005-0000-0000-000072220000}"/>
    <cellStyle name="40% - Énfasis5 9 2" xfId="15312" xr:uid="{00000000-0005-0000-0000-000073220000}"/>
    <cellStyle name="40% - Énfasis5 9 2 2" xfId="37955" xr:uid="{00000000-0005-0000-0000-000074220000}"/>
    <cellStyle name="40% - Énfasis5 9 3" xfId="23075" xr:uid="{00000000-0005-0000-0000-000075220000}"/>
    <cellStyle name="40% - Énfasis6" xfId="23" builtinId="51" customBuiltin="1"/>
    <cellStyle name="40% - Énfasis6 10" xfId="7871" xr:uid="{00000000-0005-0000-0000-000077220000}"/>
    <cellStyle name="40% - Énfasis6 10 2" xfId="30517" xr:uid="{00000000-0005-0000-0000-000078220000}"/>
    <cellStyle name="40% - Énfasis6 11" xfId="22762" xr:uid="{00000000-0005-0000-0000-000079220000}"/>
    <cellStyle name="40% - Énfasis6 12" xfId="45464" xr:uid="{00000000-0005-0000-0000-00007A220000}"/>
    <cellStyle name="40% - Énfasis6 13" xfId="45505" xr:uid="{00000000-0005-0000-0000-00007B220000}"/>
    <cellStyle name="40% - Énfasis6 2" xfId="24" xr:uid="{00000000-0005-0000-0000-00007C220000}"/>
    <cellStyle name="40% - Énfasis6 2 10" xfId="22775" xr:uid="{00000000-0005-0000-0000-00007D220000}"/>
    <cellStyle name="40% - Énfasis6 2 2" xfId="108" xr:uid="{00000000-0005-0000-0000-00007E220000}"/>
    <cellStyle name="40% - Énfasis6 2 2 2" xfId="191" xr:uid="{00000000-0005-0000-0000-00007F220000}"/>
    <cellStyle name="40% - Énfasis6 2 2 2 2" xfId="352" xr:uid="{00000000-0005-0000-0000-000080220000}"/>
    <cellStyle name="40% - Énfasis6 2 2 2 2 2" xfId="2179" xr:uid="{00000000-0005-0000-0000-000081220000}"/>
    <cellStyle name="40% - Énfasis6 2 2 2 2 2 2" xfId="4029" xr:uid="{00000000-0005-0000-0000-000082220000}"/>
    <cellStyle name="40% - Énfasis6 2 2 2 2 2 2 2" xfId="7750" xr:uid="{00000000-0005-0000-0000-000083220000}"/>
    <cellStyle name="40% - Énfasis6 2 2 2 2 2 2 2 2" xfId="22634" xr:uid="{00000000-0005-0000-0000-000084220000}"/>
    <cellStyle name="40% - Énfasis6 2 2 2 2 2 2 2 2 2" xfId="45277" xr:uid="{00000000-0005-0000-0000-000085220000}"/>
    <cellStyle name="40% - Énfasis6 2 2 2 2 2 2 2 3" xfId="15194" xr:uid="{00000000-0005-0000-0000-000086220000}"/>
    <cellStyle name="40% - Énfasis6 2 2 2 2 2 2 2 3 2" xfId="37837" xr:uid="{00000000-0005-0000-0000-000087220000}"/>
    <cellStyle name="40% - Énfasis6 2 2 2 2 2 2 2 4" xfId="30396" xr:uid="{00000000-0005-0000-0000-000088220000}"/>
    <cellStyle name="40% - Énfasis6 2 2 2 2 2 2 3" xfId="18916" xr:uid="{00000000-0005-0000-0000-000089220000}"/>
    <cellStyle name="40% - Énfasis6 2 2 2 2 2 2 3 2" xfId="41559" xr:uid="{00000000-0005-0000-0000-00008A220000}"/>
    <cellStyle name="40% - Énfasis6 2 2 2 2 2 2 4" xfId="11476" xr:uid="{00000000-0005-0000-0000-00008B220000}"/>
    <cellStyle name="40% - Énfasis6 2 2 2 2 2 2 4 2" xfId="34119" xr:uid="{00000000-0005-0000-0000-00008C220000}"/>
    <cellStyle name="40% - Énfasis6 2 2 2 2 2 2 5" xfId="26678" xr:uid="{00000000-0005-0000-0000-00008D220000}"/>
    <cellStyle name="40% - Énfasis6 2 2 2 2 2 3" xfId="5903" xr:uid="{00000000-0005-0000-0000-00008E220000}"/>
    <cellStyle name="40% - Énfasis6 2 2 2 2 2 3 2" xfId="20787" xr:uid="{00000000-0005-0000-0000-00008F220000}"/>
    <cellStyle name="40% - Énfasis6 2 2 2 2 2 3 2 2" xfId="43430" xr:uid="{00000000-0005-0000-0000-000090220000}"/>
    <cellStyle name="40% - Énfasis6 2 2 2 2 2 3 3" xfId="13347" xr:uid="{00000000-0005-0000-0000-000091220000}"/>
    <cellStyle name="40% - Énfasis6 2 2 2 2 2 3 3 2" xfId="35990" xr:uid="{00000000-0005-0000-0000-000092220000}"/>
    <cellStyle name="40% - Énfasis6 2 2 2 2 2 3 4" xfId="28549" xr:uid="{00000000-0005-0000-0000-000093220000}"/>
    <cellStyle name="40% - Énfasis6 2 2 2 2 2 4" xfId="17069" xr:uid="{00000000-0005-0000-0000-000094220000}"/>
    <cellStyle name="40% - Énfasis6 2 2 2 2 2 4 2" xfId="39712" xr:uid="{00000000-0005-0000-0000-000095220000}"/>
    <cellStyle name="40% - Énfasis6 2 2 2 2 2 5" xfId="9629" xr:uid="{00000000-0005-0000-0000-000096220000}"/>
    <cellStyle name="40% - Énfasis6 2 2 2 2 2 5 2" xfId="32272" xr:uid="{00000000-0005-0000-0000-000097220000}"/>
    <cellStyle name="40% - Énfasis6 2 2 2 2 2 6" xfId="24831" xr:uid="{00000000-0005-0000-0000-000098220000}"/>
    <cellStyle name="40% - Énfasis6 2 2 2 2 3" xfId="3104" xr:uid="{00000000-0005-0000-0000-000099220000}"/>
    <cellStyle name="40% - Énfasis6 2 2 2 2 3 2" xfId="6825" xr:uid="{00000000-0005-0000-0000-00009A220000}"/>
    <cellStyle name="40% - Énfasis6 2 2 2 2 3 2 2" xfId="21709" xr:uid="{00000000-0005-0000-0000-00009B220000}"/>
    <cellStyle name="40% - Énfasis6 2 2 2 2 3 2 2 2" xfId="44352" xr:uid="{00000000-0005-0000-0000-00009C220000}"/>
    <cellStyle name="40% - Énfasis6 2 2 2 2 3 2 3" xfId="14269" xr:uid="{00000000-0005-0000-0000-00009D220000}"/>
    <cellStyle name="40% - Énfasis6 2 2 2 2 3 2 3 2" xfId="36912" xr:uid="{00000000-0005-0000-0000-00009E220000}"/>
    <cellStyle name="40% - Énfasis6 2 2 2 2 3 2 4" xfId="29471" xr:uid="{00000000-0005-0000-0000-00009F220000}"/>
    <cellStyle name="40% - Énfasis6 2 2 2 2 3 3" xfId="17991" xr:uid="{00000000-0005-0000-0000-0000A0220000}"/>
    <cellStyle name="40% - Énfasis6 2 2 2 2 3 3 2" xfId="40634" xr:uid="{00000000-0005-0000-0000-0000A1220000}"/>
    <cellStyle name="40% - Énfasis6 2 2 2 2 3 4" xfId="10551" xr:uid="{00000000-0005-0000-0000-0000A2220000}"/>
    <cellStyle name="40% - Énfasis6 2 2 2 2 3 4 2" xfId="33194" xr:uid="{00000000-0005-0000-0000-0000A3220000}"/>
    <cellStyle name="40% - Énfasis6 2 2 2 2 3 5" xfId="25753" xr:uid="{00000000-0005-0000-0000-0000A4220000}"/>
    <cellStyle name="40% - Énfasis6 2 2 2 2 4" xfId="4978" xr:uid="{00000000-0005-0000-0000-0000A5220000}"/>
    <cellStyle name="40% - Énfasis6 2 2 2 2 4 2" xfId="19862" xr:uid="{00000000-0005-0000-0000-0000A6220000}"/>
    <cellStyle name="40% - Énfasis6 2 2 2 2 4 2 2" xfId="42505" xr:uid="{00000000-0005-0000-0000-0000A7220000}"/>
    <cellStyle name="40% - Énfasis6 2 2 2 2 4 3" xfId="12422" xr:uid="{00000000-0005-0000-0000-0000A8220000}"/>
    <cellStyle name="40% - Énfasis6 2 2 2 2 4 3 2" xfId="35065" xr:uid="{00000000-0005-0000-0000-0000A9220000}"/>
    <cellStyle name="40% - Énfasis6 2 2 2 2 4 4" xfId="27624" xr:uid="{00000000-0005-0000-0000-0000AA220000}"/>
    <cellStyle name="40% - Énfasis6 2 2 2 2 5" xfId="1251" xr:uid="{00000000-0005-0000-0000-0000AB220000}"/>
    <cellStyle name="40% - Énfasis6 2 2 2 2 5 2" xfId="16144" xr:uid="{00000000-0005-0000-0000-0000AC220000}"/>
    <cellStyle name="40% - Énfasis6 2 2 2 2 5 2 2" xfId="38787" xr:uid="{00000000-0005-0000-0000-0000AD220000}"/>
    <cellStyle name="40% - Énfasis6 2 2 2 2 5 3" xfId="23906" xr:uid="{00000000-0005-0000-0000-0000AE220000}"/>
    <cellStyle name="40% - Énfasis6 2 2 2 2 6" xfId="8704" xr:uid="{00000000-0005-0000-0000-0000AF220000}"/>
    <cellStyle name="40% - Énfasis6 2 2 2 2 6 2" xfId="31347" xr:uid="{00000000-0005-0000-0000-0000B0220000}"/>
    <cellStyle name="40% - Énfasis6 2 2 2 2 7" xfId="23050" xr:uid="{00000000-0005-0000-0000-0000B1220000}"/>
    <cellStyle name="40% - Énfasis6 2 2 2 3" xfId="1717" xr:uid="{00000000-0005-0000-0000-0000B2220000}"/>
    <cellStyle name="40% - Énfasis6 2 2 2 3 2" xfId="3567" xr:uid="{00000000-0005-0000-0000-0000B3220000}"/>
    <cellStyle name="40% - Énfasis6 2 2 2 3 2 2" xfId="7288" xr:uid="{00000000-0005-0000-0000-0000B4220000}"/>
    <cellStyle name="40% - Énfasis6 2 2 2 3 2 2 2" xfId="22172" xr:uid="{00000000-0005-0000-0000-0000B5220000}"/>
    <cellStyle name="40% - Énfasis6 2 2 2 3 2 2 2 2" xfId="44815" xr:uid="{00000000-0005-0000-0000-0000B6220000}"/>
    <cellStyle name="40% - Énfasis6 2 2 2 3 2 2 3" xfId="14732" xr:uid="{00000000-0005-0000-0000-0000B7220000}"/>
    <cellStyle name="40% - Énfasis6 2 2 2 3 2 2 3 2" xfId="37375" xr:uid="{00000000-0005-0000-0000-0000B8220000}"/>
    <cellStyle name="40% - Énfasis6 2 2 2 3 2 2 4" xfId="29934" xr:uid="{00000000-0005-0000-0000-0000B9220000}"/>
    <cellStyle name="40% - Énfasis6 2 2 2 3 2 3" xfId="18454" xr:uid="{00000000-0005-0000-0000-0000BA220000}"/>
    <cellStyle name="40% - Énfasis6 2 2 2 3 2 3 2" xfId="41097" xr:uid="{00000000-0005-0000-0000-0000BB220000}"/>
    <cellStyle name="40% - Énfasis6 2 2 2 3 2 4" xfId="11014" xr:uid="{00000000-0005-0000-0000-0000BC220000}"/>
    <cellStyle name="40% - Énfasis6 2 2 2 3 2 4 2" xfId="33657" xr:uid="{00000000-0005-0000-0000-0000BD220000}"/>
    <cellStyle name="40% - Énfasis6 2 2 2 3 2 5" xfId="26216" xr:uid="{00000000-0005-0000-0000-0000BE220000}"/>
    <cellStyle name="40% - Énfasis6 2 2 2 3 3" xfId="5441" xr:uid="{00000000-0005-0000-0000-0000BF220000}"/>
    <cellStyle name="40% - Énfasis6 2 2 2 3 3 2" xfId="20325" xr:uid="{00000000-0005-0000-0000-0000C0220000}"/>
    <cellStyle name="40% - Énfasis6 2 2 2 3 3 2 2" xfId="42968" xr:uid="{00000000-0005-0000-0000-0000C1220000}"/>
    <cellStyle name="40% - Énfasis6 2 2 2 3 3 3" xfId="12885" xr:uid="{00000000-0005-0000-0000-0000C2220000}"/>
    <cellStyle name="40% - Énfasis6 2 2 2 3 3 3 2" xfId="35528" xr:uid="{00000000-0005-0000-0000-0000C3220000}"/>
    <cellStyle name="40% - Énfasis6 2 2 2 3 3 4" xfId="28087" xr:uid="{00000000-0005-0000-0000-0000C4220000}"/>
    <cellStyle name="40% - Énfasis6 2 2 2 3 4" xfId="16607" xr:uid="{00000000-0005-0000-0000-0000C5220000}"/>
    <cellStyle name="40% - Énfasis6 2 2 2 3 4 2" xfId="39250" xr:uid="{00000000-0005-0000-0000-0000C6220000}"/>
    <cellStyle name="40% - Énfasis6 2 2 2 3 5" xfId="9167" xr:uid="{00000000-0005-0000-0000-0000C7220000}"/>
    <cellStyle name="40% - Énfasis6 2 2 2 3 5 2" xfId="31810" xr:uid="{00000000-0005-0000-0000-0000C8220000}"/>
    <cellStyle name="40% - Énfasis6 2 2 2 3 6" xfId="24369" xr:uid="{00000000-0005-0000-0000-0000C9220000}"/>
    <cellStyle name="40% - Énfasis6 2 2 2 4" xfId="2642" xr:uid="{00000000-0005-0000-0000-0000CA220000}"/>
    <cellStyle name="40% - Énfasis6 2 2 2 4 2" xfId="6363" xr:uid="{00000000-0005-0000-0000-0000CB220000}"/>
    <cellStyle name="40% - Énfasis6 2 2 2 4 2 2" xfId="21247" xr:uid="{00000000-0005-0000-0000-0000CC220000}"/>
    <cellStyle name="40% - Énfasis6 2 2 2 4 2 2 2" xfId="43890" xr:uid="{00000000-0005-0000-0000-0000CD220000}"/>
    <cellStyle name="40% - Énfasis6 2 2 2 4 2 3" xfId="13807" xr:uid="{00000000-0005-0000-0000-0000CE220000}"/>
    <cellStyle name="40% - Énfasis6 2 2 2 4 2 3 2" xfId="36450" xr:uid="{00000000-0005-0000-0000-0000CF220000}"/>
    <cellStyle name="40% - Énfasis6 2 2 2 4 2 4" xfId="29009" xr:uid="{00000000-0005-0000-0000-0000D0220000}"/>
    <cellStyle name="40% - Énfasis6 2 2 2 4 3" xfId="17529" xr:uid="{00000000-0005-0000-0000-0000D1220000}"/>
    <cellStyle name="40% - Énfasis6 2 2 2 4 3 2" xfId="40172" xr:uid="{00000000-0005-0000-0000-0000D2220000}"/>
    <cellStyle name="40% - Énfasis6 2 2 2 4 4" xfId="10089" xr:uid="{00000000-0005-0000-0000-0000D3220000}"/>
    <cellStyle name="40% - Énfasis6 2 2 2 4 4 2" xfId="32732" xr:uid="{00000000-0005-0000-0000-0000D4220000}"/>
    <cellStyle name="40% - Énfasis6 2 2 2 4 5" xfId="25291" xr:uid="{00000000-0005-0000-0000-0000D5220000}"/>
    <cellStyle name="40% - Énfasis6 2 2 2 5" xfId="4516" xr:uid="{00000000-0005-0000-0000-0000D6220000}"/>
    <cellStyle name="40% - Énfasis6 2 2 2 5 2" xfId="19400" xr:uid="{00000000-0005-0000-0000-0000D7220000}"/>
    <cellStyle name="40% - Énfasis6 2 2 2 5 2 2" xfId="42043" xr:uid="{00000000-0005-0000-0000-0000D8220000}"/>
    <cellStyle name="40% - Énfasis6 2 2 2 5 3" xfId="11960" xr:uid="{00000000-0005-0000-0000-0000D9220000}"/>
    <cellStyle name="40% - Énfasis6 2 2 2 5 3 2" xfId="34603" xr:uid="{00000000-0005-0000-0000-0000DA220000}"/>
    <cellStyle name="40% - Énfasis6 2 2 2 5 4" xfId="27162" xr:uid="{00000000-0005-0000-0000-0000DB220000}"/>
    <cellStyle name="40% - Énfasis6 2 2 2 6" xfId="786" xr:uid="{00000000-0005-0000-0000-0000DC220000}"/>
    <cellStyle name="40% - Énfasis6 2 2 2 6 2" xfId="15682" xr:uid="{00000000-0005-0000-0000-0000DD220000}"/>
    <cellStyle name="40% - Énfasis6 2 2 2 6 2 2" xfId="38325" xr:uid="{00000000-0005-0000-0000-0000DE220000}"/>
    <cellStyle name="40% - Énfasis6 2 2 2 6 3" xfId="23444" xr:uid="{00000000-0005-0000-0000-0000DF220000}"/>
    <cellStyle name="40% - Énfasis6 2 2 2 7" xfId="8242" xr:uid="{00000000-0005-0000-0000-0000E0220000}"/>
    <cellStyle name="40% - Énfasis6 2 2 2 7 2" xfId="30885" xr:uid="{00000000-0005-0000-0000-0000E1220000}"/>
    <cellStyle name="40% - Énfasis6 2 2 2 8" xfId="22894" xr:uid="{00000000-0005-0000-0000-0000E2220000}"/>
    <cellStyle name="40% - Énfasis6 2 2 3" xfId="274" xr:uid="{00000000-0005-0000-0000-0000E3220000}"/>
    <cellStyle name="40% - Énfasis6 2 2 3 2" xfId="1968" xr:uid="{00000000-0005-0000-0000-0000E4220000}"/>
    <cellStyle name="40% - Énfasis6 2 2 3 2 2" xfId="3818" xr:uid="{00000000-0005-0000-0000-0000E5220000}"/>
    <cellStyle name="40% - Énfasis6 2 2 3 2 2 2" xfId="7539" xr:uid="{00000000-0005-0000-0000-0000E6220000}"/>
    <cellStyle name="40% - Énfasis6 2 2 3 2 2 2 2" xfId="22423" xr:uid="{00000000-0005-0000-0000-0000E7220000}"/>
    <cellStyle name="40% - Énfasis6 2 2 3 2 2 2 2 2" xfId="45066" xr:uid="{00000000-0005-0000-0000-0000E8220000}"/>
    <cellStyle name="40% - Énfasis6 2 2 3 2 2 2 3" xfId="14983" xr:uid="{00000000-0005-0000-0000-0000E9220000}"/>
    <cellStyle name="40% - Énfasis6 2 2 3 2 2 2 3 2" xfId="37626" xr:uid="{00000000-0005-0000-0000-0000EA220000}"/>
    <cellStyle name="40% - Énfasis6 2 2 3 2 2 2 4" xfId="30185" xr:uid="{00000000-0005-0000-0000-0000EB220000}"/>
    <cellStyle name="40% - Énfasis6 2 2 3 2 2 3" xfId="18705" xr:uid="{00000000-0005-0000-0000-0000EC220000}"/>
    <cellStyle name="40% - Énfasis6 2 2 3 2 2 3 2" xfId="41348" xr:uid="{00000000-0005-0000-0000-0000ED220000}"/>
    <cellStyle name="40% - Énfasis6 2 2 3 2 2 4" xfId="11265" xr:uid="{00000000-0005-0000-0000-0000EE220000}"/>
    <cellStyle name="40% - Énfasis6 2 2 3 2 2 4 2" xfId="33908" xr:uid="{00000000-0005-0000-0000-0000EF220000}"/>
    <cellStyle name="40% - Énfasis6 2 2 3 2 2 5" xfId="26467" xr:uid="{00000000-0005-0000-0000-0000F0220000}"/>
    <cellStyle name="40% - Énfasis6 2 2 3 2 3" xfId="5692" xr:uid="{00000000-0005-0000-0000-0000F1220000}"/>
    <cellStyle name="40% - Énfasis6 2 2 3 2 3 2" xfId="20576" xr:uid="{00000000-0005-0000-0000-0000F2220000}"/>
    <cellStyle name="40% - Énfasis6 2 2 3 2 3 2 2" xfId="43219" xr:uid="{00000000-0005-0000-0000-0000F3220000}"/>
    <cellStyle name="40% - Énfasis6 2 2 3 2 3 3" xfId="13136" xr:uid="{00000000-0005-0000-0000-0000F4220000}"/>
    <cellStyle name="40% - Énfasis6 2 2 3 2 3 3 2" xfId="35779" xr:uid="{00000000-0005-0000-0000-0000F5220000}"/>
    <cellStyle name="40% - Énfasis6 2 2 3 2 3 4" xfId="28338" xr:uid="{00000000-0005-0000-0000-0000F6220000}"/>
    <cellStyle name="40% - Énfasis6 2 2 3 2 4" xfId="16858" xr:uid="{00000000-0005-0000-0000-0000F7220000}"/>
    <cellStyle name="40% - Énfasis6 2 2 3 2 4 2" xfId="39501" xr:uid="{00000000-0005-0000-0000-0000F8220000}"/>
    <cellStyle name="40% - Énfasis6 2 2 3 2 5" xfId="9418" xr:uid="{00000000-0005-0000-0000-0000F9220000}"/>
    <cellStyle name="40% - Énfasis6 2 2 3 2 5 2" xfId="32061" xr:uid="{00000000-0005-0000-0000-0000FA220000}"/>
    <cellStyle name="40% - Énfasis6 2 2 3 2 6" xfId="24620" xr:uid="{00000000-0005-0000-0000-0000FB220000}"/>
    <cellStyle name="40% - Énfasis6 2 2 3 3" xfId="2893" xr:uid="{00000000-0005-0000-0000-0000FC220000}"/>
    <cellStyle name="40% - Énfasis6 2 2 3 3 2" xfId="6614" xr:uid="{00000000-0005-0000-0000-0000FD220000}"/>
    <cellStyle name="40% - Énfasis6 2 2 3 3 2 2" xfId="21498" xr:uid="{00000000-0005-0000-0000-0000FE220000}"/>
    <cellStyle name="40% - Énfasis6 2 2 3 3 2 2 2" xfId="44141" xr:uid="{00000000-0005-0000-0000-0000FF220000}"/>
    <cellStyle name="40% - Énfasis6 2 2 3 3 2 3" xfId="14058" xr:uid="{00000000-0005-0000-0000-000000230000}"/>
    <cellStyle name="40% - Énfasis6 2 2 3 3 2 3 2" xfId="36701" xr:uid="{00000000-0005-0000-0000-000001230000}"/>
    <cellStyle name="40% - Énfasis6 2 2 3 3 2 4" xfId="29260" xr:uid="{00000000-0005-0000-0000-000002230000}"/>
    <cellStyle name="40% - Énfasis6 2 2 3 3 3" xfId="17780" xr:uid="{00000000-0005-0000-0000-000003230000}"/>
    <cellStyle name="40% - Énfasis6 2 2 3 3 3 2" xfId="40423" xr:uid="{00000000-0005-0000-0000-000004230000}"/>
    <cellStyle name="40% - Énfasis6 2 2 3 3 4" xfId="10340" xr:uid="{00000000-0005-0000-0000-000005230000}"/>
    <cellStyle name="40% - Énfasis6 2 2 3 3 4 2" xfId="32983" xr:uid="{00000000-0005-0000-0000-000006230000}"/>
    <cellStyle name="40% - Énfasis6 2 2 3 3 5" xfId="25542" xr:uid="{00000000-0005-0000-0000-000007230000}"/>
    <cellStyle name="40% - Énfasis6 2 2 3 4" xfId="4767" xr:uid="{00000000-0005-0000-0000-000008230000}"/>
    <cellStyle name="40% - Énfasis6 2 2 3 4 2" xfId="19651" xr:uid="{00000000-0005-0000-0000-000009230000}"/>
    <cellStyle name="40% - Énfasis6 2 2 3 4 2 2" xfId="42294" xr:uid="{00000000-0005-0000-0000-00000A230000}"/>
    <cellStyle name="40% - Énfasis6 2 2 3 4 3" xfId="12211" xr:uid="{00000000-0005-0000-0000-00000B230000}"/>
    <cellStyle name="40% - Énfasis6 2 2 3 4 3 2" xfId="34854" xr:uid="{00000000-0005-0000-0000-00000C230000}"/>
    <cellStyle name="40% - Énfasis6 2 2 3 4 4" xfId="27413" xr:uid="{00000000-0005-0000-0000-00000D230000}"/>
    <cellStyle name="40% - Énfasis6 2 2 3 5" xfId="1040" xr:uid="{00000000-0005-0000-0000-00000E230000}"/>
    <cellStyle name="40% - Énfasis6 2 2 3 5 2" xfId="15933" xr:uid="{00000000-0005-0000-0000-00000F230000}"/>
    <cellStyle name="40% - Énfasis6 2 2 3 5 2 2" xfId="38576" xr:uid="{00000000-0005-0000-0000-000010230000}"/>
    <cellStyle name="40% - Énfasis6 2 2 3 5 3" xfId="23695" xr:uid="{00000000-0005-0000-0000-000011230000}"/>
    <cellStyle name="40% - Énfasis6 2 2 3 6" xfId="8493" xr:uid="{00000000-0005-0000-0000-000012230000}"/>
    <cellStyle name="40% - Énfasis6 2 2 3 6 2" xfId="31136" xr:uid="{00000000-0005-0000-0000-000013230000}"/>
    <cellStyle name="40% - Énfasis6 2 2 3 7" xfId="22972" xr:uid="{00000000-0005-0000-0000-000014230000}"/>
    <cellStyle name="40% - Énfasis6 2 2 4" xfId="1506" xr:uid="{00000000-0005-0000-0000-000015230000}"/>
    <cellStyle name="40% - Énfasis6 2 2 4 2" xfId="3356" xr:uid="{00000000-0005-0000-0000-000016230000}"/>
    <cellStyle name="40% - Énfasis6 2 2 4 2 2" xfId="7077" xr:uid="{00000000-0005-0000-0000-000017230000}"/>
    <cellStyle name="40% - Énfasis6 2 2 4 2 2 2" xfId="21961" xr:uid="{00000000-0005-0000-0000-000018230000}"/>
    <cellStyle name="40% - Énfasis6 2 2 4 2 2 2 2" xfId="44604" xr:uid="{00000000-0005-0000-0000-000019230000}"/>
    <cellStyle name="40% - Énfasis6 2 2 4 2 2 3" xfId="14521" xr:uid="{00000000-0005-0000-0000-00001A230000}"/>
    <cellStyle name="40% - Énfasis6 2 2 4 2 2 3 2" xfId="37164" xr:uid="{00000000-0005-0000-0000-00001B230000}"/>
    <cellStyle name="40% - Énfasis6 2 2 4 2 2 4" xfId="29723" xr:uid="{00000000-0005-0000-0000-00001C230000}"/>
    <cellStyle name="40% - Énfasis6 2 2 4 2 3" xfId="18243" xr:uid="{00000000-0005-0000-0000-00001D230000}"/>
    <cellStyle name="40% - Énfasis6 2 2 4 2 3 2" xfId="40886" xr:uid="{00000000-0005-0000-0000-00001E230000}"/>
    <cellStyle name="40% - Énfasis6 2 2 4 2 4" xfId="10803" xr:uid="{00000000-0005-0000-0000-00001F230000}"/>
    <cellStyle name="40% - Énfasis6 2 2 4 2 4 2" xfId="33446" xr:uid="{00000000-0005-0000-0000-000020230000}"/>
    <cellStyle name="40% - Énfasis6 2 2 4 2 5" xfId="26005" xr:uid="{00000000-0005-0000-0000-000021230000}"/>
    <cellStyle name="40% - Énfasis6 2 2 4 3" xfId="5230" xr:uid="{00000000-0005-0000-0000-000022230000}"/>
    <cellStyle name="40% - Énfasis6 2 2 4 3 2" xfId="20114" xr:uid="{00000000-0005-0000-0000-000023230000}"/>
    <cellStyle name="40% - Énfasis6 2 2 4 3 2 2" xfId="42757" xr:uid="{00000000-0005-0000-0000-000024230000}"/>
    <cellStyle name="40% - Énfasis6 2 2 4 3 3" xfId="12674" xr:uid="{00000000-0005-0000-0000-000025230000}"/>
    <cellStyle name="40% - Énfasis6 2 2 4 3 3 2" xfId="35317" xr:uid="{00000000-0005-0000-0000-000026230000}"/>
    <cellStyle name="40% - Énfasis6 2 2 4 3 4" xfId="27876" xr:uid="{00000000-0005-0000-0000-000027230000}"/>
    <cellStyle name="40% - Énfasis6 2 2 4 4" xfId="16396" xr:uid="{00000000-0005-0000-0000-000028230000}"/>
    <cellStyle name="40% - Énfasis6 2 2 4 4 2" xfId="39039" xr:uid="{00000000-0005-0000-0000-000029230000}"/>
    <cellStyle name="40% - Énfasis6 2 2 4 5" xfId="8956" xr:uid="{00000000-0005-0000-0000-00002A230000}"/>
    <cellStyle name="40% - Énfasis6 2 2 4 5 2" xfId="31599" xr:uid="{00000000-0005-0000-0000-00002B230000}"/>
    <cellStyle name="40% - Énfasis6 2 2 4 6" xfId="24158" xr:uid="{00000000-0005-0000-0000-00002C230000}"/>
    <cellStyle name="40% - Énfasis6 2 2 5" xfId="2431" xr:uid="{00000000-0005-0000-0000-00002D230000}"/>
    <cellStyle name="40% - Énfasis6 2 2 5 2" xfId="6152" xr:uid="{00000000-0005-0000-0000-00002E230000}"/>
    <cellStyle name="40% - Énfasis6 2 2 5 2 2" xfId="21036" xr:uid="{00000000-0005-0000-0000-00002F230000}"/>
    <cellStyle name="40% - Énfasis6 2 2 5 2 2 2" xfId="43679" xr:uid="{00000000-0005-0000-0000-000030230000}"/>
    <cellStyle name="40% - Énfasis6 2 2 5 2 3" xfId="13596" xr:uid="{00000000-0005-0000-0000-000031230000}"/>
    <cellStyle name="40% - Énfasis6 2 2 5 2 3 2" xfId="36239" xr:uid="{00000000-0005-0000-0000-000032230000}"/>
    <cellStyle name="40% - Énfasis6 2 2 5 2 4" xfId="28798" xr:uid="{00000000-0005-0000-0000-000033230000}"/>
    <cellStyle name="40% - Énfasis6 2 2 5 3" xfId="17318" xr:uid="{00000000-0005-0000-0000-000034230000}"/>
    <cellStyle name="40% - Énfasis6 2 2 5 3 2" xfId="39961" xr:uid="{00000000-0005-0000-0000-000035230000}"/>
    <cellStyle name="40% - Énfasis6 2 2 5 4" xfId="9878" xr:uid="{00000000-0005-0000-0000-000036230000}"/>
    <cellStyle name="40% - Énfasis6 2 2 5 4 2" xfId="32521" xr:uid="{00000000-0005-0000-0000-000037230000}"/>
    <cellStyle name="40% - Énfasis6 2 2 5 5" xfId="25080" xr:uid="{00000000-0005-0000-0000-000038230000}"/>
    <cellStyle name="40% - Énfasis6 2 2 6" xfId="4305" xr:uid="{00000000-0005-0000-0000-000039230000}"/>
    <cellStyle name="40% - Énfasis6 2 2 6 2" xfId="19189" xr:uid="{00000000-0005-0000-0000-00003A230000}"/>
    <cellStyle name="40% - Énfasis6 2 2 6 2 2" xfId="41832" xr:uid="{00000000-0005-0000-0000-00003B230000}"/>
    <cellStyle name="40% - Énfasis6 2 2 6 3" xfId="11749" xr:uid="{00000000-0005-0000-0000-00003C230000}"/>
    <cellStyle name="40% - Énfasis6 2 2 6 3 2" xfId="34392" xr:uid="{00000000-0005-0000-0000-00003D230000}"/>
    <cellStyle name="40% - Énfasis6 2 2 6 4" xfId="26951" xr:uid="{00000000-0005-0000-0000-00003E230000}"/>
    <cellStyle name="40% - Énfasis6 2 2 7" xfId="574" xr:uid="{00000000-0005-0000-0000-00003F230000}"/>
    <cellStyle name="40% - Énfasis6 2 2 7 2" xfId="15471" xr:uid="{00000000-0005-0000-0000-000040230000}"/>
    <cellStyle name="40% - Énfasis6 2 2 7 2 2" xfId="38114" xr:uid="{00000000-0005-0000-0000-000041230000}"/>
    <cellStyle name="40% - Énfasis6 2 2 7 3" xfId="23234" xr:uid="{00000000-0005-0000-0000-000042230000}"/>
    <cellStyle name="40% - Énfasis6 2 2 8" xfId="8031" xr:uid="{00000000-0005-0000-0000-000043230000}"/>
    <cellStyle name="40% - Énfasis6 2 2 8 2" xfId="30674" xr:uid="{00000000-0005-0000-0000-000044230000}"/>
    <cellStyle name="40% - Énfasis6 2 2 9" xfId="22816" xr:uid="{00000000-0005-0000-0000-000045230000}"/>
    <cellStyle name="40% - Énfasis6 2 3" xfId="150" xr:uid="{00000000-0005-0000-0000-000046230000}"/>
    <cellStyle name="40% - Énfasis6 2 3 2" xfId="313" xr:uid="{00000000-0005-0000-0000-000047230000}"/>
    <cellStyle name="40% - Énfasis6 2 3 2 2" xfId="2074" xr:uid="{00000000-0005-0000-0000-000048230000}"/>
    <cellStyle name="40% - Énfasis6 2 3 2 2 2" xfId="3924" xr:uid="{00000000-0005-0000-0000-000049230000}"/>
    <cellStyle name="40% - Énfasis6 2 3 2 2 2 2" xfId="7645" xr:uid="{00000000-0005-0000-0000-00004A230000}"/>
    <cellStyle name="40% - Énfasis6 2 3 2 2 2 2 2" xfId="22529" xr:uid="{00000000-0005-0000-0000-00004B230000}"/>
    <cellStyle name="40% - Énfasis6 2 3 2 2 2 2 2 2" xfId="45172" xr:uid="{00000000-0005-0000-0000-00004C230000}"/>
    <cellStyle name="40% - Énfasis6 2 3 2 2 2 2 3" xfId="15089" xr:uid="{00000000-0005-0000-0000-00004D230000}"/>
    <cellStyle name="40% - Énfasis6 2 3 2 2 2 2 3 2" xfId="37732" xr:uid="{00000000-0005-0000-0000-00004E230000}"/>
    <cellStyle name="40% - Énfasis6 2 3 2 2 2 2 4" xfId="30291" xr:uid="{00000000-0005-0000-0000-00004F230000}"/>
    <cellStyle name="40% - Énfasis6 2 3 2 2 2 3" xfId="18811" xr:uid="{00000000-0005-0000-0000-000050230000}"/>
    <cellStyle name="40% - Énfasis6 2 3 2 2 2 3 2" xfId="41454" xr:uid="{00000000-0005-0000-0000-000051230000}"/>
    <cellStyle name="40% - Énfasis6 2 3 2 2 2 4" xfId="11371" xr:uid="{00000000-0005-0000-0000-000052230000}"/>
    <cellStyle name="40% - Énfasis6 2 3 2 2 2 4 2" xfId="34014" xr:uid="{00000000-0005-0000-0000-000053230000}"/>
    <cellStyle name="40% - Énfasis6 2 3 2 2 2 5" xfId="26573" xr:uid="{00000000-0005-0000-0000-000054230000}"/>
    <cellStyle name="40% - Énfasis6 2 3 2 2 3" xfId="5798" xr:uid="{00000000-0005-0000-0000-000055230000}"/>
    <cellStyle name="40% - Énfasis6 2 3 2 2 3 2" xfId="20682" xr:uid="{00000000-0005-0000-0000-000056230000}"/>
    <cellStyle name="40% - Énfasis6 2 3 2 2 3 2 2" xfId="43325" xr:uid="{00000000-0005-0000-0000-000057230000}"/>
    <cellStyle name="40% - Énfasis6 2 3 2 2 3 3" xfId="13242" xr:uid="{00000000-0005-0000-0000-000058230000}"/>
    <cellStyle name="40% - Énfasis6 2 3 2 2 3 3 2" xfId="35885" xr:uid="{00000000-0005-0000-0000-000059230000}"/>
    <cellStyle name="40% - Énfasis6 2 3 2 2 3 4" xfId="28444" xr:uid="{00000000-0005-0000-0000-00005A230000}"/>
    <cellStyle name="40% - Énfasis6 2 3 2 2 4" xfId="16964" xr:uid="{00000000-0005-0000-0000-00005B230000}"/>
    <cellStyle name="40% - Énfasis6 2 3 2 2 4 2" xfId="39607" xr:uid="{00000000-0005-0000-0000-00005C230000}"/>
    <cellStyle name="40% - Énfasis6 2 3 2 2 5" xfId="9524" xr:uid="{00000000-0005-0000-0000-00005D230000}"/>
    <cellStyle name="40% - Énfasis6 2 3 2 2 5 2" xfId="32167" xr:uid="{00000000-0005-0000-0000-00005E230000}"/>
    <cellStyle name="40% - Énfasis6 2 3 2 2 6" xfId="24726" xr:uid="{00000000-0005-0000-0000-00005F230000}"/>
    <cellStyle name="40% - Énfasis6 2 3 2 3" xfId="2999" xr:uid="{00000000-0005-0000-0000-000060230000}"/>
    <cellStyle name="40% - Énfasis6 2 3 2 3 2" xfId="6720" xr:uid="{00000000-0005-0000-0000-000061230000}"/>
    <cellStyle name="40% - Énfasis6 2 3 2 3 2 2" xfId="21604" xr:uid="{00000000-0005-0000-0000-000062230000}"/>
    <cellStyle name="40% - Énfasis6 2 3 2 3 2 2 2" xfId="44247" xr:uid="{00000000-0005-0000-0000-000063230000}"/>
    <cellStyle name="40% - Énfasis6 2 3 2 3 2 3" xfId="14164" xr:uid="{00000000-0005-0000-0000-000064230000}"/>
    <cellStyle name="40% - Énfasis6 2 3 2 3 2 3 2" xfId="36807" xr:uid="{00000000-0005-0000-0000-000065230000}"/>
    <cellStyle name="40% - Énfasis6 2 3 2 3 2 4" xfId="29366" xr:uid="{00000000-0005-0000-0000-000066230000}"/>
    <cellStyle name="40% - Énfasis6 2 3 2 3 3" xfId="17886" xr:uid="{00000000-0005-0000-0000-000067230000}"/>
    <cellStyle name="40% - Énfasis6 2 3 2 3 3 2" xfId="40529" xr:uid="{00000000-0005-0000-0000-000068230000}"/>
    <cellStyle name="40% - Énfasis6 2 3 2 3 4" xfId="10446" xr:uid="{00000000-0005-0000-0000-000069230000}"/>
    <cellStyle name="40% - Énfasis6 2 3 2 3 4 2" xfId="33089" xr:uid="{00000000-0005-0000-0000-00006A230000}"/>
    <cellStyle name="40% - Énfasis6 2 3 2 3 5" xfId="25648" xr:uid="{00000000-0005-0000-0000-00006B230000}"/>
    <cellStyle name="40% - Énfasis6 2 3 2 4" xfId="4873" xr:uid="{00000000-0005-0000-0000-00006C230000}"/>
    <cellStyle name="40% - Énfasis6 2 3 2 4 2" xfId="19757" xr:uid="{00000000-0005-0000-0000-00006D230000}"/>
    <cellStyle name="40% - Énfasis6 2 3 2 4 2 2" xfId="42400" xr:uid="{00000000-0005-0000-0000-00006E230000}"/>
    <cellStyle name="40% - Énfasis6 2 3 2 4 3" xfId="12317" xr:uid="{00000000-0005-0000-0000-00006F230000}"/>
    <cellStyle name="40% - Énfasis6 2 3 2 4 3 2" xfId="34960" xr:uid="{00000000-0005-0000-0000-000070230000}"/>
    <cellStyle name="40% - Énfasis6 2 3 2 4 4" xfId="27519" xr:uid="{00000000-0005-0000-0000-000071230000}"/>
    <cellStyle name="40% - Énfasis6 2 3 2 5" xfId="1146" xr:uid="{00000000-0005-0000-0000-000072230000}"/>
    <cellStyle name="40% - Énfasis6 2 3 2 5 2" xfId="16039" xr:uid="{00000000-0005-0000-0000-000073230000}"/>
    <cellStyle name="40% - Énfasis6 2 3 2 5 2 2" xfId="38682" xr:uid="{00000000-0005-0000-0000-000074230000}"/>
    <cellStyle name="40% - Énfasis6 2 3 2 5 3" xfId="23801" xr:uid="{00000000-0005-0000-0000-000075230000}"/>
    <cellStyle name="40% - Énfasis6 2 3 2 6" xfId="8599" xr:uid="{00000000-0005-0000-0000-000076230000}"/>
    <cellStyle name="40% - Énfasis6 2 3 2 6 2" xfId="31242" xr:uid="{00000000-0005-0000-0000-000077230000}"/>
    <cellStyle name="40% - Énfasis6 2 3 2 7" xfId="23011" xr:uid="{00000000-0005-0000-0000-000078230000}"/>
    <cellStyle name="40% - Énfasis6 2 3 3" xfId="1612" xr:uid="{00000000-0005-0000-0000-000079230000}"/>
    <cellStyle name="40% - Énfasis6 2 3 3 2" xfId="3462" xr:uid="{00000000-0005-0000-0000-00007A230000}"/>
    <cellStyle name="40% - Énfasis6 2 3 3 2 2" xfId="7183" xr:uid="{00000000-0005-0000-0000-00007B230000}"/>
    <cellStyle name="40% - Énfasis6 2 3 3 2 2 2" xfId="22067" xr:uid="{00000000-0005-0000-0000-00007C230000}"/>
    <cellStyle name="40% - Énfasis6 2 3 3 2 2 2 2" xfId="44710" xr:uid="{00000000-0005-0000-0000-00007D230000}"/>
    <cellStyle name="40% - Énfasis6 2 3 3 2 2 3" xfId="14627" xr:uid="{00000000-0005-0000-0000-00007E230000}"/>
    <cellStyle name="40% - Énfasis6 2 3 3 2 2 3 2" xfId="37270" xr:uid="{00000000-0005-0000-0000-00007F230000}"/>
    <cellStyle name="40% - Énfasis6 2 3 3 2 2 4" xfId="29829" xr:uid="{00000000-0005-0000-0000-000080230000}"/>
    <cellStyle name="40% - Énfasis6 2 3 3 2 3" xfId="18349" xr:uid="{00000000-0005-0000-0000-000081230000}"/>
    <cellStyle name="40% - Énfasis6 2 3 3 2 3 2" xfId="40992" xr:uid="{00000000-0005-0000-0000-000082230000}"/>
    <cellStyle name="40% - Énfasis6 2 3 3 2 4" xfId="10909" xr:uid="{00000000-0005-0000-0000-000083230000}"/>
    <cellStyle name="40% - Énfasis6 2 3 3 2 4 2" xfId="33552" xr:uid="{00000000-0005-0000-0000-000084230000}"/>
    <cellStyle name="40% - Énfasis6 2 3 3 2 5" xfId="26111" xr:uid="{00000000-0005-0000-0000-000085230000}"/>
    <cellStyle name="40% - Énfasis6 2 3 3 3" xfId="5336" xr:uid="{00000000-0005-0000-0000-000086230000}"/>
    <cellStyle name="40% - Énfasis6 2 3 3 3 2" xfId="20220" xr:uid="{00000000-0005-0000-0000-000087230000}"/>
    <cellStyle name="40% - Énfasis6 2 3 3 3 2 2" xfId="42863" xr:uid="{00000000-0005-0000-0000-000088230000}"/>
    <cellStyle name="40% - Énfasis6 2 3 3 3 3" xfId="12780" xr:uid="{00000000-0005-0000-0000-000089230000}"/>
    <cellStyle name="40% - Énfasis6 2 3 3 3 3 2" xfId="35423" xr:uid="{00000000-0005-0000-0000-00008A230000}"/>
    <cellStyle name="40% - Énfasis6 2 3 3 3 4" xfId="27982" xr:uid="{00000000-0005-0000-0000-00008B230000}"/>
    <cellStyle name="40% - Énfasis6 2 3 3 4" xfId="16502" xr:uid="{00000000-0005-0000-0000-00008C230000}"/>
    <cellStyle name="40% - Énfasis6 2 3 3 4 2" xfId="39145" xr:uid="{00000000-0005-0000-0000-00008D230000}"/>
    <cellStyle name="40% - Énfasis6 2 3 3 5" xfId="9062" xr:uid="{00000000-0005-0000-0000-00008E230000}"/>
    <cellStyle name="40% - Énfasis6 2 3 3 5 2" xfId="31705" xr:uid="{00000000-0005-0000-0000-00008F230000}"/>
    <cellStyle name="40% - Énfasis6 2 3 3 6" xfId="24264" xr:uid="{00000000-0005-0000-0000-000090230000}"/>
    <cellStyle name="40% - Énfasis6 2 3 4" xfId="2537" xr:uid="{00000000-0005-0000-0000-000091230000}"/>
    <cellStyle name="40% - Énfasis6 2 3 4 2" xfId="6258" xr:uid="{00000000-0005-0000-0000-000092230000}"/>
    <cellStyle name="40% - Énfasis6 2 3 4 2 2" xfId="21142" xr:uid="{00000000-0005-0000-0000-000093230000}"/>
    <cellStyle name="40% - Énfasis6 2 3 4 2 2 2" xfId="43785" xr:uid="{00000000-0005-0000-0000-000094230000}"/>
    <cellStyle name="40% - Énfasis6 2 3 4 2 3" xfId="13702" xr:uid="{00000000-0005-0000-0000-000095230000}"/>
    <cellStyle name="40% - Énfasis6 2 3 4 2 3 2" xfId="36345" xr:uid="{00000000-0005-0000-0000-000096230000}"/>
    <cellStyle name="40% - Énfasis6 2 3 4 2 4" xfId="28904" xr:uid="{00000000-0005-0000-0000-000097230000}"/>
    <cellStyle name="40% - Énfasis6 2 3 4 3" xfId="17424" xr:uid="{00000000-0005-0000-0000-000098230000}"/>
    <cellStyle name="40% - Énfasis6 2 3 4 3 2" xfId="40067" xr:uid="{00000000-0005-0000-0000-000099230000}"/>
    <cellStyle name="40% - Énfasis6 2 3 4 4" xfId="9984" xr:uid="{00000000-0005-0000-0000-00009A230000}"/>
    <cellStyle name="40% - Énfasis6 2 3 4 4 2" xfId="32627" xr:uid="{00000000-0005-0000-0000-00009B230000}"/>
    <cellStyle name="40% - Énfasis6 2 3 4 5" xfId="25186" xr:uid="{00000000-0005-0000-0000-00009C230000}"/>
    <cellStyle name="40% - Énfasis6 2 3 5" xfId="4411" xr:uid="{00000000-0005-0000-0000-00009D230000}"/>
    <cellStyle name="40% - Énfasis6 2 3 5 2" xfId="19295" xr:uid="{00000000-0005-0000-0000-00009E230000}"/>
    <cellStyle name="40% - Énfasis6 2 3 5 2 2" xfId="41938" xr:uid="{00000000-0005-0000-0000-00009F230000}"/>
    <cellStyle name="40% - Énfasis6 2 3 5 3" xfId="11855" xr:uid="{00000000-0005-0000-0000-0000A0230000}"/>
    <cellStyle name="40% - Énfasis6 2 3 5 3 2" xfId="34498" xr:uid="{00000000-0005-0000-0000-0000A1230000}"/>
    <cellStyle name="40% - Énfasis6 2 3 5 4" xfId="27057" xr:uid="{00000000-0005-0000-0000-0000A2230000}"/>
    <cellStyle name="40% - Énfasis6 2 3 6" xfId="681" xr:uid="{00000000-0005-0000-0000-0000A3230000}"/>
    <cellStyle name="40% - Énfasis6 2 3 6 2" xfId="15577" xr:uid="{00000000-0005-0000-0000-0000A4230000}"/>
    <cellStyle name="40% - Énfasis6 2 3 6 2 2" xfId="38220" xr:uid="{00000000-0005-0000-0000-0000A5230000}"/>
    <cellStyle name="40% - Énfasis6 2 3 6 3" xfId="23339" xr:uid="{00000000-0005-0000-0000-0000A6230000}"/>
    <cellStyle name="40% - Énfasis6 2 3 7" xfId="8137" xr:uid="{00000000-0005-0000-0000-0000A7230000}"/>
    <cellStyle name="40% - Énfasis6 2 3 7 2" xfId="30780" xr:uid="{00000000-0005-0000-0000-0000A8230000}"/>
    <cellStyle name="40% - Énfasis6 2 3 8" xfId="22855" xr:uid="{00000000-0005-0000-0000-0000A9230000}"/>
    <cellStyle name="40% - Énfasis6 2 4" xfId="233" xr:uid="{00000000-0005-0000-0000-0000AA230000}"/>
    <cellStyle name="40% - Énfasis6 2 4 2" xfId="1863" xr:uid="{00000000-0005-0000-0000-0000AB230000}"/>
    <cellStyle name="40% - Énfasis6 2 4 2 2" xfId="3713" xr:uid="{00000000-0005-0000-0000-0000AC230000}"/>
    <cellStyle name="40% - Énfasis6 2 4 2 2 2" xfId="7434" xr:uid="{00000000-0005-0000-0000-0000AD230000}"/>
    <cellStyle name="40% - Énfasis6 2 4 2 2 2 2" xfId="22318" xr:uid="{00000000-0005-0000-0000-0000AE230000}"/>
    <cellStyle name="40% - Énfasis6 2 4 2 2 2 2 2" xfId="44961" xr:uid="{00000000-0005-0000-0000-0000AF230000}"/>
    <cellStyle name="40% - Énfasis6 2 4 2 2 2 3" xfId="14878" xr:uid="{00000000-0005-0000-0000-0000B0230000}"/>
    <cellStyle name="40% - Énfasis6 2 4 2 2 2 3 2" xfId="37521" xr:uid="{00000000-0005-0000-0000-0000B1230000}"/>
    <cellStyle name="40% - Énfasis6 2 4 2 2 2 4" xfId="30080" xr:uid="{00000000-0005-0000-0000-0000B2230000}"/>
    <cellStyle name="40% - Énfasis6 2 4 2 2 3" xfId="18600" xr:uid="{00000000-0005-0000-0000-0000B3230000}"/>
    <cellStyle name="40% - Énfasis6 2 4 2 2 3 2" xfId="41243" xr:uid="{00000000-0005-0000-0000-0000B4230000}"/>
    <cellStyle name="40% - Énfasis6 2 4 2 2 4" xfId="11160" xr:uid="{00000000-0005-0000-0000-0000B5230000}"/>
    <cellStyle name="40% - Énfasis6 2 4 2 2 4 2" xfId="33803" xr:uid="{00000000-0005-0000-0000-0000B6230000}"/>
    <cellStyle name="40% - Énfasis6 2 4 2 2 5" xfId="26362" xr:uid="{00000000-0005-0000-0000-0000B7230000}"/>
    <cellStyle name="40% - Énfasis6 2 4 2 3" xfId="5587" xr:uid="{00000000-0005-0000-0000-0000B8230000}"/>
    <cellStyle name="40% - Énfasis6 2 4 2 3 2" xfId="20471" xr:uid="{00000000-0005-0000-0000-0000B9230000}"/>
    <cellStyle name="40% - Énfasis6 2 4 2 3 2 2" xfId="43114" xr:uid="{00000000-0005-0000-0000-0000BA230000}"/>
    <cellStyle name="40% - Énfasis6 2 4 2 3 3" xfId="13031" xr:uid="{00000000-0005-0000-0000-0000BB230000}"/>
    <cellStyle name="40% - Énfasis6 2 4 2 3 3 2" xfId="35674" xr:uid="{00000000-0005-0000-0000-0000BC230000}"/>
    <cellStyle name="40% - Énfasis6 2 4 2 3 4" xfId="28233" xr:uid="{00000000-0005-0000-0000-0000BD230000}"/>
    <cellStyle name="40% - Énfasis6 2 4 2 4" xfId="16753" xr:uid="{00000000-0005-0000-0000-0000BE230000}"/>
    <cellStyle name="40% - Énfasis6 2 4 2 4 2" xfId="39396" xr:uid="{00000000-0005-0000-0000-0000BF230000}"/>
    <cellStyle name="40% - Énfasis6 2 4 2 5" xfId="9313" xr:uid="{00000000-0005-0000-0000-0000C0230000}"/>
    <cellStyle name="40% - Énfasis6 2 4 2 5 2" xfId="31956" xr:uid="{00000000-0005-0000-0000-0000C1230000}"/>
    <cellStyle name="40% - Énfasis6 2 4 2 6" xfId="24515" xr:uid="{00000000-0005-0000-0000-0000C2230000}"/>
    <cellStyle name="40% - Énfasis6 2 4 3" xfId="2788" xr:uid="{00000000-0005-0000-0000-0000C3230000}"/>
    <cellStyle name="40% - Énfasis6 2 4 3 2" xfId="6509" xr:uid="{00000000-0005-0000-0000-0000C4230000}"/>
    <cellStyle name="40% - Énfasis6 2 4 3 2 2" xfId="21393" xr:uid="{00000000-0005-0000-0000-0000C5230000}"/>
    <cellStyle name="40% - Énfasis6 2 4 3 2 2 2" xfId="44036" xr:uid="{00000000-0005-0000-0000-0000C6230000}"/>
    <cellStyle name="40% - Énfasis6 2 4 3 2 3" xfId="13953" xr:uid="{00000000-0005-0000-0000-0000C7230000}"/>
    <cellStyle name="40% - Énfasis6 2 4 3 2 3 2" xfId="36596" xr:uid="{00000000-0005-0000-0000-0000C8230000}"/>
    <cellStyle name="40% - Énfasis6 2 4 3 2 4" xfId="29155" xr:uid="{00000000-0005-0000-0000-0000C9230000}"/>
    <cellStyle name="40% - Énfasis6 2 4 3 3" xfId="17675" xr:uid="{00000000-0005-0000-0000-0000CA230000}"/>
    <cellStyle name="40% - Énfasis6 2 4 3 3 2" xfId="40318" xr:uid="{00000000-0005-0000-0000-0000CB230000}"/>
    <cellStyle name="40% - Énfasis6 2 4 3 4" xfId="10235" xr:uid="{00000000-0005-0000-0000-0000CC230000}"/>
    <cellStyle name="40% - Énfasis6 2 4 3 4 2" xfId="32878" xr:uid="{00000000-0005-0000-0000-0000CD230000}"/>
    <cellStyle name="40% - Énfasis6 2 4 3 5" xfId="25437" xr:uid="{00000000-0005-0000-0000-0000CE230000}"/>
    <cellStyle name="40% - Énfasis6 2 4 4" xfId="4662" xr:uid="{00000000-0005-0000-0000-0000CF230000}"/>
    <cellStyle name="40% - Énfasis6 2 4 4 2" xfId="19546" xr:uid="{00000000-0005-0000-0000-0000D0230000}"/>
    <cellStyle name="40% - Énfasis6 2 4 4 2 2" xfId="42189" xr:uid="{00000000-0005-0000-0000-0000D1230000}"/>
    <cellStyle name="40% - Énfasis6 2 4 4 3" xfId="12106" xr:uid="{00000000-0005-0000-0000-0000D2230000}"/>
    <cellStyle name="40% - Énfasis6 2 4 4 3 2" xfId="34749" xr:uid="{00000000-0005-0000-0000-0000D3230000}"/>
    <cellStyle name="40% - Énfasis6 2 4 4 4" xfId="27308" xr:uid="{00000000-0005-0000-0000-0000D4230000}"/>
    <cellStyle name="40% - Énfasis6 2 4 5" xfId="935" xr:uid="{00000000-0005-0000-0000-0000D5230000}"/>
    <cellStyle name="40% - Énfasis6 2 4 5 2" xfId="15828" xr:uid="{00000000-0005-0000-0000-0000D6230000}"/>
    <cellStyle name="40% - Énfasis6 2 4 5 2 2" xfId="38471" xr:uid="{00000000-0005-0000-0000-0000D7230000}"/>
    <cellStyle name="40% - Énfasis6 2 4 5 3" xfId="23590" xr:uid="{00000000-0005-0000-0000-0000D8230000}"/>
    <cellStyle name="40% - Énfasis6 2 4 6" xfId="8388" xr:uid="{00000000-0005-0000-0000-0000D9230000}"/>
    <cellStyle name="40% - Énfasis6 2 4 6 2" xfId="31031" xr:uid="{00000000-0005-0000-0000-0000DA230000}"/>
    <cellStyle name="40% - Énfasis6 2 4 7" xfId="22933" xr:uid="{00000000-0005-0000-0000-0000DB230000}"/>
    <cellStyle name="40% - Énfasis6 2 5" xfId="1401" xr:uid="{00000000-0005-0000-0000-0000DC230000}"/>
    <cellStyle name="40% - Énfasis6 2 5 2" xfId="3251" xr:uid="{00000000-0005-0000-0000-0000DD230000}"/>
    <cellStyle name="40% - Énfasis6 2 5 2 2" xfId="6972" xr:uid="{00000000-0005-0000-0000-0000DE230000}"/>
    <cellStyle name="40% - Énfasis6 2 5 2 2 2" xfId="21856" xr:uid="{00000000-0005-0000-0000-0000DF230000}"/>
    <cellStyle name="40% - Énfasis6 2 5 2 2 2 2" xfId="44499" xr:uid="{00000000-0005-0000-0000-0000E0230000}"/>
    <cellStyle name="40% - Énfasis6 2 5 2 2 3" xfId="14416" xr:uid="{00000000-0005-0000-0000-0000E1230000}"/>
    <cellStyle name="40% - Énfasis6 2 5 2 2 3 2" xfId="37059" xr:uid="{00000000-0005-0000-0000-0000E2230000}"/>
    <cellStyle name="40% - Énfasis6 2 5 2 2 4" xfId="29618" xr:uid="{00000000-0005-0000-0000-0000E3230000}"/>
    <cellStyle name="40% - Énfasis6 2 5 2 3" xfId="18138" xr:uid="{00000000-0005-0000-0000-0000E4230000}"/>
    <cellStyle name="40% - Énfasis6 2 5 2 3 2" xfId="40781" xr:uid="{00000000-0005-0000-0000-0000E5230000}"/>
    <cellStyle name="40% - Énfasis6 2 5 2 4" xfId="10698" xr:uid="{00000000-0005-0000-0000-0000E6230000}"/>
    <cellStyle name="40% - Énfasis6 2 5 2 4 2" xfId="33341" xr:uid="{00000000-0005-0000-0000-0000E7230000}"/>
    <cellStyle name="40% - Énfasis6 2 5 2 5" xfId="25900" xr:uid="{00000000-0005-0000-0000-0000E8230000}"/>
    <cellStyle name="40% - Énfasis6 2 5 3" xfId="5125" xr:uid="{00000000-0005-0000-0000-0000E9230000}"/>
    <cellStyle name="40% - Énfasis6 2 5 3 2" xfId="20009" xr:uid="{00000000-0005-0000-0000-0000EA230000}"/>
    <cellStyle name="40% - Énfasis6 2 5 3 2 2" xfId="42652" xr:uid="{00000000-0005-0000-0000-0000EB230000}"/>
    <cellStyle name="40% - Énfasis6 2 5 3 3" xfId="12569" xr:uid="{00000000-0005-0000-0000-0000EC230000}"/>
    <cellStyle name="40% - Énfasis6 2 5 3 3 2" xfId="35212" xr:uid="{00000000-0005-0000-0000-0000ED230000}"/>
    <cellStyle name="40% - Énfasis6 2 5 3 4" xfId="27771" xr:uid="{00000000-0005-0000-0000-0000EE230000}"/>
    <cellStyle name="40% - Énfasis6 2 5 4" xfId="16291" xr:uid="{00000000-0005-0000-0000-0000EF230000}"/>
    <cellStyle name="40% - Énfasis6 2 5 4 2" xfId="38934" xr:uid="{00000000-0005-0000-0000-0000F0230000}"/>
    <cellStyle name="40% - Énfasis6 2 5 5" xfId="8851" xr:uid="{00000000-0005-0000-0000-0000F1230000}"/>
    <cellStyle name="40% - Énfasis6 2 5 5 2" xfId="31494" xr:uid="{00000000-0005-0000-0000-0000F2230000}"/>
    <cellStyle name="40% - Énfasis6 2 5 6" xfId="24053" xr:uid="{00000000-0005-0000-0000-0000F3230000}"/>
    <cellStyle name="40% - Énfasis6 2 6" xfId="2326" xr:uid="{00000000-0005-0000-0000-0000F4230000}"/>
    <cellStyle name="40% - Énfasis6 2 6 2" xfId="6047" xr:uid="{00000000-0005-0000-0000-0000F5230000}"/>
    <cellStyle name="40% - Énfasis6 2 6 2 2" xfId="20931" xr:uid="{00000000-0005-0000-0000-0000F6230000}"/>
    <cellStyle name="40% - Énfasis6 2 6 2 2 2" xfId="43574" xr:uid="{00000000-0005-0000-0000-0000F7230000}"/>
    <cellStyle name="40% - Énfasis6 2 6 2 3" xfId="13491" xr:uid="{00000000-0005-0000-0000-0000F8230000}"/>
    <cellStyle name="40% - Énfasis6 2 6 2 3 2" xfId="36134" xr:uid="{00000000-0005-0000-0000-0000F9230000}"/>
    <cellStyle name="40% - Énfasis6 2 6 2 4" xfId="28693" xr:uid="{00000000-0005-0000-0000-0000FA230000}"/>
    <cellStyle name="40% - Énfasis6 2 6 3" xfId="17213" xr:uid="{00000000-0005-0000-0000-0000FB230000}"/>
    <cellStyle name="40% - Énfasis6 2 6 3 2" xfId="39856" xr:uid="{00000000-0005-0000-0000-0000FC230000}"/>
    <cellStyle name="40% - Énfasis6 2 6 4" xfId="9773" xr:uid="{00000000-0005-0000-0000-0000FD230000}"/>
    <cellStyle name="40% - Énfasis6 2 6 4 2" xfId="32416" xr:uid="{00000000-0005-0000-0000-0000FE230000}"/>
    <cellStyle name="40% - Énfasis6 2 6 5" xfId="24975" xr:uid="{00000000-0005-0000-0000-0000FF230000}"/>
    <cellStyle name="40% - Énfasis6 2 7" xfId="4200" xr:uid="{00000000-0005-0000-0000-000000240000}"/>
    <cellStyle name="40% - Énfasis6 2 7 2" xfId="19084" xr:uid="{00000000-0005-0000-0000-000001240000}"/>
    <cellStyle name="40% - Énfasis6 2 7 2 2" xfId="41727" xr:uid="{00000000-0005-0000-0000-000002240000}"/>
    <cellStyle name="40% - Énfasis6 2 7 3" xfId="11644" xr:uid="{00000000-0005-0000-0000-000003240000}"/>
    <cellStyle name="40% - Énfasis6 2 7 3 2" xfId="34287" xr:uid="{00000000-0005-0000-0000-000004240000}"/>
    <cellStyle name="40% - Énfasis6 2 7 4" xfId="26846" xr:uid="{00000000-0005-0000-0000-000005240000}"/>
    <cellStyle name="40% - Énfasis6 2 8" xfId="467" xr:uid="{00000000-0005-0000-0000-000006240000}"/>
    <cellStyle name="40% - Énfasis6 2 8 2" xfId="15366" xr:uid="{00000000-0005-0000-0000-000007240000}"/>
    <cellStyle name="40% - Énfasis6 2 8 2 2" xfId="38009" xr:uid="{00000000-0005-0000-0000-000008240000}"/>
    <cellStyle name="40% - Énfasis6 2 8 3" xfId="23129" xr:uid="{00000000-0005-0000-0000-000009240000}"/>
    <cellStyle name="40% - Énfasis6 2 9" xfId="7926" xr:uid="{00000000-0005-0000-0000-00000A240000}"/>
    <cellStyle name="40% - Énfasis6 2 9 2" xfId="30569" xr:uid="{00000000-0005-0000-0000-00000B240000}"/>
    <cellStyle name="40% - Énfasis6 3" xfId="95" xr:uid="{00000000-0005-0000-0000-00000C240000}"/>
    <cellStyle name="40% - Énfasis6 3 2" xfId="179" xr:uid="{00000000-0005-0000-0000-00000D240000}"/>
    <cellStyle name="40% - Énfasis6 3 2 2" xfId="340" xr:uid="{00000000-0005-0000-0000-00000E240000}"/>
    <cellStyle name="40% - Énfasis6 3 2 2 2" xfId="2127" xr:uid="{00000000-0005-0000-0000-00000F240000}"/>
    <cellStyle name="40% - Énfasis6 3 2 2 2 2" xfId="3977" xr:uid="{00000000-0005-0000-0000-000010240000}"/>
    <cellStyle name="40% - Énfasis6 3 2 2 2 2 2" xfId="7698" xr:uid="{00000000-0005-0000-0000-000011240000}"/>
    <cellStyle name="40% - Énfasis6 3 2 2 2 2 2 2" xfId="22582" xr:uid="{00000000-0005-0000-0000-000012240000}"/>
    <cellStyle name="40% - Énfasis6 3 2 2 2 2 2 2 2" xfId="45225" xr:uid="{00000000-0005-0000-0000-000013240000}"/>
    <cellStyle name="40% - Énfasis6 3 2 2 2 2 2 3" xfId="15142" xr:uid="{00000000-0005-0000-0000-000014240000}"/>
    <cellStyle name="40% - Énfasis6 3 2 2 2 2 2 3 2" xfId="37785" xr:uid="{00000000-0005-0000-0000-000015240000}"/>
    <cellStyle name="40% - Énfasis6 3 2 2 2 2 2 4" xfId="30344" xr:uid="{00000000-0005-0000-0000-000016240000}"/>
    <cellStyle name="40% - Énfasis6 3 2 2 2 2 3" xfId="18864" xr:uid="{00000000-0005-0000-0000-000017240000}"/>
    <cellStyle name="40% - Énfasis6 3 2 2 2 2 3 2" xfId="41507" xr:uid="{00000000-0005-0000-0000-000018240000}"/>
    <cellStyle name="40% - Énfasis6 3 2 2 2 2 4" xfId="11424" xr:uid="{00000000-0005-0000-0000-000019240000}"/>
    <cellStyle name="40% - Énfasis6 3 2 2 2 2 4 2" xfId="34067" xr:uid="{00000000-0005-0000-0000-00001A240000}"/>
    <cellStyle name="40% - Énfasis6 3 2 2 2 2 5" xfId="26626" xr:uid="{00000000-0005-0000-0000-00001B240000}"/>
    <cellStyle name="40% - Énfasis6 3 2 2 2 3" xfId="5851" xr:uid="{00000000-0005-0000-0000-00001C240000}"/>
    <cellStyle name="40% - Énfasis6 3 2 2 2 3 2" xfId="20735" xr:uid="{00000000-0005-0000-0000-00001D240000}"/>
    <cellStyle name="40% - Énfasis6 3 2 2 2 3 2 2" xfId="43378" xr:uid="{00000000-0005-0000-0000-00001E240000}"/>
    <cellStyle name="40% - Énfasis6 3 2 2 2 3 3" xfId="13295" xr:uid="{00000000-0005-0000-0000-00001F240000}"/>
    <cellStyle name="40% - Énfasis6 3 2 2 2 3 3 2" xfId="35938" xr:uid="{00000000-0005-0000-0000-000020240000}"/>
    <cellStyle name="40% - Énfasis6 3 2 2 2 3 4" xfId="28497" xr:uid="{00000000-0005-0000-0000-000021240000}"/>
    <cellStyle name="40% - Énfasis6 3 2 2 2 4" xfId="17017" xr:uid="{00000000-0005-0000-0000-000022240000}"/>
    <cellStyle name="40% - Énfasis6 3 2 2 2 4 2" xfId="39660" xr:uid="{00000000-0005-0000-0000-000023240000}"/>
    <cellStyle name="40% - Énfasis6 3 2 2 2 5" xfId="9577" xr:uid="{00000000-0005-0000-0000-000024240000}"/>
    <cellStyle name="40% - Énfasis6 3 2 2 2 5 2" xfId="32220" xr:uid="{00000000-0005-0000-0000-000025240000}"/>
    <cellStyle name="40% - Énfasis6 3 2 2 2 6" xfId="24779" xr:uid="{00000000-0005-0000-0000-000026240000}"/>
    <cellStyle name="40% - Énfasis6 3 2 2 3" xfId="3052" xr:uid="{00000000-0005-0000-0000-000027240000}"/>
    <cellStyle name="40% - Énfasis6 3 2 2 3 2" xfId="6773" xr:uid="{00000000-0005-0000-0000-000028240000}"/>
    <cellStyle name="40% - Énfasis6 3 2 2 3 2 2" xfId="21657" xr:uid="{00000000-0005-0000-0000-000029240000}"/>
    <cellStyle name="40% - Énfasis6 3 2 2 3 2 2 2" xfId="44300" xr:uid="{00000000-0005-0000-0000-00002A240000}"/>
    <cellStyle name="40% - Énfasis6 3 2 2 3 2 3" xfId="14217" xr:uid="{00000000-0005-0000-0000-00002B240000}"/>
    <cellStyle name="40% - Énfasis6 3 2 2 3 2 3 2" xfId="36860" xr:uid="{00000000-0005-0000-0000-00002C240000}"/>
    <cellStyle name="40% - Énfasis6 3 2 2 3 2 4" xfId="29419" xr:uid="{00000000-0005-0000-0000-00002D240000}"/>
    <cellStyle name="40% - Énfasis6 3 2 2 3 3" xfId="17939" xr:uid="{00000000-0005-0000-0000-00002E240000}"/>
    <cellStyle name="40% - Énfasis6 3 2 2 3 3 2" xfId="40582" xr:uid="{00000000-0005-0000-0000-00002F240000}"/>
    <cellStyle name="40% - Énfasis6 3 2 2 3 4" xfId="10499" xr:uid="{00000000-0005-0000-0000-000030240000}"/>
    <cellStyle name="40% - Énfasis6 3 2 2 3 4 2" xfId="33142" xr:uid="{00000000-0005-0000-0000-000031240000}"/>
    <cellStyle name="40% - Énfasis6 3 2 2 3 5" xfId="25701" xr:uid="{00000000-0005-0000-0000-000032240000}"/>
    <cellStyle name="40% - Énfasis6 3 2 2 4" xfId="4926" xr:uid="{00000000-0005-0000-0000-000033240000}"/>
    <cellStyle name="40% - Énfasis6 3 2 2 4 2" xfId="19810" xr:uid="{00000000-0005-0000-0000-000034240000}"/>
    <cellStyle name="40% - Énfasis6 3 2 2 4 2 2" xfId="42453" xr:uid="{00000000-0005-0000-0000-000035240000}"/>
    <cellStyle name="40% - Énfasis6 3 2 2 4 3" xfId="12370" xr:uid="{00000000-0005-0000-0000-000036240000}"/>
    <cellStyle name="40% - Énfasis6 3 2 2 4 3 2" xfId="35013" xr:uid="{00000000-0005-0000-0000-000037240000}"/>
    <cellStyle name="40% - Énfasis6 3 2 2 4 4" xfId="27572" xr:uid="{00000000-0005-0000-0000-000038240000}"/>
    <cellStyle name="40% - Énfasis6 3 2 2 5" xfId="1199" xr:uid="{00000000-0005-0000-0000-000039240000}"/>
    <cellStyle name="40% - Énfasis6 3 2 2 5 2" xfId="16092" xr:uid="{00000000-0005-0000-0000-00003A240000}"/>
    <cellStyle name="40% - Énfasis6 3 2 2 5 2 2" xfId="38735" xr:uid="{00000000-0005-0000-0000-00003B240000}"/>
    <cellStyle name="40% - Énfasis6 3 2 2 5 3" xfId="23854" xr:uid="{00000000-0005-0000-0000-00003C240000}"/>
    <cellStyle name="40% - Énfasis6 3 2 2 6" xfId="8652" xr:uid="{00000000-0005-0000-0000-00003D240000}"/>
    <cellStyle name="40% - Énfasis6 3 2 2 6 2" xfId="31295" xr:uid="{00000000-0005-0000-0000-00003E240000}"/>
    <cellStyle name="40% - Énfasis6 3 2 2 7" xfId="23038" xr:uid="{00000000-0005-0000-0000-00003F240000}"/>
    <cellStyle name="40% - Énfasis6 3 2 3" xfId="1665" xr:uid="{00000000-0005-0000-0000-000040240000}"/>
    <cellStyle name="40% - Énfasis6 3 2 3 2" xfId="3515" xr:uid="{00000000-0005-0000-0000-000041240000}"/>
    <cellStyle name="40% - Énfasis6 3 2 3 2 2" xfId="7236" xr:uid="{00000000-0005-0000-0000-000042240000}"/>
    <cellStyle name="40% - Énfasis6 3 2 3 2 2 2" xfId="22120" xr:uid="{00000000-0005-0000-0000-000043240000}"/>
    <cellStyle name="40% - Énfasis6 3 2 3 2 2 2 2" xfId="44763" xr:uid="{00000000-0005-0000-0000-000044240000}"/>
    <cellStyle name="40% - Énfasis6 3 2 3 2 2 3" xfId="14680" xr:uid="{00000000-0005-0000-0000-000045240000}"/>
    <cellStyle name="40% - Énfasis6 3 2 3 2 2 3 2" xfId="37323" xr:uid="{00000000-0005-0000-0000-000046240000}"/>
    <cellStyle name="40% - Énfasis6 3 2 3 2 2 4" xfId="29882" xr:uid="{00000000-0005-0000-0000-000047240000}"/>
    <cellStyle name="40% - Énfasis6 3 2 3 2 3" xfId="18402" xr:uid="{00000000-0005-0000-0000-000048240000}"/>
    <cellStyle name="40% - Énfasis6 3 2 3 2 3 2" xfId="41045" xr:uid="{00000000-0005-0000-0000-000049240000}"/>
    <cellStyle name="40% - Énfasis6 3 2 3 2 4" xfId="10962" xr:uid="{00000000-0005-0000-0000-00004A240000}"/>
    <cellStyle name="40% - Énfasis6 3 2 3 2 4 2" xfId="33605" xr:uid="{00000000-0005-0000-0000-00004B240000}"/>
    <cellStyle name="40% - Énfasis6 3 2 3 2 5" xfId="26164" xr:uid="{00000000-0005-0000-0000-00004C240000}"/>
    <cellStyle name="40% - Énfasis6 3 2 3 3" xfId="5389" xr:uid="{00000000-0005-0000-0000-00004D240000}"/>
    <cellStyle name="40% - Énfasis6 3 2 3 3 2" xfId="20273" xr:uid="{00000000-0005-0000-0000-00004E240000}"/>
    <cellStyle name="40% - Énfasis6 3 2 3 3 2 2" xfId="42916" xr:uid="{00000000-0005-0000-0000-00004F240000}"/>
    <cellStyle name="40% - Énfasis6 3 2 3 3 3" xfId="12833" xr:uid="{00000000-0005-0000-0000-000050240000}"/>
    <cellStyle name="40% - Énfasis6 3 2 3 3 3 2" xfId="35476" xr:uid="{00000000-0005-0000-0000-000051240000}"/>
    <cellStyle name="40% - Énfasis6 3 2 3 3 4" xfId="28035" xr:uid="{00000000-0005-0000-0000-000052240000}"/>
    <cellStyle name="40% - Énfasis6 3 2 3 4" xfId="16555" xr:uid="{00000000-0005-0000-0000-000053240000}"/>
    <cellStyle name="40% - Énfasis6 3 2 3 4 2" xfId="39198" xr:uid="{00000000-0005-0000-0000-000054240000}"/>
    <cellStyle name="40% - Énfasis6 3 2 3 5" xfId="9115" xr:uid="{00000000-0005-0000-0000-000055240000}"/>
    <cellStyle name="40% - Énfasis6 3 2 3 5 2" xfId="31758" xr:uid="{00000000-0005-0000-0000-000056240000}"/>
    <cellStyle name="40% - Énfasis6 3 2 3 6" xfId="24317" xr:uid="{00000000-0005-0000-0000-000057240000}"/>
    <cellStyle name="40% - Énfasis6 3 2 4" xfId="2590" xr:uid="{00000000-0005-0000-0000-000058240000}"/>
    <cellStyle name="40% - Énfasis6 3 2 4 2" xfId="6311" xr:uid="{00000000-0005-0000-0000-000059240000}"/>
    <cellStyle name="40% - Énfasis6 3 2 4 2 2" xfId="21195" xr:uid="{00000000-0005-0000-0000-00005A240000}"/>
    <cellStyle name="40% - Énfasis6 3 2 4 2 2 2" xfId="43838" xr:uid="{00000000-0005-0000-0000-00005B240000}"/>
    <cellStyle name="40% - Énfasis6 3 2 4 2 3" xfId="13755" xr:uid="{00000000-0005-0000-0000-00005C240000}"/>
    <cellStyle name="40% - Énfasis6 3 2 4 2 3 2" xfId="36398" xr:uid="{00000000-0005-0000-0000-00005D240000}"/>
    <cellStyle name="40% - Énfasis6 3 2 4 2 4" xfId="28957" xr:uid="{00000000-0005-0000-0000-00005E240000}"/>
    <cellStyle name="40% - Énfasis6 3 2 4 3" xfId="17477" xr:uid="{00000000-0005-0000-0000-00005F240000}"/>
    <cellStyle name="40% - Énfasis6 3 2 4 3 2" xfId="40120" xr:uid="{00000000-0005-0000-0000-000060240000}"/>
    <cellStyle name="40% - Énfasis6 3 2 4 4" xfId="10037" xr:uid="{00000000-0005-0000-0000-000061240000}"/>
    <cellStyle name="40% - Énfasis6 3 2 4 4 2" xfId="32680" xr:uid="{00000000-0005-0000-0000-000062240000}"/>
    <cellStyle name="40% - Énfasis6 3 2 4 5" xfId="25239" xr:uid="{00000000-0005-0000-0000-000063240000}"/>
    <cellStyle name="40% - Énfasis6 3 2 5" xfId="4464" xr:uid="{00000000-0005-0000-0000-000064240000}"/>
    <cellStyle name="40% - Énfasis6 3 2 5 2" xfId="19348" xr:uid="{00000000-0005-0000-0000-000065240000}"/>
    <cellStyle name="40% - Énfasis6 3 2 5 2 2" xfId="41991" xr:uid="{00000000-0005-0000-0000-000066240000}"/>
    <cellStyle name="40% - Énfasis6 3 2 5 3" xfId="11908" xr:uid="{00000000-0005-0000-0000-000067240000}"/>
    <cellStyle name="40% - Énfasis6 3 2 5 3 2" xfId="34551" xr:uid="{00000000-0005-0000-0000-000068240000}"/>
    <cellStyle name="40% - Énfasis6 3 2 5 4" xfId="27110" xr:uid="{00000000-0005-0000-0000-000069240000}"/>
    <cellStyle name="40% - Énfasis6 3 2 6" xfId="734" xr:uid="{00000000-0005-0000-0000-00006A240000}"/>
    <cellStyle name="40% - Énfasis6 3 2 6 2" xfId="15630" xr:uid="{00000000-0005-0000-0000-00006B240000}"/>
    <cellStyle name="40% - Énfasis6 3 2 6 2 2" xfId="38273" xr:uid="{00000000-0005-0000-0000-00006C240000}"/>
    <cellStyle name="40% - Énfasis6 3 2 6 3" xfId="23392" xr:uid="{00000000-0005-0000-0000-00006D240000}"/>
    <cellStyle name="40% - Énfasis6 3 2 7" xfId="8190" xr:uid="{00000000-0005-0000-0000-00006E240000}"/>
    <cellStyle name="40% - Énfasis6 3 2 7 2" xfId="30833" xr:uid="{00000000-0005-0000-0000-00006F240000}"/>
    <cellStyle name="40% - Énfasis6 3 2 8" xfId="22882" xr:uid="{00000000-0005-0000-0000-000070240000}"/>
    <cellStyle name="40% - Énfasis6 3 3" xfId="262" xr:uid="{00000000-0005-0000-0000-000071240000}"/>
    <cellStyle name="40% - Énfasis6 3 3 2" xfId="1916" xr:uid="{00000000-0005-0000-0000-000072240000}"/>
    <cellStyle name="40% - Énfasis6 3 3 2 2" xfId="3766" xr:uid="{00000000-0005-0000-0000-000073240000}"/>
    <cellStyle name="40% - Énfasis6 3 3 2 2 2" xfId="7487" xr:uid="{00000000-0005-0000-0000-000074240000}"/>
    <cellStyle name="40% - Énfasis6 3 3 2 2 2 2" xfId="22371" xr:uid="{00000000-0005-0000-0000-000075240000}"/>
    <cellStyle name="40% - Énfasis6 3 3 2 2 2 2 2" xfId="45014" xr:uid="{00000000-0005-0000-0000-000076240000}"/>
    <cellStyle name="40% - Énfasis6 3 3 2 2 2 3" xfId="14931" xr:uid="{00000000-0005-0000-0000-000077240000}"/>
    <cellStyle name="40% - Énfasis6 3 3 2 2 2 3 2" xfId="37574" xr:uid="{00000000-0005-0000-0000-000078240000}"/>
    <cellStyle name="40% - Énfasis6 3 3 2 2 2 4" xfId="30133" xr:uid="{00000000-0005-0000-0000-000079240000}"/>
    <cellStyle name="40% - Énfasis6 3 3 2 2 3" xfId="18653" xr:uid="{00000000-0005-0000-0000-00007A240000}"/>
    <cellStyle name="40% - Énfasis6 3 3 2 2 3 2" xfId="41296" xr:uid="{00000000-0005-0000-0000-00007B240000}"/>
    <cellStyle name="40% - Énfasis6 3 3 2 2 4" xfId="11213" xr:uid="{00000000-0005-0000-0000-00007C240000}"/>
    <cellStyle name="40% - Énfasis6 3 3 2 2 4 2" xfId="33856" xr:uid="{00000000-0005-0000-0000-00007D240000}"/>
    <cellStyle name="40% - Énfasis6 3 3 2 2 5" xfId="26415" xr:uid="{00000000-0005-0000-0000-00007E240000}"/>
    <cellStyle name="40% - Énfasis6 3 3 2 3" xfId="5640" xr:uid="{00000000-0005-0000-0000-00007F240000}"/>
    <cellStyle name="40% - Énfasis6 3 3 2 3 2" xfId="20524" xr:uid="{00000000-0005-0000-0000-000080240000}"/>
    <cellStyle name="40% - Énfasis6 3 3 2 3 2 2" xfId="43167" xr:uid="{00000000-0005-0000-0000-000081240000}"/>
    <cellStyle name="40% - Énfasis6 3 3 2 3 3" xfId="13084" xr:uid="{00000000-0005-0000-0000-000082240000}"/>
    <cellStyle name="40% - Énfasis6 3 3 2 3 3 2" xfId="35727" xr:uid="{00000000-0005-0000-0000-000083240000}"/>
    <cellStyle name="40% - Énfasis6 3 3 2 3 4" xfId="28286" xr:uid="{00000000-0005-0000-0000-000084240000}"/>
    <cellStyle name="40% - Énfasis6 3 3 2 4" xfId="16806" xr:uid="{00000000-0005-0000-0000-000085240000}"/>
    <cellStyle name="40% - Énfasis6 3 3 2 4 2" xfId="39449" xr:uid="{00000000-0005-0000-0000-000086240000}"/>
    <cellStyle name="40% - Énfasis6 3 3 2 5" xfId="9366" xr:uid="{00000000-0005-0000-0000-000087240000}"/>
    <cellStyle name="40% - Énfasis6 3 3 2 5 2" xfId="32009" xr:uid="{00000000-0005-0000-0000-000088240000}"/>
    <cellStyle name="40% - Énfasis6 3 3 2 6" xfId="24568" xr:uid="{00000000-0005-0000-0000-000089240000}"/>
    <cellStyle name="40% - Énfasis6 3 3 3" xfId="2841" xr:uid="{00000000-0005-0000-0000-00008A240000}"/>
    <cellStyle name="40% - Énfasis6 3 3 3 2" xfId="6562" xr:uid="{00000000-0005-0000-0000-00008B240000}"/>
    <cellStyle name="40% - Énfasis6 3 3 3 2 2" xfId="21446" xr:uid="{00000000-0005-0000-0000-00008C240000}"/>
    <cellStyle name="40% - Énfasis6 3 3 3 2 2 2" xfId="44089" xr:uid="{00000000-0005-0000-0000-00008D240000}"/>
    <cellStyle name="40% - Énfasis6 3 3 3 2 3" xfId="14006" xr:uid="{00000000-0005-0000-0000-00008E240000}"/>
    <cellStyle name="40% - Énfasis6 3 3 3 2 3 2" xfId="36649" xr:uid="{00000000-0005-0000-0000-00008F240000}"/>
    <cellStyle name="40% - Énfasis6 3 3 3 2 4" xfId="29208" xr:uid="{00000000-0005-0000-0000-000090240000}"/>
    <cellStyle name="40% - Énfasis6 3 3 3 3" xfId="17728" xr:uid="{00000000-0005-0000-0000-000091240000}"/>
    <cellStyle name="40% - Énfasis6 3 3 3 3 2" xfId="40371" xr:uid="{00000000-0005-0000-0000-000092240000}"/>
    <cellStyle name="40% - Énfasis6 3 3 3 4" xfId="10288" xr:uid="{00000000-0005-0000-0000-000093240000}"/>
    <cellStyle name="40% - Énfasis6 3 3 3 4 2" xfId="32931" xr:uid="{00000000-0005-0000-0000-000094240000}"/>
    <cellStyle name="40% - Énfasis6 3 3 3 5" xfId="25490" xr:uid="{00000000-0005-0000-0000-000095240000}"/>
    <cellStyle name="40% - Énfasis6 3 3 4" xfId="4715" xr:uid="{00000000-0005-0000-0000-000096240000}"/>
    <cellStyle name="40% - Énfasis6 3 3 4 2" xfId="19599" xr:uid="{00000000-0005-0000-0000-000097240000}"/>
    <cellStyle name="40% - Énfasis6 3 3 4 2 2" xfId="42242" xr:uid="{00000000-0005-0000-0000-000098240000}"/>
    <cellStyle name="40% - Énfasis6 3 3 4 3" xfId="12159" xr:uid="{00000000-0005-0000-0000-000099240000}"/>
    <cellStyle name="40% - Énfasis6 3 3 4 3 2" xfId="34802" xr:uid="{00000000-0005-0000-0000-00009A240000}"/>
    <cellStyle name="40% - Énfasis6 3 3 4 4" xfId="27361" xr:uid="{00000000-0005-0000-0000-00009B240000}"/>
    <cellStyle name="40% - Énfasis6 3 3 5" xfId="988" xr:uid="{00000000-0005-0000-0000-00009C240000}"/>
    <cellStyle name="40% - Énfasis6 3 3 5 2" xfId="15881" xr:uid="{00000000-0005-0000-0000-00009D240000}"/>
    <cellStyle name="40% - Énfasis6 3 3 5 2 2" xfId="38524" xr:uid="{00000000-0005-0000-0000-00009E240000}"/>
    <cellStyle name="40% - Énfasis6 3 3 5 3" xfId="23643" xr:uid="{00000000-0005-0000-0000-00009F240000}"/>
    <cellStyle name="40% - Énfasis6 3 3 6" xfId="8441" xr:uid="{00000000-0005-0000-0000-0000A0240000}"/>
    <cellStyle name="40% - Énfasis6 3 3 6 2" xfId="31084" xr:uid="{00000000-0005-0000-0000-0000A1240000}"/>
    <cellStyle name="40% - Énfasis6 3 3 7" xfId="22960" xr:uid="{00000000-0005-0000-0000-0000A2240000}"/>
    <cellStyle name="40% - Énfasis6 3 4" xfId="1454" xr:uid="{00000000-0005-0000-0000-0000A3240000}"/>
    <cellStyle name="40% - Énfasis6 3 4 2" xfId="3304" xr:uid="{00000000-0005-0000-0000-0000A4240000}"/>
    <cellStyle name="40% - Énfasis6 3 4 2 2" xfId="7025" xr:uid="{00000000-0005-0000-0000-0000A5240000}"/>
    <cellStyle name="40% - Énfasis6 3 4 2 2 2" xfId="21909" xr:uid="{00000000-0005-0000-0000-0000A6240000}"/>
    <cellStyle name="40% - Énfasis6 3 4 2 2 2 2" xfId="44552" xr:uid="{00000000-0005-0000-0000-0000A7240000}"/>
    <cellStyle name="40% - Énfasis6 3 4 2 2 3" xfId="14469" xr:uid="{00000000-0005-0000-0000-0000A8240000}"/>
    <cellStyle name="40% - Énfasis6 3 4 2 2 3 2" xfId="37112" xr:uid="{00000000-0005-0000-0000-0000A9240000}"/>
    <cellStyle name="40% - Énfasis6 3 4 2 2 4" xfId="29671" xr:uid="{00000000-0005-0000-0000-0000AA240000}"/>
    <cellStyle name="40% - Énfasis6 3 4 2 3" xfId="18191" xr:uid="{00000000-0005-0000-0000-0000AB240000}"/>
    <cellStyle name="40% - Énfasis6 3 4 2 3 2" xfId="40834" xr:uid="{00000000-0005-0000-0000-0000AC240000}"/>
    <cellStyle name="40% - Énfasis6 3 4 2 4" xfId="10751" xr:uid="{00000000-0005-0000-0000-0000AD240000}"/>
    <cellStyle name="40% - Énfasis6 3 4 2 4 2" xfId="33394" xr:uid="{00000000-0005-0000-0000-0000AE240000}"/>
    <cellStyle name="40% - Énfasis6 3 4 2 5" xfId="25953" xr:uid="{00000000-0005-0000-0000-0000AF240000}"/>
    <cellStyle name="40% - Énfasis6 3 4 3" xfId="5178" xr:uid="{00000000-0005-0000-0000-0000B0240000}"/>
    <cellStyle name="40% - Énfasis6 3 4 3 2" xfId="20062" xr:uid="{00000000-0005-0000-0000-0000B1240000}"/>
    <cellStyle name="40% - Énfasis6 3 4 3 2 2" xfId="42705" xr:uid="{00000000-0005-0000-0000-0000B2240000}"/>
    <cellStyle name="40% - Énfasis6 3 4 3 3" xfId="12622" xr:uid="{00000000-0005-0000-0000-0000B3240000}"/>
    <cellStyle name="40% - Énfasis6 3 4 3 3 2" xfId="35265" xr:uid="{00000000-0005-0000-0000-0000B4240000}"/>
    <cellStyle name="40% - Énfasis6 3 4 3 4" xfId="27824" xr:uid="{00000000-0005-0000-0000-0000B5240000}"/>
    <cellStyle name="40% - Énfasis6 3 4 4" xfId="16344" xr:uid="{00000000-0005-0000-0000-0000B6240000}"/>
    <cellStyle name="40% - Énfasis6 3 4 4 2" xfId="38987" xr:uid="{00000000-0005-0000-0000-0000B7240000}"/>
    <cellStyle name="40% - Énfasis6 3 4 5" xfId="8904" xr:uid="{00000000-0005-0000-0000-0000B8240000}"/>
    <cellStyle name="40% - Énfasis6 3 4 5 2" xfId="31547" xr:uid="{00000000-0005-0000-0000-0000B9240000}"/>
    <cellStyle name="40% - Énfasis6 3 4 6" xfId="24106" xr:uid="{00000000-0005-0000-0000-0000BA240000}"/>
    <cellStyle name="40% - Énfasis6 3 5" xfId="2379" xr:uid="{00000000-0005-0000-0000-0000BB240000}"/>
    <cellStyle name="40% - Énfasis6 3 5 2" xfId="6100" xr:uid="{00000000-0005-0000-0000-0000BC240000}"/>
    <cellStyle name="40% - Énfasis6 3 5 2 2" xfId="20984" xr:uid="{00000000-0005-0000-0000-0000BD240000}"/>
    <cellStyle name="40% - Énfasis6 3 5 2 2 2" xfId="43627" xr:uid="{00000000-0005-0000-0000-0000BE240000}"/>
    <cellStyle name="40% - Énfasis6 3 5 2 3" xfId="13544" xr:uid="{00000000-0005-0000-0000-0000BF240000}"/>
    <cellStyle name="40% - Énfasis6 3 5 2 3 2" xfId="36187" xr:uid="{00000000-0005-0000-0000-0000C0240000}"/>
    <cellStyle name="40% - Énfasis6 3 5 2 4" xfId="28746" xr:uid="{00000000-0005-0000-0000-0000C1240000}"/>
    <cellStyle name="40% - Énfasis6 3 5 3" xfId="17266" xr:uid="{00000000-0005-0000-0000-0000C2240000}"/>
    <cellStyle name="40% - Énfasis6 3 5 3 2" xfId="39909" xr:uid="{00000000-0005-0000-0000-0000C3240000}"/>
    <cellStyle name="40% - Énfasis6 3 5 4" xfId="9826" xr:uid="{00000000-0005-0000-0000-0000C4240000}"/>
    <cellStyle name="40% - Énfasis6 3 5 4 2" xfId="32469" xr:uid="{00000000-0005-0000-0000-0000C5240000}"/>
    <cellStyle name="40% - Énfasis6 3 5 5" xfId="25028" xr:uid="{00000000-0005-0000-0000-0000C6240000}"/>
    <cellStyle name="40% - Énfasis6 3 6" xfId="4253" xr:uid="{00000000-0005-0000-0000-0000C7240000}"/>
    <cellStyle name="40% - Énfasis6 3 6 2" xfId="19137" xr:uid="{00000000-0005-0000-0000-0000C8240000}"/>
    <cellStyle name="40% - Énfasis6 3 6 2 2" xfId="41780" xr:uid="{00000000-0005-0000-0000-0000C9240000}"/>
    <cellStyle name="40% - Énfasis6 3 6 3" xfId="11697" xr:uid="{00000000-0005-0000-0000-0000CA240000}"/>
    <cellStyle name="40% - Énfasis6 3 6 3 2" xfId="34340" xr:uid="{00000000-0005-0000-0000-0000CB240000}"/>
    <cellStyle name="40% - Énfasis6 3 6 4" xfId="26899" xr:uid="{00000000-0005-0000-0000-0000CC240000}"/>
    <cellStyle name="40% - Énfasis6 3 7" xfId="521" xr:uid="{00000000-0005-0000-0000-0000CD240000}"/>
    <cellStyle name="40% - Énfasis6 3 7 2" xfId="15419" xr:uid="{00000000-0005-0000-0000-0000CE240000}"/>
    <cellStyle name="40% - Énfasis6 3 7 2 2" xfId="38062" xr:uid="{00000000-0005-0000-0000-0000CF240000}"/>
    <cellStyle name="40% - Énfasis6 3 7 3" xfId="23182" xr:uid="{00000000-0005-0000-0000-0000D0240000}"/>
    <cellStyle name="40% - Énfasis6 3 8" xfId="7979" xr:uid="{00000000-0005-0000-0000-0000D1240000}"/>
    <cellStyle name="40% - Énfasis6 3 8 2" xfId="30622" xr:uid="{00000000-0005-0000-0000-0000D2240000}"/>
    <cellStyle name="40% - Énfasis6 3 9" xfId="22804" xr:uid="{00000000-0005-0000-0000-0000D3240000}"/>
    <cellStyle name="40% - Énfasis6 4" xfId="137" xr:uid="{00000000-0005-0000-0000-0000D4240000}"/>
    <cellStyle name="40% - Énfasis6 4 2" xfId="301" xr:uid="{00000000-0005-0000-0000-0000D5240000}"/>
    <cellStyle name="40% - Énfasis6 4 2 2" xfId="2022" xr:uid="{00000000-0005-0000-0000-0000D6240000}"/>
    <cellStyle name="40% - Énfasis6 4 2 2 2" xfId="3872" xr:uid="{00000000-0005-0000-0000-0000D7240000}"/>
    <cellStyle name="40% - Énfasis6 4 2 2 2 2" xfId="7593" xr:uid="{00000000-0005-0000-0000-0000D8240000}"/>
    <cellStyle name="40% - Énfasis6 4 2 2 2 2 2" xfId="22477" xr:uid="{00000000-0005-0000-0000-0000D9240000}"/>
    <cellStyle name="40% - Énfasis6 4 2 2 2 2 2 2" xfId="45120" xr:uid="{00000000-0005-0000-0000-0000DA240000}"/>
    <cellStyle name="40% - Énfasis6 4 2 2 2 2 3" xfId="15037" xr:uid="{00000000-0005-0000-0000-0000DB240000}"/>
    <cellStyle name="40% - Énfasis6 4 2 2 2 2 3 2" xfId="37680" xr:uid="{00000000-0005-0000-0000-0000DC240000}"/>
    <cellStyle name="40% - Énfasis6 4 2 2 2 2 4" xfId="30239" xr:uid="{00000000-0005-0000-0000-0000DD240000}"/>
    <cellStyle name="40% - Énfasis6 4 2 2 2 3" xfId="18759" xr:uid="{00000000-0005-0000-0000-0000DE240000}"/>
    <cellStyle name="40% - Énfasis6 4 2 2 2 3 2" xfId="41402" xr:uid="{00000000-0005-0000-0000-0000DF240000}"/>
    <cellStyle name="40% - Énfasis6 4 2 2 2 4" xfId="11319" xr:uid="{00000000-0005-0000-0000-0000E0240000}"/>
    <cellStyle name="40% - Énfasis6 4 2 2 2 4 2" xfId="33962" xr:uid="{00000000-0005-0000-0000-0000E1240000}"/>
    <cellStyle name="40% - Énfasis6 4 2 2 2 5" xfId="26521" xr:uid="{00000000-0005-0000-0000-0000E2240000}"/>
    <cellStyle name="40% - Énfasis6 4 2 2 3" xfId="5746" xr:uid="{00000000-0005-0000-0000-0000E3240000}"/>
    <cellStyle name="40% - Énfasis6 4 2 2 3 2" xfId="20630" xr:uid="{00000000-0005-0000-0000-0000E4240000}"/>
    <cellStyle name="40% - Énfasis6 4 2 2 3 2 2" xfId="43273" xr:uid="{00000000-0005-0000-0000-0000E5240000}"/>
    <cellStyle name="40% - Énfasis6 4 2 2 3 3" xfId="13190" xr:uid="{00000000-0005-0000-0000-0000E6240000}"/>
    <cellStyle name="40% - Énfasis6 4 2 2 3 3 2" xfId="35833" xr:uid="{00000000-0005-0000-0000-0000E7240000}"/>
    <cellStyle name="40% - Énfasis6 4 2 2 3 4" xfId="28392" xr:uid="{00000000-0005-0000-0000-0000E8240000}"/>
    <cellStyle name="40% - Énfasis6 4 2 2 4" xfId="16912" xr:uid="{00000000-0005-0000-0000-0000E9240000}"/>
    <cellStyle name="40% - Énfasis6 4 2 2 4 2" xfId="39555" xr:uid="{00000000-0005-0000-0000-0000EA240000}"/>
    <cellStyle name="40% - Énfasis6 4 2 2 5" xfId="9472" xr:uid="{00000000-0005-0000-0000-0000EB240000}"/>
    <cellStyle name="40% - Énfasis6 4 2 2 5 2" xfId="32115" xr:uid="{00000000-0005-0000-0000-0000EC240000}"/>
    <cellStyle name="40% - Énfasis6 4 2 2 6" xfId="24674" xr:uid="{00000000-0005-0000-0000-0000ED240000}"/>
    <cellStyle name="40% - Énfasis6 4 2 3" xfId="2947" xr:uid="{00000000-0005-0000-0000-0000EE240000}"/>
    <cellStyle name="40% - Énfasis6 4 2 3 2" xfId="6668" xr:uid="{00000000-0005-0000-0000-0000EF240000}"/>
    <cellStyle name="40% - Énfasis6 4 2 3 2 2" xfId="21552" xr:uid="{00000000-0005-0000-0000-0000F0240000}"/>
    <cellStyle name="40% - Énfasis6 4 2 3 2 2 2" xfId="44195" xr:uid="{00000000-0005-0000-0000-0000F1240000}"/>
    <cellStyle name="40% - Énfasis6 4 2 3 2 3" xfId="14112" xr:uid="{00000000-0005-0000-0000-0000F2240000}"/>
    <cellStyle name="40% - Énfasis6 4 2 3 2 3 2" xfId="36755" xr:uid="{00000000-0005-0000-0000-0000F3240000}"/>
    <cellStyle name="40% - Énfasis6 4 2 3 2 4" xfId="29314" xr:uid="{00000000-0005-0000-0000-0000F4240000}"/>
    <cellStyle name="40% - Énfasis6 4 2 3 3" xfId="17834" xr:uid="{00000000-0005-0000-0000-0000F5240000}"/>
    <cellStyle name="40% - Énfasis6 4 2 3 3 2" xfId="40477" xr:uid="{00000000-0005-0000-0000-0000F6240000}"/>
    <cellStyle name="40% - Énfasis6 4 2 3 4" xfId="10394" xr:uid="{00000000-0005-0000-0000-0000F7240000}"/>
    <cellStyle name="40% - Énfasis6 4 2 3 4 2" xfId="33037" xr:uid="{00000000-0005-0000-0000-0000F8240000}"/>
    <cellStyle name="40% - Énfasis6 4 2 3 5" xfId="25596" xr:uid="{00000000-0005-0000-0000-0000F9240000}"/>
    <cellStyle name="40% - Énfasis6 4 2 4" xfId="4821" xr:uid="{00000000-0005-0000-0000-0000FA240000}"/>
    <cellStyle name="40% - Énfasis6 4 2 4 2" xfId="19705" xr:uid="{00000000-0005-0000-0000-0000FB240000}"/>
    <cellStyle name="40% - Énfasis6 4 2 4 2 2" xfId="42348" xr:uid="{00000000-0005-0000-0000-0000FC240000}"/>
    <cellStyle name="40% - Énfasis6 4 2 4 3" xfId="12265" xr:uid="{00000000-0005-0000-0000-0000FD240000}"/>
    <cellStyle name="40% - Énfasis6 4 2 4 3 2" xfId="34908" xr:uid="{00000000-0005-0000-0000-0000FE240000}"/>
    <cellStyle name="40% - Énfasis6 4 2 4 4" xfId="27467" xr:uid="{00000000-0005-0000-0000-0000FF240000}"/>
    <cellStyle name="40% - Énfasis6 4 2 5" xfId="1094" xr:uid="{00000000-0005-0000-0000-000000250000}"/>
    <cellStyle name="40% - Énfasis6 4 2 5 2" xfId="15987" xr:uid="{00000000-0005-0000-0000-000001250000}"/>
    <cellStyle name="40% - Énfasis6 4 2 5 2 2" xfId="38630" xr:uid="{00000000-0005-0000-0000-000002250000}"/>
    <cellStyle name="40% - Énfasis6 4 2 5 3" xfId="23749" xr:uid="{00000000-0005-0000-0000-000003250000}"/>
    <cellStyle name="40% - Énfasis6 4 2 6" xfId="8547" xr:uid="{00000000-0005-0000-0000-000004250000}"/>
    <cellStyle name="40% - Énfasis6 4 2 6 2" xfId="31190" xr:uid="{00000000-0005-0000-0000-000005250000}"/>
    <cellStyle name="40% - Énfasis6 4 2 7" xfId="22999" xr:uid="{00000000-0005-0000-0000-000006250000}"/>
    <cellStyle name="40% - Énfasis6 4 3" xfId="1560" xr:uid="{00000000-0005-0000-0000-000007250000}"/>
    <cellStyle name="40% - Énfasis6 4 3 2" xfId="3410" xr:uid="{00000000-0005-0000-0000-000008250000}"/>
    <cellStyle name="40% - Énfasis6 4 3 2 2" xfId="7131" xr:uid="{00000000-0005-0000-0000-000009250000}"/>
    <cellStyle name="40% - Énfasis6 4 3 2 2 2" xfId="22015" xr:uid="{00000000-0005-0000-0000-00000A250000}"/>
    <cellStyle name="40% - Énfasis6 4 3 2 2 2 2" xfId="44658" xr:uid="{00000000-0005-0000-0000-00000B250000}"/>
    <cellStyle name="40% - Énfasis6 4 3 2 2 3" xfId="14575" xr:uid="{00000000-0005-0000-0000-00000C250000}"/>
    <cellStyle name="40% - Énfasis6 4 3 2 2 3 2" xfId="37218" xr:uid="{00000000-0005-0000-0000-00000D250000}"/>
    <cellStyle name="40% - Énfasis6 4 3 2 2 4" xfId="29777" xr:uid="{00000000-0005-0000-0000-00000E250000}"/>
    <cellStyle name="40% - Énfasis6 4 3 2 3" xfId="18297" xr:uid="{00000000-0005-0000-0000-00000F250000}"/>
    <cellStyle name="40% - Énfasis6 4 3 2 3 2" xfId="40940" xr:uid="{00000000-0005-0000-0000-000010250000}"/>
    <cellStyle name="40% - Énfasis6 4 3 2 4" xfId="10857" xr:uid="{00000000-0005-0000-0000-000011250000}"/>
    <cellStyle name="40% - Énfasis6 4 3 2 4 2" xfId="33500" xr:uid="{00000000-0005-0000-0000-000012250000}"/>
    <cellStyle name="40% - Énfasis6 4 3 2 5" xfId="26059" xr:uid="{00000000-0005-0000-0000-000013250000}"/>
    <cellStyle name="40% - Énfasis6 4 3 3" xfId="5284" xr:uid="{00000000-0005-0000-0000-000014250000}"/>
    <cellStyle name="40% - Énfasis6 4 3 3 2" xfId="20168" xr:uid="{00000000-0005-0000-0000-000015250000}"/>
    <cellStyle name="40% - Énfasis6 4 3 3 2 2" xfId="42811" xr:uid="{00000000-0005-0000-0000-000016250000}"/>
    <cellStyle name="40% - Énfasis6 4 3 3 3" xfId="12728" xr:uid="{00000000-0005-0000-0000-000017250000}"/>
    <cellStyle name="40% - Énfasis6 4 3 3 3 2" xfId="35371" xr:uid="{00000000-0005-0000-0000-000018250000}"/>
    <cellStyle name="40% - Énfasis6 4 3 3 4" xfId="27930" xr:uid="{00000000-0005-0000-0000-000019250000}"/>
    <cellStyle name="40% - Énfasis6 4 3 4" xfId="16450" xr:uid="{00000000-0005-0000-0000-00001A250000}"/>
    <cellStyle name="40% - Énfasis6 4 3 4 2" xfId="39093" xr:uid="{00000000-0005-0000-0000-00001B250000}"/>
    <cellStyle name="40% - Énfasis6 4 3 5" xfId="9010" xr:uid="{00000000-0005-0000-0000-00001C250000}"/>
    <cellStyle name="40% - Énfasis6 4 3 5 2" xfId="31653" xr:uid="{00000000-0005-0000-0000-00001D250000}"/>
    <cellStyle name="40% - Énfasis6 4 3 6" xfId="24212" xr:uid="{00000000-0005-0000-0000-00001E250000}"/>
    <cellStyle name="40% - Énfasis6 4 4" xfId="2485" xr:uid="{00000000-0005-0000-0000-00001F250000}"/>
    <cellStyle name="40% - Énfasis6 4 4 2" xfId="6206" xr:uid="{00000000-0005-0000-0000-000020250000}"/>
    <cellStyle name="40% - Énfasis6 4 4 2 2" xfId="21090" xr:uid="{00000000-0005-0000-0000-000021250000}"/>
    <cellStyle name="40% - Énfasis6 4 4 2 2 2" xfId="43733" xr:uid="{00000000-0005-0000-0000-000022250000}"/>
    <cellStyle name="40% - Énfasis6 4 4 2 3" xfId="13650" xr:uid="{00000000-0005-0000-0000-000023250000}"/>
    <cellStyle name="40% - Énfasis6 4 4 2 3 2" xfId="36293" xr:uid="{00000000-0005-0000-0000-000024250000}"/>
    <cellStyle name="40% - Énfasis6 4 4 2 4" xfId="28852" xr:uid="{00000000-0005-0000-0000-000025250000}"/>
    <cellStyle name="40% - Énfasis6 4 4 3" xfId="17372" xr:uid="{00000000-0005-0000-0000-000026250000}"/>
    <cellStyle name="40% - Énfasis6 4 4 3 2" xfId="40015" xr:uid="{00000000-0005-0000-0000-000027250000}"/>
    <cellStyle name="40% - Énfasis6 4 4 4" xfId="9932" xr:uid="{00000000-0005-0000-0000-000028250000}"/>
    <cellStyle name="40% - Énfasis6 4 4 4 2" xfId="32575" xr:uid="{00000000-0005-0000-0000-000029250000}"/>
    <cellStyle name="40% - Énfasis6 4 4 5" xfId="25134" xr:uid="{00000000-0005-0000-0000-00002A250000}"/>
    <cellStyle name="40% - Énfasis6 4 5" xfId="4359" xr:uid="{00000000-0005-0000-0000-00002B250000}"/>
    <cellStyle name="40% - Énfasis6 4 5 2" xfId="19243" xr:uid="{00000000-0005-0000-0000-00002C250000}"/>
    <cellStyle name="40% - Énfasis6 4 5 2 2" xfId="41886" xr:uid="{00000000-0005-0000-0000-00002D250000}"/>
    <cellStyle name="40% - Énfasis6 4 5 3" xfId="11803" xr:uid="{00000000-0005-0000-0000-00002E250000}"/>
    <cellStyle name="40% - Énfasis6 4 5 3 2" xfId="34446" xr:uid="{00000000-0005-0000-0000-00002F250000}"/>
    <cellStyle name="40% - Énfasis6 4 5 4" xfId="27005" xr:uid="{00000000-0005-0000-0000-000030250000}"/>
    <cellStyle name="40% - Énfasis6 4 6" xfId="627" xr:uid="{00000000-0005-0000-0000-000031250000}"/>
    <cellStyle name="40% - Énfasis6 4 6 2" xfId="15525" xr:uid="{00000000-0005-0000-0000-000032250000}"/>
    <cellStyle name="40% - Énfasis6 4 6 2 2" xfId="38168" xr:uid="{00000000-0005-0000-0000-000033250000}"/>
    <cellStyle name="40% - Énfasis6 4 6 3" xfId="23287" xr:uid="{00000000-0005-0000-0000-000034250000}"/>
    <cellStyle name="40% - Énfasis6 4 7" xfId="8085" xr:uid="{00000000-0005-0000-0000-000035250000}"/>
    <cellStyle name="40% - Énfasis6 4 7 2" xfId="30728" xr:uid="{00000000-0005-0000-0000-000036250000}"/>
    <cellStyle name="40% - Énfasis6 4 8" xfId="22843" xr:uid="{00000000-0005-0000-0000-000037250000}"/>
    <cellStyle name="40% - Énfasis6 5" xfId="220" xr:uid="{00000000-0005-0000-0000-000038250000}"/>
    <cellStyle name="40% - Énfasis6 5 2" xfId="1811" xr:uid="{00000000-0005-0000-0000-000039250000}"/>
    <cellStyle name="40% - Énfasis6 5 2 2" xfId="3661" xr:uid="{00000000-0005-0000-0000-00003A250000}"/>
    <cellStyle name="40% - Énfasis6 5 2 2 2" xfId="7382" xr:uid="{00000000-0005-0000-0000-00003B250000}"/>
    <cellStyle name="40% - Énfasis6 5 2 2 2 2" xfId="22266" xr:uid="{00000000-0005-0000-0000-00003C250000}"/>
    <cellStyle name="40% - Énfasis6 5 2 2 2 2 2" xfId="44909" xr:uid="{00000000-0005-0000-0000-00003D250000}"/>
    <cellStyle name="40% - Énfasis6 5 2 2 2 3" xfId="14826" xr:uid="{00000000-0005-0000-0000-00003E250000}"/>
    <cellStyle name="40% - Énfasis6 5 2 2 2 3 2" xfId="37469" xr:uid="{00000000-0005-0000-0000-00003F250000}"/>
    <cellStyle name="40% - Énfasis6 5 2 2 2 4" xfId="30028" xr:uid="{00000000-0005-0000-0000-000040250000}"/>
    <cellStyle name="40% - Énfasis6 5 2 2 3" xfId="18548" xr:uid="{00000000-0005-0000-0000-000041250000}"/>
    <cellStyle name="40% - Énfasis6 5 2 2 3 2" xfId="41191" xr:uid="{00000000-0005-0000-0000-000042250000}"/>
    <cellStyle name="40% - Énfasis6 5 2 2 4" xfId="11108" xr:uid="{00000000-0005-0000-0000-000043250000}"/>
    <cellStyle name="40% - Énfasis6 5 2 2 4 2" xfId="33751" xr:uid="{00000000-0005-0000-0000-000044250000}"/>
    <cellStyle name="40% - Énfasis6 5 2 2 5" xfId="26310" xr:uid="{00000000-0005-0000-0000-000045250000}"/>
    <cellStyle name="40% - Énfasis6 5 2 3" xfId="5535" xr:uid="{00000000-0005-0000-0000-000046250000}"/>
    <cellStyle name="40% - Énfasis6 5 2 3 2" xfId="20419" xr:uid="{00000000-0005-0000-0000-000047250000}"/>
    <cellStyle name="40% - Énfasis6 5 2 3 2 2" xfId="43062" xr:uid="{00000000-0005-0000-0000-000048250000}"/>
    <cellStyle name="40% - Énfasis6 5 2 3 3" xfId="12979" xr:uid="{00000000-0005-0000-0000-000049250000}"/>
    <cellStyle name="40% - Énfasis6 5 2 3 3 2" xfId="35622" xr:uid="{00000000-0005-0000-0000-00004A250000}"/>
    <cellStyle name="40% - Énfasis6 5 2 3 4" xfId="28181" xr:uid="{00000000-0005-0000-0000-00004B250000}"/>
    <cellStyle name="40% - Énfasis6 5 2 4" xfId="16701" xr:uid="{00000000-0005-0000-0000-00004C250000}"/>
    <cellStyle name="40% - Énfasis6 5 2 4 2" xfId="39344" xr:uid="{00000000-0005-0000-0000-00004D250000}"/>
    <cellStyle name="40% - Énfasis6 5 2 5" xfId="9261" xr:uid="{00000000-0005-0000-0000-00004E250000}"/>
    <cellStyle name="40% - Énfasis6 5 2 5 2" xfId="31904" xr:uid="{00000000-0005-0000-0000-00004F250000}"/>
    <cellStyle name="40% - Énfasis6 5 2 6" xfId="24463" xr:uid="{00000000-0005-0000-0000-000050250000}"/>
    <cellStyle name="40% - Énfasis6 5 3" xfId="2736" xr:uid="{00000000-0005-0000-0000-000051250000}"/>
    <cellStyle name="40% - Énfasis6 5 3 2" xfId="6457" xr:uid="{00000000-0005-0000-0000-000052250000}"/>
    <cellStyle name="40% - Énfasis6 5 3 2 2" xfId="21341" xr:uid="{00000000-0005-0000-0000-000053250000}"/>
    <cellStyle name="40% - Énfasis6 5 3 2 2 2" xfId="43984" xr:uid="{00000000-0005-0000-0000-000054250000}"/>
    <cellStyle name="40% - Énfasis6 5 3 2 3" xfId="13901" xr:uid="{00000000-0005-0000-0000-000055250000}"/>
    <cellStyle name="40% - Énfasis6 5 3 2 3 2" xfId="36544" xr:uid="{00000000-0005-0000-0000-000056250000}"/>
    <cellStyle name="40% - Énfasis6 5 3 2 4" xfId="29103" xr:uid="{00000000-0005-0000-0000-000057250000}"/>
    <cellStyle name="40% - Énfasis6 5 3 3" xfId="17623" xr:uid="{00000000-0005-0000-0000-000058250000}"/>
    <cellStyle name="40% - Énfasis6 5 3 3 2" xfId="40266" xr:uid="{00000000-0005-0000-0000-000059250000}"/>
    <cellStyle name="40% - Énfasis6 5 3 4" xfId="10183" xr:uid="{00000000-0005-0000-0000-00005A250000}"/>
    <cellStyle name="40% - Énfasis6 5 3 4 2" xfId="32826" xr:uid="{00000000-0005-0000-0000-00005B250000}"/>
    <cellStyle name="40% - Énfasis6 5 3 5" xfId="25385" xr:uid="{00000000-0005-0000-0000-00005C250000}"/>
    <cellStyle name="40% - Énfasis6 5 4" xfId="4610" xr:uid="{00000000-0005-0000-0000-00005D250000}"/>
    <cellStyle name="40% - Énfasis6 5 4 2" xfId="19494" xr:uid="{00000000-0005-0000-0000-00005E250000}"/>
    <cellStyle name="40% - Énfasis6 5 4 2 2" xfId="42137" xr:uid="{00000000-0005-0000-0000-00005F250000}"/>
    <cellStyle name="40% - Énfasis6 5 4 3" xfId="12054" xr:uid="{00000000-0005-0000-0000-000060250000}"/>
    <cellStyle name="40% - Énfasis6 5 4 3 2" xfId="34697" xr:uid="{00000000-0005-0000-0000-000061250000}"/>
    <cellStyle name="40% - Énfasis6 5 4 4" xfId="27256" xr:uid="{00000000-0005-0000-0000-000062250000}"/>
    <cellStyle name="40% - Énfasis6 5 5" xfId="880" xr:uid="{00000000-0005-0000-0000-000063250000}"/>
    <cellStyle name="40% - Énfasis6 5 5 2" xfId="15776" xr:uid="{00000000-0005-0000-0000-000064250000}"/>
    <cellStyle name="40% - Énfasis6 5 5 2 2" xfId="38419" xr:uid="{00000000-0005-0000-0000-000065250000}"/>
    <cellStyle name="40% - Énfasis6 5 5 3" xfId="23538" xr:uid="{00000000-0005-0000-0000-000066250000}"/>
    <cellStyle name="40% - Énfasis6 5 6" xfId="8336" xr:uid="{00000000-0005-0000-0000-000067250000}"/>
    <cellStyle name="40% - Énfasis6 5 6 2" xfId="30979" xr:uid="{00000000-0005-0000-0000-000068250000}"/>
    <cellStyle name="40% - Énfasis6 5 7" xfId="22921" xr:uid="{00000000-0005-0000-0000-000069250000}"/>
    <cellStyle name="40% - Énfasis6 6" xfId="1346" xr:uid="{00000000-0005-0000-0000-00006A250000}"/>
    <cellStyle name="40% - Énfasis6 6 2" xfId="3199" xr:uid="{00000000-0005-0000-0000-00006B250000}"/>
    <cellStyle name="40% - Énfasis6 6 2 2" xfId="6920" xr:uid="{00000000-0005-0000-0000-00006C250000}"/>
    <cellStyle name="40% - Énfasis6 6 2 2 2" xfId="21804" xr:uid="{00000000-0005-0000-0000-00006D250000}"/>
    <cellStyle name="40% - Énfasis6 6 2 2 2 2" xfId="44447" xr:uid="{00000000-0005-0000-0000-00006E250000}"/>
    <cellStyle name="40% - Énfasis6 6 2 2 3" xfId="14364" xr:uid="{00000000-0005-0000-0000-00006F250000}"/>
    <cellStyle name="40% - Énfasis6 6 2 2 3 2" xfId="37007" xr:uid="{00000000-0005-0000-0000-000070250000}"/>
    <cellStyle name="40% - Énfasis6 6 2 2 4" xfId="29566" xr:uid="{00000000-0005-0000-0000-000071250000}"/>
    <cellStyle name="40% - Énfasis6 6 2 3" xfId="18086" xr:uid="{00000000-0005-0000-0000-000072250000}"/>
    <cellStyle name="40% - Énfasis6 6 2 3 2" xfId="40729" xr:uid="{00000000-0005-0000-0000-000073250000}"/>
    <cellStyle name="40% - Énfasis6 6 2 4" xfId="10646" xr:uid="{00000000-0005-0000-0000-000074250000}"/>
    <cellStyle name="40% - Énfasis6 6 2 4 2" xfId="33289" xr:uid="{00000000-0005-0000-0000-000075250000}"/>
    <cellStyle name="40% - Énfasis6 6 2 5" xfId="25848" xr:uid="{00000000-0005-0000-0000-000076250000}"/>
    <cellStyle name="40% - Énfasis6 6 3" xfId="5073" xr:uid="{00000000-0005-0000-0000-000077250000}"/>
    <cellStyle name="40% - Énfasis6 6 3 2" xfId="19957" xr:uid="{00000000-0005-0000-0000-000078250000}"/>
    <cellStyle name="40% - Énfasis6 6 3 2 2" xfId="42600" xr:uid="{00000000-0005-0000-0000-000079250000}"/>
    <cellStyle name="40% - Énfasis6 6 3 3" xfId="12517" xr:uid="{00000000-0005-0000-0000-00007A250000}"/>
    <cellStyle name="40% - Énfasis6 6 3 3 2" xfId="35160" xr:uid="{00000000-0005-0000-0000-00007B250000}"/>
    <cellStyle name="40% - Énfasis6 6 3 4" xfId="27719" xr:uid="{00000000-0005-0000-0000-00007C250000}"/>
    <cellStyle name="40% - Énfasis6 6 4" xfId="16239" xr:uid="{00000000-0005-0000-0000-00007D250000}"/>
    <cellStyle name="40% - Énfasis6 6 4 2" xfId="38882" xr:uid="{00000000-0005-0000-0000-00007E250000}"/>
    <cellStyle name="40% - Énfasis6 6 5" xfId="8799" xr:uid="{00000000-0005-0000-0000-00007F250000}"/>
    <cellStyle name="40% - Énfasis6 6 5 2" xfId="31442" xr:uid="{00000000-0005-0000-0000-000080250000}"/>
    <cellStyle name="40% - Énfasis6 6 6" xfId="24001" xr:uid="{00000000-0005-0000-0000-000081250000}"/>
    <cellStyle name="40% - Énfasis6 7" xfId="2271" xr:uid="{00000000-0005-0000-0000-000082250000}"/>
    <cellStyle name="40% - Énfasis6 7 2" xfId="5995" xr:uid="{00000000-0005-0000-0000-000083250000}"/>
    <cellStyle name="40% - Énfasis6 7 2 2" xfId="20879" xr:uid="{00000000-0005-0000-0000-000084250000}"/>
    <cellStyle name="40% - Énfasis6 7 2 2 2" xfId="43522" xr:uid="{00000000-0005-0000-0000-000085250000}"/>
    <cellStyle name="40% - Énfasis6 7 2 3" xfId="13439" xr:uid="{00000000-0005-0000-0000-000086250000}"/>
    <cellStyle name="40% - Énfasis6 7 2 3 2" xfId="36082" xr:uid="{00000000-0005-0000-0000-000087250000}"/>
    <cellStyle name="40% - Énfasis6 7 2 4" xfId="28641" xr:uid="{00000000-0005-0000-0000-000088250000}"/>
    <cellStyle name="40% - Énfasis6 7 3" xfId="17161" xr:uid="{00000000-0005-0000-0000-000089250000}"/>
    <cellStyle name="40% - Énfasis6 7 3 2" xfId="39804" xr:uid="{00000000-0005-0000-0000-00008A250000}"/>
    <cellStyle name="40% - Énfasis6 7 4" xfId="9721" xr:uid="{00000000-0005-0000-0000-00008B250000}"/>
    <cellStyle name="40% - Énfasis6 7 4 2" xfId="32364" xr:uid="{00000000-0005-0000-0000-00008C250000}"/>
    <cellStyle name="40% - Énfasis6 7 5" xfId="24923" xr:uid="{00000000-0005-0000-0000-00008D250000}"/>
    <cellStyle name="40% - Énfasis6 8" xfId="4145" xr:uid="{00000000-0005-0000-0000-00008E250000}"/>
    <cellStyle name="40% - Énfasis6 8 2" xfId="19032" xr:uid="{00000000-0005-0000-0000-00008F250000}"/>
    <cellStyle name="40% - Énfasis6 8 2 2" xfId="41675" xr:uid="{00000000-0005-0000-0000-000090250000}"/>
    <cellStyle name="40% - Énfasis6 8 3" xfId="11592" xr:uid="{00000000-0005-0000-0000-000091250000}"/>
    <cellStyle name="40% - Énfasis6 8 3 2" xfId="34235" xr:uid="{00000000-0005-0000-0000-000092250000}"/>
    <cellStyle name="40% - Énfasis6 8 4" xfId="26794" xr:uid="{00000000-0005-0000-0000-000093250000}"/>
    <cellStyle name="40% - Énfasis6 9" xfId="380" xr:uid="{00000000-0005-0000-0000-000094250000}"/>
    <cellStyle name="40% - Énfasis6 9 2" xfId="15314" xr:uid="{00000000-0005-0000-0000-000095250000}"/>
    <cellStyle name="40% - Énfasis6 9 2 2" xfId="37957" xr:uid="{00000000-0005-0000-0000-000096250000}"/>
    <cellStyle name="40% - Énfasis6 9 3" xfId="23077" xr:uid="{00000000-0005-0000-0000-000097250000}"/>
    <cellStyle name="60% - Énfasis1" xfId="25" builtinId="32" customBuiltin="1"/>
    <cellStyle name="60% - Énfasis2" xfId="26" builtinId="36" customBuiltin="1"/>
    <cellStyle name="60% - Énfasis3" xfId="27" builtinId="40" customBuiltin="1"/>
    <cellStyle name="60% - Énfasis4" xfId="28" builtinId="44" customBuiltin="1"/>
    <cellStyle name="60% - Énfasis5" xfId="29" builtinId="48" customBuiltin="1"/>
    <cellStyle name="60% - Énfasis6" xfId="30" builtinId="52" customBuiltin="1"/>
    <cellStyle name="Bueno" xfId="31" builtinId="26" customBuiltin="1"/>
    <cellStyle name="Cálculo" xfId="32" builtinId="22" customBuiltin="1"/>
    <cellStyle name="Celda de comprobación" xfId="33" builtinId="23" customBuiltin="1"/>
    <cellStyle name="Celda vinculada" xfId="34" builtinId="24" customBuiltin="1"/>
    <cellStyle name="Encabezado 1" xfId="367" builtinId="16" customBuiltin="1"/>
    <cellStyle name="Encabezado 4" xfId="35" builtinId="19" customBuiltin="1"/>
    <cellStyle name="Énfasis1" xfId="36" builtinId="29" customBuiltin="1"/>
    <cellStyle name="Énfasis2" xfId="37" builtinId="33" customBuiltin="1"/>
    <cellStyle name="Énfasis3" xfId="38" builtinId="37" customBuiltin="1"/>
    <cellStyle name="Énfasis4" xfId="39" builtinId="41" customBuiltin="1"/>
    <cellStyle name="Énfasis5" xfId="40" builtinId="45" customBuiltin="1"/>
    <cellStyle name="Énfasis6" xfId="41" builtinId="49" customBuiltin="1"/>
    <cellStyle name="Entrada" xfId="42" builtinId="20" customBuiltin="1"/>
    <cellStyle name="Hipervínculo" xfId="43" builtinId="8"/>
    <cellStyle name="Hipervínculo 2" xfId="44" xr:uid="{00000000-0005-0000-0000-0000AB250000}"/>
    <cellStyle name="Hipervínculo 3" xfId="434" xr:uid="{00000000-0005-0000-0000-0000AC250000}"/>
    <cellStyle name="Hipervínculo visitado" xfId="45" builtinId="9" customBuiltin="1"/>
    <cellStyle name="Incorrecto" xfId="46" builtinId="27" customBuiltin="1"/>
    <cellStyle name="Millares" xfId="47" builtinId="3"/>
    <cellStyle name="Millares [0]" xfId="45426" builtinId="6"/>
    <cellStyle name="Millares [0] 2" xfId="45430" xr:uid="{00000000-0005-0000-0000-0000B1250000}"/>
    <cellStyle name="Millares 10" xfId="48" xr:uid="{00000000-0005-0000-0000-0000B2250000}"/>
    <cellStyle name="Millares 11" xfId="109" xr:uid="{00000000-0005-0000-0000-0000B3250000}"/>
    <cellStyle name="Millares 12" xfId="151" xr:uid="{00000000-0005-0000-0000-0000B4250000}"/>
    <cellStyle name="Millares 13" xfId="234" xr:uid="{00000000-0005-0000-0000-0000B5250000}"/>
    <cellStyle name="Millares 14" xfId="882" xr:uid="{00000000-0005-0000-0000-0000B6250000}"/>
    <cellStyle name="Millares 15" xfId="1348" xr:uid="{00000000-0005-0000-0000-0000B7250000}"/>
    <cellStyle name="Millares 16" xfId="2273" xr:uid="{00000000-0005-0000-0000-0000B8250000}"/>
    <cellStyle name="Millares 17" xfId="4147" xr:uid="{00000000-0005-0000-0000-0000B9250000}"/>
    <cellStyle name="Millares 18" xfId="382" xr:uid="{00000000-0005-0000-0000-0000BA250000}"/>
    <cellStyle name="Millares 19" xfId="7873" xr:uid="{00000000-0005-0000-0000-0000BB250000}"/>
    <cellStyle name="Millares 2" xfId="49" xr:uid="{00000000-0005-0000-0000-0000BC250000}"/>
    <cellStyle name="Millares 2 10" xfId="420" xr:uid="{00000000-0005-0000-0000-0000BD250000}"/>
    <cellStyle name="Millares 2 11" xfId="422" xr:uid="{00000000-0005-0000-0000-0000BE250000}"/>
    <cellStyle name="Millares 2 12" xfId="424" xr:uid="{00000000-0005-0000-0000-0000BF250000}"/>
    <cellStyle name="Millares 2 13" xfId="426" xr:uid="{00000000-0005-0000-0000-0000C0250000}"/>
    <cellStyle name="Millares 2 14" xfId="385" xr:uid="{00000000-0005-0000-0000-0000C1250000}"/>
    <cellStyle name="Millares 2 2" xfId="397" xr:uid="{00000000-0005-0000-0000-0000C2250000}"/>
    <cellStyle name="Millares 2 3" xfId="403" xr:uid="{00000000-0005-0000-0000-0000C3250000}"/>
    <cellStyle name="Millares 2 4" xfId="406" xr:uid="{00000000-0005-0000-0000-0000C4250000}"/>
    <cellStyle name="Millares 2 5" xfId="409" xr:uid="{00000000-0005-0000-0000-0000C5250000}"/>
    <cellStyle name="Millares 2 6" xfId="412" xr:uid="{00000000-0005-0000-0000-0000C6250000}"/>
    <cellStyle name="Millares 2 7" xfId="414" xr:uid="{00000000-0005-0000-0000-0000C7250000}"/>
    <cellStyle name="Millares 2 8" xfId="416" xr:uid="{00000000-0005-0000-0000-0000C8250000}"/>
    <cellStyle name="Millares 2 9" xfId="418" xr:uid="{00000000-0005-0000-0000-0000C9250000}"/>
    <cellStyle name="Millares 2_CALCULOS" xfId="399" xr:uid="{00000000-0005-0000-0000-0000CA250000}"/>
    <cellStyle name="Millares 20" xfId="22776" xr:uid="{00000000-0005-0000-0000-0000CB250000}"/>
    <cellStyle name="Millares 21" xfId="45432" xr:uid="{00000000-0005-0000-0000-0000CC250000}"/>
    <cellStyle name="Millares 22" xfId="45437" xr:uid="{00000000-0005-0000-0000-0000CD250000}"/>
    <cellStyle name="Millares 22 2" xfId="45522" xr:uid="{00000000-0005-0000-0000-0000CE250000}"/>
    <cellStyle name="Millares 23" xfId="45442" xr:uid="{00000000-0005-0000-0000-0000CF250000}"/>
    <cellStyle name="Millares 24" xfId="45443" xr:uid="{00000000-0005-0000-0000-0000D0250000}"/>
    <cellStyle name="Millares 25" xfId="45449" xr:uid="{00000000-0005-0000-0000-0000D1250000}"/>
    <cellStyle name="Millares 26" xfId="45450" xr:uid="{00000000-0005-0000-0000-0000D2250000}"/>
    <cellStyle name="Millares 27" xfId="45445" xr:uid="{00000000-0005-0000-0000-0000D3250000}"/>
    <cellStyle name="Millares 28" xfId="45467" xr:uid="{00000000-0005-0000-0000-0000D4250000}"/>
    <cellStyle name="Millares 29" xfId="45455" xr:uid="{00000000-0005-0000-0000-0000D5250000}"/>
    <cellStyle name="Millares 3" xfId="50" xr:uid="{00000000-0005-0000-0000-0000D6250000}"/>
    <cellStyle name="Millares 3 2" xfId="435" xr:uid="{00000000-0005-0000-0000-0000D7250000}"/>
    <cellStyle name="Millares 30" xfId="45472" xr:uid="{00000000-0005-0000-0000-0000D8250000}"/>
    <cellStyle name="Millares 31" xfId="45476" xr:uid="{00000000-0005-0000-0000-0000D9250000}"/>
    <cellStyle name="Millares 32" xfId="45473" xr:uid="{00000000-0005-0000-0000-0000DA250000}"/>
    <cellStyle name="Millares 33" xfId="45471" xr:uid="{00000000-0005-0000-0000-0000DB250000}"/>
    <cellStyle name="Millares 34" xfId="45478" xr:uid="{00000000-0005-0000-0000-0000DC250000}"/>
    <cellStyle name="Millares 35" xfId="45477" xr:uid="{00000000-0005-0000-0000-0000DD250000}"/>
    <cellStyle name="Millares 36" xfId="45469" xr:uid="{00000000-0005-0000-0000-0000DE250000}"/>
    <cellStyle name="Millares 37" xfId="45460" xr:uid="{00000000-0005-0000-0000-0000DF250000}"/>
    <cellStyle name="Millares 38" xfId="45446" xr:uid="{00000000-0005-0000-0000-0000E0250000}"/>
    <cellStyle name="Millares 39" xfId="45447" xr:uid="{00000000-0005-0000-0000-0000E1250000}"/>
    <cellStyle name="Millares 4" xfId="51" xr:uid="{00000000-0005-0000-0000-0000E2250000}"/>
    <cellStyle name="Millares 40" xfId="45468" xr:uid="{00000000-0005-0000-0000-0000E3250000}"/>
    <cellStyle name="Millares 41" xfId="45470" xr:uid="{00000000-0005-0000-0000-0000E4250000}"/>
    <cellStyle name="Millares 42" xfId="45465" xr:uid="{00000000-0005-0000-0000-0000E5250000}"/>
    <cellStyle name="Millares 43" xfId="45466" xr:uid="{00000000-0005-0000-0000-0000E6250000}"/>
    <cellStyle name="Millares 44" xfId="45444" xr:uid="{00000000-0005-0000-0000-0000E7250000}"/>
    <cellStyle name="Millares 45" xfId="45474" xr:uid="{00000000-0005-0000-0000-0000E8250000}"/>
    <cellStyle name="Millares 46" xfId="45479" xr:uid="{00000000-0005-0000-0000-0000E9250000}"/>
    <cellStyle name="Millares 47" xfId="45475" xr:uid="{00000000-0005-0000-0000-0000EA250000}"/>
    <cellStyle name="Millares 48" xfId="45481" xr:uid="{00000000-0005-0000-0000-0000EB250000}"/>
    <cellStyle name="Millares 49" xfId="45482" xr:uid="{00000000-0005-0000-0000-0000EC250000}"/>
    <cellStyle name="Millares 5" xfId="52" xr:uid="{00000000-0005-0000-0000-0000ED250000}"/>
    <cellStyle name="Millares 50" xfId="45487" xr:uid="{00000000-0005-0000-0000-0000EE250000}"/>
    <cellStyle name="Millares 51" xfId="45489" xr:uid="{00000000-0005-0000-0000-0000EF250000}"/>
    <cellStyle name="Millares 52" xfId="45494" xr:uid="{00000000-0005-0000-0000-0000F0250000}"/>
    <cellStyle name="Millares 53" xfId="45510" xr:uid="{00000000-0005-0000-0000-0000F1250000}"/>
    <cellStyle name="Millares 54" xfId="45508" xr:uid="{00000000-0005-0000-0000-0000F2250000}"/>
    <cellStyle name="Millares 55" xfId="45497" xr:uid="{00000000-0005-0000-0000-0000F3250000}"/>
    <cellStyle name="Millares 56" xfId="45512" xr:uid="{00000000-0005-0000-0000-0000F4250000}"/>
    <cellStyle name="Millares 57" xfId="45511" xr:uid="{00000000-0005-0000-0000-0000F5250000}"/>
    <cellStyle name="Millares 58" xfId="45485" xr:uid="{00000000-0005-0000-0000-0000F6250000}"/>
    <cellStyle name="Millares 59" xfId="45500" xr:uid="{00000000-0005-0000-0000-0000F7250000}"/>
    <cellStyle name="Millares 6" xfId="53" xr:uid="{00000000-0005-0000-0000-0000F8250000}"/>
    <cellStyle name="Millares 6 2" xfId="395" xr:uid="{00000000-0005-0000-0000-0000F9250000}"/>
    <cellStyle name="Millares 60" xfId="45484" xr:uid="{00000000-0005-0000-0000-0000FA250000}"/>
    <cellStyle name="Millares 61" xfId="45488" xr:uid="{00000000-0005-0000-0000-0000FB250000}"/>
    <cellStyle name="Millares 62" xfId="45483" xr:uid="{00000000-0005-0000-0000-0000FC250000}"/>
    <cellStyle name="Millares 63" xfId="45506" xr:uid="{00000000-0005-0000-0000-0000FD250000}"/>
    <cellStyle name="Millares 64" xfId="45503" xr:uid="{00000000-0005-0000-0000-0000FE250000}"/>
    <cellStyle name="Millares 65" xfId="45507" xr:uid="{00000000-0005-0000-0000-0000FF250000}"/>
    <cellStyle name="Millares 66" xfId="45514" xr:uid="{00000000-0005-0000-0000-000000260000}"/>
    <cellStyle name="Millares 67" xfId="45513" xr:uid="{00000000-0005-0000-0000-000001260000}"/>
    <cellStyle name="Millares 68" xfId="45516" xr:uid="{00000000-0005-0000-0000-000002260000}"/>
    <cellStyle name="Millares 69" xfId="45515" xr:uid="{00000000-0005-0000-0000-000003260000}"/>
    <cellStyle name="Millares 7" xfId="54" xr:uid="{00000000-0005-0000-0000-000004260000}"/>
    <cellStyle name="Millares 7 10" xfId="7894" xr:uid="{00000000-0005-0000-0000-000005260000}"/>
    <cellStyle name="Millares 7 10 2" xfId="30537" xr:uid="{00000000-0005-0000-0000-000006260000}"/>
    <cellStyle name="Millares 7 11" xfId="22777" xr:uid="{00000000-0005-0000-0000-000007260000}"/>
    <cellStyle name="Millares 7 2" xfId="55" xr:uid="{00000000-0005-0000-0000-000008260000}"/>
    <cellStyle name="Millares 7 2 10" xfId="22778" xr:uid="{00000000-0005-0000-0000-000009260000}"/>
    <cellStyle name="Millares 7 2 2" xfId="111" xr:uid="{00000000-0005-0000-0000-00000A260000}"/>
    <cellStyle name="Millares 7 2 2 2" xfId="193" xr:uid="{00000000-0005-0000-0000-00000B260000}"/>
    <cellStyle name="Millares 7 2 2 2 2" xfId="354" xr:uid="{00000000-0005-0000-0000-00000C260000}"/>
    <cellStyle name="Millares 7 2 2 2 2 2" xfId="2199" xr:uid="{00000000-0005-0000-0000-00000D260000}"/>
    <cellStyle name="Millares 7 2 2 2 2 2 2" xfId="4049" xr:uid="{00000000-0005-0000-0000-00000E260000}"/>
    <cellStyle name="Millares 7 2 2 2 2 2 2 2" xfId="7770" xr:uid="{00000000-0005-0000-0000-00000F260000}"/>
    <cellStyle name="Millares 7 2 2 2 2 2 2 2 2" xfId="22654" xr:uid="{00000000-0005-0000-0000-000010260000}"/>
    <cellStyle name="Millares 7 2 2 2 2 2 2 2 2 2" xfId="45297" xr:uid="{00000000-0005-0000-0000-000011260000}"/>
    <cellStyle name="Millares 7 2 2 2 2 2 2 2 3" xfId="15214" xr:uid="{00000000-0005-0000-0000-000012260000}"/>
    <cellStyle name="Millares 7 2 2 2 2 2 2 2 3 2" xfId="37857" xr:uid="{00000000-0005-0000-0000-000013260000}"/>
    <cellStyle name="Millares 7 2 2 2 2 2 2 2 4" xfId="30416" xr:uid="{00000000-0005-0000-0000-000014260000}"/>
    <cellStyle name="Millares 7 2 2 2 2 2 2 3" xfId="18936" xr:uid="{00000000-0005-0000-0000-000015260000}"/>
    <cellStyle name="Millares 7 2 2 2 2 2 2 3 2" xfId="41579" xr:uid="{00000000-0005-0000-0000-000016260000}"/>
    <cellStyle name="Millares 7 2 2 2 2 2 2 4" xfId="11496" xr:uid="{00000000-0005-0000-0000-000017260000}"/>
    <cellStyle name="Millares 7 2 2 2 2 2 2 4 2" xfId="34139" xr:uid="{00000000-0005-0000-0000-000018260000}"/>
    <cellStyle name="Millares 7 2 2 2 2 2 2 5" xfId="26698" xr:uid="{00000000-0005-0000-0000-000019260000}"/>
    <cellStyle name="Millares 7 2 2 2 2 2 3" xfId="5923" xr:uid="{00000000-0005-0000-0000-00001A260000}"/>
    <cellStyle name="Millares 7 2 2 2 2 2 3 2" xfId="20807" xr:uid="{00000000-0005-0000-0000-00001B260000}"/>
    <cellStyle name="Millares 7 2 2 2 2 2 3 2 2" xfId="43450" xr:uid="{00000000-0005-0000-0000-00001C260000}"/>
    <cellStyle name="Millares 7 2 2 2 2 2 3 3" xfId="13367" xr:uid="{00000000-0005-0000-0000-00001D260000}"/>
    <cellStyle name="Millares 7 2 2 2 2 2 3 3 2" xfId="36010" xr:uid="{00000000-0005-0000-0000-00001E260000}"/>
    <cellStyle name="Millares 7 2 2 2 2 2 3 4" xfId="28569" xr:uid="{00000000-0005-0000-0000-00001F260000}"/>
    <cellStyle name="Millares 7 2 2 2 2 2 4" xfId="17089" xr:uid="{00000000-0005-0000-0000-000020260000}"/>
    <cellStyle name="Millares 7 2 2 2 2 2 4 2" xfId="39732" xr:uid="{00000000-0005-0000-0000-000021260000}"/>
    <cellStyle name="Millares 7 2 2 2 2 2 5" xfId="9649" xr:uid="{00000000-0005-0000-0000-000022260000}"/>
    <cellStyle name="Millares 7 2 2 2 2 2 5 2" xfId="32292" xr:uid="{00000000-0005-0000-0000-000023260000}"/>
    <cellStyle name="Millares 7 2 2 2 2 2 6" xfId="24851" xr:uid="{00000000-0005-0000-0000-000024260000}"/>
    <cellStyle name="Millares 7 2 2 2 2 3" xfId="3124" xr:uid="{00000000-0005-0000-0000-000025260000}"/>
    <cellStyle name="Millares 7 2 2 2 2 3 2" xfId="6845" xr:uid="{00000000-0005-0000-0000-000026260000}"/>
    <cellStyle name="Millares 7 2 2 2 2 3 2 2" xfId="21729" xr:uid="{00000000-0005-0000-0000-000027260000}"/>
    <cellStyle name="Millares 7 2 2 2 2 3 2 2 2" xfId="44372" xr:uid="{00000000-0005-0000-0000-000028260000}"/>
    <cellStyle name="Millares 7 2 2 2 2 3 2 3" xfId="14289" xr:uid="{00000000-0005-0000-0000-000029260000}"/>
    <cellStyle name="Millares 7 2 2 2 2 3 2 3 2" xfId="36932" xr:uid="{00000000-0005-0000-0000-00002A260000}"/>
    <cellStyle name="Millares 7 2 2 2 2 3 2 4" xfId="29491" xr:uid="{00000000-0005-0000-0000-00002B260000}"/>
    <cellStyle name="Millares 7 2 2 2 2 3 3" xfId="18011" xr:uid="{00000000-0005-0000-0000-00002C260000}"/>
    <cellStyle name="Millares 7 2 2 2 2 3 3 2" xfId="40654" xr:uid="{00000000-0005-0000-0000-00002D260000}"/>
    <cellStyle name="Millares 7 2 2 2 2 3 4" xfId="10571" xr:uid="{00000000-0005-0000-0000-00002E260000}"/>
    <cellStyle name="Millares 7 2 2 2 2 3 4 2" xfId="33214" xr:uid="{00000000-0005-0000-0000-00002F260000}"/>
    <cellStyle name="Millares 7 2 2 2 2 3 5" xfId="25773" xr:uid="{00000000-0005-0000-0000-000030260000}"/>
    <cellStyle name="Millares 7 2 2 2 2 4" xfId="4998" xr:uid="{00000000-0005-0000-0000-000031260000}"/>
    <cellStyle name="Millares 7 2 2 2 2 4 2" xfId="19882" xr:uid="{00000000-0005-0000-0000-000032260000}"/>
    <cellStyle name="Millares 7 2 2 2 2 4 2 2" xfId="42525" xr:uid="{00000000-0005-0000-0000-000033260000}"/>
    <cellStyle name="Millares 7 2 2 2 2 4 3" xfId="12442" xr:uid="{00000000-0005-0000-0000-000034260000}"/>
    <cellStyle name="Millares 7 2 2 2 2 4 3 2" xfId="35085" xr:uid="{00000000-0005-0000-0000-000035260000}"/>
    <cellStyle name="Millares 7 2 2 2 2 4 4" xfId="27644" xr:uid="{00000000-0005-0000-0000-000036260000}"/>
    <cellStyle name="Millares 7 2 2 2 2 5" xfId="1271" xr:uid="{00000000-0005-0000-0000-000037260000}"/>
    <cellStyle name="Millares 7 2 2 2 2 5 2" xfId="16164" xr:uid="{00000000-0005-0000-0000-000038260000}"/>
    <cellStyle name="Millares 7 2 2 2 2 5 2 2" xfId="38807" xr:uid="{00000000-0005-0000-0000-000039260000}"/>
    <cellStyle name="Millares 7 2 2 2 2 5 3" xfId="23926" xr:uid="{00000000-0005-0000-0000-00003A260000}"/>
    <cellStyle name="Millares 7 2 2 2 2 6" xfId="8724" xr:uid="{00000000-0005-0000-0000-00003B260000}"/>
    <cellStyle name="Millares 7 2 2 2 2 6 2" xfId="31367" xr:uid="{00000000-0005-0000-0000-00003C260000}"/>
    <cellStyle name="Millares 7 2 2 2 2 7" xfId="23052" xr:uid="{00000000-0005-0000-0000-00003D260000}"/>
    <cellStyle name="Millares 7 2 2 2 3" xfId="1737" xr:uid="{00000000-0005-0000-0000-00003E260000}"/>
    <cellStyle name="Millares 7 2 2 2 3 2" xfId="3587" xr:uid="{00000000-0005-0000-0000-00003F260000}"/>
    <cellStyle name="Millares 7 2 2 2 3 2 2" xfId="7308" xr:uid="{00000000-0005-0000-0000-000040260000}"/>
    <cellStyle name="Millares 7 2 2 2 3 2 2 2" xfId="22192" xr:uid="{00000000-0005-0000-0000-000041260000}"/>
    <cellStyle name="Millares 7 2 2 2 3 2 2 2 2" xfId="44835" xr:uid="{00000000-0005-0000-0000-000042260000}"/>
    <cellStyle name="Millares 7 2 2 2 3 2 2 3" xfId="14752" xr:uid="{00000000-0005-0000-0000-000043260000}"/>
    <cellStyle name="Millares 7 2 2 2 3 2 2 3 2" xfId="37395" xr:uid="{00000000-0005-0000-0000-000044260000}"/>
    <cellStyle name="Millares 7 2 2 2 3 2 2 4" xfId="29954" xr:uid="{00000000-0005-0000-0000-000045260000}"/>
    <cellStyle name="Millares 7 2 2 2 3 2 3" xfId="18474" xr:uid="{00000000-0005-0000-0000-000046260000}"/>
    <cellStyle name="Millares 7 2 2 2 3 2 3 2" xfId="41117" xr:uid="{00000000-0005-0000-0000-000047260000}"/>
    <cellStyle name="Millares 7 2 2 2 3 2 4" xfId="11034" xr:uid="{00000000-0005-0000-0000-000048260000}"/>
    <cellStyle name="Millares 7 2 2 2 3 2 4 2" xfId="33677" xr:uid="{00000000-0005-0000-0000-000049260000}"/>
    <cellStyle name="Millares 7 2 2 2 3 2 5" xfId="26236" xr:uid="{00000000-0005-0000-0000-00004A260000}"/>
    <cellStyle name="Millares 7 2 2 2 3 3" xfId="5461" xr:uid="{00000000-0005-0000-0000-00004B260000}"/>
    <cellStyle name="Millares 7 2 2 2 3 3 2" xfId="20345" xr:uid="{00000000-0005-0000-0000-00004C260000}"/>
    <cellStyle name="Millares 7 2 2 2 3 3 2 2" xfId="42988" xr:uid="{00000000-0005-0000-0000-00004D260000}"/>
    <cellStyle name="Millares 7 2 2 2 3 3 3" xfId="12905" xr:uid="{00000000-0005-0000-0000-00004E260000}"/>
    <cellStyle name="Millares 7 2 2 2 3 3 3 2" xfId="35548" xr:uid="{00000000-0005-0000-0000-00004F260000}"/>
    <cellStyle name="Millares 7 2 2 2 3 3 4" xfId="28107" xr:uid="{00000000-0005-0000-0000-000050260000}"/>
    <cellStyle name="Millares 7 2 2 2 3 4" xfId="16627" xr:uid="{00000000-0005-0000-0000-000051260000}"/>
    <cellStyle name="Millares 7 2 2 2 3 4 2" xfId="39270" xr:uid="{00000000-0005-0000-0000-000052260000}"/>
    <cellStyle name="Millares 7 2 2 2 3 5" xfId="9187" xr:uid="{00000000-0005-0000-0000-000053260000}"/>
    <cellStyle name="Millares 7 2 2 2 3 5 2" xfId="31830" xr:uid="{00000000-0005-0000-0000-000054260000}"/>
    <cellStyle name="Millares 7 2 2 2 3 6" xfId="24389" xr:uid="{00000000-0005-0000-0000-000055260000}"/>
    <cellStyle name="Millares 7 2 2 2 4" xfId="2662" xr:uid="{00000000-0005-0000-0000-000056260000}"/>
    <cellStyle name="Millares 7 2 2 2 4 2" xfId="6383" xr:uid="{00000000-0005-0000-0000-000057260000}"/>
    <cellStyle name="Millares 7 2 2 2 4 2 2" xfId="21267" xr:uid="{00000000-0005-0000-0000-000058260000}"/>
    <cellStyle name="Millares 7 2 2 2 4 2 2 2" xfId="43910" xr:uid="{00000000-0005-0000-0000-000059260000}"/>
    <cellStyle name="Millares 7 2 2 2 4 2 3" xfId="13827" xr:uid="{00000000-0005-0000-0000-00005A260000}"/>
    <cellStyle name="Millares 7 2 2 2 4 2 3 2" xfId="36470" xr:uid="{00000000-0005-0000-0000-00005B260000}"/>
    <cellStyle name="Millares 7 2 2 2 4 2 4" xfId="29029" xr:uid="{00000000-0005-0000-0000-00005C260000}"/>
    <cellStyle name="Millares 7 2 2 2 4 3" xfId="17549" xr:uid="{00000000-0005-0000-0000-00005D260000}"/>
    <cellStyle name="Millares 7 2 2 2 4 3 2" xfId="40192" xr:uid="{00000000-0005-0000-0000-00005E260000}"/>
    <cellStyle name="Millares 7 2 2 2 4 4" xfId="10109" xr:uid="{00000000-0005-0000-0000-00005F260000}"/>
    <cellStyle name="Millares 7 2 2 2 4 4 2" xfId="32752" xr:uid="{00000000-0005-0000-0000-000060260000}"/>
    <cellStyle name="Millares 7 2 2 2 4 5" xfId="25311" xr:uid="{00000000-0005-0000-0000-000061260000}"/>
    <cellStyle name="Millares 7 2 2 2 5" xfId="4536" xr:uid="{00000000-0005-0000-0000-000062260000}"/>
    <cellStyle name="Millares 7 2 2 2 5 2" xfId="19420" xr:uid="{00000000-0005-0000-0000-000063260000}"/>
    <cellStyle name="Millares 7 2 2 2 5 2 2" xfId="42063" xr:uid="{00000000-0005-0000-0000-000064260000}"/>
    <cellStyle name="Millares 7 2 2 2 5 3" xfId="11980" xr:uid="{00000000-0005-0000-0000-000065260000}"/>
    <cellStyle name="Millares 7 2 2 2 5 3 2" xfId="34623" xr:uid="{00000000-0005-0000-0000-000066260000}"/>
    <cellStyle name="Millares 7 2 2 2 5 4" xfId="27182" xr:uid="{00000000-0005-0000-0000-000067260000}"/>
    <cellStyle name="Millares 7 2 2 2 6" xfId="806" xr:uid="{00000000-0005-0000-0000-000068260000}"/>
    <cellStyle name="Millares 7 2 2 2 6 2" xfId="15702" xr:uid="{00000000-0005-0000-0000-000069260000}"/>
    <cellStyle name="Millares 7 2 2 2 6 2 2" xfId="38345" xr:uid="{00000000-0005-0000-0000-00006A260000}"/>
    <cellStyle name="Millares 7 2 2 2 6 3" xfId="23464" xr:uid="{00000000-0005-0000-0000-00006B260000}"/>
    <cellStyle name="Millares 7 2 2 2 7" xfId="8262" xr:uid="{00000000-0005-0000-0000-00006C260000}"/>
    <cellStyle name="Millares 7 2 2 2 7 2" xfId="30905" xr:uid="{00000000-0005-0000-0000-00006D260000}"/>
    <cellStyle name="Millares 7 2 2 2 8" xfId="22896" xr:uid="{00000000-0005-0000-0000-00006E260000}"/>
    <cellStyle name="Millares 7 2 2 3" xfId="276" xr:uid="{00000000-0005-0000-0000-00006F260000}"/>
    <cellStyle name="Millares 7 2 2 3 2" xfId="1988" xr:uid="{00000000-0005-0000-0000-000070260000}"/>
    <cellStyle name="Millares 7 2 2 3 2 2" xfId="3838" xr:uid="{00000000-0005-0000-0000-000071260000}"/>
    <cellStyle name="Millares 7 2 2 3 2 2 2" xfId="7559" xr:uid="{00000000-0005-0000-0000-000072260000}"/>
    <cellStyle name="Millares 7 2 2 3 2 2 2 2" xfId="22443" xr:uid="{00000000-0005-0000-0000-000073260000}"/>
    <cellStyle name="Millares 7 2 2 3 2 2 2 2 2" xfId="45086" xr:uid="{00000000-0005-0000-0000-000074260000}"/>
    <cellStyle name="Millares 7 2 2 3 2 2 2 3" xfId="15003" xr:uid="{00000000-0005-0000-0000-000075260000}"/>
    <cellStyle name="Millares 7 2 2 3 2 2 2 3 2" xfId="37646" xr:uid="{00000000-0005-0000-0000-000076260000}"/>
    <cellStyle name="Millares 7 2 2 3 2 2 2 4" xfId="30205" xr:uid="{00000000-0005-0000-0000-000077260000}"/>
    <cellStyle name="Millares 7 2 2 3 2 2 3" xfId="18725" xr:uid="{00000000-0005-0000-0000-000078260000}"/>
    <cellStyle name="Millares 7 2 2 3 2 2 3 2" xfId="41368" xr:uid="{00000000-0005-0000-0000-000079260000}"/>
    <cellStyle name="Millares 7 2 2 3 2 2 4" xfId="11285" xr:uid="{00000000-0005-0000-0000-00007A260000}"/>
    <cellStyle name="Millares 7 2 2 3 2 2 4 2" xfId="33928" xr:uid="{00000000-0005-0000-0000-00007B260000}"/>
    <cellStyle name="Millares 7 2 2 3 2 2 5" xfId="26487" xr:uid="{00000000-0005-0000-0000-00007C260000}"/>
    <cellStyle name="Millares 7 2 2 3 2 3" xfId="5712" xr:uid="{00000000-0005-0000-0000-00007D260000}"/>
    <cellStyle name="Millares 7 2 2 3 2 3 2" xfId="20596" xr:uid="{00000000-0005-0000-0000-00007E260000}"/>
    <cellStyle name="Millares 7 2 2 3 2 3 2 2" xfId="43239" xr:uid="{00000000-0005-0000-0000-00007F260000}"/>
    <cellStyle name="Millares 7 2 2 3 2 3 3" xfId="13156" xr:uid="{00000000-0005-0000-0000-000080260000}"/>
    <cellStyle name="Millares 7 2 2 3 2 3 3 2" xfId="35799" xr:uid="{00000000-0005-0000-0000-000081260000}"/>
    <cellStyle name="Millares 7 2 2 3 2 3 4" xfId="28358" xr:uid="{00000000-0005-0000-0000-000082260000}"/>
    <cellStyle name="Millares 7 2 2 3 2 4" xfId="16878" xr:uid="{00000000-0005-0000-0000-000083260000}"/>
    <cellStyle name="Millares 7 2 2 3 2 4 2" xfId="39521" xr:uid="{00000000-0005-0000-0000-000084260000}"/>
    <cellStyle name="Millares 7 2 2 3 2 5" xfId="9438" xr:uid="{00000000-0005-0000-0000-000085260000}"/>
    <cellStyle name="Millares 7 2 2 3 2 5 2" xfId="32081" xr:uid="{00000000-0005-0000-0000-000086260000}"/>
    <cellStyle name="Millares 7 2 2 3 2 6" xfId="24640" xr:uid="{00000000-0005-0000-0000-000087260000}"/>
    <cellStyle name="Millares 7 2 2 3 3" xfId="2913" xr:uid="{00000000-0005-0000-0000-000088260000}"/>
    <cellStyle name="Millares 7 2 2 3 3 2" xfId="6634" xr:uid="{00000000-0005-0000-0000-000089260000}"/>
    <cellStyle name="Millares 7 2 2 3 3 2 2" xfId="21518" xr:uid="{00000000-0005-0000-0000-00008A260000}"/>
    <cellStyle name="Millares 7 2 2 3 3 2 2 2" xfId="44161" xr:uid="{00000000-0005-0000-0000-00008B260000}"/>
    <cellStyle name="Millares 7 2 2 3 3 2 3" xfId="14078" xr:uid="{00000000-0005-0000-0000-00008C260000}"/>
    <cellStyle name="Millares 7 2 2 3 3 2 3 2" xfId="36721" xr:uid="{00000000-0005-0000-0000-00008D260000}"/>
    <cellStyle name="Millares 7 2 2 3 3 2 4" xfId="29280" xr:uid="{00000000-0005-0000-0000-00008E260000}"/>
    <cellStyle name="Millares 7 2 2 3 3 3" xfId="17800" xr:uid="{00000000-0005-0000-0000-00008F260000}"/>
    <cellStyle name="Millares 7 2 2 3 3 3 2" xfId="40443" xr:uid="{00000000-0005-0000-0000-000090260000}"/>
    <cellStyle name="Millares 7 2 2 3 3 4" xfId="10360" xr:uid="{00000000-0005-0000-0000-000091260000}"/>
    <cellStyle name="Millares 7 2 2 3 3 4 2" xfId="33003" xr:uid="{00000000-0005-0000-0000-000092260000}"/>
    <cellStyle name="Millares 7 2 2 3 3 5" xfId="25562" xr:uid="{00000000-0005-0000-0000-000093260000}"/>
    <cellStyle name="Millares 7 2 2 3 4" xfId="4787" xr:uid="{00000000-0005-0000-0000-000094260000}"/>
    <cellStyle name="Millares 7 2 2 3 4 2" xfId="19671" xr:uid="{00000000-0005-0000-0000-000095260000}"/>
    <cellStyle name="Millares 7 2 2 3 4 2 2" xfId="42314" xr:uid="{00000000-0005-0000-0000-000096260000}"/>
    <cellStyle name="Millares 7 2 2 3 4 3" xfId="12231" xr:uid="{00000000-0005-0000-0000-000097260000}"/>
    <cellStyle name="Millares 7 2 2 3 4 3 2" xfId="34874" xr:uid="{00000000-0005-0000-0000-000098260000}"/>
    <cellStyle name="Millares 7 2 2 3 4 4" xfId="27433" xr:uid="{00000000-0005-0000-0000-000099260000}"/>
    <cellStyle name="Millares 7 2 2 3 5" xfId="1060" xr:uid="{00000000-0005-0000-0000-00009A260000}"/>
    <cellStyle name="Millares 7 2 2 3 5 2" xfId="15953" xr:uid="{00000000-0005-0000-0000-00009B260000}"/>
    <cellStyle name="Millares 7 2 2 3 5 2 2" xfId="38596" xr:uid="{00000000-0005-0000-0000-00009C260000}"/>
    <cellStyle name="Millares 7 2 2 3 5 3" xfId="23715" xr:uid="{00000000-0005-0000-0000-00009D260000}"/>
    <cellStyle name="Millares 7 2 2 3 6" xfId="8513" xr:uid="{00000000-0005-0000-0000-00009E260000}"/>
    <cellStyle name="Millares 7 2 2 3 6 2" xfId="31156" xr:uid="{00000000-0005-0000-0000-00009F260000}"/>
    <cellStyle name="Millares 7 2 2 3 7" xfId="22974" xr:uid="{00000000-0005-0000-0000-0000A0260000}"/>
    <cellStyle name="Millares 7 2 2 4" xfId="1526" xr:uid="{00000000-0005-0000-0000-0000A1260000}"/>
    <cellStyle name="Millares 7 2 2 4 2" xfId="3376" xr:uid="{00000000-0005-0000-0000-0000A2260000}"/>
    <cellStyle name="Millares 7 2 2 4 2 2" xfId="7097" xr:uid="{00000000-0005-0000-0000-0000A3260000}"/>
    <cellStyle name="Millares 7 2 2 4 2 2 2" xfId="21981" xr:uid="{00000000-0005-0000-0000-0000A4260000}"/>
    <cellStyle name="Millares 7 2 2 4 2 2 2 2" xfId="44624" xr:uid="{00000000-0005-0000-0000-0000A5260000}"/>
    <cellStyle name="Millares 7 2 2 4 2 2 3" xfId="14541" xr:uid="{00000000-0005-0000-0000-0000A6260000}"/>
    <cellStyle name="Millares 7 2 2 4 2 2 3 2" xfId="37184" xr:uid="{00000000-0005-0000-0000-0000A7260000}"/>
    <cellStyle name="Millares 7 2 2 4 2 2 4" xfId="29743" xr:uid="{00000000-0005-0000-0000-0000A8260000}"/>
    <cellStyle name="Millares 7 2 2 4 2 3" xfId="18263" xr:uid="{00000000-0005-0000-0000-0000A9260000}"/>
    <cellStyle name="Millares 7 2 2 4 2 3 2" xfId="40906" xr:uid="{00000000-0005-0000-0000-0000AA260000}"/>
    <cellStyle name="Millares 7 2 2 4 2 4" xfId="10823" xr:uid="{00000000-0005-0000-0000-0000AB260000}"/>
    <cellStyle name="Millares 7 2 2 4 2 4 2" xfId="33466" xr:uid="{00000000-0005-0000-0000-0000AC260000}"/>
    <cellStyle name="Millares 7 2 2 4 2 5" xfId="26025" xr:uid="{00000000-0005-0000-0000-0000AD260000}"/>
    <cellStyle name="Millares 7 2 2 4 3" xfId="5250" xr:uid="{00000000-0005-0000-0000-0000AE260000}"/>
    <cellStyle name="Millares 7 2 2 4 3 2" xfId="20134" xr:uid="{00000000-0005-0000-0000-0000AF260000}"/>
    <cellStyle name="Millares 7 2 2 4 3 2 2" xfId="42777" xr:uid="{00000000-0005-0000-0000-0000B0260000}"/>
    <cellStyle name="Millares 7 2 2 4 3 3" xfId="12694" xr:uid="{00000000-0005-0000-0000-0000B1260000}"/>
    <cellStyle name="Millares 7 2 2 4 3 3 2" xfId="35337" xr:uid="{00000000-0005-0000-0000-0000B2260000}"/>
    <cellStyle name="Millares 7 2 2 4 3 4" xfId="27896" xr:uid="{00000000-0005-0000-0000-0000B3260000}"/>
    <cellStyle name="Millares 7 2 2 4 4" xfId="16416" xr:uid="{00000000-0005-0000-0000-0000B4260000}"/>
    <cellStyle name="Millares 7 2 2 4 4 2" xfId="39059" xr:uid="{00000000-0005-0000-0000-0000B5260000}"/>
    <cellStyle name="Millares 7 2 2 4 5" xfId="8976" xr:uid="{00000000-0005-0000-0000-0000B6260000}"/>
    <cellStyle name="Millares 7 2 2 4 5 2" xfId="31619" xr:uid="{00000000-0005-0000-0000-0000B7260000}"/>
    <cellStyle name="Millares 7 2 2 4 6" xfId="24178" xr:uid="{00000000-0005-0000-0000-0000B8260000}"/>
    <cellStyle name="Millares 7 2 2 5" xfId="2451" xr:uid="{00000000-0005-0000-0000-0000B9260000}"/>
    <cellStyle name="Millares 7 2 2 5 2" xfId="6172" xr:uid="{00000000-0005-0000-0000-0000BA260000}"/>
    <cellStyle name="Millares 7 2 2 5 2 2" xfId="21056" xr:uid="{00000000-0005-0000-0000-0000BB260000}"/>
    <cellStyle name="Millares 7 2 2 5 2 2 2" xfId="43699" xr:uid="{00000000-0005-0000-0000-0000BC260000}"/>
    <cellStyle name="Millares 7 2 2 5 2 3" xfId="13616" xr:uid="{00000000-0005-0000-0000-0000BD260000}"/>
    <cellStyle name="Millares 7 2 2 5 2 3 2" xfId="36259" xr:uid="{00000000-0005-0000-0000-0000BE260000}"/>
    <cellStyle name="Millares 7 2 2 5 2 4" xfId="28818" xr:uid="{00000000-0005-0000-0000-0000BF260000}"/>
    <cellStyle name="Millares 7 2 2 5 3" xfId="17338" xr:uid="{00000000-0005-0000-0000-0000C0260000}"/>
    <cellStyle name="Millares 7 2 2 5 3 2" xfId="39981" xr:uid="{00000000-0005-0000-0000-0000C1260000}"/>
    <cellStyle name="Millares 7 2 2 5 4" xfId="9898" xr:uid="{00000000-0005-0000-0000-0000C2260000}"/>
    <cellStyle name="Millares 7 2 2 5 4 2" xfId="32541" xr:uid="{00000000-0005-0000-0000-0000C3260000}"/>
    <cellStyle name="Millares 7 2 2 5 5" xfId="25100" xr:uid="{00000000-0005-0000-0000-0000C4260000}"/>
    <cellStyle name="Millares 7 2 2 6" xfId="4325" xr:uid="{00000000-0005-0000-0000-0000C5260000}"/>
    <cellStyle name="Millares 7 2 2 6 2" xfId="19209" xr:uid="{00000000-0005-0000-0000-0000C6260000}"/>
    <cellStyle name="Millares 7 2 2 6 2 2" xfId="41852" xr:uid="{00000000-0005-0000-0000-0000C7260000}"/>
    <cellStyle name="Millares 7 2 2 6 3" xfId="11769" xr:uid="{00000000-0005-0000-0000-0000C8260000}"/>
    <cellStyle name="Millares 7 2 2 6 3 2" xfId="34412" xr:uid="{00000000-0005-0000-0000-0000C9260000}"/>
    <cellStyle name="Millares 7 2 2 6 4" xfId="26971" xr:uid="{00000000-0005-0000-0000-0000CA260000}"/>
    <cellStyle name="Millares 7 2 2 7" xfId="594" xr:uid="{00000000-0005-0000-0000-0000CB260000}"/>
    <cellStyle name="Millares 7 2 2 7 2" xfId="15491" xr:uid="{00000000-0005-0000-0000-0000CC260000}"/>
    <cellStyle name="Millares 7 2 2 7 2 2" xfId="38134" xr:uid="{00000000-0005-0000-0000-0000CD260000}"/>
    <cellStyle name="Millares 7 2 2 7 3" xfId="23254" xr:uid="{00000000-0005-0000-0000-0000CE260000}"/>
    <cellStyle name="Millares 7 2 2 8" xfId="8051" xr:uid="{00000000-0005-0000-0000-0000CF260000}"/>
    <cellStyle name="Millares 7 2 2 8 2" xfId="30694" xr:uid="{00000000-0005-0000-0000-0000D0260000}"/>
    <cellStyle name="Millares 7 2 2 9" xfId="22818" xr:uid="{00000000-0005-0000-0000-0000D1260000}"/>
    <cellStyle name="Millares 7 2 3" xfId="153" xr:uid="{00000000-0005-0000-0000-0000D2260000}"/>
    <cellStyle name="Millares 7 2 3 2" xfId="315" xr:uid="{00000000-0005-0000-0000-0000D3260000}"/>
    <cellStyle name="Millares 7 2 3 2 2" xfId="2094" xr:uid="{00000000-0005-0000-0000-0000D4260000}"/>
    <cellStyle name="Millares 7 2 3 2 2 2" xfId="3944" xr:uid="{00000000-0005-0000-0000-0000D5260000}"/>
    <cellStyle name="Millares 7 2 3 2 2 2 2" xfId="7665" xr:uid="{00000000-0005-0000-0000-0000D6260000}"/>
    <cellStyle name="Millares 7 2 3 2 2 2 2 2" xfId="22549" xr:uid="{00000000-0005-0000-0000-0000D7260000}"/>
    <cellStyle name="Millares 7 2 3 2 2 2 2 2 2" xfId="45192" xr:uid="{00000000-0005-0000-0000-0000D8260000}"/>
    <cellStyle name="Millares 7 2 3 2 2 2 2 3" xfId="15109" xr:uid="{00000000-0005-0000-0000-0000D9260000}"/>
    <cellStyle name="Millares 7 2 3 2 2 2 2 3 2" xfId="37752" xr:uid="{00000000-0005-0000-0000-0000DA260000}"/>
    <cellStyle name="Millares 7 2 3 2 2 2 2 4" xfId="30311" xr:uid="{00000000-0005-0000-0000-0000DB260000}"/>
    <cellStyle name="Millares 7 2 3 2 2 2 3" xfId="18831" xr:uid="{00000000-0005-0000-0000-0000DC260000}"/>
    <cellStyle name="Millares 7 2 3 2 2 2 3 2" xfId="41474" xr:uid="{00000000-0005-0000-0000-0000DD260000}"/>
    <cellStyle name="Millares 7 2 3 2 2 2 4" xfId="11391" xr:uid="{00000000-0005-0000-0000-0000DE260000}"/>
    <cellStyle name="Millares 7 2 3 2 2 2 4 2" xfId="34034" xr:uid="{00000000-0005-0000-0000-0000DF260000}"/>
    <cellStyle name="Millares 7 2 3 2 2 2 5" xfId="26593" xr:uid="{00000000-0005-0000-0000-0000E0260000}"/>
    <cellStyle name="Millares 7 2 3 2 2 3" xfId="5818" xr:uid="{00000000-0005-0000-0000-0000E1260000}"/>
    <cellStyle name="Millares 7 2 3 2 2 3 2" xfId="20702" xr:uid="{00000000-0005-0000-0000-0000E2260000}"/>
    <cellStyle name="Millares 7 2 3 2 2 3 2 2" xfId="43345" xr:uid="{00000000-0005-0000-0000-0000E3260000}"/>
    <cellStyle name="Millares 7 2 3 2 2 3 3" xfId="13262" xr:uid="{00000000-0005-0000-0000-0000E4260000}"/>
    <cellStyle name="Millares 7 2 3 2 2 3 3 2" xfId="35905" xr:uid="{00000000-0005-0000-0000-0000E5260000}"/>
    <cellStyle name="Millares 7 2 3 2 2 3 4" xfId="28464" xr:uid="{00000000-0005-0000-0000-0000E6260000}"/>
    <cellStyle name="Millares 7 2 3 2 2 4" xfId="16984" xr:uid="{00000000-0005-0000-0000-0000E7260000}"/>
    <cellStyle name="Millares 7 2 3 2 2 4 2" xfId="39627" xr:uid="{00000000-0005-0000-0000-0000E8260000}"/>
    <cellStyle name="Millares 7 2 3 2 2 5" xfId="9544" xr:uid="{00000000-0005-0000-0000-0000E9260000}"/>
    <cellStyle name="Millares 7 2 3 2 2 5 2" xfId="32187" xr:uid="{00000000-0005-0000-0000-0000EA260000}"/>
    <cellStyle name="Millares 7 2 3 2 2 6" xfId="24746" xr:uid="{00000000-0005-0000-0000-0000EB260000}"/>
    <cellStyle name="Millares 7 2 3 2 3" xfId="3019" xr:uid="{00000000-0005-0000-0000-0000EC260000}"/>
    <cellStyle name="Millares 7 2 3 2 3 2" xfId="6740" xr:uid="{00000000-0005-0000-0000-0000ED260000}"/>
    <cellStyle name="Millares 7 2 3 2 3 2 2" xfId="21624" xr:uid="{00000000-0005-0000-0000-0000EE260000}"/>
    <cellStyle name="Millares 7 2 3 2 3 2 2 2" xfId="44267" xr:uid="{00000000-0005-0000-0000-0000EF260000}"/>
    <cellStyle name="Millares 7 2 3 2 3 2 3" xfId="14184" xr:uid="{00000000-0005-0000-0000-0000F0260000}"/>
    <cellStyle name="Millares 7 2 3 2 3 2 3 2" xfId="36827" xr:uid="{00000000-0005-0000-0000-0000F1260000}"/>
    <cellStyle name="Millares 7 2 3 2 3 2 4" xfId="29386" xr:uid="{00000000-0005-0000-0000-0000F2260000}"/>
    <cellStyle name="Millares 7 2 3 2 3 3" xfId="17906" xr:uid="{00000000-0005-0000-0000-0000F3260000}"/>
    <cellStyle name="Millares 7 2 3 2 3 3 2" xfId="40549" xr:uid="{00000000-0005-0000-0000-0000F4260000}"/>
    <cellStyle name="Millares 7 2 3 2 3 4" xfId="10466" xr:uid="{00000000-0005-0000-0000-0000F5260000}"/>
    <cellStyle name="Millares 7 2 3 2 3 4 2" xfId="33109" xr:uid="{00000000-0005-0000-0000-0000F6260000}"/>
    <cellStyle name="Millares 7 2 3 2 3 5" xfId="25668" xr:uid="{00000000-0005-0000-0000-0000F7260000}"/>
    <cellStyle name="Millares 7 2 3 2 4" xfId="4893" xr:uid="{00000000-0005-0000-0000-0000F8260000}"/>
    <cellStyle name="Millares 7 2 3 2 4 2" xfId="19777" xr:uid="{00000000-0005-0000-0000-0000F9260000}"/>
    <cellStyle name="Millares 7 2 3 2 4 2 2" xfId="42420" xr:uid="{00000000-0005-0000-0000-0000FA260000}"/>
    <cellStyle name="Millares 7 2 3 2 4 3" xfId="12337" xr:uid="{00000000-0005-0000-0000-0000FB260000}"/>
    <cellStyle name="Millares 7 2 3 2 4 3 2" xfId="34980" xr:uid="{00000000-0005-0000-0000-0000FC260000}"/>
    <cellStyle name="Millares 7 2 3 2 4 4" xfId="27539" xr:uid="{00000000-0005-0000-0000-0000FD260000}"/>
    <cellStyle name="Millares 7 2 3 2 5" xfId="1166" xr:uid="{00000000-0005-0000-0000-0000FE260000}"/>
    <cellStyle name="Millares 7 2 3 2 5 2" xfId="16059" xr:uid="{00000000-0005-0000-0000-0000FF260000}"/>
    <cellStyle name="Millares 7 2 3 2 5 2 2" xfId="38702" xr:uid="{00000000-0005-0000-0000-000000270000}"/>
    <cellStyle name="Millares 7 2 3 2 5 3" xfId="23821" xr:uid="{00000000-0005-0000-0000-000001270000}"/>
    <cellStyle name="Millares 7 2 3 2 6" xfId="8619" xr:uid="{00000000-0005-0000-0000-000002270000}"/>
    <cellStyle name="Millares 7 2 3 2 6 2" xfId="31262" xr:uid="{00000000-0005-0000-0000-000003270000}"/>
    <cellStyle name="Millares 7 2 3 2 7" xfId="23013" xr:uid="{00000000-0005-0000-0000-000004270000}"/>
    <cellStyle name="Millares 7 2 3 3" xfId="1632" xr:uid="{00000000-0005-0000-0000-000005270000}"/>
    <cellStyle name="Millares 7 2 3 3 2" xfId="3482" xr:uid="{00000000-0005-0000-0000-000006270000}"/>
    <cellStyle name="Millares 7 2 3 3 2 2" xfId="7203" xr:uid="{00000000-0005-0000-0000-000007270000}"/>
    <cellStyle name="Millares 7 2 3 3 2 2 2" xfId="22087" xr:uid="{00000000-0005-0000-0000-000008270000}"/>
    <cellStyle name="Millares 7 2 3 3 2 2 2 2" xfId="44730" xr:uid="{00000000-0005-0000-0000-000009270000}"/>
    <cellStyle name="Millares 7 2 3 3 2 2 3" xfId="14647" xr:uid="{00000000-0005-0000-0000-00000A270000}"/>
    <cellStyle name="Millares 7 2 3 3 2 2 3 2" xfId="37290" xr:uid="{00000000-0005-0000-0000-00000B270000}"/>
    <cellStyle name="Millares 7 2 3 3 2 2 4" xfId="29849" xr:uid="{00000000-0005-0000-0000-00000C270000}"/>
    <cellStyle name="Millares 7 2 3 3 2 3" xfId="18369" xr:uid="{00000000-0005-0000-0000-00000D270000}"/>
    <cellStyle name="Millares 7 2 3 3 2 3 2" xfId="41012" xr:uid="{00000000-0005-0000-0000-00000E270000}"/>
    <cellStyle name="Millares 7 2 3 3 2 4" xfId="10929" xr:uid="{00000000-0005-0000-0000-00000F270000}"/>
    <cellStyle name="Millares 7 2 3 3 2 4 2" xfId="33572" xr:uid="{00000000-0005-0000-0000-000010270000}"/>
    <cellStyle name="Millares 7 2 3 3 2 5" xfId="26131" xr:uid="{00000000-0005-0000-0000-000011270000}"/>
    <cellStyle name="Millares 7 2 3 3 3" xfId="5356" xr:uid="{00000000-0005-0000-0000-000012270000}"/>
    <cellStyle name="Millares 7 2 3 3 3 2" xfId="20240" xr:uid="{00000000-0005-0000-0000-000013270000}"/>
    <cellStyle name="Millares 7 2 3 3 3 2 2" xfId="42883" xr:uid="{00000000-0005-0000-0000-000014270000}"/>
    <cellStyle name="Millares 7 2 3 3 3 3" xfId="12800" xr:uid="{00000000-0005-0000-0000-000015270000}"/>
    <cellStyle name="Millares 7 2 3 3 3 3 2" xfId="35443" xr:uid="{00000000-0005-0000-0000-000016270000}"/>
    <cellStyle name="Millares 7 2 3 3 3 4" xfId="28002" xr:uid="{00000000-0005-0000-0000-000017270000}"/>
    <cellStyle name="Millares 7 2 3 3 4" xfId="16522" xr:uid="{00000000-0005-0000-0000-000018270000}"/>
    <cellStyle name="Millares 7 2 3 3 4 2" xfId="39165" xr:uid="{00000000-0005-0000-0000-000019270000}"/>
    <cellStyle name="Millares 7 2 3 3 5" xfId="9082" xr:uid="{00000000-0005-0000-0000-00001A270000}"/>
    <cellStyle name="Millares 7 2 3 3 5 2" xfId="31725" xr:uid="{00000000-0005-0000-0000-00001B270000}"/>
    <cellStyle name="Millares 7 2 3 3 6" xfId="24284" xr:uid="{00000000-0005-0000-0000-00001C270000}"/>
    <cellStyle name="Millares 7 2 3 4" xfId="2557" xr:uid="{00000000-0005-0000-0000-00001D270000}"/>
    <cellStyle name="Millares 7 2 3 4 2" xfId="6278" xr:uid="{00000000-0005-0000-0000-00001E270000}"/>
    <cellStyle name="Millares 7 2 3 4 2 2" xfId="21162" xr:uid="{00000000-0005-0000-0000-00001F270000}"/>
    <cellStyle name="Millares 7 2 3 4 2 2 2" xfId="43805" xr:uid="{00000000-0005-0000-0000-000020270000}"/>
    <cellStyle name="Millares 7 2 3 4 2 3" xfId="13722" xr:uid="{00000000-0005-0000-0000-000021270000}"/>
    <cellStyle name="Millares 7 2 3 4 2 3 2" xfId="36365" xr:uid="{00000000-0005-0000-0000-000022270000}"/>
    <cellStyle name="Millares 7 2 3 4 2 4" xfId="28924" xr:uid="{00000000-0005-0000-0000-000023270000}"/>
    <cellStyle name="Millares 7 2 3 4 3" xfId="17444" xr:uid="{00000000-0005-0000-0000-000024270000}"/>
    <cellStyle name="Millares 7 2 3 4 3 2" xfId="40087" xr:uid="{00000000-0005-0000-0000-000025270000}"/>
    <cellStyle name="Millares 7 2 3 4 4" xfId="10004" xr:uid="{00000000-0005-0000-0000-000026270000}"/>
    <cellStyle name="Millares 7 2 3 4 4 2" xfId="32647" xr:uid="{00000000-0005-0000-0000-000027270000}"/>
    <cellStyle name="Millares 7 2 3 4 5" xfId="25206" xr:uid="{00000000-0005-0000-0000-000028270000}"/>
    <cellStyle name="Millares 7 2 3 5" xfId="4431" xr:uid="{00000000-0005-0000-0000-000029270000}"/>
    <cellStyle name="Millares 7 2 3 5 2" xfId="19315" xr:uid="{00000000-0005-0000-0000-00002A270000}"/>
    <cellStyle name="Millares 7 2 3 5 2 2" xfId="41958" xr:uid="{00000000-0005-0000-0000-00002B270000}"/>
    <cellStyle name="Millares 7 2 3 5 3" xfId="11875" xr:uid="{00000000-0005-0000-0000-00002C270000}"/>
    <cellStyle name="Millares 7 2 3 5 3 2" xfId="34518" xr:uid="{00000000-0005-0000-0000-00002D270000}"/>
    <cellStyle name="Millares 7 2 3 5 4" xfId="27077" xr:uid="{00000000-0005-0000-0000-00002E270000}"/>
    <cellStyle name="Millares 7 2 3 6" xfId="701" xr:uid="{00000000-0005-0000-0000-00002F270000}"/>
    <cellStyle name="Millares 7 2 3 6 2" xfId="15597" xr:uid="{00000000-0005-0000-0000-000030270000}"/>
    <cellStyle name="Millares 7 2 3 6 2 2" xfId="38240" xr:uid="{00000000-0005-0000-0000-000031270000}"/>
    <cellStyle name="Millares 7 2 3 6 3" xfId="23359" xr:uid="{00000000-0005-0000-0000-000032270000}"/>
    <cellStyle name="Millares 7 2 3 7" xfId="8157" xr:uid="{00000000-0005-0000-0000-000033270000}"/>
    <cellStyle name="Millares 7 2 3 7 2" xfId="30800" xr:uid="{00000000-0005-0000-0000-000034270000}"/>
    <cellStyle name="Millares 7 2 3 8" xfId="22857" xr:uid="{00000000-0005-0000-0000-000035270000}"/>
    <cellStyle name="Millares 7 2 4" xfId="236" xr:uid="{00000000-0005-0000-0000-000036270000}"/>
    <cellStyle name="Millares 7 2 4 2" xfId="1883" xr:uid="{00000000-0005-0000-0000-000037270000}"/>
    <cellStyle name="Millares 7 2 4 2 2" xfId="3733" xr:uid="{00000000-0005-0000-0000-000038270000}"/>
    <cellStyle name="Millares 7 2 4 2 2 2" xfId="7454" xr:uid="{00000000-0005-0000-0000-000039270000}"/>
    <cellStyle name="Millares 7 2 4 2 2 2 2" xfId="22338" xr:uid="{00000000-0005-0000-0000-00003A270000}"/>
    <cellStyle name="Millares 7 2 4 2 2 2 2 2" xfId="44981" xr:uid="{00000000-0005-0000-0000-00003B270000}"/>
    <cellStyle name="Millares 7 2 4 2 2 2 3" xfId="14898" xr:uid="{00000000-0005-0000-0000-00003C270000}"/>
    <cellStyle name="Millares 7 2 4 2 2 2 3 2" xfId="37541" xr:uid="{00000000-0005-0000-0000-00003D270000}"/>
    <cellStyle name="Millares 7 2 4 2 2 2 4" xfId="30100" xr:uid="{00000000-0005-0000-0000-00003E270000}"/>
    <cellStyle name="Millares 7 2 4 2 2 3" xfId="18620" xr:uid="{00000000-0005-0000-0000-00003F270000}"/>
    <cellStyle name="Millares 7 2 4 2 2 3 2" xfId="41263" xr:uid="{00000000-0005-0000-0000-000040270000}"/>
    <cellStyle name="Millares 7 2 4 2 2 4" xfId="11180" xr:uid="{00000000-0005-0000-0000-000041270000}"/>
    <cellStyle name="Millares 7 2 4 2 2 4 2" xfId="33823" xr:uid="{00000000-0005-0000-0000-000042270000}"/>
    <cellStyle name="Millares 7 2 4 2 2 5" xfId="26382" xr:uid="{00000000-0005-0000-0000-000043270000}"/>
    <cellStyle name="Millares 7 2 4 2 3" xfId="5607" xr:uid="{00000000-0005-0000-0000-000044270000}"/>
    <cellStyle name="Millares 7 2 4 2 3 2" xfId="20491" xr:uid="{00000000-0005-0000-0000-000045270000}"/>
    <cellStyle name="Millares 7 2 4 2 3 2 2" xfId="43134" xr:uid="{00000000-0005-0000-0000-000046270000}"/>
    <cellStyle name="Millares 7 2 4 2 3 3" xfId="13051" xr:uid="{00000000-0005-0000-0000-000047270000}"/>
    <cellStyle name="Millares 7 2 4 2 3 3 2" xfId="35694" xr:uid="{00000000-0005-0000-0000-000048270000}"/>
    <cellStyle name="Millares 7 2 4 2 3 4" xfId="28253" xr:uid="{00000000-0005-0000-0000-000049270000}"/>
    <cellStyle name="Millares 7 2 4 2 4" xfId="16773" xr:uid="{00000000-0005-0000-0000-00004A270000}"/>
    <cellStyle name="Millares 7 2 4 2 4 2" xfId="39416" xr:uid="{00000000-0005-0000-0000-00004B270000}"/>
    <cellStyle name="Millares 7 2 4 2 5" xfId="9333" xr:uid="{00000000-0005-0000-0000-00004C270000}"/>
    <cellStyle name="Millares 7 2 4 2 5 2" xfId="31976" xr:uid="{00000000-0005-0000-0000-00004D270000}"/>
    <cellStyle name="Millares 7 2 4 2 6" xfId="24535" xr:uid="{00000000-0005-0000-0000-00004E270000}"/>
    <cellStyle name="Millares 7 2 4 3" xfId="2808" xr:uid="{00000000-0005-0000-0000-00004F270000}"/>
    <cellStyle name="Millares 7 2 4 3 2" xfId="6529" xr:uid="{00000000-0005-0000-0000-000050270000}"/>
    <cellStyle name="Millares 7 2 4 3 2 2" xfId="21413" xr:uid="{00000000-0005-0000-0000-000051270000}"/>
    <cellStyle name="Millares 7 2 4 3 2 2 2" xfId="44056" xr:uid="{00000000-0005-0000-0000-000052270000}"/>
    <cellStyle name="Millares 7 2 4 3 2 3" xfId="13973" xr:uid="{00000000-0005-0000-0000-000053270000}"/>
    <cellStyle name="Millares 7 2 4 3 2 3 2" xfId="36616" xr:uid="{00000000-0005-0000-0000-000054270000}"/>
    <cellStyle name="Millares 7 2 4 3 2 4" xfId="29175" xr:uid="{00000000-0005-0000-0000-000055270000}"/>
    <cellStyle name="Millares 7 2 4 3 3" xfId="17695" xr:uid="{00000000-0005-0000-0000-000056270000}"/>
    <cellStyle name="Millares 7 2 4 3 3 2" xfId="40338" xr:uid="{00000000-0005-0000-0000-000057270000}"/>
    <cellStyle name="Millares 7 2 4 3 4" xfId="10255" xr:uid="{00000000-0005-0000-0000-000058270000}"/>
    <cellStyle name="Millares 7 2 4 3 4 2" xfId="32898" xr:uid="{00000000-0005-0000-0000-000059270000}"/>
    <cellStyle name="Millares 7 2 4 3 5" xfId="25457" xr:uid="{00000000-0005-0000-0000-00005A270000}"/>
    <cellStyle name="Millares 7 2 4 4" xfId="4682" xr:uid="{00000000-0005-0000-0000-00005B270000}"/>
    <cellStyle name="Millares 7 2 4 4 2" xfId="19566" xr:uid="{00000000-0005-0000-0000-00005C270000}"/>
    <cellStyle name="Millares 7 2 4 4 2 2" xfId="42209" xr:uid="{00000000-0005-0000-0000-00005D270000}"/>
    <cellStyle name="Millares 7 2 4 4 3" xfId="12126" xr:uid="{00000000-0005-0000-0000-00005E270000}"/>
    <cellStyle name="Millares 7 2 4 4 3 2" xfId="34769" xr:uid="{00000000-0005-0000-0000-00005F270000}"/>
    <cellStyle name="Millares 7 2 4 4 4" xfId="27328" xr:uid="{00000000-0005-0000-0000-000060270000}"/>
    <cellStyle name="Millares 7 2 4 5" xfId="955" xr:uid="{00000000-0005-0000-0000-000061270000}"/>
    <cellStyle name="Millares 7 2 4 5 2" xfId="15848" xr:uid="{00000000-0005-0000-0000-000062270000}"/>
    <cellStyle name="Millares 7 2 4 5 2 2" xfId="38491" xr:uid="{00000000-0005-0000-0000-000063270000}"/>
    <cellStyle name="Millares 7 2 4 5 3" xfId="23610" xr:uid="{00000000-0005-0000-0000-000064270000}"/>
    <cellStyle name="Millares 7 2 4 6" xfId="8408" xr:uid="{00000000-0005-0000-0000-000065270000}"/>
    <cellStyle name="Millares 7 2 4 6 2" xfId="31051" xr:uid="{00000000-0005-0000-0000-000066270000}"/>
    <cellStyle name="Millares 7 2 4 7" xfId="22935" xr:uid="{00000000-0005-0000-0000-000067270000}"/>
    <cellStyle name="Millares 7 2 5" xfId="1421" xr:uid="{00000000-0005-0000-0000-000068270000}"/>
    <cellStyle name="Millares 7 2 5 2" xfId="3271" xr:uid="{00000000-0005-0000-0000-000069270000}"/>
    <cellStyle name="Millares 7 2 5 2 2" xfId="6992" xr:uid="{00000000-0005-0000-0000-00006A270000}"/>
    <cellStyle name="Millares 7 2 5 2 2 2" xfId="21876" xr:uid="{00000000-0005-0000-0000-00006B270000}"/>
    <cellStyle name="Millares 7 2 5 2 2 2 2" xfId="44519" xr:uid="{00000000-0005-0000-0000-00006C270000}"/>
    <cellStyle name="Millares 7 2 5 2 2 3" xfId="14436" xr:uid="{00000000-0005-0000-0000-00006D270000}"/>
    <cellStyle name="Millares 7 2 5 2 2 3 2" xfId="37079" xr:uid="{00000000-0005-0000-0000-00006E270000}"/>
    <cellStyle name="Millares 7 2 5 2 2 4" xfId="29638" xr:uid="{00000000-0005-0000-0000-00006F270000}"/>
    <cellStyle name="Millares 7 2 5 2 3" xfId="18158" xr:uid="{00000000-0005-0000-0000-000070270000}"/>
    <cellStyle name="Millares 7 2 5 2 3 2" xfId="40801" xr:uid="{00000000-0005-0000-0000-000071270000}"/>
    <cellStyle name="Millares 7 2 5 2 4" xfId="10718" xr:uid="{00000000-0005-0000-0000-000072270000}"/>
    <cellStyle name="Millares 7 2 5 2 4 2" xfId="33361" xr:uid="{00000000-0005-0000-0000-000073270000}"/>
    <cellStyle name="Millares 7 2 5 2 5" xfId="25920" xr:uid="{00000000-0005-0000-0000-000074270000}"/>
    <cellStyle name="Millares 7 2 5 3" xfId="5145" xr:uid="{00000000-0005-0000-0000-000075270000}"/>
    <cellStyle name="Millares 7 2 5 3 2" xfId="20029" xr:uid="{00000000-0005-0000-0000-000076270000}"/>
    <cellStyle name="Millares 7 2 5 3 2 2" xfId="42672" xr:uid="{00000000-0005-0000-0000-000077270000}"/>
    <cellStyle name="Millares 7 2 5 3 3" xfId="12589" xr:uid="{00000000-0005-0000-0000-000078270000}"/>
    <cellStyle name="Millares 7 2 5 3 3 2" xfId="35232" xr:uid="{00000000-0005-0000-0000-000079270000}"/>
    <cellStyle name="Millares 7 2 5 3 4" xfId="27791" xr:uid="{00000000-0005-0000-0000-00007A270000}"/>
    <cellStyle name="Millares 7 2 5 4" xfId="16311" xr:uid="{00000000-0005-0000-0000-00007B270000}"/>
    <cellStyle name="Millares 7 2 5 4 2" xfId="38954" xr:uid="{00000000-0005-0000-0000-00007C270000}"/>
    <cellStyle name="Millares 7 2 5 5" xfId="8871" xr:uid="{00000000-0005-0000-0000-00007D270000}"/>
    <cellStyle name="Millares 7 2 5 5 2" xfId="31514" xr:uid="{00000000-0005-0000-0000-00007E270000}"/>
    <cellStyle name="Millares 7 2 5 6" xfId="24073" xr:uid="{00000000-0005-0000-0000-00007F270000}"/>
    <cellStyle name="Millares 7 2 6" xfId="2346" xr:uid="{00000000-0005-0000-0000-000080270000}"/>
    <cellStyle name="Millares 7 2 6 2" xfId="6067" xr:uid="{00000000-0005-0000-0000-000081270000}"/>
    <cellStyle name="Millares 7 2 6 2 2" xfId="20951" xr:uid="{00000000-0005-0000-0000-000082270000}"/>
    <cellStyle name="Millares 7 2 6 2 2 2" xfId="43594" xr:uid="{00000000-0005-0000-0000-000083270000}"/>
    <cellStyle name="Millares 7 2 6 2 3" xfId="13511" xr:uid="{00000000-0005-0000-0000-000084270000}"/>
    <cellStyle name="Millares 7 2 6 2 3 2" xfId="36154" xr:uid="{00000000-0005-0000-0000-000085270000}"/>
    <cellStyle name="Millares 7 2 6 2 4" xfId="28713" xr:uid="{00000000-0005-0000-0000-000086270000}"/>
    <cellStyle name="Millares 7 2 6 3" xfId="17233" xr:uid="{00000000-0005-0000-0000-000087270000}"/>
    <cellStyle name="Millares 7 2 6 3 2" xfId="39876" xr:uid="{00000000-0005-0000-0000-000088270000}"/>
    <cellStyle name="Millares 7 2 6 4" xfId="9793" xr:uid="{00000000-0005-0000-0000-000089270000}"/>
    <cellStyle name="Millares 7 2 6 4 2" xfId="32436" xr:uid="{00000000-0005-0000-0000-00008A270000}"/>
    <cellStyle name="Millares 7 2 6 5" xfId="24995" xr:uid="{00000000-0005-0000-0000-00008B270000}"/>
    <cellStyle name="Millares 7 2 7" xfId="4220" xr:uid="{00000000-0005-0000-0000-00008C270000}"/>
    <cellStyle name="Millares 7 2 7 2" xfId="19104" xr:uid="{00000000-0005-0000-0000-00008D270000}"/>
    <cellStyle name="Millares 7 2 7 2 2" xfId="41747" xr:uid="{00000000-0005-0000-0000-00008E270000}"/>
    <cellStyle name="Millares 7 2 7 3" xfId="11664" xr:uid="{00000000-0005-0000-0000-00008F270000}"/>
    <cellStyle name="Millares 7 2 7 3 2" xfId="34307" xr:uid="{00000000-0005-0000-0000-000090270000}"/>
    <cellStyle name="Millares 7 2 7 4" xfId="26866" xr:uid="{00000000-0005-0000-0000-000091270000}"/>
    <cellStyle name="Millares 7 2 8" xfId="488" xr:uid="{00000000-0005-0000-0000-000092270000}"/>
    <cellStyle name="Millares 7 2 8 2" xfId="15386" xr:uid="{00000000-0005-0000-0000-000093270000}"/>
    <cellStyle name="Millares 7 2 8 2 2" xfId="38029" xr:uid="{00000000-0005-0000-0000-000094270000}"/>
    <cellStyle name="Millares 7 2 8 3" xfId="23149" xr:uid="{00000000-0005-0000-0000-000095270000}"/>
    <cellStyle name="Millares 7 2 9" xfId="7946" xr:uid="{00000000-0005-0000-0000-000096270000}"/>
    <cellStyle name="Millares 7 2 9 2" xfId="30589" xr:uid="{00000000-0005-0000-0000-000097270000}"/>
    <cellStyle name="Millares 7 3" xfId="110" xr:uid="{00000000-0005-0000-0000-000098270000}"/>
    <cellStyle name="Millares 7 3 2" xfId="192" xr:uid="{00000000-0005-0000-0000-000099270000}"/>
    <cellStyle name="Millares 7 3 2 2" xfId="353" xr:uid="{00000000-0005-0000-0000-00009A270000}"/>
    <cellStyle name="Millares 7 3 2 2 2" xfId="2147" xr:uid="{00000000-0005-0000-0000-00009B270000}"/>
    <cellStyle name="Millares 7 3 2 2 2 2" xfId="3997" xr:uid="{00000000-0005-0000-0000-00009C270000}"/>
    <cellStyle name="Millares 7 3 2 2 2 2 2" xfId="7718" xr:uid="{00000000-0005-0000-0000-00009D270000}"/>
    <cellStyle name="Millares 7 3 2 2 2 2 2 2" xfId="22602" xr:uid="{00000000-0005-0000-0000-00009E270000}"/>
    <cellStyle name="Millares 7 3 2 2 2 2 2 2 2" xfId="45245" xr:uid="{00000000-0005-0000-0000-00009F270000}"/>
    <cellStyle name="Millares 7 3 2 2 2 2 2 3" xfId="15162" xr:uid="{00000000-0005-0000-0000-0000A0270000}"/>
    <cellStyle name="Millares 7 3 2 2 2 2 2 3 2" xfId="37805" xr:uid="{00000000-0005-0000-0000-0000A1270000}"/>
    <cellStyle name="Millares 7 3 2 2 2 2 2 4" xfId="30364" xr:uid="{00000000-0005-0000-0000-0000A2270000}"/>
    <cellStyle name="Millares 7 3 2 2 2 2 3" xfId="18884" xr:uid="{00000000-0005-0000-0000-0000A3270000}"/>
    <cellStyle name="Millares 7 3 2 2 2 2 3 2" xfId="41527" xr:uid="{00000000-0005-0000-0000-0000A4270000}"/>
    <cellStyle name="Millares 7 3 2 2 2 2 4" xfId="11444" xr:uid="{00000000-0005-0000-0000-0000A5270000}"/>
    <cellStyle name="Millares 7 3 2 2 2 2 4 2" xfId="34087" xr:uid="{00000000-0005-0000-0000-0000A6270000}"/>
    <cellStyle name="Millares 7 3 2 2 2 2 5" xfId="26646" xr:uid="{00000000-0005-0000-0000-0000A7270000}"/>
    <cellStyle name="Millares 7 3 2 2 2 3" xfId="5871" xr:uid="{00000000-0005-0000-0000-0000A8270000}"/>
    <cellStyle name="Millares 7 3 2 2 2 3 2" xfId="20755" xr:uid="{00000000-0005-0000-0000-0000A9270000}"/>
    <cellStyle name="Millares 7 3 2 2 2 3 2 2" xfId="43398" xr:uid="{00000000-0005-0000-0000-0000AA270000}"/>
    <cellStyle name="Millares 7 3 2 2 2 3 3" xfId="13315" xr:uid="{00000000-0005-0000-0000-0000AB270000}"/>
    <cellStyle name="Millares 7 3 2 2 2 3 3 2" xfId="35958" xr:uid="{00000000-0005-0000-0000-0000AC270000}"/>
    <cellStyle name="Millares 7 3 2 2 2 3 4" xfId="28517" xr:uid="{00000000-0005-0000-0000-0000AD270000}"/>
    <cellStyle name="Millares 7 3 2 2 2 4" xfId="17037" xr:uid="{00000000-0005-0000-0000-0000AE270000}"/>
    <cellStyle name="Millares 7 3 2 2 2 4 2" xfId="39680" xr:uid="{00000000-0005-0000-0000-0000AF270000}"/>
    <cellStyle name="Millares 7 3 2 2 2 5" xfId="9597" xr:uid="{00000000-0005-0000-0000-0000B0270000}"/>
    <cellStyle name="Millares 7 3 2 2 2 5 2" xfId="32240" xr:uid="{00000000-0005-0000-0000-0000B1270000}"/>
    <cellStyle name="Millares 7 3 2 2 2 6" xfId="24799" xr:uid="{00000000-0005-0000-0000-0000B2270000}"/>
    <cellStyle name="Millares 7 3 2 2 3" xfId="3072" xr:uid="{00000000-0005-0000-0000-0000B3270000}"/>
    <cellStyle name="Millares 7 3 2 2 3 2" xfId="6793" xr:uid="{00000000-0005-0000-0000-0000B4270000}"/>
    <cellStyle name="Millares 7 3 2 2 3 2 2" xfId="21677" xr:uid="{00000000-0005-0000-0000-0000B5270000}"/>
    <cellStyle name="Millares 7 3 2 2 3 2 2 2" xfId="44320" xr:uid="{00000000-0005-0000-0000-0000B6270000}"/>
    <cellStyle name="Millares 7 3 2 2 3 2 3" xfId="14237" xr:uid="{00000000-0005-0000-0000-0000B7270000}"/>
    <cellStyle name="Millares 7 3 2 2 3 2 3 2" xfId="36880" xr:uid="{00000000-0005-0000-0000-0000B8270000}"/>
    <cellStyle name="Millares 7 3 2 2 3 2 4" xfId="29439" xr:uid="{00000000-0005-0000-0000-0000B9270000}"/>
    <cellStyle name="Millares 7 3 2 2 3 3" xfId="17959" xr:uid="{00000000-0005-0000-0000-0000BA270000}"/>
    <cellStyle name="Millares 7 3 2 2 3 3 2" xfId="40602" xr:uid="{00000000-0005-0000-0000-0000BB270000}"/>
    <cellStyle name="Millares 7 3 2 2 3 4" xfId="10519" xr:uid="{00000000-0005-0000-0000-0000BC270000}"/>
    <cellStyle name="Millares 7 3 2 2 3 4 2" xfId="33162" xr:uid="{00000000-0005-0000-0000-0000BD270000}"/>
    <cellStyle name="Millares 7 3 2 2 3 5" xfId="25721" xr:uid="{00000000-0005-0000-0000-0000BE270000}"/>
    <cellStyle name="Millares 7 3 2 2 4" xfId="4946" xr:uid="{00000000-0005-0000-0000-0000BF270000}"/>
    <cellStyle name="Millares 7 3 2 2 4 2" xfId="19830" xr:uid="{00000000-0005-0000-0000-0000C0270000}"/>
    <cellStyle name="Millares 7 3 2 2 4 2 2" xfId="42473" xr:uid="{00000000-0005-0000-0000-0000C1270000}"/>
    <cellStyle name="Millares 7 3 2 2 4 3" xfId="12390" xr:uid="{00000000-0005-0000-0000-0000C2270000}"/>
    <cellStyle name="Millares 7 3 2 2 4 3 2" xfId="35033" xr:uid="{00000000-0005-0000-0000-0000C3270000}"/>
    <cellStyle name="Millares 7 3 2 2 4 4" xfId="27592" xr:uid="{00000000-0005-0000-0000-0000C4270000}"/>
    <cellStyle name="Millares 7 3 2 2 5" xfId="1219" xr:uid="{00000000-0005-0000-0000-0000C5270000}"/>
    <cellStyle name="Millares 7 3 2 2 5 2" xfId="16112" xr:uid="{00000000-0005-0000-0000-0000C6270000}"/>
    <cellStyle name="Millares 7 3 2 2 5 2 2" xfId="38755" xr:uid="{00000000-0005-0000-0000-0000C7270000}"/>
    <cellStyle name="Millares 7 3 2 2 5 3" xfId="23874" xr:uid="{00000000-0005-0000-0000-0000C8270000}"/>
    <cellStyle name="Millares 7 3 2 2 6" xfId="8672" xr:uid="{00000000-0005-0000-0000-0000C9270000}"/>
    <cellStyle name="Millares 7 3 2 2 6 2" xfId="31315" xr:uid="{00000000-0005-0000-0000-0000CA270000}"/>
    <cellStyle name="Millares 7 3 2 2 7" xfId="23051" xr:uid="{00000000-0005-0000-0000-0000CB270000}"/>
    <cellStyle name="Millares 7 3 2 3" xfId="1685" xr:uid="{00000000-0005-0000-0000-0000CC270000}"/>
    <cellStyle name="Millares 7 3 2 3 2" xfId="3535" xr:uid="{00000000-0005-0000-0000-0000CD270000}"/>
    <cellStyle name="Millares 7 3 2 3 2 2" xfId="7256" xr:uid="{00000000-0005-0000-0000-0000CE270000}"/>
    <cellStyle name="Millares 7 3 2 3 2 2 2" xfId="22140" xr:uid="{00000000-0005-0000-0000-0000CF270000}"/>
    <cellStyle name="Millares 7 3 2 3 2 2 2 2" xfId="44783" xr:uid="{00000000-0005-0000-0000-0000D0270000}"/>
    <cellStyle name="Millares 7 3 2 3 2 2 3" xfId="14700" xr:uid="{00000000-0005-0000-0000-0000D1270000}"/>
    <cellStyle name="Millares 7 3 2 3 2 2 3 2" xfId="37343" xr:uid="{00000000-0005-0000-0000-0000D2270000}"/>
    <cellStyle name="Millares 7 3 2 3 2 2 4" xfId="29902" xr:uid="{00000000-0005-0000-0000-0000D3270000}"/>
    <cellStyle name="Millares 7 3 2 3 2 3" xfId="18422" xr:uid="{00000000-0005-0000-0000-0000D4270000}"/>
    <cellStyle name="Millares 7 3 2 3 2 3 2" xfId="41065" xr:uid="{00000000-0005-0000-0000-0000D5270000}"/>
    <cellStyle name="Millares 7 3 2 3 2 4" xfId="10982" xr:uid="{00000000-0005-0000-0000-0000D6270000}"/>
    <cellStyle name="Millares 7 3 2 3 2 4 2" xfId="33625" xr:uid="{00000000-0005-0000-0000-0000D7270000}"/>
    <cellStyle name="Millares 7 3 2 3 2 5" xfId="26184" xr:uid="{00000000-0005-0000-0000-0000D8270000}"/>
    <cellStyle name="Millares 7 3 2 3 3" xfId="5409" xr:uid="{00000000-0005-0000-0000-0000D9270000}"/>
    <cellStyle name="Millares 7 3 2 3 3 2" xfId="20293" xr:uid="{00000000-0005-0000-0000-0000DA270000}"/>
    <cellStyle name="Millares 7 3 2 3 3 2 2" xfId="42936" xr:uid="{00000000-0005-0000-0000-0000DB270000}"/>
    <cellStyle name="Millares 7 3 2 3 3 3" xfId="12853" xr:uid="{00000000-0005-0000-0000-0000DC270000}"/>
    <cellStyle name="Millares 7 3 2 3 3 3 2" xfId="35496" xr:uid="{00000000-0005-0000-0000-0000DD270000}"/>
    <cellStyle name="Millares 7 3 2 3 3 4" xfId="28055" xr:uid="{00000000-0005-0000-0000-0000DE270000}"/>
    <cellStyle name="Millares 7 3 2 3 4" xfId="16575" xr:uid="{00000000-0005-0000-0000-0000DF270000}"/>
    <cellStyle name="Millares 7 3 2 3 4 2" xfId="39218" xr:uid="{00000000-0005-0000-0000-0000E0270000}"/>
    <cellStyle name="Millares 7 3 2 3 5" xfId="9135" xr:uid="{00000000-0005-0000-0000-0000E1270000}"/>
    <cellStyle name="Millares 7 3 2 3 5 2" xfId="31778" xr:uid="{00000000-0005-0000-0000-0000E2270000}"/>
    <cellStyle name="Millares 7 3 2 3 6" xfId="24337" xr:uid="{00000000-0005-0000-0000-0000E3270000}"/>
    <cellStyle name="Millares 7 3 2 4" xfId="2610" xr:uid="{00000000-0005-0000-0000-0000E4270000}"/>
    <cellStyle name="Millares 7 3 2 4 2" xfId="6331" xr:uid="{00000000-0005-0000-0000-0000E5270000}"/>
    <cellStyle name="Millares 7 3 2 4 2 2" xfId="21215" xr:uid="{00000000-0005-0000-0000-0000E6270000}"/>
    <cellStyle name="Millares 7 3 2 4 2 2 2" xfId="43858" xr:uid="{00000000-0005-0000-0000-0000E7270000}"/>
    <cellStyle name="Millares 7 3 2 4 2 3" xfId="13775" xr:uid="{00000000-0005-0000-0000-0000E8270000}"/>
    <cellStyle name="Millares 7 3 2 4 2 3 2" xfId="36418" xr:uid="{00000000-0005-0000-0000-0000E9270000}"/>
    <cellStyle name="Millares 7 3 2 4 2 4" xfId="28977" xr:uid="{00000000-0005-0000-0000-0000EA270000}"/>
    <cellStyle name="Millares 7 3 2 4 3" xfId="17497" xr:uid="{00000000-0005-0000-0000-0000EB270000}"/>
    <cellStyle name="Millares 7 3 2 4 3 2" xfId="40140" xr:uid="{00000000-0005-0000-0000-0000EC270000}"/>
    <cellStyle name="Millares 7 3 2 4 4" xfId="10057" xr:uid="{00000000-0005-0000-0000-0000ED270000}"/>
    <cellStyle name="Millares 7 3 2 4 4 2" xfId="32700" xr:uid="{00000000-0005-0000-0000-0000EE270000}"/>
    <cellStyle name="Millares 7 3 2 4 5" xfId="25259" xr:uid="{00000000-0005-0000-0000-0000EF270000}"/>
    <cellStyle name="Millares 7 3 2 5" xfId="4484" xr:uid="{00000000-0005-0000-0000-0000F0270000}"/>
    <cellStyle name="Millares 7 3 2 5 2" xfId="19368" xr:uid="{00000000-0005-0000-0000-0000F1270000}"/>
    <cellStyle name="Millares 7 3 2 5 2 2" xfId="42011" xr:uid="{00000000-0005-0000-0000-0000F2270000}"/>
    <cellStyle name="Millares 7 3 2 5 3" xfId="11928" xr:uid="{00000000-0005-0000-0000-0000F3270000}"/>
    <cellStyle name="Millares 7 3 2 5 3 2" xfId="34571" xr:uid="{00000000-0005-0000-0000-0000F4270000}"/>
    <cellStyle name="Millares 7 3 2 5 4" xfId="27130" xr:uid="{00000000-0005-0000-0000-0000F5270000}"/>
    <cellStyle name="Millares 7 3 2 6" xfId="754" xr:uid="{00000000-0005-0000-0000-0000F6270000}"/>
    <cellStyle name="Millares 7 3 2 6 2" xfId="15650" xr:uid="{00000000-0005-0000-0000-0000F7270000}"/>
    <cellStyle name="Millares 7 3 2 6 2 2" xfId="38293" xr:uid="{00000000-0005-0000-0000-0000F8270000}"/>
    <cellStyle name="Millares 7 3 2 6 3" xfId="23412" xr:uid="{00000000-0005-0000-0000-0000F9270000}"/>
    <cellStyle name="Millares 7 3 2 7" xfId="8210" xr:uid="{00000000-0005-0000-0000-0000FA270000}"/>
    <cellStyle name="Millares 7 3 2 7 2" xfId="30853" xr:uid="{00000000-0005-0000-0000-0000FB270000}"/>
    <cellStyle name="Millares 7 3 2 8" xfId="22895" xr:uid="{00000000-0005-0000-0000-0000FC270000}"/>
    <cellStyle name="Millares 7 3 3" xfId="275" xr:uid="{00000000-0005-0000-0000-0000FD270000}"/>
    <cellStyle name="Millares 7 3 3 2" xfId="1936" xr:uid="{00000000-0005-0000-0000-0000FE270000}"/>
    <cellStyle name="Millares 7 3 3 2 2" xfId="3786" xr:uid="{00000000-0005-0000-0000-0000FF270000}"/>
    <cellStyle name="Millares 7 3 3 2 2 2" xfId="7507" xr:uid="{00000000-0005-0000-0000-000000280000}"/>
    <cellStyle name="Millares 7 3 3 2 2 2 2" xfId="22391" xr:uid="{00000000-0005-0000-0000-000001280000}"/>
    <cellStyle name="Millares 7 3 3 2 2 2 2 2" xfId="45034" xr:uid="{00000000-0005-0000-0000-000002280000}"/>
    <cellStyle name="Millares 7 3 3 2 2 2 3" xfId="14951" xr:uid="{00000000-0005-0000-0000-000003280000}"/>
    <cellStyle name="Millares 7 3 3 2 2 2 3 2" xfId="37594" xr:uid="{00000000-0005-0000-0000-000004280000}"/>
    <cellStyle name="Millares 7 3 3 2 2 2 4" xfId="30153" xr:uid="{00000000-0005-0000-0000-000005280000}"/>
    <cellStyle name="Millares 7 3 3 2 2 3" xfId="18673" xr:uid="{00000000-0005-0000-0000-000006280000}"/>
    <cellStyle name="Millares 7 3 3 2 2 3 2" xfId="41316" xr:uid="{00000000-0005-0000-0000-000007280000}"/>
    <cellStyle name="Millares 7 3 3 2 2 4" xfId="11233" xr:uid="{00000000-0005-0000-0000-000008280000}"/>
    <cellStyle name="Millares 7 3 3 2 2 4 2" xfId="33876" xr:uid="{00000000-0005-0000-0000-000009280000}"/>
    <cellStyle name="Millares 7 3 3 2 2 5" xfId="26435" xr:uid="{00000000-0005-0000-0000-00000A280000}"/>
    <cellStyle name="Millares 7 3 3 2 3" xfId="5660" xr:uid="{00000000-0005-0000-0000-00000B280000}"/>
    <cellStyle name="Millares 7 3 3 2 3 2" xfId="20544" xr:uid="{00000000-0005-0000-0000-00000C280000}"/>
    <cellStyle name="Millares 7 3 3 2 3 2 2" xfId="43187" xr:uid="{00000000-0005-0000-0000-00000D280000}"/>
    <cellStyle name="Millares 7 3 3 2 3 3" xfId="13104" xr:uid="{00000000-0005-0000-0000-00000E280000}"/>
    <cellStyle name="Millares 7 3 3 2 3 3 2" xfId="35747" xr:uid="{00000000-0005-0000-0000-00000F280000}"/>
    <cellStyle name="Millares 7 3 3 2 3 4" xfId="28306" xr:uid="{00000000-0005-0000-0000-000010280000}"/>
    <cellStyle name="Millares 7 3 3 2 4" xfId="16826" xr:uid="{00000000-0005-0000-0000-000011280000}"/>
    <cellStyle name="Millares 7 3 3 2 4 2" xfId="39469" xr:uid="{00000000-0005-0000-0000-000012280000}"/>
    <cellStyle name="Millares 7 3 3 2 5" xfId="9386" xr:uid="{00000000-0005-0000-0000-000013280000}"/>
    <cellStyle name="Millares 7 3 3 2 5 2" xfId="32029" xr:uid="{00000000-0005-0000-0000-000014280000}"/>
    <cellStyle name="Millares 7 3 3 2 6" xfId="24588" xr:uid="{00000000-0005-0000-0000-000015280000}"/>
    <cellStyle name="Millares 7 3 3 3" xfId="2861" xr:uid="{00000000-0005-0000-0000-000016280000}"/>
    <cellStyle name="Millares 7 3 3 3 2" xfId="6582" xr:uid="{00000000-0005-0000-0000-000017280000}"/>
    <cellStyle name="Millares 7 3 3 3 2 2" xfId="21466" xr:uid="{00000000-0005-0000-0000-000018280000}"/>
    <cellStyle name="Millares 7 3 3 3 2 2 2" xfId="44109" xr:uid="{00000000-0005-0000-0000-000019280000}"/>
    <cellStyle name="Millares 7 3 3 3 2 3" xfId="14026" xr:uid="{00000000-0005-0000-0000-00001A280000}"/>
    <cellStyle name="Millares 7 3 3 3 2 3 2" xfId="36669" xr:uid="{00000000-0005-0000-0000-00001B280000}"/>
    <cellStyle name="Millares 7 3 3 3 2 4" xfId="29228" xr:uid="{00000000-0005-0000-0000-00001C280000}"/>
    <cellStyle name="Millares 7 3 3 3 3" xfId="17748" xr:uid="{00000000-0005-0000-0000-00001D280000}"/>
    <cellStyle name="Millares 7 3 3 3 3 2" xfId="40391" xr:uid="{00000000-0005-0000-0000-00001E280000}"/>
    <cellStyle name="Millares 7 3 3 3 4" xfId="10308" xr:uid="{00000000-0005-0000-0000-00001F280000}"/>
    <cellStyle name="Millares 7 3 3 3 4 2" xfId="32951" xr:uid="{00000000-0005-0000-0000-000020280000}"/>
    <cellStyle name="Millares 7 3 3 3 5" xfId="25510" xr:uid="{00000000-0005-0000-0000-000021280000}"/>
    <cellStyle name="Millares 7 3 3 4" xfId="4735" xr:uid="{00000000-0005-0000-0000-000022280000}"/>
    <cellStyle name="Millares 7 3 3 4 2" xfId="19619" xr:uid="{00000000-0005-0000-0000-000023280000}"/>
    <cellStyle name="Millares 7 3 3 4 2 2" xfId="42262" xr:uid="{00000000-0005-0000-0000-000024280000}"/>
    <cellStyle name="Millares 7 3 3 4 3" xfId="12179" xr:uid="{00000000-0005-0000-0000-000025280000}"/>
    <cellStyle name="Millares 7 3 3 4 3 2" xfId="34822" xr:uid="{00000000-0005-0000-0000-000026280000}"/>
    <cellStyle name="Millares 7 3 3 4 4" xfId="27381" xr:uid="{00000000-0005-0000-0000-000027280000}"/>
    <cellStyle name="Millares 7 3 3 5" xfId="1008" xr:uid="{00000000-0005-0000-0000-000028280000}"/>
    <cellStyle name="Millares 7 3 3 5 2" xfId="15901" xr:uid="{00000000-0005-0000-0000-000029280000}"/>
    <cellStyle name="Millares 7 3 3 5 2 2" xfId="38544" xr:uid="{00000000-0005-0000-0000-00002A280000}"/>
    <cellStyle name="Millares 7 3 3 5 3" xfId="23663" xr:uid="{00000000-0005-0000-0000-00002B280000}"/>
    <cellStyle name="Millares 7 3 3 6" xfId="8461" xr:uid="{00000000-0005-0000-0000-00002C280000}"/>
    <cellStyle name="Millares 7 3 3 6 2" xfId="31104" xr:uid="{00000000-0005-0000-0000-00002D280000}"/>
    <cellStyle name="Millares 7 3 3 7" xfId="22973" xr:uid="{00000000-0005-0000-0000-00002E280000}"/>
    <cellStyle name="Millares 7 3 4" xfId="1474" xr:uid="{00000000-0005-0000-0000-00002F280000}"/>
    <cellStyle name="Millares 7 3 4 2" xfId="3324" xr:uid="{00000000-0005-0000-0000-000030280000}"/>
    <cellStyle name="Millares 7 3 4 2 2" xfId="7045" xr:uid="{00000000-0005-0000-0000-000031280000}"/>
    <cellStyle name="Millares 7 3 4 2 2 2" xfId="21929" xr:uid="{00000000-0005-0000-0000-000032280000}"/>
    <cellStyle name="Millares 7 3 4 2 2 2 2" xfId="44572" xr:uid="{00000000-0005-0000-0000-000033280000}"/>
    <cellStyle name="Millares 7 3 4 2 2 3" xfId="14489" xr:uid="{00000000-0005-0000-0000-000034280000}"/>
    <cellStyle name="Millares 7 3 4 2 2 3 2" xfId="37132" xr:uid="{00000000-0005-0000-0000-000035280000}"/>
    <cellStyle name="Millares 7 3 4 2 2 4" xfId="29691" xr:uid="{00000000-0005-0000-0000-000036280000}"/>
    <cellStyle name="Millares 7 3 4 2 3" xfId="18211" xr:uid="{00000000-0005-0000-0000-000037280000}"/>
    <cellStyle name="Millares 7 3 4 2 3 2" xfId="40854" xr:uid="{00000000-0005-0000-0000-000038280000}"/>
    <cellStyle name="Millares 7 3 4 2 4" xfId="10771" xr:uid="{00000000-0005-0000-0000-000039280000}"/>
    <cellStyle name="Millares 7 3 4 2 4 2" xfId="33414" xr:uid="{00000000-0005-0000-0000-00003A280000}"/>
    <cellStyle name="Millares 7 3 4 2 5" xfId="25973" xr:uid="{00000000-0005-0000-0000-00003B280000}"/>
    <cellStyle name="Millares 7 3 4 3" xfId="5198" xr:uid="{00000000-0005-0000-0000-00003C280000}"/>
    <cellStyle name="Millares 7 3 4 3 2" xfId="20082" xr:uid="{00000000-0005-0000-0000-00003D280000}"/>
    <cellStyle name="Millares 7 3 4 3 2 2" xfId="42725" xr:uid="{00000000-0005-0000-0000-00003E280000}"/>
    <cellStyle name="Millares 7 3 4 3 3" xfId="12642" xr:uid="{00000000-0005-0000-0000-00003F280000}"/>
    <cellStyle name="Millares 7 3 4 3 3 2" xfId="35285" xr:uid="{00000000-0005-0000-0000-000040280000}"/>
    <cellStyle name="Millares 7 3 4 3 4" xfId="27844" xr:uid="{00000000-0005-0000-0000-000041280000}"/>
    <cellStyle name="Millares 7 3 4 4" xfId="16364" xr:uid="{00000000-0005-0000-0000-000042280000}"/>
    <cellStyle name="Millares 7 3 4 4 2" xfId="39007" xr:uid="{00000000-0005-0000-0000-000043280000}"/>
    <cellStyle name="Millares 7 3 4 5" xfId="8924" xr:uid="{00000000-0005-0000-0000-000044280000}"/>
    <cellStyle name="Millares 7 3 4 5 2" xfId="31567" xr:uid="{00000000-0005-0000-0000-000045280000}"/>
    <cellStyle name="Millares 7 3 4 6" xfId="24126" xr:uid="{00000000-0005-0000-0000-000046280000}"/>
    <cellStyle name="Millares 7 3 5" xfId="2399" xr:uid="{00000000-0005-0000-0000-000047280000}"/>
    <cellStyle name="Millares 7 3 5 2" xfId="6120" xr:uid="{00000000-0005-0000-0000-000048280000}"/>
    <cellStyle name="Millares 7 3 5 2 2" xfId="21004" xr:uid="{00000000-0005-0000-0000-000049280000}"/>
    <cellStyle name="Millares 7 3 5 2 2 2" xfId="43647" xr:uid="{00000000-0005-0000-0000-00004A280000}"/>
    <cellStyle name="Millares 7 3 5 2 3" xfId="13564" xr:uid="{00000000-0005-0000-0000-00004B280000}"/>
    <cellStyle name="Millares 7 3 5 2 3 2" xfId="36207" xr:uid="{00000000-0005-0000-0000-00004C280000}"/>
    <cellStyle name="Millares 7 3 5 2 4" xfId="28766" xr:uid="{00000000-0005-0000-0000-00004D280000}"/>
    <cellStyle name="Millares 7 3 5 3" xfId="17286" xr:uid="{00000000-0005-0000-0000-00004E280000}"/>
    <cellStyle name="Millares 7 3 5 3 2" xfId="39929" xr:uid="{00000000-0005-0000-0000-00004F280000}"/>
    <cellStyle name="Millares 7 3 5 4" xfId="9846" xr:uid="{00000000-0005-0000-0000-000050280000}"/>
    <cellStyle name="Millares 7 3 5 4 2" xfId="32489" xr:uid="{00000000-0005-0000-0000-000051280000}"/>
    <cellStyle name="Millares 7 3 5 5" xfId="25048" xr:uid="{00000000-0005-0000-0000-000052280000}"/>
    <cellStyle name="Millares 7 3 6" xfId="4273" xr:uid="{00000000-0005-0000-0000-000053280000}"/>
    <cellStyle name="Millares 7 3 6 2" xfId="19157" xr:uid="{00000000-0005-0000-0000-000054280000}"/>
    <cellStyle name="Millares 7 3 6 2 2" xfId="41800" xr:uid="{00000000-0005-0000-0000-000055280000}"/>
    <cellStyle name="Millares 7 3 6 3" xfId="11717" xr:uid="{00000000-0005-0000-0000-000056280000}"/>
    <cellStyle name="Millares 7 3 6 3 2" xfId="34360" xr:uid="{00000000-0005-0000-0000-000057280000}"/>
    <cellStyle name="Millares 7 3 6 4" xfId="26919" xr:uid="{00000000-0005-0000-0000-000058280000}"/>
    <cellStyle name="Millares 7 3 7" xfId="542" xr:uid="{00000000-0005-0000-0000-000059280000}"/>
    <cellStyle name="Millares 7 3 7 2" xfId="15439" xr:uid="{00000000-0005-0000-0000-00005A280000}"/>
    <cellStyle name="Millares 7 3 7 2 2" xfId="38082" xr:uid="{00000000-0005-0000-0000-00005B280000}"/>
    <cellStyle name="Millares 7 3 7 3" xfId="23202" xr:uid="{00000000-0005-0000-0000-00005C280000}"/>
    <cellStyle name="Millares 7 3 8" xfId="7999" xr:uid="{00000000-0005-0000-0000-00005D280000}"/>
    <cellStyle name="Millares 7 3 8 2" xfId="30642" xr:uid="{00000000-0005-0000-0000-00005E280000}"/>
    <cellStyle name="Millares 7 3 9" xfId="22817" xr:uid="{00000000-0005-0000-0000-00005F280000}"/>
    <cellStyle name="Millares 7 4" xfId="152" xr:uid="{00000000-0005-0000-0000-000060280000}"/>
    <cellStyle name="Millares 7 4 2" xfId="314" xr:uid="{00000000-0005-0000-0000-000061280000}"/>
    <cellStyle name="Millares 7 4 2 2" xfId="2042" xr:uid="{00000000-0005-0000-0000-000062280000}"/>
    <cellStyle name="Millares 7 4 2 2 2" xfId="3892" xr:uid="{00000000-0005-0000-0000-000063280000}"/>
    <cellStyle name="Millares 7 4 2 2 2 2" xfId="7613" xr:uid="{00000000-0005-0000-0000-000064280000}"/>
    <cellStyle name="Millares 7 4 2 2 2 2 2" xfId="22497" xr:uid="{00000000-0005-0000-0000-000065280000}"/>
    <cellStyle name="Millares 7 4 2 2 2 2 2 2" xfId="45140" xr:uid="{00000000-0005-0000-0000-000066280000}"/>
    <cellStyle name="Millares 7 4 2 2 2 2 3" xfId="15057" xr:uid="{00000000-0005-0000-0000-000067280000}"/>
    <cellStyle name="Millares 7 4 2 2 2 2 3 2" xfId="37700" xr:uid="{00000000-0005-0000-0000-000068280000}"/>
    <cellStyle name="Millares 7 4 2 2 2 2 4" xfId="30259" xr:uid="{00000000-0005-0000-0000-000069280000}"/>
    <cellStyle name="Millares 7 4 2 2 2 3" xfId="18779" xr:uid="{00000000-0005-0000-0000-00006A280000}"/>
    <cellStyle name="Millares 7 4 2 2 2 3 2" xfId="41422" xr:uid="{00000000-0005-0000-0000-00006B280000}"/>
    <cellStyle name="Millares 7 4 2 2 2 4" xfId="11339" xr:uid="{00000000-0005-0000-0000-00006C280000}"/>
    <cellStyle name="Millares 7 4 2 2 2 4 2" xfId="33982" xr:uid="{00000000-0005-0000-0000-00006D280000}"/>
    <cellStyle name="Millares 7 4 2 2 2 5" xfId="26541" xr:uid="{00000000-0005-0000-0000-00006E280000}"/>
    <cellStyle name="Millares 7 4 2 2 3" xfId="5766" xr:uid="{00000000-0005-0000-0000-00006F280000}"/>
    <cellStyle name="Millares 7 4 2 2 3 2" xfId="20650" xr:uid="{00000000-0005-0000-0000-000070280000}"/>
    <cellStyle name="Millares 7 4 2 2 3 2 2" xfId="43293" xr:uid="{00000000-0005-0000-0000-000071280000}"/>
    <cellStyle name="Millares 7 4 2 2 3 3" xfId="13210" xr:uid="{00000000-0005-0000-0000-000072280000}"/>
    <cellStyle name="Millares 7 4 2 2 3 3 2" xfId="35853" xr:uid="{00000000-0005-0000-0000-000073280000}"/>
    <cellStyle name="Millares 7 4 2 2 3 4" xfId="28412" xr:uid="{00000000-0005-0000-0000-000074280000}"/>
    <cellStyle name="Millares 7 4 2 2 4" xfId="16932" xr:uid="{00000000-0005-0000-0000-000075280000}"/>
    <cellStyle name="Millares 7 4 2 2 4 2" xfId="39575" xr:uid="{00000000-0005-0000-0000-000076280000}"/>
    <cellStyle name="Millares 7 4 2 2 5" xfId="9492" xr:uid="{00000000-0005-0000-0000-000077280000}"/>
    <cellStyle name="Millares 7 4 2 2 5 2" xfId="32135" xr:uid="{00000000-0005-0000-0000-000078280000}"/>
    <cellStyle name="Millares 7 4 2 2 6" xfId="24694" xr:uid="{00000000-0005-0000-0000-000079280000}"/>
    <cellStyle name="Millares 7 4 2 3" xfId="2967" xr:uid="{00000000-0005-0000-0000-00007A280000}"/>
    <cellStyle name="Millares 7 4 2 3 2" xfId="6688" xr:uid="{00000000-0005-0000-0000-00007B280000}"/>
    <cellStyle name="Millares 7 4 2 3 2 2" xfId="21572" xr:uid="{00000000-0005-0000-0000-00007C280000}"/>
    <cellStyle name="Millares 7 4 2 3 2 2 2" xfId="44215" xr:uid="{00000000-0005-0000-0000-00007D280000}"/>
    <cellStyle name="Millares 7 4 2 3 2 3" xfId="14132" xr:uid="{00000000-0005-0000-0000-00007E280000}"/>
    <cellStyle name="Millares 7 4 2 3 2 3 2" xfId="36775" xr:uid="{00000000-0005-0000-0000-00007F280000}"/>
    <cellStyle name="Millares 7 4 2 3 2 4" xfId="29334" xr:uid="{00000000-0005-0000-0000-000080280000}"/>
    <cellStyle name="Millares 7 4 2 3 3" xfId="17854" xr:uid="{00000000-0005-0000-0000-000081280000}"/>
    <cellStyle name="Millares 7 4 2 3 3 2" xfId="40497" xr:uid="{00000000-0005-0000-0000-000082280000}"/>
    <cellStyle name="Millares 7 4 2 3 4" xfId="10414" xr:uid="{00000000-0005-0000-0000-000083280000}"/>
    <cellStyle name="Millares 7 4 2 3 4 2" xfId="33057" xr:uid="{00000000-0005-0000-0000-000084280000}"/>
    <cellStyle name="Millares 7 4 2 3 5" xfId="25616" xr:uid="{00000000-0005-0000-0000-000085280000}"/>
    <cellStyle name="Millares 7 4 2 4" xfId="4841" xr:uid="{00000000-0005-0000-0000-000086280000}"/>
    <cellStyle name="Millares 7 4 2 4 2" xfId="19725" xr:uid="{00000000-0005-0000-0000-000087280000}"/>
    <cellStyle name="Millares 7 4 2 4 2 2" xfId="42368" xr:uid="{00000000-0005-0000-0000-000088280000}"/>
    <cellStyle name="Millares 7 4 2 4 3" xfId="12285" xr:uid="{00000000-0005-0000-0000-000089280000}"/>
    <cellStyle name="Millares 7 4 2 4 3 2" xfId="34928" xr:uid="{00000000-0005-0000-0000-00008A280000}"/>
    <cellStyle name="Millares 7 4 2 4 4" xfId="27487" xr:uid="{00000000-0005-0000-0000-00008B280000}"/>
    <cellStyle name="Millares 7 4 2 5" xfId="1114" xr:uid="{00000000-0005-0000-0000-00008C280000}"/>
    <cellStyle name="Millares 7 4 2 5 2" xfId="16007" xr:uid="{00000000-0005-0000-0000-00008D280000}"/>
    <cellStyle name="Millares 7 4 2 5 2 2" xfId="38650" xr:uid="{00000000-0005-0000-0000-00008E280000}"/>
    <cellStyle name="Millares 7 4 2 5 3" xfId="23769" xr:uid="{00000000-0005-0000-0000-00008F280000}"/>
    <cellStyle name="Millares 7 4 2 6" xfId="8567" xr:uid="{00000000-0005-0000-0000-000090280000}"/>
    <cellStyle name="Millares 7 4 2 6 2" xfId="31210" xr:uid="{00000000-0005-0000-0000-000091280000}"/>
    <cellStyle name="Millares 7 4 2 7" xfId="23012" xr:uid="{00000000-0005-0000-0000-000092280000}"/>
    <cellStyle name="Millares 7 4 3" xfId="1580" xr:uid="{00000000-0005-0000-0000-000093280000}"/>
    <cellStyle name="Millares 7 4 3 2" xfId="3430" xr:uid="{00000000-0005-0000-0000-000094280000}"/>
    <cellStyle name="Millares 7 4 3 2 2" xfId="7151" xr:uid="{00000000-0005-0000-0000-000095280000}"/>
    <cellStyle name="Millares 7 4 3 2 2 2" xfId="22035" xr:uid="{00000000-0005-0000-0000-000096280000}"/>
    <cellStyle name="Millares 7 4 3 2 2 2 2" xfId="44678" xr:uid="{00000000-0005-0000-0000-000097280000}"/>
    <cellStyle name="Millares 7 4 3 2 2 3" xfId="14595" xr:uid="{00000000-0005-0000-0000-000098280000}"/>
    <cellStyle name="Millares 7 4 3 2 2 3 2" xfId="37238" xr:uid="{00000000-0005-0000-0000-000099280000}"/>
    <cellStyle name="Millares 7 4 3 2 2 4" xfId="29797" xr:uid="{00000000-0005-0000-0000-00009A280000}"/>
    <cellStyle name="Millares 7 4 3 2 3" xfId="18317" xr:uid="{00000000-0005-0000-0000-00009B280000}"/>
    <cellStyle name="Millares 7 4 3 2 3 2" xfId="40960" xr:uid="{00000000-0005-0000-0000-00009C280000}"/>
    <cellStyle name="Millares 7 4 3 2 4" xfId="10877" xr:uid="{00000000-0005-0000-0000-00009D280000}"/>
    <cellStyle name="Millares 7 4 3 2 4 2" xfId="33520" xr:uid="{00000000-0005-0000-0000-00009E280000}"/>
    <cellStyle name="Millares 7 4 3 2 5" xfId="26079" xr:uid="{00000000-0005-0000-0000-00009F280000}"/>
    <cellStyle name="Millares 7 4 3 3" xfId="5304" xr:uid="{00000000-0005-0000-0000-0000A0280000}"/>
    <cellStyle name="Millares 7 4 3 3 2" xfId="20188" xr:uid="{00000000-0005-0000-0000-0000A1280000}"/>
    <cellStyle name="Millares 7 4 3 3 2 2" xfId="42831" xr:uid="{00000000-0005-0000-0000-0000A2280000}"/>
    <cellStyle name="Millares 7 4 3 3 3" xfId="12748" xr:uid="{00000000-0005-0000-0000-0000A3280000}"/>
    <cellStyle name="Millares 7 4 3 3 3 2" xfId="35391" xr:uid="{00000000-0005-0000-0000-0000A4280000}"/>
    <cellStyle name="Millares 7 4 3 3 4" xfId="27950" xr:uid="{00000000-0005-0000-0000-0000A5280000}"/>
    <cellStyle name="Millares 7 4 3 4" xfId="16470" xr:uid="{00000000-0005-0000-0000-0000A6280000}"/>
    <cellStyle name="Millares 7 4 3 4 2" xfId="39113" xr:uid="{00000000-0005-0000-0000-0000A7280000}"/>
    <cellStyle name="Millares 7 4 3 5" xfId="9030" xr:uid="{00000000-0005-0000-0000-0000A8280000}"/>
    <cellStyle name="Millares 7 4 3 5 2" xfId="31673" xr:uid="{00000000-0005-0000-0000-0000A9280000}"/>
    <cellStyle name="Millares 7 4 3 6" xfId="24232" xr:uid="{00000000-0005-0000-0000-0000AA280000}"/>
    <cellStyle name="Millares 7 4 4" xfId="2505" xr:uid="{00000000-0005-0000-0000-0000AB280000}"/>
    <cellStyle name="Millares 7 4 4 2" xfId="6226" xr:uid="{00000000-0005-0000-0000-0000AC280000}"/>
    <cellStyle name="Millares 7 4 4 2 2" xfId="21110" xr:uid="{00000000-0005-0000-0000-0000AD280000}"/>
    <cellStyle name="Millares 7 4 4 2 2 2" xfId="43753" xr:uid="{00000000-0005-0000-0000-0000AE280000}"/>
    <cellStyle name="Millares 7 4 4 2 3" xfId="13670" xr:uid="{00000000-0005-0000-0000-0000AF280000}"/>
    <cellStyle name="Millares 7 4 4 2 3 2" xfId="36313" xr:uid="{00000000-0005-0000-0000-0000B0280000}"/>
    <cellStyle name="Millares 7 4 4 2 4" xfId="28872" xr:uid="{00000000-0005-0000-0000-0000B1280000}"/>
    <cellStyle name="Millares 7 4 4 3" xfId="17392" xr:uid="{00000000-0005-0000-0000-0000B2280000}"/>
    <cellStyle name="Millares 7 4 4 3 2" xfId="40035" xr:uid="{00000000-0005-0000-0000-0000B3280000}"/>
    <cellStyle name="Millares 7 4 4 4" xfId="9952" xr:uid="{00000000-0005-0000-0000-0000B4280000}"/>
    <cellStyle name="Millares 7 4 4 4 2" xfId="32595" xr:uid="{00000000-0005-0000-0000-0000B5280000}"/>
    <cellStyle name="Millares 7 4 4 5" xfId="25154" xr:uid="{00000000-0005-0000-0000-0000B6280000}"/>
    <cellStyle name="Millares 7 4 5" xfId="4379" xr:uid="{00000000-0005-0000-0000-0000B7280000}"/>
    <cellStyle name="Millares 7 4 5 2" xfId="19263" xr:uid="{00000000-0005-0000-0000-0000B8280000}"/>
    <cellStyle name="Millares 7 4 5 2 2" xfId="41906" xr:uid="{00000000-0005-0000-0000-0000B9280000}"/>
    <cellStyle name="Millares 7 4 5 3" xfId="11823" xr:uid="{00000000-0005-0000-0000-0000BA280000}"/>
    <cellStyle name="Millares 7 4 5 3 2" xfId="34466" xr:uid="{00000000-0005-0000-0000-0000BB280000}"/>
    <cellStyle name="Millares 7 4 5 4" xfId="27025" xr:uid="{00000000-0005-0000-0000-0000BC280000}"/>
    <cellStyle name="Millares 7 4 6" xfId="649" xr:uid="{00000000-0005-0000-0000-0000BD280000}"/>
    <cellStyle name="Millares 7 4 6 2" xfId="15545" xr:uid="{00000000-0005-0000-0000-0000BE280000}"/>
    <cellStyle name="Millares 7 4 6 2 2" xfId="38188" xr:uid="{00000000-0005-0000-0000-0000BF280000}"/>
    <cellStyle name="Millares 7 4 6 3" xfId="23307" xr:uid="{00000000-0005-0000-0000-0000C0280000}"/>
    <cellStyle name="Millares 7 4 7" xfId="8105" xr:uid="{00000000-0005-0000-0000-0000C1280000}"/>
    <cellStyle name="Millares 7 4 7 2" xfId="30748" xr:uid="{00000000-0005-0000-0000-0000C2280000}"/>
    <cellStyle name="Millares 7 4 8" xfId="22856" xr:uid="{00000000-0005-0000-0000-0000C3280000}"/>
    <cellStyle name="Millares 7 5" xfId="235" xr:uid="{00000000-0005-0000-0000-0000C4280000}"/>
    <cellStyle name="Millares 7 5 2" xfId="1831" xr:uid="{00000000-0005-0000-0000-0000C5280000}"/>
    <cellStyle name="Millares 7 5 2 2" xfId="3681" xr:uid="{00000000-0005-0000-0000-0000C6280000}"/>
    <cellStyle name="Millares 7 5 2 2 2" xfId="7402" xr:uid="{00000000-0005-0000-0000-0000C7280000}"/>
    <cellStyle name="Millares 7 5 2 2 2 2" xfId="22286" xr:uid="{00000000-0005-0000-0000-0000C8280000}"/>
    <cellStyle name="Millares 7 5 2 2 2 2 2" xfId="44929" xr:uid="{00000000-0005-0000-0000-0000C9280000}"/>
    <cellStyle name="Millares 7 5 2 2 2 3" xfId="14846" xr:uid="{00000000-0005-0000-0000-0000CA280000}"/>
    <cellStyle name="Millares 7 5 2 2 2 3 2" xfId="37489" xr:uid="{00000000-0005-0000-0000-0000CB280000}"/>
    <cellStyle name="Millares 7 5 2 2 2 4" xfId="30048" xr:uid="{00000000-0005-0000-0000-0000CC280000}"/>
    <cellStyle name="Millares 7 5 2 2 3" xfId="18568" xr:uid="{00000000-0005-0000-0000-0000CD280000}"/>
    <cellStyle name="Millares 7 5 2 2 3 2" xfId="41211" xr:uid="{00000000-0005-0000-0000-0000CE280000}"/>
    <cellStyle name="Millares 7 5 2 2 4" xfId="11128" xr:uid="{00000000-0005-0000-0000-0000CF280000}"/>
    <cellStyle name="Millares 7 5 2 2 4 2" xfId="33771" xr:uid="{00000000-0005-0000-0000-0000D0280000}"/>
    <cellStyle name="Millares 7 5 2 2 5" xfId="26330" xr:uid="{00000000-0005-0000-0000-0000D1280000}"/>
    <cellStyle name="Millares 7 5 2 3" xfId="5555" xr:uid="{00000000-0005-0000-0000-0000D2280000}"/>
    <cellStyle name="Millares 7 5 2 3 2" xfId="20439" xr:uid="{00000000-0005-0000-0000-0000D3280000}"/>
    <cellStyle name="Millares 7 5 2 3 2 2" xfId="43082" xr:uid="{00000000-0005-0000-0000-0000D4280000}"/>
    <cellStyle name="Millares 7 5 2 3 3" xfId="12999" xr:uid="{00000000-0005-0000-0000-0000D5280000}"/>
    <cellStyle name="Millares 7 5 2 3 3 2" xfId="35642" xr:uid="{00000000-0005-0000-0000-0000D6280000}"/>
    <cellStyle name="Millares 7 5 2 3 4" xfId="28201" xr:uid="{00000000-0005-0000-0000-0000D7280000}"/>
    <cellStyle name="Millares 7 5 2 4" xfId="16721" xr:uid="{00000000-0005-0000-0000-0000D8280000}"/>
    <cellStyle name="Millares 7 5 2 4 2" xfId="39364" xr:uid="{00000000-0005-0000-0000-0000D9280000}"/>
    <cellStyle name="Millares 7 5 2 5" xfId="9281" xr:uid="{00000000-0005-0000-0000-0000DA280000}"/>
    <cellStyle name="Millares 7 5 2 5 2" xfId="31924" xr:uid="{00000000-0005-0000-0000-0000DB280000}"/>
    <cellStyle name="Millares 7 5 2 6" xfId="24483" xr:uid="{00000000-0005-0000-0000-0000DC280000}"/>
    <cellStyle name="Millares 7 5 3" xfId="2756" xr:uid="{00000000-0005-0000-0000-0000DD280000}"/>
    <cellStyle name="Millares 7 5 3 2" xfId="6477" xr:uid="{00000000-0005-0000-0000-0000DE280000}"/>
    <cellStyle name="Millares 7 5 3 2 2" xfId="21361" xr:uid="{00000000-0005-0000-0000-0000DF280000}"/>
    <cellStyle name="Millares 7 5 3 2 2 2" xfId="44004" xr:uid="{00000000-0005-0000-0000-0000E0280000}"/>
    <cellStyle name="Millares 7 5 3 2 3" xfId="13921" xr:uid="{00000000-0005-0000-0000-0000E1280000}"/>
    <cellStyle name="Millares 7 5 3 2 3 2" xfId="36564" xr:uid="{00000000-0005-0000-0000-0000E2280000}"/>
    <cellStyle name="Millares 7 5 3 2 4" xfId="29123" xr:uid="{00000000-0005-0000-0000-0000E3280000}"/>
    <cellStyle name="Millares 7 5 3 3" xfId="17643" xr:uid="{00000000-0005-0000-0000-0000E4280000}"/>
    <cellStyle name="Millares 7 5 3 3 2" xfId="40286" xr:uid="{00000000-0005-0000-0000-0000E5280000}"/>
    <cellStyle name="Millares 7 5 3 4" xfId="10203" xr:uid="{00000000-0005-0000-0000-0000E6280000}"/>
    <cellStyle name="Millares 7 5 3 4 2" xfId="32846" xr:uid="{00000000-0005-0000-0000-0000E7280000}"/>
    <cellStyle name="Millares 7 5 3 5" xfId="25405" xr:uid="{00000000-0005-0000-0000-0000E8280000}"/>
    <cellStyle name="Millares 7 5 4" xfId="4630" xr:uid="{00000000-0005-0000-0000-0000E9280000}"/>
    <cellStyle name="Millares 7 5 4 2" xfId="19514" xr:uid="{00000000-0005-0000-0000-0000EA280000}"/>
    <cellStyle name="Millares 7 5 4 2 2" xfId="42157" xr:uid="{00000000-0005-0000-0000-0000EB280000}"/>
    <cellStyle name="Millares 7 5 4 3" xfId="12074" xr:uid="{00000000-0005-0000-0000-0000EC280000}"/>
    <cellStyle name="Millares 7 5 4 3 2" xfId="34717" xr:uid="{00000000-0005-0000-0000-0000ED280000}"/>
    <cellStyle name="Millares 7 5 4 4" xfId="27276" xr:uid="{00000000-0005-0000-0000-0000EE280000}"/>
    <cellStyle name="Millares 7 5 5" xfId="903" xr:uid="{00000000-0005-0000-0000-0000EF280000}"/>
    <cellStyle name="Millares 7 5 5 2" xfId="15796" xr:uid="{00000000-0005-0000-0000-0000F0280000}"/>
    <cellStyle name="Millares 7 5 5 2 2" xfId="38439" xr:uid="{00000000-0005-0000-0000-0000F1280000}"/>
    <cellStyle name="Millares 7 5 5 3" xfId="23558" xr:uid="{00000000-0005-0000-0000-0000F2280000}"/>
    <cellStyle name="Millares 7 5 6" xfId="8356" xr:uid="{00000000-0005-0000-0000-0000F3280000}"/>
    <cellStyle name="Millares 7 5 6 2" xfId="30999" xr:uid="{00000000-0005-0000-0000-0000F4280000}"/>
    <cellStyle name="Millares 7 5 7" xfId="22934" xr:uid="{00000000-0005-0000-0000-0000F5280000}"/>
    <cellStyle name="Millares 7 6" xfId="1369" xr:uid="{00000000-0005-0000-0000-0000F6280000}"/>
    <cellStyle name="Millares 7 6 2" xfId="3219" xr:uid="{00000000-0005-0000-0000-0000F7280000}"/>
    <cellStyle name="Millares 7 6 2 2" xfId="6940" xr:uid="{00000000-0005-0000-0000-0000F8280000}"/>
    <cellStyle name="Millares 7 6 2 2 2" xfId="21824" xr:uid="{00000000-0005-0000-0000-0000F9280000}"/>
    <cellStyle name="Millares 7 6 2 2 2 2" xfId="44467" xr:uid="{00000000-0005-0000-0000-0000FA280000}"/>
    <cellStyle name="Millares 7 6 2 2 3" xfId="14384" xr:uid="{00000000-0005-0000-0000-0000FB280000}"/>
    <cellStyle name="Millares 7 6 2 2 3 2" xfId="37027" xr:uid="{00000000-0005-0000-0000-0000FC280000}"/>
    <cellStyle name="Millares 7 6 2 2 4" xfId="29586" xr:uid="{00000000-0005-0000-0000-0000FD280000}"/>
    <cellStyle name="Millares 7 6 2 3" xfId="18106" xr:uid="{00000000-0005-0000-0000-0000FE280000}"/>
    <cellStyle name="Millares 7 6 2 3 2" xfId="40749" xr:uid="{00000000-0005-0000-0000-0000FF280000}"/>
    <cellStyle name="Millares 7 6 2 4" xfId="10666" xr:uid="{00000000-0005-0000-0000-000000290000}"/>
    <cellStyle name="Millares 7 6 2 4 2" xfId="33309" xr:uid="{00000000-0005-0000-0000-000001290000}"/>
    <cellStyle name="Millares 7 6 2 5" xfId="25868" xr:uid="{00000000-0005-0000-0000-000002290000}"/>
    <cellStyle name="Millares 7 6 3" xfId="5093" xr:uid="{00000000-0005-0000-0000-000003290000}"/>
    <cellStyle name="Millares 7 6 3 2" xfId="19977" xr:uid="{00000000-0005-0000-0000-000004290000}"/>
    <cellStyle name="Millares 7 6 3 2 2" xfId="42620" xr:uid="{00000000-0005-0000-0000-000005290000}"/>
    <cellStyle name="Millares 7 6 3 3" xfId="12537" xr:uid="{00000000-0005-0000-0000-000006290000}"/>
    <cellStyle name="Millares 7 6 3 3 2" xfId="35180" xr:uid="{00000000-0005-0000-0000-000007290000}"/>
    <cellStyle name="Millares 7 6 3 4" xfId="27739" xr:uid="{00000000-0005-0000-0000-000008290000}"/>
    <cellStyle name="Millares 7 6 4" xfId="16259" xr:uid="{00000000-0005-0000-0000-000009290000}"/>
    <cellStyle name="Millares 7 6 4 2" xfId="38902" xr:uid="{00000000-0005-0000-0000-00000A290000}"/>
    <cellStyle name="Millares 7 6 5" xfId="8819" xr:uid="{00000000-0005-0000-0000-00000B290000}"/>
    <cellStyle name="Millares 7 6 5 2" xfId="31462" xr:uid="{00000000-0005-0000-0000-00000C290000}"/>
    <cellStyle name="Millares 7 6 6" xfId="24021" xr:uid="{00000000-0005-0000-0000-00000D290000}"/>
    <cellStyle name="Millares 7 7" xfId="2294" xr:uid="{00000000-0005-0000-0000-00000E290000}"/>
    <cellStyle name="Millares 7 7 2" xfId="6015" xr:uid="{00000000-0005-0000-0000-00000F290000}"/>
    <cellStyle name="Millares 7 7 2 2" xfId="20899" xr:uid="{00000000-0005-0000-0000-000010290000}"/>
    <cellStyle name="Millares 7 7 2 2 2" xfId="43542" xr:uid="{00000000-0005-0000-0000-000011290000}"/>
    <cellStyle name="Millares 7 7 2 3" xfId="13459" xr:uid="{00000000-0005-0000-0000-000012290000}"/>
    <cellStyle name="Millares 7 7 2 3 2" xfId="36102" xr:uid="{00000000-0005-0000-0000-000013290000}"/>
    <cellStyle name="Millares 7 7 2 4" xfId="28661" xr:uid="{00000000-0005-0000-0000-000014290000}"/>
    <cellStyle name="Millares 7 7 3" xfId="17181" xr:uid="{00000000-0005-0000-0000-000015290000}"/>
    <cellStyle name="Millares 7 7 3 2" xfId="39824" xr:uid="{00000000-0005-0000-0000-000016290000}"/>
    <cellStyle name="Millares 7 7 4" xfId="9741" xr:uid="{00000000-0005-0000-0000-000017290000}"/>
    <cellStyle name="Millares 7 7 4 2" xfId="32384" xr:uid="{00000000-0005-0000-0000-000018290000}"/>
    <cellStyle name="Millares 7 7 5" xfId="24943" xr:uid="{00000000-0005-0000-0000-000019290000}"/>
    <cellStyle name="Millares 7 8" xfId="4168" xr:uid="{00000000-0005-0000-0000-00001A290000}"/>
    <cellStyle name="Millares 7 8 2" xfId="19052" xr:uid="{00000000-0005-0000-0000-00001B290000}"/>
    <cellStyle name="Millares 7 8 2 2" xfId="41695" xr:uid="{00000000-0005-0000-0000-00001C290000}"/>
    <cellStyle name="Millares 7 8 3" xfId="11612" xr:uid="{00000000-0005-0000-0000-00001D290000}"/>
    <cellStyle name="Millares 7 8 3 2" xfId="34255" xr:uid="{00000000-0005-0000-0000-00001E290000}"/>
    <cellStyle name="Millares 7 8 4" xfId="26814" xr:uid="{00000000-0005-0000-0000-00001F290000}"/>
    <cellStyle name="Millares 7 9" xfId="433" xr:uid="{00000000-0005-0000-0000-000020290000}"/>
    <cellStyle name="Millares 7 9 2" xfId="15334" xr:uid="{00000000-0005-0000-0000-000021290000}"/>
    <cellStyle name="Millares 7 9 2 2" xfId="37977" xr:uid="{00000000-0005-0000-0000-000022290000}"/>
    <cellStyle name="Millares 7 9 3" xfId="23097" xr:uid="{00000000-0005-0000-0000-000023290000}"/>
    <cellStyle name="Millares 70" xfId="45509" xr:uid="{00000000-0005-0000-0000-000024290000}"/>
    <cellStyle name="Millares 71" xfId="45518" xr:uid="{00000000-0005-0000-0000-000025290000}"/>
    <cellStyle name="Millares 72" xfId="45519" xr:uid="{00000000-0005-0000-0000-000026290000}"/>
    <cellStyle name="Millares 73" xfId="45517" xr:uid="{00000000-0005-0000-0000-000027290000}"/>
    <cellStyle name="Millares 74" xfId="45520" xr:uid="{00000000-0005-0000-0000-000028290000}"/>
    <cellStyle name="Millares 8" xfId="56" xr:uid="{00000000-0005-0000-0000-000029290000}"/>
    <cellStyle name="Millares 8 10" xfId="7912" xr:uid="{00000000-0005-0000-0000-00002A290000}"/>
    <cellStyle name="Millares 8 10 2" xfId="30555" xr:uid="{00000000-0005-0000-0000-00002B290000}"/>
    <cellStyle name="Millares 8 11" xfId="22779" xr:uid="{00000000-0005-0000-0000-00002C290000}"/>
    <cellStyle name="Millares 8 2" xfId="112" xr:uid="{00000000-0005-0000-0000-00002D290000}"/>
    <cellStyle name="Millares 8 2 10" xfId="22819" xr:uid="{00000000-0005-0000-0000-00002E290000}"/>
    <cellStyle name="Millares 8 2 2" xfId="194" xr:uid="{00000000-0005-0000-0000-00002F290000}"/>
    <cellStyle name="Millares 8 2 2 2" xfId="355" xr:uid="{00000000-0005-0000-0000-000030290000}"/>
    <cellStyle name="Millares 8 2 2 2 2" xfId="1289" xr:uid="{00000000-0005-0000-0000-000031290000}"/>
    <cellStyle name="Millares 8 2 2 2 2 2" xfId="2217" xr:uid="{00000000-0005-0000-0000-000032290000}"/>
    <cellStyle name="Millares 8 2 2 2 2 2 2" xfId="4067" xr:uid="{00000000-0005-0000-0000-000033290000}"/>
    <cellStyle name="Millares 8 2 2 2 2 2 2 2" xfId="7788" xr:uid="{00000000-0005-0000-0000-000034290000}"/>
    <cellStyle name="Millares 8 2 2 2 2 2 2 2 2" xfId="22672" xr:uid="{00000000-0005-0000-0000-000035290000}"/>
    <cellStyle name="Millares 8 2 2 2 2 2 2 2 2 2" xfId="45315" xr:uid="{00000000-0005-0000-0000-000036290000}"/>
    <cellStyle name="Millares 8 2 2 2 2 2 2 2 3" xfId="15232" xr:uid="{00000000-0005-0000-0000-000037290000}"/>
    <cellStyle name="Millares 8 2 2 2 2 2 2 2 3 2" xfId="37875" xr:uid="{00000000-0005-0000-0000-000038290000}"/>
    <cellStyle name="Millares 8 2 2 2 2 2 2 2 4" xfId="30434" xr:uid="{00000000-0005-0000-0000-000039290000}"/>
    <cellStyle name="Millares 8 2 2 2 2 2 2 3" xfId="18954" xr:uid="{00000000-0005-0000-0000-00003A290000}"/>
    <cellStyle name="Millares 8 2 2 2 2 2 2 3 2" xfId="41597" xr:uid="{00000000-0005-0000-0000-00003B290000}"/>
    <cellStyle name="Millares 8 2 2 2 2 2 2 4" xfId="11514" xr:uid="{00000000-0005-0000-0000-00003C290000}"/>
    <cellStyle name="Millares 8 2 2 2 2 2 2 4 2" xfId="34157" xr:uid="{00000000-0005-0000-0000-00003D290000}"/>
    <cellStyle name="Millares 8 2 2 2 2 2 2 5" xfId="26716" xr:uid="{00000000-0005-0000-0000-00003E290000}"/>
    <cellStyle name="Millares 8 2 2 2 2 2 3" xfId="5941" xr:uid="{00000000-0005-0000-0000-00003F290000}"/>
    <cellStyle name="Millares 8 2 2 2 2 2 3 2" xfId="20825" xr:uid="{00000000-0005-0000-0000-000040290000}"/>
    <cellStyle name="Millares 8 2 2 2 2 2 3 2 2" xfId="43468" xr:uid="{00000000-0005-0000-0000-000041290000}"/>
    <cellStyle name="Millares 8 2 2 2 2 2 3 3" xfId="13385" xr:uid="{00000000-0005-0000-0000-000042290000}"/>
    <cellStyle name="Millares 8 2 2 2 2 2 3 3 2" xfId="36028" xr:uid="{00000000-0005-0000-0000-000043290000}"/>
    <cellStyle name="Millares 8 2 2 2 2 2 3 4" xfId="28587" xr:uid="{00000000-0005-0000-0000-000044290000}"/>
    <cellStyle name="Millares 8 2 2 2 2 2 4" xfId="17107" xr:uid="{00000000-0005-0000-0000-000045290000}"/>
    <cellStyle name="Millares 8 2 2 2 2 2 4 2" xfId="39750" xr:uid="{00000000-0005-0000-0000-000046290000}"/>
    <cellStyle name="Millares 8 2 2 2 2 2 5" xfId="9667" xr:uid="{00000000-0005-0000-0000-000047290000}"/>
    <cellStyle name="Millares 8 2 2 2 2 2 5 2" xfId="32310" xr:uid="{00000000-0005-0000-0000-000048290000}"/>
    <cellStyle name="Millares 8 2 2 2 2 2 6" xfId="24869" xr:uid="{00000000-0005-0000-0000-000049290000}"/>
    <cellStyle name="Millares 8 2 2 2 2 3" xfId="3142" xr:uid="{00000000-0005-0000-0000-00004A290000}"/>
    <cellStyle name="Millares 8 2 2 2 2 3 2" xfId="6863" xr:uid="{00000000-0005-0000-0000-00004B290000}"/>
    <cellStyle name="Millares 8 2 2 2 2 3 2 2" xfId="21747" xr:uid="{00000000-0005-0000-0000-00004C290000}"/>
    <cellStyle name="Millares 8 2 2 2 2 3 2 2 2" xfId="44390" xr:uid="{00000000-0005-0000-0000-00004D290000}"/>
    <cellStyle name="Millares 8 2 2 2 2 3 2 3" xfId="14307" xr:uid="{00000000-0005-0000-0000-00004E290000}"/>
    <cellStyle name="Millares 8 2 2 2 2 3 2 3 2" xfId="36950" xr:uid="{00000000-0005-0000-0000-00004F290000}"/>
    <cellStyle name="Millares 8 2 2 2 2 3 2 4" xfId="29509" xr:uid="{00000000-0005-0000-0000-000050290000}"/>
    <cellStyle name="Millares 8 2 2 2 2 3 3" xfId="18029" xr:uid="{00000000-0005-0000-0000-000051290000}"/>
    <cellStyle name="Millares 8 2 2 2 2 3 3 2" xfId="40672" xr:uid="{00000000-0005-0000-0000-000052290000}"/>
    <cellStyle name="Millares 8 2 2 2 2 3 4" xfId="10589" xr:uid="{00000000-0005-0000-0000-000053290000}"/>
    <cellStyle name="Millares 8 2 2 2 2 3 4 2" xfId="33232" xr:uid="{00000000-0005-0000-0000-000054290000}"/>
    <cellStyle name="Millares 8 2 2 2 2 3 5" xfId="25791" xr:uid="{00000000-0005-0000-0000-000055290000}"/>
    <cellStyle name="Millares 8 2 2 2 2 4" xfId="5016" xr:uid="{00000000-0005-0000-0000-000056290000}"/>
    <cellStyle name="Millares 8 2 2 2 2 4 2" xfId="19900" xr:uid="{00000000-0005-0000-0000-000057290000}"/>
    <cellStyle name="Millares 8 2 2 2 2 4 2 2" xfId="42543" xr:uid="{00000000-0005-0000-0000-000058290000}"/>
    <cellStyle name="Millares 8 2 2 2 2 4 3" xfId="12460" xr:uid="{00000000-0005-0000-0000-000059290000}"/>
    <cellStyle name="Millares 8 2 2 2 2 4 3 2" xfId="35103" xr:uid="{00000000-0005-0000-0000-00005A290000}"/>
    <cellStyle name="Millares 8 2 2 2 2 4 4" xfId="27662" xr:uid="{00000000-0005-0000-0000-00005B290000}"/>
    <cellStyle name="Millares 8 2 2 2 2 5" xfId="16182" xr:uid="{00000000-0005-0000-0000-00005C290000}"/>
    <cellStyle name="Millares 8 2 2 2 2 5 2" xfId="38825" xr:uid="{00000000-0005-0000-0000-00005D290000}"/>
    <cellStyle name="Millares 8 2 2 2 2 6" xfId="8742" xr:uid="{00000000-0005-0000-0000-00005E290000}"/>
    <cellStyle name="Millares 8 2 2 2 2 6 2" xfId="31385" xr:uid="{00000000-0005-0000-0000-00005F290000}"/>
    <cellStyle name="Millares 8 2 2 2 2 7" xfId="23944" xr:uid="{00000000-0005-0000-0000-000060290000}"/>
    <cellStyle name="Millares 8 2 2 2 3" xfId="1755" xr:uid="{00000000-0005-0000-0000-000061290000}"/>
    <cellStyle name="Millares 8 2 2 2 3 2" xfId="3605" xr:uid="{00000000-0005-0000-0000-000062290000}"/>
    <cellStyle name="Millares 8 2 2 2 3 2 2" xfId="7326" xr:uid="{00000000-0005-0000-0000-000063290000}"/>
    <cellStyle name="Millares 8 2 2 2 3 2 2 2" xfId="22210" xr:uid="{00000000-0005-0000-0000-000064290000}"/>
    <cellStyle name="Millares 8 2 2 2 3 2 2 2 2" xfId="44853" xr:uid="{00000000-0005-0000-0000-000065290000}"/>
    <cellStyle name="Millares 8 2 2 2 3 2 2 3" xfId="14770" xr:uid="{00000000-0005-0000-0000-000066290000}"/>
    <cellStyle name="Millares 8 2 2 2 3 2 2 3 2" xfId="37413" xr:uid="{00000000-0005-0000-0000-000067290000}"/>
    <cellStyle name="Millares 8 2 2 2 3 2 2 4" xfId="29972" xr:uid="{00000000-0005-0000-0000-000068290000}"/>
    <cellStyle name="Millares 8 2 2 2 3 2 3" xfId="18492" xr:uid="{00000000-0005-0000-0000-000069290000}"/>
    <cellStyle name="Millares 8 2 2 2 3 2 3 2" xfId="41135" xr:uid="{00000000-0005-0000-0000-00006A290000}"/>
    <cellStyle name="Millares 8 2 2 2 3 2 4" xfId="11052" xr:uid="{00000000-0005-0000-0000-00006B290000}"/>
    <cellStyle name="Millares 8 2 2 2 3 2 4 2" xfId="33695" xr:uid="{00000000-0005-0000-0000-00006C290000}"/>
    <cellStyle name="Millares 8 2 2 2 3 2 5" xfId="26254" xr:uid="{00000000-0005-0000-0000-00006D290000}"/>
    <cellStyle name="Millares 8 2 2 2 3 3" xfId="5479" xr:uid="{00000000-0005-0000-0000-00006E290000}"/>
    <cellStyle name="Millares 8 2 2 2 3 3 2" xfId="20363" xr:uid="{00000000-0005-0000-0000-00006F290000}"/>
    <cellStyle name="Millares 8 2 2 2 3 3 2 2" xfId="43006" xr:uid="{00000000-0005-0000-0000-000070290000}"/>
    <cellStyle name="Millares 8 2 2 2 3 3 3" xfId="12923" xr:uid="{00000000-0005-0000-0000-000071290000}"/>
    <cellStyle name="Millares 8 2 2 2 3 3 3 2" xfId="35566" xr:uid="{00000000-0005-0000-0000-000072290000}"/>
    <cellStyle name="Millares 8 2 2 2 3 3 4" xfId="28125" xr:uid="{00000000-0005-0000-0000-000073290000}"/>
    <cellStyle name="Millares 8 2 2 2 3 4" xfId="16645" xr:uid="{00000000-0005-0000-0000-000074290000}"/>
    <cellStyle name="Millares 8 2 2 2 3 4 2" xfId="39288" xr:uid="{00000000-0005-0000-0000-000075290000}"/>
    <cellStyle name="Millares 8 2 2 2 3 5" xfId="9205" xr:uid="{00000000-0005-0000-0000-000076290000}"/>
    <cellStyle name="Millares 8 2 2 2 3 5 2" xfId="31848" xr:uid="{00000000-0005-0000-0000-000077290000}"/>
    <cellStyle name="Millares 8 2 2 2 3 6" xfId="24407" xr:uid="{00000000-0005-0000-0000-000078290000}"/>
    <cellStyle name="Millares 8 2 2 2 4" xfId="2680" xr:uid="{00000000-0005-0000-0000-000079290000}"/>
    <cellStyle name="Millares 8 2 2 2 4 2" xfId="6401" xr:uid="{00000000-0005-0000-0000-00007A290000}"/>
    <cellStyle name="Millares 8 2 2 2 4 2 2" xfId="21285" xr:uid="{00000000-0005-0000-0000-00007B290000}"/>
    <cellStyle name="Millares 8 2 2 2 4 2 2 2" xfId="43928" xr:uid="{00000000-0005-0000-0000-00007C290000}"/>
    <cellStyle name="Millares 8 2 2 2 4 2 3" xfId="13845" xr:uid="{00000000-0005-0000-0000-00007D290000}"/>
    <cellStyle name="Millares 8 2 2 2 4 2 3 2" xfId="36488" xr:uid="{00000000-0005-0000-0000-00007E290000}"/>
    <cellStyle name="Millares 8 2 2 2 4 2 4" xfId="29047" xr:uid="{00000000-0005-0000-0000-00007F290000}"/>
    <cellStyle name="Millares 8 2 2 2 4 3" xfId="17567" xr:uid="{00000000-0005-0000-0000-000080290000}"/>
    <cellStyle name="Millares 8 2 2 2 4 3 2" xfId="40210" xr:uid="{00000000-0005-0000-0000-000081290000}"/>
    <cellStyle name="Millares 8 2 2 2 4 4" xfId="10127" xr:uid="{00000000-0005-0000-0000-000082290000}"/>
    <cellStyle name="Millares 8 2 2 2 4 4 2" xfId="32770" xr:uid="{00000000-0005-0000-0000-000083290000}"/>
    <cellStyle name="Millares 8 2 2 2 4 5" xfId="25329" xr:uid="{00000000-0005-0000-0000-000084290000}"/>
    <cellStyle name="Millares 8 2 2 2 5" xfId="4554" xr:uid="{00000000-0005-0000-0000-000085290000}"/>
    <cellStyle name="Millares 8 2 2 2 5 2" xfId="19438" xr:uid="{00000000-0005-0000-0000-000086290000}"/>
    <cellStyle name="Millares 8 2 2 2 5 2 2" xfId="42081" xr:uid="{00000000-0005-0000-0000-000087290000}"/>
    <cellStyle name="Millares 8 2 2 2 5 3" xfId="11998" xr:uid="{00000000-0005-0000-0000-000088290000}"/>
    <cellStyle name="Millares 8 2 2 2 5 3 2" xfId="34641" xr:uid="{00000000-0005-0000-0000-000089290000}"/>
    <cellStyle name="Millares 8 2 2 2 5 4" xfId="27200" xr:uid="{00000000-0005-0000-0000-00008A290000}"/>
    <cellStyle name="Millares 8 2 2 2 6" xfId="824" xr:uid="{00000000-0005-0000-0000-00008B290000}"/>
    <cellStyle name="Millares 8 2 2 2 6 2" xfId="15720" xr:uid="{00000000-0005-0000-0000-00008C290000}"/>
    <cellStyle name="Millares 8 2 2 2 6 2 2" xfId="38363" xr:uid="{00000000-0005-0000-0000-00008D290000}"/>
    <cellStyle name="Millares 8 2 2 2 6 3" xfId="23482" xr:uid="{00000000-0005-0000-0000-00008E290000}"/>
    <cellStyle name="Millares 8 2 2 2 7" xfId="8280" xr:uid="{00000000-0005-0000-0000-00008F290000}"/>
    <cellStyle name="Millares 8 2 2 2 7 2" xfId="30923" xr:uid="{00000000-0005-0000-0000-000090290000}"/>
    <cellStyle name="Millares 8 2 2 2 8" xfId="23053" xr:uid="{00000000-0005-0000-0000-000091290000}"/>
    <cellStyle name="Millares 8 2 2 3" xfId="1078" xr:uid="{00000000-0005-0000-0000-000092290000}"/>
    <cellStyle name="Millares 8 2 2 3 2" xfId="2006" xr:uid="{00000000-0005-0000-0000-000093290000}"/>
    <cellStyle name="Millares 8 2 2 3 2 2" xfId="3856" xr:uid="{00000000-0005-0000-0000-000094290000}"/>
    <cellStyle name="Millares 8 2 2 3 2 2 2" xfId="7577" xr:uid="{00000000-0005-0000-0000-000095290000}"/>
    <cellStyle name="Millares 8 2 2 3 2 2 2 2" xfId="22461" xr:uid="{00000000-0005-0000-0000-000096290000}"/>
    <cellStyle name="Millares 8 2 2 3 2 2 2 2 2" xfId="45104" xr:uid="{00000000-0005-0000-0000-000097290000}"/>
    <cellStyle name="Millares 8 2 2 3 2 2 2 3" xfId="15021" xr:uid="{00000000-0005-0000-0000-000098290000}"/>
    <cellStyle name="Millares 8 2 2 3 2 2 2 3 2" xfId="37664" xr:uid="{00000000-0005-0000-0000-000099290000}"/>
    <cellStyle name="Millares 8 2 2 3 2 2 2 4" xfId="30223" xr:uid="{00000000-0005-0000-0000-00009A290000}"/>
    <cellStyle name="Millares 8 2 2 3 2 2 3" xfId="18743" xr:uid="{00000000-0005-0000-0000-00009B290000}"/>
    <cellStyle name="Millares 8 2 2 3 2 2 3 2" xfId="41386" xr:uid="{00000000-0005-0000-0000-00009C290000}"/>
    <cellStyle name="Millares 8 2 2 3 2 2 4" xfId="11303" xr:uid="{00000000-0005-0000-0000-00009D290000}"/>
    <cellStyle name="Millares 8 2 2 3 2 2 4 2" xfId="33946" xr:uid="{00000000-0005-0000-0000-00009E290000}"/>
    <cellStyle name="Millares 8 2 2 3 2 2 5" xfId="26505" xr:uid="{00000000-0005-0000-0000-00009F290000}"/>
    <cellStyle name="Millares 8 2 2 3 2 3" xfId="5730" xr:uid="{00000000-0005-0000-0000-0000A0290000}"/>
    <cellStyle name="Millares 8 2 2 3 2 3 2" xfId="20614" xr:uid="{00000000-0005-0000-0000-0000A1290000}"/>
    <cellStyle name="Millares 8 2 2 3 2 3 2 2" xfId="43257" xr:uid="{00000000-0005-0000-0000-0000A2290000}"/>
    <cellStyle name="Millares 8 2 2 3 2 3 3" xfId="13174" xr:uid="{00000000-0005-0000-0000-0000A3290000}"/>
    <cellStyle name="Millares 8 2 2 3 2 3 3 2" xfId="35817" xr:uid="{00000000-0005-0000-0000-0000A4290000}"/>
    <cellStyle name="Millares 8 2 2 3 2 3 4" xfId="28376" xr:uid="{00000000-0005-0000-0000-0000A5290000}"/>
    <cellStyle name="Millares 8 2 2 3 2 4" xfId="16896" xr:uid="{00000000-0005-0000-0000-0000A6290000}"/>
    <cellStyle name="Millares 8 2 2 3 2 4 2" xfId="39539" xr:uid="{00000000-0005-0000-0000-0000A7290000}"/>
    <cellStyle name="Millares 8 2 2 3 2 5" xfId="9456" xr:uid="{00000000-0005-0000-0000-0000A8290000}"/>
    <cellStyle name="Millares 8 2 2 3 2 5 2" xfId="32099" xr:uid="{00000000-0005-0000-0000-0000A9290000}"/>
    <cellStyle name="Millares 8 2 2 3 2 6" xfId="24658" xr:uid="{00000000-0005-0000-0000-0000AA290000}"/>
    <cellStyle name="Millares 8 2 2 3 3" xfId="2931" xr:uid="{00000000-0005-0000-0000-0000AB290000}"/>
    <cellStyle name="Millares 8 2 2 3 3 2" xfId="6652" xr:uid="{00000000-0005-0000-0000-0000AC290000}"/>
    <cellStyle name="Millares 8 2 2 3 3 2 2" xfId="21536" xr:uid="{00000000-0005-0000-0000-0000AD290000}"/>
    <cellStyle name="Millares 8 2 2 3 3 2 2 2" xfId="44179" xr:uid="{00000000-0005-0000-0000-0000AE290000}"/>
    <cellStyle name="Millares 8 2 2 3 3 2 3" xfId="14096" xr:uid="{00000000-0005-0000-0000-0000AF290000}"/>
    <cellStyle name="Millares 8 2 2 3 3 2 3 2" xfId="36739" xr:uid="{00000000-0005-0000-0000-0000B0290000}"/>
    <cellStyle name="Millares 8 2 2 3 3 2 4" xfId="29298" xr:uid="{00000000-0005-0000-0000-0000B1290000}"/>
    <cellStyle name="Millares 8 2 2 3 3 3" xfId="17818" xr:uid="{00000000-0005-0000-0000-0000B2290000}"/>
    <cellStyle name="Millares 8 2 2 3 3 3 2" xfId="40461" xr:uid="{00000000-0005-0000-0000-0000B3290000}"/>
    <cellStyle name="Millares 8 2 2 3 3 4" xfId="10378" xr:uid="{00000000-0005-0000-0000-0000B4290000}"/>
    <cellStyle name="Millares 8 2 2 3 3 4 2" xfId="33021" xr:uid="{00000000-0005-0000-0000-0000B5290000}"/>
    <cellStyle name="Millares 8 2 2 3 3 5" xfId="25580" xr:uid="{00000000-0005-0000-0000-0000B6290000}"/>
    <cellStyle name="Millares 8 2 2 3 4" xfId="4805" xr:uid="{00000000-0005-0000-0000-0000B7290000}"/>
    <cellStyle name="Millares 8 2 2 3 4 2" xfId="19689" xr:uid="{00000000-0005-0000-0000-0000B8290000}"/>
    <cellStyle name="Millares 8 2 2 3 4 2 2" xfId="42332" xr:uid="{00000000-0005-0000-0000-0000B9290000}"/>
    <cellStyle name="Millares 8 2 2 3 4 3" xfId="12249" xr:uid="{00000000-0005-0000-0000-0000BA290000}"/>
    <cellStyle name="Millares 8 2 2 3 4 3 2" xfId="34892" xr:uid="{00000000-0005-0000-0000-0000BB290000}"/>
    <cellStyle name="Millares 8 2 2 3 4 4" xfId="27451" xr:uid="{00000000-0005-0000-0000-0000BC290000}"/>
    <cellStyle name="Millares 8 2 2 3 5" xfId="15971" xr:uid="{00000000-0005-0000-0000-0000BD290000}"/>
    <cellStyle name="Millares 8 2 2 3 5 2" xfId="38614" xr:uid="{00000000-0005-0000-0000-0000BE290000}"/>
    <cellStyle name="Millares 8 2 2 3 6" xfId="8531" xr:uid="{00000000-0005-0000-0000-0000BF290000}"/>
    <cellStyle name="Millares 8 2 2 3 6 2" xfId="31174" xr:uid="{00000000-0005-0000-0000-0000C0290000}"/>
    <cellStyle name="Millares 8 2 2 3 7" xfId="23733" xr:uid="{00000000-0005-0000-0000-0000C1290000}"/>
    <cellStyle name="Millares 8 2 2 4" xfId="1544" xr:uid="{00000000-0005-0000-0000-0000C2290000}"/>
    <cellStyle name="Millares 8 2 2 4 2" xfId="3394" xr:uid="{00000000-0005-0000-0000-0000C3290000}"/>
    <cellStyle name="Millares 8 2 2 4 2 2" xfId="7115" xr:uid="{00000000-0005-0000-0000-0000C4290000}"/>
    <cellStyle name="Millares 8 2 2 4 2 2 2" xfId="21999" xr:uid="{00000000-0005-0000-0000-0000C5290000}"/>
    <cellStyle name="Millares 8 2 2 4 2 2 2 2" xfId="44642" xr:uid="{00000000-0005-0000-0000-0000C6290000}"/>
    <cellStyle name="Millares 8 2 2 4 2 2 3" xfId="14559" xr:uid="{00000000-0005-0000-0000-0000C7290000}"/>
    <cellStyle name="Millares 8 2 2 4 2 2 3 2" xfId="37202" xr:uid="{00000000-0005-0000-0000-0000C8290000}"/>
    <cellStyle name="Millares 8 2 2 4 2 2 4" xfId="29761" xr:uid="{00000000-0005-0000-0000-0000C9290000}"/>
    <cellStyle name="Millares 8 2 2 4 2 3" xfId="18281" xr:uid="{00000000-0005-0000-0000-0000CA290000}"/>
    <cellStyle name="Millares 8 2 2 4 2 3 2" xfId="40924" xr:uid="{00000000-0005-0000-0000-0000CB290000}"/>
    <cellStyle name="Millares 8 2 2 4 2 4" xfId="10841" xr:uid="{00000000-0005-0000-0000-0000CC290000}"/>
    <cellStyle name="Millares 8 2 2 4 2 4 2" xfId="33484" xr:uid="{00000000-0005-0000-0000-0000CD290000}"/>
    <cellStyle name="Millares 8 2 2 4 2 5" xfId="26043" xr:uid="{00000000-0005-0000-0000-0000CE290000}"/>
    <cellStyle name="Millares 8 2 2 4 3" xfId="5268" xr:uid="{00000000-0005-0000-0000-0000CF290000}"/>
    <cellStyle name="Millares 8 2 2 4 3 2" xfId="20152" xr:uid="{00000000-0005-0000-0000-0000D0290000}"/>
    <cellStyle name="Millares 8 2 2 4 3 2 2" xfId="42795" xr:uid="{00000000-0005-0000-0000-0000D1290000}"/>
    <cellStyle name="Millares 8 2 2 4 3 3" xfId="12712" xr:uid="{00000000-0005-0000-0000-0000D2290000}"/>
    <cellStyle name="Millares 8 2 2 4 3 3 2" xfId="35355" xr:uid="{00000000-0005-0000-0000-0000D3290000}"/>
    <cellStyle name="Millares 8 2 2 4 3 4" xfId="27914" xr:uid="{00000000-0005-0000-0000-0000D4290000}"/>
    <cellStyle name="Millares 8 2 2 4 4" xfId="16434" xr:uid="{00000000-0005-0000-0000-0000D5290000}"/>
    <cellStyle name="Millares 8 2 2 4 4 2" xfId="39077" xr:uid="{00000000-0005-0000-0000-0000D6290000}"/>
    <cellStyle name="Millares 8 2 2 4 5" xfId="8994" xr:uid="{00000000-0005-0000-0000-0000D7290000}"/>
    <cellStyle name="Millares 8 2 2 4 5 2" xfId="31637" xr:uid="{00000000-0005-0000-0000-0000D8290000}"/>
    <cellStyle name="Millares 8 2 2 4 6" xfId="24196" xr:uid="{00000000-0005-0000-0000-0000D9290000}"/>
    <cellStyle name="Millares 8 2 2 5" xfId="2469" xr:uid="{00000000-0005-0000-0000-0000DA290000}"/>
    <cellStyle name="Millares 8 2 2 5 2" xfId="6190" xr:uid="{00000000-0005-0000-0000-0000DB290000}"/>
    <cellStyle name="Millares 8 2 2 5 2 2" xfId="21074" xr:uid="{00000000-0005-0000-0000-0000DC290000}"/>
    <cellStyle name="Millares 8 2 2 5 2 2 2" xfId="43717" xr:uid="{00000000-0005-0000-0000-0000DD290000}"/>
    <cellStyle name="Millares 8 2 2 5 2 3" xfId="13634" xr:uid="{00000000-0005-0000-0000-0000DE290000}"/>
    <cellStyle name="Millares 8 2 2 5 2 3 2" xfId="36277" xr:uid="{00000000-0005-0000-0000-0000DF290000}"/>
    <cellStyle name="Millares 8 2 2 5 2 4" xfId="28836" xr:uid="{00000000-0005-0000-0000-0000E0290000}"/>
    <cellStyle name="Millares 8 2 2 5 3" xfId="17356" xr:uid="{00000000-0005-0000-0000-0000E1290000}"/>
    <cellStyle name="Millares 8 2 2 5 3 2" xfId="39999" xr:uid="{00000000-0005-0000-0000-0000E2290000}"/>
    <cellStyle name="Millares 8 2 2 5 4" xfId="9916" xr:uid="{00000000-0005-0000-0000-0000E3290000}"/>
    <cellStyle name="Millares 8 2 2 5 4 2" xfId="32559" xr:uid="{00000000-0005-0000-0000-0000E4290000}"/>
    <cellStyle name="Millares 8 2 2 5 5" xfId="25118" xr:uid="{00000000-0005-0000-0000-0000E5290000}"/>
    <cellStyle name="Millares 8 2 2 6" xfId="4343" xr:uid="{00000000-0005-0000-0000-0000E6290000}"/>
    <cellStyle name="Millares 8 2 2 6 2" xfId="19227" xr:uid="{00000000-0005-0000-0000-0000E7290000}"/>
    <cellStyle name="Millares 8 2 2 6 2 2" xfId="41870" xr:uid="{00000000-0005-0000-0000-0000E8290000}"/>
    <cellStyle name="Millares 8 2 2 6 3" xfId="11787" xr:uid="{00000000-0005-0000-0000-0000E9290000}"/>
    <cellStyle name="Millares 8 2 2 6 3 2" xfId="34430" xr:uid="{00000000-0005-0000-0000-0000EA290000}"/>
    <cellStyle name="Millares 8 2 2 6 4" xfId="26989" xr:uid="{00000000-0005-0000-0000-0000EB290000}"/>
    <cellStyle name="Millares 8 2 2 7" xfId="612" xr:uid="{00000000-0005-0000-0000-0000EC290000}"/>
    <cellStyle name="Millares 8 2 2 7 2" xfId="15509" xr:uid="{00000000-0005-0000-0000-0000ED290000}"/>
    <cellStyle name="Millares 8 2 2 7 2 2" xfId="38152" xr:uid="{00000000-0005-0000-0000-0000EE290000}"/>
    <cellStyle name="Millares 8 2 2 7 3" xfId="23272" xr:uid="{00000000-0005-0000-0000-0000EF290000}"/>
    <cellStyle name="Millares 8 2 2 8" xfId="8069" xr:uid="{00000000-0005-0000-0000-0000F0290000}"/>
    <cellStyle name="Millares 8 2 2 8 2" xfId="30712" xr:uid="{00000000-0005-0000-0000-0000F1290000}"/>
    <cellStyle name="Millares 8 2 2 9" xfId="22897" xr:uid="{00000000-0005-0000-0000-0000F2290000}"/>
    <cellStyle name="Millares 8 2 3" xfId="277" xr:uid="{00000000-0005-0000-0000-0000F3290000}"/>
    <cellStyle name="Millares 8 2 3 2" xfId="1184" xr:uid="{00000000-0005-0000-0000-0000F4290000}"/>
    <cellStyle name="Millares 8 2 3 2 2" xfId="2112" xr:uid="{00000000-0005-0000-0000-0000F5290000}"/>
    <cellStyle name="Millares 8 2 3 2 2 2" xfId="3962" xr:uid="{00000000-0005-0000-0000-0000F6290000}"/>
    <cellStyle name="Millares 8 2 3 2 2 2 2" xfId="7683" xr:uid="{00000000-0005-0000-0000-0000F7290000}"/>
    <cellStyle name="Millares 8 2 3 2 2 2 2 2" xfId="22567" xr:uid="{00000000-0005-0000-0000-0000F8290000}"/>
    <cellStyle name="Millares 8 2 3 2 2 2 2 2 2" xfId="45210" xr:uid="{00000000-0005-0000-0000-0000F9290000}"/>
    <cellStyle name="Millares 8 2 3 2 2 2 2 3" xfId="15127" xr:uid="{00000000-0005-0000-0000-0000FA290000}"/>
    <cellStyle name="Millares 8 2 3 2 2 2 2 3 2" xfId="37770" xr:uid="{00000000-0005-0000-0000-0000FB290000}"/>
    <cellStyle name="Millares 8 2 3 2 2 2 2 4" xfId="30329" xr:uid="{00000000-0005-0000-0000-0000FC290000}"/>
    <cellStyle name="Millares 8 2 3 2 2 2 3" xfId="18849" xr:uid="{00000000-0005-0000-0000-0000FD290000}"/>
    <cellStyle name="Millares 8 2 3 2 2 2 3 2" xfId="41492" xr:uid="{00000000-0005-0000-0000-0000FE290000}"/>
    <cellStyle name="Millares 8 2 3 2 2 2 4" xfId="11409" xr:uid="{00000000-0005-0000-0000-0000FF290000}"/>
    <cellStyle name="Millares 8 2 3 2 2 2 4 2" xfId="34052" xr:uid="{00000000-0005-0000-0000-0000002A0000}"/>
    <cellStyle name="Millares 8 2 3 2 2 2 5" xfId="26611" xr:uid="{00000000-0005-0000-0000-0000012A0000}"/>
    <cellStyle name="Millares 8 2 3 2 2 3" xfId="5836" xr:uid="{00000000-0005-0000-0000-0000022A0000}"/>
    <cellStyle name="Millares 8 2 3 2 2 3 2" xfId="20720" xr:uid="{00000000-0005-0000-0000-0000032A0000}"/>
    <cellStyle name="Millares 8 2 3 2 2 3 2 2" xfId="43363" xr:uid="{00000000-0005-0000-0000-0000042A0000}"/>
    <cellStyle name="Millares 8 2 3 2 2 3 3" xfId="13280" xr:uid="{00000000-0005-0000-0000-0000052A0000}"/>
    <cellStyle name="Millares 8 2 3 2 2 3 3 2" xfId="35923" xr:uid="{00000000-0005-0000-0000-0000062A0000}"/>
    <cellStyle name="Millares 8 2 3 2 2 3 4" xfId="28482" xr:uid="{00000000-0005-0000-0000-0000072A0000}"/>
    <cellStyle name="Millares 8 2 3 2 2 4" xfId="17002" xr:uid="{00000000-0005-0000-0000-0000082A0000}"/>
    <cellStyle name="Millares 8 2 3 2 2 4 2" xfId="39645" xr:uid="{00000000-0005-0000-0000-0000092A0000}"/>
    <cellStyle name="Millares 8 2 3 2 2 5" xfId="9562" xr:uid="{00000000-0005-0000-0000-00000A2A0000}"/>
    <cellStyle name="Millares 8 2 3 2 2 5 2" xfId="32205" xr:uid="{00000000-0005-0000-0000-00000B2A0000}"/>
    <cellStyle name="Millares 8 2 3 2 2 6" xfId="24764" xr:uid="{00000000-0005-0000-0000-00000C2A0000}"/>
    <cellStyle name="Millares 8 2 3 2 3" xfId="3037" xr:uid="{00000000-0005-0000-0000-00000D2A0000}"/>
    <cellStyle name="Millares 8 2 3 2 3 2" xfId="6758" xr:uid="{00000000-0005-0000-0000-00000E2A0000}"/>
    <cellStyle name="Millares 8 2 3 2 3 2 2" xfId="21642" xr:uid="{00000000-0005-0000-0000-00000F2A0000}"/>
    <cellStyle name="Millares 8 2 3 2 3 2 2 2" xfId="44285" xr:uid="{00000000-0005-0000-0000-0000102A0000}"/>
    <cellStyle name="Millares 8 2 3 2 3 2 3" xfId="14202" xr:uid="{00000000-0005-0000-0000-0000112A0000}"/>
    <cellStyle name="Millares 8 2 3 2 3 2 3 2" xfId="36845" xr:uid="{00000000-0005-0000-0000-0000122A0000}"/>
    <cellStyle name="Millares 8 2 3 2 3 2 4" xfId="29404" xr:uid="{00000000-0005-0000-0000-0000132A0000}"/>
    <cellStyle name="Millares 8 2 3 2 3 3" xfId="17924" xr:uid="{00000000-0005-0000-0000-0000142A0000}"/>
    <cellStyle name="Millares 8 2 3 2 3 3 2" xfId="40567" xr:uid="{00000000-0005-0000-0000-0000152A0000}"/>
    <cellStyle name="Millares 8 2 3 2 3 4" xfId="10484" xr:uid="{00000000-0005-0000-0000-0000162A0000}"/>
    <cellStyle name="Millares 8 2 3 2 3 4 2" xfId="33127" xr:uid="{00000000-0005-0000-0000-0000172A0000}"/>
    <cellStyle name="Millares 8 2 3 2 3 5" xfId="25686" xr:uid="{00000000-0005-0000-0000-0000182A0000}"/>
    <cellStyle name="Millares 8 2 3 2 4" xfId="4911" xr:uid="{00000000-0005-0000-0000-0000192A0000}"/>
    <cellStyle name="Millares 8 2 3 2 4 2" xfId="19795" xr:uid="{00000000-0005-0000-0000-00001A2A0000}"/>
    <cellStyle name="Millares 8 2 3 2 4 2 2" xfId="42438" xr:uid="{00000000-0005-0000-0000-00001B2A0000}"/>
    <cellStyle name="Millares 8 2 3 2 4 3" xfId="12355" xr:uid="{00000000-0005-0000-0000-00001C2A0000}"/>
    <cellStyle name="Millares 8 2 3 2 4 3 2" xfId="34998" xr:uid="{00000000-0005-0000-0000-00001D2A0000}"/>
    <cellStyle name="Millares 8 2 3 2 4 4" xfId="27557" xr:uid="{00000000-0005-0000-0000-00001E2A0000}"/>
    <cellStyle name="Millares 8 2 3 2 5" xfId="16077" xr:uid="{00000000-0005-0000-0000-00001F2A0000}"/>
    <cellStyle name="Millares 8 2 3 2 5 2" xfId="38720" xr:uid="{00000000-0005-0000-0000-0000202A0000}"/>
    <cellStyle name="Millares 8 2 3 2 6" xfId="8637" xr:uid="{00000000-0005-0000-0000-0000212A0000}"/>
    <cellStyle name="Millares 8 2 3 2 6 2" xfId="31280" xr:uid="{00000000-0005-0000-0000-0000222A0000}"/>
    <cellStyle name="Millares 8 2 3 2 7" xfId="23839" xr:uid="{00000000-0005-0000-0000-0000232A0000}"/>
    <cellStyle name="Millares 8 2 3 3" xfId="1650" xr:uid="{00000000-0005-0000-0000-0000242A0000}"/>
    <cellStyle name="Millares 8 2 3 3 2" xfId="3500" xr:uid="{00000000-0005-0000-0000-0000252A0000}"/>
    <cellStyle name="Millares 8 2 3 3 2 2" xfId="7221" xr:uid="{00000000-0005-0000-0000-0000262A0000}"/>
    <cellStyle name="Millares 8 2 3 3 2 2 2" xfId="22105" xr:uid="{00000000-0005-0000-0000-0000272A0000}"/>
    <cellStyle name="Millares 8 2 3 3 2 2 2 2" xfId="44748" xr:uid="{00000000-0005-0000-0000-0000282A0000}"/>
    <cellStyle name="Millares 8 2 3 3 2 2 3" xfId="14665" xr:uid="{00000000-0005-0000-0000-0000292A0000}"/>
    <cellStyle name="Millares 8 2 3 3 2 2 3 2" xfId="37308" xr:uid="{00000000-0005-0000-0000-00002A2A0000}"/>
    <cellStyle name="Millares 8 2 3 3 2 2 4" xfId="29867" xr:uid="{00000000-0005-0000-0000-00002B2A0000}"/>
    <cellStyle name="Millares 8 2 3 3 2 3" xfId="18387" xr:uid="{00000000-0005-0000-0000-00002C2A0000}"/>
    <cellStyle name="Millares 8 2 3 3 2 3 2" xfId="41030" xr:uid="{00000000-0005-0000-0000-00002D2A0000}"/>
    <cellStyle name="Millares 8 2 3 3 2 4" xfId="10947" xr:uid="{00000000-0005-0000-0000-00002E2A0000}"/>
    <cellStyle name="Millares 8 2 3 3 2 4 2" xfId="33590" xr:uid="{00000000-0005-0000-0000-00002F2A0000}"/>
    <cellStyle name="Millares 8 2 3 3 2 5" xfId="26149" xr:uid="{00000000-0005-0000-0000-0000302A0000}"/>
    <cellStyle name="Millares 8 2 3 3 3" xfId="5374" xr:uid="{00000000-0005-0000-0000-0000312A0000}"/>
    <cellStyle name="Millares 8 2 3 3 3 2" xfId="20258" xr:uid="{00000000-0005-0000-0000-0000322A0000}"/>
    <cellStyle name="Millares 8 2 3 3 3 2 2" xfId="42901" xr:uid="{00000000-0005-0000-0000-0000332A0000}"/>
    <cellStyle name="Millares 8 2 3 3 3 3" xfId="12818" xr:uid="{00000000-0005-0000-0000-0000342A0000}"/>
    <cellStyle name="Millares 8 2 3 3 3 3 2" xfId="35461" xr:uid="{00000000-0005-0000-0000-0000352A0000}"/>
    <cellStyle name="Millares 8 2 3 3 3 4" xfId="28020" xr:uid="{00000000-0005-0000-0000-0000362A0000}"/>
    <cellStyle name="Millares 8 2 3 3 4" xfId="16540" xr:uid="{00000000-0005-0000-0000-0000372A0000}"/>
    <cellStyle name="Millares 8 2 3 3 4 2" xfId="39183" xr:uid="{00000000-0005-0000-0000-0000382A0000}"/>
    <cellStyle name="Millares 8 2 3 3 5" xfId="9100" xr:uid="{00000000-0005-0000-0000-0000392A0000}"/>
    <cellStyle name="Millares 8 2 3 3 5 2" xfId="31743" xr:uid="{00000000-0005-0000-0000-00003A2A0000}"/>
    <cellStyle name="Millares 8 2 3 3 6" xfId="24302" xr:uid="{00000000-0005-0000-0000-00003B2A0000}"/>
    <cellStyle name="Millares 8 2 3 4" xfId="2575" xr:uid="{00000000-0005-0000-0000-00003C2A0000}"/>
    <cellStyle name="Millares 8 2 3 4 2" xfId="6296" xr:uid="{00000000-0005-0000-0000-00003D2A0000}"/>
    <cellStyle name="Millares 8 2 3 4 2 2" xfId="21180" xr:uid="{00000000-0005-0000-0000-00003E2A0000}"/>
    <cellStyle name="Millares 8 2 3 4 2 2 2" xfId="43823" xr:uid="{00000000-0005-0000-0000-00003F2A0000}"/>
    <cellStyle name="Millares 8 2 3 4 2 3" xfId="13740" xr:uid="{00000000-0005-0000-0000-0000402A0000}"/>
    <cellStyle name="Millares 8 2 3 4 2 3 2" xfId="36383" xr:uid="{00000000-0005-0000-0000-0000412A0000}"/>
    <cellStyle name="Millares 8 2 3 4 2 4" xfId="28942" xr:uid="{00000000-0005-0000-0000-0000422A0000}"/>
    <cellStyle name="Millares 8 2 3 4 3" xfId="17462" xr:uid="{00000000-0005-0000-0000-0000432A0000}"/>
    <cellStyle name="Millares 8 2 3 4 3 2" xfId="40105" xr:uid="{00000000-0005-0000-0000-0000442A0000}"/>
    <cellStyle name="Millares 8 2 3 4 4" xfId="10022" xr:uid="{00000000-0005-0000-0000-0000452A0000}"/>
    <cellStyle name="Millares 8 2 3 4 4 2" xfId="32665" xr:uid="{00000000-0005-0000-0000-0000462A0000}"/>
    <cellStyle name="Millares 8 2 3 4 5" xfId="25224" xr:uid="{00000000-0005-0000-0000-0000472A0000}"/>
    <cellStyle name="Millares 8 2 3 5" xfId="4449" xr:uid="{00000000-0005-0000-0000-0000482A0000}"/>
    <cellStyle name="Millares 8 2 3 5 2" xfId="19333" xr:uid="{00000000-0005-0000-0000-0000492A0000}"/>
    <cellStyle name="Millares 8 2 3 5 2 2" xfId="41976" xr:uid="{00000000-0005-0000-0000-00004A2A0000}"/>
    <cellStyle name="Millares 8 2 3 5 3" xfId="11893" xr:uid="{00000000-0005-0000-0000-00004B2A0000}"/>
    <cellStyle name="Millares 8 2 3 5 3 2" xfId="34536" xr:uid="{00000000-0005-0000-0000-00004C2A0000}"/>
    <cellStyle name="Millares 8 2 3 5 4" xfId="27095" xr:uid="{00000000-0005-0000-0000-00004D2A0000}"/>
    <cellStyle name="Millares 8 2 3 6" xfId="719" xr:uid="{00000000-0005-0000-0000-00004E2A0000}"/>
    <cellStyle name="Millares 8 2 3 6 2" xfId="15615" xr:uid="{00000000-0005-0000-0000-00004F2A0000}"/>
    <cellStyle name="Millares 8 2 3 6 2 2" xfId="38258" xr:uid="{00000000-0005-0000-0000-0000502A0000}"/>
    <cellStyle name="Millares 8 2 3 6 3" xfId="23377" xr:uid="{00000000-0005-0000-0000-0000512A0000}"/>
    <cellStyle name="Millares 8 2 3 7" xfId="8175" xr:uid="{00000000-0005-0000-0000-0000522A0000}"/>
    <cellStyle name="Millares 8 2 3 7 2" xfId="30818" xr:uid="{00000000-0005-0000-0000-0000532A0000}"/>
    <cellStyle name="Millares 8 2 3 8" xfId="22975" xr:uid="{00000000-0005-0000-0000-0000542A0000}"/>
    <cellStyle name="Millares 8 2 4" xfId="973" xr:uid="{00000000-0005-0000-0000-0000552A0000}"/>
    <cellStyle name="Millares 8 2 4 2" xfId="1901" xr:uid="{00000000-0005-0000-0000-0000562A0000}"/>
    <cellStyle name="Millares 8 2 4 2 2" xfId="3751" xr:uid="{00000000-0005-0000-0000-0000572A0000}"/>
    <cellStyle name="Millares 8 2 4 2 2 2" xfId="7472" xr:uid="{00000000-0005-0000-0000-0000582A0000}"/>
    <cellStyle name="Millares 8 2 4 2 2 2 2" xfId="22356" xr:uid="{00000000-0005-0000-0000-0000592A0000}"/>
    <cellStyle name="Millares 8 2 4 2 2 2 2 2" xfId="44999" xr:uid="{00000000-0005-0000-0000-00005A2A0000}"/>
    <cellStyle name="Millares 8 2 4 2 2 2 3" xfId="14916" xr:uid="{00000000-0005-0000-0000-00005B2A0000}"/>
    <cellStyle name="Millares 8 2 4 2 2 2 3 2" xfId="37559" xr:uid="{00000000-0005-0000-0000-00005C2A0000}"/>
    <cellStyle name="Millares 8 2 4 2 2 2 4" xfId="30118" xr:uid="{00000000-0005-0000-0000-00005D2A0000}"/>
    <cellStyle name="Millares 8 2 4 2 2 3" xfId="18638" xr:uid="{00000000-0005-0000-0000-00005E2A0000}"/>
    <cellStyle name="Millares 8 2 4 2 2 3 2" xfId="41281" xr:uid="{00000000-0005-0000-0000-00005F2A0000}"/>
    <cellStyle name="Millares 8 2 4 2 2 4" xfId="11198" xr:uid="{00000000-0005-0000-0000-0000602A0000}"/>
    <cellStyle name="Millares 8 2 4 2 2 4 2" xfId="33841" xr:uid="{00000000-0005-0000-0000-0000612A0000}"/>
    <cellStyle name="Millares 8 2 4 2 2 5" xfId="26400" xr:uid="{00000000-0005-0000-0000-0000622A0000}"/>
    <cellStyle name="Millares 8 2 4 2 3" xfId="5625" xr:uid="{00000000-0005-0000-0000-0000632A0000}"/>
    <cellStyle name="Millares 8 2 4 2 3 2" xfId="20509" xr:uid="{00000000-0005-0000-0000-0000642A0000}"/>
    <cellStyle name="Millares 8 2 4 2 3 2 2" xfId="43152" xr:uid="{00000000-0005-0000-0000-0000652A0000}"/>
    <cellStyle name="Millares 8 2 4 2 3 3" xfId="13069" xr:uid="{00000000-0005-0000-0000-0000662A0000}"/>
    <cellStyle name="Millares 8 2 4 2 3 3 2" xfId="35712" xr:uid="{00000000-0005-0000-0000-0000672A0000}"/>
    <cellStyle name="Millares 8 2 4 2 3 4" xfId="28271" xr:uid="{00000000-0005-0000-0000-0000682A0000}"/>
    <cellStyle name="Millares 8 2 4 2 4" xfId="16791" xr:uid="{00000000-0005-0000-0000-0000692A0000}"/>
    <cellStyle name="Millares 8 2 4 2 4 2" xfId="39434" xr:uid="{00000000-0005-0000-0000-00006A2A0000}"/>
    <cellStyle name="Millares 8 2 4 2 5" xfId="9351" xr:uid="{00000000-0005-0000-0000-00006B2A0000}"/>
    <cellStyle name="Millares 8 2 4 2 5 2" xfId="31994" xr:uid="{00000000-0005-0000-0000-00006C2A0000}"/>
    <cellStyle name="Millares 8 2 4 2 6" xfId="24553" xr:uid="{00000000-0005-0000-0000-00006D2A0000}"/>
    <cellStyle name="Millares 8 2 4 3" xfId="2826" xr:uid="{00000000-0005-0000-0000-00006E2A0000}"/>
    <cellStyle name="Millares 8 2 4 3 2" xfId="6547" xr:uid="{00000000-0005-0000-0000-00006F2A0000}"/>
    <cellStyle name="Millares 8 2 4 3 2 2" xfId="21431" xr:uid="{00000000-0005-0000-0000-0000702A0000}"/>
    <cellStyle name="Millares 8 2 4 3 2 2 2" xfId="44074" xr:uid="{00000000-0005-0000-0000-0000712A0000}"/>
    <cellStyle name="Millares 8 2 4 3 2 3" xfId="13991" xr:uid="{00000000-0005-0000-0000-0000722A0000}"/>
    <cellStyle name="Millares 8 2 4 3 2 3 2" xfId="36634" xr:uid="{00000000-0005-0000-0000-0000732A0000}"/>
    <cellStyle name="Millares 8 2 4 3 2 4" xfId="29193" xr:uid="{00000000-0005-0000-0000-0000742A0000}"/>
    <cellStyle name="Millares 8 2 4 3 3" xfId="17713" xr:uid="{00000000-0005-0000-0000-0000752A0000}"/>
    <cellStyle name="Millares 8 2 4 3 3 2" xfId="40356" xr:uid="{00000000-0005-0000-0000-0000762A0000}"/>
    <cellStyle name="Millares 8 2 4 3 4" xfId="10273" xr:uid="{00000000-0005-0000-0000-0000772A0000}"/>
    <cellStyle name="Millares 8 2 4 3 4 2" xfId="32916" xr:uid="{00000000-0005-0000-0000-0000782A0000}"/>
    <cellStyle name="Millares 8 2 4 3 5" xfId="25475" xr:uid="{00000000-0005-0000-0000-0000792A0000}"/>
    <cellStyle name="Millares 8 2 4 4" xfId="4700" xr:uid="{00000000-0005-0000-0000-00007A2A0000}"/>
    <cellStyle name="Millares 8 2 4 4 2" xfId="19584" xr:uid="{00000000-0005-0000-0000-00007B2A0000}"/>
    <cellStyle name="Millares 8 2 4 4 2 2" xfId="42227" xr:uid="{00000000-0005-0000-0000-00007C2A0000}"/>
    <cellStyle name="Millares 8 2 4 4 3" xfId="12144" xr:uid="{00000000-0005-0000-0000-00007D2A0000}"/>
    <cellStyle name="Millares 8 2 4 4 3 2" xfId="34787" xr:uid="{00000000-0005-0000-0000-00007E2A0000}"/>
    <cellStyle name="Millares 8 2 4 4 4" xfId="27346" xr:uid="{00000000-0005-0000-0000-00007F2A0000}"/>
    <cellStyle name="Millares 8 2 4 5" xfId="15866" xr:uid="{00000000-0005-0000-0000-0000802A0000}"/>
    <cellStyle name="Millares 8 2 4 5 2" xfId="38509" xr:uid="{00000000-0005-0000-0000-0000812A0000}"/>
    <cellStyle name="Millares 8 2 4 6" xfId="8426" xr:uid="{00000000-0005-0000-0000-0000822A0000}"/>
    <cellStyle name="Millares 8 2 4 6 2" xfId="31069" xr:uid="{00000000-0005-0000-0000-0000832A0000}"/>
    <cellStyle name="Millares 8 2 4 7" xfId="23628" xr:uid="{00000000-0005-0000-0000-0000842A0000}"/>
    <cellStyle name="Millares 8 2 5" xfId="1439" xr:uid="{00000000-0005-0000-0000-0000852A0000}"/>
    <cellStyle name="Millares 8 2 5 2" xfId="3289" xr:uid="{00000000-0005-0000-0000-0000862A0000}"/>
    <cellStyle name="Millares 8 2 5 2 2" xfId="7010" xr:uid="{00000000-0005-0000-0000-0000872A0000}"/>
    <cellStyle name="Millares 8 2 5 2 2 2" xfId="21894" xr:uid="{00000000-0005-0000-0000-0000882A0000}"/>
    <cellStyle name="Millares 8 2 5 2 2 2 2" xfId="44537" xr:uid="{00000000-0005-0000-0000-0000892A0000}"/>
    <cellStyle name="Millares 8 2 5 2 2 3" xfId="14454" xr:uid="{00000000-0005-0000-0000-00008A2A0000}"/>
    <cellStyle name="Millares 8 2 5 2 2 3 2" xfId="37097" xr:uid="{00000000-0005-0000-0000-00008B2A0000}"/>
    <cellStyle name="Millares 8 2 5 2 2 4" xfId="29656" xr:uid="{00000000-0005-0000-0000-00008C2A0000}"/>
    <cellStyle name="Millares 8 2 5 2 3" xfId="18176" xr:uid="{00000000-0005-0000-0000-00008D2A0000}"/>
    <cellStyle name="Millares 8 2 5 2 3 2" xfId="40819" xr:uid="{00000000-0005-0000-0000-00008E2A0000}"/>
    <cellStyle name="Millares 8 2 5 2 4" xfId="10736" xr:uid="{00000000-0005-0000-0000-00008F2A0000}"/>
    <cellStyle name="Millares 8 2 5 2 4 2" xfId="33379" xr:uid="{00000000-0005-0000-0000-0000902A0000}"/>
    <cellStyle name="Millares 8 2 5 2 5" xfId="25938" xr:uid="{00000000-0005-0000-0000-0000912A0000}"/>
    <cellStyle name="Millares 8 2 5 3" xfId="5163" xr:uid="{00000000-0005-0000-0000-0000922A0000}"/>
    <cellStyle name="Millares 8 2 5 3 2" xfId="20047" xr:uid="{00000000-0005-0000-0000-0000932A0000}"/>
    <cellStyle name="Millares 8 2 5 3 2 2" xfId="42690" xr:uid="{00000000-0005-0000-0000-0000942A0000}"/>
    <cellStyle name="Millares 8 2 5 3 3" xfId="12607" xr:uid="{00000000-0005-0000-0000-0000952A0000}"/>
    <cellStyle name="Millares 8 2 5 3 3 2" xfId="35250" xr:uid="{00000000-0005-0000-0000-0000962A0000}"/>
    <cellStyle name="Millares 8 2 5 3 4" xfId="27809" xr:uid="{00000000-0005-0000-0000-0000972A0000}"/>
    <cellStyle name="Millares 8 2 5 4" xfId="16329" xr:uid="{00000000-0005-0000-0000-0000982A0000}"/>
    <cellStyle name="Millares 8 2 5 4 2" xfId="38972" xr:uid="{00000000-0005-0000-0000-0000992A0000}"/>
    <cellStyle name="Millares 8 2 5 5" xfId="8889" xr:uid="{00000000-0005-0000-0000-00009A2A0000}"/>
    <cellStyle name="Millares 8 2 5 5 2" xfId="31532" xr:uid="{00000000-0005-0000-0000-00009B2A0000}"/>
    <cellStyle name="Millares 8 2 5 6" xfId="24091" xr:uid="{00000000-0005-0000-0000-00009C2A0000}"/>
    <cellStyle name="Millares 8 2 6" xfId="2364" xr:uid="{00000000-0005-0000-0000-00009D2A0000}"/>
    <cellStyle name="Millares 8 2 6 2" xfId="6085" xr:uid="{00000000-0005-0000-0000-00009E2A0000}"/>
    <cellStyle name="Millares 8 2 6 2 2" xfId="20969" xr:uid="{00000000-0005-0000-0000-00009F2A0000}"/>
    <cellStyle name="Millares 8 2 6 2 2 2" xfId="43612" xr:uid="{00000000-0005-0000-0000-0000A02A0000}"/>
    <cellStyle name="Millares 8 2 6 2 3" xfId="13529" xr:uid="{00000000-0005-0000-0000-0000A12A0000}"/>
    <cellStyle name="Millares 8 2 6 2 3 2" xfId="36172" xr:uid="{00000000-0005-0000-0000-0000A22A0000}"/>
    <cellStyle name="Millares 8 2 6 2 4" xfId="28731" xr:uid="{00000000-0005-0000-0000-0000A32A0000}"/>
    <cellStyle name="Millares 8 2 6 3" xfId="17251" xr:uid="{00000000-0005-0000-0000-0000A42A0000}"/>
    <cellStyle name="Millares 8 2 6 3 2" xfId="39894" xr:uid="{00000000-0005-0000-0000-0000A52A0000}"/>
    <cellStyle name="Millares 8 2 6 4" xfId="9811" xr:uid="{00000000-0005-0000-0000-0000A62A0000}"/>
    <cellStyle name="Millares 8 2 6 4 2" xfId="32454" xr:uid="{00000000-0005-0000-0000-0000A72A0000}"/>
    <cellStyle name="Millares 8 2 6 5" xfId="25013" xr:uid="{00000000-0005-0000-0000-0000A82A0000}"/>
    <cellStyle name="Millares 8 2 7" xfId="4238" xr:uid="{00000000-0005-0000-0000-0000A92A0000}"/>
    <cellStyle name="Millares 8 2 7 2" xfId="19122" xr:uid="{00000000-0005-0000-0000-0000AA2A0000}"/>
    <cellStyle name="Millares 8 2 7 2 2" xfId="41765" xr:uid="{00000000-0005-0000-0000-0000AB2A0000}"/>
    <cellStyle name="Millares 8 2 7 3" xfId="11682" xr:uid="{00000000-0005-0000-0000-0000AC2A0000}"/>
    <cellStyle name="Millares 8 2 7 3 2" xfId="34325" xr:uid="{00000000-0005-0000-0000-0000AD2A0000}"/>
    <cellStyle name="Millares 8 2 7 4" xfId="26884" xr:uid="{00000000-0005-0000-0000-0000AE2A0000}"/>
    <cellStyle name="Millares 8 2 8" xfId="506" xr:uid="{00000000-0005-0000-0000-0000AF2A0000}"/>
    <cellStyle name="Millares 8 2 8 2" xfId="15404" xr:uid="{00000000-0005-0000-0000-0000B02A0000}"/>
    <cellStyle name="Millares 8 2 8 2 2" xfId="38047" xr:uid="{00000000-0005-0000-0000-0000B12A0000}"/>
    <cellStyle name="Millares 8 2 8 3" xfId="23167" xr:uid="{00000000-0005-0000-0000-0000B22A0000}"/>
    <cellStyle name="Millares 8 2 9" xfId="7964" xr:uid="{00000000-0005-0000-0000-0000B32A0000}"/>
    <cellStyle name="Millares 8 2 9 2" xfId="30607" xr:uid="{00000000-0005-0000-0000-0000B42A0000}"/>
    <cellStyle name="Millares 8 3" xfId="154" xr:uid="{00000000-0005-0000-0000-0000B52A0000}"/>
    <cellStyle name="Millares 8 3 2" xfId="316" xr:uid="{00000000-0005-0000-0000-0000B62A0000}"/>
    <cellStyle name="Millares 8 3 2 2" xfId="1237" xr:uid="{00000000-0005-0000-0000-0000B72A0000}"/>
    <cellStyle name="Millares 8 3 2 2 2" xfId="2165" xr:uid="{00000000-0005-0000-0000-0000B82A0000}"/>
    <cellStyle name="Millares 8 3 2 2 2 2" xfId="4015" xr:uid="{00000000-0005-0000-0000-0000B92A0000}"/>
    <cellStyle name="Millares 8 3 2 2 2 2 2" xfId="7736" xr:uid="{00000000-0005-0000-0000-0000BA2A0000}"/>
    <cellStyle name="Millares 8 3 2 2 2 2 2 2" xfId="22620" xr:uid="{00000000-0005-0000-0000-0000BB2A0000}"/>
    <cellStyle name="Millares 8 3 2 2 2 2 2 2 2" xfId="45263" xr:uid="{00000000-0005-0000-0000-0000BC2A0000}"/>
    <cellStyle name="Millares 8 3 2 2 2 2 2 3" xfId="15180" xr:uid="{00000000-0005-0000-0000-0000BD2A0000}"/>
    <cellStyle name="Millares 8 3 2 2 2 2 2 3 2" xfId="37823" xr:uid="{00000000-0005-0000-0000-0000BE2A0000}"/>
    <cellStyle name="Millares 8 3 2 2 2 2 2 4" xfId="30382" xr:uid="{00000000-0005-0000-0000-0000BF2A0000}"/>
    <cellStyle name="Millares 8 3 2 2 2 2 3" xfId="18902" xr:uid="{00000000-0005-0000-0000-0000C02A0000}"/>
    <cellStyle name="Millares 8 3 2 2 2 2 3 2" xfId="41545" xr:uid="{00000000-0005-0000-0000-0000C12A0000}"/>
    <cellStyle name="Millares 8 3 2 2 2 2 4" xfId="11462" xr:uid="{00000000-0005-0000-0000-0000C22A0000}"/>
    <cellStyle name="Millares 8 3 2 2 2 2 4 2" xfId="34105" xr:uid="{00000000-0005-0000-0000-0000C32A0000}"/>
    <cellStyle name="Millares 8 3 2 2 2 2 5" xfId="26664" xr:uid="{00000000-0005-0000-0000-0000C42A0000}"/>
    <cellStyle name="Millares 8 3 2 2 2 3" xfId="5889" xr:uid="{00000000-0005-0000-0000-0000C52A0000}"/>
    <cellStyle name="Millares 8 3 2 2 2 3 2" xfId="20773" xr:uid="{00000000-0005-0000-0000-0000C62A0000}"/>
    <cellStyle name="Millares 8 3 2 2 2 3 2 2" xfId="43416" xr:uid="{00000000-0005-0000-0000-0000C72A0000}"/>
    <cellStyle name="Millares 8 3 2 2 2 3 3" xfId="13333" xr:uid="{00000000-0005-0000-0000-0000C82A0000}"/>
    <cellStyle name="Millares 8 3 2 2 2 3 3 2" xfId="35976" xr:uid="{00000000-0005-0000-0000-0000C92A0000}"/>
    <cellStyle name="Millares 8 3 2 2 2 3 4" xfId="28535" xr:uid="{00000000-0005-0000-0000-0000CA2A0000}"/>
    <cellStyle name="Millares 8 3 2 2 2 4" xfId="17055" xr:uid="{00000000-0005-0000-0000-0000CB2A0000}"/>
    <cellStyle name="Millares 8 3 2 2 2 4 2" xfId="39698" xr:uid="{00000000-0005-0000-0000-0000CC2A0000}"/>
    <cellStyle name="Millares 8 3 2 2 2 5" xfId="9615" xr:uid="{00000000-0005-0000-0000-0000CD2A0000}"/>
    <cellStyle name="Millares 8 3 2 2 2 5 2" xfId="32258" xr:uid="{00000000-0005-0000-0000-0000CE2A0000}"/>
    <cellStyle name="Millares 8 3 2 2 2 6" xfId="24817" xr:uid="{00000000-0005-0000-0000-0000CF2A0000}"/>
    <cellStyle name="Millares 8 3 2 2 3" xfId="3090" xr:uid="{00000000-0005-0000-0000-0000D02A0000}"/>
    <cellStyle name="Millares 8 3 2 2 3 2" xfId="6811" xr:uid="{00000000-0005-0000-0000-0000D12A0000}"/>
    <cellStyle name="Millares 8 3 2 2 3 2 2" xfId="21695" xr:uid="{00000000-0005-0000-0000-0000D22A0000}"/>
    <cellStyle name="Millares 8 3 2 2 3 2 2 2" xfId="44338" xr:uid="{00000000-0005-0000-0000-0000D32A0000}"/>
    <cellStyle name="Millares 8 3 2 2 3 2 3" xfId="14255" xr:uid="{00000000-0005-0000-0000-0000D42A0000}"/>
    <cellStyle name="Millares 8 3 2 2 3 2 3 2" xfId="36898" xr:uid="{00000000-0005-0000-0000-0000D52A0000}"/>
    <cellStyle name="Millares 8 3 2 2 3 2 4" xfId="29457" xr:uid="{00000000-0005-0000-0000-0000D62A0000}"/>
    <cellStyle name="Millares 8 3 2 2 3 3" xfId="17977" xr:uid="{00000000-0005-0000-0000-0000D72A0000}"/>
    <cellStyle name="Millares 8 3 2 2 3 3 2" xfId="40620" xr:uid="{00000000-0005-0000-0000-0000D82A0000}"/>
    <cellStyle name="Millares 8 3 2 2 3 4" xfId="10537" xr:uid="{00000000-0005-0000-0000-0000D92A0000}"/>
    <cellStyle name="Millares 8 3 2 2 3 4 2" xfId="33180" xr:uid="{00000000-0005-0000-0000-0000DA2A0000}"/>
    <cellStyle name="Millares 8 3 2 2 3 5" xfId="25739" xr:uid="{00000000-0005-0000-0000-0000DB2A0000}"/>
    <cellStyle name="Millares 8 3 2 2 4" xfId="4964" xr:uid="{00000000-0005-0000-0000-0000DC2A0000}"/>
    <cellStyle name="Millares 8 3 2 2 4 2" xfId="19848" xr:uid="{00000000-0005-0000-0000-0000DD2A0000}"/>
    <cellStyle name="Millares 8 3 2 2 4 2 2" xfId="42491" xr:uid="{00000000-0005-0000-0000-0000DE2A0000}"/>
    <cellStyle name="Millares 8 3 2 2 4 3" xfId="12408" xr:uid="{00000000-0005-0000-0000-0000DF2A0000}"/>
    <cellStyle name="Millares 8 3 2 2 4 3 2" xfId="35051" xr:uid="{00000000-0005-0000-0000-0000E02A0000}"/>
    <cellStyle name="Millares 8 3 2 2 4 4" xfId="27610" xr:uid="{00000000-0005-0000-0000-0000E12A0000}"/>
    <cellStyle name="Millares 8 3 2 2 5" xfId="16130" xr:uid="{00000000-0005-0000-0000-0000E22A0000}"/>
    <cellStyle name="Millares 8 3 2 2 5 2" xfId="38773" xr:uid="{00000000-0005-0000-0000-0000E32A0000}"/>
    <cellStyle name="Millares 8 3 2 2 6" xfId="8690" xr:uid="{00000000-0005-0000-0000-0000E42A0000}"/>
    <cellStyle name="Millares 8 3 2 2 6 2" xfId="31333" xr:uid="{00000000-0005-0000-0000-0000E52A0000}"/>
    <cellStyle name="Millares 8 3 2 2 7" xfId="23892" xr:uid="{00000000-0005-0000-0000-0000E62A0000}"/>
    <cellStyle name="Millares 8 3 2 3" xfId="1703" xr:uid="{00000000-0005-0000-0000-0000E72A0000}"/>
    <cellStyle name="Millares 8 3 2 3 2" xfId="3553" xr:uid="{00000000-0005-0000-0000-0000E82A0000}"/>
    <cellStyle name="Millares 8 3 2 3 2 2" xfId="7274" xr:uid="{00000000-0005-0000-0000-0000E92A0000}"/>
    <cellStyle name="Millares 8 3 2 3 2 2 2" xfId="22158" xr:uid="{00000000-0005-0000-0000-0000EA2A0000}"/>
    <cellStyle name="Millares 8 3 2 3 2 2 2 2" xfId="44801" xr:uid="{00000000-0005-0000-0000-0000EB2A0000}"/>
    <cellStyle name="Millares 8 3 2 3 2 2 3" xfId="14718" xr:uid="{00000000-0005-0000-0000-0000EC2A0000}"/>
    <cellStyle name="Millares 8 3 2 3 2 2 3 2" xfId="37361" xr:uid="{00000000-0005-0000-0000-0000ED2A0000}"/>
    <cellStyle name="Millares 8 3 2 3 2 2 4" xfId="29920" xr:uid="{00000000-0005-0000-0000-0000EE2A0000}"/>
    <cellStyle name="Millares 8 3 2 3 2 3" xfId="18440" xr:uid="{00000000-0005-0000-0000-0000EF2A0000}"/>
    <cellStyle name="Millares 8 3 2 3 2 3 2" xfId="41083" xr:uid="{00000000-0005-0000-0000-0000F02A0000}"/>
    <cellStyle name="Millares 8 3 2 3 2 4" xfId="11000" xr:uid="{00000000-0005-0000-0000-0000F12A0000}"/>
    <cellStyle name="Millares 8 3 2 3 2 4 2" xfId="33643" xr:uid="{00000000-0005-0000-0000-0000F22A0000}"/>
    <cellStyle name="Millares 8 3 2 3 2 5" xfId="26202" xr:uid="{00000000-0005-0000-0000-0000F32A0000}"/>
    <cellStyle name="Millares 8 3 2 3 3" xfId="5427" xr:uid="{00000000-0005-0000-0000-0000F42A0000}"/>
    <cellStyle name="Millares 8 3 2 3 3 2" xfId="20311" xr:uid="{00000000-0005-0000-0000-0000F52A0000}"/>
    <cellStyle name="Millares 8 3 2 3 3 2 2" xfId="42954" xr:uid="{00000000-0005-0000-0000-0000F62A0000}"/>
    <cellStyle name="Millares 8 3 2 3 3 3" xfId="12871" xr:uid="{00000000-0005-0000-0000-0000F72A0000}"/>
    <cellStyle name="Millares 8 3 2 3 3 3 2" xfId="35514" xr:uid="{00000000-0005-0000-0000-0000F82A0000}"/>
    <cellStyle name="Millares 8 3 2 3 3 4" xfId="28073" xr:uid="{00000000-0005-0000-0000-0000F92A0000}"/>
    <cellStyle name="Millares 8 3 2 3 4" xfId="16593" xr:uid="{00000000-0005-0000-0000-0000FA2A0000}"/>
    <cellStyle name="Millares 8 3 2 3 4 2" xfId="39236" xr:uid="{00000000-0005-0000-0000-0000FB2A0000}"/>
    <cellStyle name="Millares 8 3 2 3 5" xfId="9153" xr:uid="{00000000-0005-0000-0000-0000FC2A0000}"/>
    <cellStyle name="Millares 8 3 2 3 5 2" xfId="31796" xr:uid="{00000000-0005-0000-0000-0000FD2A0000}"/>
    <cellStyle name="Millares 8 3 2 3 6" xfId="24355" xr:uid="{00000000-0005-0000-0000-0000FE2A0000}"/>
    <cellStyle name="Millares 8 3 2 4" xfId="2628" xr:uid="{00000000-0005-0000-0000-0000FF2A0000}"/>
    <cellStyle name="Millares 8 3 2 4 2" xfId="6349" xr:uid="{00000000-0005-0000-0000-0000002B0000}"/>
    <cellStyle name="Millares 8 3 2 4 2 2" xfId="21233" xr:uid="{00000000-0005-0000-0000-0000012B0000}"/>
    <cellStyle name="Millares 8 3 2 4 2 2 2" xfId="43876" xr:uid="{00000000-0005-0000-0000-0000022B0000}"/>
    <cellStyle name="Millares 8 3 2 4 2 3" xfId="13793" xr:uid="{00000000-0005-0000-0000-0000032B0000}"/>
    <cellStyle name="Millares 8 3 2 4 2 3 2" xfId="36436" xr:uid="{00000000-0005-0000-0000-0000042B0000}"/>
    <cellStyle name="Millares 8 3 2 4 2 4" xfId="28995" xr:uid="{00000000-0005-0000-0000-0000052B0000}"/>
    <cellStyle name="Millares 8 3 2 4 3" xfId="17515" xr:uid="{00000000-0005-0000-0000-0000062B0000}"/>
    <cellStyle name="Millares 8 3 2 4 3 2" xfId="40158" xr:uid="{00000000-0005-0000-0000-0000072B0000}"/>
    <cellStyle name="Millares 8 3 2 4 4" xfId="10075" xr:uid="{00000000-0005-0000-0000-0000082B0000}"/>
    <cellStyle name="Millares 8 3 2 4 4 2" xfId="32718" xr:uid="{00000000-0005-0000-0000-0000092B0000}"/>
    <cellStyle name="Millares 8 3 2 4 5" xfId="25277" xr:uid="{00000000-0005-0000-0000-00000A2B0000}"/>
    <cellStyle name="Millares 8 3 2 5" xfId="4502" xr:uid="{00000000-0005-0000-0000-00000B2B0000}"/>
    <cellStyle name="Millares 8 3 2 5 2" xfId="19386" xr:uid="{00000000-0005-0000-0000-00000C2B0000}"/>
    <cellStyle name="Millares 8 3 2 5 2 2" xfId="42029" xr:uid="{00000000-0005-0000-0000-00000D2B0000}"/>
    <cellStyle name="Millares 8 3 2 5 3" xfId="11946" xr:uid="{00000000-0005-0000-0000-00000E2B0000}"/>
    <cellStyle name="Millares 8 3 2 5 3 2" xfId="34589" xr:uid="{00000000-0005-0000-0000-00000F2B0000}"/>
    <cellStyle name="Millares 8 3 2 5 4" xfId="27148" xr:uid="{00000000-0005-0000-0000-0000102B0000}"/>
    <cellStyle name="Millares 8 3 2 6" xfId="772" xr:uid="{00000000-0005-0000-0000-0000112B0000}"/>
    <cellStyle name="Millares 8 3 2 6 2" xfId="15668" xr:uid="{00000000-0005-0000-0000-0000122B0000}"/>
    <cellStyle name="Millares 8 3 2 6 2 2" xfId="38311" xr:uid="{00000000-0005-0000-0000-0000132B0000}"/>
    <cellStyle name="Millares 8 3 2 6 3" xfId="23430" xr:uid="{00000000-0005-0000-0000-0000142B0000}"/>
    <cellStyle name="Millares 8 3 2 7" xfId="8228" xr:uid="{00000000-0005-0000-0000-0000152B0000}"/>
    <cellStyle name="Millares 8 3 2 7 2" xfId="30871" xr:uid="{00000000-0005-0000-0000-0000162B0000}"/>
    <cellStyle name="Millares 8 3 2 8" xfId="23014" xr:uid="{00000000-0005-0000-0000-0000172B0000}"/>
    <cellStyle name="Millares 8 3 3" xfId="1026" xr:uid="{00000000-0005-0000-0000-0000182B0000}"/>
    <cellStyle name="Millares 8 3 3 2" xfId="1954" xr:uid="{00000000-0005-0000-0000-0000192B0000}"/>
    <cellStyle name="Millares 8 3 3 2 2" xfId="3804" xr:uid="{00000000-0005-0000-0000-00001A2B0000}"/>
    <cellStyle name="Millares 8 3 3 2 2 2" xfId="7525" xr:uid="{00000000-0005-0000-0000-00001B2B0000}"/>
    <cellStyle name="Millares 8 3 3 2 2 2 2" xfId="22409" xr:uid="{00000000-0005-0000-0000-00001C2B0000}"/>
    <cellStyle name="Millares 8 3 3 2 2 2 2 2" xfId="45052" xr:uid="{00000000-0005-0000-0000-00001D2B0000}"/>
    <cellStyle name="Millares 8 3 3 2 2 2 3" xfId="14969" xr:uid="{00000000-0005-0000-0000-00001E2B0000}"/>
    <cellStyle name="Millares 8 3 3 2 2 2 3 2" xfId="37612" xr:uid="{00000000-0005-0000-0000-00001F2B0000}"/>
    <cellStyle name="Millares 8 3 3 2 2 2 4" xfId="30171" xr:uid="{00000000-0005-0000-0000-0000202B0000}"/>
    <cellStyle name="Millares 8 3 3 2 2 3" xfId="18691" xr:uid="{00000000-0005-0000-0000-0000212B0000}"/>
    <cellStyle name="Millares 8 3 3 2 2 3 2" xfId="41334" xr:uid="{00000000-0005-0000-0000-0000222B0000}"/>
    <cellStyle name="Millares 8 3 3 2 2 4" xfId="11251" xr:uid="{00000000-0005-0000-0000-0000232B0000}"/>
    <cellStyle name="Millares 8 3 3 2 2 4 2" xfId="33894" xr:uid="{00000000-0005-0000-0000-0000242B0000}"/>
    <cellStyle name="Millares 8 3 3 2 2 5" xfId="26453" xr:uid="{00000000-0005-0000-0000-0000252B0000}"/>
    <cellStyle name="Millares 8 3 3 2 3" xfId="5678" xr:uid="{00000000-0005-0000-0000-0000262B0000}"/>
    <cellStyle name="Millares 8 3 3 2 3 2" xfId="20562" xr:uid="{00000000-0005-0000-0000-0000272B0000}"/>
    <cellStyle name="Millares 8 3 3 2 3 2 2" xfId="43205" xr:uid="{00000000-0005-0000-0000-0000282B0000}"/>
    <cellStyle name="Millares 8 3 3 2 3 3" xfId="13122" xr:uid="{00000000-0005-0000-0000-0000292B0000}"/>
    <cellStyle name="Millares 8 3 3 2 3 3 2" xfId="35765" xr:uid="{00000000-0005-0000-0000-00002A2B0000}"/>
    <cellStyle name="Millares 8 3 3 2 3 4" xfId="28324" xr:uid="{00000000-0005-0000-0000-00002B2B0000}"/>
    <cellStyle name="Millares 8 3 3 2 4" xfId="16844" xr:uid="{00000000-0005-0000-0000-00002C2B0000}"/>
    <cellStyle name="Millares 8 3 3 2 4 2" xfId="39487" xr:uid="{00000000-0005-0000-0000-00002D2B0000}"/>
    <cellStyle name="Millares 8 3 3 2 5" xfId="9404" xr:uid="{00000000-0005-0000-0000-00002E2B0000}"/>
    <cellStyle name="Millares 8 3 3 2 5 2" xfId="32047" xr:uid="{00000000-0005-0000-0000-00002F2B0000}"/>
    <cellStyle name="Millares 8 3 3 2 6" xfId="24606" xr:uid="{00000000-0005-0000-0000-0000302B0000}"/>
    <cellStyle name="Millares 8 3 3 3" xfId="2879" xr:uid="{00000000-0005-0000-0000-0000312B0000}"/>
    <cellStyle name="Millares 8 3 3 3 2" xfId="6600" xr:uid="{00000000-0005-0000-0000-0000322B0000}"/>
    <cellStyle name="Millares 8 3 3 3 2 2" xfId="21484" xr:uid="{00000000-0005-0000-0000-0000332B0000}"/>
    <cellStyle name="Millares 8 3 3 3 2 2 2" xfId="44127" xr:uid="{00000000-0005-0000-0000-0000342B0000}"/>
    <cellStyle name="Millares 8 3 3 3 2 3" xfId="14044" xr:uid="{00000000-0005-0000-0000-0000352B0000}"/>
    <cellStyle name="Millares 8 3 3 3 2 3 2" xfId="36687" xr:uid="{00000000-0005-0000-0000-0000362B0000}"/>
    <cellStyle name="Millares 8 3 3 3 2 4" xfId="29246" xr:uid="{00000000-0005-0000-0000-0000372B0000}"/>
    <cellStyle name="Millares 8 3 3 3 3" xfId="17766" xr:uid="{00000000-0005-0000-0000-0000382B0000}"/>
    <cellStyle name="Millares 8 3 3 3 3 2" xfId="40409" xr:uid="{00000000-0005-0000-0000-0000392B0000}"/>
    <cellStyle name="Millares 8 3 3 3 4" xfId="10326" xr:uid="{00000000-0005-0000-0000-00003A2B0000}"/>
    <cellStyle name="Millares 8 3 3 3 4 2" xfId="32969" xr:uid="{00000000-0005-0000-0000-00003B2B0000}"/>
    <cellStyle name="Millares 8 3 3 3 5" xfId="25528" xr:uid="{00000000-0005-0000-0000-00003C2B0000}"/>
    <cellStyle name="Millares 8 3 3 4" xfId="4753" xr:uid="{00000000-0005-0000-0000-00003D2B0000}"/>
    <cellStyle name="Millares 8 3 3 4 2" xfId="19637" xr:uid="{00000000-0005-0000-0000-00003E2B0000}"/>
    <cellStyle name="Millares 8 3 3 4 2 2" xfId="42280" xr:uid="{00000000-0005-0000-0000-00003F2B0000}"/>
    <cellStyle name="Millares 8 3 3 4 3" xfId="12197" xr:uid="{00000000-0005-0000-0000-0000402B0000}"/>
    <cellStyle name="Millares 8 3 3 4 3 2" xfId="34840" xr:uid="{00000000-0005-0000-0000-0000412B0000}"/>
    <cellStyle name="Millares 8 3 3 4 4" xfId="27399" xr:uid="{00000000-0005-0000-0000-0000422B0000}"/>
    <cellStyle name="Millares 8 3 3 5" xfId="15919" xr:uid="{00000000-0005-0000-0000-0000432B0000}"/>
    <cellStyle name="Millares 8 3 3 5 2" xfId="38562" xr:uid="{00000000-0005-0000-0000-0000442B0000}"/>
    <cellStyle name="Millares 8 3 3 6" xfId="8479" xr:uid="{00000000-0005-0000-0000-0000452B0000}"/>
    <cellStyle name="Millares 8 3 3 6 2" xfId="31122" xr:uid="{00000000-0005-0000-0000-0000462B0000}"/>
    <cellStyle name="Millares 8 3 3 7" xfId="23681" xr:uid="{00000000-0005-0000-0000-0000472B0000}"/>
    <cellStyle name="Millares 8 3 4" xfId="1492" xr:uid="{00000000-0005-0000-0000-0000482B0000}"/>
    <cellStyle name="Millares 8 3 4 2" xfId="3342" xr:uid="{00000000-0005-0000-0000-0000492B0000}"/>
    <cellStyle name="Millares 8 3 4 2 2" xfId="7063" xr:uid="{00000000-0005-0000-0000-00004A2B0000}"/>
    <cellStyle name="Millares 8 3 4 2 2 2" xfId="21947" xr:uid="{00000000-0005-0000-0000-00004B2B0000}"/>
    <cellStyle name="Millares 8 3 4 2 2 2 2" xfId="44590" xr:uid="{00000000-0005-0000-0000-00004C2B0000}"/>
    <cellStyle name="Millares 8 3 4 2 2 3" xfId="14507" xr:uid="{00000000-0005-0000-0000-00004D2B0000}"/>
    <cellStyle name="Millares 8 3 4 2 2 3 2" xfId="37150" xr:uid="{00000000-0005-0000-0000-00004E2B0000}"/>
    <cellStyle name="Millares 8 3 4 2 2 4" xfId="29709" xr:uid="{00000000-0005-0000-0000-00004F2B0000}"/>
    <cellStyle name="Millares 8 3 4 2 3" xfId="18229" xr:uid="{00000000-0005-0000-0000-0000502B0000}"/>
    <cellStyle name="Millares 8 3 4 2 3 2" xfId="40872" xr:uid="{00000000-0005-0000-0000-0000512B0000}"/>
    <cellStyle name="Millares 8 3 4 2 4" xfId="10789" xr:uid="{00000000-0005-0000-0000-0000522B0000}"/>
    <cellStyle name="Millares 8 3 4 2 4 2" xfId="33432" xr:uid="{00000000-0005-0000-0000-0000532B0000}"/>
    <cellStyle name="Millares 8 3 4 2 5" xfId="25991" xr:uid="{00000000-0005-0000-0000-0000542B0000}"/>
    <cellStyle name="Millares 8 3 4 3" xfId="5216" xr:uid="{00000000-0005-0000-0000-0000552B0000}"/>
    <cellStyle name="Millares 8 3 4 3 2" xfId="20100" xr:uid="{00000000-0005-0000-0000-0000562B0000}"/>
    <cellStyle name="Millares 8 3 4 3 2 2" xfId="42743" xr:uid="{00000000-0005-0000-0000-0000572B0000}"/>
    <cellStyle name="Millares 8 3 4 3 3" xfId="12660" xr:uid="{00000000-0005-0000-0000-0000582B0000}"/>
    <cellStyle name="Millares 8 3 4 3 3 2" xfId="35303" xr:uid="{00000000-0005-0000-0000-0000592B0000}"/>
    <cellStyle name="Millares 8 3 4 3 4" xfId="27862" xr:uid="{00000000-0005-0000-0000-00005A2B0000}"/>
    <cellStyle name="Millares 8 3 4 4" xfId="16382" xr:uid="{00000000-0005-0000-0000-00005B2B0000}"/>
    <cellStyle name="Millares 8 3 4 4 2" xfId="39025" xr:uid="{00000000-0005-0000-0000-00005C2B0000}"/>
    <cellStyle name="Millares 8 3 4 5" xfId="8942" xr:uid="{00000000-0005-0000-0000-00005D2B0000}"/>
    <cellStyle name="Millares 8 3 4 5 2" xfId="31585" xr:uid="{00000000-0005-0000-0000-00005E2B0000}"/>
    <cellStyle name="Millares 8 3 4 6" xfId="24144" xr:uid="{00000000-0005-0000-0000-00005F2B0000}"/>
    <cellStyle name="Millares 8 3 5" xfId="2417" xr:uid="{00000000-0005-0000-0000-0000602B0000}"/>
    <cellStyle name="Millares 8 3 5 2" xfId="6138" xr:uid="{00000000-0005-0000-0000-0000612B0000}"/>
    <cellStyle name="Millares 8 3 5 2 2" xfId="21022" xr:uid="{00000000-0005-0000-0000-0000622B0000}"/>
    <cellStyle name="Millares 8 3 5 2 2 2" xfId="43665" xr:uid="{00000000-0005-0000-0000-0000632B0000}"/>
    <cellStyle name="Millares 8 3 5 2 3" xfId="13582" xr:uid="{00000000-0005-0000-0000-0000642B0000}"/>
    <cellStyle name="Millares 8 3 5 2 3 2" xfId="36225" xr:uid="{00000000-0005-0000-0000-0000652B0000}"/>
    <cellStyle name="Millares 8 3 5 2 4" xfId="28784" xr:uid="{00000000-0005-0000-0000-0000662B0000}"/>
    <cellStyle name="Millares 8 3 5 3" xfId="17304" xr:uid="{00000000-0005-0000-0000-0000672B0000}"/>
    <cellStyle name="Millares 8 3 5 3 2" xfId="39947" xr:uid="{00000000-0005-0000-0000-0000682B0000}"/>
    <cellStyle name="Millares 8 3 5 4" xfId="9864" xr:uid="{00000000-0005-0000-0000-0000692B0000}"/>
    <cellStyle name="Millares 8 3 5 4 2" xfId="32507" xr:uid="{00000000-0005-0000-0000-00006A2B0000}"/>
    <cellStyle name="Millares 8 3 5 5" xfId="25066" xr:uid="{00000000-0005-0000-0000-00006B2B0000}"/>
    <cellStyle name="Millares 8 3 6" xfId="4291" xr:uid="{00000000-0005-0000-0000-00006C2B0000}"/>
    <cellStyle name="Millares 8 3 6 2" xfId="19175" xr:uid="{00000000-0005-0000-0000-00006D2B0000}"/>
    <cellStyle name="Millares 8 3 6 2 2" xfId="41818" xr:uid="{00000000-0005-0000-0000-00006E2B0000}"/>
    <cellStyle name="Millares 8 3 6 3" xfId="11735" xr:uid="{00000000-0005-0000-0000-00006F2B0000}"/>
    <cellStyle name="Millares 8 3 6 3 2" xfId="34378" xr:uid="{00000000-0005-0000-0000-0000702B0000}"/>
    <cellStyle name="Millares 8 3 6 4" xfId="26937" xr:uid="{00000000-0005-0000-0000-0000712B0000}"/>
    <cellStyle name="Millares 8 3 7" xfId="560" xr:uid="{00000000-0005-0000-0000-0000722B0000}"/>
    <cellStyle name="Millares 8 3 7 2" xfId="15457" xr:uid="{00000000-0005-0000-0000-0000732B0000}"/>
    <cellStyle name="Millares 8 3 7 2 2" xfId="38100" xr:uid="{00000000-0005-0000-0000-0000742B0000}"/>
    <cellStyle name="Millares 8 3 7 3" xfId="23220" xr:uid="{00000000-0005-0000-0000-0000752B0000}"/>
    <cellStyle name="Millares 8 3 8" xfId="8017" xr:uid="{00000000-0005-0000-0000-0000762B0000}"/>
    <cellStyle name="Millares 8 3 8 2" xfId="30660" xr:uid="{00000000-0005-0000-0000-0000772B0000}"/>
    <cellStyle name="Millares 8 3 9" xfId="22858" xr:uid="{00000000-0005-0000-0000-0000782B0000}"/>
    <cellStyle name="Millares 8 4" xfId="237" xr:uid="{00000000-0005-0000-0000-0000792B0000}"/>
    <cellStyle name="Millares 8 4 2" xfId="1132" xr:uid="{00000000-0005-0000-0000-00007A2B0000}"/>
    <cellStyle name="Millares 8 4 2 2" xfId="2060" xr:uid="{00000000-0005-0000-0000-00007B2B0000}"/>
    <cellStyle name="Millares 8 4 2 2 2" xfId="3910" xr:uid="{00000000-0005-0000-0000-00007C2B0000}"/>
    <cellStyle name="Millares 8 4 2 2 2 2" xfId="7631" xr:uid="{00000000-0005-0000-0000-00007D2B0000}"/>
    <cellStyle name="Millares 8 4 2 2 2 2 2" xfId="22515" xr:uid="{00000000-0005-0000-0000-00007E2B0000}"/>
    <cellStyle name="Millares 8 4 2 2 2 2 2 2" xfId="45158" xr:uid="{00000000-0005-0000-0000-00007F2B0000}"/>
    <cellStyle name="Millares 8 4 2 2 2 2 3" xfId="15075" xr:uid="{00000000-0005-0000-0000-0000802B0000}"/>
    <cellStyle name="Millares 8 4 2 2 2 2 3 2" xfId="37718" xr:uid="{00000000-0005-0000-0000-0000812B0000}"/>
    <cellStyle name="Millares 8 4 2 2 2 2 4" xfId="30277" xr:uid="{00000000-0005-0000-0000-0000822B0000}"/>
    <cellStyle name="Millares 8 4 2 2 2 3" xfId="18797" xr:uid="{00000000-0005-0000-0000-0000832B0000}"/>
    <cellStyle name="Millares 8 4 2 2 2 3 2" xfId="41440" xr:uid="{00000000-0005-0000-0000-0000842B0000}"/>
    <cellStyle name="Millares 8 4 2 2 2 4" xfId="11357" xr:uid="{00000000-0005-0000-0000-0000852B0000}"/>
    <cellStyle name="Millares 8 4 2 2 2 4 2" xfId="34000" xr:uid="{00000000-0005-0000-0000-0000862B0000}"/>
    <cellStyle name="Millares 8 4 2 2 2 5" xfId="26559" xr:uid="{00000000-0005-0000-0000-0000872B0000}"/>
    <cellStyle name="Millares 8 4 2 2 3" xfId="5784" xr:uid="{00000000-0005-0000-0000-0000882B0000}"/>
    <cellStyle name="Millares 8 4 2 2 3 2" xfId="20668" xr:uid="{00000000-0005-0000-0000-0000892B0000}"/>
    <cellStyle name="Millares 8 4 2 2 3 2 2" xfId="43311" xr:uid="{00000000-0005-0000-0000-00008A2B0000}"/>
    <cellStyle name="Millares 8 4 2 2 3 3" xfId="13228" xr:uid="{00000000-0005-0000-0000-00008B2B0000}"/>
    <cellStyle name="Millares 8 4 2 2 3 3 2" xfId="35871" xr:uid="{00000000-0005-0000-0000-00008C2B0000}"/>
    <cellStyle name="Millares 8 4 2 2 3 4" xfId="28430" xr:uid="{00000000-0005-0000-0000-00008D2B0000}"/>
    <cellStyle name="Millares 8 4 2 2 4" xfId="16950" xr:uid="{00000000-0005-0000-0000-00008E2B0000}"/>
    <cellStyle name="Millares 8 4 2 2 4 2" xfId="39593" xr:uid="{00000000-0005-0000-0000-00008F2B0000}"/>
    <cellStyle name="Millares 8 4 2 2 5" xfId="9510" xr:uid="{00000000-0005-0000-0000-0000902B0000}"/>
    <cellStyle name="Millares 8 4 2 2 5 2" xfId="32153" xr:uid="{00000000-0005-0000-0000-0000912B0000}"/>
    <cellStyle name="Millares 8 4 2 2 6" xfId="24712" xr:uid="{00000000-0005-0000-0000-0000922B0000}"/>
    <cellStyle name="Millares 8 4 2 3" xfId="2985" xr:uid="{00000000-0005-0000-0000-0000932B0000}"/>
    <cellStyle name="Millares 8 4 2 3 2" xfId="6706" xr:uid="{00000000-0005-0000-0000-0000942B0000}"/>
    <cellStyle name="Millares 8 4 2 3 2 2" xfId="21590" xr:uid="{00000000-0005-0000-0000-0000952B0000}"/>
    <cellStyle name="Millares 8 4 2 3 2 2 2" xfId="44233" xr:uid="{00000000-0005-0000-0000-0000962B0000}"/>
    <cellStyle name="Millares 8 4 2 3 2 3" xfId="14150" xr:uid="{00000000-0005-0000-0000-0000972B0000}"/>
    <cellStyle name="Millares 8 4 2 3 2 3 2" xfId="36793" xr:uid="{00000000-0005-0000-0000-0000982B0000}"/>
    <cellStyle name="Millares 8 4 2 3 2 4" xfId="29352" xr:uid="{00000000-0005-0000-0000-0000992B0000}"/>
    <cellStyle name="Millares 8 4 2 3 3" xfId="17872" xr:uid="{00000000-0005-0000-0000-00009A2B0000}"/>
    <cellStyle name="Millares 8 4 2 3 3 2" xfId="40515" xr:uid="{00000000-0005-0000-0000-00009B2B0000}"/>
    <cellStyle name="Millares 8 4 2 3 4" xfId="10432" xr:uid="{00000000-0005-0000-0000-00009C2B0000}"/>
    <cellStyle name="Millares 8 4 2 3 4 2" xfId="33075" xr:uid="{00000000-0005-0000-0000-00009D2B0000}"/>
    <cellStyle name="Millares 8 4 2 3 5" xfId="25634" xr:uid="{00000000-0005-0000-0000-00009E2B0000}"/>
    <cellStyle name="Millares 8 4 2 4" xfId="4859" xr:uid="{00000000-0005-0000-0000-00009F2B0000}"/>
    <cellStyle name="Millares 8 4 2 4 2" xfId="19743" xr:uid="{00000000-0005-0000-0000-0000A02B0000}"/>
    <cellStyle name="Millares 8 4 2 4 2 2" xfId="42386" xr:uid="{00000000-0005-0000-0000-0000A12B0000}"/>
    <cellStyle name="Millares 8 4 2 4 3" xfId="12303" xr:uid="{00000000-0005-0000-0000-0000A22B0000}"/>
    <cellStyle name="Millares 8 4 2 4 3 2" xfId="34946" xr:uid="{00000000-0005-0000-0000-0000A32B0000}"/>
    <cellStyle name="Millares 8 4 2 4 4" xfId="27505" xr:uid="{00000000-0005-0000-0000-0000A42B0000}"/>
    <cellStyle name="Millares 8 4 2 5" xfId="16025" xr:uid="{00000000-0005-0000-0000-0000A52B0000}"/>
    <cellStyle name="Millares 8 4 2 5 2" xfId="38668" xr:uid="{00000000-0005-0000-0000-0000A62B0000}"/>
    <cellStyle name="Millares 8 4 2 6" xfId="8585" xr:uid="{00000000-0005-0000-0000-0000A72B0000}"/>
    <cellStyle name="Millares 8 4 2 6 2" xfId="31228" xr:uid="{00000000-0005-0000-0000-0000A82B0000}"/>
    <cellStyle name="Millares 8 4 2 7" xfId="23787" xr:uid="{00000000-0005-0000-0000-0000A92B0000}"/>
    <cellStyle name="Millares 8 4 3" xfId="1598" xr:uid="{00000000-0005-0000-0000-0000AA2B0000}"/>
    <cellStyle name="Millares 8 4 3 2" xfId="3448" xr:uid="{00000000-0005-0000-0000-0000AB2B0000}"/>
    <cellStyle name="Millares 8 4 3 2 2" xfId="7169" xr:uid="{00000000-0005-0000-0000-0000AC2B0000}"/>
    <cellStyle name="Millares 8 4 3 2 2 2" xfId="22053" xr:uid="{00000000-0005-0000-0000-0000AD2B0000}"/>
    <cellStyle name="Millares 8 4 3 2 2 2 2" xfId="44696" xr:uid="{00000000-0005-0000-0000-0000AE2B0000}"/>
    <cellStyle name="Millares 8 4 3 2 2 3" xfId="14613" xr:uid="{00000000-0005-0000-0000-0000AF2B0000}"/>
    <cellStyle name="Millares 8 4 3 2 2 3 2" xfId="37256" xr:uid="{00000000-0005-0000-0000-0000B02B0000}"/>
    <cellStyle name="Millares 8 4 3 2 2 4" xfId="29815" xr:uid="{00000000-0005-0000-0000-0000B12B0000}"/>
    <cellStyle name="Millares 8 4 3 2 3" xfId="18335" xr:uid="{00000000-0005-0000-0000-0000B22B0000}"/>
    <cellStyle name="Millares 8 4 3 2 3 2" xfId="40978" xr:uid="{00000000-0005-0000-0000-0000B32B0000}"/>
    <cellStyle name="Millares 8 4 3 2 4" xfId="10895" xr:uid="{00000000-0005-0000-0000-0000B42B0000}"/>
    <cellStyle name="Millares 8 4 3 2 4 2" xfId="33538" xr:uid="{00000000-0005-0000-0000-0000B52B0000}"/>
    <cellStyle name="Millares 8 4 3 2 5" xfId="26097" xr:uid="{00000000-0005-0000-0000-0000B62B0000}"/>
    <cellStyle name="Millares 8 4 3 3" xfId="5322" xr:uid="{00000000-0005-0000-0000-0000B72B0000}"/>
    <cellStyle name="Millares 8 4 3 3 2" xfId="20206" xr:uid="{00000000-0005-0000-0000-0000B82B0000}"/>
    <cellStyle name="Millares 8 4 3 3 2 2" xfId="42849" xr:uid="{00000000-0005-0000-0000-0000B92B0000}"/>
    <cellStyle name="Millares 8 4 3 3 3" xfId="12766" xr:uid="{00000000-0005-0000-0000-0000BA2B0000}"/>
    <cellStyle name="Millares 8 4 3 3 3 2" xfId="35409" xr:uid="{00000000-0005-0000-0000-0000BB2B0000}"/>
    <cellStyle name="Millares 8 4 3 3 4" xfId="27968" xr:uid="{00000000-0005-0000-0000-0000BC2B0000}"/>
    <cellStyle name="Millares 8 4 3 4" xfId="16488" xr:uid="{00000000-0005-0000-0000-0000BD2B0000}"/>
    <cellStyle name="Millares 8 4 3 4 2" xfId="39131" xr:uid="{00000000-0005-0000-0000-0000BE2B0000}"/>
    <cellStyle name="Millares 8 4 3 5" xfId="9048" xr:uid="{00000000-0005-0000-0000-0000BF2B0000}"/>
    <cellStyle name="Millares 8 4 3 5 2" xfId="31691" xr:uid="{00000000-0005-0000-0000-0000C02B0000}"/>
    <cellStyle name="Millares 8 4 3 6" xfId="24250" xr:uid="{00000000-0005-0000-0000-0000C12B0000}"/>
    <cellStyle name="Millares 8 4 4" xfId="2523" xr:uid="{00000000-0005-0000-0000-0000C22B0000}"/>
    <cellStyle name="Millares 8 4 4 2" xfId="6244" xr:uid="{00000000-0005-0000-0000-0000C32B0000}"/>
    <cellStyle name="Millares 8 4 4 2 2" xfId="21128" xr:uid="{00000000-0005-0000-0000-0000C42B0000}"/>
    <cellStyle name="Millares 8 4 4 2 2 2" xfId="43771" xr:uid="{00000000-0005-0000-0000-0000C52B0000}"/>
    <cellStyle name="Millares 8 4 4 2 3" xfId="13688" xr:uid="{00000000-0005-0000-0000-0000C62B0000}"/>
    <cellStyle name="Millares 8 4 4 2 3 2" xfId="36331" xr:uid="{00000000-0005-0000-0000-0000C72B0000}"/>
    <cellStyle name="Millares 8 4 4 2 4" xfId="28890" xr:uid="{00000000-0005-0000-0000-0000C82B0000}"/>
    <cellStyle name="Millares 8 4 4 3" xfId="17410" xr:uid="{00000000-0005-0000-0000-0000C92B0000}"/>
    <cellStyle name="Millares 8 4 4 3 2" xfId="40053" xr:uid="{00000000-0005-0000-0000-0000CA2B0000}"/>
    <cellStyle name="Millares 8 4 4 4" xfId="9970" xr:uid="{00000000-0005-0000-0000-0000CB2B0000}"/>
    <cellStyle name="Millares 8 4 4 4 2" xfId="32613" xr:uid="{00000000-0005-0000-0000-0000CC2B0000}"/>
    <cellStyle name="Millares 8 4 4 5" xfId="25172" xr:uid="{00000000-0005-0000-0000-0000CD2B0000}"/>
    <cellStyle name="Millares 8 4 5" xfId="4397" xr:uid="{00000000-0005-0000-0000-0000CE2B0000}"/>
    <cellStyle name="Millares 8 4 5 2" xfId="19281" xr:uid="{00000000-0005-0000-0000-0000CF2B0000}"/>
    <cellStyle name="Millares 8 4 5 2 2" xfId="41924" xr:uid="{00000000-0005-0000-0000-0000D02B0000}"/>
    <cellStyle name="Millares 8 4 5 3" xfId="11841" xr:uid="{00000000-0005-0000-0000-0000D12B0000}"/>
    <cellStyle name="Millares 8 4 5 3 2" xfId="34484" xr:uid="{00000000-0005-0000-0000-0000D22B0000}"/>
    <cellStyle name="Millares 8 4 5 4" xfId="27043" xr:uid="{00000000-0005-0000-0000-0000D32B0000}"/>
    <cellStyle name="Millares 8 4 6" xfId="667" xr:uid="{00000000-0005-0000-0000-0000D42B0000}"/>
    <cellStyle name="Millares 8 4 6 2" xfId="15563" xr:uid="{00000000-0005-0000-0000-0000D52B0000}"/>
    <cellStyle name="Millares 8 4 6 2 2" xfId="38206" xr:uid="{00000000-0005-0000-0000-0000D62B0000}"/>
    <cellStyle name="Millares 8 4 6 3" xfId="23325" xr:uid="{00000000-0005-0000-0000-0000D72B0000}"/>
    <cellStyle name="Millares 8 4 7" xfId="8123" xr:uid="{00000000-0005-0000-0000-0000D82B0000}"/>
    <cellStyle name="Millares 8 4 7 2" xfId="30766" xr:uid="{00000000-0005-0000-0000-0000D92B0000}"/>
    <cellStyle name="Millares 8 4 8" xfId="22936" xr:uid="{00000000-0005-0000-0000-0000DA2B0000}"/>
    <cellStyle name="Millares 8 5" xfId="921" xr:uid="{00000000-0005-0000-0000-0000DB2B0000}"/>
    <cellStyle name="Millares 8 5 2" xfId="1849" xr:uid="{00000000-0005-0000-0000-0000DC2B0000}"/>
    <cellStyle name="Millares 8 5 2 2" xfId="3699" xr:uid="{00000000-0005-0000-0000-0000DD2B0000}"/>
    <cellStyle name="Millares 8 5 2 2 2" xfId="7420" xr:uid="{00000000-0005-0000-0000-0000DE2B0000}"/>
    <cellStyle name="Millares 8 5 2 2 2 2" xfId="22304" xr:uid="{00000000-0005-0000-0000-0000DF2B0000}"/>
    <cellStyle name="Millares 8 5 2 2 2 2 2" xfId="44947" xr:uid="{00000000-0005-0000-0000-0000E02B0000}"/>
    <cellStyle name="Millares 8 5 2 2 2 3" xfId="14864" xr:uid="{00000000-0005-0000-0000-0000E12B0000}"/>
    <cellStyle name="Millares 8 5 2 2 2 3 2" xfId="37507" xr:uid="{00000000-0005-0000-0000-0000E22B0000}"/>
    <cellStyle name="Millares 8 5 2 2 2 4" xfId="30066" xr:uid="{00000000-0005-0000-0000-0000E32B0000}"/>
    <cellStyle name="Millares 8 5 2 2 3" xfId="18586" xr:uid="{00000000-0005-0000-0000-0000E42B0000}"/>
    <cellStyle name="Millares 8 5 2 2 3 2" xfId="41229" xr:uid="{00000000-0005-0000-0000-0000E52B0000}"/>
    <cellStyle name="Millares 8 5 2 2 4" xfId="11146" xr:uid="{00000000-0005-0000-0000-0000E62B0000}"/>
    <cellStyle name="Millares 8 5 2 2 4 2" xfId="33789" xr:uid="{00000000-0005-0000-0000-0000E72B0000}"/>
    <cellStyle name="Millares 8 5 2 2 5" xfId="26348" xr:uid="{00000000-0005-0000-0000-0000E82B0000}"/>
    <cellStyle name="Millares 8 5 2 3" xfId="5573" xr:uid="{00000000-0005-0000-0000-0000E92B0000}"/>
    <cellStyle name="Millares 8 5 2 3 2" xfId="20457" xr:uid="{00000000-0005-0000-0000-0000EA2B0000}"/>
    <cellStyle name="Millares 8 5 2 3 2 2" xfId="43100" xr:uid="{00000000-0005-0000-0000-0000EB2B0000}"/>
    <cellStyle name="Millares 8 5 2 3 3" xfId="13017" xr:uid="{00000000-0005-0000-0000-0000EC2B0000}"/>
    <cellStyle name="Millares 8 5 2 3 3 2" xfId="35660" xr:uid="{00000000-0005-0000-0000-0000ED2B0000}"/>
    <cellStyle name="Millares 8 5 2 3 4" xfId="28219" xr:uid="{00000000-0005-0000-0000-0000EE2B0000}"/>
    <cellStyle name="Millares 8 5 2 4" xfId="16739" xr:uid="{00000000-0005-0000-0000-0000EF2B0000}"/>
    <cellStyle name="Millares 8 5 2 4 2" xfId="39382" xr:uid="{00000000-0005-0000-0000-0000F02B0000}"/>
    <cellStyle name="Millares 8 5 2 5" xfId="9299" xr:uid="{00000000-0005-0000-0000-0000F12B0000}"/>
    <cellStyle name="Millares 8 5 2 5 2" xfId="31942" xr:uid="{00000000-0005-0000-0000-0000F22B0000}"/>
    <cellStyle name="Millares 8 5 2 6" xfId="24501" xr:uid="{00000000-0005-0000-0000-0000F32B0000}"/>
    <cellStyle name="Millares 8 5 3" xfId="2774" xr:uid="{00000000-0005-0000-0000-0000F42B0000}"/>
    <cellStyle name="Millares 8 5 3 2" xfId="6495" xr:uid="{00000000-0005-0000-0000-0000F52B0000}"/>
    <cellStyle name="Millares 8 5 3 2 2" xfId="21379" xr:uid="{00000000-0005-0000-0000-0000F62B0000}"/>
    <cellStyle name="Millares 8 5 3 2 2 2" xfId="44022" xr:uid="{00000000-0005-0000-0000-0000F72B0000}"/>
    <cellStyle name="Millares 8 5 3 2 3" xfId="13939" xr:uid="{00000000-0005-0000-0000-0000F82B0000}"/>
    <cellStyle name="Millares 8 5 3 2 3 2" xfId="36582" xr:uid="{00000000-0005-0000-0000-0000F92B0000}"/>
    <cellStyle name="Millares 8 5 3 2 4" xfId="29141" xr:uid="{00000000-0005-0000-0000-0000FA2B0000}"/>
    <cellStyle name="Millares 8 5 3 3" xfId="17661" xr:uid="{00000000-0005-0000-0000-0000FB2B0000}"/>
    <cellStyle name="Millares 8 5 3 3 2" xfId="40304" xr:uid="{00000000-0005-0000-0000-0000FC2B0000}"/>
    <cellStyle name="Millares 8 5 3 4" xfId="10221" xr:uid="{00000000-0005-0000-0000-0000FD2B0000}"/>
    <cellStyle name="Millares 8 5 3 4 2" xfId="32864" xr:uid="{00000000-0005-0000-0000-0000FE2B0000}"/>
    <cellStyle name="Millares 8 5 3 5" xfId="25423" xr:uid="{00000000-0005-0000-0000-0000FF2B0000}"/>
    <cellStyle name="Millares 8 5 4" xfId="4648" xr:uid="{00000000-0005-0000-0000-0000002C0000}"/>
    <cellStyle name="Millares 8 5 4 2" xfId="19532" xr:uid="{00000000-0005-0000-0000-0000012C0000}"/>
    <cellStyle name="Millares 8 5 4 2 2" xfId="42175" xr:uid="{00000000-0005-0000-0000-0000022C0000}"/>
    <cellStyle name="Millares 8 5 4 3" xfId="12092" xr:uid="{00000000-0005-0000-0000-0000032C0000}"/>
    <cellStyle name="Millares 8 5 4 3 2" xfId="34735" xr:uid="{00000000-0005-0000-0000-0000042C0000}"/>
    <cellStyle name="Millares 8 5 4 4" xfId="27294" xr:uid="{00000000-0005-0000-0000-0000052C0000}"/>
    <cellStyle name="Millares 8 5 5" xfId="15814" xr:uid="{00000000-0005-0000-0000-0000062C0000}"/>
    <cellStyle name="Millares 8 5 5 2" xfId="38457" xr:uid="{00000000-0005-0000-0000-0000072C0000}"/>
    <cellStyle name="Millares 8 5 6" xfId="8374" xr:uid="{00000000-0005-0000-0000-0000082C0000}"/>
    <cellStyle name="Millares 8 5 6 2" xfId="31017" xr:uid="{00000000-0005-0000-0000-0000092C0000}"/>
    <cellStyle name="Millares 8 5 7" xfId="23576" xr:uid="{00000000-0005-0000-0000-00000A2C0000}"/>
    <cellStyle name="Millares 8 6" xfId="1387" xr:uid="{00000000-0005-0000-0000-00000B2C0000}"/>
    <cellStyle name="Millares 8 6 2" xfId="3237" xr:uid="{00000000-0005-0000-0000-00000C2C0000}"/>
    <cellStyle name="Millares 8 6 2 2" xfId="6958" xr:uid="{00000000-0005-0000-0000-00000D2C0000}"/>
    <cellStyle name="Millares 8 6 2 2 2" xfId="21842" xr:uid="{00000000-0005-0000-0000-00000E2C0000}"/>
    <cellStyle name="Millares 8 6 2 2 2 2" xfId="44485" xr:uid="{00000000-0005-0000-0000-00000F2C0000}"/>
    <cellStyle name="Millares 8 6 2 2 3" xfId="14402" xr:uid="{00000000-0005-0000-0000-0000102C0000}"/>
    <cellStyle name="Millares 8 6 2 2 3 2" xfId="37045" xr:uid="{00000000-0005-0000-0000-0000112C0000}"/>
    <cellStyle name="Millares 8 6 2 2 4" xfId="29604" xr:uid="{00000000-0005-0000-0000-0000122C0000}"/>
    <cellStyle name="Millares 8 6 2 3" xfId="18124" xr:uid="{00000000-0005-0000-0000-0000132C0000}"/>
    <cellStyle name="Millares 8 6 2 3 2" xfId="40767" xr:uid="{00000000-0005-0000-0000-0000142C0000}"/>
    <cellStyle name="Millares 8 6 2 4" xfId="10684" xr:uid="{00000000-0005-0000-0000-0000152C0000}"/>
    <cellStyle name="Millares 8 6 2 4 2" xfId="33327" xr:uid="{00000000-0005-0000-0000-0000162C0000}"/>
    <cellStyle name="Millares 8 6 2 5" xfId="25886" xr:uid="{00000000-0005-0000-0000-0000172C0000}"/>
    <cellStyle name="Millares 8 6 3" xfId="5111" xr:uid="{00000000-0005-0000-0000-0000182C0000}"/>
    <cellStyle name="Millares 8 6 3 2" xfId="19995" xr:uid="{00000000-0005-0000-0000-0000192C0000}"/>
    <cellStyle name="Millares 8 6 3 2 2" xfId="42638" xr:uid="{00000000-0005-0000-0000-00001A2C0000}"/>
    <cellStyle name="Millares 8 6 3 3" xfId="12555" xr:uid="{00000000-0005-0000-0000-00001B2C0000}"/>
    <cellStyle name="Millares 8 6 3 3 2" xfId="35198" xr:uid="{00000000-0005-0000-0000-00001C2C0000}"/>
    <cellStyle name="Millares 8 6 3 4" xfId="27757" xr:uid="{00000000-0005-0000-0000-00001D2C0000}"/>
    <cellStyle name="Millares 8 6 4" xfId="16277" xr:uid="{00000000-0005-0000-0000-00001E2C0000}"/>
    <cellStyle name="Millares 8 6 4 2" xfId="38920" xr:uid="{00000000-0005-0000-0000-00001F2C0000}"/>
    <cellStyle name="Millares 8 6 5" xfId="8837" xr:uid="{00000000-0005-0000-0000-0000202C0000}"/>
    <cellStyle name="Millares 8 6 5 2" xfId="31480" xr:uid="{00000000-0005-0000-0000-0000212C0000}"/>
    <cellStyle name="Millares 8 6 6" xfId="24039" xr:uid="{00000000-0005-0000-0000-0000222C0000}"/>
    <cellStyle name="Millares 8 7" xfId="2312" xr:uid="{00000000-0005-0000-0000-0000232C0000}"/>
    <cellStyle name="Millares 8 7 2" xfId="6033" xr:uid="{00000000-0005-0000-0000-0000242C0000}"/>
    <cellStyle name="Millares 8 7 2 2" xfId="20917" xr:uid="{00000000-0005-0000-0000-0000252C0000}"/>
    <cellStyle name="Millares 8 7 2 2 2" xfId="43560" xr:uid="{00000000-0005-0000-0000-0000262C0000}"/>
    <cellStyle name="Millares 8 7 2 3" xfId="13477" xr:uid="{00000000-0005-0000-0000-0000272C0000}"/>
    <cellStyle name="Millares 8 7 2 3 2" xfId="36120" xr:uid="{00000000-0005-0000-0000-0000282C0000}"/>
    <cellStyle name="Millares 8 7 2 4" xfId="28679" xr:uid="{00000000-0005-0000-0000-0000292C0000}"/>
    <cellStyle name="Millares 8 7 3" xfId="17199" xr:uid="{00000000-0005-0000-0000-00002A2C0000}"/>
    <cellStyle name="Millares 8 7 3 2" xfId="39842" xr:uid="{00000000-0005-0000-0000-00002B2C0000}"/>
    <cellStyle name="Millares 8 7 4" xfId="9759" xr:uid="{00000000-0005-0000-0000-00002C2C0000}"/>
    <cellStyle name="Millares 8 7 4 2" xfId="32402" xr:uid="{00000000-0005-0000-0000-00002D2C0000}"/>
    <cellStyle name="Millares 8 7 5" xfId="24961" xr:uid="{00000000-0005-0000-0000-00002E2C0000}"/>
    <cellStyle name="Millares 8 8" xfId="4186" xr:uid="{00000000-0005-0000-0000-00002F2C0000}"/>
    <cellStyle name="Millares 8 8 2" xfId="19070" xr:uid="{00000000-0005-0000-0000-0000302C0000}"/>
    <cellStyle name="Millares 8 8 2 2" xfId="41713" xr:uid="{00000000-0005-0000-0000-0000312C0000}"/>
    <cellStyle name="Millares 8 8 3" xfId="11630" xr:uid="{00000000-0005-0000-0000-0000322C0000}"/>
    <cellStyle name="Millares 8 8 3 2" xfId="34273" xr:uid="{00000000-0005-0000-0000-0000332C0000}"/>
    <cellStyle name="Millares 8 8 4" xfId="26832" xr:uid="{00000000-0005-0000-0000-0000342C0000}"/>
    <cellStyle name="Millares 8 9" xfId="453" xr:uid="{00000000-0005-0000-0000-0000352C0000}"/>
    <cellStyle name="Millares 8 9 2" xfId="15352" xr:uid="{00000000-0005-0000-0000-0000362C0000}"/>
    <cellStyle name="Millares 8 9 2 2" xfId="37995" xr:uid="{00000000-0005-0000-0000-0000372C0000}"/>
    <cellStyle name="Millares 8 9 3" xfId="23115" xr:uid="{00000000-0005-0000-0000-0000382C0000}"/>
    <cellStyle name="Millares 9" xfId="57" xr:uid="{00000000-0005-0000-0000-0000392C0000}"/>
    <cellStyle name="Millares 9 10" xfId="7913" xr:uid="{00000000-0005-0000-0000-00003A2C0000}"/>
    <cellStyle name="Millares 9 10 2" xfId="30556" xr:uid="{00000000-0005-0000-0000-00003B2C0000}"/>
    <cellStyle name="Millares 9 2" xfId="507" xr:uid="{00000000-0005-0000-0000-00003C2C0000}"/>
    <cellStyle name="Millares 9 2 10" xfId="23168" xr:uid="{00000000-0005-0000-0000-00003D2C0000}"/>
    <cellStyle name="Millares 9 2 2" xfId="613" xr:uid="{00000000-0005-0000-0000-00003E2C0000}"/>
    <cellStyle name="Millares 9 2 2 2" xfId="825" xr:uid="{00000000-0005-0000-0000-00003F2C0000}"/>
    <cellStyle name="Millares 9 2 2 2 2" xfId="1290" xr:uid="{00000000-0005-0000-0000-0000402C0000}"/>
    <cellStyle name="Millares 9 2 2 2 2 2" xfId="2218" xr:uid="{00000000-0005-0000-0000-0000412C0000}"/>
    <cellStyle name="Millares 9 2 2 2 2 2 2" xfId="4068" xr:uid="{00000000-0005-0000-0000-0000422C0000}"/>
    <cellStyle name="Millares 9 2 2 2 2 2 2 2" xfId="7789" xr:uid="{00000000-0005-0000-0000-0000432C0000}"/>
    <cellStyle name="Millares 9 2 2 2 2 2 2 2 2" xfId="22673" xr:uid="{00000000-0005-0000-0000-0000442C0000}"/>
    <cellStyle name="Millares 9 2 2 2 2 2 2 2 2 2" xfId="45316" xr:uid="{00000000-0005-0000-0000-0000452C0000}"/>
    <cellStyle name="Millares 9 2 2 2 2 2 2 2 3" xfId="15233" xr:uid="{00000000-0005-0000-0000-0000462C0000}"/>
    <cellStyle name="Millares 9 2 2 2 2 2 2 2 3 2" xfId="37876" xr:uid="{00000000-0005-0000-0000-0000472C0000}"/>
    <cellStyle name="Millares 9 2 2 2 2 2 2 2 4" xfId="30435" xr:uid="{00000000-0005-0000-0000-0000482C0000}"/>
    <cellStyle name="Millares 9 2 2 2 2 2 2 3" xfId="18955" xr:uid="{00000000-0005-0000-0000-0000492C0000}"/>
    <cellStyle name="Millares 9 2 2 2 2 2 2 3 2" xfId="41598" xr:uid="{00000000-0005-0000-0000-00004A2C0000}"/>
    <cellStyle name="Millares 9 2 2 2 2 2 2 4" xfId="11515" xr:uid="{00000000-0005-0000-0000-00004B2C0000}"/>
    <cellStyle name="Millares 9 2 2 2 2 2 2 4 2" xfId="34158" xr:uid="{00000000-0005-0000-0000-00004C2C0000}"/>
    <cellStyle name="Millares 9 2 2 2 2 2 2 5" xfId="26717" xr:uid="{00000000-0005-0000-0000-00004D2C0000}"/>
    <cellStyle name="Millares 9 2 2 2 2 2 3" xfId="5942" xr:uid="{00000000-0005-0000-0000-00004E2C0000}"/>
    <cellStyle name="Millares 9 2 2 2 2 2 3 2" xfId="20826" xr:uid="{00000000-0005-0000-0000-00004F2C0000}"/>
    <cellStyle name="Millares 9 2 2 2 2 2 3 2 2" xfId="43469" xr:uid="{00000000-0005-0000-0000-0000502C0000}"/>
    <cellStyle name="Millares 9 2 2 2 2 2 3 3" xfId="13386" xr:uid="{00000000-0005-0000-0000-0000512C0000}"/>
    <cellStyle name="Millares 9 2 2 2 2 2 3 3 2" xfId="36029" xr:uid="{00000000-0005-0000-0000-0000522C0000}"/>
    <cellStyle name="Millares 9 2 2 2 2 2 3 4" xfId="28588" xr:uid="{00000000-0005-0000-0000-0000532C0000}"/>
    <cellStyle name="Millares 9 2 2 2 2 2 4" xfId="17108" xr:uid="{00000000-0005-0000-0000-0000542C0000}"/>
    <cellStyle name="Millares 9 2 2 2 2 2 4 2" xfId="39751" xr:uid="{00000000-0005-0000-0000-0000552C0000}"/>
    <cellStyle name="Millares 9 2 2 2 2 2 5" xfId="9668" xr:uid="{00000000-0005-0000-0000-0000562C0000}"/>
    <cellStyle name="Millares 9 2 2 2 2 2 5 2" xfId="32311" xr:uid="{00000000-0005-0000-0000-0000572C0000}"/>
    <cellStyle name="Millares 9 2 2 2 2 2 6" xfId="24870" xr:uid="{00000000-0005-0000-0000-0000582C0000}"/>
    <cellStyle name="Millares 9 2 2 2 2 3" xfId="3143" xr:uid="{00000000-0005-0000-0000-0000592C0000}"/>
    <cellStyle name="Millares 9 2 2 2 2 3 2" xfId="6864" xr:uid="{00000000-0005-0000-0000-00005A2C0000}"/>
    <cellStyle name="Millares 9 2 2 2 2 3 2 2" xfId="21748" xr:uid="{00000000-0005-0000-0000-00005B2C0000}"/>
    <cellStyle name="Millares 9 2 2 2 2 3 2 2 2" xfId="44391" xr:uid="{00000000-0005-0000-0000-00005C2C0000}"/>
    <cellStyle name="Millares 9 2 2 2 2 3 2 3" xfId="14308" xr:uid="{00000000-0005-0000-0000-00005D2C0000}"/>
    <cellStyle name="Millares 9 2 2 2 2 3 2 3 2" xfId="36951" xr:uid="{00000000-0005-0000-0000-00005E2C0000}"/>
    <cellStyle name="Millares 9 2 2 2 2 3 2 4" xfId="29510" xr:uid="{00000000-0005-0000-0000-00005F2C0000}"/>
    <cellStyle name="Millares 9 2 2 2 2 3 3" xfId="18030" xr:uid="{00000000-0005-0000-0000-0000602C0000}"/>
    <cellStyle name="Millares 9 2 2 2 2 3 3 2" xfId="40673" xr:uid="{00000000-0005-0000-0000-0000612C0000}"/>
    <cellStyle name="Millares 9 2 2 2 2 3 4" xfId="10590" xr:uid="{00000000-0005-0000-0000-0000622C0000}"/>
    <cellStyle name="Millares 9 2 2 2 2 3 4 2" xfId="33233" xr:uid="{00000000-0005-0000-0000-0000632C0000}"/>
    <cellStyle name="Millares 9 2 2 2 2 3 5" xfId="25792" xr:uid="{00000000-0005-0000-0000-0000642C0000}"/>
    <cellStyle name="Millares 9 2 2 2 2 4" xfId="5017" xr:uid="{00000000-0005-0000-0000-0000652C0000}"/>
    <cellStyle name="Millares 9 2 2 2 2 4 2" xfId="19901" xr:uid="{00000000-0005-0000-0000-0000662C0000}"/>
    <cellStyle name="Millares 9 2 2 2 2 4 2 2" xfId="42544" xr:uid="{00000000-0005-0000-0000-0000672C0000}"/>
    <cellStyle name="Millares 9 2 2 2 2 4 3" xfId="12461" xr:uid="{00000000-0005-0000-0000-0000682C0000}"/>
    <cellStyle name="Millares 9 2 2 2 2 4 3 2" xfId="35104" xr:uid="{00000000-0005-0000-0000-0000692C0000}"/>
    <cellStyle name="Millares 9 2 2 2 2 4 4" xfId="27663" xr:uid="{00000000-0005-0000-0000-00006A2C0000}"/>
    <cellStyle name="Millares 9 2 2 2 2 5" xfId="16183" xr:uid="{00000000-0005-0000-0000-00006B2C0000}"/>
    <cellStyle name="Millares 9 2 2 2 2 5 2" xfId="38826" xr:uid="{00000000-0005-0000-0000-00006C2C0000}"/>
    <cellStyle name="Millares 9 2 2 2 2 6" xfId="8743" xr:uid="{00000000-0005-0000-0000-00006D2C0000}"/>
    <cellStyle name="Millares 9 2 2 2 2 6 2" xfId="31386" xr:uid="{00000000-0005-0000-0000-00006E2C0000}"/>
    <cellStyle name="Millares 9 2 2 2 2 7" xfId="23945" xr:uid="{00000000-0005-0000-0000-00006F2C0000}"/>
    <cellStyle name="Millares 9 2 2 2 3" xfId="1756" xr:uid="{00000000-0005-0000-0000-0000702C0000}"/>
    <cellStyle name="Millares 9 2 2 2 3 2" xfId="3606" xr:uid="{00000000-0005-0000-0000-0000712C0000}"/>
    <cellStyle name="Millares 9 2 2 2 3 2 2" xfId="7327" xr:uid="{00000000-0005-0000-0000-0000722C0000}"/>
    <cellStyle name="Millares 9 2 2 2 3 2 2 2" xfId="22211" xr:uid="{00000000-0005-0000-0000-0000732C0000}"/>
    <cellStyle name="Millares 9 2 2 2 3 2 2 2 2" xfId="44854" xr:uid="{00000000-0005-0000-0000-0000742C0000}"/>
    <cellStyle name="Millares 9 2 2 2 3 2 2 3" xfId="14771" xr:uid="{00000000-0005-0000-0000-0000752C0000}"/>
    <cellStyle name="Millares 9 2 2 2 3 2 2 3 2" xfId="37414" xr:uid="{00000000-0005-0000-0000-0000762C0000}"/>
    <cellStyle name="Millares 9 2 2 2 3 2 2 4" xfId="29973" xr:uid="{00000000-0005-0000-0000-0000772C0000}"/>
    <cellStyle name="Millares 9 2 2 2 3 2 3" xfId="18493" xr:uid="{00000000-0005-0000-0000-0000782C0000}"/>
    <cellStyle name="Millares 9 2 2 2 3 2 3 2" xfId="41136" xr:uid="{00000000-0005-0000-0000-0000792C0000}"/>
    <cellStyle name="Millares 9 2 2 2 3 2 4" xfId="11053" xr:uid="{00000000-0005-0000-0000-00007A2C0000}"/>
    <cellStyle name="Millares 9 2 2 2 3 2 4 2" xfId="33696" xr:uid="{00000000-0005-0000-0000-00007B2C0000}"/>
    <cellStyle name="Millares 9 2 2 2 3 2 5" xfId="26255" xr:uid="{00000000-0005-0000-0000-00007C2C0000}"/>
    <cellStyle name="Millares 9 2 2 2 3 3" xfId="5480" xr:uid="{00000000-0005-0000-0000-00007D2C0000}"/>
    <cellStyle name="Millares 9 2 2 2 3 3 2" xfId="20364" xr:uid="{00000000-0005-0000-0000-00007E2C0000}"/>
    <cellStyle name="Millares 9 2 2 2 3 3 2 2" xfId="43007" xr:uid="{00000000-0005-0000-0000-00007F2C0000}"/>
    <cellStyle name="Millares 9 2 2 2 3 3 3" xfId="12924" xr:uid="{00000000-0005-0000-0000-0000802C0000}"/>
    <cellStyle name="Millares 9 2 2 2 3 3 3 2" xfId="35567" xr:uid="{00000000-0005-0000-0000-0000812C0000}"/>
    <cellStyle name="Millares 9 2 2 2 3 3 4" xfId="28126" xr:uid="{00000000-0005-0000-0000-0000822C0000}"/>
    <cellStyle name="Millares 9 2 2 2 3 4" xfId="16646" xr:uid="{00000000-0005-0000-0000-0000832C0000}"/>
    <cellStyle name="Millares 9 2 2 2 3 4 2" xfId="39289" xr:uid="{00000000-0005-0000-0000-0000842C0000}"/>
    <cellStyle name="Millares 9 2 2 2 3 5" xfId="9206" xr:uid="{00000000-0005-0000-0000-0000852C0000}"/>
    <cellStyle name="Millares 9 2 2 2 3 5 2" xfId="31849" xr:uid="{00000000-0005-0000-0000-0000862C0000}"/>
    <cellStyle name="Millares 9 2 2 2 3 6" xfId="24408" xr:uid="{00000000-0005-0000-0000-0000872C0000}"/>
    <cellStyle name="Millares 9 2 2 2 4" xfId="2681" xr:uid="{00000000-0005-0000-0000-0000882C0000}"/>
    <cellStyle name="Millares 9 2 2 2 4 2" xfId="6402" xr:uid="{00000000-0005-0000-0000-0000892C0000}"/>
    <cellStyle name="Millares 9 2 2 2 4 2 2" xfId="21286" xr:uid="{00000000-0005-0000-0000-00008A2C0000}"/>
    <cellStyle name="Millares 9 2 2 2 4 2 2 2" xfId="43929" xr:uid="{00000000-0005-0000-0000-00008B2C0000}"/>
    <cellStyle name="Millares 9 2 2 2 4 2 3" xfId="13846" xr:uid="{00000000-0005-0000-0000-00008C2C0000}"/>
    <cellStyle name="Millares 9 2 2 2 4 2 3 2" xfId="36489" xr:uid="{00000000-0005-0000-0000-00008D2C0000}"/>
    <cellStyle name="Millares 9 2 2 2 4 2 4" xfId="29048" xr:uid="{00000000-0005-0000-0000-00008E2C0000}"/>
    <cellStyle name="Millares 9 2 2 2 4 3" xfId="17568" xr:uid="{00000000-0005-0000-0000-00008F2C0000}"/>
    <cellStyle name="Millares 9 2 2 2 4 3 2" xfId="40211" xr:uid="{00000000-0005-0000-0000-0000902C0000}"/>
    <cellStyle name="Millares 9 2 2 2 4 4" xfId="10128" xr:uid="{00000000-0005-0000-0000-0000912C0000}"/>
    <cellStyle name="Millares 9 2 2 2 4 4 2" xfId="32771" xr:uid="{00000000-0005-0000-0000-0000922C0000}"/>
    <cellStyle name="Millares 9 2 2 2 4 5" xfId="25330" xr:uid="{00000000-0005-0000-0000-0000932C0000}"/>
    <cellStyle name="Millares 9 2 2 2 5" xfId="4555" xr:uid="{00000000-0005-0000-0000-0000942C0000}"/>
    <cellStyle name="Millares 9 2 2 2 5 2" xfId="19439" xr:uid="{00000000-0005-0000-0000-0000952C0000}"/>
    <cellStyle name="Millares 9 2 2 2 5 2 2" xfId="42082" xr:uid="{00000000-0005-0000-0000-0000962C0000}"/>
    <cellStyle name="Millares 9 2 2 2 5 3" xfId="11999" xr:uid="{00000000-0005-0000-0000-0000972C0000}"/>
    <cellStyle name="Millares 9 2 2 2 5 3 2" xfId="34642" xr:uid="{00000000-0005-0000-0000-0000982C0000}"/>
    <cellStyle name="Millares 9 2 2 2 5 4" xfId="27201" xr:uid="{00000000-0005-0000-0000-0000992C0000}"/>
    <cellStyle name="Millares 9 2 2 2 6" xfId="15721" xr:uid="{00000000-0005-0000-0000-00009A2C0000}"/>
    <cellStyle name="Millares 9 2 2 2 6 2" xfId="38364" xr:uid="{00000000-0005-0000-0000-00009B2C0000}"/>
    <cellStyle name="Millares 9 2 2 2 7" xfId="8281" xr:uid="{00000000-0005-0000-0000-00009C2C0000}"/>
    <cellStyle name="Millares 9 2 2 2 7 2" xfId="30924" xr:uid="{00000000-0005-0000-0000-00009D2C0000}"/>
    <cellStyle name="Millares 9 2 2 2 8" xfId="23483" xr:uid="{00000000-0005-0000-0000-00009E2C0000}"/>
    <cellStyle name="Millares 9 2 2 3" xfId="1079" xr:uid="{00000000-0005-0000-0000-00009F2C0000}"/>
    <cellStyle name="Millares 9 2 2 3 2" xfId="2007" xr:uid="{00000000-0005-0000-0000-0000A02C0000}"/>
    <cellStyle name="Millares 9 2 2 3 2 2" xfId="3857" xr:uid="{00000000-0005-0000-0000-0000A12C0000}"/>
    <cellStyle name="Millares 9 2 2 3 2 2 2" xfId="7578" xr:uid="{00000000-0005-0000-0000-0000A22C0000}"/>
    <cellStyle name="Millares 9 2 2 3 2 2 2 2" xfId="22462" xr:uid="{00000000-0005-0000-0000-0000A32C0000}"/>
    <cellStyle name="Millares 9 2 2 3 2 2 2 2 2" xfId="45105" xr:uid="{00000000-0005-0000-0000-0000A42C0000}"/>
    <cellStyle name="Millares 9 2 2 3 2 2 2 3" xfId="15022" xr:uid="{00000000-0005-0000-0000-0000A52C0000}"/>
    <cellStyle name="Millares 9 2 2 3 2 2 2 3 2" xfId="37665" xr:uid="{00000000-0005-0000-0000-0000A62C0000}"/>
    <cellStyle name="Millares 9 2 2 3 2 2 2 4" xfId="30224" xr:uid="{00000000-0005-0000-0000-0000A72C0000}"/>
    <cellStyle name="Millares 9 2 2 3 2 2 3" xfId="18744" xr:uid="{00000000-0005-0000-0000-0000A82C0000}"/>
    <cellStyle name="Millares 9 2 2 3 2 2 3 2" xfId="41387" xr:uid="{00000000-0005-0000-0000-0000A92C0000}"/>
    <cellStyle name="Millares 9 2 2 3 2 2 4" xfId="11304" xr:uid="{00000000-0005-0000-0000-0000AA2C0000}"/>
    <cellStyle name="Millares 9 2 2 3 2 2 4 2" xfId="33947" xr:uid="{00000000-0005-0000-0000-0000AB2C0000}"/>
    <cellStyle name="Millares 9 2 2 3 2 2 5" xfId="26506" xr:uid="{00000000-0005-0000-0000-0000AC2C0000}"/>
    <cellStyle name="Millares 9 2 2 3 2 3" xfId="5731" xr:uid="{00000000-0005-0000-0000-0000AD2C0000}"/>
    <cellStyle name="Millares 9 2 2 3 2 3 2" xfId="20615" xr:uid="{00000000-0005-0000-0000-0000AE2C0000}"/>
    <cellStyle name="Millares 9 2 2 3 2 3 2 2" xfId="43258" xr:uid="{00000000-0005-0000-0000-0000AF2C0000}"/>
    <cellStyle name="Millares 9 2 2 3 2 3 3" xfId="13175" xr:uid="{00000000-0005-0000-0000-0000B02C0000}"/>
    <cellStyle name="Millares 9 2 2 3 2 3 3 2" xfId="35818" xr:uid="{00000000-0005-0000-0000-0000B12C0000}"/>
    <cellStyle name="Millares 9 2 2 3 2 3 4" xfId="28377" xr:uid="{00000000-0005-0000-0000-0000B22C0000}"/>
    <cellStyle name="Millares 9 2 2 3 2 4" xfId="16897" xr:uid="{00000000-0005-0000-0000-0000B32C0000}"/>
    <cellStyle name="Millares 9 2 2 3 2 4 2" xfId="39540" xr:uid="{00000000-0005-0000-0000-0000B42C0000}"/>
    <cellStyle name="Millares 9 2 2 3 2 5" xfId="9457" xr:uid="{00000000-0005-0000-0000-0000B52C0000}"/>
    <cellStyle name="Millares 9 2 2 3 2 5 2" xfId="32100" xr:uid="{00000000-0005-0000-0000-0000B62C0000}"/>
    <cellStyle name="Millares 9 2 2 3 2 6" xfId="24659" xr:uid="{00000000-0005-0000-0000-0000B72C0000}"/>
    <cellStyle name="Millares 9 2 2 3 3" xfId="2932" xr:uid="{00000000-0005-0000-0000-0000B82C0000}"/>
    <cellStyle name="Millares 9 2 2 3 3 2" xfId="6653" xr:uid="{00000000-0005-0000-0000-0000B92C0000}"/>
    <cellStyle name="Millares 9 2 2 3 3 2 2" xfId="21537" xr:uid="{00000000-0005-0000-0000-0000BA2C0000}"/>
    <cellStyle name="Millares 9 2 2 3 3 2 2 2" xfId="44180" xr:uid="{00000000-0005-0000-0000-0000BB2C0000}"/>
    <cellStyle name="Millares 9 2 2 3 3 2 3" xfId="14097" xr:uid="{00000000-0005-0000-0000-0000BC2C0000}"/>
    <cellStyle name="Millares 9 2 2 3 3 2 3 2" xfId="36740" xr:uid="{00000000-0005-0000-0000-0000BD2C0000}"/>
    <cellStyle name="Millares 9 2 2 3 3 2 4" xfId="29299" xr:uid="{00000000-0005-0000-0000-0000BE2C0000}"/>
    <cellStyle name="Millares 9 2 2 3 3 3" xfId="17819" xr:uid="{00000000-0005-0000-0000-0000BF2C0000}"/>
    <cellStyle name="Millares 9 2 2 3 3 3 2" xfId="40462" xr:uid="{00000000-0005-0000-0000-0000C02C0000}"/>
    <cellStyle name="Millares 9 2 2 3 3 4" xfId="10379" xr:uid="{00000000-0005-0000-0000-0000C12C0000}"/>
    <cellStyle name="Millares 9 2 2 3 3 4 2" xfId="33022" xr:uid="{00000000-0005-0000-0000-0000C22C0000}"/>
    <cellStyle name="Millares 9 2 2 3 3 5" xfId="25581" xr:uid="{00000000-0005-0000-0000-0000C32C0000}"/>
    <cellStyle name="Millares 9 2 2 3 4" xfId="4806" xr:uid="{00000000-0005-0000-0000-0000C42C0000}"/>
    <cellStyle name="Millares 9 2 2 3 4 2" xfId="19690" xr:uid="{00000000-0005-0000-0000-0000C52C0000}"/>
    <cellStyle name="Millares 9 2 2 3 4 2 2" xfId="42333" xr:uid="{00000000-0005-0000-0000-0000C62C0000}"/>
    <cellStyle name="Millares 9 2 2 3 4 3" xfId="12250" xr:uid="{00000000-0005-0000-0000-0000C72C0000}"/>
    <cellStyle name="Millares 9 2 2 3 4 3 2" xfId="34893" xr:uid="{00000000-0005-0000-0000-0000C82C0000}"/>
    <cellStyle name="Millares 9 2 2 3 4 4" xfId="27452" xr:uid="{00000000-0005-0000-0000-0000C92C0000}"/>
    <cellStyle name="Millares 9 2 2 3 5" xfId="15972" xr:uid="{00000000-0005-0000-0000-0000CA2C0000}"/>
    <cellStyle name="Millares 9 2 2 3 5 2" xfId="38615" xr:uid="{00000000-0005-0000-0000-0000CB2C0000}"/>
    <cellStyle name="Millares 9 2 2 3 6" xfId="8532" xr:uid="{00000000-0005-0000-0000-0000CC2C0000}"/>
    <cellStyle name="Millares 9 2 2 3 6 2" xfId="31175" xr:uid="{00000000-0005-0000-0000-0000CD2C0000}"/>
    <cellStyle name="Millares 9 2 2 3 7" xfId="23734" xr:uid="{00000000-0005-0000-0000-0000CE2C0000}"/>
    <cellStyle name="Millares 9 2 2 4" xfId="1545" xr:uid="{00000000-0005-0000-0000-0000CF2C0000}"/>
    <cellStyle name="Millares 9 2 2 4 2" xfId="3395" xr:uid="{00000000-0005-0000-0000-0000D02C0000}"/>
    <cellStyle name="Millares 9 2 2 4 2 2" xfId="7116" xr:uid="{00000000-0005-0000-0000-0000D12C0000}"/>
    <cellStyle name="Millares 9 2 2 4 2 2 2" xfId="22000" xr:uid="{00000000-0005-0000-0000-0000D22C0000}"/>
    <cellStyle name="Millares 9 2 2 4 2 2 2 2" xfId="44643" xr:uid="{00000000-0005-0000-0000-0000D32C0000}"/>
    <cellStyle name="Millares 9 2 2 4 2 2 3" xfId="14560" xr:uid="{00000000-0005-0000-0000-0000D42C0000}"/>
    <cellStyle name="Millares 9 2 2 4 2 2 3 2" xfId="37203" xr:uid="{00000000-0005-0000-0000-0000D52C0000}"/>
    <cellStyle name="Millares 9 2 2 4 2 2 4" xfId="29762" xr:uid="{00000000-0005-0000-0000-0000D62C0000}"/>
    <cellStyle name="Millares 9 2 2 4 2 3" xfId="18282" xr:uid="{00000000-0005-0000-0000-0000D72C0000}"/>
    <cellStyle name="Millares 9 2 2 4 2 3 2" xfId="40925" xr:uid="{00000000-0005-0000-0000-0000D82C0000}"/>
    <cellStyle name="Millares 9 2 2 4 2 4" xfId="10842" xr:uid="{00000000-0005-0000-0000-0000D92C0000}"/>
    <cellStyle name="Millares 9 2 2 4 2 4 2" xfId="33485" xr:uid="{00000000-0005-0000-0000-0000DA2C0000}"/>
    <cellStyle name="Millares 9 2 2 4 2 5" xfId="26044" xr:uid="{00000000-0005-0000-0000-0000DB2C0000}"/>
    <cellStyle name="Millares 9 2 2 4 3" xfId="5269" xr:uid="{00000000-0005-0000-0000-0000DC2C0000}"/>
    <cellStyle name="Millares 9 2 2 4 3 2" xfId="20153" xr:uid="{00000000-0005-0000-0000-0000DD2C0000}"/>
    <cellStyle name="Millares 9 2 2 4 3 2 2" xfId="42796" xr:uid="{00000000-0005-0000-0000-0000DE2C0000}"/>
    <cellStyle name="Millares 9 2 2 4 3 3" xfId="12713" xr:uid="{00000000-0005-0000-0000-0000DF2C0000}"/>
    <cellStyle name="Millares 9 2 2 4 3 3 2" xfId="35356" xr:uid="{00000000-0005-0000-0000-0000E02C0000}"/>
    <cellStyle name="Millares 9 2 2 4 3 4" xfId="27915" xr:uid="{00000000-0005-0000-0000-0000E12C0000}"/>
    <cellStyle name="Millares 9 2 2 4 4" xfId="16435" xr:uid="{00000000-0005-0000-0000-0000E22C0000}"/>
    <cellStyle name="Millares 9 2 2 4 4 2" xfId="39078" xr:uid="{00000000-0005-0000-0000-0000E32C0000}"/>
    <cellStyle name="Millares 9 2 2 4 5" xfId="8995" xr:uid="{00000000-0005-0000-0000-0000E42C0000}"/>
    <cellStyle name="Millares 9 2 2 4 5 2" xfId="31638" xr:uid="{00000000-0005-0000-0000-0000E52C0000}"/>
    <cellStyle name="Millares 9 2 2 4 6" xfId="24197" xr:uid="{00000000-0005-0000-0000-0000E62C0000}"/>
    <cellStyle name="Millares 9 2 2 5" xfId="2470" xr:uid="{00000000-0005-0000-0000-0000E72C0000}"/>
    <cellStyle name="Millares 9 2 2 5 2" xfId="6191" xr:uid="{00000000-0005-0000-0000-0000E82C0000}"/>
    <cellStyle name="Millares 9 2 2 5 2 2" xfId="21075" xr:uid="{00000000-0005-0000-0000-0000E92C0000}"/>
    <cellStyle name="Millares 9 2 2 5 2 2 2" xfId="43718" xr:uid="{00000000-0005-0000-0000-0000EA2C0000}"/>
    <cellStyle name="Millares 9 2 2 5 2 3" xfId="13635" xr:uid="{00000000-0005-0000-0000-0000EB2C0000}"/>
    <cellStyle name="Millares 9 2 2 5 2 3 2" xfId="36278" xr:uid="{00000000-0005-0000-0000-0000EC2C0000}"/>
    <cellStyle name="Millares 9 2 2 5 2 4" xfId="28837" xr:uid="{00000000-0005-0000-0000-0000ED2C0000}"/>
    <cellStyle name="Millares 9 2 2 5 3" xfId="17357" xr:uid="{00000000-0005-0000-0000-0000EE2C0000}"/>
    <cellStyle name="Millares 9 2 2 5 3 2" xfId="40000" xr:uid="{00000000-0005-0000-0000-0000EF2C0000}"/>
    <cellStyle name="Millares 9 2 2 5 4" xfId="9917" xr:uid="{00000000-0005-0000-0000-0000F02C0000}"/>
    <cellStyle name="Millares 9 2 2 5 4 2" xfId="32560" xr:uid="{00000000-0005-0000-0000-0000F12C0000}"/>
    <cellStyle name="Millares 9 2 2 5 5" xfId="25119" xr:uid="{00000000-0005-0000-0000-0000F22C0000}"/>
    <cellStyle name="Millares 9 2 2 6" xfId="4344" xr:uid="{00000000-0005-0000-0000-0000F32C0000}"/>
    <cellStyle name="Millares 9 2 2 6 2" xfId="19228" xr:uid="{00000000-0005-0000-0000-0000F42C0000}"/>
    <cellStyle name="Millares 9 2 2 6 2 2" xfId="41871" xr:uid="{00000000-0005-0000-0000-0000F52C0000}"/>
    <cellStyle name="Millares 9 2 2 6 3" xfId="11788" xr:uid="{00000000-0005-0000-0000-0000F62C0000}"/>
    <cellStyle name="Millares 9 2 2 6 3 2" xfId="34431" xr:uid="{00000000-0005-0000-0000-0000F72C0000}"/>
    <cellStyle name="Millares 9 2 2 6 4" xfId="26990" xr:uid="{00000000-0005-0000-0000-0000F82C0000}"/>
    <cellStyle name="Millares 9 2 2 7" xfId="15510" xr:uid="{00000000-0005-0000-0000-0000F92C0000}"/>
    <cellStyle name="Millares 9 2 2 7 2" xfId="38153" xr:uid="{00000000-0005-0000-0000-0000FA2C0000}"/>
    <cellStyle name="Millares 9 2 2 8" xfId="8070" xr:uid="{00000000-0005-0000-0000-0000FB2C0000}"/>
    <cellStyle name="Millares 9 2 2 8 2" xfId="30713" xr:uid="{00000000-0005-0000-0000-0000FC2C0000}"/>
    <cellStyle name="Millares 9 2 2 9" xfId="23273" xr:uid="{00000000-0005-0000-0000-0000FD2C0000}"/>
    <cellStyle name="Millares 9 2 3" xfId="720" xr:uid="{00000000-0005-0000-0000-0000FE2C0000}"/>
    <cellStyle name="Millares 9 2 3 2" xfId="1185" xr:uid="{00000000-0005-0000-0000-0000FF2C0000}"/>
    <cellStyle name="Millares 9 2 3 2 2" xfId="2113" xr:uid="{00000000-0005-0000-0000-0000002D0000}"/>
    <cellStyle name="Millares 9 2 3 2 2 2" xfId="3963" xr:uid="{00000000-0005-0000-0000-0000012D0000}"/>
    <cellStyle name="Millares 9 2 3 2 2 2 2" xfId="7684" xr:uid="{00000000-0005-0000-0000-0000022D0000}"/>
    <cellStyle name="Millares 9 2 3 2 2 2 2 2" xfId="22568" xr:uid="{00000000-0005-0000-0000-0000032D0000}"/>
    <cellStyle name="Millares 9 2 3 2 2 2 2 2 2" xfId="45211" xr:uid="{00000000-0005-0000-0000-0000042D0000}"/>
    <cellStyle name="Millares 9 2 3 2 2 2 2 3" xfId="15128" xr:uid="{00000000-0005-0000-0000-0000052D0000}"/>
    <cellStyle name="Millares 9 2 3 2 2 2 2 3 2" xfId="37771" xr:uid="{00000000-0005-0000-0000-0000062D0000}"/>
    <cellStyle name="Millares 9 2 3 2 2 2 2 4" xfId="30330" xr:uid="{00000000-0005-0000-0000-0000072D0000}"/>
    <cellStyle name="Millares 9 2 3 2 2 2 3" xfId="18850" xr:uid="{00000000-0005-0000-0000-0000082D0000}"/>
    <cellStyle name="Millares 9 2 3 2 2 2 3 2" xfId="41493" xr:uid="{00000000-0005-0000-0000-0000092D0000}"/>
    <cellStyle name="Millares 9 2 3 2 2 2 4" xfId="11410" xr:uid="{00000000-0005-0000-0000-00000A2D0000}"/>
    <cellStyle name="Millares 9 2 3 2 2 2 4 2" xfId="34053" xr:uid="{00000000-0005-0000-0000-00000B2D0000}"/>
    <cellStyle name="Millares 9 2 3 2 2 2 5" xfId="26612" xr:uid="{00000000-0005-0000-0000-00000C2D0000}"/>
    <cellStyle name="Millares 9 2 3 2 2 3" xfId="5837" xr:uid="{00000000-0005-0000-0000-00000D2D0000}"/>
    <cellStyle name="Millares 9 2 3 2 2 3 2" xfId="20721" xr:uid="{00000000-0005-0000-0000-00000E2D0000}"/>
    <cellStyle name="Millares 9 2 3 2 2 3 2 2" xfId="43364" xr:uid="{00000000-0005-0000-0000-00000F2D0000}"/>
    <cellStyle name="Millares 9 2 3 2 2 3 3" xfId="13281" xr:uid="{00000000-0005-0000-0000-0000102D0000}"/>
    <cellStyle name="Millares 9 2 3 2 2 3 3 2" xfId="35924" xr:uid="{00000000-0005-0000-0000-0000112D0000}"/>
    <cellStyle name="Millares 9 2 3 2 2 3 4" xfId="28483" xr:uid="{00000000-0005-0000-0000-0000122D0000}"/>
    <cellStyle name="Millares 9 2 3 2 2 4" xfId="17003" xr:uid="{00000000-0005-0000-0000-0000132D0000}"/>
    <cellStyle name="Millares 9 2 3 2 2 4 2" xfId="39646" xr:uid="{00000000-0005-0000-0000-0000142D0000}"/>
    <cellStyle name="Millares 9 2 3 2 2 5" xfId="9563" xr:uid="{00000000-0005-0000-0000-0000152D0000}"/>
    <cellStyle name="Millares 9 2 3 2 2 5 2" xfId="32206" xr:uid="{00000000-0005-0000-0000-0000162D0000}"/>
    <cellStyle name="Millares 9 2 3 2 2 6" xfId="24765" xr:uid="{00000000-0005-0000-0000-0000172D0000}"/>
    <cellStyle name="Millares 9 2 3 2 3" xfId="3038" xr:uid="{00000000-0005-0000-0000-0000182D0000}"/>
    <cellStyle name="Millares 9 2 3 2 3 2" xfId="6759" xr:uid="{00000000-0005-0000-0000-0000192D0000}"/>
    <cellStyle name="Millares 9 2 3 2 3 2 2" xfId="21643" xr:uid="{00000000-0005-0000-0000-00001A2D0000}"/>
    <cellStyle name="Millares 9 2 3 2 3 2 2 2" xfId="44286" xr:uid="{00000000-0005-0000-0000-00001B2D0000}"/>
    <cellStyle name="Millares 9 2 3 2 3 2 3" xfId="14203" xr:uid="{00000000-0005-0000-0000-00001C2D0000}"/>
    <cellStyle name="Millares 9 2 3 2 3 2 3 2" xfId="36846" xr:uid="{00000000-0005-0000-0000-00001D2D0000}"/>
    <cellStyle name="Millares 9 2 3 2 3 2 4" xfId="29405" xr:uid="{00000000-0005-0000-0000-00001E2D0000}"/>
    <cellStyle name="Millares 9 2 3 2 3 3" xfId="17925" xr:uid="{00000000-0005-0000-0000-00001F2D0000}"/>
    <cellStyle name="Millares 9 2 3 2 3 3 2" xfId="40568" xr:uid="{00000000-0005-0000-0000-0000202D0000}"/>
    <cellStyle name="Millares 9 2 3 2 3 4" xfId="10485" xr:uid="{00000000-0005-0000-0000-0000212D0000}"/>
    <cellStyle name="Millares 9 2 3 2 3 4 2" xfId="33128" xr:uid="{00000000-0005-0000-0000-0000222D0000}"/>
    <cellStyle name="Millares 9 2 3 2 3 5" xfId="25687" xr:uid="{00000000-0005-0000-0000-0000232D0000}"/>
    <cellStyle name="Millares 9 2 3 2 4" xfId="4912" xr:uid="{00000000-0005-0000-0000-0000242D0000}"/>
    <cellStyle name="Millares 9 2 3 2 4 2" xfId="19796" xr:uid="{00000000-0005-0000-0000-0000252D0000}"/>
    <cellStyle name="Millares 9 2 3 2 4 2 2" xfId="42439" xr:uid="{00000000-0005-0000-0000-0000262D0000}"/>
    <cellStyle name="Millares 9 2 3 2 4 3" xfId="12356" xr:uid="{00000000-0005-0000-0000-0000272D0000}"/>
    <cellStyle name="Millares 9 2 3 2 4 3 2" xfId="34999" xr:uid="{00000000-0005-0000-0000-0000282D0000}"/>
    <cellStyle name="Millares 9 2 3 2 4 4" xfId="27558" xr:uid="{00000000-0005-0000-0000-0000292D0000}"/>
    <cellStyle name="Millares 9 2 3 2 5" xfId="16078" xr:uid="{00000000-0005-0000-0000-00002A2D0000}"/>
    <cellStyle name="Millares 9 2 3 2 5 2" xfId="38721" xr:uid="{00000000-0005-0000-0000-00002B2D0000}"/>
    <cellStyle name="Millares 9 2 3 2 6" xfId="8638" xr:uid="{00000000-0005-0000-0000-00002C2D0000}"/>
    <cellStyle name="Millares 9 2 3 2 6 2" xfId="31281" xr:uid="{00000000-0005-0000-0000-00002D2D0000}"/>
    <cellStyle name="Millares 9 2 3 2 7" xfId="23840" xr:uid="{00000000-0005-0000-0000-00002E2D0000}"/>
    <cellStyle name="Millares 9 2 3 3" xfId="1651" xr:uid="{00000000-0005-0000-0000-00002F2D0000}"/>
    <cellStyle name="Millares 9 2 3 3 2" xfId="3501" xr:uid="{00000000-0005-0000-0000-0000302D0000}"/>
    <cellStyle name="Millares 9 2 3 3 2 2" xfId="7222" xr:uid="{00000000-0005-0000-0000-0000312D0000}"/>
    <cellStyle name="Millares 9 2 3 3 2 2 2" xfId="22106" xr:uid="{00000000-0005-0000-0000-0000322D0000}"/>
    <cellStyle name="Millares 9 2 3 3 2 2 2 2" xfId="44749" xr:uid="{00000000-0005-0000-0000-0000332D0000}"/>
    <cellStyle name="Millares 9 2 3 3 2 2 3" xfId="14666" xr:uid="{00000000-0005-0000-0000-0000342D0000}"/>
    <cellStyle name="Millares 9 2 3 3 2 2 3 2" xfId="37309" xr:uid="{00000000-0005-0000-0000-0000352D0000}"/>
    <cellStyle name="Millares 9 2 3 3 2 2 4" xfId="29868" xr:uid="{00000000-0005-0000-0000-0000362D0000}"/>
    <cellStyle name="Millares 9 2 3 3 2 3" xfId="18388" xr:uid="{00000000-0005-0000-0000-0000372D0000}"/>
    <cellStyle name="Millares 9 2 3 3 2 3 2" xfId="41031" xr:uid="{00000000-0005-0000-0000-0000382D0000}"/>
    <cellStyle name="Millares 9 2 3 3 2 4" xfId="10948" xr:uid="{00000000-0005-0000-0000-0000392D0000}"/>
    <cellStyle name="Millares 9 2 3 3 2 4 2" xfId="33591" xr:uid="{00000000-0005-0000-0000-00003A2D0000}"/>
    <cellStyle name="Millares 9 2 3 3 2 5" xfId="26150" xr:uid="{00000000-0005-0000-0000-00003B2D0000}"/>
    <cellStyle name="Millares 9 2 3 3 3" xfId="5375" xr:uid="{00000000-0005-0000-0000-00003C2D0000}"/>
    <cellStyle name="Millares 9 2 3 3 3 2" xfId="20259" xr:uid="{00000000-0005-0000-0000-00003D2D0000}"/>
    <cellStyle name="Millares 9 2 3 3 3 2 2" xfId="42902" xr:uid="{00000000-0005-0000-0000-00003E2D0000}"/>
    <cellStyle name="Millares 9 2 3 3 3 3" xfId="12819" xr:uid="{00000000-0005-0000-0000-00003F2D0000}"/>
    <cellStyle name="Millares 9 2 3 3 3 3 2" xfId="35462" xr:uid="{00000000-0005-0000-0000-0000402D0000}"/>
    <cellStyle name="Millares 9 2 3 3 3 4" xfId="28021" xr:uid="{00000000-0005-0000-0000-0000412D0000}"/>
    <cellStyle name="Millares 9 2 3 3 4" xfId="16541" xr:uid="{00000000-0005-0000-0000-0000422D0000}"/>
    <cellStyle name="Millares 9 2 3 3 4 2" xfId="39184" xr:uid="{00000000-0005-0000-0000-0000432D0000}"/>
    <cellStyle name="Millares 9 2 3 3 5" xfId="9101" xr:uid="{00000000-0005-0000-0000-0000442D0000}"/>
    <cellStyle name="Millares 9 2 3 3 5 2" xfId="31744" xr:uid="{00000000-0005-0000-0000-0000452D0000}"/>
    <cellStyle name="Millares 9 2 3 3 6" xfId="24303" xr:uid="{00000000-0005-0000-0000-0000462D0000}"/>
    <cellStyle name="Millares 9 2 3 4" xfId="2576" xr:uid="{00000000-0005-0000-0000-0000472D0000}"/>
    <cellStyle name="Millares 9 2 3 4 2" xfId="6297" xr:uid="{00000000-0005-0000-0000-0000482D0000}"/>
    <cellStyle name="Millares 9 2 3 4 2 2" xfId="21181" xr:uid="{00000000-0005-0000-0000-0000492D0000}"/>
    <cellStyle name="Millares 9 2 3 4 2 2 2" xfId="43824" xr:uid="{00000000-0005-0000-0000-00004A2D0000}"/>
    <cellStyle name="Millares 9 2 3 4 2 3" xfId="13741" xr:uid="{00000000-0005-0000-0000-00004B2D0000}"/>
    <cellStyle name="Millares 9 2 3 4 2 3 2" xfId="36384" xr:uid="{00000000-0005-0000-0000-00004C2D0000}"/>
    <cellStyle name="Millares 9 2 3 4 2 4" xfId="28943" xr:uid="{00000000-0005-0000-0000-00004D2D0000}"/>
    <cellStyle name="Millares 9 2 3 4 3" xfId="17463" xr:uid="{00000000-0005-0000-0000-00004E2D0000}"/>
    <cellStyle name="Millares 9 2 3 4 3 2" xfId="40106" xr:uid="{00000000-0005-0000-0000-00004F2D0000}"/>
    <cellStyle name="Millares 9 2 3 4 4" xfId="10023" xr:uid="{00000000-0005-0000-0000-0000502D0000}"/>
    <cellStyle name="Millares 9 2 3 4 4 2" xfId="32666" xr:uid="{00000000-0005-0000-0000-0000512D0000}"/>
    <cellStyle name="Millares 9 2 3 4 5" xfId="25225" xr:uid="{00000000-0005-0000-0000-0000522D0000}"/>
    <cellStyle name="Millares 9 2 3 5" xfId="4450" xr:uid="{00000000-0005-0000-0000-0000532D0000}"/>
    <cellStyle name="Millares 9 2 3 5 2" xfId="19334" xr:uid="{00000000-0005-0000-0000-0000542D0000}"/>
    <cellStyle name="Millares 9 2 3 5 2 2" xfId="41977" xr:uid="{00000000-0005-0000-0000-0000552D0000}"/>
    <cellStyle name="Millares 9 2 3 5 3" xfId="11894" xr:uid="{00000000-0005-0000-0000-0000562D0000}"/>
    <cellStyle name="Millares 9 2 3 5 3 2" xfId="34537" xr:uid="{00000000-0005-0000-0000-0000572D0000}"/>
    <cellStyle name="Millares 9 2 3 5 4" xfId="27096" xr:uid="{00000000-0005-0000-0000-0000582D0000}"/>
    <cellStyle name="Millares 9 2 3 6" xfId="15616" xr:uid="{00000000-0005-0000-0000-0000592D0000}"/>
    <cellStyle name="Millares 9 2 3 6 2" xfId="38259" xr:uid="{00000000-0005-0000-0000-00005A2D0000}"/>
    <cellStyle name="Millares 9 2 3 7" xfId="8176" xr:uid="{00000000-0005-0000-0000-00005B2D0000}"/>
    <cellStyle name="Millares 9 2 3 7 2" xfId="30819" xr:uid="{00000000-0005-0000-0000-00005C2D0000}"/>
    <cellStyle name="Millares 9 2 3 8" xfId="23378" xr:uid="{00000000-0005-0000-0000-00005D2D0000}"/>
    <cellStyle name="Millares 9 2 4" xfId="974" xr:uid="{00000000-0005-0000-0000-00005E2D0000}"/>
    <cellStyle name="Millares 9 2 4 2" xfId="1902" xr:uid="{00000000-0005-0000-0000-00005F2D0000}"/>
    <cellStyle name="Millares 9 2 4 2 2" xfId="3752" xr:uid="{00000000-0005-0000-0000-0000602D0000}"/>
    <cellStyle name="Millares 9 2 4 2 2 2" xfId="7473" xr:uid="{00000000-0005-0000-0000-0000612D0000}"/>
    <cellStyle name="Millares 9 2 4 2 2 2 2" xfId="22357" xr:uid="{00000000-0005-0000-0000-0000622D0000}"/>
    <cellStyle name="Millares 9 2 4 2 2 2 2 2" xfId="45000" xr:uid="{00000000-0005-0000-0000-0000632D0000}"/>
    <cellStyle name="Millares 9 2 4 2 2 2 3" xfId="14917" xr:uid="{00000000-0005-0000-0000-0000642D0000}"/>
    <cellStyle name="Millares 9 2 4 2 2 2 3 2" xfId="37560" xr:uid="{00000000-0005-0000-0000-0000652D0000}"/>
    <cellStyle name="Millares 9 2 4 2 2 2 4" xfId="30119" xr:uid="{00000000-0005-0000-0000-0000662D0000}"/>
    <cellStyle name="Millares 9 2 4 2 2 3" xfId="18639" xr:uid="{00000000-0005-0000-0000-0000672D0000}"/>
    <cellStyle name="Millares 9 2 4 2 2 3 2" xfId="41282" xr:uid="{00000000-0005-0000-0000-0000682D0000}"/>
    <cellStyle name="Millares 9 2 4 2 2 4" xfId="11199" xr:uid="{00000000-0005-0000-0000-0000692D0000}"/>
    <cellStyle name="Millares 9 2 4 2 2 4 2" xfId="33842" xr:uid="{00000000-0005-0000-0000-00006A2D0000}"/>
    <cellStyle name="Millares 9 2 4 2 2 5" xfId="26401" xr:uid="{00000000-0005-0000-0000-00006B2D0000}"/>
    <cellStyle name="Millares 9 2 4 2 3" xfId="5626" xr:uid="{00000000-0005-0000-0000-00006C2D0000}"/>
    <cellStyle name="Millares 9 2 4 2 3 2" xfId="20510" xr:uid="{00000000-0005-0000-0000-00006D2D0000}"/>
    <cellStyle name="Millares 9 2 4 2 3 2 2" xfId="43153" xr:uid="{00000000-0005-0000-0000-00006E2D0000}"/>
    <cellStyle name="Millares 9 2 4 2 3 3" xfId="13070" xr:uid="{00000000-0005-0000-0000-00006F2D0000}"/>
    <cellStyle name="Millares 9 2 4 2 3 3 2" xfId="35713" xr:uid="{00000000-0005-0000-0000-0000702D0000}"/>
    <cellStyle name="Millares 9 2 4 2 3 4" xfId="28272" xr:uid="{00000000-0005-0000-0000-0000712D0000}"/>
    <cellStyle name="Millares 9 2 4 2 4" xfId="16792" xr:uid="{00000000-0005-0000-0000-0000722D0000}"/>
    <cellStyle name="Millares 9 2 4 2 4 2" xfId="39435" xr:uid="{00000000-0005-0000-0000-0000732D0000}"/>
    <cellStyle name="Millares 9 2 4 2 5" xfId="9352" xr:uid="{00000000-0005-0000-0000-0000742D0000}"/>
    <cellStyle name="Millares 9 2 4 2 5 2" xfId="31995" xr:uid="{00000000-0005-0000-0000-0000752D0000}"/>
    <cellStyle name="Millares 9 2 4 2 6" xfId="24554" xr:uid="{00000000-0005-0000-0000-0000762D0000}"/>
    <cellStyle name="Millares 9 2 4 3" xfId="2827" xr:uid="{00000000-0005-0000-0000-0000772D0000}"/>
    <cellStyle name="Millares 9 2 4 3 2" xfId="6548" xr:uid="{00000000-0005-0000-0000-0000782D0000}"/>
    <cellStyle name="Millares 9 2 4 3 2 2" xfId="21432" xr:uid="{00000000-0005-0000-0000-0000792D0000}"/>
    <cellStyle name="Millares 9 2 4 3 2 2 2" xfId="44075" xr:uid="{00000000-0005-0000-0000-00007A2D0000}"/>
    <cellStyle name="Millares 9 2 4 3 2 3" xfId="13992" xr:uid="{00000000-0005-0000-0000-00007B2D0000}"/>
    <cellStyle name="Millares 9 2 4 3 2 3 2" xfId="36635" xr:uid="{00000000-0005-0000-0000-00007C2D0000}"/>
    <cellStyle name="Millares 9 2 4 3 2 4" xfId="29194" xr:uid="{00000000-0005-0000-0000-00007D2D0000}"/>
    <cellStyle name="Millares 9 2 4 3 3" xfId="17714" xr:uid="{00000000-0005-0000-0000-00007E2D0000}"/>
    <cellStyle name="Millares 9 2 4 3 3 2" xfId="40357" xr:uid="{00000000-0005-0000-0000-00007F2D0000}"/>
    <cellStyle name="Millares 9 2 4 3 4" xfId="10274" xr:uid="{00000000-0005-0000-0000-0000802D0000}"/>
    <cellStyle name="Millares 9 2 4 3 4 2" xfId="32917" xr:uid="{00000000-0005-0000-0000-0000812D0000}"/>
    <cellStyle name="Millares 9 2 4 3 5" xfId="25476" xr:uid="{00000000-0005-0000-0000-0000822D0000}"/>
    <cellStyle name="Millares 9 2 4 4" xfId="4701" xr:uid="{00000000-0005-0000-0000-0000832D0000}"/>
    <cellStyle name="Millares 9 2 4 4 2" xfId="19585" xr:uid="{00000000-0005-0000-0000-0000842D0000}"/>
    <cellStyle name="Millares 9 2 4 4 2 2" xfId="42228" xr:uid="{00000000-0005-0000-0000-0000852D0000}"/>
    <cellStyle name="Millares 9 2 4 4 3" xfId="12145" xr:uid="{00000000-0005-0000-0000-0000862D0000}"/>
    <cellStyle name="Millares 9 2 4 4 3 2" xfId="34788" xr:uid="{00000000-0005-0000-0000-0000872D0000}"/>
    <cellStyle name="Millares 9 2 4 4 4" xfId="27347" xr:uid="{00000000-0005-0000-0000-0000882D0000}"/>
    <cellStyle name="Millares 9 2 4 5" xfId="15867" xr:uid="{00000000-0005-0000-0000-0000892D0000}"/>
    <cellStyle name="Millares 9 2 4 5 2" xfId="38510" xr:uid="{00000000-0005-0000-0000-00008A2D0000}"/>
    <cellStyle name="Millares 9 2 4 6" xfId="8427" xr:uid="{00000000-0005-0000-0000-00008B2D0000}"/>
    <cellStyle name="Millares 9 2 4 6 2" xfId="31070" xr:uid="{00000000-0005-0000-0000-00008C2D0000}"/>
    <cellStyle name="Millares 9 2 4 7" xfId="23629" xr:uid="{00000000-0005-0000-0000-00008D2D0000}"/>
    <cellStyle name="Millares 9 2 5" xfId="1440" xr:uid="{00000000-0005-0000-0000-00008E2D0000}"/>
    <cellStyle name="Millares 9 2 5 2" xfId="3290" xr:uid="{00000000-0005-0000-0000-00008F2D0000}"/>
    <cellStyle name="Millares 9 2 5 2 2" xfId="7011" xr:uid="{00000000-0005-0000-0000-0000902D0000}"/>
    <cellStyle name="Millares 9 2 5 2 2 2" xfId="21895" xr:uid="{00000000-0005-0000-0000-0000912D0000}"/>
    <cellStyle name="Millares 9 2 5 2 2 2 2" xfId="44538" xr:uid="{00000000-0005-0000-0000-0000922D0000}"/>
    <cellStyle name="Millares 9 2 5 2 2 3" xfId="14455" xr:uid="{00000000-0005-0000-0000-0000932D0000}"/>
    <cellStyle name="Millares 9 2 5 2 2 3 2" xfId="37098" xr:uid="{00000000-0005-0000-0000-0000942D0000}"/>
    <cellStyle name="Millares 9 2 5 2 2 4" xfId="29657" xr:uid="{00000000-0005-0000-0000-0000952D0000}"/>
    <cellStyle name="Millares 9 2 5 2 3" xfId="18177" xr:uid="{00000000-0005-0000-0000-0000962D0000}"/>
    <cellStyle name="Millares 9 2 5 2 3 2" xfId="40820" xr:uid="{00000000-0005-0000-0000-0000972D0000}"/>
    <cellStyle name="Millares 9 2 5 2 4" xfId="10737" xr:uid="{00000000-0005-0000-0000-0000982D0000}"/>
    <cellStyle name="Millares 9 2 5 2 4 2" xfId="33380" xr:uid="{00000000-0005-0000-0000-0000992D0000}"/>
    <cellStyle name="Millares 9 2 5 2 5" xfId="25939" xr:uid="{00000000-0005-0000-0000-00009A2D0000}"/>
    <cellStyle name="Millares 9 2 5 3" xfId="5164" xr:uid="{00000000-0005-0000-0000-00009B2D0000}"/>
    <cellStyle name="Millares 9 2 5 3 2" xfId="20048" xr:uid="{00000000-0005-0000-0000-00009C2D0000}"/>
    <cellStyle name="Millares 9 2 5 3 2 2" xfId="42691" xr:uid="{00000000-0005-0000-0000-00009D2D0000}"/>
    <cellStyle name="Millares 9 2 5 3 3" xfId="12608" xr:uid="{00000000-0005-0000-0000-00009E2D0000}"/>
    <cellStyle name="Millares 9 2 5 3 3 2" xfId="35251" xr:uid="{00000000-0005-0000-0000-00009F2D0000}"/>
    <cellStyle name="Millares 9 2 5 3 4" xfId="27810" xr:uid="{00000000-0005-0000-0000-0000A02D0000}"/>
    <cellStyle name="Millares 9 2 5 4" xfId="16330" xr:uid="{00000000-0005-0000-0000-0000A12D0000}"/>
    <cellStyle name="Millares 9 2 5 4 2" xfId="38973" xr:uid="{00000000-0005-0000-0000-0000A22D0000}"/>
    <cellStyle name="Millares 9 2 5 5" xfId="8890" xr:uid="{00000000-0005-0000-0000-0000A32D0000}"/>
    <cellStyle name="Millares 9 2 5 5 2" xfId="31533" xr:uid="{00000000-0005-0000-0000-0000A42D0000}"/>
    <cellStyle name="Millares 9 2 5 6" xfId="24092" xr:uid="{00000000-0005-0000-0000-0000A52D0000}"/>
    <cellStyle name="Millares 9 2 6" xfId="2365" xr:uid="{00000000-0005-0000-0000-0000A62D0000}"/>
    <cellStyle name="Millares 9 2 6 2" xfId="6086" xr:uid="{00000000-0005-0000-0000-0000A72D0000}"/>
    <cellStyle name="Millares 9 2 6 2 2" xfId="20970" xr:uid="{00000000-0005-0000-0000-0000A82D0000}"/>
    <cellStyle name="Millares 9 2 6 2 2 2" xfId="43613" xr:uid="{00000000-0005-0000-0000-0000A92D0000}"/>
    <cellStyle name="Millares 9 2 6 2 3" xfId="13530" xr:uid="{00000000-0005-0000-0000-0000AA2D0000}"/>
    <cellStyle name="Millares 9 2 6 2 3 2" xfId="36173" xr:uid="{00000000-0005-0000-0000-0000AB2D0000}"/>
    <cellStyle name="Millares 9 2 6 2 4" xfId="28732" xr:uid="{00000000-0005-0000-0000-0000AC2D0000}"/>
    <cellStyle name="Millares 9 2 6 3" xfId="17252" xr:uid="{00000000-0005-0000-0000-0000AD2D0000}"/>
    <cellStyle name="Millares 9 2 6 3 2" xfId="39895" xr:uid="{00000000-0005-0000-0000-0000AE2D0000}"/>
    <cellStyle name="Millares 9 2 6 4" xfId="9812" xr:uid="{00000000-0005-0000-0000-0000AF2D0000}"/>
    <cellStyle name="Millares 9 2 6 4 2" xfId="32455" xr:uid="{00000000-0005-0000-0000-0000B02D0000}"/>
    <cellStyle name="Millares 9 2 6 5" xfId="25014" xr:uid="{00000000-0005-0000-0000-0000B12D0000}"/>
    <cellStyle name="Millares 9 2 7" xfId="4239" xr:uid="{00000000-0005-0000-0000-0000B22D0000}"/>
    <cellStyle name="Millares 9 2 7 2" xfId="19123" xr:uid="{00000000-0005-0000-0000-0000B32D0000}"/>
    <cellStyle name="Millares 9 2 7 2 2" xfId="41766" xr:uid="{00000000-0005-0000-0000-0000B42D0000}"/>
    <cellStyle name="Millares 9 2 7 3" xfId="11683" xr:uid="{00000000-0005-0000-0000-0000B52D0000}"/>
    <cellStyle name="Millares 9 2 7 3 2" xfId="34326" xr:uid="{00000000-0005-0000-0000-0000B62D0000}"/>
    <cellStyle name="Millares 9 2 7 4" xfId="26885" xr:uid="{00000000-0005-0000-0000-0000B72D0000}"/>
    <cellStyle name="Millares 9 2 8" xfId="15405" xr:uid="{00000000-0005-0000-0000-0000B82D0000}"/>
    <cellStyle name="Millares 9 2 8 2" xfId="38048" xr:uid="{00000000-0005-0000-0000-0000B92D0000}"/>
    <cellStyle name="Millares 9 2 9" xfId="7965" xr:uid="{00000000-0005-0000-0000-0000BA2D0000}"/>
    <cellStyle name="Millares 9 2 9 2" xfId="30608" xr:uid="{00000000-0005-0000-0000-0000BB2D0000}"/>
    <cellStyle name="Millares 9 3" xfId="561" xr:uid="{00000000-0005-0000-0000-0000BC2D0000}"/>
    <cellStyle name="Millares 9 3 2" xfId="773" xr:uid="{00000000-0005-0000-0000-0000BD2D0000}"/>
    <cellStyle name="Millares 9 3 2 2" xfId="1238" xr:uid="{00000000-0005-0000-0000-0000BE2D0000}"/>
    <cellStyle name="Millares 9 3 2 2 2" xfId="2166" xr:uid="{00000000-0005-0000-0000-0000BF2D0000}"/>
    <cellStyle name="Millares 9 3 2 2 2 2" xfId="4016" xr:uid="{00000000-0005-0000-0000-0000C02D0000}"/>
    <cellStyle name="Millares 9 3 2 2 2 2 2" xfId="7737" xr:uid="{00000000-0005-0000-0000-0000C12D0000}"/>
    <cellStyle name="Millares 9 3 2 2 2 2 2 2" xfId="22621" xr:uid="{00000000-0005-0000-0000-0000C22D0000}"/>
    <cellStyle name="Millares 9 3 2 2 2 2 2 2 2" xfId="45264" xr:uid="{00000000-0005-0000-0000-0000C32D0000}"/>
    <cellStyle name="Millares 9 3 2 2 2 2 2 3" xfId="15181" xr:uid="{00000000-0005-0000-0000-0000C42D0000}"/>
    <cellStyle name="Millares 9 3 2 2 2 2 2 3 2" xfId="37824" xr:uid="{00000000-0005-0000-0000-0000C52D0000}"/>
    <cellStyle name="Millares 9 3 2 2 2 2 2 4" xfId="30383" xr:uid="{00000000-0005-0000-0000-0000C62D0000}"/>
    <cellStyle name="Millares 9 3 2 2 2 2 3" xfId="18903" xr:uid="{00000000-0005-0000-0000-0000C72D0000}"/>
    <cellStyle name="Millares 9 3 2 2 2 2 3 2" xfId="41546" xr:uid="{00000000-0005-0000-0000-0000C82D0000}"/>
    <cellStyle name="Millares 9 3 2 2 2 2 4" xfId="11463" xr:uid="{00000000-0005-0000-0000-0000C92D0000}"/>
    <cellStyle name="Millares 9 3 2 2 2 2 4 2" xfId="34106" xr:uid="{00000000-0005-0000-0000-0000CA2D0000}"/>
    <cellStyle name="Millares 9 3 2 2 2 2 5" xfId="26665" xr:uid="{00000000-0005-0000-0000-0000CB2D0000}"/>
    <cellStyle name="Millares 9 3 2 2 2 3" xfId="5890" xr:uid="{00000000-0005-0000-0000-0000CC2D0000}"/>
    <cellStyle name="Millares 9 3 2 2 2 3 2" xfId="20774" xr:uid="{00000000-0005-0000-0000-0000CD2D0000}"/>
    <cellStyle name="Millares 9 3 2 2 2 3 2 2" xfId="43417" xr:uid="{00000000-0005-0000-0000-0000CE2D0000}"/>
    <cellStyle name="Millares 9 3 2 2 2 3 3" xfId="13334" xr:uid="{00000000-0005-0000-0000-0000CF2D0000}"/>
    <cellStyle name="Millares 9 3 2 2 2 3 3 2" xfId="35977" xr:uid="{00000000-0005-0000-0000-0000D02D0000}"/>
    <cellStyle name="Millares 9 3 2 2 2 3 4" xfId="28536" xr:uid="{00000000-0005-0000-0000-0000D12D0000}"/>
    <cellStyle name="Millares 9 3 2 2 2 4" xfId="17056" xr:uid="{00000000-0005-0000-0000-0000D22D0000}"/>
    <cellStyle name="Millares 9 3 2 2 2 4 2" xfId="39699" xr:uid="{00000000-0005-0000-0000-0000D32D0000}"/>
    <cellStyle name="Millares 9 3 2 2 2 5" xfId="9616" xr:uid="{00000000-0005-0000-0000-0000D42D0000}"/>
    <cellStyle name="Millares 9 3 2 2 2 5 2" xfId="32259" xr:uid="{00000000-0005-0000-0000-0000D52D0000}"/>
    <cellStyle name="Millares 9 3 2 2 2 6" xfId="24818" xr:uid="{00000000-0005-0000-0000-0000D62D0000}"/>
    <cellStyle name="Millares 9 3 2 2 3" xfId="3091" xr:uid="{00000000-0005-0000-0000-0000D72D0000}"/>
    <cellStyle name="Millares 9 3 2 2 3 2" xfId="6812" xr:uid="{00000000-0005-0000-0000-0000D82D0000}"/>
    <cellStyle name="Millares 9 3 2 2 3 2 2" xfId="21696" xr:uid="{00000000-0005-0000-0000-0000D92D0000}"/>
    <cellStyle name="Millares 9 3 2 2 3 2 2 2" xfId="44339" xr:uid="{00000000-0005-0000-0000-0000DA2D0000}"/>
    <cellStyle name="Millares 9 3 2 2 3 2 3" xfId="14256" xr:uid="{00000000-0005-0000-0000-0000DB2D0000}"/>
    <cellStyle name="Millares 9 3 2 2 3 2 3 2" xfId="36899" xr:uid="{00000000-0005-0000-0000-0000DC2D0000}"/>
    <cellStyle name="Millares 9 3 2 2 3 2 4" xfId="29458" xr:uid="{00000000-0005-0000-0000-0000DD2D0000}"/>
    <cellStyle name="Millares 9 3 2 2 3 3" xfId="17978" xr:uid="{00000000-0005-0000-0000-0000DE2D0000}"/>
    <cellStyle name="Millares 9 3 2 2 3 3 2" xfId="40621" xr:uid="{00000000-0005-0000-0000-0000DF2D0000}"/>
    <cellStyle name="Millares 9 3 2 2 3 4" xfId="10538" xr:uid="{00000000-0005-0000-0000-0000E02D0000}"/>
    <cellStyle name="Millares 9 3 2 2 3 4 2" xfId="33181" xr:uid="{00000000-0005-0000-0000-0000E12D0000}"/>
    <cellStyle name="Millares 9 3 2 2 3 5" xfId="25740" xr:uid="{00000000-0005-0000-0000-0000E22D0000}"/>
    <cellStyle name="Millares 9 3 2 2 4" xfId="4965" xr:uid="{00000000-0005-0000-0000-0000E32D0000}"/>
    <cellStyle name="Millares 9 3 2 2 4 2" xfId="19849" xr:uid="{00000000-0005-0000-0000-0000E42D0000}"/>
    <cellStyle name="Millares 9 3 2 2 4 2 2" xfId="42492" xr:uid="{00000000-0005-0000-0000-0000E52D0000}"/>
    <cellStyle name="Millares 9 3 2 2 4 3" xfId="12409" xr:uid="{00000000-0005-0000-0000-0000E62D0000}"/>
    <cellStyle name="Millares 9 3 2 2 4 3 2" xfId="35052" xr:uid="{00000000-0005-0000-0000-0000E72D0000}"/>
    <cellStyle name="Millares 9 3 2 2 4 4" xfId="27611" xr:uid="{00000000-0005-0000-0000-0000E82D0000}"/>
    <cellStyle name="Millares 9 3 2 2 5" xfId="16131" xr:uid="{00000000-0005-0000-0000-0000E92D0000}"/>
    <cellStyle name="Millares 9 3 2 2 5 2" xfId="38774" xr:uid="{00000000-0005-0000-0000-0000EA2D0000}"/>
    <cellStyle name="Millares 9 3 2 2 6" xfId="8691" xr:uid="{00000000-0005-0000-0000-0000EB2D0000}"/>
    <cellStyle name="Millares 9 3 2 2 6 2" xfId="31334" xr:uid="{00000000-0005-0000-0000-0000EC2D0000}"/>
    <cellStyle name="Millares 9 3 2 2 7" xfId="23893" xr:uid="{00000000-0005-0000-0000-0000ED2D0000}"/>
    <cellStyle name="Millares 9 3 2 3" xfId="1704" xr:uid="{00000000-0005-0000-0000-0000EE2D0000}"/>
    <cellStyle name="Millares 9 3 2 3 2" xfId="3554" xr:uid="{00000000-0005-0000-0000-0000EF2D0000}"/>
    <cellStyle name="Millares 9 3 2 3 2 2" xfId="7275" xr:uid="{00000000-0005-0000-0000-0000F02D0000}"/>
    <cellStyle name="Millares 9 3 2 3 2 2 2" xfId="22159" xr:uid="{00000000-0005-0000-0000-0000F12D0000}"/>
    <cellStyle name="Millares 9 3 2 3 2 2 2 2" xfId="44802" xr:uid="{00000000-0005-0000-0000-0000F22D0000}"/>
    <cellStyle name="Millares 9 3 2 3 2 2 3" xfId="14719" xr:uid="{00000000-0005-0000-0000-0000F32D0000}"/>
    <cellStyle name="Millares 9 3 2 3 2 2 3 2" xfId="37362" xr:uid="{00000000-0005-0000-0000-0000F42D0000}"/>
    <cellStyle name="Millares 9 3 2 3 2 2 4" xfId="29921" xr:uid="{00000000-0005-0000-0000-0000F52D0000}"/>
    <cellStyle name="Millares 9 3 2 3 2 3" xfId="18441" xr:uid="{00000000-0005-0000-0000-0000F62D0000}"/>
    <cellStyle name="Millares 9 3 2 3 2 3 2" xfId="41084" xr:uid="{00000000-0005-0000-0000-0000F72D0000}"/>
    <cellStyle name="Millares 9 3 2 3 2 4" xfId="11001" xr:uid="{00000000-0005-0000-0000-0000F82D0000}"/>
    <cellStyle name="Millares 9 3 2 3 2 4 2" xfId="33644" xr:uid="{00000000-0005-0000-0000-0000F92D0000}"/>
    <cellStyle name="Millares 9 3 2 3 2 5" xfId="26203" xr:uid="{00000000-0005-0000-0000-0000FA2D0000}"/>
    <cellStyle name="Millares 9 3 2 3 3" xfId="5428" xr:uid="{00000000-0005-0000-0000-0000FB2D0000}"/>
    <cellStyle name="Millares 9 3 2 3 3 2" xfId="20312" xr:uid="{00000000-0005-0000-0000-0000FC2D0000}"/>
    <cellStyle name="Millares 9 3 2 3 3 2 2" xfId="42955" xr:uid="{00000000-0005-0000-0000-0000FD2D0000}"/>
    <cellStyle name="Millares 9 3 2 3 3 3" xfId="12872" xr:uid="{00000000-0005-0000-0000-0000FE2D0000}"/>
    <cellStyle name="Millares 9 3 2 3 3 3 2" xfId="35515" xr:uid="{00000000-0005-0000-0000-0000FF2D0000}"/>
    <cellStyle name="Millares 9 3 2 3 3 4" xfId="28074" xr:uid="{00000000-0005-0000-0000-0000002E0000}"/>
    <cellStyle name="Millares 9 3 2 3 4" xfId="16594" xr:uid="{00000000-0005-0000-0000-0000012E0000}"/>
    <cellStyle name="Millares 9 3 2 3 4 2" xfId="39237" xr:uid="{00000000-0005-0000-0000-0000022E0000}"/>
    <cellStyle name="Millares 9 3 2 3 5" xfId="9154" xr:uid="{00000000-0005-0000-0000-0000032E0000}"/>
    <cellStyle name="Millares 9 3 2 3 5 2" xfId="31797" xr:uid="{00000000-0005-0000-0000-0000042E0000}"/>
    <cellStyle name="Millares 9 3 2 3 6" xfId="24356" xr:uid="{00000000-0005-0000-0000-0000052E0000}"/>
    <cellStyle name="Millares 9 3 2 4" xfId="2629" xr:uid="{00000000-0005-0000-0000-0000062E0000}"/>
    <cellStyle name="Millares 9 3 2 4 2" xfId="6350" xr:uid="{00000000-0005-0000-0000-0000072E0000}"/>
    <cellStyle name="Millares 9 3 2 4 2 2" xfId="21234" xr:uid="{00000000-0005-0000-0000-0000082E0000}"/>
    <cellStyle name="Millares 9 3 2 4 2 2 2" xfId="43877" xr:uid="{00000000-0005-0000-0000-0000092E0000}"/>
    <cellStyle name="Millares 9 3 2 4 2 3" xfId="13794" xr:uid="{00000000-0005-0000-0000-00000A2E0000}"/>
    <cellStyle name="Millares 9 3 2 4 2 3 2" xfId="36437" xr:uid="{00000000-0005-0000-0000-00000B2E0000}"/>
    <cellStyle name="Millares 9 3 2 4 2 4" xfId="28996" xr:uid="{00000000-0005-0000-0000-00000C2E0000}"/>
    <cellStyle name="Millares 9 3 2 4 3" xfId="17516" xr:uid="{00000000-0005-0000-0000-00000D2E0000}"/>
    <cellStyle name="Millares 9 3 2 4 3 2" xfId="40159" xr:uid="{00000000-0005-0000-0000-00000E2E0000}"/>
    <cellStyle name="Millares 9 3 2 4 4" xfId="10076" xr:uid="{00000000-0005-0000-0000-00000F2E0000}"/>
    <cellStyle name="Millares 9 3 2 4 4 2" xfId="32719" xr:uid="{00000000-0005-0000-0000-0000102E0000}"/>
    <cellStyle name="Millares 9 3 2 4 5" xfId="25278" xr:uid="{00000000-0005-0000-0000-0000112E0000}"/>
    <cellStyle name="Millares 9 3 2 5" xfId="4503" xr:uid="{00000000-0005-0000-0000-0000122E0000}"/>
    <cellStyle name="Millares 9 3 2 5 2" xfId="19387" xr:uid="{00000000-0005-0000-0000-0000132E0000}"/>
    <cellStyle name="Millares 9 3 2 5 2 2" xfId="42030" xr:uid="{00000000-0005-0000-0000-0000142E0000}"/>
    <cellStyle name="Millares 9 3 2 5 3" xfId="11947" xr:uid="{00000000-0005-0000-0000-0000152E0000}"/>
    <cellStyle name="Millares 9 3 2 5 3 2" xfId="34590" xr:uid="{00000000-0005-0000-0000-0000162E0000}"/>
    <cellStyle name="Millares 9 3 2 5 4" xfId="27149" xr:uid="{00000000-0005-0000-0000-0000172E0000}"/>
    <cellStyle name="Millares 9 3 2 6" xfId="15669" xr:uid="{00000000-0005-0000-0000-0000182E0000}"/>
    <cellStyle name="Millares 9 3 2 6 2" xfId="38312" xr:uid="{00000000-0005-0000-0000-0000192E0000}"/>
    <cellStyle name="Millares 9 3 2 7" xfId="8229" xr:uid="{00000000-0005-0000-0000-00001A2E0000}"/>
    <cellStyle name="Millares 9 3 2 7 2" xfId="30872" xr:uid="{00000000-0005-0000-0000-00001B2E0000}"/>
    <cellStyle name="Millares 9 3 2 8" xfId="23431" xr:uid="{00000000-0005-0000-0000-00001C2E0000}"/>
    <cellStyle name="Millares 9 3 3" xfId="1027" xr:uid="{00000000-0005-0000-0000-00001D2E0000}"/>
    <cellStyle name="Millares 9 3 3 2" xfId="1955" xr:uid="{00000000-0005-0000-0000-00001E2E0000}"/>
    <cellStyle name="Millares 9 3 3 2 2" xfId="3805" xr:uid="{00000000-0005-0000-0000-00001F2E0000}"/>
    <cellStyle name="Millares 9 3 3 2 2 2" xfId="7526" xr:uid="{00000000-0005-0000-0000-0000202E0000}"/>
    <cellStyle name="Millares 9 3 3 2 2 2 2" xfId="22410" xr:uid="{00000000-0005-0000-0000-0000212E0000}"/>
    <cellStyle name="Millares 9 3 3 2 2 2 2 2" xfId="45053" xr:uid="{00000000-0005-0000-0000-0000222E0000}"/>
    <cellStyle name="Millares 9 3 3 2 2 2 3" xfId="14970" xr:uid="{00000000-0005-0000-0000-0000232E0000}"/>
    <cellStyle name="Millares 9 3 3 2 2 2 3 2" xfId="37613" xr:uid="{00000000-0005-0000-0000-0000242E0000}"/>
    <cellStyle name="Millares 9 3 3 2 2 2 4" xfId="30172" xr:uid="{00000000-0005-0000-0000-0000252E0000}"/>
    <cellStyle name="Millares 9 3 3 2 2 3" xfId="18692" xr:uid="{00000000-0005-0000-0000-0000262E0000}"/>
    <cellStyle name="Millares 9 3 3 2 2 3 2" xfId="41335" xr:uid="{00000000-0005-0000-0000-0000272E0000}"/>
    <cellStyle name="Millares 9 3 3 2 2 4" xfId="11252" xr:uid="{00000000-0005-0000-0000-0000282E0000}"/>
    <cellStyle name="Millares 9 3 3 2 2 4 2" xfId="33895" xr:uid="{00000000-0005-0000-0000-0000292E0000}"/>
    <cellStyle name="Millares 9 3 3 2 2 5" xfId="26454" xr:uid="{00000000-0005-0000-0000-00002A2E0000}"/>
    <cellStyle name="Millares 9 3 3 2 3" xfId="5679" xr:uid="{00000000-0005-0000-0000-00002B2E0000}"/>
    <cellStyle name="Millares 9 3 3 2 3 2" xfId="20563" xr:uid="{00000000-0005-0000-0000-00002C2E0000}"/>
    <cellStyle name="Millares 9 3 3 2 3 2 2" xfId="43206" xr:uid="{00000000-0005-0000-0000-00002D2E0000}"/>
    <cellStyle name="Millares 9 3 3 2 3 3" xfId="13123" xr:uid="{00000000-0005-0000-0000-00002E2E0000}"/>
    <cellStyle name="Millares 9 3 3 2 3 3 2" xfId="35766" xr:uid="{00000000-0005-0000-0000-00002F2E0000}"/>
    <cellStyle name="Millares 9 3 3 2 3 4" xfId="28325" xr:uid="{00000000-0005-0000-0000-0000302E0000}"/>
    <cellStyle name="Millares 9 3 3 2 4" xfId="16845" xr:uid="{00000000-0005-0000-0000-0000312E0000}"/>
    <cellStyle name="Millares 9 3 3 2 4 2" xfId="39488" xr:uid="{00000000-0005-0000-0000-0000322E0000}"/>
    <cellStyle name="Millares 9 3 3 2 5" xfId="9405" xr:uid="{00000000-0005-0000-0000-0000332E0000}"/>
    <cellStyle name="Millares 9 3 3 2 5 2" xfId="32048" xr:uid="{00000000-0005-0000-0000-0000342E0000}"/>
    <cellStyle name="Millares 9 3 3 2 6" xfId="24607" xr:uid="{00000000-0005-0000-0000-0000352E0000}"/>
    <cellStyle name="Millares 9 3 3 3" xfId="2880" xr:uid="{00000000-0005-0000-0000-0000362E0000}"/>
    <cellStyle name="Millares 9 3 3 3 2" xfId="6601" xr:uid="{00000000-0005-0000-0000-0000372E0000}"/>
    <cellStyle name="Millares 9 3 3 3 2 2" xfId="21485" xr:uid="{00000000-0005-0000-0000-0000382E0000}"/>
    <cellStyle name="Millares 9 3 3 3 2 2 2" xfId="44128" xr:uid="{00000000-0005-0000-0000-0000392E0000}"/>
    <cellStyle name="Millares 9 3 3 3 2 3" xfId="14045" xr:uid="{00000000-0005-0000-0000-00003A2E0000}"/>
    <cellStyle name="Millares 9 3 3 3 2 3 2" xfId="36688" xr:uid="{00000000-0005-0000-0000-00003B2E0000}"/>
    <cellStyle name="Millares 9 3 3 3 2 4" xfId="29247" xr:uid="{00000000-0005-0000-0000-00003C2E0000}"/>
    <cellStyle name="Millares 9 3 3 3 3" xfId="17767" xr:uid="{00000000-0005-0000-0000-00003D2E0000}"/>
    <cellStyle name="Millares 9 3 3 3 3 2" xfId="40410" xr:uid="{00000000-0005-0000-0000-00003E2E0000}"/>
    <cellStyle name="Millares 9 3 3 3 4" xfId="10327" xr:uid="{00000000-0005-0000-0000-00003F2E0000}"/>
    <cellStyle name="Millares 9 3 3 3 4 2" xfId="32970" xr:uid="{00000000-0005-0000-0000-0000402E0000}"/>
    <cellStyle name="Millares 9 3 3 3 5" xfId="25529" xr:uid="{00000000-0005-0000-0000-0000412E0000}"/>
    <cellStyle name="Millares 9 3 3 4" xfId="4754" xr:uid="{00000000-0005-0000-0000-0000422E0000}"/>
    <cellStyle name="Millares 9 3 3 4 2" xfId="19638" xr:uid="{00000000-0005-0000-0000-0000432E0000}"/>
    <cellStyle name="Millares 9 3 3 4 2 2" xfId="42281" xr:uid="{00000000-0005-0000-0000-0000442E0000}"/>
    <cellStyle name="Millares 9 3 3 4 3" xfId="12198" xr:uid="{00000000-0005-0000-0000-0000452E0000}"/>
    <cellStyle name="Millares 9 3 3 4 3 2" xfId="34841" xr:uid="{00000000-0005-0000-0000-0000462E0000}"/>
    <cellStyle name="Millares 9 3 3 4 4" xfId="27400" xr:uid="{00000000-0005-0000-0000-0000472E0000}"/>
    <cellStyle name="Millares 9 3 3 5" xfId="15920" xr:uid="{00000000-0005-0000-0000-0000482E0000}"/>
    <cellStyle name="Millares 9 3 3 5 2" xfId="38563" xr:uid="{00000000-0005-0000-0000-0000492E0000}"/>
    <cellStyle name="Millares 9 3 3 6" xfId="8480" xr:uid="{00000000-0005-0000-0000-00004A2E0000}"/>
    <cellStyle name="Millares 9 3 3 6 2" xfId="31123" xr:uid="{00000000-0005-0000-0000-00004B2E0000}"/>
    <cellStyle name="Millares 9 3 3 7" xfId="23682" xr:uid="{00000000-0005-0000-0000-00004C2E0000}"/>
    <cellStyle name="Millares 9 3 4" xfId="1493" xr:uid="{00000000-0005-0000-0000-00004D2E0000}"/>
    <cellStyle name="Millares 9 3 4 2" xfId="3343" xr:uid="{00000000-0005-0000-0000-00004E2E0000}"/>
    <cellStyle name="Millares 9 3 4 2 2" xfId="7064" xr:uid="{00000000-0005-0000-0000-00004F2E0000}"/>
    <cellStyle name="Millares 9 3 4 2 2 2" xfId="21948" xr:uid="{00000000-0005-0000-0000-0000502E0000}"/>
    <cellStyle name="Millares 9 3 4 2 2 2 2" xfId="44591" xr:uid="{00000000-0005-0000-0000-0000512E0000}"/>
    <cellStyle name="Millares 9 3 4 2 2 3" xfId="14508" xr:uid="{00000000-0005-0000-0000-0000522E0000}"/>
    <cellStyle name="Millares 9 3 4 2 2 3 2" xfId="37151" xr:uid="{00000000-0005-0000-0000-0000532E0000}"/>
    <cellStyle name="Millares 9 3 4 2 2 4" xfId="29710" xr:uid="{00000000-0005-0000-0000-0000542E0000}"/>
    <cellStyle name="Millares 9 3 4 2 3" xfId="18230" xr:uid="{00000000-0005-0000-0000-0000552E0000}"/>
    <cellStyle name="Millares 9 3 4 2 3 2" xfId="40873" xr:uid="{00000000-0005-0000-0000-0000562E0000}"/>
    <cellStyle name="Millares 9 3 4 2 4" xfId="10790" xr:uid="{00000000-0005-0000-0000-0000572E0000}"/>
    <cellStyle name="Millares 9 3 4 2 4 2" xfId="33433" xr:uid="{00000000-0005-0000-0000-0000582E0000}"/>
    <cellStyle name="Millares 9 3 4 2 5" xfId="25992" xr:uid="{00000000-0005-0000-0000-0000592E0000}"/>
    <cellStyle name="Millares 9 3 4 3" xfId="5217" xr:uid="{00000000-0005-0000-0000-00005A2E0000}"/>
    <cellStyle name="Millares 9 3 4 3 2" xfId="20101" xr:uid="{00000000-0005-0000-0000-00005B2E0000}"/>
    <cellStyle name="Millares 9 3 4 3 2 2" xfId="42744" xr:uid="{00000000-0005-0000-0000-00005C2E0000}"/>
    <cellStyle name="Millares 9 3 4 3 3" xfId="12661" xr:uid="{00000000-0005-0000-0000-00005D2E0000}"/>
    <cellStyle name="Millares 9 3 4 3 3 2" xfId="35304" xr:uid="{00000000-0005-0000-0000-00005E2E0000}"/>
    <cellStyle name="Millares 9 3 4 3 4" xfId="27863" xr:uid="{00000000-0005-0000-0000-00005F2E0000}"/>
    <cellStyle name="Millares 9 3 4 4" xfId="16383" xr:uid="{00000000-0005-0000-0000-0000602E0000}"/>
    <cellStyle name="Millares 9 3 4 4 2" xfId="39026" xr:uid="{00000000-0005-0000-0000-0000612E0000}"/>
    <cellStyle name="Millares 9 3 4 5" xfId="8943" xr:uid="{00000000-0005-0000-0000-0000622E0000}"/>
    <cellStyle name="Millares 9 3 4 5 2" xfId="31586" xr:uid="{00000000-0005-0000-0000-0000632E0000}"/>
    <cellStyle name="Millares 9 3 4 6" xfId="24145" xr:uid="{00000000-0005-0000-0000-0000642E0000}"/>
    <cellStyle name="Millares 9 3 5" xfId="2418" xr:uid="{00000000-0005-0000-0000-0000652E0000}"/>
    <cellStyle name="Millares 9 3 5 2" xfId="6139" xr:uid="{00000000-0005-0000-0000-0000662E0000}"/>
    <cellStyle name="Millares 9 3 5 2 2" xfId="21023" xr:uid="{00000000-0005-0000-0000-0000672E0000}"/>
    <cellStyle name="Millares 9 3 5 2 2 2" xfId="43666" xr:uid="{00000000-0005-0000-0000-0000682E0000}"/>
    <cellStyle name="Millares 9 3 5 2 3" xfId="13583" xr:uid="{00000000-0005-0000-0000-0000692E0000}"/>
    <cellStyle name="Millares 9 3 5 2 3 2" xfId="36226" xr:uid="{00000000-0005-0000-0000-00006A2E0000}"/>
    <cellStyle name="Millares 9 3 5 2 4" xfId="28785" xr:uid="{00000000-0005-0000-0000-00006B2E0000}"/>
    <cellStyle name="Millares 9 3 5 3" xfId="17305" xr:uid="{00000000-0005-0000-0000-00006C2E0000}"/>
    <cellStyle name="Millares 9 3 5 3 2" xfId="39948" xr:uid="{00000000-0005-0000-0000-00006D2E0000}"/>
    <cellStyle name="Millares 9 3 5 4" xfId="9865" xr:uid="{00000000-0005-0000-0000-00006E2E0000}"/>
    <cellStyle name="Millares 9 3 5 4 2" xfId="32508" xr:uid="{00000000-0005-0000-0000-00006F2E0000}"/>
    <cellStyle name="Millares 9 3 5 5" xfId="25067" xr:uid="{00000000-0005-0000-0000-0000702E0000}"/>
    <cellStyle name="Millares 9 3 6" xfId="4292" xr:uid="{00000000-0005-0000-0000-0000712E0000}"/>
    <cellStyle name="Millares 9 3 6 2" xfId="19176" xr:uid="{00000000-0005-0000-0000-0000722E0000}"/>
    <cellStyle name="Millares 9 3 6 2 2" xfId="41819" xr:uid="{00000000-0005-0000-0000-0000732E0000}"/>
    <cellStyle name="Millares 9 3 6 3" xfId="11736" xr:uid="{00000000-0005-0000-0000-0000742E0000}"/>
    <cellStyle name="Millares 9 3 6 3 2" xfId="34379" xr:uid="{00000000-0005-0000-0000-0000752E0000}"/>
    <cellStyle name="Millares 9 3 6 4" xfId="26938" xr:uid="{00000000-0005-0000-0000-0000762E0000}"/>
    <cellStyle name="Millares 9 3 7" xfId="15458" xr:uid="{00000000-0005-0000-0000-0000772E0000}"/>
    <cellStyle name="Millares 9 3 7 2" xfId="38101" xr:uid="{00000000-0005-0000-0000-0000782E0000}"/>
    <cellStyle name="Millares 9 3 8" xfId="8018" xr:uid="{00000000-0005-0000-0000-0000792E0000}"/>
    <cellStyle name="Millares 9 3 8 2" xfId="30661" xr:uid="{00000000-0005-0000-0000-00007A2E0000}"/>
    <cellStyle name="Millares 9 3 9" xfId="23221" xr:uid="{00000000-0005-0000-0000-00007B2E0000}"/>
    <cellStyle name="Millares 9 4" xfId="668" xr:uid="{00000000-0005-0000-0000-00007C2E0000}"/>
    <cellStyle name="Millares 9 4 2" xfId="1133" xr:uid="{00000000-0005-0000-0000-00007D2E0000}"/>
    <cellStyle name="Millares 9 4 2 2" xfId="2061" xr:uid="{00000000-0005-0000-0000-00007E2E0000}"/>
    <cellStyle name="Millares 9 4 2 2 2" xfId="3911" xr:uid="{00000000-0005-0000-0000-00007F2E0000}"/>
    <cellStyle name="Millares 9 4 2 2 2 2" xfId="7632" xr:uid="{00000000-0005-0000-0000-0000802E0000}"/>
    <cellStyle name="Millares 9 4 2 2 2 2 2" xfId="22516" xr:uid="{00000000-0005-0000-0000-0000812E0000}"/>
    <cellStyle name="Millares 9 4 2 2 2 2 2 2" xfId="45159" xr:uid="{00000000-0005-0000-0000-0000822E0000}"/>
    <cellStyle name="Millares 9 4 2 2 2 2 3" xfId="15076" xr:uid="{00000000-0005-0000-0000-0000832E0000}"/>
    <cellStyle name="Millares 9 4 2 2 2 2 3 2" xfId="37719" xr:uid="{00000000-0005-0000-0000-0000842E0000}"/>
    <cellStyle name="Millares 9 4 2 2 2 2 4" xfId="30278" xr:uid="{00000000-0005-0000-0000-0000852E0000}"/>
    <cellStyle name="Millares 9 4 2 2 2 3" xfId="18798" xr:uid="{00000000-0005-0000-0000-0000862E0000}"/>
    <cellStyle name="Millares 9 4 2 2 2 3 2" xfId="41441" xr:uid="{00000000-0005-0000-0000-0000872E0000}"/>
    <cellStyle name="Millares 9 4 2 2 2 4" xfId="11358" xr:uid="{00000000-0005-0000-0000-0000882E0000}"/>
    <cellStyle name="Millares 9 4 2 2 2 4 2" xfId="34001" xr:uid="{00000000-0005-0000-0000-0000892E0000}"/>
    <cellStyle name="Millares 9 4 2 2 2 5" xfId="26560" xr:uid="{00000000-0005-0000-0000-00008A2E0000}"/>
    <cellStyle name="Millares 9 4 2 2 3" xfId="5785" xr:uid="{00000000-0005-0000-0000-00008B2E0000}"/>
    <cellStyle name="Millares 9 4 2 2 3 2" xfId="20669" xr:uid="{00000000-0005-0000-0000-00008C2E0000}"/>
    <cellStyle name="Millares 9 4 2 2 3 2 2" xfId="43312" xr:uid="{00000000-0005-0000-0000-00008D2E0000}"/>
    <cellStyle name="Millares 9 4 2 2 3 3" xfId="13229" xr:uid="{00000000-0005-0000-0000-00008E2E0000}"/>
    <cellStyle name="Millares 9 4 2 2 3 3 2" xfId="35872" xr:uid="{00000000-0005-0000-0000-00008F2E0000}"/>
    <cellStyle name="Millares 9 4 2 2 3 4" xfId="28431" xr:uid="{00000000-0005-0000-0000-0000902E0000}"/>
    <cellStyle name="Millares 9 4 2 2 4" xfId="16951" xr:uid="{00000000-0005-0000-0000-0000912E0000}"/>
    <cellStyle name="Millares 9 4 2 2 4 2" xfId="39594" xr:uid="{00000000-0005-0000-0000-0000922E0000}"/>
    <cellStyle name="Millares 9 4 2 2 5" xfId="9511" xr:uid="{00000000-0005-0000-0000-0000932E0000}"/>
    <cellStyle name="Millares 9 4 2 2 5 2" xfId="32154" xr:uid="{00000000-0005-0000-0000-0000942E0000}"/>
    <cellStyle name="Millares 9 4 2 2 6" xfId="24713" xr:uid="{00000000-0005-0000-0000-0000952E0000}"/>
    <cellStyle name="Millares 9 4 2 3" xfId="2986" xr:uid="{00000000-0005-0000-0000-0000962E0000}"/>
    <cellStyle name="Millares 9 4 2 3 2" xfId="6707" xr:uid="{00000000-0005-0000-0000-0000972E0000}"/>
    <cellStyle name="Millares 9 4 2 3 2 2" xfId="21591" xr:uid="{00000000-0005-0000-0000-0000982E0000}"/>
    <cellStyle name="Millares 9 4 2 3 2 2 2" xfId="44234" xr:uid="{00000000-0005-0000-0000-0000992E0000}"/>
    <cellStyle name="Millares 9 4 2 3 2 3" xfId="14151" xr:uid="{00000000-0005-0000-0000-00009A2E0000}"/>
    <cellStyle name="Millares 9 4 2 3 2 3 2" xfId="36794" xr:uid="{00000000-0005-0000-0000-00009B2E0000}"/>
    <cellStyle name="Millares 9 4 2 3 2 4" xfId="29353" xr:uid="{00000000-0005-0000-0000-00009C2E0000}"/>
    <cellStyle name="Millares 9 4 2 3 3" xfId="17873" xr:uid="{00000000-0005-0000-0000-00009D2E0000}"/>
    <cellStyle name="Millares 9 4 2 3 3 2" xfId="40516" xr:uid="{00000000-0005-0000-0000-00009E2E0000}"/>
    <cellStyle name="Millares 9 4 2 3 4" xfId="10433" xr:uid="{00000000-0005-0000-0000-00009F2E0000}"/>
    <cellStyle name="Millares 9 4 2 3 4 2" xfId="33076" xr:uid="{00000000-0005-0000-0000-0000A02E0000}"/>
    <cellStyle name="Millares 9 4 2 3 5" xfId="25635" xr:uid="{00000000-0005-0000-0000-0000A12E0000}"/>
    <cellStyle name="Millares 9 4 2 4" xfId="4860" xr:uid="{00000000-0005-0000-0000-0000A22E0000}"/>
    <cellStyle name="Millares 9 4 2 4 2" xfId="19744" xr:uid="{00000000-0005-0000-0000-0000A32E0000}"/>
    <cellStyle name="Millares 9 4 2 4 2 2" xfId="42387" xr:uid="{00000000-0005-0000-0000-0000A42E0000}"/>
    <cellStyle name="Millares 9 4 2 4 3" xfId="12304" xr:uid="{00000000-0005-0000-0000-0000A52E0000}"/>
    <cellStyle name="Millares 9 4 2 4 3 2" xfId="34947" xr:uid="{00000000-0005-0000-0000-0000A62E0000}"/>
    <cellStyle name="Millares 9 4 2 4 4" xfId="27506" xr:uid="{00000000-0005-0000-0000-0000A72E0000}"/>
    <cellStyle name="Millares 9 4 2 5" xfId="16026" xr:uid="{00000000-0005-0000-0000-0000A82E0000}"/>
    <cellStyle name="Millares 9 4 2 5 2" xfId="38669" xr:uid="{00000000-0005-0000-0000-0000A92E0000}"/>
    <cellStyle name="Millares 9 4 2 6" xfId="8586" xr:uid="{00000000-0005-0000-0000-0000AA2E0000}"/>
    <cellStyle name="Millares 9 4 2 6 2" xfId="31229" xr:uid="{00000000-0005-0000-0000-0000AB2E0000}"/>
    <cellStyle name="Millares 9 4 2 7" xfId="23788" xr:uid="{00000000-0005-0000-0000-0000AC2E0000}"/>
    <cellStyle name="Millares 9 4 3" xfId="1599" xr:uid="{00000000-0005-0000-0000-0000AD2E0000}"/>
    <cellStyle name="Millares 9 4 3 2" xfId="3449" xr:uid="{00000000-0005-0000-0000-0000AE2E0000}"/>
    <cellStyle name="Millares 9 4 3 2 2" xfId="7170" xr:uid="{00000000-0005-0000-0000-0000AF2E0000}"/>
    <cellStyle name="Millares 9 4 3 2 2 2" xfId="22054" xr:uid="{00000000-0005-0000-0000-0000B02E0000}"/>
    <cellStyle name="Millares 9 4 3 2 2 2 2" xfId="44697" xr:uid="{00000000-0005-0000-0000-0000B12E0000}"/>
    <cellStyle name="Millares 9 4 3 2 2 3" xfId="14614" xr:uid="{00000000-0005-0000-0000-0000B22E0000}"/>
    <cellStyle name="Millares 9 4 3 2 2 3 2" xfId="37257" xr:uid="{00000000-0005-0000-0000-0000B32E0000}"/>
    <cellStyle name="Millares 9 4 3 2 2 4" xfId="29816" xr:uid="{00000000-0005-0000-0000-0000B42E0000}"/>
    <cellStyle name="Millares 9 4 3 2 3" xfId="18336" xr:uid="{00000000-0005-0000-0000-0000B52E0000}"/>
    <cellStyle name="Millares 9 4 3 2 3 2" xfId="40979" xr:uid="{00000000-0005-0000-0000-0000B62E0000}"/>
    <cellStyle name="Millares 9 4 3 2 4" xfId="10896" xr:uid="{00000000-0005-0000-0000-0000B72E0000}"/>
    <cellStyle name="Millares 9 4 3 2 4 2" xfId="33539" xr:uid="{00000000-0005-0000-0000-0000B82E0000}"/>
    <cellStyle name="Millares 9 4 3 2 5" xfId="26098" xr:uid="{00000000-0005-0000-0000-0000B92E0000}"/>
    <cellStyle name="Millares 9 4 3 3" xfId="5323" xr:uid="{00000000-0005-0000-0000-0000BA2E0000}"/>
    <cellStyle name="Millares 9 4 3 3 2" xfId="20207" xr:uid="{00000000-0005-0000-0000-0000BB2E0000}"/>
    <cellStyle name="Millares 9 4 3 3 2 2" xfId="42850" xr:uid="{00000000-0005-0000-0000-0000BC2E0000}"/>
    <cellStyle name="Millares 9 4 3 3 3" xfId="12767" xr:uid="{00000000-0005-0000-0000-0000BD2E0000}"/>
    <cellStyle name="Millares 9 4 3 3 3 2" xfId="35410" xr:uid="{00000000-0005-0000-0000-0000BE2E0000}"/>
    <cellStyle name="Millares 9 4 3 3 4" xfId="27969" xr:uid="{00000000-0005-0000-0000-0000BF2E0000}"/>
    <cellStyle name="Millares 9 4 3 4" xfId="16489" xr:uid="{00000000-0005-0000-0000-0000C02E0000}"/>
    <cellStyle name="Millares 9 4 3 4 2" xfId="39132" xr:uid="{00000000-0005-0000-0000-0000C12E0000}"/>
    <cellStyle name="Millares 9 4 3 5" xfId="9049" xr:uid="{00000000-0005-0000-0000-0000C22E0000}"/>
    <cellStyle name="Millares 9 4 3 5 2" xfId="31692" xr:uid="{00000000-0005-0000-0000-0000C32E0000}"/>
    <cellStyle name="Millares 9 4 3 6" xfId="24251" xr:uid="{00000000-0005-0000-0000-0000C42E0000}"/>
    <cellStyle name="Millares 9 4 4" xfId="2524" xr:uid="{00000000-0005-0000-0000-0000C52E0000}"/>
    <cellStyle name="Millares 9 4 4 2" xfId="6245" xr:uid="{00000000-0005-0000-0000-0000C62E0000}"/>
    <cellStyle name="Millares 9 4 4 2 2" xfId="21129" xr:uid="{00000000-0005-0000-0000-0000C72E0000}"/>
    <cellStyle name="Millares 9 4 4 2 2 2" xfId="43772" xr:uid="{00000000-0005-0000-0000-0000C82E0000}"/>
    <cellStyle name="Millares 9 4 4 2 3" xfId="13689" xr:uid="{00000000-0005-0000-0000-0000C92E0000}"/>
    <cellStyle name="Millares 9 4 4 2 3 2" xfId="36332" xr:uid="{00000000-0005-0000-0000-0000CA2E0000}"/>
    <cellStyle name="Millares 9 4 4 2 4" xfId="28891" xr:uid="{00000000-0005-0000-0000-0000CB2E0000}"/>
    <cellStyle name="Millares 9 4 4 3" xfId="17411" xr:uid="{00000000-0005-0000-0000-0000CC2E0000}"/>
    <cellStyle name="Millares 9 4 4 3 2" xfId="40054" xr:uid="{00000000-0005-0000-0000-0000CD2E0000}"/>
    <cellStyle name="Millares 9 4 4 4" xfId="9971" xr:uid="{00000000-0005-0000-0000-0000CE2E0000}"/>
    <cellStyle name="Millares 9 4 4 4 2" xfId="32614" xr:uid="{00000000-0005-0000-0000-0000CF2E0000}"/>
    <cellStyle name="Millares 9 4 4 5" xfId="25173" xr:uid="{00000000-0005-0000-0000-0000D02E0000}"/>
    <cellStyle name="Millares 9 4 5" xfId="4398" xr:uid="{00000000-0005-0000-0000-0000D12E0000}"/>
    <cellStyle name="Millares 9 4 5 2" xfId="19282" xr:uid="{00000000-0005-0000-0000-0000D22E0000}"/>
    <cellStyle name="Millares 9 4 5 2 2" xfId="41925" xr:uid="{00000000-0005-0000-0000-0000D32E0000}"/>
    <cellStyle name="Millares 9 4 5 3" xfId="11842" xr:uid="{00000000-0005-0000-0000-0000D42E0000}"/>
    <cellStyle name="Millares 9 4 5 3 2" xfId="34485" xr:uid="{00000000-0005-0000-0000-0000D52E0000}"/>
    <cellStyle name="Millares 9 4 5 4" xfId="27044" xr:uid="{00000000-0005-0000-0000-0000D62E0000}"/>
    <cellStyle name="Millares 9 4 6" xfId="15564" xr:uid="{00000000-0005-0000-0000-0000D72E0000}"/>
    <cellStyle name="Millares 9 4 6 2" xfId="38207" xr:uid="{00000000-0005-0000-0000-0000D82E0000}"/>
    <cellStyle name="Millares 9 4 7" xfId="8124" xr:uid="{00000000-0005-0000-0000-0000D92E0000}"/>
    <cellStyle name="Millares 9 4 7 2" xfId="30767" xr:uid="{00000000-0005-0000-0000-0000DA2E0000}"/>
    <cellStyle name="Millares 9 4 8" xfId="23326" xr:uid="{00000000-0005-0000-0000-0000DB2E0000}"/>
    <cellStyle name="Millares 9 5" xfId="922" xr:uid="{00000000-0005-0000-0000-0000DC2E0000}"/>
    <cellStyle name="Millares 9 5 2" xfId="1850" xr:uid="{00000000-0005-0000-0000-0000DD2E0000}"/>
    <cellStyle name="Millares 9 5 2 2" xfId="3700" xr:uid="{00000000-0005-0000-0000-0000DE2E0000}"/>
    <cellStyle name="Millares 9 5 2 2 2" xfId="7421" xr:uid="{00000000-0005-0000-0000-0000DF2E0000}"/>
    <cellStyle name="Millares 9 5 2 2 2 2" xfId="22305" xr:uid="{00000000-0005-0000-0000-0000E02E0000}"/>
    <cellStyle name="Millares 9 5 2 2 2 2 2" xfId="44948" xr:uid="{00000000-0005-0000-0000-0000E12E0000}"/>
    <cellStyle name="Millares 9 5 2 2 2 3" xfId="14865" xr:uid="{00000000-0005-0000-0000-0000E22E0000}"/>
    <cellStyle name="Millares 9 5 2 2 2 3 2" xfId="37508" xr:uid="{00000000-0005-0000-0000-0000E32E0000}"/>
    <cellStyle name="Millares 9 5 2 2 2 4" xfId="30067" xr:uid="{00000000-0005-0000-0000-0000E42E0000}"/>
    <cellStyle name="Millares 9 5 2 2 3" xfId="18587" xr:uid="{00000000-0005-0000-0000-0000E52E0000}"/>
    <cellStyle name="Millares 9 5 2 2 3 2" xfId="41230" xr:uid="{00000000-0005-0000-0000-0000E62E0000}"/>
    <cellStyle name="Millares 9 5 2 2 4" xfId="11147" xr:uid="{00000000-0005-0000-0000-0000E72E0000}"/>
    <cellStyle name="Millares 9 5 2 2 4 2" xfId="33790" xr:uid="{00000000-0005-0000-0000-0000E82E0000}"/>
    <cellStyle name="Millares 9 5 2 2 5" xfId="26349" xr:uid="{00000000-0005-0000-0000-0000E92E0000}"/>
    <cellStyle name="Millares 9 5 2 3" xfId="5574" xr:uid="{00000000-0005-0000-0000-0000EA2E0000}"/>
    <cellStyle name="Millares 9 5 2 3 2" xfId="20458" xr:uid="{00000000-0005-0000-0000-0000EB2E0000}"/>
    <cellStyle name="Millares 9 5 2 3 2 2" xfId="43101" xr:uid="{00000000-0005-0000-0000-0000EC2E0000}"/>
    <cellStyle name="Millares 9 5 2 3 3" xfId="13018" xr:uid="{00000000-0005-0000-0000-0000ED2E0000}"/>
    <cellStyle name="Millares 9 5 2 3 3 2" xfId="35661" xr:uid="{00000000-0005-0000-0000-0000EE2E0000}"/>
    <cellStyle name="Millares 9 5 2 3 4" xfId="28220" xr:uid="{00000000-0005-0000-0000-0000EF2E0000}"/>
    <cellStyle name="Millares 9 5 2 4" xfId="16740" xr:uid="{00000000-0005-0000-0000-0000F02E0000}"/>
    <cellStyle name="Millares 9 5 2 4 2" xfId="39383" xr:uid="{00000000-0005-0000-0000-0000F12E0000}"/>
    <cellStyle name="Millares 9 5 2 5" xfId="9300" xr:uid="{00000000-0005-0000-0000-0000F22E0000}"/>
    <cellStyle name="Millares 9 5 2 5 2" xfId="31943" xr:uid="{00000000-0005-0000-0000-0000F32E0000}"/>
    <cellStyle name="Millares 9 5 2 6" xfId="24502" xr:uid="{00000000-0005-0000-0000-0000F42E0000}"/>
    <cellStyle name="Millares 9 5 3" xfId="2775" xr:uid="{00000000-0005-0000-0000-0000F52E0000}"/>
    <cellStyle name="Millares 9 5 3 2" xfId="6496" xr:uid="{00000000-0005-0000-0000-0000F62E0000}"/>
    <cellStyle name="Millares 9 5 3 2 2" xfId="21380" xr:uid="{00000000-0005-0000-0000-0000F72E0000}"/>
    <cellStyle name="Millares 9 5 3 2 2 2" xfId="44023" xr:uid="{00000000-0005-0000-0000-0000F82E0000}"/>
    <cellStyle name="Millares 9 5 3 2 3" xfId="13940" xr:uid="{00000000-0005-0000-0000-0000F92E0000}"/>
    <cellStyle name="Millares 9 5 3 2 3 2" xfId="36583" xr:uid="{00000000-0005-0000-0000-0000FA2E0000}"/>
    <cellStyle name="Millares 9 5 3 2 4" xfId="29142" xr:uid="{00000000-0005-0000-0000-0000FB2E0000}"/>
    <cellStyle name="Millares 9 5 3 3" xfId="17662" xr:uid="{00000000-0005-0000-0000-0000FC2E0000}"/>
    <cellStyle name="Millares 9 5 3 3 2" xfId="40305" xr:uid="{00000000-0005-0000-0000-0000FD2E0000}"/>
    <cellStyle name="Millares 9 5 3 4" xfId="10222" xr:uid="{00000000-0005-0000-0000-0000FE2E0000}"/>
    <cellStyle name="Millares 9 5 3 4 2" xfId="32865" xr:uid="{00000000-0005-0000-0000-0000FF2E0000}"/>
    <cellStyle name="Millares 9 5 3 5" xfId="25424" xr:uid="{00000000-0005-0000-0000-0000002F0000}"/>
    <cellStyle name="Millares 9 5 4" xfId="4649" xr:uid="{00000000-0005-0000-0000-0000012F0000}"/>
    <cellStyle name="Millares 9 5 4 2" xfId="19533" xr:uid="{00000000-0005-0000-0000-0000022F0000}"/>
    <cellStyle name="Millares 9 5 4 2 2" xfId="42176" xr:uid="{00000000-0005-0000-0000-0000032F0000}"/>
    <cellStyle name="Millares 9 5 4 3" xfId="12093" xr:uid="{00000000-0005-0000-0000-0000042F0000}"/>
    <cellStyle name="Millares 9 5 4 3 2" xfId="34736" xr:uid="{00000000-0005-0000-0000-0000052F0000}"/>
    <cellStyle name="Millares 9 5 4 4" xfId="27295" xr:uid="{00000000-0005-0000-0000-0000062F0000}"/>
    <cellStyle name="Millares 9 5 5" xfId="15815" xr:uid="{00000000-0005-0000-0000-0000072F0000}"/>
    <cellStyle name="Millares 9 5 5 2" xfId="38458" xr:uid="{00000000-0005-0000-0000-0000082F0000}"/>
    <cellStyle name="Millares 9 5 6" xfId="8375" xr:uid="{00000000-0005-0000-0000-0000092F0000}"/>
    <cellStyle name="Millares 9 5 6 2" xfId="31018" xr:uid="{00000000-0005-0000-0000-00000A2F0000}"/>
    <cellStyle name="Millares 9 5 7" xfId="23577" xr:uid="{00000000-0005-0000-0000-00000B2F0000}"/>
    <cellStyle name="Millares 9 6" xfId="1388" xr:uid="{00000000-0005-0000-0000-00000C2F0000}"/>
    <cellStyle name="Millares 9 6 2" xfId="3238" xr:uid="{00000000-0005-0000-0000-00000D2F0000}"/>
    <cellStyle name="Millares 9 6 2 2" xfId="6959" xr:uid="{00000000-0005-0000-0000-00000E2F0000}"/>
    <cellStyle name="Millares 9 6 2 2 2" xfId="21843" xr:uid="{00000000-0005-0000-0000-00000F2F0000}"/>
    <cellStyle name="Millares 9 6 2 2 2 2" xfId="44486" xr:uid="{00000000-0005-0000-0000-0000102F0000}"/>
    <cellStyle name="Millares 9 6 2 2 3" xfId="14403" xr:uid="{00000000-0005-0000-0000-0000112F0000}"/>
    <cellStyle name="Millares 9 6 2 2 3 2" xfId="37046" xr:uid="{00000000-0005-0000-0000-0000122F0000}"/>
    <cellStyle name="Millares 9 6 2 2 4" xfId="29605" xr:uid="{00000000-0005-0000-0000-0000132F0000}"/>
    <cellStyle name="Millares 9 6 2 3" xfId="18125" xr:uid="{00000000-0005-0000-0000-0000142F0000}"/>
    <cellStyle name="Millares 9 6 2 3 2" xfId="40768" xr:uid="{00000000-0005-0000-0000-0000152F0000}"/>
    <cellStyle name="Millares 9 6 2 4" xfId="10685" xr:uid="{00000000-0005-0000-0000-0000162F0000}"/>
    <cellStyle name="Millares 9 6 2 4 2" xfId="33328" xr:uid="{00000000-0005-0000-0000-0000172F0000}"/>
    <cellStyle name="Millares 9 6 2 5" xfId="25887" xr:uid="{00000000-0005-0000-0000-0000182F0000}"/>
    <cellStyle name="Millares 9 6 3" xfId="5112" xr:uid="{00000000-0005-0000-0000-0000192F0000}"/>
    <cellStyle name="Millares 9 6 3 2" xfId="19996" xr:uid="{00000000-0005-0000-0000-00001A2F0000}"/>
    <cellStyle name="Millares 9 6 3 2 2" xfId="42639" xr:uid="{00000000-0005-0000-0000-00001B2F0000}"/>
    <cellStyle name="Millares 9 6 3 3" xfId="12556" xr:uid="{00000000-0005-0000-0000-00001C2F0000}"/>
    <cellStyle name="Millares 9 6 3 3 2" xfId="35199" xr:uid="{00000000-0005-0000-0000-00001D2F0000}"/>
    <cellStyle name="Millares 9 6 3 4" xfId="27758" xr:uid="{00000000-0005-0000-0000-00001E2F0000}"/>
    <cellStyle name="Millares 9 6 4" xfId="16278" xr:uid="{00000000-0005-0000-0000-00001F2F0000}"/>
    <cellStyle name="Millares 9 6 4 2" xfId="38921" xr:uid="{00000000-0005-0000-0000-0000202F0000}"/>
    <cellStyle name="Millares 9 6 5" xfId="8838" xr:uid="{00000000-0005-0000-0000-0000212F0000}"/>
    <cellStyle name="Millares 9 6 5 2" xfId="31481" xr:uid="{00000000-0005-0000-0000-0000222F0000}"/>
    <cellStyle name="Millares 9 6 6" xfId="24040" xr:uid="{00000000-0005-0000-0000-0000232F0000}"/>
    <cellStyle name="Millares 9 7" xfId="2313" xr:uid="{00000000-0005-0000-0000-0000242F0000}"/>
    <cellStyle name="Millares 9 7 2" xfId="6034" xr:uid="{00000000-0005-0000-0000-0000252F0000}"/>
    <cellStyle name="Millares 9 7 2 2" xfId="20918" xr:uid="{00000000-0005-0000-0000-0000262F0000}"/>
    <cellStyle name="Millares 9 7 2 2 2" xfId="43561" xr:uid="{00000000-0005-0000-0000-0000272F0000}"/>
    <cellStyle name="Millares 9 7 2 3" xfId="13478" xr:uid="{00000000-0005-0000-0000-0000282F0000}"/>
    <cellStyle name="Millares 9 7 2 3 2" xfId="36121" xr:uid="{00000000-0005-0000-0000-0000292F0000}"/>
    <cellStyle name="Millares 9 7 2 4" xfId="28680" xr:uid="{00000000-0005-0000-0000-00002A2F0000}"/>
    <cellStyle name="Millares 9 7 3" xfId="17200" xr:uid="{00000000-0005-0000-0000-00002B2F0000}"/>
    <cellStyle name="Millares 9 7 3 2" xfId="39843" xr:uid="{00000000-0005-0000-0000-00002C2F0000}"/>
    <cellStyle name="Millares 9 7 4" xfId="9760" xr:uid="{00000000-0005-0000-0000-00002D2F0000}"/>
    <cellStyle name="Millares 9 7 4 2" xfId="32403" xr:uid="{00000000-0005-0000-0000-00002E2F0000}"/>
    <cellStyle name="Millares 9 7 5" xfId="24962" xr:uid="{00000000-0005-0000-0000-00002F2F0000}"/>
    <cellStyle name="Millares 9 8" xfId="4187" xr:uid="{00000000-0005-0000-0000-0000302F0000}"/>
    <cellStyle name="Millares 9 8 2" xfId="19071" xr:uid="{00000000-0005-0000-0000-0000312F0000}"/>
    <cellStyle name="Millares 9 8 2 2" xfId="41714" xr:uid="{00000000-0005-0000-0000-0000322F0000}"/>
    <cellStyle name="Millares 9 8 3" xfId="11631" xr:uid="{00000000-0005-0000-0000-0000332F0000}"/>
    <cellStyle name="Millares 9 8 3 2" xfId="34274" xr:uid="{00000000-0005-0000-0000-0000342F0000}"/>
    <cellStyle name="Millares 9 8 4" xfId="26833" xr:uid="{00000000-0005-0000-0000-0000352F0000}"/>
    <cellStyle name="Millares 9 9" xfId="454" xr:uid="{00000000-0005-0000-0000-0000362F0000}"/>
    <cellStyle name="Millares 9 9 2" xfId="15353" xr:uid="{00000000-0005-0000-0000-0000372F0000}"/>
    <cellStyle name="Millares 9 9 2 2" xfId="37996" xr:uid="{00000000-0005-0000-0000-0000382F0000}"/>
    <cellStyle name="Millares 9 9 3" xfId="23116" xr:uid="{00000000-0005-0000-0000-0000392F0000}"/>
    <cellStyle name="Moneda" xfId="45525" builtinId="4"/>
    <cellStyle name="Neutral" xfId="58" builtinId="28" customBuiltin="1"/>
    <cellStyle name="Normal" xfId="0" builtinId="0"/>
    <cellStyle name="Normal 10" xfId="83" xr:uid="{00000000-0005-0000-0000-00003C2F0000}"/>
    <cellStyle name="Normal 10 10" xfId="7892" xr:uid="{00000000-0005-0000-0000-00003D2F0000}"/>
    <cellStyle name="Normal 10 10 2" xfId="30535" xr:uid="{00000000-0005-0000-0000-00003E2F0000}"/>
    <cellStyle name="Normal 10 11" xfId="22792" xr:uid="{00000000-0005-0000-0000-00003F2F0000}"/>
    <cellStyle name="Normal 10 2" xfId="167" xr:uid="{00000000-0005-0000-0000-0000402F0000}"/>
    <cellStyle name="Normal 10 2 10" xfId="22870" xr:uid="{00000000-0005-0000-0000-0000412F0000}"/>
    <cellStyle name="Normal 10 2 2" xfId="328" xr:uid="{00000000-0005-0000-0000-0000422F0000}"/>
    <cellStyle name="Normal 10 2 2 2" xfId="804" xr:uid="{00000000-0005-0000-0000-0000432F0000}"/>
    <cellStyle name="Normal 10 2 2 2 2" xfId="1269" xr:uid="{00000000-0005-0000-0000-0000442F0000}"/>
    <cellStyle name="Normal 10 2 2 2 2 2" xfId="2197" xr:uid="{00000000-0005-0000-0000-0000452F0000}"/>
    <cellStyle name="Normal 10 2 2 2 2 2 2" xfId="4047" xr:uid="{00000000-0005-0000-0000-0000462F0000}"/>
    <cellStyle name="Normal 10 2 2 2 2 2 2 2" xfId="7768" xr:uid="{00000000-0005-0000-0000-0000472F0000}"/>
    <cellStyle name="Normal 10 2 2 2 2 2 2 2 2" xfId="22652" xr:uid="{00000000-0005-0000-0000-0000482F0000}"/>
    <cellStyle name="Normal 10 2 2 2 2 2 2 2 2 2" xfId="45295" xr:uid="{00000000-0005-0000-0000-0000492F0000}"/>
    <cellStyle name="Normal 10 2 2 2 2 2 2 2 3" xfId="15212" xr:uid="{00000000-0005-0000-0000-00004A2F0000}"/>
    <cellStyle name="Normal 10 2 2 2 2 2 2 2 3 2" xfId="37855" xr:uid="{00000000-0005-0000-0000-00004B2F0000}"/>
    <cellStyle name="Normal 10 2 2 2 2 2 2 2 4" xfId="30414" xr:uid="{00000000-0005-0000-0000-00004C2F0000}"/>
    <cellStyle name="Normal 10 2 2 2 2 2 2 3" xfId="18934" xr:uid="{00000000-0005-0000-0000-00004D2F0000}"/>
    <cellStyle name="Normal 10 2 2 2 2 2 2 3 2" xfId="41577" xr:uid="{00000000-0005-0000-0000-00004E2F0000}"/>
    <cellStyle name="Normal 10 2 2 2 2 2 2 4" xfId="11494" xr:uid="{00000000-0005-0000-0000-00004F2F0000}"/>
    <cellStyle name="Normal 10 2 2 2 2 2 2 4 2" xfId="34137" xr:uid="{00000000-0005-0000-0000-0000502F0000}"/>
    <cellStyle name="Normal 10 2 2 2 2 2 2 5" xfId="26696" xr:uid="{00000000-0005-0000-0000-0000512F0000}"/>
    <cellStyle name="Normal 10 2 2 2 2 2 3" xfId="5921" xr:uid="{00000000-0005-0000-0000-0000522F0000}"/>
    <cellStyle name="Normal 10 2 2 2 2 2 3 2" xfId="20805" xr:uid="{00000000-0005-0000-0000-0000532F0000}"/>
    <cellStyle name="Normal 10 2 2 2 2 2 3 2 2" xfId="43448" xr:uid="{00000000-0005-0000-0000-0000542F0000}"/>
    <cellStyle name="Normal 10 2 2 2 2 2 3 3" xfId="13365" xr:uid="{00000000-0005-0000-0000-0000552F0000}"/>
    <cellStyle name="Normal 10 2 2 2 2 2 3 3 2" xfId="36008" xr:uid="{00000000-0005-0000-0000-0000562F0000}"/>
    <cellStyle name="Normal 10 2 2 2 2 2 3 4" xfId="28567" xr:uid="{00000000-0005-0000-0000-0000572F0000}"/>
    <cellStyle name="Normal 10 2 2 2 2 2 4" xfId="17087" xr:uid="{00000000-0005-0000-0000-0000582F0000}"/>
    <cellStyle name="Normal 10 2 2 2 2 2 4 2" xfId="39730" xr:uid="{00000000-0005-0000-0000-0000592F0000}"/>
    <cellStyle name="Normal 10 2 2 2 2 2 5" xfId="9647" xr:uid="{00000000-0005-0000-0000-00005A2F0000}"/>
    <cellStyle name="Normal 10 2 2 2 2 2 5 2" xfId="32290" xr:uid="{00000000-0005-0000-0000-00005B2F0000}"/>
    <cellStyle name="Normal 10 2 2 2 2 2 6" xfId="24849" xr:uid="{00000000-0005-0000-0000-00005C2F0000}"/>
    <cellStyle name="Normal 10 2 2 2 2 3" xfId="3122" xr:uid="{00000000-0005-0000-0000-00005D2F0000}"/>
    <cellStyle name="Normal 10 2 2 2 2 3 2" xfId="6843" xr:uid="{00000000-0005-0000-0000-00005E2F0000}"/>
    <cellStyle name="Normal 10 2 2 2 2 3 2 2" xfId="21727" xr:uid="{00000000-0005-0000-0000-00005F2F0000}"/>
    <cellStyle name="Normal 10 2 2 2 2 3 2 2 2" xfId="44370" xr:uid="{00000000-0005-0000-0000-0000602F0000}"/>
    <cellStyle name="Normal 10 2 2 2 2 3 2 3" xfId="14287" xr:uid="{00000000-0005-0000-0000-0000612F0000}"/>
    <cellStyle name="Normal 10 2 2 2 2 3 2 3 2" xfId="36930" xr:uid="{00000000-0005-0000-0000-0000622F0000}"/>
    <cellStyle name="Normal 10 2 2 2 2 3 2 4" xfId="29489" xr:uid="{00000000-0005-0000-0000-0000632F0000}"/>
    <cellStyle name="Normal 10 2 2 2 2 3 3" xfId="18009" xr:uid="{00000000-0005-0000-0000-0000642F0000}"/>
    <cellStyle name="Normal 10 2 2 2 2 3 3 2" xfId="40652" xr:uid="{00000000-0005-0000-0000-0000652F0000}"/>
    <cellStyle name="Normal 10 2 2 2 2 3 4" xfId="10569" xr:uid="{00000000-0005-0000-0000-0000662F0000}"/>
    <cellStyle name="Normal 10 2 2 2 2 3 4 2" xfId="33212" xr:uid="{00000000-0005-0000-0000-0000672F0000}"/>
    <cellStyle name="Normal 10 2 2 2 2 3 5" xfId="25771" xr:uid="{00000000-0005-0000-0000-0000682F0000}"/>
    <cellStyle name="Normal 10 2 2 2 2 4" xfId="4996" xr:uid="{00000000-0005-0000-0000-0000692F0000}"/>
    <cellStyle name="Normal 10 2 2 2 2 4 2" xfId="19880" xr:uid="{00000000-0005-0000-0000-00006A2F0000}"/>
    <cellStyle name="Normal 10 2 2 2 2 4 2 2" xfId="42523" xr:uid="{00000000-0005-0000-0000-00006B2F0000}"/>
    <cellStyle name="Normal 10 2 2 2 2 4 3" xfId="12440" xr:uid="{00000000-0005-0000-0000-00006C2F0000}"/>
    <cellStyle name="Normal 10 2 2 2 2 4 3 2" xfId="35083" xr:uid="{00000000-0005-0000-0000-00006D2F0000}"/>
    <cellStyle name="Normal 10 2 2 2 2 4 4" xfId="27642" xr:uid="{00000000-0005-0000-0000-00006E2F0000}"/>
    <cellStyle name="Normal 10 2 2 2 2 5" xfId="16162" xr:uid="{00000000-0005-0000-0000-00006F2F0000}"/>
    <cellStyle name="Normal 10 2 2 2 2 5 2" xfId="38805" xr:uid="{00000000-0005-0000-0000-0000702F0000}"/>
    <cellStyle name="Normal 10 2 2 2 2 6" xfId="8722" xr:uid="{00000000-0005-0000-0000-0000712F0000}"/>
    <cellStyle name="Normal 10 2 2 2 2 6 2" xfId="31365" xr:uid="{00000000-0005-0000-0000-0000722F0000}"/>
    <cellStyle name="Normal 10 2 2 2 2 7" xfId="23924" xr:uid="{00000000-0005-0000-0000-0000732F0000}"/>
    <cellStyle name="Normal 10 2 2 2 3" xfId="1735" xr:uid="{00000000-0005-0000-0000-0000742F0000}"/>
    <cellStyle name="Normal 10 2 2 2 3 2" xfId="3585" xr:uid="{00000000-0005-0000-0000-0000752F0000}"/>
    <cellStyle name="Normal 10 2 2 2 3 2 2" xfId="7306" xr:uid="{00000000-0005-0000-0000-0000762F0000}"/>
    <cellStyle name="Normal 10 2 2 2 3 2 2 2" xfId="22190" xr:uid="{00000000-0005-0000-0000-0000772F0000}"/>
    <cellStyle name="Normal 10 2 2 2 3 2 2 2 2" xfId="44833" xr:uid="{00000000-0005-0000-0000-0000782F0000}"/>
    <cellStyle name="Normal 10 2 2 2 3 2 2 3" xfId="14750" xr:uid="{00000000-0005-0000-0000-0000792F0000}"/>
    <cellStyle name="Normal 10 2 2 2 3 2 2 3 2" xfId="37393" xr:uid="{00000000-0005-0000-0000-00007A2F0000}"/>
    <cellStyle name="Normal 10 2 2 2 3 2 2 4" xfId="29952" xr:uid="{00000000-0005-0000-0000-00007B2F0000}"/>
    <cellStyle name="Normal 10 2 2 2 3 2 3" xfId="18472" xr:uid="{00000000-0005-0000-0000-00007C2F0000}"/>
    <cellStyle name="Normal 10 2 2 2 3 2 3 2" xfId="41115" xr:uid="{00000000-0005-0000-0000-00007D2F0000}"/>
    <cellStyle name="Normal 10 2 2 2 3 2 4" xfId="11032" xr:uid="{00000000-0005-0000-0000-00007E2F0000}"/>
    <cellStyle name="Normal 10 2 2 2 3 2 4 2" xfId="33675" xr:uid="{00000000-0005-0000-0000-00007F2F0000}"/>
    <cellStyle name="Normal 10 2 2 2 3 2 5" xfId="26234" xr:uid="{00000000-0005-0000-0000-0000802F0000}"/>
    <cellStyle name="Normal 10 2 2 2 3 3" xfId="5459" xr:uid="{00000000-0005-0000-0000-0000812F0000}"/>
    <cellStyle name="Normal 10 2 2 2 3 3 2" xfId="20343" xr:uid="{00000000-0005-0000-0000-0000822F0000}"/>
    <cellStyle name="Normal 10 2 2 2 3 3 2 2" xfId="42986" xr:uid="{00000000-0005-0000-0000-0000832F0000}"/>
    <cellStyle name="Normal 10 2 2 2 3 3 3" xfId="12903" xr:uid="{00000000-0005-0000-0000-0000842F0000}"/>
    <cellStyle name="Normal 10 2 2 2 3 3 3 2" xfId="35546" xr:uid="{00000000-0005-0000-0000-0000852F0000}"/>
    <cellStyle name="Normal 10 2 2 2 3 3 4" xfId="28105" xr:uid="{00000000-0005-0000-0000-0000862F0000}"/>
    <cellStyle name="Normal 10 2 2 2 3 4" xfId="16625" xr:uid="{00000000-0005-0000-0000-0000872F0000}"/>
    <cellStyle name="Normal 10 2 2 2 3 4 2" xfId="39268" xr:uid="{00000000-0005-0000-0000-0000882F0000}"/>
    <cellStyle name="Normal 10 2 2 2 3 5" xfId="9185" xr:uid="{00000000-0005-0000-0000-0000892F0000}"/>
    <cellStyle name="Normal 10 2 2 2 3 5 2" xfId="31828" xr:uid="{00000000-0005-0000-0000-00008A2F0000}"/>
    <cellStyle name="Normal 10 2 2 2 3 6" xfId="24387" xr:uid="{00000000-0005-0000-0000-00008B2F0000}"/>
    <cellStyle name="Normal 10 2 2 2 4" xfId="2660" xr:uid="{00000000-0005-0000-0000-00008C2F0000}"/>
    <cellStyle name="Normal 10 2 2 2 4 2" xfId="6381" xr:uid="{00000000-0005-0000-0000-00008D2F0000}"/>
    <cellStyle name="Normal 10 2 2 2 4 2 2" xfId="21265" xr:uid="{00000000-0005-0000-0000-00008E2F0000}"/>
    <cellStyle name="Normal 10 2 2 2 4 2 2 2" xfId="43908" xr:uid="{00000000-0005-0000-0000-00008F2F0000}"/>
    <cellStyle name="Normal 10 2 2 2 4 2 3" xfId="13825" xr:uid="{00000000-0005-0000-0000-0000902F0000}"/>
    <cellStyle name="Normal 10 2 2 2 4 2 3 2" xfId="36468" xr:uid="{00000000-0005-0000-0000-0000912F0000}"/>
    <cellStyle name="Normal 10 2 2 2 4 2 4" xfId="29027" xr:uid="{00000000-0005-0000-0000-0000922F0000}"/>
    <cellStyle name="Normal 10 2 2 2 4 3" xfId="17547" xr:uid="{00000000-0005-0000-0000-0000932F0000}"/>
    <cellStyle name="Normal 10 2 2 2 4 3 2" xfId="40190" xr:uid="{00000000-0005-0000-0000-0000942F0000}"/>
    <cellStyle name="Normal 10 2 2 2 4 4" xfId="10107" xr:uid="{00000000-0005-0000-0000-0000952F0000}"/>
    <cellStyle name="Normal 10 2 2 2 4 4 2" xfId="32750" xr:uid="{00000000-0005-0000-0000-0000962F0000}"/>
    <cellStyle name="Normal 10 2 2 2 4 5" xfId="25309" xr:uid="{00000000-0005-0000-0000-0000972F0000}"/>
    <cellStyle name="Normal 10 2 2 2 5" xfId="4534" xr:uid="{00000000-0005-0000-0000-0000982F0000}"/>
    <cellStyle name="Normal 10 2 2 2 5 2" xfId="19418" xr:uid="{00000000-0005-0000-0000-0000992F0000}"/>
    <cellStyle name="Normal 10 2 2 2 5 2 2" xfId="42061" xr:uid="{00000000-0005-0000-0000-00009A2F0000}"/>
    <cellStyle name="Normal 10 2 2 2 5 3" xfId="11978" xr:uid="{00000000-0005-0000-0000-00009B2F0000}"/>
    <cellStyle name="Normal 10 2 2 2 5 3 2" xfId="34621" xr:uid="{00000000-0005-0000-0000-00009C2F0000}"/>
    <cellStyle name="Normal 10 2 2 2 5 4" xfId="27180" xr:uid="{00000000-0005-0000-0000-00009D2F0000}"/>
    <cellStyle name="Normal 10 2 2 2 6" xfId="15700" xr:uid="{00000000-0005-0000-0000-00009E2F0000}"/>
    <cellStyle name="Normal 10 2 2 2 6 2" xfId="38343" xr:uid="{00000000-0005-0000-0000-00009F2F0000}"/>
    <cellStyle name="Normal 10 2 2 2 7" xfId="8260" xr:uid="{00000000-0005-0000-0000-0000A02F0000}"/>
    <cellStyle name="Normal 10 2 2 2 7 2" xfId="30903" xr:uid="{00000000-0005-0000-0000-0000A12F0000}"/>
    <cellStyle name="Normal 10 2 2 2 8" xfId="23462" xr:uid="{00000000-0005-0000-0000-0000A22F0000}"/>
    <cellStyle name="Normal 10 2 2 3" xfId="1058" xr:uid="{00000000-0005-0000-0000-0000A32F0000}"/>
    <cellStyle name="Normal 10 2 2 3 2" xfId="1986" xr:uid="{00000000-0005-0000-0000-0000A42F0000}"/>
    <cellStyle name="Normal 10 2 2 3 2 2" xfId="3836" xr:uid="{00000000-0005-0000-0000-0000A52F0000}"/>
    <cellStyle name="Normal 10 2 2 3 2 2 2" xfId="7557" xr:uid="{00000000-0005-0000-0000-0000A62F0000}"/>
    <cellStyle name="Normal 10 2 2 3 2 2 2 2" xfId="22441" xr:uid="{00000000-0005-0000-0000-0000A72F0000}"/>
    <cellStyle name="Normal 10 2 2 3 2 2 2 2 2" xfId="45084" xr:uid="{00000000-0005-0000-0000-0000A82F0000}"/>
    <cellStyle name="Normal 10 2 2 3 2 2 2 3" xfId="15001" xr:uid="{00000000-0005-0000-0000-0000A92F0000}"/>
    <cellStyle name="Normal 10 2 2 3 2 2 2 3 2" xfId="37644" xr:uid="{00000000-0005-0000-0000-0000AA2F0000}"/>
    <cellStyle name="Normal 10 2 2 3 2 2 2 4" xfId="30203" xr:uid="{00000000-0005-0000-0000-0000AB2F0000}"/>
    <cellStyle name="Normal 10 2 2 3 2 2 3" xfId="18723" xr:uid="{00000000-0005-0000-0000-0000AC2F0000}"/>
    <cellStyle name="Normal 10 2 2 3 2 2 3 2" xfId="41366" xr:uid="{00000000-0005-0000-0000-0000AD2F0000}"/>
    <cellStyle name="Normal 10 2 2 3 2 2 4" xfId="11283" xr:uid="{00000000-0005-0000-0000-0000AE2F0000}"/>
    <cellStyle name="Normal 10 2 2 3 2 2 4 2" xfId="33926" xr:uid="{00000000-0005-0000-0000-0000AF2F0000}"/>
    <cellStyle name="Normal 10 2 2 3 2 2 5" xfId="26485" xr:uid="{00000000-0005-0000-0000-0000B02F0000}"/>
    <cellStyle name="Normal 10 2 2 3 2 3" xfId="5710" xr:uid="{00000000-0005-0000-0000-0000B12F0000}"/>
    <cellStyle name="Normal 10 2 2 3 2 3 2" xfId="20594" xr:uid="{00000000-0005-0000-0000-0000B22F0000}"/>
    <cellStyle name="Normal 10 2 2 3 2 3 2 2" xfId="43237" xr:uid="{00000000-0005-0000-0000-0000B32F0000}"/>
    <cellStyle name="Normal 10 2 2 3 2 3 3" xfId="13154" xr:uid="{00000000-0005-0000-0000-0000B42F0000}"/>
    <cellStyle name="Normal 10 2 2 3 2 3 3 2" xfId="35797" xr:uid="{00000000-0005-0000-0000-0000B52F0000}"/>
    <cellStyle name="Normal 10 2 2 3 2 3 4" xfId="28356" xr:uid="{00000000-0005-0000-0000-0000B62F0000}"/>
    <cellStyle name="Normal 10 2 2 3 2 4" xfId="16876" xr:uid="{00000000-0005-0000-0000-0000B72F0000}"/>
    <cellStyle name="Normal 10 2 2 3 2 4 2" xfId="39519" xr:uid="{00000000-0005-0000-0000-0000B82F0000}"/>
    <cellStyle name="Normal 10 2 2 3 2 5" xfId="9436" xr:uid="{00000000-0005-0000-0000-0000B92F0000}"/>
    <cellStyle name="Normal 10 2 2 3 2 5 2" xfId="32079" xr:uid="{00000000-0005-0000-0000-0000BA2F0000}"/>
    <cellStyle name="Normal 10 2 2 3 2 6" xfId="24638" xr:uid="{00000000-0005-0000-0000-0000BB2F0000}"/>
    <cellStyle name="Normal 10 2 2 3 3" xfId="2911" xr:uid="{00000000-0005-0000-0000-0000BC2F0000}"/>
    <cellStyle name="Normal 10 2 2 3 3 2" xfId="6632" xr:uid="{00000000-0005-0000-0000-0000BD2F0000}"/>
    <cellStyle name="Normal 10 2 2 3 3 2 2" xfId="21516" xr:uid="{00000000-0005-0000-0000-0000BE2F0000}"/>
    <cellStyle name="Normal 10 2 2 3 3 2 2 2" xfId="44159" xr:uid="{00000000-0005-0000-0000-0000BF2F0000}"/>
    <cellStyle name="Normal 10 2 2 3 3 2 3" xfId="14076" xr:uid="{00000000-0005-0000-0000-0000C02F0000}"/>
    <cellStyle name="Normal 10 2 2 3 3 2 3 2" xfId="36719" xr:uid="{00000000-0005-0000-0000-0000C12F0000}"/>
    <cellStyle name="Normal 10 2 2 3 3 2 4" xfId="29278" xr:uid="{00000000-0005-0000-0000-0000C22F0000}"/>
    <cellStyle name="Normal 10 2 2 3 3 3" xfId="17798" xr:uid="{00000000-0005-0000-0000-0000C32F0000}"/>
    <cellStyle name="Normal 10 2 2 3 3 3 2" xfId="40441" xr:uid="{00000000-0005-0000-0000-0000C42F0000}"/>
    <cellStyle name="Normal 10 2 2 3 3 4" xfId="10358" xr:uid="{00000000-0005-0000-0000-0000C52F0000}"/>
    <cellStyle name="Normal 10 2 2 3 3 4 2" xfId="33001" xr:uid="{00000000-0005-0000-0000-0000C62F0000}"/>
    <cellStyle name="Normal 10 2 2 3 3 5" xfId="25560" xr:uid="{00000000-0005-0000-0000-0000C72F0000}"/>
    <cellStyle name="Normal 10 2 2 3 4" xfId="4785" xr:uid="{00000000-0005-0000-0000-0000C82F0000}"/>
    <cellStyle name="Normal 10 2 2 3 4 2" xfId="19669" xr:uid="{00000000-0005-0000-0000-0000C92F0000}"/>
    <cellStyle name="Normal 10 2 2 3 4 2 2" xfId="42312" xr:uid="{00000000-0005-0000-0000-0000CA2F0000}"/>
    <cellStyle name="Normal 10 2 2 3 4 3" xfId="12229" xr:uid="{00000000-0005-0000-0000-0000CB2F0000}"/>
    <cellStyle name="Normal 10 2 2 3 4 3 2" xfId="34872" xr:uid="{00000000-0005-0000-0000-0000CC2F0000}"/>
    <cellStyle name="Normal 10 2 2 3 4 4" xfId="27431" xr:uid="{00000000-0005-0000-0000-0000CD2F0000}"/>
    <cellStyle name="Normal 10 2 2 3 5" xfId="15951" xr:uid="{00000000-0005-0000-0000-0000CE2F0000}"/>
    <cellStyle name="Normal 10 2 2 3 5 2" xfId="38594" xr:uid="{00000000-0005-0000-0000-0000CF2F0000}"/>
    <cellStyle name="Normal 10 2 2 3 6" xfId="8511" xr:uid="{00000000-0005-0000-0000-0000D02F0000}"/>
    <cellStyle name="Normal 10 2 2 3 6 2" xfId="31154" xr:uid="{00000000-0005-0000-0000-0000D12F0000}"/>
    <cellStyle name="Normal 10 2 2 3 7" xfId="23713" xr:uid="{00000000-0005-0000-0000-0000D22F0000}"/>
    <cellStyle name="Normal 10 2 2 4" xfId="1524" xr:uid="{00000000-0005-0000-0000-0000D32F0000}"/>
    <cellStyle name="Normal 10 2 2 4 2" xfId="3374" xr:uid="{00000000-0005-0000-0000-0000D42F0000}"/>
    <cellStyle name="Normal 10 2 2 4 2 2" xfId="7095" xr:uid="{00000000-0005-0000-0000-0000D52F0000}"/>
    <cellStyle name="Normal 10 2 2 4 2 2 2" xfId="21979" xr:uid="{00000000-0005-0000-0000-0000D62F0000}"/>
    <cellStyle name="Normal 10 2 2 4 2 2 2 2" xfId="44622" xr:uid="{00000000-0005-0000-0000-0000D72F0000}"/>
    <cellStyle name="Normal 10 2 2 4 2 2 3" xfId="14539" xr:uid="{00000000-0005-0000-0000-0000D82F0000}"/>
    <cellStyle name="Normal 10 2 2 4 2 2 3 2" xfId="37182" xr:uid="{00000000-0005-0000-0000-0000D92F0000}"/>
    <cellStyle name="Normal 10 2 2 4 2 2 4" xfId="29741" xr:uid="{00000000-0005-0000-0000-0000DA2F0000}"/>
    <cellStyle name="Normal 10 2 2 4 2 3" xfId="18261" xr:uid="{00000000-0005-0000-0000-0000DB2F0000}"/>
    <cellStyle name="Normal 10 2 2 4 2 3 2" xfId="40904" xr:uid="{00000000-0005-0000-0000-0000DC2F0000}"/>
    <cellStyle name="Normal 10 2 2 4 2 4" xfId="10821" xr:uid="{00000000-0005-0000-0000-0000DD2F0000}"/>
    <cellStyle name="Normal 10 2 2 4 2 4 2" xfId="33464" xr:uid="{00000000-0005-0000-0000-0000DE2F0000}"/>
    <cellStyle name="Normal 10 2 2 4 2 5" xfId="26023" xr:uid="{00000000-0005-0000-0000-0000DF2F0000}"/>
    <cellStyle name="Normal 10 2 2 4 3" xfId="5248" xr:uid="{00000000-0005-0000-0000-0000E02F0000}"/>
    <cellStyle name="Normal 10 2 2 4 3 2" xfId="20132" xr:uid="{00000000-0005-0000-0000-0000E12F0000}"/>
    <cellStyle name="Normal 10 2 2 4 3 2 2" xfId="42775" xr:uid="{00000000-0005-0000-0000-0000E22F0000}"/>
    <cellStyle name="Normal 10 2 2 4 3 3" xfId="12692" xr:uid="{00000000-0005-0000-0000-0000E32F0000}"/>
    <cellStyle name="Normal 10 2 2 4 3 3 2" xfId="35335" xr:uid="{00000000-0005-0000-0000-0000E42F0000}"/>
    <cellStyle name="Normal 10 2 2 4 3 4" xfId="27894" xr:uid="{00000000-0005-0000-0000-0000E52F0000}"/>
    <cellStyle name="Normal 10 2 2 4 4" xfId="16414" xr:uid="{00000000-0005-0000-0000-0000E62F0000}"/>
    <cellStyle name="Normal 10 2 2 4 4 2" xfId="39057" xr:uid="{00000000-0005-0000-0000-0000E72F0000}"/>
    <cellStyle name="Normal 10 2 2 4 5" xfId="8974" xr:uid="{00000000-0005-0000-0000-0000E82F0000}"/>
    <cellStyle name="Normal 10 2 2 4 5 2" xfId="31617" xr:uid="{00000000-0005-0000-0000-0000E92F0000}"/>
    <cellStyle name="Normal 10 2 2 4 6" xfId="24176" xr:uid="{00000000-0005-0000-0000-0000EA2F0000}"/>
    <cellStyle name="Normal 10 2 2 5" xfId="2449" xr:uid="{00000000-0005-0000-0000-0000EB2F0000}"/>
    <cellStyle name="Normal 10 2 2 5 2" xfId="6170" xr:uid="{00000000-0005-0000-0000-0000EC2F0000}"/>
    <cellStyle name="Normal 10 2 2 5 2 2" xfId="21054" xr:uid="{00000000-0005-0000-0000-0000ED2F0000}"/>
    <cellStyle name="Normal 10 2 2 5 2 2 2" xfId="43697" xr:uid="{00000000-0005-0000-0000-0000EE2F0000}"/>
    <cellStyle name="Normal 10 2 2 5 2 3" xfId="13614" xr:uid="{00000000-0005-0000-0000-0000EF2F0000}"/>
    <cellStyle name="Normal 10 2 2 5 2 3 2" xfId="36257" xr:uid="{00000000-0005-0000-0000-0000F02F0000}"/>
    <cellStyle name="Normal 10 2 2 5 2 4" xfId="28816" xr:uid="{00000000-0005-0000-0000-0000F12F0000}"/>
    <cellStyle name="Normal 10 2 2 5 3" xfId="17336" xr:uid="{00000000-0005-0000-0000-0000F22F0000}"/>
    <cellStyle name="Normal 10 2 2 5 3 2" xfId="39979" xr:uid="{00000000-0005-0000-0000-0000F32F0000}"/>
    <cellStyle name="Normal 10 2 2 5 4" xfId="9896" xr:uid="{00000000-0005-0000-0000-0000F42F0000}"/>
    <cellStyle name="Normal 10 2 2 5 4 2" xfId="32539" xr:uid="{00000000-0005-0000-0000-0000F52F0000}"/>
    <cellStyle name="Normal 10 2 2 5 5" xfId="25098" xr:uid="{00000000-0005-0000-0000-0000F62F0000}"/>
    <cellStyle name="Normal 10 2 2 6" xfId="4323" xr:uid="{00000000-0005-0000-0000-0000F72F0000}"/>
    <cellStyle name="Normal 10 2 2 6 2" xfId="19207" xr:uid="{00000000-0005-0000-0000-0000F82F0000}"/>
    <cellStyle name="Normal 10 2 2 6 2 2" xfId="41850" xr:uid="{00000000-0005-0000-0000-0000F92F0000}"/>
    <cellStyle name="Normal 10 2 2 6 3" xfId="11767" xr:uid="{00000000-0005-0000-0000-0000FA2F0000}"/>
    <cellStyle name="Normal 10 2 2 6 3 2" xfId="34410" xr:uid="{00000000-0005-0000-0000-0000FB2F0000}"/>
    <cellStyle name="Normal 10 2 2 6 4" xfId="26969" xr:uid="{00000000-0005-0000-0000-0000FC2F0000}"/>
    <cellStyle name="Normal 10 2 2 7" xfId="592" xr:uid="{00000000-0005-0000-0000-0000FD2F0000}"/>
    <cellStyle name="Normal 10 2 2 7 2" xfId="15489" xr:uid="{00000000-0005-0000-0000-0000FE2F0000}"/>
    <cellStyle name="Normal 10 2 2 7 2 2" xfId="38132" xr:uid="{00000000-0005-0000-0000-0000FF2F0000}"/>
    <cellStyle name="Normal 10 2 2 7 3" xfId="23252" xr:uid="{00000000-0005-0000-0000-000000300000}"/>
    <cellStyle name="Normal 10 2 2 8" xfId="8049" xr:uid="{00000000-0005-0000-0000-000001300000}"/>
    <cellStyle name="Normal 10 2 2 8 2" xfId="30692" xr:uid="{00000000-0005-0000-0000-000002300000}"/>
    <cellStyle name="Normal 10 2 2 9" xfId="23026" xr:uid="{00000000-0005-0000-0000-000003300000}"/>
    <cellStyle name="Normal 10 2 3" xfId="699" xr:uid="{00000000-0005-0000-0000-000004300000}"/>
    <cellStyle name="Normal 10 2 3 2" xfId="1164" xr:uid="{00000000-0005-0000-0000-000005300000}"/>
    <cellStyle name="Normal 10 2 3 2 2" xfId="2092" xr:uid="{00000000-0005-0000-0000-000006300000}"/>
    <cellStyle name="Normal 10 2 3 2 2 2" xfId="3942" xr:uid="{00000000-0005-0000-0000-000007300000}"/>
    <cellStyle name="Normal 10 2 3 2 2 2 2" xfId="7663" xr:uid="{00000000-0005-0000-0000-000008300000}"/>
    <cellStyle name="Normal 10 2 3 2 2 2 2 2" xfId="22547" xr:uid="{00000000-0005-0000-0000-000009300000}"/>
    <cellStyle name="Normal 10 2 3 2 2 2 2 2 2" xfId="45190" xr:uid="{00000000-0005-0000-0000-00000A300000}"/>
    <cellStyle name="Normal 10 2 3 2 2 2 2 3" xfId="15107" xr:uid="{00000000-0005-0000-0000-00000B300000}"/>
    <cellStyle name="Normal 10 2 3 2 2 2 2 3 2" xfId="37750" xr:uid="{00000000-0005-0000-0000-00000C300000}"/>
    <cellStyle name="Normal 10 2 3 2 2 2 2 4" xfId="30309" xr:uid="{00000000-0005-0000-0000-00000D300000}"/>
    <cellStyle name="Normal 10 2 3 2 2 2 3" xfId="18829" xr:uid="{00000000-0005-0000-0000-00000E300000}"/>
    <cellStyle name="Normal 10 2 3 2 2 2 3 2" xfId="41472" xr:uid="{00000000-0005-0000-0000-00000F300000}"/>
    <cellStyle name="Normal 10 2 3 2 2 2 4" xfId="11389" xr:uid="{00000000-0005-0000-0000-000010300000}"/>
    <cellStyle name="Normal 10 2 3 2 2 2 4 2" xfId="34032" xr:uid="{00000000-0005-0000-0000-000011300000}"/>
    <cellStyle name="Normal 10 2 3 2 2 2 5" xfId="26591" xr:uid="{00000000-0005-0000-0000-000012300000}"/>
    <cellStyle name="Normal 10 2 3 2 2 3" xfId="5816" xr:uid="{00000000-0005-0000-0000-000013300000}"/>
    <cellStyle name="Normal 10 2 3 2 2 3 2" xfId="20700" xr:uid="{00000000-0005-0000-0000-000014300000}"/>
    <cellStyle name="Normal 10 2 3 2 2 3 2 2" xfId="43343" xr:uid="{00000000-0005-0000-0000-000015300000}"/>
    <cellStyle name="Normal 10 2 3 2 2 3 3" xfId="13260" xr:uid="{00000000-0005-0000-0000-000016300000}"/>
    <cellStyle name="Normal 10 2 3 2 2 3 3 2" xfId="35903" xr:uid="{00000000-0005-0000-0000-000017300000}"/>
    <cellStyle name="Normal 10 2 3 2 2 3 4" xfId="28462" xr:uid="{00000000-0005-0000-0000-000018300000}"/>
    <cellStyle name="Normal 10 2 3 2 2 4" xfId="16982" xr:uid="{00000000-0005-0000-0000-000019300000}"/>
    <cellStyle name="Normal 10 2 3 2 2 4 2" xfId="39625" xr:uid="{00000000-0005-0000-0000-00001A300000}"/>
    <cellStyle name="Normal 10 2 3 2 2 5" xfId="9542" xr:uid="{00000000-0005-0000-0000-00001B300000}"/>
    <cellStyle name="Normal 10 2 3 2 2 5 2" xfId="32185" xr:uid="{00000000-0005-0000-0000-00001C300000}"/>
    <cellStyle name="Normal 10 2 3 2 2 6" xfId="24744" xr:uid="{00000000-0005-0000-0000-00001D300000}"/>
    <cellStyle name="Normal 10 2 3 2 3" xfId="3017" xr:uid="{00000000-0005-0000-0000-00001E300000}"/>
    <cellStyle name="Normal 10 2 3 2 3 2" xfId="6738" xr:uid="{00000000-0005-0000-0000-00001F300000}"/>
    <cellStyle name="Normal 10 2 3 2 3 2 2" xfId="21622" xr:uid="{00000000-0005-0000-0000-000020300000}"/>
    <cellStyle name="Normal 10 2 3 2 3 2 2 2" xfId="44265" xr:uid="{00000000-0005-0000-0000-000021300000}"/>
    <cellStyle name="Normal 10 2 3 2 3 2 3" xfId="14182" xr:uid="{00000000-0005-0000-0000-000022300000}"/>
    <cellStyle name="Normal 10 2 3 2 3 2 3 2" xfId="36825" xr:uid="{00000000-0005-0000-0000-000023300000}"/>
    <cellStyle name="Normal 10 2 3 2 3 2 4" xfId="29384" xr:uid="{00000000-0005-0000-0000-000024300000}"/>
    <cellStyle name="Normal 10 2 3 2 3 3" xfId="17904" xr:uid="{00000000-0005-0000-0000-000025300000}"/>
    <cellStyle name="Normal 10 2 3 2 3 3 2" xfId="40547" xr:uid="{00000000-0005-0000-0000-000026300000}"/>
    <cellStyle name="Normal 10 2 3 2 3 4" xfId="10464" xr:uid="{00000000-0005-0000-0000-000027300000}"/>
    <cellStyle name="Normal 10 2 3 2 3 4 2" xfId="33107" xr:uid="{00000000-0005-0000-0000-000028300000}"/>
    <cellStyle name="Normal 10 2 3 2 3 5" xfId="25666" xr:uid="{00000000-0005-0000-0000-000029300000}"/>
    <cellStyle name="Normal 10 2 3 2 4" xfId="4891" xr:uid="{00000000-0005-0000-0000-00002A300000}"/>
    <cellStyle name="Normal 10 2 3 2 4 2" xfId="19775" xr:uid="{00000000-0005-0000-0000-00002B300000}"/>
    <cellStyle name="Normal 10 2 3 2 4 2 2" xfId="42418" xr:uid="{00000000-0005-0000-0000-00002C300000}"/>
    <cellStyle name="Normal 10 2 3 2 4 3" xfId="12335" xr:uid="{00000000-0005-0000-0000-00002D300000}"/>
    <cellStyle name="Normal 10 2 3 2 4 3 2" xfId="34978" xr:uid="{00000000-0005-0000-0000-00002E300000}"/>
    <cellStyle name="Normal 10 2 3 2 4 4" xfId="27537" xr:uid="{00000000-0005-0000-0000-00002F300000}"/>
    <cellStyle name="Normal 10 2 3 2 5" xfId="16057" xr:uid="{00000000-0005-0000-0000-000030300000}"/>
    <cellStyle name="Normal 10 2 3 2 5 2" xfId="38700" xr:uid="{00000000-0005-0000-0000-000031300000}"/>
    <cellStyle name="Normal 10 2 3 2 6" xfId="8617" xr:uid="{00000000-0005-0000-0000-000032300000}"/>
    <cellStyle name="Normal 10 2 3 2 6 2" xfId="31260" xr:uid="{00000000-0005-0000-0000-000033300000}"/>
    <cellStyle name="Normal 10 2 3 2 7" xfId="23819" xr:uid="{00000000-0005-0000-0000-000034300000}"/>
    <cellStyle name="Normal 10 2 3 3" xfId="1630" xr:uid="{00000000-0005-0000-0000-000035300000}"/>
    <cellStyle name="Normal 10 2 3 3 2" xfId="3480" xr:uid="{00000000-0005-0000-0000-000036300000}"/>
    <cellStyle name="Normal 10 2 3 3 2 2" xfId="7201" xr:uid="{00000000-0005-0000-0000-000037300000}"/>
    <cellStyle name="Normal 10 2 3 3 2 2 2" xfId="22085" xr:uid="{00000000-0005-0000-0000-000038300000}"/>
    <cellStyle name="Normal 10 2 3 3 2 2 2 2" xfId="44728" xr:uid="{00000000-0005-0000-0000-000039300000}"/>
    <cellStyle name="Normal 10 2 3 3 2 2 3" xfId="14645" xr:uid="{00000000-0005-0000-0000-00003A300000}"/>
    <cellStyle name="Normal 10 2 3 3 2 2 3 2" xfId="37288" xr:uid="{00000000-0005-0000-0000-00003B300000}"/>
    <cellStyle name="Normal 10 2 3 3 2 2 4" xfId="29847" xr:uid="{00000000-0005-0000-0000-00003C300000}"/>
    <cellStyle name="Normal 10 2 3 3 2 3" xfId="18367" xr:uid="{00000000-0005-0000-0000-00003D300000}"/>
    <cellStyle name="Normal 10 2 3 3 2 3 2" xfId="41010" xr:uid="{00000000-0005-0000-0000-00003E300000}"/>
    <cellStyle name="Normal 10 2 3 3 2 4" xfId="10927" xr:uid="{00000000-0005-0000-0000-00003F300000}"/>
    <cellStyle name="Normal 10 2 3 3 2 4 2" xfId="33570" xr:uid="{00000000-0005-0000-0000-000040300000}"/>
    <cellStyle name="Normal 10 2 3 3 2 5" xfId="26129" xr:uid="{00000000-0005-0000-0000-000041300000}"/>
    <cellStyle name="Normal 10 2 3 3 3" xfId="5354" xr:uid="{00000000-0005-0000-0000-000042300000}"/>
    <cellStyle name="Normal 10 2 3 3 3 2" xfId="20238" xr:uid="{00000000-0005-0000-0000-000043300000}"/>
    <cellStyle name="Normal 10 2 3 3 3 2 2" xfId="42881" xr:uid="{00000000-0005-0000-0000-000044300000}"/>
    <cellStyle name="Normal 10 2 3 3 3 3" xfId="12798" xr:uid="{00000000-0005-0000-0000-000045300000}"/>
    <cellStyle name="Normal 10 2 3 3 3 3 2" xfId="35441" xr:uid="{00000000-0005-0000-0000-000046300000}"/>
    <cellStyle name="Normal 10 2 3 3 3 4" xfId="28000" xr:uid="{00000000-0005-0000-0000-000047300000}"/>
    <cellStyle name="Normal 10 2 3 3 4" xfId="16520" xr:uid="{00000000-0005-0000-0000-000048300000}"/>
    <cellStyle name="Normal 10 2 3 3 4 2" xfId="39163" xr:uid="{00000000-0005-0000-0000-000049300000}"/>
    <cellStyle name="Normal 10 2 3 3 5" xfId="9080" xr:uid="{00000000-0005-0000-0000-00004A300000}"/>
    <cellStyle name="Normal 10 2 3 3 5 2" xfId="31723" xr:uid="{00000000-0005-0000-0000-00004B300000}"/>
    <cellStyle name="Normal 10 2 3 3 6" xfId="24282" xr:uid="{00000000-0005-0000-0000-00004C300000}"/>
    <cellStyle name="Normal 10 2 3 4" xfId="2555" xr:uid="{00000000-0005-0000-0000-00004D300000}"/>
    <cellStyle name="Normal 10 2 3 4 2" xfId="6276" xr:uid="{00000000-0005-0000-0000-00004E300000}"/>
    <cellStyle name="Normal 10 2 3 4 2 2" xfId="21160" xr:uid="{00000000-0005-0000-0000-00004F300000}"/>
    <cellStyle name="Normal 10 2 3 4 2 2 2" xfId="43803" xr:uid="{00000000-0005-0000-0000-000050300000}"/>
    <cellStyle name="Normal 10 2 3 4 2 3" xfId="13720" xr:uid="{00000000-0005-0000-0000-000051300000}"/>
    <cellStyle name="Normal 10 2 3 4 2 3 2" xfId="36363" xr:uid="{00000000-0005-0000-0000-000052300000}"/>
    <cellStyle name="Normal 10 2 3 4 2 4" xfId="28922" xr:uid="{00000000-0005-0000-0000-000053300000}"/>
    <cellStyle name="Normal 10 2 3 4 3" xfId="17442" xr:uid="{00000000-0005-0000-0000-000054300000}"/>
    <cellStyle name="Normal 10 2 3 4 3 2" xfId="40085" xr:uid="{00000000-0005-0000-0000-000055300000}"/>
    <cellStyle name="Normal 10 2 3 4 4" xfId="10002" xr:uid="{00000000-0005-0000-0000-000056300000}"/>
    <cellStyle name="Normal 10 2 3 4 4 2" xfId="32645" xr:uid="{00000000-0005-0000-0000-000057300000}"/>
    <cellStyle name="Normal 10 2 3 4 5" xfId="25204" xr:uid="{00000000-0005-0000-0000-000058300000}"/>
    <cellStyle name="Normal 10 2 3 5" xfId="4429" xr:uid="{00000000-0005-0000-0000-000059300000}"/>
    <cellStyle name="Normal 10 2 3 5 2" xfId="19313" xr:uid="{00000000-0005-0000-0000-00005A300000}"/>
    <cellStyle name="Normal 10 2 3 5 2 2" xfId="41956" xr:uid="{00000000-0005-0000-0000-00005B300000}"/>
    <cellStyle name="Normal 10 2 3 5 3" xfId="11873" xr:uid="{00000000-0005-0000-0000-00005C300000}"/>
    <cellStyle name="Normal 10 2 3 5 3 2" xfId="34516" xr:uid="{00000000-0005-0000-0000-00005D300000}"/>
    <cellStyle name="Normal 10 2 3 5 4" xfId="27075" xr:uid="{00000000-0005-0000-0000-00005E300000}"/>
    <cellStyle name="Normal 10 2 3 6" xfId="15595" xr:uid="{00000000-0005-0000-0000-00005F300000}"/>
    <cellStyle name="Normal 10 2 3 6 2" xfId="38238" xr:uid="{00000000-0005-0000-0000-000060300000}"/>
    <cellStyle name="Normal 10 2 3 7" xfId="8155" xr:uid="{00000000-0005-0000-0000-000061300000}"/>
    <cellStyle name="Normal 10 2 3 7 2" xfId="30798" xr:uid="{00000000-0005-0000-0000-000062300000}"/>
    <cellStyle name="Normal 10 2 3 8" xfId="23357" xr:uid="{00000000-0005-0000-0000-000063300000}"/>
    <cellStyle name="Normal 10 2 4" xfId="953" xr:uid="{00000000-0005-0000-0000-000064300000}"/>
    <cellStyle name="Normal 10 2 4 2" xfId="1881" xr:uid="{00000000-0005-0000-0000-000065300000}"/>
    <cellStyle name="Normal 10 2 4 2 2" xfId="3731" xr:uid="{00000000-0005-0000-0000-000066300000}"/>
    <cellStyle name="Normal 10 2 4 2 2 2" xfId="7452" xr:uid="{00000000-0005-0000-0000-000067300000}"/>
    <cellStyle name="Normal 10 2 4 2 2 2 2" xfId="22336" xr:uid="{00000000-0005-0000-0000-000068300000}"/>
    <cellStyle name="Normal 10 2 4 2 2 2 2 2" xfId="44979" xr:uid="{00000000-0005-0000-0000-000069300000}"/>
    <cellStyle name="Normal 10 2 4 2 2 2 3" xfId="14896" xr:uid="{00000000-0005-0000-0000-00006A300000}"/>
    <cellStyle name="Normal 10 2 4 2 2 2 3 2" xfId="37539" xr:uid="{00000000-0005-0000-0000-00006B300000}"/>
    <cellStyle name="Normal 10 2 4 2 2 2 4" xfId="30098" xr:uid="{00000000-0005-0000-0000-00006C300000}"/>
    <cellStyle name="Normal 10 2 4 2 2 3" xfId="18618" xr:uid="{00000000-0005-0000-0000-00006D300000}"/>
    <cellStyle name="Normal 10 2 4 2 2 3 2" xfId="41261" xr:uid="{00000000-0005-0000-0000-00006E300000}"/>
    <cellStyle name="Normal 10 2 4 2 2 4" xfId="11178" xr:uid="{00000000-0005-0000-0000-00006F300000}"/>
    <cellStyle name="Normal 10 2 4 2 2 4 2" xfId="33821" xr:uid="{00000000-0005-0000-0000-000070300000}"/>
    <cellStyle name="Normal 10 2 4 2 2 5" xfId="26380" xr:uid="{00000000-0005-0000-0000-000071300000}"/>
    <cellStyle name="Normal 10 2 4 2 3" xfId="5605" xr:uid="{00000000-0005-0000-0000-000072300000}"/>
    <cellStyle name="Normal 10 2 4 2 3 2" xfId="20489" xr:uid="{00000000-0005-0000-0000-000073300000}"/>
    <cellStyle name="Normal 10 2 4 2 3 2 2" xfId="43132" xr:uid="{00000000-0005-0000-0000-000074300000}"/>
    <cellStyle name="Normal 10 2 4 2 3 3" xfId="13049" xr:uid="{00000000-0005-0000-0000-000075300000}"/>
    <cellStyle name="Normal 10 2 4 2 3 3 2" xfId="35692" xr:uid="{00000000-0005-0000-0000-000076300000}"/>
    <cellStyle name="Normal 10 2 4 2 3 4" xfId="28251" xr:uid="{00000000-0005-0000-0000-000077300000}"/>
    <cellStyle name="Normal 10 2 4 2 4" xfId="16771" xr:uid="{00000000-0005-0000-0000-000078300000}"/>
    <cellStyle name="Normal 10 2 4 2 4 2" xfId="39414" xr:uid="{00000000-0005-0000-0000-000079300000}"/>
    <cellStyle name="Normal 10 2 4 2 5" xfId="9331" xr:uid="{00000000-0005-0000-0000-00007A300000}"/>
    <cellStyle name="Normal 10 2 4 2 5 2" xfId="31974" xr:uid="{00000000-0005-0000-0000-00007B300000}"/>
    <cellStyle name="Normal 10 2 4 2 6" xfId="24533" xr:uid="{00000000-0005-0000-0000-00007C300000}"/>
    <cellStyle name="Normal 10 2 4 3" xfId="2806" xr:uid="{00000000-0005-0000-0000-00007D300000}"/>
    <cellStyle name="Normal 10 2 4 3 2" xfId="6527" xr:uid="{00000000-0005-0000-0000-00007E300000}"/>
    <cellStyle name="Normal 10 2 4 3 2 2" xfId="21411" xr:uid="{00000000-0005-0000-0000-00007F300000}"/>
    <cellStyle name="Normal 10 2 4 3 2 2 2" xfId="44054" xr:uid="{00000000-0005-0000-0000-000080300000}"/>
    <cellStyle name="Normal 10 2 4 3 2 3" xfId="13971" xr:uid="{00000000-0005-0000-0000-000081300000}"/>
    <cellStyle name="Normal 10 2 4 3 2 3 2" xfId="36614" xr:uid="{00000000-0005-0000-0000-000082300000}"/>
    <cellStyle name="Normal 10 2 4 3 2 4" xfId="29173" xr:uid="{00000000-0005-0000-0000-000083300000}"/>
    <cellStyle name="Normal 10 2 4 3 3" xfId="17693" xr:uid="{00000000-0005-0000-0000-000084300000}"/>
    <cellStyle name="Normal 10 2 4 3 3 2" xfId="40336" xr:uid="{00000000-0005-0000-0000-000085300000}"/>
    <cellStyle name="Normal 10 2 4 3 4" xfId="10253" xr:uid="{00000000-0005-0000-0000-000086300000}"/>
    <cellStyle name="Normal 10 2 4 3 4 2" xfId="32896" xr:uid="{00000000-0005-0000-0000-000087300000}"/>
    <cellStyle name="Normal 10 2 4 3 5" xfId="25455" xr:uid="{00000000-0005-0000-0000-000088300000}"/>
    <cellStyle name="Normal 10 2 4 4" xfId="4680" xr:uid="{00000000-0005-0000-0000-000089300000}"/>
    <cellStyle name="Normal 10 2 4 4 2" xfId="19564" xr:uid="{00000000-0005-0000-0000-00008A300000}"/>
    <cellStyle name="Normal 10 2 4 4 2 2" xfId="42207" xr:uid="{00000000-0005-0000-0000-00008B300000}"/>
    <cellStyle name="Normal 10 2 4 4 3" xfId="12124" xr:uid="{00000000-0005-0000-0000-00008C300000}"/>
    <cellStyle name="Normal 10 2 4 4 3 2" xfId="34767" xr:uid="{00000000-0005-0000-0000-00008D300000}"/>
    <cellStyle name="Normal 10 2 4 4 4" xfId="27326" xr:uid="{00000000-0005-0000-0000-00008E300000}"/>
    <cellStyle name="Normal 10 2 4 5" xfId="15846" xr:uid="{00000000-0005-0000-0000-00008F300000}"/>
    <cellStyle name="Normal 10 2 4 5 2" xfId="38489" xr:uid="{00000000-0005-0000-0000-000090300000}"/>
    <cellStyle name="Normal 10 2 4 6" xfId="8406" xr:uid="{00000000-0005-0000-0000-000091300000}"/>
    <cellStyle name="Normal 10 2 4 6 2" xfId="31049" xr:uid="{00000000-0005-0000-0000-000092300000}"/>
    <cellStyle name="Normal 10 2 4 7" xfId="23608" xr:uid="{00000000-0005-0000-0000-000093300000}"/>
    <cellStyle name="Normal 10 2 5" xfId="1419" xr:uid="{00000000-0005-0000-0000-000094300000}"/>
    <cellStyle name="Normal 10 2 5 2" xfId="3269" xr:uid="{00000000-0005-0000-0000-000095300000}"/>
    <cellStyle name="Normal 10 2 5 2 2" xfId="6990" xr:uid="{00000000-0005-0000-0000-000096300000}"/>
    <cellStyle name="Normal 10 2 5 2 2 2" xfId="21874" xr:uid="{00000000-0005-0000-0000-000097300000}"/>
    <cellStyle name="Normal 10 2 5 2 2 2 2" xfId="44517" xr:uid="{00000000-0005-0000-0000-000098300000}"/>
    <cellStyle name="Normal 10 2 5 2 2 3" xfId="14434" xr:uid="{00000000-0005-0000-0000-000099300000}"/>
    <cellStyle name="Normal 10 2 5 2 2 3 2" xfId="37077" xr:uid="{00000000-0005-0000-0000-00009A300000}"/>
    <cellStyle name="Normal 10 2 5 2 2 4" xfId="29636" xr:uid="{00000000-0005-0000-0000-00009B300000}"/>
    <cellStyle name="Normal 10 2 5 2 3" xfId="18156" xr:uid="{00000000-0005-0000-0000-00009C300000}"/>
    <cellStyle name="Normal 10 2 5 2 3 2" xfId="40799" xr:uid="{00000000-0005-0000-0000-00009D300000}"/>
    <cellStyle name="Normal 10 2 5 2 4" xfId="10716" xr:uid="{00000000-0005-0000-0000-00009E300000}"/>
    <cellStyle name="Normal 10 2 5 2 4 2" xfId="33359" xr:uid="{00000000-0005-0000-0000-00009F300000}"/>
    <cellStyle name="Normal 10 2 5 2 5" xfId="25918" xr:uid="{00000000-0005-0000-0000-0000A0300000}"/>
    <cellStyle name="Normal 10 2 5 3" xfId="5143" xr:uid="{00000000-0005-0000-0000-0000A1300000}"/>
    <cellStyle name="Normal 10 2 5 3 2" xfId="20027" xr:uid="{00000000-0005-0000-0000-0000A2300000}"/>
    <cellStyle name="Normal 10 2 5 3 2 2" xfId="42670" xr:uid="{00000000-0005-0000-0000-0000A3300000}"/>
    <cellStyle name="Normal 10 2 5 3 3" xfId="12587" xr:uid="{00000000-0005-0000-0000-0000A4300000}"/>
    <cellStyle name="Normal 10 2 5 3 3 2" xfId="35230" xr:uid="{00000000-0005-0000-0000-0000A5300000}"/>
    <cellStyle name="Normal 10 2 5 3 4" xfId="27789" xr:uid="{00000000-0005-0000-0000-0000A6300000}"/>
    <cellStyle name="Normal 10 2 5 4" xfId="16309" xr:uid="{00000000-0005-0000-0000-0000A7300000}"/>
    <cellStyle name="Normal 10 2 5 4 2" xfId="38952" xr:uid="{00000000-0005-0000-0000-0000A8300000}"/>
    <cellStyle name="Normal 10 2 5 5" xfId="8869" xr:uid="{00000000-0005-0000-0000-0000A9300000}"/>
    <cellStyle name="Normal 10 2 5 5 2" xfId="31512" xr:uid="{00000000-0005-0000-0000-0000AA300000}"/>
    <cellStyle name="Normal 10 2 5 6" xfId="24071" xr:uid="{00000000-0005-0000-0000-0000AB300000}"/>
    <cellStyle name="Normal 10 2 6" xfId="2344" xr:uid="{00000000-0005-0000-0000-0000AC300000}"/>
    <cellStyle name="Normal 10 2 6 2" xfId="6065" xr:uid="{00000000-0005-0000-0000-0000AD300000}"/>
    <cellStyle name="Normal 10 2 6 2 2" xfId="20949" xr:uid="{00000000-0005-0000-0000-0000AE300000}"/>
    <cellStyle name="Normal 10 2 6 2 2 2" xfId="43592" xr:uid="{00000000-0005-0000-0000-0000AF300000}"/>
    <cellStyle name="Normal 10 2 6 2 3" xfId="13509" xr:uid="{00000000-0005-0000-0000-0000B0300000}"/>
    <cellStyle name="Normal 10 2 6 2 3 2" xfId="36152" xr:uid="{00000000-0005-0000-0000-0000B1300000}"/>
    <cellStyle name="Normal 10 2 6 2 4" xfId="28711" xr:uid="{00000000-0005-0000-0000-0000B2300000}"/>
    <cellStyle name="Normal 10 2 6 3" xfId="17231" xr:uid="{00000000-0005-0000-0000-0000B3300000}"/>
    <cellStyle name="Normal 10 2 6 3 2" xfId="39874" xr:uid="{00000000-0005-0000-0000-0000B4300000}"/>
    <cellStyle name="Normal 10 2 6 4" xfId="9791" xr:uid="{00000000-0005-0000-0000-0000B5300000}"/>
    <cellStyle name="Normal 10 2 6 4 2" xfId="32434" xr:uid="{00000000-0005-0000-0000-0000B6300000}"/>
    <cellStyle name="Normal 10 2 6 5" xfId="24993" xr:uid="{00000000-0005-0000-0000-0000B7300000}"/>
    <cellStyle name="Normal 10 2 7" xfId="4218" xr:uid="{00000000-0005-0000-0000-0000B8300000}"/>
    <cellStyle name="Normal 10 2 7 2" xfId="19102" xr:uid="{00000000-0005-0000-0000-0000B9300000}"/>
    <cellStyle name="Normal 10 2 7 2 2" xfId="41745" xr:uid="{00000000-0005-0000-0000-0000BA300000}"/>
    <cellStyle name="Normal 10 2 7 3" xfId="11662" xr:uid="{00000000-0005-0000-0000-0000BB300000}"/>
    <cellStyle name="Normal 10 2 7 3 2" xfId="34305" xr:uid="{00000000-0005-0000-0000-0000BC300000}"/>
    <cellStyle name="Normal 10 2 7 4" xfId="26864" xr:uid="{00000000-0005-0000-0000-0000BD300000}"/>
    <cellStyle name="Normal 10 2 8" xfId="486" xr:uid="{00000000-0005-0000-0000-0000BE300000}"/>
    <cellStyle name="Normal 10 2 8 2" xfId="15384" xr:uid="{00000000-0005-0000-0000-0000BF300000}"/>
    <cellStyle name="Normal 10 2 8 2 2" xfId="38027" xr:uid="{00000000-0005-0000-0000-0000C0300000}"/>
    <cellStyle name="Normal 10 2 8 3" xfId="23147" xr:uid="{00000000-0005-0000-0000-0000C1300000}"/>
    <cellStyle name="Normal 10 2 9" xfId="7944" xr:uid="{00000000-0005-0000-0000-0000C2300000}"/>
    <cellStyle name="Normal 10 2 9 2" xfId="30587" xr:uid="{00000000-0005-0000-0000-0000C3300000}"/>
    <cellStyle name="Normal 10 3" xfId="250" xr:uid="{00000000-0005-0000-0000-0000C4300000}"/>
    <cellStyle name="Normal 10 3 2" xfId="752" xr:uid="{00000000-0005-0000-0000-0000C5300000}"/>
    <cellStyle name="Normal 10 3 2 2" xfId="1217" xr:uid="{00000000-0005-0000-0000-0000C6300000}"/>
    <cellStyle name="Normal 10 3 2 2 2" xfId="2145" xr:uid="{00000000-0005-0000-0000-0000C7300000}"/>
    <cellStyle name="Normal 10 3 2 2 2 2" xfId="3995" xr:uid="{00000000-0005-0000-0000-0000C8300000}"/>
    <cellStyle name="Normal 10 3 2 2 2 2 2" xfId="7716" xr:uid="{00000000-0005-0000-0000-0000C9300000}"/>
    <cellStyle name="Normal 10 3 2 2 2 2 2 2" xfId="22600" xr:uid="{00000000-0005-0000-0000-0000CA300000}"/>
    <cellStyle name="Normal 10 3 2 2 2 2 2 2 2" xfId="45243" xr:uid="{00000000-0005-0000-0000-0000CB300000}"/>
    <cellStyle name="Normal 10 3 2 2 2 2 2 3" xfId="15160" xr:uid="{00000000-0005-0000-0000-0000CC300000}"/>
    <cellStyle name="Normal 10 3 2 2 2 2 2 3 2" xfId="37803" xr:uid="{00000000-0005-0000-0000-0000CD300000}"/>
    <cellStyle name="Normal 10 3 2 2 2 2 2 4" xfId="30362" xr:uid="{00000000-0005-0000-0000-0000CE300000}"/>
    <cellStyle name="Normal 10 3 2 2 2 2 3" xfId="18882" xr:uid="{00000000-0005-0000-0000-0000CF300000}"/>
    <cellStyle name="Normal 10 3 2 2 2 2 3 2" xfId="41525" xr:uid="{00000000-0005-0000-0000-0000D0300000}"/>
    <cellStyle name="Normal 10 3 2 2 2 2 4" xfId="11442" xr:uid="{00000000-0005-0000-0000-0000D1300000}"/>
    <cellStyle name="Normal 10 3 2 2 2 2 4 2" xfId="34085" xr:uid="{00000000-0005-0000-0000-0000D2300000}"/>
    <cellStyle name="Normal 10 3 2 2 2 2 5" xfId="26644" xr:uid="{00000000-0005-0000-0000-0000D3300000}"/>
    <cellStyle name="Normal 10 3 2 2 2 3" xfId="5869" xr:uid="{00000000-0005-0000-0000-0000D4300000}"/>
    <cellStyle name="Normal 10 3 2 2 2 3 2" xfId="20753" xr:uid="{00000000-0005-0000-0000-0000D5300000}"/>
    <cellStyle name="Normal 10 3 2 2 2 3 2 2" xfId="43396" xr:uid="{00000000-0005-0000-0000-0000D6300000}"/>
    <cellStyle name="Normal 10 3 2 2 2 3 3" xfId="13313" xr:uid="{00000000-0005-0000-0000-0000D7300000}"/>
    <cellStyle name="Normal 10 3 2 2 2 3 3 2" xfId="35956" xr:uid="{00000000-0005-0000-0000-0000D8300000}"/>
    <cellStyle name="Normal 10 3 2 2 2 3 4" xfId="28515" xr:uid="{00000000-0005-0000-0000-0000D9300000}"/>
    <cellStyle name="Normal 10 3 2 2 2 4" xfId="17035" xr:uid="{00000000-0005-0000-0000-0000DA300000}"/>
    <cellStyle name="Normal 10 3 2 2 2 4 2" xfId="39678" xr:uid="{00000000-0005-0000-0000-0000DB300000}"/>
    <cellStyle name="Normal 10 3 2 2 2 5" xfId="9595" xr:uid="{00000000-0005-0000-0000-0000DC300000}"/>
    <cellStyle name="Normal 10 3 2 2 2 5 2" xfId="32238" xr:uid="{00000000-0005-0000-0000-0000DD300000}"/>
    <cellStyle name="Normal 10 3 2 2 2 6" xfId="24797" xr:uid="{00000000-0005-0000-0000-0000DE300000}"/>
    <cellStyle name="Normal 10 3 2 2 3" xfId="3070" xr:uid="{00000000-0005-0000-0000-0000DF300000}"/>
    <cellStyle name="Normal 10 3 2 2 3 2" xfId="6791" xr:uid="{00000000-0005-0000-0000-0000E0300000}"/>
    <cellStyle name="Normal 10 3 2 2 3 2 2" xfId="21675" xr:uid="{00000000-0005-0000-0000-0000E1300000}"/>
    <cellStyle name="Normal 10 3 2 2 3 2 2 2" xfId="44318" xr:uid="{00000000-0005-0000-0000-0000E2300000}"/>
    <cellStyle name="Normal 10 3 2 2 3 2 3" xfId="14235" xr:uid="{00000000-0005-0000-0000-0000E3300000}"/>
    <cellStyle name="Normal 10 3 2 2 3 2 3 2" xfId="36878" xr:uid="{00000000-0005-0000-0000-0000E4300000}"/>
    <cellStyle name="Normal 10 3 2 2 3 2 4" xfId="29437" xr:uid="{00000000-0005-0000-0000-0000E5300000}"/>
    <cellStyle name="Normal 10 3 2 2 3 3" xfId="17957" xr:uid="{00000000-0005-0000-0000-0000E6300000}"/>
    <cellStyle name="Normal 10 3 2 2 3 3 2" xfId="40600" xr:uid="{00000000-0005-0000-0000-0000E7300000}"/>
    <cellStyle name="Normal 10 3 2 2 3 4" xfId="10517" xr:uid="{00000000-0005-0000-0000-0000E8300000}"/>
    <cellStyle name="Normal 10 3 2 2 3 4 2" xfId="33160" xr:uid="{00000000-0005-0000-0000-0000E9300000}"/>
    <cellStyle name="Normal 10 3 2 2 3 5" xfId="25719" xr:uid="{00000000-0005-0000-0000-0000EA300000}"/>
    <cellStyle name="Normal 10 3 2 2 4" xfId="4944" xr:uid="{00000000-0005-0000-0000-0000EB300000}"/>
    <cellStyle name="Normal 10 3 2 2 4 2" xfId="19828" xr:uid="{00000000-0005-0000-0000-0000EC300000}"/>
    <cellStyle name="Normal 10 3 2 2 4 2 2" xfId="42471" xr:uid="{00000000-0005-0000-0000-0000ED300000}"/>
    <cellStyle name="Normal 10 3 2 2 4 3" xfId="12388" xr:uid="{00000000-0005-0000-0000-0000EE300000}"/>
    <cellStyle name="Normal 10 3 2 2 4 3 2" xfId="35031" xr:uid="{00000000-0005-0000-0000-0000EF300000}"/>
    <cellStyle name="Normal 10 3 2 2 4 4" xfId="27590" xr:uid="{00000000-0005-0000-0000-0000F0300000}"/>
    <cellStyle name="Normal 10 3 2 2 5" xfId="16110" xr:uid="{00000000-0005-0000-0000-0000F1300000}"/>
    <cellStyle name="Normal 10 3 2 2 5 2" xfId="38753" xr:uid="{00000000-0005-0000-0000-0000F2300000}"/>
    <cellStyle name="Normal 10 3 2 2 6" xfId="8670" xr:uid="{00000000-0005-0000-0000-0000F3300000}"/>
    <cellStyle name="Normal 10 3 2 2 6 2" xfId="31313" xr:uid="{00000000-0005-0000-0000-0000F4300000}"/>
    <cellStyle name="Normal 10 3 2 2 7" xfId="23872" xr:uid="{00000000-0005-0000-0000-0000F5300000}"/>
    <cellStyle name="Normal 10 3 2 3" xfId="1683" xr:uid="{00000000-0005-0000-0000-0000F6300000}"/>
    <cellStyle name="Normal 10 3 2 3 2" xfId="3533" xr:uid="{00000000-0005-0000-0000-0000F7300000}"/>
    <cellStyle name="Normal 10 3 2 3 2 2" xfId="7254" xr:uid="{00000000-0005-0000-0000-0000F8300000}"/>
    <cellStyle name="Normal 10 3 2 3 2 2 2" xfId="22138" xr:uid="{00000000-0005-0000-0000-0000F9300000}"/>
    <cellStyle name="Normal 10 3 2 3 2 2 2 2" xfId="44781" xr:uid="{00000000-0005-0000-0000-0000FA300000}"/>
    <cellStyle name="Normal 10 3 2 3 2 2 3" xfId="14698" xr:uid="{00000000-0005-0000-0000-0000FB300000}"/>
    <cellStyle name="Normal 10 3 2 3 2 2 3 2" xfId="37341" xr:uid="{00000000-0005-0000-0000-0000FC300000}"/>
    <cellStyle name="Normal 10 3 2 3 2 2 4" xfId="29900" xr:uid="{00000000-0005-0000-0000-0000FD300000}"/>
    <cellStyle name="Normal 10 3 2 3 2 3" xfId="18420" xr:uid="{00000000-0005-0000-0000-0000FE300000}"/>
    <cellStyle name="Normal 10 3 2 3 2 3 2" xfId="41063" xr:uid="{00000000-0005-0000-0000-0000FF300000}"/>
    <cellStyle name="Normal 10 3 2 3 2 4" xfId="10980" xr:uid="{00000000-0005-0000-0000-000000310000}"/>
    <cellStyle name="Normal 10 3 2 3 2 4 2" xfId="33623" xr:uid="{00000000-0005-0000-0000-000001310000}"/>
    <cellStyle name="Normal 10 3 2 3 2 5" xfId="26182" xr:uid="{00000000-0005-0000-0000-000002310000}"/>
    <cellStyle name="Normal 10 3 2 3 3" xfId="5407" xr:uid="{00000000-0005-0000-0000-000003310000}"/>
    <cellStyle name="Normal 10 3 2 3 3 2" xfId="20291" xr:uid="{00000000-0005-0000-0000-000004310000}"/>
    <cellStyle name="Normal 10 3 2 3 3 2 2" xfId="42934" xr:uid="{00000000-0005-0000-0000-000005310000}"/>
    <cellStyle name="Normal 10 3 2 3 3 3" xfId="12851" xr:uid="{00000000-0005-0000-0000-000006310000}"/>
    <cellStyle name="Normal 10 3 2 3 3 3 2" xfId="35494" xr:uid="{00000000-0005-0000-0000-000007310000}"/>
    <cellStyle name="Normal 10 3 2 3 3 4" xfId="28053" xr:uid="{00000000-0005-0000-0000-000008310000}"/>
    <cellStyle name="Normal 10 3 2 3 4" xfId="16573" xr:uid="{00000000-0005-0000-0000-000009310000}"/>
    <cellStyle name="Normal 10 3 2 3 4 2" xfId="39216" xr:uid="{00000000-0005-0000-0000-00000A310000}"/>
    <cellStyle name="Normal 10 3 2 3 5" xfId="9133" xr:uid="{00000000-0005-0000-0000-00000B310000}"/>
    <cellStyle name="Normal 10 3 2 3 5 2" xfId="31776" xr:uid="{00000000-0005-0000-0000-00000C310000}"/>
    <cellStyle name="Normal 10 3 2 3 6" xfId="24335" xr:uid="{00000000-0005-0000-0000-00000D310000}"/>
    <cellStyle name="Normal 10 3 2 4" xfId="2608" xr:uid="{00000000-0005-0000-0000-00000E310000}"/>
    <cellStyle name="Normal 10 3 2 4 2" xfId="6329" xr:uid="{00000000-0005-0000-0000-00000F310000}"/>
    <cellStyle name="Normal 10 3 2 4 2 2" xfId="21213" xr:uid="{00000000-0005-0000-0000-000010310000}"/>
    <cellStyle name="Normal 10 3 2 4 2 2 2" xfId="43856" xr:uid="{00000000-0005-0000-0000-000011310000}"/>
    <cellStyle name="Normal 10 3 2 4 2 3" xfId="13773" xr:uid="{00000000-0005-0000-0000-000012310000}"/>
    <cellStyle name="Normal 10 3 2 4 2 3 2" xfId="36416" xr:uid="{00000000-0005-0000-0000-000013310000}"/>
    <cellStyle name="Normal 10 3 2 4 2 4" xfId="28975" xr:uid="{00000000-0005-0000-0000-000014310000}"/>
    <cellStyle name="Normal 10 3 2 4 3" xfId="17495" xr:uid="{00000000-0005-0000-0000-000015310000}"/>
    <cellStyle name="Normal 10 3 2 4 3 2" xfId="40138" xr:uid="{00000000-0005-0000-0000-000016310000}"/>
    <cellStyle name="Normal 10 3 2 4 4" xfId="10055" xr:uid="{00000000-0005-0000-0000-000017310000}"/>
    <cellStyle name="Normal 10 3 2 4 4 2" xfId="32698" xr:uid="{00000000-0005-0000-0000-000018310000}"/>
    <cellStyle name="Normal 10 3 2 4 5" xfId="25257" xr:uid="{00000000-0005-0000-0000-000019310000}"/>
    <cellStyle name="Normal 10 3 2 5" xfId="4482" xr:uid="{00000000-0005-0000-0000-00001A310000}"/>
    <cellStyle name="Normal 10 3 2 5 2" xfId="19366" xr:uid="{00000000-0005-0000-0000-00001B310000}"/>
    <cellStyle name="Normal 10 3 2 5 2 2" xfId="42009" xr:uid="{00000000-0005-0000-0000-00001C310000}"/>
    <cellStyle name="Normal 10 3 2 5 3" xfId="11926" xr:uid="{00000000-0005-0000-0000-00001D310000}"/>
    <cellStyle name="Normal 10 3 2 5 3 2" xfId="34569" xr:uid="{00000000-0005-0000-0000-00001E310000}"/>
    <cellStyle name="Normal 10 3 2 5 4" xfId="27128" xr:uid="{00000000-0005-0000-0000-00001F310000}"/>
    <cellStyle name="Normal 10 3 2 6" xfId="15648" xr:uid="{00000000-0005-0000-0000-000020310000}"/>
    <cellStyle name="Normal 10 3 2 6 2" xfId="38291" xr:uid="{00000000-0005-0000-0000-000021310000}"/>
    <cellStyle name="Normal 10 3 2 7" xfId="8208" xr:uid="{00000000-0005-0000-0000-000022310000}"/>
    <cellStyle name="Normal 10 3 2 7 2" xfId="30851" xr:uid="{00000000-0005-0000-0000-000023310000}"/>
    <cellStyle name="Normal 10 3 2 8" xfId="23410" xr:uid="{00000000-0005-0000-0000-000024310000}"/>
    <cellStyle name="Normal 10 3 3" xfId="1006" xr:uid="{00000000-0005-0000-0000-000025310000}"/>
    <cellStyle name="Normal 10 3 3 2" xfId="1934" xr:uid="{00000000-0005-0000-0000-000026310000}"/>
    <cellStyle name="Normal 10 3 3 2 2" xfId="3784" xr:uid="{00000000-0005-0000-0000-000027310000}"/>
    <cellStyle name="Normal 10 3 3 2 2 2" xfId="7505" xr:uid="{00000000-0005-0000-0000-000028310000}"/>
    <cellStyle name="Normal 10 3 3 2 2 2 2" xfId="22389" xr:uid="{00000000-0005-0000-0000-000029310000}"/>
    <cellStyle name="Normal 10 3 3 2 2 2 2 2" xfId="45032" xr:uid="{00000000-0005-0000-0000-00002A310000}"/>
    <cellStyle name="Normal 10 3 3 2 2 2 3" xfId="14949" xr:uid="{00000000-0005-0000-0000-00002B310000}"/>
    <cellStyle name="Normal 10 3 3 2 2 2 3 2" xfId="37592" xr:uid="{00000000-0005-0000-0000-00002C310000}"/>
    <cellStyle name="Normal 10 3 3 2 2 2 4" xfId="30151" xr:uid="{00000000-0005-0000-0000-00002D310000}"/>
    <cellStyle name="Normal 10 3 3 2 2 3" xfId="18671" xr:uid="{00000000-0005-0000-0000-00002E310000}"/>
    <cellStyle name="Normal 10 3 3 2 2 3 2" xfId="41314" xr:uid="{00000000-0005-0000-0000-00002F310000}"/>
    <cellStyle name="Normal 10 3 3 2 2 4" xfId="11231" xr:uid="{00000000-0005-0000-0000-000030310000}"/>
    <cellStyle name="Normal 10 3 3 2 2 4 2" xfId="33874" xr:uid="{00000000-0005-0000-0000-000031310000}"/>
    <cellStyle name="Normal 10 3 3 2 2 5" xfId="26433" xr:uid="{00000000-0005-0000-0000-000032310000}"/>
    <cellStyle name="Normal 10 3 3 2 3" xfId="5658" xr:uid="{00000000-0005-0000-0000-000033310000}"/>
    <cellStyle name="Normal 10 3 3 2 3 2" xfId="20542" xr:uid="{00000000-0005-0000-0000-000034310000}"/>
    <cellStyle name="Normal 10 3 3 2 3 2 2" xfId="43185" xr:uid="{00000000-0005-0000-0000-000035310000}"/>
    <cellStyle name="Normal 10 3 3 2 3 3" xfId="13102" xr:uid="{00000000-0005-0000-0000-000036310000}"/>
    <cellStyle name="Normal 10 3 3 2 3 3 2" xfId="35745" xr:uid="{00000000-0005-0000-0000-000037310000}"/>
    <cellStyle name="Normal 10 3 3 2 3 4" xfId="28304" xr:uid="{00000000-0005-0000-0000-000038310000}"/>
    <cellStyle name="Normal 10 3 3 2 4" xfId="16824" xr:uid="{00000000-0005-0000-0000-000039310000}"/>
    <cellStyle name="Normal 10 3 3 2 4 2" xfId="39467" xr:uid="{00000000-0005-0000-0000-00003A310000}"/>
    <cellStyle name="Normal 10 3 3 2 5" xfId="9384" xr:uid="{00000000-0005-0000-0000-00003B310000}"/>
    <cellStyle name="Normal 10 3 3 2 5 2" xfId="32027" xr:uid="{00000000-0005-0000-0000-00003C310000}"/>
    <cellStyle name="Normal 10 3 3 2 6" xfId="24586" xr:uid="{00000000-0005-0000-0000-00003D310000}"/>
    <cellStyle name="Normal 10 3 3 3" xfId="2859" xr:uid="{00000000-0005-0000-0000-00003E310000}"/>
    <cellStyle name="Normal 10 3 3 3 2" xfId="6580" xr:uid="{00000000-0005-0000-0000-00003F310000}"/>
    <cellStyle name="Normal 10 3 3 3 2 2" xfId="21464" xr:uid="{00000000-0005-0000-0000-000040310000}"/>
    <cellStyle name="Normal 10 3 3 3 2 2 2" xfId="44107" xr:uid="{00000000-0005-0000-0000-000041310000}"/>
    <cellStyle name="Normal 10 3 3 3 2 3" xfId="14024" xr:uid="{00000000-0005-0000-0000-000042310000}"/>
    <cellStyle name="Normal 10 3 3 3 2 3 2" xfId="36667" xr:uid="{00000000-0005-0000-0000-000043310000}"/>
    <cellStyle name="Normal 10 3 3 3 2 4" xfId="29226" xr:uid="{00000000-0005-0000-0000-000044310000}"/>
    <cellStyle name="Normal 10 3 3 3 3" xfId="17746" xr:uid="{00000000-0005-0000-0000-000045310000}"/>
    <cellStyle name="Normal 10 3 3 3 3 2" xfId="40389" xr:uid="{00000000-0005-0000-0000-000046310000}"/>
    <cellStyle name="Normal 10 3 3 3 4" xfId="10306" xr:uid="{00000000-0005-0000-0000-000047310000}"/>
    <cellStyle name="Normal 10 3 3 3 4 2" xfId="32949" xr:uid="{00000000-0005-0000-0000-000048310000}"/>
    <cellStyle name="Normal 10 3 3 3 5" xfId="25508" xr:uid="{00000000-0005-0000-0000-000049310000}"/>
    <cellStyle name="Normal 10 3 3 4" xfId="4733" xr:uid="{00000000-0005-0000-0000-00004A310000}"/>
    <cellStyle name="Normal 10 3 3 4 2" xfId="19617" xr:uid="{00000000-0005-0000-0000-00004B310000}"/>
    <cellStyle name="Normal 10 3 3 4 2 2" xfId="42260" xr:uid="{00000000-0005-0000-0000-00004C310000}"/>
    <cellStyle name="Normal 10 3 3 4 3" xfId="12177" xr:uid="{00000000-0005-0000-0000-00004D310000}"/>
    <cellStyle name="Normal 10 3 3 4 3 2" xfId="34820" xr:uid="{00000000-0005-0000-0000-00004E310000}"/>
    <cellStyle name="Normal 10 3 3 4 4" xfId="27379" xr:uid="{00000000-0005-0000-0000-00004F310000}"/>
    <cellStyle name="Normal 10 3 3 5" xfId="15899" xr:uid="{00000000-0005-0000-0000-000050310000}"/>
    <cellStyle name="Normal 10 3 3 5 2" xfId="38542" xr:uid="{00000000-0005-0000-0000-000051310000}"/>
    <cellStyle name="Normal 10 3 3 6" xfId="8459" xr:uid="{00000000-0005-0000-0000-000052310000}"/>
    <cellStyle name="Normal 10 3 3 6 2" xfId="31102" xr:uid="{00000000-0005-0000-0000-000053310000}"/>
    <cellStyle name="Normal 10 3 3 7" xfId="23661" xr:uid="{00000000-0005-0000-0000-000054310000}"/>
    <cellStyle name="Normal 10 3 4" xfId="1472" xr:uid="{00000000-0005-0000-0000-000055310000}"/>
    <cellStyle name="Normal 10 3 4 2" xfId="3322" xr:uid="{00000000-0005-0000-0000-000056310000}"/>
    <cellStyle name="Normal 10 3 4 2 2" xfId="7043" xr:uid="{00000000-0005-0000-0000-000057310000}"/>
    <cellStyle name="Normal 10 3 4 2 2 2" xfId="21927" xr:uid="{00000000-0005-0000-0000-000058310000}"/>
    <cellStyle name="Normal 10 3 4 2 2 2 2" xfId="44570" xr:uid="{00000000-0005-0000-0000-000059310000}"/>
    <cellStyle name="Normal 10 3 4 2 2 3" xfId="14487" xr:uid="{00000000-0005-0000-0000-00005A310000}"/>
    <cellStyle name="Normal 10 3 4 2 2 3 2" xfId="37130" xr:uid="{00000000-0005-0000-0000-00005B310000}"/>
    <cellStyle name="Normal 10 3 4 2 2 4" xfId="29689" xr:uid="{00000000-0005-0000-0000-00005C310000}"/>
    <cellStyle name="Normal 10 3 4 2 3" xfId="18209" xr:uid="{00000000-0005-0000-0000-00005D310000}"/>
    <cellStyle name="Normal 10 3 4 2 3 2" xfId="40852" xr:uid="{00000000-0005-0000-0000-00005E310000}"/>
    <cellStyle name="Normal 10 3 4 2 4" xfId="10769" xr:uid="{00000000-0005-0000-0000-00005F310000}"/>
    <cellStyle name="Normal 10 3 4 2 4 2" xfId="33412" xr:uid="{00000000-0005-0000-0000-000060310000}"/>
    <cellStyle name="Normal 10 3 4 2 5" xfId="25971" xr:uid="{00000000-0005-0000-0000-000061310000}"/>
    <cellStyle name="Normal 10 3 4 3" xfId="5196" xr:uid="{00000000-0005-0000-0000-000062310000}"/>
    <cellStyle name="Normal 10 3 4 3 2" xfId="20080" xr:uid="{00000000-0005-0000-0000-000063310000}"/>
    <cellStyle name="Normal 10 3 4 3 2 2" xfId="42723" xr:uid="{00000000-0005-0000-0000-000064310000}"/>
    <cellStyle name="Normal 10 3 4 3 3" xfId="12640" xr:uid="{00000000-0005-0000-0000-000065310000}"/>
    <cellStyle name="Normal 10 3 4 3 3 2" xfId="35283" xr:uid="{00000000-0005-0000-0000-000066310000}"/>
    <cellStyle name="Normal 10 3 4 3 4" xfId="27842" xr:uid="{00000000-0005-0000-0000-000067310000}"/>
    <cellStyle name="Normal 10 3 4 4" xfId="16362" xr:uid="{00000000-0005-0000-0000-000068310000}"/>
    <cellStyle name="Normal 10 3 4 4 2" xfId="39005" xr:uid="{00000000-0005-0000-0000-000069310000}"/>
    <cellStyle name="Normal 10 3 4 5" xfId="8922" xr:uid="{00000000-0005-0000-0000-00006A310000}"/>
    <cellStyle name="Normal 10 3 4 5 2" xfId="31565" xr:uid="{00000000-0005-0000-0000-00006B310000}"/>
    <cellStyle name="Normal 10 3 4 6" xfId="24124" xr:uid="{00000000-0005-0000-0000-00006C310000}"/>
    <cellStyle name="Normal 10 3 5" xfId="2397" xr:uid="{00000000-0005-0000-0000-00006D310000}"/>
    <cellStyle name="Normal 10 3 5 2" xfId="6118" xr:uid="{00000000-0005-0000-0000-00006E310000}"/>
    <cellStyle name="Normal 10 3 5 2 2" xfId="21002" xr:uid="{00000000-0005-0000-0000-00006F310000}"/>
    <cellStyle name="Normal 10 3 5 2 2 2" xfId="43645" xr:uid="{00000000-0005-0000-0000-000070310000}"/>
    <cellStyle name="Normal 10 3 5 2 3" xfId="13562" xr:uid="{00000000-0005-0000-0000-000071310000}"/>
    <cellStyle name="Normal 10 3 5 2 3 2" xfId="36205" xr:uid="{00000000-0005-0000-0000-000072310000}"/>
    <cellStyle name="Normal 10 3 5 2 4" xfId="28764" xr:uid="{00000000-0005-0000-0000-000073310000}"/>
    <cellStyle name="Normal 10 3 5 3" xfId="17284" xr:uid="{00000000-0005-0000-0000-000074310000}"/>
    <cellStyle name="Normal 10 3 5 3 2" xfId="39927" xr:uid="{00000000-0005-0000-0000-000075310000}"/>
    <cellStyle name="Normal 10 3 5 4" xfId="9844" xr:uid="{00000000-0005-0000-0000-000076310000}"/>
    <cellStyle name="Normal 10 3 5 4 2" xfId="32487" xr:uid="{00000000-0005-0000-0000-000077310000}"/>
    <cellStyle name="Normal 10 3 5 5" xfId="25046" xr:uid="{00000000-0005-0000-0000-000078310000}"/>
    <cellStyle name="Normal 10 3 6" xfId="4271" xr:uid="{00000000-0005-0000-0000-000079310000}"/>
    <cellStyle name="Normal 10 3 6 2" xfId="19155" xr:uid="{00000000-0005-0000-0000-00007A310000}"/>
    <cellStyle name="Normal 10 3 6 2 2" xfId="41798" xr:uid="{00000000-0005-0000-0000-00007B310000}"/>
    <cellStyle name="Normal 10 3 6 3" xfId="11715" xr:uid="{00000000-0005-0000-0000-00007C310000}"/>
    <cellStyle name="Normal 10 3 6 3 2" xfId="34358" xr:uid="{00000000-0005-0000-0000-00007D310000}"/>
    <cellStyle name="Normal 10 3 6 4" xfId="26917" xr:uid="{00000000-0005-0000-0000-00007E310000}"/>
    <cellStyle name="Normal 10 3 7" xfId="540" xr:uid="{00000000-0005-0000-0000-00007F310000}"/>
    <cellStyle name="Normal 10 3 7 2" xfId="15437" xr:uid="{00000000-0005-0000-0000-000080310000}"/>
    <cellStyle name="Normal 10 3 7 2 2" xfId="38080" xr:uid="{00000000-0005-0000-0000-000081310000}"/>
    <cellStyle name="Normal 10 3 7 3" xfId="23200" xr:uid="{00000000-0005-0000-0000-000082310000}"/>
    <cellStyle name="Normal 10 3 8" xfId="7997" xr:uid="{00000000-0005-0000-0000-000083310000}"/>
    <cellStyle name="Normal 10 3 8 2" xfId="30640" xr:uid="{00000000-0005-0000-0000-000084310000}"/>
    <cellStyle name="Normal 10 3 9" xfId="22948" xr:uid="{00000000-0005-0000-0000-000085310000}"/>
    <cellStyle name="Normal 10 4" xfId="647" xr:uid="{00000000-0005-0000-0000-000086310000}"/>
    <cellStyle name="Normal 10 4 2" xfId="1112" xr:uid="{00000000-0005-0000-0000-000087310000}"/>
    <cellStyle name="Normal 10 4 2 2" xfId="2040" xr:uid="{00000000-0005-0000-0000-000088310000}"/>
    <cellStyle name="Normal 10 4 2 2 2" xfId="3890" xr:uid="{00000000-0005-0000-0000-000089310000}"/>
    <cellStyle name="Normal 10 4 2 2 2 2" xfId="7611" xr:uid="{00000000-0005-0000-0000-00008A310000}"/>
    <cellStyle name="Normal 10 4 2 2 2 2 2" xfId="22495" xr:uid="{00000000-0005-0000-0000-00008B310000}"/>
    <cellStyle name="Normal 10 4 2 2 2 2 2 2" xfId="45138" xr:uid="{00000000-0005-0000-0000-00008C310000}"/>
    <cellStyle name="Normal 10 4 2 2 2 2 3" xfId="15055" xr:uid="{00000000-0005-0000-0000-00008D310000}"/>
    <cellStyle name="Normal 10 4 2 2 2 2 3 2" xfId="37698" xr:uid="{00000000-0005-0000-0000-00008E310000}"/>
    <cellStyle name="Normal 10 4 2 2 2 2 4" xfId="30257" xr:uid="{00000000-0005-0000-0000-00008F310000}"/>
    <cellStyle name="Normal 10 4 2 2 2 3" xfId="18777" xr:uid="{00000000-0005-0000-0000-000090310000}"/>
    <cellStyle name="Normal 10 4 2 2 2 3 2" xfId="41420" xr:uid="{00000000-0005-0000-0000-000091310000}"/>
    <cellStyle name="Normal 10 4 2 2 2 4" xfId="11337" xr:uid="{00000000-0005-0000-0000-000092310000}"/>
    <cellStyle name="Normal 10 4 2 2 2 4 2" xfId="33980" xr:uid="{00000000-0005-0000-0000-000093310000}"/>
    <cellStyle name="Normal 10 4 2 2 2 5" xfId="26539" xr:uid="{00000000-0005-0000-0000-000094310000}"/>
    <cellStyle name="Normal 10 4 2 2 3" xfId="5764" xr:uid="{00000000-0005-0000-0000-000095310000}"/>
    <cellStyle name="Normal 10 4 2 2 3 2" xfId="20648" xr:uid="{00000000-0005-0000-0000-000096310000}"/>
    <cellStyle name="Normal 10 4 2 2 3 2 2" xfId="43291" xr:uid="{00000000-0005-0000-0000-000097310000}"/>
    <cellStyle name="Normal 10 4 2 2 3 3" xfId="13208" xr:uid="{00000000-0005-0000-0000-000098310000}"/>
    <cellStyle name="Normal 10 4 2 2 3 3 2" xfId="35851" xr:uid="{00000000-0005-0000-0000-000099310000}"/>
    <cellStyle name="Normal 10 4 2 2 3 4" xfId="28410" xr:uid="{00000000-0005-0000-0000-00009A310000}"/>
    <cellStyle name="Normal 10 4 2 2 4" xfId="16930" xr:uid="{00000000-0005-0000-0000-00009B310000}"/>
    <cellStyle name="Normal 10 4 2 2 4 2" xfId="39573" xr:uid="{00000000-0005-0000-0000-00009C310000}"/>
    <cellStyle name="Normal 10 4 2 2 5" xfId="9490" xr:uid="{00000000-0005-0000-0000-00009D310000}"/>
    <cellStyle name="Normal 10 4 2 2 5 2" xfId="32133" xr:uid="{00000000-0005-0000-0000-00009E310000}"/>
    <cellStyle name="Normal 10 4 2 2 6" xfId="24692" xr:uid="{00000000-0005-0000-0000-00009F310000}"/>
    <cellStyle name="Normal 10 4 2 3" xfId="2965" xr:uid="{00000000-0005-0000-0000-0000A0310000}"/>
    <cellStyle name="Normal 10 4 2 3 2" xfId="6686" xr:uid="{00000000-0005-0000-0000-0000A1310000}"/>
    <cellStyle name="Normal 10 4 2 3 2 2" xfId="21570" xr:uid="{00000000-0005-0000-0000-0000A2310000}"/>
    <cellStyle name="Normal 10 4 2 3 2 2 2" xfId="44213" xr:uid="{00000000-0005-0000-0000-0000A3310000}"/>
    <cellStyle name="Normal 10 4 2 3 2 3" xfId="14130" xr:uid="{00000000-0005-0000-0000-0000A4310000}"/>
    <cellStyle name="Normal 10 4 2 3 2 3 2" xfId="36773" xr:uid="{00000000-0005-0000-0000-0000A5310000}"/>
    <cellStyle name="Normal 10 4 2 3 2 4" xfId="29332" xr:uid="{00000000-0005-0000-0000-0000A6310000}"/>
    <cellStyle name="Normal 10 4 2 3 3" xfId="17852" xr:uid="{00000000-0005-0000-0000-0000A7310000}"/>
    <cellStyle name="Normal 10 4 2 3 3 2" xfId="40495" xr:uid="{00000000-0005-0000-0000-0000A8310000}"/>
    <cellStyle name="Normal 10 4 2 3 4" xfId="10412" xr:uid="{00000000-0005-0000-0000-0000A9310000}"/>
    <cellStyle name="Normal 10 4 2 3 4 2" xfId="33055" xr:uid="{00000000-0005-0000-0000-0000AA310000}"/>
    <cellStyle name="Normal 10 4 2 3 5" xfId="25614" xr:uid="{00000000-0005-0000-0000-0000AB310000}"/>
    <cellStyle name="Normal 10 4 2 4" xfId="4839" xr:uid="{00000000-0005-0000-0000-0000AC310000}"/>
    <cellStyle name="Normal 10 4 2 4 2" xfId="19723" xr:uid="{00000000-0005-0000-0000-0000AD310000}"/>
    <cellStyle name="Normal 10 4 2 4 2 2" xfId="42366" xr:uid="{00000000-0005-0000-0000-0000AE310000}"/>
    <cellStyle name="Normal 10 4 2 4 3" xfId="12283" xr:uid="{00000000-0005-0000-0000-0000AF310000}"/>
    <cellStyle name="Normal 10 4 2 4 3 2" xfId="34926" xr:uid="{00000000-0005-0000-0000-0000B0310000}"/>
    <cellStyle name="Normal 10 4 2 4 4" xfId="27485" xr:uid="{00000000-0005-0000-0000-0000B1310000}"/>
    <cellStyle name="Normal 10 4 2 5" xfId="16005" xr:uid="{00000000-0005-0000-0000-0000B2310000}"/>
    <cellStyle name="Normal 10 4 2 5 2" xfId="38648" xr:uid="{00000000-0005-0000-0000-0000B3310000}"/>
    <cellStyle name="Normal 10 4 2 6" xfId="8565" xr:uid="{00000000-0005-0000-0000-0000B4310000}"/>
    <cellStyle name="Normal 10 4 2 6 2" xfId="31208" xr:uid="{00000000-0005-0000-0000-0000B5310000}"/>
    <cellStyle name="Normal 10 4 2 7" xfId="23767" xr:uid="{00000000-0005-0000-0000-0000B6310000}"/>
    <cellStyle name="Normal 10 4 3" xfId="1578" xr:uid="{00000000-0005-0000-0000-0000B7310000}"/>
    <cellStyle name="Normal 10 4 3 2" xfId="3428" xr:uid="{00000000-0005-0000-0000-0000B8310000}"/>
    <cellStyle name="Normal 10 4 3 2 2" xfId="7149" xr:uid="{00000000-0005-0000-0000-0000B9310000}"/>
    <cellStyle name="Normal 10 4 3 2 2 2" xfId="22033" xr:uid="{00000000-0005-0000-0000-0000BA310000}"/>
    <cellStyle name="Normal 10 4 3 2 2 2 2" xfId="44676" xr:uid="{00000000-0005-0000-0000-0000BB310000}"/>
    <cellStyle name="Normal 10 4 3 2 2 3" xfId="14593" xr:uid="{00000000-0005-0000-0000-0000BC310000}"/>
    <cellStyle name="Normal 10 4 3 2 2 3 2" xfId="37236" xr:uid="{00000000-0005-0000-0000-0000BD310000}"/>
    <cellStyle name="Normal 10 4 3 2 2 4" xfId="29795" xr:uid="{00000000-0005-0000-0000-0000BE310000}"/>
    <cellStyle name="Normal 10 4 3 2 3" xfId="18315" xr:uid="{00000000-0005-0000-0000-0000BF310000}"/>
    <cellStyle name="Normal 10 4 3 2 3 2" xfId="40958" xr:uid="{00000000-0005-0000-0000-0000C0310000}"/>
    <cellStyle name="Normal 10 4 3 2 4" xfId="10875" xr:uid="{00000000-0005-0000-0000-0000C1310000}"/>
    <cellStyle name="Normal 10 4 3 2 4 2" xfId="33518" xr:uid="{00000000-0005-0000-0000-0000C2310000}"/>
    <cellStyle name="Normal 10 4 3 2 5" xfId="26077" xr:uid="{00000000-0005-0000-0000-0000C3310000}"/>
    <cellStyle name="Normal 10 4 3 3" xfId="5302" xr:uid="{00000000-0005-0000-0000-0000C4310000}"/>
    <cellStyle name="Normal 10 4 3 3 2" xfId="20186" xr:uid="{00000000-0005-0000-0000-0000C5310000}"/>
    <cellStyle name="Normal 10 4 3 3 2 2" xfId="42829" xr:uid="{00000000-0005-0000-0000-0000C6310000}"/>
    <cellStyle name="Normal 10 4 3 3 3" xfId="12746" xr:uid="{00000000-0005-0000-0000-0000C7310000}"/>
    <cellStyle name="Normal 10 4 3 3 3 2" xfId="35389" xr:uid="{00000000-0005-0000-0000-0000C8310000}"/>
    <cellStyle name="Normal 10 4 3 3 4" xfId="27948" xr:uid="{00000000-0005-0000-0000-0000C9310000}"/>
    <cellStyle name="Normal 10 4 3 4" xfId="16468" xr:uid="{00000000-0005-0000-0000-0000CA310000}"/>
    <cellStyle name="Normal 10 4 3 4 2" xfId="39111" xr:uid="{00000000-0005-0000-0000-0000CB310000}"/>
    <cellStyle name="Normal 10 4 3 5" xfId="9028" xr:uid="{00000000-0005-0000-0000-0000CC310000}"/>
    <cellStyle name="Normal 10 4 3 5 2" xfId="31671" xr:uid="{00000000-0005-0000-0000-0000CD310000}"/>
    <cellStyle name="Normal 10 4 3 6" xfId="24230" xr:uid="{00000000-0005-0000-0000-0000CE310000}"/>
    <cellStyle name="Normal 10 4 4" xfId="2503" xr:uid="{00000000-0005-0000-0000-0000CF310000}"/>
    <cellStyle name="Normal 10 4 4 2" xfId="6224" xr:uid="{00000000-0005-0000-0000-0000D0310000}"/>
    <cellStyle name="Normal 10 4 4 2 2" xfId="21108" xr:uid="{00000000-0005-0000-0000-0000D1310000}"/>
    <cellStyle name="Normal 10 4 4 2 2 2" xfId="43751" xr:uid="{00000000-0005-0000-0000-0000D2310000}"/>
    <cellStyle name="Normal 10 4 4 2 3" xfId="13668" xr:uid="{00000000-0005-0000-0000-0000D3310000}"/>
    <cellStyle name="Normal 10 4 4 2 3 2" xfId="36311" xr:uid="{00000000-0005-0000-0000-0000D4310000}"/>
    <cellStyle name="Normal 10 4 4 2 4" xfId="28870" xr:uid="{00000000-0005-0000-0000-0000D5310000}"/>
    <cellStyle name="Normal 10 4 4 3" xfId="17390" xr:uid="{00000000-0005-0000-0000-0000D6310000}"/>
    <cellStyle name="Normal 10 4 4 3 2" xfId="40033" xr:uid="{00000000-0005-0000-0000-0000D7310000}"/>
    <cellStyle name="Normal 10 4 4 4" xfId="9950" xr:uid="{00000000-0005-0000-0000-0000D8310000}"/>
    <cellStyle name="Normal 10 4 4 4 2" xfId="32593" xr:uid="{00000000-0005-0000-0000-0000D9310000}"/>
    <cellStyle name="Normal 10 4 4 5" xfId="25152" xr:uid="{00000000-0005-0000-0000-0000DA310000}"/>
    <cellStyle name="Normal 10 4 5" xfId="4377" xr:uid="{00000000-0005-0000-0000-0000DB310000}"/>
    <cellStyle name="Normal 10 4 5 2" xfId="19261" xr:uid="{00000000-0005-0000-0000-0000DC310000}"/>
    <cellStyle name="Normal 10 4 5 2 2" xfId="41904" xr:uid="{00000000-0005-0000-0000-0000DD310000}"/>
    <cellStyle name="Normal 10 4 5 3" xfId="11821" xr:uid="{00000000-0005-0000-0000-0000DE310000}"/>
    <cellStyle name="Normal 10 4 5 3 2" xfId="34464" xr:uid="{00000000-0005-0000-0000-0000DF310000}"/>
    <cellStyle name="Normal 10 4 5 4" xfId="27023" xr:uid="{00000000-0005-0000-0000-0000E0310000}"/>
    <cellStyle name="Normal 10 4 6" xfId="15543" xr:uid="{00000000-0005-0000-0000-0000E1310000}"/>
    <cellStyle name="Normal 10 4 6 2" xfId="38186" xr:uid="{00000000-0005-0000-0000-0000E2310000}"/>
    <cellStyle name="Normal 10 4 7" xfId="8103" xr:uid="{00000000-0005-0000-0000-0000E3310000}"/>
    <cellStyle name="Normal 10 4 7 2" xfId="30746" xr:uid="{00000000-0005-0000-0000-0000E4310000}"/>
    <cellStyle name="Normal 10 4 8" xfId="23305" xr:uid="{00000000-0005-0000-0000-0000E5310000}"/>
    <cellStyle name="Normal 10 5" xfId="901" xr:uid="{00000000-0005-0000-0000-0000E6310000}"/>
    <cellStyle name="Normal 10 5 2" xfId="1829" xr:uid="{00000000-0005-0000-0000-0000E7310000}"/>
    <cellStyle name="Normal 10 5 2 2" xfId="3679" xr:uid="{00000000-0005-0000-0000-0000E8310000}"/>
    <cellStyle name="Normal 10 5 2 2 2" xfId="7400" xr:uid="{00000000-0005-0000-0000-0000E9310000}"/>
    <cellStyle name="Normal 10 5 2 2 2 2" xfId="22284" xr:uid="{00000000-0005-0000-0000-0000EA310000}"/>
    <cellStyle name="Normal 10 5 2 2 2 2 2" xfId="44927" xr:uid="{00000000-0005-0000-0000-0000EB310000}"/>
    <cellStyle name="Normal 10 5 2 2 2 3" xfId="14844" xr:uid="{00000000-0005-0000-0000-0000EC310000}"/>
    <cellStyle name="Normal 10 5 2 2 2 3 2" xfId="37487" xr:uid="{00000000-0005-0000-0000-0000ED310000}"/>
    <cellStyle name="Normal 10 5 2 2 2 4" xfId="30046" xr:uid="{00000000-0005-0000-0000-0000EE310000}"/>
    <cellStyle name="Normal 10 5 2 2 3" xfId="18566" xr:uid="{00000000-0005-0000-0000-0000EF310000}"/>
    <cellStyle name="Normal 10 5 2 2 3 2" xfId="41209" xr:uid="{00000000-0005-0000-0000-0000F0310000}"/>
    <cellStyle name="Normal 10 5 2 2 4" xfId="11126" xr:uid="{00000000-0005-0000-0000-0000F1310000}"/>
    <cellStyle name="Normal 10 5 2 2 4 2" xfId="33769" xr:uid="{00000000-0005-0000-0000-0000F2310000}"/>
    <cellStyle name="Normal 10 5 2 2 5" xfId="26328" xr:uid="{00000000-0005-0000-0000-0000F3310000}"/>
    <cellStyle name="Normal 10 5 2 3" xfId="5553" xr:uid="{00000000-0005-0000-0000-0000F4310000}"/>
    <cellStyle name="Normal 10 5 2 3 2" xfId="20437" xr:uid="{00000000-0005-0000-0000-0000F5310000}"/>
    <cellStyle name="Normal 10 5 2 3 2 2" xfId="43080" xr:uid="{00000000-0005-0000-0000-0000F6310000}"/>
    <cellStyle name="Normal 10 5 2 3 3" xfId="12997" xr:uid="{00000000-0005-0000-0000-0000F7310000}"/>
    <cellStyle name="Normal 10 5 2 3 3 2" xfId="35640" xr:uid="{00000000-0005-0000-0000-0000F8310000}"/>
    <cellStyle name="Normal 10 5 2 3 4" xfId="28199" xr:uid="{00000000-0005-0000-0000-0000F9310000}"/>
    <cellStyle name="Normal 10 5 2 4" xfId="16719" xr:uid="{00000000-0005-0000-0000-0000FA310000}"/>
    <cellStyle name="Normal 10 5 2 4 2" xfId="39362" xr:uid="{00000000-0005-0000-0000-0000FB310000}"/>
    <cellStyle name="Normal 10 5 2 5" xfId="9279" xr:uid="{00000000-0005-0000-0000-0000FC310000}"/>
    <cellStyle name="Normal 10 5 2 5 2" xfId="31922" xr:uid="{00000000-0005-0000-0000-0000FD310000}"/>
    <cellStyle name="Normal 10 5 2 6" xfId="24481" xr:uid="{00000000-0005-0000-0000-0000FE310000}"/>
    <cellStyle name="Normal 10 5 3" xfId="2754" xr:uid="{00000000-0005-0000-0000-0000FF310000}"/>
    <cellStyle name="Normal 10 5 3 2" xfId="6475" xr:uid="{00000000-0005-0000-0000-000000320000}"/>
    <cellStyle name="Normal 10 5 3 2 2" xfId="21359" xr:uid="{00000000-0005-0000-0000-000001320000}"/>
    <cellStyle name="Normal 10 5 3 2 2 2" xfId="44002" xr:uid="{00000000-0005-0000-0000-000002320000}"/>
    <cellStyle name="Normal 10 5 3 2 3" xfId="13919" xr:uid="{00000000-0005-0000-0000-000003320000}"/>
    <cellStyle name="Normal 10 5 3 2 3 2" xfId="36562" xr:uid="{00000000-0005-0000-0000-000004320000}"/>
    <cellStyle name="Normal 10 5 3 2 4" xfId="29121" xr:uid="{00000000-0005-0000-0000-000005320000}"/>
    <cellStyle name="Normal 10 5 3 3" xfId="17641" xr:uid="{00000000-0005-0000-0000-000006320000}"/>
    <cellStyle name="Normal 10 5 3 3 2" xfId="40284" xr:uid="{00000000-0005-0000-0000-000007320000}"/>
    <cellStyle name="Normal 10 5 3 4" xfId="10201" xr:uid="{00000000-0005-0000-0000-000008320000}"/>
    <cellStyle name="Normal 10 5 3 4 2" xfId="32844" xr:uid="{00000000-0005-0000-0000-000009320000}"/>
    <cellStyle name="Normal 10 5 3 5" xfId="25403" xr:uid="{00000000-0005-0000-0000-00000A320000}"/>
    <cellStyle name="Normal 10 5 4" xfId="4628" xr:uid="{00000000-0005-0000-0000-00000B320000}"/>
    <cellStyle name="Normal 10 5 4 2" xfId="19512" xr:uid="{00000000-0005-0000-0000-00000C320000}"/>
    <cellStyle name="Normal 10 5 4 2 2" xfId="42155" xr:uid="{00000000-0005-0000-0000-00000D320000}"/>
    <cellStyle name="Normal 10 5 4 3" xfId="12072" xr:uid="{00000000-0005-0000-0000-00000E320000}"/>
    <cellStyle name="Normal 10 5 4 3 2" xfId="34715" xr:uid="{00000000-0005-0000-0000-00000F320000}"/>
    <cellStyle name="Normal 10 5 4 4" xfId="27274" xr:uid="{00000000-0005-0000-0000-000010320000}"/>
    <cellStyle name="Normal 10 5 5" xfId="15794" xr:uid="{00000000-0005-0000-0000-000011320000}"/>
    <cellStyle name="Normal 10 5 5 2" xfId="38437" xr:uid="{00000000-0005-0000-0000-000012320000}"/>
    <cellStyle name="Normal 10 5 6" xfId="8354" xr:uid="{00000000-0005-0000-0000-000013320000}"/>
    <cellStyle name="Normal 10 5 6 2" xfId="30997" xr:uid="{00000000-0005-0000-0000-000014320000}"/>
    <cellStyle name="Normal 10 5 7" xfId="23556" xr:uid="{00000000-0005-0000-0000-000015320000}"/>
    <cellStyle name="Normal 10 6" xfId="1367" xr:uid="{00000000-0005-0000-0000-000016320000}"/>
    <cellStyle name="Normal 10 6 2" xfId="3217" xr:uid="{00000000-0005-0000-0000-000017320000}"/>
    <cellStyle name="Normal 10 6 2 2" xfId="6938" xr:uid="{00000000-0005-0000-0000-000018320000}"/>
    <cellStyle name="Normal 10 6 2 2 2" xfId="21822" xr:uid="{00000000-0005-0000-0000-000019320000}"/>
    <cellStyle name="Normal 10 6 2 2 2 2" xfId="44465" xr:uid="{00000000-0005-0000-0000-00001A320000}"/>
    <cellStyle name="Normal 10 6 2 2 3" xfId="14382" xr:uid="{00000000-0005-0000-0000-00001B320000}"/>
    <cellStyle name="Normal 10 6 2 2 3 2" xfId="37025" xr:uid="{00000000-0005-0000-0000-00001C320000}"/>
    <cellStyle name="Normal 10 6 2 2 4" xfId="29584" xr:uid="{00000000-0005-0000-0000-00001D320000}"/>
    <cellStyle name="Normal 10 6 2 3" xfId="18104" xr:uid="{00000000-0005-0000-0000-00001E320000}"/>
    <cellStyle name="Normal 10 6 2 3 2" xfId="40747" xr:uid="{00000000-0005-0000-0000-00001F320000}"/>
    <cellStyle name="Normal 10 6 2 4" xfId="10664" xr:uid="{00000000-0005-0000-0000-000020320000}"/>
    <cellStyle name="Normal 10 6 2 4 2" xfId="33307" xr:uid="{00000000-0005-0000-0000-000021320000}"/>
    <cellStyle name="Normal 10 6 2 5" xfId="25866" xr:uid="{00000000-0005-0000-0000-000022320000}"/>
    <cellStyle name="Normal 10 6 3" xfId="5091" xr:uid="{00000000-0005-0000-0000-000023320000}"/>
    <cellStyle name="Normal 10 6 3 2" xfId="19975" xr:uid="{00000000-0005-0000-0000-000024320000}"/>
    <cellStyle name="Normal 10 6 3 2 2" xfId="42618" xr:uid="{00000000-0005-0000-0000-000025320000}"/>
    <cellStyle name="Normal 10 6 3 3" xfId="12535" xr:uid="{00000000-0005-0000-0000-000026320000}"/>
    <cellStyle name="Normal 10 6 3 3 2" xfId="35178" xr:uid="{00000000-0005-0000-0000-000027320000}"/>
    <cellStyle name="Normal 10 6 3 4" xfId="27737" xr:uid="{00000000-0005-0000-0000-000028320000}"/>
    <cellStyle name="Normal 10 6 4" xfId="16257" xr:uid="{00000000-0005-0000-0000-000029320000}"/>
    <cellStyle name="Normal 10 6 4 2" xfId="38900" xr:uid="{00000000-0005-0000-0000-00002A320000}"/>
    <cellStyle name="Normal 10 6 5" xfId="8817" xr:uid="{00000000-0005-0000-0000-00002B320000}"/>
    <cellStyle name="Normal 10 6 5 2" xfId="31460" xr:uid="{00000000-0005-0000-0000-00002C320000}"/>
    <cellStyle name="Normal 10 6 6" xfId="24019" xr:uid="{00000000-0005-0000-0000-00002D320000}"/>
    <cellStyle name="Normal 10 7" xfId="2292" xr:uid="{00000000-0005-0000-0000-00002E320000}"/>
    <cellStyle name="Normal 10 7 2" xfId="6013" xr:uid="{00000000-0005-0000-0000-00002F320000}"/>
    <cellStyle name="Normal 10 7 2 2" xfId="20897" xr:uid="{00000000-0005-0000-0000-000030320000}"/>
    <cellStyle name="Normal 10 7 2 2 2" xfId="43540" xr:uid="{00000000-0005-0000-0000-000031320000}"/>
    <cellStyle name="Normal 10 7 2 3" xfId="13457" xr:uid="{00000000-0005-0000-0000-000032320000}"/>
    <cellStyle name="Normal 10 7 2 3 2" xfId="36100" xr:uid="{00000000-0005-0000-0000-000033320000}"/>
    <cellStyle name="Normal 10 7 2 4" xfId="28659" xr:uid="{00000000-0005-0000-0000-000034320000}"/>
    <cellStyle name="Normal 10 7 3" xfId="17179" xr:uid="{00000000-0005-0000-0000-000035320000}"/>
    <cellStyle name="Normal 10 7 3 2" xfId="39822" xr:uid="{00000000-0005-0000-0000-000036320000}"/>
    <cellStyle name="Normal 10 7 4" xfId="9739" xr:uid="{00000000-0005-0000-0000-000037320000}"/>
    <cellStyle name="Normal 10 7 4 2" xfId="32382" xr:uid="{00000000-0005-0000-0000-000038320000}"/>
    <cellStyle name="Normal 10 7 5" xfId="24941" xr:uid="{00000000-0005-0000-0000-000039320000}"/>
    <cellStyle name="Normal 10 8" xfId="4166" xr:uid="{00000000-0005-0000-0000-00003A320000}"/>
    <cellStyle name="Normal 10 8 2" xfId="19050" xr:uid="{00000000-0005-0000-0000-00003B320000}"/>
    <cellStyle name="Normal 10 8 2 2" xfId="41693" xr:uid="{00000000-0005-0000-0000-00003C320000}"/>
    <cellStyle name="Normal 10 8 3" xfId="11610" xr:uid="{00000000-0005-0000-0000-00003D320000}"/>
    <cellStyle name="Normal 10 8 3 2" xfId="34253" xr:uid="{00000000-0005-0000-0000-00003E320000}"/>
    <cellStyle name="Normal 10 8 4" xfId="26812" xr:uid="{00000000-0005-0000-0000-00003F320000}"/>
    <cellStyle name="Normal 10 9" xfId="431" xr:uid="{00000000-0005-0000-0000-000040320000}"/>
    <cellStyle name="Normal 10 9 2" xfId="15332" xr:uid="{00000000-0005-0000-0000-000041320000}"/>
    <cellStyle name="Normal 10 9 2 2" xfId="37975" xr:uid="{00000000-0005-0000-0000-000042320000}"/>
    <cellStyle name="Normal 10 9 3" xfId="23095" xr:uid="{00000000-0005-0000-0000-000043320000}"/>
    <cellStyle name="Normal 100" xfId="7857" xr:uid="{00000000-0005-0000-0000-000044320000}"/>
    <cellStyle name="Normal 100 2" xfId="22741" xr:uid="{00000000-0005-0000-0000-000045320000}"/>
    <cellStyle name="Normal 100 2 2" xfId="45384" xr:uid="{00000000-0005-0000-0000-000046320000}"/>
    <cellStyle name="Normal 100 3" xfId="15301" xr:uid="{00000000-0005-0000-0000-000047320000}"/>
    <cellStyle name="Normal 100 3 2" xfId="37944" xr:uid="{00000000-0005-0000-0000-000048320000}"/>
    <cellStyle name="Normal 100 4" xfId="30503" xr:uid="{00000000-0005-0000-0000-000049320000}"/>
    <cellStyle name="Normal 101" xfId="381" xr:uid="{00000000-0005-0000-0000-00004A320000}"/>
    <cellStyle name="Normal 102" xfId="7858" xr:uid="{00000000-0005-0000-0000-00004B320000}"/>
    <cellStyle name="Normal 102 2" xfId="15302" xr:uid="{00000000-0005-0000-0000-00004C320000}"/>
    <cellStyle name="Normal 102 2 2" xfId="37945" xr:uid="{00000000-0005-0000-0000-00004D320000}"/>
    <cellStyle name="Normal 102 3" xfId="30504" xr:uid="{00000000-0005-0000-0000-00004E320000}"/>
    <cellStyle name="Normal 103" xfId="7859" xr:uid="{00000000-0005-0000-0000-00004F320000}"/>
    <cellStyle name="Normal 103 2" xfId="30505" xr:uid="{00000000-0005-0000-0000-000050320000}"/>
    <cellStyle name="Normal 104" xfId="7872" xr:uid="{00000000-0005-0000-0000-000051320000}"/>
    <cellStyle name="Normal 105" xfId="22742" xr:uid="{00000000-0005-0000-0000-000052320000}"/>
    <cellStyle name="Normal 105 2" xfId="45385" xr:uid="{00000000-0005-0000-0000-000053320000}"/>
    <cellStyle name="Normal 106" xfId="22743" xr:uid="{00000000-0005-0000-0000-000054320000}"/>
    <cellStyle name="Normal 106 2" xfId="45386" xr:uid="{00000000-0005-0000-0000-000055320000}"/>
    <cellStyle name="Normal 107" xfId="22744" xr:uid="{00000000-0005-0000-0000-000056320000}"/>
    <cellStyle name="Normal 107 2" xfId="45387" xr:uid="{00000000-0005-0000-0000-000057320000}"/>
    <cellStyle name="Normal 108" xfId="22745" xr:uid="{00000000-0005-0000-0000-000058320000}"/>
    <cellStyle name="Normal 108 2" xfId="45388" xr:uid="{00000000-0005-0000-0000-000059320000}"/>
    <cellStyle name="Normal 109" xfId="22746" xr:uid="{00000000-0005-0000-0000-00005A320000}"/>
    <cellStyle name="Normal 109 2" xfId="45389" xr:uid="{00000000-0005-0000-0000-00005B320000}"/>
    <cellStyle name="Normal 11" xfId="96" xr:uid="{00000000-0005-0000-0000-00005C320000}"/>
    <cellStyle name="Normal 110" xfId="22747" xr:uid="{00000000-0005-0000-0000-00005D320000}"/>
    <cellStyle name="Normal 110 2" xfId="45390" xr:uid="{00000000-0005-0000-0000-00005E320000}"/>
    <cellStyle name="Normal 111" xfId="22748" xr:uid="{00000000-0005-0000-0000-00005F320000}"/>
    <cellStyle name="Normal 112" xfId="22749" xr:uid="{00000000-0005-0000-0000-000060320000}"/>
    <cellStyle name="Normal 112 2" xfId="45391" xr:uid="{00000000-0005-0000-0000-000061320000}"/>
    <cellStyle name="Normal 112 3" xfId="45434" xr:uid="{00000000-0005-0000-0000-000062320000}"/>
    <cellStyle name="Normal 112 3 2" xfId="45521" xr:uid="{00000000-0005-0000-0000-000063320000}"/>
    <cellStyle name="Normal 113" xfId="22750" xr:uid="{00000000-0005-0000-0000-000064320000}"/>
    <cellStyle name="Normal 114" xfId="22763" xr:uid="{00000000-0005-0000-0000-000065320000}"/>
    <cellStyle name="Normal 115" xfId="45392" xr:uid="{00000000-0005-0000-0000-000066320000}"/>
    <cellStyle name="Normal 115 2" xfId="45435" xr:uid="{00000000-0005-0000-0000-000067320000}"/>
    <cellStyle name="Normal 115 2 2" xfId="45524" xr:uid="{00000000-0005-0000-0000-000068320000}"/>
    <cellStyle name="Normal 116" xfId="45393" xr:uid="{00000000-0005-0000-0000-000069320000}"/>
    <cellStyle name="Normal 117" xfId="45394" xr:uid="{00000000-0005-0000-0000-00006A320000}"/>
    <cellStyle name="Normal 117 2" xfId="45436" xr:uid="{00000000-0005-0000-0000-00006B320000}"/>
    <cellStyle name="Normal 117 2 2" xfId="45523" xr:uid="{00000000-0005-0000-0000-00006C320000}"/>
    <cellStyle name="Normal 118" xfId="45395" xr:uid="{00000000-0005-0000-0000-00006D320000}"/>
    <cellStyle name="Normal 119" xfId="45396" xr:uid="{00000000-0005-0000-0000-00006E320000}"/>
    <cellStyle name="Normal 12" xfId="125" xr:uid="{00000000-0005-0000-0000-00006F320000}"/>
    <cellStyle name="Normal 12 2" xfId="289" xr:uid="{00000000-0005-0000-0000-000070320000}"/>
    <cellStyle name="Normal 12 2 2" xfId="22987" xr:uid="{00000000-0005-0000-0000-000071320000}"/>
    <cellStyle name="Normal 12 3" xfId="468" xr:uid="{00000000-0005-0000-0000-000072320000}"/>
    <cellStyle name="Normal 12 4" xfId="22831" xr:uid="{00000000-0005-0000-0000-000073320000}"/>
    <cellStyle name="Normal 120" xfId="45397" xr:uid="{00000000-0005-0000-0000-000074320000}"/>
    <cellStyle name="Normal 121" xfId="45398" xr:uid="{00000000-0005-0000-0000-000075320000}"/>
    <cellStyle name="Normal 122" xfId="45399" xr:uid="{00000000-0005-0000-0000-000076320000}"/>
    <cellStyle name="Normal 123" xfId="45400" xr:uid="{00000000-0005-0000-0000-000077320000}"/>
    <cellStyle name="Normal 124" xfId="45401" xr:uid="{00000000-0005-0000-0000-000078320000}"/>
    <cellStyle name="Normal 125" xfId="45402" xr:uid="{00000000-0005-0000-0000-000079320000}"/>
    <cellStyle name="Normal 126" xfId="45403" xr:uid="{00000000-0005-0000-0000-00007A320000}"/>
    <cellStyle name="Normal 127" xfId="45404" xr:uid="{00000000-0005-0000-0000-00007B320000}"/>
    <cellStyle name="Normal 128" xfId="45405" xr:uid="{00000000-0005-0000-0000-00007C320000}"/>
    <cellStyle name="Normal 129" xfId="45406" xr:uid="{00000000-0005-0000-0000-00007D320000}"/>
    <cellStyle name="Normal 13" xfId="138" xr:uid="{00000000-0005-0000-0000-00007E320000}"/>
    <cellStyle name="Normal 13 2" xfId="207" xr:uid="{00000000-0005-0000-0000-00007F320000}"/>
    <cellStyle name="Normal 13 2 2" xfId="774" xr:uid="{00000000-0005-0000-0000-000080320000}"/>
    <cellStyle name="Normal 13 2 2 2" xfId="1239" xr:uid="{00000000-0005-0000-0000-000081320000}"/>
    <cellStyle name="Normal 13 2 2 2 2" xfId="2167" xr:uid="{00000000-0005-0000-0000-000082320000}"/>
    <cellStyle name="Normal 13 2 2 2 2 2" xfId="4017" xr:uid="{00000000-0005-0000-0000-000083320000}"/>
    <cellStyle name="Normal 13 2 2 2 2 2 2" xfId="7738" xr:uid="{00000000-0005-0000-0000-000084320000}"/>
    <cellStyle name="Normal 13 2 2 2 2 2 2 2" xfId="22622" xr:uid="{00000000-0005-0000-0000-000085320000}"/>
    <cellStyle name="Normal 13 2 2 2 2 2 2 2 2" xfId="45265" xr:uid="{00000000-0005-0000-0000-000086320000}"/>
    <cellStyle name="Normal 13 2 2 2 2 2 2 3" xfId="15182" xr:uid="{00000000-0005-0000-0000-000087320000}"/>
    <cellStyle name="Normal 13 2 2 2 2 2 2 3 2" xfId="37825" xr:uid="{00000000-0005-0000-0000-000088320000}"/>
    <cellStyle name="Normal 13 2 2 2 2 2 2 4" xfId="30384" xr:uid="{00000000-0005-0000-0000-000089320000}"/>
    <cellStyle name="Normal 13 2 2 2 2 2 3" xfId="18904" xr:uid="{00000000-0005-0000-0000-00008A320000}"/>
    <cellStyle name="Normal 13 2 2 2 2 2 3 2" xfId="41547" xr:uid="{00000000-0005-0000-0000-00008B320000}"/>
    <cellStyle name="Normal 13 2 2 2 2 2 4" xfId="11464" xr:uid="{00000000-0005-0000-0000-00008C320000}"/>
    <cellStyle name="Normal 13 2 2 2 2 2 4 2" xfId="34107" xr:uid="{00000000-0005-0000-0000-00008D320000}"/>
    <cellStyle name="Normal 13 2 2 2 2 2 5" xfId="26666" xr:uid="{00000000-0005-0000-0000-00008E320000}"/>
    <cellStyle name="Normal 13 2 2 2 2 3" xfId="5891" xr:uid="{00000000-0005-0000-0000-00008F320000}"/>
    <cellStyle name="Normal 13 2 2 2 2 3 2" xfId="20775" xr:uid="{00000000-0005-0000-0000-000090320000}"/>
    <cellStyle name="Normal 13 2 2 2 2 3 2 2" xfId="43418" xr:uid="{00000000-0005-0000-0000-000091320000}"/>
    <cellStyle name="Normal 13 2 2 2 2 3 3" xfId="13335" xr:uid="{00000000-0005-0000-0000-000092320000}"/>
    <cellStyle name="Normal 13 2 2 2 2 3 3 2" xfId="35978" xr:uid="{00000000-0005-0000-0000-000093320000}"/>
    <cellStyle name="Normal 13 2 2 2 2 3 4" xfId="28537" xr:uid="{00000000-0005-0000-0000-000094320000}"/>
    <cellStyle name="Normal 13 2 2 2 2 4" xfId="17057" xr:uid="{00000000-0005-0000-0000-000095320000}"/>
    <cellStyle name="Normal 13 2 2 2 2 4 2" xfId="39700" xr:uid="{00000000-0005-0000-0000-000096320000}"/>
    <cellStyle name="Normal 13 2 2 2 2 5" xfId="9617" xr:uid="{00000000-0005-0000-0000-000097320000}"/>
    <cellStyle name="Normal 13 2 2 2 2 5 2" xfId="32260" xr:uid="{00000000-0005-0000-0000-000098320000}"/>
    <cellStyle name="Normal 13 2 2 2 2 6" xfId="24819" xr:uid="{00000000-0005-0000-0000-000099320000}"/>
    <cellStyle name="Normal 13 2 2 2 3" xfId="3092" xr:uid="{00000000-0005-0000-0000-00009A320000}"/>
    <cellStyle name="Normal 13 2 2 2 3 2" xfId="6813" xr:uid="{00000000-0005-0000-0000-00009B320000}"/>
    <cellStyle name="Normal 13 2 2 2 3 2 2" xfId="21697" xr:uid="{00000000-0005-0000-0000-00009C320000}"/>
    <cellStyle name="Normal 13 2 2 2 3 2 2 2" xfId="44340" xr:uid="{00000000-0005-0000-0000-00009D320000}"/>
    <cellStyle name="Normal 13 2 2 2 3 2 3" xfId="14257" xr:uid="{00000000-0005-0000-0000-00009E320000}"/>
    <cellStyle name="Normal 13 2 2 2 3 2 3 2" xfId="36900" xr:uid="{00000000-0005-0000-0000-00009F320000}"/>
    <cellStyle name="Normal 13 2 2 2 3 2 4" xfId="29459" xr:uid="{00000000-0005-0000-0000-0000A0320000}"/>
    <cellStyle name="Normal 13 2 2 2 3 3" xfId="17979" xr:uid="{00000000-0005-0000-0000-0000A1320000}"/>
    <cellStyle name="Normal 13 2 2 2 3 3 2" xfId="40622" xr:uid="{00000000-0005-0000-0000-0000A2320000}"/>
    <cellStyle name="Normal 13 2 2 2 3 4" xfId="10539" xr:uid="{00000000-0005-0000-0000-0000A3320000}"/>
    <cellStyle name="Normal 13 2 2 2 3 4 2" xfId="33182" xr:uid="{00000000-0005-0000-0000-0000A4320000}"/>
    <cellStyle name="Normal 13 2 2 2 3 5" xfId="25741" xr:uid="{00000000-0005-0000-0000-0000A5320000}"/>
    <cellStyle name="Normal 13 2 2 2 4" xfId="4966" xr:uid="{00000000-0005-0000-0000-0000A6320000}"/>
    <cellStyle name="Normal 13 2 2 2 4 2" xfId="19850" xr:uid="{00000000-0005-0000-0000-0000A7320000}"/>
    <cellStyle name="Normal 13 2 2 2 4 2 2" xfId="42493" xr:uid="{00000000-0005-0000-0000-0000A8320000}"/>
    <cellStyle name="Normal 13 2 2 2 4 3" xfId="12410" xr:uid="{00000000-0005-0000-0000-0000A9320000}"/>
    <cellStyle name="Normal 13 2 2 2 4 3 2" xfId="35053" xr:uid="{00000000-0005-0000-0000-0000AA320000}"/>
    <cellStyle name="Normal 13 2 2 2 4 4" xfId="27612" xr:uid="{00000000-0005-0000-0000-0000AB320000}"/>
    <cellStyle name="Normal 13 2 2 2 5" xfId="16132" xr:uid="{00000000-0005-0000-0000-0000AC320000}"/>
    <cellStyle name="Normal 13 2 2 2 5 2" xfId="38775" xr:uid="{00000000-0005-0000-0000-0000AD320000}"/>
    <cellStyle name="Normal 13 2 2 2 6" xfId="8692" xr:uid="{00000000-0005-0000-0000-0000AE320000}"/>
    <cellStyle name="Normal 13 2 2 2 6 2" xfId="31335" xr:uid="{00000000-0005-0000-0000-0000AF320000}"/>
    <cellStyle name="Normal 13 2 2 2 7" xfId="23894" xr:uid="{00000000-0005-0000-0000-0000B0320000}"/>
    <cellStyle name="Normal 13 2 2 3" xfId="1705" xr:uid="{00000000-0005-0000-0000-0000B1320000}"/>
    <cellStyle name="Normal 13 2 2 3 2" xfId="3555" xr:uid="{00000000-0005-0000-0000-0000B2320000}"/>
    <cellStyle name="Normal 13 2 2 3 2 2" xfId="7276" xr:uid="{00000000-0005-0000-0000-0000B3320000}"/>
    <cellStyle name="Normal 13 2 2 3 2 2 2" xfId="22160" xr:uid="{00000000-0005-0000-0000-0000B4320000}"/>
    <cellStyle name="Normal 13 2 2 3 2 2 2 2" xfId="44803" xr:uid="{00000000-0005-0000-0000-0000B5320000}"/>
    <cellStyle name="Normal 13 2 2 3 2 2 3" xfId="14720" xr:uid="{00000000-0005-0000-0000-0000B6320000}"/>
    <cellStyle name="Normal 13 2 2 3 2 2 3 2" xfId="37363" xr:uid="{00000000-0005-0000-0000-0000B7320000}"/>
    <cellStyle name="Normal 13 2 2 3 2 2 4" xfId="29922" xr:uid="{00000000-0005-0000-0000-0000B8320000}"/>
    <cellStyle name="Normal 13 2 2 3 2 3" xfId="18442" xr:uid="{00000000-0005-0000-0000-0000B9320000}"/>
    <cellStyle name="Normal 13 2 2 3 2 3 2" xfId="41085" xr:uid="{00000000-0005-0000-0000-0000BA320000}"/>
    <cellStyle name="Normal 13 2 2 3 2 4" xfId="11002" xr:uid="{00000000-0005-0000-0000-0000BB320000}"/>
    <cellStyle name="Normal 13 2 2 3 2 4 2" xfId="33645" xr:uid="{00000000-0005-0000-0000-0000BC320000}"/>
    <cellStyle name="Normal 13 2 2 3 2 5" xfId="26204" xr:uid="{00000000-0005-0000-0000-0000BD320000}"/>
    <cellStyle name="Normal 13 2 2 3 3" xfId="5429" xr:uid="{00000000-0005-0000-0000-0000BE320000}"/>
    <cellStyle name="Normal 13 2 2 3 3 2" xfId="20313" xr:uid="{00000000-0005-0000-0000-0000BF320000}"/>
    <cellStyle name="Normal 13 2 2 3 3 2 2" xfId="42956" xr:uid="{00000000-0005-0000-0000-0000C0320000}"/>
    <cellStyle name="Normal 13 2 2 3 3 3" xfId="12873" xr:uid="{00000000-0005-0000-0000-0000C1320000}"/>
    <cellStyle name="Normal 13 2 2 3 3 3 2" xfId="35516" xr:uid="{00000000-0005-0000-0000-0000C2320000}"/>
    <cellStyle name="Normal 13 2 2 3 3 4" xfId="28075" xr:uid="{00000000-0005-0000-0000-0000C3320000}"/>
    <cellStyle name="Normal 13 2 2 3 4" xfId="16595" xr:uid="{00000000-0005-0000-0000-0000C4320000}"/>
    <cellStyle name="Normal 13 2 2 3 4 2" xfId="39238" xr:uid="{00000000-0005-0000-0000-0000C5320000}"/>
    <cellStyle name="Normal 13 2 2 3 5" xfId="9155" xr:uid="{00000000-0005-0000-0000-0000C6320000}"/>
    <cellStyle name="Normal 13 2 2 3 5 2" xfId="31798" xr:uid="{00000000-0005-0000-0000-0000C7320000}"/>
    <cellStyle name="Normal 13 2 2 3 6" xfId="24357" xr:uid="{00000000-0005-0000-0000-0000C8320000}"/>
    <cellStyle name="Normal 13 2 2 4" xfId="2630" xr:uid="{00000000-0005-0000-0000-0000C9320000}"/>
    <cellStyle name="Normal 13 2 2 4 2" xfId="6351" xr:uid="{00000000-0005-0000-0000-0000CA320000}"/>
    <cellStyle name="Normal 13 2 2 4 2 2" xfId="21235" xr:uid="{00000000-0005-0000-0000-0000CB320000}"/>
    <cellStyle name="Normal 13 2 2 4 2 2 2" xfId="43878" xr:uid="{00000000-0005-0000-0000-0000CC320000}"/>
    <cellStyle name="Normal 13 2 2 4 2 3" xfId="13795" xr:uid="{00000000-0005-0000-0000-0000CD320000}"/>
    <cellStyle name="Normal 13 2 2 4 2 3 2" xfId="36438" xr:uid="{00000000-0005-0000-0000-0000CE320000}"/>
    <cellStyle name="Normal 13 2 2 4 2 4" xfId="28997" xr:uid="{00000000-0005-0000-0000-0000CF320000}"/>
    <cellStyle name="Normal 13 2 2 4 3" xfId="17517" xr:uid="{00000000-0005-0000-0000-0000D0320000}"/>
    <cellStyle name="Normal 13 2 2 4 3 2" xfId="40160" xr:uid="{00000000-0005-0000-0000-0000D1320000}"/>
    <cellStyle name="Normal 13 2 2 4 4" xfId="10077" xr:uid="{00000000-0005-0000-0000-0000D2320000}"/>
    <cellStyle name="Normal 13 2 2 4 4 2" xfId="32720" xr:uid="{00000000-0005-0000-0000-0000D3320000}"/>
    <cellStyle name="Normal 13 2 2 4 5" xfId="25279" xr:uid="{00000000-0005-0000-0000-0000D4320000}"/>
    <cellStyle name="Normal 13 2 2 5" xfId="4504" xr:uid="{00000000-0005-0000-0000-0000D5320000}"/>
    <cellStyle name="Normal 13 2 2 5 2" xfId="19388" xr:uid="{00000000-0005-0000-0000-0000D6320000}"/>
    <cellStyle name="Normal 13 2 2 5 2 2" xfId="42031" xr:uid="{00000000-0005-0000-0000-0000D7320000}"/>
    <cellStyle name="Normal 13 2 2 5 3" xfId="11948" xr:uid="{00000000-0005-0000-0000-0000D8320000}"/>
    <cellStyle name="Normal 13 2 2 5 3 2" xfId="34591" xr:uid="{00000000-0005-0000-0000-0000D9320000}"/>
    <cellStyle name="Normal 13 2 2 5 4" xfId="27150" xr:uid="{00000000-0005-0000-0000-0000DA320000}"/>
    <cellStyle name="Normal 13 2 2 6" xfId="15670" xr:uid="{00000000-0005-0000-0000-0000DB320000}"/>
    <cellStyle name="Normal 13 2 2 6 2" xfId="38313" xr:uid="{00000000-0005-0000-0000-0000DC320000}"/>
    <cellStyle name="Normal 13 2 2 7" xfId="8230" xr:uid="{00000000-0005-0000-0000-0000DD320000}"/>
    <cellStyle name="Normal 13 2 2 7 2" xfId="30873" xr:uid="{00000000-0005-0000-0000-0000DE320000}"/>
    <cellStyle name="Normal 13 2 2 8" xfId="23432" xr:uid="{00000000-0005-0000-0000-0000DF320000}"/>
    <cellStyle name="Normal 13 2 3" xfId="1028" xr:uid="{00000000-0005-0000-0000-0000E0320000}"/>
    <cellStyle name="Normal 13 2 3 2" xfId="1956" xr:uid="{00000000-0005-0000-0000-0000E1320000}"/>
    <cellStyle name="Normal 13 2 3 2 2" xfId="3806" xr:uid="{00000000-0005-0000-0000-0000E2320000}"/>
    <cellStyle name="Normal 13 2 3 2 2 2" xfId="7527" xr:uid="{00000000-0005-0000-0000-0000E3320000}"/>
    <cellStyle name="Normal 13 2 3 2 2 2 2" xfId="22411" xr:uid="{00000000-0005-0000-0000-0000E4320000}"/>
    <cellStyle name="Normal 13 2 3 2 2 2 2 2" xfId="45054" xr:uid="{00000000-0005-0000-0000-0000E5320000}"/>
    <cellStyle name="Normal 13 2 3 2 2 2 3" xfId="14971" xr:uid="{00000000-0005-0000-0000-0000E6320000}"/>
    <cellStyle name="Normal 13 2 3 2 2 2 3 2" xfId="37614" xr:uid="{00000000-0005-0000-0000-0000E7320000}"/>
    <cellStyle name="Normal 13 2 3 2 2 2 4" xfId="30173" xr:uid="{00000000-0005-0000-0000-0000E8320000}"/>
    <cellStyle name="Normal 13 2 3 2 2 3" xfId="18693" xr:uid="{00000000-0005-0000-0000-0000E9320000}"/>
    <cellStyle name="Normal 13 2 3 2 2 3 2" xfId="41336" xr:uid="{00000000-0005-0000-0000-0000EA320000}"/>
    <cellStyle name="Normal 13 2 3 2 2 4" xfId="11253" xr:uid="{00000000-0005-0000-0000-0000EB320000}"/>
    <cellStyle name="Normal 13 2 3 2 2 4 2" xfId="33896" xr:uid="{00000000-0005-0000-0000-0000EC320000}"/>
    <cellStyle name="Normal 13 2 3 2 2 5" xfId="26455" xr:uid="{00000000-0005-0000-0000-0000ED320000}"/>
    <cellStyle name="Normal 13 2 3 2 3" xfId="5680" xr:uid="{00000000-0005-0000-0000-0000EE320000}"/>
    <cellStyle name="Normal 13 2 3 2 3 2" xfId="20564" xr:uid="{00000000-0005-0000-0000-0000EF320000}"/>
    <cellStyle name="Normal 13 2 3 2 3 2 2" xfId="43207" xr:uid="{00000000-0005-0000-0000-0000F0320000}"/>
    <cellStyle name="Normal 13 2 3 2 3 3" xfId="13124" xr:uid="{00000000-0005-0000-0000-0000F1320000}"/>
    <cellStyle name="Normal 13 2 3 2 3 3 2" xfId="35767" xr:uid="{00000000-0005-0000-0000-0000F2320000}"/>
    <cellStyle name="Normal 13 2 3 2 3 4" xfId="28326" xr:uid="{00000000-0005-0000-0000-0000F3320000}"/>
    <cellStyle name="Normal 13 2 3 2 4" xfId="16846" xr:uid="{00000000-0005-0000-0000-0000F4320000}"/>
    <cellStyle name="Normal 13 2 3 2 4 2" xfId="39489" xr:uid="{00000000-0005-0000-0000-0000F5320000}"/>
    <cellStyle name="Normal 13 2 3 2 5" xfId="9406" xr:uid="{00000000-0005-0000-0000-0000F6320000}"/>
    <cellStyle name="Normal 13 2 3 2 5 2" xfId="32049" xr:uid="{00000000-0005-0000-0000-0000F7320000}"/>
    <cellStyle name="Normal 13 2 3 2 6" xfId="24608" xr:uid="{00000000-0005-0000-0000-0000F8320000}"/>
    <cellStyle name="Normal 13 2 3 3" xfId="2881" xr:uid="{00000000-0005-0000-0000-0000F9320000}"/>
    <cellStyle name="Normal 13 2 3 3 2" xfId="6602" xr:uid="{00000000-0005-0000-0000-0000FA320000}"/>
    <cellStyle name="Normal 13 2 3 3 2 2" xfId="21486" xr:uid="{00000000-0005-0000-0000-0000FB320000}"/>
    <cellStyle name="Normal 13 2 3 3 2 2 2" xfId="44129" xr:uid="{00000000-0005-0000-0000-0000FC320000}"/>
    <cellStyle name="Normal 13 2 3 3 2 3" xfId="14046" xr:uid="{00000000-0005-0000-0000-0000FD320000}"/>
    <cellStyle name="Normal 13 2 3 3 2 3 2" xfId="36689" xr:uid="{00000000-0005-0000-0000-0000FE320000}"/>
    <cellStyle name="Normal 13 2 3 3 2 4" xfId="29248" xr:uid="{00000000-0005-0000-0000-0000FF320000}"/>
    <cellStyle name="Normal 13 2 3 3 3" xfId="17768" xr:uid="{00000000-0005-0000-0000-000000330000}"/>
    <cellStyle name="Normal 13 2 3 3 3 2" xfId="40411" xr:uid="{00000000-0005-0000-0000-000001330000}"/>
    <cellStyle name="Normal 13 2 3 3 4" xfId="10328" xr:uid="{00000000-0005-0000-0000-000002330000}"/>
    <cellStyle name="Normal 13 2 3 3 4 2" xfId="32971" xr:uid="{00000000-0005-0000-0000-000003330000}"/>
    <cellStyle name="Normal 13 2 3 3 5" xfId="25530" xr:uid="{00000000-0005-0000-0000-000004330000}"/>
    <cellStyle name="Normal 13 2 3 4" xfId="4755" xr:uid="{00000000-0005-0000-0000-000005330000}"/>
    <cellStyle name="Normal 13 2 3 4 2" xfId="19639" xr:uid="{00000000-0005-0000-0000-000006330000}"/>
    <cellStyle name="Normal 13 2 3 4 2 2" xfId="42282" xr:uid="{00000000-0005-0000-0000-000007330000}"/>
    <cellStyle name="Normal 13 2 3 4 3" xfId="12199" xr:uid="{00000000-0005-0000-0000-000008330000}"/>
    <cellStyle name="Normal 13 2 3 4 3 2" xfId="34842" xr:uid="{00000000-0005-0000-0000-000009330000}"/>
    <cellStyle name="Normal 13 2 3 4 4" xfId="27401" xr:uid="{00000000-0005-0000-0000-00000A330000}"/>
    <cellStyle name="Normal 13 2 3 5" xfId="15921" xr:uid="{00000000-0005-0000-0000-00000B330000}"/>
    <cellStyle name="Normal 13 2 3 5 2" xfId="38564" xr:uid="{00000000-0005-0000-0000-00000C330000}"/>
    <cellStyle name="Normal 13 2 3 6" xfId="8481" xr:uid="{00000000-0005-0000-0000-00000D330000}"/>
    <cellStyle name="Normal 13 2 3 6 2" xfId="31124" xr:uid="{00000000-0005-0000-0000-00000E330000}"/>
    <cellStyle name="Normal 13 2 3 7" xfId="23683" xr:uid="{00000000-0005-0000-0000-00000F330000}"/>
    <cellStyle name="Normal 13 2 4" xfId="1494" xr:uid="{00000000-0005-0000-0000-000010330000}"/>
    <cellStyle name="Normal 13 2 4 2" xfId="3344" xr:uid="{00000000-0005-0000-0000-000011330000}"/>
    <cellStyle name="Normal 13 2 4 2 2" xfId="7065" xr:uid="{00000000-0005-0000-0000-000012330000}"/>
    <cellStyle name="Normal 13 2 4 2 2 2" xfId="21949" xr:uid="{00000000-0005-0000-0000-000013330000}"/>
    <cellStyle name="Normal 13 2 4 2 2 2 2" xfId="44592" xr:uid="{00000000-0005-0000-0000-000014330000}"/>
    <cellStyle name="Normal 13 2 4 2 2 3" xfId="14509" xr:uid="{00000000-0005-0000-0000-000015330000}"/>
    <cellStyle name="Normal 13 2 4 2 2 3 2" xfId="37152" xr:uid="{00000000-0005-0000-0000-000016330000}"/>
    <cellStyle name="Normal 13 2 4 2 2 4" xfId="29711" xr:uid="{00000000-0005-0000-0000-000017330000}"/>
    <cellStyle name="Normal 13 2 4 2 3" xfId="18231" xr:uid="{00000000-0005-0000-0000-000018330000}"/>
    <cellStyle name="Normal 13 2 4 2 3 2" xfId="40874" xr:uid="{00000000-0005-0000-0000-000019330000}"/>
    <cellStyle name="Normal 13 2 4 2 4" xfId="10791" xr:uid="{00000000-0005-0000-0000-00001A330000}"/>
    <cellStyle name="Normal 13 2 4 2 4 2" xfId="33434" xr:uid="{00000000-0005-0000-0000-00001B330000}"/>
    <cellStyle name="Normal 13 2 4 2 5" xfId="25993" xr:uid="{00000000-0005-0000-0000-00001C330000}"/>
    <cellStyle name="Normal 13 2 4 3" xfId="5218" xr:uid="{00000000-0005-0000-0000-00001D330000}"/>
    <cellStyle name="Normal 13 2 4 3 2" xfId="20102" xr:uid="{00000000-0005-0000-0000-00001E330000}"/>
    <cellStyle name="Normal 13 2 4 3 2 2" xfId="42745" xr:uid="{00000000-0005-0000-0000-00001F330000}"/>
    <cellStyle name="Normal 13 2 4 3 3" xfId="12662" xr:uid="{00000000-0005-0000-0000-000020330000}"/>
    <cellStyle name="Normal 13 2 4 3 3 2" xfId="35305" xr:uid="{00000000-0005-0000-0000-000021330000}"/>
    <cellStyle name="Normal 13 2 4 3 4" xfId="27864" xr:uid="{00000000-0005-0000-0000-000022330000}"/>
    <cellStyle name="Normal 13 2 4 4" xfId="16384" xr:uid="{00000000-0005-0000-0000-000023330000}"/>
    <cellStyle name="Normal 13 2 4 4 2" xfId="39027" xr:uid="{00000000-0005-0000-0000-000024330000}"/>
    <cellStyle name="Normal 13 2 4 5" xfId="8944" xr:uid="{00000000-0005-0000-0000-000025330000}"/>
    <cellStyle name="Normal 13 2 4 5 2" xfId="31587" xr:uid="{00000000-0005-0000-0000-000026330000}"/>
    <cellStyle name="Normal 13 2 4 6" xfId="24146" xr:uid="{00000000-0005-0000-0000-000027330000}"/>
    <cellStyle name="Normal 13 2 5" xfId="2419" xr:uid="{00000000-0005-0000-0000-000028330000}"/>
    <cellStyle name="Normal 13 2 5 2" xfId="6140" xr:uid="{00000000-0005-0000-0000-000029330000}"/>
    <cellStyle name="Normal 13 2 5 2 2" xfId="21024" xr:uid="{00000000-0005-0000-0000-00002A330000}"/>
    <cellStyle name="Normal 13 2 5 2 2 2" xfId="43667" xr:uid="{00000000-0005-0000-0000-00002B330000}"/>
    <cellStyle name="Normal 13 2 5 2 3" xfId="13584" xr:uid="{00000000-0005-0000-0000-00002C330000}"/>
    <cellStyle name="Normal 13 2 5 2 3 2" xfId="36227" xr:uid="{00000000-0005-0000-0000-00002D330000}"/>
    <cellStyle name="Normal 13 2 5 2 4" xfId="28786" xr:uid="{00000000-0005-0000-0000-00002E330000}"/>
    <cellStyle name="Normal 13 2 5 3" xfId="17306" xr:uid="{00000000-0005-0000-0000-00002F330000}"/>
    <cellStyle name="Normal 13 2 5 3 2" xfId="39949" xr:uid="{00000000-0005-0000-0000-000030330000}"/>
    <cellStyle name="Normal 13 2 5 4" xfId="9866" xr:uid="{00000000-0005-0000-0000-000031330000}"/>
    <cellStyle name="Normal 13 2 5 4 2" xfId="32509" xr:uid="{00000000-0005-0000-0000-000032330000}"/>
    <cellStyle name="Normal 13 2 5 5" xfId="25068" xr:uid="{00000000-0005-0000-0000-000033330000}"/>
    <cellStyle name="Normal 13 2 6" xfId="4293" xr:uid="{00000000-0005-0000-0000-000034330000}"/>
    <cellStyle name="Normal 13 2 6 2" xfId="19177" xr:uid="{00000000-0005-0000-0000-000035330000}"/>
    <cellStyle name="Normal 13 2 6 2 2" xfId="41820" xr:uid="{00000000-0005-0000-0000-000036330000}"/>
    <cellStyle name="Normal 13 2 6 3" xfId="11737" xr:uid="{00000000-0005-0000-0000-000037330000}"/>
    <cellStyle name="Normal 13 2 6 3 2" xfId="34380" xr:uid="{00000000-0005-0000-0000-000038330000}"/>
    <cellStyle name="Normal 13 2 6 4" xfId="26939" xr:uid="{00000000-0005-0000-0000-000039330000}"/>
    <cellStyle name="Normal 13 2 7" xfId="562" xr:uid="{00000000-0005-0000-0000-00003A330000}"/>
    <cellStyle name="Normal 13 2 7 2" xfId="15459" xr:uid="{00000000-0005-0000-0000-00003B330000}"/>
    <cellStyle name="Normal 13 2 7 2 2" xfId="38102" xr:uid="{00000000-0005-0000-0000-00003C330000}"/>
    <cellStyle name="Normal 13 2 7 3" xfId="23222" xr:uid="{00000000-0005-0000-0000-00003D330000}"/>
    <cellStyle name="Normal 13 2 8" xfId="8019" xr:uid="{00000000-0005-0000-0000-00003E330000}"/>
    <cellStyle name="Normal 13 2 8 2" xfId="30662" xr:uid="{00000000-0005-0000-0000-00003F330000}"/>
    <cellStyle name="Normal 13 3" xfId="206" xr:uid="{00000000-0005-0000-0000-000040330000}"/>
    <cellStyle name="Normal 13 3 2" xfId="1134" xr:uid="{00000000-0005-0000-0000-000041330000}"/>
    <cellStyle name="Normal 13 3 2 2" xfId="2062" xr:uid="{00000000-0005-0000-0000-000042330000}"/>
    <cellStyle name="Normal 13 3 2 2 2" xfId="3912" xr:uid="{00000000-0005-0000-0000-000043330000}"/>
    <cellStyle name="Normal 13 3 2 2 2 2" xfId="7633" xr:uid="{00000000-0005-0000-0000-000044330000}"/>
    <cellStyle name="Normal 13 3 2 2 2 2 2" xfId="22517" xr:uid="{00000000-0005-0000-0000-000045330000}"/>
    <cellStyle name="Normal 13 3 2 2 2 2 2 2" xfId="45160" xr:uid="{00000000-0005-0000-0000-000046330000}"/>
    <cellStyle name="Normal 13 3 2 2 2 2 3" xfId="15077" xr:uid="{00000000-0005-0000-0000-000047330000}"/>
    <cellStyle name="Normal 13 3 2 2 2 2 3 2" xfId="37720" xr:uid="{00000000-0005-0000-0000-000048330000}"/>
    <cellStyle name="Normal 13 3 2 2 2 2 4" xfId="30279" xr:uid="{00000000-0005-0000-0000-000049330000}"/>
    <cellStyle name="Normal 13 3 2 2 2 3" xfId="18799" xr:uid="{00000000-0005-0000-0000-00004A330000}"/>
    <cellStyle name="Normal 13 3 2 2 2 3 2" xfId="41442" xr:uid="{00000000-0005-0000-0000-00004B330000}"/>
    <cellStyle name="Normal 13 3 2 2 2 4" xfId="11359" xr:uid="{00000000-0005-0000-0000-00004C330000}"/>
    <cellStyle name="Normal 13 3 2 2 2 4 2" xfId="34002" xr:uid="{00000000-0005-0000-0000-00004D330000}"/>
    <cellStyle name="Normal 13 3 2 2 2 5" xfId="26561" xr:uid="{00000000-0005-0000-0000-00004E330000}"/>
    <cellStyle name="Normal 13 3 2 2 3" xfId="5786" xr:uid="{00000000-0005-0000-0000-00004F330000}"/>
    <cellStyle name="Normal 13 3 2 2 3 2" xfId="20670" xr:uid="{00000000-0005-0000-0000-000050330000}"/>
    <cellStyle name="Normal 13 3 2 2 3 2 2" xfId="43313" xr:uid="{00000000-0005-0000-0000-000051330000}"/>
    <cellStyle name="Normal 13 3 2 2 3 3" xfId="13230" xr:uid="{00000000-0005-0000-0000-000052330000}"/>
    <cellStyle name="Normal 13 3 2 2 3 3 2" xfId="35873" xr:uid="{00000000-0005-0000-0000-000053330000}"/>
    <cellStyle name="Normal 13 3 2 2 3 4" xfId="28432" xr:uid="{00000000-0005-0000-0000-000054330000}"/>
    <cellStyle name="Normal 13 3 2 2 4" xfId="16952" xr:uid="{00000000-0005-0000-0000-000055330000}"/>
    <cellStyle name="Normal 13 3 2 2 4 2" xfId="39595" xr:uid="{00000000-0005-0000-0000-000056330000}"/>
    <cellStyle name="Normal 13 3 2 2 5" xfId="9512" xr:uid="{00000000-0005-0000-0000-000057330000}"/>
    <cellStyle name="Normal 13 3 2 2 5 2" xfId="32155" xr:uid="{00000000-0005-0000-0000-000058330000}"/>
    <cellStyle name="Normal 13 3 2 2 6" xfId="24714" xr:uid="{00000000-0005-0000-0000-000059330000}"/>
    <cellStyle name="Normal 13 3 2 3" xfId="2987" xr:uid="{00000000-0005-0000-0000-00005A330000}"/>
    <cellStyle name="Normal 13 3 2 3 2" xfId="6708" xr:uid="{00000000-0005-0000-0000-00005B330000}"/>
    <cellStyle name="Normal 13 3 2 3 2 2" xfId="21592" xr:uid="{00000000-0005-0000-0000-00005C330000}"/>
    <cellStyle name="Normal 13 3 2 3 2 2 2" xfId="44235" xr:uid="{00000000-0005-0000-0000-00005D330000}"/>
    <cellStyle name="Normal 13 3 2 3 2 3" xfId="14152" xr:uid="{00000000-0005-0000-0000-00005E330000}"/>
    <cellStyle name="Normal 13 3 2 3 2 3 2" xfId="36795" xr:uid="{00000000-0005-0000-0000-00005F330000}"/>
    <cellStyle name="Normal 13 3 2 3 2 4" xfId="29354" xr:uid="{00000000-0005-0000-0000-000060330000}"/>
    <cellStyle name="Normal 13 3 2 3 3" xfId="17874" xr:uid="{00000000-0005-0000-0000-000061330000}"/>
    <cellStyle name="Normal 13 3 2 3 3 2" xfId="40517" xr:uid="{00000000-0005-0000-0000-000062330000}"/>
    <cellStyle name="Normal 13 3 2 3 4" xfId="10434" xr:uid="{00000000-0005-0000-0000-000063330000}"/>
    <cellStyle name="Normal 13 3 2 3 4 2" xfId="33077" xr:uid="{00000000-0005-0000-0000-000064330000}"/>
    <cellStyle name="Normal 13 3 2 3 5" xfId="25636" xr:uid="{00000000-0005-0000-0000-000065330000}"/>
    <cellStyle name="Normal 13 3 2 4" xfId="4861" xr:uid="{00000000-0005-0000-0000-000066330000}"/>
    <cellStyle name="Normal 13 3 2 4 2" xfId="19745" xr:uid="{00000000-0005-0000-0000-000067330000}"/>
    <cellStyle name="Normal 13 3 2 4 2 2" xfId="42388" xr:uid="{00000000-0005-0000-0000-000068330000}"/>
    <cellStyle name="Normal 13 3 2 4 3" xfId="12305" xr:uid="{00000000-0005-0000-0000-000069330000}"/>
    <cellStyle name="Normal 13 3 2 4 3 2" xfId="34948" xr:uid="{00000000-0005-0000-0000-00006A330000}"/>
    <cellStyle name="Normal 13 3 2 4 4" xfId="27507" xr:uid="{00000000-0005-0000-0000-00006B330000}"/>
    <cellStyle name="Normal 13 3 2 5" xfId="16027" xr:uid="{00000000-0005-0000-0000-00006C330000}"/>
    <cellStyle name="Normal 13 3 2 5 2" xfId="38670" xr:uid="{00000000-0005-0000-0000-00006D330000}"/>
    <cellStyle name="Normal 13 3 2 6" xfId="8587" xr:uid="{00000000-0005-0000-0000-00006E330000}"/>
    <cellStyle name="Normal 13 3 2 6 2" xfId="31230" xr:uid="{00000000-0005-0000-0000-00006F330000}"/>
    <cellStyle name="Normal 13 3 2 7" xfId="23789" xr:uid="{00000000-0005-0000-0000-000070330000}"/>
    <cellStyle name="Normal 13 3 3" xfId="1600" xr:uid="{00000000-0005-0000-0000-000071330000}"/>
    <cellStyle name="Normal 13 3 3 2" xfId="3450" xr:uid="{00000000-0005-0000-0000-000072330000}"/>
    <cellStyle name="Normal 13 3 3 2 2" xfId="7171" xr:uid="{00000000-0005-0000-0000-000073330000}"/>
    <cellStyle name="Normal 13 3 3 2 2 2" xfId="22055" xr:uid="{00000000-0005-0000-0000-000074330000}"/>
    <cellStyle name="Normal 13 3 3 2 2 2 2" xfId="44698" xr:uid="{00000000-0005-0000-0000-000075330000}"/>
    <cellStyle name="Normal 13 3 3 2 2 3" xfId="14615" xr:uid="{00000000-0005-0000-0000-000076330000}"/>
    <cellStyle name="Normal 13 3 3 2 2 3 2" xfId="37258" xr:uid="{00000000-0005-0000-0000-000077330000}"/>
    <cellStyle name="Normal 13 3 3 2 2 4" xfId="29817" xr:uid="{00000000-0005-0000-0000-000078330000}"/>
    <cellStyle name="Normal 13 3 3 2 3" xfId="18337" xr:uid="{00000000-0005-0000-0000-000079330000}"/>
    <cellStyle name="Normal 13 3 3 2 3 2" xfId="40980" xr:uid="{00000000-0005-0000-0000-00007A330000}"/>
    <cellStyle name="Normal 13 3 3 2 4" xfId="10897" xr:uid="{00000000-0005-0000-0000-00007B330000}"/>
    <cellStyle name="Normal 13 3 3 2 4 2" xfId="33540" xr:uid="{00000000-0005-0000-0000-00007C330000}"/>
    <cellStyle name="Normal 13 3 3 2 5" xfId="26099" xr:uid="{00000000-0005-0000-0000-00007D330000}"/>
    <cellStyle name="Normal 13 3 3 3" xfId="5324" xr:uid="{00000000-0005-0000-0000-00007E330000}"/>
    <cellStyle name="Normal 13 3 3 3 2" xfId="20208" xr:uid="{00000000-0005-0000-0000-00007F330000}"/>
    <cellStyle name="Normal 13 3 3 3 2 2" xfId="42851" xr:uid="{00000000-0005-0000-0000-000080330000}"/>
    <cellStyle name="Normal 13 3 3 3 3" xfId="12768" xr:uid="{00000000-0005-0000-0000-000081330000}"/>
    <cellStyle name="Normal 13 3 3 3 3 2" xfId="35411" xr:uid="{00000000-0005-0000-0000-000082330000}"/>
    <cellStyle name="Normal 13 3 3 3 4" xfId="27970" xr:uid="{00000000-0005-0000-0000-000083330000}"/>
    <cellStyle name="Normal 13 3 3 4" xfId="16490" xr:uid="{00000000-0005-0000-0000-000084330000}"/>
    <cellStyle name="Normal 13 3 3 4 2" xfId="39133" xr:uid="{00000000-0005-0000-0000-000085330000}"/>
    <cellStyle name="Normal 13 3 3 5" xfId="9050" xr:uid="{00000000-0005-0000-0000-000086330000}"/>
    <cellStyle name="Normal 13 3 3 5 2" xfId="31693" xr:uid="{00000000-0005-0000-0000-000087330000}"/>
    <cellStyle name="Normal 13 3 3 6" xfId="24252" xr:uid="{00000000-0005-0000-0000-000088330000}"/>
    <cellStyle name="Normal 13 3 4" xfId="2525" xr:uid="{00000000-0005-0000-0000-000089330000}"/>
    <cellStyle name="Normal 13 3 4 2" xfId="6246" xr:uid="{00000000-0005-0000-0000-00008A330000}"/>
    <cellStyle name="Normal 13 3 4 2 2" xfId="21130" xr:uid="{00000000-0005-0000-0000-00008B330000}"/>
    <cellStyle name="Normal 13 3 4 2 2 2" xfId="43773" xr:uid="{00000000-0005-0000-0000-00008C330000}"/>
    <cellStyle name="Normal 13 3 4 2 3" xfId="13690" xr:uid="{00000000-0005-0000-0000-00008D330000}"/>
    <cellStyle name="Normal 13 3 4 2 3 2" xfId="36333" xr:uid="{00000000-0005-0000-0000-00008E330000}"/>
    <cellStyle name="Normal 13 3 4 2 4" xfId="28892" xr:uid="{00000000-0005-0000-0000-00008F330000}"/>
    <cellStyle name="Normal 13 3 4 3" xfId="17412" xr:uid="{00000000-0005-0000-0000-000090330000}"/>
    <cellStyle name="Normal 13 3 4 3 2" xfId="40055" xr:uid="{00000000-0005-0000-0000-000091330000}"/>
    <cellStyle name="Normal 13 3 4 4" xfId="9972" xr:uid="{00000000-0005-0000-0000-000092330000}"/>
    <cellStyle name="Normal 13 3 4 4 2" xfId="32615" xr:uid="{00000000-0005-0000-0000-000093330000}"/>
    <cellStyle name="Normal 13 3 4 5" xfId="25174" xr:uid="{00000000-0005-0000-0000-000094330000}"/>
    <cellStyle name="Normal 13 3 5" xfId="4399" xr:uid="{00000000-0005-0000-0000-000095330000}"/>
    <cellStyle name="Normal 13 3 5 2" xfId="19283" xr:uid="{00000000-0005-0000-0000-000096330000}"/>
    <cellStyle name="Normal 13 3 5 2 2" xfId="41926" xr:uid="{00000000-0005-0000-0000-000097330000}"/>
    <cellStyle name="Normal 13 3 5 3" xfId="11843" xr:uid="{00000000-0005-0000-0000-000098330000}"/>
    <cellStyle name="Normal 13 3 5 3 2" xfId="34486" xr:uid="{00000000-0005-0000-0000-000099330000}"/>
    <cellStyle name="Normal 13 3 5 4" xfId="27045" xr:uid="{00000000-0005-0000-0000-00009A330000}"/>
    <cellStyle name="Normal 13 3 6" xfId="669" xr:uid="{00000000-0005-0000-0000-00009B330000}"/>
    <cellStyle name="Normal 13 3 6 2" xfId="15565" xr:uid="{00000000-0005-0000-0000-00009C330000}"/>
    <cellStyle name="Normal 13 3 6 2 2" xfId="38208" xr:uid="{00000000-0005-0000-0000-00009D330000}"/>
    <cellStyle name="Normal 13 3 6 3" xfId="23327" xr:uid="{00000000-0005-0000-0000-00009E330000}"/>
    <cellStyle name="Normal 13 3 7" xfId="8125" xr:uid="{00000000-0005-0000-0000-00009F330000}"/>
    <cellStyle name="Normal 13 3 7 2" xfId="30768" xr:uid="{00000000-0005-0000-0000-0000A0330000}"/>
    <cellStyle name="Normal 13 4" xfId="923" xr:uid="{00000000-0005-0000-0000-0000A1330000}"/>
    <cellStyle name="Normal 13 4 2" xfId="1851" xr:uid="{00000000-0005-0000-0000-0000A2330000}"/>
    <cellStyle name="Normal 13 4 2 2" xfId="3701" xr:uid="{00000000-0005-0000-0000-0000A3330000}"/>
    <cellStyle name="Normal 13 4 2 2 2" xfId="7422" xr:uid="{00000000-0005-0000-0000-0000A4330000}"/>
    <cellStyle name="Normal 13 4 2 2 2 2" xfId="22306" xr:uid="{00000000-0005-0000-0000-0000A5330000}"/>
    <cellStyle name="Normal 13 4 2 2 2 2 2" xfId="44949" xr:uid="{00000000-0005-0000-0000-0000A6330000}"/>
    <cellStyle name="Normal 13 4 2 2 2 3" xfId="14866" xr:uid="{00000000-0005-0000-0000-0000A7330000}"/>
    <cellStyle name="Normal 13 4 2 2 2 3 2" xfId="37509" xr:uid="{00000000-0005-0000-0000-0000A8330000}"/>
    <cellStyle name="Normal 13 4 2 2 2 4" xfId="30068" xr:uid="{00000000-0005-0000-0000-0000A9330000}"/>
    <cellStyle name="Normal 13 4 2 2 3" xfId="18588" xr:uid="{00000000-0005-0000-0000-0000AA330000}"/>
    <cellStyle name="Normal 13 4 2 2 3 2" xfId="41231" xr:uid="{00000000-0005-0000-0000-0000AB330000}"/>
    <cellStyle name="Normal 13 4 2 2 4" xfId="11148" xr:uid="{00000000-0005-0000-0000-0000AC330000}"/>
    <cellStyle name="Normal 13 4 2 2 4 2" xfId="33791" xr:uid="{00000000-0005-0000-0000-0000AD330000}"/>
    <cellStyle name="Normal 13 4 2 2 5" xfId="26350" xr:uid="{00000000-0005-0000-0000-0000AE330000}"/>
    <cellStyle name="Normal 13 4 2 3" xfId="5575" xr:uid="{00000000-0005-0000-0000-0000AF330000}"/>
    <cellStyle name="Normal 13 4 2 3 2" xfId="20459" xr:uid="{00000000-0005-0000-0000-0000B0330000}"/>
    <cellStyle name="Normal 13 4 2 3 2 2" xfId="43102" xr:uid="{00000000-0005-0000-0000-0000B1330000}"/>
    <cellStyle name="Normal 13 4 2 3 3" xfId="13019" xr:uid="{00000000-0005-0000-0000-0000B2330000}"/>
    <cellStyle name="Normal 13 4 2 3 3 2" xfId="35662" xr:uid="{00000000-0005-0000-0000-0000B3330000}"/>
    <cellStyle name="Normal 13 4 2 3 4" xfId="28221" xr:uid="{00000000-0005-0000-0000-0000B4330000}"/>
    <cellStyle name="Normal 13 4 2 4" xfId="16741" xr:uid="{00000000-0005-0000-0000-0000B5330000}"/>
    <cellStyle name="Normal 13 4 2 4 2" xfId="39384" xr:uid="{00000000-0005-0000-0000-0000B6330000}"/>
    <cellStyle name="Normal 13 4 2 5" xfId="9301" xr:uid="{00000000-0005-0000-0000-0000B7330000}"/>
    <cellStyle name="Normal 13 4 2 5 2" xfId="31944" xr:uid="{00000000-0005-0000-0000-0000B8330000}"/>
    <cellStyle name="Normal 13 4 2 6" xfId="24503" xr:uid="{00000000-0005-0000-0000-0000B9330000}"/>
    <cellStyle name="Normal 13 4 3" xfId="2776" xr:uid="{00000000-0005-0000-0000-0000BA330000}"/>
    <cellStyle name="Normal 13 4 3 2" xfId="6497" xr:uid="{00000000-0005-0000-0000-0000BB330000}"/>
    <cellStyle name="Normal 13 4 3 2 2" xfId="21381" xr:uid="{00000000-0005-0000-0000-0000BC330000}"/>
    <cellStyle name="Normal 13 4 3 2 2 2" xfId="44024" xr:uid="{00000000-0005-0000-0000-0000BD330000}"/>
    <cellStyle name="Normal 13 4 3 2 3" xfId="13941" xr:uid="{00000000-0005-0000-0000-0000BE330000}"/>
    <cellStyle name="Normal 13 4 3 2 3 2" xfId="36584" xr:uid="{00000000-0005-0000-0000-0000BF330000}"/>
    <cellStyle name="Normal 13 4 3 2 4" xfId="29143" xr:uid="{00000000-0005-0000-0000-0000C0330000}"/>
    <cellStyle name="Normal 13 4 3 3" xfId="17663" xr:uid="{00000000-0005-0000-0000-0000C1330000}"/>
    <cellStyle name="Normal 13 4 3 3 2" xfId="40306" xr:uid="{00000000-0005-0000-0000-0000C2330000}"/>
    <cellStyle name="Normal 13 4 3 4" xfId="10223" xr:uid="{00000000-0005-0000-0000-0000C3330000}"/>
    <cellStyle name="Normal 13 4 3 4 2" xfId="32866" xr:uid="{00000000-0005-0000-0000-0000C4330000}"/>
    <cellStyle name="Normal 13 4 3 5" xfId="25425" xr:uid="{00000000-0005-0000-0000-0000C5330000}"/>
    <cellStyle name="Normal 13 4 4" xfId="4650" xr:uid="{00000000-0005-0000-0000-0000C6330000}"/>
    <cellStyle name="Normal 13 4 4 2" xfId="19534" xr:uid="{00000000-0005-0000-0000-0000C7330000}"/>
    <cellStyle name="Normal 13 4 4 2 2" xfId="42177" xr:uid="{00000000-0005-0000-0000-0000C8330000}"/>
    <cellStyle name="Normal 13 4 4 3" xfId="12094" xr:uid="{00000000-0005-0000-0000-0000C9330000}"/>
    <cellStyle name="Normal 13 4 4 3 2" xfId="34737" xr:uid="{00000000-0005-0000-0000-0000CA330000}"/>
    <cellStyle name="Normal 13 4 4 4" xfId="27296" xr:uid="{00000000-0005-0000-0000-0000CB330000}"/>
    <cellStyle name="Normal 13 4 5" xfId="15816" xr:uid="{00000000-0005-0000-0000-0000CC330000}"/>
    <cellStyle name="Normal 13 4 5 2" xfId="38459" xr:uid="{00000000-0005-0000-0000-0000CD330000}"/>
    <cellStyle name="Normal 13 4 6" xfId="8376" xr:uid="{00000000-0005-0000-0000-0000CE330000}"/>
    <cellStyle name="Normal 13 4 6 2" xfId="31019" xr:uid="{00000000-0005-0000-0000-0000CF330000}"/>
    <cellStyle name="Normal 13 4 7" xfId="23578" xr:uid="{00000000-0005-0000-0000-0000D0330000}"/>
    <cellStyle name="Normal 13 5" xfId="1389" xr:uid="{00000000-0005-0000-0000-0000D1330000}"/>
    <cellStyle name="Normal 13 5 2" xfId="3239" xr:uid="{00000000-0005-0000-0000-0000D2330000}"/>
    <cellStyle name="Normal 13 5 2 2" xfId="6960" xr:uid="{00000000-0005-0000-0000-0000D3330000}"/>
    <cellStyle name="Normal 13 5 2 2 2" xfId="21844" xr:uid="{00000000-0005-0000-0000-0000D4330000}"/>
    <cellStyle name="Normal 13 5 2 2 2 2" xfId="44487" xr:uid="{00000000-0005-0000-0000-0000D5330000}"/>
    <cellStyle name="Normal 13 5 2 2 3" xfId="14404" xr:uid="{00000000-0005-0000-0000-0000D6330000}"/>
    <cellStyle name="Normal 13 5 2 2 3 2" xfId="37047" xr:uid="{00000000-0005-0000-0000-0000D7330000}"/>
    <cellStyle name="Normal 13 5 2 2 4" xfId="29606" xr:uid="{00000000-0005-0000-0000-0000D8330000}"/>
    <cellStyle name="Normal 13 5 2 3" xfId="18126" xr:uid="{00000000-0005-0000-0000-0000D9330000}"/>
    <cellStyle name="Normal 13 5 2 3 2" xfId="40769" xr:uid="{00000000-0005-0000-0000-0000DA330000}"/>
    <cellStyle name="Normal 13 5 2 4" xfId="10686" xr:uid="{00000000-0005-0000-0000-0000DB330000}"/>
    <cellStyle name="Normal 13 5 2 4 2" xfId="33329" xr:uid="{00000000-0005-0000-0000-0000DC330000}"/>
    <cellStyle name="Normal 13 5 2 5" xfId="25888" xr:uid="{00000000-0005-0000-0000-0000DD330000}"/>
    <cellStyle name="Normal 13 5 3" xfId="5113" xr:uid="{00000000-0005-0000-0000-0000DE330000}"/>
    <cellStyle name="Normal 13 5 3 2" xfId="19997" xr:uid="{00000000-0005-0000-0000-0000DF330000}"/>
    <cellStyle name="Normal 13 5 3 2 2" xfId="42640" xr:uid="{00000000-0005-0000-0000-0000E0330000}"/>
    <cellStyle name="Normal 13 5 3 3" xfId="12557" xr:uid="{00000000-0005-0000-0000-0000E1330000}"/>
    <cellStyle name="Normal 13 5 3 3 2" xfId="35200" xr:uid="{00000000-0005-0000-0000-0000E2330000}"/>
    <cellStyle name="Normal 13 5 3 4" xfId="27759" xr:uid="{00000000-0005-0000-0000-0000E3330000}"/>
    <cellStyle name="Normal 13 5 4" xfId="16279" xr:uid="{00000000-0005-0000-0000-0000E4330000}"/>
    <cellStyle name="Normal 13 5 4 2" xfId="38922" xr:uid="{00000000-0005-0000-0000-0000E5330000}"/>
    <cellStyle name="Normal 13 5 5" xfId="8839" xr:uid="{00000000-0005-0000-0000-0000E6330000}"/>
    <cellStyle name="Normal 13 5 5 2" xfId="31482" xr:uid="{00000000-0005-0000-0000-0000E7330000}"/>
    <cellStyle name="Normal 13 5 6" xfId="24041" xr:uid="{00000000-0005-0000-0000-0000E8330000}"/>
    <cellStyle name="Normal 13 6" xfId="2314" xr:uid="{00000000-0005-0000-0000-0000E9330000}"/>
    <cellStyle name="Normal 13 6 2" xfId="6035" xr:uid="{00000000-0005-0000-0000-0000EA330000}"/>
    <cellStyle name="Normal 13 6 2 2" xfId="20919" xr:uid="{00000000-0005-0000-0000-0000EB330000}"/>
    <cellStyle name="Normal 13 6 2 2 2" xfId="43562" xr:uid="{00000000-0005-0000-0000-0000EC330000}"/>
    <cellStyle name="Normal 13 6 2 3" xfId="13479" xr:uid="{00000000-0005-0000-0000-0000ED330000}"/>
    <cellStyle name="Normal 13 6 2 3 2" xfId="36122" xr:uid="{00000000-0005-0000-0000-0000EE330000}"/>
    <cellStyle name="Normal 13 6 2 4" xfId="28681" xr:uid="{00000000-0005-0000-0000-0000EF330000}"/>
    <cellStyle name="Normal 13 6 3" xfId="17201" xr:uid="{00000000-0005-0000-0000-0000F0330000}"/>
    <cellStyle name="Normal 13 6 3 2" xfId="39844" xr:uid="{00000000-0005-0000-0000-0000F1330000}"/>
    <cellStyle name="Normal 13 6 4" xfId="9761" xr:uid="{00000000-0005-0000-0000-0000F2330000}"/>
    <cellStyle name="Normal 13 6 4 2" xfId="32404" xr:uid="{00000000-0005-0000-0000-0000F3330000}"/>
    <cellStyle name="Normal 13 6 5" xfId="24963" xr:uid="{00000000-0005-0000-0000-0000F4330000}"/>
    <cellStyle name="Normal 13 7" xfId="4188" xr:uid="{00000000-0005-0000-0000-0000F5330000}"/>
    <cellStyle name="Normal 13 7 2" xfId="19072" xr:uid="{00000000-0005-0000-0000-0000F6330000}"/>
    <cellStyle name="Normal 13 7 2 2" xfId="41715" xr:uid="{00000000-0005-0000-0000-0000F7330000}"/>
    <cellStyle name="Normal 13 7 3" xfId="11632" xr:uid="{00000000-0005-0000-0000-0000F8330000}"/>
    <cellStyle name="Normal 13 7 3 2" xfId="34275" xr:uid="{00000000-0005-0000-0000-0000F9330000}"/>
    <cellStyle name="Normal 13 7 4" xfId="26834" xr:uid="{00000000-0005-0000-0000-0000FA330000}"/>
    <cellStyle name="Normal 13 8" xfId="455" xr:uid="{00000000-0005-0000-0000-0000FB330000}"/>
    <cellStyle name="Normal 13 8 2" xfId="15354" xr:uid="{00000000-0005-0000-0000-0000FC330000}"/>
    <cellStyle name="Normal 13 8 2 2" xfId="37997" xr:uid="{00000000-0005-0000-0000-0000FD330000}"/>
    <cellStyle name="Normal 13 8 3" xfId="23117" xr:uid="{00000000-0005-0000-0000-0000FE330000}"/>
    <cellStyle name="Normal 13 9" xfId="7914" xr:uid="{00000000-0005-0000-0000-0000FF330000}"/>
    <cellStyle name="Normal 13 9 2" xfId="30557" xr:uid="{00000000-0005-0000-0000-000000340000}"/>
    <cellStyle name="Normal 130" xfId="45407" xr:uid="{00000000-0005-0000-0000-000001340000}"/>
    <cellStyle name="Normal 131" xfId="45408" xr:uid="{00000000-0005-0000-0000-000002340000}"/>
    <cellStyle name="Normal 132" xfId="45409" xr:uid="{00000000-0005-0000-0000-000003340000}"/>
    <cellStyle name="Normal 133" xfId="45410" xr:uid="{00000000-0005-0000-0000-000004340000}"/>
    <cellStyle name="Normal 134" xfId="45411" xr:uid="{00000000-0005-0000-0000-000005340000}"/>
    <cellStyle name="Normal 135" xfId="45412" xr:uid="{00000000-0005-0000-0000-000006340000}"/>
    <cellStyle name="Normal 136" xfId="45413" xr:uid="{00000000-0005-0000-0000-000007340000}"/>
    <cellStyle name="Normal 137" xfId="45414" xr:uid="{00000000-0005-0000-0000-000008340000}"/>
    <cellStyle name="Normal 138" xfId="45415" xr:uid="{00000000-0005-0000-0000-000009340000}"/>
    <cellStyle name="Normal 139" xfId="45416" xr:uid="{00000000-0005-0000-0000-00000A340000}"/>
    <cellStyle name="Normal 14" xfId="208" xr:uid="{00000000-0005-0000-0000-00000B340000}"/>
    <cellStyle name="Normal 14 10" xfId="22909" xr:uid="{00000000-0005-0000-0000-00000C340000}"/>
    <cellStyle name="Normal 14 2" xfId="614" xr:uid="{00000000-0005-0000-0000-00000D340000}"/>
    <cellStyle name="Normal 14 2 2" xfId="826" xr:uid="{00000000-0005-0000-0000-00000E340000}"/>
    <cellStyle name="Normal 14 2 2 2" xfId="1291" xr:uid="{00000000-0005-0000-0000-00000F340000}"/>
    <cellStyle name="Normal 14 2 2 2 2" xfId="2219" xr:uid="{00000000-0005-0000-0000-000010340000}"/>
    <cellStyle name="Normal 14 2 2 2 2 2" xfId="4069" xr:uid="{00000000-0005-0000-0000-000011340000}"/>
    <cellStyle name="Normal 14 2 2 2 2 2 2" xfId="7790" xr:uid="{00000000-0005-0000-0000-000012340000}"/>
    <cellStyle name="Normal 14 2 2 2 2 2 2 2" xfId="22674" xr:uid="{00000000-0005-0000-0000-000013340000}"/>
    <cellStyle name="Normal 14 2 2 2 2 2 2 2 2" xfId="45317" xr:uid="{00000000-0005-0000-0000-000014340000}"/>
    <cellStyle name="Normal 14 2 2 2 2 2 2 3" xfId="15234" xr:uid="{00000000-0005-0000-0000-000015340000}"/>
    <cellStyle name="Normal 14 2 2 2 2 2 2 3 2" xfId="37877" xr:uid="{00000000-0005-0000-0000-000016340000}"/>
    <cellStyle name="Normal 14 2 2 2 2 2 2 4" xfId="30436" xr:uid="{00000000-0005-0000-0000-000017340000}"/>
    <cellStyle name="Normal 14 2 2 2 2 2 3" xfId="18956" xr:uid="{00000000-0005-0000-0000-000018340000}"/>
    <cellStyle name="Normal 14 2 2 2 2 2 3 2" xfId="41599" xr:uid="{00000000-0005-0000-0000-000019340000}"/>
    <cellStyle name="Normal 14 2 2 2 2 2 4" xfId="11516" xr:uid="{00000000-0005-0000-0000-00001A340000}"/>
    <cellStyle name="Normal 14 2 2 2 2 2 4 2" xfId="34159" xr:uid="{00000000-0005-0000-0000-00001B340000}"/>
    <cellStyle name="Normal 14 2 2 2 2 2 5" xfId="26718" xr:uid="{00000000-0005-0000-0000-00001C340000}"/>
    <cellStyle name="Normal 14 2 2 2 2 3" xfId="5943" xr:uid="{00000000-0005-0000-0000-00001D340000}"/>
    <cellStyle name="Normal 14 2 2 2 2 3 2" xfId="20827" xr:uid="{00000000-0005-0000-0000-00001E340000}"/>
    <cellStyle name="Normal 14 2 2 2 2 3 2 2" xfId="43470" xr:uid="{00000000-0005-0000-0000-00001F340000}"/>
    <cellStyle name="Normal 14 2 2 2 2 3 3" xfId="13387" xr:uid="{00000000-0005-0000-0000-000020340000}"/>
    <cellStyle name="Normal 14 2 2 2 2 3 3 2" xfId="36030" xr:uid="{00000000-0005-0000-0000-000021340000}"/>
    <cellStyle name="Normal 14 2 2 2 2 3 4" xfId="28589" xr:uid="{00000000-0005-0000-0000-000022340000}"/>
    <cellStyle name="Normal 14 2 2 2 2 4" xfId="17109" xr:uid="{00000000-0005-0000-0000-000023340000}"/>
    <cellStyle name="Normal 14 2 2 2 2 4 2" xfId="39752" xr:uid="{00000000-0005-0000-0000-000024340000}"/>
    <cellStyle name="Normal 14 2 2 2 2 5" xfId="9669" xr:uid="{00000000-0005-0000-0000-000025340000}"/>
    <cellStyle name="Normal 14 2 2 2 2 5 2" xfId="32312" xr:uid="{00000000-0005-0000-0000-000026340000}"/>
    <cellStyle name="Normal 14 2 2 2 2 6" xfId="24871" xr:uid="{00000000-0005-0000-0000-000027340000}"/>
    <cellStyle name="Normal 14 2 2 2 3" xfId="3144" xr:uid="{00000000-0005-0000-0000-000028340000}"/>
    <cellStyle name="Normal 14 2 2 2 3 2" xfId="6865" xr:uid="{00000000-0005-0000-0000-000029340000}"/>
    <cellStyle name="Normal 14 2 2 2 3 2 2" xfId="21749" xr:uid="{00000000-0005-0000-0000-00002A340000}"/>
    <cellStyle name="Normal 14 2 2 2 3 2 2 2" xfId="44392" xr:uid="{00000000-0005-0000-0000-00002B340000}"/>
    <cellStyle name="Normal 14 2 2 2 3 2 3" xfId="14309" xr:uid="{00000000-0005-0000-0000-00002C340000}"/>
    <cellStyle name="Normal 14 2 2 2 3 2 3 2" xfId="36952" xr:uid="{00000000-0005-0000-0000-00002D340000}"/>
    <cellStyle name="Normal 14 2 2 2 3 2 4" xfId="29511" xr:uid="{00000000-0005-0000-0000-00002E340000}"/>
    <cellStyle name="Normal 14 2 2 2 3 3" xfId="18031" xr:uid="{00000000-0005-0000-0000-00002F340000}"/>
    <cellStyle name="Normal 14 2 2 2 3 3 2" xfId="40674" xr:uid="{00000000-0005-0000-0000-000030340000}"/>
    <cellStyle name="Normal 14 2 2 2 3 4" xfId="10591" xr:uid="{00000000-0005-0000-0000-000031340000}"/>
    <cellStyle name="Normal 14 2 2 2 3 4 2" xfId="33234" xr:uid="{00000000-0005-0000-0000-000032340000}"/>
    <cellStyle name="Normal 14 2 2 2 3 5" xfId="25793" xr:uid="{00000000-0005-0000-0000-000033340000}"/>
    <cellStyle name="Normal 14 2 2 2 4" xfId="5018" xr:uid="{00000000-0005-0000-0000-000034340000}"/>
    <cellStyle name="Normal 14 2 2 2 4 2" xfId="19902" xr:uid="{00000000-0005-0000-0000-000035340000}"/>
    <cellStyle name="Normal 14 2 2 2 4 2 2" xfId="42545" xr:uid="{00000000-0005-0000-0000-000036340000}"/>
    <cellStyle name="Normal 14 2 2 2 4 3" xfId="12462" xr:uid="{00000000-0005-0000-0000-000037340000}"/>
    <cellStyle name="Normal 14 2 2 2 4 3 2" xfId="35105" xr:uid="{00000000-0005-0000-0000-000038340000}"/>
    <cellStyle name="Normal 14 2 2 2 4 4" xfId="27664" xr:uid="{00000000-0005-0000-0000-000039340000}"/>
    <cellStyle name="Normal 14 2 2 2 5" xfId="16184" xr:uid="{00000000-0005-0000-0000-00003A340000}"/>
    <cellStyle name="Normal 14 2 2 2 5 2" xfId="38827" xr:uid="{00000000-0005-0000-0000-00003B340000}"/>
    <cellStyle name="Normal 14 2 2 2 6" xfId="8744" xr:uid="{00000000-0005-0000-0000-00003C340000}"/>
    <cellStyle name="Normal 14 2 2 2 6 2" xfId="31387" xr:uid="{00000000-0005-0000-0000-00003D340000}"/>
    <cellStyle name="Normal 14 2 2 2 7" xfId="23946" xr:uid="{00000000-0005-0000-0000-00003E340000}"/>
    <cellStyle name="Normal 14 2 2 3" xfId="1757" xr:uid="{00000000-0005-0000-0000-00003F340000}"/>
    <cellStyle name="Normal 14 2 2 3 2" xfId="3607" xr:uid="{00000000-0005-0000-0000-000040340000}"/>
    <cellStyle name="Normal 14 2 2 3 2 2" xfId="7328" xr:uid="{00000000-0005-0000-0000-000041340000}"/>
    <cellStyle name="Normal 14 2 2 3 2 2 2" xfId="22212" xr:uid="{00000000-0005-0000-0000-000042340000}"/>
    <cellStyle name="Normal 14 2 2 3 2 2 2 2" xfId="44855" xr:uid="{00000000-0005-0000-0000-000043340000}"/>
    <cellStyle name="Normal 14 2 2 3 2 2 3" xfId="14772" xr:uid="{00000000-0005-0000-0000-000044340000}"/>
    <cellStyle name="Normal 14 2 2 3 2 2 3 2" xfId="37415" xr:uid="{00000000-0005-0000-0000-000045340000}"/>
    <cellStyle name="Normal 14 2 2 3 2 2 4" xfId="29974" xr:uid="{00000000-0005-0000-0000-000046340000}"/>
    <cellStyle name="Normal 14 2 2 3 2 3" xfId="18494" xr:uid="{00000000-0005-0000-0000-000047340000}"/>
    <cellStyle name="Normal 14 2 2 3 2 3 2" xfId="41137" xr:uid="{00000000-0005-0000-0000-000048340000}"/>
    <cellStyle name="Normal 14 2 2 3 2 4" xfId="11054" xr:uid="{00000000-0005-0000-0000-000049340000}"/>
    <cellStyle name="Normal 14 2 2 3 2 4 2" xfId="33697" xr:uid="{00000000-0005-0000-0000-00004A340000}"/>
    <cellStyle name="Normal 14 2 2 3 2 5" xfId="26256" xr:uid="{00000000-0005-0000-0000-00004B340000}"/>
    <cellStyle name="Normal 14 2 2 3 3" xfId="5481" xr:uid="{00000000-0005-0000-0000-00004C340000}"/>
    <cellStyle name="Normal 14 2 2 3 3 2" xfId="20365" xr:uid="{00000000-0005-0000-0000-00004D340000}"/>
    <cellStyle name="Normal 14 2 2 3 3 2 2" xfId="43008" xr:uid="{00000000-0005-0000-0000-00004E340000}"/>
    <cellStyle name="Normal 14 2 2 3 3 3" xfId="12925" xr:uid="{00000000-0005-0000-0000-00004F340000}"/>
    <cellStyle name="Normal 14 2 2 3 3 3 2" xfId="35568" xr:uid="{00000000-0005-0000-0000-000050340000}"/>
    <cellStyle name="Normal 14 2 2 3 3 4" xfId="28127" xr:uid="{00000000-0005-0000-0000-000051340000}"/>
    <cellStyle name="Normal 14 2 2 3 4" xfId="16647" xr:uid="{00000000-0005-0000-0000-000052340000}"/>
    <cellStyle name="Normal 14 2 2 3 4 2" xfId="39290" xr:uid="{00000000-0005-0000-0000-000053340000}"/>
    <cellStyle name="Normal 14 2 2 3 5" xfId="9207" xr:uid="{00000000-0005-0000-0000-000054340000}"/>
    <cellStyle name="Normal 14 2 2 3 5 2" xfId="31850" xr:uid="{00000000-0005-0000-0000-000055340000}"/>
    <cellStyle name="Normal 14 2 2 3 6" xfId="24409" xr:uid="{00000000-0005-0000-0000-000056340000}"/>
    <cellStyle name="Normal 14 2 2 4" xfId="2682" xr:uid="{00000000-0005-0000-0000-000057340000}"/>
    <cellStyle name="Normal 14 2 2 4 2" xfId="6403" xr:uid="{00000000-0005-0000-0000-000058340000}"/>
    <cellStyle name="Normal 14 2 2 4 2 2" xfId="21287" xr:uid="{00000000-0005-0000-0000-000059340000}"/>
    <cellStyle name="Normal 14 2 2 4 2 2 2" xfId="43930" xr:uid="{00000000-0005-0000-0000-00005A340000}"/>
    <cellStyle name="Normal 14 2 2 4 2 3" xfId="13847" xr:uid="{00000000-0005-0000-0000-00005B340000}"/>
    <cellStyle name="Normal 14 2 2 4 2 3 2" xfId="36490" xr:uid="{00000000-0005-0000-0000-00005C340000}"/>
    <cellStyle name="Normal 14 2 2 4 2 4" xfId="29049" xr:uid="{00000000-0005-0000-0000-00005D340000}"/>
    <cellStyle name="Normal 14 2 2 4 3" xfId="17569" xr:uid="{00000000-0005-0000-0000-00005E340000}"/>
    <cellStyle name="Normal 14 2 2 4 3 2" xfId="40212" xr:uid="{00000000-0005-0000-0000-00005F340000}"/>
    <cellStyle name="Normal 14 2 2 4 4" xfId="10129" xr:uid="{00000000-0005-0000-0000-000060340000}"/>
    <cellStyle name="Normal 14 2 2 4 4 2" xfId="32772" xr:uid="{00000000-0005-0000-0000-000061340000}"/>
    <cellStyle name="Normal 14 2 2 4 5" xfId="25331" xr:uid="{00000000-0005-0000-0000-000062340000}"/>
    <cellStyle name="Normal 14 2 2 5" xfId="4556" xr:uid="{00000000-0005-0000-0000-000063340000}"/>
    <cellStyle name="Normal 14 2 2 5 2" xfId="19440" xr:uid="{00000000-0005-0000-0000-000064340000}"/>
    <cellStyle name="Normal 14 2 2 5 2 2" xfId="42083" xr:uid="{00000000-0005-0000-0000-000065340000}"/>
    <cellStyle name="Normal 14 2 2 5 3" xfId="12000" xr:uid="{00000000-0005-0000-0000-000066340000}"/>
    <cellStyle name="Normal 14 2 2 5 3 2" xfId="34643" xr:uid="{00000000-0005-0000-0000-000067340000}"/>
    <cellStyle name="Normal 14 2 2 5 4" xfId="27202" xr:uid="{00000000-0005-0000-0000-000068340000}"/>
    <cellStyle name="Normal 14 2 2 6" xfId="15722" xr:uid="{00000000-0005-0000-0000-000069340000}"/>
    <cellStyle name="Normal 14 2 2 6 2" xfId="38365" xr:uid="{00000000-0005-0000-0000-00006A340000}"/>
    <cellStyle name="Normal 14 2 2 7" xfId="8282" xr:uid="{00000000-0005-0000-0000-00006B340000}"/>
    <cellStyle name="Normal 14 2 2 7 2" xfId="30925" xr:uid="{00000000-0005-0000-0000-00006C340000}"/>
    <cellStyle name="Normal 14 2 2 8" xfId="23484" xr:uid="{00000000-0005-0000-0000-00006D340000}"/>
    <cellStyle name="Normal 14 2 3" xfId="1080" xr:uid="{00000000-0005-0000-0000-00006E340000}"/>
    <cellStyle name="Normal 14 2 3 2" xfId="2008" xr:uid="{00000000-0005-0000-0000-00006F340000}"/>
    <cellStyle name="Normal 14 2 3 2 2" xfId="3858" xr:uid="{00000000-0005-0000-0000-000070340000}"/>
    <cellStyle name="Normal 14 2 3 2 2 2" xfId="7579" xr:uid="{00000000-0005-0000-0000-000071340000}"/>
    <cellStyle name="Normal 14 2 3 2 2 2 2" xfId="22463" xr:uid="{00000000-0005-0000-0000-000072340000}"/>
    <cellStyle name="Normal 14 2 3 2 2 2 2 2" xfId="45106" xr:uid="{00000000-0005-0000-0000-000073340000}"/>
    <cellStyle name="Normal 14 2 3 2 2 2 3" xfId="15023" xr:uid="{00000000-0005-0000-0000-000074340000}"/>
    <cellStyle name="Normal 14 2 3 2 2 2 3 2" xfId="37666" xr:uid="{00000000-0005-0000-0000-000075340000}"/>
    <cellStyle name="Normal 14 2 3 2 2 2 4" xfId="30225" xr:uid="{00000000-0005-0000-0000-000076340000}"/>
    <cellStyle name="Normal 14 2 3 2 2 3" xfId="18745" xr:uid="{00000000-0005-0000-0000-000077340000}"/>
    <cellStyle name="Normal 14 2 3 2 2 3 2" xfId="41388" xr:uid="{00000000-0005-0000-0000-000078340000}"/>
    <cellStyle name="Normal 14 2 3 2 2 4" xfId="11305" xr:uid="{00000000-0005-0000-0000-000079340000}"/>
    <cellStyle name="Normal 14 2 3 2 2 4 2" xfId="33948" xr:uid="{00000000-0005-0000-0000-00007A340000}"/>
    <cellStyle name="Normal 14 2 3 2 2 5" xfId="26507" xr:uid="{00000000-0005-0000-0000-00007B340000}"/>
    <cellStyle name="Normal 14 2 3 2 3" xfId="5732" xr:uid="{00000000-0005-0000-0000-00007C340000}"/>
    <cellStyle name="Normal 14 2 3 2 3 2" xfId="20616" xr:uid="{00000000-0005-0000-0000-00007D340000}"/>
    <cellStyle name="Normal 14 2 3 2 3 2 2" xfId="43259" xr:uid="{00000000-0005-0000-0000-00007E340000}"/>
    <cellStyle name="Normal 14 2 3 2 3 3" xfId="13176" xr:uid="{00000000-0005-0000-0000-00007F340000}"/>
    <cellStyle name="Normal 14 2 3 2 3 3 2" xfId="35819" xr:uid="{00000000-0005-0000-0000-000080340000}"/>
    <cellStyle name="Normal 14 2 3 2 3 4" xfId="28378" xr:uid="{00000000-0005-0000-0000-000081340000}"/>
    <cellStyle name="Normal 14 2 3 2 4" xfId="16898" xr:uid="{00000000-0005-0000-0000-000082340000}"/>
    <cellStyle name="Normal 14 2 3 2 4 2" xfId="39541" xr:uid="{00000000-0005-0000-0000-000083340000}"/>
    <cellStyle name="Normal 14 2 3 2 5" xfId="9458" xr:uid="{00000000-0005-0000-0000-000084340000}"/>
    <cellStyle name="Normal 14 2 3 2 5 2" xfId="32101" xr:uid="{00000000-0005-0000-0000-000085340000}"/>
    <cellStyle name="Normal 14 2 3 2 6" xfId="24660" xr:uid="{00000000-0005-0000-0000-000086340000}"/>
    <cellStyle name="Normal 14 2 3 3" xfId="2933" xr:uid="{00000000-0005-0000-0000-000087340000}"/>
    <cellStyle name="Normal 14 2 3 3 2" xfId="6654" xr:uid="{00000000-0005-0000-0000-000088340000}"/>
    <cellStyle name="Normal 14 2 3 3 2 2" xfId="21538" xr:uid="{00000000-0005-0000-0000-000089340000}"/>
    <cellStyle name="Normal 14 2 3 3 2 2 2" xfId="44181" xr:uid="{00000000-0005-0000-0000-00008A340000}"/>
    <cellStyle name="Normal 14 2 3 3 2 3" xfId="14098" xr:uid="{00000000-0005-0000-0000-00008B340000}"/>
    <cellStyle name="Normal 14 2 3 3 2 3 2" xfId="36741" xr:uid="{00000000-0005-0000-0000-00008C340000}"/>
    <cellStyle name="Normal 14 2 3 3 2 4" xfId="29300" xr:uid="{00000000-0005-0000-0000-00008D340000}"/>
    <cellStyle name="Normal 14 2 3 3 3" xfId="17820" xr:uid="{00000000-0005-0000-0000-00008E340000}"/>
    <cellStyle name="Normal 14 2 3 3 3 2" xfId="40463" xr:uid="{00000000-0005-0000-0000-00008F340000}"/>
    <cellStyle name="Normal 14 2 3 3 4" xfId="10380" xr:uid="{00000000-0005-0000-0000-000090340000}"/>
    <cellStyle name="Normal 14 2 3 3 4 2" xfId="33023" xr:uid="{00000000-0005-0000-0000-000091340000}"/>
    <cellStyle name="Normal 14 2 3 3 5" xfId="25582" xr:uid="{00000000-0005-0000-0000-000092340000}"/>
    <cellStyle name="Normal 14 2 3 4" xfId="4807" xr:uid="{00000000-0005-0000-0000-000093340000}"/>
    <cellStyle name="Normal 14 2 3 4 2" xfId="19691" xr:uid="{00000000-0005-0000-0000-000094340000}"/>
    <cellStyle name="Normal 14 2 3 4 2 2" xfId="42334" xr:uid="{00000000-0005-0000-0000-000095340000}"/>
    <cellStyle name="Normal 14 2 3 4 3" xfId="12251" xr:uid="{00000000-0005-0000-0000-000096340000}"/>
    <cellStyle name="Normal 14 2 3 4 3 2" xfId="34894" xr:uid="{00000000-0005-0000-0000-000097340000}"/>
    <cellStyle name="Normal 14 2 3 4 4" xfId="27453" xr:uid="{00000000-0005-0000-0000-000098340000}"/>
    <cellStyle name="Normal 14 2 3 5" xfId="15973" xr:uid="{00000000-0005-0000-0000-000099340000}"/>
    <cellStyle name="Normal 14 2 3 5 2" xfId="38616" xr:uid="{00000000-0005-0000-0000-00009A340000}"/>
    <cellStyle name="Normal 14 2 3 6" xfId="8533" xr:uid="{00000000-0005-0000-0000-00009B340000}"/>
    <cellStyle name="Normal 14 2 3 6 2" xfId="31176" xr:uid="{00000000-0005-0000-0000-00009C340000}"/>
    <cellStyle name="Normal 14 2 3 7" xfId="23735" xr:uid="{00000000-0005-0000-0000-00009D340000}"/>
    <cellStyle name="Normal 14 2 4" xfId="1546" xr:uid="{00000000-0005-0000-0000-00009E340000}"/>
    <cellStyle name="Normal 14 2 4 2" xfId="3396" xr:uid="{00000000-0005-0000-0000-00009F340000}"/>
    <cellStyle name="Normal 14 2 4 2 2" xfId="7117" xr:uid="{00000000-0005-0000-0000-0000A0340000}"/>
    <cellStyle name="Normal 14 2 4 2 2 2" xfId="22001" xr:uid="{00000000-0005-0000-0000-0000A1340000}"/>
    <cellStyle name="Normal 14 2 4 2 2 2 2" xfId="44644" xr:uid="{00000000-0005-0000-0000-0000A2340000}"/>
    <cellStyle name="Normal 14 2 4 2 2 3" xfId="14561" xr:uid="{00000000-0005-0000-0000-0000A3340000}"/>
    <cellStyle name="Normal 14 2 4 2 2 3 2" xfId="37204" xr:uid="{00000000-0005-0000-0000-0000A4340000}"/>
    <cellStyle name="Normal 14 2 4 2 2 4" xfId="29763" xr:uid="{00000000-0005-0000-0000-0000A5340000}"/>
    <cellStyle name="Normal 14 2 4 2 3" xfId="18283" xr:uid="{00000000-0005-0000-0000-0000A6340000}"/>
    <cellStyle name="Normal 14 2 4 2 3 2" xfId="40926" xr:uid="{00000000-0005-0000-0000-0000A7340000}"/>
    <cellStyle name="Normal 14 2 4 2 4" xfId="10843" xr:uid="{00000000-0005-0000-0000-0000A8340000}"/>
    <cellStyle name="Normal 14 2 4 2 4 2" xfId="33486" xr:uid="{00000000-0005-0000-0000-0000A9340000}"/>
    <cellStyle name="Normal 14 2 4 2 5" xfId="26045" xr:uid="{00000000-0005-0000-0000-0000AA340000}"/>
    <cellStyle name="Normal 14 2 4 3" xfId="5270" xr:uid="{00000000-0005-0000-0000-0000AB340000}"/>
    <cellStyle name="Normal 14 2 4 3 2" xfId="20154" xr:uid="{00000000-0005-0000-0000-0000AC340000}"/>
    <cellStyle name="Normal 14 2 4 3 2 2" xfId="42797" xr:uid="{00000000-0005-0000-0000-0000AD340000}"/>
    <cellStyle name="Normal 14 2 4 3 3" xfId="12714" xr:uid="{00000000-0005-0000-0000-0000AE340000}"/>
    <cellStyle name="Normal 14 2 4 3 3 2" xfId="35357" xr:uid="{00000000-0005-0000-0000-0000AF340000}"/>
    <cellStyle name="Normal 14 2 4 3 4" xfId="27916" xr:uid="{00000000-0005-0000-0000-0000B0340000}"/>
    <cellStyle name="Normal 14 2 4 4" xfId="16436" xr:uid="{00000000-0005-0000-0000-0000B1340000}"/>
    <cellStyle name="Normal 14 2 4 4 2" xfId="39079" xr:uid="{00000000-0005-0000-0000-0000B2340000}"/>
    <cellStyle name="Normal 14 2 4 5" xfId="8996" xr:uid="{00000000-0005-0000-0000-0000B3340000}"/>
    <cellStyle name="Normal 14 2 4 5 2" xfId="31639" xr:uid="{00000000-0005-0000-0000-0000B4340000}"/>
    <cellStyle name="Normal 14 2 4 6" xfId="24198" xr:uid="{00000000-0005-0000-0000-0000B5340000}"/>
    <cellStyle name="Normal 14 2 5" xfId="2471" xr:uid="{00000000-0005-0000-0000-0000B6340000}"/>
    <cellStyle name="Normal 14 2 5 2" xfId="6192" xr:uid="{00000000-0005-0000-0000-0000B7340000}"/>
    <cellStyle name="Normal 14 2 5 2 2" xfId="21076" xr:uid="{00000000-0005-0000-0000-0000B8340000}"/>
    <cellStyle name="Normal 14 2 5 2 2 2" xfId="43719" xr:uid="{00000000-0005-0000-0000-0000B9340000}"/>
    <cellStyle name="Normal 14 2 5 2 3" xfId="13636" xr:uid="{00000000-0005-0000-0000-0000BA340000}"/>
    <cellStyle name="Normal 14 2 5 2 3 2" xfId="36279" xr:uid="{00000000-0005-0000-0000-0000BB340000}"/>
    <cellStyle name="Normal 14 2 5 2 4" xfId="28838" xr:uid="{00000000-0005-0000-0000-0000BC340000}"/>
    <cellStyle name="Normal 14 2 5 3" xfId="17358" xr:uid="{00000000-0005-0000-0000-0000BD340000}"/>
    <cellStyle name="Normal 14 2 5 3 2" xfId="40001" xr:uid="{00000000-0005-0000-0000-0000BE340000}"/>
    <cellStyle name="Normal 14 2 5 4" xfId="9918" xr:uid="{00000000-0005-0000-0000-0000BF340000}"/>
    <cellStyle name="Normal 14 2 5 4 2" xfId="32561" xr:uid="{00000000-0005-0000-0000-0000C0340000}"/>
    <cellStyle name="Normal 14 2 5 5" xfId="25120" xr:uid="{00000000-0005-0000-0000-0000C1340000}"/>
    <cellStyle name="Normal 14 2 6" xfId="4345" xr:uid="{00000000-0005-0000-0000-0000C2340000}"/>
    <cellStyle name="Normal 14 2 6 2" xfId="19229" xr:uid="{00000000-0005-0000-0000-0000C3340000}"/>
    <cellStyle name="Normal 14 2 6 2 2" xfId="41872" xr:uid="{00000000-0005-0000-0000-0000C4340000}"/>
    <cellStyle name="Normal 14 2 6 3" xfId="11789" xr:uid="{00000000-0005-0000-0000-0000C5340000}"/>
    <cellStyle name="Normal 14 2 6 3 2" xfId="34432" xr:uid="{00000000-0005-0000-0000-0000C6340000}"/>
    <cellStyle name="Normal 14 2 6 4" xfId="26991" xr:uid="{00000000-0005-0000-0000-0000C7340000}"/>
    <cellStyle name="Normal 14 2 7" xfId="15511" xr:uid="{00000000-0005-0000-0000-0000C8340000}"/>
    <cellStyle name="Normal 14 2 7 2" xfId="38154" xr:uid="{00000000-0005-0000-0000-0000C9340000}"/>
    <cellStyle name="Normal 14 2 8" xfId="8071" xr:uid="{00000000-0005-0000-0000-0000CA340000}"/>
    <cellStyle name="Normal 14 2 8 2" xfId="30714" xr:uid="{00000000-0005-0000-0000-0000CB340000}"/>
    <cellStyle name="Normal 14 2 9" xfId="23274" xr:uid="{00000000-0005-0000-0000-0000CC340000}"/>
    <cellStyle name="Normal 14 3" xfId="721" xr:uid="{00000000-0005-0000-0000-0000CD340000}"/>
    <cellStyle name="Normal 14 3 2" xfId="1186" xr:uid="{00000000-0005-0000-0000-0000CE340000}"/>
    <cellStyle name="Normal 14 3 2 2" xfId="2114" xr:uid="{00000000-0005-0000-0000-0000CF340000}"/>
    <cellStyle name="Normal 14 3 2 2 2" xfId="3964" xr:uid="{00000000-0005-0000-0000-0000D0340000}"/>
    <cellStyle name="Normal 14 3 2 2 2 2" xfId="7685" xr:uid="{00000000-0005-0000-0000-0000D1340000}"/>
    <cellStyle name="Normal 14 3 2 2 2 2 2" xfId="22569" xr:uid="{00000000-0005-0000-0000-0000D2340000}"/>
    <cellStyle name="Normal 14 3 2 2 2 2 2 2" xfId="45212" xr:uid="{00000000-0005-0000-0000-0000D3340000}"/>
    <cellStyle name="Normal 14 3 2 2 2 2 3" xfId="15129" xr:uid="{00000000-0005-0000-0000-0000D4340000}"/>
    <cellStyle name="Normal 14 3 2 2 2 2 3 2" xfId="37772" xr:uid="{00000000-0005-0000-0000-0000D5340000}"/>
    <cellStyle name="Normal 14 3 2 2 2 2 4" xfId="30331" xr:uid="{00000000-0005-0000-0000-0000D6340000}"/>
    <cellStyle name="Normal 14 3 2 2 2 3" xfId="18851" xr:uid="{00000000-0005-0000-0000-0000D7340000}"/>
    <cellStyle name="Normal 14 3 2 2 2 3 2" xfId="41494" xr:uid="{00000000-0005-0000-0000-0000D8340000}"/>
    <cellStyle name="Normal 14 3 2 2 2 4" xfId="11411" xr:uid="{00000000-0005-0000-0000-0000D9340000}"/>
    <cellStyle name="Normal 14 3 2 2 2 4 2" xfId="34054" xr:uid="{00000000-0005-0000-0000-0000DA340000}"/>
    <cellStyle name="Normal 14 3 2 2 2 5" xfId="26613" xr:uid="{00000000-0005-0000-0000-0000DB340000}"/>
    <cellStyle name="Normal 14 3 2 2 3" xfId="5838" xr:uid="{00000000-0005-0000-0000-0000DC340000}"/>
    <cellStyle name="Normal 14 3 2 2 3 2" xfId="20722" xr:uid="{00000000-0005-0000-0000-0000DD340000}"/>
    <cellStyle name="Normal 14 3 2 2 3 2 2" xfId="43365" xr:uid="{00000000-0005-0000-0000-0000DE340000}"/>
    <cellStyle name="Normal 14 3 2 2 3 3" xfId="13282" xr:uid="{00000000-0005-0000-0000-0000DF340000}"/>
    <cellStyle name="Normal 14 3 2 2 3 3 2" xfId="35925" xr:uid="{00000000-0005-0000-0000-0000E0340000}"/>
    <cellStyle name="Normal 14 3 2 2 3 4" xfId="28484" xr:uid="{00000000-0005-0000-0000-0000E1340000}"/>
    <cellStyle name="Normal 14 3 2 2 4" xfId="17004" xr:uid="{00000000-0005-0000-0000-0000E2340000}"/>
    <cellStyle name="Normal 14 3 2 2 4 2" xfId="39647" xr:uid="{00000000-0005-0000-0000-0000E3340000}"/>
    <cellStyle name="Normal 14 3 2 2 5" xfId="9564" xr:uid="{00000000-0005-0000-0000-0000E4340000}"/>
    <cellStyle name="Normal 14 3 2 2 5 2" xfId="32207" xr:uid="{00000000-0005-0000-0000-0000E5340000}"/>
    <cellStyle name="Normal 14 3 2 2 6" xfId="24766" xr:uid="{00000000-0005-0000-0000-0000E6340000}"/>
    <cellStyle name="Normal 14 3 2 3" xfId="3039" xr:uid="{00000000-0005-0000-0000-0000E7340000}"/>
    <cellStyle name="Normal 14 3 2 3 2" xfId="6760" xr:uid="{00000000-0005-0000-0000-0000E8340000}"/>
    <cellStyle name="Normal 14 3 2 3 2 2" xfId="21644" xr:uid="{00000000-0005-0000-0000-0000E9340000}"/>
    <cellStyle name="Normal 14 3 2 3 2 2 2" xfId="44287" xr:uid="{00000000-0005-0000-0000-0000EA340000}"/>
    <cellStyle name="Normal 14 3 2 3 2 3" xfId="14204" xr:uid="{00000000-0005-0000-0000-0000EB340000}"/>
    <cellStyle name="Normal 14 3 2 3 2 3 2" xfId="36847" xr:uid="{00000000-0005-0000-0000-0000EC340000}"/>
    <cellStyle name="Normal 14 3 2 3 2 4" xfId="29406" xr:uid="{00000000-0005-0000-0000-0000ED340000}"/>
    <cellStyle name="Normal 14 3 2 3 3" xfId="17926" xr:uid="{00000000-0005-0000-0000-0000EE340000}"/>
    <cellStyle name="Normal 14 3 2 3 3 2" xfId="40569" xr:uid="{00000000-0005-0000-0000-0000EF340000}"/>
    <cellStyle name="Normal 14 3 2 3 4" xfId="10486" xr:uid="{00000000-0005-0000-0000-0000F0340000}"/>
    <cellStyle name="Normal 14 3 2 3 4 2" xfId="33129" xr:uid="{00000000-0005-0000-0000-0000F1340000}"/>
    <cellStyle name="Normal 14 3 2 3 5" xfId="25688" xr:uid="{00000000-0005-0000-0000-0000F2340000}"/>
    <cellStyle name="Normal 14 3 2 4" xfId="4913" xr:uid="{00000000-0005-0000-0000-0000F3340000}"/>
    <cellStyle name="Normal 14 3 2 4 2" xfId="19797" xr:uid="{00000000-0005-0000-0000-0000F4340000}"/>
    <cellStyle name="Normal 14 3 2 4 2 2" xfId="42440" xr:uid="{00000000-0005-0000-0000-0000F5340000}"/>
    <cellStyle name="Normal 14 3 2 4 3" xfId="12357" xr:uid="{00000000-0005-0000-0000-0000F6340000}"/>
    <cellStyle name="Normal 14 3 2 4 3 2" xfId="35000" xr:uid="{00000000-0005-0000-0000-0000F7340000}"/>
    <cellStyle name="Normal 14 3 2 4 4" xfId="27559" xr:uid="{00000000-0005-0000-0000-0000F8340000}"/>
    <cellStyle name="Normal 14 3 2 5" xfId="16079" xr:uid="{00000000-0005-0000-0000-0000F9340000}"/>
    <cellStyle name="Normal 14 3 2 5 2" xfId="38722" xr:uid="{00000000-0005-0000-0000-0000FA340000}"/>
    <cellStyle name="Normal 14 3 2 6" xfId="8639" xr:uid="{00000000-0005-0000-0000-0000FB340000}"/>
    <cellStyle name="Normal 14 3 2 6 2" xfId="31282" xr:uid="{00000000-0005-0000-0000-0000FC340000}"/>
    <cellStyle name="Normal 14 3 2 7" xfId="23841" xr:uid="{00000000-0005-0000-0000-0000FD340000}"/>
    <cellStyle name="Normal 14 3 3" xfId="1652" xr:uid="{00000000-0005-0000-0000-0000FE340000}"/>
    <cellStyle name="Normal 14 3 3 2" xfId="3502" xr:uid="{00000000-0005-0000-0000-0000FF340000}"/>
    <cellStyle name="Normal 14 3 3 2 2" xfId="7223" xr:uid="{00000000-0005-0000-0000-000000350000}"/>
    <cellStyle name="Normal 14 3 3 2 2 2" xfId="22107" xr:uid="{00000000-0005-0000-0000-000001350000}"/>
    <cellStyle name="Normal 14 3 3 2 2 2 2" xfId="44750" xr:uid="{00000000-0005-0000-0000-000002350000}"/>
    <cellStyle name="Normal 14 3 3 2 2 3" xfId="14667" xr:uid="{00000000-0005-0000-0000-000003350000}"/>
    <cellStyle name="Normal 14 3 3 2 2 3 2" xfId="37310" xr:uid="{00000000-0005-0000-0000-000004350000}"/>
    <cellStyle name="Normal 14 3 3 2 2 4" xfId="29869" xr:uid="{00000000-0005-0000-0000-000005350000}"/>
    <cellStyle name="Normal 14 3 3 2 3" xfId="18389" xr:uid="{00000000-0005-0000-0000-000006350000}"/>
    <cellStyle name="Normal 14 3 3 2 3 2" xfId="41032" xr:uid="{00000000-0005-0000-0000-000007350000}"/>
    <cellStyle name="Normal 14 3 3 2 4" xfId="10949" xr:uid="{00000000-0005-0000-0000-000008350000}"/>
    <cellStyle name="Normal 14 3 3 2 4 2" xfId="33592" xr:uid="{00000000-0005-0000-0000-000009350000}"/>
    <cellStyle name="Normal 14 3 3 2 5" xfId="26151" xr:uid="{00000000-0005-0000-0000-00000A350000}"/>
    <cellStyle name="Normal 14 3 3 3" xfId="5376" xr:uid="{00000000-0005-0000-0000-00000B350000}"/>
    <cellStyle name="Normal 14 3 3 3 2" xfId="20260" xr:uid="{00000000-0005-0000-0000-00000C350000}"/>
    <cellStyle name="Normal 14 3 3 3 2 2" xfId="42903" xr:uid="{00000000-0005-0000-0000-00000D350000}"/>
    <cellStyle name="Normal 14 3 3 3 3" xfId="12820" xr:uid="{00000000-0005-0000-0000-00000E350000}"/>
    <cellStyle name="Normal 14 3 3 3 3 2" xfId="35463" xr:uid="{00000000-0005-0000-0000-00000F350000}"/>
    <cellStyle name="Normal 14 3 3 3 4" xfId="28022" xr:uid="{00000000-0005-0000-0000-000010350000}"/>
    <cellStyle name="Normal 14 3 3 4" xfId="16542" xr:uid="{00000000-0005-0000-0000-000011350000}"/>
    <cellStyle name="Normal 14 3 3 4 2" xfId="39185" xr:uid="{00000000-0005-0000-0000-000012350000}"/>
    <cellStyle name="Normal 14 3 3 5" xfId="9102" xr:uid="{00000000-0005-0000-0000-000013350000}"/>
    <cellStyle name="Normal 14 3 3 5 2" xfId="31745" xr:uid="{00000000-0005-0000-0000-000014350000}"/>
    <cellStyle name="Normal 14 3 3 6" xfId="24304" xr:uid="{00000000-0005-0000-0000-000015350000}"/>
    <cellStyle name="Normal 14 3 4" xfId="2577" xr:uid="{00000000-0005-0000-0000-000016350000}"/>
    <cellStyle name="Normal 14 3 4 2" xfId="6298" xr:uid="{00000000-0005-0000-0000-000017350000}"/>
    <cellStyle name="Normal 14 3 4 2 2" xfId="21182" xr:uid="{00000000-0005-0000-0000-000018350000}"/>
    <cellStyle name="Normal 14 3 4 2 2 2" xfId="43825" xr:uid="{00000000-0005-0000-0000-000019350000}"/>
    <cellStyle name="Normal 14 3 4 2 3" xfId="13742" xr:uid="{00000000-0005-0000-0000-00001A350000}"/>
    <cellStyle name="Normal 14 3 4 2 3 2" xfId="36385" xr:uid="{00000000-0005-0000-0000-00001B350000}"/>
    <cellStyle name="Normal 14 3 4 2 4" xfId="28944" xr:uid="{00000000-0005-0000-0000-00001C350000}"/>
    <cellStyle name="Normal 14 3 4 3" xfId="17464" xr:uid="{00000000-0005-0000-0000-00001D350000}"/>
    <cellStyle name="Normal 14 3 4 3 2" xfId="40107" xr:uid="{00000000-0005-0000-0000-00001E350000}"/>
    <cellStyle name="Normal 14 3 4 4" xfId="10024" xr:uid="{00000000-0005-0000-0000-00001F350000}"/>
    <cellStyle name="Normal 14 3 4 4 2" xfId="32667" xr:uid="{00000000-0005-0000-0000-000020350000}"/>
    <cellStyle name="Normal 14 3 4 5" xfId="25226" xr:uid="{00000000-0005-0000-0000-000021350000}"/>
    <cellStyle name="Normal 14 3 5" xfId="4451" xr:uid="{00000000-0005-0000-0000-000022350000}"/>
    <cellStyle name="Normal 14 3 5 2" xfId="19335" xr:uid="{00000000-0005-0000-0000-000023350000}"/>
    <cellStyle name="Normal 14 3 5 2 2" xfId="41978" xr:uid="{00000000-0005-0000-0000-000024350000}"/>
    <cellStyle name="Normal 14 3 5 3" xfId="11895" xr:uid="{00000000-0005-0000-0000-000025350000}"/>
    <cellStyle name="Normal 14 3 5 3 2" xfId="34538" xr:uid="{00000000-0005-0000-0000-000026350000}"/>
    <cellStyle name="Normal 14 3 5 4" xfId="27097" xr:uid="{00000000-0005-0000-0000-000027350000}"/>
    <cellStyle name="Normal 14 3 6" xfId="15617" xr:uid="{00000000-0005-0000-0000-000028350000}"/>
    <cellStyle name="Normal 14 3 6 2" xfId="38260" xr:uid="{00000000-0005-0000-0000-000029350000}"/>
    <cellStyle name="Normal 14 3 7" xfId="8177" xr:uid="{00000000-0005-0000-0000-00002A350000}"/>
    <cellStyle name="Normal 14 3 7 2" xfId="30820" xr:uid="{00000000-0005-0000-0000-00002B350000}"/>
    <cellStyle name="Normal 14 3 8" xfId="23379" xr:uid="{00000000-0005-0000-0000-00002C350000}"/>
    <cellStyle name="Normal 14 4" xfId="975" xr:uid="{00000000-0005-0000-0000-00002D350000}"/>
    <cellStyle name="Normal 14 4 2" xfId="1903" xr:uid="{00000000-0005-0000-0000-00002E350000}"/>
    <cellStyle name="Normal 14 4 2 2" xfId="3753" xr:uid="{00000000-0005-0000-0000-00002F350000}"/>
    <cellStyle name="Normal 14 4 2 2 2" xfId="7474" xr:uid="{00000000-0005-0000-0000-000030350000}"/>
    <cellStyle name="Normal 14 4 2 2 2 2" xfId="22358" xr:uid="{00000000-0005-0000-0000-000031350000}"/>
    <cellStyle name="Normal 14 4 2 2 2 2 2" xfId="45001" xr:uid="{00000000-0005-0000-0000-000032350000}"/>
    <cellStyle name="Normal 14 4 2 2 2 3" xfId="14918" xr:uid="{00000000-0005-0000-0000-000033350000}"/>
    <cellStyle name="Normal 14 4 2 2 2 3 2" xfId="37561" xr:uid="{00000000-0005-0000-0000-000034350000}"/>
    <cellStyle name="Normal 14 4 2 2 2 4" xfId="30120" xr:uid="{00000000-0005-0000-0000-000035350000}"/>
    <cellStyle name="Normal 14 4 2 2 3" xfId="18640" xr:uid="{00000000-0005-0000-0000-000036350000}"/>
    <cellStyle name="Normal 14 4 2 2 3 2" xfId="41283" xr:uid="{00000000-0005-0000-0000-000037350000}"/>
    <cellStyle name="Normal 14 4 2 2 4" xfId="11200" xr:uid="{00000000-0005-0000-0000-000038350000}"/>
    <cellStyle name="Normal 14 4 2 2 4 2" xfId="33843" xr:uid="{00000000-0005-0000-0000-000039350000}"/>
    <cellStyle name="Normal 14 4 2 2 5" xfId="26402" xr:uid="{00000000-0005-0000-0000-00003A350000}"/>
    <cellStyle name="Normal 14 4 2 3" xfId="5627" xr:uid="{00000000-0005-0000-0000-00003B350000}"/>
    <cellStyle name="Normal 14 4 2 3 2" xfId="20511" xr:uid="{00000000-0005-0000-0000-00003C350000}"/>
    <cellStyle name="Normal 14 4 2 3 2 2" xfId="43154" xr:uid="{00000000-0005-0000-0000-00003D350000}"/>
    <cellStyle name="Normal 14 4 2 3 3" xfId="13071" xr:uid="{00000000-0005-0000-0000-00003E350000}"/>
    <cellStyle name="Normal 14 4 2 3 3 2" xfId="35714" xr:uid="{00000000-0005-0000-0000-00003F350000}"/>
    <cellStyle name="Normal 14 4 2 3 4" xfId="28273" xr:uid="{00000000-0005-0000-0000-000040350000}"/>
    <cellStyle name="Normal 14 4 2 4" xfId="16793" xr:uid="{00000000-0005-0000-0000-000041350000}"/>
    <cellStyle name="Normal 14 4 2 4 2" xfId="39436" xr:uid="{00000000-0005-0000-0000-000042350000}"/>
    <cellStyle name="Normal 14 4 2 5" xfId="9353" xr:uid="{00000000-0005-0000-0000-000043350000}"/>
    <cellStyle name="Normal 14 4 2 5 2" xfId="31996" xr:uid="{00000000-0005-0000-0000-000044350000}"/>
    <cellStyle name="Normal 14 4 2 6" xfId="24555" xr:uid="{00000000-0005-0000-0000-000045350000}"/>
    <cellStyle name="Normal 14 4 3" xfId="2828" xr:uid="{00000000-0005-0000-0000-000046350000}"/>
    <cellStyle name="Normal 14 4 3 2" xfId="6549" xr:uid="{00000000-0005-0000-0000-000047350000}"/>
    <cellStyle name="Normal 14 4 3 2 2" xfId="21433" xr:uid="{00000000-0005-0000-0000-000048350000}"/>
    <cellStyle name="Normal 14 4 3 2 2 2" xfId="44076" xr:uid="{00000000-0005-0000-0000-000049350000}"/>
    <cellStyle name="Normal 14 4 3 2 3" xfId="13993" xr:uid="{00000000-0005-0000-0000-00004A350000}"/>
    <cellStyle name="Normal 14 4 3 2 3 2" xfId="36636" xr:uid="{00000000-0005-0000-0000-00004B350000}"/>
    <cellStyle name="Normal 14 4 3 2 4" xfId="29195" xr:uid="{00000000-0005-0000-0000-00004C350000}"/>
    <cellStyle name="Normal 14 4 3 3" xfId="17715" xr:uid="{00000000-0005-0000-0000-00004D350000}"/>
    <cellStyle name="Normal 14 4 3 3 2" xfId="40358" xr:uid="{00000000-0005-0000-0000-00004E350000}"/>
    <cellStyle name="Normal 14 4 3 4" xfId="10275" xr:uid="{00000000-0005-0000-0000-00004F350000}"/>
    <cellStyle name="Normal 14 4 3 4 2" xfId="32918" xr:uid="{00000000-0005-0000-0000-000050350000}"/>
    <cellStyle name="Normal 14 4 3 5" xfId="25477" xr:uid="{00000000-0005-0000-0000-000051350000}"/>
    <cellStyle name="Normal 14 4 4" xfId="4702" xr:uid="{00000000-0005-0000-0000-000052350000}"/>
    <cellStyle name="Normal 14 4 4 2" xfId="19586" xr:uid="{00000000-0005-0000-0000-000053350000}"/>
    <cellStyle name="Normal 14 4 4 2 2" xfId="42229" xr:uid="{00000000-0005-0000-0000-000054350000}"/>
    <cellStyle name="Normal 14 4 4 3" xfId="12146" xr:uid="{00000000-0005-0000-0000-000055350000}"/>
    <cellStyle name="Normal 14 4 4 3 2" xfId="34789" xr:uid="{00000000-0005-0000-0000-000056350000}"/>
    <cellStyle name="Normal 14 4 4 4" xfId="27348" xr:uid="{00000000-0005-0000-0000-000057350000}"/>
    <cellStyle name="Normal 14 4 5" xfId="15868" xr:uid="{00000000-0005-0000-0000-000058350000}"/>
    <cellStyle name="Normal 14 4 5 2" xfId="38511" xr:uid="{00000000-0005-0000-0000-000059350000}"/>
    <cellStyle name="Normal 14 4 6" xfId="8428" xr:uid="{00000000-0005-0000-0000-00005A350000}"/>
    <cellStyle name="Normal 14 4 6 2" xfId="31071" xr:uid="{00000000-0005-0000-0000-00005B350000}"/>
    <cellStyle name="Normal 14 4 7" xfId="23630" xr:uid="{00000000-0005-0000-0000-00005C350000}"/>
    <cellStyle name="Normal 14 5" xfId="1441" xr:uid="{00000000-0005-0000-0000-00005D350000}"/>
    <cellStyle name="Normal 14 5 2" xfId="3291" xr:uid="{00000000-0005-0000-0000-00005E350000}"/>
    <cellStyle name="Normal 14 5 2 2" xfId="7012" xr:uid="{00000000-0005-0000-0000-00005F350000}"/>
    <cellStyle name="Normal 14 5 2 2 2" xfId="21896" xr:uid="{00000000-0005-0000-0000-000060350000}"/>
    <cellStyle name="Normal 14 5 2 2 2 2" xfId="44539" xr:uid="{00000000-0005-0000-0000-000061350000}"/>
    <cellStyle name="Normal 14 5 2 2 3" xfId="14456" xr:uid="{00000000-0005-0000-0000-000062350000}"/>
    <cellStyle name="Normal 14 5 2 2 3 2" xfId="37099" xr:uid="{00000000-0005-0000-0000-000063350000}"/>
    <cellStyle name="Normal 14 5 2 2 4" xfId="29658" xr:uid="{00000000-0005-0000-0000-000064350000}"/>
    <cellStyle name="Normal 14 5 2 3" xfId="18178" xr:uid="{00000000-0005-0000-0000-000065350000}"/>
    <cellStyle name="Normal 14 5 2 3 2" xfId="40821" xr:uid="{00000000-0005-0000-0000-000066350000}"/>
    <cellStyle name="Normal 14 5 2 4" xfId="10738" xr:uid="{00000000-0005-0000-0000-000067350000}"/>
    <cellStyle name="Normal 14 5 2 4 2" xfId="33381" xr:uid="{00000000-0005-0000-0000-000068350000}"/>
    <cellStyle name="Normal 14 5 2 5" xfId="25940" xr:uid="{00000000-0005-0000-0000-000069350000}"/>
    <cellStyle name="Normal 14 5 3" xfId="5165" xr:uid="{00000000-0005-0000-0000-00006A350000}"/>
    <cellStyle name="Normal 14 5 3 2" xfId="20049" xr:uid="{00000000-0005-0000-0000-00006B350000}"/>
    <cellStyle name="Normal 14 5 3 2 2" xfId="42692" xr:uid="{00000000-0005-0000-0000-00006C350000}"/>
    <cellStyle name="Normal 14 5 3 3" xfId="12609" xr:uid="{00000000-0005-0000-0000-00006D350000}"/>
    <cellStyle name="Normal 14 5 3 3 2" xfId="35252" xr:uid="{00000000-0005-0000-0000-00006E350000}"/>
    <cellStyle name="Normal 14 5 3 4" xfId="27811" xr:uid="{00000000-0005-0000-0000-00006F350000}"/>
    <cellStyle name="Normal 14 5 4" xfId="16331" xr:uid="{00000000-0005-0000-0000-000070350000}"/>
    <cellStyle name="Normal 14 5 4 2" xfId="38974" xr:uid="{00000000-0005-0000-0000-000071350000}"/>
    <cellStyle name="Normal 14 5 5" xfId="8891" xr:uid="{00000000-0005-0000-0000-000072350000}"/>
    <cellStyle name="Normal 14 5 5 2" xfId="31534" xr:uid="{00000000-0005-0000-0000-000073350000}"/>
    <cellStyle name="Normal 14 5 6" xfId="24093" xr:uid="{00000000-0005-0000-0000-000074350000}"/>
    <cellStyle name="Normal 14 6" xfId="2366" xr:uid="{00000000-0005-0000-0000-000075350000}"/>
    <cellStyle name="Normal 14 6 2" xfId="6087" xr:uid="{00000000-0005-0000-0000-000076350000}"/>
    <cellStyle name="Normal 14 6 2 2" xfId="20971" xr:uid="{00000000-0005-0000-0000-000077350000}"/>
    <cellStyle name="Normal 14 6 2 2 2" xfId="43614" xr:uid="{00000000-0005-0000-0000-000078350000}"/>
    <cellStyle name="Normal 14 6 2 3" xfId="13531" xr:uid="{00000000-0005-0000-0000-000079350000}"/>
    <cellStyle name="Normal 14 6 2 3 2" xfId="36174" xr:uid="{00000000-0005-0000-0000-00007A350000}"/>
    <cellStyle name="Normal 14 6 2 4" xfId="28733" xr:uid="{00000000-0005-0000-0000-00007B350000}"/>
    <cellStyle name="Normal 14 6 3" xfId="17253" xr:uid="{00000000-0005-0000-0000-00007C350000}"/>
    <cellStyle name="Normal 14 6 3 2" xfId="39896" xr:uid="{00000000-0005-0000-0000-00007D350000}"/>
    <cellStyle name="Normal 14 6 4" xfId="9813" xr:uid="{00000000-0005-0000-0000-00007E350000}"/>
    <cellStyle name="Normal 14 6 4 2" xfId="32456" xr:uid="{00000000-0005-0000-0000-00007F350000}"/>
    <cellStyle name="Normal 14 6 5" xfId="25015" xr:uid="{00000000-0005-0000-0000-000080350000}"/>
    <cellStyle name="Normal 14 7" xfId="4240" xr:uid="{00000000-0005-0000-0000-000081350000}"/>
    <cellStyle name="Normal 14 7 2" xfId="19124" xr:uid="{00000000-0005-0000-0000-000082350000}"/>
    <cellStyle name="Normal 14 7 2 2" xfId="41767" xr:uid="{00000000-0005-0000-0000-000083350000}"/>
    <cellStyle name="Normal 14 7 3" xfId="11684" xr:uid="{00000000-0005-0000-0000-000084350000}"/>
    <cellStyle name="Normal 14 7 3 2" xfId="34327" xr:uid="{00000000-0005-0000-0000-000085350000}"/>
    <cellStyle name="Normal 14 7 4" xfId="26886" xr:uid="{00000000-0005-0000-0000-000086350000}"/>
    <cellStyle name="Normal 14 8" xfId="508" xr:uid="{00000000-0005-0000-0000-000087350000}"/>
    <cellStyle name="Normal 14 8 2" xfId="15406" xr:uid="{00000000-0005-0000-0000-000088350000}"/>
    <cellStyle name="Normal 14 8 2 2" xfId="38049" xr:uid="{00000000-0005-0000-0000-000089350000}"/>
    <cellStyle name="Normal 14 8 3" xfId="23169" xr:uid="{00000000-0005-0000-0000-00008A350000}"/>
    <cellStyle name="Normal 14 9" xfId="7966" xr:uid="{00000000-0005-0000-0000-00008B350000}"/>
    <cellStyle name="Normal 14 9 2" xfId="30609" xr:uid="{00000000-0005-0000-0000-00008C350000}"/>
    <cellStyle name="Normal 140" xfId="45417" xr:uid="{00000000-0005-0000-0000-00008D350000}"/>
    <cellStyle name="Normal 141" xfId="45420" xr:uid="{00000000-0005-0000-0000-00008E350000}"/>
    <cellStyle name="Normal 142" xfId="45421" xr:uid="{00000000-0005-0000-0000-00008F350000}"/>
    <cellStyle name="Normal 143" xfId="45418" xr:uid="{00000000-0005-0000-0000-000090350000}"/>
    <cellStyle name="Normal 144" xfId="45422" xr:uid="{00000000-0005-0000-0000-000091350000}"/>
    <cellStyle name="Normal 145" xfId="45423" xr:uid="{00000000-0005-0000-0000-000092350000}"/>
    <cellStyle name="Normal 146" xfId="45419" xr:uid="{00000000-0005-0000-0000-000093350000}"/>
    <cellStyle name="Normal 147" xfId="45424" xr:uid="{00000000-0005-0000-0000-000094350000}"/>
    <cellStyle name="Normal 148" xfId="45425" xr:uid="{00000000-0005-0000-0000-000095350000}"/>
    <cellStyle name="Normal 149" xfId="45427" xr:uid="{00000000-0005-0000-0000-000096350000}"/>
    <cellStyle name="Normal 15" xfId="221" xr:uid="{00000000-0005-0000-0000-000097350000}"/>
    <cellStyle name="Normal 15 2" xfId="522" xr:uid="{00000000-0005-0000-0000-000098350000}"/>
    <cellStyle name="Normal 15 3" xfId="722" xr:uid="{00000000-0005-0000-0000-000099350000}"/>
    <cellStyle name="Normal 15 3 2" xfId="1187" xr:uid="{00000000-0005-0000-0000-00009A350000}"/>
    <cellStyle name="Normal 15 3 2 2" xfId="2115" xr:uid="{00000000-0005-0000-0000-00009B350000}"/>
    <cellStyle name="Normal 15 3 2 2 2" xfId="3965" xr:uid="{00000000-0005-0000-0000-00009C350000}"/>
    <cellStyle name="Normal 15 3 2 2 2 2" xfId="7686" xr:uid="{00000000-0005-0000-0000-00009D350000}"/>
    <cellStyle name="Normal 15 3 2 2 2 2 2" xfId="22570" xr:uid="{00000000-0005-0000-0000-00009E350000}"/>
    <cellStyle name="Normal 15 3 2 2 2 2 2 2" xfId="45213" xr:uid="{00000000-0005-0000-0000-00009F350000}"/>
    <cellStyle name="Normal 15 3 2 2 2 2 3" xfId="15130" xr:uid="{00000000-0005-0000-0000-0000A0350000}"/>
    <cellStyle name="Normal 15 3 2 2 2 2 3 2" xfId="37773" xr:uid="{00000000-0005-0000-0000-0000A1350000}"/>
    <cellStyle name="Normal 15 3 2 2 2 2 4" xfId="30332" xr:uid="{00000000-0005-0000-0000-0000A2350000}"/>
    <cellStyle name="Normal 15 3 2 2 2 3" xfId="18852" xr:uid="{00000000-0005-0000-0000-0000A3350000}"/>
    <cellStyle name="Normal 15 3 2 2 2 3 2" xfId="41495" xr:uid="{00000000-0005-0000-0000-0000A4350000}"/>
    <cellStyle name="Normal 15 3 2 2 2 4" xfId="11412" xr:uid="{00000000-0005-0000-0000-0000A5350000}"/>
    <cellStyle name="Normal 15 3 2 2 2 4 2" xfId="34055" xr:uid="{00000000-0005-0000-0000-0000A6350000}"/>
    <cellStyle name="Normal 15 3 2 2 2 5" xfId="26614" xr:uid="{00000000-0005-0000-0000-0000A7350000}"/>
    <cellStyle name="Normal 15 3 2 2 3" xfId="5839" xr:uid="{00000000-0005-0000-0000-0000A8350000}"/>
    <cellStyle name="Normal 15 3 2 2 3 2" xfId="20723" xr:uid="{00000000-0005-0000-0000-0000A9350000}"/>
    <cellStyle name="Normal 15 3 2 2 3 2 2" xfId="43366" xr:uid="{00000000-0005-0000-0000-0000AA350000}"/>
    <cellStyle name="Normal 15 3 2 2 3 3" xfId="13283" xr:uid="{00000000-0005-0000-0000-0000AB350000}"/>
    <cellStyle name="Normal 15 3 2 2 3 3 2" xfId="35926" xr:uid="{00000000-0005-0000-0000-0000AC350000}"/>
    <cellStyle name="Normal 15 3 2 2 3 4" xfId="28485" xr:uid="{00000000-0005-0000-0000-0000AD350000}"/>
    <cellStyle name="Normal 15 3 2 2 4" xfId="17005" xr:uid="{00000000-0005-0000-0000-0000AE350000}"/>
    <cellStyle name="Normal 15 3 2 2 4 2" xfId="39648" xr:uid="{00000000-0005-0000-0000-0000AF350000}"/>
    <cellStyle name="Normal 15 3 2 2 5" xfId="9565" xr:uid="{00000000-0005-0000-0000-0000B0350000}"/>
    <cellStyle name="Normal 15 3 2 2 5 2" xfId="32208" xr:uid="{00000000-0005-0000-0000-0000B1350000}"/>
    <cellStyle name="Normal 15 3 2 2 6" xfId="24767" xr:uid="{00000000-0005-0000-0000-0000B2350000}"/>
    <cellStyle name="Normal 15 3 2 3" xfId="3040" xr:uid="{00000000-0005-0000-0000-0000B3350000}"/>
    <cellStyle name="Normal 15 3 2 3 2" xfId="6761" xr:uid="{00000000-0005-0000-0000-0000B4350000}"/>
    <cellStyle name="Normal 15 3 2 3 2 2" xfId="21645" xr:uid="{00000000-0005-0000-0000-0000B5350000}"/>
    <cellStyle name="Normal 15 3 2 3 2 2 2" xfId="44288" xr:uid="{00000000-0005-0000-0000-0000B6350000}"/>
    <cellStyle name="Normal 15 3 2 3 2 3" xfId="14205" xr:uid="{00000000-0005-0000-0000-0000B7350000}"/>
    <cellStyle name="Normal 15 3 2 3 2 3 2" xfId="36848" xr:uid="{00000000-0005-0000-0000-0000B8350000}"/>
    <cellStyle name="Normal 15 3 2 3 2 4" xfId="29407" xr:uid="{00000000-0005-0000-0000-0000B9350000}"/>
    <cellStyle name="Normal 15 3 2 3 3" xfId="17927" xr:uid="{00000000-0005-0000-0000-0000BA350000}"/>
    <cellStyle name="Normal 15 3 2 3 3 2" xfId="40570" xr:uid="{00000000-0005-0000-0000-0000BB350000}"/>
    <cellStyle name="Normal 15 3 2 3 4" xfId="10487" xr:uid="{00000000-0005-0000-0000-0000BC350000}"/>
    <cellStyle name="Normal 15 3 2 3 4 2" xfId="33130" xr:uid="{00000000-0005-0000-0000-0000BD350000}"/>
    <cellStyle name="Normal 15 3 2 3 5" xfId="25689" xr:uid="{00000000-0005-0000-0000-0000BE350000}"/>
    <cellStyle name="Normal 15 3 2 4" xfId="4914" xr:uid="{00000000-0005-0000-0000-0000BF350000}"/>
    <cellStyle name="Normal 15 3 2 4 2" xfId="19798" xr:uid="{00000000-0005-0000-0000-0000C0350000}"/>
    <cellStyle name="Normal 15 3 2 4 2 2" xfId="42441" xr:uid="{00000000-0005-0000-0000-0000C1350000}"/>
    <cellStyle name="Normal 15 3 2 4 3" xfId="12358" xr:uid="{00000000-0005-0000-0000-0000C2350000}"/>
    <cellStyle name="Normal 15 3 2 4 3 2" xfId="35001" xr:uid="{00000000-0005-0000-0000-0000C3350000}"/>
    <cellStyle name="Normal 15 3 2 4 4" xfId="27560" xr:uid="{00000000-0005-0000-0000-0000C4350000}"/>
    <cellStyle name="Normal 15 3 2 5" xfId="16080" xr:uid="{00000000-0005-0000-0000-0000C5350000}"/>
    <cellStyle name="Normal 15 3 2 5 2" xfId="38723" xr:uid="{00000000-0005-0000-0000-0000C6350000}"/>
    <cellStyle name="Normal 15 3 2 6" xfId="8640" xr:uid="{00000000-0005-0000-0000-0000C7350000}"/>
    <cellStyle name="Normal 15 3 2 6 2" xfId="31283" xr:uid="{00000000-0005-0000-0000-0000C8350000}"/>
    <cellStyle name="Normal 15 3 2 7" xfId="23842" xr:uid="{00000000-0005-0000-0000-0000C9350000}"/>
    <cellStyle name="Normal 15 3 3" xfId="1653" xr:uid="{00000000-0005-0000-0000-0000CA350000}"/>
    <cellStyle name="Normal 15 3 3 2" xfId="3503" xr:uid="{00000000-0005-0000-0000-0000CB350000}"/>
    <cellStyle name="Normal 15 3 3 2 2" xfId="7224" xr:uid="{00000000-0005-0000-0000-0000CC350000}"/>
    <cellStyle name="Normal 15 3 3 2 2 2" xfId="22108" xr:uid="{00000000-0005-0000-0000-0000CD350000}"/>
    <cellStyle name="Normal 15 3 3 2 2 2 2" xfId="44751" xr:uid="{00000000-0005-0000-0000-0000CE350000}"/>
    <cellStyle name="Normal 15 3 3 2 2 3" xfId="14668" xr:uid="{00000000-0005-0000-0000-0000CF350000}"/>
    <cellStyle name="Normal 15 3 3 2 2 3 2" xfId="37311" xr:uid="{00000000-0005-0000-0000-0000D0350000}"/>
    <cellStyle name="Normal 15 3 3 2 2 4" xfId="29870" xr:uid="{00000000-0005-0000-0000-0000D1350000}"/>
    <cellStyle name="Normal 15 3 3 2 3" xfId="18390" xr:uid="{00000000-0005-0000-0000-0000D2350000}"/>
    <cellStyle name="Normal 15 3 3 2 3 2" xfId="41033" xr:uid="{00000000-0005-0000-0000-0000D3350000}"/>
    <cellStyle name="Normal 15 3 3 2 4" xfId="10950" xr:uid="{00000000-0005-0000-0000-0000D4350000}"/>
    <cellStyle name="Normal 15 3 3 2 4 2" xfId="33593" xr:uid="{00000000-0005-0000-0000-0000D5350000}"/>
    <cellStyle name="Normal 15 3 3 2 5" xfId="26152" xr:uid="{00000000-0005-0000-0000-0000D6350000}"/>
    <cellStyle name="Normal 15 3 3 3" xfId="5377" xr:uid="{00000000-0005-0000-0000-0000D7350000}"/>
    <cellStyle name="Normal 15 3 3 3 2" xfId="20261" xr:uid="{00000000-0005-0000-0000-0000D8350000}"/>
    <cellStyle name="Normal 15 3 3 3 2 2" xfId="42904" xr:uid="{00000000-0005-0000-0000-0000D9350000}"/>
    <cellStyle name="Normal 15 3 3 3 3" xfId="12821" xr:uid="{00000000-0005-0000-0000-0000DA350000}"/>
    <cellStyle name="Normal 15 3 3 3 3 2" xfId="35464" xr:uid="{00000000-0005-0000-0000-0000DB350000}"/>
    <cellStyle name="Normal 15 3 3 3 4" xfId="28023" xr:uid="{00000000-0005-0000-0000-0000DC350000}"/>
    <cellStyle name="Normal 15 3 3 4" xfId="16543" xr:uid="{00000000-0005-0000-0000-0000DD350000}"/>
    <cellStyle name="Normal 15 3 3 4 2" xfId="39186" xr:uid="{00000000-0005-0000-0000-0000DE350000}"/>
    <cellStyle name="Normal 15 3 3 5" xfId="9103" xr:uid="{00000000-0005-0000-0000-0000DF350000}"/>
    <cellStyle name="Normal 15 3 3 5 2" xfId="31746" xr:uid="{00000000-0005-0000-0000-0000E0350000}"/>
    <cellStyle name="Normal 15 3 3 6" xfId="24305" xr:uid="{00000000-0005-0000-0000-0000E1350000}"/>
    <cellStyle name="Normal 15 3 4" xfId="2578" xr:uid="{00000000-0005-0000-0000-0000E2350000}"/>
    <cellStyle name="Normal 15 3 4 2" xfId="6299" xr:uid="{00000000-0005-0000-0000-0000E3350000}"/>
    <cellStyle name="Normal 15 3 4 2 2" xfId="21183" xr:uid="{00000000-0005-0000-0000-0000E4350000}"/>
    <cellStyle name="Normal 15 3 4 2 2 2" xfId="43826" xr:uid="{00000000-0005-0000-0000-0000E5350000}"/>
    <cellStyle name="Normal 15 3 4 2 3" xfId="13743" xr:uid="{00000000-0005-0000-0000-0000E6350000}"/>
    <cellStyle name="Normal 15 3 4 2 3 2" xfId="36386" xr:uid="{00000000-0005-0000-0000-0000E7350000}"/>
    <cellStyle name="Normal 15 3 4 2 4" xfId="28945" xr:uid="{00000000-0005-0000-0000-0000E8350000}"/>
    <cellStyle name="Normal 15 3 4 3" xfId="17465" xr:uid="{00000000-0005-0000-0000-0000E9350000}"/>
    <cellStyle name="Normal 15 3 4 3 2" xfId="40108" xr:uid="{00000000-0005-0000-0000-0000EA350000}"/>
    <cellStyle name="Normal 15 3 4 4" xfId="10025" xr:uid="{00000000-0005-0000-0000-0000EB350000}"/>
    <cellStyle name="Normal 15 3 4 4 2" xfId="32668" xr:uid="{00000000-0005-0000-0000-0000EC350000}"/>
    <cellStyle name="Normal 15 3 4 5" xfId="25227" xr:uid="{00000000-0005-0000-0000-0000ED350000}"/>
    <cellStyle name="Normal 15 3 5" xfId="4452" xr:uid="{00000000-0005-0000-0000-0000EE350000}"/>
    <cellStyle name="Normal 15 3 5 2" xfId="19336" xr:uid="{00000000-0005-0000-0000-0000EF350000}"/>
    <cellStyle name="Normal 15 3 5 2 2" xfId="41979" xr:uid="{00000000-0005-0000-0000-0000F0350000}"/>
    <cellStyle name="Normal 15 3 5 3" xfId="11896" xr:uid="{00000000-0005-0000-0000-0000F1350000}"/>
    <cellStyle name="Normal 15 3 5 3 2" xfId="34539" xr:uid="{00000000-0005-0000-0000-0000F2350000}"/>
    <cellStyle name="Normal 15 3 5 4" xfId="27098" xr:uid="{00000000-0005-0000-0000-0000F3350000}"/>
    <cellStyle name="Normal 15 3 6" xfId="15618" xr:uid="{00000000-0005-0000-0000-0000F4350000}"/>
    <cellStyle name="Normal 15 3 6 2" xfId="38261" xr:uid="{00000000-0005-0000-0000-0000F5350000}"/>
    <cellStyle name="Normal 15 3 7" xfId="8178" xr:uid="{00000000-0005-0000-0000-0000F6350000}"/>
    <cellStyle name="Normal 15 3 7 2" xfId="30821" xr:uid="{00000000-0005-0000-0000-0000F7350000}"/>
    <cellStyle name="Normal 15 3 8" xfId="23380" xr:uid="{00000000-0005-0000-0000-0000F8350000}"/>
    <cellStyle name="Normal 15 4" xfId="976" xr:uid="{00000000-0005-0000-0000-0000F9350000}"/>
    <cellStyle name="Normal 15 4 2" xfId="1904" xr:uid="{00000000-0005-0000-0000-0000FA350000}"/>
    <cellStyle name="Normal 15 4 2 2" xfId="3754" xr:uid="{00000000-0005-0000-0000-0000FB350000}"/>
    <cellStyle name="Normal 15 4 2 2 2" xfId="7475" xr:uid="{00000000-0005-0000-0000-0000FC350000}"/>
    <cellStyle name="Normal 15 4 2 2 2 2" xfId="22359" xr:uid="{00000000-0005-0000-0000-0000FD350000}"/>
    <cellStyle name="Normal 15 4 2 2 2 2 2" xfId="45002" xr:uid="{00000000-0005-0000-0000-0000FE350000}"/>
    <cellStyle name="Normal 15 4 2 2 2 3" xfId="14919" xr:uid="{00000000-0005-0000-0000-0000FF350000}"/>
    <cellStyle name="Normal 15 4 2 2 2 3 2" xfId="37562" xr:uid="{00000000-0005-0000-0000-000000360000}"/>
    <cellStyle name="Normal 15 4 2 2 2 4" xfId="30121" xr:uid="{00000000-0005-0000-0000-000001360000}"/>
    <cellStyle name="Normal 15 4 2 2 3" xfId="18641" xr:uid="{00000000-0005-0000-0000-000002360000}"/>
    <cellStyle name="Normal 15 4 2 2 3 2" xfId="41284" xr:uid="{00000000-0005-0000-0000-000003360000}"/>
    <cellStyle name="Normal 15 4 2 2 4" xfId="11201" xr:uid="{00000000-0005-0000-0000-000004360000}"/>
    <cellStyle name="Normal 15 4 2 2 4 2" xfId="33844" xr:uid="{00000000-0005-0000-0000-000005360000}"/>
    <cellStyle name="Normal 15 4 2 2 5" xfId="26403" xr:uid="{00000000-0005-0000-0000-000006360000}"/>
    <cellStyle name="Normal 15 4 2 3" xfId="5628" xr:uid="{00000000-0005-0000-0000-000007360000}"/>
    <cellStyle name="Normal 15 4 2 3 2" xfId="20512" xr:uid="{00000000-0005-0000-0000-000008360000}"/>
    <cellStyle name="Normal 15 4 2 3 2 2" xfId="43155" xr:uid="{00000000-0005-0000-0000-000009360000}"/>
    <cellStyle name="Normal 15 4 2 3 3" xfId="13072" xr:uid="{00000000-0005-0000-0000-00000A360000}"/>
    <cellStyle name="Normal 15 4 2 3 3 2" xfId="35715" xr:uid="{00000000-0005-0000-0000-00000B360000}"/>
    <cellStyle name="Normal 15 4 2 3 4" xfId="28274" xr:uid="{00000000-0005-0000-0000-00000C360000}"/>
    <cellStyle name="Normal 15 4 2 4" xfId="16794" xr:uid="{00000000-0005-0000-0000-00000D360000}"/>
    <cellStyle name="Normal 15 4 2 4 2" xfId="39437" xr:uid="{00000000-0005-0000-0000-00000E360000}"/>
    <cellStyle name="Normal 15 4 2 5" xfId="9354" xr:uid="{00000000-0005-0000-0000-00000F360000}"/>
    <cellStyle name="Normal 15 4 2 5 2" xfId="31997" xr:uid="{00000000-0005-0000-0000-000010360000}"/>
    <cellStyle name="Normal 15 4 2 6" xfId="24556" xr:uid="{00000000-0005-0000-0000-000011360000}"/>
    <cellStyle name="Normal 15 4 3" xfId="2829" xr:uid="{00000000-0005-0000-0000-000012360000}"/>
    <cellStyle name="Normal 15 4 3 2" xfId="6550" xr:uid="{00000000-0005-0000-0000-000013360000}"/>
    <cellStyle name="Normal 15 4 3 2 2" xfId="21434" xr:uid="{00000000-0005-0000-0000-000014360000}"/>
    <cellStyle name="Normal 15 4 3 2 2 2" xfId="44077" xr:uid="{00000000-0005-0000-0000-000015360000}"/>
    <cellStyle name="Normal 15 4 3 2 3" xfId="13994" xr:uid="{00000000-0005-0000-0000-000016360000}"/>
    <cellStyle name="Normal 15 4 3 2 3 2" xfId="36637" xr:uid="{00000000-0005-0000-0000-000017360000}"/>
    <cellStyle name="Normal 15 4 3 2 4" xfId="29196" xr:uid="{00000000-0005-0000-0000-000018360000}"/>
    <cellStyle name="Normal 15 4 3 3" xfId="17716" xr:uid="{00000000-0005-0000-0000-000019360000}"/>
    <cellStyle name="Normal 15 4 3 3 2" xfId="40359" xr:uid="{00000000-0005-0000-0000-00001A360000}"/>
    <cellStyle name="Normal 15 4 3 4" xfId="10276" xr:uid="{00000000-0005-0000-0000-00001B360000}"/>
    <cellStyle name="Normal 15 4 3 4 2" xfId="32919" xr:uid="{00000000-0005-0000-0000-00001C360000}"/>
    <cellStyle name="Normal 15 4 3 5" xfId="25478" xr:uid="{00000000-0005-0000-0000-00001D360000}"/>
    <cellStyle name="Normal 15 4 4" xfId="4703" xr:uid="{00000000-0005-0000-0000-00001E360000}"/>
    <cellStyle name="Normal 15 4 4 2" xfId="19587" xr:uid="{00000000-0005-0000-0000-00001F360000}"/>
    <cellStyle name="Normal 15 4 4 2 2" xfId="42230" xr:uid="{00000000-0005-0000-0000-000020360000}"/>
    <cellStyle name="Normal 15 4 4 3" xfId="12147" xr:uid="{00000000-0005-0000-0000-000021360000}"/>
    <cellStyle name="Normal 15 4 4 3 2" xfId="34790" xr:uid="{00000000-0005-0000-0000-000022360000}"/>
    <cellStyle name="Normal 15 4 4 4" xfId="27349" xr:uid="{00000000-0005-0000-0000-000023360000}"/>
    <cellStyle name="Normal 15 4 5" xfId="15869" xr:uid="{00000000-0005-0000-0000-000024360000}"/>
    <cellStyle name="Normal 15 4 5 2" xfId="38512" xr:uid="{00000000-0005-0000-0000-000025360000}"/>
    <cellStyle name="Normal 15 4 6" xfId="8429" xr:uid="{00000000-0005-0000-0000-000026360000}"/>
    <cellStyle name="Normal 15 4 6 2" xfId="31072" xr:uid="{00000000-0005-0000-0000-000027360000}"/>
    <cellStyle name="Normal 15 4 7" xfId="23631" xr:uid="{00000000-0005-0000-0000-000028360000}"/>
    <cellStyle name="Normal 15 5" xfId="1442" xr:uid="{00000000-0005-0000-0000-000029360000}"/>
    <cellStyle name="Normal 15 5 2" xfId="3292" xr:uid="{00000000-0005-0000-0000-00002A360000}"/>
    <cellStyle name="Normal 15 5 2 2" xfId="7013" xr:uid="{00000000-0005-0000-0000-00002B360000}"/>
    <cellStyle name="Normal 15 5 2 2 2" xfId="21897" xr:uid="{00000000-0005-0000-0000-00002C360000}"/>
    <cellStyle name="Normal 15 5 2 2 2 2" xfId="44540" xr:uid="{00000000-0005-0000-0000-00002D360000}"/>
    <cellStyle name="Normal 15 5 2 2 3" xfId="14457" xr:uid="{00000000-0005-0000-0000-00002E360000}"/>
    <cellStyle name="Normal 15 5 2 2 3 2" xfId="37100" xr:uid="{00000000-0005-0000-0000-00002F360000}"/>
    <cellStyle name="Normal 15 5 2 2 4" xfId="29659" xr:uid="{00000000-0005-0000-0000-000030360000}"/>
    <cellStyle name="Normal 15 5 2 3" xfId="18179" xr:uid="{00000000-0005-0000-0000-000031360000}"/>
    <cellStyle name="Normal 15 5 2 3 2" xfId="40822" xr:uid="{00000000-0005-0000-0000-000032360000}"/>
    <cellStyle name="Normal 15 5 2 4" xfId="10739" xr:uid="{00000000-0005-0000-0000-000033360000}"/>
    <cellStyle name="Normal 15 5 2 4 2" xfId="33382" xr:uid="{00000000-0005-0000-0000-000034360000}"/>
    <cellStyle name="Normal 15 5 2 5" xfId="25941" xr:uid="{00000000-0005-0000-0000-000035360000}"/>
    <cellStyle name="Normal 15 5 3" xfId="5166" xr:uid="{00000000-0005-0000-0000-000036360000}"/>
    <cellStyle name="Normal 15 5 3 2" xfId="20050" xr:uid="{00000000-0005-0000-0000-000037360000}"/>
    <cellStyle name="Normal 15 5 3 2 2" xfId="42693" xr:uid="{00000000-0005-0000-0000-000038360000}"/>
    <cellStyle name="Normal 15 5 3 3" xfId="12610" xr:uid="{00000000-0005-0000-0000-000039360000}"/>
    <cellStyle name="Normal 15 5 3 3 2" xfId="35253" xr:uid="{00000000-0005-0000-0000-00003A360000}"/>
    <cellStyle name="Normal 15 5 3 4" xfId="27812" xr:uid="{00000000-0005-0000-0000-00003B360000}"/>
    <cellStyle name="Normal 15 5 4" xfId="16332" xr:uid="{00000000-0005-0000-0000-00003C360000}"/>
    <cellStyle name="Normal 15 5 4 2" xfId="38975" xr:uid="{00000000-0005-0000-0000-00003D360000}"/>
    <cellStyle name="Normal 15 5 5" xfId="8892" xr:uid="{00000000-0005-0000-0000-00003E360000}"/>
    <cellStyle name="Normal 15 5 5 2" xfId="31535" xr:uid="{00000000-0005-0000-0000-00003F360000}"/>
    <cellStyle name="Normal 15 5 6" xfId="24094" xr:uid="{00000000-0005-0000-0000-000040360000}"/>
    <cellStyle name="Normal 15 6" xfId="2367" xr:uid="{00000000-0005-0000-0000-000041360000}"/>
    <cellStyle name="Normal 15 6 2" xfId="6088" xr:uid="{00000000-0005-0000-0000-000042360000}"/>
    <cellStyle name="Normal 15 6 2 2" xfId="20972" xr:uid="{00000000-0005-0000-0000-000043360000}"/>
    <cellStyle name="Normal 15 6 2 2 2" xfId="43615" xr:uid="{00000000-0005-0000-0000-000044360000}"/>
    <cellStyle name="Normal 15 6 2 3" xfId="13532" xr:uid="{00000000-0005-0000-0000-000045360000}"/>
    <cellStyle name="Normal 15 6 2 3 2" xfId="36175" xr:uid="{00000000-0005-0000-0000-000046360000}"/>
    <cellStyle name="Normal 15 6 2 4" xfId="28734" xr:uid="{00000000-0005-0000-0000-000047360000}"/>
    <cellStyle name="Normal 15 6 3" xfId="17254" xr:uid="{00000000-0005-0000-0000-000048360000}"/>
    <cellStyle name="Normal 15 6 3 2" xfId="39897" xr:uid="{00000000-0005-0000-0000-000049360000}"/>
    <cellStyle name="Normal 15 6 4" xfId="9814" xr:uid="{00000000-0005-0000-0000-00004A360000}"/>
    <cellStyle name="Normal 15 6 4 2" xfId="32457" xr:uid="{00000000-0005-0000-0000-00004B360000}"/>
    <cellStyle name="Normal 15 6 5" xfId="25016" xr:uid="{00000000-0005-0000-0000-00004C360000}"/>
    <cellStyle name="Normal 15 7" xfId="4241" xr:uid="{00000000-0005-0000-0000-00004D360000}"/>
    <cellStyle name="Normal 15 7 2" xfId="19125" xr:uid="{00000000-0005-0000-0000-00004E360000}"/>
    <cellStyle name="Normal 15 7 2 2" xfId="41768" xr:uid="{00000000-0005-0000-0000-00004F360000}"/>
    <cellStyle name="Normal 15 7 3" xfId="11685" xr:uid="{00000000-0005-0000-0000-000050360000}"/>
    <cellStyle name="Normal 15 7 3 2" xfId="34328" xr:uid="{00000000-0005-0000-0000-000051360000}"/>
    <cellStyle name="Normal 15 7 4" xfId="26887" xr:uid="{00000000-0005-0000-0000-000052360000}"/>
    <cellStyle name="Normal 15 8" xfId="509" xr:uid="{00000000-0005-0000-0000-000053360000}"/>
    <cellStyle name="Normal 15 8 2" xfId="15407" xr:uid="{00000000-0005-0000-0000-000054360000}"/>
    <cellStyle name="Normal 15 8 2 2" xfId="38050" xr:uid="{00000000-0005-0000-0000-000055360000}"/>
    <cellStyle name="Normal 15 8 3" xfId="23170" xr:uid="{00000000-0005-0000-0000-000056360000}"/>
    <cellStyle name="Normal 15 9" xfId="7967" xr:uid="{00000000-0005-0000-0000-000057360000}"/>
    <cellStyle name="Normal 15 9 2" xfId="30610" xr:uid="{00000000-0005-0000-0000-000058360000}"/>
    <cellStyle name="Normal 150" xfId="45428" xr:uid="{00000000-0005-0000-0000-000059360000}"/>
    <cellStyle name="Normal 151" xfId="45429" xr:uid="{00000000-0005-0000-0000-00005A360000}"/>
    <cellStyle name="Normal 152" xfId="45431" xr:uid="{00000000-0005-0000-0000-00005B360000}"/>
    <cellStyle name="Normal 153" xfId="45438" xr:uid="{00000000-0005-0000-0000-00005C360000}"/>
    <cellStyle name="Normal 154" xfId="45439" xr:uid="{00000000-0005-0000-0000-00005D360000}"/>
    <cellStyle name="Normal 155" xfId="45440" xr:uid="{00000000-0005-0000-0000-00005E360000}"/>
    <cellStyle name="Normal 156" xfId="45441" xr:uid="{00000000-0005-0000-0000-00005F360000}"/>
    <cellStyle name="Normal 157" xfId="45480" xr:uid="{00000000-0005-0000-0000-000060360000}"/>
    <cellStyle name="Normal 16" xfId="368" xr:uid="{00000000-0005-0000-0000-000061360000}"/>
    <cellStyle name="Normal 16 2" xfId="827" xr:uid="{00000000-0005-0000-0000-000062360000}"/>
    <cellStyle name="Normal 16 2 2" xfId="1292" xr:uid="{00000000-0005-0000-0000-000063360000}"/>
    <cellStyle name="Normal 16 2 2 2" xfId="2220" xr:uid="{00000000-0005-0000-0000-000064360000}"/>
    <cellStyle name="Normal 16 2 2 2 2" xfId="4070" xr:uid="{00000000-0005-0000-0000-000065360000}"/>
    <cellStyle name="Normal 16 2 2 2 2 2" xfId="7791" xr:uid="{00000000-0005-0000-0000-000066360000}"/>
    <cellStyle name="Normal 16 2 2 2 2 2 2" xfId="22675" xr:uid="{00000000-0005-0000-0000-000067360000}"/>
    <cellStyle name="Normal 16 2 2 2 2 2 2 2" xfId="45318" xr:uid="{00000000-0005-0000-0000-000068360000}"/>
    <cellStyle name="Normal 16 2 2 2 2 2 3" xfId="15235" xr:uid="{00000000-0005-0000-0000-000069360000}"/>
    <cellStyle name="Normal 16 2 2 2 2 2 3 2" xfId="37878" xr:uid="{00000000-0005-0000-0000-00006A360000}"/>
    <cellStyle name="Normal 16 2 2 2 2 2 4" xfId="30437" xr:uid="{00000000-0005-0000-0000-00006B360000}"/>
    <cellStyle name="Normal 16 2 2 2 2 3" xfId="18957" xr:uid="{00000000-0005-0000-0000-00006C360000}"/>
    <cellStyle name="Normal 16 2 2 2 2 3 2" xfId="41600" xr:uid="{00000000-0005-0000-0000-00006D360000}"/>
    <cellStyle name="Normal 16 2 2 2 2 4" xfId="11517" xr:uid="{00000000-0005-0000-0000-00006E360000}"/>
    <cellStyle name="Normal 16 2 2 2 2 4 2" xfId="34160" xr:uid="{00000000-0005-0000-0000-00006F360000}"/>
    <cellStyle name="Normal 16 2 2 2 2 5" xfId="26719" xr:uid="{00000000-0005-0000-0000-000070360000}"/>
    <cellStyle name="Normal 16 2 2 2 3" xfId="5944" xr:uid="{00000000-0005-0000-0000-000071360000}"/>
    <cellStyle name="Normal 16 2 2 2 3 2" xfId="20828" xr:uid="{00000000-0005-0000-0000-000072360000}"/>
    <cellStyle name="Normal 16 2 2 2 3 2 2" xfId="43471" xr:uid="{00000000-0005-0000-0000-000073360000}"/>
    <cellStyle name="Normal 16 2 2 2 3 3" xfId="13388" xr:uid="{00000000-0005-0000-0000-000074360000}"/>
    <cellStyle name="Normal 16 2 2 2 3 3 2" xfId="36031" xr:uid="{00000000-0005-0000-0000-000075360000}"/>
    <cellStyle name="Normal 16 2 2 2 3 4" xfId="28590" xr:uid="{00000000-0005-0000-0000-000076360000}"/>
    <cellStyle name="Normal 16 2 2 2 4" xfId="17110" xr:uid="{00000000-0005-0000-0000-000077360000}"/>
    <cellStyle name="Normal 16 2 2 2 4 2" xfId="39753" xr:uid="{00000000-0005-0000-0000-000078360000}"/>
    <cellStyle name="Normal 16 2 2 2 5" xfId="9670" xr:uid="{00000000-0005-0000-0000-000079360000}"/>
    <cellStyle name="Normal 16 2 2 2 5 2" xfId="32313" xr:uid="{00000000-0005-0000-0000-00007A360000}"/>
    <cellStyle name="Normal 16 2 2 2 6" xfId="24872" xr:uid="{00000000-0005-0000-0000-00007B360000}"/>
    <cellStyle name="Normal 16 2 2 3" xfId="3145" xr:uid="{00000000-0005-0000-0000-00007C360000}"/>
    <cellStyle name="Normal 16 2 2 3 2" xfId="6866" xr:uid="{00000000-0005-0000-0000-00007D360000}"/>
    <cellStyle name="Normal 16 2 2 3 2 2" xfId="21750" xr:uid="{00000000-0005-0000-0000-00007E360000}"/>
    <cellStyle name="Normal 16 2 2 3 2 2 2" xfId="44393" xr:uid="{00000000-0005-0000-0000-00007F360000}"/>
    <cellStyle name="Normal 16 2 2 3 2 3" xfId="14310" xr:uid="{00000000-0005-0000-0000-000080360000}"/>
    <cellStyle name="Normal 16 2 2 3 2 3 2" xfId="36953" xr:uid="{00000000-0005-0000-0000-000081360000}"/>
    <cellStyle name="Normal 16 2 2 3 2 4" xfId="29512" xr:uid="{00000000-0005-0000-0000-000082360000}"/>
    <cellStyle name="Normal 16 2 2 3 3" xfId="18032" xr:uid="{00000000-0005-0000-0000-000083360000}"/>
    <cellStyle name="Normal 16 2 2 3 3 2" xfId="40675" xr:uid="{00000000-0005-0000-0000-000084360000}"/>
    <cellStyle name="Normal 16 2 2 3 4" xfId="10592" xr:uid="{00000000-0005-0000-0000-000085360000}"/>
    <cellStyle name="Normal 16 2 2 3 4 2" xfId="33235" xr:uid="{00000000-0005-0000-0000-000086360000}"/>
    <cellStyle name="Normal 16 2 2 3 5" xfId="25794" xr:uid="{00000000-0005-0000-0000-000087360000}"/>
    <cellStyle name="Normal 16 2 2 4" xfId="5019" xr:uid="{00000000-0005-0000-0000-000088360000}"/>
    <cellStyle name="Normal 16 2 2 4 2" xfId="19903" xr:uid="{00000000-0005-0000-0000-000089360000}"/>
    <cellStyle name="Normal 16 2 2 4 2 2" xfId="42546" xr:uid="{00000000-0005-0000-0000-00008A360000}"/>
    <cellStyle name="Normal 16 2 2 4 3" xfId="12463" xr:uid="{00000000-0005-0000-0000-00008B360000}"/>
    <cellStyle name="Normal 16 2 2 4 3 2" xfId="35106" xr:uid="{00000000-0005-0000-0000-00008C360000}"/>
    <cellStyle name="Normal 16 2 2 4 4" xfId="27665" xr:uid="{00000000-0005-0000-0000-00008D360000}"/>
    <cellStyle name="Normal 16 2 2 5" xfId="16185" xr:uid="{00000000-0005-0000-0000-00008E360000}"/>
    <cellStyle name="Normal 16 2 2 5 2" xfId="38828" xr:uid="{00000000-0005-0000-0000-00008F360000}"/>
    <cellStyle name="Normal 16 2 2 6" xfId="8745" xr:uid="{00000000-0005-0000-0000-000090360000}"/>
    <cellStyle name="Normal 16 2 2 6 2" xfId="31388" xr:uid="{00000000-0005-0000-0000-000091360000}"/>
    <cellStyle name="Normal 16 2 2 7" xfId="23947" xr:uid="{00000000-0005-0000-0000-000092360000}"/>
    <cellStyle name="Normal 16 2 3" xfId="1758" xr:uid="{00000000-0005-0000-0000-000093360000}"/>
    <cellStyle name="Normal 16 2 3 2" xfId="3608" xr:uid="{00000000-0005-0000-0000-000094360000}"/>
    <cellStyle name="Normal 16 2 3 2 2" xfId="7329" xr:uid="{00000000-0005-0000-0000-000095360000}"/>
    <cellStyle name="Normal 16 2 3 2 2 2" xfId="22213" xr:uid="{00000000-0005-0000-0000-000096360000}"/>
    <cellStyle name="Normal 16 2 3 2 2 2 2" xfId="44856" xr:uid="{00000000-0005-0000-0000-000097360000}"/>
    <cellStyle name="Normal 16 2 3 2 2 3" xfId="14773" xr:uid="{00000000-0005-0000-0000-000098360000}"/>
    <cellStyle name="Normal 16 2 3 2 2 3 2" xfId="37416" xr:uid="{00000000-0005-0000-0000-000099360000}"/>
    <cellStyle name="Normal 16 2 3 2 2 4" xfId="29975" xr:uid="{00000000-0005-0000-0000-00009A360000}"/>
    <cellStyle name="Normal 16 2 3 2 3" xfId="18495" xr:uid="{00000000-0005-0000-0000-00009B360000}"/>
    <cellStyle name="Normal 16 2 3 2 3 2" xfId="41138" xr:uid="{00000000-0005-0000-0000-00009C360000}"/>
    <cellStyle name="Normal 16 2 3 2 4" xfId="11055" xr:uid="{00000000-0005-0000-0000-00009D360000}"/>
    <cellStyle name="Normal 16 2 3 2 4 2" xfId="33698" xr:uid="{00000000-0005-0000-0000-00009E360000}"/>
    <cellStyle name="Normal 16 2 3 2 5" xfId="26257" xr:uid="{00000000-0005-0000-0000-00009F360000}"/>
    <cellStyle name="Normal 16 2 3 3" xfId="5482" xr:uid="{00000000-0005-0000-0000-0000A0360000}"/>
    <cellStyle name="Normal 16 2 3 3 2" xfId="20366" xr:uid="{00000000-0005-0000-0000-0000A1360000}"/>
    <cellStyle name="Normal 16 2 3 3 2 2" xfId="43009" xr:uid="{00000000-0005-0000-0000-0000A2360000}"/>
    <cellStyle name="Normal 16 2 3 3 3" xfId="12926" xr:uid="{00000000-0005-0000-0000-0000A3360000}"/>
    <cellStyle name="Normal 16 2 3 3 3 2" xfId="35569" xr:uid="{00000000-0005-0000-0000-0000A4360000}"/>
    <cellStyle name="Normal 16 2 3 3 4" xfId="28128" xr:uid="{00000000-0005-0000-0000-0000A5360000}"/>
    <cellStyle name="Normal 16 2 3 4" xfId="16648" xr:uid="{00000000-0005-0000-0000-0000A6360000}"/>
    <cellStyle name="Normal 16 2 3 4 2" xfId="39291" xr:uid="{00000000-0005-0000-0000-0000A7360000}"/>
    <cellStyle name="Normal 16 2 3 5" xfId="9208" xr:uid="{00000000-0005-0000-0000-0000A8360000}"/>
    <cellStyle name="Normal 16 2 3 5 2" xfId="31851" xr:uid="{00000000-0005-0000-0000-0000A9360000}"/>
    <cellStyle name="Normal 16 2 3 6" xfId="24410" xr:uid="{00000000-0005-0000-0000-0000AA360000}"/>
    <cellStyle name="Normal 16 2 4" xfId="2683" xr:uid="{00000000-0005-0000-0000-0000AB360000}"/>
    <cellStyle name="Normal 16 2 4 2" xfId="6404" xr:uid="{00000000-0005-0000-0000-0000AC360000}"/>
    <cellStyle name="Normal 16 2 4 2 2" xfId="21288" xr:uid="{00000000-0005-0000-0000-0000AD360000}"/>
    <cellStyle name="Normal 16 2 4 2 2 2" xfId="43931" xr:uid="{00000000-0005-0000-0000-0000AE360000}"/>
    <cellStyle name="Normal 16 2 4 2 3" xfId="13848" xr:uid="{00000000-0005-0000-0000-0000AF360000}"/>
    <cellStyle name="Normal 16 2 4 2 3 2" xfId="36491" xr:uid="{00000000-0005-0000-0000-0000B0360000}"/>
    <cellStyle name="Normal 16 2 4 2 4" xfId="29050" xr:uid="{00000000-0005-0000-0000-0000B1360000}"/>
    <cellStyle name="Normal 16 2 4 3" xfId="17570" xr:uid="{00000000-0005-0000-0000-0000B2360000}"/>
    <cellStyle name="Normal 16 2 4 3 2" xfId="40213" xr:uid="{00000000-0005-0000-0000-0000B3360000}"/>
    <cellStyle name="Normal 16 2 4 4" xfId="10130" xr:uid="{00000000-0005-0000-0000-0000B4360000}"/>
    <cellStyle name="Normal 16 2 4 4 2" xfId="32773" xr:uid="{00000000-0005-0000-0000-0000B5360000}"/>
    <cellStyle name="Normal 16 2 4 5" xfId="25332" xr:uid="{00000000-0005-0000-0000-0000B6360000}"/>
    <cellStyle name="Normal 16 2 5" xfId="4557" xr:uid="{00000000-0005-0000-0000-0000B7360000}"/>
    <cellStyle name="Normal 16 2 5 2" xfId="19441" xr:uid="{00000000-0005-0000-0000-0000B8360000}"/>
    <cellStyle name="Normal 16 2 5 2 2" xfId="42084" xr:uid="{00000000-0005-0000-0000-0000B9360000}"/>
    <cellStyle name="Normal 16 2 5 3" xfId="12001" xr:uid="{00000000-0005-0000-0000-0000BA360000}"/>
    <cellStyle name="Normal 16 2 5 3 2" xfId="34644" xr:uid="{00000000-0005-0000-0000-0000BB360000}"/>
    <cellStyle name="Normal 16 2 5 4" xfId="27203" xr:uid="{00000000-0005-0000-0000-0000BC360000}"/>
    <cellStyle name="Normal 16 2 6" xfId="15723" xr:uid="{00000000-0005-0000-0000-0000BD360000}"/>
    <cellStyle name="Normal 16 2 6 2" xfId="38366" xr:uid="{00000000-0005-0000-0000-0000BE360000}"/>
    <cellStyle name="Normal 16 2 7" xfId="8283" xr:uid="{00000000-0005-0000-0000-0000BF360000}"/>
    <cellStyle name="Normal 16 2 7 2" xfId="30926" xr:uid="{00000000-0005-0000-0000-0000C0360000}"/>
    <cellStyle name="Normal 16 2 8" xfId="23485" xr:uid="{00000000-0005-0000-0000-0000C1360000}"/>
    <cellStyle name="Normal 16 3" xfId="1081" xr:uid="{00000000-0005-0000-0000-0000C2360000}"/>
    <cellStyle name="Normal 16 3 2" xfId="2009" xr:uid="{00000000-0005-0000-0000-0000C3360000}"/>
    <cellStyle name="Normal 16 3 2 2" xfId="3859" xr:uid="{00000000-0005-0000-0000-0000C4360000}"/>
    <cellStyle name="Normal 16 3 2 2 2" xfId="7580" xr:uid="{00000000-0005-0000-0000-0000C5360000}"/>
    <cellStyle name="Normal 16 3 2 2 2 2" xfId="22464" xr:uid="{00000000-0005-0000-0000-0000C6360000}"/>
    <cellStyle name="Normal 16 3 2 2 2 2 2" xfId="45107" xr:uid="{00000000-0005-0000-0000-0000C7360000}"/>
    <cellStyle name="Normal 16 3 2 2 2 3" xfId="15024" xr:uid="{00000000-0005-0000-0000-0000C8360000}"/>
    <cellStyle name="Normal 16 3 2 2 2 3 2" xfId="37667" xr:uid="{00000000-0005-0000-0000-0000C9360000}"/>
    <cellStyle name="Normal 16 3 2 2 2 4" xfId="30226" xr:uid="{00000000-0005-0000-0000-0000CA360000}"/>
    <cellStyle name="Normal 16 3 2 2 3" xfId="18746" xr:uid="{00000000-0005-0000-0000-0000CB360000}"/>
    <cellStyle name="Normal 16 3 2 2 3 2" xfId="41389" xr:uid="{00000000-0005-0000-0000-0000CC360000}"/>
    <cellStyle name="Normal 16 3 2 2 4" xfId="11306" xr:uid="{00000000-0005-0000-0000-0000CD360000}"/>
    <cellStyle name="Normal 16 3 2 2 4 2" xfId="33949" xr:uid="{00000000-0005-0000-0000-0000CE360000}"/>
    <cellStyle name="Normal 16 3 2 2 5" xfId="26508" xr:uid="{00000000-0005-0000-0000-0000CF360000}"/>
    <cellStyle name="Normal 16 3 2 3" xfId="5733" xr:uid="{00000000-0005-0000-0000-0000D0360000}"/>
    <cellStyle name="Normal 16 3 2 3 2" xfId="20617" xr:uid="{00000000-0005-0000-0000-0000D1360000}"/>
    <cellStyle name="Normal 16 3 2 3 2 2" xfId="43260" xr:uid="{00000000-0005-0000-0000-0000D2360000}"/>
    <cellStyle name="Normal 16 3 2 3 3" xfId="13177" xr:uid="{00000000-0005-0000-0000-0000D3360000}"/>
    <cellStyle name="Normal 16 3 2 3 3 2" xfId="35820" xr:uid="{00000000-0005-0000-0000-0000D4360000}"/>
    <cellStyle name="Normal 16 3 2 3 4" xfId="28379" xr:uid="{00000000-0005-0000-0000-0000D5360000}"/>
    <cellStyle name="Normal 16 3 2 4" xfId="16899" xr:uid="{00000000-0005-0000-0000-0000D6360000}"/>
    <cellStyle name="Normal 16 3 2 4 2" xfId="39542" xr:uid="{00000000-0005-0000-0000-0000D7360000}"/>
    <cellStyle name="Normal 16 3 2 5" xfId="9459" xr:uid="{00000000-0005-0000-0000-0000D8360000}"/>
    <cellStyle name="Normal 16 3 2 5 2" xfId="32102" xr:uid="{00000000-0005-0000-0000-0000D9360000}"/>
    <cellStyle name="Normal 16 3 2 6" xfId="24661" xr:uid="{00000000-0005-0000-0000-0000DA360000}"/>
    <cellStyle name="Normal 16 3 3" xfId="2934" xr:uid="{00000000-0005-0000-0000-0000DB360000}"/>
    <cellStyle name="Normal 16 3 3 2" xfId="6655" xr:uid="{00000000-0005-0000-0000-0000DC360000}"/>
    <cellStyle name="Normal 16 3 3 2 2" xfId="21539" xr:uid="{00000000-0005-0000-0000-0000DD360000}"/>
    <cellStyle name="Normal 16 3 3 2 2 2" xfId="44182" xr:uid="{00000000-0005-0000-0000-0000DE360000}"/>
    <cellStyle name="Normal 16 3 3 2 3" xfId="14099" xr:uid="{00000000-0005-0000-0000-0000DF360000}"/>
    <cellStyle name="Normal 16 3 3 2 3 2" xfId="36742" xr:uid="{00000000-0005-0000-0000-0000E0360000}"/>
    <cellStyle name="Normal 16 3 3 2 4" xfId="29301" xr:uid="{00000000-0005-0000-0000-0000E1360000}"/>
    <cellStyle name="Normal 16 3 3 3" xfId="17821" xr:uid="{00000000-0005-0000-0000-0000E2360000}"/>
    <cellStyle name="Normal 16 3 3 3 2" xfId="40464" xr:uid="{00000000-0005-0000-0000-0000E3360000}"/>
    <cellStyle name="Normal 16 3 3 4" xfId="10381" xr:uid="{00000000-0005-0000-0000-0000E4360000}"/>
    <cellStyle name="Normal 16 3 3 4 2" xfId="33024" xr:uid="{00000000-0005-0000-0000-0000E5360000}"/>
    <cellStyle name="Normal 16 3 3 5" xfId="25583" xr:uid="{00000000-0005-0000-0000-0000E6360000}"/>
    <cellStyle name="Normal 16 3 4" xfId="4808" xr:uid="{00000000-0005-0000-0000-0000E7360000}"/>
    <cellStyle name="Normal 16 3 4 2" xfId="19692" xr:uid="{00000000-0005-0000-0000-0000E8360000}"/>
    <cellStyle name="Normal 16 3 4 2 2" xfId="42335" xr:uid="{00000000-0005-0000-0000-0000E9360000}"/>
    <cellStyle name="Normal 16 3 4 3" xfId="12252" xr:uid="{00000000-0005-0000-0000-0000EA360000}"/>
    <cellStyle name="Normal 16 3 4 3 2" xfId="34895" xr:uid="{00000000-0005-0000-0000-0000EB360000}"/>
    <cellStyle name="Normal 16 3 4 4" xfId="27454" xr:uid="{00000000-0005-0000-0000-0000EC360000}"/>
    <cellStyle name="Normal 16 3 5" xfId="15974" xr:uid="{00000000-0005-0000-0000-0000ED360000}"/>
    <cellStyle name="Normal 16 3 5 2" xfId="38617" xr:uid="{00000000-0005-0000-0000-0000EE360000}"/>
    <cellStyle name="Normal 16 3 6" xfId="8534" xr:uid="{00000000-0005-0000-0000-0000EF360000}"/>
    <cellStyle name="Normal 16 3 6 2" xfId="31177" xr:uid="{00000000-0005-0000-0000-0000F0360000}"/>
    <cellStyle name="Normal 16 3 7" xfId="23736" xr:uid="{00000000-0005-0000-0000-0000F1360000}"/>
    <cellStyle name="Normal 16 4" xfId="1547" xr:uid="{00000000-0005-0000-0000-0000F2360000}"/>
    <cellStyle name="Normal 16 4 2" xfId="3397" xr:uid="{00000000-0005-0000-0000-0000F3360000}"/>
    <cellStyle name="Normal 16 4 2 2" xfId="7118" xr:uid="{00000000-0005-0000-0000-0000F4360000}"/>
    <cellStyle name="Normal 16 4 2 2 2" xfId="22002" xr:uid="{00000000-0005-0000-0000-0000F5360000}"/>
    <cellStyle name="Normal 16 4 2 2 2 2" xfId="44645" xr:uid="{00000000-0005-0000-0000-0000F6360000}"/>
    <cellStyle name="Normal 16 4 2 2 3" xfId="14562" xr:uid="{00000000-0005-0000-0000-0000F7360000}"/>
    <cellStyle name="Normal 16 4 2 2 3 2" xfId="37205" xr:uid="{00000000-0005-0000-0000-0000F8360000}"/>
    <cellStyle name="Normal 16 4 2 2 4" xfId="29764" xr:uid="{00000000-0005-0000-0000-0000F9360000}"/>
    <cellStyle name="Normal 16 4 2 3" xfId="18284" xr:uid="{00000000-0005-0000-0000-0000FA360000}"/>
    <cellStyle name="Normal 16 4 2 3 2" xfId="40927" xr:uid="{00000000-0005-0000-0000-0000FB360000}"/>
    <cellStyle name="Normal 16 4 2 4" xfId="10844" xr:uid="{00000000-0005-0000-0000-0000FC360000}"/>
    <cellStyle name="Normal 16 4 2 4 2" xfId="33487" xr:uid="{00000000-0005-0000-0000-0000FD360000}"/>
    <cellStyle name="Normal 16 4 2 5" xfId="26046" xr:uid="{00000000-0005-0000-0000-0000FE360000}"/>
    <cellStyle name="Normal 16 4 3" xfId="5271" xr:uid="{00000000-0005-0000-0000-0000FF360000}"/>
    <cellStyle name="Normal 16 4 3 2" xfId="20155" xr:uid="{00000000-0005-0000-0000-000000370000}"/>
    <cellStyle name="Normal 16 4 3 2 2" xfId="42798" xr:uid="{00000000-0005-0000-0000-000001370000}"/>
    <cellStyle name="Normal 16 4 3 3" xfId="12715" xr:uid="{00000000-0005-0000-0000-000002370000}"/>
    <cellStyle name="Normal 16 4 3 3 2" xfId="35358" xr:uid="{00000000-0005-0000-0000-000003370000}"/>
    <cellStyle name="Normal 16 4 3 4" xfId="27917" xr:uid="{00000000-0005-0000-0000-000004370000}"/>
    <cellStyle name="Normal 16 4 4" xfId="16437" xr:uid="{00000000-0005-0000-0000-000005370000}"/>
    <cellStyle name="Normal 16 4 4 2" xfId="39080" xr:uid="{00000000-0005-0000-0000-000006370000}"/>
    <cellStyle name="Normal 16 4 5" xfId="8997" xr:uid="{00000000-0005-0000-0000-000007370000}"/>
    <cellStyle name="Normal 16 4 5 2" xfId="31640" xr:uid="{00000000-0005-0000-0000-000008370000}"/>
    <cellStyle name="Normal 16 4 6" xfId="24199" xr:uid="{00000000-0005-0000-0000-000009370000}"/>
    <cellStyle name="Normal 16 5" xfId="2472" xr:uid="{00000000-0005-0000-0000-00000A370000}"/>
    <cellStyle name="Normal 16 5 2" xfId="6193" xr:uid="{00000000-0005-0000-0000-00000B370000}"/>
    <cellStyle name="Normal 16 5 2 2" xfId="21077" xr:uid="{00000000-0005-0000-0000-00000C370000}"/>
    <cellStyle name="Normal 16 5 2 2 2" xfId="43720" xr:uid="{00000000-0005-0000-0000-00000D370000}"/>
    <cellStyle name="Normal 16 5 2 3" xfId="13637" xr:uid="{00000000-0005-0000-0000-00000E370000}"/>
    <cellStyle name="Normal 16 5 2 3 2" xfId="36280" xr:uid="{00000000-0005-0000-0000-00000F370000}"/>
    <cellStyle name="Normal 16 5 2 4" xfId="28839" xr:uid="{00000000-0005-0000-0000-000010370000}"/>
    <cellStyle name="Normal 16 5 3" xfId="17359" xr:uid="{00000000-0005-0000-0000-000011370000}"/>
    <cellStyle name="Normal 16 5 3 2" xfId="40002" xr:uid="{00000000-0005-0000-0000-000012370000}"/>
    <cellStyle name="Normal 16 5 4" xfId="9919" xr:uid="{00000000-0005-0000-0000-000013370000}"/>
    <cellStyle name="Normal 16 5 4 2" xfId="32562" xr:uid="{00000000-0005-0000-0000-000014370000}"/>
    <cellStyle name="Normal 16 5 5" xfId="25121" xr:uid="{00000000-0005-0000-0000-000015370000}"/>
    <cellStyle name="Normal 16 6" xfId="4346" xr:uid="{00000000-0005-0000-0000-000016370000}"/>
    <cellStyle name="Normal 16 6 2" xfId="19230" xr:uid="{00000000-0005-0000-0000-000017370000}"/>
    <cellStyle name="Normal 16 6 2 2" xfId="41873" xr:uid="{00000000-0005-0000-0000-000018370000}"/>
    <cellStyle name="Normal 16 6 3" xfId="11790" xr:uid="{00000000-0005-0000-0000-000019370000}"/>
    <cellStyle name="Normal 16 6 3 2" xfId="34433" xr:uid="{00000000-0005-0000-0000-00001A370000}"/>
    <cellStyle name="Normal 16 6 4" xfId="26992" xr:uid="{00000000-0005-0000-0000-00001B370000}"/>
    <cellStyle name="Normal 16 7" xfId="15512" xr:uid="{00000000-0005-0000-0000-00001C370000}"/>
    <cellStyle name="Normal 16 7 2" xfId="38155" xr:uid="{00000000-0005-0000-0000-00001D370000}"/>
    <cellStyle name="Normal 16 8" xfId="8072" xr:uid="{00000000-0005-0000-0000-00001E370000}"/>
    <cellStyle name="Normal 16 8 2" xfId="30715" xr:uid="{00000000-0005-0000-0000-00001F370000}"/>
    <cellStyle name="Normal 16 9" xfId="23065" xr:uid="{00000000-0005-0000-0000-000020370000}"/>
    <cellStyle name="Normal 17" xfId="615" xr:uid="{00000000-0005-0000-0000-000021370000}"/>
    <cellStyle name="Normal 17 2" xfId="1082" xr:uid="{00000000-0005-0000-0000-000022370000}"/>
    <cellStyle name="Normal 17 2 2" xfId="2010" xr:uid="{00000000-0005-0000-0000-000023370000}"/>
    <cellStyle name="Normal 17 2 2 2" xfId="3860" xr:uid="{00000000-0005-0000-0000-000024370000}"/>
    <cellStyle name="Normal 17 2 2 2 2" xfId="7581" xr:uid="{00000000-0005-0000-0000-000025370000}"/>
    <cellStyle name="Normal 17 2 2 2 2 2" xfId="22465" xr:uid="{00000000-0005-0000-0000-000026370000}"/>
    <cellStyle name="Normal 17 2 2 2 2 2 2" xfId="45108" xr:uid="{00000000-0005-0000-0000-000027370000}"/>
    <cellStyle name="Normal 17 2 2 2 2 3" xfId="15025" xr:uid="{00000000-0005-0000-0000-000028370000}"/>
    <cellStyle name="Normal 17 2 2 2 2 3 2" xfId="37668" xr:uid="{00000000-0005-0000-0000-000029370000}"/>
    <cellStyle name="Normal 17 2 2 2 2 4" xfId="30227" xr:uid="{00000000-0005-0000-0000-00002A370000}"/>
    <cellStyle name="Normal 17 2 2 2 3" xfId="18747" xr:uid="{00000000-0005-0000-0000-00002B370000}"/>
    <cellStyle name="Normal 17 2 2 2 3 2" xfId="41390" xr:uid="{00000000-0005-0000-0000-00002C370000}"/>
    <cellStyle name="Normal 17 2 2 2 4" xfId="11307" xr:uid="{00000000-0005-0000-0000-00002D370000}"/>
    <cellStyle name="Normal 17 2 2 2 4 2" xfId="33950" xr:uid="{00000000-0005-0000-0000-00002E370000}"/>
    <cellStyle name="Normal 17 2 2 2 5" xfId="26509" xr:uid="{00000000-0005-0000-0000-00002F370000}"/>
    <cellStyle name="Normal 17 2 2 3" xfId="5734" xr:uid="{00000000-0005-0000-0000-000030370000}"/>
    <cellStyle name="Normal 17 2 2 3 2" xfId="20618" xr:uid="{00000000-0005-0000-0000-000031370000}"/>
    <cellStyle name="Normal 17 2 2 3 2 2" xfId="43261" xr:uid="{00000000-0005-0000-0000-000032370000}"/>
    <cellStyle name="Normal 17 2 2 3 3" xfId="13178" xr:uid="{00000000-0005-0000-0000-000033370000}"/>
    <cellStyle name="Normal 17 2 2 3 3 2" xfId="35821" xr:uid="{00000000-0005-0000-0000-000034370000}"/>
    <cellStyle name="Normal 17 2 2 3 4" xfId="28380" xr:uid="{00000000-0005-0000-0000-000035370000}"/>
    <cellStyle name="Normal 17 2 2 4" xfId="16900" xr:uid="{00000000-0005-0000-0000-000036370000}"/>
    <cellStyle name="Normal 17 2 2 4 2" xfId="39543" xr:uid="{00000000-0005-0000-0000-000037370000}"/>
    <cellStyle name="Normal 17 2 2 5" xfId="9460" xr:uid="{00000000-0005-0000-0000-000038370000}"/>
    <cellStyle name="Normal 17 2 2 5 2" xfId="32103" xr:uid="{00000000-0005-0000-0000-000039370000}"/>
    <cellStyle name="Normal 17 2 2 6" xfId="24662" xr:uid="{00000000-0005-0000-0000-00003A370000}"/>
    <cellStyle name="Normal 17 2 3" xfId="2935" xr:uid="{00000000-0005-0000-0000-00003B370000}"/>
    <cellStyle name="Normal 17 2 3 2" xfId="6656" xr:uid="{00000000-0005-0000-0000-00003C370000}"/>
    <cellStyle name="Normal 17 2 3 2 2" xfId="21540" xr:uid="{00000000-0005-0000-0000-00003D370000}"/>
    <cellStyle name="Normal 17 2 3 2 2 2" xfId="44183" xr:uid="{00000000-0005-0000-0000-00003E370000}"/>
    <cellStyle name="Normal 17 2 3 2 3" xfId="14100" xr:uid="{00000000-0005-0000-0000-00003F370000}"/>
    <cellStyle name="Normal 17 2 3 2 3 2" xfId="36743" xr:uid="{00000000-0005-0000-0000-000040370000}"/>
    <cellStyle name="Normal 17 2 3 2 4" xfId="29302" xr:uid="{00000000-0005-0000-0000-000041370000}"/>
    <cellStyle name="Normal 17 2 3 3" xfId="17822" xr:uid="{00000000-0005-0000-0000-000042370000}"/>
    <cellStyle name="Normal 17 2 3 3 2" xfId="40465" xr:uid="{00000000-0005-0000-0000-000043370000}"/>
    <cellStyle name="Normal 17 2 3 4" xfId="10382" xr:uid="{00000000-0005-0000-0000-000044370000}"/>
    <cellStyle name="Normal 17 2 3 4 2" xfId="33025" xr:uid="{00000000-0005-0000-0000-000045370000}"/>
    <cellStyle name="Normal 17 2 3 5" xfId="25584" xr:uid="{00000000-0005-0000-0000-000046370000}"/>
    <cellStyle name="Normal 17 2 4" xfId="4809" xr:uid="{00000000-0005-0000-0000-000047370000}"/>
    <cellStyle name="Normal 17 2 4 2" xfId="19693" xr:uid="{00000000-0005-0000-0000-000048370000}"/>
    <cellStyle name="Normal 17 2 4 2 2" xfId="42336" xr:uid="{00000000-0005-0000-0000-000049370000}"/>
    <cellStyle name="Normal 17 2 4 3" xfId="12253" xr:uid="{00000000-0005-0000-0000-00004A370000}"/>
    <cellStyle name="Normal 17 2 4 3 2" xfId="34896" xr:uid="{00000000-0005-0000-0000-00004B370000}"/>
    <cellStyle name="Normal 17 2 4 4" xfId="27455" xr:uid="{00000000-0005-0000-0000-00004C370000}"/>
    <cellStyle name="Normal 17 2 5" xfId="15975" xr:uid="{00000000-0005-0000-0000-00004D370000}"/>
    <cellStyle name="Normal 17 2 5 2" xfId="38618" xr:uid="{00000000-0005-0000-0000-00004E370000}"/>
    <cellStyle name="Normal 17 2 6" xfId="8535" xr:uid="{00000000-0005-0000-0000-00004F370000}"/>
    <cellStyle name="Normal 17 2 6 2" xfId="31178" xr:uid="{00000000-0005-0000-0000-000050370000}"/>
    <cellStyle name="Normal 17 2 7" xfId="23737" xr:uid="{00000000-0005-0000-0000-000051370000}"/>
    <cellStyle name="Normal 17 3" xfId="1548" xr:uid="{00000000-0005-0000-0000-000052370000}"/>
    <cellStyle name="Normal 17 3 2" xfId="3398" xr:uid="{00000000-0005-0000-0000-000053370000}"/>
    <cellStyle name="Normal 17 3 2 2" xfId="7119" xr:uid="{00000000-0005-0000-0000-000054370000}"/>
    <cellStyle name="Normal 17 3 2 2 2" xfId="22003" xr:uid="{00000000-0005-0000-0000-000055370000}"/>
    <cellStyle name="Normal 17 3 2 2 2 2" xfId="44646" xr:uid="{00000000-0005-0000-0000-000056370000}"/>
    <cellStyle name="Normal 17 3 2 2 3" xfId="14563" xr:uid="{00000000-0005-0000-0000-000057370000}"/>
    <cellStyle name="Normal 17 3 2 2 3 2" xfId="37206" xr:uid="{00000000-0005-0000-0000-000058370000}"/>
    <cellStyle name="Normal 17 3 2 2 4" xfId="29765" xr:uid="{00000000-0005-0000-0000-000059370000}"/>
    <cellStyle name="Normal 17 3 2 3" xfId="18285" xr:uid="{00000000-0005-0000-0000-00005A370000}"/>
    <cellStyle name="Normal 17 3 2 3 2" xfId="40928" xr:uid="{00000000-0005-0000-0000-00005B370000}"/>
    <cellStyle name="Normal 17 3 2 4" xfId="10845" xr:uid="{00000000-0005-0000-0000-00005C370000}"/>
    <cellStyle name="Normal 17 3 2 4 2" xfId="33488" xr:uid="{00000000-0005-0000-0000-00005D370000}"/>
    <cellStyle name="Normal 17 3 2 5" xfId="26047" xr:uid="{00000000-0005-0000-0000-00005E370000}"/>
    <cellStyle name="Normal 17 3 3" xfId="5272" xr:uid="{00000000-0005-0000-0000-00005F370000}"/>
    <cellStyle name="Normal 17 3 3 2" xfId="20156" xr:uid="{00000000-0005-0000-0000-000060370000}"/>
    <cellStyle name="Normal 17 3 3 2 2" xfId="42799" xr:uid="{00000000-0005-0000-0000-000061370000}"/>
    <cellStyle name="Normal 17 3 3 3" xfId="12716" xr:uid="{00000000-0005-0000-0000-000062370000}"/>
    <cellStyle name="Normal 17 3 3 3 2" xfId="35359" xr:uid="{00000000-0005-0000-0000-000063370000}"/>
    <cellStyle name="Normal 17 3 3 4" xfId="27918" xr:uid="{00000000-0005-0000-0000-000064370000}"/>
    <cellStyle name="Normal 17 3 4" xfId="16438" xr:uid="{00000000-0005-0000-0000-000065370000}"/>
    <cellStyle name="Normal 17 3 4 2" xfId="39081" xr:uid="{00000000-0005-0000-0000-000066370000}"/>
    <cellStyle name="Normal 17 3 5" xfId="8998" xr:uid="{00000000-0005-0000-0000-000067370000}"/>
    <cellStyle name="Normal 17 3 5 2" xfId="31641" xr:uid="{00000000-0005-0000-0000-000068370000}"/>
    <cellStyle name="Normal 17 3 6" xfId="24200" xr:uid="{00000000-0005-0000-0000-000069370000}"/>
    <cellStyle name="Normal 17 4" xfId="2473" xr:uid="{00000000-0005-0000-0000-00006A370000}"/>
    <cellStyle name="Normal 17 4 2" xfId="6194" xr:uid="{00000000-0005-0000-0000-00006B370000}"/>
    <cellStyle name="Normal 17 4 2 2" xfId="21078" xr:uid="{00000000-0005-0000-0000-00006C370000}"/>
    <cellStyle name="Normal 17 4 2 2 2" xfId="43721" xr:uid="{00000000-0005-0000-0000-00006D370000}"/>
    <cellStyle name="Normal 17 4 2 3" xfId="13638" xr:uid="{00000000-0005-0000-0000-00006E370000}"/>
    <cellStyle name="Normal 17 4 2 3 2" xfId="36281" xr:uid="{00000000-0005-0000-0000-00006F370000}"/>
    <cellStyle name="Normal 17 4 2 4" xfId="28840" xr:uid="{00000000-0005-0000-0000-000070370000}"/>
    <cellStyle name="Normal 17 4 3" xfId="17360" xr:uid="{00000000-0005-0000-0000-000071370000}"/>
    <cellStyle name="Normal 17 4 3 2" xfId="40003" xr:uid="{00000000-0005-0000-0000-000072370000}"/>
    <cellStyle name="Normal 17 4 4" xfId="9920" xr:uid="{00000000-0005-0000-0000-000073370000}"/>
    <cellStyle name="Normal 17 4 4 2" xfId="32563" xr:uid="{00000000-0005-0000-0000-000074370000}"/>
    <cellStyle name="Normal 17 4 5" xfId="25122" xr:uid="{00000000-0005-0000-0000-000075370000}"/>
    <cellStyle name="Normal 17 5" xfId="4347" xr:uid="{00000000-0005-0000-0000-000076370000}"/>
    <cellStyle name="Normal 17 5 2" xfId="19231" xr:uid="{00000000-0005-0000-0000-000077370000}"/>
    <cellStyle name="Normal 17 5 2 2" xfId="41874" xr:uid="{00000000-0005-0000-0000-000078370000}"/>
    <cellStyle name="Normal 17 5 3" xfId="11791" xr:uid="{00000000-0005-0000-0000-000079370000}"/>
    <cellStyle name="Normal 17 5 3 2" xfId="34434" xr:uid="{00000000-0005-0000-0000-00007A370000}"/>
    <cellStyle name="Normal 17 5 4" xfId="26993" xr:uid="{00000000-0005-0000-0000-00007B370000}"/>
    <cellStyle name="Normal 17 6" xfId="15513" xr:uid="{00000000-0005-0000-0000-00007C370000}"/>
    <cellStyle name="Normal 17 6 2" xfId="38156" xr:uid="{00000000-0005-0000-0000-00007D370000}"/>
    <cellStyle name="Normal 17 7" xfId="8073" xr:uid="{00000000-0005-0000-0000-00007E370000}"/>
    <cellStyle name="Normal 17 7 2" xfId="30716" xr:uid="{00000000-0005-0000-0000-00007F370000}"/>
    <cellStyle name="Normal 17 8" xfId="23275" xr:uid="{00000000-0005-0000-0000-000080370000}"/>
    <cellStyle name="Normal 18" xfId="628" xr:uid="{00000000-0005-0000-0000-000081370000}"/>
    <cellStyle name="Normal 19" xfId="644" xr:uid="{00000000-0005-0000-0000-000082370000}"/>
    <cellStyle name="Normal 2" xfId="59" xr:uid="{00000000-0005-0000-0000-000083370000}"/>
    <cellStyle name="Normal 2 10" xfId="415" xr:uid="{00000000-0005-0000-0000-000084370000}"/>
    <cellStyle name="Normal 2 10 10" xfId="15324" xr:uid="{00000000-0005-0000-0000-000085370000}"/>
    <cellStyle name="Normal 2 10 10 2" xfId="37967" xr:uid="{00000000-0005-0000-0000-000086370000}"/>
    <cellStyle name="Normal 2 10 11" xfId="7884" xr:uid="{00000000-0005-0000-0000-000087370000}"/>
    <cellStyle name="Normal 2 10 11 2" xfId="30527" xr:uid="{00000000-0005-0000-0000-000088370000}"/>
    <cellStyle name="Normal 2 10 12" xfId="23087" xr:uid="{00000000-0005-0000-0000-000089370000}"/>
    <cellStyle name="Normal 2 10 2" xfId="445" xr:uid="{00000000-0005-0000-0000-00008A370000}"/>
    <cellStyle name="Normal 2 10 2 10" xfId="7904" xr:uid="{00000000-0005-0000-0000-00008B370000}"/>
    <cellStyle name="Normal 2 10 2 10 2" xfId="30547" xr:uid="{00000000-0005-0000-0000-00008C370000}"/>
    <cellStyle name="Normal 2 10 2 11" xfId="23107" xr:uid="{00000000-0005-0000-0000-00008D370000}"/>
    <cellStyle name="Normal 2 10 2 2" xfId="498" xr:uid="{00000000-0005-0000-0000-00008E370000}"/>
    <cellStyle name="Normal 2 10 2 2 10" xfId="23159" xr:uid="{00000000-0005-0000-0000-00008F370000}"/>
    <cellStyle name="Normal 2 10 2 2 2" xfId="604" xr:uid="{00000000-0005-0000-0000-000090370000}"/>
    <cellStyle name="Normal 2 10 2 2 2 2" xfId="816" xr:uid="{00000000-0005-0000-0000-000091370000}"/>
    <cellStyle name="Normal 2 10 2 2 2 2 2" xfId="1281" xr:uid="{00000000-0005-0000-0000-000092370000}"/>
    <cellStyle name="Normal 2 10 2 2 2 2 2 2" xfId="2209" xr:uid="{00000000-0005-0000-0000-000093370000}"/>
    <cellStyle name="Normal 2 10 2 2 2 2 2 2 2" xfId="4059" xr:uid="{00000000-0005-0000-0000-000094370000}"/>
    <cellStyle name="Normal 2 10 2 2 2 2 2 2 2 2" xfId="7780" xr:uid="{00000000-0005-0000-0000-000095370000}"/>
    <cellStyle name="Normal 2 10 2 2 2 2 2 2 2 2 2" xfId="22664" xr:uid="{00000000-0005-0000-0000-000096370000}"/>
    <cellStyle name="Normal 2 10 2 2 2 2 2 2 2 2 2 2" xfId="45307" xr:uid="{00000000-0005-0000-0000-000097370000}"/>
    <cellStyle name="Normal 2 10 2 2 2 2 2 2 2 2 3" xfId="15224" xr:uid="{00000000-0005-0000-0000-000098370000}"/>
    <cellStyle name="Normal 2 10 2 2 2 2 2 2 2 2 3 2" xfId="37867" xr:uid="{00000000-0005-0000-0000-000099370000}"/>
    <cellStyle name="Normal 2 10 2 2 2 2 2 2 2 2 4" xfId="30426" xr:uid="{00000000-0005-0000-0000-00009A370000}"/>
    <cellStyle name="Normal 2 10 2 2 2 2 2 2 2 3" xfId="18946" xr:uid="{00000000-0005-0000-0000-00009B370000}"/>
    <cellStyle name="Normal 2 10 2 2 2 2 2 2 2 3 2" xfId="41589" xr:uid="{00000000-0005-0000-0000-00009C370000}"/>
    <cellStyle name="Normal 2 10 2 2 2 2 2 2 2 4" xfId="11506" xr:uid="{00000000-0005-0000-0000-00009D370000}"/>
    <cellStyle name="Normal 2 10 2 2 2 2 2 2 2 4 2" xfId="34149" xr:uid="{00000000-0005-0000-0000-00009E370000}"/>
    <cellStyle name="Normal 2 10 2 2 2 2 2 2 2 5" xfId="26708" xr:uid="{00000000-0005-0000-0000-00009F370000}"/>
    <cellStyle name="Normal 2 10 2 2 2 2 2 2 3" xfId="5933" xr:uid="{00000000-0005-0000-0000-0000A0370000}"/>
    <cellStyle name="Normal 2 10 2 2 2 2 2 2 3 2" xfId="20817" xr:uid="{00000000-0005-0000-0000-0000A1370000}"/>
    <cellStyle name="Normal 2 10 2 2 2 2 2 2 3 2 2" xfId="43460" xr:uid="{00000000-0005-0000-0000-0000A2370000}"/>
    <cellStyle name="Normal 2 10 2 2 2 2 2 2 3 3" xfId="13377" xr:uid="{00000000-0005-0000-0000-0000A3370000}"/>
    <cellStyle name="Normal 2 10 2 2 2 2 2 2 3 3 2" xfId="36020" xr:uid="{00000000-0005-0000-0000-0000A4370000}"/>
    <cellStyle name="Normal 2 10 2 2 2 2 2 2 3 4" xfId="28579" xr:uid="{00000000-0005-0000-0000-0000A5370000}"/>
    <cellStyle name="Normal 2 10 2 2 2 2 2 2 4" xfId="17099" xr:uid="{00000000-0005-0000-0000-0000A6370000}"/>
    <cellStyle name="Normal 2 10 2 2 2 2 2 2 4 2" xfId="39742" xr:uid="{00000000-0005-0000-0000-0000A7370000}"/>
    <cellStyle name="Normal 2 10 2 2 2 2 2 2 5" xfId="9659" xr:uid="{00000000-0005-0000-0000-0000A8370000}"/>
    <cellStyle name="Normal 2 10 2 2 2 2 2 2 5 2" xfId="32302" xr:uid="{00000000-0005-0000-0000-0000A9370000}"/>
    <cellStyle name="Normal 2 10 2 2 2 2 2 2 6" xfId="24861" xr:uid="{00000000-0005-0000-0000-0000AA370000}"/>
    <cellStyle name="Normal 2 10 2 2 2 2 2 3" xfId="3134" xr:uid="{00000000-0005-0000-0000-0000AB370000}"/>
    <cellStyle name="Normal 2 10 2 2 2 2 2 3 2" xfId="6855" xr:uid="{00000000-0005-0000-0000-0000AC370000}"/>
    <cellStyle name="Normal 2 10 2 2 2 2 2 3 2 2" xfId="21739" xr:uid="{00000000-0005-0000-0000-0000AD370000}"/>
    <cellStyle name="Normal 2 10 2 2 2 2 2 3 2 2 2" xfId="44382" xr:uid="{00000000-0005-0000-0000-0000AE370000}"/>
    <cellStyle name="Normal 2 10 2 2 2 2 2 3 2 3" xfId="14299" xr:uid="{00000000-0005-0000-0000-0000AF370000}"/>
    <cellStyle name="Normal 2 10 2 2 2 2 2 3 2 3 2" xfId="36942" xr:uid="{00000000-0005-0000-0000-0000B0370000}"/>
    <cellStyle name="Normal 2 10 2 2 2 2 2 3 2 4" xfId="29501" xr:uid="{00000000-0005-0000-0000-0000B1370000}"/>
    <cellStyle name="Normal 2 10 2 2 2 2 2 3 3" xfId="18021" xr:uid="{00000000-0005-0000-0000-0000B2370000}"/>
    <cellStyle name="Normal 2 10 2 2 2 2 2 3 3 2" xfId="40664" xr:uid="{00000000-0005-0000-0000-0000B3370000}"/>
    <cellStyle name="Normal 2 10 2 2 2 2 2 3 4" xfId="10581" xr:uid="{00000000-0005-0000-0000-0000B4370000}"/>
    <cellStyle name="Normal 2 10 2 2 2 2 2 3 4 2" xfId="33224" xr:uid="{00000000-0005-0000-0000-0000B5370000}"/>
    <cellStyle name="Normal 2 10 2 2 2 2 2 3 5" xfId="25783" xr:uid="{00000000-0005-0000-0000-0000B6370000}"/>
    <cellStyle name="Normal 2 10 2 2 2 2 2 4" xfId="5008" xr:uid="{00000000-0005-0000-0000-0000B7370000}"/>
    <cellStyle name="Normal 2 10 2 2 2 2 2 4 2" xfId="19892" xr:uid="{00000000-0005-0000-0000-0000B8370000}"/>
    <cellStyle name="Normal 2 10 2 2 2 2 2 4 2 2" xfId="42535" xr:uid="{00000000-0005-0000-0000-0000B9370000}"/>
    <cellStyle name="Normal 2 10 2 2 2 2 2 4 3" xfId="12452" xr:uid="{00000000-0005-0000-0000-0000BA370000}"/>
    <cellStyle name="Normal 2 10 2 2 2 2 2 4 3 2" xfId="35095" xr:uid="{00000000-0005-0000-0000-0000BB370000}"/>
    <cellStyle name="Normal 2 10 2 2 2 2 2 4 4" xfId="27654" xr:uid="{00000000-0005-0000-0000-0000BC370000}"/>
    <cellStyle name="Normal 2 10 2 2 2 2 2 5" xfId="16174" xr:uid="{00000000-0005-0000-0000-0000BD370000}"/>
    <cellStyle name="Normal 2 10 2 2 2 2 2 5 2" xfId="38817" xr:uid="{00000000-0005-0000-0000-0000BE370000}"/>
    <cellStyle name="Normal 2 10 2 2 2 2 2 6" xfId="8734" xr:uid="{00000000-0005-0000-0000-0000BF370000}"/>
    <cellStyle name="Normal 2 10 2 2 2 2 2 6 2" xfId="31377" xr:uid="{00000000-0005-0000-0000-0000C0370000}"/>
    <cellStyle name="Normal 2 10 2 2 2 2 2 7" xfId="23936" xr:uid="{00000000-0005-0000-0000-0000C1370000}"/>
    <cellStyle name="Normal 2 10 2 2 2 2 3" xfId="1747" xr:uid="{00000000-0005-0000-0000-0000C2370000}"/>
    <cellStyle name="Normal 2 10 2 2 2 2 3 2" xfId="3597" xr:uid="{00000000-0005-0000-0000-0000C3370000}"/>
    <cellStyle name="Normal 2 10 2 2 2 2 3 2 2" xfId="7318" xr:uid="{00000000-0005-0000-0000-0000C4370000}"/>
    <cellStyle name="Normal 2 10 2 2 2 2 3 2 2 2" xfId="22202" xr:uid="{00000000-0005-0000-0000-0000C5370000}"/>
    <cellStyle name="Normal 2 10 2 2 2 2 3 2 2 2 2" xfId="44845" xr:uid="{00000000-0005-0000-0000-0000C6370000}"/>
    <cellStyle name="Normal 2 10 2 2 2 2 3 2 2 3" xfId="14762" xr:uid="{00000000-0005-0000-0000-0000C7370000}"/>
    <cellStyle name="Normal 2 10 2 2 2 2 3 2 2 3 2" xfId="37405" xr:uid="{00000000-0005-0000-0000-0000C8370000}"/>
    <cellStyle name="Normal 2 10 2 2 2 2 3 2 2 4" xfId="29964" xr:uid="{00000000-0005-0000-0000-0000C9370000}"/>
    <cellStyle name="Normal 2 10 2 2 2 2 3 2 3" xfId="18484" xr:uid="{00000000-0005-0000-0000-0000CA370000}"/>
    <cellStyle name="Normal 2 10 2 2 2 2 3 2 3 2" xfId="41127" xr:uid="{00000000-0005-0000-0000-0000CB370000}"/>
    <cellStyle name="Normal 2 10 2 2 2 2 3 2 4" xfId="11044" xr:uid="{00000000-0005-0000-0000-0000CC370000}"/>
    <cellStyle name="Normal 2 10 2 2 2 2 3 2 4 2" xfId="33687" xr:uid="{00000000-0005-0000-0000-0000CD370000}"/>
    <cellStyle name="Normal 2 10 2 2 2 2 3 2 5" xfId="26246" xr:uid="{00000000-0005-0000-0000-0000CE370000}"/>
    <cellStyle name="Normal 2 10 2 2 2 2 3 3" xfId="5471" xr:uid="{00000000-0005-0000-0000-0000CF370000}"/>
    <cellStyle name="Normal 2 10 2 2 2 2 3 3 2" xfId="20355" xr:uid="{00000000-0005-0000-0000-0000D0370000}"/>
    <cellStyle name="Normal 2 10 2 2 2 2 3 3 2 2" xfId="42998" xr:uid="{00000000-0005-0000-0000-0000D1370000}"/>
    <cellStyle name="Normal 2 10 2 2 2 2 3 3 3" xfId="12915" xr:uid="{00000000-0005-0000-0000-0000D2370000}"/>
    <cellStyle name="Normal 2 10 2 2 2 2 3 3 3 2" xfId="35558" xr:uid="{00000000-0005-0000-0000-0000D3370000}"/>
    <cellStyle name="Normal 2 10 2 2 2 2 3 3 4" xfId="28117" xr:uid="{00000000-0005-0000-0000-0000D4370000}"/>
    <cellStyle name="Normal 2 10 2 2 2 2 3 4" xfId="16637" xr:uid="{00000000-0005-0000-0000-0000D5370000}"/>
    <cellStyle name="Normal 2 10 2 2 2 2 3 4 2" xfId="39280" xr:uid="{00000000-0005-0000-0000-0000D6370000}"/>
    <cellStyle name="Normal 2 10 2 2 2 2 3 5" xfId="9197" xr:uid="{00000000-0005-0000-0000-0000D7370000}"/>
    <cellStyle name="Normal 2 10 2 2 2 2 3 5 2" xfId="31840" xr:uid="{00000000-0005-0000-0000-0000D8370000}"/>
    <cellStyle name="Normal 2 10 2 2 2 2 3 6" xfId="24399" xr:uid="{00000000-0005-0000-0000-0000D9370000}"/>
    <cellStyle name="Normal 2 10 2 2 2 2 4" xfId="2672" xr:uid="{00000000-0005-0000-0000-0000DA370000}"/>
    <cellStyle name="Normal 2 10 2 2 2 2 4 2" xfId="6393" xr:uid="{00000000-0005-0000-0000-0000DB370000}"/>
    <cellStyle name="Normal 2 10 2 2 2 2 4 2 2" xfId="21277" xr:uid="{00000000-0005-0000-0000-0000DC370000}"/>
    <cellStyle name="Normal 2 10 2 2 2 2 4 2 2 2" xfId="43920" xr:uid="{00000000-0005-0000-0000-0000DD370000}"/>
    <cellStyle name="Normal 2 10 2 2 2 2 4 2 3" xfId="13837" xr:uid="{00000000-0005-0000-0000-0000DE370000}"/>
    <cellStyle name="Normal 2 10 2 2 2 2 4 2 3 2" xfId="36480" xr:uid="{00000000-0005-0000-0000-0000DF370000}"/>
    <cellStyle name="Normal 2 10 2 2 2 2 4 2 4" xfId="29039" xr:uid="{00000000-0005-0000-0000-0000E0370000}"/>
    <cellStyle name="Normal 2 10 2 2 2 2 4 3" xfId="17559" xr:uid="{00000000-0005-0000-0000-0000E1370000}"/>
    <cellStyle name="Normal 2 10 2 2 2 2 4 3 2" xfId="40202" xr:uid="{00000000-0005-0000-0000-0000E2370000}"/>
    <cellStyle name="Normal 2 10 2 2 2 2 4 4" xfId="10119" xr:uid="{00000000-0005-0000-0000-0000E3370000}"/>
    <cellStyle name="Normal 2 10 2 2 2 2 4 4 2" xfId="32762" xr:uid="{00000000-0005-0000-0000-0000E4370000}"/>
    <cellStyle name="Normal 2 10 2 2 2 2 4 5" xfId="25321" xr:uid="{00000000-0005-0000-0000-0000E5370000}"/>
    <cellStyle name="Normal 2 10 2 2 2 2 5" xfId="4546" xr:uid="{00000000-0005-0000-0000-0000E6370000}"/>
    <cellStyle name="Normal 2 10 2 2 2 2 5 2" xfId="19430" xr:uid="{00000000-0005-0000-0000-0000E7370000}"/>
    <cellStyle name="Normal 2 10 2 2 2 2 5 2 2" xfId="42073" xr:uid="{00000000-0005-0000-0000-0000E8370000}"/>
    <cellStyle name="Normal 2 10 2 2 2 2 5 3" xfId="11990" xr:uid="{00000000-0005-0000-0000-0000E9370000}"/>
    <cellStyle name="Normal 2 10 2 2 2 2 5 3 2" xfId="34633" xr:uid="{00000000-0005-0000-0000-0000EA370000}"/>
    <cellStyle name="Normal 2 10 2 2 2 2 5 4" xfId="27192" xr:uid="{00000000-0005-0000-0000-0000EB370000}"/>
    <cellStyle name="Normal 2 10 2 2 2 2 6" xfId="15712" xr:uid="{00000000-0005-0000-0000-0000EC370000}"/>
    <cellStyle name="Normal 2 10 2 2 2 2 6 2" xfId="38355" xr:uid="{00000000-0005-0000-0000-0000ED370000}"/>
    <cellStyle name="Normal 2 10 2 2 2 2 7" xfId="8272" xr:uid="{00000000-0005-0000-0000-0000EE370000}"/>
    <cellStyle name="Normal 2 10 2 2 2 2 7 2" xfId="30915" xr:uid="{00000000-0005-0000-0000-0000EF370000}"/>
    <cellStyle name="Normal 2 10 2 2 2 2 8" xfId="23474" xr:uid="{00000000-0005-0000-0000-0000F0370000}"/>
    <cellStyle name="Normal 2 10 2 2 2 3" xfId="1070" xr:uid="{00000000-0005-0000-0000-0000F1370000}"/>
    <cellStyle name="Normal 2 10 2 2 2 3 2" xfId="1998" xr:uid="{00000000-0005-0000-0000-0000F2370000}"/>
    <cellStyle name="Normal 2 10 2 2 2 3 2 2" xfId="3848" xr:uid="{00000000-0005-0000-0000-0000F3370000}"/>
    <cellStyle name="Normal 2 10 2 2 2 3 2 2 2" xfId="7569" xr:uid="{00000000-0005-0000-0000-0000F4370000}"/>
    <cellStyle name="Normal 2 10 2 2 2 3 2 2 2 2" xfId="22453" xr:uid="{00000000-0005-0000-0000-0000F5370000}"/>
    <cellStyle name="Normal 2 10 2 2 2 3 2 2 2 2 2" xfId="45096" xr:uid="{00000000-0005-0000-0000-0000F6370000}"/>
    <cellStyle name="Normal 2 10 2 2 2 3 2 2 2 3" xfId="15013" xr:uid="{00000000-0005-0000-0000-0000F7370000}"/>
    <cellStyle name="Normal 2 10 2 2 2 3 2 2 2 3 2" xfId="37656" xr:uid="{00000000-0005-0000-0000-0000F8370000}"/>
    <cellStyle name="Normal 2 10 2 2 2 3 2 2 2 4" xfId="30215" xr:uid="{00000000-0005-0000-0000-0000F9370000}"/>
    <cellStyle name="Normal 2 10 2 2 2 3 2 2 3" xfId="18735" xr:uid="{00000000-0005-0000-0000-0000FA370000}"/>
    <cellStyle name="Normal 2 10 2 2 2 3 2 2 3 2" xfId="41378" xr:uid="{00000000-0005-0000-0000-0000FB370000}"/>
    <cellStyle name="Normal 2 10 2 2 2 3 2 2 4" xfId="11295" xr:uid="{00000000-0005-0000-0000-0000FC370000}"/>
    <cellStyle name="Normal 2 10 2 2 2 3 2 2 4 2" xfId="33938" xr:uid="{00000000-0005-0000-0000-0000FD370000}"/>
    <cellStyle name="Normal 2 10 2 2 2 3 2 2 5" xfId="26497" xr:uid="{00000000-0005-0000-0000-0000FE370000}"/>
    <cellStyle name="Normal 2 10 2 2 2 3 2 3" xfId="5722" xr:uid="{00000000-0005-0000-0000-0000FF370000}"/>
    <cellStyle name="Normal 2 10 2 2 2 3 2 3 2" xfId="20606" xr:uid="{00000000-0005-0000-0000-000000380000}"/>
    <cellStyle name="Normal 2 10 2 2 2 3 2 3 2 2" xfId="43249" xr:uid="{00000000-0005-0000-0000-000001380000}"/>
    <cellStyle name="Normal 2 10 2 2 2 3 2 3 3" xfId="13166" xr:uid="{00000000-0005-0000-0000-000002380000}"/>
    <cellStyle name="Normal 2 10 2 2 2 3 2 3 3 2" xfId="35809" xr:uid="{00000000-0005-0000-0000-000003380000}"/>
    <cellStyle name="Normal 2 10 2 2 2 3 2 3 4" xfId="28368" xr:uid="{00000000-0005-0000-0000-000004380000}"/>
    <cellStyle name="Normal 2 10 2 2 2 3 2 4" xfId="16888" xr:uid="{00000000-0005-0000-0000-000005380000}"/>
    <cellStyle name="Normal 2 10 2 2 2 3 2 4 2" xfId="39531" xr:uid="{00000000-0005-0000-0000-000006380000}"/>
    <cellStyle name="Normal 2 10 2 2 2 3 2 5" xfId="9448" xr:uid="{00000000-0005-0000-0000-000007380000}"/>
    <cellStyle name="Normal 2 10 2 2 2 3 2 5 2" xfId="32091" xr:uid="{00000000-0005-0000-0000-000008380000}"/>
    <cellStyle name="Normal 2 10 2 2 2 3 2 6" xfId="24650" xr:uid="{00000000-0005-0000-0000-000009380000}"/>
    <cellStyle name="Normal 2 10 2 2 2 3 3" xfId="2923" xr:uid="{00000000-0005-0000-0000-00000A380000}"/>
    <cellStyle name="Normal 2 10 2 2 2 3 3 2" xfId="6644" xr:uid="{00000000-0005-0000-0000-00000B380000}"/>
    <cellStyle name="Normal 2 10 2 2 2 3 3 2 2" xfId="21528" xr:uid="{00000000-0005-0000-0000-00000C380000}"/>
    <cellStyle name="Normal 2 10 2 2 2 3 3 2 2 2" xfId="44171" xr:uid="{00000000-0005-0000-0000-00000D380000}"/>
    <cellStyle name="Normal 2 10 2 2 2 3 3 2 3" xfId="14088" xr:uid="{00000000-0005-0000-0000-00000E380000}"/>
    <cellStyle name="Normal 2 10 2 2 2 3 3 2 3 2" xfId="36731" xr:uid="{00000000-0005-0000-0000-00000F380000}"/>
    <cellStyle name="Normal 2 10 2 2 2 3 3 2 4" xfId="29290" xr:uid="{00000000-0005-0000-0000-000010380000}"/>
    <cellStyle name="Normal 2 10 2 2 2 3 3 3" xfId="17810" xr:uid="{00000000-0005-0000-0000-000011380000}"/>
    <cellStyle name="Normal 2 10 2 2 2 3 3 3 2" xfId="40453" xr:uid="{00000000-0005-0000-0000-000012380000}"/>
    <cellStyle name="Normal 2 10 2 2 2 3 3 4" xfId="10370" xr:uid="{00000000-0005-0000-0000-000013380000}"/>
    <cellStyle name="Normal 2 10 2 2 2 3 3 4 2" xfId="33013" xr:uid="{00000000-0005-0000-0000-000014380000}"/>
    <cellStyle name="Normal 2 10 2 2 2 3 3 5" xfId="25572" xr:uid="{00000000-0005-0000-0000-000015380000}"/>
    <cellStyle name="Normal 2 10 2 2 2 3 4" xfId="4797" xr:uid="{00000000-0005-0000-0000-000016380000}"/>
    <cellStyle name="Normal 2 10 2 2 2 3 4 2" xfId="19681" xr:uid="{00000000-0005-0000-0000-000017380000}"/>
    <cellStyle name="Normal 2 10 2 2 2 3 4 2 2" xfId="42324" xr:uid="{00000000-0005-0000-0000-000018380000}"/>
    <cellStyle name="Normal 2 10 2 2 2 3 4 3" xfId="12241" xr:uid="{00000000-0005-0000-0000-000019380000}"/>
    <cellStyle name="Normal 2 10 2 2 2 3 4 3 2" xfId="34884" xr:uid="{00000000-0005-0000-0000-00001A380000}"/>
    <cellStyle name="Normal 2 10 2 2 2 3 4 4" xfId="27443" xr:uid="{00000000-0005-0000-0000-00001B380000}"/>
    <cellStyle name="Normal 2 10 2 2 2 3 5" xfId="15963" xr:uid="{00000000-0005-0000-0000-00001C380000}"/>
    <cellStyle name="Normal 2 10 2 2 2 3 5 2" xfId="38606" xr:uid="{00000000-0005-0000-0000-00001D380000}"/>
    <cellStyle name="Normal 2 10 2 2 2 3 6" xfId="8523" xr:uid="{00000000-0005-0000-0000-00001E380000}"/>
    <cellStyle name="Normal 2 10 2 2 2 3 6 2" xfId="31166" xr:uid="{00000000-0005-0000-0000-00001F380000}"/>
    <cellStyle name="Normal 2 10 2 2 2 3 7" xfId="23725" xr:uid="{00000000-0005-0000-0000-000020380000}"/>
    <cellStyle name="Normal 2 10 2 2 2 4" xfId="1536" xr:uid="{00000000-0005-0000-0000-000021380000}"/>
    <cellStyle name="Normal 2 10 2 2 2 4 2" xfId="3386" xr:uid="{00000000-0005-0000-0000-000022380000}"/>
    <cellStyle name="Normal 2 10 2 2 2 4 2 2" xfId="7107" xr:uid="{00000000-0005-0000-0000-000023380000}"/>
    <cellStyle name="Normal 2 10 2 2 2 4 2 2 2" xfId="21991" xr:uid="{00000000-0005-0000-0000-000024380000}"/>
    <cellStyle name="Normal 2 10 2 2 2 4 2 2 2 2" xfId="44634" xr:uid="{00000000-0005-0000-0000-000025380000}"/>
    <cellStyle name="Normal 2 10 2 2 2 4 2 2 3" xfId="14551" xr:uid="{00000000-0005-0000-0000-000026380000}"/>
    <cellStyle name="Normal 2 10 2 2 2 4 2 2 3 2" xfId="37194" xr:uid="{00000000-0005-0000-0000-000027380000}"/>
    <cellStyle name="Normal 2 10 2 2 2 4 2 2 4" xfId="29753" xr:uid="{00000000-0005-0000-0000-000028380000}"/>
    <cellStyle name="Normal 2 10 2 2 2 4 2 3" xfId="18273" xr:uid="{00000000-0005-0000-0000-000029380000}"/>
    <cellStyle name="Normal 2 10 2 2 2 4 2 3 2" xfId="40916" xr:uid="{00000000-0005-0000-0000-00002A380000}"/>
    <cellStyle name="Normal 2 10 2 2 2 4 2 4" xfId="10833" xr:uid="{00000000-0005-0000-0000-00002B380000}"/>
    <cellStyle name="Normal 2 10 2 2 2 4 2 4 2" xfId="33476" xr:uid="{00000000-0005-0000-0000-00002C380000}"/>
    <cellStyle name="Normal 2 10 2 2 2 4 2 5" xfId="26035" xr:uid="{00000000-0005-0000-0000-00002D380000}"/>
    <cellStyle name="Normal 2 10 2 2 2 4 3" xfId="5260" xr:uid="{00000000-0005-0000-0000-00002E380000}"/>
    <cellStyle name="Normal 2 10 2 2 2 4 3 2" xfId="20144" xr:uid="{00000000-0005-0000-0000-00002F380000}"/>
    <cellStyle name="Normal 2 10 2 2 2 4 3 2 2" xfId="42787" xr:uid="{00000000-0005-0000-0000-000030380000}"/>
    <cellStyle name="Normal 2 10 2 2 2 4 3 3" xfId="12704" xr:uid="{00000000-0005-0000-0000-000031380000}"/>
    <cellStyle name="Normal 2 10 2 2 2 4 3 3 2" xfId="35347" xr:uid="{00000000-0005-0000-0000-000032380000}"/>
    <cellStyle name="Normal 2 10 2 2 2 4 3 4" xfId="27906" xr:uid="{00000000-0005-0000-0000-000033380000}"/>
    <cellStyle name="Normal 2 10 2 2 2 4 4" xfId="16426" xr:uid="{00000000-0005-0000-0000-000034380000}"/>
    <cellStyle name="Normal 2 10 2 2 2 4 4 2" xfId="39069" xr:uid="{00000000-0005-0000-0000-000035380000}"/>
    <cellStyle name="Normal 2 10 2 2 2 4 5" xfId="8986" xr:uid="{00000000-0005-0000-0000-000036380000}"/>
    <cellStyle name="Normal 2 10 2 2 2 4 5 2" xfId="31629" xr:uid="{00000000-0005-0000-0000-000037380000}"/>
    <cellStyle name="Normal 2 10 2 2 2 4 6" xfId="24188" xr:uid="{00000000-0005-0000-0000-000038380000}"/>
    <cellStyle name="Normal 2 10 2 2 2 5" xfId="2461" xr:uid="{00000000-0005-0000-0000-000039380000}"/>
    <cellStyle name="Normal 2 10 2 2 2 5 2" xfId="6182" xr:uid="{00000000-0005-0000-0000-00003A380000}"/>
    <cellStyle name="Normal 2 10 2 2 2 5 2 2" xfId="21066" xr:uid="{00000000-0005-0000-0000-00003B380000}"/>
    <cellStyle name="Normal 2 10 2 2 2 5 2 2 2" xfId="43709" xr:uid="{00000000-0005-0000-0000-00003C380000}"/>
    <cellStyle name="Normal 2 10 2 2 2 5 2 3" xfId="13626" xr:uid="{00000000-0005-0000-0000-00003D380000}"/>
    <cellStyle name="Normal 2 10 2 2 2 5 2 3 2" xfId="36269" xr:uid="{00000000-0005-0000-0000-00003E380000}"/>
    <cellStyle name="Normal 2 10 2 2 2 5 2 4" xfId="28828" xr:uid="{00000000-0005-0000-0000-00003F380000}"/>
    <cellStyle name="Normal 2 10 2 2 2 5 3" xfId="17348" xr:uid="{00000000-0005-0000-0000-000040380000}"/>
    <cellStyle name="Normal 2 10 2 2 2 5 3 2" xfId="39991" xr:uid="{00000000-0005-0000-0000-000041380000}"/>
    <cellStyle name="Normal 2 10 2 2 2 5 4" xfId="9908" xr:uid="{00000000-0005-0000-0000-000042380000}"/>
    <cellStyle name="Normal 2 10 2 2 2 5 4 2" xfId="32551" xr:uid="{00000000-0005-0000-0000-000043380000}"/>
    <cellStyle name="Normal 2 10 2 2 2 5 5" xfId="25110" xr:uid="{00000000-0005-0000-0000-000044380000}"/>
    <cellStyle name="Normal 2 10 2 2 2 6" xfId="4335" xr:uid="{00000000-0005-0000-0000-000045380000}"/>
    <cellStyle name="Normal 2 10 2 2 2 6 2" xfId="19219" xr:uid="{00000000-0005-0000-0000-000046380000}"/>
    <cellStyle name="Normal 2 10 2 2 2 6 2 2" xfId="41862" xr:uid="{00000000-0005-0000-0000-000047380000}"/>
    <cellStyle name="Normal 2 10 2 2 2 6 3" xfId="11779" xr:uid="{00000000-0005-0000-0000-000048380000}"/>
    <cellStyle name="Normal 2 10 2 2 2 6 3 2" xfId="34422" xr:uid="{00000000-0005-0000-0000-000049380000}"/>
    <cellStyle name="Normal 2 10 2 2 2 6 4" xfId="26981" xr:uid="{00000000-0005-0000-0000-00004A380000}"/>
    <cellStyle name="Normal 2 10 2 2 2 7" xfId="15501" xr:uid="{00000000-0005-0000-0000-00004B380000}"/>
    <cellStyle name="Normal 2 10 2 2 2 7 2" xfId="38144" xr:uid="{00000000-0005-0000-0000-00004C380000}"/>
    <cellStyle name="Normal 2 10 2 2 2 8" xfId="8061" xr:uid="{00000000-0005-0000-0000-00004D380000}"/>
    <cellStyle name="Normal 2 10 2 2 2 8 2" xfId="30704" xr:uid="{00000000-0005-0000-0000-00004E380000}"/>
    <cellStyle name="Normal 2 10 2 2 2 9" xfId="23264" xr:uid="{00000000-0005-0000-0000-00004F380000}"/>
    <cellStyle name="Normal 2 10 2 2 3" xfId="711" xr:uid="{00000000-0005-0000-0000-000050380000}"/>
    <cellStyle name="Normal 2 10 2 2 3 2" xfId="1176" xr:uid="{00000000-0005-0000-0000-000051380000}"/>
    <cellStyle name="Normal 2 10 2 2 3 2 2" xfId="2104" xr:uid="{00000000-0005-0000-0000-000052380000}"/>
    <cellStyle name="Normal 2 10 2 2 3 2 2 2" xfId="3954" xr:uid="{00000000-0005-0000-0000-000053380000}"/>
    <cellStyle name="Normal 2 10 2 2 3 2 2 2 2" xfId="7675" xr:uid="{00000000-0005-0000-0000-000054380000}"/>
    <cellStyle name="Normal 2 10 2 2 3 2 2 2 2 2" xfId="22559" xr:uid="{00000000-0005-0000-0000-000055380000}"/>
    <cellStyle name="Normal 2 10 2 2 3 2 2 2 2 2 2" xfId="45202" xr:uid="{00000000-0005-0000-0000-000056380000}"/>
    <cellStyle name="Normal 2 10 2 2 3 2 2 2 2 3" xfId="15119" xr:uid="{00000000-0005-0000-0000-000057380000}"/>
    <cellStyle name="Normal 2 10 2 2 3 2 2 2 2 3 2" xfId="37762" xr:uid="{00000000-0005-0000-0000-000058380000}"/>
    <cellStyle name="Normal 2 10 2 2 3 2 2 2 2 4" xfId="30321" xr:uid="{00000000-0005-0000-0000-000059380000}"/>
    <cellStyle name="Normal 2 10 2 2 3 2 2 2 3" xfId="18841" xr:uid="{00000000-0005-0000-0000-00005A380000}"/>
    <cellStyle name="Normal 2 10 2 2 3 2 2 2 3 2" xfId="41484" xr:uid="{00000000-0005-0000-0000-00005B380000}"/>
    <cellStyle name="Normal 2 10 2 2 3 2 2 2 4" xfId="11401" xr:uid="{00000000-0005-0000-0000-00005C380000}"/>
    <cellStyle name="Normal 2 10 2 2 3 2 2 2 4 2" xfId="34044" xr:uid="{00000000-0005-0000-0000-00005D380000}"/>
    <cellStyle name="Normal 2 10 2 2 3 2 2 2 5" xfId="26603" xr:uid="{00000000-0005-0000-0000-00005E380000}"/>
    <cellStyle name="Normal 2 10 2 2 3 2 2 3" xfId="5828" xr:uid="{00000000-0005-0000-0000-00005F380000}"/>
    <cellStyle name="Normal 2 10 2 2 3 2 2 3 2" xfId="20712" xr:uid="{00000000-0005-0000-0000-000060380000}"/>
    <cellStyle name="Normal 2 10 2 2 3 2 2 3 2 2" xfId="43355" xr:uid="{00000000-0005-0000-0000-000061380000}"/>
    <cellStyle name="Normal 2 10 2 2 3 2 2 3 3" xfId="13272" xr:uid="{00000000-0005-0000-0000-000062380000}"/>
    <cellStyle name="Normal 2 10 2 2 3 2 2 3 3 2" xfId="35915" xr:uid="{00000000-0005-0000-0000-000063380000}"/>
    <cellStyle name="Normal 2 10 2 2 3 2 2 3 4" xfId="28474" xr:uid="{00000000-0005-0000-0000-000064380000}"/>
    <cellStyle name="Normal 2 10 2 2 3 2 2 4" xfId="16994" xr:uid="{00000000-0005-0000-0000-000065380000}"/>
    <cellStyle name="Normal 2 10 2 2 3 2 2 4 2" xfId="39637" xr:uid="{00000000-0005-0000-0000-000066380000}"/>
    <cellStyle name="Normal 2 10 2 2 3 2 2 5" xfId="9554" xr:uid="{00000000-0005-0000-0000-000067380000}"/>
    <cellStyle name="Normal 2 10 2 2 3 2 2 5 2" xfId="32197" xr:uid="{00000000-0005-0000-0000-000068380000}"/>
    <cellStyle name="Normal 2 10 2 2 3 2 2 6" xfId="24756" xr:uid="{00000000-0005-0000-0000-000069380000}"/>
    <cellStyle name="Normal 2 10 2 2 3 2 3" xfId="3029" xr:uid="{00000000-0005-0000-0000-00006A380000}"/>
    <cellStyle name="Normal 2 10 2 2 3 2 3 2" xfId="6750" xr:uid="{00000000-0005-0000-0000-00006B380000}"/>
    <cellStyle name="Normal 2 10 2 2 3 2 3 2 2" xfId="21634" xr:uid="{00000000-0005-0000-0000-00006C380000}"/>
    <cellStyle name="Normal 2 10 2 2 3 2 3 2 2 2" xfId="44277" xr:uid="{00000000-0005-0000-0000-00006D380000}"/>
    <cellStyle name="Normal 2 10 2 2 3 2 3 2 3" xfId="14194" xr:uid="{00000000-0005-0000-0000-00006E380000}"/>
    <cellStyle name="Normal 2 10 2 2 3 2 3 2 3 2" xfId="36837" xr:uid="{00000000-0005-0000-0000-00006F380000}"/>
    <cellStyle name="Normal 2 10 2 2 3 2 3 2 4" xfId="29396" xr:uid="{00000000-0005-0000-0000-000070380000}"/>
    <cellStyle name="Normal 2 10 2 2 3 2 3 3" xfId="17916" xr:uid="{00000000-0005-0000-0000-000071380000}"/>
    <cellStyle name="Normal 2 10 2 2 3 2 3 3 2" xfId="40559" xr:uid="{00000000-0005-0000-0000-000072380000}"/>
    <cellStyle name="Normal 2 10 2 2 3 2 3 4" xfId="10476" xr:uid="{00000000-0005-0000-0000-000073380000}"/>
    <cellStyle name="Normal 2 10 2 2 3 2 3 4 2" xfId="33119" xr:uid="{00000000-0005-0000-0000-000074380000}"/>
    <cellStyle name="Normal 2 10 2 2 3 2 3 5" xfId="25678" xr:uid="{00000000-0005-0000-0000-000075380000}"/>
    <cellStyle name="Normal 2 10 2 2 3 2 4" xfId="4903" xr:uid="{00000000-0005-0000-0000-000076380000}"/>
    <cellStyle name="Normal 2 10 2 2 3 2 4 2" xfId="19787" xr:uid="{00000000-0005-0000-0000-000077380000}"/>
    <cellStyle name="Normal 2 10 2 2 3 2 4 2 2" xfId="42430" xr:uid="{00000000-0005-0000-0000-000078380000}"/>
    <cellStyle name="Normal 2 10 2 2 3 2 4 3" xfId="12347" xr:uid="{00000000-0005-0000-0000-000079380000}"/>
    <cellStyle name="Normal 2 10 2 2 3 2 4 3 2" xfId="34990" xr:uid="{00000000-0005-0000-0000-00007A380000}"/>
    <cellStyle name="Normal 2 10 2 2 3 2 4 4" xfId="27549" xr:uid="{00000000-0005-0000-0000-00007B380000}"/>
    <cellStyle name="Normal 2 10 2 2 3 2 5" xfId="16069" xr:uid="{00000000-0005-0000-0000-00007C380000}"/>
    <cellStyle name="Normal 2 10 2 2 3 2 5 2" xfId="38712" xr:uid="{00000000-0005-0000-0000-00007D380000}"/>
    <cellStyle name="Normal 2 10 2 2 3 2 6" xfId="8629" xr:uid="{00000000-0005-0000-0000-00007E380000}"/>
    <cellStyle name="Normal 2 10 2 2 3 2 6 2" xfId="31272" xr:uid="{00000000-0005-0000-0000-00007F380000}"/>
    <cellStyle name="Normal 2 10 2 2 3 2 7" xfId="23831" xr:uid="{00000000-0005-0000-0000-000080380000}"/>
    <cellStyle name="Normal 2 10 2 2 3 3" xfId="1642" xr:uid="{00000000-0005-0000-0000-000081380000}"/>
    <cellStyle name="Normal 2 10 2 2 3 3 2" xfId="3492" xr:uid="{00000000-0005-0000-0000-000082380000}"/>
    <cellStyle name="Normal 2 10 2 2 3 3 2 2" xfId="7213" xr:uid="{00000000-0005-0000-0000-000083380000}"/>
    <cellStyle name="Normal 2 10 2 2 3 3 2 2 2" xfId="22097" xr:uid="{00000000-0005-0000-0000-000084380000}"/>
    <cellStyle name="Normal 2 10 2 2 3 3 2 2 2 2" xfId="44740" xr:uid="{00000000-0005-0000-0000-000085380000}"/>
    <cellStyle name="Normal 2 10 2 2 3 3 2 2 3" xfId="14657" xr:uid="{00000000-0005-0000-0000-000086380000}"/>
    <cellStyle name="Normal 2 10 2 2 3 3 2 2 3 2" xfId="37300" xr:uid="{00000000-0005-0000-0000-000087380000}"/>
    <cellStyle name="Normal 2 10 2 2 3 3 2 2 4" xfId="29859" xr:uid="{00000000-0005-0000-0000-000088380000}"/>
    <cellStyle name="Normal 2 10 2 2 3 3 2 3" xfId="18379" xr:uid="{00000000-0005-0000-0000-000089380000}"/>
    <cellStyle name="Normal 2 10 2 2 3 3 2 3 2" xfId="41022" xr:uid="{00000000-0005-0000-0000-00008A380000}"/>
    <cellStyle name="Normal 2 10 2 2 3 3 2 4" xfId="10939" xr:uid="{00000000-0005-0000-0000-00008B380000}"/>
    <cellStyle name="Normal 2 10 2 2 3 3 2 4 2" xfId="33582" xr:uid="{00000000-0005-0000-0000-00008C380000}"/>
    <cellStyle name="Normal 2 10 2 2 3 3 2 5" xfId="26141" xr:uid="{00000000-0005-0000-0000-00008D380000}"/>
    <cellStyle name="Normal 2 10 2 2 3 3 3" xfId="5366" xr:uid="{00000000-0005-0000-0000-00008E380000}"/>
    <cellStyle name="Normal 2 10 2 2 3 3 3 2" xfId="20250" xr:uid="{00000000-0005-0000-0000-00008F380000}"/>
    <cellStyle name="Normal 2 10 2 2 3 3 3 2 2" xfId="42893" xr:uid="{00000000-0005-0000-0000-000090380000}"/>
    <cellStyle name="Normal 2 10 2 2 3 3 3 3" xfId="12810" xr:uid="{00000000-0005-0000-0000-000091380000}"/>
    <cellStyle name="Normal 2 10 2 2 3 3 3 3 2" xfId="35453" xr:uid="{00000000-0005-0000-0000-000092380000}"/>
    <cellStyle name="Normal 2 10 2 2 3 3 3 4" xfId="28012" xr:uid="{00000000-0005-0000-0000-000093380000}"/>
    <cellStyle name="Normal 2 10 2 2 3 3 4" xfId="16532" xr:uid="{00000000-0005-0000-0000-000094380000}"/>
    <cellStyle name="Normal 2 10 2 2 3 3 4 2" xfId="39175" xr:uid="{00000000-0005-0000-0000-000095380000}"/>
    <cellStyle name="Normal 2 10 2 2 3 3 5" xfId="9092" xr:uid="{00000000-0005-0000-0000-000096380000}"/>
    <cellStyle name="Normal 2 10 2 2 3 3 5 2" xfId="31735" xr:uid="{00000000-0005-0000-0000-000097380000}"/>
    <cellStyle name="Normal 2 10 2 2 3 3 6" xfId="24294" xr:uid="{00000000-0005-0000-0000-000098380000}"/>
    <cellStyle name="Normal 2 10 2 2 3 4" xfId="2567" xr:uid="{00000000-0005-0000-0000-000099380000}"/>
    <cellStyle name="Normal 2 10 2 2 3 4 2" xfId="6288" xr:uid="{00000000-0005-0000-0000-00009A380000}"/>
    <cellStyle name="Normal 2 10 2 2 3 4 2 2" xfId="21172" xr:uid="{00000000-0005-0000-0000-00009B380000}"/>
    <cellStyle name="Normal 2 10 2 2 3 4 2 2 2" xfId="43815" xr:uid="{00000000-0005-0000-0000-00009C380000}"/>
    <cellStyle name="Normal 2 10 2 2 3 4 2 3" xfId="13732" xr:uid="{00000000-0005-0000-0000-00009D380000}"/>
    <cellStyle name="Normal 2 10 2 2 3 4 2 3 2" xfId="36375" xr:uid="{00000000-0005-0000-0000-00009E380000}"/>
    <cellStyle name="Normal 2 10 2 2 3 4 2 4" xfId="28934" xr:uid="{00000000-0005-0000-0000-00009F380000}"/>
    <cellStyle name="Normal 2 10 2 2 3 4 3" xfId="17454" xr:uid="{00000000-0005-0000-0000-0000A0380000}"/>
    <cellStyle name="Normal 2 10 2 2 3 4 3 2" xfId="40097" xr:uid="{00000000-0005-0000-0000-0000A1380000}"/>
    <cellStyle name="Normal 2 10 2 2 3 4 4" xfId="10014" xr:uid="{00000000-0005-0000-0000-0000A2380000}"/>
    <cellStyle name="Normal 2 10 2 2 3 4 4 2" xfId="32657" xr:uid="{00000000-0005-0000-0000-0000A3380000}"/>
    <cellStyle name="Normal 2 10 2 2 3 4 5" xfId="25216" xr:uid="{00000000-0005-0000-0000-0000A4380000}"/>
    <cellStyle name="Normal 2 10 2 2 3 5" xfId="4441" xr:uid="{00000000-0005-0000-0000-0000A5380000}"/>
    <cellStyle name="Normal 2 10 2 2 3 5 2" xfId="19325" xr:uid="{00000000-0005-0000-0000-0000A6380000}"/>
    <cellStyle name="Normal 2 10 2 2 3 5 2 2" xfId="41968" xr:uid="{00000000-0005-0000-0000-0000A7380000}"/>
    <cellStyle name="Normal 2 10 2 2 3 5 3" xfId="11885" xr:uid="{00000000-0005-0000-0000-0000A8380000}"/>
    <cellStyle name="Normal 2 10 2 2 3 5 3 2" xfId="34528" xr:uid="{00000000-0005-0000-0000-0000A9380000}"/>
    <cellStyle name="Normal 2 10 2 2 3 5 4" xfId="27087" xr:uid="{00000000-0005-0000-0000-0000AA380000}"/>
    <cellStyle name="Normal 2 10 2 2 3 6" xfId="15607" xr:uid="{00000000-0005-0000-0000-0000AB380000}"/>
    <cellStyle name="Normal 2 10 2 2 3 6 2" xfId="38250" xr:uid="{00000000-0005-0000-0000-0000AC380000}"/>
    <cellStyle name="Normal 2 10 2 2 3 7" xfId="8167" xr:uid="{00000000-0005-0000-0000-0000AD380000}"/>
    <cellStyle name="Normal 2 10 2 2 3 7 2" xfId="30810" xr:uid="{00000000-0005-0000-0000-0000AE380000}"/>
    <cellStyle name="Normal 2 10 2 2 3 8" xfId="23369" xr:uid="{00000000-0005-0000-0000-0000AF380000}"/>
    <cellStyle name="Normal 2 10 2 2 4" xfId="965" xr:uid="{00000000-0005-0000-0000-0000B0380000}"/>
    <cellStyle name="Normal 2 10 2 2 4 2" xfId="1893" xr:uid="{00000000-0005-0000-0000-0000B1380000}"/>
    <cellStyle name="Normal 2 10 2 2 4 2 2" xfId="3743" xr:uid="{00000000-0005-0000-0000-0000B2380000}"/>
    <cellStyle name="Normal 2 10 2 2 4 2 2 2" xfId="7464" xr:uid="{00000000-0005-0000-0000-0000B3380000}"/>
    <cellStyle name="Normal 2 10 2 2 4 2 2 2 2" xfId="22348" xr:uid="{00000000-0005-0000-0000-0000B4380000}"/>
    <cellStyle name="Normal 2 10 2 2 4 2 2 2 2 2" xfId="44991" xr:uid="{00000000-0005-0000-0000-0000B5380000}"/>
    <cellStyle name="Normal 2 10 2 2 4 2 2 2 3" xfId="14908" xr:uid="{00000000-0005-0000-0000-0000B6380000}"/>
    <cellStyle name="Normal 2 10 2 2 4 2 2 2 3 2" xfId="37551" xr:uid="{00000000-0005-0000-0000-0000B7380000}"/>
    <cellStyle name="Normal 2 10 2 2 4 2 2 2 4" xfId="30110" xr:uid="{00000000-0005-0000-0000-0000B8380000}"/>
    <cellStyle name="Normal 2 10 2 2 4 2 2 3" xfId="18630" xr:uid="{00000000-0005-0000-0000-0000B9380000}"/>
    <cellStyle name="Normal 2 10 2 2 4 2 2 3 2" xfId="41273" xr:uid="{00000000-0005-0000-0000-0000BA380000}"/>
    <cellStyle name="Normal 2 10 2 2 4 2 2 4" xfId="11190" xr:uid="{00000000-0005-0000-0000-0000BB380000}"/>
    <cellStyle name="Normal 2 10 2 2 4 2 2 4 2" xfId="33833" xr:uid="{00000000-0005-0000-0000-0000BC380000}"/>
    <cellStyle name="Normal 2 10 2 2 4 2 2 5" xfId="26392" xr:uid="{00000000-0005-0000-0000-0000BD380000}"/>
    <cellStyle name="Normal 2 10 2 2 4 2 3" xfId="5617" xr:uid="{00000000-0005-0000-0000-0000BE380000}"/>
    <cellStyle name="Normal 2 10 2 2 4 2 3 2" xfId="20501" xr:uid="{00000000-0005-0000-0000-0000BF380000}"/>
    <cellStyle name="Normal 2 10 2 2 4 2 3 2 2" xfId="43144" xr:uid="{00000000-0005-0000-0000-0000C0380000}"/>
    <cellStyle name="Normal 2 10 2 2 4 2 3 3" xfId="13061" xr:uid="{00000000-0005-0000-0000-0000C1380000}"/>
    <cellStyle name="Normal 2 10 2 2 4 2 3 3 2" xfId="35704" xr:uid="{00000000-0005-0000-0000-0000C2380000}"/>
    <cellStyle name="Normal 2 10 2 2 4 2 3 4" xfId="28263" xr:uid="{00000000-0005-0000-0000-0000C3380000}"/>
    <cellStyle name="Normal 2 10 2 2 4 2 4" xfId="16783" xr:uid="{00000000-0005-0000-0000-0000C4380000}"/>
    <cellStyle name="Normal 2 10 2 2 4 2 4 2" xfId="39426" xr:uid="{00000000-0005-0000-0000-0000C5380000}"/>
    <cellStyle name="Normal 2 10 2 2 4 2 5" xfId="9343" xr:uid="{00000000-0005-0000-0000-0000C6380000}"/>
    <cellStyle name="Normal 2 10 2 2 4 2 5 2" xfId="31986" xr:uid="{00000000-0005-0000-0000-0000C7380000}"/>
    <cellStyle name="Normal 2 10 2 2 4 2 6" xfId="24545" xr:uid="{00000000-0005-0000-0000-0000C8380000}"/>
    <cellStyle name="Normal 2 10 2 2 4 3" xfId="2818" xr:uid="{00000000-0005-0000-0000-0000C9380000}"/>
    <cellStyle name="Normal 2 10 2 2 4 3 2" xfId="6539" xr:uid="{00000000-0005-0000-0000-0000CA380000}"/>
    <cellStyle name="Normal 2 10 2 2 4 3 2 2" xfId="21423" xr:uid="{00000000-0005-0000-0000-0000CB380000}"/>
    <cellStyle name="Normal 2 10 2 2 4 3 2 2 2" xfId="44066" xr:uid="{00000000-0005-0000-0000-0000CC380000}"/>
    <cellStyle name="Normal 2 10 2 2 4 3 2 3" xfId="13983" xr:uid="{00000000-0005-0000-0000-0000CD380000}"/>
    <cellStyle name="Normal 2 10 2 2 4 3 2 3 2" xfId="36626" xr:uid="{00000000-0005-0000-0000-0000CE380000}"/>
    <cellStyle name="Normal 2 10 2 2 4 3 2 4" xfId="29185" xr:uid="{00000000-0005-0000-0000-0000CF380000}"/>
    <cellStyle name="Normal 2 10 2 2 4 3 3" xfId="17705" xr:uid="{00000000-0005-0000-0000-0000D0380000}"/>
    <cellStyle name="Normal 2 10 2 2 4 3 3 2" xfId="40348" xr:uid="{00000000-0005-0000-0000-0000D1380000}"/>
    <cellStyle name="Normal 2 10 2 2 4 3 4" xfId="10265" xr:uid="{00000000-0005-0000-0000-0000D2380000}"/>
    <cellStyle name="Normal 2 10 2 2 4 3 4 2" xfId="32908" xr:uid="{00000000-0005-0000-0000-0000D3380000}"/>
    <cellStyle name="Normal 2 10 2 2 4 3 5" xfId="25467" xr:uid="{00000000-0005-0000-0000-0000D4380000}"/>
    <cellStyle name="Normal 2 10 2 2 4 4" xfId="4692" xr:uid="{00000000-0005-0000-0000-0000D5380000}"/>
    <cellStyle name="Normal 2 10 2 2 4 4 2" xfId="19576" xr:uid="{00000000-0005-0000-0000-0000D6380000}"/>
    <cellStyle name="Normal 2 10 2 2 4 4 2 2" xfId="42219" xr:uid="{00000000-0005-0000-0000-0000D7380000}"/>
    <cellStyle name="Normal 2 10 2 2 4 4 3" xfId="12136" xr:uid="{00000000-0005-0000-0000-0000D8380000}"/>
    <cellStyle name="Normal 2 10 2 2 4 4 3 2" xfId="34779" xr:uid="{00000000-0005-0000-0000-0000D9380000}"/>
    <cellStyle name="Normal 2 10 2 2 4 4 4" xfId="27338" xr:uid="{00000000-0005-0000-0000-0000DA380000}"/>
    <cellStyle name="Normal 2 10 2 2 4 5" xfId="15858" xr:uid="{00000000-0005-0000-0000-0000DB380000}"/>
    <cellStyle name="Normal 2 10 2 2 4 5 2" xfId="38501" xr:uid="{00000000-0005-0000-0000-0000DC380000}"/>
    <cellStyle name="Normal 2 10 2 2 4 6" xfId="8418" xr:uid="{00000000-0005-0000-0000-0000DD380000}"/>
    <cellStyle name="Normal 2 10 2 2 4 6 2" xfId="31061" xr:uid="{00000000-0005-0000-0000-0000DE380000}"/>
    <cellStyle name="Normal 2 10 2 2 4 7" xfId="23620" xr:uid="{00000000-0005-0000-0000-0000DF380000}"/>
    <cellStyle name="Normal 2 10 2 2 5" xfId="1431" xr:uid="{00000000-0005-0000-0000-0000E0380000}"/>
    <cellStyle name="Normal 2 10 2 2 5 2" xfId="3281" xr:uid="{00000000-0005-0000-0000-0000E1380000}"/>
    <cellStyle name="Normal 2 10 2 2 5 2 2" xfId="7002" xr:uid="{00000000-0005-0000-0000-0000E2380000}"/>
    <cellStyle name="Normal 2 10 2 2 5 2 2 2" xfId="21886" xr:uid="{00000000-0005-0000-0000-0000E3380000}"/>
    <cellStyle name="Normal 2 10 2 2 5 2 2 2 2" xfId="44529" xr:uid="{00000000-0005-0000-0000-0000E4380000}"/>
    <cellStyle name="Normal 2 10 2 2 5 2 2 3" xfId="14446" xr:uid="{00000000-0005-0000-0000-0000E5380000}"/>
    <cellStyle name="Normal 2 10 2 2 5 2 2 3 2" xfId="37089" xr:uid="{00000000-0005-0000-0000-0000E6380000}"/>
    <cellStyle name="Normal 2 10 2 2 5 2 2 4" xfId="29648" xr:uid="{00000000-0005-0000-0000-0000E7380000}"/>
    <cellStyle name="Normal 2 10 2 2 5 2 3" xfId="18168" xr:uid="{00000000-0005-0000-0000-0000E8380000}"/>
    <cellStyle name="Normal 2 10 2 2 5 2 3 2" xfId="40811" xr:uid="{00000000-0005-0000-0000-0000E9380000}"/>
    <cellStyle name="Normal 2 10 2 2 5 2 4" xfId="10728" xr:uid="{00000000-0005-0000-0000-0000EA380000}"/>
    <cellStyle name="Normal 2 10 2 2 5 2 4 2" xfId="33371" xr:uid="{00000000-0005-0000-0000-0000EB380000}"/>
    <cellStyle name="Normal 2 10 2 2 5 2 5" xfId="25930" xr:uid="{00000000-0005-0000-0000-0000EC380000}"/>
    <cellStyle name="Normal 2 10 2 2 5 3" xfId="5155" xr:uid="{00000000-0005-0000-0000-0000ED380000}"/>
    <cellStyle name="Normal 2 10 2 2 5 3 2" xfId="20039" xr:uid="{00000000-0005-0000-0000-0000EE380000}"/>
    <cellStyle name="Normal 2 10 2 2 5 3 2 2" xfId="42682" xr:uid="{00000000-0005-0000-0000-0000EF380000}"/>
    <cellStyle name="Normal 2 10 2 2 5 3 3" xfId="12599" xr:uid="{00000000-0005-0000-0000-0000F0380000}"/>
    <cellStyle name="Normal 2 10 2 2 5 3 3 2" xfId="35242" xr:uid="{00000000-0005-0000-0000-0000F1380000}"/>
    <cellStyle name="Normal 2 10 2 2 5 3 4" xfId="27801" xr:uid="{00000000-0005-0000-0000-0000F2380000}"/>
    <cellStyle name="Normal 2 10 2 2 5 4" xfId="16321" xr:uid="{00000000-0005-0000-0000-0000F3380000}"/>
    <cellStyle name="Normal 2 10 2 2 5 4 2" xfId="38964" xr:uid="{00000000-0005-0000-0000-0000F4380000}"/>
    <cellStyle name="Normal 2 10 2 2 5 5" xfId="8881" xr:uid="{00000000-0005-0000-0000-0000F5380000}"/>
    <cellStyle name="Normal 2 10 2 2 5 5 2" xfId="31524" xr:uid="{00000000-0005-0000-0000-0000F6380000}"/>
    <cellStyle name="Normal 2 10 2 2 5 6" xfId="24083" xr:uid="{00000000-0005-0000-0000-0000F7380000}"/>
    <cellStyle name="Normal 2 10 2 2 6" xfId="2356" xr:uid="{00000000-0005-0000-0000-0000F8380000}"/>
    <cellStyle name="Normal 2 10 2 2 6 2" xfId="6077" xr:uid="{00000000-0005-0000-0000-0000F9380000}"/>
    <cellStyle name="Normal 2 10 2 2 6 2 2" xfId="20961" xr:uid="{00000000-0005-0000-0000-0000FA380000}"/>
    <cellStyle name="Normal 2 10 2 2 6 2 2 2" xfId="43604" xr:uid="{00000000-0005-0000-0000-0000FB380000}"/>
    <cellStyle name="Normal 2 10 2 2 6 2 3" xfId="13521" xr:uid="{00000000-0005-0000-0000-0000FC380000}"/>
    <cellStyle name="Normal 2 10 2 2 6 2 3 2" xfId="36164" xr:uid="{00000000-0005-0000-0000-0000FD380000}"/>
    <cellStyle name="Normal 2 10 2 2 6 2 4" xfId="28723" xr:uid="{00000000-0005-0000-0000-0000FE380000}"/>
    <cellStyle name="Normal 2 10 2 2 6 3" xfId="17243" xr:uid="{00000000-0005-0000-0000-0000FF380000}"/>
    <cellStyle name="Normal 2 10 2 2 6 3 2" xfId="39886" xr:uid="{00000000-0005-0000-0000-000000390000}"/>
    <cellStyle name="Normal 2 10 2 2 6 4" xfId="9803" xr:uid="{00000000-0005-0000-0000-000001390000}"/>
    <cellStyle name="Normal 2 10 2 2 6 4 2" xfId="32446" xr:uid="{00000000-0005-0000-0000-000002390000}"/>
    <cellStyle name="Normal 2 10 2 2 6 5" xfId="25005" xr:uid="{00000000-0005-0000-0000-000003390000}"/>
    <cellStyle name="Normal 2 10 2 2 7" xfId="4230" xr:uid="{00000000-0005-0000-0000-000004390000}"/>
    <cellStyle name="Normal 2 10 2 2 7 2" xfId="19114" xr:uid="{00000000-0005-0000-0000-000005390000}"/>
    <cellStyle name="Normal 2 10 2 2 7 2 2" xfId="41757" xr:uid="{00000000-0005-0000-0000-000006390000}"/>
    <cellStyle name="Normal 2 10 2 2 7 3" xfId="11674" xr:uid="{00000000-0005-0000-0000-000007390000}"/>
    <cellStyle name="Normal 2 10 2 2 7 3 2" xfId="34317" xr:uid="{00000000-0005-0000-0000-000008390000}"/>
    <cellStyle name="Normal 2 10 2 2 7 4" xfId="26876" xr:uid="{00000000-0005-0000-0000-000009390000}"/>
    <cellStyle name="Normal 2 10 2 2 8" xfId="15396" xr:uid="{00000000-0005-0000-0000-00000A390000}"/>
    <cellStyle name="Normal 2 10 2 2 8 2" xfId="38039" xr:uid="{00000000-0005-0000-0000-00000B390000}"/>
    <cellStyle name="Normal 2 10 2 2 9" xfId="7956" xr:uid="{00000000-0005-0000-0000-00000C390000}"/>
    <cellStyle name="Normal 2 10 2 2 9 2" xfId="30599" xr:uid="{00000000-0005-0000-0000-00000D390000}"/>
    <cellStyle name="Normal 2 10 2 3" xfId="552" xr:uid="{00000000-0005-0000-0000-00000E390000}"/>
    <cellStyle name="Normal 2 10 2 3 2" xfId="764" xr:uid="{00000000-0005-0000-0000-00000F390000}"/>
    <cellStyle name="Normal 2 10 2 3 2 2" xfId="1229" xr:uid="{00000000-0005-0000-0000-000010390000}"/>
    <cellStyle name="Normal 2 10 2 3 2 2 2" xfId="2157" xr:uid="{00000000-0005-0000-0000-000011390000}"/>
    <cellStyle name="Normal 2 10 2 3 2 2 2 2" xfId="4007" xr:uid="{00000000-0005-0000-0000-000012390000}"/>
    <cellStyle name="Normal 2 10 2 3 2 2 2 2 2" xfId="7728" xr:uid="{00000000-0005-0000-0000-000013390000}"/>
    <cellStyle name="Normal 2 10 2 3 2 2 2 2 2 2" xfId="22612" xr:uid="{00000000-0005-0000-0000-000014390000}"/>
    <cellStyle name="Normal 2 10 2 3 2 2 2 2 2 2 2" xfId="45255" xr:uid="{00000000-0005-0000-0000-000015390000}"/>
    <cellStyle name="Normal 2 10 2 3 2 2 2 2 2 3" xfId="15172" xr:uid="{00000000-0005-0000-0000-000016390000}"/>
    <cellStyle name="Normal 2 10 2 3 2 2 2 2 2 3 2" xfId="37815" xr:uid="{00000000-0005-0000-0000-000017390000}"/>
    <cellStyle name="Normal 2 10 2 3 2 2 2 2 2 4" xfId="30374" xr:uid="{00000000-0005-0000-0000-000018390000}"/>
    <cellStyle name="Normal 2 10 2 3 2 2 2 2 3" xfId="18894" xr:uid="{00000000-0005-0000-0000-000019390000}"/>
    <cellStyle name="Normal 2 10 2 3 2 2 2 2 3 2" xfId="41537" xr:uid="{00000000-0005-0000-0000-00001A390000}"/>
    <cellStyle name="Normal 2 10 2 3 2 2 2 2 4" xfId="11454" xr:uid="{00000000-0005-0000-0000-00001B390000}"/>
    <cellStyle name="Normal 2 10 2 3 2 2 2 2 4 2" xfId="34097" xr:uid="{00000000-0005-0000-0000-00001C390000}"/>
    <cellStyle name="Normal 2 10 2 3 2 2 2 2 5" xfId="26656" xr:uid="{00000000-0005-0000-0000-00001D390000}"/>
    <cellStyle name="Normal 2 10 2 3 2 2 2 3" xfId="5881" xr:uid="{00000000-0005-0000-0000-00001E390000}"/>
    <cellStyle name="Normal 2 10 2 3 2 2 2 3 2" xfId="20765" xr:uid="{00000000-0005-0000-0000-00001F390000}"/>
    <cellStyle name="Normal 2 10 2 3 2 2 2 3 2 2" xfId="43408" xr:uid="{00000000-0005-0000-0000-000020390000}"/>
    <cellStyle name="Normal 2 10 2 3 2 2 2 3 3" xfId="13325" xr:uid="{00000000-0005-0000-0000-000021390000}"/>
    <cellStyle name="Normal 2 10 2 3 2 2 2 3 3 2" xfId="35968" xr:uid="{00000000-0005-0000-0000-000022390000}"/>
    <cellStyle name="Normal 2 10 2 3 2 2 2 3 4" xfId="28527" xr:uid="{00000000-0005-0000-0000-000023390000}"/>
    <cellStyle name="Normal 2 10 2 3 2 2 2 4" xfId="17047" xr:uid="{00000000-0005-0000-0000-000024390000}"/>
    <cellStyle name="Normal 2 10 2 3 2 2 2 4 2" xfId="39690" xr:uid="{00000000-0005-0000-0000-000025390000}"/>
    <cellStyle name="Normal 2 10 2 3 2 2 2 5" xfId="9607" xr:uid="{00000000-0005-0000-0000-000026390000}"/>
    <cellStyle name="Normal 2 10 2 3 2 2 2 5 2" xfId="32250" xr:uid="{00000000-0005-0000-0000-000027390000}"/>
    <cellStyle name="Normal 2 10 2 3 2 2 2 6" xfId="24809" xr:uid="{00000000-0005-0000-0000-000028390000}"/>
    <cellStyle name="Normal 2 10 2 3 2 2 3" xfId="3082" xr:uid="{00000000-0005-0000-0000-000029390000}"/>
    <cellStyle name="Normal 2 10 2 3 2 2 3 2" xfId="6803" xr:uid="{00000000-0005-0000-0000-00002A390000}"/>
    <cellStyle name="Normal 2 10 2 3 2 2 3 2 2" xfId="21687" xr:uid="{00000000-0005-0000-0000-00002B390000}"/>
    <cellStyle name="Normal 2 10 2 3 2 2 3 2 2 2" xfId="44330" xr:uid="{00000000-0005-0000-0000-00002C390000}"/>
    <cellStyle name="Normal 2 10 2 3 2 2 3 2 3" xfId="14247" xr:uid="{00000000-0005-0000-0000-00002D390000}"/>
    <cellStyle name="Normal 2 10 2 3 2 2 3 2 3 2" xfId="36890" xr:uid="{00000000-0005-0000-0000-00002E390000}"/>
    <cellStyle name="Normal 2 10 2 3 2 2 3 2 4" xfId="29449" xr:uid="{00000000-0005-0000-0000-00002F390000}"/>
    <cellStyle name="Normal 2 10 2 3 2 2 3 3" xfId="17969" xr:uid="{00000000-0005-0000-0000-000030390000}"/>
    <cellStyle name="Normal 2 10 2 3 2 2 3 3 2" xfId="40612" xr:uid="{00000000-0005-0000-0000-000031390000}"/>
    <cellStyle name="Normal 2 10 2 3 2 2 3 4" xfId="10529" xr:uid="{00000000-0005-0000-0000-000032390000}"/>
    <cellStyle name="Normal 2 10 2 3 2 2 3 4 2" xfId="33172" xr:uid="{00000000-0005-0000-0000-000033390000}"/>
    <cellStyle name="Normal 2 10 2 3 2 2 3 5" xfId="25731" xr:uid="{00000000-0005-0000-0000-000034390000}"/>
    <cellStyle name="Normal 2 10 2 3 2 2 4" xfId="4956" xr:uid="{00000000-0005-0000-0000-000035390000}"/>
    <cellStyle name="Normal 2 10 2 3 2 2 4 2" xfId="19840" xr:uid="{00000000-0005-0000-0000-000036390000}"/>
    <cellStyle name="Normal 2 10 2 3 2 2 4 2 2" xfId="42483" xr:uid="{00000000-0005-0000-0000-000037390000}"/>
    <cellStyle name="Normal 2 10 2 3 2 2 4 3" xfId="12400" xr:uid="{00000000-0005-0000-0000-000038390000}"/>
    <cellStyle name="Normal 2 10 2 3 2 2 4 3 2" xfId="35043" xr:uid="{00000000-0005-0000-0000-000039390000}"/>
    <cellStyle name="Normal 2 10 2 3 2 2 4 4" xfId="27602" xr:uid="{00000000-0005-0000-0000-00003A390000}"/>
    <cellStyle name="Normal 2 10 2 3 2 2 5" xfId="16122" xr:uid="{00000000-0005-0000-0000-00003B390000}"/>
    <cellStyle name="Normal 2 10 2 3 2 2 5 2" xfId="38765" xr:uid="{00000000-0005-0000-0000-00003C390000}"/>
    <cellStyle name="Normal 2 10 2 3 2 2 6" xfId="8682" xr:uid="{00000000-0005-0000-0000-00003D390000}"/>
    <cellStyle name="Normal 2 10 2 3 2 2 6 2" xfId="31325" xr:uid="{00000000-0005-0000-0000-00003E390000}"/>
    <cellStyle name="Normal 2 10 2 3 2 2 7" xfId="23884" xr:uid="{00000000-0005-0000-0000-00003F390000}"/>
    <cellStyle name="Normal 2 10 2 3 2 3" xfId="1695" xr:uid="{00000000-0005-0000-0000-000040390000}"/>
    <cellStyle name="Normal 2 10 2 3 2 3 2" xfId="3545" xr:uid="{00000000-0005-0000-0000-000041390000}"/>
    <cellStyle name="Normal 2 10 2 3 2 3 2 2" xfId="7266" xr:uid="{00000000-0005-0000-0000-000042390000}"/>
    <cellStyle name="Normal 2 10 2 3 2 3 2 2 2" xfId="22150" xr:uid="{00000000-0005-0000-0000-000043390000}"/>
    <cellStyle name="Normal 2 10 2 3 2 3 2 2 2 2" xfId="44793" xr:uid="{00000000-0005-0000-0000-000044390000}"/>
    <cellStyle name="Normal 2 10 2 3 2 3 2 2 3" xfId="14710" xr:uid="{00000000-0005-0000-0000-000045390000}"/>
    <cellStyle name="Normal 2 10 2 3 2 3 2 2 3 2" xfId="37353" xr:uid="{00000000-0005-0000-0000-000046390000}"/>
    <cellStyle name="Normal 2 10 2 3 2 3 2 2 4" xfId="29912" xr:uid="{00000000-0005-0000-0000-000047390000}"/>
    <cellStyle name="Normal 2 10 2 3 2 3 2 3" xfId="18432" xr:uid="{00000000-0005-0000-0000-000048390000}"/>
    <cellStyle name="Normal 2 10 2 3 2 3 2 3 2" xfId="41075" xr:uid="{00000000-0005-0000-0000-000049390000}"/>
    <cellStyle name="Normal 2 10 2 3 2 3 2 4" xfId="10992" xr:uid="{00000000-0005-0000-0000-00004A390000}"/>
    <cellStyle name="Normal 2 10 2 3 2 3 2 4 2" xfId="33635" xr:uid="{00000000-0005-0000-0000-00004B390000}"/>
    <cellStyle name="Normal 2 10 2 3 2 3 2 5" xfId="26194" xr:uid="{00000000-0005-0000-0000-00004C390000}"/>
    <cellStyle name="Normal 2 10 2 3 2 3 3" xfId="5419" xr:uid="{00000000-0005-0000-0000-00004D390000}"/>
    <cellStyle name="Normal 2 10 2 3 2 3 3 2" xfId="20303" xr:uid="{00000000-0005-0000-0000-00004E390000}"/>
    <cellStyle name="Normal 2 10 2 3 2 3 3 2 2" xfId="42946" xr:uid="{00000000-0005-0000-0000-00004F390000}"/>
    <cellStyle name="Normal 2 10 2 3 2 3 3 3" xfId="12863" xr:uid="{00000000-0005-0000-0000-000050390000}"/>
    <cellStyle name="Normal 2 10 2 3 2 3 3 3 2" xfId="35506" xr:uid="{00000000-0005-0000-0000-000051390000}"/>
    <cellStyle name="Normal 2 10 2 3 2 3 3 4" xfId="28065" xr:uid="{00000000-0005-0000-0000-000052390000}"/>
    <cellStyle name="Normal 2 10 2 3 2 3 4" xfId="16585" xr:uid="{00000000-0005-0000-0000-000053390000}"/>
    <cellStyle name="Normal 2 10 2 3 2 3 4 2" xfId="39228" xr:uid="{00000000-0005-0000-0000-000054390000}"/>
    <cellStyle name="Normal 2 10 2 3 2 3 5" xfId="9145" xr:uid="{00000000-0005-0000-0000-000055390000}"/>
    <cellStyle name="Normal 2 10 2 3 2 3 5 2" xfId="31788" xr:uid="{00000000-0005-0000-0000-000056390000}"/>
    <cellStyle name="Normal 2 10 2 3 2 3 6" xfId="24347" xr:uid="{00000000-0005-0000-0000-000057390000}"/>
    <cellStyle name="Normal 2 10 2 3 2 4" xfId="2620" xr:uid="{00000000-0005-0000-0000-000058390000}"/>
    <cellStyle name="Normal 2 10 2 3 2 4 2" xfId="6341" xr:uid="{00000000-0005-0000-0000-000059390000}"/>
    <cellStyle name="Normal 2 10 2 3 2 4 2 2" xfId="21225" xr:uid="{00000000-0005-0000-0000-00005A390000}"/>
    <cellStyle name="Normal 2 10 2 3 2 4 2 2 2" xfId="43868" xr:uid="{00000000-0005-0000-0000-00005B390000}"/>
    <cellStyle name="Normal 2 10 2 3 2 4 2 3" xfId="13785" xr:uid="{00000000-0005-0000-0000-00005C390000}"/>
    <cellStyle name="Normal 2 10 2 3 2 4 2 3 2" xfId="36428" xr:uid="{00000000-0005-0000-0000-00005D390000}"/>
    <cellStyle name="Normal 2 10 2 3 2 4 2 4" xfId="28987" xr:uid="{00000000-0005-0000-0000-00005E390000}"/>
    <cellStyle name="Normal 2 10 2 3 2 4 3" xfId="17507" xr:uid="{00000000-0005-0000-0000-00005F390000}"/>
    <cellStyle name="Normal 2 10 2 3 2 4 3 2" xfId="40150" xr:uid="{00000000-0005-0000-0000-000060390000}"/>
    <cellStyle name="Normal 2 10 2 3 2 4 4" xfId="10067" xr:uid="{00000000-0005-0000-0000-000061390000}"/>
    <cellStyle name="Normal 2 10 2 3 2 4 4 2" xfId="32710" xr:uid="{00000000-0005-0000-0000-000062390000}"/>
    <cellStyle name="Normal 2 10 2 3 2 4 5" xfId="25269" xr:uid="{00000000-0005-0000-0000-000063390000}"/>
    <cellStyle name="Normal 2 10 2 3 2 5" xfId="4494" xr:uid="{00000000-0005-0000-0000-000064390000}"/>
    <cellStyle name="Normal 2 10 2 3 2 5 2" xfId="19378" xr:uid="{00000000-0005-0000-0000-000065390000}"/>
    <cellStyle name="Normal 2 10 2 3 2 5 2 2" xfId="42021" xr:uid="{00000000-0005-0000-0000-000066390000}"/>
    <cellStyle name="Normal 2 10 2 3 2 5 3" xfId="11938" xr:uid="{00000000-0005-0000-0000-000067390000}"/>
    <cellStyle name="Normal 2 10 2 3 2 5 3 2" xfId="34581" xr:uid="{00000000-0005-0000-0000-000068390000}"/>
    <cellStyle name="Normal 2 10 2 3 2 5 4" xfId="27140" xr:uid="{00000000-0005-0000-0000-000069390000}"/>
    <cellStyle name="Normal 2 10 2 3 2 6" xfId="15660" xr:uid="{00000000-0005-0000-0000-00006A390000}"/>
    <cellStyle name="Normal 2 10 2 3 2 6 2" xfId="38303" xr:uid="{00000000-0005-0000-0000-00006B390000}"/>
    <cellStyle name="Normal 2 10 2 3 2 7" xfId="8220" xr:uid="{00000000-0005-0000-0000-00006C390000}"/>
    <cellStyle name="Normal 2 10 2 3 2 7 2" xfId="30863" xr:uid="{00000000-0005-0000-0000-00006D390000}"/>
    <cellStyle name="Normal 2 10 2 3 2 8" xfId="23422" xr:uid="{00000000-0005-0000-0000-00006E390000}"/>
    <cellStyle name="Normal 2 10 2 3 3" xfId="1018" xr:uid="{00000000-0005-0000-0000-00006F390000}"/>
    <cellStyle name="Normal 2 10 2 3 3 2" xfId="1946" xr:uid="{00000000-0005-0000-0000-000070390000}"/>
    <cellStyle name="Normal 2 10 2 3 3 2 2" xfId="3796" xr:uid="{00000000-0005-0000-0000-000071390000}"/>
    <cellStyle name="Normal 2 10 2 3 3 2 2 2" xfId="7517" xr:uid="{00000000-0005-0000-0000-000072390000}"/>
    <cellStyle name="Normal 2 10 2 3 3 2 2 2 2" xfId="22401" xr:uid="{00000000-0005-0000-0000-000073390000}"/>
    <cellStyle name="Normal 2 10 2 3 3 2 2 2 2 2" xfId="45044" xr:uid="{00000000-0005-0000-0000-000074390000}"/>
    <cellStyle name="Normal 2 10 2 3 3 2 2 2 3" xfId="14961" xr:uid="{00000000-0005-0000-0000-000075390000}"/>
    <cellStyle name="Normal 2 10 2 3 3 2 2 2 3 2" xfId="37604" xr:uid="{00000000-0005-0000-0000-000076390000}"/>
    <cellStyle name="Normal 2 10 2 3 3 2 2 2 4" xfId="30163" xr:uid="{00000000-0005-0000-0000-000077390000}"/>
    <cellStyle name="Normal 2 10 2 3 3 2 2 3" xfId="18683" xr:uid="{00000000-0005-0000-0000-000078390000}"/>
    <cellStyle name="Normal 2 10 2 3 3 2 2 3 2" xfId="41326" xr:uid="{00000000-0005-0000-0000-000079390000}"/>
    <cellStyle name="Normal 2 10 2 3 3 2 2 4" xfId="11243" xr:uid="{00000000-0005-0000-0000-00007A390000}"/>
    <cellStyle name="Normal 2 10 2 3 3 2 2 4 2" xfId="33886" xr:uid="{00000000-0005-0000-0000-00007B390000}"/>
    <cellStyle name="Normal 2 10 2 3 3 2 2 5" xfId="26445" xr:uid="{00000000-0005-0000-0000-00007C390000}"/>
    <cellStyle name="Normal 2 10 2 3 3 2 3" xfId="5670" xr:uid="{00000000-0005-0000-0000-00007D390000}"/>
    <cellStyle name="Normal 2 10 2 3 3 2 3 2" xfId="20554" xr:uid="{00000000-0005-0000-0000-00007E390000}"/>
    <cellStyle name="Normal 2 10 2 3 3 2 3 2 2" xfId="43197" xr:uid="{00000000-0005-0000-0000-00007F390000}"/>
    <cellStyle name="Normal 2 10 2 3 3 2 3 3" xfId="13114" xr:uid="{00000000-0005-0000-0000-000080390000}"/>
    <cellStyle name="Normal 2 10 2 3 3 2 3 3 2" xfId="35757" xr:uid="{00000000-0005-0000-0000-000081390000}"/>
    <cellStyle name="Normal 2 10 2 3 3 2 3 4" xfId="28316" xr:uid="{00000000-0005-0000-0000-000082390000}"/>
    <cellStyle name="Normal 2 10 2 3 3 2 4" xfId="16836" xr:uid="{00000000-0005-0000-0000-000083390000}"/>
    <cellStyle name="Normal 2 10 2 3 3 2 4 2" xfId="39479" xr:uid="{00000000-0005-0000-0000-000084390000}"/>
    <cellStyle name="Normal 2 10 2 3 3 2 5" xfId="9396" xr:uid="{00000000-0005-0000-0000-000085390000}"/>
    <cellStyle name="Normal 2 10 2 3 3 2 5 2" xfId="32039" xr:uid="{00000000-0005-0000-0000-000086390000}"/>
    <cellStyle name="Normal 2 10 2 3 3 2 6" xfId="24598" xr:uid="{00000000-0005-0000-0000-000087390000}"/>
    <cellStyle name="Normal 2 10 2 3 3 3" xfId="2871" xr:uid="{00000000-0005-0000-0000-000088390000}"/>
    <cellStyle name="Normal 2 10 2 3 3 3 2" xfId="6592" xr:uid="{00000000-0005-0000-0000-000089390000}"/>
    <cellStyle name="Normal 2 10 2 3 3 3 2 2" xfId="21476" xr:uid="{00000000-0005-0000-0000-00008A390000}"/>
    <cellStyle name="Normal 2 10 2 3 3 3 2 2 2" xfId="44119" xr:uid="{00000000-0005-0000-0000-00008B390000}"/>
    <cellStyle name="Normal 2 10 2 3 3 3 2 3" xfId="14036" xr:uid="{00000000-0005-0000-0000-00008C390000}"/>
    <cellStyle name="Normal 2 10 2 3 3 3 2 3 2" xfId="36679" xr:uid="{00000000-0005-0000-0000-00008D390000}"/>
    <cellStyle name="Normal 2 10 2 3 3 3 2 4" xfId="29238" xr:uid="{00000000-0005-0000-0000-00008E390000}"/>
    <cellStyle name="Normal 2 10 2 3 3 3 3" xfId="17758" xr:uid="{00000000-0005-0000-0000-00008F390000}"/>
    <cellStyle name="Normal 2 10 2 3 3 3 3 2" xfId="40401" xr:uid="{00000000-0005-0000-0000-000090390000}"/>
    <cellStyle name="Normal 2 10 2 3 3 3 4" xfId="10318" xr:uid="{00000000-0005-0000-0000-000091390000}"/>
    <cellStyle name="Normal 2 10 2 3 3 3 4 2" xfId="32961" xr:uid="{00000000-0005-0000-0000-000092390000}"/>
    <cellStyle name="Normal 2 10 2 3 3 3 5" xfId="25520" xr:uid="{00000000-0005-0000-0000-000093390000}"/>
    <cellStyle name="Normal 2 10 2 3 3 4" xfId="4745" xr:uid="{00000000-0005-0000-0000-000094390000}"/>
    <cellStyle name="Normal 2 10 2 3 3 4 2" xfId="19629" xr:uid="{00000000-0005-0000-0000-000095390000}"/>
    <cellStyle name="Normal 2 10 2 3 3 4 2 2" xfId="42272" xr:uid="{00000000-0005-0000-0000-000096390000}"/>
    <cellStyle name="Normal 2 10 2 3 3 4 3" xfId="12189" xr:uid="{00000000-0005-0000-0000-000097390000}"/>
    <cellStyle name="Normal 2 10 2 3 3 4 3 2" xfId="34832" xr:uid="{00000000-0005-0000-0000-000098390000}"/>
    <cellStyle name="Normal 2 10 2 3 3 4 4" xfId="27391" xr:uid="{00000000-0005-0000-0000-000099390000}"/>
    <cellStyle name="Normal 2 10 2 3 3 5" xfId="15911" xr:uid="{00000000-0005-0000-0000-00009A390000}"/>
    <cellStyle name="Normal 2 10 2 3 3 5 2" xfId="38554" xr:uid="{00000000-0005-0000-0000-00009B390000}"/>
    <cellStyle name="Normal 2 10 2 3 3 6" xfId="8471" xr:uid="{00000000-0005-0000-0000-00009C390000}"/>
    <cellStyle name="Normal 2 10 2 3 3 6 2" xfId="31114" xr:uid="{00000000-0005-0000-0000-00009D390000}"/>
    <cellStyle name="Normal 2 10 2 3 3 7" xfId="23673" xr:uid="{00000000-0005-0000-0000-00009E390000}"/>
    <cellStyle name="Normal 2 10 2 3 4" xfId="1484" xr:uid="{00000000-0005-0000-0000-00009F390000}"/>
    <cellStyle name="Normal 2 10 2 3 4 2" xfId="3334" xr:uid="{00000000-0005-0000-0000-0000A0390000}"/>
    <cellStyle name="Normal 2 10 2 3 4 2 2" xfId="7055" xr:uid="{00000000-0005-0000-0000-0000A1390000}"/>
    <cellStyle name="Normal 2 10 2 3 4 2 2 2" xfId="21939" xr:uid="{00000000-0005-0000-0000-0000A2390000}"/>
    <cellStyle name="Normal 2 10 2 3 4 2 2 2 2" xfId="44582" xr:uid="{00000000-0005-0000-0000-0000A3390000}"/>
    <cellStyle name="Normal 2 10 2 3 4 2 2 3" xfId="14499" xr:uid="{00000000-0005-0000-0000-0000A4390000}"/>
    <cellStyle name="Normal 2 10 2 3 4 2 2 3 2" xfId="37142" xr:uid="{00000000-0005-0000-0000-0000A5390000}"/>
    <cellStyle name="Normal 2 10 2 3 4 2 2 4" xfId="29701" xr:uid="{00000000-0005-0000-0000-0000A6390000}"/>
    <cellStyle name="Normal 2 10 2 3 4 2 3" xfId="18221" xr:uid="{00000000-0005-0000-0000-0000A7390000}"/>
    <cellStyle name="Normal 2 10 2 3 4 2 3 2" xfId="40864" xr:uid="{00000000-0005-0000-0000-0000A8390000}"/>
    <cellStyle name="Normal 2 10 2 3 4 2 4" xfId="10781" xr:uid="{00000000-0005-0000-0000-0000A9390000}"/>
    <cellStyle name="Normal 2 10 2 3 4 2 4 2" xfId="33424" xr:uid="{00000000-0005-0000-0000-0000AA390000}"/>
    <cellStyle name="Normal 2 10 2 3 4 2 5" xfId="25983" xr:uid="{00000000-0005-0000-0000-0000AB390000}"/>
    <cellStyle name="Normal 2 10 2 3 4 3" xfId="5208" xr:uid="{00000000-0005-0000-0000-0000AC390000}"/>
    <cellStyle name="Normal 2 10 2 3 4 3 2" xfId="20092" xr:uid="{00000000-0005-0000-0000-0000AD390000}"/>
    <cellStyle name="Normal 2 10 2 3 4 3 2 2" xfId="42735" xr:uid="{00000000-0005-0000-0000-0000AE390000}"/>
    <cellStyle name="Normal 2 10 2 3 4 3 3" xfId="12652" xr:uid="{00000000-0005-0000-0000-0000AF390000}"/>
    <cellStyle name="Normal 2 10 2 3 4 3 3 2" xfId="35295" xr:uid="{00000000-0005-0000-0000-0000B0390000}"/>
    <cellStyle name="Normal 2 10 2 3 4 3 4" xfId="27854" xr:uid="{00000000-0005-0000-0000-0000B1390000}"/>
    <cellStyle name="Normal 2 10 2 3 4 4" xfId="16374" xr:uid="{00000000-0005-0000-0000-0000B2390000}"/>
    <cellStyle name="Normal 2 10 2 3 4 4 2" xfId="39017" xr:uid="{00000000-0005-0000-0000-0000B3390000}"/>
    <cellStyle name="Normal 2 10 2 3 4 5" xfId="8934" xr:uid="{00000000-0005-0000-0000-0000B4390000}"/>
    <cellStyle name="Normal 2 10 2 3 4 5 2" xfId="31577" xr:uid="{00000000-0005-0000-0000-0000B5390000}"/>
    <cellStyle name="Normal 2 10 2 3 4 6" xfId="24136" xr:uid="{00000000-0005-0000-0000-0000B6390000}"/>
    <cellStyle name="Normal 2 10 2 3 5" xfId="2409" xr:uid="{00000000-0005-0000-0000-0000B7390000}"/>
    <cellStyle name="Normal 2 10 2 3 5 2" xfId="6130" xr:uid="{00000000-0005-0000-0000-0000B8390000}"/>
    <cellStyle name="Normal 2 10 2 3 5 2 2" xfId="21014" xr:uid="{00000000-0005-0000-0000-0000B9390000}"/>
    <cellStyle name="Normal 2 10 2 3 5 2 2 2" xfId="43657" xr:uid="{00000000-0005-0000-0000-0000BA390000}"/>
    <cellStyle name="Normal 2 10 2 3 5 2 3" xfId="13574" xr:uid="{00000000-0005-0000-0000-0000BB390000}"/>
    <cellStyle name="Normal 2 10 2 3 5 2 3 2" xfId="36217" xr:uid="{00000000-0005-0000-0000-0000BC390000}"/>
    <cellStyle name="Normal 2 10 2 3 5 2 4" xfId="28776" xr:uid="{00000000-0005-0000-0000-0000BD390000}"/>
    <cellStyle name="Normal 2 10 2 3 5 3" xfId="17296" xr:uid="{00000000-0005-0000-0000-0000BE390000}"/>
    <cellStyle name="Normal 2 10 2 3 5 3 2" xfId="39939" xr:uid="{00000000-0005-0000-0000-0000BF390000}"/>
    <cellStyle name="Normal 2 10 2 3 5 4" xfId="9856" xr:uid="{00000000-0005-0000-0000-0000C0390000}"/>
    <cellStyle name="Normal 2 10 2 3 5 4 2" xfId="32499" xr:uid="{00000000-0005-0000-0000-0000C1390000}"/>
    <cellStyle name="Normal 2 10 2 3 5 5" xfId="25058" xr:uid="{00000000-0005-0000-0000-0000C2390000}"/>
    <cellStyle name="Normal 2 10 2 3 6" xfId="4283" xr:uid="{00000000-0005-0000-0000-0000C3390000}"/>
    <cellStyle name="Normal 2 10 2 3 6 2" xfId="19167" xr:uid="{00000000-0005-0000-0000-0000C4390000}"/>
    <cellStyle name="Normal 2 10 2 3 6 2 2" xfId="41810" xr:uid="{00000000-0005-0000-0000-0000C5390000}"/>
    <cellStyle name="Normal 2 10 2 3 6 3" xfId="11727" xr:uid="{00000000-0005-0000-0000-0000C6390000}"/>
    <cellStyle name="Normal 2 10 2 3 6 3 2" xfId="34370" xr:uid="{00000000-0005-0000-0000-0000C7390000}"/>
    <cellStyle name="Normal 2 10 2 3 6 4" xfId="26929" xr:uid="{00000000-0005-0000-0000-0000C8390000}"/>
    <cellStyle name="Normal 2 10 2 3 7" xfId="15449" xr:uid="{00000000-0005-0000-0000-0000C9390000}"/>
    <cellStyle name="Normal 2 10 2 3 7 2" xfId="38092" xr:uid="{00000000-0005-0000-0000-0000CA390000}"/>
    <cellStyle name="Normal 2 10 2 3 8" xfId="8009" xr:uid="{00000000-0005-0000-0000-0000CB390000}"/>
    <cellStyle name="Normal 2 10 2 3 8 2" xfId="30652" xr:uid="{00000000-0005-0000-0000-0000CC390000}"/>
    <cellStyle name="Normal 2 10 2 3 9" xfId="23212" xr:uid="{00000000-0005-0000-0000-0000CD390000}"/>
    <cellStyle name="Normal 2 10 2 4" xfId="659" xr:uid="{00000000-0005-0000-0000-0000CE390000}"/>
    <cellStyle name="Normal 2 10 2 4 2" xfId="1124" xr:uid="{00000000-0005-0000-0000-0000CF390000}"/>
    <cellStyle name="Normal 2 10 2 4 2 2" xfId="2052" xr:uid="{00000000-0005-0000-0000-0000D0390000}"/>
    <cellStyle name="Normal 2 10 2 4 2 2 2" xfId="3902" xr:uid="{00000000-0005-0000-0000-0000D1390000}"/>
    <cellStyle name="Normal 2 10 2 4 2 2 2 2" xfId="7623" xr:uid="{00000000-0005-0000-0000-0000D2390000}"/>
    <cellStyle name="Normal 2 10 2 4 2 2 2 2 2" xfId="22507" xr:uid="{00000000-0005-0000-0000-0000D3390000}"/>
    <cellStyle name="Normal 2 10 2 4 2 2 2 2 2 2" xfId="45150" xr:uid="{00000000-0005-0000-0000-0000D4390000}"/>
    <cellStyle name="Normal 2 10 2 4 2 2 2 2 3" xfId="15067" xr:uid="{00000000-0005-0000-0000-0000D5390000}"/>
    <cellStyle name="Normal 2 10 2 4 2 2 2 2 3 2" xfId="37710" xr:uid="{00000000-0005-0000-0000-0000D6390000}"/>
    <cellStyle name="Normal 2 10 2 4 2 2 2 2 4" xfId="30269" xr:uid="{00000000-0005-0000-0000-0000D7390000}"/>
    <cellStyle name="Normal 2 10 2 4 2 2 2 3" xfId="18789" xr:uid="{00000000-0005-0000-0000-0000D8390000}"/>
    <cellStyle name="Normal 2 10 2 4 2 2 2 3 2" xfId="41432" xr:uid="{00000000-0005-0000-0000-0000D9390000}"/>
    <cellStyle name="Normal 2 10 2 4 2 2 2 4" xfId="11349" xr:uid="{00000000-0005-0000-0000-0000DA390000}"/>
    <cellStyle name="Normal 2 10 2 4 2 2 2 4 2" xfId="33992" xr:uid="{00000000-0005-0000-0000-0000DB390000}"/>
    <cellStyle name="Normal 2 10 2 4 2 2 2 5" xfId="26551" xr:uid="{00000000-0005-0000-0000-0000DC390000}"/>
    <cellStyle name="Normal 2 10 2 4 2 2 3" xfId="5776" xr:uid="{00000000-0005-0000-0000-0000DD390000}"/>
    <cellStyle name="Normal 2 10 2 4 2 2 3 2" xfId="20660" xr:uid="{00000000-0005-0000-0000-0000DE390000}"/>
    <cellStyle name="Normal 2 10 2 4 2 2 3 2 2" xfId="43303" xr:uid="{00000000-0005-0000-0000-0000DF390000}"/>
    <cellStyle name="Normal 2 10 2 4 2 2 3 3" xfId="13220" xr:uid="{00000000-0005-0000-0000-0000E0390000}"/>
    <cellStyle name="Normal 2 10 2 4 2 2 3 3 2" xfId="35863" xr:uid="{00000000-0005-0000-0000-0000E1390000}"/>
    <cellStyle name="Normal 2 10 2 4 2 2 3 4" xfId="28422" xr:uid="{00000000-0005-0000-0000-0000E2390000}"/>
    <cellStyle name="Normal 2 10 2 4 2 2 4" xfId="16942" xr:uid="{00000000-0005-0000-0000-0000E3390000}"/>
    <cellStyle name="Normal 2 10 2 4 2 2 4 2" xfId="39585" xr:uid="{00000000-0005-0000-0000-0000E4390000}"/>
    <cellStyle name="Normal 2 10 2 4 2 2 5" xfId="9502" xr:uid="{00000000-0005-0000-0000-0000E5390000}"/>
    <cellStyle name="Normal 2 10 2 4 2 2 5 2" xfId="32145" xr:uid="{00000000-0005-0000-0000-0000E6390000}"/>
    <cellStyle name="Normal 2 10 2 4 2 2 6" xfId="24704" xr:uid="{00000000-0005-0000-0000-0000E7390000}"/>
    <cellStyle name="Normal 2 10 2 4 2 3" xfId="2977" xr:uid="{00000000-0005-0000-0000-0000E8390000}"/>
    <cellStyle name="Normal 2 10 2 4 2 3 2" xfId="6698" xr:uid="{00000000-0005-0000-0000-0000E9390000}"/>
    <cellStyle name="Normal 2 10 2 4 2 3 2 2" xfId="21582" xr:uid="{00000000-0005-0000-0000-0000EA390000}"/>
    <cellStyle name="Normal 2 10 2 4 2 3 2 2 2" xfId="44225" xr:uid="{00000000-0005-0000-0000-0000EB390000}"/>
    <cellStyle name="Normal 2 10 2 4 2 3 2 3" xfId="14142" xr:uid="{00000000-0005-0000-0000-0000EC390000}"/>
    <cellStyle name="Normal 2 10 2 4 2 3 2 3 2" xfId="36785" xr:uid="{00000000-0005-0000-0000-0000ED390000}"/>
    <cellStyle name="Normal 2 10 2 4 2 3 2 4" xfId="29344" xr:uid="{00000000-0005-0000-0000-0000EE390000}"/>
    <cellStyle name="Normal 2 10 2 4 2 3 3" xfId="17864" xr:uid="{00000000-0005-0000-0000-0000EF390000}"/>
    <cellStyle name="Normal 2 10 2 4 2 3 3 2" xfId="40507" xr:uid="{00000000-0005-0000-0000-0000F0390000}"/>
    <cellStyle name="Normal 2 10 2 4 2 3 4" xfId="10424" xr:uid="{00000000-0005-0000-0000-0000F1390000}"/>
    <cellStyle name="Normal 2 10 2 4 2 3 4 2" xfId="33067" xr:uid="{00000000-0005-0000-0000-0000F2390000}"/>
    <cellStyle name="Normal 2 10 2 4 2 3 5" xfId="25626" xr:uid="{00000000-0005-0000-0000-0000F3390000}"/>
    <cellStyle name="Normal 2 10 2 4 2 4" xfId="4851" xr:uid="{00000000-0005-0000-0000-0000F4390000}"/>
    <cellStyle name="Normal 2 10 2 4 2 4 2" xfId="19735" xr:uid="{00000000-0005-0000-0000-0000F5390000}"/>
    <cellStyle name="Normal 2 10 2 4 2 4 2 2" xfId="42378" xr:uid="{00000000-0005-0000-0000-0000F6390000}"/>
    <cellStyle name="Normal 2 10 2 4 2 4 3" xfId="12295" xr:uid="{00000000-0005-0000-0000-0000F7390000}"/>
    <cellStyle name="Normal 2 10 2 4 2 4 3 2" xfId="34938" xr:uid="{00000000-0005-0000-0000-0000F8390000}"/>
    <cellStyle name="Normal 2 10 2 4 2 4 4" xfId="27497" xr:uid="{00000000-0005-0000-0000-0000F9390000}"/>
    <cellStyle name="Normal 2 10 2 4 2 5" xfId="16017" xr:uid="{00000000-0005-0000-0000-0000FA390000}"/>
    <cellStyle name="Normal 2 10 2 4 2 5 2" xfId="38660" xr:uid="{00000000-0005-0000-0000-0000FB390000}"/>
    <cellStyle name="Normal 2 10 2 4 2 6" xfId="8577" xr:uid="{00000000-0005-0000-0000-0000FC390000}"/>
    <cellStyle name="Normal 2 10 2 4 2 6 2" xfId="31220" xr:uid="{00000000-0005-0000-0000-0000FD390000}"/>
    <cellStyle name="Normal 2 10 2 4 2 7" xfId="23779" xr:uid="{00000000-0005-0000-0000-0000FE390000}"/>
    <cellStyle name="Normal 2 10 2 4 3" xfId="1590" xr:uid="{00000000-0005-0000-0000-0000FF390000}"/>
    <cellStyle name="Normal 2 10 2 4 3 2" xfId="3440" xr:uid="{00000000-0005-0000-0000-0000003A0000}"/>
    <cellStyle name="Normal 2 10 2 4 3 2 2" xfId="7161" xr:uid="{00000000-0005-0000-0000-0000013A0000}"/>
    <cellStyle name="Normal 2 10 2 4 3 2 2 2" xfId="22045" xr:uid="{00000000-0005-0000-0000-0000023A0000}"/>
    <cellStyle name="Normal 2 10 2 4 3 2 2 2 2" xfId="44688" xr:uid="{00000000-0005-0000-0000-0000033A0000}"/>
    <cellStyle name="Normal 2 10 2 4 3 2 2 3" xfId="14605" xr:uid="{00000000-0005-0000-0000-0000043A0000}"/>
    <cellStyle name="Normal 2 10 2 4 3 2 2 3 2" xfId="37248" xr:uid="{00000000-0005-0000-0000-0000053A0000}"/>
    <cellStyle name="Normal 2 10 2 4 3 2 2 4" xfId="29807" xr:uid="{00000000-0005-0000-0000-0000063A0000}"/>
    <cellStyle name="Normal 2 10 2 4 3 2 3" xfId="18327" xr:uid="{00000000-0005-0000-0000-0000073A0000}"/>
    <cellStyle name="Normal 2 10 2 4 3 2 3 2" xfId="40970" xr:uid="{00000000-0005-0000-0000-0000083A0000}"/>
    <cellStyle name="Normal 2 10 2 4 3 2 4" xfId="10887" xr:uid="{00000000-0005-0000-0000-0000093A0000}"/>
    <cellStyle name="Normal 2 10 2 4 3 2 4 2" xfId="33530" xr:uid="{00000000-0005-0000-0000-00000A3A0000}"/>
    <cellStyle name="Normal 2 10 2 4 3 2 5" xfId="26089" xr:uid="{00000000-0005-0000-0000-00000B3A0000}"/>
    <cellStyle name="Normal 2 10 2 4 3 3" xfId="5314" xr:uid="{00000000-0005-0000-0000-00000C3A0000}"/>
    <cellStyle name="Normal 2 10 2 4 3 3 2" xfId="20198" xr:uid="{00000000-0005-0000-0000-00000D3A0000}"/>
    <cellStyle name="Normal 2 10 2 4 3 3 2 2" xfId="42841" xr:uid="{00000000-0005-0000-0000-00000E3A0000}"/>
    <cellStyle name="Normal 2 10 2 4 3 3 3" xfId="12758" xr:uid="{00000000-0005-0000-0000-00000F3A0000}"/>
    <cellStyle name="Normal 2 10 2 4 3 3 3 2" xfId="35401" xr:uid="{00000000-0005-0000-0000-0000103A0000}"/>
    <cellStyle name="Normal 2 10 2 4 3 3 4" xfId="27960" xr:uid="{00000000-0005-0000-0000-0000113A0000}"/>
    <cellStyle name="Normal 2 10 2 4 3 4" xfId="16480" xr:uid="{00000000-0005-0000-0000-0000123A0000}"/>
    <cellStyle name="Normal 2 10 2 4 3 4 2" xfId="39123" xr:uid="{00000000-0005-0000-0000-0000133A0000}"/>
    <cellStyle name="Normal 2 10 2 4 3 5" xfId="9040" xr:uid="{00000000-0005-0000-0000-0000143A0000}"/>
    <cellStyle name="Normal 2 10 2 4 3 5 2" xfId="31683" xr:uid="{00000000-0005-0000-0000-0000153A0000}"/>
    <cellStyle name="Normal 2 10 2 4 3 6" xfId="24242" xr:uid="{00000000-0005-0000-0000-0000163A0000}"/>
    <cellStyle name="Normal 2 10 2 4 4" xfId="2515" xr:uid="{00000000-0005-0000-0000-0000173A0000}"/>
    <cellStyle name="Normal 2 10 2 4 4 2" xfId="6236" xr:uid="{00000000-0005-0000-0000-0000183A0000}"/>
    <cellStyle name="Normal 2 10 2 4 4 2 2" xfId="21120" xr:uid="{00000000-0005-0000-0000-0000193A0000}"/>
    <cellStyle name="Normal 2 10 2 4 4 2 2 2" xfId="43763" xr:uid="{00000000-0005-0000-0000-00001A3A0000}"/>
    <cellStyle name="Normal 2 10 2 4 4 2 3" xfId="13680" xr:uid="{00000000-0005-0000-0000-00001B3A0000}"/>
    <cellStyle name="Normal 2 10 2 4 4 2 3 2" xfId="36323" xr:uid="{00000000-0005-0000-0000-00001C3A0000}"/>
    <cellStyle name="Normal 2 10 2 4 4 2 4" xfId="28882" xr:uid="{00000000-0005-0000-0000-00001D3A0000}"/>
    <cellStyle name="Normal 2 10 2 4 4 3" xfId="17402" xr:uid="{00000000-0005-0000-0000-00001E3A0000}"/>
    <cellStyle name="Normal 2 10 2 4 4 3 2" xfId="40045" xr:uid="{00000000-0005-0000-0000-00001F3A0000}"/>
    <cellStyle name="Normal 2 10 2 4 4 4" xfId="9962" xr:uid="{00000000-0005-0000-0000-0000203A0000}"/>
    <cellStyle name="Normal 2 10 2 4 4 4 2" xfId="32605" xr:uid="{00000000-0005-0000-0000-0000213A0000}"/>
    <cellStyle name="Normal 2 10 2 4 4 5" xfId="25164" xr:uid="{00000000-0005-0000-0000-0000223A0000}"/>
    <cellStyle name="Normal 2 10 2 4 5" xfId="4389" xr:uid="{00000000-0005-0000-0000-0000233A0000}"/>
    <cellStyle name="Normal 2 10 2 4 5 2" xfId="19273" xr:uid="{00000000-0005-0000-0000-0000243A0000}"/>
    <cellStyle name="Normal 2 10 2 4 5 2 2" xfId="41916" xr:uid="{00000000-0005-0000-0000-0000253A0000}"/>
    <cellStyle name="Normal 2 10 2 4 5 3" xfId="11833" xr:uid="{00000000-0005-0000-0000-0000263A0000}"/>
    <cellStyle name="Normal 2 10 2 4 5 3 2" xfId="34476" xr:uid="{00000000-0005-0000-0000-0000273A0000}"/>
    <cellStyle name="Normal 2 10 2 4 5 4" xfId="27035" xr:uid="{00000000-0005-0000-0000-0000283A0000}"/>
    <cellStyle name="Normal 2 10 2 4 6" xfId="15555" xr:uid="{00000000-0005-0000-0000-0000293A0000}"/>
    <cellStyle name="Normal 2 10 2 4 6 2" xfId="38198" xr:uid="{00000000-0005-0000-0000-00002A3A0000}"/>
    <cellStyle name="Normal 2 10 2 4 7" xfId="8115" xr:uid="{00000000-0005-0000-0000-00002B3A0000}"/>
    <cellStyle name="Normal 2 10 2 4 7 2" xfId="30758" xr:uid="{00000000-0005-0000-0000-00002C3A0000}"/>
    <cellStyle name="Normal 2 10 2 4 8" xfId="23317" xr:uid="{00000000-0005-0000-0000-00002D3A0000}"/>
    <cellStyle name="Normal 2 10 2 5" xfId="913" xr:uid="{00000000-0005-0000-0000-00002E3A0000}"/>
    <cellStyle name="Normal 2 10 2 5 2" xfId="1841" xr:uid="{00000000-0005-0000-0000-00002F3A0000}"/>
    <cellStyle name="Normal 2 10 2 5 2 2" xfId="3691" xr:uid="{00000000-0005-0000-0000-0000303A0000}"/>
    <cellStyle name="Normal 2 10 2 5 2 2 2" xfId="7412" xr:uid="{00000000-0005-0000-0000-0000313A0000}"/>
    <cellStyle name="Normal 2 10 2 5 2 2 2 2" xfId="22296" xr:uid="{00000000-0005-0000-0000-0000323A0000}"/>
    <cellStyle name="Normal 2 10 2 5 2 2 2 2 2" xfId="44939" xr:uid="{00000000-0005-0000-0000-0000333A0000}"/>
    <cellStyle name="Normal 2 10 2 5 2 2 2 3" xfId="14856" xr:uid="{00000000-0005-0000-0000-0000343A0000}"/>
    <cellStyle name="Normal 2 10 2 5 2 2 2 3 2" xfId="37499" xr:uid="{00000000-0005-0000-0000-0000353A0000}"/>
    <cellStyle name="Normal 2 10 2 5 2 2 2 4" xfId="30058" xr:uid="{00000000-0005-0000-0000-0000363A0000}"/>
    <cellStyle name="Normal 2 10 2 5 2 2 3" xfId="18578" xr:uid="{00000000-0005-0000-0000-0000373A0000}"/>
    <cellStyle name="Normal 2 10 2 5 2 2 3 2" xfId="41221" xr:uid="{00000000-0005-0000-0000-0000383A0000}"/>
    <cellStyle name="Normal 2 10 2 5 2 2 4" xfId="11138" xr:uid="{00000000-0005-0000-0000-0000393A0000}"/>
    <cellStyle name="Normal 2 10 2 5 2 2 4 2" xfId="33781" xr:uid="{00000000-0005-0000-0000-00003A3A0000}"/>
    <cellStyle name="Normal 2 10 2 5 2 2 5" xfId="26340" xr:uid="{00000000-0005-0000-0000-00003B3A0000}"/>
    <cellStyle name="Normal 2 10 2 5 2 3" xfId="5565" xr:uid="{00000000-0005-0000-0000-00003C3A0000}"/>
    <cellStyle name="Normal 2 10 2 5 2 3 2" xfId="20449" xr:uid="{00000000-0005-0000-0000-00003D3A0000}"/>
    <cellStyle name="Normal 2 10 2 5 2 3 2 2" xfId="43092" xr:uid="{00000000-0005-0000-0000-00003E3A0000}"/>
    <cellStyle name="Normal 2 10 2 5 2 3 3" xfId="13009" xr:uid="{00000000-0005-0000-0000-00003F3A0000}"/>
    <cellStyle name="Normal 2 10 2 5 2 3 3 2" xfId="35652" xr:uid="{00000000-0005-0000-0000-0000403A0000}"/>
    <cellStyle name="Normal 2 10 2 5 2 3 4" xfId="28211" xr:uid="{00000000-0005-0000-0000-0000413A0000}"/>
    <cellStyle name="Normal 2 10 2 5 2 4" xfId="16731" xr:uid="{00000000-0005-0000-0000-0000423A0000}"/>
    <cellStyle name="Normal 2 10 2 5 2 4 2" xfId="39374" xr:uid="{00000000-0005-0000-0000-0000433A0000}"/>
    <cellStyle name="Normal 2 10 2 5 2 5" xfId="9291" xr:uid="{00000000-0005-0000-0000-0000443A0000}"/>
    <cellStyle name="Normal 2 10 2 5 2 5 2" xfId="31934" xr:uid="{00000000-0005-0000-0000-0000453A0000}"/>
    <cellStyle name="Normal 2 10 2 5 2 6" xfId="24493" xr:uid="{00000000-0005-0000-0000-0000463A0000}"/>
    <cellStyle name="Normal 2 10 2 5 3" xfId="2766" xr:uid="{00000000-0005-0000-0000-0000473A0000}"/>
    <cellStyle name="Normal 2 10 2 5 3 2" xfId="6487" xr:uid="{00000000-0005-0000-0000-0000483A0000}"/>
    <cellStyle name="Normal 2 10 2 5 3 2 2" xfId="21371" xr:uid="{00000000-0005-0000-0000-0000493A0000}"/>
    <cellStyle name="Normal 2 10 2 5 3 2 2 2" xfId="44014" xr:uid="{00000000-0005-0000-0000-00004A3A0000}"/>
    <cellStyle name="Normal 2 10 2 5 3 2 3" xfId="13931" xr:uid="{00000000-0005-0000-0000-00004B3A0000}"/>
    <cellStyle name="Normal 2 10 2 5 3 2 3 2" xfId="36574" xr:uid="{00000000-0005-0000-0000-00004C3A0000}"/>
    <cellStyle name="Normal 2 10 2 5 3 2 4" xfId="29133" xr:uid="{00000000-0005-0000-0000-00004D3A0000}"/>
    <cellStyle name="Normal 2 10 2 5 3 3" xfId="17653" xr:uid="{00000000-0005-0000-0000-00004E3A0000}"/>
    <cellStyle name="Normal 2 10 2 5 3 3 2" xfId="40296" xr:uid="{00000000-0005-0000-0000-00004F3A0000}"/>
    <cellStyle name="Normal 2 10 2 5 3 4" xfId="10213" xr:uid="{00000000-0005-0000-0000-0000503A0000}"/>
    <cellStyle name="Normal 2 10 2 5 3 4 2" xfId="32856" xr:uid="{00000000-0005-0000-0000-0000513A0000}"/>
    <cellStyle name="Normal 2 10 2 5 3 5" xfId="25415" xr:uid="{00000000-0005-0000-0000-0000523A0000}"/>
    <cellStyle name="Normal 2 10 2 5 4" xfId="4640" xr:uid="{00000000-0005-0000-0000-0000533A0000}"/>
    <cellStyle name="Normal 2 10 2 5 4 2" xfId="19524" xr:uid="{00000000-0005-0000-0000-0000543A0000}"/>
    <cellStyle name="Normal 2 10 2 5 4 2 2" xfId="42167" xr:uid="{00000000-0005-0000-0000-0000553A0000}"/>
    <cellStyle name="Normal 2 10 2 5 4 3" xfId="12084" xr:uid="{00000000-0005-0000-0000-0000563A0000}"/>
    <cellStyle name="Normal 2 10 2 5 4 3 2" xfId="34727" xr:uid="{00000000-0005-0000-0000-0000573A0000}"/>
    <cellStyle name="Normal 2 10 2 5 4 4" xfId="27286" xr:uid="{00000000-0005-0000-0000-0000583A0000}"/>
    <cellStyle name="Normal 2 10 2 5 5" xfId="15806" xr:uid="{00000000-0005-0000-0000-0000593A0000}"/>
    <cellStyle name="Normal 2 10 2 5 5 2" xfId="38449" xr:uid="{00000000-0005-0000-0000-00005A3A0000}"/>
    <cellStyle name="Normal 2 10 2 5 6" xfId="8366" xr:uid="{00000000-0005-0000-0000-00005B3A0000}"/>
    <cellStyle name="Normal 2 10 2 5 6 2" xfId="31009" xr:uid="{00000000-0005-0000-0000-00005C3A0000}"/>
    <cellStyle name="Normal 2 10 2 5 7" xfId="23568" xr:uid="{00000000-0005-0000-0000-00005D3A0000}"/>
    <cellStyle name="Normal 2 10 2 6" xfId="1379" xr:uid="{00000000-0005-0000-0000-00005E3A0000}"/>
    <cellStyle name="Normal 2 10 2 6 2" xfId="3229" xr:uid="{00000000-0005-0000-0000-00005F3A0000}"/>
    <cellStyle name="Normal 2 10 2 6 2 2" xfId="6950" xr:uid="{00000000-0005-0000-0000-0000603A0000}"/>
    <cellStyle name="Normal 2 10 2 6 2 2 2" xfId="21834" xr:uid="{00000000-0005-0000-0000-0000613A0000}"/>
    <cellStyle name="Normal 2 10 2 6 2 2 2 2" xfId="44477" xr:uid="{00000000-0005-0000-0000-0000623A0000}"/>
    <cellStyle name="Normal 2 10 2 6 2 2 3" xfId="14394" xr:uid="{00000000-0005-0000-0000-0000633A0000}"/>
    <cellStyle name="Normal 2 10 2 6 2 2 3 2" xfId="37037" xr:uid="{00000000-0005-0000-0000-0000643A0000}"/>
    <cellStyle name="Normal 2 10 2 6 2 2 4" xfId="29596" xr:uid="{00000000-0005-0000-0000-0000653A0000}"/>
    <cellStyle name="Normal 2 10 2 6 2 3" xfId="18116" xr:uid="{00000000-0005-0000-0000-0000663A0000}"/>
    <cellStyle name="Normal 2 10 2 6 2 3 2" xfId="40759" xr:uid="{00000000-0005-0000-0000-0000673A0000}"/>
    <cellStyle name="Normal 2 10 2 6 2 4" xfId="10676" xr:uid="{00000000-0005-0000-0000-0000683A0000}"/>
    <cellStyle name="Normal 2 10 2 6 2 4 2" xfId="33319" xr:uid="{00000000-0005-0000-0000-0000693A0000}"/>
    <cellStyle name="Normal 2 10 2 6 2 5" xfId="25878" xr:uid="{00000000-0005-0000-0000-00006A3A0000}"/>
    <cellStyle name="Normal 2 10 2 6 3" xfId="5103" xr:uid="{00000000-0005-0000-0000-00006B3A0000}"/>
    <cellStyle name="Normal 2 10 2 6 3 2" xfId="19987" xr:uid="{00000000-0005-0000-0000-00006C3A0000}"/>
    <cellStyle name="Normal 2 10 2 6 3 2 2" xfId="42630" xr:uid="{00000000-0005-0000-0000-00006D3A0000}"/>
    <cellStyle name="Normal 2 10 2 6 3 3" xfId="12547" xr:uid="{00000000-0005-0000-0000-00006E3A0000}"/>
    <cellStyle name="Normal 2 10 2 6 3 3 2" xfId="35190" xr:uid="{00000000-0005-0000-0000-00006F3A0000}"/>
    <cellStyle name="Normal 2 10 2 6 3 4" xfId="27749" xr:uid="{00000000-0005-0000-0000-0000703A0000}"/>
    <cellStyle name="Normal 2 10 2 6 4" xfId="16269" xr:uid="{00000000-0005-0000-0000-0000713A0000}"/>
    <cellStyle name="Normal 2 10 2 6 4 2" xfId="38912" xr:uid="{00000000-0005-0000-0000-0000723A0000}"/>
    <cellStyle name="Normal 2 10 2 6 5" xfId="8829" xr:uid="{00000000-0005-0000-0000-0000733A0000}"/>
    <cellStyle name="Normal 2 10 2 6 5 2" xfId="31472" xr:uid="{00000000-0005-0000-0000-0000743A0000}"/>
    <cellStyle name="Normal 2 10 2 6 6" xfId="24031" xr:uid="{00000000-0005-0000-0000-0000753A0000}"/>
    <cellStyle name="Normal 2 10 2 7" xfId="2304" xr:uid="{00000000-0005-0000-0000-0000763A0000}"/>
    <cellStyle name="Normal 2 10 2 7 2" xfId="6025" xr:uid="{00000000-0005-0000-0000-0000773A0000}"/>
    <cellStyle name="Normal 2 10 2 7 2 2" xfId="20909" xr:uid="{00000000-0005-0000-0000-0000783A0000}"/>
    <cellStyle name="Normal 2 10 2 7 2 2 2" xfId="43552" xr:uid="{00000000-0005-0000-0000-0000793A0000}"/>
    <cellStyle name="Normal 2 10 2 7 2 3" xfId="13469" xr:uid="{00000000-0005-0000-0000-00007A3A0000}"/>
    <cellStyle name="Normal 2 10 2 7 2 3 2" xfId="36112" xr:uid="{00000000-0005-0000-0000-00007B3A0000}"/>
    <cellStyle name="Normal 2 10 2 7 2 4" xfId="28671" xr:uid="{00000000-0005-0000-0000-00007C3A0000}"/>
    <cellStyle name="Normal 2 10 2 7 3" xfId="17191" xr:uid="{00000000-0005-0000-0000-00007D3A0000}"/>
    <cellStyle name="Normal 2 10 2 7 3 2" xfId="39834" xr:uid="{00000000-0005-0000-0000-00007E3A0000}"/>
    <cellStyle name="Normal 2 10 2 7 4" xfId="9751" xr:uid="{00000000-0005-0000-0000-00007F3A0000}"/>
    <cellStyle name="Normal 2 10 2 7 4 2" xfId="32394" xr:uid="{00000000-0005-0000-0000-0000803A0000}"/>
    <cellStyle name="Normal 2 10 2 7 5" xfId="24953" xr:uid="{00000000-0005-0000-0000-0000813A0000}"/>
    <cellStyle name="Normal 2 10 2 8" xfId="4178" xr:uid="{00000000-0005-0000-0000-0000823A0000}"/>
    <cellStyle name="Normal 2 10 2 8 2" xfId="19062" xr:uid="{00000000-0005-0000-0000-0000833A0000}"/>
    <cellStyle name="Normal 2 10 2 8 2 2" xfId="41705" xr:uid="{00000000-0005-0000-0000-0000843A0000}"/>
    <cellStyle name="Normal 2 10 2 8 3" xfId="11622" xr:uid="{00000000-0005-0000-0000-0000853A0000}"/>
    <cellStyle name="Normal 2 10 2 8 3 2" xfId="34265" xr:uid="{00000000-0005-0000-0000-0000863A0000}"/>
    <cellStyle name="Normal 2 10 2 8 4" xfId="26824" xr:uid="{00000000-0005-0000-0000-0000873A0000}"/>
    <cellStyle name="Normal 2 10 2 9" xfId="15344" xr:uid="{00000000-0005-0000-0000-0000883A0000}"/>
    <cellStyle name="Normal 2 10 2 9 2" xfId="37987" xr:uid="{00000000-0005-0000-0000-0000893A0000}"/>
    <cellStyle name="Normal 2 10 3" xfId="478" xr:uid="{00000000-0005-0000-0000-00008A3A0000}"/>
    <cellStyle name="Normal 2 10 3 10" xfId="23139" xr:uid="{00000000-0005-0000-0000-00008B3A0000}"/>
    <cellStyle name="Normal 2 10 3 2" xfId="584" xr:uid="{00000000-0005-0000-0000-00008C3A0000}"/>
    <cellStyle name="Normal 2 10 3 2 2" xfId="796" xr:uid="{00000000-0005-0000-0000-00008D3A0000}"/>
    <cellStyle name="Normal 2 10 3 2 2 2" xfId="1261" xr:uid="{00000000-0005-0000-0000-00008E3A0000}"/>
    <cellStyle name="Normal 2 10 3 2 2 2 2" xfId="2189" xr:uid="{00000000-0005-0000-0000-00008F3A0000}"/>
    <cellStyle name="Normal 2 10 3 2 2 2 2 2" xfId="4039" xr:uid="{00000000-0005-0000-0000-0000903A0000}"/>
    <cellStyle name="Normal 2 10 3 2 2 2 2 2 2" xfId="7760" xr:uid="{00000000-0005-0000-0000-0000913A0000}"/>
    <cellStyle name="Normal 2 10 3 2 2 2 2 2 2 2" xfId="22644" xr:uid="{00000000-0005-0000-0000-0000923A0000}"/>
    <cellStyle name="Normal 2 10 3 2 2 2 2 2 2 2 2" xfId="45287" xr:uid="{00000000-0005-0000-0000-0000933A0000}"/>
    <cellStyle name="Normal 2 10 3 2 2 2 2 2 2 3" xfId="15204" xr:uid="{00000000-0005-0000-0000-0000943A0000}"/>
    <cellStyle name="Normal 2 10 3 2 2 2 2 2 2 3 2" xfId="37847" xr:uid="{00000000-0005-0000-0000-0000953A0000}"/>
    <cellStyle name="Normal 2 10 3 2 2 2 2 2 2 4" xfId="30406" xr:uid="{00000000-0005-0000-0000-0000963A0000}"/>
    <cellStyle name="Normal 2 10 3 2 2 2 2 2 3" xfId="18926" xr:uid="{00000000-0005-0000-0000-0000973A0000}"/>
    <cellStyle name="Normal 2 10 3 2 2 2 2 2 3 2" xfId="41569" xr:uid="{00000000-0005-0000-0000-0000983A0000}"/>
    <cellStyle name="Normal 2 10 3 2 2 2 2 2 4" xfId="11486" xr:uid="{00000000-0005-0000-0000-0000993A0000}"/>
    <cellStyle name="Normal 2 10 3 2 2 2 2 2 4 2" xfId="34129" xr:uid="{00000000-0005-0000-0000-00009A3A0000}"/>
    <cellStyle name="Normal 2 10 3 2 2 2 2 2 5" xfId="26688" xr:uid="{00000000-0005-0000-0000-00009B3A0000}"/>
    <cellStyle name="Normal 2 10 3 2 2 2 2 3" xfId="5913" xr:uid="{00000000-0005-0000-0000-00009C3A0000}"/>
    <cellStyle name="Normal 2 10 3 2 2 2 2 3 2" xfId="20797" xr:uid="{00000000-0005-0000-0000-00009D3A0000}"/>
    <cellStyle name="Normal 2 10 3 2 2 2 2 3 2 2" xfId="43440" xr:uid="{00000000-0005-0000-0000-00009E3A0000}"/>
    <cellStyle name="Normal 2 10 3 2 2 2 2 3 3" xfId="13357" xr:uid="{00000000-0005-0000-0000-00009F3A0000}"/>
    <cellStyle name="Normal 2 10 3 2 2 2 2 3 3 2" xfId="36000" xr:uid="{00000000-0005-0000-0000-0000A03A0000}"/>
    <cellStyle name="Normal 2 10 3 2 2 2 2 3 4" xfId="28559" xr:uid="{00000000-0005-0000-0000-0000A13A0000}"/>
    <cellStyle name="Normal 2 10 3 2 2 2 2 4" xfId="17079" xr:uid="{00000000-0005-0000-0000-0000A23A0000}"/>
    <cellStyle name="Normal 2 10 3 2 2 2 2 4 2" xfId="39722" xr:uid="{00000000-0005-0000-0000-0000A33A0000}"/>
    <cellStyle name="Normal 2 10 3 2 2 2 2 5" xfId="9639" xr:uid="{00000000-0005-0000-0000-0000A43A0000}"/>
    <cellStyle name="Normal 2 10 3 2 2 2 2 5 2" xfId="32282" xr:uid="{00000000-0005-0000-0000-0000A53A0000}"/>
    <cellStyle name="Normal 2 10 3 2 2 2 2 6" xfId="24841" xr:uid="{00000000-0005-0000-0000-0000A63A0000}"/>
    <cellStyle name="Normal 2 10 3 2 2 2 3" xfId="3114" xr:uid="{00000000-0005-0000-0000-0000A73A0000}"/>
    <cellStyle name="Normal 2 10 3 2 2 2 3 2" xfId="6835" xr:uid="{00000000-0005-0000-0000-0000A83A0000}"/>
    <cellStyle name="Normal 2 10 3 2 2 2 3 2 2" xfId="21719" xr:uid="{00000000-0005-0000-0000-0000A93A0000}"/>
    <cellStyle name="Normal 2 10 3 2 2 2 3 2 2 2" xfId="44362" xr:uid="{00000000-0005-0000-0000-0000AA3A0000}"/>
    <cellStyle name="Normal 2 10 3 2 2 2 3 2 3" xfId="14279" xr:uid="{00000000-0005-0000-0000-0000AB3A0000}"/>
    <cellStyle name="Normal 2 10 3 2 2 2 3 2 3 2" xfId="36922" xr:uid="{00000000-0005-0000-0000-0000AC3A0000}"/>
    <cellStyle name="Normal 2 10 3 2 2 2 3 2 4" xfId="29481" xr:uid="{00000000-0005-0000-0000-0000AD3A0000}"/>
    <cellStyle name="Normal 2 10 3 2 2 2 3 3" xfId="18001" xr:uid="{00000000-0005-0000-0000-0000AE3A0000}"/>
    <cellStyle name="Normal 2 10 3 2 2 2 3 3 2" xfId="40644" xr:uid="{00000000-0005-0000-0000-0000AF3A0000}"/>
    <cellStyle name="Normal 2 10 3 2 2 2 3 4" xfId="10561" xr:uid="{00000000-0005-0000-0000-0000B03A0000}"/>
    <cellStyle name="Normal 2 10 3 2 2 2 3 4 2" xfId="33204" xr:uid="{00000000-0005-0000-0000-0000B13A0000}"/>
    <cellStyle name="Normal 2 10 3 2 2 2 3 5" xfId="25763" xr:uid="{00000000-0005-0000-0000-0000B23A0000}"/>
    <cellStyle name="Normal 2 10 3 2 2 2 4" xfId="4988" xr:uid="{00000000-0005-0000-0000-0000B33A0000}"/>
    <cellStyle name="Normal 2 10 3 2 2 2 4 2" xfId="19872" xr:uid="{00000000-0005-0000-0000-0000B43A0000}"/>
    <cellStyle name="Normal 2 10 3 2 2 2 4 2 2" xfId="42515" xr:uid="{00000000-0005-0000-0000-0000B53A0000}"/>
    <cellStyle name="Normal 2 10 3 2 2 2 4 3" xfId="12432" xr:uid="{00000000-0005-0000-0000-0000B63A0000}"/>
    <cellStyle name="Normal 2 10 3 2 2 2 4 3 2" xfId="35075" xr:uid="{00000000-0005-0000-0000-0000B73A0000}"/>
    <cellStyle name="Normal 2 10 3 2 2 2 4 4" xfId="27634" xr:uid="{00000000-0005-0000-0000-0000B83A0000}"/>
    <cellStyle name="Normal 2 10 3 2 2 2 5" xfId="16154" xr:uid="{00000000-0005-0000-0000-0000B93A0000}"/>
    <cellStyle name="Normal 2 10 3 2 2 2 5 2" xfId="38797" xr:uid="{00000000-0005-0000-0000-0000BA3A0000}"/>
    <cellStyle name="Normal 2 10 3 2 2 2 6" xfId="8714" xr:uid="{00000000-0005-0000-0000-0000BB3A0000}"/>
    <cellStyle name="Normal 2 10 3 2 2 2 6 2" xfId="31357" xr:uid="{00000000-0005-0000-0000-0000BC3A0000}"/>
    <cellStyle name="Normal 2 10 3 2 2 2 7" xfId="23916" xr:uid="{00000000-0005-0000-0000-0000BD3A0000}"/>
    <cellStyle name="Normal 2 10 3 2 2 3" xfId="1727" xr:uid="{00000000-0005-0000-0000-0000BE3A0000}"/>
    <cellStyle name="Normal 2 10 3 2 2 3 2" xfId="3577" xr:uid="{00000000-0005-0000-0000-0000BF3A0000}"/>
    <cellStyle name="Normal 2 10 3 2 2 3 2 2" xfId="7298" xr:uid="{00000000-0005-0000-0000-0000C03A0000}"/>
    <cellStyle name="Normal 2 10 3 2 2 3 2 2 2" xfId="22182" xr:uid="{00000000-0005-0000-0000-0000C13A0000}"/>
    <cellStyle name="Normal 2 10 3 2 2 3 2 2 2 2" xfId="44825" xr:uid="{00000000-0005-0000-0000-0000C23A0000}"/>
    <cellStyle name="Normal 2 10 3 2 2 3 2 2 3" xfId="14742" xr:uid="{00000000-0005-0000-0000-0000C33A0000}"/>
    <cellStyle name="Normal 2 10 3 2 2 3 2 2 3 2" xfId="37385" xr:uid="{00000000-0005-0000-0000-0000C43A0000}"/>
    <cellStyle name="Normal 2 10 3 2 2 3 2 2 4" xfId="29944" xr:uid="{00000000-0005-0000-0000-0000C53A0000}"/>
    <cellStyle name="Normal 2 10 3 2 2 3 2 3" xfId="18464" xr:uid="{00000000-0005-0000-0000-0000C63A0000}"/>
    <cellStyle name="Normal 2 10 3 2 2 3 2 3 2" xfId="41107" xr:uid="{00000000-0005-0000-0000-0000C73A0000}"/>
    <cellStyle name="Normal 2 10 3 2 2 3 2 4" xfId="11024" xr:uid="{00000000-0005-0000-0000-0000C83A0000}"/>
    <cellStyle name="Normal 2 10 3 2 2 3 2 4 2" xfId="33667" xr:uid="{00000000-0005-0000-0000-0000C93A0000}"/>
    <cellStyle name="Normal 2 10 3 2 2 3 2 5" xfId="26226" xr:uid="{00000000-0005-0000-0000-0000CA3A0000}"/>
    <cellStyle name="Normal 2 10 3 2 2 3 3" xfId="5451" xr:uid="{00000000-0005-0000-0000-0000CB3A0000}"/>
    <cellStyle name="Normal 2 10 3 2 2 3 3 2" xfId="20335" xr:uid="{00000000-0005-0000-0000-0000CC3A0000}"/>
    <cellStyle name="Normal 2 10 3 2 2 3 3 2 2" xfId="42978" xr:uid="{00000000-0005-0000-0000-0000CD3A0000}"/>
    <cellStyle name="Normal 2 10 3 2 2 3 3 3" xfId="12895" xr:uid="{00000000-0005-0000-0000-0000CE3A0000}"/>
    <cellStyle name="Normal 2 10 3 2 2 3 3 3 2" xfId="35538" xr:uid="{00000000-0005-0000-0000-0000CF3A0000}"/>
    <cellStyle name="Normal 2 10 3 2 2 3 3 4" xfId="28097" xr:uid="{00000000-0005-0000-0000-0000D03A0000}"/>
    <cellStyle name="Normal 2 10 3 2 2 3 4" xfId="16617" xr:uid="{00000000-0005-0000-0000-0000D13A0000}"/>
    <cellStyle name="Normal 2 10 3 2 2 3 4 2" xfId="39260" xr:uid="{00000000-0005-0000-0000-0000D23A0000}"/>
    <cellStyle name="Normal 2 10 3 2 2 3 5" xfId="9177" xr:uid="{00000000-0005-0000-0000-0000D33A0000}"/>
    <cellStyle name="Normal 2 10 3 2 2 3 5 2" xfId="31820" xr:uid="{00000000-0005-0000-0000-0000D43A0000}"/>
    <cellStyle name="Normal 2 10 3 2 2 3 6" xfId="24379" xr:uid="{00000000-0005-0000-0000-0000D53A0000}"/>
    <cellStyle name="Normal 2 10 3 2 2 4" xfId="2652" xr:uid="{00000000-0005-0000-0000-0000D63A0000}"/>
    <cellStyle name="Normal 2 10 3 2 2 4 2" xfId="6373" xr:uid="{00000000-0005-0000-0000-0000D73A0000}"/>
    <cellStyle name="Normal 2 10 3 2 2 4 2 2" xfId="21257" xr:uid="{00000000-0005-0000-0000-0000D83A0000}"/>
    <cellStyle name="Normal 2 10 3 2 2 4 2 2 2" xfId="43900" xr:uid="{00000000-0005-0000-0000-0000D93A0000}"/>
    <cellStyle name="Normal 2 10 3 2 2 4 2 3" xfId="13817" xr:uid="{00000000-0005-0000-0000-0000DA3A0000}"/>
    <cellStyle name="Normal 2 10 3 2 2 4 2 3 2" xfId="36460" xr:uid="{00000000-0005-0000-0000-0000DB3A0000}"/>
    <cellStyle name="Normal 2 10 3 2 2 4 2 4" xfId="29019" xr:uid="{00000000-0005-0000-0000-0000DC3A0000}"/>
    <cellStyle name="Normal 2 10 3 2 2 4 3" xfId="17539" xr:uid="{00000000-0005-0000-0000-0000DD3A0000}"/>
    <cellStyle name="Normal 2 10 3 2 2 4 3 2" xfId="40182" xr:uid="{00000000-0005-0000-0000-0000DE3A0000}"/>
    <cellStyle name="Normal 2 10 3 2 2 4 4" xfId="10099" xr:uid="{00000000-0005-0000-0000-0000DF3A0000}"/>
    <cellStyle name="Normal 2 10 3 2 2 4 4 2" xfId="32742" xr:uid="{00000000-0005-0000-0000-0000E03A0000}"/>
    <cellStyle name="Normal 2 10 3 2 2 4 5" xfId="25301" xr:uid="{00000000-0005-0000-0000-0000E13A0000}"/>
    <cellStyle name="Normal 2 10 3 2 2 5" xfId="4526" xr:uid="{00000000-0005-0000-0000-0000E23A0000}"/>
    <cellStyle name="Normal 2 10 3 2 2 5 2" xfId="19410" xr:uid="{00000000-0005-0000-0000-0000E33A0000}"/>
    <cellStyle name="Normal 2 10 3 2 2 5 2 2" xfId="42053" xr:uid="{00000000-0005-0000-0000-0000E43A0000}"/>
    <cellStyle name="Normal 2 10 3 2 2 5 3" xfId="11970" xr:uid="{00000000-0005-0000-0000-0000E53A0000}"/>
    <cellStyle name="Normal 2 10 3 2 2 5 3 2" xfId="34613" xr:uid="{00000000-0005-0000-0000-0000E63A0000}"/>
    <cellStyle name="Normal 2 10 3 2 2 5 4" xfId="27172" xr:uid="{00000000-0005-0000-0000-0000E73A0000}"/>
    <cellStyle name="Normal 2 10 3 2 2 6" xfId="15692" xr:uid="{00000000-0005-0000-0000-0000E83A0000}"/>
    <cellStyle name="Normal 2 10 3 2 2 6 2" xfId="38335" xr:uid="{00000000-0005-0000-0000-0000E93A0000}"/>
    <cellStyle name="Normal 2 10 3 2 2 7" xfId="8252" xr:uid="{00000000-0005-0000-0000-0000EA3A0000}"/>
    <cellStyle name="Normal 2 10 3 2 2 7 2" xfId="30895" xr:uid="{00000000-0005-0000-0000-0000EB3A0000}"/>
    <cellStyle name="Normal 2 10 3 2 2 8" xfId="23454" xr:uid="{00000000-0005-0000-0000-0000EC3A0000}"/>
    <cellStyle name="Normal 2 10 3 2 3" xfId="1050" xr:uid="{00000000-0005-0000-0000-0000ED3A0000}"/>
    <cellStyle name="Normal 2 10 3 2 3 2" xfId="1978" xr:uid="{00000000-0005-0000-0000-0000EE3A0000}"/>
    <cellStyle name="Normal 2 10 3 2 3 2 2" xfId="3828" xr:uid="{00000000-0005-0000-0000-0000EF3A0000}"/>
    <cellStyle name="Normal 2 10 3 2 3 2 2 2" xfId="7549" xr:uid="{00000000-0005-0000-0000-0000F03A0000}"/>
    <cellStyle name="Normal 2 10 3 2 3 2 2 2 2" xfId="22433" xr:uid="{00000000-0005-0000-0000-0000F13A0000}"/>
    <cellStyle name="Normal 2 10 3 2 3 2 2 2 2 2" xfId="45076" xr:uid="{00000000-0005-0000-0000-0000F23A0000}"/>
    <cellStyle name="Normal 2 10 3 2 3 2 2 2 3" xfId="14993" xr:uid="{00000000-0005-0000-0000-0000F33A0000}"/>
    <cellStyle name="Normal 2 10 3 2 3 2 2 2 3 2" xfId="37636" xr:uid="{00000000-0005-0000-0000-0000F43A0000}"/>
    <cellStyle name="Normal 2 10 3 2 3 2 2 2 4" xfId="30195" xr:uid="{00000000-0005-0000-0000-0000F53A0000}"/>
    <cellStyle name="Normal 2 10 3 2 3 2 2 3" xfId="18715" xr:uid="{00000000-0005-0000-0000-0000F63A0000}"/>
    <cellStyle name="Normal 2 10 3 2 3 2 2 3 2" xfId="41358" xr:uid="{00000000-0005-0000-0000-0000F73A0000}"/>
    <cellStyle name="Normal 2 10 3 2 3 2 2 4" xfId="11275" xr:uid="{00000000-0005-0000-0000-0000F83A0000}"/>
    <cellStyle name="Normal 2 10 3 2 3 2 2 4 2" xfId="33918" xr:uid="{00000000-0005-0000-0000-0000F93A0000}"/>
    <cellStyle name="Normal 2 10 3 2 3 2 2 5" xfId="26477" xr:uid="{00000000-0005-0000-0000-0000FA3A0000}"/>
    <cellStyle name="Normal 2 10 3 2 3 2 3" xfId="5702" xr:uid="{00000000-0005-0000-0000-0000FB3A0000}"/>
    <cellStyle name="Normal 2 10 3 2 3 2 3 2" xfId="20586" xr:uid="{00000000-0005-0000-0000-0000FC3A0000}"/>
    <cellStyle name="Normal 2 10 3 2 3 2 3 2 2" xfId="43229" xr:uid="{00000000-0005-0000-0000-0000FD3A0000}"/>
    <cellStyle name="Normal 2 10 3 2 3 2 3 3" xfId="13146" xr:uid="{00000000-0005-0000-0000-0000FE3A0000}"/>
    <cellStyle name="Normal 2 10 3 2 3 2 3 3 2" xfId="35789" xr:uid="{00000000-0005-0000-0000-0000FF3A0000}"/>
    <cellStyle name="Normal 2 10 3 2 3 2 3 4" xfId="28348" xr:uid="{00000000-0005-0000-0000-0000003B0000}"/>
    <cellStyle name="Normal 2 10 3 2 3 2 4" xfId="16868" xr:uid="{00000000-0005-0000-0000-0000013B0000}"/>
    <cellStyle name="Normal 2 10 3 2 3 2 4 2" xfId="39511" xr:uid="{00000000-0005-0000-0000-0000023B0000}"/>
    <cellStyle name="Normal 2 10 3 2 3 2 5" xfId="9428" xr:uid="{00000000-0005-0000-0000-0000033B0000}"/>
    <cellStyle name="Normal 2 10 3 2 3 2 5 2" xfId="32071" xr:uid="{00000000-0005-0000-0000-0000043B0000}"/>
    <cellStyle name="Normal 2 10 3 2 3 2 6" xfId="24630" xr:uid="{00000000-0005-0000-0000-0000053B0000}"/>
    <cellStyle name="Normal 2 10 3 2 3 3" xfId="2903" xr:uid="{00000000-0005-0000-0000-0000063B0000}"/>
    <cellStyle name="Normal 2 10 3 2 3 3 2" xfId="6624" xr:uid="{00000000-0005-0000-0000-0000073B0000}"/>
    <cellStyle name="Normal 2 10 3 2 3 3 2 2" xfId="21508" xr:uid="{00000000-0005-0000-0000-0000083B0000}"/>
    <cellStyle name="Normal 2 10 3 2 3 3 2 2 2" xfId="44151" xr:uid="{00000000-0005-0000-0000-0000093B0000}"/>
    <cellStyle name="Normal 2 10 3 2 3 3 2 3" xfId="14068" xr:uid="{00000000-0005-0000-0000-00000A3B0000}"/>
    <cellStyle name="Normal 2 10 3 2 3 3 2 3 2" xfId="36711" xr:uid="{00000000-0005-0000-0000-00000B3B0000}"/>
    <cellStyle name="Normal 2 10 3 2 3 3 2 4" xfId="29270" xr:uid="{00000000-0005-0000-0000-00000C3B0000}"/>
    <cellStyle name="Normal 2 10 3 2 3 3 3" xfId="17790" xr:uid="{00000000-0005-0000-0000-00000D3B0000}"/>
    <cellStyle name="Normal 2 10 3 2 3 3 3 2" xfId="40433" xr:uid="{00000000-0005-0000-0000-00000E3B0000}"/>
    <cellStyle name="Normal 2 10 3 2 3 3 4" xfId="10350" xr:uid="{00000000-0005-0000-0000-00000F3B0000}"/>
    <cellStyle name="Normal 2 10 3 2 3 3 4 2" xfId="32993" xr:uid="{00000000-0005-0000-0000-0000103B0000}"/>
    <cellStyle name="Normal 2 10 3 2 3 3 5" xfId="25552" xr:uid="{00000000-0005-0000-0000-0000113B0000}"/>
    <cellStyle name="Normal 2 10 3 2 3 4" xfId="4777" xr:uid="{00000000-0005-0000-0000-0000123B0000}"/>
    <cellStyle name="Normal 2 10 3 2 3 4 2" xfId="19661" xr:uid="{00000000-0005-0000-0000-0000133B0000}"/>
    <cellStyle name="Normal 2 10 3 2 3 4 2 2" xfId="42304" xr:uid="{00000000-0005-0000-0000-0000143B0000}"/>
    <cellStyle name="Normal 2 10 3 2 3 4 3" xfId="12221" xr:uid="{00000000-0005-0000-0000-0000153B0000}"/>
    <cellStyle name="Normal 2 10 3 2 3 4 3 2" xfId="34864" xr:uid="{00000000-0005-0000-0000-0000163B0000}"/>
    <cellStyle name="Normal 2 10 3 2 3 4 4" xfId="27423" xr:uid="{00000000-0005-0000-0000-0000173B0000}"/>
    <cellStyle name="Normal 2 10 3 2 3 5" xfId="15943" xr:uid="{00000000-0005-0000-0000-0000183B0000}"/>
    <cellStyle name="Normal 2 10 3 2 3 5 2" xfId="38586" xr:uid="{00000000-0005-0000-0000-0000193B0000}"/>
    <cellStyle name="Normal 2 10 3 2 3 6" xfId="8503" xr:uid="{00000000-0005-0000-0000-00001A3B0000}"/>
    <cellStyle name="Normal 2 10 3 2 3 6 2" xfId="31146" xr:uid="{00000000-0005-0000-0000-00001B3B0000}"/>
    <cellStyle name="Normal 2 10 3 2 3 7" xfId="23705" xr:uid="{00000000-0005-0000-0000-00001C3B0000}"/>
    <cellStyle name="Normal 2 10 3 2 4" xfId="1516" xr:uid="{00000000-0005-0000-0000-00001D3B0000}"/>
    <cellStyle name="Normal 2 10 3 2 4 2" xfId="3366" xr:uid="{00000000-0005-0000-0000-00001E3B0000}"/>
    <cellStyle name="Normal 2 10 3 2 4 2 2" xfId="7087" xr:uid="{00000000-0005-0000-0000-00001F3B0000}"/>
    <cellStyle name="Normal 2 10 3 2 4 2 2 2" xfId="21971" xr:uid="{00000000-0005-0000-0000-0000203B0000}"/>
    <cellStyle name="Normal 2 10 3 2 4 2 2 2 2" xfId="44614" xr:uid="{00000000-0005-0000-0000-0000213B0000}"/>
    <cellStyle name="Normal 2 10 3 2 4 2 2 3" xfId="14531" xr:uid="{00000000-0005-0000-0000-0000223B0000}"/>
    <cellStyle name="Normal 2 10 3 2 4 2 2 3 2" xfId="37174" xr:uid="{00000000-0005-0000-0000-0000233B0000}"/>
    <cellStyle name="Normal 2 10 3 2 4 2 2 4" xfId="29733" xr:uid="{00000000-0005-0000-0000-0000243B0000}"/>
    <cellStyle name="Normal 2 10 3 2 4 2 3" xfId="18253" xr:uid="{00000000-0005-0000-0000-0000253B0000}"/>
    <cellStyle name="Normal 2 10 3 2 4 2 3 2" xfId="40896" xr:uid="{00000000-0005-0000-0000-0000263B0000}"/>
    <cellStyle name="Normal 2 10 3 2 4 2 4" xfId="10813" xr:uid="{00000000-0005-0000-0000-0000273B0000}"/>
    <cellStyle name="Normal 2 10 3 2 4 2 4 2" xfId="33456" xr:uid="{00000000-0005-0000-0000-0000283B0000}"/>
    <cellStyle name="Normal 2 10 3 2 4 2 5" xfId="26015" xr:uid="{00000000-0005-0000-0000-0000293B0000}"/>
    <cellStyle name="Normal 2 10 3 2 4 3" xfId="5240" xr:uid="{00000000-0005-0000-0000-00002A3B0000}"/>
    <cellStyle name="Normal 2 10 3 2 4 3 2" xfId="20124" xr:uid="{00000000-0005-0000-0000-00002B3B0000}"/>
    <cellStyle name="Normal 2 10 3 2 4 3 2 2" xfId="42767" xr:uid="{00000000-0005-0000-0000-00002C3B0000}"/>
    <cellStyle name="Normal 2 10 3 2 4 3 3" xfId="12684" xr:uid="{00000000-0005-0000-0000-00002D3B0000}"/>
    <cellStyle name="Normal 2 10 3 2 4 3 3 2" xfId="35327" xr:uid="{00000000-0005-0000-0000-00002E3B0000}"/>
    <cellStyle name="Normal 2 10 3 2 4 3 4" xfId="27886" xr:uid="{00000000-0005-0000-0000-00002F3B0000}"/>
    <cellStyle name="Normal 2 10 3 2 4 4" xfId="16406" xr:uid="{00000000-0005-0000-0000-0000303B0000}"/>
    <cellStyle name="Normal 2 10 3 2 4 4 2" xfId="39049" xr:uid="{00000000-0005-0000-0000-0000313B0000}"/>
    <cellStyle name="Normal 2 10 3 2 4 5" xfId="8966" xr:uid="{00000000-0005-0000-0000-0000323B0000}"/>
    <cellStyle name="Normal 2 10 3 2 4 5 2" xfId="31609" xr:uid="{00000000-0005-0000-0000-0000333B0000}"/>
    <cellStyle name="Normal 2 10 3 2 4 6" xfId="24168" xr:uid="{00000000-0005-0000-0000-0000343B0000}"/>
    <cellStyle name="Normal 2 10 3 2 5" xfId="2441" xr:uid="{00000000-0005-0000-0000-0000353B0000}"/>
    <cellStyle name="Normal 2 10 3 2 5 2" xfId="6162" xr:uid="{00000000-0005-0000-0000-0000363B0000}"/>
    <cellStyle name="Normal 2 10 3 2 5 2 2" xfId="21046" xr:uid="{00000000-0005-0000-0000-0000373B0000}"/>
    <cellStyle name="Normal 2 10 3 2 5 2 2 2" xfId="43689" xr:uid="{00000000-0005-0000-0000-0000383B0000}"/>
    <cellStyle name="Normal 2 10 3 2 5 2 3" xfId="13606" xr:uid="{00000000-0005-0000-0000-0000393B0000}"/>
    <cellStyle name="Normal 2 10 3 2 5 2 3 2" xfId="36249" xr:uid="{00000000-0005-0000-0000-00003A3B0000}"/>
    <cellStyle name="Normal 2 10 3 2 5 2 4" xfId="28808" xr:uid="{00000000-0005-0000-0000-00003B3B0000}"/>
    <cellStyle name="Normal 2 10 3 2 5 3" xfId="17328" xr:uid="{00000000-0005-0000-0000-00003C3B0000}"/>
    <cellStyle name="Normal 2 10 3 2 5 3 2" xfId="39971" xr:uid="{00000000-0005-0000-0000-00003D3B0000}"/>
    <cellStyle name="Normal 2 10 3 2 5 4" xfId="9888" xr:uid="{00000000-0005-0000-0000-00003E3B0000}"/>
    <cellStyle name="Normal 2 10 3 2 5 4 2" xfId="32531" xr:uid="{00000000-0005-0000-0000-00003F3B0000}"/>
    <cellStyle name="Normal 2 10 3 2 5 5" xfId="25090" xr:uid="{00000000-0005-0000-0000-0000403B0000}"/>
    <cellStyle name="Normal 2 10 3 2 6" xfId="4315" xr:uid="{00000000-0005-0000-0000-0000413B0000}"/>
    <cellStyle name="Normal 2 10 3 2 6 2" xfId="19199" xr:uid="{00000000-0005-0000-0000-0000423B0000}"/>
    <cellStyle name="Normal 2 10 3 2 6 2 2" xfId="41842" xr:uid="{00000000-0005-0000-0000-0000433B0000}"/>
    <cellStyle name="Normal 2 10 3 2 6 3" xfId="11759" xr:uid="{00000000-0005-0000-0000-0000443B0000}"/>
    <cellStyle name="Normal 2 10 3 2 6 3 2" xfId="34402" xr:uid="{00000000-0005-0000-0000-0000453B0000}"/>
    <cellStyle name="Normal 2 10 3 2 6 4" xfId="26961" xr:uid="{00000000-0005-0000-0000-0000463B0000}"/>
    <cellStyle name="Normal 2 10 3 2 7" xfId="15481" xr:uid="{00000000-0005-0000-0000-0000473B0000}"/>
    <cellStyle name="Normal 2 10 3 2 7 2" xfId="38124" xr:uid="{00000000-0005-0000-0000-0000483B0000}"/>
    <cellStyle name="Normal 2 10 3 2 8" xfId="8041" xr:uid="{00000000-0005-0000-0000-0000493B0000}"/>
    <cellStyle name="Normal 2 10 3 2 8 2" xfId="30684" xr:uid="{00000000-0005-0000-0000-00004A3B0000}"/>
    <cellStyle name="Normal 2 10 3 2 9" xfId="23244" xr:uid="{00000000-0005-0000-0000-00004B3B0000}"/>
    <cellStyle name="Normal 2 10 3 3" xfId="691" xr:uid="{00000000-0005-0000-0000-00004C3B0000}"/>
    <cellStyle name="Normal 2 10 3 3 2" xfId="1156" xr:uid="{00000000-0005-0000-0000-00004D3B0000}"/>
    <cellStyle name="Normal 2 10 3 3 2 2" xfId="2084" xr:uid="{00000000-0005-0000-0000-00004E3B0000}"/>
    <cellStyle name="Normal 2 10 3 3 2 2 2" xfId="3934" xr:uid="{00000000-0005-0000-0000-00004F3B0000}"/>
    <cellStyle name="Normal 2 10 3 3 2 2 2 2" xfId="7655" xr:uid="{00000000-0005-0000-0000-0000503B0000}"/>
    <cellStyle name="Normal 2 10 3 3 2 2 2 2 2" xfId="22539" xr:uid="{00000000-0005-0000-0000-0000513B0000}"/>
    <cellStyle name="Normal 2 10 3 3 2 2 2 2 2 2" xfId="45182" xr:uid="{00000000-0005-0000-0000-0000523B0000}"/>
    <cellStyle name="Normal 2 10 3 3 2 2 2 2 3" xfId="15099" xr:uid="{00000000-0005-0000-0000-0000533B0000}"/>
    <cellStyle name="Normal 2 10 3 3 2 2 2 2 3 2" xfId="37742" xr:uid="{00000000-0005-0000-0000-0000543B0000}"/>
    <cellStyle name="Normal 2 10 3 3 2 2 2 2 4" xfId="30301" xr:uid="{00000000-0005-0000-0000-0000553B0000}"/>
    <cellStyle name="Normal 2 10 3 3 2 2 2 3" xfId="18821" xr:uid="{00000000-0005-0000-0000-0000563B0000}"/>
    <cellStyle name="Normal 2 10 3 3 2 2 2 3 2" xfId="41464" xr:uid="{00000000-0005-0000-0000-0000573B0000}"/>
    <cellStyle name="Normal 2 10 3 3 2 2 2 4" xfId="11381" xr:uid="{00000000-0005-0000-0000-0000583B0000}"/>
    <cellStyle name="Normal 2 10 3 3 2 2 2 4 2" xfId="34024" xr:uid="{00000000-0005-0000-0000-0000593B0000}"/>
    <cellStyle name="Normal 2 10 3 3 2 2 2 5" xfId="26583" xr:uid="{00000000-0005-0000-0000-00005A3B0000}"/>
    <cellStyle name="Normal 2 10 3 3 2 2 3" xfId="5808" xr:uid="{00000000-0005-0000-0000-00005B3B0000}"/>
    <cellStyle name="Normal 2 10 3 3 2 2 3 2" xfId="20692" xr:uid="{00000000-0005-0000-0000-00005C3B0000}"/>
    <cellStyle name="Normal 2 10 3 3 2 2 3 2 2" xfId="43335" xr:uid="{00000000-0005-0000-0000-00005D3B0000}"/>
    <cellStyle name="Normal 2 10 3 3 2 2 3 3" xfId="13252" xr:uid="{00000000-0005-0000-0000-00005E3B0000}"/>
    <cellStyle name="Normal 2 10 3 3 2 2 3 3 2" xfId="35895" xr:uid="{00000000-0005-0000-0000-00005F3B0000}"/>
    <cellStyle name="Normal 2 10 3 3 2 2 3 4" xfId="28454" xr:uid="{00000000-0005-0000-0000-0000603B0000}"/>
    <cellStyle name="Normal 2 10 3 3 2 2 4" xfId="16974" xr:uid="{00000000-0005-0000-0000-0000613B0000}"/>
    <cellStyle name="Normal 2 10 3 3 2 2 4 2" xfId="39617" xr:uid="{00000000-0005-0000-0000-0000623B0000}"/>
    <cellStyle name="Normal 2 10 3 3 2 2 5" xfId="9534" xr:uid="{00000000-0005-0000-0000-0000633B0000}"/>
    <cellStyle name="Normal 2 10 3 3 2 2 5 2" xfId="32177" xr:uid="{00000000-0005-0000-0000-0000643B0000}"/>
    <cellStyle name="Normal 2 10 3 3 2 2 6" xfId="24736" xr:uid="{00000000-0005-0000-0000-0000653B0000}"/>
    <cellStyle name="Normal 2 10 3 3 2 3" xfId="3009" xr:uid="{00000000-0005-0000-0000-0000663B0000}"/>
    <cellStyle name="Normal 2 10 3 3 2 3 2" xfId="6730" xr:uid="{00000000-0005-0000-0000-0000673B0000}"/>
    <cellStyle name="Normal 2 10 3 3 2 3 2 2" xfId="21614" xr:uid="{00000000-0005-0000-0000-0000683B0000}"/>
    <cellStyle name="Normal 2 10 3 3 2 3 2 2 2" xfId="44257" xr:uid="{00000000-0005-0000-0000-0000693B0000}"/>
    <cellStyle name="Normal 2 10 3 3 2 3 2 3" xfId="14174" xr:uid="{00000000-0005-0000-0000-00006A3B0000}"/>
    <cellStyle name="Normal 2 10 3 3 2 3 2 3 2" xfId="36817" xr:uid="{00000000-0005-0000-0000-00006B3B0000}"/>
    <cellStyle name="Normal 2 10 3 3 2 3 2 4" xfId="29376" xr:uid="{00000000-0005-0000-0000-00006C3B0000}"/>
    <cellStyle name="Normal 2 10 3 3 2 3 3" xfId="17896" xr:uid="{00000000-0005-0000-0000-00006D3B0000}"/>
    <cellStyle name="Normal 2 10 3 3 2 3 3 2" xfId="40539" xr:uid="{00000000-0005-0000-0000-00006E3B0000}"/>
    <cellStyle name="Normal 2 10 3 3 2 3 4" xfId="10456" xr:uid="{00000000-0005-0000-0000-00006F3B0000}"/>
    <cellStyle name="Normal 2 10 3 3 2 3 4 2" xfId="33099" xr:uid="{00000000-0005-0000-0000-0000703B0000}"/>
    <cellStyle name="Normal 2 10 3 3 2 3 5" xfId="25658" xr:uid="{00000000-0005-0000-0000-0000713B0000}"/>
    <cellStyle name="Normal 2 10 3 3 2 4" xfId="4883" xr:uid="{00000000-0005-0000-0000-0000723B0000}"/>
    <cellStyle name="Normal 2 10 3 3 2 4 2" xfId="19767" xr:uid="{00000000-0005-0000-0000-0000733B0000}"/>
    <cellStyle name="Normal 2 10 3 3 2 4 2 2" xfId="42410" xr:uid="{00000000-0005-0000-0000-0000743B0000}"/>
    <cellStyle name="Normal 2 10 3 3 2 4 3" xfId="12327" xr:uid="{00000000-0005-0000-0000-0000753B0000}"/>
    <cellStyle name="Normal 2 10 3 3 2 4 3 2" xfId="34970" xr:uid="{00000000-0005-0000-0000-0000763B0000}"/>
    <cellStyle name="Normal 2 10 3 3 2 4 4" xfId="27529" xr:uid="{00000000-0005-0000-0000-0000773B0000}"/>
    <cellStyle name="Normal 2 10 3 3 2 5" xfId="16049" xr:uid="{00000000-0005-0000-0000-0000783B0000}"/>
    <cellStyle name="Normal 2 10 3 3 2 5 2" xfId="38692" xr:uid="{00000000-0005-0000-0000-0000793B0000}"/>
    <cellStyle name="Normal 2 10 3 3 2 6" xfId="8609" xr:uid="{00000000-0005-0000-0000-00007A3B0000}"/>
    <cellStyle name="Normal 2 10 3 3 2 6 2" xfId="31252" xr:uid="{00000000-0005-0000-0000-00007B3B0000}"/>
    <cellStyle name="Normal 2 10 3 3 2 7" xfId="23811" xr:uid="{00000000-0005-0000-0000-00007C3B0000}"/>
    <cellStyle name="Normal 2 10 3 3 3" xfId="1622" xr:uid="{00000000-0005-0000-0000-00007D3B0000}"/>
    <cellStyle name="Normal 2 10 3 3 3 2" xfId="3472" xr:uid="{00000000-0005-0000-0000-00007E3B0000}"/>
    <cellStyle name="Normal 2 10 3 3 3 2 2" xfId="7193" xr:uid="{00000000-0005-0000-0000-00007F3B0000}"/>
    <cellStyle name="Normal 2 10 3 3 3 2 2 2" xfId="22077" xr:uid="{00000000-0005-0000-0000-0000803B0000}"/>
    <cellStyle name="Normal 2 10 3 3 3 2 2 2 2" xfId="44720" xr:uid="{00000000-0005-0000-0000-0000813B0000}"/>
    <cellStyle name="Normal 2 10 3 3 3 2 2 3" xfId="14637" xr:uid="{00000000-0005-0000-0000-0000823B0000}"/>
    <cellStyle name="Normal 2 10 3 3 3 2 2 3 2" xfId="37280" xr:uid="{00000000-0005-0000-0000-0000833B0000}"/>
    <cellStyle name="Normal 2 10 3 3 3 2 2 4" xfId="29839" xr:uid="{00000000-0005-0000-0000-0000843B0000}"/>
    <cellStyle name="Normal 2 10 3 3 3 2 3" xfId="18359" xr:uid="{00000000-0005-0000-0000-0000853B0000}"/>
    <cellStyle name="Normal 2 10 3 3 3 2 3 2" xfId="41002" xr:uid="{00000000-0005-0000-0000-0000863B0000}"/>
    <cellStyle name="Normal 2 10 3 3 3 2 4" xfId="10919" xr:uid="{00000000-0005-0000-0000-0000873B0000}"/>
    <cellStyle name="Normal 2 10 3 3 3 2 4 2" xfId="33562" xr:uid="{00000000-0005-0000-0000-0000883B0000}"/>
    <cellStyle name="Normal 2 10 3 3 3 2 5" xfId="26121" xr:uid="{00000000-0005-0000-0000-0000893B0000}"/>
    <cellStyle name="Normal 2 10 3 3 3 3" xfId="5346" xr:uid="{00000000-0005-0000-0000-00008A3B0000}"/>
    <cellStyle name="Normal 2 10 3 3 3 3 2" xfId="20230" xr:uid="{00000000-0005-0000-0000-00008B3B0000}"/>
    <cellStyle name="Normal 2 10 3 3 3 3 2 2" xfId="42873" xr:uid="{00000000-0005-0000-0000-00008C3B0000}"/>
    <cellStyle name="Normal 2 10 3 3 3 3 3" xfId="12790" xr:uid="{00000000-0005-0000-0000-00008D3B0000}"/>
    <cellStyle name="Normal 2 10 3 3 3 3 3 2" xfId="35433" xr:uid="{00000000-0005-0000-0000-00008E3B0000}"/>
    <cellStyle name="Normal 2 10 3 3 3 3 4" xfId="27992" xr:uid="{00000000-0005-0000-0000-00008F3B0000}"/>
    <cellStyle name="Normal 2 10 3 3 3 4" xfId="16512" xr:uid="{00000000-0005-0000-0000-0000903B0000}"/>
    <cellStyle name="Normal 2 10 3 3 3 4 2" xfId="39155" xr:uid="{00000000-0005-0000-0000-0000913B0000}"/>
    <cellStyle name="Normal 2 10 3 3 3 5" xfId="9072" xr:uid="{00000000-0005-0000-0000-0000923B0000}"/>
    <cellStyle name="Normal 2 10 3 3 3 5 2" xfId="31715" xr:uid="{00000000-0005-0000-0000-0000933B0000}"/>
    <cellStyle name="Normal 2 10 3 3 3 6" xfId="24274" xr:uid="{00000000-0005-0000-0000-0000943B0000}"/>
    <cellStyle name="Normal 2 10 3 3 4" xfId="2547" xr:uid="{00000000-0005-0000-0000-0000953B0000}"/>
    <cellStyle name="Normal 2 10 3 3 4 2" xfId="6268" xr:uid="{00000000-0005-0000-0000-0000963B0000}"/>
    <cellStyle name="Normal 2 10 3 3 4 2 2" xfId="21152" xr:uid="{00000000-0005-0000-0000-0000973B0000}"/>
    <cellStyle name="Normal 2 10 3 3 4 2 2 2" xfId="43795" xr:uid="{00000000-0005-0000-0000-0000983B0000}"/>
    <cellStyle name="Normal 2 10 3 3 4 2 3" xfId="13712" xr:uid="{00000000-0005-0000-0000-0000993B0000}"/>
    <cellStyle name="Normal 2 10 3 3 4 2 3 2" xfId="36355" xr:uid="{00000000-0005-0000-0000-00009A3B0000}"/>
    <cellStyle name="Normal 2 10 3 3 4 2 4" xfId="28914" xr:uid="{00000000-0005-0000-0000-00009B3B0000}"/>
    <cellStyle name="Normal 2 10 3 3 4 3" xfId="17434" xr:uid="{00000000-0005-0000-0000-00009C3B0000}"/>
    <cellStyle name="Normal 2 10 3 3 4 3 2" xfId="40077" xr:uid="{00000000-0005-0000-0000-00009D3B0000}"/>
    <cellStyle name="Normal 2 10 3 3 4 4" xfId="9994" xr:uid="{00000000-0005-0000-0000-00009E3B0000}"/>
    <cellStyle name="Normal 2 10 3 3 4 4 2" xfId="32637" xr:uid="{00000000-0005-0000-0000-00009F3B0000}"/>
    <cellStyle name="Normal 2 10 3 3 4 5" xfId="25196" xr:uid="{00000000-0005-0000-0000-0000A03B0000}"/>
    <cellStyle name="Normal 2 10 3 3 5" xfId="4421" xr:uid="{00000000-0005-0000-0000-0000A13B0000}"/>
    <cellStyle name="Normal 2 10 3 3 5 2" xfId="19305" xr:uid="{00000000-0005-0000-0000-0000A23B0000}"/>
    <cellStyle name="Normal 2 10 3 3 5 2 2" xfId="41948" xr:uid="{00000000-0005-0000-0000-0000A33B0000}"/>
    <cellStyle name="Normal 2 10 3 3 5 3" xfId="11865" xr:uid="{00000000-0005-0000-0000-0000A43B0000}"/>
    <cellStyle name="Normal 2 10 3 3 5 3 2" xfId="34508" xr:uid="{00000000-0005-0000-0000-0000A53B0000}"/>
    <cellStyle name="Normal 2 10 3 3 5 4" xfId="27067" xr:uid="{00000000-0005-0000-0000-0000A63B0000}"/>
    <cellStyle name="Normal 2 10 3 3 6" xfId="15587" xr:uid="{00000000-0005-0000-0000-0000A73B0000}"/>
    <cellStyle name="Normal 2 10 3 3 6 2" xfId="38230" xr:uid="{00000000-0005-0000-0000-0000A83B0000}"/>
    <cellStyle name="Normal 2 10 3 3 7" xfId="8147" xr:uid="{00000000-0005-0000-0000-0000A93B0000}"/>
    <cellStyle name="Normal 2 10 3 3 7 2" xfId="30790" xr:uid="{00000000-0005-0000-0000-0000AA3B0000}"/>
    <cellStyle name="Normal 2 10 3 3 8" xfId="23349" xr:uid="{00000000-0005-0000-0000-0000AB3B0000}"/>
    <cellStyle name="Normal 2 10 3 4" xfId="945" xr:uid="{00000000-0005-0000-0000-0000AC3B0000}"/>
    <cellStyle name="Normal 2 10 3 4 2" xfId="1873" xr:uid="{00000000-0005-0000-0000-0000AD3B0000}"/>
    <cellStyle name="Normal 2 10 3 4 2 2" xfId="3723" xr:uid="{00000000-0005-0000-0000-0000AE3B0000}"/>
    <cellStyle name="Normal 2 10 3 4 2 2 2" xfId="7444" xr:uid="{00000000-0005-0000-0000-0000AF3B0000}"/>
    <cellStyle name="Normal 2 10 3 4 2 2 2 2" xfId="22328" xr:uid="{00000000-0005-0000-0000-0000B03B0000}"/>
    <cellStyle name="Normal 2 10 3 4 2 2 2 2 2" xfId="44971" xr:uid="{00000000-0005-0000-0000-0000B13B0000}"/>
    <cellStyle name="Normal 2 10 3 4 2 2 2 3" xfId="14888" xr:uid="{00000000-0005-0000-0000-0000B23B0000}"/>
    <cellStyle name="Normal 2 10 3 4 2 2 2 3 2" xfId="37531" xr:uid="{00000000-0005-0000-0000-0000B33B0000}"/>
    <cellStyle name="Normal 2 10 3 4 2 2 2 4" xfId="30090" xr:uid="{00000000-0005-0000-0000-0000B43B0000}"/>
    <cellStyle name="Normal 2 10 3 4 2 2 3" xfId="18610" xr:uid="{00000000-0005-0000-0000-0000B53B0000}"/>
    <cellStyle name="Normal 2 10 3 4 2 2 3 2" xfId="41253" xr:uid="{00000000-0005-0000-0000-0000B63B0000}"/>
    <cellStyle name="Normal 2 10 3 4 2 2 4" xfId="11170" xr:uid="{00000000-0005-0000-0000-0000B73B0000}"/>
    <cellStyle name="Normal 2 10 3 4 2 2 4 2" xfId="33813" xr:uid="{00000000-0005-0000-0000-0000B83B0000}"/>
    <cellStyle name="Normal 2 10 3 4 2 2 5" xfId="26372" xr:uid="{00000000-0005-0000-0000-0000B93B0000}"/>
    <cellStyle name="Normal 2 10 3 4 2 3" xfId="5597" xr:uid="{00000000-0005-0000-0000-0000BA3B0000}"/>
    <cellStyle name="Normal 2 10 3 4 2 3 2" xfId="20481" xr:uid="{00000000-0005-0000-0000-0000BB3B0000}"/>
    <cellStyle name="Normal 2 10 3 4 2 3 2 2" xfId="43124" xr:uid="{00000000-0005-0000-0000-0000BC3B0000}"/>
    <cellStyle name="Normal 2 10 3 4 2 3 3" xfId="13041" xr:uid="{00000000-0005-0000-0000-0000BD3B0000}"/>
    <cellStyle name="Normal 2 10 3 4 2 3 3 2" xfId="35684" xr:uid="{00000000-0005-0000-0000-0000BE3B0000}"/>
    <cellStyle name="Normal 2 10 3 4 2 3 4" xfId="28243" xr:uid="{00000000-0005-0000-0000-0000BF3B0000}"/>
    <cellStyle name="Normal 2 10 3 4 2 4" xfId="16763" xr:uid="{00000000-0005-0000-0000-0000C03B0000}"/>
    <cellStyle name="Normal 2 10 3 4 2 4 2" xfId="39406" xr:uid="{00000000-0005-0000-0000-0000C13B0000}"/>
    <cellStyle name="Normal 2 10 3 4 2 5" xfId="9323" xr:uid="{00000000-0005-0000-0000-0000C23B0000}"/>
    <cellStyle name="Normal 2 10 3 4 2 5 2" xfId="31966" xr:uid="{00000000-0005-0000-0000-0000C33B0000}"/>
    <cellStyle name="Normal 2 10 3 4 2 6" xfId="24525" xr:uid="{00000000-0005-0000-0000-0000C43B0000}"/>
    <cellStyle name="Normal 2 10 3 4 3" xfId="2798" xr:uid="{00000000-0005-0000-0000-0000C53B0000}"/>
    <cellStyle name="Normal 2 10 3 4 3 2" xfId="6519" xr:uid="{00000000-0005-0000-0000-0000C63B0000}"/>
    <cellStyle name="Normal 2 10 3 4 3 2 2" xfId="21403" xr:uid="{00000000-0005-0000-0000-0000C73B0000}"/>
    <cellStyle name="Normal 2 10 3 4 3 2 2 2" xfId="44046" xr:uid="{00000000-0005-0000-0000-0000C83B0000}"/>
    <cellStyle name="Normal 2 10 3 4 3 2 3" xfId="13963" xr:uid="{00000000-0005-0000-0000-0000C93B0000}"/>
    <cellStyle name="Normal 2 10 3 4 3 2 3 2" xfId="36606" xr:uid="{00000000-0005-0000-0000-0000CA3B0000}"/>
    <cellStyle name="Normal 2 10 3 4 3 2 4" xfId="29165" xr:uid="{00000000-0005-0000-0000-0000CB3B0000}"/>
    <cellStyle name="Normal 2 10 3 4 3 3" xfId="17685" xr:uid="{00000000-0005-0000-0000-0000CC3B0000}"/>
    <cellStyle name="Normal 2 10 3 4 3 3 2" xfId="40328" xr:uid="{00000000-0005-0000-0000-0000CD3B0000}"/>
    <cellStyle name="Normal 2 10 3 4 3 4" xfId="10245" xr:uid="{00000000-0005-0000-0000-0000CE3B0000}"/>
    <cellStyle name="Normal 2 10 3 4 3 4 2" xfId="32888" xr:uid="{00000000-0005-0000-0000-0000CF3B0000}"/>
    <cellStyle name="Normal 2 10 3 4 3 5" xfId="25447" xr:uid="{00000000-0005-0000-0000-0000D03B0000}"/>
    <cellStyle name="Normal 2 10 3 4 4" xfId="4672" xr:uid="{00000000-0005-0000-0000-0000D13B0000}"/>
    <cellStyle name="Normal 2 10 3 4 4 2" xfId="19556" xr:uid="{00000000-0005-0000-0000-0000D23B0000}"/>
    <cellStyle name="Normal 2 10 3 4 4 2 2" xfId="42199" xr:uid="{00000000-0005-0000-0000-0000D33B0000}"/>
    <cellStyle name="Normal 2 10 3 4 4 3" xfId="12116" xr:uid="{00000000-0005-0000-0000-0000D43B0000}"/>
    <cellStyle name="Normal 2 10 3 4 4 3 2" xfId="34759" xr:uid="{00000000-0005-0000-0000-0000D53B0000}"/>
    <cellStyle name="Normal 2 10 3 4 4 4" xfId="27318" xr:uid="{00000000-0005-0000-0000-0000D63B0000}"/>
    <cellStyle name="Normal 2 10 3 4 5" xfId="15838" xr:uid="{00000000-0005-0000-0000-0000D73B0000}"/>
    <cellStyle name="Normal 2 10 3 4 5 2" xfId="38481" xr:uid="{00000000-0005-0000-0000-0000D83B0000}"/>
    <cellStyle name="Normal 2 10 3 4 6" xfId="8398" xr:uid="{00000000-0005-0000-0000-0000D93B0000}"/>
    <cellStyle name="Normal 2 10 3 4 6 2" xfId="31041" xr:uid="{00000000-0005-0000-0000-0000DA3B0000}"/>
    <cellStyle name="Normal 2 10 3 4 7" xfId="23600" xr:uid="{00000000-0005-0000-0000-0000DB3B0000}"/>
    <cellStyle name="Normal 2 10 3 5" xfId="1411" xr:uid="{00000000-0005-0000-0000-0000DC3B0000}"/>
    <cellStyle name="Normal 2 10 3 5 2" xfId="3261" xr:uid="{00000000-0005-0000-0000-0000DD3B0000}"/>
    <cellStyle name="Normal 2 10 3 5 2 2" xfId="6982" xr:uid="{00000000-0005-0000-0000-0000DE3B0000}"/>
    <cellStyle name="Normal 2 10 3 5 2 2 2" xfId="21866" xr:uid="{00000000-0005-0000-0000-0000DF3B0000}"/>
    <cellStyle name="Normal 2 10 3 5 2 2 2 2" xfId="44509" xr:uid="{00000000-0005-0000-0000-0000E03B0000}"/>
    <cellStyle name="Normal 2 10 3 5 2 2 3" xfId="14426" xr:uid="{00000000-0005-0000-0000-0000E13B0000}"/>
    <cellStyle name="Normal 2 10 3 5 2 2 3 2" xfId="37069" xr:uid="{00000000-0005-0000-0000-0000E23B0000}"/>
    <cellStyle name="Normal 2 10 3 5 2 2 4" xfId="29628" xr:uid="{00000000-0005-0000-0000-0000E33B0000}"/>
    <cellStyle name="Normal 2 10 3 5 2 3" xfId="18148" xr:uid="{00000000-0005-0000-0000-0000E43B0000}"/>
    <cellStyle name="Normal 2 10 3 5 2 3 2" xfId="40791" xr:uid="{00000000-0005-0000-0000-0000E53B0000}"/>
    <cellStyle name="Normal 2 10 3 5 2 4" xfId="10708" xr:uid="{00000000-0005-0000-0000-0000E63B0000}"/>
    <cellStyle name="Normal 2 10 3 5 2 4 2" xfId="33351" xr:uid="{00000000-0005-0000-0000-0000E73B0000}"/>
    <cellStyle name="Normal 2 10 3 5 2 5" xfId="25910" xr:uid="{00000000-0005-0000-0000-0000E83B0000}"/>
    <cellStyle name="Normal 2 10 3 5 3" xfId="5135" xr:uid="{00000000-0005-0000-0000-0000E93B0000}"/>
    <cellStyle name="Normal 2 10 3 5 3 2" xfId="20019" xr:uid="{00000000-0005-0000-0000-0000EA3B0000}"/>
    <cellStyle name="Normal 2 10 3 5 3 2 2" xfId="42662" xr:uid="{00000000-0005-0000-0000-0000EB3B0000}"/>
    <cellStyle name="Normal 2 10 3 5 3 3" xfId="12579" xr:uid="{00000000-0005-0000-0000-0000EC3B0000}"/>
    <cellStyle name="Normal 2 10 3 5 3 3 2" xfId="35222" xr:uid="{00000000-0005-0000-0000-0000ED3B0000}"/>
    <cellStyle name="Normal 2 10 3 5 3 4" xfId="27781" xr:uid="{00000000-0005-0000-0000-0000EE3B0000}"/>
    <cellStyle name="Normal 2 10 3 5 4" xfId="16301" xr:uid="{00000000-0005-0000-0000-0000EF3B0000}"/>
    <cellStyle name="Normal 2 10 3 5 4 2" xfId="38944" xr:uid="{00000000-0005-0000-0000-0000F03B0000}"/>
    <cellStyle name="Normal 2 10 3 5 5" xfId="8861" xr:uid="{00000000-0005-0000-0000-0000F13B0000}"/>
    <cellStyle name="Normal 2 10 3 5 5 2" xfId="31504" xr:uid="{00000000-0005-0000-0000-0000F23B0000}"/>
    <cellStyle name="Normal 2 10 3 5 6" xfId="24063" xr:uid="{00000000-0005-0000-0000-0000F33B0000}"/>
    <cellStyle name="Normal 2 10 3 6" xfId="2336" xr:uid="{00000000-0005-0000-0000-0000F43B0000}"/>
    <cellStyle name="Normal 2 10 3 6 2" xfId="6057" xr:uid="{00000000-0005-0000-0000-0000F53B0000}"/>
    <cellStyle name="Normal 2 10 3 6 2 2" xfId="20941" xr:uid="{00000000-0005-0000-0000-0000F63B0000}"/>
    <cellStyle name="Normal 2 10 3 6 2 2 2" xfId="43584" xr:uid="{00000000-0005-0000-0000-0000F73B0000}"/>
    <cellStyle name="Normal 2 10 3 6 2 3" xfId="13501" xr:uid="{00000000-0005-0000-0000-0000F83B0000}"/>
    <cellStyle name="Normal 2 10 3 6 2 3 2" xfId="36144" xr:uid="{00000000-0005-0000-0000-0000F93B0000}"/>
    <cellStyle name="Normal 2 10 3 6 2 4" xfId="28703" xr:uid="{00000000-0005-0000-0000-0000FA3B0000}"/>
    <cellStyle name="Normal 2 10 3 6 3" xfId="17223" xr:uid="{00000000-0005-0000-0000-0000FB3B0000}"/>
    <cellStyle name="Normal 2 10 3 6 3 2" xfId="39866" xr:uid="{00000000-0005-0000-0000-0000FC3B0000}"/>
    <cellStyle name="Normal 2 10 3 6 4" xfId="9783" xr:uid="{00000000-0005-0000-0000-0000FD3B0000}"/>
    <cellStyle name="Normal 2 10 3 6 4 2" xfId="32426" xr:uid="{00000000-0005-0000-0000-0000FE3B0000}"/>
    <cellStyle name="Normal 2 10 3 6 5" xfId="24985" xr:uid="{00000000-0005-0000-0000-0000FF3B0000}"/>
    <cellStyle name="Normal 2 10 3 7" xfId="4210" xr:uid="{00000000-0005-0000-0000-0000003C0000}"/>
    <cellStyle name="Normal 2 10 3 7 2" xfId="19094" xr:uid="{00000000-0005-0000-0000-0000013C0000}"/>
    <cellStyle name="Normal 2 10 3 7 2 2" xfId="41737" xr:uid="{00000000-0005-0000-0000-0000023C0000}"/>
    <cellStyle name="Normal 2 10 3 7 3" xfId="11654" xr:uid="{00000000-0005-0000-0000-0000033C0000}"/>
    <cellStyle name="Normal 2 10 3 7 3 2" xfId="34297" xr:uid="{00000000-0005-0000-0000-0000043C0000}"/>
    <cellStyle name="Normal 2 10 3 7 4" xfId="26856" xr:uid="{00000000-0005-0000-0000-0000053C0000}"/>
    <cellStyle name="Normal 2 10 3 8" xfId="15376" xr:uid="{00000000-0005-0000-0000-0000063C0000}"/>
    <cellStyle name="Normal 2 10 3 8 2" xfId="38019" xr:uid="{00000000-0005-0000-0000-0000073C0000}"/>
    <cellStyle name="Normal 2 10 3 9" xfId="7936" xr:uid="{00000000-0005-0000-0000-0000083C0000}"/>
    <cellStyle name="Normal 2 10 3 9 2" xfId="30579" xr:uid="{00000000-0005-0000-0000-0000093C0000}"/>
    <cellStyle name="Normal 2 10 4" xfId="532" xr:uid="{00000000-0005-0000-0000-00000A3C0000}"/>
    <cellStyle name="Normal 2 10 4 2" xfId="744" xr:uid="{00000000-0005-0000-0000-00000B3C0000}"/>
    <cellStyle name="Normal 2 10 4 2 2" xfId="1209" xr:uid="{00000000-0005-0000-0000-00000C3C0000}"/>
    <cellStyle name="Normal 2 10 4 2 2 2" xfId="2137" xr:uid="{00000000-0005-0000-0000-00000D3C0000}"/>
    <cellStyle name="Normal 2 10 4 2 2 2 2" xfId="3987" xr:uid="{00000000-0005-0000-0000-00000E3C0000}"/>
    <cellStyle name="Normal 2 10 4 2 2 2 2 2" xfId="7708" xr:uid="{00000000-0005-0000-0000-00000F3C0000}"/>
    <cellStyle name="Normal 2 10 4 2 2 2 2 2 2" xfId="22592" xr:uid="{00000000-0005-0000-0000-0000103C0000}"/>
    <cellStyle name="Normal 2 10 4 2 2 2 2 2 2 2" xfId="45235" xr:uid="{00000000-0005-0000-0000-0000113C0000}"/>
    <cellStyle name="Normal 2 10 4 2 2 2 2 2 3" xfId="15152" xr:uid="{00000000-0005-0000-0000-0000123C0000}"/>
    <cellStyle name="Normal 2 10 4 2 2 2 2 2 3 2" xfId="37795" xr:uid="{00000000-0005-0000-0000-0000133C0000}"/>
    <cellStyle name="Normal 2 10 4 2 2 2 2 2 4" xfId="30354" xr:uid="{00000000-0005-0000-0000-0000143C0000}"/>
    <cellStyle name="Normal 2 10 4 2 2 2 2 3" xfId="18874" xr:uid="{00000000-0005-0000-0000-0000153C0000}"/>
    <cellStyle name="Normal 2 10 4 2 2 2 2 3 2" xfId="41517" xr:uid="{00000000-0005-0000-0000-0000163C0000}"/>
    <cellStyle name="Normal 2 10 4 2 2 2 2 4" xfId="11434" xr:uid="{00000000-0005-0000-0000-0000173C0000}"/>
    <cellStyle name="Normal 2 10 4 2 2 2 2 4 2" xfId="34077" xr:uid="{00000000-0005-0000-0000-0000183C0000}"/>
    <cellStyle name="Normal 2 10 4 2 2 2 2 5" xfId="26636" xr:uid="{00000000-0005-0000-0000-0000193C0000}"/>
    <cellStyle name="Normal 2 10 4 2 2 2 3" xfId="5861" xr:uid="{00000000-0005-0000-0000-00001A3C0000}"/>
    <cellStyle name="Normal 2 10 4 2 2 2 3 2" xfId="20745" xr:uid="{00000000-0005-0000-0000-00001B3C0000}"/>
    <cellStyle name="Normal 2 10 4 2 2 2 3 2 2" xfId="43388" xr:uid="{00000000-0005-0000-0000-00001C3C0000}"/>
    <cellStyle name="Normal 2 10 4 2 2 2 3 3" xfId="13305" xr:uid="{00000000-0005-0000-0000-00001D3C0000}"/>
    <cellStyle name="Normal 2 10 4 2 2 2 3 3 2" xfId="35948" xr:uid="{00000000-0005-0000-0000-00001E3C0000}"/>
    <cellStyle name="Normal 2 10 4 2 2 2 3 4" xfId="28507" xr:uid="{00000000-0005-0000-0000-00001F3C0000}"/>
    <cellStyle name="Normal 2 10 4 2 2 2 4" xfId="17027" xr:uid="{00000000-0005-0000-0000-0000203C0000}"/>
    <cellStyle name="Normal 2 10 4 2 2 2 4 2" xfId="39670" xr:uid="{00000000-0005-0000-0000-0000213C0000}"/>
    <cellStyle name="Normal 2 10 4 2 2 2 5" xfId="9587" xr:uid="{00000000-0005-0000-0000-0000223C0000}"/>
    <cellStyle name="Normal 2 10 4 2 2 2 5 2" xfId="32230" xr:uid="{00000000-0005-0000-0000-0000233C0000}"/>
    <cellStyle name="Normal 2 10 4 2 2 2 6" xfId="24789" xr:uid="{00000000-0005-0000-0000-0000243C0000}"/>
    <cellStyle name="Normal 2 10 4 2 2 3" xfId="3062" xr:uid="{00000000-0005-0000-0000-0000253C0000}"/>
    <cellStyle name="Normal 2 10 4 2 2 3 2" xfId="6783" xr:uid="{00000000-0005-0000-0000-0000263C0000}"/>
    <cellStyle name="Normal 2 10 4 2 2 3 2 2" xfId="21667" xr:uid="{00000000-0005-0000-0000-0000273C0000}"/>
    <cellStyle name="Normal 2 10 4 2 2 3 2 2 2" xfId="44310" xr:uid="{00000000-0005-0000-0000-0000283C0000}"/>
    <cellStyle name="Normal 2 10 4 2 2 3 2 3" xfId="14227" xr:uid="{00000000-0005-0000-0000-0000293C0000}"/>
    <cellStyle name="Normal 2 10 4 2 2 3 2 3 2" xfId="36870" xr:uid="{00000000-0005-0000-0000-00002A3C0000}"/>
    <cellStyle name="Normal 2 10 4 2 2 3 2 4" xfId="29429" xr:uid="{00000000-0005-0000-0000-00002B3C0000}"/>
    <cellStyle name="Normal 2 10 4 2 2 3 3" xfId="17949" xr:uid="{00000000-0005-0000-0000-00002C3C0000}"/>
    <cellStyle name="Normal 2 10 4 2 2 3 3 2" xfId="40592" xr:uid="{00000000-0005-0000-0000-00002D3C0000}"/>
    <cellStyle name="Normal 2 10 4 2 2 3 4" xfId="10509" xr:uid="{00000000-0005-0000-0000-00002E3C0000}"/>
    <cellStyle name="Normal 2 10 4 2 2 3 4 2" xfId="33152" xr:uid="{00000000-0005-0000-0000-00002F3C0000}"/>
    <cellStyle name="Normal 2 10 4 2 2 3 5" xfId="25711" xr:uid="{00000000-0005-0000-0000-0000303C0000}"/>
    <cellStyle name="Normal 2 10 4 2 2 4" xfId="4936" xr:uid="{00000000-0005-0000-0000-0000313C0000}"/>
    <cellStyle name="Normal 2 10 4 2 2 4 2" xfId="19820" xr:uid="{00000000-0005-0000-0000-0000323C0000}"/>
    <cellStyle name="Normal 2 10 4 2 2 4 2 2" xfId="42463" xr:uid="{00000000-0005-0000-0000-0000333C0000}"/>
    <cellStyle name="Normal 2 10 4 2 2 4 3" xfId="12380" xr:uid="{00000000-0005-0000-0000-0000343C0000}"/>
    <cellStyle name="Normal 2 10 4 2 2 4 3 2" xfId="35023" xr:uid="{00000000-0005-0000-0000-0000353C0000}"/>
    <cellStyle name="Normal 2 10 4 2 2 4 4" xfId="27582" xr:uid="{00000000-0005-0000-0000-0000363C0000}"/>
    <cellStyle name="Normal 2 10 4 2 2 5" xfId="16102" xr:uid="{00000000-0005-0000-0000-0000373C0000}"/>
    <cellStyle name="Normal 2 10 4 2 2 5 2" xfId="38745" xr:uid="{00000000-0005-0000-0000-0000383C0000}"/>
    <cellStyle name="Normal 2 10 4 2 2 6" xfId="8662" xr:uid="{00000000-0005-0000-0000-0000393C0000}"/>
    <cellStyle name="Normal 2 10 4 2 2 6 2" xfId="31305" xr:uid="{00000000-0005-0000-0000-00003A3C0000}"/>
    <cellStyle name="Normal 2 10 4 2 2 7" xfId="23864" xr:uid="{00000000-0005-0000-0000-00003B3C0000}"/>
    <cellStyle name="Normal 2 10 4 2 3" xfId="1675" xr:uid="{00000000-0005-0000-0000-00003C3C0000}"/>
    <cellStyle name="Normal 2 10 4 2 3 2" xfId="3525" xr:uid="{00000000-0005-0000-0000-00003D3C0000}"/>
    <cellStyle name="Normal 2 10 4 2 3 2 2" xfId="7246" xr:uid="{00000000-0005-0000-0000-00003E3C0000}"/>
    <cellStyle name="Normal 2 10 4 2 3 2 2 2" xfId="22130" xr:uid="{00000000-0005-0000-0000-00003F3C0000}"/>
    <cellStyle name="Normal 2 10 4 2 3 2 2 2 2" xfId="44773" xr:uid="{00000000-0005-0000-0000-0000403C0000}"/>
    <cellStyle name="Normal 2 10 4 2 3 2 2 3" xfId="14690" xr:uid="{00000000-0005-0000-0000-0000413C0000}"/>
    <cellStyle name="Normal 2 10 4 2 3 2 2 3 2" xfId="37333" xr:uid="{00000000-0005-0000-0000-0000423C0000}"/>
    <cellStyle name="Normal 2 10 4 2 3 2 2 4" xfId="29892" xr:uid="{00000000-0005-0000-0000-0000433C0000}"/>
    <cellStyle name="Normal 2 10 4 2 3 2 3" xfId="18412" xr:uid="{00000000-0005-0000-0000-0000443C0000}"/>
    <cellStyle name="Normal 2 10 4 2 3 2 3 2" xfId="41055" xr:uid="{00000000-0005-0000-0000-0000453C0000}"/>
    <cellStyle name="Normal 2 10 4 2 3 2 4" xfId="10972" xr:uid="{00000000-0005-0000-0000-0000463C0000}"/>
    <cellStyle name="Normal 2 10 4 2 3 2 4 2" xfId="33615" xr:uid="{00000000-0005-0000-0000-0000473C0000}"/>
    <cellStyle name="Normal 2 10 4 2 3 2 5" xfId="26174" xr:uid="{00000000-0005-0000-0000-0000483C0000}"/>
    <cellStyle name="Normal 2 10 4 2 3 3" xfId="5399" xr:uid="{00000000-0005-0000-0000-0000493C0000}"/>
    <cellStyle name="Normal 2 10 4 2 3 3 2" xfId="20283" xr:uid="{00000000-0005-0000-0000-00004A3C0000}"/>
    <cellStyle name="Normal 2 10 4 2 3 3 2 2" xfId="42926" xr:uid="{00000000-0005-0000-0000-00004B3C0000}"/>
    <cellStyle name="Normal 2 10 4 2 3 3 3" xfId="12843" xr:uid="{00000000-0005-0000-0000-00004C3C0000}"/>
    <cellStyle name="Normal 2 10 4 2 3 3 3 2" xfId="35486" xr:uid="{00000000-0005-0000-0000-00004D3C0000}"/>
    <cellStyle name="Normal 2 10 4 2 3 3 4" xfId="28045" xr:uid="{00000000-0005-0000-0000-00004E3C0000}"/>
    <cellStyle name="Normal 2 10 4 2 3 4" xfId="16565" xr:uid="{00000000-0005-0000-0000-00004F3C0000}"/>
    <cellStyle name="Normal 2 10 4 2 3 4 2" xfId="39208" xr:uid="{00000000-0005-0000-0000-0000503C0000}"/>
    <cellStyle name="Normal 2 10 4 2 3 5" xfId="9125" xr:uid="{00000000-0005-0000-0000-0000513C0000}"/>
    <cellStyle name="Normal 2 10 4 2 3 5 2" xfId="31768" xr:uid="{00000000-0005-0000-0000-0000523C0000}"/>
    <cellStyle name="Normal 2 10 4 2 3 6" xfId="24327" xr:uid="{00000000-0005-0000-0000-0000533C0000}"/>
    <cellStyle name="Normal 2 10 4 2 4" xfId="2600" xr:uid="{00000000-0005-0000-0000-0000543C0000}"/>
    <cellStyle name="Normal 2 10 4 2 4 2" xfId="6321" xr:uid="{00000000-0005-0000-0000-0000553C0000}"/>
    <cellStyle name="Normal 2 10 4 2 4 2 2" xfId="21205" xr:uid="{00000000-0005-0000-0000-0000563C0000}"/>
    <cellStyle name="Normal 2 10 4 2 4 2 2 2" xfId="43848" xr:uid="{00000000-0005-0000-0000-0000573C0000}"/>
    <cellStyle name="Normal 2 10 4 2 4 2 3" xfId="13765" xr:uid="{00000000-0005-0000-0000-0000583C0000}"/>
    <cellStyle name="Normal 2 10 4 2 4 2 3 2" xfId="36408" xr:uid="{00000000-0005-0000-0000-0000593C0000}"/>
    <cellStyle name="Normal 2 10 4 2 4 2 4" xfId="28967" xr:uid="{00000000-0005-0000-0000-00005A3C0000}"/>
    <cellStyle name="Normal 2 10 4 2 4 3" xfId="17487" xr:uid="{00000000-0005-0000-0000-00005B3C0000}"/>
    <cellStyle name="Normal 2 10 4 2 4 3 2" xfId="40130" xr:uid="{00000000-0005-0000-0000-00005C3C0000}"/>
    <cellStyle name="Normal 2 10 4 2 4 4" xfId="10047" xr:uid="{00000000-0005-0000-0000-00005D3C0000}"/>
    <cellStyle name="Normal 2 10 4 2 4 4 2" xfId="32690" xr:uid="{00000000-0005-0000-0000-00005E3C0000}"/>
    <cellStyle name="Normal 2 10 4 2 4 5" xfId="25249" xr:uid="{00000000-0005-0000-0000-00005F3C0000}"/>
    <cellStyle name="Normal 2 10 4 2 5" xfId="4474" xr:uid="{00000000-0005-0000-0000-0000603C0000}"/>
    <cellStyle name="Normal 2 10 4 2 5 2" xfId="19358" xr:uid="{00000000-0005-0000-0000-0000613C0000}"/>
    <cellStyle name="Normal 2 10 4 2 5 2 2" xfId="42001" xr:uid="{00000000-0005-0000-0000-0000623C0000}"/>
    <cellStyle name="Normal 2 10 4 2 5 3" xfId="11918" xr:uid="{00000000-0005-0000-0000-0000633C0000}"/>
    <cellStyle name="Normal 2 10 4 2 5 3 2" xfId="34561" xr:uid="{00000000-0005-0000-0000-0000643C0000}"/>
    <cellStyle name="Normal 2 10 4 2 5 4" xfId="27120" xr:uid="{00000000-0005-0000-0000-0000653C0000}"/>
    <cellStyle name="Normal 2 10 4 2 6" xfId="15640" xr:uid="{00000000-0005-0000-0000-0000663C0000}"/>
    <cellStyle name="Normal 2 10 4 2 6 2" xfId="38283" xr:uid="{00000000-0005-0000-0000-0000673C0000}"/>
    <cellStyle name="Normal 2 10 4 2 7" xfId="8200" xr:uid="{00000000-0005-0000-0000-0000683C0000}"/>
    <cellStyle name="Normal 2 10 4 2 7 2" xfId="30843" xr:uid="{00000000-0005-0000-0000-0000693C0000}"/>
    <cellStyle name="Normal 2 10 4 2 8" xfId="23402" xr:uid="{00000000-0005-0000-0000-00006A3C0000}"/>
    <cellStyle name="Normal 2 10 4 3" xfId="998" xr:uid="{00000000-0005-0000-0000-00006B3C0000}"/>
    <cellStyle name="Normal 2 10 4 3 2" xfId="1926" xr:uid="{00000000-0005-0000-0000-00006C3C0000}"/>
    <cellStyle name="Normal 2 10 4 3 2 2" xfId="3776" xr:uid="{00000000-0005-0000-0000-00006D3C0000}"/>
    <cellStyle name="Normal 2 10 4 3 2 2 2" xfId="7497" xr:uid="{00000000-0005-0000-0000-00006E3C0000}"/>
    <cellStyle name="Normal 2 10 4 3 2 2 2 2" xfId="22381" xr:uid="{00000000-0005-0000-0000-00006F3C0000}"/>
    <cellStyle name="Normal 2 10 4 3 2 2 2 2 2" xfId="45024" xr:uid="{00000000-0005-0000-0000-0000703C0000}"/>
    <cellStyle name="Normal 2 10 4 3 2 2 2 3" xfId="14941" xr:uid="{00000000-0005-0000-0000-0000713C0000}"/>
    <cellStyle name="Normal 2 10 4 3 2 2 2 3 2" xfId="37584" xr:uid="{00000000-0005-0000-0000-0000723C0000}"/>
    <cellStyle name="Normal 2 10 4 3 2 2 2 4" xfId="30143" xr:uid="{00000000-0005-0000-0000-0000733C0000}"/>
    <cellStyle name="Normal 2 10 4 3 2 2 3" xfId="18663" xr:uid="{00000000-0005-0000-0000-0000743C0000}"/>
    <cellStyle name="Normal 2 10 4 3 2 2 3 2" xfId="41306" xr:uid="{00000000-0005-0000-0000-0000753C0000}"/>
    <cellStyle name="Normal 2 10 4 3 2 2 4" xfId="11223" xr:uid="{00000000-0005-0000-0000-0000763C0000}"/>
    <cellStyle name="Normal 2 10 4 3 2 2 4 2" xfId="33866" xr:uid="{00000000-0005-0000-0000-0000773C0000}"/>
    <cellStyle name="Normal 2 10 4 3 2 2 5" xfId="26425" xr:uid="{00000000-0005-0000-0000-0000783C0000}"/>
    <cellStyle name="Normal 2 10 4 3 2 3" xfId="5650" xr:uid="{00000000-0005-0000-0000-0000793C0000}"/>
    <cellStyle name="Normal 2 10 4 3 2 3 2" xfId="20534" xr:uid="{00000000-0005-0000-0000-00007A3C0000}"/>
    <cellStyle name="Normal 2 10 4 3 2 3 2 2" xfId="43177" xr:uid="{00000000-0005-0000-0000-00007B3C0000}"/>
    <cellStyle name="Normal 2 10 4 3 2 3 3" xfId="13094" xr:uid="{00000000-0005-0000-0000-00007C3C0000}"/>
    <cellStyle name="Normal 2 10 4 3 2 3 3 2" xfId="35737" xr:uid="{00000000-0005-0000-0000-00007D3C0000}"/>
    <cellStyle name="Normal 2 10 4 3 2 3 4" xfId="28296" xr:uid="{00000000-0005-0000-0000-00007E3C0000}"/>
    <cellStyle name="Normal 2 10 4 3 2 4" xfId="16816" xr:uid="{00000000-0005-0000-0000-00007F3C0000}"/>
    <cellStyle name="Normal 2 10 4 3 2 4 2" xfId="39459" xr:uid="{00000000-0005-0000-0000-0000803C0000}"/>
    <cellStyle name="Normal 2 10 4 3 2 5" xfId="9376" xr:uid="{00000000-0005-0000-0000-0000813C0000}"/>
    <cellStyle name="Normal 2 10 4 3 2 5 2" xfId="32019" xr:uid="{00000000-0005-0000-0000-0000823C0000}"/>
    <cellStyle name="Normal 2 10 4 3 2 6" xfId="24578" xr:uid="{00000000-0005-0000-0000-0000833C0000}"/>
    <cellStyle name="Normal 2 10 4 3 3" xfId="2851" xr:uid="{00000000-0005-0000-0000-0000843C0000}"/>
    <cellStyle name="Normal 2 10 4 3 3 2" xfId="6572" xr:uid="{00000000-0005-0000-0000-0000853C0000}"/>
    <cellStyle name="Normal 2 10 4 3 3 2 2" xfId="21456" xr:uid="{00000000-0005-0000-0000-0000863C0000}"/>
    <cellStyle name="Normal 2 10 4 3 3 2 2 2" xfId="44099" xr:uid="{00000000-0005-0000-0000-0000873C0000}"/>
    <cellStyle name="Normal 2 10 4 3 3 2 3" xfId="14016" xr:uid="{00000000-0005-0000-0000-0000883C0000}"/>
    <cellStyle name="Normal 2 10 4 3 3 2 3 2" xfId="36659" xr:uid="{00000000-0005-0000-0000-0000893C0000}"/>
    <cellStyle name="Normal 2 10 4 3 3 2 4" xfId="29218" xr:uid="{00000000-0005-0000-0000-00008A3C0000}"/>
    <cellStyle name="Normal 2 10 4 3 3 3" xfId="17738" xr:uid="{00000000-0005-0000-0000-00008B3C0000}"/>
    <cellStyle name="Normal 2 10 4 3 3 3 2" xfId="40381" xr:uid="{00000000-0005-0000-0000-00008C3C0000}"/>
    <cellStyle name="Normal 2 10 4 3 3 4" xfId="10298" xr:uid="{00000000-0005-0000-0000-00008D3C0000}"/>
    <cellStyle name="Normal 2 10 4 3 3 4 2" xfId="32941" xr:uid="{00000000-0005-0000-0000-00008E3C0000}"/>
    <cellStyle name="Normal 2 10 4 3 3 5" xfId="25500" xr:uid="{00000000-0005-0000-0000-00008F3C0000}"/>
    <cellStyle name="Normal 2 10 4 3 4" xfId="4725" xr:uid="{00000000-0005-0000-0000-0000903C0000}"/>
    <cellStyle name="Normal 2 10 4 3 4 2" xfId="19609" xr:uid="{00000000-0005-0000-0000-0000913C0000}"/>
    <cellStyle name="Normal 2 10 4 3 4 2 2" xfId="42252" xr:uid="{00000000-0005-0000-0000-0000923C0000}"/>
    <cellStyle name="Normal 2 10 4 3 4 3" xfId="12169" xr:uid="{00000000-0005-0000-0000-0000933C0000}"/>
    <cellStyle name="Normal 2 10 4 3 4 3 2" xfId="34812" xr:uid="{00000000-0005-0000-0000-0000943C0000}"/>
    <cellStyle name="Normal 2 10 4 3 4 4" xfId="27371" xr:uid="{00000000-0005-0000-0000-0000953C0000}"/>
    <cellStyle name="Normal 2 10 4 3 5" xfId="15891" xr:uid="{00000000-0005-0000-0000-0000963C0000}"/>
    <cellStyle name="Normal 2 10 4 3 5 2" xfId="38534" xr:uid="{00000000-0005-0000-0000-0000973C0000}"/>
    <cellStyle name="Normal 2 10 4 3 6" xfId="8451" xr:uid="{00000000-0005-0000-0000-0000983C0000}"/>
    <cellStyle name="Normal 2 10 4 3 6 2" xfId="31094" xr:uid="{00000000-0005-0000-0000-0000993C0000}"/>
    <cellStyle name="Normal 2 10 4 3 7" xfId="23653" xr:uid="{00000000-0005-0000-0000-00009A3C0000}"/>
    <cellStyle name="Normal 2 10 4 4" xfId="1464" xr:uid="{00000000-0005-0000-0000-00009B3C0000}"/>
    <cellStyle name="Normal 2 10 4 4 2" xfId="3314" xr:uid="{00000000-0005-0000-0000-00009C3C0000}"/>
    <cellStyle name="Normal 2 10 4 4 2 2" xfId="7035" xr:uid="{00000000-0005-0000-0000-00009D3C0000}"/>
    <cellStyle name="Normal 2 10 4 4 2 2 2" xfId="21919" xr:uid="{00000000-0005-0000-0000-00009E3C0000}"/>
    <cellStyle name="Normal 2 10 4 4 2 2 2 2" xfId="44562" xr:uid="{00000000-0005-0000-0000-00009F3C0000}"/>
    <cellStyle name="Normal 2 10 4 4 2 2 3" xfId="14479" xr:uid="{00000000-0005-0000-0000-0000A03C0000}"/>
    <cellStyle name="Normal 2 10 4 4 2 2 3 2" xfId="37122" xr:uid="{00000000-0005-0000-0000-0000A13C0000}"/>
    <cellStyle name="Normal 2 10 4 4 2 2 4" xfId="29681" xr:uid="{00000000-0005-0000-0000-0000A23C0000}"/>
    <cellStyle name="Normal 2 10 4 4 2 3" xfId="18201" xr:uid="{00000000-0005-0000-0000-0000A33C0000}"/>
    <cellStyle name="Normal 2 10 4 4 2 3 2" xfId="40844" xr:uid="{00000000-0005-0000-0000-0000A43C0000}"/>
    <cellStyle name="Normal 2 10 4 4 2 4" xfId="10761" xr:uid="{00000000-0005-0000-0000-0000A53C0000}"/>
    <cellStyle name="Normal 2 10 4 4 2 4 2" xfId="33404" xr:uid="{00000000-0005-0000-0000-0000A63C0000}"/>
    <cellStyle name="Normal 2 10 4 4 2 5" xfId="25963" xr:uid="{00000000-0005-0000-0000-0000A73C0000}"/>
    <cellStyle name="Normal 2 10 4 4 3" xfId="5188" xr:uid="{00000000-0005-0000-0000-0000A83C0000}"/>
    <cellStyle name="Normal 2 10 4 4 3 2" xfId="20072" xr:uid="{00000000-0005-0000-0000-0000A93C0000}"/>
    <cellStyle name="Normal 2 10 4 4 3 2 2" xfId="42715" xr:uid="{00000000-0005-0000-0000-0000AA3C0000}"/>
    <cellStyle name="Normal 2 10 4 4 3 3" xfId="12632" xr:uid="{00000000-0005-0000-0000-0000AB3C0000}"/>
    <cellStyle name="Normal 2 10 4 4 3 3 2" xfId="35275" xr:uid="{00000000-0005-0000-0000-0000AC3C0000}"/>
    <cellStyle name="Normal 2 10 4 4 3 4" xfId="27834" xr:uid="{00000000-0005-0000-0000-0000AD3C0000}"/>
    <cellStyle name="Normal 2 10 4 4 4" xfId="16354" xr:uid="{00000000-0005-0000-0000-0000AE3C0000}"/>
    <cellStyle name="Normal 2 10 4 4 4 2" xfId="38997" xr:uid="{00000000-0005-0000-0000-0000AF3C0000}"/>
    <cellStyle name="Normal 2 10 4 4 5" xfId="8914" xr:uid="{00000000-0005-0000-0000-0000B03C0000}"/>
    <cellStyle name="Normal 2 10 4 4 5 2" xfId="31557" xr:uid="{00000000-0005-0000-0000-0000B13C0000}"/>
    <cellStyle name="Normal 2 10 4 4 6" xfId="24116" xr:uid="{00000000-0005-0000-0000-0000B23C0000}"/>
    <cellStyle name="Normal 2 10 4 5" xfId="2389" xr:uid="{00000000-0005-0000-0000-0000B33C0000}"/>
    <cellStyle name="Normal 2 10 4 5 2" xfId="6110" xr:uid="{00000000-0005-0000-0000-0000B43C0000}"/>
    <cellStyle name="Normal 2 10 4 5 2 2" xfId="20994" xr:uid="{00000000-0005-0000-0000-0000B53C0000}"/>
    <cellStyle name="Normal 2 10 4 5 2 2 2" xfId="43637" xr:uid="{00000000-0005-0000-0000-0000B63C0000}"/>
    <cellStyle name="Normal 2 10 4 5 2 3" xfId="13554" xr:uid="{00000000-0005-0000-0000-0000B73C0000}"/>
    <cellStyle name="Normal 2 10 4 5 2 3 2" xfId="36197" xr:uid="{00000000-0005-0000-0000-0000B83C0000}"/>
    <cellStyle name="Normal 2 10 4 5 2 4" xfId="28756" xr:uid="{00000000-0005-0000-0000-0000B93C0000}"/>
    <cellStyle name="Normal 2 10 4 5 3" xfId="17276" xr:uid="{00000000-0005-0000-0000-0000BA3C0000}"/>
    <cellStyle name="Normal 2 10 4 5 3 2" xfId="39919" xr:uid="{00000000-0005-0000-0000-0000BB3C0000}"/>
    <cellStyle name="Normal 2 10 4 5 4" xfId="9836" xr:uid="{00000000-0005-0000-0000-0000BC3C0000}"/>
    <cellStyle name="Normal 2 10 4 5 4 2" xfId="32479" xr:uid="{00000000-0005-0000-0000-0000BD3C0000}"/>
    <cellStyle name="Normal 2 10 4 5 5" xfId="25038" xr:uid="{00000000-0005-0000-0000-0000BE3C0000}"/>
    <cellStyle name="Normal 2 10 4 6" xfId="4263" xr:uid="{00000000-0005-0000-0000-0000BF3C0000}"/>
    <cellStyle name="Normal 2 10 4 6 2" xfId="19147" xr:uid="{00000000-0005-0000-0000-0000C03C0000}"/>
    <cellStyle name="Normal 2 10 4 6 2 2" xfId="41790" xr:uid="{00000000-0005-0000-0000-0000C13C0000}"/>
    <cellStyle name="Normal 2 10 4 6 3" xfId="11707" xr:uid="{00000000-0005-0000-0000-0000C23C0000}"/>
    <cellStyle name="Normal 2 10 4 6 3 2" xfId="34350" xr:uid="{00000000-0005-0000-0000-0000C33C0000}"/>
    <cellStyle name="Normal 2 10 4 6 4" xfId="26909" xr:uid="{00000000-0005-0000-0000-0000C43C0000}"/>
    <cellStyle name="Normal 2 10 4 7" xfId="15429" xr:uid="{00000000-0005-0000-0000-0000C53C0000}"/>
    <cellStyle name="Normal 2 10 4 7 2" xfId="38072" xr:uid="{00000000-0005-0000-0000-0000C63C0000}"/>
    <cellStyle name="Normal 2 10 4 8" xfId="7989" xr:uid="{00000000-0005-0000-0000-0000C73C0000}"/>
    <cellStyle name="Normal 2 10 4 8 2" xfId="30632" xr:uid="{00000000-0005-0000-0000-0000C83C0000}"/>
    <cellStyle name="Normal 2 10 4 9" xfId="23192" xr:uid="{00000000-0005-0000-0000-0000C93C0000}"/>
    <cellStyle name="Normal 2 10 5" xfId="638" xr:uid="{00000000-0005-0000-0000-0000CA3C0000}"/>
    <cellStyle name="Normal 2 10 5 2" xfId="1104" xr:uid="{00000000-0005-0000-0000-0000CB3C0000}"/>
    <cellStyle name="Normal 2 10 5 2 2" xfId="2032" xr:uid="{00000000-0005-0000-0000-0000CC3C0000}"/>
    <cellStyle name="Normal 2 10 5 2 2 2" xfId="3882" xr:uid="{00000000-0005-0000-0000-0000CD3C0000}"/>
    <cellStyle name="Normal 2 10 5 2 2 2 2" xfId="7603" xr:uid="{00000000-0005-0000-0000-0000CE3C0000}"/>
    <cellStyle name="Normal 2 10 5 2 2 2 2 2" xfId="22487" xr:uid="{00000000-0005-0000-0000-0000CF3C0000}"/>
    <cellStyle name="Normal 2 10 5 2 2 2 2 2 2" xfId="45130" xr:uid="{00000000-0005-0000-0000-0000D03C0000}"/>
    <cellStyle name="Normal 2 10 5 2 2 2 2 3" xfId="15047" xr:uid="{00000000-0005-0000-0000-0000D13C0000}"/>
    <cellStyle name="Normal 2 10 5 2 2 2 2 3 2" xfId="37690" xr:uid="{00000000-0005-0000-0000-0000D23C0000}"/>
    <cellStyle name="Normal 2 10 5 2 2 2 2 4" xfId="30249" xr:uid="{00000000-0005-0000-0000-0000D33C0000}"/>
    <cellStyle name="Normal 2 10 5 2 2 2 3" xfId="18769" xr:uid="{00000000-0005-0000-0000-0000D43C0000}"/>
    <cellStyle name="Normal 2 10 5 2 2 2 3 2" xfId="41412" xr:uid="{00000000-0005-0000-0000-0000D53C0000}"/>
    <cellStyle name="Normal 2 10 5 2 2 2 4" xfId="11329" xr:uid="{00000000-0005-0000-0000-0000D63C0000}"/>
    <cellStyle name="Normal 2 10 5 2 2 2 4 2" xfId="33972" xr:uid="{00000000-0005-0000-0000-0000D73C0000}"/>
    <cellStyle name="Normal 2 10 5 2 2 2 5" xfId="26531" xr:uid="{00000000-0005-0000-0000-0000D83C0000}"/>
    <cellStyle name="Normal 2 10 5 2 2 3" xfId="5756" xr:uid="{00000000-0005-0000-0000-0000D93C0000}"/>
    <cellStyle name="Normal 2 10 5 2 2 3 2" xfId="20640" xr:uid="{00000000-0005-0000-0000-0000DA3C0000}"/>
    <cellStyle name="Normal 2 10 5 2 2 3 2 2" xfId="43283" xr:uid="{00000000-0005-0000-0000-0000DB3C0000}"/>
    <cellStyle name="Normal 2 10 5 2 2 3 3" xfId="13200" xr:uid="{00000000-0005-0000-0000-0000DC3C0000}"/>
    <cellStyle name="Normal 2 10 5 2 2 3 3 2" xfId="35843" xr:uid="{00000000-0005-0000-0000-0000DD3C0000}"/>
    <cellStyle name="Normal 2 10 5 2 2 3 4" xfId="28402" xr:uid="{00000000-0005-0000-0000-0000DE3C0000}"/>
    <cellStyle name="Normal 2 10 5 2 2 4" xfId="16922" xr:uid="{00000000-0005-0000-0000-0000DF3C0000}"/>
    <cellStyle name="Normal 2 10 5 2 2 4 2" xfId="39565" xr:uid="{00000000-0005-0000-0000-0000E03C0000}"/>
    <cellStyle name="Normal 2 10 5 2 2 5" xfId="9482" xr:uid="{00000000-0005-0000-0000-0000E13C0000}"/>
    <cellStyle name="Normal 2 10 5 2 2 5 2" xfId="32125" xr:uid="{00000000-0005-0000-0000-0000E23C0000}"/>
    <cellStyle name="Normal 2 10 5 2 2 6" xfId="24684" xr:uid="{00000000-0005-0000-0000-0000E33C0000}"/>
    <cellStyle name="Normal 2 10 5 2 3" xfId="2957" xr:uid="{00000000-0005-0000-0000-0000E43C0000}"/>
    <cellStyle name="Normal 2 10 5 2 3 2" xfId="6678" xr:uid="{00000000-0005-0000-0000-0000E53C0000}"/>
    <cellStyle name="Normal 2 10 5 2 3 2 2" xfId="21562" xr:uid="{00000000-0005-0000-0000-0000E63C0000}"/>
    <cellStyle name="Normal 2 10 5 2 3 2 2 2" xfId="44205" xr:uid="{00000000-0005-0000-0000-0000E73C0000}"/>
    <cellStyle name="Normal 2 10 5 2 3 2 3" xfId="14122" xr:uid="{00000000-0005-0000-0000-0000E83C0000}"/>
    <cellStyle name="Normal 2 10 5 2 3 2 3 2" xfId="36765" xr:uid="{00000000-0005-0000-0000-0000E93C0000}"/>
    <cellStyle name="Normal 2 10 5 2 3 2 4" xfId="29324" xr:uid="{00000000-0005-0000-0000-0000EA3C0000}"/>
    <cellStyle name="Normal 2 10 5 2 3 3" xfId="17844" xr:uid="{00000000-0005-0000-0000-0000EB3C0000}"/>
    <cellStyle name="Normal 2 10 5 2 3 3 2" xfId="40487" xr:uid="{00000000-0005-0000-0000-0000EC3C0000}"/>
    <cellStyle name="Normal 2 10 5 2 3 4" xfId="10404" xr:uid="{00000000-0005-0000-0000-0000ED3C0000}"/>
    <cellStyle name="Normal 2 10 5 2 3 4 2" xfId="33047" xr:uid="{00000000-0005-0000-0000-0000EE3C0000}"/>
    <cellStyle name="Normal 2 10 5 2 3 5" xfId="25606" xr:uid="{00000000-0005-0000-0000-0000EF3C0000}"/>
    <cellStyle name="Normal 2 10 5 2 4" xfId="4831" xr:uid="{00000000-0005-0000-0000-0000F03C0000}"/>
    <cellStyle name="Normal 2 10 5 2 4 2" xfId="19715" xr:uid="{00000000-0005-0000-0000-0000F13C0000}"/>
    <cellStyle name="Normal 2 10 5 2 4 2 2" xfId="42358" xr:uid="{00000000-0005-0000-0000-0000F23C0000}"/>
    <cellStyle name="Normal 2 10 5 2 4 3" xfId="12275" xr:uid="{00000000-0005-0000-0000-0000F33C0000}"/>
    <cellStyle name="Normal 2 10 5 2 4 3 2" xfId="34918" xr:uid="{00000000-0005-0000-0000-0000F43C0000}"/>
    <cellStyle name="Normal 2 10 5 2 4 4" xfId="27477" xr:uid="{00000000-0005-0000-0000-0000F53C0000}"/>
    <cellStyle name="Normal 2 10 5 2 5" xfId="15997" xr:uid="{00000000-0005-0000-0000-0000F63C0000}"/>
    <cellStyle name="Normal 2 10 5 2 5 2" xfId="38640" xr:uid="{00000000-0005-0000-0000-0000F73C0000}"/>
    <cellStyle name="Normal 2 10 5 2 6" xfId="8557" xr:uid="{00000000-0005-0000-0000-0000F83C0000}"/>
    <cellStyle name="Normal 2 10 5 2 6 2" xfId="31200" xr:uid="{00000000-0005-0000-0000-0000F93C0000}"/>
    <cellStyle name="Normal 2 10 5 2 7" xfId="23759" xr:uid="{00000000-0005-0000-0000-0000FA3C0000}"/>
    <cellStyle name="Normal 2 10 5 3" xfId="1570" xr:uid="{00000000-0005-0000-0000-0000FB3C0000}"/>
    <cellStyle name="Normal 2 10 5 3 2" xfId="3420" xr:uid="{00000000-0005-0000-0000-0000FC3C0000}"/>
    <cellStyle name="Normal 2 10 5 3 2 2" xfId="7141" xr:uid="{00000000-0005-0000-0000-0000FD3C0000}"/>
    <cellStyle name="Normal 2 10 5 3 2 2 2" xfId="22025" xr:uid="{00000000-0005-0000-0000-0000FE3C0000}"/>
    <cellStyle name="Normal 2 10 5 3 2 2 2 2" xfId="44668" xr:uid="{00000000-0005-0000-0000-0000FF3C0000}"/>
    <cellStyle name="Normal 2 10 5 3 2 2 3" xfId="14585" xr:uid="{00000000-0005-0000-0000-0000003D0000}"/>
    <cellStyle name="Normal 2 10 5 3 2 2 3 2" xfId="37228" xr:uid="{00000000-0005-0000-0000-0000013D0000}"/>
    <cellStyle name="Normal 2 10 5 3 2 2 4" xfId="29787" xr:uid="{00000000-0005-0000-0000-0000023D0000}"/>
    <cellStyle name="Normal 2 10 5 3 2 3" xfId="18307" xr:uid="{00000000-0005-0000-0000-0000033D0000}"/>
    <cellStyle name="Normal 2 10 5 3 2 3 2" xfId="40950" xr:uid="{00000000-0005-0000-0000-0000043D0000}"/>
    <cellStyle name="Normal 2 10 5 3 2 4" xfId="10867" xr:uid="{00000000-0005-0000-0000-0000053D0000}"/>
    <cellStyle name="Normal 2 10 5 3 2 4 2" xfId="33510" xr:uid="{00000000-0005-0000-0000-0000063D0000}"/>
    <cellStyle name="Normal 2 10 5 3 2 5" xfId="26069" xr:uid="{00000000-0005-0000-0000-0000073D0000}"/>
    <cellStyle name="Normal 2 10 5 3 3" xfId="5294" xr:uid="{00000000-0005-0000-0000-0000083D0000}"/>
    <cellStyle name="Normal 2 10 5 3 3 2" xfId="20178" xr:uid="{00000000-0005-0000-0000-0000093D0000}"/>
    <cellStyle name="Normal 2 10 5 3 3 2 2" xfId="42821" xr:uid="{00000000-0005-0000-0000-00000A3D0000}"/>
    <cellStyle name="Normal 2 10 5 3 3 3" xfId="12738" xr:uid="{00000000-0005-0000-0000-00000B3D0000}"/>
    <cellStyle name="Normal 2 10 5 3 3 3 2" xfId="35381" xr:uid="{00000000-0005-0000-0000-00000C3D0000}"/>
    <cellStyle name="Normal 2 10 5 3 3 4" xfId="27940" xr:uid="{00000000-0005-0000-0000-00000D3D0000}"/>
    <cellStyle name="Normal 2 10 5 3 4" xfId="16460" xr:uid="{00000000-0005-0000-0000-00000E3D0000}"/>
    <cellStyle name="Normal 2 10 5 3 4 2" xfId="39103" xr:uid="{00000000-0005-0000-0000-00000F3D0000}"/>
    <cellStyle name="Normal 2 10 5 3 5" xfId="9020" xr:uid="{00000000-0005-0000-0000-0000103D0000}"/>
    <cellStyle name="Normal 2 10 5 3 5 2" xfId="31663" xr:uid="{00000000-0005-0000-0000-0000113D0000}"/>
    <cellStyle name="Normal 2 10 5 3 6" xfId="24222" xr:uid="{00000000-0005-0000-0000-0000123D0000}"/>
    <cellStyle name="Normal 2 10 5 4" xfId="2495" xr:uid="{00000000-0005-0000-0000-0000133D0000}"/>
    <cellStyle name="Normal 2 10 5 4 2" xfId="6216" xr:uid="{00000000-0005-0000-0000-0000143D0000}"/>
    <cellStyle name="Normal 2 10 5 4 2 2" xfId="21100" xr:uid="{00000000-0005-0000-0000-0000153D0000}"/>
    <cellStyle name="Normal 2 10 5 4 2 2 2" xfId="43743" xr:uid="{00000000-0005-0000-0000-0000163D0000}"/>
    <cellStyle name="Normal 2 10 5 4 2 3" xfId="13660" xr:uid="{00000000-0005-0000-0000-0000173D0000}"/>
    <cellStyle name="Normal 2 10 5 4 2 3 2" xfId="36303" xr:uid="{00000000-0005-0000-0000-0000183D0000}"/>
    <cellStyle name="Normal 2 10 5 4 2 4" xfId="28862" xr:uid="{00000000-0005-0000-0000-0000193D0000}"/>
    <cellStyle name="Normal 2 10 5 4 3" xfId="17382" xr:uid="{00000000-0005-0000-0000-00001A3D0000}"/>
    <cellStyle name="Normal 2 10 5 4 3 2" xfId="40025" xr:uid="{00000000-0005-0000-0000-00001B3D0000}"/>
    <cellStyle name="Normal 2 10 5 4 4" xfId="9942" xr:uid="{00000000-0005-0000-0000-00001C3D0000}"/>
    <cellStyle name="Normal 2 10 5 4 4 2" xfId="32585" xr:uid="{00000000-0005-0000-0000-00001D3D0000}"/>
    <cellStyle name="Normal 2 10 5 4 5" xfId="25144" xr:uid="{00000000-0005-0000-0000-00001E3D0000}"/>
    <cellStyle name="Normal 2 10 5 5" xfId="4369" xr:uid="{00000000-0005-0000-0000-00001F3D0000}"/>
    <cellStyle name="Normal 2 10 5 5 2" xfId="19253" xr:uid="{00000000-0005-0000-0000-0000203D0000}"/>
    <cellStyle name="Normal 2 10 5 5 2 2" xfId="41896" xr:uid="{00000000-0005-0000-0000-0000213D0000}"/>
    <cellStyle name="Normal 2 10 5 5 3" xfId="11813" xr:uid="{00000000-0005-0000-0000-0000223D0000}"/>
    <cellStyle name="Normal 2 10 5 5 3 2" xfId="34456" xr:uid="{00000000-0005-0000-0000-0000233D0000}"/>
    <cellStyle name="Normal 2 10 5 5 4" xfId="27015" xr:uid="{00000000-0005-0000-0000-0000243D0000}"/>
    <cellStyle name="Normal 2 10 5 6" xfId="15535" xr:uid="{00000000-0005-0000-0000-0000253D0000}"/>
    <cellStyle name="Normal 2 10 5 6 2" xfId="38178" xr:uid="{00000000-0005-0000-0000-0000263D0000}"/>
    <cellStyle name="Normal 2 10 5 7" xfId="8095" xr:uid="{00000000-0005-0000-0000-0000273D0000}"/>
    <cellStyle name="Normal 2 10 5 7 2" xfId="30738" xr:uid="{00000000-0005-0000-0000-0000283D0000}"/>
    <cellStyle name="Normal 2 10 5 8" xfId="23297" xr:uid="{00000000-0005-0000-0000-0000293D0000}"/>
    <cellStyle name="Normal 2 10 6" xfId="893" xr:uid="{00000000-0005-0000-0000-00002A3D0000}"/>
    <cellStyle name="Normal 2 10 6 2" xfId="1821" xr:uid="{00000000-0005-0000-0000-00002B3D0000}"/>
    <cellStyle name="Normal 2 10 6 2 2" xfId="3671" xr:uid="{00000000-0005-0000-0000-00002C3D0000}"/>
    <cellStyle name="Normal 2 10 6 2 2 2" xfId="7392" xr:uid="{00000000-0005-0000-0000-00002D3D0000}"/>
    <cellStyle name="Normal 2 10 6 2 2 2 2" xfId="22276" xr:uid="{00000000-0005-0000-0000-00002E3D0000}"/>
    <cellStyle name="Normal 2 10 6 2 2 2 2 2" xfId="44919" xr:uid="{00000000-0005-0000-0000-00002F3D0000}"/>
    <cellStyle name="Normal 2 10 6 2 2 2 3" xfId="14836" xr:uid="{00000000-0005-0000-0000-0000303D0000}"/>
    <cellStyle name="Normal 2 10 6 2 2 2 3 2" xfId="37479" xr:uid="{00000000-0005-0000-0000-0000313D0000}"/>
    <cellStyle name="Normal 2 10 6 2 2 2 4" xfId="30038" xr:uid="{00000000-0005-0000-0000-0000323D0000}"/>
    <cellStyle name="Normal 2 10 6 2 2 3" xfId="18558" xr:uid="{00000000-0005-0000-0000-0000333D0000}"/>
    <cellStyle name="Normal 2 10 6 2 2 3 2" xfId="41201" xr:uid="{00000000-0005-0000-0000-0000343D0000}"/>
    <cellStyle name="Normal 2 10 6 2 2 4" xfId="11118" xr:uid="{00000000-0005-0000-0000-0000353D0000}"/>
    <cellStyle name="Normal 2 10 6 2 2 4 2" xfId="33761" xr:uid="{00000000-0005-0000-0000-0000363D0000}"/>
    <cellStyle name="Normal 2 10 6 2 2 5" xfId="26320" xr:uid="{00000000-0005-0000-0000-0000373D0000}"/>
    <cellStyle name="Normal 2 10 6 2 3" xfId="5545" xr:uid="{00000000-0005-0000-0000-0000383D0000}"/>
    <cellStyle name="Normal 2 10 6 2 3 2" xfId="20429" xr:uid="{00000000-0005-0000-0000-0000393D0000}"/>
    <cellStyle name="Normal 2 10 6 2 3 2 2" xfId="43072" xr:uid="{00000000-0005-0000-0000-00003A3D0000}"/>
    <cellStyle name="Normal 2 10 6 2 3 3" xfId="12989" xr:uid="{00000000-0005-0000-0000-00003B3D0000}"/>
    <cellStyle name="Normal 2 10 6 2 3 3 2" xfId="35632" xr:uid="{00000000-0005-0000-0000-00003C3D0000}"/>
    <cellStyle name="Normal 2 10 6 2 3 4" xfId="28191" xr:uid="{00000000-0005-0000-0000-00003D3D0000}"/>
    <cellStyle name="Normal 2 10 6 2 4" xfId="16711" xr:uid="{00000000-0005-0000-0000-00003E3D0000}"/>
    <cellStyle name="Normal 2 10 6 2 4 2" xfId="39354" xr:uid="{00000000-0005-0000-0000-00003F3D0000}"/>
    <cellStyle name="Normal 2 10 6 2 5" xfId="9271" xr:uid="{00000000-0005-0000-0000-0000403D0000}"/>
    <cellStyle name="Normal 2 10 6 2 5 2" xfId="31914" xr:uid="{00000000-0005-0000-0000-0000413D0000}"/>
    <cellStyle name="Normal 2 10 6 2 6" xfId="24473" xr:uid="{00000000-0005-0000-0000-0000423D0000}"/>
    <cellStyle name="Normal 2 10 6 3" xfId="2746" xr:uid="{00000000-0005-0000-0000-0000433D0000}"/>
    <cellStyle name="Normal 2 10 6 3 2" xfId="6467" xr:uid="{00000000-0005-0000-0000-0000443D0000}"/>
    <cellStyle name="Normal 2 10 6 3 2 2" xfId="21351" xr:uid="{00000000-0005-0000-0000-0000453D0000}"/>
    <cellStyle name="Normal 2 10 6 3 2 2 2" xfId="43994" xr:uid="{00000000-0005-0000-0000-0000463D0000}"/>
    <cellStyle name="Normal 2 10 6 3 2 3" xfId="13911" xr:uid="{00000000-0005-0000-0000-0000473D0000}"/>
    <cellStyle name="Normal 2 10 6 3 2 3 2" xfId="36554" xr:uid="{00000000-0005-0000-0000-0000483D0000}"/>
    <cellStyle name="Normal 2 10 6 3 2 4" xfId="29113" xr:uid="{00000000-0005-0000-0000-0000493D0000}"/>
    <cellStyle name="Normal 2 10 6 3 3" xfId="17633" xr:uid="{00000000-0005-0000-0000-00004A3D0000}"/>
    <cellStyle name="Normal 2 10 6 3 3 2" xfId="40276" xr:uid="{00000000-0005-0000-0000-00004B3D0000}"/>
    <cellStyle name="Normal 2 10 6 3 4" xfId="10193" xr:uid="{00000000-0005-0000-0000-00004C3D0000}"/>
    <cellStyle name="Normal 2 10 6 3 4 2" xfId="32836" xr:uid="{00000000-0005-0000-0000-00004D3D0000}"/>
    <cellStyle name="Normal 2 10 6 3 5" xfId="25395" xr:uid="{00000000-0005-0000-0000-00004E3D0000}"/>
    <cellStyle name="Normal 2 10 6 4" xfId="4620" xr:uid="{00000000-0005-0000-0000-00004F3D0000}"/>
    <cellStyle name="Normal 2 10 6 4 2" xfId="19504" xr:uid="{00000000-0005-0000-0000-0000503D0000}"/>
    <cellStyle name="Normal 2 10 6 4 2 2" xfId="42147" xr:uid="{00000000-0005-0000-0000-0000513D0000}"/>
    <cellStyle name="Normal 2 10 6 4 3" xfId="12064" xr:uid="{00000000-0005-0000-0000-0000523D0000}"/>
    <cellStyle name="Normal 2 10 6 4 3 2" xfId="34707" xr:uid="{00000000-0005-0000-0000-0000533D0000}"/>
    <cellStyle name="Normal 2 10 6 4 4" xfId="27266" xr:uid="{00000000-0005-0000-0000-0000543D0000}"/>
    <cellStyle name="Normal 2 10 6 5" xfId="15786" xr:uid="{00000000-0005-0000-0000-0000553D0000}"/>
    <cellStyle name="Normal 2 10 6 5 2" xfId="38429" xr:uid="{00000000-0005-0000-0000-0000563D0000}"/>
    <cellStyle name="Normal 2 10 6 6" xfId="8346" xr:uid="{00000000-0005-0000-0000-0000573D0000}"/>
    <cellStyle name="Normal 2 10 6 6 2" xfId="30989" xr:uid="{00000000-0005-0000-0000-0000583D0000}"/>
    <cellStyle name="Normal 2 10 6 7" xfId="23548" xr:uid="{00000000-0005-0000-0000-0000593D0000}"/>
    <cellStyle name="Normal 2 10 7" xfId="1359" xr:uid="{00000000-0005-0000-0000-00005A3D0000}"/>
    <cellStyle name="Normal 2 10 7 2" xfId="3209" xr:uid="{00000000-0005-0000-0000-00005B3D0000}"/>
    <cellStyle name="Normal 2 10 7 2 2" xfId="6930" xr:uid="{00000000-0005-0000-0000-00005C3D0000}"/>
    <cellStyle name="Normal 2 10 7 2 2 2" xfId="21814" xr:uid="{00000000-0005-0000-0000-00005D3D0000}"/>
    <cellStyle name="Normal 2 10 7 2 2 2 2" xfId="44457" xr:uid="{00000000-0005-0000-0000-00005E3D0000}"/>
    <cellStyle name="Normal 2 10 7 2 2 3" xfId="14374" xr:uid="{00000000-0005-0000-0000-00005F3D0000}"/>
    <cellStyle name="Normal 2 10 7 2 2 3 2" xfId="37017" xr:uid="{00000000-0005-0000-0000-0000603D0000}"/>
    <cellStyle name="Normal 2 10 7 2 2 4" xfId="29576" xr:uid="{00000000-0005-0000-0000-0000613D0000}"/>
    <cellStyle name="Normal 2 10 7 2 3" xfId="18096" xr:uid="{00000000-0005-0000-0000-0000623D0000}"/>
    <cellStyle name="Normal 2 10 7 2 3 2" xfId="40739" xr:uid="{00000000-0005-0000-0000-0000633D0000}"/>
    <cellStyle name="Normal 2 10 7 2 4" xfId="10656" xr:uid="{00000000-0005-0000-0000-0000643D0000}"/>
    <cellStyle name="Normal 2 10 7 2 4 2" xfId="33299" xr:uid="{00000000-0005-0000-0000-0000653D0000}"/>
    <cellStyle name="Normal 2 10 7 2 5" xfId="25858" xr:uid="{00000000-0005-0000-0000-0000663D0000}"/>
    <cellStyle name="Normal 2 10 7 3" xfId="5083" xr:uid="{00000000-0005-0000-0000-0000673D0000}"/>
    <cellStyle name="Normal 2 10 7 3 2" xfId="19967" xr:uid="{00000000-0005-0000-0000-0000683D0000}"/>
    <cellStyle name="Normal 2 10 7 3 2 2" xfId="42610" xr:uid="{00000000-0005-0000-0000-0000693D0000}"/>
    <cellStyle name="Normal 2 10 7 3 3" xfId="12527" xr:uid="{00000000-0005-0000-0000-00006A3D0000}"/>
    <cellStyle name="Normal 2 10 7 3 3 2" xfId="35170" xr:uid="{00000000-0005-0000-0000-00006B3D0000}"/>
    <cellStyle name="Normal 2 10 7 3 4" xfId="27729" xr:uid="{00000000-0005-0000-0000-00006C3D0000}"/>
    <cellStyle name="Normal 2 10 7 4" xfId="16249" xr:uid="{00000000-0005-0000-0000-00006D3D0000}"/>
    <cellStyle name="Normal 2 10 7 4 2" xfId="38892" xr:uid="{00000000-0005-0000-0000-00006E3D0000}"/>
    <cellStyle name="Normal 2 10 7 5" xfId="8809" xr:uid="{00000000-0005-0000-0000-00006F3D0000}"/>
    <cellStyle name="Normal 2 10 7 5 2" xfId="31452" xr:uid="{00000000-0005-0000-0000-0000703D0000}"/>
    <cellStyle name="Normal 2 10 7 6" xfId="24011" xr:uid="{00000000-0005-0000-0000-0000713D0000}"/>
    <cellStyle name="Normal 2 10 8" xfId="2284" xr:uid="{00000000-0005-0000-0000-0000723D0000}"/>
    <cellStyle name="Normal 2 10 8 2" xfId="6005" xr:uid="{00000000-0005-0000-0000-0000733D0000}"/>
    <cellStyle name="Normal 2 10 8 2 2" xfId="20889" xr:uid="{00000000-0005-0000-0000-0000743D0000}"/>
    <cellStyle name="Normal 2 10 8 2 2 2" xfId="43532" xr:uid="{00000000-0005-0000-0000-0000753D0000}"/>
    <cellStyle name="Normal 2 10 8 2 3" xfId="13449" xr:uid="{00000000-0005-0000-0000-0000763D0000}"/>
    <cellStyle name="Normal 2 10 8 2 3 2" xfId="36092" xr:uid="{00000000-0005-0000-0000-0000773D0000}"/>
    <cellStyle name="Normal 2 10 8 2 4" xfId="28651" xr:uid="{00000000-0005-0000-0000-0000783D0000}"/>
    <cellStyle name="Normal 2 10 8 3" xfId="17171" xr:uid="{00000000-0005-0000-0000-0000793D0000}"/>
    <cellStyle name="Normal 2 10 8 3 2" xfId="39814" xr:uid="{00000000-0005-0000-0000-00007A3D0000}"/>
    <cellStyle name="Normal 2 10 8 4" xfId="9731" xr:uid="{00000000-0005-0000-0000-00007B3D0000}"/>
    <cellStyle name="Normal 2 10 8 4 2" xfId="32374" xr:uid="{00000000-0005-0000-0000-00007C3D0000}"/>
    <cellStyle name="Normal 2 10 8 5" xfId="24933" xr:uid="{00000000-0005-0000-0000-00007D3D0000}"/>
    <cellStyle name="Normal 2 10 9" xfId="4158" xr:uid="{00000000-0005-0000-0000-00007E3D0000}"/>
    <cellStyle name="Normal 2 10 9 2" xfId="19042" xr:uid="{00000000-0005-0000-0000-00007F3D0000}"/>
    <cellStyle name="Normal 2 10 9 2 2" xfId="41685" xr:uid="{00000000-0005-0000-0000-0000803D0000}"/>
    <cellStyle name="Normal 2 10 9 3" xfId="11602" xr:uid="{00000000-0005-0000-0000-0000813D0000}"/>
    <cellStyle name="Normal 2 10 9 3 2" xfId="34245" xr:uid="{00000000-0005-0000-0000-0000823D0000}"/>
    <cellStyle name="Normal 2 10 9 4" xfId="26804" xr:uid="{00000000-0005-0000-0000-0000833D0000}"/>
    <cellStyle name="Normal 2 11" xfId="417" xr:uid="{00000000-0005-0000-0000-0000843D0000}"/>
    <cellStyle name="Normal 2 11 10" xfId="15325" xr:uid="{00000000-0005-0000-0000-0000853D0000}"/>
    <cellStyle name="Normal 2 11 10 2" xfId="37968" xr:uid="{00000000-0005-0000-0000-0000863D0000}"/>
    <cellStyle name="Normal 2 11 11" xfId="7885" xr:uid="{00000000-0005-0000-0000-0000873D0000}"/>
    <cellStyle name="Normal 2 11 11 2" xfId="30528" xr:uid="{00000000-0005-0000-0000-0000883D0000}"/>
    <cellStyle name="Normal 2 11 12" xfId="23088" xr:uid="{00000000-0005-0000-0000-0000893D0000}"/>
    <cellStyle name="Normal 2 11 2" xfId="446" xr:uid="{00000000-0005-0000-0000-00008A3D0000}"/>
    <cellStyle name="Normal 2 11 2 10" xfId="7905" xr:uid="{00000000-0005-0000-0000-00008B3D0000}"/>
    <cellStyle name="Normal 2 11 2 10 2" xfId="30548" xr:uid="{00000000-0005-0000-0000-00008C3D0000}"/>
    <cellStyle name="Normal 2 11 2 11" xfId="23108" xr:uid="{00000000-0005-0000-0000-00008D3D0000}"/>
    <cellStyle name="Normal 2 11 2 2" xfId="499" xr:uid="{00000000-0005-0000-0000-00008E3D0000}"/>
    <cellStyle name="Normal 2 11 2 2 10" xfId="23160" xr:uid="{00000000-0005-0000-0000-00008F3D0000}"/>
    <cellStyle name="Normal 2 11 2 2 2" xfId="605" xr:uid="{00000000-0005-0000-0000-0000903D0000}"/>
    <cellStyle name="Normal 2 11 2 2 2 2" xfId="817" xr:uid="{00000000-0005-0000-0000-0000913D0000}"/>
    <cellStyle name="Normal 2 11 2 2 2 2 2" xfId="1282" xr:uid="{00000000-0005-0000-0000-0000923D0000}"/>
    <cellStyle name="Normal 2 11 2 2 2 2 2 2" xfId="2210" xr:uid="{00000000-0005-0000-0000-0000933D0000}"/>
    <cellStyle name="Normal 2 11 2 2 2 2 2 2 2" xfId="4060" xr:uid="{00000000-0005-0000-0000-0000943D0000}"/>
    <cellStyle name="Normal 2 11 2 2 2 2 2 2 2 2" xfId="7781" xr:uid="{00000000-0005-0000-0000-0000953D0000}"/>
    <cellStyle name="Normal 2 11 2 2 2 2 2 2 2 2 2" xfId="22665" xr:uid="{00000000-0005-0000-0000-0000963D0000}"/>
    <cellStyle name="Normal 2 11 2 2 2 2 2 2 2 2 2 2" xfId="45308" xr:uid="{00000000-0005-0000-0000-0000973D0000}"/>
    <cellStyle name="Normal 2 11 2 2 2 2 2 2 2 2 3" xfId="15225" xr:uid="{00000000-0005-0000-0000-0000983D0000}"/>
    <cellStyle name="Normal 2 11 2 2 2 2 2 2 2 2 3 2" xfId="37868" xr:uid="{00000000-0005-0000-0000-0000993D0000}"/>
    <cellStyle name="Normal 2 11 2 2 2 2 2 2 2 2 4" xfId="30427" xr:uid="{00000000-0005-0000-0000-00009A3D0000}"/>
    <cellStyle name="Normal 2 11 2 2 2 2 2 2 2 3" xfId="18947" xr:uid="{00000000-0005-0000-0000-00009B3D0000}"/>
    <cellStyle name="Normal 2 11 2 2 2 2 2 2 2 3 2" xfId="41590" xr:uid="{00000000-0005-0000-0000-00009C3D0000}"/>
    <cellStyle name="Normal 2 11 2 2 2 2 2 2 2 4" xfId="11507" xr:uid="{00000000-0005-0000-0000-00009D3D0000}"/>
    <cellStyle name="Normal 2 11 2 2 2 2 2 2 2 4 2" xfId="34150" xr:uid="{00000000-0005-0000-0000-00009E3D0000}"/>
    <cellStyle name="Normal 2 11 2 2 2 2 2 2 2 5" xfId="26709" xr:uid="{00000000-0005-0000-0000-00009F3D0000}"/>
    <cellStyle name="Normal 2 11 2 2 2 2 2 2 3" xfId="5934" xr:uid="{00000000-0005-0000-0000-0000A03D0000}"/>
    <cellStyle name="Normal 2 11 2 2 2 2 2 2 3 2" xfId="20818" xr:uid="{00000000-0005-0000-0000-0000A13D0000}"/>
    <cellStyle name="Normal 2 11 2 2 2 2 2 2 3 2 2" xfId="43461" xr:uid="{00000000-0005-0000-0000-0000A23D0000}"/>
    <cellStyle name="Normal 2 11 2 2 2 2 2 2 3 3" xfId="13378" xr:uid="{00000000-0005-0000-0000-0000A33D0000}"/>
    <cellStyle name="Normal 2 11 2 2 2 2 2 2 3 3 2" xfId="36021" xr:uid="{00000000-0005-0000-0000-0000A43D0000}"/>
    <cellStyle name="Normal 2 11 2 2 2 2 2 2 3 4" xfId="28580" xr:uid="{00000000-0005-0000-0000-0000A53D0000}"/>
    <cellStyle name="Normal 2 11 2 2 2 2 2 2 4" xfId="17100" xr:uid="{00000000-0005-0000-0000-0000A63D0000}"/>
    <cellStyle name="Normal 2 11 2 2 2 2 2 2 4 2" xfId="39743" xr:uid="{00000000-0005-0000-0000-0000A73D0000}"/>
    <cellStyle name="Normal 2 11 2 2 2 2 2 2 5" xfId="9660" xr:uid="{00000000-0005-0000-0000-0000A83D0000}"/>
    <cellStyle name="Normal 2 11 2 2 2 2 2 2 5 2" xfId="32303" xr:uid="{00000000-0005-0000-0000-0000A93D0000}"/>
    <cellStyle name="Normal 2 11 2 2 2 2 2 2 6" xfId="24862" xr:uid="{00000000-0005-0000-0000-0000AA3D0000}"/>
    <cellStyle name="Normal 2 11 2 2 2 2 2 3" xfId="3135" xr:uid="{00000000-0005-0000-0000-0000AB3D0000}"/>
    <cellStyle name="Normal 2 11 2 2 2 2 2 3 2" xfId="6856" xr:uid="{00000000-0005-0000-0000-0000AC3D0000}"/>
    <cellStyle name="Normal 2 11 2 2 2 2 2 3 2 2" xfId="21740" xr:uid="{00000000-0005-0000-0000-0000AD3D0000}"/>
    <cellStyle name="Normal 2 11 2 2 2 2 2 3 2 2 2" xfId="44383" xr:uid="{00000000-0005-0000-0000-0000AE3D0000}"/>
    <cellStyle name="Normal 2 11 2 2 2 2 2 3 2 3" xfId="14300" xr:uid="{00000000-0005-0000-0000-0000AF3D0000}"/>
    <cellStyle name="Normal 2 11 2 2 2 2 2 3 2 3 2" xfId="36943" xr:uid="{00000000-0005-0000-0000-0000B03D0000}"/>
    <cellStyle name="Normal 2 11 2 2 2 2 2 3 2 4" xfId="29502" xr:uid="{00000000-0005-0000-0000-0000B13D0000}"/>
    <cellStyle name="Normal 2 11 2 2 2 2 2 3 3" xfId="18022" xr:uid="{00000000-0005-0000-0000-0000B23D0000}"/>
    <cellStyle name="Normal 2 11 2 2 2 2 2 3 3 2" xfId="40665" xr:uid="{00000000-0005-0000-0000-0000B33D0000}"/>
    <cellStyle name="Normal 2 11 2 2 2 2 2 3 4" xfId="10582" xr:uid="{00000000-0005-0000-0000-0000B43D0000}"/>
    <cellStyle name="Normal 2 11 2 2 2 2 2 3 4 2" xfId="33225" xr:uid="{00000000-0005-0000-0000-0000B53D0000}"/>
    <cellStyle name="Normal 2 11 2 2 2 2 2 3 5" xfId="25784" xr:uid="{00000000-0005-0000-0000-0000B63D0000}"/>
    <cellStyle name="Normal 2 11 2 2 2 2 2 4" xfId="5009" xr:uid="{00000000-0005-0000-0000-0000B73D0000}"/>
    <cellStyle name="Normal 2 11 2 2 2 2 2 4 2" xfId="19893" xr:uid="{00000000-0005-0000-0000-0000B83D0000}"/>
    <cellStyle name="Normal 2 11 2 2 2 2 2 4 2 2" xfId="42536" xr:uid="{00000000-0005-0000-0000-0000B93D0000}"/>
    <cellStyle name="Normal 2 11 2 2 2 2 2 4 3" xfId="12453" xr:uid="{00000000-0005-0000-0000-0000BA3D0000}"/>
    <cellStyle name="Normal 2 11 2 2 2 2 2 4 3 2" xfId="35096" xr:uid="{00000000-0005-0000-0000-0000BB3D0000}"/>
    <cellStyle name="Normal 2 11 2 2 2 2 2 4 4" xfId="27655" xr:uid="{00000000-0005-0000-0000-0000BC3D0000}"/>
    <cellStyle name="Normal 2 11 2 2 2 2 2 5" xfId="16175" xr:uid="{00000000-0005-0000-0000-0000BD3D0000}"/>
    <cellStyle name="Normal 2 11 2 2 2 2 2 5 2" xfId="38818" xr:uid="{00000000-0005-0000-0000-0000BE3D0000}"/>
    <cellStyle name="Normal 2 11 2 2 2 2 2 6" xfId="8735" xr:uid="{00000000-0005-0000-0000-0000BF3D0000}"/>
    <cellStyle name="Normal 2 11 2 2 2 2 2 6 2" xfId="31378" xr:uid="{00000000-0005-0000-0000-0000C03D0000}"/>
    <cellStyle name="Normal 2 11 2 2 2 2 2 7" xfId="23937" xr:uid="{00000000-0005-0000-0000-0000C13D0000}"/>
    <cellStyle name="Normal 2 11 2 2 2 2 3" xfId="1748" xr:uid="{00000000-0005-0000-0000-0000C23D0000}"/>
    <cellStyle name="Normal 2 11 2 2 2 2 3 2" xfId="3598" xr:uid="{00000000-0005-0000-0000-0000C33D0000}"/>
    <cellStyle name="Normal 2 11 2 2 2 2 3 2 2" xfId="7319" xr:uid="{00000000-0005-0000-0000-0000C43D0000}"/>
    <cellStyle name="Normal 2 11 2 2 2 2 3 2 2 2" xfId="22203" xr:uid="{00000000-0005-0000-0000-0000C53D0000}"/>
    <cellStyle name="Normal 2 11 2 2 2 2 3 2 2 2 2" xfId="44846" xr:uid="{00000000-0005-0000-0000-0000C63D0000}"/>
    <cellStyle name="Normal 2 11 2 2 2 2 3 2 2 3" xfId="14763" xr:uid="{00000000-0005-0000-0000-0000C73D0000}"/>
    <cellStyle name="Normal 2 11 2 2 2 2 3 2 2 3 2" xfId="37406" xr:uid="{00000000-0005-0000-0000-0000C83D0000}"/>
    <cellStyle name="Normal 2 11 2 2 2 2 3 2 2 4" xfId="29965" xr:uid="{00000000-0005-0000-0000-0000C93D0000}"/>
    <cellStyle name="Normal 2 11 2 2 2 2 3 2 3" xfId="18485" xr:uid="{00000000-0005-0000-0000-0000CA3D0000}"/>
    <cellStyle name="Normal 2 11 2 2 2 2 3 2 3 2" xfId="41128" xr:uid="{00000000-0005-0000-0000-0000CB3D0000}"/>
    <cellStyle name="Normal 2 11 2 2 2 2 3 2 4" xfId="11045" xr:uid="{00000000-0005-0000-0000-0000CC3D0000}"/>
    <cellStyle name="Normal 2 11 2 2 2 2 3 2 4 2" xfId="33688" xr:uid="{00000000-0005-0000-0000-0000CD3D0000}"/>
    <cellStyle name="Normal 2 11 2 2 2 2 3 2 5" xfId="26247" xr:uid="{00000000-0005-0000-0000-0000CE3D0000}"/>
    <cellStyle name="Normal 2 11 2 2 2 2 3 3" xfId="5472" xr:uid="{00000000-0005-0000-0000-0000CF3D0000}"/>
    <cellStyle name="Normal 2 11 2 2 2 2 3 3 2" xfId="20356" xr:uid="{00000000-0005-0000-0000-0000D03D0000}"/>
    <cellStyle name="Normal 2 11 2 2 2 2 3 3 2 2" xfId="42999" xr:uid="{00000000-0005-0000-0000-0000D13D0000}"/>
    <cellStyle name="Normal 2 11 2 2 2 2 3 3 3" xfId="12916" xr:uid="{00000000-0005-0000-0000-0000D23D0000}"/>
    <cellStyle name="Normal 2 11 2 2 2 2 3 3 3 2" xfId="35559" xr:uid="{00000000-0005-0000-0000-0000D33D0000}"/>
    <cellStyle name="Normal 2 11 2 2 2 2 3 3 4" xfId="28118" xr:uid="{00000000-0005-0000-0000-0000D43D0000}"/>
    <cellStyle name="Normal 2 11 2 2 2 2 3 4" xfId="16638" xr:uid="{00000000-0005-0000-0000-0000D53D0000}"/>
    <cellStyle name="Normal 2 11 2 2 2 2 3 4 2" xfId="39281" xr:uid="{00000000-0005-0000-0000-0000D63D0000}"/>
    <cellStyle name="Normal 2 11 2 2 2 2 3 5" xfId="9198" xr:uid="{00000000-0005-0000-0000-0000D73D0000}"/>
    <cellStyle name="Normal 2 11 2 2 2 2 3 5 2" xfId="31841" xr:uid="{00000000-0005-0000-0000-0000D83D0000}"/>
    <cellStyle name="Normal 2 11 2 2 2 2 3 6" xfId="24400" xr:uid="{00000000-0005-0000-0000-0000D93D0000}"/>
    <cellStyle name="Normal 2 11 2 2 2 2 4" xfId="2673" xr:uid="{00000000-0005-0000-0000-0000DA3D0000}"/>
    <cellStyle name="Normal 2 11 2 2 2 2 4 2" xfId="6394" xr:uid="{00000000-0005-0000-0000-0000DB3D0000}"/>
    <cellStyle name="Normal 2 11 2 2 2 2 4 2 2" xfId="21278" xr:uid="{00000000-0005-0000-0000-0000DC3D0000}"/>
    <cellStyle name="Normal 2 11 2 2 2 2 4 2 2 2" xfId="43921" xr:uid="{00000000-0005-0000-0000-0000DD3D0000}"/>
    <cellStyle name="Normal 2 11 2 2 2 2 4 2 3" xfId="13838" xr:uid="{00000000-0005-0000-0000-0000DE3D0000}"/>
    <cellStyle name="Normal 2 11 2 2 2 2 4 2 3 2" xfId="36481" xr:uid="{00000000-0005-0000-0000-0000DF3D0000}"/>
    <cellStyle name="Normal 2 11 2 2 2 2 4 2 4" xfId="29040" xr:uid="{00000000-0005-0000-0000-0000E03D0000}"/>
    <cellStyle name="Normal 2 11 2 2 2 2 4 3" xfId="17560" xr:uid="{00000000-0005-0000-0000-0000E13D0000}"/>
    <cellStyle name="Normal 2 11 2 2 2 2 4 3 2" xfId="40203" xr:uid="{00000000-0005-0000-0000-0000E23D0000}"/>
    <cellStyle name="Normal 2 11 2 2 2 2 4 4" xfId="10120" xr:uid="{00000000-0005-0000-0000-0000E33D0000}"/>
    <cellStyle name="Normal 2 11 2 2 2 2 4 4 2" xfId="32763" xr:uid="{00000000-0005-0000-0000-0000E43D0000}"/>
    <cellStyle name="Normal 2 11 2 2 2 2 4 5" xfId="25322" xr:uid="{00000000-0005-0000-0000-0000E53D0000}"/>
    <cellStyle name="Normal 2 11 2 2 2 2 5" xfId="4547" xr:uid="{00000000-0005-0000-0000-0000E63D0000}"/>
    <cellStyle name="Normal 2 11 2 2 2 2 5 2" xfId="19431" xr:uid="{00000000-0005-0000-0000-0000E73D0000}"/>
    <cellStyle name="Normal 2 11 2 2 2 2 5 2 2" xfId="42074" xr:uid="{00000000-0005-0000-0000-0000E83D0000}"/>
    <cellStyle name="Normal 2 11 2 2 2 2 5 3" xfId="11991" xr:uid="{00000000-0005-0000-0000-0000E93D0000}"/>
    <cellStyle name="Normal 2 11 2 2 2 2 5 3 2" xfId="34634" xr:uid="{00000000-0005-0000-0000-0000EA3D0000}"/>
    <cellStyle name="Normal 2 11 2 2 2 2 5 4" xfId="27193" xr:uid="{00000000-0005-0000-0000-0000EB3D0000}"/>
    <cellStyle name="Normal 2 11 2 2 2 2 6" xfId="15713" xr:uid="{00000000-0005-0000-0000-0000EC3D0000}"/>
    <cellStyle name="Normal 2 11 2 2 2 2 6 2" xfId="38356" xr:uid="{00000000-0005-0000-0000-0000ED3D0000}"/>
    <cellStyle name="Normal 2 11 2 2 2 2 7" xfId="8273" xr:uid="{00000000-0005-0000-0000-0000EE3D0000}"/>
    <cellStyle name="Normal 2 11 2 2 2 2 7 2" xfId="30916" xr:uid="{00000000-0005-0000-0000-0000EF3D0000}"/>
    <cellStyle name="Normal 2 11 2 2 2 2 8" xfId="23475" xr:uid="{00000000-0005-0000-0000-0000F03D0000}"/>
    <cellStyle name="Normal 2 11 2 2 2 3" xfId="1071" xr:uid="{00000000-0005-0000-0000-0000F13D0000}"/>
    <cellStyle name="Normal 2 11 2 2 2 3 2" xfId="1999" xr:uid="{00000000-0005-0000-0000-0000F23D0000}"/>
    <cellStyle name="Normal 2 11 2 2 2 3 2 2" xfId="3849" xr:uid="{00000000-0005-0000-0000-0000F33D0000}"/>
    <cellStyle name="Normal 2 11 2 2 2 3 2 2 2" xfId="7570" xr:uid="{00000000-0005-0000-0000-0000F43D0000}"/>
    <cellStyle name="Normal 2 11 2 2 2 3 2 2 2 2" xfId="22454" xr:uid="{00000000-0005-0000-0000-0000F53D0000}"/>
    <cellStyle name="Normal 2 11 2 2 2 3 2 2 2 2 2" xfId="45097" xr:uid="{00000000-0005-0000-0000-0000F63D0000}"/>
    <cellStyle name="Normal 2 11 2 2 2 3 2 2 2 3" xfId="15014" xr:uid="{00000000-0005-0000-0000-0000F73D0000}"/>
    <cellStyle name="Normal 2 11 2 2 2 3 2 2 2 3 2" xfId="37657" xr:uid="{00000000-0005-0000-0000-0000F83D0000}"/>
    <cellStyle name="Normal 2 11 2 2 2 3 2 2 2 4" xfId="30216" xr:uid="{00000000-0005-0000-0000-0000F93D0000}"/>
    <cellStyle name="Normal 2 11 2 2 2 3 2 2 3" xfId="18736" xr:uid="{00000000-0005-0000-0000-0000FA3D0000}"/>
    <cellStyle name="Normal 2 11 2 2 2 3 2 2 3 2" xfId="41379" xr:uid="{00000000-0005-0000-0000-0000FB3D0000}"/>
    <cellStyle name="Normal 2 11 2 2 2 3 2 2 4" xfId="11296" xr:uid="{00000000-0005-0000-0000-0000FC3D0000}"/>
    <cellStyle name="Normal 2 11 2 2 2 3 2 2 4 2" xfId="33939" xr:uid="{00000000-0005-0000-0000-0000FD3D0000}"/>
    <cellStyle name="Normal 2 11 2 2 2 3 2 2 5" xfId="26498" xr:uid="{00000000-0005-0000-0000-0000FE3D0000}"/>
    <cellStyle name="Normal 2 11 2 2 2 3 2 3" xfId="5723" xr:uid="{00000000-0005-0000-0000-0000FF3D0000}"/>
    <cellStyle name="Normal 2 11 2 2 2 3 2 3 2" xfId="20607" xr:uid="{00000000-0005-0000-0000-0000003E0000}"/>
    <cellStyle name="Normal 2 11 2 2 2 3 2 3 2 2" xfId="43250" xr:uid="{00000000-0005-0000-0000-0000013E0000}"/>
    <cellStyle name="Normal 2 11 2 2 2 3 2 3 3" xfId="13167" xr:uid="{00000000-0005-0000-0000-0000023E0000}"/>
    <cellStyle name="Normal 2 11 2 2 2 3 2 3 3 2" xfId="35810" xr:uid="{00000000-0005-0000-0000-0000033E0000}"/>
    <cellStyle name="Normal 2 11 2 2 2 3 2 3 4" xfId="28369" xr:uid="{00000000-0005-0000-0000-0000043E0000}"/>
    <cellStyle name="Normal 2 11 2 2 2 3 2 4" xfId="16889" xr:uid="{00000000-0005-0000-0000-0000053E0000}"/>
    <cellStyle name="Normal 2 11 2 2 2 3 2 4 2" xfId="39532" xr:uid="{00000000-0005-0000-0000-0000063E0000}"/>
    <cellStyle name="Normal 2 11 2 2 2 3 2 5" xfId="9449" xr:uid="{00000000-0005-0000-0000-0000073E0000}"/>
    <cellStyle name="Normal 2 11 2 2 2 3 2 5 2" xfId="32092" xr:uid="{00000000-0005-0000-0000-0000083E0000}"/>
    <cellStyle name="Normal 2 11 2 2 2 3 2 6" xfId="24651" xr:uid="{00000000-0005-0000-0000-0000093E0000}"/>
    <cellStyle name="Normal 2 11 2 2 2 3 3" xfId="2924" xr:uid="{00000000-0005-0000-0000-00000A3E0000}"/>
    <cellStyle name="Normal 2 11 2 2 2 3 3 2" xfId="6645" xr:uid="{00000000-0005-0000-0000-00000B3E0000}"/>
    <cellStyle name="Normal 2 11 2 2 2 3 3 2 2" xfId="21529" xr:uid="{00000000-0005-0000-0000-00000C3E0000}"/>
    <cellStyle name="Normal 2 11 2 2 2 3 3 2 2 2" xfId="44172" xr:uid="{00000000-0005-0000-0000-00000D3E0000}"/>
    <cellStyle name="Normal 2 11 2 2 2 3 3 2 3" xfId="14089" xr:uid="{00000000-0005-0000-0000-00000E3E0000}"/>
    <cellStyle name="Normal 2 11 2 2 2 3 3 2 3 2" xfId="36732" xr:uid="{00000000-0005-0000-0000-00000F3E0000}"/>
    <cellStyle name="Normal 2 11 2 2 2 3 3 2 4" xfId="29291" xr:uid="{00000000-0005-0000-0000-0000103E0000}"/>
    <cellStyle name="Normal 2 11 2 2 2 3 3 3" xfId="17811" xr:uid="{00000000-0005-0000-0000-0000113E0000}"/>
    <cellStyle name="Normal 2 11 2 2 2 3 3 3 2" xfId="40454" xr:uid="{00000000-0005-0000-0000-0000123E0000}"/>
    <cellStyle name="Normal 2 11 2 2 2 3 3 4" xfId="10371" xr:uid="{00000000-0005-0000-0000-0000133E0000}"/>
    <cellStyle name="Normal 2 11 2 2 2 3 3 4 2" xfId="33014" xr:uid="{00000000-0005-0000-0000-0000143E0000}"/>
    <cellStyle name="Normal 2 11 2 2 2 3 3 5" xfId="25573" xr:uid="{00000000-0005-0000-0000-0000153E0000}"/>
    <cellStyle name="Normal 2 11 2 2 2 3 4" xfId="4798" xr:uid="{00000000-0005-0000-0000-0000163E0000}"/>
    <cellStyle name="Normal 2 11 2 2 2 3 4 2" xfId="19682" xr:uid="{00000000-0005-0000-0000-0000173E0000}"/>
    <cellStyle name="Normal 2 11 2 2 2 3 4 2 2" xfId="42325" xr:uid="{00000000-0005-0000-0000-0000183E0000}"/>
    <cellStyle name="Normal 2 11 2 2 2 3 4 3" xfId="12242" xr:uid="{00000000-0005-0000-0000-0000193E0000}"/>
    <cellStyle name="Normal 2 11 2 2 2 3 4 3 2" xfId="34885" xr:uid="{00000000-0005-0000-0000-00001A3E0000}"/>
    <cellStyle name="Normal 2 11 2 2 2 3 4 4" xfId="27444" xr:uid="{00000000-0005-0000-0000-00001B3E0000}"/>
    <cellStyle name="Normal 2 11 2 2 2 3 5" xfId="15964" xr:uid="{00000000-0005-0000-0000-00001C3E0000}"/>
    <cellStyle name="Normal 2 11 2 2 2 3 5 2" xfId="38607" xr:uid="{00000000-0005-0000-0000-00001D3E0000}"/>
    <cellStyle name="Normal 2 11 2 2 2 3 6" xfId="8524" xr:uid="{00000000-0005-0000-0000-00001E3E0000}"/>
    <cellStyle name="Normal 2 11 2 2 2 3 6 2" xfId="31167" xr:uid="{00000000-0005-0000-0000-00001F3E0000}"/>
    <cellStyle name="Normal 2 11 2 2 2 3 7" xfId="23726" xr:uid="{00000000-0005-0000-0000-0000203E0000}"/>
    <cellStyle name="Normal 2 11 2 2 2 4" xfId="1537" xr:uid="{00000000-0005-0000-0000-0000213E0000}"/>
    <cellStyle name="Normal 2 11 2 2 2 4 2" xfId="3387" xr:uid="{00000000-0005-0000-0000-0000223E0000}"/>
    <cellStyle name="Normal 2 11 2 2 2 4 2 2" xfId="7108" xr:uid="{00000000-0005-0000-0000-0000233E0000}"/>
    <cellStyle name="Normal 2 11 2 2 2 4 2 2 2" xfId="21992" xr:uid="{00000000-0005-0000-0000-0000243E0000}"/>
    <cellStyle name="Normal 2 11 2 2 2 4 2 2 2 2" xfId="44635" xr:uid="{00000000-0005-0000-0000-0000253E0000}"/>
    <cellStyle name="Normal 2 11 2 2 2 4 2 2 3" xfId="14552" xr:uid="{00000000-0005-0000-0000-0000263E0000}"/>
    <cellStyle name="Normal 2 11 2 2 2 4 2 2 3 2" xfId="37195" xr:uid="{00000000-0005-0000-0000-0000273E0000}"/>
    <cellStyle name="Normal 2 11 2 2 2 4 2 2 4" xfId="29754" xr:uid="{00000000-0005-0000-0000-0000283E0000}"/>
    <cellStyle name="Normal 2 11 2 2 2 4 2 3" xfId="18274" xr:uid="{00000000-0005-0000-0000-0000293E0000}"/>
    <cellStyle name="Normal 2 11 2 2 2 4 2 3 2" xfId="40917" xr:uid="{00000000-0005-0000-0000-00002A3E0000}"/>
    <cellStyle name="Normal 2 11 2 2 2 4 2 4" xfId="10834" xr:uid="{00000000-0005-0000-0000-00002B3E0000}"/>
    <cellStyle name="Normal 2 11 2 2 2 4 2 4 2" xfId="33477" xr:uid="{00000000-0005-0000-0000-00002C3E0000}"/>
    <cellStyle name="Normal 2 11 2 2 2 4 2 5" xfId="26036" xr:uid="{00000000-0005-0000-0000-00002D3E0000}"/>
    <cellStyle name="Normal 2 11 2 2 2 4 3" xfId="5261" xr:uid="{00000000-0005-0000-0000-00002E3E0000}"/>
    <cellStyle name="Normal 2 11 2 2 2 4 3 2" xfId="20145" xr:uid="{00000000-0005-0000-0000-00002F3E0000}"/>
    <cellStyle name="Normal 2 11 2 2 2 4 3 2 2" xfId="42788" xr:uid="{00000000-0005-0000-0000-0000303E0000}"/>
    <cellStyle name="Normal 2 11 2 2 2 4 3 3" xfId="12705" xr:uid="{00000000-0005-0000-0000-0000313E0000}"/>
    <cellStyle name="Normal 2 11 2 2 2 4 3 3 2" xfId="35348" xr:uid="{00000000-0005-0000-0000-0000323E0000}"/>
    <cellStyle name="Normal 2 11 2 2 2 4 3 4" xfId="27907" xr:uid="{00000000-0005-0000-0000-0000333E0000}"/>
    <cellStyle name="Normal 2 11 2 2 2 4 4" xfId="16427" xr:uid="{00000000-0005-0000-0000-0000343E0000}"/>
    <cellStyle name="Normal 2 11 2 2 2 4 4 2" xfId="39070" xr:uid="{00000000-0005-0000-0000-0000353E0000}"/>
    <cellStyle name="Normal 2 11 2 2 2 4 5" xfId="8987" xr:uid="{00000000-0005-0000-0000-0000363E0000}"/>
    <cellStyle name="Normal 2 11 2 2 2 4 5 2" xfId="31630" xr:uid="{00000000-0005-0000-0000-0000373E0000}"/>
    <cellStyle name="Normal 2 11 2 2 2 4 6" xfId="24189" xr:uid="{00000000-0005-0000-0000-0000383E0000}"/>
    <cellStyle name="Normal 2 11 2 2 2 5" xfId="2462" xr:uid="{00000000-0005-0000-0000-0000393E0000}"/>
    <cellStyle name="Normal 2 11 2 2 2 5 2" xfId="6183" xr:uid="{00000000-0005-0000-0000-00003A3E0000}"/>
    <cellStyle name="Normal 2 11 2 2 2 5 2 2" xfId="21067" xr:uid="{00000000-0005-0000-0000-00003B3E0000}"/>
    <cellStyle name="Normal 2 11 2 2 2 5 2 2 2" xfId="43710" xr:uid="{00000000-0005-0000-0000-00003C3E0000}"/>
    <cellStyle name="Normal 2 11 2 2 2 5 2 3" xfId="13627" xr:uid="{00000000-0005-0000-0000-00003D3E0000}"/>
    <cellStyle name="Normal 2 11 2 2 2 5 2 3 2" xfId="36270" xr:uid="{00000000-0005-0000-0000-00003E3E0000}"/>
    <cellStyle name="Normal 2 11 2 2 2 5 2 4" xfId="28829" xr:uid="{00000000-0005-0000-0000-00003F3E0000}"/>
    <cellStyle name="Normal 2 11 2 2 2 5 3" xfId="17349" xr:uid="{00000000-0005-0000-0000-0000403E0000}"/>
    <cellStyle name="Normal 2 11 2 2 2 5 3 2" xfId="39992" xr:uid="{00000000-0005-0000-0000-0000413E0000}"/>
    <cellStyle name="Normal 2 11 2 2 2 5 4" xfId="9909" xr:uid="{00000000-0005-0000-0000-0000423E0000}"/>
    <cellStyle name="Normal 2 11 2 2 2 5 4 2" xfId="32552" xr:uid="{00000000-0005-0000-0000-0000433E0000}"/>
    <cellStyle name="Normal 2 11 2 2 2 5 5" xfId="25111" xr:uid="{00000000-0005-0000-0000-0000443E0000}"/>
    <cellStyle name="Normal 2 11 2 2 2 6" xfId="4336" xr:uid="{00000000-0005-0000-0000-0000453E0000}"/>
    <cellStyle name="Normal 2 11 2 2 2 6 2" xfId="19220" xr:uid="{00000000-0005-0000-0000-0000463E0000}"/>
    <cellStyle name="Normal 2 11 2 2 2 6 2 2" xfId="41863" xr:uid="{00000000-0005-0000-0000-0000473E0000}"/>
    <cellStyle name="Normal 2 11 2 2 2 6 3" xfId="11780" xr:uid="{00000000-0005-0000-0000-0000483E0000}"/>
    <cellStyle name="Normal 2 11 2 2 2 6 3 2" xfId="34423" xr:uid="{00000000-0005-0000-0000-0000493E0000}"/>
    <cellStyle name="Normal 2 11 2 2 2 6 4" xfId="26982" xr:uid="{00000000-0005-0000-0000-00004A3E0000}"/>
    <cellStyle name="Normal 2 11 2 2 2 7" xfId="15502" xr:uid="{00000000-0005-0000-0000-00004B3E0000}"/>
    <cellStyle name="Normal 2 11 2 2 2 7 2" xfId="38145" xr:uid="{00000000-0005-0000-0000-00004C3E0000}"/>
    <cellStyle name="Normal 2 11 2 2 2 8" xfId="8062" xr:uid="{00000000-0005-0000-0000-00004D3E0000}"/>
    <cellStyle name="Normal 2 11 2 2 2 8 2" xfId="30705" xr:uid="{00000000-0005-0000-0000-00004E3E0000}"/>
    <cellStyle name="Normal 2 11 2 2 2 9" xfId="23265" xr:uid="{00000000-0005-0000-0000-00004F3E0000}"/>
    <cellStyle name="Normal 2 11 2 2 3" xfId="712" xr:uid="{00000000-0005-0000-0000-0000503E0000}"/>
    <cellStyle name="Normal 2 11 2 2 3 2" xfId="1177" xr:uid="{00000000-0005-0000-0000-0000513E0000}"/>
    <cellStyle name="Normal 2 11 2 2 3 2 2" xfId="2105" xr:uid="{00000000-0005-0000-0000-0000523E0000}"/>
    <cellStyle name="Normal 2 11 2 2 3 2 2 2" xfId="3955" xr:uid="{00000000-0005-0000-0000-0000533E0000}"/>
    <cellStyle name="Normal 2 11 2 2 3 2 2 2 2" xfId="7676" xr:uid="{00000000-0005-0000-0000-0000543E0000}"/>
    <cellStyle name="Normal 2 11 2 2 3 2 2 2 2 2" xfId="22560" xr:uid="{00000000-0005-0000-0000-0000553E0000}"/>
    <cellStyle name="Normal 2 11 2 2 3 2 2 2 2 2 2" xfId="45203" xr:uid="{00000000-0005-0000-0000-0000563E0000}"/>
    <cellStyle name="Normal 2 11 2 2 3 2 2 2 2 3" xfId="15120" xr:uid="{00000000-0005-0000-0000-0000573E0000}"/>
    <cellStyle name="Normal 2 11 2 2 3 2 2 2 2 3 2" xfId="37763" xr:uid="{00000000-0005-0000-0000-0000583E0000}"/>
    <cellStyle name="Normal 2 11 2 2 3 2 2 2 2 4" xfId="30322" xr:uid="{00000000-0005-0000-0000-0000593E0000}"/>
    <cellStyle name="Normal 2 11 2 2 3 2 2 2 3" xfId="18842" xr:uid="{00000000-0005-0000-0000-00005A3E0000}"/>
    <cellStyle name="Normal 2 11 2 2 3 2 2 2 3 2" xfId="41485" xr:uid="{00000000-0005-0000-0000-00005B3E0000}"/>
    <cellStyle name="Normal 2 11 2 2 3 2 2 2 4" xfId="11402" xr:uid="{00000000-0005-0000-0000-00005C3E0000}"/>
    <cellStyle name="Normal 2 11 2 2 3 2 2 2 4 2" xfId="34045" xr:uid="{00000000-0005-0000-0000-00005D3E0000}"/>
    <cellStyle name="Normal 2 11 2 2 3 2 2 2 5" xfId="26604" xr:uid="{00000000-0005-0000-0000-00005E3E0000}"/>
    <cellStyle name="Normal 2 11 2 2 3 2 2 3" xfId="5829" xr:uid="{00000000-0005-0000-0000-00005F3E0000}"/>
    <cellStyle name="Normal 2 11 2 2 3 2 2 3 2" xfId="20713" xr:uid="{00000000-0005-0000-0000-0000603E0000}"/>
    <cellStyle name="Normal 2 11 2 2 3 2 2 3 2 2" xfId="43356" xr:uid="{00000000-0005-0000-0000-0000613E0000}"/>
    <cellStyle name="Normal 2 11 2 2 3 2 2 3 3" xfId="13273" xr:uid="{00000000-0005-0000-0000-0000623E0000}"/>
    <cellStyle name="Normal 2 11 2 2 3 2 2 3 3 2" xfId="35916" xr:uid="{00000000-0005-0000-0000-0000633E0000}"/>
    <cellStyle name="Normal 2 11 2 2 3 2 2 3 4" xfId="28475" xr:uid="{00000000-0005-0000-0000-0000643E0000}"/>
    <cellStyle name="Normal 2 11 2 2 3 2 2 4" xfId="16995" xr:uid="{00000000-0005-0000-0000-0000653E0000}"/>
    <cellStyle name="Normal 2 11 2 2 3 2 2 4 2" xfId="39638" xr:uid="{00000000-0005-0000-0000-0000663E0000}"/>
    <cellStyle name="Normal 2 11 2 2 3 2 2 5" xfId="9555" xr:uid="{00000000-0005-0000-0000-0000673E0000}"/>
    <cellStyle name="Normal 2 11 2 2 3 2 2 5 2" xfId="32198" xr:uid="{00000000-0005-0000-0000-0000683E0000}"/>
    <cellStyle name="Normal 2 11 2 2 3 2 2 6" xfId="24757" xr:uid="{00000000-0005-0000-0000-0000693E0000}"/>
    <cellStyle name="Normal 2 11 2 2 3 2 3" xfId="3030" xr:uid="{00000000-0005-0000-0000-00006A3E0000}"/>
    <cellStyle name="Normal 2 11 2 2 3 2 3 2" xfId="6751" xr:uid="{00000000-0005-0000-0000-00006B3E0000}"/>
    <cellStyle name="Normal 2 11 2 2 3 2 3 2 2" xfId="21635" xr:uid="{00000000-0005-0000-0000-00006C3E0000}"/>
    <cellStyle name="Normal 2 11 2 2 3 2 3 2 2 2" xfId="44278" xr:uid="{00000000-0005-0000-0000-00006D3E0000}"/>
    <cellStyle name="Normal 2 11 2 2 3 2 3 2 3" xfId="14195" xr:uid="{00000000-0005-0000-0000-00006E3E0000}"/>
    <cellStyle name="Normal 2 11 2 2 3 2 3 2 3 2" xfId="36838" xr:uid="{00000000-0005-0000-0000-00006F3E0000}"/>
    <cellStyle name="Normal 2 11 2 2 3 2 3 2 4" xfId="29397" xr:uid="{00000000-0005-0000-0000-0000703E0000}"/>
    <cellStyle name="Normal 2 11 2 2 3 2 3 3" xfId="17917" xr:uid="{00000000-0005-0000-0000-0000713E0000}"/>
    <cellStyle name="Normal 2 11 2 2 3 2 3 3 2" xfId="40560" xr:uid="{00000000-0005-0000-0000-0000723E0000}"/>
    <cellStyle name="Normal 2 11 2 2 3 2 3 4" xfId="10477" xr:uid="{00000000-0005-0000-0000-0000733E0000}"/>
    <cellStyle name="Normal 2 11 2 2 3 2 3 4 2" xfId="33120" xr:uid="{00000000-0005-0000-0000-0000743E0000}"/>
    <cellStyle name="Normal 2 11 2 2 3 2 3 5" xfId="25679" xr:uid="{00000000-0005-0000-0000-0000753E0000}"/>
    <cellStyle name="Normal 2 11 2 2 3 2 4" xfId="4904" xr:uid="{00000000-0005-0000-0000-0000763E0000}"/>
    <cellStyle name="Normal 2 11 2 2 3 2 4 2" xfId="19788" xr:uid="{00000000-0005-0000-0000-0000773E0000}"/>
    <cellStyle name="Normal 2 11 2 2 3 2 4 2 2" xfId="42431" xr:uid="{00000000-0005-0000-0000-0000783E0000}"/>
    <cellStyle name="Normal 2 11 2 2 3 2 4 3" xfId="12348" xr:uid="{00000000-0005-0000-0000-0000793E0000}"/>
    <cellStyle name="Normal 2 11 2 2 3 2 4 3 2" xfId="34991" xr:uid="{00000000-0005-0000-0000-00007A3E0000}"/>
    <cellStyle name="Normal 2 11 2 2 3 2 4 4" xfId="27550" xr:uid="{00000000-0005-0000-0000-00007B3E0000}"/>
    <cellStyle name="Normal 2 11 2 2 3 2 5" xfId="16070" xr:uid="{00000000-0005-0000-0000-00007C3E0000}"/>
    <cellStyle name="Normal 2 11 2 2 3 2 5 2" xfId="38713" xr:uid="{00000000-0005-0000-0000-00007D3E0000}"/>
    <cellStyle name="Normal 2 11 2 2 3 2 6" xfId="8630" xr:uid="{00000000-0005-0000-0000-00007E3E0000}"/>
    <cellStyle name="Normal 2 11 2 2 3 2 6 2" xfId="31273" xr:uid="{00000000-0005-0000-0000-00007F3E0000}"/>
    <cellStyle name="Normal 2 11 2 2 3 2 7" xfId="23832" xr:uid="{00000000-0005-0000-0000-0000803E0000}"/>
    <cellStyle name="Normal 2 11 2 2 3 3" xfId="1643" xr:uid="{00000000-0005-0000-0000-0000813E0000}"/>
    <cellStyle name="Normal 2 11 2 2 3 3 2" xfId="3493" xr:uid="{00000000-0005-0000-0000-0000823E0000}"/>
    <cellStyle name="Normal 2 11 2 2 3 3 2 2" xfId="7214" xr:uid="{00000000-0005-0000-0000-0000833E0000}"/>
    <cellStyle name="Normal 2 11 2 2 3 3 2 2 2" xfId="22098" xr:uid="{00000000-0005-0000-0000-0000843E0000}"/>
    <cellStyle name="Normal 2 11 2 2 3 3 2 2 2 2" xfId="44741" xr:uid="{00000000-0005-0000-0000-0000853E0000}"/>
    <cellStyle name="Normal 2 11 2 2 3 3 2 2 3" xfId="14658" xr:uid="{00000000-0005-0000-0000-0000863E0000}"/>
    <cellStyle name="Normal 2 11 2 2 3 3 2 2 3 2" xfId="37301" xr:uid="{00000000-0005-0000-0000-0000873E0000}"/>
    <cellStyle name="Normal 2 11 2 2 3 3 2 2 4" xfId="29860" xr:uid="{00000000-0005-0000-0000-0000883E0000}"/>
    <cellStyle name="Normal 2 11 2 2 3 3 2 3" xfId="18380" xr:uid="{00000000-0005-0000-0000-0000893E0000}"/>
    <cellStyle name="Normal 2 11 2 2 3 3 2 3 2" xfId="41023" xr:uid="{00000000-0005-0000-0000-00008A3E0000}"/>
    <cellStyle name="Normal 2 11 2 2 3 3 2 4" xfId="10940" xr:uid="{00000000-0005-0000-0000-00008B3E0000}"/>
    <cellStyle name="Normal 2 11 2 2 3 3 2 4 2" xfId="33583" xr:uid="{00000000-0005-0000-0000-00008C3E0000}"/>
    <cellStyle name="Normal 2 11 2 2 3 3 2 5" xfId="26142" xr:uid="{00000000-0005-0000-0000-00008D3E0000}"/>
    <cellStyle name="Normal 2 11 2 2 3 3 3" xfId="5367" xr:uid="{00000000-0005-0000-0000-00008E3E0000}"/>
    <cellStyle name="Normal 2 11 2 2 3 3 3 2" xfId="20251" xr:uid="{00000000-0005-0000-0000-00008F3E0000}"/>
    <cellStyle name="Normal 2 11 2 2 3 3 3 2 2" xfId="42894" xr:uid="{00000000-0005-0000-0000-0000903E0000}"/>
    <cellStyle name="Normal 2 11 2 2 3 3 3 3" xfId="12811" xr:uid="{00000000-0005-0000-0000-0000913E0000}"/>
    <cellStyle name="Normal 2 11 2 2 3 3 3 3 2" xfId="35454" xr:uid="{00000000-0005-0000-0000-0000923E0000}"/>
    <cellStyle name="Normal 2 11 2 2 3 3 3 4" xfId="28013" xr:uid="{00000000-0005-0000-0000-0000933E0000}"/>
    <cellStyle name="Normal 2 11 2 2 3 3 4" xfId="16533" xr:uid="{00000000-0005-0000-0000-0000943E0000}"/>
    <cellStyle name="Normal 2 11 2 2 3 3 4 2" xfId="39176" xr:uid="{00000000-0005-0000-0000-0000953E0000}"/>
    <cellStyle name="Normal 2 11 2 2 3 3 5" xfId="9093" xr:uid="{00000000-0005-0000-0000-0000963E0000}"/>
    <cellStyle name="Normal 2 11 2 2 3 3 5 2" xfId="31736" xr:uid="{00000000-0005-0000-0000-0000973E0000}"/>
    <cellStyle name="Normal 2 11 2 2 3 3 6" xfId="24295" xr:uid="{00000000-0005-0000-0000-0000983E0000}"/>
    <cellStyle name="Normal 2 11 2 2 3 4" xfId="2568" xr:uid="{00000000-0005-0000-0000-0000993E0000}"/>
    <cellStyle name="Normal 2 11 2 2 3 4 2" xfId="6289" xr:uid="{00000000-0005-0000-0000-00009A3E0000}"/>
    <cellStyle name="Normal 2 11 2 2 3 4 2 2" xfId="21173" xr:uid="{00000000-0005-0000-0000-00009B3E0000}"/>
    <cellStyle name="Normal 2 11 2 2 3 4 2 2 2" xfId="43816" xr:uid="{00000000-0005-0000-0000-00009C3E0000}"/>
    <cellStyle name="Normal 2 11 2 2 3 4 2 3" xfId="13733" xr:uid="{00000000-0005-0000-0000-00009D3E0000}"/>
    <cellStyle name="Normal 2 11 2 2 3 4 2 3 2" xfId="36376" xr:uid="{00000000-0005-0000-0000-00009E3E0000}"/>
    <cellStyle name="Normal 2 11 2 2 3 4 2 4" xfId="28935" xr:uid="{00000000-0005-0000-0000-00009F3E0000}"/>
    <cellStyle name="Normal 2 11 2 2 3 4 3" xfId="17455" xr:uid="{00000000-0005-0000-0000-0000A03E0000}"/>
    <cellStyle name="Normal 2 11 2 2 3 4 3 2" xfId="40098" xr:uid="{00000000-0005-0000-0000-0000A13E0000}"/>
    <cellStyle name="Normal 2 11 2 2 3 4 4" xfId="10015" xr:uid="{00000000-0005-0000-0000-0000A23E0000}"/>
    <cellStyle name="Normal 2 11 2 2 3 4 4 2" xfId="32658" xr:uid="{00000000-0005-0000-0000-0000A33E0000}"/>
    <cellStyle name="Normal 2 11 2 2 3 4 5" xfId="25217" xr:uid="{00000000-0005-0000-0000-0000A43E0000}"/>
    <cellStyle name="Normal 2 11 2 2 3 5" xfId="4442" xr:uid="{00000000-0005-0000-0000-0000A53E0000}"/>
    <cellStyle name="Normal 2 11 2 2 3 5 2" xfId="19326" xr:uid="{00000000-0005-0000-0000-0000A63E0000}"/>
    <cellStyle name="Normal 2 11 2 2 3 5 2 2" xfId="41969" xr:uid="{00000000-0005-0000-0000-0000A73E0000}"/>
    <cellStyle name="Normal 2 11 2 2 3 5 3" xfId="11886" xr:uid="{00000000-0005-0000-0000-0000A83E0000}"/>
    <cellStyle name="Normal 2 11 2 2 3 5 3 2" xfId="34529" xr:uid="{00000000-0005-0000-0000-0000A93E0000}"/>
    <cellStyle name="Normal 2 11 2 2 3 5 4" xfId="27088" xr:uid="{00000000-0005-0000-0000-0000AA3E0000}"/>
    <cellStyle name="Normal 2 11 2 2 3 6" xfId="15608" xr:uid="{00000000-0005-0000-0000-0000AB3E0000}"/>
    <cellStyle name="Normal 2 11 2 2 3 6 2" xfId="38251" xr:uid="{00000000-0005-0000-0000-0000AC3E0000}"/>
    <cellStyle name="Normal 2 11 2 2 3 7" xfId="8168" xr:uid="{00000000-0005-0000-0000-0000AD3E0000}"/>
    <cellStyle name="Normal 2 11 2 2 3 7 2" xfId="30811" xr:uid="{00000000-0005-0000-0000-0000AE3E0000}"/>
    <cellStyle name="Normal 2 11 2 2 3 8" xfId="23370" xr:uid="{00000000-0005-0000-0000-0000AF3E0000}"/>
    <cellStyle name="Normal 2 11 2 2 4" xfId="966" xr:uid="{00000000-0005-0000-0000-0000B03E0000}"/>
    <cellStyle name="Normal 2 11 2 2 4 2" xfId="1894" xr:uid="{00000000-0005-0000-0000-0000B13E0000}"/>
    <cellStyle name="Normal 2 11 2 2 4 2 2" xfId="3744" xr:uid="{00000000-0005-0000-0000-0000B23E0000}"/>
    <cellStyle name="Normal 2 11 2 2 4 2 2 2" xfId="7465" xr:uid="{00000000-0005-0000-0000-0000B33E0000}"/>
    <cellStyle name="Normal 2 11 2 2 4 2 2 2 2" xfId="22349" xr:uid="{00000000-0005-0000-0000-0000B43E0000}"/>
    <cellStyle name="Normal 2 11 2 2 4 2 2 2 2 2" xfId="44992" xr:uid="{00000000-0005-0000-0000-0000B53E0000}"/>
    <cellStyle name="Normal 2 11 2 2 4 2 2 2 3" xfId="14909" xr:uid="{00000000-0005-0000-0000-0000B63E0000}"/>
    <cellStyle name="Normal 2 11 2 2 4 2 2 2 3 2" xfId="37552" xr:uid="{00000000-0005-0000-0000-0000B73E0000}"/>
    <cellStyle name="Normal 2 11 2 2 4 2 2 2 4" xfId="30111" xr:uid="{00000000-0005-0000-0000-0000B83E0000}"/>
    <cellStyle name="Normal 2 11 2 2 4 2 2 3" xfId="18631" xr:uid="{00000000-0005-0000-0000-0000B93E0000}"/>
    <cellStyle name="Normal 2 11 2 2 4 2 2 3 2" xfId="41274" xr:uid="{00000000-0005-0000-0000-0000BA3E0000}"/>
    <cellStyle name="Normal 2 11 2 2 4 2 2 4" xfId="11191" xr:uid="{00000000-0005-0000-0000-0000BB3E0000}"/>
    <cellStyle name="Normal 2 11 2 2 4 2 2 4 2" xfId="33834" xr:uid="{00000000-0005-0000-0000-0000BC3E0000}"/>
    <cellStyle name="Normal 2 11 2 2 4 2 2 5" xfId="26393" xr:uid="{00000000-0005-0000-0000-0000BD3E0000}"/>
    <cellStyle name="Normal 2 11 2 2 4 2 3" xfId="5618" xr:uid="{00000000-0005-0000-0000-0000BE3E0000}"/>
    <cellStyle name="Normal 2 11 2 2 4 2 3 2" xfId="20502" xr:uid="{00000000-0005-0000-0000-0000BF3E0000}"/>
    <cellStyle name="Normal 2 11 2 2 4 2 3 2 2" xfId="43145" xr:uid="{00000000-0005-0000-0000-0000C03E0000}"/>
    <cellStyle name="Normal 2 11 2 2 4 2 3 3" xfId="13062" xr:uid="{00000000-0005-0000-0000-0000C13E0000}"/>
    <cellStyle name="Normal 2 11 2 2 4 2 3 3 2" xfId="35705" xr:uid="{00000000-0005-0000-0000-0000C23E0000}"/>
    <cellStyle name="Normal 2 11 2 2 4 2 3 4" xfId="28264" xr:uid="{00000000-0005-0000-0000-0000C33E0000}"/>
    <cellStyle name="Normal 2 11 2 2 4 2 4" xfId="16784" xr:uid="{00000000-0005-0000-0000-0000C43E0000}"/>
    <cellStyle name="Normal 2 11 2 2 4 2 4 2" xfId="39427" xr:uid="{00000000-0005-0000-0000-0000C53E0000}"/>
    <cellStyle name="Normal 2 11 2 2 4 2 5" xfId="9344" xr:uid="{00000000-0005-0000-0000-0000C63E0000}"/>
    <cellStyle name="Normal 2 11 2 2 4 2 5 2" xfId="31987" xr:uid="{00000000-0005-0000-0000-0000C73E0000}"/>
    <cellStyle name="Normal 2 11 2 2 4 2 6" xfId="24546" xr:uid="{00000000-0005-0000-0000-0000C83E0000}"/>
    <cellStyle name="Normal 2 11 2 2 4 3" xfId="2819" xr:uid="{00000000-0005-0000-0000-0000C93E0000}"/>
    <cellStyle name="Normal 2 11 2 2 4 3 2" xfId="6540" xr:uid="{00000000-0005-0000-0000-0000CA3E0000}"/>
    <cellStyle name="Normal 2 11 2 2 4 3 2 2" xfId="21424" xr:uid="{00000000-0005-0000-0000-0000CB3E0000}"/>
    <cellStyle name="Normal 2 11 2 2 4 3 2 2 2" xfId="44067" xr:uid="{00000000-0005-0000-0000-0000CC3E0000}"/>
    <cellStyle name="Normal 2 11 2 2 4 3 2 3" xfId="13984" xr:uid="{00000000-0005-0000-0000-0000CD3E0000}"/>
    <cellStyle name="Normal 2 11 2 2 4 3 2 3 2" xfId="36627" xr:uid="{00000000-0005-0000-0000-0000CE3E0000}"/>
    <cellStyle name="Normal 2 11 2 2 4 3 2 4" xfId="29186" xr:uid="{00000000-0005-0000-0000-0000CF3E0000}"/>
    <cellStyle name="Normal 2 11 2 2 4 3 3" xfId="17706" xr:uid="{00000000-0005-0000-0000-0000D03E0000}"/>
    <cellStyle name="Normal 2 11 2 2 4 3 3 2" xfId="40349" xr:uid="{00000000-0005-0000-0000-0000D13E0000}"/>
    <cellStyle name="Normal 2 11 2 2 4 3 4" xfId="10266" xr:uid="{00000000-0005-0000-0000-0000D23E0000}"/>
    <cellStyle name="Normal 2 11 2 2 4 3 4 2" xfId="32909" xr:uid="{00000000-0005-0000-0000-0000D33E0000}"/>
    <cellStyle name="Normal 2 11 2 2 4 3 5" xfId="25468" xr:uid="{00000000-0005-0000-0000-0000D43E0000}"/>
    <cellStyle name="Normal 2 11 2 2 4 4" xfId="4693" xr:uid="{00000000-0005-0000-0000-0000D53E0000}"/>
    <cellStyle name="Normal 2 11 2 2 4 4 2" xfId="19577" xr:uid="{00000000-0005-0000-0000-0000D63E0000}"/>
    <cellStyle name="Normal 2 11 2 2 4 4 2 2" xfId="42220" xr:uid="{00000000-0005-0000-0000-0000D73E0000}"/>
    <cellStyle name="Normal 2 11 2 2 4 4 3" xfId="12137" xr:uid="{00000000-0005-0000-0000-0000D83E0000}"/>
    <cellStyle name="Normal 2 11 2 2 4 4 3 2" xfId="34780" xr:uid="{00000000-0005-0000-0000-0000D93E0000}"/>
    <cellStyle name="Normal 2 11 2 2 4 4 4" xfId="27339" xr:uid="{00000000-0005-0000-0000-0000DA3E0000}"/>
    <cellStyle name="Normal 2 11 2 2 4 5" xfId="15859" xr:uid="{00000000-0005-0000-0000-0000DB3E0000}"/>
    <cellStyle name="Normal 2 11 2 2 4 5 2" xfId="38502" xr:uid="{00000000-0005-0000-0000-0000DC3E0000}"/>
    <cellStyle name="Normal 2 11 2 2 4 6" xfId="8419" xr:uid="{00000000-0005-0000-0000-0000DD3E0000}"/>
    <cellStyle name="Normal 2 11 2 2 4 6 2" xfId="31062" xr:uid="{00000000-0005-0000-0000-0000DE3E0000}"/>
    <cellStyle name="Normal 2 11 2 2 4 7" xfId="23621" xr:uid="{00000000-0005-0000-0000-0000DF3E0000}"/>
    <cellStyle name="Normal 2 11 2 2 5" xfId="1432" xr:uid="{00000000-0005-0000-0000-0000E03E0000}"/>
    <cellStyle name="Normal 2 11 2 2 5 2" xfId="3282" xr:uid="{00000000-0005-0000-0000-0000E13E0000}"/>
    <cellStyle name="Normal 2 11 2 2 5 2 2" xfId="7003" xr:uid="{00000000-0005-0000-0000-0000E23E0000}"/>
    <cellStyle name="Normal 2 11 2 2 5 2 2 2" xfId="21887" xr:uid="{00000000-0005-0000-0000-0000E33E0000}"/>
    <cellStyle name="Normal 2 11 2 2 5 2 2 2 2" xfId="44530" xr:uid="{00000000-0005-0000-0000-0000E43E0000}"/>
    <cellStyle name="Normal 2 11 2 2 5 2 2 3" xfId="14447" xr:uid="{00000000-0005-0000-0000-0000E53E0000}"/>
    <cellStyle name="Normal 2 11 2 2 5 2 2 3 2" xfId="37090" xr:uid="{00000000-0005-0000-0000-0000E63E0000}"/>
    <cellStyle name="Normal 2 11 2 2 5 2 2 4" xfId="29649" xr:uid="{00000000-0005-0000-0000-0000E73E0000}"/>
    <cellStyle name="Normal 2 11 2 2 5 2 3" xfId="18169" xr:uid="{00000000-0005-0000-0000-0000E83E0000}"/>
    <cellStyle name="Normal 2 11 2 2 5 2 3 2" xfId="40812" xr:uid="{00000000-0005-0000-0000-0000E93E0000}"/>
    <cellStyle name="Normal 2 11 2 2 5 2 4" xfId="10729" xr:uid="{00000000-0005-0000-0000-0000EA3E0000}"/>
    <cellStyle name="Normal 2 11 2 2 5 2 4 2" xfId="33372" xr:uid="{00000000-0005-0000-0000-0000EB3E0000}"/>
    <cellStyle name="Normal 2 11 2 2 5 2 5" xfId="25931" xr:uid="{00000000-0005-0000-0000-0000EC3E0000}"/>
    <cellStyle name="Normal 2 11 2 2 5 3" xfId="5156" xr:uid="{00000000-0005-0000-0000-0000ED3E0000}"/>
    <cellStyle name="Normal 2 11 2 2 5 3 2" xfId="20040" xr:uid="{00000000-0005-0000-0000-0000EE3E0000}"/>
    <cellStyle name="Normal 2 11 2 2 5 3 2 2" xfId="42683" xr:uid="{00000000-0005-0000-0000-0000EF3E0000}"/>
    <cellStyle name="Normal 2 11 2 2 5 3 3" xfId="12600" xr:uid="{00000000-0005-0000-0000-0000F03E0000}"/>
    <cellStyle name="Normal 2 11 2 2 5 3 3 2" xfId="35243" xr:uid="{00000000-0005-0000-0000-0000F13E0000}"/>
    <cellStyle name="Normal 2 11 2 2 5 3 4" xfId="27802" xr:uid="{00000000-0005-0000-0000-0000F23E0000}"/>
    <cellStyle name="Normal 2 11 2 2 5 4" xfId="16322" xr:uid="{00000000-0005-0000-0000-0000F33E0000}"/>
    <cellStyle name="Normal 2 11 2 2 5 4 2" xfId="38965" xr:uid="{00000000-0005-0000-0000-0000F43E0000}"/>
    <cellStyle name="Normal 2 11 2 2 5 5" xfId="8882" xr:uid="{00000000-0005-0000-0000-0000F53E0000}"/>
    <cellStyle name="Normal 2 11 2 2 5 5 2" xfId="31525" xr:uid="{00000000-0005-0000-0000-0000F63E0000}"/>
    <cellStyle name="Normal 2 11 2 2 5 6" xfId="24084" xr:uid="{00000000-0005-0000-0000-0000F73E0000}"/>
    <cellStyle name="Normal 2 11 2 2 6" xfId="2357" xr:uid="{00000000-0005-0000-0000-0000F83E0000}"/>
    <cellStyle name="Normal 2 11 2 2 6 2" xfId="6078" xr:uid="{00000000-0005-0000-0000-0000F93E0000}"/>
    <cellStyle name="Normal 2 11 2 2 6 2 2" xfId="20962" xr:uid="{00000000-0005-0000-0000-0000FA3E0000}"/>
    <cellStyle name="Normal 2 11 2 2 6 2 2 2" xfId="43605" xr:uid="{00000000-0005-0000-0000-0000FB3E0000}"/>
    <cellStyle name="Normal 2 11 2 2 6 2 3" xfId="13522" xr:uid="{00000000-0005-0000-0000-0000FC3E0000}"/>
    <cellStyle name="Normal 2 11 2 2 6 2 3 2" xfId="36165" xr:uid="{00000000-0005-0000-0000-0000FD3E0000}"/>
    <cellStyle name="Normal 2 11 2 2 6 2 4" xfId="28724" xr:uid="{00000000-0005-0000-0000-0000FE3E0000}"/>
    <cellStyle name="Normal 2 11 2 2 6 3" xfId="17244" xr:uid="{00000000-0005-0000-0000-0000FF3E0000}"/>
    <cellStyle name="Normal 2 11 2 2 6 3 2" xfId="39887" xr:uid="{00000000-0005-0000-0000-0000003F0000}"/>
    <cellStyle name="Normal 2 11 2 2 6 4" xfId="9804" xr:uid="{00000000-0005-0000-0000-0000013F0000}"/>
    <cellStyle name="Normal 2 11 2 2 6 4 2" xfId="32447" xr:uid="{00000000-0005-0000-0000-0000023F0000}"/>
    <cellStyle name="Normal 2 11 2 2 6 5" xfId="25006" xr:uid="{00000000-0005-0000-0000-0000033F0000}"/>
    <cellStyle name="Normal 2 11 2 2 7" xfId="4231" xr:uid="{00000000-0005-0000-0000-0000043F0000}"/>
    <cellStyle name="Normal 2 11 2 2 7 2" xfId="19115" xr:uid="{00000000-0005-0000-0000-0000053F0000}"/>
    <cellStyle name="Normal 2 11 2 2 7 2 2" xfId="41758" xr:uid="{00000000-0005-0000-0000-0000063F0000}"/>
    <cellStyle name="Normal 2 11 2 2 7 3" xfId="11675" xr:uid="{00000000-0005-0000-0000-0000073F0000}"/>
    <cellStyle name="Normal 2 11 2 2 7 3 2" xfId="34318" xr:uid="{00000000-0005-0000-0000-0000083F0000}"/>
    <cellStyle name="Normal 2 11 2 2 7 4" xfId="26877" xr:uid="{00000000-0005-0000-0000-0000093F0000}"/>
    <cellStyle name="Normal 2 11 2 2 8" xfId="15397" xr:uid="{00000000-0005-0000-0000-00000A3F0000}"/>
    <cellStyle name="Normal 2 11 2 2 8 2" xfId="38040" xr:uid="{00000000-0005-0000-0000-00000B3F0000}"/>
    <cellStyle name="Normal 2 11 2 2 9" xfId="7957" xr:uid="{00000000-0005-0000-0000-00000C3F0000}"/>
    <cellStyle name="Normal 2 11 2 2 9 2" xfId="30600" xr:uid="{00000000-0005-0000-0000-00000D3F0000}"/>
    <cellStyle name="Normal 2 11 2 3" xfId="553" xr:uid="{00000000-0005-0000-0000-00000E3F0000}"/>
    <cellStyle name="Normal 2 11 2 3 2" xfId="765" xr:uid="{00000000-0005-0000-0000-00000F3F0000}"/>
    <cellStyle name="Normal 2 11 2 3 2 2" xfId="1230" xr:uid="{00000000-0005-0000-0000-0000103F0000}"/>
    <cellStyle name="Normal 2 11 2 3 2 2 2" xfId="2158" xr:uid="{00000000-0005-0000-0000-0000113F0000}"/>
    <cellStyle name="Normal 2 11 2 3 2 2 2 2" xfId="4008" xr:uid="{00000000-0005-0000-0000-0000123F0000}"/>
    <cellStyle name="Normal 2 11 2 3 2 2 2 2 2" xfId="7729" xr:uid="{00000000-0005-0000-0000-0000133F0000}"/>
    <cellStyle name="Normal 2 11 2 3 2 2 2 2 2 2" xfId="22613" xr:uid="{00000000-0005-0000-0000-0000143F0000}"/>
    <cellStyle name="Normal 2 11 2 3 2 2 2 2 2 2 2" xfId="45256" xr:uid="{00000000-0005-0000-0000-0000153F0000}"/>
    <cellStyle name="Normal 2 11 2 3 2 2 2 2 2 3" xfId="15173" xr:uid="{00000000-0005-0000-0000-0000163F0000}"/>
    <cellStyle name="Normal 2 11 2 3 2 2 2 2 2 3 2" xfId="37816" xr:uid="{00000000-0005-0000-0000-0000173F0000}"/>
    <cellStyle name="Normal 2 11 2 3 2 2 2 2 2 4" xfId="30375" xr:uid="{00000000-0005-0000-0000-0000183F0000}"/>
    <cellStyle name="Normal 2 11 2 3 2 2 2 2 3" xfId="18895" xr:uid="{00000000-0005-0000-0000-0000193F0000}"/>
    <cellStyle name="Normal 2 11 2 3 2 2 2 2 3 2" xfId="41538" xr:uid="{00000000-0005-0000-0000-00001A3F0000}"/>
    <cellStyle name="Normal 2 11 2 3 2 2 2 2 4" xfId="11455" xr:uid="{00000000-0005-0000-0000-00001B3F0000}"/>
    <cellStyle name="Normal 2 11 2 3 2 2 2 2 4 2" xfId="34098" xr:uid="{00000000-0005-0000-0000-00001C3F0000}"/>
    <cellStyle name="Normal 2 11 2 3 2 2 2 2 5" xfId="26657" xr:uid="{00000000-0005-0000-0000-00001D3F0000}"/>
    <cellStyle name="Normal 2 11 2 3 2 2 2 3" xfId="5882" xr:uid="{00000000-0005-0000-0000-00001E3F0000}"/>
    <cellStyle name="Normal 2 11 2 3 2 2 2 3 2" xfId="20766" xr:uid="{00000000-0005-0000-0000-00001F3F0000}"/>
    <cellStyle name="Normal 2 11 2 3 2 2 2 3 2 2" xfId="43409" xr:uid="{00000000-0005-0000-0000-0000203F0000}"/>
    <cellStyle name="Normal 2 11 2 3 2 2 2 3 3" xfId="13326" xr:uid="{00000000-0005-0000-0000-0000213F0000}"/>
    <cellStyle name="Normal 2 11 2 3 2 2 2 3 3 2" xfId="35969" xr:uid="{00000000-0005-0000-0000-0000223F0000}"/>
    <cellStyle name="Normal 2 11 2 3 2 2 2 3 4" xfId="28528" xr:uid="{00000000-0005-0000-0000-0000233F0000}"/>
    <cellStyle name="Normal 2 11 2 3 2 2 2 4" xfId="17048" xr:uid="{00000000-0005-0000-0000-0000243F0000}"/>
    <cellStyle name="Normal 2 11 2 3 2 2 2 4 2" xfId="39691" xr:uid="{00000000-0005-0000-0000-0000253F0000}"/>
    <cellStyle name="Normal 2 11 2 3 2 2 2 5" xfId="9608" xr:uid="{00000000-0005-0000-0000-0000263F0000}"/>
    <cellStyle name="Normal 2 11 2 3 2 2 2 5 2" xfId="32251" xr:uid="{00000000-0005-0000-0000-0000273F0000}"/>
    <cellStyle name="Normal 2 11 2 3 2 2 2 6" xfId="24810" xr:uid="{00000000-0005-0000-0000-0000283F0000}"/>
    <cellStyle name="Normal 2 11 2 3 2 2 3" xfId="3083" xr:uid="{00000000-0005-0000-0000-0000293F0000}"/>
    <cellStyle name="Normal 2 11 2 3 2 2 3 2" xfId="6804" xr:uid="{00000000-0005-0000-0000-00002A3F0000}"/>
    <cellStyle name="Normal 2 11 2 3 2 2 3 2 2" xfId="21688" xr:uid="{00000000-0005-0000-0000-00002B3F0000}"/>
    <cellStyle name="Normal 2 11 2 3 2 2 3 2 2 2" xfId="44331" xr:uid="{00000000-0005-0000-0000-00002C3F0000}"/>
    <cellStyle name="Normal 2 11 2 3 2 2 3 2 3" xfId="14248" xr:uid="{00000000-0005-0000-0000-00002D3F0000}"/>
    <cellStyle name="Normal 2 11 2 3 2 2 3 2 3 2" xfId="36891" xr:uid="{00000000-0005-0000-0000-00002E3F0000}"/>
    <cellStyle name="Normal 2 11 2 3 2 2 3 2 4" xfId="29450" xr:uid="{00000000-0005-0000-0000-00002F3F0000}"/>
    <cellStyle name="Normal 2 11 2 3 2 2 3 3" xfId="17970" xr:uid="{00000000-0005-0000-0000-0000303F0000}"/>
    <cellStyle name="Normal 2 11 2 3 2 2 3 3 2" xfId="40613" xr:uid="{00000000-0005-0000-0000-0000313F0000}"/>
    <cellStyle name="Normal 2 11 2 3 2 2 3 4" xfId="10530" xr:uid="{00000000-0005-0000-0000-0000323F0000}"/>
    <cellStyle name="Normal 2 11 2 3 2 2 3 4 2" xfId="33173" xr:uid="{00000000-0005-0000-0000-0000333F0000}"/>
    <cellStyle name="Normal 2 11 2 3 2 2 3 5" xfId="25732" xr:uid="{00000000-0005-0000-0000-0000343F0000}"/>
    <cellStyle name="Normal 2 11 2 3 2 2 4" xfId="4957" xr:uid="{00000000-0005-0000-0000-0000353F0000}"/>
    <cellStyle name="Normal 2 11 2 3 2 2 4 2" xfId="19841" xr:uid="{00000000-0005-0000-0000-0000363F0000}"/>
    <cellStyle name="Normal 2 11 2 3 2 2 4 2 2" xfId="42484" xr:uid="{00000000-0005-0000-0000-0000373F0000}"/>
    <cellStyle name="Normal 2 11 2 3 2 2 4 3" xfId="12401" xr:uid="{00000000-0005-0000-0000-0000383F0000}"/>
    <cellStyle name="Normal 2 11 2 3 2 2 4 3 2" xfId="35044" xr:uid="{00000000-0005-0000-0000-0000393F0000}"/>
    <cellStyle name="Normal 2 11 2 3 2 2 4 4" xfId="27603" xr:uid="{00000000-0005-0000-0000-00003A3F0000}"/>
    <cellStyle name="Normal 2 11 2 3 2 2 5" xfId="16123" xr:uid="{00000000-0005-0000-0000-00003B3F0000}"/>
    <cellStyle name="Normal 2 11 2 3 2 2 5 2" xfId="38766" xr:uid="{00000000-0005-0000-0000-00003C3F0000}"/>
    <cellStyle name="Normal 2 11 2 3 2 2 6" xfId="8683" xr:uid="{00000000-0005-0000-0000-00003D3F0000}"/>
    <cellStyle name="Normal 2 11 2 3 2 2 6 2" xfId="31326" xr:uid="{00000000-0005-0000-0000-00003E3F0000}"/>
    <cellStyle name="Normal 2 11 2 3 2 2 7" xfId="23885" xr:uid="{00000000-0005-0000-0000-00003F3F0000}"/>
    <cellStyle name="Normal 2 11 2 3 2 3" xfId="1696" xr:uid="{00000000-0005-0000-0000-0000403F0000}"/>
    <cellStyle name="Normal 2 11 2 3 2 3 2" xfId="3546" xr:uid="{00000000-0005-0000-0000-0000413F0000}"/>
    <cellStyle name="Normal 2 11 2 3 2 3 2 2" xfId="7267" xr:uid="{00000000-0005-0000-0000-0000423F0000}"/>
    <cellStyle name="Normal 2 11 2 3 2 3 2 2 2" xfId="22151" xr:uid="{00000000-0005-0000-0000-0000433F0000}"/>
    <cellStyle name="Normal 2 11 2 3 2 3 2 2 2 2" xfId="44794" xr:uid="{00000000-0005-0000-0000-0000443F0000}"/>
    <cellStyle name="Normal 2 11 2 3 2 3 2 2 3" xfId="14711" xr:uid="{00000000-0005-0000-0000-0000453F0000}"/>
    <cellStyle name="Normal 2 11 2 3 2 3 2 2 3 2" xfId="37354" xr:uid="{00000000-0005-0000-0000-0000463F0000}"/>
    <cellStyle name="Normal 2 11 2 3 2 3 2 2 4" xfId="29913" xr:uid="{00000000-0005-0000-0000-0000473F0000}"/>
    <cellStyle name="Normal 2 11 2 3 2 3 2 3" xfId="18433" xr:uid="{00000000-0005-0000-0000-0000483F0000}"/>
    <cellStyle name="Normal 2 11 2 3 2 3 2 3 2" xfId="41076" xr:uid="{00000000-0005-0000-0000-0000493F0000}"/>
    <cellStyle name="Normal 2 11 2 3 2 3 2 4" xfId="10993" xr:uid="{00000000-0005-0000-0000-00004A3F0000}"/>
    <cellStyle name="Normal 2 11 2 3 2 3 2 4 2" xfId="33636" xr:uid="{00000000-0005-0000-0000-00004B3F0000}"/>
    <cellStyle name="Normal 2 11 2 3 2 3 2 5" xfId="26195" xr:uid="{00000000-0005-0000-0000-00004C3F0000}"/>
    <cellStyle name="Normal 2 11 2 3 2 3 3" xfId="5420" xr:uid="{00000000-0005-0000-0000-00004D3F0000}"/>
    <cellStyle name="Normal 2 11 2 3 2 3 3 2" xfId="20304" xr:uid="{00000000-0005-0000-0000-00004E3F0000}"/>
    <cellStyle name="Normal 2 11 2 3 2 3 3 2 2" xfId="42947" xr:uid="{00000000-0005-0000-0000-00004F3F0000}"/>
    <cellStyle name="Normal 2 11 2 3 2 3 3 3" xfId="12864" xr:uid="{00000000-0005-0000-0000-0000503F0000}"/>
    <cellStyle name="Normal 2 11 2 3 2 3 3 3 2" xfId="35507" xr:uid="{00000000-0005-0000-0000-0000513F0000}"/>
    <cellStyle name="Normal 2 11 2 3 2 3 3 4" xfId="28066" xr:uid="{00000000-0005-0000-0000-0000523F0000}"/>
    <cellStyle name="Normal 2 11 2 3 2 3 4" xfId="16586" xr:uid="{00000000-0005-0000-0000-0000533F0000}"/>
    <cellStyle name="Normal 2 11 2 3 2 3 4 2" xfId="39229" xr:uid="{00000000-0005-0000-0000-0000543F0000}"/>
    <cellStyle name="Normal 2 11 2 3 2 3 5" xfId="9146" xr:uid="{00000000-0005-0000-0000-0000553F0000}"/>
    <cellStyle name="Normal 2 11 2 3 2 3 5 2" xfId="31789" xr:uid="{00000000-0005-0000-0000-0000563F0000}"/>
    <cellStyle name="Normal 2 11 2 3 2 3 6" xfId="24348" xr:uid="{00000000-0005-0000-0000-0000573F0000}"/>
    <cellStyle name="Normal 2 11 2 3 2 4" xfId="2621" xr:uid="{00000000-0005-0000-0000-0000583F0000}"/>
    <cellStyle name="Normal 2 11 2 3 2 4 2" xfId="6342" xr:uid="{00000000-0005-0000-0000-0000593F0000}"/>
    <cellStyle name="Normal 2 11 2 3 2 4 2 2" xfId="21226" xr:uid="{00000000-0005-0000-0000-00005A3F0000}"/>
    <cellStyle name="Normal 2 11 2 3 2 4 2 2 2" xfId="43869" xr:uid="{00000000-0005-0000-0000-00005B3F0000}"/>
    <cellStyle name="Normal 2 11 2 3 2 4 2 3" xfId="13786" xr:uid="{00000000-0005-0000-0000-00005C3F0000}"/>
    <cellStyle name="Normal 2 11 2 3 2 4 2 3 2" xfId="36429" xr:uid="{00000000-0005-0000-0000-00005D3F0000}"/>
    <cellStyle name="Normal 2 11 2 3 2 4 2 4" xfId="28988" xr:uid="{00000000-0005-0000-0000-00005E3F0000}"/>
    <cellStyle name="Normal 2 11 2 3 2 4 3" xfId="17508" xr:uid="{00000000-0005-0000-0000-00005F3F0000}"/>
    <cellStyle name="Normal 2 11 2 3 2 4 3 2" xfId="40151" xr:uid="{00000000-0005-0000-0000-0000603F0000}"/>
    <cellStyle name="Normal 2 11 2 3 2 4 4" xfId="10068" xr:uid="{00000000-0005-0000-0000-0000613F0000}"/>
    <cellStyle name="Normal 2 11 2 3 2 4 4 2" xfId="32711" xr:uid="{00000000-0005-0000-0000-0000623F0000}"/>
    <cellStyle name="Normal 2 11 2 3 2 4 5" xfId="25270" xr:uid="{00000000-0005-0000-0000-0000633F0000}"/>
    <cellStyle name="Normal 2 11 2 3 2 5" xfId="4495" xr:uid="{00000000-0005-0000-0000-0000643F0000}"/>
    <cellStyle name="Normal 2 11 2 3 2 5 2" xfId="19379" xr:uid="{00000000-0005-0000-0000-0000653F0000}"/>
    <cellStyle name="Normal 2 11 2 3 2 5 2 2" xfId="42022" xr:uid="{00000000-0005-0000-0000-0000663F0000}"/>
    <cellStyle name="Normal 2 11 2 3 2 5 3" xfId="11939" xr:uid="{00000000-0005-0000-0000-0000673F0000}"/>
    <cellStyle name="Normal 2 11 2 3 2 5 3 2" xfId="34582" xr:uid="{00000000-0005-0000-0000-0000683F0000}"/>
    <cellStyle name="Normal 2 11 2 3 2 5 4" xfId="27141" xr:uid="{00000000-0005-0000-0000-0000693F0000}"/>
    <cellStyle name="Normal 2 11 2 3 2 6" xfId="15661" xr:uid="{00000000-0005-0000-0000-00006A3F0000}"/>
    <cellStyle name="Normal 2 11 2 3 2 6 2" xfId="38304" xr:uid="{00000000-0005-0000-0000-00006B3F0000}"/>
    <cellStyle name="Normal 2 11 2 3 2 7" xfId="8221" xr:uid="{00000000-0005-0000-0000-00006C3F0000}"/>
    <cellStyle name="Normal 2 11 2 3 2 7 2" xfId="30864" xr:uid="{00000000-0005-0000-0000-00006D3F0000}"/>
    <cellStyle name="Normal 2 11 2 3 2 8" xfId="23423" xr:uid="{00000000-0005-0000-0000-00006E3F0000}"/>
    <cellStyle name="Normal 2 11 2 3 3" xfId="1019" xr:uid="{00000000-0005-0000-0000-00006F3F0000}"/>
    <cellStyle name="Normal 2 11 2 3 3 2" xfId="1947" xr:uid="{00000000-0005-0000-0000-0000703F0000}"/>
    <cellStyle name="Normal 2 11 2 3 3 2 2" xfId="3797" xr:uid="{00000000-0005-0000-0000-0000713F0000}"/>
    <cellStyle name="Normal 2 11 2 3 3 2 2 2" xfId="7518" xr:uid="{00000000-0005-0000-0000-0000723F0000}"/>
    <cellStyle name="Normal 2 11 2 3 3 2 2 2 2" xfId="22402" xr:uid="{00000000-0005-0000-0000-0000733F0000}"/>
    <cellStyle name="Normal 2 11 2 3 3 2 2 2 2 2" xfId="45045" xr:uid="{00000000-0005-0000-0000-0000743F0000}"/>
    <cellStyle name="Normal 2 11 2 3 3 2 2 2 3" xfId="14962" xr:uid="{00000000-0005-0000-0000-0000753F0000}"/>
    <cellStyle name="Normal 2 11 2 3 3 2 2 2 3 2" xfId="37605" xr:uid="{00000000-0005-0000-0000-0000763F0000}"/>
    <cellStyle name="Normal 2 11 2 3 3 2 2 2 4" xfId="30164" xr:uid="{00000000-0005-0000-0000-0000773F0000}"/>
    <cellStyle name="Normal 2 11 2 3 3 2 2 3" xfId="18684" xr:uid="{00000000-0005-0000-0000-0000783F0000}"/>
    <cellStyle name="Normal 2 11 2 3 3 2 2 3 2" xfId="41327" xr:uid="{00000000-0005-0000-0000-0000793F0000}"/>
    <cellStyle name="Normal 2 11 2 3 3 2 2 4" xfId="11244" xr:uid="{00000000-0005-0000-0000-00007A3F0000}"/>
    <cellStyle name="Normal 2 11 2 3 3 2 2 4 2" xfId="33887" xr:uid="{00000000-0005-0000-0000-00007B3F0000}"/>
    <cellStyle name="Normal 2 11 2 3 3 2 2 5" xfId="26446" xr:uid="{00000000-0005-0000-0000-00007C3F0000}"/>
    <cellStyle name="Normal 2 11 2 3 3 2 3" xfId="5671" xr:uid="{00000000-0005-0000-0000-00007D3F0000}"/>
    <cellStyle name="Normal 2 11 2 3 3 2 3 2" xfId="20555" xr:uid="{00000000-0005-0000-0000-00007E3F0000}"/>
    <cellStyle name="Normal 2 11 2 3 3 2 3 2 2" xfId="43198" xr:uid="{00000000-0005-0000-0000-00007F3F0000}"/>
    <cellStyle name="Normal 2 11 2 3 3 2 3 3" xfId="13115" xr:uid="{00000000-0005-0000-0000-0000803F0000}"/>
    <cellStyle name="Normal 2 11 2 3 3 2 3 3 2" xfId="35758" xr:uid="{00000000-0005-0000-0000-0000813F0000}"/>
    <cellStyle name="Normal 2 11 2 3 3 2 3 4" xfId="28317" xr:uid="{00000000-0005-0000-0000-0000823F0000}"/>
    <cellStyle name="Normal 2 11 2 3 3 2 4" xfId="16837" xr:uid="{00000000-0005-0000-0000-0000833F0000}"/>
    <cellStyle name="Normal 2 11 2 3 3 2 4 2" xfId="39480" xr:uid="{00000000-0005-0000-0000-0000843F0000}"/>
    <cellStyle name="Normal 2 11 2 3 3 2 5" xfId="9397" xr:uid="{00000000-0005-0000-0000-0000853F0000}"/>
    <cellStyle name="Normal 2 11 2 3 3 2 5 2" xfId="32040" xr:uid="{00000000-0005-0000-0000-0000863F0000}"/>
    <cellStyle name="Normal 2 11 2 3 3 2 6" xfId="24599" xr:uid="{00000000-0005-0000-0000-0000873F0000}"/>
    <cellStyle name="Normal 2 11 2 3 3 3" xfId="2872" xr:uid="{00000000-0005-0000-0000-0000883F0000}"/>
    <cellStyle name="Normal 2 11 2 3 3 3 2" xfId="6593" xr:uid="{00000000-0005-0000-0000-0000893F0000}"/>
    <cellStyle name="Normal 2 11 2 3 3 3 2 2" xfId="21477" xr:uid="{00000000-0005-0000-0000-00008A3F0000}"/>
    <cellStyle name="Normal 2 11 2 3 3 3 2 2 2" xfId="44120" xr:uid="{00000000-0005-0000-0000-00008B3F0000}"/>
    <cellStyle name="Normal 2 11 2 3 3 3 2 3" xfId="14037" xr:uid="{00000000-0005-0000-0000-00008C3F0000}"/>
    <cellStyle name="Normal 2 11 2 3 3 3 2 3 2" xfId="36680" xr:uid="{00000000-0005-0000-0000-00008D3F0000}"/>
    <cellStyle name="Normal 2 11 2 3 3 3 2 4" xfId="29239" xr:uid="{00000000-0005-0000-0000-00008E3F0000}"/>
    <cellStyle name="Normal 2 11 2 3 3 3 3" xfId="17759" xr:uid="{00000000-0005-0000-0000-00008F3F0000}"/>
    <cellStyle name="Normal 2 11 2 3 3 3 3 2" xfId="40402" xr:uid="{00000000-0005-0000-0000-0000903F0000}"/>
    <cellStyle name="Normal 2 11 2 3 3 3 4" xfId="10319" xr:uid="{00000000-0005-0000-0000-0000913F0000}"/>
    <cellStyle name="Normal 2 11 2 3 3 3 4 2" xfId="32962" xr:uid="{00000000-0005-0000-0000-0000923F0000}"/>
    <cellStyle name="Normal 2 11 2 3 3 3 5" xfId="25521" xr:uid="{00000000-0005-0000-0000-0000933F0000}"/>
    <cellStyle name="Normal 2 11 2 3 3 4" xfId="4746" xr:uid="{00000000-0005-0000-0000-0000943F0000}"/>
    <cellStyle name="Normal 2 11 2 3 3 4 2" xfId="19630" xr:uid="{00000000-0005-0000-0000-0000953F0000}"/>
    <cellStyle name="Normal 2 11 2 3 3 4 2 2" xfId="42273" xr:uid="{00000000-0005-0000-0000-0000963F0000}"/>
    <cellStyle name="Normal 2 11 2 3 3 4 3" xfId="12190" xr:uid="{00000000-0005-0000-0000-0000973F0000}"/>
    <cellStyle name="Normal 2 11 2 3 3 4 3 2" xfId="34833" xr:uid="{00000000-0005-0000-0000-0000983F0000}"/>
    <cellStyle name="Normal 2 11 2 3 3 4 4" xfId="27392" xr:uid="{00000000-0005-0000-0000-0000993F0000}"/>
    <cellStyle name="Normal 2 11 2 3 3 5" xfId="15912" xr:uid="{00000000-0005-0000-0000-00009A3F0000}"/>
    <cellStyle name="Normal 2 11 2 3 3 5 2" xfId="38555" xr:uid="{00000000-0005-0000-0000-00009B3F0000}"/>
    <cellStyle name="Normal 2 11 2 3 3 6" xfId="8472" xr:uid="{00000000-0005-0000-0000-00009C3F0000}"/>
    <cellStyle name="Normal 2 11 2 3 3 6 2" xfId="31115" xr:uid="{00000000-0005-0000-0000-00009D3F0000}"/>
    <cellStyle name="Normal 2 11 2 3 3 7" xfId="23674" xr:uid="{00000000-0005-0000-0000-00009E3F0000}"/>
    <cellStyle name="Normal 2 11 2 3 4" xfId="1485" xr:uid="{00000000-0005-0000-0000-00009F3F0000}"/>
    <cellStyle name="Normal 2 11 2 3 4 2" xfId="3335" xr:uid="{00000000-0005-0000-0000-0000A03F0000}"/>
    <cellStyle name="Normal 2 11 2 3 4 2 2" xfId="7056" xr:uid="{00000000-0005-0000-0000-0000A13F0000}"/>
    <cellStyle name="Normal 2 11 2 3 4 2 2 2" xfId="21940" xr:uid="{00000000-0005-0000-0000-0000A23F0000}"/>
    <cellStyle name="Normal 2 11 2 3 4 2 2 2 2" xfId="44583" xr:uid="{00000000-0005-0000-0000-0000A33F0000}"/>
    <cellStyle name="Normal 2 11 2 3 4 2 2 3" xfId="14500" xr:uid="{00000000-0005-0000-0000-0000A43F0000}"/>
    <cellStyle name="Normal 2 11 2 3 4 2 2 3 2" xfId="37143" xr:uid="{00000000-0005-0000-0000-0000A53F0000}"/>
    <cellStyle name="Normal 2 11 2 3 4 2 2 4" xfId="29702" xr:uid="{00000000-0005-0000-0000-0000A63F0000}"/>
    <cellStyle name="Normal 2 11 2 3 4 2 3" xfId="18222" xr:uid="{00000000-0005-0000-0000-0000A73F0000}"/>
    <cellStyle name="Normal 2 11 2 3 4 2 3 2" xfId="40865" xr:uid="{00000000-0005-0000-0000-0000A83F0000}"/>
    <cellStyle name="Normal 2 11 2 3 4 2 4" xfId="10782" xr:uid="{00000000-0005-0000-0000-0000A93F0000}"/>
    <cellStyle name="Normal 2 11 2 3 4 2 4 2" xfId="33425" xr:uid="{00000000-0005-0000-0000-0000AA3F0000}"/>
    <cellStyle name="Normal 2 11 2 3 4 2 5" xfId="25984" xr:uid="{00000000-0005-0000-0000-0000AB3F0000}"/>
    <cellStyle name="Normal 2 11 2 3 4 3" xfId="5209" xr:uid="{00000000-0005-0000-0000-0000AC3F0000}"/>
    <cellStyle name="Normal 2 11 2 3 4 3 2" xfId="20093" xr:uid="{00000000-0005-0000-0000-0000AD3F0000}"/>
    <cellStyle name="Normal 2 11 2 3 4 3 2 2" xfId="42736" xr:uid="{00000000-0005-0000-0000-0000AE3F0000}"/>
    <cellStyle name="Normal 2 11 2 3 4 3 3" xfId="12653" xr:uid="{00000000-0005-0000-0000-0000AF3F0000}"/>
    <cellStyle name="Normal 2 11 2 3 4 3 3 2" xfId="35296" xr:uid="{00000000-0005-0000-0000-0000B03F0000}"/>
    <cellStyle name="Normal 2 11 2 3 4 3 4" xfId="27855" xr:uid="{00000000-0005-0000-0000-0000B13F0000}"/>
    <cellStyle name="Normal 2 11 2 3 4 4" xfId="16375" xr:uid="{00000000-0005-0000-0000-0000B23F0000}"/>
    <cellStyle name="Normal 2 11 2 3 4 4 2" xfId="39018" xr:uid="{00000000-0005-0000-0000-0000B33F0000}"/>
    <cellStyle name="Normal 2 11 2 3 4 5" xfId="8935" xr:uid="{00000000-0005-0000-0000-0000B43F0000}"/>
    <cellStyle name="Normal 2 11 2 3 4 5 2" xfId="31578" xr:uid="{00000000-0005-0000-0000-0000B53F0000}"/>
    <cellStyle name="Normal 2 11 2 3 4 6" xfId="24137" xr:uid="{00000000-0005-0000-0000-0000B63F0000}"/>
    <cellStyle name="Normal 2 11 2 3 5" xfId="2410" xr:uid="{00000000-0005-0000-0000-0000B73F0000}"/>
    <cellStyle name="Normal 2 11 2 3 5 2" xfId="6131" xr:uid="{00000000-0005-0000-0000-0000B83F0000}"/>
    <cellStyle name="Normal 2 11 2 3 5 2 2" xfId="21015" xr:uid="{00000000-0005-0000-0000-0000B93F0000}"/>
    <cellStyle name="Normal 2 11 2 3 5 2 2 2" xfId="43658" xr:uid="{00000000-0005-0000-0000-0000BA3F0000}"/>
    <cellStyle name="Normal 2 11 2 3 5 2 3" xfId="13575" xr:uid="{00000000-0005-0000-0000-0000BB3F0000}"/>
    <cellStyle name="Normal 2 11 2 3 5 2 3 2" xfId="36218" xr:uid="{00000000-0005-0000-0000-0000BC3F0000}"/>
    <cellStyle name="Normal 2 11 2 3 5 2 4" xfId="28777" xr:uid="{00000000-0005-0000-0000-0000BD3F0000}"/>
    <cellStyle name="Normal 2 11 2 3 5 3" xfId="17297" xr:uid="{00000000-0005-0000-0000-0000BE3F0000}"/>
    <cellStyle name="Normal 2 11 2 3 5 3 2" xfId="39940" xr:uid="{00000000-0005-0000-0000-0000BF3F0000}"/>
    <cellStyle name="Normal 2 11 2 3 5 4" xfId="9857" xr:uid="{00000000-0005-0000-0000-0000C03F0000}"/>
    <cellStyle name="Normal 2 11 2 3 5 4 2" xfId="32500" xr:uid="{00000000-0005-0000-0000-0000C13F0000}"/>
    <cellStyle name="Normal 2 11 2 3 5 5" xfId="25059" xr:uid="{00000000-0005-0000-0000-0000C23F0000}"/>
    <cellStyle name="Normal 2 11 2 3 6" xfId="4284" xr:uid="{00000000-0005-0000-0000-0000C33F0000}"/>
    <cellStyle name="Normal 2 11 2 3 6 2" xfId="19168" xr:uid="{00000000-0005-0000-0000-0000C43F0000}"/>
    <cellStyle name="Normal 2 11 2 3 6 2 2" xfId="41811" xr:uid="{00000000-0005-0000-0000-0000C53F0000}"/>
    <cellStyle name="Normal 2 11 2 3 6 3" xfId="11728" xr:uid="{00000000-0005-0000-0000-0000C63F0000}"/>
    <cellStyle name="Normal 2 11 2 3 6 3 2" xfId="34371" xr:uid="{00000000-0005-0000-0000-0000C73F0000}"/>
    <cellStyle name="Normal 2 11 2 3 6 4" xfId="26930" xr:uid="{00000000-0005-0000-0000-0000C83F0000}"/>
    <cellStyle name="Normal 2 11 2 3 7" xfId="15450" xr:uid="{00000000-0005-0000-0000-0000C93F0000}"/>
    <cellStyle name="Normal 2 11 2 3 7 2" xfId="38093" xr:uid="{00000000-0005-0000-0000-0000CA3F0000}"/>
    <cellStyle name="Normal 2 11 2 3 8" xfId="8010" xr:uid="{00000000-0005-0000-0000-0000CB3F0000}"/>
    <cellStyle name="Normal 2 11 2 3 8 2" xfId="30653" xr:uid="{00000000-0005-0000-0000-0000CC3F0000}"/>
    <cellStyle name="Normal 2 11 2 3 9" xfId="23213" xr:uid="{00000000-0005-0000-0000-0000CD3F0000}"/>
    <cellStyle name="Normal 2 11 2 4" xfId="660" xr:uid="{00000000-0005-0000-0000-0000CE3F0000}"/>
    <cellStyle name="Normal 2 11 2 4 2" xfId="1125" xr:uid="{00000000-0005-0000-0000-0000CF3F0000}"/>
    <cellStyle name="Normal 2 11 2 4 2 2" xfId="2053" xr:uid="{00000000-0005-0000-0000-0000D03F0000}"/>
    <cellStyle name="Normal 2 11 2 4 2 2 2" xfId="3903" xr:uid="{00000000-0005-0000-0000-0000D13F0000}"/>
    <cellStyle name="Normal 2 11 2 4 2 2 2 2" xfId="7624" xr:uid="{00000000-0005-0000-0000-0000D23F0000}"/>
    <cellStyle name="Normal 2 11 2 4 2 2 2 2 2" xfId="22508" xr:uid="{00000000-0005-0000-0000-0000D33F0000}"/>
    <cellStyle name="Normal 2 11 2 4 2 2 2 2 2 2" xfId="45151" xr:uid="{00000000-0005-0000-0000-0000D43F0000}"/>
    <cellStyle name="Normal 2 11 2 4 2 2 2 2 3" xfId="15068" xr:uid="{00000000-0005-0000-0000-0000D53F0000}"/>
    <cellStyle name="Normal 2 11 2 4 2 2 2 2 3 2" xfId="37711" xr:uid="{00000000-0005-0000-0000-0000D63F0000}"/>
    <cellStyle name="Normal 2 11 2 4 2 2 2 2 4" xfId="30270" xr:uid="{00000000-0005-0000-0000-0000D73F0000}"/>
    <cellStyle name="Normal 2 11 2 4 2 2 2 3" xfId="18790" xr:uid="{00000000-0005-0000-0000-0000D83F0000}"/>
    <cellStyle name="Normal 2 11 2 4 2 2 2 3 2" xfId="41433" xr:uid="{00000000-0005-0000-0000-0000D93F0000}"/>
    <cellStyle name="Normal 2 11 2 4 2 2 2 4" xfId="11350" xr:uid="{00000000-0005-0000-0000-0000DA3F0000}"/>
    <cellStyle name="Normal 2 11 2 4 2 2 2 4 2" xfId="33993" xr:uid="{00000000-0005-0000-0000-0000DB3F0000}"/>
    <cellStyle name="Normal 2 11 2 4 2 2 2 5" xfId="26552" xr:uid="{00000000-0005-0000-0000-0000DC3F0000}"/>
    <cellStyle name="Normal 2 11 2 4 2 2 3" xfId="5777" xr:uid="{00000000-0005-0000-0000-0000DD3F0000}"/>
    <cellStyle name="Normal 2 11 2 4 2 2 3 2" xfId="20661" xr:uid="{00000000-0005-0000-0000-0000DE3F0000}"/>
    <cellStyle name="Normal 2 11 2 4 2 2 3 2 2" xfId="43304" xr:uid="{00000000-0005-0000-0000-0000DF3F0000}"/>
    <cellStyle name="Normal 2 11 2 4 2 2 3 3" xfId="13221" xr:uid="{00000000-0005-0000-0000-0000E03F0000}"/>
    <cellStyle name="Normal 2 11 2 4 2 2 3 3 2" xfId="35864" xr:uid="{00000000-0005-0000-0000-0000E13F0000}"/>
    <cellStyle name="Normal 2 11 2 4 2 2 3 4" xfId="28423" xr:uid="{00000000-0005-0000-0000-0000E23F0000}"/>
    <cellStyle name="Normal 2 11 2 4 2 2 4" xfId="16943" xr:uid="{00000000-0005-0000-0000-0000E33F0000}"/>
    <cellStyle name="Normal 2 11 2 4 2 2 4 2" xfId="39586" xr:uid="{00000000-0005-0000-0000-0000E43F0000}"/>
    <cellStyle name="Normal 2 11 2 4 2 2 5" xfId="9503" xr:uid="{00000000-0005-0000-0000-0000E53F0000}"/>
    <cellStyle name="Normal 2 11 2 4 2 2 5 2" xfId="32146" xr:uid="{00000000-0005-0000-0000-0000E63F0000}"/>
    <cellStyle name="Normal 2 11 2 4 2 2 6" xfId="24705" xr:uid="{00000000-0005-0000-0000-0000E73F0000}"/>
    <cellStyle name="Normal 2 11 2 4 2 3" xfId="2978" xr:uid="{00000000-0005-0000-0000-0000E83F0000}"/>
    <cellStyle name="Normal 2 11 2 4 2 3 2" xfId="6699" xr:uid="{00000000-0005-0000-0000-0000E93F0000}"/>
    <cellStyle name="Normal 2 11 2 4 2 3 2 2" xfId="21583" xr:uid="{00000000-0005-0000-0000-0000EA3F0000}"/>
    <cellStyle name="Normal 2 11 2 4 2 3 2 2 2" xfId="44226" xr:uid="{00000000-0005-0000-0000-0000EB3F0000}"/>
    <cellStyle name="Normal 2 11 2 4 2 3 2 3" xfId="14143" xr:uid="{00000000-0005-0000-0000-0000EC3F0000}"/>
    <cellStyle name="Normal 2 11 2 4 2 3 2 3 2" xfId="36786" xr:uid="{00000000-0005-0000-0000-0000ED3F0000}"/>
    <cellStyle name="Normal 2 11 2 4 2 3 2 4" xfId="29345" xr:uid="{00000000-0005-0000-0000-0000EE3F0000}"/>
    <cellStyle name="Normal 2 11 2 4 2 3 3" xfId="17865" xr:uid="{00000000-0005-0000-0000-0000EF3F0000}"/>
    <cellStyle name="Normal 2 11 2 4 2 3 3 2" xfId="40508" xr:uid="{00000000-0005-0000-0000-0000F03F0000}"/>
    <cellStyle name="Normal 2 11 2 4 2 3 4" xfId="10425" xr:uid="{00000000-0005-0000-0000-0000F13F0000}"/>
    <cellStyle name="Normal 2 11 2 4 2 3 4 2" xfId="33068" xr:uid="{00000000-0005-0000-0000-0000F23F0000}"/>
    <cellStyle name="Normal 2 11 2 4 2 3 5" xfId="25627" xr:uid="{00000000-0005-0000-0000-0000F33F0000}"/>
    <cellStyle name="Normal 2 11 2 4 2 4" xfId="4852" xr:uid="{00000000-0005-0000-0000-0000F43F0000}"/>
    <cellStyle name="Normal 2 11 2 4 2 4 2" xfId="19736" xr:uid="{00000000-0005-0000-0000-0000F53F0000}"/>
    <cellStyle name="Normal 2 11 2 4 2 4 2 2" xfId="42379" xr:uid="{00000000-0005-0000-0000-0000F63F0000}"/>
    <cellStyle name="Normal 2 11 2 4 2 4 3" xfId="12296" xr:uid="{00000000-0005-0000-0000-0000F73F0000}"/>
    <cellStyle name="Normal 2 11 2 4 2 4 3 2" xfId="34939" xr:uid="{00000000-0005-0000-0000-0000F83F0000}"/>
    <cellStyle name="Normal 2 11 2 4 2 4 4" xfId="27498" xr:uid="{00000000-0005-0000-0000-0000F93F0000}"/>
    <cellStyle name="Normal 2 11 2 4 2 5" xfId="16018" xr:uid="{00000000-0005-0000-0000-0000FA3F0000}"/>
    <cellStyle name="Normal 2 11 2 4 2 5 2" xfId="38661" xr:uid="{00000000-0005-0000-0000-0000FB3F0000}"/>
    <cellStyle name="Normal 2 11 2 4 2 6" xfId="8578" xr:uid="{00000000-0005-0000-0000-0000FC3F0000}"/>
    <cellStyle name="Normal 2 11 2 4 2 6 2" xfId="31221" xr:uid="{00000000-0005-0000-0000-0000FD3F0000}"/>
    <cellStyle name="Normal 2 11 2 4 2 7" xfId="23780" xr:uid="{00000000-0005-0000-0000-0000FE3F0000}"/>
    <cellStyle name="Normal 2 11 2 4 3" xfId="1591" xr:uid="{00000000-0005-0000-0000-0000FF3F0000}"/>
    <cellStyle name="Normal 2 11 2 4 3 2" xfId="3441" xr:uid="{00000000-0005-0000-0000-000000400000}"/>
    <cellStyle name="Normal 2 11 2 4 3 2 2" xfId="7162" xr:uid="{00000000-0005-0000-0000-000001400000}"/>
    <cellStyle name="Normal 2 11 2 4 3 2 2 2" xfId="22046" xr:uid="{00000000-0005-0000-0000-000002400000}"/>
    <cellStyle name="Normal 2 11 2 4 3 2 2 2 2" xfId="44689" xr:uid="{00000000-0005-0000-0000-000003400000}"/>
    <cellStyle name="Normal 2 11 2 4 3 2 2 3" xfId="14606" xr:uid="{00000000-0005-0000-0000-000004400000}"/>
    <cellStyle name="Normal 2 11 2 4 3 2 2 3 2" xfId="37249" xr:uid="{00000000-0005-0000-0000-000005400000}"/>
    <cellStyle name="Normal 2 11 2 4 3 2 2 4" xfId="29808" xr:uid="{00000000-0005-0000-0000-000006400000}"/>
    <cellStyle name="Normal 2 11 2 4 3 2 3" xfId="18328" xr:uid="{00000000-0005-0000-0000-000007400000}"/>
    <cellStyle name="Normal 2 11 2 4 3 2 3 2" xfId="40971" xr:uid="{00000000-0005-0000-0000-000008400000}"/>
    <cellStyle name="Normal 2 11 2 4 3 2 4" xfId="10888" xr:uid="{00000000-0005-0000-0000-000009400000}"/>
    <cellStyle name="Normal 2 11 2 4 3 2 4 2" xfId="33531" xr:uid="{00000000-0005-0000-0000-00000A400000}"/>
    <cellStyle name="Normal 2 11 2 4 3 2 5" xfId="26090" xr:uid="{00000000-0005-0000-0000-00000B400000}"/>
    <cellStyle name="Normal 2 11 2 4 3 3" xfId="5315" xr:uid="{00000000-0005-0000-0000-00000C400000}"/>
    <cellStyle name="Normal 2 11 2 4 3 3 2" xfId="20199" xr:uid="{00000000-0005-0000-0000-00000D400000}"/>
    <cellStyle name="Normal 2 11 2 4 3 3 2 2" xfId="42842" xr:uid="{00000000-0005-0000-0000-00000E400000}"/>
    <cellStyle name="Normal 2 11 2 4 3 3 3" xfId="12759" xr:uid="{00000000-0005-0000-0000-00000F400000}"/>
    <cellStyle name="Normal 2 11 2 4 3 3 3 2" xfId="35402" xr:uid="{00000000-0005-0000-0000-000010400000}"/>
    <cellStyle name="Normal 2 11 2 4 3 3 4" xfId="27961" xr:uid="{00000000-0005-0000-0000-000011400000}"/>
    <cellStyle name="Normal 2 11 2 4 3 4" xfId="16481" xr:uid="{00000000-0005-0000-0000-000012400000}"/>
    <cellStyle name="Normal 2 11 2 4 3 4 2" xfId="39124" xr:uid="{00000000-0005-0000-0000-000013400000}"/>
    <cellStyle name="Normal 2 11 2 4 3 5" xfId="9041" xr:uid="{00000000-0005-0000-0000-000014400000}"/>
    <cellStyle name="Normal 2 11 2 4 3 5 2" xfId="31684" xr:uid="{00000000-0005-0000-0000-000015400000}"/>
    <cellStyle name="Normal 2 11 2 4 3 6" xfId="24243" xr:uid="{00000000-0005-0000-0000-000016400000}"/>
    <cellStyle name="Normal 2 11 2 4 4" xfId="2516" xr:uid="{00000000-0005-0000-0000-000017400000}"/>
    <cellStyle name="Normal 2 11 2 4 4 2" xfId="6237" xr:uid="{00000000-0005-0000-0000-000018400000}"/>
    <cellStyle name="Normal 2 11 2 4 4 2 2" xfId="21121" xr:uid="{00000000-0005-0000-0000-000019400000}"/>
    <cellStyle name="Normal 2 11 2 4 4 2 2 2" xfId="43764" xr:uid="{00000000-0005-0000-0000-00001A400000}"/>
    <cellStyle name="Normal 2 11 2 4 4 2 3" xfId="13681" xr:uid="{00000000-0005-0000-0000-00001B400000}"/>
    <cellStyle name="Normal 2 11 2 4 4 2 3 2" xfId="36324" xr:uid="{00000000-0005-0000-0000-00001C400000}"/>
    <cellStyle name="Normal 2 11 2 4 4 2 4" xfId="28883" xr:uid="{00000000-0005-0000-0000-00001D400000}"/>
    <cellStyle name="Normal 2 11 2 4 4 3" xfId="17403" xr:uid="{00000000-0005-0000-0000-00001E400000}"/>
    <cellStyle name="Normal 2 11 2 4 4 3 2" xfId="40046" xr:uid="{00000000-0005-0000-0000-00001F400000}"/>
    <cellStyle name="Normal 2 11 2 4 4 4" xfId="9963" xr:uid="{00000000-0005-0000-0000-000020400000}"/>
    <cellStyle name="Normal 2 11 2 4 4 4 2" xfId="32606" xr:uid="{00000000-0005-0000-0000-000021400000}"/>
    <cellStyle name="Normal 2 11 2 4 4 5" xfId="25165" xr:uid="{00000000-0005-0000-0000-000022400000}"/>
    <cellStyle name="Normal 2 11 2 4 5" xfId="4390" xr:uid="{00000000-0005-0000-0000-000023400000}"/>
    <cellStyle name="Normal 2 11 2 4 5 2" xfId="19274" xr:uid="{00000000-0005-0000-0000-000024400000}"/>
    <cellStyle name="Normal 2 11 2 4 5 2 2" xfId="41917" xr:uid="{00000000-0005-0000-0000-000025400000}"/>
    <cellStyle name="Normal 2 11 2 4 5 3" xfId="11834" xr:uid="{00000000-0005-0000-0000-000026400000}"/>
    <cellStyle name="Normal 2 11 2 4 5 3 2" xfId="34477" xr:uid="{00000000-0005-0000-0000-000027400000}"/>
    <cellStyle name="Normal 2 11 2 4 5 4" xfId="27036" xr:uid="{00000000-0005-0000-0000-000028400000}"/>
    <cellStyle name="Normal 2 11 2 4 6" xfId="15556" xr:uid="{00000000-0005-0000-0000-000029400000}"/>
    <cellStyle name="Normal 2 11 2 4 6 2" xfId="38199" xr:uid="{00000000-0005-0000-0000-00002A400000}"/>
    <cellStyle name="Normal 2 11 2 4 7" xfId="8116" xr:uid="{00000000-0005-0000-0000-00002B400000}"/>
    <cellStyle name="Normal 2 11 2 4 7 2" xfId="30759" xr:uid="{00000000-0005-0000-0000-00002C400000}"/>
    <cellStyle name="Normal 2 11 2 4 8" xfId="23318" xr:uid="{00000000-0005-0000-0000-00002D400000}"/>
    <cellStyle name="Normal 2 11 2 5" xfId="914" xr:uid="{00000000-0005-0000-0000-00002E400000}"/>
    <cellStyle name="Normal 2 11 2 5 2" xfId="1842" xr:uid="{00000000-0005-0000-0000-00002F400000}"/>
    <cellStyle name="Normal 2 11 2 5 2 2" xfId="3692" xr:uid="{00000000-0005-0000-0000-000030400000}"/>
    <cellStyle name="Normal 2 11 2 5 2 2 2" xfId="7413" xr:uid="{00000000-0005-0000-0000-000031400000}"/>
    <cellStyle name="Normal 2 11 2 5 2 2 2 2" xfId="22297" xr:uid="{00000000-0005-0000-0000-000032400000}"/>
    <cellStyle name="Normal 2 11 2 5 2 2 2 2 2" xfId="44940" xr:uid="{00000000-0005-0000-0000-000033400000}"/>
    <cellStyle name="Normal 2 11 2 5 2 2 2 3" xfId="14857" xr:uid="{00000000-0005-0000-0000-000034400000}"/>
    <cellStyle name="Normal 2 11 2 5 2 2 2 3 2" xfId="37500" xr:uid="{00000000-0005-0000-0000-000035400000}"/>
    <cellStyle name="Normal 2 11 2 5 2 2 2 4" xfId="30059" xr:uid="{00000000-0005-0000-0000-000036400000}"/>
    <cellStyle name="Normal 2 11 2 5 2 2 3" xfId="18579" xr:uid="{00000000-0005-0000-0000-000037400000}"/>
    <cellStyle name="Normal 2 11 2 5 2 2 3 2" xfId="41222" xr:uid="{00000000-0005-0000-0000-000038400000}"/>
    <cellStyle name="Normal 2 11 2 5 2 2 4" xfId="11139" xr:uid="{00000000-0005-0000-0000-000039400000}"/>
    <cellStyle name="Normal 2 11 2 5 2 2 4 2" xfId="33782" xr:uid="{00000000-0005-0000-0000-00003A400000}"/>
    <cellStyle name="Normal 2 11 2 5 2 2 5" xfId="26341" xr:uid="{00000000-0005-0000-0000-00003B400000}"/>
    <cellStyle name="Normal 2 11 2 5 2 3" xfId="5566" xr:uid="{00000000-0005-0000-0000-00003C400000}"/>
    <cellStyle name="Normal 2 11 2 5 2 3 2" xfId="20450" xr:uid="{00000000-0005-0000-0000-00003D400000}"/>
    <cellStyle name="Normal 2 11 2 5 2 3 2 2" xfId="43093" xr:uid="{00000000-0005-0000-0000-00003E400000}"/>
    <cellStyle name="Normal 2 11 2 5 2 3 3" xfId="13010" xr:uid="{00000000-0005-0000-0000-00003F400000}"/>
    <cellStyle name="Normal 2 11 2 5 2 3 3 2" xfId="35653" xr:uid="{00000000-0005-0000-0000-000040400000}"/>
    <cellStyle name="Normal 2 11 2 5 2 3 4" xfId="28212" xr:uid="{00000000-0005-0000-0000-000041400000}"/>
    <cellStyle name="Normal 2 11 2 5 2 4" xfId="16732" xr:uid="{00000000-0005-0000-0000-000042400000}"/>
    <cellStyle name="Normal 2 11 2 5 2 4 2" xfId="39375" xr:uid="{00000000-0005-0000-0000-000043400000}"/>
    <cellStyle name="Normal 2 11 2 5 2 5" xfId="9292" xr:uid="{00000000-0005-0000-0000-000044400000}"/>
    <cellStyle name="Normal 2 11 2 5 2 5 2" xfId="31935" xr:uid="{00000000-0005-0000-0000-000045400000}"/>
    <cellStyle name="Normal 2 11 2 5 2 6" xfId="24494" xr:uid="{00000000-0005-0000-0000-000046400000}"/>
    <cellStyle name="Normal 2 11 2 5 3" xfId="2767" xr:uid="{00000000-0005-0000-0000-000047400000}"/>
    <cellStyle name="Normal 2 11 2 5 3 2" xfId="6488" xr:uid="{00000000-0005-0000-0000-000048400000}"/>
    <cellStyle name="Normal 2 11 2 5 3 2 2" xfId="21372" xr:uid="{00000000-0005-0000-0000-000049400000}"/>
    <cellStyle name="Normal 2 11 2 5 3 2 2 2" xfId="44015" xr:uid="{00000000-0005-0000-0000-00004A400000}"/>
    <cellStyle name="Normal 2 11 2 5 3 2 3" xfId="13932" xr:uid="{00000000-0005-0000-0000-00004B400000}"/>
    <cellStyle name="Normal 2 11 2 5 3 2 3 2" xfId="36575" xr:uid="{00000000-0005-0000-0000-00004C400000}"/>
    <cellStyle name="Normal 2 11 2 5 3 2 4" xfId="29134" xr:uid="{00000000-0005-0000-0000-00004D400000}"/>
    <cellStyle name="Normal 2 11 2 5 3 3" xfId="17654" xr:uid="{00000000-0005-0000-0000-00004E400000}"/>
    <cellStyle name="Normal 2 11 2 5 3 3 2" xfId="40297" xr:uid="{00000000-0005-0000-0000-00004F400000}"/>
    <cellStyle name="Normal 2 11 2 5 3 4" xfId="10214" xr:uid="{00000000-0005-0000-0000-000050400000}"/>
    <cellStyle name="Normal 2 11 2 5 3 4 2" xfId="32857" xr:uid="{00000000-0005-0000-0000-000051400000}"/>
    <cellStyle name="Normal 2 11 2 5 3 5" xfId="25416" xr:uid="{00000000-0005-0000-0000-000052400000}"/>
    <cellStyle name="Normal 2 11 2 5 4" xfId="4641" xr:uid="{00000000-0005-0000-0000-000053400000}"/>
    <cellStyle name="Normal 2 11 2 5 4 2" xfId="19525" xr:uid="{00000000-0005-0000-0000-000054400000}"/>
    <cellStyle name="Normal 2 11 2 5 4 2 2" xfId="42168" xr:uid="{00000000-0005-0000-0000-000055400000}"/>
    <cellStyle name="Normal 2 11 2 5 4 3" xfId="12085" xr:uid="{00000000-0005-0000-0000-000056400000}"/>
    <cellStyle name="Normal 2 11 2 5 4 3 2" xfId="34728" xr:uid="{00000000-0005-0000-0000-000057400000}"/>
    <cellStyle name="Normal 2 11 2 5 4 4" xfId="27287" xr:uid="{00000000-0005-0000-0000-000058400000}"/>
    <cellStyle name="Normal 2 11 2 5 5" xfId="15807" xr:uid="{00000000-0005-0000-0000-000059400000}"/>
    <cellStyle name="Normal 2 11 2 5 5 2" xfId="38450" xr:uid="{00000000-0005-0000-0000-00005A400000}"/>
    <cellStyle name="Normal 2 11 2 5 6" xfId="8367" xr:uid="{00000000-0005-0000-0000-00005B400000}"/>
    <cellStyle name="Normal 2 11 2 5 6 2" xfId="31010" xr:uid="{00000000-0005-0000-0000-00005C400000}"/>
    <cellStyle name="Normal 2 11 2 5 7" xfId="23569" xr:uid="{00000000-0005-0000-0000-00005D400000}"/>
    <cellStyle name="Normal 2 11 2 6" xfId="1380" xr:uid="{00000000-0005-0000-0000-00005E400000}"/>
    <cellStyle name="Normal 2 11 2 6 2" xfId="3230" xr:uid="{00000000-0005-0000-0000-00005F400000}"/>
    <cellStyle name="Normal 2 11 2 6 2 2" xfId="6951" xr:uid="{00000000-0005-0000-0000-000060400000}"/>
    <cellStyle name="Normal 2 11 2 6 2 2 2" xfId="21835" xr:uid="{00000000-0005-0000-0000-000061400000}"/>
    <cellStyle name="Normal 2 11 2 6 2 2 2 2" xfId="44478" xr:uid="{00000000-0005-0000-0000-000062400000}"/>
    <cellStyle name="Normal 2 11 2 6 2 2 3" xfId="14395" xr:uid="{00000000-0005-0000-0000-000063400000}"/>
    <cellStyle name="Normal 2 11 2 6 2 2 3 2" xfId="37038" xr:uid="{00000000-0005-0000-0000-000064400000}"/>
    <cellStyle name="Normal 2 11 2 6 2 2 4" xfId="29597" xr:uid="{00000000-0005-0000-0000-000065400000}"/>
    <cellStyle name="Normal 2 11 2 6 2 3" xfId="18117" xr:uid="{00000000-0005-0000-0000-000066400000}"/>
    <cellStyle name="Normal 2 11 2 6 2 3 2" xfId="40760" xr:uid="{00000000-0005-0000-0000-000067400000}"/>
    <cellStyle name="Normal 2 11 2 6 2 4" xfId="10677" xr:uid="{00000000-0005-0000-0000-000068400000}"/>
    <cellStyle name="Normal 2 11 2 6 2 4 2" xfId="33320" xr:uid="{00000000-0005-0000-0000-000069400000}"/>
    <cellStyle name="Normal 2 11 2 6 2 5" xfId="25879" xr:uid="{00000000-0005-0000-0000-00006A400000}"/>
    <cellStyle name="Normal 2 11 2 6 3" xfId="5104" xr:uid="{00000000-0005-0000-0000-00006B400000}"/>
    <cellStyle name="Normal 2 11 2 6 3 2" xfId="19988" xr:uid="{00000000-0005-0000-0000-00006C400000}"/>
    <cellStyle name="Normal 2 11 2 6 3 2 2" xfId="42631" xr:uid="{00000000-0005-0000-0000-00006D400000}"/>
    <cellStyle name="Normal 2 11 2 6 3 3" xfId="12548" xr:uid="{00000000-0005-0000-0000-00006E400000}"/>
    <cellStyle name="Normal 2 11 2 6 3 3 2" xfId="35191" xr:uid="{00000000-0005-0000-0000-00006F400000}"/>
    <cellStyle name="Normal 2 11 2 6 3 4" xfId="27750" xr:uid="{00000000-0005-0000-0000-000070400000}"/>
    <cellStyle name="Normal 2 11 2 6 4" xfId="16270" xr:uid="{00000000-0005-0000-0000-000071400000}"/>
    <cellStyle name="Normal 2 11 2 6 4 2" xfId="38913" xr:uid="{00000000-0005-0000-0000-000072400000}"/>
    <cellStyle name="Normal 2 11 2 6 5" xfId="8830" xr:uid="{00000000-0005-0000-0000-000073400000}"/>
    <cellStyle name="Normal 2 11 2 6 5 2" xfId="31473" xr:uid="{00000000-0005-0000-0000-000074400000}"/>
    <cellStyle name="Normal 2 11 2 6 6" xfId="24032" xr:uid="{00000000-0005-0000-0000-000075400000}"/>
    <cellStyle name="Normal 2 11 2 7" xfId="2305" xr:uid="{00000000-0005-0000-0000-000076400000}"/>
    <cellStyle name="Normal 2 11 2 7 2" xfId="6026" xr:uid="{00000000-0005-0000-0000-000077400000}"/>
    <cellStyle name="Normal 2 11 2 7 2 2" xfId="20910" xr:uid="{00000000-0005-0000-0000-000078400000}"/>
    <cellStyle name="Normal 2 11 2 7 2 2 2" xfId="43553" xr:uid="{00000000-0005-0000-0000-000079400000}"/>
    <cellStyle name="Normal 2 11 2 7 2 3" xfId="13470" xr:uid="{00000000-0005-0000-0000-00007A400000}"/>
    <cellStyle name="Normal 2 11 2 7 2 3 2" xfId="36113" xr:uid="{00000000-0005-0000-0000-00007B400000}"/>
    <cellStyle name="Normal 2 11 2 7 2 4" xfId="28672" xr:uid="{00000000-0005-0000-0000-00007C400000}"/>
    <cellStyle name="Normal 2 11 2 7 3" xfId="17192" xr:uid="{00000000-0005-0000-0000-00007D400000}"/>
    <cellStyle name="Normal 2 11 2 7 3 2" xfId="39835" xr:uid="{00000000-0005-0000-0000-00007E400000}"/>
    <cellStyle name="Normal 2 11 2 7 4" xfId="9752" xr:uid="{00000000-0005-0000-0000-00007F400000}"/>
    <cellStyle name="Normal 2 11 2 7 4 2" xfId="32395" xr:uid="{00000000-0005-0000-0000-000080400000}"/>
    <cellStyle name="Normal 2 11 2 7 5" xfId="24954" xr:uid="{00000000-0005-0000-0000-000081400000}"/>
    <cellStyle name="Normal 2 11 2 8" xfId="4179" xr:uid="{00000000-0005-0000-0000-000082400000}"/>
    <cellStyle name="Normal 2 11 2 8 2" xfId="19063" xr:uid="{00000000-0005-0000-0000-000083400000}"/>
    <cellStyle name="Normal 2 11 2 8 2 2" xfId="41706" xr:uid="{00000000-0005-0000-0000-000084400000}"/>
    <cellStyle name="Normal 2 11 2 8 3" xfId="11623" xr:uid="{00000000-0005-0000-0000-000085400000}"/>
    <cellStyle name="Normal 2 11 2 8 3 2" xfId="34266" xr:uid="{00000000-0005-0000-0000-000086400000}"/>
    <cellStyle name="Normal 2 11 2 8 4" xfId="26825" xr:uid="{00000000-0005-0000-0000-000087400000}"/>
    <cellStyle name="Normal 2 11 2 9" xfId="15345" xr:uid="{00000000-0005-0000-0000-000088400000}"/>
    <cellStyle name="Normal 2 11 2 9 2" xfId="37988" xr:uid="{00000000-0005-0000-0000-000089400000}"/>
    <cellStyle name="Normal 2 11 3" xfId="479" xr:uid="{00000000-0005-0000-0000-00008A400000}"/>
    <cellStyle name="Normal 2 11 3 10" xfId="23140" xr:uid="{00000000-0005-0000-0000-00008B400000}"/>
    <cellStyle name="Normal 2 11 3 2" xfId="585" xr:uid="{00000000-0005-0000-0000-00008C400000}"/>
    <cellStyle name="Normal 2 11 3 2 2" xfId="797" xr:uid="{00000000-0005-0000-0000-00008D400000}"/>
    <cellStyle name="Normal 2 11 3 2 2 2" xfId="1262" xr:uid="{00000000-0005-0000-0000-00008E400000}"/>
    <cellStyle name="Normal 2 11 3 2 2 2 2" xfId="2190" xr:uid="{00000000-0005-0000-0000-00008F400000}"/>
    <cellStyle name="Normal 2 11 3 2 2 2 2 2" xfId="4040" xr:uid="{00000000-0005-0000-0000-000090400000}"/>
    <cellStyle name="Normal 2 11 3 2 2 2 2 2 2" xfId="7761" xr:uid="{00000000-0005-0000-0000-000091400000}"/>
    <cellStyle name="Normal 2 11 3 2 2 2 2 2 2 2" xfId="22645" xr:uid="{00000000-0005-0000-0000-000092400000}"/>
    <cellStyle name="Normal 2 11 3 2 2 2 2 2 2 2 2" xfId="45288" xr:uid="{00000000-0005-0000-0000-000093400000}"/>
    <cellStyle name="Normal 2 11 3 2 2 2 2 2 2 3" xfId="15205" xr:uid="{00000000-0005-0000-0000-000094400000}"/>
    <cellStyle name="Normal 2 11 3 2 2 2 2 2 2 3 2" xfId="37848" xr:uid="{00000000-0005-0000-0000-000095400000}"/>
    <cellStyle name="Normal 2 11 3 2 2 2 2 2 2 4" xfId="30407" xr:uid="{00000000-0005-0000-0000-000096400000}"/>
    <cellStyle name="Normal 2 11 3 2 2 2 2 2 3" xfId="18927" xr:uid="{00000000-0005-0000-0000-000097400000}"/>
    <cellStyle name="Normal 2 11 3 2 2 2 2 2 3 2" xfId="41570" xr:uid="{00000000-0005-0000-0000-000098400000}"/>
    <cellStyle name="Normal 2 11 3 2 2 2 2 2 4" xfId="11487" xr:uid="{00000000-0005-0000-0000-000099400000}"/>
    <cellStyle name="Normal 2 11 3 2 2 2 2 2 4 2" xfId="34130" xr:uid="{00000000-0005-0000-0000-00009A400000}"/>
    <cellStyle name="Normal 2 11 3 2 2 2 2 2 5" xfId="26689" xr:uid="{00000000-0005-0000-0000-00009B400000}"/>
    <cellStyle name="Normal 2 11 3 2 2 2 2 3" xfId="5914" xr:uid="{00000000-0005-0000-0000-00009C400000}"/>
    <cellStyle name="Normal 2 11 3 2 2 2 2 3 2" xfId="20798" xr:uid="{00000000-0005-0000-0000-00009D400000}"/>
    <cellStyle name="Normal 2 11 3 2 2 2 2 3 2 2" xfId="43441" xr:uid="{00000000-0005-0000-0000-00009E400000}"/>
    <cellStyle name="Normal 2 11 3 2 2 2 2 3 3" xfId="13358" xr:uid="{00000000-0005-0000-0000-00009F400000}"/>
    <cellStyle name="Normal 2 11 3 2 2 2 2 3 3 2" xfId="36001" xr:uid="{00000000-0005-0000-0000-0000A0400000}"/>
    <cellStyle name="Normal 2 11 3 2 2 2 2 3 4" xfId="28560" xr:uid="{00000000-0005-0000-0000-0000A1400000}"/>
    <cellStyle name="Normal 2 11 3 2 2 2 2 4" xfId="17080" xr:uid="{00000000-0005-0000-0000-0000A2400000}"/>
    <cellStyle name="Normal 2 11 3 2 2 2 2 4 2" xfId="39723" xr:uid="{00000000-0005-0000-0000-0000A3400000}"/>
    <cellStyle name="Normal 2 11 3 2 2 2 2 5" xfId="9640" xr:uid="{00000000-0005-0000-0000-0000A4400000}"/>
    <cellStyle name="Normal 2 11 3 2 2 2 2 5 2" xfId="32283" xr:uid="{00000000-0005-0000-0000-0000A5400000}"/>
    <cellStyle name="Normal 2 11 3 2 2 2 2 6" xfId="24842" xr:uid="{00000000-0005-0000-0000-0000A6400000}"/>
    <cellStyle name="Normal 2 11 3 2 2 2 3" xfId="3115" xr:uid="{00000000-0005-0000-0000-0000A7400000}"/>
    <cellStyle name="Normal 2 11 3 2 2 2 3 2" xfId="6836" xr:uid="{00000000-0005-0000-0000-0000A8400000}"/>
    <cellStyle name="Normal 2 11 3 2 2 2 3 2 2" xfId="21720" xr:uid="{00000000-0005-0000-0000-0000A9400000}"/>
    <cellStyle name="Normal 2 11 3 2 2 2 3 2 2 2" xfId="44363" xr:uid="{00000000-0005-0000-0000-0000AA400000}"/>
    <cellStyle name="Normal 2 11 3 2 2 2 3 2 3" xfId="14280" xr:uid="{00000000-0005-0000-0000-0000AB400000}"/>
    <cellStyle name="Normal 2 11 3 2 2 2 3 2 3 2" xfId="36923" xr:uid="{00000000-0005-0000-0000-0000AC400000}"/>
    <cellStyle name="Normal 2 11 3 2 2 2 3 2 4" xfId="29482" xr:uid="{00000000-0005-0000-0000-0000AD400000}"/>
    <cellStyle name="Normal 2 11 3 2 2 2 3 3" xfId="18002" xr:uid="{00000000-0005-0000-0000-0000AE400000}"/>
    <cellStyle name="Normal 2 11 3 2 2 2 3 3 2" xfId="40645" xr:uid="{00000000-0005-0000-0000-0000AF400000}"/>
    <cellStyle name="Normal 2 11 3 2 2 2 3 4" xfId="10562" xr:uid="{00000000-0005-0000-0000-0000B0400000}"/>
    <cellStyle name="Normal 2 11 3 2 2 2 3 4 2" xfId="33205" xr:uid="{00000000-0005-0000-0000-0000B1400000}"/>
    <cellStyle name="Normal 2 11 3 2 2 2 3 5" xfId="25764" xr:uid="{00000000-0005-0000-0000-0000B2400000}"/>
    <cellStyle name="Normal 2 11 3 2 2 2 4" xfId="4989" xr:uid="{00000000-0005-0000-0000-0000B3400000}"/>
    <cellStyle name="Normal 2 11 3 2 2 2 4 2" xfId="19873" xr:uid="{00000000-0005-0000-0000-0000B4400000}"/>
    <cellStyle name="Normal 2 11 3 2 2 2 4 2 2" xfId="42516" xr:uid="{00000000-0005-0000-0000-0000B5400000}"/>
    <cellStyle name="Normal 2 11 3 2 2 2 4 3" xfId="12433" xr:uid="{00000000-0005-0000-0000-0000B6400000}"/>
    <cellStyle name="Normal 2 11 3 2 2 2 4 3 2" xfId="35076" xr:uid="{00000000-0005-0000-0000-0000B7400000}"/>
    <cellStyle name="Normal 2 11 3 2 2 2 4 4" xfId="27635" xr:uid="{00000000-0005-0000-0000-0000B8400000}"/>
    <cellStyle name="Normal 2 11 3 2 2 2 5" xfId="16155" xr:uid="{00000000-0005-0000-0000-0000B9400000}"/>
    <cellStyle name="Normal 2 11 3 2 2 2 5 2" xfId="38798" xr:uid="{00000000-0005-0000-0000-0000BA400000}"/>
    <cellStyle name="Normal 2 11 3 2 2 2 6" xfId="8715" xr:uid="{00000000-0005-0000-0000-0000BB400000}"/>
    <cellStyle name="Normal 2 11 3 2 2 2 6 2" xfId="31358" xr:uid="{00000000-0005-0000-0000-0000BC400000}"/>
    <cellStyle name="Normal 2 11 3 2 2 2 7" xfId="23917" xr:uid="{00000000-0005-0000-0000-0000BD400000}"/>
    <cellStyle name="Normal 2 11 3 2 2 3" xfId="1728" xr:uid="{00000000-0005-0000-0000-0000BE400000}"/>
    <cellStyle name="Normal 2 11 3 2 2 3 2" xfId="3578" xr:uid="{00000000-0005-0000-0000-0000BF400000}"/>
    <cellStyle name="Normal 2 11 3 2 2 3 2 2" xfId="7299" xr:uid="{00000000-0005-0000-0000-0000C0400000}"/>
    <cellStyle name="Normal 2 11 3 2 2 3 2 2 2" xfId="22183" xr:uid="{00000000-0005-0000-0000-0000C1400000}"/>
    <cellStyle name="Normal 2 11 3 2 2 3 2 2 2 2" xfId="44826" xr:uid="{00000000-0005-0000-0000-0000C2400000}"/>
    <cellStyle name="Normal 2 11 3 2 2 3 2 2 3" xfId="14743" xr:uid="{00000000-0005-0000-0000-0000C3400000}"/>
    <cellStyle name="Normal 2 11 3 2 2 3 2 2 3 2" xfId="37386" xr:uid="{00000000-0005-0000-0000-0000C4400000}"/>
    <cellStyle name="Normal 2 11 3 2 2 3 2 2 4" xfId="29945" xr:uid="{00000000-0005-0000-0000-0000C5400000}"/>
    <cellStyle name="Normal 2 11 3 2 2 3 2 3" xfId="18465" xr:uid="{00000000-0005-0000-0000-0000C6400000}"/>
    <cellStyle name="Normal 2 11 3 2 2 3 2 3 2" xfId="41108" xr:uid="{00000000-0005-0000-0000-0000C7400000}"/>
    <cellStyle name="Normal 2 11 3 2 2 3 2 4" xfId="11025" xr:uid="{00000000-0005-0000-0000-0000C8400000}"/>
    <cellStyle name="Normal 2 11 3 2 2 3 2 4 2" xfId="33668" xr:uid="{00000000-0005-0000-0000-0000C9400000}"/>
    <cellStyle name="Normal 2 11 3 2 2 3 2 5" xfId="26227" xr:uid="{00000000-0005-0000-0000-0000CA400000}"/>
    <cellStyle name="Normal 2 11 3 2 2 3 3" xfId="5452" xr:uid="{00000000-0005-0000-0000-0000CB400000}"/>
    <cellStyle name="Normal 2 11 3 2 2 3 3 2" xfId="20336" xr:uid="{00000000-0005-0000-0000-0000CC400000}"/>
    <cellStyle name="Normal 2 11 3 2 2 3 3 2 2" xfId="42979" xr:uid="{00000000-0005-0000-0000-0000CD400000}"/>
    <cellStyle name="Normal 2 11 3 2 2 3 3 3" xfId="12896" xr:uid="{00000000-0005-0000-0000-0000CE400000}"/>
    <cellStyle name="Normal 2 11 3 2 2 3 3 3 2" xfId="35539" xr:uid="{00000000-0005-0000-0000-0000CF400000}"/>
    <cellStyle name="Normal 2 11 3 2 2 3 3 4" xfId="28098" xr:uid="{00000000-0005-0000-0000-0000D0400000}"/>
    <cellStyle name="Normal 2 11 3 2 2 3 4" xfId="16618" xr:uid="{00000000-0005-0000-0000-0000D1400000}"/>
    <cellStyle name="Normal 2 11 3 2 2 3 4 2" xfId="39261" xr:uid="{00000000-0005-0000-0000-0000D2400000}"/>
    <cellStyle name="Normal 2 11 3 2 2 3 5" xfId="9178" xr:uid="{00000000-0005-0000-0000-0000D3400000}"/>
    <cellStyle name="Normal 2 11 3 2 2 3 5 2" xfId="31821" xr:uid="{00000000-0005-0000-0000-0000D4400000}"/>
    <cellStyle name="Normal 2 11 3 2 2 3 6" xfId="24380" xr:uid="{00000000-0005-0000-0000-0000D5400000}"/>
    <cellStyle name="Normal 2 11 3 2 2 4" xfId="2653" xr:uid="{00000000-0005-0000-0000-0000D6400000}"/>
    <cellStyle name="Normal 2 11 3 2 2 4 2" xfId="6374" xr:uid="{00000000-0005-0000-0000-0000D7400000}"/>
    <cellStyle name="Normal 2 11 3 2 2 4 2 2" xfId="21258" xr:uid="{00000000-0005-0000-0000-0000D8400000}"/>
    <cellStyle name="Normal 2 11 3 2 2 4 2 2 2" xfId="43901" xr:uid="{00000000-0005-0000-0000-0000D9400000}"/>
    <cellStyle name="Normal 2 11 3 2 2 4 2 3" xfId="13818" xr:uid="{00000000-0005-0000-0000-0000DA400000}"/>
    <cellStyle name="Normal 2 11 3 2 2 4 2 3 2" xfId="36461" xr:uid="{00000000-0005-0000-0000-0000DB400000}"/>
    <cellStyle name="Normal 2 11 3 2 2 4 2 4" xfId="29020" xr:uid="{00000000-0005-0000-0000-0000DC400000}"/>
    <cellStyle name="Normal 2 11 3 2 2 4 3" xfId="17540" xr:uid="{00000000-0005-0000-0000-0000DD400000}"/>
    <cellStyle name="Normal 2 11 3 2 2 4 3 2" xfId="40183" xr:uid="{00000000-0005-0000-0000-0000DE400000}"/>
    <cellStyle name="Normal 2 11 3 2 2 4 4" xfId="10100" xr:uid="{00000000-0005-0000-0000-0000DF400000}"/>
    <cellStyle name="Normal 2 11 3 2 2 4 4 2" xfId="32743" xr:uid="{00000000-0005-0000-0000-0000E0400000}"/>
    <cellStyle name="Normal 2 11 3 2 2 4 5" xfId="25302" xr:uid="{00000000-0005-0000-0000-0000E1400000}"/>
    <cellStyle name="Normal 2 11 3 2 2 5" xfId="4527" xr:uid="{00000000-0005-0000-0000-0000E2400000}"/>
    <cellStyle name="Normal 2 11 3 2 2 5 2" xfId="19411" xr:uid="{00000000-0005-0000-0000-0000E3400000}"/>
    <cellStyle name="Normal 2 11 3 2 2 5 2 2" xfId="42054" xr:uid="{00000000-0005-0000-0000-0000E4400000}"/>
    <cellStyle name="Normal 2 11 3 2 2 5 3" xfId="11971" xr:uid="{00000000-0005-0000-0000-0000E5400000}"/>
    <cellStyle name="Normal 2 11 3 2 2 5 3 2" xfId="34614" xr:uid="{00000000-0005-0000-0000-0000E6400000}"/>
    <cellStyle name="Normal 2 11 3 2 2 5 4" xfId="27173" xr:uid="{00000000-0005-0000-0000-0000E7400000}"/>
    <cellStyle name="Normal 2 11 3 2 2 6" xfId="15693" xr:uid="{00000000-0005-0000-0000-0000E8400000}"/>
    <cellStyle name="Normal 2 11 3 2 2 6 2" xfId="38336" xr:uid="{00000000-0005-0000-0000-0000E9400000}"/>
    <cellStyle name="Normal 2 11 3 2 2 7" xfId="8253" xr:uid="{00000000-0005-0000-0000-0000EA400000}"/>
    <cellStyle name="Normal 2 11 3 2 2 7 2" xfId="30896" xr:uid="{00000000-0005-0000-0000-0000EB400000}"/>
    <cellStyle name="Normal 2 11 3 2 2 8" xfId="23455" xr:uid="{00000000-0005-0000-0000-0000EC400000}"/>
    <cellStyle name="Normal 2 11 3 2 3" xfId="1051" xr:uid="{00000000-0005-0000-0000-0000ED400000}"/>
    <cellStyle name="Normal 2 11 3 2 3 2" xfId="1979" xr:uid="{00000000-0005-0000-0000-0000EE400000}"/>
    <cellStyle name="Normal 2 11 3 2 3 2 2" xfId="3829" xr:uid="{00000000-0005-0000-0000-0000EF400000}"/>
    <cellStyle name="Normal 2 11 3 2 3 2 2 2" xfId="7550" xr:uid="{00000000-0005-0000-0000-0000F0400000}"/>
    <cellStyle name="Normal 2 11 3 2 3 2 2 2 2" xfId="22434" xr:uid="{00000000-0005-0000-0000-0000F1400000}"/>
    <cellStyle name="Normal 2 11 3 2 3 2 2 2 2 2" xfId="45077" xr:uid="{00000000-0005-0000-0000-0000F2400000}"/>
    <cellStyle name="Normal 2 11 3 2 3 2 2 2 3" xfId="14994" xr:uid="{00000000-0005-0000-0000-0000F3400000}"/>
    <cellStyle name="Normal 2 11 3 2 3 2 2 2 3 2" xfId="37637" xr:uid="{00000000-0005-0000-0000-0000F4400000}"/>
    <cellStyle name="Normal 2 11 3 2 3 2 2 2 4" xfId="30196" xr:uid="{00000000-0005-0000-0000-0000F5400000}"/>
    <cellStyle name="Normal 2 11 3 2 3 2 2 3" xfId="18716" xr:uid="{00000000-0005-0000-0000-0000F6400000}"/>
    <cellStyle name="Normal 2 11 3 2 3 2 2 3 2" xfId="41359" xr:uid="{00000000-0005-0000-0000-0000F7400000}"/>
    <cellStyle name="Normal 2 11 3 2 3 2 2 4" xfId="11276" xr:uid="{00000000-0005-0000-0000-0000F8400000}"/>
    <cellStyle name="Normal 2 11 3 2 3 2 2 4 2" xfId="33919" xr:uid="{00000000-0005-0000-0000-0000F9400000}"/>
    <cellStyle name="Normal 2 11 3 2 3 2 2 5" xfId="26478" xr:uid="{00000000-0005-0000-0000-0000FA400000}"/>
    <cellStyle name="Normal 2 11 3 2 3 2 3" xfId="5703" xr:uid="{00000000-0005-0000-0000-0000FB400000}"/>
    <cellStyle name="Normal 2 11 3 2 3 2 3 2" xfId="20587" xr:uid="{00000000-0005-0000-0000-0000FC400000}"/>
    <cellStyle name="Normal 2 11 3 2 3 2 3 2 2" xfId="43230" xr:uid="{00000000-0005-0000-0000-0000FD400000}"/>
    <cellStyle name="Normal 2 11 3 2 3 2 3 3" xfId="13147" xr:uid="{00000000-0005-0000-0000-0000FE400000}"/>
    <cellStyle name="Normal 2 11 3 2 3 2 3 3 2" xfId="35790" xr:uid="{00000000-0005-0000-0000-0000FF400000}"/>
    <cellStyle name="Normal 2 11 3 2 3 2 3 4" xfId="28349" xr:uid="{00000000-0005-0000-0000-000000410000}"/>
    <cellStyle name="Normal 2 11 3 2 3 2 4" xfId="16869" xr:uid="{00000000-0005-0000-0000-000001410000}"/>
    <cellStyle name="Normal 2 11 3 2 3 2 4 2" xfId="39512" xr:uid="{00000000-0005-0000-0000-000002410000}"/>
    <cellStyle name="Normal 2 11 3 2 3 2 5" xfId="9429" xr:uid="{00000000-0005-0000-0000-000003410000}"/>
    <cellStyle name="Normal 2 11 3 2 3 2 5 2" xfId="32072" xr:uid="{00000000-0005-0000-0000-000004410000}"/>
    <cellStyle name="Normal 2 11 3 2 3 2 6" xfId="24631" xr:uid="{00000000-0005-0000-0000-000005410000}"/>
    <cellStyle name="Normal 2 11 3 2 3 3" xfId="2904" xr:uid="{00000000-0005-0000-0000-000006410000}"/>
    <cellStyle name="Normal 2 11 3 2 3 3 2" xfId="6625" xr:uid="{00000000-0005-0000-0000-000007410000}"/>
    <cellStyle name="Normal 2 11 3 2 3 3 2 2" xfId="21509" xr:uid="{00000000-0005-0000-0000-000008410000}"/>
    <cellStyle name="Normal 2 11 3 2 3 3 2 2 2" xfId="44152" xr:uid="{00000000-0005-0000-0000-000009410000}"/>
    <cellStyle name="Normal 2 11 3 2 3 3 2 3" xfId="14069" xr:uid="{00000000-0005-0000-0000-00000A410000}"/>
    <cellStyle name="Normal 2 11 3 2 3 3 2 3 2" xfId="36712" xr:uid="{00000000-0005-0000-0000-00000B410000}"/>
    <cellStyle name="Normal 2 11 3 2 3 3 2 4" xfId="29271" xr:uid="{00000000-0005-0000-0000-00000C410000}"/>
    <cellStyle name="Normal 2 11 3 2 3 3 3" xfId="17791" xr:uid="{00000000-0005-0000-0000-00000D410000}"/>
    <cellStyle name="Normal 2 11 3 2 3 3 3 2" xfId="40434" xr:uid="{00000000-0005-0000-0000-00000E410000}"/>
    <cellStyle name="Normal 2 11 3 2 3 3 4" xfId="10351" xr:uid="{00000000-0005-0000-0000-00000F410000}"/>
    <cellStyle name="Normal 2 11 3 2 3 3 4 2" xfId="32994" xr:uid="{00000000-0005-0000-0000-000010410000}"/>
    <cellStyle name="Normal 2 11 3 2 3 3 5" xfId="25553" xr:uid="{00000000-0005-0000-0000-000011410000}"/>
    <cellStyle name="Normal 2 11 3 2 3 4" xfId="4778" xr:uid="{00000000-0005-0000-0000-000012410000}"/>
    <cellStyle name="Normal 2 11 3 2 3 4 2" xfId="19662" xr:uid="{00000000-0005-0000-0000-000013410000}"/>
    <cellStyle name="Normal 2 11 3 2 3 4 2 2" xfId="42305" xr:uid="{00000000-0005-0000-0000-000014410000}"/>
    <cellStyle name="Normal 2 11 3 2 3 4 3" xfId="12222" xr:uid="{00000000-0005-0000-0000-000015410000}"/>
    <cellStyle name="Normal 2 11 3 2 3 4 3 2" xfId="34865" xr:uid="{00000000-0005-0000-0000-000016410000}"/>
    <cellStyle name="Normal 2 11 3 2 3 4 4" xfId="27424" xr:uid="{00000000-0005-0000-0000-000017410000}"/>
    <cellStyle name="Normal 2 11 3 2 3 5" xfId="15944" xr:uid="{00000000-0005-0000-0000-000018410000}"/>
    <cellStyle name="Normal 2 11 3 2 3 5 2" xfId="38587" xr:uid="{00000000-0005-0000-0000-000019410000}"/>
    <cellStyle name="Normal 2 11 3 2 3 6" xfId="8504" xr:uid="{00000000-0005-0000-0000-00001A410000}"/>
    <cellStyle name="Normal 2 11 3 2 3 6 2" xfId="31147" xr:uid="{00000000-0005-0000-0000-00001B410000}"/>
    <cellStyle name="Normal 2 11 3 2 3 7" xfId="23706" xr:uid="{00000000-0005-0000-0000-00001C410000}"/>
    <cellStyle name="Normal 2 11 3 2 4" xfId="1517" xr:uid="{00000000-0005-0000-0000-00001D410000}"/>
    <cellStyle name="Normal 2 11 3 2 4 2" xfId="3367" xr:uid="{00000000-0005-0000-0000-00001E410000}"/>
    <cellStyle name="Normal 2 11 3 2 4 2 2" xfId="7088" xr:uid="{00000000-0005-0000-0000-00001F410000}"/>
    <cellStyle name="Normal 2 11 3 2 4 2 2 2" xfId="21972" xr:uid="{00000000-0005-0000-0000-000020410000}"/>
    <cellStyle name="Normal 2 11 3 2 4 2 2 2 2" xfId="44615" xr:uid="{00000000-0005-0000-0000-000021410000}"/>
    <cellStyle name="Normal 2 11 3 2 4 2 2 3" xfId="14532" xr:uid="{00000000-0005-0000-0000-000022410000}"/>
    <cellStyle name="Normal 2 11 3 2 4 2 2 3 2" xfId="37175" xr:uid="{00000000-0005-0000-0000-000023410000}"/>
    <cellStyle name="Normal 2 11 3 2 4 2 2 4" xfId="29734" xr:uid="{00000000-0005-0000-0000-000024410000}"/>
    <cellStyle name="Normal 2 11 3 2 4 2 3" xfId="18254" xr:uid="{00000000-0005-0000-0000-000025410000}"/>
    <cellStyle name="Normal 2 11 3 2 4 2 3 2" xfId="40897" xr:uid="{00000000-0005-0000-0000-000026410000}"/>
    <cellStyle name="Normal 2 11 3 2 4 2 4" xfId="10814" xr:uid="{00000000-0005-0000-0000-000027410000}"/>
    <cellStyle name="Normal 2 11 3 2 4 2 4 2" xfId="33457" xr:uid="{00000000-0005-0000-0000-000028410000}"/>
    <cellStyle name="Normal 2 11 3 2 4 2 5" xfId="26016" xr:uid="{00000000-0005-0000-0000-000029410000}"/>
    <cellStyle name="Normal 2 11 3 2 4 3" xfId="5241" xr:uid="{00000000-0005-0000-0000-00002A410000}"/>
    <cellStyle name="Normal 2 11 3 2 4 3 2" xfId="20125" xr:uid="{00000000-0005-0000-0000-00002B410000}"/>
    <cellStyle name="Normal 2 11 3 2 4 3 2 2" xfId="42768" xr:uid="{00000000-0005-0000-0000-00002C410000}"/>
    <cellStyle name="Normal 2 11 3 2 4 3 3" xfId="12685" xr:uid="{00000000-0005-0000-0000-00002D410000}"/>
    <cellStyle name="Normal 2 11 3 2 4 3 3 2" xfId="35328" xr:uid="{00000000-0005-0000-0000-00002E410000}"/>
    <cellStyle name="Normal 2 11 3 2 4 3 4" xfId="27887" xr:uid="{00000000-0005-0000-0000-00002F410000}"/>
    <cellStyle name="Normal 2 11 3 2 4 4" xfId="16407" xr:uid="{00000000-0005-0000-0000-000030410000}"/>
    <cellStyle name="Normal 2 11 3 2 4 4 2" xfId="39050" xr:uid="{00000000-0005-0000-0000-000031410000}"/>
    <cellStyle name="Normal 2 11 3 2 4 5" xfId="8967" xr:uid="{00000000-0005-0000-0000-000032410000}"/>
    <cellStyle name="Normal 2 11 3 2 4 5 2" xfId="31610" xr:uid="{00000000-0005-0000-0000-000033410000}"/>
    <cellStyle name="Normal 2 11 3 2 4 6" xfId="24169" xr:uid="{00000000-0005-0000-0000-000034410000}"/>
    <cellStyle name="Normal 2 11 3 2 5" xfId="2442" xr:uid="{00000000-0005-0000-0000-000035410000}"/>
    <cellStyle name="Normal 2 11 3 2 5 2" xfId="6163" xr:uid="{00000000-0005-0000-0000-000036410000}"/>
    <cellStyle name="Normal 2 11 3 2 5 2 2" xfId="21047" xr:uid="{00000000-0005-0000-0000-000037410000}"/>
    <cellStyle name="Normal 2 11 3 2 5 2 2 2" xfId="43690" xr:uid="{00000000-0005-0000-0000-000038410000}"/>
    <cellStyle name="Normal 2 11 3 2 5 2 3" xfId="13607" xr:uid="{00000000-0005-0000-0000-000039410000}"/>
    <cellStyle name="Normal 2 11 3 2 5 2 3 2" xfId="36250" xr:uid="{00000000-0005-0000-0000-00003A410000}"/>
    <cellStyle name="Normal 2 11 3 2 5 2 4" xfId="28809" xr:uid="{00000000-0005-0000-0000-00003B410000}"/>
    <cellStyle name="Normal 2 11 3 2 5 3" xfId="17329" xr:uid="{00000000-0005-0000-0000-00003C410000}"/>
    <cellStyle name="Normal 2 11 3 2 5 3 2" xfId="39972" xr:uid="{00000000-0005-0000-0000-00003D410000}"/>
    <cellStyle name="Normal 2 11 3 2 5 4" xfId="9889" xr:uid="{00000000-0005-0000-0000-00003E410000}"/>
    <cellStyle name="Normal 2 11 3 2 5 4 2" xfId="32532" xr:uid="{00000000-0005-0000-0000-00003F410000}"/>
    <cellStyle name="Normal 2 11 3 2 5 5" xfId="25091" xr:uid="{00000000-0005-0000-0000-000040410000}"/>
    <cellStyle name="Normal 2 11 3 2 6" xfId="4316" xr:uid="{00000000-0005-0000-0000-000041410000}"/>
    <cellStyle name="Normal 2 11 3 2 6 2" xfId="19200" xr:uid="{00000000-0005-0000-0000-000042410000}"/>
    <cellStyle name="Normal 2 11 3 2 6 2 2" xfId="41843" xr:uid="{00000000-0005-0000-0000-000043410000}"/>
    <cellStyle name="Normal 2 11 3 2 6 3" xfId="11760" xr:uid="{00000000-0005-0000-0000-000044410000}"/>
    <cellStyle name="Normal 2 11 3 2 6 3 2" xfId="34403" xr:uid="{00000000-0005-0000-0000-000045410000}"/>
    <cellStyle name="Normal 2 11 3 2 6 4" xfId="26962" xr:uid="{00000000-0005-0000-0000-000046410000}"/>
    <cellStyle name="Normal 2 11 3 2 7" xfId="15482" xr:uid="{00000000-0005-0000-0000-000047410000}"/>
    <cellStyle name="Normal 2 11 3 2 7 2" xfId="38125" xr:uid="{00000000-0005-0000-0000-000048410000}"/>
    <cellStyle name="Normal 2 11 3 2 8" xfId="8042" xr:uid="{00000000-0005-0000-0000-000049410000}"/>
    <cellStyle name="Normal 2 11 3 2 8 2" xfId="30685" xr:uid="{00000000-0005-0000-0000-00004A410000}"/>
    <cellStyle name="Normal 2 11 3 2 9" xfId="23245" xr:uid="{00000000-0005-0000-0000-00004B410000}"/>
    <cellStyle name="Normal 2 11 3 3" xfId="692" xr:uid="{00000000-0005-0000-0000-00004C410000}"/>
    <cellStyle name="Normal 2 11 3 3 2" xfId="1157" xr:uid="{00000000-0005-0000-0000-00004D410000}"/>
    <cellStyle name="Normal 2 11 3 3 2 2" xfId="2085" xr:uid="{00000000-0005-0000-0000-00004E410000}"/>
    <cellStyle name="Normal 2 11 3 3 2 2 2" xfId="3935" xr:uid="{00000000-0005-0000-0000-00004F410000}"/>
    <cellStyle name="Normal 2 11 3 3 2 2 2 2" xfId="7656" xr:uid="{00000000-0005-0000-0000-000050410000}"/>
    <cellStyle name="Normal 2 11 3 3 2 2 2 2 2" xfId="22540" xr:uid="{00000000-0005-0000-0000-000051410000}"/>
    <cellStyle name="Normal 2 11 3 3 2 2 2 2 2 2" xfId="45183" xr:uid="{00000000-0005-0000-0000-000052410000}"/>
    <cellStyle name="Normal 2 11 3 3 2 2 2 2 3" xfId="15100" xr:uid="{00000000-0005-0000-0000-000053410000}"/>
    <cellStyle name="Normal 2 11 3 3 2 2 2 2 3 2" xfId="37743" xr:uid="{00000000-0005-0000-0000-000054410000}"/>
    <cellStyle name="Normal 2 11 3 3 2 2 2 2 4" xfId="30302" xr:uid="{00000000-0005-0000-0000-000055410000}"/>
    <cellStyle name="Normal 2 11 3 3 2 2 2 3" xfId="18822" xr:uid="{00000000-0005-0000-0000-000056410000}"/>
    <cellStyle name="Normal 2 11 3 3 2 2 2 3 2" xfId="41465" xr:uid="{00000000-0005-0000-0000-000057410000}"/>
    <cellStyle name="Normal 2 11 3 3 2 2 2 4" xfId="11382" xr:uid="{00000000-0005-0000-0000-000058410000}"/>
    <cellStyle name="Normal 2 11 3 3 2 2 2 4 2" xfId="34025" xr:uid="{00000000-0005-0000-0000-000059410000}"/>
    <cellStyle name="Normal 2 11 3 3 2 2 2 5" xfId="26584" xr:uid="{00000000-0005-0000-0000-00005A410000}"/>
    <cellStyle name="Normal 2 11 3 3 2 2 3" xfId="5809" xr:uid="{00000000-0005-0000-0000-00005B410000}"/>
    <cellStyle name="Normal 2 11 3 3 2 2 3 2" xfId="20693" xr:uid="{00000000-0005-0000-0000-00005C410000}"/>
    <cellStyle name="Normal 2 11 3 3 2 2 3 2 2" xfId="43336" xr:uid="{00000000-0005-0000-0000-00005D410000}"/>
    <cellStyle name="Normal 2 11 3 3 2 2 3 3" xfId="13253" xr:uid="{00000000-0005-0000-0000-00005E410000}"/>
    <cellStyle name="Normal 2 11 3 3 2 2 3 3 2" xfId="35896" xr:uid="{00000000-0005-0000-0000-00005F410000}"/>
    <cellStyle name="Normal 2 11 3 3 2 2 3 4" xfId="28455" xr:uid="{00000000-0005-0000-0000-000060410000}"/>
    <cellStyle name="Normal 2 11 3 3 2 2 4" xfId="16975" xr:uid="{00000000-0005-0000-0000-000061410000}"/>
    <cellStyle name="Normal 2 11 3 3 2 2 4 2" xfId="39618" xr:uid="{00000000-0005-0000-0000-000062410000}"/>
    <cellStyle name="Normal 2 11 3 3 2 2 5" xfId="9535" xr:uid="{00000000-0005-0000-0000-000063410000}"/>
    <cellStyle name="Normal 2 11 3 3 2 2 5 2" xfId="32178" xr:uid="{00000000-0005-0000-0000-000064410000}"/>
    <cellStyle name="Normal 2 11 3 3 2 2 6" xfId="24737" xr:uid="{00000000-0005-0000-0000-000065410000}"/>
    <cellStyle name="Normal 2 11 3 3 2 3" xfId="3010" xr:uid="{00000000-0005-0000-0000-000066410000}"/>
    <cellStyle name="Normal 2 11 3 3 2 3 2" xfId="6731" xr:uid="{00000000-0005-0000-0000-000067410000}"/>
    <cellStyle name="Normal 2 11 3 3 2 3 2 2" xfId="21615" xr:uid="{00000000-0005-0000-0000-000068410000}"/>
    <cellStyle name="Normal 2 11 3 3 2 3 2 2 2" xfId="44258" xr:uid="{00000000-0005-0000-0000-000069410000}"/>
    <cellStyle name="Normal 2 11 3 3 2 3 2 3" xfId="14175" xr:uid="{00000000-0005-0000-0000-00006A410000}"/>
    <cellStyle name="Normal 2 11 3 3 2 3 2 3 2" xfId="36818" xr:uid="{00000000-0005-0000-0000-00006B410000}"/>
    <cellStyle name="Normal 2 11 3 3 2 3 2 4" xfId="29377" xr:uid="{00000000-0005-0000-0000-00006C410000}"/>
    <cellStyle name="Normal 2 11 3 3 2 3 3" xfId="17897" xr:uid="{00000000-0005-0000-0000-00006D410000}"/>
    <cellStyle name="Normal 2 11 3 3 2 3 3 2" xfId="40540" xr:uid="{00000000-0005-0000-0000-00006E410000}"/>
    <cellStyle name="Normal 2 11 3 3 2 3 4" xfId="10457" xr:uid="{00000000-0005-0000-0000-00006F410000}"/>
    <cellStyle name="Normal 2 11 3 3 2 3 4 2" xfId="33100" xr:uid="{00000000-0005-0000-0000-000070410000}"/>
    <cellStyle name="Normal 2 11 3 3 2 3 5" xfId="25659" xr:uid="{00000000-0005-0000-0000-000071410000}"/>
    <cellStyle name="Normal 2 11 3 3 2 4" xfId="4884" xr:uid="{00000000-0005-0000-0000-000072410000}"/>
    <cellStyle name="Normal 2 11 3 3 2 4 2" xfId="19768" xr:uid="{00000000-0005-0000-0000-000073410000}"/>
    <cellStyle name="Normal 2 11 3 3 2 4 2 2" xfId="42411" xr:uid="{00000000-0005-0000-0000-000074410000}"/>
    <cellStyle name="Normal 2 11 3 3 2 4 3" xfId="12328" xr:uid="{00000000-0005-0000-0000-000075410000}"/>
    <cellStyle name="Normal 2 11 3 3 2 4 3 2" xfId="34971" xr:uid="{00000000-0005-0000-0000-000076410000}"/>
    <cellStyle name="Normal 2 11 3 3 2 4 4" xfId="27530" xr:uid="{00000000-0005-0000-0000-000077410000}"/>
    <cellStyle name="Normal 2 11 3 3 2 5" xfId="16050" xr:uid="{00000000-0005-0000-0000-000078410000}"/>
    <cellStyle name="Normal 2 11 3 3 2 5 2" xfId="38693" xr:uid="{00000000-0005-0000-0000-000079410000}"/>
    <cellStyle name="Normal 2 11 3 3 2 6" xfId="8610" xr:uid="{00000000-0005-0000-0000-00007A410000}"/>
    <cellStyle name="Normal 2 11 3 3 2 6 2" xfId="31253" xr:uid="{00000000-0005-0000-0000-00007B410000}"/>
    <cellStyle name="Normal 2 11 3 3 2 7" xfId="23812" xr:uid="{00000000-0005-0000-0000-00007C410000}"/>
    <cellStyle name="Normal 2 11 3 3 3" xfId="1623" xr:uid="{00000000-0005-0000-0000-00007D410000}"/>
    <cellStyle name="Normal 2 11 3 3 3 2" xfId="3473" xr:uid="{00000000-0005-0000-0000-00007E410000}"/>
    <cellStyle name="Normal 2 11 3 3 3 2 2" xfId="7194" xr:uid="{00000000-0005-0000-0000-00007F410000}"/>
    <cellStyle name="Normal 2 11 3 3 3 2 2 2" xfId="22078" xr:uid="{00000000-0005-0000-0000-000080410000}"/>
    <cellStyle name="Normal 2 11 3 3 3 2 2 2 2" xfId="44721" xr:uid="{00000000-0005-0000-0000-000081410000}"/>
    <cellStyle name="Normal 2 11 3 3 3 2 2 3" xfId="14638" xr:uid="{00000000-0005-0000-0000-000082410000}"/>
    <cellStyle name="Normal 2 11 3 3 3 2 2 3 2" xfId="37281" xr:uid="{00000000-0005-0000-0000-000083410000}"/>
    <cellStyle name="Normal 2 11 3 3 3 2 2 4" xfId="29840" xr:uid="{00000000-0005-0000-0000-000084410000}"/>
    <cellStyle name="Normal 2 11 3 3 3 2 3" xfId="18360" xr:uid="{00000000-0005-0000-0000-000085410000}"/>
    <cellStyle name="Normal 2 11 3 3 3 2 3 2" xfId="41003" xr:uid="{00000000-0005-0000-0000-000086410000}"/>
    <cellStyle name="Normal 2 11 3 3 3 2 4" xfId="10920" xr:uid="{00000000-0005-0000-0000-000087410000}"/>
    <cellStyle name="Normal 2 11 3 3 3 2 4 2" xfId="33563" xr:uid="{00000000-0005-0000-0000-000088410000}"/>
    <cellStyle name="Normal 2 11 3 3 3 2 5" xfId="26122" xr:uid="{00000000-0005-0000-0000-000089410000}"/>
    <cellStyle name="Normal 2 11 3 3 3 3" xfId="5347" xr:uid="{00000000-0005-0000-0000-00008A410000}"/>
    <cellStyle name="Normal 2 11 3 3 3 3 2" xfId="20231" xr:uid="{00000000-0005-0000-0000-00008B410000}"/>
    <cellStyle name="Normal 2 11 3 3 3 3 2 2" xfId="42874" xr:uid="{00000000-0005-0000-0000-00008C410000}"/>
    <cellStyle name="Normal 2 11 3 3 3 3 3" xfId="12791" xr:uid="{00000000-0005-0000-0000-00008D410000}"/>
    <cellStyle name="Normal 2 11 3 3 3 3 3 2" xfId="35434" xr:uid="{00000000-0005-0000-0000-00008E410000}"/>
    <cellStyle name="Normal 2 11 3 3 3 3 4" xfId="27993" xr:uid="{00000000-0005-0000-0000-00008F410000}"/>
    <cellStyle name="Normal 2 11 3 3 3 4" xfId="16513" xr:uid="{00000000-0005-0000-0000-000090410000}"/>
    <cellStyle name="Normal 2 11 3 3 3 4 2" xfId="39156" xr:uid="{00000000-0005-0000-0000-000091410000}"/>
    <cellStyle name="Normal 2 11 3 3 3 5" xfId="9073" xr:uid="{00000000-0005-0000-0000-000092410000}"/>
    <cellStyle name="Normal 2 11 3 3 3 5 2" xfId="31716" xr:uid="{00000000-0005-0000-0000-000093410000}"/>
    <cellStyle name="Normal 2 11 3 3 3 6" xfId="24275" xr:uid="{00000000-0005-0000-0000-000094410000}"/>
    <cellStyle name="Normal 2 11 3 3 4" xfId="2548" xr:uid="{00000000-0005-0000-0000-000095410000}"/>
    <cellStyle name="Normal 2 11 3 3 4 2" xfId="6269" xr:uid="{00000000-0005-0000-0000-000096410000}"/>
    <cellStyle name="Normal 2 11 3 3 4 2 2" xfId="21153" xr:uid="{00000000-0005-0000-0000-000097410000}"/>
    <cellStyle name="Normal 2 11 3 3 4 2 2 2" xfId="43796" xr:uid="{00000000-0005-0000-0000-000098410000}"/>
    <cellStyle name="Normal 2 11 3 3 4 2 3" xfId="13713" xr:uid="{00000000-0005-0000-0000-000099410000}"/>
    <cellStyle name="Normal 2 11 3 3 4 2 3 2" xfId="36356" xr:uid="{00000000-0005-0000-0000-00009A410000}"/>
    <cellStyle name="Normal 2 11 3 3 4 2 4" xfId="28915" xr:uid="{00000000-0005-0000-0000-00009B410000}"/>
    <cellStyle name="Normal 2 11 3 3 4 3" xfId="17435" xr:uid="{00000000-0005-0000-0000-00009C410000}"/>
    <cellStyle name="Normal 2 11 3 3 4 3 2" xfId="40078" xr:uid="{00000000-0005-0000-0000-00009D410000}"/>
    <cellStyle name="Normal 2 11 3 3 4 4" xfId="9995" xr:uid="{00000000-0005-0000-0000-00009E410000}"/>
    <cellStyle name="Normal 2 11 3 3 4 4 2" xfId="32638" xr:uid="{00000000-0005-0000-0000-00009F410000}"/>
    <cellStyle name="Normal 2 11 3 3 4 5" xfId="25197" xr:uid="{00000000-0005-0000-0000-0000A0410000}"/>
    <cellStyle name="Normal 2 11 3 3 5" xfId="4422" xr:uid="{00000000-0005-0000-0000-0000A1410000}"/>
    <cellStyle name="Normal 2 11 3 3 5 2" xfId="19306" xr:uid="{00000000-0005-0000-0000-0000A2410000}"/>
    <cellStyle name="Normal 2 11 3 3 5 2 2" xfId="41949" xr:uid="{00000000-0005-0000-0000-0000A3410000}"/>
    <cellStyle name="Normal 2 11 3 3 5 3" xfId="11866" xr:uid="{00000000-0005-0000-0000-0000A4410000}"/>
    <cellStyle name="Normal 2 11 3 3 5 3 2" xfId="34509" xr:uid="{00000000-0005-0000-0000-0000A5410000}"/>
    <cellStyle name="Normal 2 11 3 3 5 4" xfId="27068" xr:uid="{00000000-0005-0000-0000-0000A6410000}"/>
    <cellStyle name="Normal 2 11 3 3 6" xfId="15588" xr:uid="{00000000-0005-0000-0000-0000A7410000}"/>
    <cellStyle name="Normal 2 11 3 3 6 2" xfId="38231" xr:uid="{00000000-0005-0000-0000-0000A8410000}"/>
    <cellStyle name="Normal 2 11 3 3 7" xfId="8148" xr:uid="{00000000-0005-0000-0000-0000A9410000}"/>
    <cellStyle name="Normal 2 11 3 3 7 2" xfId="30791" xr:uid="{00000000-0005-0000-0000-0000AA410000}"/>
    <cellStyle name="Normal 2 11 3 3 8" xfId="23350" xr:uid="{00000000-0005-0000-0000-0000AB410000}"/>
    <cellStyle name="Normal 2 11 3 4" xfId="946" xr:uid="{00000000-0005-0000-0000-0000AC410000}"/>
    <cellStyle name="Normal 2 11 3 4 2" xfId="1874" xr:uid="{00000000-0005-0000-0000-0000AD410000}"/>
    <cellStyle name="Normal 2 11 3 4 2 2" xfId="3724" xr:uid="{00000000-0005-0000-0000-0000AE410000}"/>
    <cellStyle name="Normal 2 11 3 4 2 2 2" xfId="7445" xr:uid="{00000000-0005-0000-0000-0000AF410000}"/>
    <cellStyle name="Normal 2 11 3 4 2 2 2 2" xfId="22329" xr:uid="{00000000-0005-0000-0000-0000B0410000}"/>
    <cellStyle name="Normal 2 11 3 4 2 2 2 2 2" xfId="44972" xr:uid="{00000000-0005-0000-0000-0000B1410000}"/>
    <cellStyle name="Normal 2 11 3 4 2 2 2 3" xfId="14889" xr:uid="{00000000-0005-0000-0000-0000B2410000}"/>
    <cellStyle name="Normal 2 11 3 4 2 2 2 3 2" xfId="37532" xr:uid="{00000000-0005-0000-0000-0000B3410000}"/>
    <cellStyle name="Normal 2 11 3 4 2 2 2 4" xfId="30091" xr:uid="{00000000-0005-0000-0000-0000B4410000}"/>
    <cellStyle name="Normal 2 11 3 4 2 2 3" xfId="18611" xr:uid="{00000000-0005-0000-0000-0000B5410000}"/>
    <cellStyle name="Normal 2 11 3 4 2 2 3 2" xfId="41254" xr:uid="{00000000-0005-0000-0000-0000B6410000}"/>
    <cellStyle name="Normal 2 11 3 4 2 2 4" xfId="11171" xr:uid="{00000000-0005-0000-0000-0000B7410000}"/>
    <cellStyle name="Normal 2 11 3 4 2 2 4 2" xfId="33814" xr:uid="{00000000-0005-0000-0000-0000B8410000}"/>
    <cellStyle name="Normal 2 11 3 4 2 2 5" xfId="26373" xr:uid="{00000000-0005-0000-0000-0000B9410000}"/>
    <cellStyle name="Normal 2 11 3 4 2 3" xfId="5598" xr:uid="{00000000-0005-0000-0000-0000BA410000}"/>
    <cellStyle name="Normal 2 11 3 4 2 3 2" xfId="20482" xr:uid="{00000000-0005-0000-0000-0000BB410000}"/>
    <cellStyle name="Normal 2 11 3 4 2 3 2 2" xfId="43125" xr:uid="{00000000-0005-0000-0000-0000BC410000}"/>
    <cellStyle name="Normal 2 11 3 4 2 3 3" xfId="13042" xr:uid="{00000000-0005-0000-0000-0000BD410000}"/>
    <cellStyle name="Normal 2 11 3 4 2 3 3 2" xfId="35685" xr:uid="{00000000-0005-0000-0000-0000BE410000}"/>
    <cellStyle name="Normal 2 11 3 4 2 3 4" xfId="28244" xr:uid="{00000000-0005-0000-0000-0000BF410000}"/>
    <cellStyle name="Normal 2 11 3 4 2 4" xfId="16764" xr:uid="{00000000-0005-0000-0000-0000C0410000}"/>
    <cellStyle name="Normal 2 11 3 4 2 4 2" xfId="39407" xr:uid="{00000000-0005-0000-0000-0000C1410000}"/>
    <cellStyle name="Normal 2 11 3 4 2 5" xfId="9324" xr:uid="{00000000-0005-0000-0000-0000C2410000}"/>
    <cellStyle name="Normal 2 11 3 4 2 5 2" xfId="31967" xr:uid="{00000000-0005-0000-0000-0000C3410000}"/>
    <cellStyle name="Normal 2 11 3 4 2 6" xfId="24526" xr:uid="{00000000-0005-0000-0000-0000C4410000}"/>
    <cellStyle name="Normal 2 11 3 4 3" xfId="2799" xr:uid="{00000000-0005-0000-0000-0000C5410000}"/>
    <cellStyle name="Normal 2 11 3 4 3 2" xfId="6520" xr:uid="{00000000-0005-0000-0000-0000C6410000}"/>
    <cellStyle name="Normal 2 11 3 4 3 2 2" xfId="21404" xr:uid="{00000000-0005-0000-0000-0000C7410000}"/>
    <cellStyle name="Normal 2 11 3 4 3 2 2 2" xfId="44047" xr:uid="{00000000-0005-0000-0000-0000C8410000}"/>
    <cellStyle name="Normal 2 11 3 4 3 2 3" xfId="13964" xr:uid="{00000000-0005-0000-0000-0000C9410000}"/>
    <cellStyle name="Normal 2 11 3 4 3 2 3 2" xfId="36607" xr:uid="{00000000-0005-0000-0000-0000CA410000}"/>
    <cellStyle name="Normal 2 11 3 4 3 2 4" xfId="29166" xr:uid="{00000000-0005-0000-0000-0000CB410000}"/>
    <cellStyle name="Normal 2 11 3 4 3 3" xfId="17686" xr:uid="{00000000-0005-0000-0000-0000CC410000}"/>
    <cellStyle name="Normal 2 11 3 4 3 3 2" xfId="40329" xr:uid="{00000000-0005-0000-0000-0000CD410000}"/>
    <cellStyle name="Normal 2 11 3 4 3 4" xfId="10246" xr:uid="{00000000-0005-0000-0000-0000CE410000}"/>
    <cellStyle name="Normal 2 11 3 4 3 4 2" xfId="32889" xr:uid="{00000000-0005-0000-0000-0000CF410000}"/>
    <cellStyle name="Normal 2 11 3 4 3 5" xfId="25448" xr:uid="{00000000-0005-0000-0000-0000D0410000}"/>
    <cellStyle name="Normal 2 11 3 4 4" xfId="4673" xr:uid="{00000000-0005-0000-0000-0000D1410000}"/>
    <cellStyle name="Normal 2 11 3 4 4 2" xfId="19557" xr:uid="{00000000-0005-0000-0000-0000D2410000}"/>
    <cellStyle name="Normal 2 11 3 4 4 2 2" xfId="42200" xr:uid="{00000000-0005-0000-0000-0000D3410000}"/>
    <cellStyle name="Normal 2 11 3 4 4 3" xfId="12117" xr:uid="{00000000-0005-0000-0000-0000D4410000}"/>
    <cellStyle name="Normal 2 11 3 4 4 3 2" xfId="34760" xr:uid="{00000000-0005-0000-0000-0000D5410000}"/>
    <cellStyle name="Normal 2 11 3 4 4 4" xfId="27319" xr:uid="{00000000-0005-0000-0000-0000D6410000}"/>
    <cellStyle name="Normal 2 11 3 4 5" xfId="15839" xr:uid="{00000000-0005-0000-0000-0000D7410000}"/>
    <cellStyle name="Normal 2 11 3 4 5 2" xfId="38482" xr:uid="{00000000-0005-0000-0000-0000D8410000}"/>
    <cellStyle name="Normal 2 11 3 4 6" xfId="8399" xr:uid="{00000000-0005-0000-0000-0000D9410000}"/>
    <cellStyle name="Normal 2 11 3 4 6 2" xfId="31042" xr:uid="{00000000-0005-0000-0000-0000DA410000}"/>
    <cellStyle name="Normal 2 11 3 4 7" xfId="23601" xr:uid="{00000000-0005-0000-0000-0000DB410000}"/>
    <cellStyle name="Normal 2 11 3 5" xfId="1412" xr:uid="{00000000-0005-0000-0000-0000DC410000}"/>
    <cellStyle name="Normal 2 11 3 5 2" xfId="3262" xr:uid="{00000000-0005-0000-0000-0000DD410000}"/>
    <cellStyle name="Normal 2 11 3 5 2 2" xfId="6983" xr:uid="{00000000-0005-0000-0000-0000DE410000}"/>
    <cellStyle name="Normal 2 11 3 5 2 2 2" xfId="21867" xr:uid="{00000000-0005-0000-0000-0000DF410000}"/>
    <cellStyle name="Normal 2 11 3 5 2 2 2 2" xfId="44510" xr:uid="{00000000-0005-0000-0000-0000E0410000}"/>
    <cellStyle name="Normal 2 11 3 5 2 2 3" xfId="14427" xr:uid="{00000000-0005-0000-0000-0000E1410000}"/>
    <cellStyle name="Normal 2 11 3 5 2 2 3 2" xfId="37070" xr:uid="{00000000-0005-0000-0000-0000E2410000}"/>
    <cellStyle name="Normal 2 11 3 5 2 2 4" xfId="29629" xr:uid="{00000000-0005-0000-0000-0000E3410000}"/>
    <cellStyle name="Normal 2 11 3 5 2 3" xfId="18149" xr:uid="{00000000-0005-0000-0000-0000E4410000}"/>
    <cellStyle name="Normal 2 11 3 5 2 3 2" xfId="40792" xr:uid="{00000000-0005-0000-0000-0000E5410000}"/>
    <cellStyle name="Normal 2 11 3 5 2 4" xfId="10709" xr:uid="{00000000-0005-0000-0000-0000E6410000}"/>
    <cellStyle name="Normal 2 11 3 5 2 4 2" xfId="33352" xr:uid="{00000000-0005-0000-0000-0000E7410000}"/>
    <cellStyle name="Normal 2 11 3 5 2 5" xfId="25911" xr:uid="{00000000-0005-0000-0000-0000E8410000}"/>
    <cellStyle name="Normal 2 11 3 5 3" xfId="5136" xr:uid="{00000000-0005-0000-0000-0000E9410000}"/>
    <cellStyle name="Normal 2 11 3 5 3 2" xfId="20020" xr:uid="{00000000-0005-0000-0000-0000EA410000}"/>
    <cellStyle name="Normal 2 11 3 5 3 2 2" xfId="42663" xr:uid="{00000000-0005-0000-0000-0000EB410000}"/>
    <cellStyle name="Normal 2 11 3 5 3 3" xfId="12580" xr:uid="{00000000-0005-0000-0000-0000EC410000}"/>
    <cellStyle name="Normal 2 11 3 5 3 3 2" xfId="35223" xr:uid="{00000000-0005-0000-0000-0000ED410000}"/>
    <cellStyle name="Normal 2 11 3 5 3 4" xfId="27782" xr:uid="{00000000-0005-0000-0000-0000EE410000}"/>
    <cellStyle name="Normal 2 11 3 5 4" xfId="16302" xr:uid="{00000000-0005-0000-0000-0000EF410000}"/>
    <cellStyle name="Normal 2 11 3 5 4 2" xfId="38945" xr:uid="{00000000-0005-0000-0000-0000F0410000}"/>
    <cellStyle name="Normal 2 11 3 5 5" xfId="8862" xr:uid="{00000000-0005-0000-0000-0000F1410000}"/>
    <cellStyle name="Normal 2 11 3 5 5 2" xfId="31505" xr:uid="{00000000-0005-0000-0000-0000F2410000}"/>
    <cellStyle name="Normal 2 11 3 5 6" xfId="24064" xr:uid="{00000000-0005-0000-0000-0000F3410000}"/>
    <cellStyle name="Normal 2 11 3 6" xfId="2337" xr:uid="{00000000-0005-0000-0000-0000F4410000}"/>
    <cellStyle name="Normal 2 11 3 6 2" xfId="6058" xr:uid="{00000000-0005-0000-0000-0000F5410000}"/>
    <cellStyle name="Normal 2 11 3 6 2 2" xfId="20942" xr:uid="{00000000-0005-0000-0000-0000F6410000}"/>
    <cellStyle name="Normal 2 11 3 6 2 2 2" xfId="43585" xr:uid="{00000000-0005-0000-0000-0000F7410000}"/>
    <cellStyle name="Normal 2 11 3 6 2 3" xfId="13502" xr:uid="{00000000-0005-0000-0000-0000F8410000}"/>
    <cellStyle name="Normal 2 11 3 6 2 3 2" xfId="36145" xr:uid="{00000000-0005-0000-0000-0000F9410000}"/>
    <cellStyle name="Normal 2 11 3 6 2 4" xfId="28704" xr:uid="{00000000-0005-0000-0000-0000FA410000}"/>
    <cellStyle name="Normal 2 11 3 6 3" xfId="17224" xr:uid="{00000000-0005-0000-0000-0000FB410000}"/>
    <cellStyle name="Normal 2 11 3 6 3 2" xfId="39867" xr:uid="{00000000-0005-0000-0000-0000FC410000}"/>
    <cellStyle name="Normal 2 11 3 6 4" xfId="9784" xr:uid="{00000000-0005-0000-0000-0000FD410000}"/>
    <cellStyle name="Normal 2 11 3 6 4 2" xfId="32427" xr:uid="{00000000-0005-0000-0000-0000FE410000}"/>
    <cellStyle name="Normal 2 11 3 6 5" xfId="24986" xr:uid="{00000000-0005-0000-0000-0000FF410000}"/>
    <cellStyle name="Normal 2 11 3 7" xfId="4211" xr:uid="{00000000-0005-0000-0000-000000420000}"/>
    <cellStyle name="Normal 2 11 3 7 2" xfId="19095" xr:uid="{00000000-0005-0000-0000-000001420000}"/>
    <cellStyle name="Normal 2 11 3 7 2 2" xfId="41738" xr:uid="{00000000-0005-0000-0000-000002420000}"/>
    <cellStyle name="Normal 2 11 3 7 3" xfId="11655" xr:uid="{00000000-0005-0000-0000-000003420000}"/>
    <cellStyle name="Normal 2 11 3 7 3 2" xfId="34298" xr:uid="{00000000-0005-0000-0000-000004420000}"/>
    <cellStyle name="Normal 2 11 3 7 4" xfId="26857" xr:uid="{00000000-0005-0000-0000-000005420000}"/>
    <cellStyle name="Normal 2 11 3 8" xfId="15377" xr:uid="{00000000-0005-0000-0000-000006420000}"/>
    <cellStyle name="Normal 2 11 3 8 2" xfId="38020" xr:uid="{00000000-0005-0000-0000-000007420000}"/>
    <cellStyle name="Normal 2 11 3 9" xfId="7937" xr:uid="{00000000-0005-0000-0000-000008420000}"/>
    <cellStyle name="Normal 2 11 3 9 2" xfId="30580" xr:uid="{00000000-0005-0000-0000-000009420000}"/>
    <cellStyle name="Normal 2 11 4" xfId="533" xr:uid="{00000000-0005-0000-0000-00000A420000}"/>
    <cellStyle name="Normal 2 11 4 2" xfId="745" xr:uid="{00000000-0005-0000-0000-00000B420000}"/>
    <cellStyle name="Normal 2 11 4 2 2" xfId="1210" xr:uid="{00000000-0005-0000-0000-00000C420000}"/>
    <cellStyle name="Normal 2 11 4 2 2 2" xfId="2138" xr:uid="{00000000-0005-0000-0000-00000D420000}"/>
    <cellStyle name="Normal 2 11 4 2 2 2 2" xfId="3988" xr:uid="{00000000-0005-0000-0000-00000E420000}"/>
    <cellStyle name="Normal 2 11 4 2 2 2 2 2" xfId="7709" xr:uid="{00000000-0005-0000-0000-00000F420000}"/>
    <cellStyle name="Normal 2 11 4 2 2 2 2 2 2" xfId="22593" xr:uid="{00000000-0005-0000-0000-000010420000}"/>
    <cellStyle name="Normal 2 11 4 2 2 2 2 2 2 2" xfId="45236" xr:uid="{00000000-0005-0000-0000-000011420000}"/>
    <cellStyle name="Normal 2 11 4 2 2 2 2 2 3" xfId="15153" xr:uid="{00000000-0005-0000-0000-000012420000}"/>
    <cellStyle name="Normal 2 11 4 2 2 2 2 2 3 2" xfId="37796" xr:uid="{00000000-0005-0000-0000-000013420000}"/>
    <cellStyle name="Normal 2 11 4 2 2 2 2 2 4" xfId="30355" xr:uid="{00000000-0005-0000-0000-000014420000}"/>
    <cellStyle name="Normal 2 11 4 2 2 2 2 3" xfId="18875" xr:uid="{00000000-0005-0000-0000-000015420000}"/>
    <cellStyle name="Normal 2 11 4 2 2 2 2 3 2" xfId="41518" xr:uid="{00000000-0005-0000-0000-000016420000}"/>
    <cellStyle name="Normal 2 11 4 2 2 2 2 4" xfId="11435" xr:uid="{00000000-0005-0000-0000-000017420000}"/>
    <cellStyle name="Normal 2 11 4 2 2 2 2 4 2" xfId="34078" xr:uid="{00000000-0005-0000-0000-000018420000}"/>
    <cellStyle name="Normal 2 11 4 2 2 2 2 5" xfId="26637" xr:uid="{00000000-0005-0000-0000-000019420000}"/>
    <cellStyle name="Normal 2 11 4 2 2 2 3" xfId="5862" xr:uid="{00000000-0005-0000-0000-00001A420000}"/>
    <cellStyle name="Normal 2 11 4 2 2 2 3 2" xfId="20746" xr:uid="{00000000-0005-0000-0000-00001B420000}"/>
    <cellStyle name="Normal 2 11 4 2 2 2 3 2 2" xfId="43389" xr:uid="{00000000-0005-0000-0000-00001C420000}"/>
    <cellStyle name="Normal 2 11 4 2 2 2 3 3" xfId="13306" xr:uid="{00000000-0005-0000-0000-00001D420000}"/>
    <cellStyle name="Normal 2 11 4 2 2 2 3 3 2" xfId="35949" xr:uid="{00000000-0005-0000-0000-00001E420000}"/>
    <cellStyle name="Normal 2 11 4 2 2 2 3 4" xfId="28508" xr:uid="{00000000-0005-0000-0000-00001F420000}"/>
    <cellStyle name="Normal 2 11 4 2 2 2 4" xfId="17028" xr:uid="{00000000-0005-0000-0000-000020420000}"/>
    <cellStyle name="Normal 2 11 4 2 2 2 4 2" xfId="39671" xr:uid="{00000000-0005-0000-0000-000021420000}"/>
    <cellStyle name="Normal 2 11 4 2 2 2 5" xfId="9588" xr:uid="{00000000-0005-0000-0000-000022420000}"/>
    <cellStyle name="Normal 2 11 4 2 2 2 5 2" xfId="32231" xr:uid="{00000000-0005-0000-0000-000023420000}"/>
    <cellStyle name="Normal 2 11 4 2 2 2 6" xfId="24790" xr:uid="{00000000-0005-0000-0000-000024420000}"/>
    <cellStyle name="Normal 2 11 4 2 2 3" xfId="3063" xr:uid="{00000000-0005-0000-0000-000025420000}"/>
    <cellStyle name="Normal 2 11 4 2 2 3 2" xfId="6784" xr:uid="{00000000-0005-0000-0000-000026420000}"/>
    <cellStyle name="Normal 2 11 4 2 2 3 2 2" xfId="21668" xr:uid="{00000000-0005-0000-0000-000027420000}"/>
    <cellStyle name="Normal 2 11 4 2 2 3 2 2 2" xfId="44311" xr:uid="{00000000-0005-0000-0000-000028420000}"/>
    <cellStyle name="Normal 2 11 4 2 2 3 2 3" xfId="14228" xr:uid="{00000000-0005-0000-0000-000029420000}"/>
    <cellStyle name="Normal 2 11 4 2 2 3 2 3 2" xfId="36871" xr:uid="{00000000-0005-0000-0000-00002A420000}"/>
    <cellStyle name="Normal 2 11 4 2 2 3 2 4" xfId="29430" xr:uid="{00000000-0005-0000-0000-00002B420000}"/>
    <cellStyle name="Normal 2 11 4 2 2 3 3" xfId="17950" xr:uid="{00000000-0005-0000-0000-00002C420000}"/>
    <cellStyle name="Normal 2 11 4 2 2 3 3 2" xfId="40593" xr:uid="{00000000-0005-0000-0000-00002D420000}"/>
    <cellStyle name="Normal 2 11 4 2 2 3 4" xfId="10510" xr:uid="{00000000-0005-0000-0000-00002E420000}"/>
    <cellStyle name="Normal 2 11 4 2 2 3 4 2" xfId="33153" xr:uid="{00000000-0005-0000-0000-00002F420000}"/>
    <cellStyle name="Normal 2 11 4 2 2 3 5" xfId="25712" xr:uid="{00000000-0005-0000-0000-000030420000}"/>
    <cellStyle name="Normal 2 11 4 2 2 4" xfId="4937" xr:uid="{00000000-0005-0000-0000-000031420000}"/>
    <cellStyle name="Normal 2 11 4 2 2 4 2" xfId="19821" xr:uid="{00000000-0005-0000-0000-000032420000}"/>
    <cellStyle name="Normal 2 11 4 2 2 4 2 2" xfId="42464" xr:uid="{00000000-0005-0000-0000-000033420000}"/>
    <cellStyle name="Normal 2 11 4 2 2 4 3" xfId="12381" xr:uid="{00000000-0005-0000-0000-000034420000}"/>
    <cellStyle name="Normal 2 11 4 2 2 4 3 2" xfId="35024" xr:uid="{00000000-0005-0000-0000-000035420000}"/>
    <cellStyle name="Normal 2 11 4 2 2 4 4" xfId="27583" xr:uid="{00000000-0005-0000-0000-000036420000}"/>
    <cellStyle name="Normal 2 11 4 2 2 5" xfId="16103" xr:uid="{00000000-0005-0000-0000-000037420000}"/>
    <cellStyle name="Normal 2 11 4 2 2 5 2" xfId="38746" xr:uid="{00000000-0005-0000-0000-000038420000}"/>
    <cellStyle name="Normal 2 11 4 2 2 6" xfId="8663" xr:uid="{00000000-0005-0000-0000-000039420000}"/>
    <cellStyle name="Normal 2 11 4 2 2 6 2" xfId="31306" xr:uid="{00000000-0005-0000-0000-00003A420000}"/>
    <cellStyle name="Normal 2 11 4 2 2 7" xfId="23865" xr:uid="{00000000-0005-0000-0000-00003B420000}"/>
    <cellStyle name="Normal 2 11 4 2 3" xfId="1676" xr:uid="{00000000-0005-0000-0000-00003C420000}"/>
    <cellStyle name="Normal 2 11 4 2 3 2" xfId="3526" xr:uid="{00000000-0005-0000-0000-00003D420000}"/>
    <cellStyle name="Normal 2 11 4 2 3 2 2" xfId="7247" xr:uid="{00000000-0005-0000-0000-00003E420000}"/>
    <cellStyle name="Normal 2 11 4 2 3 2 2 2" xfId="22131" xr:uid="{00000000-0005-0000-0000-00003F420000}"/>
    <cellStyle name="Normal 2 11 4 2 3 2 2 2 2" xfId="44774" xr:uid="{00000000-0005-0000-0000-000040420000}"/>
    <cellStyle name="Normal 2 11 4 2 3 2 2 3" xfId="14691" xr:uid="{00000000-0005-0000-0000-000041420000}"/>
    <cellStyle name="Normal 2 11 4 2 3 2 2 3 2" xfId="37334" xr:uid="{00000000-0005-0000-0000-000042420000}"/>
    <cellStyle name="Normal 2 11 4 2 3 2 2 4" xfId="29893" xr:uid="{00000000-0005-0000-0000-000043420000}"/>
    <cellStyle name="Normal 2 11 4 2 3 2 3" xfId="18413" xr:uid="{00000000-0005-0000-0000-000044420000}"/>
    <cellStyle name="Normal 2 11 4 2 3 2 3 2" xfId="41056" xr:uid="{00000000-0005-0000-0000-000045420000}"/>
    <cellStyle name="Normal 2 11 4 2 3 2 4" xfId="10973" xr:uid="{00000000-0005-0000-0000-000046420000}"/>
    <cellStyle name="Normal 2 11 4 2 3 2 4 2" xfId="33616" xr:uid="{00000000-0005-0000-0000-000047420000}"/>
    <cellStyle name="Normal 2 11 4 2 3 2 5" xfId="26175" xr:uid="{00000000-0005-0000-0000-000048420000}"/>
    <cellStyle name="Normal 2 11 4 2 3 3" xfId="5400" xr:uid="{00000000-0005-0000-0000-000049420000}"/>
    <cellStyle name="Normal 2 11 4 2 3 3 2" xfId="20284" xr:uid="{00000000-0005-0000-0000-00004A420000}"/>
    <cellStyle name="Normal 2 11 4 2 3 3 2 2" xfId="42927" xr:uid="{00000000-0005-0000-0000-00004B420000}"/>
    <cellStyle name="Normal 2 11 4 2 3 3 3" xfId="12844" xr:uid="{00000000-0005-0000-0000-00004C420000}"/>
    <cellStyle name="Normal 2 11 4 2 3 3 3 2" xfId="35487" xr:uid="{00000000-0005-0000-0000-00004D420000}"/>
    <cellStyle name="Normal 2 11 4 2 3 3 4" xfId="28046" xr:uid="{00000000-0005-0000-0000-00004E420000}"/>
    <cellStyle name="Normal 2 11 4 2 3 4" xfId="16566" xr:uid="{00000000-0005-0000-0000-00004F420000}"/>
    <cellStyle name="Normal 2 11 4 2 3 4 2" xfId="39209" xr:uid="{00000000-0005-0000-0000-000050420000}"/>
    <cellStyle name="Normal 2 11 4 2 3 5" xfId="9126" xr:uid="{00000000-0005-0000-0000-000051420000}"/>
    <cellStyle name="Normal 2 11 4 2 3 5 2" xfId="31769" xr:uid="{00000000-0005-0000-0000-000052420000}"/>
    <cellStyle name="Normal 2 11 4 2 3 6" xfId="24328" xr:uid="{00000000-0005-0000-0000-000053420000}"/>
    <cellStyle name="Normal 2 11 4 2 4" xfId="2601" xr:uid="{00000000-0005-0000-0000-000054420000}"/>
    <cellStyle name="Normal 2 11 4 2 4 2" xfId="6322" xr:uid="{00000000-0005-0000-0000-000055420000}"/>
    <cellStyle name="Normal 2 11 4 2 4 2 2" xfId="21206" xr:uid="{00000000-0005-0000-0000-000056420000}"/>
    <cellStyle name="Normal 2 11 4 2 4 2 2 2" xfId="43849" xr:uid="{00000000-0005-0000-0000-000057420000}"/>
    <cellStyle name="Normal 2 11 4 2 4 2 3" xfId="13766" xr:uid="{00000000-0005-0000-0000-000058420000}"/>
    <cellStyle name="Normal 2 11 4 2 4 2 3 2" xfId="36409" xr:uid="{00000000-0005-0000-0000-000059420000}"/>
    <cellStyle name="Normal 2 11 4 2 4 2 4" xfId="28968" xr:uid="{00000000-0005-0000-0000-00005A420000}"/>
    <cellStyle name="Normal 2 11 4 2 4 3" xfId="17488" xr:uid="{00000000-0005-0000-0000-00005B420000}"/>
    <cellStyle name="Normal 2 11 4 2 4 3 2" xfId="40131" xr:uid="{00000000-0005-0000-0000-00005C420000}"/>
    <cellStyle name="Normal 2 11 4 2 4 4" xfId="10048" xr:uid="{00000000-0005-0000-0000-00005D420000}"/>
    <cellStyle name="Normal 2 11 4 2 4 4 2" xfId="32691" xr:uid="{00000000-0005-0000-0000-00005E420000}"/>
    <cellStyle name="Normal 2 11 4 2 4 5" xfId="25250" xr:uid="{00000000-0005-0000-0000-00005F420000}"/>
    <cellStyle name="Normal 2 11 4 2 5" xfId="4475" xr:uid="{00000000-0005-0000-0000-000060420000}"/>
    <cellStyle name="Normal 2 11 4 2 5 2" xfId="19359" xr:uid="{00000000-0005-0000-0000-000061420000}"/>
    <cellStyle name="Normal 2 11 4 2 5 2 2" xfId="42002" xr:uid="{00000000-0005-0000-0000-000062420000}"/>
    <cellStyle name="Normal 2 11 4 2 5 3" xfId="11919" xr:uid="{00000000-0005-0000-0000-000063420000}"/>
    <cellStyle name="Normal 2 11 4 2 5 3 2" xfId="34562" xr:uid="{00000000-0005-0000-0000-000064420000}"/>
    <cellStyle name="Normal 2 11 4 2 5 4" xfId="27121" xr:uid="{00000000-0005-0000-0000-000065420000}"/>
    <cellStyle name="Normal 2 11 4 2 6" xfId="15641" xr:uid="{00000000-0005-0000-0000-000066420000}"/>
    <cellStyle name="Normal 2 11 4 2 6 2" xfId="38284" xr:uid="{00000000-0005-0000-0000-000067420000}"/>
    <cellStyle name="Normal 2 11 4 2 7" xfId="8201" xr:uid="{00000000-0005-0000-0000-000068420000}"/>
    <cellStyle name="Normal 2 11 4 2 7 2" xfId="30844" xr:uid="{00000000-0005-0000-0000-000069420000}"/>
    <cellStyle name="Normal 2 11 4 2 8" xfId="23403" xr:uid="{00000000-0005-0000-0000-00006A420000}"/>
    <cellStyle name="Normal 2 11 4 3" xfId="999" xr:uid="{00000000-0005-0000-0000-00006B420000}"/>
    <cellStyle name="Normal 2 11 4 3 2" xfId="1927" xr:uid="{00000000-0005-0000-0000-00006C420000}"/>
    <cellStyle name="Normal 2 11 4 3 2 2" xfId="3777" xr:uid="{00000000-0005-0000-0000-00006D420000}"/>
    <cellStyle name="Normal 2 11 4 3 2 2 2" xfId="7498" xr:uid="{00000000-0005-0000-0000-00006E420000}"/>
    <cellStyle name="Normal 2 11 4 3 2 2 2 2" xfId="22382" xr:uid="{00000000-0005-0000-0000-00006F420000}"/>
    <cellStyle name="Normal 2 11 4 3 2 2 2 2 2" xfId="45025" xr:uid="{00000000-0005-0000-0000-000070420000}"/>
    <cellStyle name="Normal 2 11 4 3 2 2 2 3" xfId="14942" xr:uid="{00000000-0005-0000-0000-000071420000}"/>
    <cellStyle name="Normal 2 11 4 3 2 2 2 3 2" xfId="37585" xr:uid="{00000000-0005-0000-0000-000072420000}"/>
    <cellStyle name="Normal 2 11 4 3 2 2 2 4" xfId="30144" xr:uid="{00000000-0005-0000-0000-000073420000}"/>
    <cellStyle name="Normal 2 11 4 3 2 2 3" xfId="18664" xr:uid="{00000000-0005-0000-0000-000074420000}"/>
    <cellStyle name="Normal 2 11 4 3 2 2 3 2" xfId="41307" xr:uid="{00000000-0005-0000-0000-000075420000}"/>
    <cellStyle name="Normal 2 11 4 3 2 2 4" xfId="11224" xr:uid="{00000000-0005-0000-0000-000076420000}"/>
    <cellStyle name="Normal 2 11 4 3 2 2 4 2" xfId="33867" xr:uid="{00000000-0005-0000-0000-000077420000}"/>
    <cellStyle name="Normal 2 11 4 3 2 2 5" xfId="26426" xr:uid="{00000000-0005-0000-0000-000078420000}"/>
    <cellStyle name="Normal 2 11 4 3 2 3" xfId="5651" xr:uid="{00000000-0005-0000-0000-000079420000}"/>
    <cellStyle name="Normal 2 11 4 3 2 3 2" xfId="20535" xr:uid="{00000000-0005-0000-0000-00007A420000}"/>
    <cellStyle name="Normal 2 11 4 3 2 3 2 2" xfId="43178" xr:uid="{00000000-0005-0000-0000-00007B420000}"/>
    <cellStyle name="Normal 2 11 4 3 2 3 3" xfId="13095" xr:uid="{00000000-0005-0000-0000-00007C420000}"/>
    <cellStyle name="Normal 2 11 4 3 2 3 3 2" xfId="35738" xr:uid="{00000000-0005-0000-0000-00007D420000}"/>
    <cellStyle name="Normal 2 11 4 3 2 3 4" xfId="28297" xr:uid="{00000000-0005-0000-0000-00007E420000}"/>
    <cellStyle name="Normal 2 11 4 3 2 4" xfId="16817" xr:uid="{00000000-0005-0000-0000-00007F420000}"/>
    <cellStyle name="Normal 2 11 4 3 2 4 2" xfId="39460" xr:uid="{00000000-0005-0000-0000-000080420000}"/>
    <cellStyle name="Normal 2 11 4 3 2 5" xfId="9377" xr:uid="{00000000-0005-0000-0000-000081420000}"/>
    <cellStyle name="Normal 2 11 4 3 2 5 2" xfId="32020" xr:uid="{00000000-0005-0000-0000-000082420000}"/>
    <cellStyle name="Normal 2 11 4 3 2 6" xfId="24579" xr:uid="{00000000-0005-0000-0000-000083420000}"/>
    <cellStyle name="Normal 2 11 4 3 3" xfId="2852" xr:uid="{00000000-0005-0000-0000-000084420000}"/>
    <cellStyle name="Normal 2 11 4 3 3 2" xfId="6573" xr:uid="{00000000-0005-0000-0000-000085420000}"/>
    <cellStyle name="Normal 2 11 4 3 3 2 2" xfId="21457" xr:uid="{00000000-0005-0000-0000-000086420000}"/>
    <cellStyle name="Normal 2 11 4 3 3 2 2 2" xfId="44100" xr:uid="{00000000-0005-0000-0000-000087420000}"/>
    <cellStyle name="Normal 2 11 4 3 3 2 3" xfId="14017" xr:uid="{00000000-0005-0000-0000-000088420000}"/>
    <cellStyle name="Normal 2 11 4 3 3 2 3 2" xfId="36660" xr:uid="{00000000-0005-0000-0000-000089420000}"/>
    <cellStyle name="Normal 2 11 4 3 3 2 4" xfId="29219" xr:uid="{00000000-0005-0000-0000-00008A420000}"/>
    <cellStyle name="Normal 2 11 4 3 3 3" xfId="17739" xr:uid="{00000000-0005-0000-0000-00008B420000}"/>
    <cellStyle name="Normal 2 11 4 3 3 3 2" xfId="40382" xr:uid="{00000000-0005-0000-0000-00008C420000}"/>
    <cellStyle name="Normal 2 11 4 3 3 4" xfId="10299" xr:uid="{00000000-0005-0000-0000-00008D420000}"/>
    <cellStyle name="Normal 2 11 4 3 3 4 2" xfId="32942" xr:uid="{00000000-0005-0000-0000-00008E420000}"/>
    <cellStyle name="Normal 2 11 4 3 3 5" xfId="25501" xr:uid="{00000000-0005-0000-0000-00008F420000}"/>
    <cellStyle name="Normal 2 11 4 3 4" xfId="4726" xr:uid="{00000000-0005-0000-0000-000090420000}"/>
    <cellStyle name="Normal 2 11 4 3 4 2" xfId="19610" xr:uid="{00000000-0005-0000-0000-000091420000}"/>
    <cellStyle name="Normal 2 11 4 3 4 2 2" xfId="42253" xr:uid="{00000000-0005-0000-0000-000092420000}"/>
    <cellStyle name="Normal 2 11 4 3 4 3" xfId="12170" xr:uid="{00000000-0005-0000-0000-000093420000}"/>
    <cellStyle name="Normal 2 11 4 3 4 3 2" xfId="34813" xr:uid="{00000000-0005-0000-0000-000094420000}"/>
    <cellStyle name="Normal 2 11 4 3 4 4" xfId="27372" xr:uid="{00000000-0005-0000-0000-000095420000}"/>
    <cellStyle name="Normal 2 11 4 3 5" xfId="15892" xr:uid="{00000000-0005-0000-0000-000096420000}"/>
    <cellStyle name="Normal 2 11 4 3 5 2" xfId="38535" xr:uid="{00000000-0005-0000-0000-000097420000}"/>
    <cellStyle name="Normal 2 11 4 3 6" xfId="8452" xr:uid="{00000000-0005-0000-0000-000098420000}"/>
    <cellStyle name="Normal 2 11 4 3 6 2" xfId="31095" xr:uid="{00000000-0005-0000-0000-000099420000}"/>
    <cellStyle name="Normal 2 11 4 3 7" xfId="23654" xr:uid="{00000000-0005-0000-0000-00009A420000}"/>
    <cellStyle name="Normal 2 11 4 4" xfId="1465" xr:uid="{00000000-0005-0000-0000-00009B420000}"/>
    <cellStyle name="Normal 2 11 4 4 2" xfId="3315" xr:uid="{00000000-0005-0000-0000-00009C420000}"/>
    <cellStyle name="Normal 2 11 4 4 2 2" xfId="7036" xr:uid="{00000000-0005-0000-0000-00009D420000}"/>
    <cellStyle name="Normal 2 11 4 4 2 2 2" xfId="21920" xr:uid="{00000000-0005-0000-0000-00009E420000}"/>
    <cellStyle name="Normal 2 11 4 4 2 2 2 2" xfId="44563" xr:uid="{00000000-0005-0000-0000-00009F420000}"/>
    <cellStyle name="Normal 2 11 4 4 2 2 3" xfId="14480" xr:uid="{00000000-0005-0000-0000-0000A0420000}"/>
    <cellStyle name="Normal 2 11 4 4 2 2 3 2" xfId="37123" xr:uid="{00000000-0005-0000-0000-0000A1420000}"/>
    <cellStyle name="Normal 2 11 4 4 2 2 4" xfId="29682" xr:uid="{00000000-0005-0000-0000-0000A2420000}"/>
    <cellStyle name="Normal 2 11 4 4 2 3" xfId="18202" xr:uid="{00000000-0005-0000-0000-0000A3420000}"/>
    <cellStyle name="Normal 2 11 4 4 2 3 2" xfId="40845" xr:uid="{00000000-0005-0000-0000-0000A4420000}"/>
    <cellStyle name="Normal 2 11 4 4 2 4" xfId="10762" xr:uid="{00000000-0005-0000-0000-0000A5420000}"/>
    <cellStyle name="Normal 2 11 4 4 2 4 2" xfId="33405" xr:uid="{00000000-0005-0000-0000-0000A6420000}"/>
    <cellStyle name="Normal 2 11 4 4 2 5" xfId="25964" xr:uid="{00000000-0005-0000-0000-0000A7420000}"/>
    <cellStyle name="Normal 2 11 4 4 3" xfId="5189" xr:uid="{00000000-0005-0000-0000-0000A8420000}"/>
    <cellStyle name="Normal 2 11 4 4 3 2" xfId="20073" xr:uid="{00000000-0005-0000-0000-0000A9420000}"/>
    <cellStyle name="Normal 2 11 4 4 3 2 2" xfId="42716" xr:uid="{00000000-0005-0000-0000-0000AA420000}"/>
    <cellStyle name="Normal 2 11 4 4 3 3" xfId="12633" xr:uid="{00000000-0005-0000-0000-0000AB420000}"/>
    <cellStyle name="Normal 2 11 4 4 3 3 2" xfId="35276" xr:uid="{00000000-0005-0000-0000-0000AC420000}"/>
    <cellStyle name="Normal 2 11 4 4 3 4" xfId="27835" xr:uid="{00000000-0005-0000-0000-0000AD420000}"/>
    <cellStyle name="Normal 2 11 4 4 4" xfId="16355" xr:uid="{00000000-0005-0000-0000-0000AE420000}"/>
    <cellStyle name="Normal 2 11 4 4 4 2" xfId="38998" xr:uid="{00000000-0005-0000-0000-0000AF420000}"/>
    <cellStyle name="Normal 2 11 4 4 5" xfId="8915" xr:uid="{00000000-0005-0000-0000-0000B0420000}"/>
    <cellStyle name="Normal 2 11 4 4 5 2" xfId="31558" xr:uid="{00000000-0005-0000-0000-0000B1420000}"/>
    <cellStyle name="Normal 2 11 4 4 6" xfId="24117" xr:uid="{00000000-0005-0000-0000-0000B2420000}"/>
    <cellStyle name="Normal 2 11 4 5" xfId="2390" xr:uid="{00000000-0005-0000-0000-0000B3420000}"/>
    <cellStyle name="Normal 2 11 4 5 2" xfId="6111" xr:uid="{00000000-0005-0000-0000-0000B4420000}"/>
    <cellStyle name="Normal 2 11 4 5 2 2" xfId="20995" xr:uid="{00000000-0005-0000-0000-0000B5420000}"/>
    <cellStyle name="Normal 2 11 4 5 2 2 2" xfId="43638" xr:uid="{00000000-0005-0000-0000-0000B6420000}"/>
    <cellStyle name="Normal 2 11 4 5 2 3" xfId="13555" xr:uid="{00000000-0005-0000-0000-0000B7420000}"/>
    <cellStyle name="Normal 2 11 4 5 2 3 2" xfId="36198" xr:uid="{00000000-0005-0000-0000-0000B8420000}"/>
    <cellStyle name="Normal 2 11 4 5 2 4" xfId="28757" xr:uid="{00000000-0005-0000-0000-0000B9420000}"/>
    <cellStyle name="Normal 2 11 4 5 3" xfId="17277" xr:uid="{00000000-0005-0000-0000-0000BA420000}"/>
    <cellStyle name="Normal 2 11 4 5 3 2" xfId="39920" xr:uid="{00000000-0005-0000-0000-0000BB420000}"/>
    <cellStyle name="Normal 2 11 4 5 4" xfId="9837" xr:uid="{00000000-0005-0000-0000-0000BC420000}"/>
    <cellStyle name="Normal 2 11 4 5 4 2" xfId="32480" xr:uid="{00000000-0005-0000-0000-0000BD420000}"/>
    <cellStyle name="Normal 2 11 4 5 5" xfId="25039" xr:uid="{00000000-0005-0000-0000-0000BE420000}"/>
    <cellStyle name="Normal 2 11 4 6" xfId="4264" xr:uid="{00000000-0005-0000-0000-0000BF420000}"/>
    <cellStyle name="Normal 2 11 4 6 2" xfId="19148" xr:uid="{00000000-0005-0000-0000-0000C0420000}"/>
    <cellStyle name="Normal 2 11 4 6 2 2" xfId="41791" xr:uid="{00000000-0005-0000-0000-0000C1420000}"/>
    <cellStyle name="Normal 2 11 4 6 3" xfId="11708" xr:uid="{00000000-0005-0000-0000-0000C2420000}"/>
    <cellStyle name="Normal 2 11 4 6 3 2" xfId="34351" xr:uid="{00000000-0005-0000-0000-0000C3420000}"/>
    <cellStyle name="Normal 2 11 4 6 4" xfId="26910" xr:uid="{00000000-0005-0000-0000-0000C4420000}"/>
    <cellStyle name="Normal 2 11 4 7" xfId="15430" xr:uid="{00000000-0005-0000-0000-0000C5420000}"/>
    <cellStyle name="Normal 2 11 4 7 2" xfId="38073" xr:uid="{00000000-0005-0000-0000-0000C6420000}"/>
    <cellStyle name="Normal 2 11 4 8" xfId="7990" xr:uid="{00000000-0005-0000-0000-0000C7420000}"/>
    <cellStyle name="Normal 2 11 4 8 2" xfId="30633" xr:uid="{00000000-0005-0000-0000-0000C8420000}"/>
    <cellStyle name="Normal 2 11 4 9" xfId="23193" xr:uid="{00000000-0005-0000-0000-0000C9420000}"/>
    <cellStyle name="Normal 2 11 5" xfId="639" xr:uid="{00000000-0005-0000-0000-0000CA420000}"/>
    <cellStyle name="Normal 2 11 5 2" xfId="1105" xr:uid="{00000000-0005-0000-0000-0000CB420000}"/>
    <cellStyle name="Normal 2 11 5 2 2" xfId="2033" xr:uid="{00000000-0005-0000-0000-0000CC420000}"/>
    <cellStyle name="Normal 2 11 5 2 2 2" xfId="3883" xr:uid="{00000000-0005-0000-0000-0000CD420000}"/>
    <cellStyle name="Normal 2 11 5 2 2 2 2" xfId="7604" xr:uid="{00000000-0005-0000-0000-0000CE420000}"/>
    <cellStyle name="Normal 2 11 5 2 2 2 2 2" xfId="22488" xr:uid="{00000000-0005-0000-0000-0000CF420000}"/>
    <cellStyle name="Normal 2 11 5 2 2 2 2 2 2" xfId="45131" xr:uid="{00000000-0005-0000-0000-0000D0420000}"/>
    <cellStyle name="Normal 2 11 5 2 2 2 2 3" xfId="15048" xr:uid="{00000000-0005-0000-0000-0000D1420000}"/>
    <cellStyle name="Normal 2 11 5 2 2 2 2 3 2" xfId="37691" xr:uid="{00000000-0005-0000-0000-0000D2420000}"/>
    <cellStyle name="Normal 2 11 5 2 2 2 2 4" xfId="30250" xr:uid="{00000000-0005-0000-0000-0000D3420000}"/>
    <cellStyle name="Normal 2 11 5 2 2 2 3" xfId="18770" xr:uid="{00000000-0005-0000-0000-0000D4420000}"/>
    <cellStyle name="Normal 2 11 5 2 2 2 3 2" xfId="41413" xr:uid="{00000000-0005-0000-0000-0000D5420000}"/>
    <cellStyle name="Normal 2 11 5 2 2 2 4" xfId="11330" xr:uid="{00000000-0005-0000-0000-0000D6420000}"/>
    <cellStyle name="Normal 2 11 5 2 2 2 4 2" xfId="33973" xr:uid="{00000000-0005-0000-0000-0000D7420000}"/>
    <cellStyle name="Normal 2 11 5 2 2 2 5" xfId="26532" xr:uid="{00000000-0005-0000-0000-0000D8420000}"/>
    <cellStyle name="Normal 2 11 5 2 2 3" xfId="5757" xr:uid="{00000000-0005-0000-0000-0000D9420000}"/>
    <cellStyle name="Normal 2 11 5 2 2 3 2" xfId="20641" xr:uid="{00000000-0005-0000-0000-0000DA420000}"/>
    <cellStyle name="Normal 2 11 5 2 2 3 2 2" xfId="43284" xr:uid="{00000000-0005-0000-0000-0000DB420000}"/>
    <cellStyle name="Normal 2 11 5 2 2 3 3" xfId="13201" xr:uid="{00000000-0005-0000-0000-0000DC420000}"/>
    <cellStyle name="Normal 2 11 5 2 2 3 3 2" xfId="35844" xr:uid="{00000000-0005-0000-0000-0000DD420000}"/>
    <cellStyle name="Normal 2 11 5 2 2 3 4" xfId="28403" xr:uid="{00000000-0005-0000-0000-0000DE420000}"/>
    <cellStyle name="Normal 2 11 5 2 2 4" xfId="16923" xr:uid="{00000000-0005-0000-0000-0000DF420000}"/>
    <cellStyle name="Normal 2 11 5 2 2 4 2" xfId="39566" xr:uid="{00000000-0005-0000-0000-0000E0420000}"/>
    <cellStyle name="Normal 2 11 5 2 2 5" xfId="9483" xr:uid="{00000000-0005-0000-0000-0000E1420000}"/>
    <cellStyle name="Normal 2 11 5 2 2 5 2" xfId="32126" xr:uid="{00000000-0005-0000-0000-0000E2420000}"/>
    <cellStyle name="Normal 2 11 5 2 2 6" xfId="24685" xr:uid="{00000000-0005-0000-0000-0000E3420000}"/>
    <cellStyle name="Normal 2 11 5 2 3" xfId="2958" xr:uid="{00000000-0005-0000-0000-0000E4420000}"/>
    <cellStyle name="Normal 2 11 5 2 3 2" xfId="6679" xr:uid="{00000000-0005-0000-0000-0000E5420000}"/>
    <cellStyle name="Normal 2 11 5 2 3 2 2" xfId="21563" xr:uid="{00000000-0005-0000-0000-0000E6420000}"/>
    <cellStyle name="Normal 2 11 5 2 3 2 2 2" xfId="44206" xr:uid="{00000000-0005-0000-0000-0000E7420000}"/>
    <cellStyle name="Normal 2 11 5 2 3 2 3" xfId="14123" xr:uid="{00000000-0005-0000-0000-0000E8420000}"/>
    <cellStyle name="Normal 2 11 5 2 3 2 3 2" xfId="36766" xr:uid="{00000000-0005-0000-0000-0000E9420000}"/>
    <cellStyle name="Normal 2 11 5 2 3 2 4" xfId="29325" xr:uid="{00000000-0005-0000-0000-0000EA420000}"/>
    <cellStyle name="Normal 2 11 5 2 3 3" xfId="17845" xr:uid="{00000000-0005-0000-0000-0000EB420000}"/>
    <cellStyle name="Normal 2 11 5 2 3 3 2" xfId="40488" xr:uid="{00000000-0005-0000-0000-0000EC420000}"/>
    <cellStyle name="Normal 2 11 5 2 3 4" xfId="10405" xr:uid="{00000000-0005-0000-0000-0000ED420000}"/>
    <cellStyle name="Normal 2 11 5 2 3 4 2" xfId="33048" xr:uid="{00000000-0005-0000-0000-0000EE420000}"/>
    <cellStyle name="Normal 2 11 5 2 3 5" xfId="25607" xr:uid="{00000000-0005-0000-0000-0000EF420000}"/>
    <cellStyle name="Normal 2 11 5 2 4" xfId="4832" xr:uid="{00000000-0005-0000-0000-0000F0420000}"/>
    <cellStyle name="Normal 2 11 5 2 4 2" xfId="19716" xr:uid="{00000000-0005-0000-0000-0000F1420000}"/>
    <cellStyle name="Normal 2 11 5 2 4 2 2" xfId="42359" xr:uid="{00000000-0005-0000-0000-0000F2420000}"/>
    <cellStyle name="Normal 2 11 5 2 4 3" xfId="12276" xr:uid="{00000000-0005-0000-0000-0000F3420000}"/>
    <cellStyle name="Normal 2 11 5 2 4 3 2" xfId="34919" xr:uid="{00000000-0005-0000-0000-0000F4420000}"/>
    <cellStyle name="Normal 2 11 5 2 4 4" xfId="27478" xr:uid="{00000000-0005-0000-0000-0000F5420000}"/>
    <cellStyle name="Normal 2 11 5 2 5" xfId="15998" xr:uid="{00000000-0005-0000-0000-0000F6420000}"/>
    <cellStyle name="Normal 2 11 5 2 5 2" xfId="38641" xr:uid="{00000000-0005-0000-0000-0000F7420000}"/>
    <cellStyle name="Normal 2 11 5 2 6" xfId="8558" xr:uid="{00000000-0005-0000-0000-0000F8420000}"/>
    <cellStyle name="Normal 2 11 5 2 6 2" xfId="31201" xr:uid="{00000000-0005-0000-0000-0000F9420000}"/>
    <cellStyle name="Normal 2 11 5 2 7" xfId="23760" xr:uid="{00000000-0005-0000-0000-0000FA420000}"/>
    <cellStyle name="Normal 2 11 5 3" xfId="1571" xr:uid="{00000000-0005-0000-0000-0000FB420000}"/>
    <cellStyle name="Normal 2 11 5 3 2" xfId="3421" xr:uid="{00000000-0005-0000-0000-0000FC420000}"/>
    <cellStyle name="Normal 2 11 5 3 2 2" xfId="7142" xr:uid="{00000000-0005-0000-0000-0000FD420000}"/>
    <cellStyle name="Normal 2 11 5 3 2 2 2" xfId="22026" xr:uid="{00000000-0005-0000-0000-0000FE420000}"/>
    <cellStyle name="Normal 2 11 5 3 2 2 2 2" xfId="44669" xr:uid="{00000000-0005-0000-0000-0000FF420000}"/>
    <cellStyle name="Normal 2 11 5 3 2 2 3" xfId="14586" xr:uid="{00000000-0005-0000-0000-000000430000}"/>
    <cellStyle name="Normal 2 11 5 3 2 2 3 2" xfId="37229" xr:uid="{00000000-0005-0000-0000-000001430000}"/>
    <cellStyle name="Normal 2 11 5 3 2 2 4" xfId="29788" xr:uid="{00000000-0005-0000-0000-000002430000}"/>
    <cellStyle name="Normal 2 11 5 3 2 3" xfId="18308" xr:uid="{00000000-0005-0000-0000-000003430000}"/>
    <cellStyle name="Normal 2 11 5 3 2 3 2" xfId="40951" xr:uid="{00000000-0005-0000-0000-000004430000}"/>
    <cellStyle name="Normal 2 11 5 3 2 4" xfId="10868" xr:uid="{00000000-0005-0000-0000-000005430000}"/>
    <cellStyle name="Normal 2 11 5 3 2 4 2" xfId="33511" xr:uid="{00000000-0005-0000-0000-000006430000}"/>
    <cellStyle name="Normal 2 11 5 3 2 5" xfId="26070" xr:uid="{00000000-0005-0000-0000-000007430000}"/>
    <cellStyle name="Normal 2 11 5 3 3" xfId="5295" xr:uid="{00000000-0005-0000-0000-000008430000}"/>
    <cellStyle name="Normal 2 11 5 3 3 2" xfId="20179" xr:uid="{00000000-0005-0000-0000-000009430000}"/>
    <cellStyle name="Normal 2 11 5 3 3 2 2" xfId="42822" xr:uid="{00000000-0005-0000-0000-00000A430000}"/>
    <cellStyle name="Normal 2 11 5 3 3 3" xfId="12739" xr:uid="{00000000-0005-0000-0000-00000B430000}"/>
    <cellStyle name="Normal 2 11 5 3 3 3 2" xfId="35382" xr:uid="{00000000-0005-0000-0000-00000C430000}"/>
    <cellStyle name="Normal 2 11 5 3 3 4" xfId="27941" xr:uid="{00000000-0005-0000-0000-00000D430000}"/>
    <cellStyle name="Normal 2 11 5 3 4" xfId="16461" xr:uid="{00000000-0005-0000-0000-00000E430000}"/>
    <cellStyle name="Normal 2 11 5 3 4 2" xfId="39104" xr:uid="{00000000-0005-0000-0000-00000F430000}"/>
    <cellStyle name="Normal 2 11 5 3 5" xfId="9021" xr:uid="{00000000-0005-0000-0000-000010430000}"/>
    <cellStyle name="Normal 2 11 5 3 5 2" xfId="31664" xr:uid="{00000000-0005-0000-0000-000011430000}"/>
    <cellStyle name="Normal 2 11 5 3 6" xfId="24223" xr:uid="{00000000-0005-0000-0000-000012430000}"/>
    <cellStyle name="Normal 2 11 5 4" xfId="2496" xr:uid="{00000000-0005-0000-0000-000013430000}"/>
    <cellStyle name="Normal 2 11 5 4 2" xfId="6217" xr:uid="{00000000-0005-0000-0000-000014430000}"/>
    <cellStyle name="Normal 2 11 5 4 2 2" xfId="21101" xr:uid="{00000000-0005-0000-0000-000015430000}"/>
    <cellStyle name="Normal 2 11 5 4 2 2 2" xfId="43744" xr:uid="{00000000-0005-0000-0000-000016430000}"/>
    <cellStyle name="Normal 2 11 5 4 2 3" xfId="13661" xr:uid="{00000000-0005-0000-0000-000017430000}"/>
    <cellStyle name="Normal 2 11 5 4 2 3 2" xfId="36304" xr:uid="{00000000-0005-0000-0000-000018430000}"/>
    <cellStyle name="Normal 2 11 5 4 2 4" xfId="28863" xr:uid="{00000000-0005-0000-0000-000019430000}"/>
    <cellStyle name="Normal 2 11 5 4 3" xfId="17383" xr:uid="{00000000-0005-0000-0000-00001A430000}"/>
    <cellStyle name="Normal 2 11 5 4 3 2" xfId="40026" xr:uid="{00000000-0005-0000-0000-00001B430000}"/>
    <cellStyle name="Normal 2 11 5 4 4" xfId="9943" xr:uid="{00000000-0005-0000-0000-00001C430000}"/>
    <cellStyle name="Normal 2 11 5 4 4 2" xfId="32586" xr:uid="{00000000-0005-0000-0000-00001D430000}"/>
    <cellStyle name="Normal 2 11 5 4 5" xfId="25145" xr:uid="{00000000-0005-0000-0000-00001E430000}"/>
    <cellStyle name="Normal 2 11 5 5" xfId="4370" xr:uid="{00000000-0005-0000-0000-00001F430000}"/>
    <cellStyle name="Normal 2 11 5 5 2" xfId="19254" xr:uid="{00000000-0005-0000-0000-000020430000}"/>
    <cellStyle name="Normal 2 11 5 5 2 2" xfId="41897" xr:uid="{00000000-0005-0000-0000-000021430000}"/>
    <cellStyle name="Normal 2 11 5 5 3" xfId="11814" xr:uid="{00000000-0005-0000-0000-000022430000}"/>
    <cellStyle name="Normal 2 11 5 5 3 2" xfId="34457" xr:uid="{00000000-0005-0000-0000-000023430000}"/>
    <cellStyle name="Normal 2 11 5 5 4" xfId="27016" xr:uid="{00000000-0005-0000-0000-000024430000}"/>
    <cellStyle name="Normal 2 11 5 6" xfId="15536" xr:uid="{00000000-0005-0000-0000-000025430000}"/>
    <cellStyle name="Normal 2 11 5 6 2" xfId="38179" xr:uid="{00000000-0005-0000-0000-000026430000}"/>
    <cellStyle name="Normal 2 11 5 7" xfId="8096" xr:uid="{00000000-0005-0000-0000-000027430000}"/>
    <cellStyle name="Normal 2 11 5 7 2" xfId="30739" xr:uid="{00000000-0005-0000-0000-000028430000}"/>
    <cellStyle name="Normal 2 11 5 8" xfId="23298" xr:uid="{00000000-0005-0000-0000-000029430000}"/>
    <cellStyle name="Normal 2 11 6" xfId="894" xr:uid="{00000000-0005-0000-0000-00002A430000}"/>
    <cellStyle name="Normal 2 11 6 2" xfId="1822" xr:uid="{00000000-0005-0000-0000-00002B430000}"/>
    <cellStyle name="Normal 2 11 6 2 2" xfId="3672" xr:uid="{00000000-0005-0000-0000-00002C430000}"/>
    <cellStyle name="Normal 2 11 6 2 2 2" xfId="7393" xr:uid="{00000000-0005-0000-0000-00002D430000}"/>
    <cellStyle name="Normal 2 11 6 2 2 2 2" xfId="22277" xr:uid="{00000000-0005-0000-0000-00002E430000}"/>
    <cellStyle name="Normal 2 11 6 2 2 2 2 2" xfId="44920" xr:uid="{00000000-0005-0000-0000-00002F430000}"/>
    <cellStyle name="Normal 2 11 6 2 2 2 3" xfId="14837" xr:uid="{00000000-0005-0000-0000-000030430000}"/>
    <cellStyle name="Normal 2 11 6 2 2 2 3 2" xfId="37480" xr:uid="{00000000-0005-0000-0000-000031430000}"/>
    <cellStyle name="Normal 2 11 6 2 2 2 4" xfId="30039" xr:uid="{00000000-0005-0000-0000-000032430000}"/>
    <cellStyle name="Normal 2 11 6 2 2 3" xfId="18559" xr:uid="{00000000-0005-0000-0000-000033430000}"/>
    <cellStyle name="Normal 2 11 6 2 2 3 2" xfId="41202" xr:uid="{00000000-0005-0000-0000-000034430000}"/>
    <cellStyle name="Normal 2 11 6 2 2 4" xfId="11119" xr:uid="{00000000-0005-0000-0000-000035430000}"/>
    <cellStyle name="Normal 2 11 6 2 2 4 2" xfId="33762" xr:uid="{00000000-0005-0000-0000-000036430000}"/>
    <cellStyle name="Normal 2 11 6 2 2 5" xfId="26321" xr:uid="{00000000-0005-0000-0000-000037430000}"/>
    <cellStyle name="Normal 2 11 6 2 3" xfId="5546" xr:uid="{00000000-0005-0000-0000-000038430000}"/>
    <cellStyle name="Normal 2 11 6 2 3 2" xfId="20430" xr:uid="{00000000-0005-0000-0000-000039430000}"/>
    <cellStyle name="Normal 2 11 6 2 3 2 2" xfId="43073" xr:uid="{00000000-0005-0000-0000-00003A430000}"/>
    <cellStyle name="Normal 2 11 6 2 3 3" xfId="12990" xr:uid="{00000000-0005-0000-0000-00003B430000}"/>
    <cellStyle name="Normal 2 11 6 2 3 3 2" xfId="35633" xr:uid="{00000000-0005-0000-0000-00003C430000}"/>
    <cellStyle name="Normal 2 11 6 2 3 4" xfId="28192" xr:uid="{00000000-0005-0000-0000-00003D430000}"/>
    <cellStyle name="Normal 2 11 6 2 4" xfId="16712" xr:uid="{00000000-0005-0000-0000-00003E430000}"/>
    <cellStyle name="Normal 2 11 6 2 4 2" xfId="39355" xr:uid="{00000000-0005-0000-0000-00003F430000}"/>
    <cellStyle name="Normal 2 11 6 2 5" xfId="9272" xr:uid="{00000000-0005-0000-0000-000040430000}"/>
    <cellStyle name="Normal 2 11 6 2 5 2" xfId="31915" xr:uid="{00000000-0005-0000-0000-000041430000}"/>
    <cellStyle name="Normal 2 11 6 2 6" xfId="24474" xr:uid="{00000000-0005-0000-0000-000042430000}"/>
    <cellStyle name="Normal 2 11 6 3" xfId="2747" xr:uid="{00000000-0005-0000-0000-000043430000}"/>
    <cellStyle name="Normal 2 11 6 3 2" xfId="6468" xr:uid="{00000000-0005-0000-0000-000044430000}"/>
    <cellStyle name="Normal 2 11 6 3 2 2" xfId="21352" xr:uid="{00000000-0005-0000-0000-000045430000}"/>
    <cellStyle name="Normal 2 11 6 3 2 2 2" xfId="43995" xr:uid="{00000000-0005-0000-0000-000046430000}"/>
    <cellStyle name="Normal 2 11 6 3 2 3" xfId="13912" xr:uid="{00000000-0005-0000-0000-000047430000}"/>
    <cellStyle name="Normal 2 11 6 3 2 3 2" xfId="36555" xr:uid="{00000000-0005-0000-0000-000048430000}"/>
    <cellStyle name="Normal 2 11 6 3 2 4" xfId="29114" xr:uid="{00000000-0005-0000-0000-000049430000}"/>
    <cellStyle name="Normal 2 11 6 3 3" xfId="17634" xr:uid="{00000000-0005-0000-0000-00004A430000}"/>
    <cellStyle name="Normal 2 11 6 3 3 2" xfId="40277" xr:uid="{00000000-0005-0000-0000-00004B430000}"/>
    <cellStyle name="Normal 2 11 6 3 4" xfId="10194" xr:uid="{00000000-0005-0000-0000-00004C430000}"/>
    <cellStyle name="Normal 2 11 6 3 4 2" xfId="32837" xr:uid="{00000000-0005-0000-0000-00004D430000}"/>
    <cellStyle name="Normal 2 11 6 3 5" xfId="25396" xr:uid="{00000000-0005-0000-0000-00004E430000}"/>
    <cellStyle name="Normal 2 11 6 4" xfId="4621" xr:uid="{00000000-0005-0000-0000-00004F430000}"/>
    <cellStyle name="Normal 2 11 6 4 2" xfId="19505" xr:uid="{00000000-0005-0000-0000-000050430000}"/>
    <cellStyle name="Normal 2 11 6 4 2 2" xfId="42148" xr:uid="{00000000-0005-0000-0000-000051430000}"/>
    <cellStyle name="Normal 2 11 6 4 3" xfId="12065" xr:uid="{00000000-0005-0000-0000-000052430000}"/>
    <cellStyle name="Normal 2 11 6 4 3 2" xfId="34708" xr:uid="{00000000-0005-0000-0000-000053430000}"/>
    <cellStyle name="Normal 2 11 6 4 4" xfId="27267" xr:uid="{00000000-0005-0000-0000-000054430000}"/>
    <cellStyle name="Normal 2 11 6 5" xfId="15787" xr:uid="{00000000-0005-0000-0000-000055430000}"/>
    <cellStyle name="Normal 2 11 6 5 2" xfId="38430" xr:uid="{00000000-0005-0000-0000-000056430000}"/>
    <cellStyle name="Normal 2 11 6 6" xfId="8347" xr:uid="{00000000-0005-0000-0000-000057430000}"/>
    <cellStyle name="Normal 2 11 6 6 2" xfId="30990" xr:uid="{00000000-0005-0000-0000-000058430000}"/>
    <cellStyle name="Normal 2 11 6 7" xfId="23549" xr:uid="{00000000-0005-0000-0000-000059430000}"/>
    <cellStyle name="Normal 2 11 7" xfId="1360" xr:uid="{00000000-0005-0000-0000-00005A430000}"/>
    <cellStyle name="Normal 2 11 7 2" xfId="3210" xr:uid="{00000000-0005-0000-0000-00005B430000}"/>
    <cellStyle name="Normal 2 11 7 2 2" xfId="6931" xr:uid="{00000000-0005-0000-0000-00005C430000}"/>
    <cellStyle name="Normal 2 11 7 2 2 2" xfId="21815" xr:uid="{00000000-0005-0000-0000-00005D430000}"/>
    <cellStyle name="Normal 2 11 7 2 2 2 2" xfId="44458" xr:uid="{00000000-0005-0000-0000-00005E430000}"/>
    <cellStyle name="Normal 2 11 7 2 2 3" xfId="14375" xr:uid="{00000000-0005-0000-0000-00005F430000}"/>
    <cellStyle name="Normal 2 11 7 2 2 3 2" xfId="37018" xr:uid="{00000000-0005-0000-0000-000060430000}"/>
    <cellStyle name="Normal 2 11 7 2 2 4" xfId="29577" xr:uid="{00000000-0005-0000-0000-000061430000}"/>
    <cellStyle name="Normal 2 11 7 2 3" xfId="18097" xr:uid="{00000000-0005-0000-0000-000062430000}"/>
    <cellStyle name="Normal 2 11 7 2 3 2" xfId="40740" xr:uid="{00000000-0005-0000-0000-000063430000}"/>
    <cellStyle name="Normal 2 11 7 2 4" xfId="10657" xr:uid="{00000000-0005-0000-0000-000064430000}"/>
    <cellStyle name="Normal 2 11 7 2 4 2" xfId="33300" xr:uid="{00000000-0005-0000-0000-000065430000}"/>
    <cellStyle name="Normal 2 11 7 2 5" xfId="25859" xr:uid="{00000000-0005-0000-0000-000066430000}"/>
    <cellStyle name="Normal 2 11 7 3" xfId="5084" xr:uid="{00000000-0005-0000-0000-000067430000}"/>
    <cellStyle name="Normal 2 11 7 3 2" xfId="19968" xr:uid="{00000000-0005-0000-0000-000068430000}"/>
    <cellStyle name="Normal 2 11 7 3 2 2" xfId="42611" xr:uid="{00000000-0005-0000-0000-000069430000}"/>
    <cellStyle name="Normal 2 11 7 3 3" xfId="12528" xr:uid="{00000000-0005-0000-0000-00006A430000}"/>
    <cellStyle name="Normal 2 11 7 3 3 2" xfId="35171" xr:uid="{00000000-0005-0000-0000-00006B430000}"/>
    <cellStyle name="Normal 2 11 7 3 4" xfId="27730" xr:uid="{00000000-0005-0000-0000-00006C430000}"/>
    <cellStyle name="Normal 2 11 7 4" xfId="16250" xr:uid="{00000000-0005-0000-0000-00006D430000}"/>
    <cellStyle name="Normal 2 11 7 4 2" xfId="38893" xr:uid="{00000000-0005-0000-0000-00006E430000}"/>
    <cellStyle name="Normal 2 11 7 5" xfId="8810" xr:uid="{00000000-0005-0000-0000-00006F430000}"/>
    <cellStyle name="Normal 2 11 7 5 2" xfId="31453" xr:uid="{00000000-0005-0000-0000-000070430000}"/>
    <cellStyle name="Normal 2 11 7 6" xfId="24012" xr:uid="{00000000-0005-0000-0000-000071430000}"/>
    <cellStyle name="Normal 2 11 8" xfId="2285" xr:uid="{00000000-0005-0000-0000-000072430000}"/>
    <cellStyle name="Normal 2 11 8 2" xfId="6006" xr:uid="{00000000-0005-0000-0000-000073430000}"/>
    <cellStyle name="Normal 2 11 8 2 2" xfId="20890" xr:uid="{00000000-0005-0000-0000-000074430000}"/>
    <cellStyle name="Normal 2 11 8 2 2 2" xfId="43533" xr:uid="{00000000-0005-0000-0000-000075430000}"/>
    <cellStyle name="Normal 2 11 8 2 3" xfId="13450" xr:uid="{00000000-0005-0000-0000-000076430000}"/>
    <cellStyle name="Normal 2 11 8 2 3 2" xfId="36093" xr:uid="{00000000-0005-0000-0000-000077430000}"/>
    <cellStyle name="Normal 2 11 8 2 4" xfId="28652" xr:uid="{00000000-0005-0000-0000-000078430000}"/>
    <cellStyle name="Normal 2 11 8 3" xfId="17172" xr:uid="{00000000-0005-0000-0000-000079430000}"/>
    <cellStyle name="Normal 2 11 8 3 2" xfId="39815" xr:uid="{00000000-0005-0000-0000-00007A430000}"/>
    <cellStyle name="Normal 2 11 8 4" xfId="9732" xr:uid="{00000000-0005-0000-0000-00007B430000}"/>
    <cellStyle name="Normal 2 11 8 4 2" xfId="32375" xr:uid="{00000000-0005-0000-0000-00007C430000}"/>
    <cellStyle name="Normal 2 11 8 5" xfId="24934" xr:uid="{00000000-0005-0000-0000-00007D430000}"/>
    <cellStyle name="Normal 2 11 9" xfId="4159" xr:uid="{00000000-0005-0000-0000-00007E430000}"/>
    <cellStyle name="Normal 2 11 9 2" xfId="19043" xr:uid="{00000000-0005-0000-0000-00007F430000}"/>
    <cellStyle name="Normal 2 11 9 2 2" xfId="41686" xr:uid="{00000000-0005-0000-0000-000080430000}"/>
    <cellStyle name="Normal 2 11 9 3" xfId="11603" xr:uid="{00000000-0005-0000-0000-000081430000}"/>
    <cellStyle name="Normal 2 11 9 3 2" xfId="34246" xr:uid="{00000000-0005-0000-0000-000082430000}"/>
    <cellStyle name="Normal 2 11 9 4" xfId="26805" xr:uid="{00000000-0005-0000-0000-000083430000}"/>
    <cellStyle name="Normal 2 12" xfId="419" xr:uid="{00000000-0005-0000-0000-000084430000}"/>
    <cellStyle name="Normal 2 12 10" xfId="15326" xr:uid="{00000000-0005-0000-0000-000085430000}"/>
    <cellStyle name="Normal 2 12 10 2" xfId="37969" xr:uid="{00000000-0005-0000-0000-000086430000}"/>
    <cellStyle name="Normal 2 12 11" xfId="7886" xr:uid="{00000000-0005-0000-0000-000087430000}"/>
    <cellStyle name="Normal 2 12 11 2" xfId="30529" xr:uid="{00000000-0005-0000-0000-000088430000}"/>
    <cellStyle name="Normal 2 12 12" xfId="23089" xr:uid="{00000000-0005-0000-0000-000089430000}"/>
    <cellStyle name="Normal 2 12 2" xfId="447" xr:uid="{00000000-0005-0000-0000-00008A430000}"/>
    <cellStyle name="Normal 2 12 2 10" xfId="7906" xr:uid="{00000000-0005-0000-0000-00008B430000}"/>
    <cellStyle name="Normal 2 12 2 10 2" xfId="30549" xr:uid="{00000000-0005-0000-0000-00008C430000}"/>
    <cellStyle name="Normal 2 12 2 11" xfId="23109" xr:uid="{00000000-0005-0000-0000-00008D430000}"/>
    <cellStyle name="Normal 2 12 2 2" xfId="500" xr:uid="{00000000-0005-0000-0000-00008E430000}"/>
    <cellStyle name="Normal 2 12 2 2 10" xfId="23161" xr:uid="{00000000-0005-0000-0000-00008F430000}"/>
    <cellStyle name="Normal 2 12 2 2 2" xfId="606" xr:uid="{00000000-0005-0000-0000-000090430000}"/>
    <cellStyle name="Normal 2 12 2 2 2 2" xfId="818" xr:uid="{00000000-0005-0000-0000-000091430000}"/>
    <cellStyle name="Normal 2 12 2 2 2 2 2" xfId="1283" xr:uid="{00000000-0005-0000-0000-000092430000}"/>
    <cellStyle name="Normal 2 12 2 2 2 2 2 2" xfId="2211" xr:uid="{00000000-0005-0000-0000-000093430000}"/>
    <cellStyle name="Normal 2 12 2 2 2 2 2 2 2" xfId="4061" xr:uid="{00000000-0005-0000-0000-000094430000}"/>
    <cellStyle name="Normal 2 12 2 2 2 2 2 2 2 2" xfId="7782" xr:uid="{00000000-0005-0000-0000-000095430000}"/>
    <cellStyle name="Normal 2 12 2 2 2 2 2 2 2 2 2" xfId="22666" xr:uid="{00000000-0005-0000-0000-000096430000}"/>
    <cellStyle name="Normal 2 12 2 2 2 2 2 2 2 2 2 2" xfId="45309" xr:uid="{00000000-0005-0000-0000-000097430000}"/>
    <cellStyle name="Normal 2 12 2 2 2 2 2 2 2 2 3" xfId="15226" xr:uid="{00000000-0005-0000-0000-000098430000}"/>
    <cellStyle name="Normal 2 12 2 2 2 2 2 2 2 2 3 2" xfId="37869" xr:uid="{00000000-0005-0000-0000-000099430000}"/>
    <cellStyle name="Normal 2 12 2 2 2 2 2 2 2 2 4" xfId="30428" xr:uid="{00000000-0005-0000-0000-00009A430000}"/>
    <cellStyle name="Normal 2 12 2 2 2 2 2 2 2 3" xfId="18948" xr:uid="{00000000-0005-0000-0000-00009B430000}"/>
    <cellStyle name="Normal 2 12 2 2 2 2 2 2 2 3 2" xfId="41591" xr:uid="{00000000-0005-0000-0000-00009C430000}"/>
    <cellStyle name="Normal 2 12 2 2 2 2 2 2 2 4" xfId="11508" xr:uid="{00000000-0005-0000-0000-00009D430000}"/>
    <cellStyle name="Normal 2 12 2 2 2 2 2 2 2 4 2" xfId="34151" xr:uid="{00000000-0005-0000-0000-00009E430000}"/>
    <cellStyle name="Normal 2 12 2 2 2 2 2 2 2 5" xfId="26710" xr:uid="{00000000-0005-0000-0000-00009F430000}"/>
    <cellStyle name="Normal 2 12 2 2 2 2 2 2 3" xfId="5935" xr:uid="{00000000-0005-0000-0000-0000A0430000}"/>
    <cellStyle name="Normal 2 12 2 2 2 2 2 2 3 2" xfId="20819" xr:uid="{00000000-0005-0000-0000-0000A1430000}"/>
    <cellStyle name="Normal 2 12 2 2 2 2 2 2 3 2 2" xfId="43462" xr:uid="{00000000-0005-0000-0000-0000A2430000}"/>
    <cellStyle name="Normal 2 12 2 2 2 2 2 2 3 3" xfId="13379" xr:uid="{00000000-0005-0000-0000-0000A3430000}"/>
    <cellStyle name="Normal 2 12 2 2 2 2 2 2 3 3 2" xfId="36022" xr:uid="{00000000-0005-0000-0000-0000A4430000}"/>
    <cellStyle name="Normal 2 12 2 2 2 2 2 2 3 4" xfId="28581" xr:uid="{00000000-0005-0000-0000-0000A5430000}"/>
    <cellStyle name="Normal 2 12 2 2 2 2 2 2 4" xfId="17101" xr:uid="{00000000-0005-0000-0000-0000A6430000}"/>
    <cellStyle name="Normal 2 12 2 2 2 2 2 2 4 2" xfId="39744" xr:uid="{00000000-0005-0000-0000-0000A7430000}"/>
    <cellStyle name="Normal 2 12 2 2 2 2 2 2 5" xfId="9661" xr:uid="{00000000-0005-0000-0000-0000A8430000}"/>
    <cellStyle name="Normal 2 12 2 2 2 2 2 2 5 2" xfId="32304" xr:uid="{00000000-0005-0000-0000-0000A9430000}"/>
    <cellStyle name="Normal 2 12 2 2 2 2 2 2 6" xfId="24863" xr:uid="{00000000-0005-0000-0000-0000AA430000}"/>
    <cellStyle name="Normal 2 12 2 2 2 2 2 3" xfId="3136" xr:uid="{00000000-0005-0000-0000-0000AB430000}"/>
    <cellStyle name="Normal 2 12 2 2 2 2 2 3 2" xfId="6857" xr:uid="{00000000-0005-0000-0000-0000AC430000}"/>
    <cellStyle name="Normal 2 12 2 2 2 2 2 3 2 2" xfId="21741" xr:uid="{00000000-0005-0000-0000-0000AD430000}"/>
    <cellStyle name="Normal 2 12 2 2 2 2 2 3 2 2 2" xfId="44384" xr:uid="{00000000-0005-0000-0000-0000AE430000}"/>
    <cellStyle name="Normal 2 12 2 2 2 2 2 3 2 3" xfId="14301" xr:uid="{00000000-0005-0000-0000-0000AF430000}"/>
    <cellStyle name="Normal 2 12 2 2 2 2 2 3 2 3 2" xfId="36944" xr:uid="{00000000-0005-0000-0000-0000B0430000}"/>
    <cellStyle name="Normal 2 12 2 2 2 2 2 3 2 4" xfId="29503" xr:uid="{00000000-0005-0000-0000-0000B1430000}"/>
    <cellStyle name="Normal 2 12 2 2 2 2 2 3 3" xfId="18023" xr:uid="{00000000-0005-0000-0000-0000B2430000}"/>
    <cellStyle name="Normal 2 12 2 2 2 2 2 3 3 2" xfId="40666" xr:uid="{00000000-0005-0000-0000-0000B3430000}"/>
    <cellStyle name="Normal 2 12 2 2 2 2 2 3 4" xfId="10583" xr:uid="{00000000-0005-0000-0000-0000B4430000}"/>
    <cellStyle name="Normal 2 12 2 2 2 2 2 3 4 2" xfId="33226" xr:uid="{00000000-0005-0000-0000-0000B5430000}"/>
    <cellStyle name="Normal 2 12 2 2 2 2 2 3 5" xfId="25785" xr:uid="{00000000-0005-0000-0000-0000B6430000}"/>
    <cellStyle name="Normal 2 12 2 2 2 2 2 4" xfId="5010" xr:uid="{00000000-0005-0000-0000-0000B7430000}"/>
    <cellStyle name="Normal 2 12 2 2 2 2 2 4 2" xfId="19894" xr:uid="{00000000-0005-0000-0000-0000B8430000}"/>
    <cellStyle name="Normal 2 12 2 2 2 2 2 4 2 2" xfId="42537" xr:uid="{00000000-0005-0000-0000-0000B9430000}"/>
    <cellStyle name="Normal 2 12 2 2 2 2 2 4 3" xfId="12454" xr:uid="{00000000-0005-0000-0000-0000BA430000}"/>
    <cellStyle name="Normal 2 12 2 2 2 2 2 4 3 2" xfId="35097" xr:uid="{00000000-0005-0000-0000-0000BB430000}"/>
    <cellStyle name="Normal 2 12 2 2 2 2 2 4 4" xfId="27656" xr:uid="{00000000-0005-0000-0000-0000BC430000}"/>
    <cellStyle name="Normal 2 12 2 2 2 2 2 5" xfId="16176" xr:uid="{00000000-0005-0000-0000-0000BD430000}"/>
    <cellStyle name="Normal 2 12 2 2 2 2 2 5 2" xfId="38819" xr:uid="{00000000-0005-0000-0000-0000BE430000}"/>
    <cellStyle name="Normal 2 12 2 2 2 2 2 6" xfId="8736" xr:uid="{00000000-0005-0000-0000-0000BF430000}"/>
    <cellStyle name="Normal 2 12 2 2 2 2 2 6 2" xfId="31379" xr:uid="{00000000-0005-0000-0000-0000C0430000}"/>
    <cellStyle name="Normal 2 12 2 2 2 2 2 7" xfId="23938" xr:uid="{00000000-0005-0000-0000-0000C1430000}"/>
    <cellStyle name="Normal 2 12 2 2 2 2 3" xfId="1749" xr:uid="{00000000-0005-0000-0000-0000C2430000}"/>
    <cellStyle name="Normal 2 12 2 2 2 2 3 2" xfId="3599" xr:uid="{00000000-0005-0000-0000-0000C3430000}"/>
    <cellStyle name="Normal 2 12 2 2 2 2 3 2 2" xfId="7320" xr:uid="{00000000-0005-0000-0000-0000C4430000}"/>
    <cellStyle name="Normal 2 12 2 2 2 2 3 2 2 2" xfId="22204" xr:uid="{00000000-0005-0000-0000-0000C5430000}"/>
    <cellStyle name="Normal 2 12 2 2 2 2 3 2 2 2 2" xfId="44847" xr:uid="{00000000-0005-0000-0000-0000C6430000}"/>
    <cellStyle name="Normal 2 12 2 2 2 2 3 2 2 3" xfId="14764" xr:uid="{00000000-0005-0000-0000-0000C7430000}"/>
    <cellStyle name="Normal 2 12 2 2 2 2 3 2 2 3 2" xfId="37407" xr:uid="{00000000-0005-0000-0000-0000C8430000}"/>
    <cellStyle name="Normal 2 12 2 2 2 2 3 2 2 4" xfId="29966" xr:uid="{00000000-0005-0000-0000-0000C9430000}"/>
    <cellStyle name="Normal 2 12 2 2 2 2 3 2 3" xfId="18486" xr:uid="{00000000-0005-0000-0000-0000CA430000}"/>
    <cellStyle name="Normal 2 12 2 2 2 2 3 2 3 2" xfId="41129" xr:uid="{00000000-0005-0000-0000-0000CB430000}"/>
    <cellStyle name="Normal 2 12 2 2 2 2 3 2 4" xfId="11046" xr:uid="{00000000-0005-0000-0000-0000CC430000}"/>
    <cellStyle name="Normal 2 12 2 2 2 2 3 2 4 2" xfId="33689" xr:uid="{00000000-0005-0000-0000-0000CD430000}"/>
    <cellStyle name="Normal 2 12 2 2 2 2 3 2 5" xfId="26248" xr:uid="{00000000-0005-0000-0000-0000CE430000}"/>
    <cellStyle name="Normal 2 12 2 2 2 2 3 3" xfId="5473" xr:uid="{00000000-0005-0000-0000-0000CF430000}"/>
    <cellStyle name="Normal 2 12 2 2 2 2 3 3 2" xfId="20357" xr:uid="{00000000-0005-0000-0000-0000D0430000}"/>
    <cellStyle name="Normal 2 12 2 2 2 2 3 3 2 2" xfId="43000" xr:uid="{00000000-0005-0000-0000-0000D1430000}"/>
    <cellStyle name="Normal 2 12 2 2 2 2 3 3 3" xfId="12917" xr:uid="{00000000-0005-0000-0000-0000D2430000}"/>
    <cellStyle name="Normal 2 12 2 2 2 2 3 3 3 2" xfId="35560" xr:uid="{00000000-0005-0000-0000-0000D3430000}"/>
    <cellStyle name="Normal 2 12 2 2 2 2 3 3 4" xfId="28119" xr:uid="{00000000-0005-0000-0000-0000D4430000}"/>
    <cellStyle name="Normal 2 12 2 2 2 2 3 4" xfId="16639" xr:uid="{00000000-0005-0000-0000-0000D5430000}"/>
    <cellStyle name="Normal 2 12 2 2 2 2 3 4 2" xfId="39282" xr:uid="{00000000-0005-0000-0000-0000D6430000}"/>
    <cellStyle name="Normal 2 12 2 2 2 2 3 5" xfId="9199" xr:uid="{00000000-0005-0000-0000-0000D7430000}"/>
    <cellStyle name="Normal 2 12 2 2 2 2 3 5 2" xfId="31842" xr:uid="{00000000-0005-0000-0000-0000D8430000}"/>
    <cellStyle name="Normal 2 12 2 2 2 2 3 6" xfId="24401" xr:uid="{00000000-0005-0000-0000-0000D9430000}"/>
    <cellStyle name="Normal 2 12 2 2 2 2 4" xfId="2674" xr:uid="{00000000-0005-0000-0000-0000DA430000}"/>
    <cellStyle name="Normal 2 12 2 2 2 2 4 2" xfId="6395" xr:uid="{00000000-0005-0000-0000-0000DB430000}"/>
    <cellStyle name="Normal 2 12 2 2 2 2 4 2 2" xfId="21279" xr:uid="{00000000-0005-0000-0000-0000DC430000}"/>
    <cellStyle name="Normal 2 12 2 2 2 2 4 2 2 2" xfId="43922" xr:uid="{00000000-0005-0000-0000-0000DD430000}"/>
    <cellStyle name="Normal 2 12 2 2 2 2 4 2 3" xfId="13839" xr:uid="{00000000-0005-0000-0000-0000DE430000}"/>
    <cellStyle name="Normal 2 12 2 2 2 2 4 2 3 2" xfId="36482" xr:uid="{00000000-0005-0000-0000-0000DF430000}"/>
    <cellStyle name="Normal 2 12 2 2 2 2 4 2 4" xfId="29041" xr:uid="{00000000-0005-0000-0000-0000E0430000}"/>
    <cellStyle name="Normal 2 12 2 2 2 2 4 3" xfId="17561" xr:uid="{00000000-0005-0000-0000-0000E1430000}"/>
    <cellStyle name="Normal 2 12 2 2 2 2 4 3 2" xfId="40204" xr:uid="{00000000-0005-0000-0000-0000E2430000}"/>
    <cellStyle name="Normal 2 12 2 2 2 2 4 4" xfId="10121" xr:uid="{00000000-0005-0000-0000-0000E3430000}"/>
    <cellStyle name="Normal 2 12 2 2 2 2 4 4 2" xfId="32764" xr:uid="{00000000-0005-0000-0000-0000E4430000}"/>
    <cellStyle name="Normal 2 12 2 2 2 2 4 5" xfId="25323" xr:uid="{00000000-0005-0000-0000-0000E5430000}"/>
    <cellStyle name="Normal 2 12 2 2 2 2 5" xfId="4548" xr:uid="{00000000-0005-0000-0000-0000E6430000}"/>
    <cellStyle name="Normal 2 12 2 2 2 2 5 2" xfId="19432" xr:uid="{00000000-0005-0000-0000-0000E7430000}"/>
    <cellStyle name="Normal 2 12 2 2 2 2 5 2 2" xfId="42075" xr:uid="{00000000-0005-0000-0000-0000E8430000}"/>
    <cellStyle name="Normal 2 12 2 2 2 2 5 3" xfId="11992" xr:uid="{00000000-0005-0000-0000-0000E9430000}"/>
    <cellStyle name="Normal 2 12 2 2 2 2 5 3 2" xfId="34635" xr:uid="{00000000-0005-0000-0000-0000EA430000}"/>
    <cellStyle name="Normal 2 12 2 2 2 2 5 4" xfId="27194" xr:uid="{00000000-0005-0000-0000-0000EB430000}"/>
    <cellStyle name="Normal 2 12 2 2 2 2 6" xfId="15714" xr:uid="{00000000-0005-0000-0000-0000EC430000}"/>
    <cellStyle name="Normal 2 12 2 2 2 2 6 2" xfId="38357" xr:uid="{00000000-0005-0000-0000-0000ED430000}"/>
    <cellStyle name="Normal 2 12 2 2 2 2 7" xfId="8274" xr:uid="{00000000-0005-0000-0000-0000EE430000}"/>
    <cellStyle name="Normal 2 12 2 2 2 2 7 2" xfId="30917" xr:uid="{00000000-0005-0000-0000-0000EF430000}"/>
    <cellStyle name="Normal 2 12 2 2 2 2 8" xfId="23476" xr:uid="{00000000-0005-0000-0000-0000F0430000}"/>
    <cellStyle name="Normal 2 12 2 2 2 3" xfId="1072" xr:uid="{00000000-0005-0000-0000-0000F1430000}"/>
    <cellStyle name="Normal 2 12 2 2 2 3 2" xfId="2000" xr:uid="{00000000-0005-0000-0000-0000F2430000}"/>
    <cellStyle name="Normal 2 12 2 2 2 3 2 2" xfId="3850" xr:uid="{00000000-0005-0000-0000-0000F3430000}"/>
    <cellStyle name="Normal 2 12 2 2 2 3 2 2 2" xfId="7571" xr:uid="{00000000-0005-0000-0000-0000F4430000}"/>
    <cellStyle name="Normal 2 12 2 2 2 3 2 2 2 2" xfId="22455" xr:uid="{00000000-0005-0000-0000-0000F5430000}"/>
    <cellStyle name="Normal 2 12 2 2 2 3 2 2 2 2 2" xfId="45098" xr:uid="{00000000-0005-0000-0000-0000F6430000}"/>
    <cellStyle name="Normal 2 12 2 2 2 3 2 2 2 3" xfId="15015" xr:uid="{00000000-0005-0000-0000-0000F7430000}"/>
    <cellStyle name="Normal 2 12 2 2 2 3 2 2 2 3 2" xfId="37658" xr:uid="{00000000-0005-0000-0000-0000F8430000}"/>
    <cellStyle name="Normal 2 12 2 2 2 3 2 2 2 4" xfId="30217" xr:uid="{00000000-0005-0000-0000-0000F9430000}"/>
    <cellStyle name="Normal 2 12 2 2 2 3 2 2 3" xfId="18737" xr:uid="{00000000-0005-0000-0000-0000FA430000}"/>
    <cellStyle name="Normal 2 12 2 2 2 3 2 2 3 2" xfId="41380" xr:uid="{00000000-0005-0000-0000-0000FB430000}"/>
    <cellStyle name="Normal 2 12 2 2 2 3 2 2 4" xfId="11297" xr:uid="{00000000-0005-0000-0000-0000FC430000}"/>
    <cellStyle name="Normal 2 12 2 2 2 3 2 2 4 2" xfId="33940" xr:uid="{00000000-0005-0000-0000-0000FD430000}"/>
    <cellStyle name="Normal 2 12 2 2 2 3 2 2 5" xfId="26499" xr:uid="{00000000-0005-0000-0000-0000FE430000}"/>
    <cellStyle name="Normal 2 12 2 2 2 3 2 3" xfId="5724" xr:uid="{00000000-0005-0000-0000-0000FF430000}"/>
    <cellStyle name="Normal 2 12 2 2 2 3 2 3 2" xfId="20608" xr:uid="{00000000-0005-0000-0000-000000440000}"/>
    <cellStyle name="Normal 2 12 2 2 2 3 2 3 2 2" xfId="43251" xr:uid="{00000000-0005-0000-0000-000001440000}"/>
    <cellStyle name="Normal 2 12 2 2 2 3 2 3 3" xfId="13168" xr:uid="{00000000-0005-0000-0000-000002440000}"/>
    <cellStyle name="Normal 2 12 2 2 2 3 2 3 3 2" xfId="35811" xr:uid="{00000000-0005-0000-0000-000003440000}"/>
    <cellStyle name="Normal 2 12 2 2 2 3 2 3 4" xfId="28370" xr:uid="{00000000-0005-0000-0000-000004440000}"/>
    <cellStyle name="Normal 2 12 2 2 2 3 2 4" xfId="16890" xr:uid="{00000000-0005-0000-0000-000005440000}"/>
    <cellStyle name="Normal 2 12 2 2 2 3 2 4 2" xfId="39533" xr:uid="{00000000-0005-0000-0000-000006440000}"/>
    <cellStyle name="Normal 2 12 2 2 2 3 2 5" xfId="9450" xr:uid="{00000000-0005-0000-0000-000007440000}"/>
    <cellStyle name="Normal 2 12 2 2 2 3 2 5 2" xfId="32093" xr:uid="{00000000-0005-0000-0000-000008440000}"/>
    <cellStyle name="Normal 2 12 2 2 2 3 2 6" xfId="24652" xr:uid="{00000000-0005-0000-0000-000009440000}"/>
    <cellStyle name="Normal 2 12 2 2 2 3 3" xfId="2925" xr:uid="{00000000-0005-0000-0000-00000A440000}"/>
    <cellStyle name="Normal 2 12 2 2 2 3 3 2" xfId="6646" xr:uid="{00000000-0005-0000-0000-00000B440000}"/>
    <cellStyle name="Normal 2 12 2 2 2 3 3 2 2" xfId="21530" xr:uid="{00000000-0005-0000-0000-00000C440000}"/>
    <cellStyle name="Normal 2 12 2 2 2 3 3 2 2 2" xfId="44173" xr:uid="{00000000-0005-0000-0000-00000D440000}"/>
    <cellStyle name="Normal 2 12 2 2 2 3 3 2 3" xfId="14090" xr:uid="{00000000-0005-0000-0000-00000E440000}"/>
    <cellStyle name="Normal 2 12 2 2 2 3 3 2 3 2" xfId="36733" xr:uid="{00000000-0005-0000-0000-00000F440000}"/>
    <cellStyle name="Normal 2 12 2 2 2 3 3 2 4" xfId="29292" xr:uid="{00000000-0005-0000-0000-000010440000}"/>
    <cellStyle name="Normal 2 12 2 2 2 3 3 3" xfId="17812" xr:uid="{00000000-0005-0000-0000-000011440000}"/>
    <cellStyle name="Normal 2 12 2 2 2 3 3 3 2" xfId="40455" xr:uid="{00000000-0005-0000-0000-000012440000}"/>
    <cellStyle name="Normal 2 12 2 2 2 3 3 4" xfId="10372" xr:uid="{00000000-0005-0000-0000-000013440000}"/>
    <cellStyle name="Normal 2 12 2 2 2 3 3 4 2" xfId="33015" xr:uid="{00000000-0005-0000-0000-000014440000}"/>
    <cellStyle name="Normal 2 12 2 2 2 3 3 5" xfId="25574" xr:uid="{00000000-0005-0000-0000-000015440000}"/>
    <cellStyle name="Normal 2 12 2 2 2 3 4" xfId="4799" xr:uid="{00000000-0005-0000-0000-000016440000}"/>
    <cellStyle name="Normal 2 12 2 2 2 3 4 2" xfId="19683" xr:uid="{00000000-0005-0000-0000-000017440000}"/>
    <cellStyle name="Normal 2 12 2 2 2 3 4 2 2" xfId="42326" xr:uid="{00000000-0005-0000-0000-000018440000}"/>
    <cellStyle name="Normal 2 12 2 2 2 3 4 3" xfId="12243" xr:uid="{00000000-0005-0000-0000-000019440000}"/>
    <cellStyle name="Normal 2 12 2 2 2 3 4 3 2" xfId="34886" xr:uid="{00000000-0005-0000-0000-00001A440000}"/>
    <cellStyle name="Normal 2 12 2 2 2 3 4 4" xfId="27445" xr:uid="{00000000-0005-0000-0000-00001B440000}"/>
    <cellStyle name="Normal 2 12 2 2 2 3 5" xfId="15965" xr:uid="{00000000-0005-0000-0000-00001C440000}"/>
    <cellStyle name="Normal 2 12 2 2 2 3 5 2" xfId="38608" xr:uid="{00000000-0005-0000-0000-00001D440000}"/>
    <cellStyle name="Normal 2 12 2 2 2 3 6" xfId="8525" xr:uid="{00000000-0005-0000-0000-00001E440000}"/>
    <cellStyle name="Normal 2 12 2 2 2 3 6 2" xfId="31168" xr:uid="{00000000-0005-0000-0000-00001F440000}"/>
    <cellStyle name="Normal 2 12 2 2 2 3 7" xfId="23727" xr:uid="{00000000-0005-0000-0000-000020440000}"/>
    <cellStyle name="Normal 2 12 2 2 2 4" xfId="1538" xr:uid="{00000000-0005-0000-0000-000021440000}"/>
    <cellStyle name="Normal 2 12 2 2 2 4 2" xfId="3388" xr:uid="{00000000-0005-0000-0000-000022440000}"/>
    <cellStyle name="Normal 2 12 2 2 2 4 2 2" xfId="7109" xr:uid="{00000000-0005-0000-0000-000023440000}"/>
    <cellStyle name="Normal 2 12 2 2 2 4 2 2 2" xfId="21993" xr:uid="{00000000-0005-0000-0000-000024440000}"/>
    <cellStyle name="Normal 2 12 2 2 2 4 2 2 2 2" xfId="44636" xr:uid="{00000000-0005-0000-0000-000025440000}"/>
    <cellStyle name="Normal 2 12 2 2 2 4 2 2 3" xfId="14553" xr:uid="{00000000-0005-0000-0000-000026440000}"/>
    <cellStyle name="Normal 2 12 2 2 2 4 2 2 3 2" xfId="37196" xr:uid="{00000000-0005-0000-0000-000027440000}"/>
    <cellStyle name="Normal 2 12 2 2 2 4 2 2 4" xfId="29755" xr:uid="{00000000-0005-0000-0000-000028440000}"/>
    <cellStyle name="Normal 2 12 2 2 2 4 2 3" xfId="18275" xr:uid="{00000000-0005-0000-0000-000029440000}"/>
    <cellStyle name="Normal 2 12 2 2 2 4 2 3 2" xfId="40918" xr:uid="{00000000-0005-0000-0000-00002A440000}"/>
    <cellStyle name="Normal 2 12 2 2 2 4 2 4" xfId="10835" xr:uid="{00000000-0005-0000-0000-00002B440000}"/>
    <cellStyle name="Normal 2 12 2 2 2 4 2 4 2" xfId="33478" xr:uid="{00000000-0005-0000-0000-00002C440000}"/>
    <cellStyle name="Normal 2 12 2 2 2 4 2 5" xfId="26037" xr:uid="{00000000-0005-0000-0000-00002D440000}"/>
    <cellStyle name="Normal 2 12 2 2 2 4 3" xfId="5262" xr:uid="{00000000-0005-0000-0000-00002E440000}"/>
    <cellStyle name="Normal 2 12 2 2 2 4 3 2" xfId="20146" xr:uid="{00000000-0005-0000-0000-00002F440000}"/>
    <cellStyle name="Normal 2 12 2 2 2 4 3 2 2" xfId="42789" xr:uid="{00000000-0005-0000-0000-000030440000}"/>
    <cellStyle name="Normal 2 12 2 2 2 4 3 3" xfId="12706" xr:uid="{00000000-0005-0000-0000-000031440000}"/>
    <cellStyle name="Normal 2 12 2 2 2 4 3 3 2" xfId="35349" xr:uid="{00000000-0005-0000-0000-000032440000}"/>
    <cellStyle name="Normal 2 12 2 2 2 4 3 4" xfId="27908" xr:uid="{00000000-0005-0000-0000-000033440000}"/>
    <cellStyle name="Normal 2 12 2 2 2 4 4" xfId="16428" xr:uid="{00000000-0005-0000-0000-000034440000}"/>
    <cellStyle name="Normal 2 12 2 2 2 4 4 2" xfId="39071" xr:uid="{00000000-0005-0000-0000-000035440000}"/>
    <cellStyle name="Normal 2 12 2 2 2 4 5" xfId="8988" xr:uid="{00000000-0005-0000-0000-000036440000}"/>
    <cellStyle name="Normal 2 12 2 2 2 4 5 2" xfId="31631" xr:uid="{00000000-0005-0000-0000-000037440000}"/>
    <cellStyle name="Normal 2 12 2 2 2 4 6" xfId="24190" xr:uid="{00000000-0005-0000-0000-000038440000}"/>
    <cellStyle name="Normal 2 12 2 2 2 5" xfId="2463" xr:uid="{00000000-0005-0000-0000-000039440000}"/>
    <cellStyle name="Normal 2 12 2 2 2 5 2" xfId="6184" xr:uid="{00000000-0005-0000-0000-00003A440000}"/>
    <cellStyle name="Normal 2 12 2 2 2 5 2 2" xfId="21068" xr:uid="{00000000-0005-0000-0000-00003B440000}"/>
    <cellStyle name="Normal 2 12 2 2 2 5 2 2 2" xfId="43711" xr:uid="{00000000-0005-0000-0000-00003C440000}"/>
    <cellStyle name="Normal 2 12 2 2 2 5 2 3" xfId="13628" xr:uid="{00000000-0005-0000-0000-00003D440000}"/>
    <cellStyle name="Normal 2 12 2 2 2 5 2 3 2" xfId="36271" xr:uid="{00000000-0005-0000-0000-00003E440000}"/>
    <cellStyle name="Normal 2 12 2 2 2 5 2 4" xfId="28830" xr:uid="{00000000-0005-0000-0000-00003F440000}"/>
    <cellStyle name="Normal 2 12 2 2 2 5 3" xfId="17350" xr:uid="{00000000-0005-0000-0000-000040440000}"/>
    <cellStyle name="Normal 2 12 2 2 2 5 3 2" xfId="39993" xr:uid="{00000000-0005-0000-0000-000041440000}"/>
    <cellStyle name="Normal 2 12 2 2 2 5 4" xfId="9910" xr:uid="{00000000-0005-0000-0000-000042440000}"/>
    <cellStyle name="Normal 2 12 2 2 2 5 4 2" xfId="32553" xr:uid="{00000000-0005-0000-0000-000043440000}"/>
    <cellStyle name="Normal 2 12 2 2 2 5 5" xfId="25112" xr:uid="{00000000-0005-0000-0000-000044440000}"/>
    <cellStyle name="Normal 2 12 2 2 2 6" xfId="4337" xr:uid="{00000000-0005-0000-0000-000045440000}"/>
    <cellStyle name="Normal 2 12 2 2 2 6 2" xfId="19221" xr:uid="{00000000-0005-0000-0000-000046440000}"/>
    <cellStyle name="Normal 2 12 2 2 2 6 2 2" xfId="41864" xr:uid="{00000000-0005-0000-0000-000047440000}"/>
    <cellStyle name="Normal 2 12 2 2 2 6 3" xfId="11781" xr:uid="{00000000-0005-0000-0000-000048440000}"/>
    <cellStyle name="Normal 2 12 2 2 2 6 3 2" xfId="34424" xr:uid="{00000000-0005-0000-0000-000049440000}"/>
    <cellStyle name="Normal 2 12 2 2 2 6 4" xfId="26983" xr:uid="{00000000-0005-0000-0000-00004A440000}"/>
    <cellStyle name="Normal 2 12 2 2 2 7" xfId="15503" xr:uid="{00000000-0005-0000-0000-00004B440000}"/>
    <cellStyle name="Normal 2 12 2 2 2 7 2" xfId="38146" xr:uid="{00000000-0005-0000-0000-00004C440000}"/>
    <cellStyle name="Normal 2 12 2 2 2 8" xfId="8063" xr:uid="{00000000-0005-0000-0000-00004D440000}"/>
    <cellStyle name="Normal 2 12 2 2 2 8 2" xfId="30706" xr:uid="{00000000-0005-0000-0000-00004E440000}"/>
    <cellStyle name="Normal 2 12 2 2 2 9" xfId="23266" xr:uid="{00000000-0005-0000-0000-00004F440000}"/>
    <cellStyle name="Normal 2 12 2 2 3" xfId="713" xr:uid="{00000000-0005-0000-0000-000050440000}"/>
    <cellStyle name="Normal 2 12 2 2 3 2" xfId="1178" xr:uid="{00000000-0005-0000-0000-000051440000}"/>
    <cellStyle name="Normal 2 12 2 2 3 2 2" xfId="2106" xr:uid="{00000000-0005-0000-0000-000052440000}"/>
    <cellStyle name="Normal 2 12 2 2 3 2 2 2" xfId="3956" xr:uid="{00000000-0005-0000-0000-000053440000}"/>
    <cellStyle name="Normal 2 12 2 2 3 2 2 2 2" xfId="7677" xr:uid="{00000000-0005-0000-0000-000054440000}"/>
    <cellStyle name="Normal 2 12 2 2 3 2 2 2 2 2" xfId="22561" xr:uid="{00000000-0005-0000-0000-000055440000}"/>
    <cellStyle name="Normal 2 12 2 2 3 2 2 2 2 2 2" xfId="45204" xr:uid="{00000000-0005-0000-0000-000056440000}"/>
    <cellStyle name="Normal 2 12 2 2 3 2 2 2 2 3" xfId="15121" xr:uid="{00000000-0005-0000-0000-000057440000}"/>
    <cellStyle name="Normal 2 12 2 2 3 2 2 2 2 3 2" xfId="37764" xr:uid="{00000000-0005-0000-0000-000058440000}"/>
    <cellStyle name="Normal 2 12 2 2 3 2 2 2 2 4" xfId="30323" xr:uid="{00000000-0005-0000-0000-000059440000}"/>
    <cellStyle name="Normal 2 12 2 2 3 2 2 2 3" xfId="18843" xr:uid="{00000000-0005-0000-0000-00005A440000}"/>
    <cellStyle name="Normal 2 12 2 2 3 2 2 2 3 2" xfId="41486" xr:uid="{00000000-0005-0000-0000-00005B440000}"/>
    <cellStyle name="Normal 2 12 2 2 3 2 2 2 4" xfId="11403" xr:uid="{00000000-0005-0000-0000-00005C440000}"/>
    <cellStyle name="Normal 2 12 2 2 3 2 2 2 4 2" xfId="34046" xr:uid="{00000000-0005-0000-0000-00005D440000}"/>
    <cellStyle name="Normal 2 12 2 2 3 2 2 2 5" xfId="26605" xr:uid="{00000000-0005-0000-0000-00005E440000}"/>
    <cellStyle name="Normal 2 12 2 2 3 2 2 3" xfId="5830" xr:uid="{00000000-0005-0000-0000-00005F440000}"/>
    <cellStyle name="Normal 2 12 2 2 3 2 2 3 2" xfId="20714" xr:uid="{00000000-0005-0000-0000-000060440000}"/>
    <cellStyle name="Normal 2 12 2 2 3 2 2 3 2 2" xfId="43357" xr:uid="{00000000-0005-0000-0000-000061440000}"/>
    <cellStyle name="Normal 2 12 2 2 3 2 2 3 3" xfId="13274" xr:uid="{00000000-0005-0000-0000-000062440000}"/>
    <cellStyle name="Normal 2 12 2 2 3 2 2 3 3 2" xfId="35917" xr:uid="{00000000-0005-0000-0000-000063440000}"/>
    <cellStyle name="Normal 2 12 2 2 3 2 2 3 4" xfId="28476" xr:uid="{00000000-0005-0000-0000-000064440000}"/>
    <cellStyle name="Normal 2 12 2 2 3 2 2 4" xfId="16996" xr:uid="{00000000-0005-0000-0000-000065440000}"/>
    <cellStyle name="Normal 2 12 2 2 3 2 2 4 2" xfId="39639" xr:uid="{00000000-0005-0000-0000-000066440000}"/>
    <cellStyle name="Normal 2 12 2 2 3 2 2 5" xfId="9556" xr:uid="{00000000-0005-0000-0000-000067440000}"/>
    <cellStyle name="Normal 2 12 2 2 3 2 2 5 2" xfId="32199" xr:uid="{00000000-0005-0000-0000-000068440000}"/>
    <cellStyle name="Normal 2 12 2 2 3 2 2 6" xfId="24758" xr:uid="{00000000-0005-0000-0000-000069440000}"/>
    <cellStyle name="Normal 2 12 2 2 3 2 3" xfId="3031" xr:uid="{00000000-0005-0000-0000-00006A440000}"/>
    <cellStyle name="Normal 2 12 2 2 3 2 3 2" xfId="6752" xr:uid="{00000000-0005-0000-0000-00006B440000}"/>
    <cellStyle name="Normal 2 12 2 2 3 2 3 2 2" xfId="21636" xr:uid="{00000000-0005-0000-0000-00006C440000}"/>
    <cellStyle name="Normal 2 12 2 2 3 2 3 2 2 2" xfId="44279" xr:uid="{00000000-0005-0000-0000-00006D440000}"/>
    <cellStyle name="Normal 2 12 2 2 3 2 3 2 3" xfId="14196" xr:uid="{00000000-0005-0000-0000-00006E440000}"/>
    <cellStyle name="Normal 2 12 2 2 3 2 3 2 3 2" xfId="36839" xr:uid="{00000000-0005-0000-0000-00006F440000}"/>
    <cellStyle name="Normal 2 12 2 2 3 2 3 2 4" xfId="29398" xr:uid="{00000000-0005-0000-0000-000070440000}"/>
    <cellStyle name="Normal 2 12 2 2 3 2 3 3" xfId="17918" xr:uid="{00000000-0005-0000-0000-000071440000}"/>
    <cellStyle name="Normal 2 12 2 2 3 2 3 3 2" xfId="40561" xr:uid="{00000000-0005-0000-0000-000072440000}"/>
    <cellStyle name="Normal 2 12 2 2 3 2 3 4" xfId="10478" xr:uid="{00000000-0005-0000-0000-000073440000}"/>
    <cellStyle name="Normal 2 12 2 2 3 2 3 4 2" xfId="33121" xr:uid="{00000000-0005-0000-0000-000074440000}"/>
    <cellStyle name="Normal 2 12 2 2 3 2 3 5" xfId="25680" xr:uid="{00000000-0005-0000-0000-000075440000}"/>
    <cellStyle name="Normal 2 12 2 2 3 2 4" xfId="4905" xr:uid="{00000000-0005-0000-0000-000076440000}"/>
    <cellStyle name="Normal 2 12 2 2 3 2 4 2" xfId="19789" xr:uid="{00000000-0005-0000-0000-000077440000}"/>
    <cellStyle name="Normal 2 12 2 2 3 2 4 2 2" xfId="42432" xr:uid="{00000000-0005-0000-0000-000078440000}"/>
    <cellStyle name="Normal 2 12 2 2 3 2 4 3" xfId="12349" xr:uid="{00000000-0005-0000-0000-000079440000}"/>
    <cellStyle name="Normal 2 12 2 2 3 2 4 3 2" xfId="34992" xr:uid="{00000000-0005-0000-0000-00007A440000}"/>
    <cellStyle name="Normal 2 12 2 2 3 2 4 4" xfId="27551" xr:uid="{00000000-0005-0000-0000-00007B440000}"/>
    <cellStyle name="Normal 2 12 2 2 3 2 5" xfId="16071" xr:uid="{00000000-0005-0000-0000-00007C440000}"/>
    <cellStyle name="Normal 2 12 2 2 3 2 5 2" xfId="38714" xr:uid="{00000000-0005-0000-0000-00007D440000}"/>
    <cellStyle name="Normal 2 12 2 2 3 2 6" xfId="8631" xr:uid="{00000000-0005-0000-0000-00007E440000}"/>
    <cellStyle name="Normal 2 12 2 2 3 2 6 2" xfId="31274" xr:uid="{00000000-0005-0000-0000-00007F440000}"/>
    <cellStyle name="Normal 2 12 2 2 3 2 7" xfId="23833" xr:uid="{00000000-0005-0000-0000-000080440000}"/>
    <cellStyle name="Normal 2 12 2 2 3 3" xfId="1644" xr:uid="{00000000-0005-0000-0000-000081440000}"/>
    <cellStyle name="Normal 2 12 2 2 3 3 2" xfId="3494" xr:uid="{00000000-0005-0000-0000-000082440000}"/>
    <cellStyle name="Normal 2 12 2 2 3 3 2 2" xfId="7215" xr:uid="{00000000-0005-0000-0000-000083440000}"/>
    <cellStyle name="Normal 2 12 2 2 3 3 2 2 2" xfId="22099" xr:uid="{00000000-0005-0000-0000-000084440000}"/>
    <cellStyle name="Normal 2 12 2 2 3 3 2 2 2 2" xfId="44742" xr:uid="{00000000-0005-0000-0000-000085440000}"/>
    <cellStyle name="Normal 2 12 2 2 3 3 2 2 3" xfId="14659" xr:uid="{00000000-0005-0000-0000-000086440000}"/>
    <cellStyle name="Normal 2 12 2 2 3 3 2 2 3 2" xfId="37302" xr:uid="{00000000-0005-0000-0000-000087440000}"/>
    <cellStyle name="Normal 2 12 2 2 3 3 2 2 4" xfId="29861" xr:uid="{00000000-0005-0000-0000-000088440000}"/>
    <cellStyle name="Normal 2 12 2 2 3 3 2 3" xfId="18381" xr:uid="{00000000-0005-0000-0000-000089440000}"/>
    <cellStyle name="Normal 2 12 2 2 3 3 2 3 2" xfId="41024" xr:uid="{00000000-0005-0000-0000-00008A440000}"/>
    <cellStyle name="Normal 2 12 2 2 3 3 2 4" xfId="10941" xr:uid="{00000000-0005-0000-0000-00008B440000}"/>
    <cellStyle name="Normal 2 12 2 2 3 3 2 4 2" xfId="33584" xr:uid="{00000000-0005-0000-0000-00008C440000}"/>
    <cellStyle name="Normal 2 12 2 2 3 3 2 5" xfId="26143" xr:uid="{00000000-0005-0000-0000-00008D440000}"/>
    <cellStyle name="Normal 2 12 2 2 3 3 3" xfId="5368" xr:uid="{00000000-0005-0000-0000-00008E440000}"/>
    <cellStyle name="Normal 2 12 2 2 3 3 3 2" xfId="20252" xr:uid="{00000000-0005-0000-0000-00008F440000}"/>
    <cellStyle name="Normal 2 12 2 2 3 3 3 2 2" xfId="42895" xr:uid="{00000000-0005-0000-0000-000090440000}"/>
    <cellStyle name="Normal 2 12 2 2 3 3 3 3" xfId="12812" xr:uid="{00000000-0005-0000-0000-000091440000}"/>
    <cellStyle name="Normal 2 12 2 2 3 3 3 3 2" xfId="35455" xr:uid="{00000000-0005-0000-0000-000092440000}"/>
    <cellStyle name="Normal 2 12 2 2 3 3 3 4" xfId="28014" xr:uid="{00000000-0005-0000-0000-000093440000}"/>
    <cellStyle name="Normal 2 12 2 2 3 3 4" xfId="16534" xr:uid="{00000000-0005-0000-0000-000094440000}"/>
    <cellStyle name="Normal 2 12 2 2 3 3 4 2" xfId="39177" xr:uid="{00000000-0005-0000-0000-000095440000}"/>
    <cellStyle name="Normal 2 12 2 2 3 3 5" xfId="9094" xr:uid="{00000000-0005-0000-0000-000096440000}"/>
    <cellStyle name="Normal 2 12 2 2 3 3 5 2" xfId="31737" xr:uid="{00000000-0005-0000-0000-000097440000}"/>
    <cellStyle name="Normal 2 12 2 2 3 3 6" xfId="24296" xr:uid="{00000000-0005-0000-0000-000098440000}"/>
    <cellStyle name="Normal 2 12 2 2 3 4" xfId="2569" xr:uid="{00000000-0005-0000-0000-000099440000}"/>
    <cellStyle name="Normal 2 12 2 2 3 4 2" xfId="6290" xr:uid="{00000000-0005-0000-0000-00009A440000}"/>
    <cellStyle name="Normal 2 12 2 2 3 4 2 2" xfId="21174" xr:uid="{00000000-0005-0000-0000-00009B440000}"/>
    <cellStyle name="Normal 2 12 2 2 3 4 2 2 2" xfId="43817" xr:uid="{00000000-0005-0000-0000-00009C440000}"/>
    <cellStyle name="Normal 2 12 2 2 3 4 2 3" xfId="13734" xr:uid="{00000000-0005-0000-0000-00009D440000}"/>
    <cellStyle name="Normal 2 12 2 2 3 4 2 3 2" xfId="36377" xr:uid="{00000000-0005-0000-0000-00009E440000}"/>
    <cellStyle name="Normal 2 12 2 2 3 4 2 4" xfId="28936" xr:uid="{00000000-0005-0000-0000-00009F440000}"/>
    <cellStyle name="Normal 2 12 2 2 3 4 3" xfId="17456" xr:uid="{00000000-0005-0000-0000-0000A0440000}"/>
    <cellStyle name="Normal 2 12 2 2 3 4 3 2" xfId="40099" xr:uid="{00000000-0005-0000-0000-0000A1440000}"/>
    <cellStyle name="Normal 2 12 2 2 3 4 4" xfId="10016" xr:uid="{00000000-0005-0000-0000-0000A2440000}"/>
    <cellStyle name="Normal 2 12 2 2 3 4 4 2" xfId="32659" xr:uid="{00000000-0005-0000-0000-0000A3440000}"/>
    <cellStyle name="Normal 2 12 2 2 3 4 5" xfId="25218" xr:uid="{00000000-0005-0000-0000-0000A4440000}"/>
    <cellStyle name="Normal 2 12 2 2 3 5" xfId="4443" xr:uid="{00000000-0005-0000-0000-0000A5440000}"/>
    <cellStyle name="Normal 2 12 2 2 3 5 2" xfId="19327" xr:uid="{00000000-0005-0000-0000-0000A6440000}"/>
    <cellStyle name="Normal 2 12 2 2 3 5 2 2" xfId="41970" xr:uid="{00000000-0005-0000-0000-0000A7440000}"/>
    <cellStyle name="Normal 2 12 2 2 3 5 3" xfId="11887" xr:uid="{00000000-0005-0000-0000-0000A8440000}"/>
    <cellStyle name="Normal 2 12 2 2 3 5 3 2" xfId="34530" xr:uid="{00000000-0005-0000-0000-0000A9440000}"/>
    <cellStyle name="Normal 2 12 2 2 3 5 4" xfId="27089" xr:uid="{00000000-0005-0000-0000-0000AA440000}"/>
    <cellStyle name="Normal 2 12 2 2 3 6" xfId="15609" xr:uid="{00000000-0005-0000-0000-0000AB440000}"/>
    <cellStyle name="Normal 2 12 2 2 3 6 2" xfId="38252" xr:uid="{00000000-0005-0000-0000-0000AC440000}"/>
    <cellStyle name="Normal 2 12 2 2 3 7" xfId="8169" xr:uid="{00000000-0005-0000-0000-0000AD440000}"/>
    <cellStyle name="Normal 2 12 2 2 3 7 2" xfId="30812" xr:uid="{00000000-0005-0000-0000-0000AE440000}"/>
    <cellStyle name="Normal 2 12 2 2 3 8" xfId="23371" xr:uid="{00000000-0005-0000-0000-0000AF440000}"/>
    <cellStyle name="Normal 2 12 2 2 4" xfId="967" xr:uid="{00000000-0005-0000-0000-0000B0440000}"/>
    <cellStyle name="Normal 2 12 2 2 4 2" xfId="1895" xr:uid="{00000000-0005-0000-0000-0000B1440000}"/>
    <cellStyle name="Normal 2 12 2 2 4 2 2" xfId="3745" xr:uid="{00000000-0005-0000-0000-0000B2440000}"/>
    <cellStyle name="Normal 2 12 2 2 4 2 2 2" xfId="7466" xr:uid="{00000000-0005-0000-0000-0000B3440000}"/>
    <cellStyle name="Normal 2 12 2 2 4 2 2 2 2" xfId="22350" xr:uid="{00000000-0005-0000-0000-0000B4440000}"/>
    <cellStyle name="Normal 2 12 2 2 4 2 2 2 2 2" xfId="44993" xr:uid="{00000000-0005-0000-0000-0000B5440000}"/>
    <cellStyle name="Normal 2 12 2 2 4 2 2 2 3" xfId="14910" xr:uid="{00000000-0005-0000-0000-0000B6440000}"/>
    <cellStyle name="Normal 2 12 2 2 4 2 2 2 3 2" xfId="37553" xr:uid="{00000000-0005-0000-0000-0000B7440000}"/>
    <cellStyle name="Normal 2 12 2 2 4 2 2 2 4" xfId="30112" xr:uid="{00000000-0005-0000-0000-0000B8440000}"/>
    <cellStyle name="Normal 2 12 2 2 4 2 2 3" xfId="18632" xr:uid="{00000000-0005-0000-0000-0000B9440000}"/>
    <cellStyle name="Normal 2 12 2 2 4 2 2 3 2" xfId="41275" xr:uid="{00000000-0005-0000-0000-0000BA440000}"/>
    <cellStyle name="Normal 2 12 2 2 4 2 2 4" xfId="11192" xr:uid="{00000000-0005-0000-0000-0000BB440000}"/>
    <cellStyle name="Normal 2 12 2 2 4 2 2 4 2" xfId="33835" xr:uid="{00000000-0005-0000-0000-0000BC440000}"/>
    <cellStyle name="Normal 2 12 2 2 4 2 2 5" xfId="26394" xr:uid="{00000000-0005-0000-0000-0000BD440000}"/>
    <cellStyle name="Normal 2 12 2 2 4 2 3" xfId="5619" xr:uid="{00000000-0005-0000-0000-0000BE440000}"/>
    <cellStyle name="Normal 2 12 2 2 4 2 3 2" xfId="20503" xr:uid="{00000000-0005-0000-0000-0000BF440000}"/>
    <cellStyle name="Normal 2 12 2 2 4 2 3 2 2" xfId="43146" xr:uid="{00000000-0005-0000-0000-0000C0440000}"/>
    <cellStyle name="Normal 2 12 2 2 4 2 3 3" xfId="13063" xr:uid="{00000000-0005-0000-0000-0000C1440000}"/>
    <cellStyle name="Normal 2 12 2 2 4 2 3 3 2" xfId="35706" xr:uid="{00000000-0005-0000-0000-0000C2440000}"/>
    <cellStyle name="Normal 2 12 2 2 4 2 3 4" xfId="28265" xr:uid="{00000000-0005-0000-0000-0000C3440000}"/>
    <cellStyle name="Normal 2 12 2 2 4 2 4" xfId="16785" xr:uid="{00000000-0005-0000-0000-0000C4440000}"/>
    <cellStyle name="Normal 2 12 2 2 4 2 4 2" xfId="39428" xr:uid="{00000000-0005-0000-0000-0000C5440000}"/>
    <cellStyle name="Normal 2 12 2 2 4 2 5" xfId="9345" xr:uid="{00000000-0005-0000-0000-0000C6440000}"/>
    <cellStyle name="Normal 2 12 2 2 4 2 5 2" xfId="31988" xr:uid="{00000000-0005-0000-0000-0000C7440000}"/>
    <cellStyle name="Normal 2 12 2 2 4 2 6" xfId="24547" xr:uid="{00000000-0005-0000-0000-0000C8440000}"/>
    <cellStyle name="Normal 2 12 2 2 4 3" xfId="2820" xr:uid="{00000000-0005-0000-0000-0000C9440000}"/>
    <cellStyle name="Normal 2 12 2 2 4 3 2" xfId="6541" xr:uid="{00000000-0005-0000-0000-0000CA440000}"/>
    <cellStyle name="Normal 2 12 2 2 4 3 2 2" xfId="21425" xr:uid="{00000000-0005-0000-0000-0000CB440000}"/>
    <cellStyle name="Normal 2 12 2 2 4 3 2 2 2" xfId="44068" xr:uid="{00000000-0005-0000-0000-0000CC440000}"/>
    <cellStyle name="Normal 2 12 2 2 4 3 2 3" xfId="13985" xr:uid="{00000000-0005-0000-0000-0000CD440000}"/>
    <cellStyle name="Normal 2 12 2 2 4 3 2 3 2" xfId="36628" xr:uid="{00000000-0005-0000-0000-0000CE440000}"/>
    <cellStyle name="Normal 2 12 2 2 4 3 2 4" xfId="29187" xr:uid="{00000000-0005-0000-0000-0000CF440000}"/>
    <cellStyle name="Normal 2 12 2 2 4 3 3" xfId="17707" xr:uid="{00000000-0005-0000-0000-0000D0440000}"/>
    <cellStyle name="Normal 2 12 2 2 4 3 3 2" xfId="40350" xr:uid="{00000000-0005-0000-0000-0000D1440000}"/>
    <cellStyle name="Normal 2 12 2 2 4 3 4" xfId="10267" xr:uid="{00000000-0005-0000-0000-0000D2440000}"/>
    <cellStyle name="Normal 2 12 2 2 4 3 4 2" xfId="32910" xr:uid="{00000000-0005-0000-0000-0000D3440000}"/>
    <cellStyle name="Normal 2 12 2 2 4 3 5" xfId="25469" xr:uid="{00000000-0005-0000-0000-0000D4440000}"/>
    <cellStyle name="Normal 2 12 2 2 4 4" xfId="4694" xr:uid="{00000000-0005-0000-0000-0000D5440000}"/>
    <cellStyle name="Normal 2 12 2 2 4 4 2" xfId="19578" xr:uid="{00000000-0005-0000-0000-0000D6440000}"/>
    <cellStyle name="Normal 2 12 2 2 4 4 2 2" xfId="42221" xr:uid="{00000000-0005-0000-0000-0000D7440000}"/>
    <cellStyle name="Normal 2 12 2 2 4 4 3" xfId="12138" xr:uid="{00000000-0005-0000-0000-0000D8440000}"/>
    <cellStyle name="Normal 2 12 2 2 4 4 3 2" xfId="34781" xr:uid="{00000000-0005-0000-0000-0000D9440000}"/>
    <cellStyle name="Normal 2 12 2 2 4 4 4" xfId="27340" xr:uid="{00000000-0005-0000-0000-0000DA440000}"/>
    <cellStyle name="Normal 2 12 2 2 4 5" xfId="15860" xr:uid="{00000000-0005-0000-0000-0000DB440000}"/>
    <cellStyle name="Normal 2 12 2 2 4 5 2" xfId="38503" xr:uid="{00000000-0005-0000-0000-0000DC440000}"/>
    <cellStyle name="Normal 2 12 2 2 4 6" xfId="8420" xr:uid="{00000000-0005-0000-0000-0000DD440000}"/>
    <cellStyle name="Normal 2 12 2 2 4 6 2" xfId="31063" xr:uid="{00000000-0005-0000-0000-0000DE440000}"/>
    <cellStyle name="Normal 2 12 2 2 4 7" xfId="23622" xr:uid="{00000000-0005-0000-0000-0000DF440000}"/>
    <cellStyle name="Normal 2 12 2 2 5" xfId="1433" xr:uid="{00000000-0005-0000-0000-0000E0440000}"/>
    <cellStyle name="Normal 2 12 2 2 5 2" xfId="3283" xr:uid="{00000000-0005-0000-0000-0000E1440000}"/>
    <cellStyle name="Normal 2 12 2 2 5 2 2" xfId="7004" xr:uid="{00000000-0005-0000-0000-0000E2440000}"/>
    <cellStyle name="Normal 2 12 2 2 5 2 2 2" xfId="21888" xr:uid="{00000000-0005-0000-0000-0000E3440000}"/>
    <cellStyle name="Normal 2 12 2 2 5 2 2 2 2" xfId="44531" xr:uid="{00000000-0005-0000-0000-0000E4440000}"/>
    <cellStyle name="Normal 2 12 2 2 5 2 2 3" xfId="14448" xr:uid="{00000000-0005-0000-0000-0000E5440000}"/>
    <cellStyle name="Normal 2 12 2 2 5 2 2 3 2" xfId="37091" xr:uid="{00000000-0005-0000-0000-0000E6440000}"/>
    <cellStyle name="Normal 2 12 2 2 5 2 2 4" xfId="29650" xr:uid="{00000000-0005-0000-0000-0000E7440000}"/>
    <cellStyle name="Normal 2 12 2 2 5 2 3" xfId="18170" xr:uid="{00000000-0005-0000-0000-0000E8440000}"/>
    <cellStyle name="Normal 2 12 2 2 5 2 3 2" xfId="40813" xr:uid="{00000000-0005-0000-0000-0000E9440000}"/>
    <cellStyle name="Normal 2 12 2 2 5 2 4" xfId="10730" xr:uid="{00000000-0005-0000-0000-0000EA440000}"/>
    <cellStyle name="Normal 2 12 2 2 5 2 4 2" xfId="33373" xr:uid="{00000000-0005-0000-0000-0000EB440000}"/>
    <cellStyle name="Normal 2 12 2 2 5 2 5" xfId="25932" xr:uid="{00000000-0005-0000-0000-0000EC440000}"/>
    <cellStyle name="Normal 2 12 2 2 5 3" xfId="5157" xr:uid="{00000000-0005-0000-0000-0000ED440000}"/>
    <cellStyle name="Normal 2 12 2 2 5 3 2" xfId="20041" xr:uid="{00000000-0005-0000-0000-0000EE440000}"/>
    <cellStyle name="Normal 2 12 2 2 5 3 2 2" xfId="42684" xr:uid="{00000000-0005-0000-0000-0000EF440000}"/>
    <cellStyle name="Normal 2 12 2 2 5 3 3" xfId="12601" xr:uid="{00000000-0005-0000-0000-0000F0440000}"/>
    <cellStyle name="Normal 2 12 2 2 5 3 3 2" xfId="35244" xr:uid="{00000000-0005-0000-0000-0000F1440000}"/>
    <cellStyle name="Normal 2 12 2 2 5 3 4" xfId="27803" xr:uid="{00000000-0005-0000-0000-0000F2440000}"/>
    <cellStyle name="Normal 2 12 2 2 5 4" xfId="16323" xr:uid="{00000000-0005-0000-0000-0000F3440000}"/>
    <cellStyle name="Normal 2 12 2 2 5 4 2" xfId="38966" xr:uid="{00000000-0005-0000-0000-0000F4440000}"/>
    <cellStyle name="Normal 2 12 2 2 5 5" xfId="8883" xr:uid="{00000000-0005-0000-0000-0000F5440000}"/>
    <cellStyle name="Normal 2 12 2 2 5 5 2" xfId="31526" xr:uid="{00000000-0005-0000-0000-0000F6440000}"/>
    <cellStyle name="Normal 2 12 2 2 5 6" xfId="24085" xr:uid="{00000000-0005-0000-0000-0000F7440000}"/>
    <cellStyle name="Normal 2 12 2 2 6" xfId="2358" xr:uid="{00000000-0005-0000-0000-0000F8440000}"/>
    <cellStyle name="Normal 2 12 2 2 6 2" xfId="6079" xr:uid="{00000000-0005-0000-0000-0000F9440000}"/>
    <cellStyle name="Normal 2 12 2 2 6 2 2" xfId="20963" xr:uid="{00000000-0005-0000-0000-0000FA440000}"/>
    <cellStyle name="Normal 2 12 2 2 6 2 2 2" xfId="43606" xr:uid="{00000000-0005-0000-0000-0000FB440000}"/>
    <cellStyle name="Normal 2 12 2 2 6 2 3" xfId="13523" xr:uid="{00000000-0005-0000-0000-0000FC440000}"/>
    <cellStyle name="Normal 2 12 2 2 6 2 3 2" xfId="36166" xr:uid="{00000000-0005-0000-0000-0000FD440000}"/>
    <cellStyle name="Normal 2 12 2 2 6 2 4" xfId="28725" xr:uid="{00000000-0005-0000-0000-0000FE440000}"/>
    <cellStyle name="Normal 2 12 2 2 6 3" xfId="17245" xr:uid="{00000000-0005-0000-0000-0000FF440000}"/>
    <cellStyle name="Normal 2 12 2 2 6 3 2" xfId="39888" xr:uid="{00000000-0005-0000-0000-000000450000}"/>
    <cellStyle name="Normal 2 12 2 2 6 4" xfId="9805" xr:uid="{00000000-0005-0000-0000-000001450000}"/>
    <cellStyle name="Normal 2 12 2 2 6 4 2" xfId="32448" xr:uid="{00000000-0005-0000-0000-000002450000}"/>
    <cellStyle name="Normal 2 12 2 2 6 5" xfId="25007" xr:uid="{00000000-0005-0000-0000-000003450000}"/>
    <cellStyle name="Normal 2 12 2 2 7" xfId="4232" xr:uid="{00000000-0005-0000-0000-000004450000}"/>
    <cellStyle name="Normal 2 12 2 2 7 2" xfId="19116" xr:uid="{00000000-0005-0000-0000-000005450000}"/>
    <cellStyle name="Normal 2 12 2 2 7 2 2" xfId="41759" xr:uid="{00000000-0005-0000-0000-000006450000}"/>
    <cellStyle name="Normal 2 12 2 2 7 3" xfId="11676" xr:uid="{00000000-0005-0000-0000-000007450000}"/>
    <cellStyle name="Normal 2 12 2 2 7 3 2" xfId="34319" xr:uid="{00000000-0005-0000-0000-000008450000}"/>
    <cellStyle name="Normal 2 12 2 2 7 4" xfId="26878" xr:uid="{00000000-0005-0000-0000-000009450000}"/>
    <cellStyle name="Normal 2 12 2 2 8" xfId="15398" xr:uid="{00000000-0005-0000-0000-00000A450000}"/>
    <cellStyle name="Normal 2 12 2 2 8 2" xfId="38041" xr:uid="{00000000-0005-0000-0000-00000B450000}"/>
    <cellStyle name="Normal 2 12 2 2 9" xfId="7958" xr:uid="{00000000-0005-0000-0000-00000C450000}"/>
    <cellStyle name="Normal 2 12 2 2 9 2" xfId="30601" xr:uid="{00000000-0005-0000-0000-00000D450000}"/>
    <cellStyle name="Normal 2 12 2 3" xfId="554" xr:uid="{00000000-0005-0000-0000-00000E450000}"/>
    <cellStyle name="Normal 2 12 2 3 2" xfId="766" xr:uid="{00000000-0005-0000-0000-00000F450000}"/>
    <cellStyle name="Normal 2 12 2 3 2 2" xfId="1231" xr:uid="{00000000-0005-0000-0000-000010450000}"/>
    <cellStyle name="Normal 2 12 2 3 2 2 2" xfId="2159" xr:uid="{00000000-0005-0000-0000-000011450000}"/>
    <cellStyle name="Normal 2 12 2 3 2 2 2 2" xfId="4009" xr:uid="{00000000-0005-0000-0000-000012450000}"/>
    <cellStyle name="Normal 2 12 2 3 2 2 2 2 2" xfId="7730" xr:uid="{00000000-0005-0000-0000-000013450000}"/>
    <cellStyle name="Normal 2 12 2 3 2 2 2 2 2 2" xfId="22614" xr:uid="{00000000-0005-0000-0000-000014450000}"/>
    <cellStyle name="Normal 2 12 2 3 2 2 2 2 2 2 2" xfId="45257" xr:uid="{00000000-0005-0000-0000-000015450000}"/>
    <cellStyle name="Normal 2 12 2 3 2 2 2 2 2 3" xfId="15174" xr:uid="{00000000-0005-0000-0000-000016450000}"/>
    <cellStyle name="Normal 2 12 2 3 2 2 2 2 2 3 2" xfId="37817" xr:uid="{00000000-0005-0000-0000-000017450000}"/>
    <cellStyle name="Normal 2 12 2 3 2 2 2 2 2 4" xfId="30376" xr:uid="{00000000-0005-0000-0000-000018450000}"/>
    <cellStyle name="Normal 2 12 2 3 2 2 2 2 3" xfId="18896" xr:uid="{00000000-0005-0000-0000-000019450000}"/>
    <cellStyle name="Normal 2 12 2 3 2 2 2 2 3 2" xfId="41539" xr:uid="{00000000-0005-0000-0000-00001A450000}"/>
    <cellStyle name="Normal 2 12 2 3 2 2 2 2 4" xfId="11456" xr:uid="{00000000-0005-0000-0000-00001B450000}"/>
    <cellStyle name="Normal 2 12 2 3 2 2 2 2 4 2" xfId="34099" xr:uid="{00000000-0005-0000-0000-00001C450000}"/>
    <cellStyle name="Normal 2 12 2 3 2 2 2 2 5" xfId="26658" xr:uid="{00000000-0005-0000-0000-00001D450000}"/>
    <cellStyle name="Normal 2 12 2 3 2 2 2 3" xfId="5883" xr:uid="{00000000-0005-0000-0000-00001E450000}"/>
    <cellStyle name="Normal 2 12 2 3 2 2 2 3 2" xfId="20767" xr:uid="{00000000-0005-0000-0000-00001F450000}"/>
    <cellStyle name="Normal 2 12 2 3 2 2 2 3 2 2" xfId="43410" xr:uid="{00000000-0005-0000-0000-000020450000}"/>
    <cellStyle name="Normal 2 12 2 3 2 2 2 3 3" xfId="13327" xr:uid="{00000000-0005-0000-0000-000021450000}"/>
    <cellStyle name="Normal 2 12 2 3 2 2 2 3 3 2" xfId="35970" xr:uid="{00000000-0005-0000-0000-000022450000}"/>
    <cellStyle name="Normal 2 12 2 3 2 2 2 3 4" xfId="28529" xr:uid="{00000000-0005-0000-0000-000023450000}"/>
    <cellStyle name="Normal 2 12 2 3 2 2 2 4" xfId="17049" xr:uid="{00000000-0005-0000-0000-000024450000}"/>
    <cellStyle name="Normal 2 12 2 3 2 2 2 4 2" xfId="39692" xr:uid="{00000000-0005-0000-0000-000025450000}"/>
    <cellStyle name="Normal 2 12 2 3 2 2 2 5" xfId="9609" xr:uid="{00000000-0005-0000-0000-000026450000}"/>
    <cellStyle name="Normal 2 12 2 3 2 2 2 5 2" xfId="32252" xr:uid="{00000000-0005-0000-0000-000027450000}"/>
    <cellStyle name="Normal 2 12 2 3 2 2 2 6" xfId="24811" xr:uid="{00000000-0005-0000-0000-000028450000}"/>
    <cellStyle name="Normal 2 12 2 3 2 2 3" xfId="3084" xr:uid="{00000000-0005-0000-0000-000029450000}"/>
    <cellStyle name="Normal 2 12 2 3 2 2 3 2" xfId="6805" xr:uid="{00000000-0005-0000-0000-00002A450000}"/>
    <cellStyle name="Normal 2 12 2 3 2 2 3 2 2" xfId="21689" xr:uid="{00000000-0005-0000-0000-00002B450000}"/>
    <cellStyle name="Normal 2 12 2 3 2 2 3 2 2 2" xfId="44332" xr:uid="{00000000-0005-0000-0000-00002C450000}"/>
    <cellStyle name="Normal 2 12 2 3 2 2 3 2 3" xfId="14249" xr:uid="{00000000-0005-0000-0000-00002D450000}"/>
    <cellStyle name="Normal 2 12 2 3 2 2 3 2 3 2" xfId="36892" xr:uid="{00000000-0005-0000-0000-00002E450000}"/>
    <cellStyle name="Normal 2 12 2 3 2 2 3 2 4" xfId="29451" xr:uid="{00000000-0005-0000-0000-00002F450000}"/>
    <cellStyle name="Normal 2 12 2 3 2 2 3 3" xfId="17971" xr:uid="{00000000-0005-0000-0000-000030450000}"/>
    <cellStyle name="Normal 2 12 2 3 2 2 3 3 2" xfId="40614" xr:uid="{00000000-0005-0000-0000-000031450000}"/>
    <cellStyle name="Normal 2 12 2 3 2 2 3 4" xfId="10531" xr:uid="{00000000-0005-0000-0000-000032450000}"/>
    <cellStyle name="Normal 2 12 2 3 2 2 3 4 2" xfId="33174" xr:uid="{00000000-0005-0000-0000-000033450000}"/>
    <cellStyle name="Normal 2 12 2 3 2 2 3 5" xfId="25733" xr:uid="{00000000-0005-0000-0000-000034450000}"/>
    <cellStyle name="Normal 2 12 2 3 2 2 4" xfId="4958" xr:uid="{00000000-0005-0000-0000-000035450000}"/>
    <cellStyle name="Normal 2 12 2 3 2 2 4 2" xfId="19842" xr:uid="{00000000-0005-0000-0000-000036450000}"/>
    <cellStyle name="Normal 2 12 2 3 2 2 4 2 2" xfId="42485" xr:uid="{00000000-0005-0000-0000-000037450000}"/>
    <cellStyle name="Normal 2 12 2 3 2 2 4 3" xfId="12402" xr:uid="{00000000-0005-0000-0000-000038450000}"/>
    <cellStyle name="Normal 2 12 2 3 2 2 4 3 2" xfId="35045" xr:uid="{00000000-0005-0000-0000-000039450000}"/>
    <cellStyle name="Normal 2 12 2 3 2 2 4 4" xfId="27604" xr:uid="{00000000-0005-0000-0000-00003A450000}"/>
    <cellStyle name="Normal 2 12 2 3 2 2 5" xfId="16124" xr:uid="{00000000-0005-0000-0000-00003B450000}"/>
    <cellStyle name="Normal 2 12 2 3 2 2 5 2" xfId="38767" xr:uid="{00000000-0005-0000-0000-00003C450000}"/>
    <cellStyle name="Normal 2 12 2 3 2 2 6" xfId="8684" xr:uid="{00000000-0005-0000-0000-00003D450000}"/>
    <cellStyle name="Normal 2 12 2 3 2 2 6 2" xfId="31327" xr:uid="{00000000-0005-0000-0000-00003E450000}"/>
    <cellStyle name="Normal 2 12 2 3 2 2 7" xfId="23886" xr:uid="{00000000-0005-0000-0000-00003F450000}"/>
    <cellStyle name="Normal 2 12 2 3 2 3" xfId="1697" xr:uid="{00000000-0005-0000-0000-000040450000}"/>
    <cellStyle name="Normal 2 12 2 3 2 3 2" xfId="3547" xr:uid="{00000000-0005-0000-0000-000041450000}"/>
    <cellStyle name="Normal 2 12 2 3 2 3 2 2" xfId="7268" xr:uid="{00000000-0005-0000-0000-000042450000}"/>
    <cellStyle name="Normal 2 12 2 3 2 3 2 2 2" xfId="22152" xr:uid="{00000000-0005-0000-0000-000043450000}"/>
    <cellStyle name="Normal 2 12 2 3 2 3 2 2 2 2" xfId="44795" xr:uid="{00000000-0005-0000-0000-000044450000}"/>
    <cellStyle name="Normal 2 12 2 3 2 3 2 2 3" xfId="14712" xr:uid="{00000000-0005-0000-0000-000045450000}"/>
    <cellStyle name="Normal 2 12 2 3 2 3 2 2 3 2" xfId="37355" xr:uid="{00000000-0005-0000-0000-000046450000}"/>
    <cellStyle name="Normal 2 12 2 3 2 3 2 2 4" xfId="29914" xr:uid="{00000000-0005-0000-0000-000047450000}"/>
    <cellStyle name="Normal 2 12 2 3 2 3 2 3" xfId="18434" xr:uid="{00000000-0005-0000-0000-000048450000}"/>
    <cellStyle name="Normal 2 12 2 3 2 3 2 3 2" xfId="41077" xr:uid="{00000000-0005-0000-0000-000049450000}"/>
    <cellStyle name="Normal 2 12 2 3 2 3 2 4" xfId="10994" xr:uid="{00000000-0005-0000-0000-00004A450000}"/>
    <cellStyle name="Normal 2 12 2 3 2 3 2 4 2" xfId="33637" xr:uid="{00000000-0005-0000-0000-00004B450000}"/>
    <cellStyle name="Normal 2 12 2 3 2 3 2 5" xfId="26196" xr:uid="{00000000-0005-0000-0000-00004C450000}"/>
    <cellStyle name="Normal 2 12 2 3 2 3 3" xfId="5421" xr:uid="{00000000-0005-0000-0000-00004D450000}"/>
    <cellStyle name="Normal 2 12 2 3 2 3 3 2" xfId="20305" xr:uid="{00000000-0005-0000-0000-00004E450000}"/>
    <cellStyle name="Normal 2 12 2 3 2 3 3 2 2" xfId="42948" xr:uid="{00000000-0005-0000-0000-00004F450000}"/>
    <cellStyle name="Normal 2 12 2 3 2 3 3 3" xfId="12865" xr:uid="{00000000-0005-0000-0000-000050450000}"/>
    <cellStyle name="Normal 2 12 2 3 2 3 3 3 2" xfId="35508" xr:uid="{00000000-0005-0000-0000-000051450000}"/>
    <cellStyle name="Normal 2 12 2 3 2 3 3 4" xfId="28067" xr:uid="{00000000-0005-0000-0000-000052450000}"/>
    <cellStyle name="Normal 2 12 2 3 2 3 4" xfId="16587" xr:uid="{00000000-0005-0000-0000-000053450000}"/>
    <cellStyle name="Normal 2 12 2 3 2 3 4 2" xfId="39230" xr:uid="{00000000-0005-0000-0000-000054450000}"/>
    <cellStyle name="Normal 2 12 2 3 2 3 5" xfId="9147" xr:uid="{00000000-0005-0000-0000-000055450000}"/>
    <cellStyle name="Normal 2 12 2 3 2 3 5 2" xfId="31790" xr:uid="{00000000-0005-0000-0000-000056450000}"/>
    <cellStyle name="Normal 2 12 2 3 2 3 6" xfId="24349" xr:uid="{00000000-0005-0000-0000-000057450000}"/>
    <cellStyle name="Normal 2 12 2 3 2 4" xfId="2622" xr:uid="{00000000-0005-0000-0000-000058450000}"/>
    <cellStyle name="Normal 2 12 2 3 2 4 2" xfId="6343" xr:uid="{00000000-0005-0000-0000-000059450000}"/>
    <cellStyle name="Normal 2 12 2 3 2 4 2 2" xfId="21227" xr:uid="{00000000-0005-0000-0000-00005A450000}"/>
    <cellStyle name="Normal 2 12 2 3 2 4 2 2 2" xfId="43870" xr:uid="{00000000-0005-0000-0000-00005B450000}"/>
    <cellStyle name="Normal 2 12 2 3 2 4 2 3" xfId="13787" xr:uid="{00000000-0005-0000-0000-00005C450000}"/>
    <cellStyle name="Normal 2 12 2 3 2 4 2 3 2" xfId="36430" xr:uid="{00000000-0005-0000-0000-00005D450000}"/>
    <cellStyle name="Normal 2 12 2 3 2 4 2 4" xfId="28989" xr:uid="{00000000-0005-0000-0000-00005E450000}"/>
    <cellStyle name="Normal 2 12 2 3 2 4 3" xfId="17509" xr:uid="{00000000-0005-0000-0000-00005F450000}"/>
    <cellStyle name="Normal 2 12 2 3 2 4 3 2" xfId="40152" xr:uid="{00000000-0005-0000-0000-000060450000}"/>
    <cellStyle name="Normal 2 12 2 3 2 4 4" xfId="10069" xr:uid="{00000000-0005-0000-0000-000061450000}"/>
    <cellStyle name="Normal 2 12 2 3 2 4 4 2" xfId="32712" xr:uid="{00000000-0005-0000-0000-000062450000}"/>
    <cellStyle name="Normal 2 12 2 3 2 4 5" xfId="25271" xr:uid="{00000000-0005-0000-0000-000063450000}"/>
    <cellStyle name="Normal 2 12 2 3 2 5" xfId="4496" xr:uid="{00000000-0005-0000-0000-000064450000}"/>
    <cellStyle name="Normal 2 12 2 3 2 5 2" xfId="19380" xr:uid="{00000000-0005-0000-0000-000065450000}"/>
    <cellStyle name="Normal 2 12 2 3 2 5 2 2" xfId="42023" xr:uid="{00000000-0005-0000-0000-000066450000}"/>
    <cellStyle name="Normal 2 12 2 3 2 5 3" xfId="11940" xr:uid="{00000000-0005-0000-0000-000067450000}"/>
    <cellStyle name="Normal 2 12 2 3 2 5 3 2" xfId="34583" xr:uid="{00000000-0005-0000-0000-000068450000}"/>
    <cellStyle name="Normal 2 12 2 3 2 5 4" xfId="27142" xr:uid="{00000000-0005-0000-0000-000069450000}"/>
    <cellStyle name="Normal 2 12 2 3 2 6" xfId="15662" xr:uid="{00000000-0005-0000-0000-00006A450000}"/>
    <cellStyle name="Normal 2 12 2 3 2 6 2" xfId="38305" xr:uid="{00000000-0005-0000-0000-00006B450000}"/>
    <cellStyle name="Normal 2 12 2 3 2 7" xfId="8222" xr:uid="{00000000-0005-0000-0000-00006C450000}"/>
    <cellStyle name="Normal 2 12 2 3 2 7 2" xfId="30865" xr:uid="{00000000-0005-0000-0000-00006D450000}"/>
    <cellStyle name="Normal 2 12 2 3 2 8" xfId="23424" xr:uid="{00000000-0005-0000-0000-00006E450000}"/>
    <cellStyle name="Normal 2 12 2 3 3" xfId="1020" xr:uid="{00000000-0005-0000-0000-00006F450000}"/>
    <cellStyle name="Normal 2 12 2 3 3 2" xfId="1948" xr:uid="{00000000-0005-0000-0000-000070450000}"/>
    <cellStyle name="Normal 2 12 2 3 3 2 2" xfId="3798" xr:uid="{00000000-0005-0000-0000-000071450000}"/>
    <cellStyle name="Normal 2 12 2 3 3 2 2 2" xfId="7519" xr:uid="{00000000-0005-0000-0000-000072450000}"/>
    <cellStyle name="Normal 2 12 2 3 3 2 2 2 2" xfId="22403" xr:uid="{00000000-0005-0000-0000-000073450000}"/>
    <cellStyle name="Normal 2 12 2 3 3 2 2 2 2 2" xfId="45046" xr:uid="{00000000-0005-0000-0000-000074450000}"/>
    <cellStyle name="Normal 2 12 2 3 3 2 2 2 3" xfId="14963" xr:uid="{00000000-0005-0000-0000-000075450000}"/>
    <cellStyle name="Normal 2 12 2 3 3 2 2 2 3 2" xfId="37606" xr:uid="{00000000-0005-0000-0000-000076450000}"/>
    <cellStyle name="Normal 2 12 2 3 3 2 2 2 4" xfId="30165" xr:uid="{00000000-0005-0000-0000-000077450000}"/>
    <cellStyle name="Normal 2 12 2 3 3 2 2 3" xfId="18685" xr:uid="{00000000-0005-0000-0000-000078450000}"/>
    <cellStyle name="Normal 2 12 2 3 3 2 2 3 2" xfId="41328" xr:uid="{00000000-0005-0000-0000-000079450000}"/>
    <cellStyle name="Normal 2 12 2 3 3 2 2 4" xfId="11245" xr:uid="{00000000-0005-0000-0000-00007A450000}"/>
    <cellStyle name="Normal 2 12 2 3 3 2 2 4 2" xfId="33888" xr:uid="{00000000-0005-0000-0000-00007B450000}"/>
    <cellStyle name="Normal 2 12 2 3 3 2 2 5" xfId="26447" xr:uid="{00000000-0005-0000-0000-00007C450000}"/>
    <cellStyle name="Normal 2 12 2 3 3 2 3" xfId="5672" xr:uid="{00000000-0005-0000-0000-00007D450000}"/>
    <cellStyle name="Normal 2 12 2 3 3 2 3 2" xfId="20556" xr:uid="{00000000-0005-0000-0000-00007E450000}"/>
    <cellStyle name="Normal 2 12 2 3 3 2 3 2 2" xfId="43199" xr:uid="{00000000-0005-0000-0000-00007F450000}"/>
    <cellStyle name="Normal 2 12 2 3 3 2 3 3" xfId="13116" xr:uid="{00000000-0005-0000-0000-000080450000}"/>
    <cellStyle name="Normal 2 12 2 3 3 2 3 3 2" xfId="35759" xr:uid="{00000000-0005-0000-0000-000081450000}"/>
    <cellStyle name="Normal 2 12 2 3 3 2 3 4" xfId="28318" xr:uid="{00000000-0005-0000-0000-000082450000}"/>
    <cellStyle name="Normal 2 12 2 3 3 2 4" xfId="16838" xr:uid="{00000000-0005-0000-0000-000083450000}"/>
    <cellStyle name="Normal 2 12 2 3 3 2 4 2" xfId="39481" xr:uid="{00000000-0005-0000-0000-000084450000}"/>
    <cellStyle name="Normal 2 12 2 3 3 2 5" xfId="9398" xr:uid="{00000000-0005-0000-0000-000085450000}"/>
    <cellStyle name="Normal 2 12 2 3 3 2 5 2" xfId="32041" xr:uid="{00000000-0005-0000-0000-000086450000}"/>
    <cellStyle name="Normal 2 12 2 3 3 2 6" xfId="24600" xr:uid="{00000000-0005-0000-0000-000087450000}"/>
    <cellStyle name="Normal 2 12 2 3 3 3" xfId="2873" xr:uid="{00000000-0005-0000-0000-000088450000}"/>
    <cellStyle name="Normal 2 12 2 3 3 3 2" xfId="6594" xr:uid="{00000000-0005-0000-0000-000089450000}"/>
    <cellStyle name="Normal 2 12 2 3 3 3 2 2" xfId="21478" xr:uid="{00000000-0005-0000-0000-00008A450000}"/>
    <cellStyle name="Normal 2 12 2 3 3 3 2 2 2" xfId="44121" xr:uid="{00000000-0005-0000-0000-00008B450000}"/>
    <cellStyle name="Normal 2 12 2 3 3 3 2 3" xfId="14038" xr:uid="{00000000-0005-0000-0000-00008C450000}"/>
    <cellStyle name="Normal 2 12 2 3 3 3 2 3 2" xfId="36681" xr:uid="{00000000-0005-0000-0000-00008D450000}"/>
    <cellStyle name="Normal 2 12 2 3 3 3 2 4" xfId="29240" xr:uid="{00000000-0005-0000-0000-00008E450000}"/>
    <cellStyle name="Normal 2 12 2 3 3 3 3" xfId="17760" xr:uid="{00000000-0005-0000-0000-00008F450000}"/>
    <cellStyle name="Normal 2 12 2 3 3 3 3 2" xfId="40403" xr:uid="{00000000-0005-0000-0000-000090450000}"/>
    <cellStyle name="Normal 2 12 2 3 3 3 4" xfId="10320" xr:uid="{00000000-0005-0000-0000-000091450000}"/>
    <cellStyle name="Normal 2 12 2 3 3 3 4 2" xfId="32963" xr:uid="{00000000-0005-0000-0000-000092450000}"/>
    <cellStyle name="Normal 2 12 2 3 3 3 5" xfId="25522" xr:uid="{00000000-0005-0000-0000-000093450000}"/>
    <cellStyle name="Normal 2 12 2 3 3 4" xfId="4747" xr:uid="{00000000-0005-0000-0000-000094450000}"/>
    <cellStyle name="Normal 2 12 2 3 3 4 2" xfId="19631" xr:uid="{00000000-0005-0000-0000-000095450000}"/>
    <cellStyle name="Normal 2 12 2 3 3 4 2 2" xfId="42274" xr:uid="{00000000-0005-0000-0000-000096450000}"/>
    <cellStyle name="Normal 2 12 2 3 3 4 3" xfId="12191" xr:uid="{00000000-0005-0000-0000-000097450000}"/>
    <cellStyle name="Normal 2 12 2 3 3 4 3 2" xfId="34834" xr:uid="{00000000-0005-0000-0000-000098450000}"/>
    <cellStyle name="Normal 2 12 2 3 3 4 4" xfId="27393" xr:uid="{00000000-0005-0000-0000-000099450000}"/>
    <cellStyle name="Normal 2 12 2 3 3 5" xfId="15913" xr:uid="{00000000-0005-0000-0000-00009A450000}"/>
    <cellStyle name="Normal 2 12 2 3 3 5 2" xfId="38556" xr:uid="{00000000-0005-0000-0000-00009B450000}"/>
    <cellStyle name="Normal 2 12 2 3 3 6" xfId="8473" xr:uid="{00000000-0005-0000-0000-00009C450000}"/>
    <cellStyle name="Normal 2 12 2 3 3 6 2" xfId="31116" xr:uid="{00000000-0005-0000-0000-00009D450000}"/>
    <cellStyle name="Normal 2 12 2 3 3 7" xfId="23675" xr:uid="{00000000-0005-0000-0000-00009E450000}"/>
    <cellStyle name="Normal 2 12 2 3 4" xfId="1486" xr:uid="{00000000-0005-0000-0000-00009F450000}"/>
    <cellStyle name="Normal 2 12 2 3 4 2" xfId="3336" xr:uid="{00000000-0005-0000-0000-0000A0450000}"/>
    <cellStyle name="Normal 2 12 2 3 4 2 2" xfId="7057" xr:uid="{00000000-0005-0000-0000-0000A1450000}"/>
    <cellStyle name="Normal 2 12 2 3 4 2 2 2" xfId="21941" xr:uid="{00000000-0005-0000-0000-0000A2450000}"/>
    <cellStyle name="Normal 2 12 2 3 4 2 2 2 2" xfId="44584" xr:uid="{00000000-0005-0000-0000-0000A3450000}"/>
    <cellStyle name="Normal 2 12 2 3 4 2 2 3" xfId="14501" xr:uid="{00000000-0005-0000-0000-0000A4450000}"/>
    <cellStyle name="Normal 2 12 2 3 4 2 2 3 2" xfId="37144" xr:uid="{00000000-0005-0000-0000-0000A5450000}"/>
    <cellStyle name="Normal 2 12 2 3 4 2 2 4" xfId="29703" xr:uid="{00000000-0005-0000-0000-0000A6450000}"/>
    <cellStyle name="Normal 2 12 2 3 4 2 3" xfId="18223" xr:uid="{00000000-0005-0000-0000-0000A7450000}"/>
    <cellStyle name="Normal 2 12 2 3 4 2 3 2" xfId="40866" xr:uid="{00000000-0005-0000-0000-0000A8450000}"/>
    <cellStyle name="Normal 2 12 2 3 4 2 4" xfId="10783" xr:uid="{00000000-0005-0000-0000-0000A9450000}"/>
    <cellStyle name="Normal 2 12 2 3 4 2 4 2" xfId="33426" xr:uid="{00000000-0005-0000-0000-0000AA450000}"/>
    <cellStyle name="Normal 2 12 2 3 4 2 5" xfId="25985" xr:uid="{00000000-0005-0000-0000-0000AB450000}"/>
    <cellStyle name="Normal 2 12 2 3 4 3" xfId="5210" xr:uid="{00000000-0005-0000-0000-0000AC450000}"/>
    <cellStyle name="Normal 2 12 2 3 4 3 2" xfId="20094" xr:uid="{00000000-0005-0000-0000-0000AD450000}"/>
    <cellStyle name="Normal 2 12 2 3 4 3 2 2" xfId="42737" xr:uid="{00000000-0005-0000-0000-0000AE450000}"/>
    <cellStyle name="Normal 2 12 2 3 4 3 3" xfId="12654" xr:uid="{00000000-0005-0000-0000-0000AF450000}"/>
    <cellStyle name="Normal 2 12 2 3 4 3 3 2" xfId="35297" xr:uid="{00000000-0005-0000-0000-0000B0450000}"/>
    <cellStyle name="Normal 2 12 2 3 4 3 4" xfId="27856" xr:uid="{00000000-0005-0000-0000-0000B1450000}"/>
    <cellStyle name="Normal 2 12 2 3 4 4" xfId="16376" xr:uid="{00000000-0005-0000-0000-0000B2450000}"/>
    <cellStyle name="Normal 2 12 2 3 4 4 2" xfId="39019" xr:uid="{00000000-0005-0000-0000-0000B3450000}"/>
    <cellStyle name="Normal 2 12 2 3 4 5" xfId="8936" xr:uid="{00000000-0005-0000-0000-0000B4450000}"/>
    <cellStyle name="Normal 2 12 2 3 4 5 2" xfId="31579" xr:uid="{00000000-0005-0000-0000-0000B5450000}"/>
    <cellStyle name="Normal 2 12 2 3 4 6" xfId="24138" xr:uid="{00000000-0005-0000-0000-0000B6450000}"/>
    <cellStyle name="Normal 2 12 2 3 5" xfId="2411" xr:uid="{00000000-0005-0000-0000-0000B7450000}"/>
    <cellStyle name="Normal 2 12 2 3 5 2" xfId="6132" xr:uid="{00000000-0005-0000-0000-0000B8450000}"/>
    <cellStyle name="Normal 2 12 2 3 5 2 2" xfId="21016" xr:uid="{00000000-0005-0000-0000-0000B9450000}"/>
    <cellStyle name="Normal 2 12 2 3 5 2 2 2" xfId="43659" xr:uid="{00000000-0005-0000-0000-0000BA450000}"/>
    <cellStyle name="Normal 2 12 2 3 5 2 3" xfId="13576" xr:uid="{00000000-0005-0000-0000-0000BB450000}"/>
    <cellStyle name="Normal 2 12 2 3 5 2 3 2" xfId="36219" xr:uid="{00000000-0005-0000-0000-0000BC450000}"/>
    <cellStyle name="Normal 2 12 2 3 5 2 4" xfId="28778" xr:uid="{00000000-0005-0000-0000-0000BD450000}"/>
    <cellStyle name="Normal 2 12 2 3 5 3" xfId="17298" xr:uid="{00000000-0005-0000-0000-0000BE450000}"/>
    <cellStyle name="Normal 2 12 2 3 5 3 2" xfId="39941" xr:uid="{00000000-0005-0000-0000-0000BF450000}"/>
    <cellStyle name="Normal 2 12 2 3 5 4" xfId="9858" xr:uid="{00000000-0005-0000-0000-0000C0450000}"/>
    <cellStyle name="Normal 2 12 2 3 5 4 2" xfId="32501" xr:uid="{00000000-0005-0000-0000-0000C1450000}"/>
    <cellStyle name="Normal 2 12 2 3 5 5" xfId="25060" xr:uid="{00000000-0005-0000-0000-0000C2450000}"/>
    <cellStyle name="Normal 2 12 2 3 6" xfId="4285" xr:uid="{00000000-0005-0000-0000-0000C3450000}"/>
    <cellStyle name="Normal 2 12 2 3 6 2" xfId="19169" xr:uid="{00000000-0005-0000-0000-0000C4450000}"/>
    <cellStyle name="Normal 2 12 2 3 6 2 2" xfId="41812" xr:uid="{00000000-0005-0000-0000-0000C5450000}"/>
    <cellStyle name="Normal 2 12 2 3 6 3" xfId="11729" xr:uid="{00000000-0005-0000-0000-0000C6450000}"/>
    <cellStyle name="Normal 2 12 2 3 6 3 2" xfId="34372" xr:uid="{00000000-0005-0000-0000-0000C7450000}"/>
    <cellStyle name="Normal 2 12 2 3 6 4" xfId="26931" xr:uid="{00000000-0005-0000-0000-0000C8450000}"/>
    <cellStyle name="Normal 2 12 2 3 7" xfId="15451" xr:uid="{00000000-0005-0000-0000-0000C9450000}"/>
    <cellStyle name="Normal 2 12 2 3 7 2" xfId="38094" xr:uid="{00000000-0005-0000-0000-0000CA450000}"/>
    <cellStyle name="Normal 2 12 2 3 8" xfId="8011" xr:uid="{00000000-0005-0000-0000-0000CB450000}"/>
    <cellStyle name="Normal 2 12 2 3 8 2" xfId="30654" xr:uid="{00000000-0005-0000-0000-0000CC450000}"/>
    <cellStyle name="Normal 2 12 2 3 9" xfId="23214" xr:uid="{00000000-0005-0000-0000-0000CD450000}"/>
    <cellStyle name="Normal 2 12 2 4" xfId="661" xr:uid="{00000000-0005-0000-0000-0000CE450000}"/>
    <cellStyle name="Normal 2 12 2 4 2" xfId="1126" xr:uid="{00000000-0005-0000-0000-0000CF450000}"/>
    <cellStyle name="Normal 2 12 2 4 2 2" xfId="2054" xr:uid="{00000000-0005-0000-0000-0000D0450000}"/>
    <cellStyle name="Normal 2 12 2 4 2 2 2" xfId="3904" xr:uid="{00000000-0005-0000-0000-0000D1450000}"/>
    <cellStyle name="Normal 2 12 2 4 2 2 2 2" xfId="7625" xr:uid="{00000000-0005-0000-0000-0000D2450000}"/>
    <cellStyle name="Normal 2 12 2 4 2 2 2 2 2" xfId="22509" xr:uid="{00000000-0005-0000-0000-0000D3450000}"/>
    <cellStyle name="Normal 2 12 2 4 2 2 2 2 2 2" xfId="45152" xr:uid="{00000000-0005-0000-0000-0000D4450000}"/>
    <cellStyle name="Normal 2 12 2 4 2 2 2 2 3" xfId="15069" xr:uid="{00000000-0005-0000-0000-0000D5450000}"/>
    <cellStyle name="Normal 2 12 2 4 2 2 2 2 3 2" xfId="37712" xr:uid="{00000000-0005-0000-0000-0000D6450000}"/>
    <cellStyle name="Normal 2 12 2 4 2 2 2 2 4" xfId="30271" xr:uid="{00000000-0005-0000-0000-0000D7450000}"/>
    <cellStyle name="Normal 2 12 2 4 2 2 2 3" xfId="18791" xr:uid="{00000000-0005-0000-0000-0000D8450000}"/>
    <cellStyle name="Normal 2 12 2 4 2 2 2 3 2" xfId="41434" xr:uid="{00000000-0005-0000-0000-0000D9450000}"/>
    <cellStyle name="Normal 2 12 2 4 2 2 2 4" xfId="11351" xr:uid="{00000000-0005-0000-0000-0000DA450000}"/>
    <cellStyle name="Normal 2 12 2 4 2 2 2 4 2" xfId="33994" xr:uid="{00000000-0005-0000-0000-0000DB450000}"/>
    <cellStyle name="Normal 2 12 2 4 2 2 2 5" xfId="26553" xr:uid="{00000000-0005-0000-0000-0000DC450000}"/>
    <cellStyle name="Normal 2 12 2 4 2 2 3" xfId="5778" xr:uid="{00000000-0005-0000-0000-0000DD450000}"/>
    <cellStyle name="Normal 2 12 2 4 2 2 3 2" xfId="20662" xr:uid="{00000000-0005-0000-0000-0000DE450000}"/>
    <cellStyle name="Normal 2 12 2 4 2 2 3 2 2" xfId="43305" xr:uid="{00000000-0005-0000-0000-0000DF450000}"/>
    <cellStyle name="Normal 2 12 2 4 2 2 3 3" xfId="13222" xr:uid="{00000000-0005-0000-0000-0000E0450000}"/>
    <cellStyle name="Normal 2 12 2 4 2 2 3 3 2" xfId="35865" xr:uid="{00000000-0005-0000-0000-0000E1450000}"/>
    <cellStyle name="Normal 2 12 2 4 2 2 3 4" xfId="28424" xr:uid="{00000000-0005-0000-0000-0000E2450000}"/>
    <cellStyle name="Normal 2 12 2 4 2 2 4" xfId="16944" xr:uid="{00000000-0005-0000-0000-0000E3450000}"/>
    <cellStyle name="Normal 2 12 2 4 2 2 4 2" xfId="39587" xr:uid="{00000000-0005-0000-0000-0000E4450000}"/>
    <cellStyle name="Normal 2 12 2 4 2 2 5" xfId="9504" xr:uid="{00000000-0005-0000-0000-0000E5450000}"/>
    <cellStyle name="Normal 2 12 2 4 2 2 5 2" xfId="32147" xr:uid="{00000000-0005-0000-0000-0000E6450000}"/>
    <cellStyle name="Normal 2 12 2 4 2 2 6" xfId="24706" xr:uid="{00000000-0005-0000-0000-0000E7450000}"/>
    <cellStyle name="Normal 2 12 2 4 2 3" xfId="2979" xr:uid="{00000000-0005-0000-0000-0000E8450000}"/>
    <cellStyle name="Normal 2 12 2 4 2 3 2" xfId="6700" xr:uid="{00000000-0005-0000-0000-0000E9450000}"/>
    <cellStyle name="Normal 2 12 2 4 2 3 2 2" xfId="21584" xr:uid="{00000000-0005-0000-0000-0000EA450000}"/>
    <cellStyle name="Normal 2 12 2 4 2 3 2 2 2" xfId="44227" xr:uid="{00000000-0005-0000-0000-0000EB450000}"/>
    <cellStyle name="Normal 2 12 2 4 2 3 2 3" xfId="14144" xr:uid="{00000000-0005-0000-0000-0000EC450000}"/>
    <cellStyle name="Normal 2 12 2 4 2 3 2 3 2" xfId="36787" xr:uid="{00000000-0005-0000-0000-0000ED450000}"/>
    <cellStyle name="Normal 2 12 2 4 2 3 2 4" xfId="29346" xr:uid="{00000000-0005-0000-0000-0000EE450000}"/>
    <cellStyle name="Normal 2 12 2 4 2 3 3" xfId="17866" xr:uid="{00000000-0005-0000-0000-0000EF450000}"/>
    <cellStyle name="Normal 2 12 2 4 2 3 3 2" xfId="40509" xr:uid="{00000000-0005-0000-0000-0000F0450000}"/>
    <cellStyle name="Normal 2 12 2 4 2 3 4" xfId="10426" xr:uid="{00000000-0005-0000-0000-0000F1450000}"/>
    <cellStyle name="Normal 2 12 2 4 2 3 4 2" xfId="33069" xr:uid="{00000000-0005-0000-0000-0000F2450000}"/>
    <cellStyle name="Normal 2 12 2 4 2 3 5" xfId="25628" xr:uid="{00000000-0005-0000-0000-0000F3450000}"/>
    <cellStyle name="Normal 2 12 2 4 2 4" xfId="4853" xr:uid="{00000000-0005-0000-0000-0000F4450000}"/>
    <cellStyle name="Normal 2 12 2 4 2 4 2" xfId="19737" xr:uid="{00000000-0005-0000-0000-0000F5450000}"/>
    <cellStyle name="Normal 2 12 2 4 2 4 2 2" xfId="42380" xr:uid="{00000000-0005-0000-0000-0000F6450000}"/>
    <cellStyle name="Normal 2 12 2 4 2 4 3" xfId="12297" xr:uid="{00000000-0005-0000-0000-0000F7450000}"/>
    <cellStyle name="Normal 2 12 2 4 2 4 3 2" xfId="34940" xr:uid="{00000000-0005-0000-0000-0000F8450000}"/>
    <cellStyle name="Normal 2 12 2 4 2 4 4" xfId="27499" xr:uid="{00000000-0005-0000-0000-0000F9450000}"/>
    <cellStyle name="Normal 2 12 2 4 2 5" xfId="16019" xr:uid="{00000000-0005-0000-0000-0000FA450000}"/>
    <cellStyle name="Normal 2 12 2 4 2 5 2" xfId="38662" xr:uid="{00000000-0005-0000-0000-0000FB450000}"/>
    <cellStyle name="Normal 2 12 2 4 2 6" xfId="8579" xr:uid="{00000000-0005-0000-0000-0000FC450000}"/>
    <cellStyle name="Normal 2 12 2 4 2 6 2" xfId="31222" xr:uid="{00000000-0005-0000-0000-0000FD450000}"/>
    <cellStyle name="Normal 2 12 2 4 2 7" xfId="23781" xr:uid="{00000000-0005-0000-0000-0000FE450000}"/>
    <cellStyle name="Normal 2 12 2 4 3" xfId="1592" xr:uid="{00000000-0005-0000-0000-0000FF450000}"/>
    <cellStyle name="Normal 2 12 2 4 3 2" xfId="3442" xr:uid="{00000000-0005-0000-0000-000000460000}"/>
    <cellStyle name="Normal 2 12 2 4 3 2 2" xfId="7163" xr:uid="{00000000-0005-0000-0000-000001460000}"/>
    <cellStyle name="Normal 2 12 2 4 3 2 2 2" xfId="22047" xr:uid="{00000000-0005-0000-0000-000002460000}"/>
    <cellStyle name="Normal 2 12 2 4 3 2 2 2 2" xfId="44690" xr:uid="{00000000-0005-0000-0000-000003460000}"/>
    <cellStyle name="Normal 2 12 2 4 3 2 2 3" xfId="14607" xr:uid="{00000000-0005-0000-0000-000004460000}"/>
    <cellStyle name="Normal 2 12 2 4 3 2 2 3 2" xfId="37250" xr:uid="{00000000-0005-0000-0000-000005460000}"/>
    <cellStyle name="Normal 2 12 2 4 3 2 2 4" xfId="29809" xr:uid="{00000000-0005-0000-0000-000006460000}"/>
    <cellStyle name="Normal 2 12 2 4 3 2 3" xfId="18329" xr:uid="{00000000-0005-0000-0000-000007460000}"/>
    <cellStyle name="Normal 2 12 2 4 3 2 3 2" xfId="40972" xr:uid="{00000000-0005-0000-0000-000008460000}"/>
    <cellStyle name="Normal 2 12 2 4 3 2 4" xfId="10889" xr:uid="{00000000-0005-0000-0000-000009460000}"/>
    <cellStyle name="Normal 2 12 2 4 3 2 4 2" xfId="33532" xr:uid="{00000000-0005-0000-0000-00000A460000}"/>
    <cellStyle name="Normal 2 12 2 4 3 2 5" xfId="26091" xr:uid="{00000000-0005-0000-0000-00000B460000}"/>
    <cellStyle name="Normal 2 12 2 4 3 3" xfId="5316" xr:uid="{00000000-0005-0000-0000-00000C460000}"/>
    <cellStyle name="Normal 2 12 2 4 3 3 2" xfId="20200" xr:uid="{00000000-0005-0000-0000-00000D460000}"/>
    <cellStyle name="Normal 2 12 2 4 3 3 2 2" xfId="42843" xr:uid="{00000000-0005-0000-0000-00000E460000}"/>
    <cellStyle name="Normal 2 12 2 4 3 3 3" xfId="12760" xr:uid="{00000000-0005-0000-0000-00000F460000}"/>
    <cellStyle name="Normal 2 12 2 4 3 3 3 2" xfId="35403" xr:uid="{00000000-0005-0000-0000-000010460000}"/>
    <cellStyle name="Normal 2 12 2 4 3 3 4" xfId="27962" xr:uid="{00000000-0005-0000-0000-000011460000}"/>
    <cellStyle name="Normal 2 12 2 4 3 4" xfId="16482" xr:uid="{00000000-0005-0000-0000-000012460000}"/>
    <cellStyle name="Normal 2 12 2 4 3 4 2" xfId="39125" xr:uid="{00000000-0005-0000-0000-000013460000}"/>
    <cellStyle name="Normal 2 12 2 4 3 5" xfId="9042" xr:uid="{00000000-0005-0000-0000-000014460000}"/>
    <cellStyle name="Normal 2 12 2 4 3 5 2" xfId="31685" xr:uid="{00000000-0005-0000-0000-000015460000}"/>
    <cellStyle name="Normal 2 12 2 4 3 6" xfId="24244" xr:uid="{00000000-0005-0000-0000-000016460000}"/>
    <cellStyle name="Normal 2 12 2 4 4" xfId="2517" xr:uid="{00000000-0005-0000-0000-000017460000}"/>
    <cellStyle name="Normal 2 12 2 4 4 2" xfId="6238" xr:uid="{00000000-0005-0000-0000-000018460000}"/>
    <cellStyle name="Normal 2 12 2 4 4 2 2" xfId="21122" xr:uid="{00000000-0005-0000-0000-000019460000}"/>
    <cellStyle name="Normal 2 12 2 4 4 2 2 2" xfId="43765" xr:uid="{00000000-0005-0000-0000-00001A460000}"/>
    <cellStyle name="Normal 2 12 2 4 4 2 3" xfId="13682" xr:uid="{00000000-0005-0000-0000-00001B460000}"/>
    <cellStyle name="Normal 2 12 2 4 4 2 3 2" xfId="36325" xr:uid="{00000000-0005-0000-0000-00001C460000}"/>
    <cellStyle name="Normal 2 12 2 4 4 2 4" xfId="28884" xr:uid="{00000000-0005-0000-0000-00001D460000}"/>
    <cellStyle name="Normal 2 12 2 4 4 3" xfId="17404" xr:uid="{00000000-0005-0000-0000-00001E460000}"/>
    <cellStyle name="Normal 2 12 2 4 4 3 2" xfId="40047" xr:uid="{00000000-0005-0000-0000-00001F460000}"/>
    <cellStyle name="Normal 2 12 2 4 4 4" xfId="9964" xr:uid="{00000000-0005-0000-0000-000020460000}"/>
    <cellStyle name="Normal 2 12 2 4 4 4 2" xfId="32607" xr:uid="{00000000-0005-0000-0000-000021460000}"/>
    <cellStyle name="Normal 2 12 2 4 4 5" xfId="25166" xr:uid="{00000000-0005-0000-0000-000022460000}"/>
    <cellStyle name="Normal 2 12 2 4 5" xfId="4391" xr:uid="{00000000-0005-0000-0000-000023460000}"/>
    <cellStyle name="Normal 2 12 2 4 5 2" xfId="19275" xr:uid="{00000000-0005-0000-0000-000024460000}"/>
    <cellStyle name="Normal 2 12 2 4 5 2 2" xfId="41918" xr:uid="{00000000-0005-0000-0000-000025460000}"/>
    <cellStyle name="Normal 2 12 2 4 5 3" xfId="11835" xr:uid="{00000000-0005-0000-0000-000026460000}"/>
    <cellStyle name="Normal 2 12 2 4 5 3 2" xfId="34478" xr:uid="{00000000-0005-0000-0000-000027460000}"/>
    <cellStyle name="Normal 2 12 2 4 5 4" xfId="27037" xr:uid="{00000000-0005-0000-0000-000028460000}"/>
    <cellStyle name="Normal 2 12 2 4 6" xfId="15557" xr:uid="{00000000-0005-0000-0000-000029460000}"/>
    <cellStyle name="Normal 2 12 2 4 6 2" xfId="38200" xr:uid="{00000000-0005-0000-0000-00002A460000}"/>
    <cellStyle name="Normal 2 12 2 4 7" xfId="8117" xr:uid="{00000000-0005-0000-0000-00002B460000}"/>
    <cellStyle name="Normal 2 12 2 4 7 2" xfId="30760" xr:uid="{00000000-0005-0000-0000-00002C460000}"/>
    <cellStyle name="Normal 2 12 2 4 8" xfId="23319" xr:uid="{00000000-0005-0000-0000-00002D460000}"/>
    <cellStyle name="Normal 2 12 2 5" xfId="915" xr:uid="{00000000-0005-0000-0000-00002E460000}"/>
    <cellStyle name="Normal 2 12 2 5 2" xfId="1843" xr:uid="{00000000-0005-0000-0000-00002F460000}"/>
    <cellStyle name="Normal 2 12 2 5 2 2" xfId="3693" xr:uid="{00000000-0005-0000-0000-000030460000}"/>
    <cellStyle name="Normal 2 12 2 5 2 2 2" xfId="7414" xr:uid="{00000000-0005-0000-0000-000031460000}"/>
    <cellStyle name="Normal 2 12 2 5 2 2 2 2" xfId="22298" xr:uid="{00000000-0005-0000-0000-000032460000}"/>
    <cellStyle name="Normal 2 12 2 5 2 2 2 2 2" xfId="44941" xr:uid="{00000000-0005-0000-0000-000033460000}"/>
    <cellStyle name="Normal 2 12 2 5 2 2 2 3" xfId="14858" xr:uid="{00000000-0005-0000-0000-000034460000}"/>
    <cellStyle name="Normal 2 12 2 5 2 2 2 3 2" xfId="37501" xr:uid="{00000000-0005-0000-0000-000035460000}"/>
    <cellStyle name="Normal 2 12 2 5 2 2 2 4" xfId="30060" xr:uid="{00000000-0005-0000-0000-000036460000}"/>
    <cellStyle name="Normal 2 12 2 5 2 2 3" xfId="18580" xr:uid="{00000000-0005-0000-0000-000037460000}"/>
    <cellStyle name="Normal 2 12 2 5 2 2 3 2" xfId="41223" xr:uid="{00000000-0005-0000-0000-000038460000}"/>
    <cellStyle name="Normal 2 12 2 5 2 2 4" xfId="11140" xr:uid="{00000000-0005-0000-0000-000039460000}"/>
    <cellStyle name="Normal 2 12 2 5 2 2 4 2" xfId="33783" xr:uid="{00000000-0005-0000-0000-00003A460000}"/>
    <cellStyle name="Normal 2 12 2 5 2 2 5" xfId="26342" xr:uid="{00000000-0005-0000-0000-00003B460000}"/>
    <cellStyle name="Normal 2 12 2 5 2 3" xfId="5567" xr:uid="{00000000-0005-0000-0000-00003C460000}"/>
    <cellStyle name="Normal 2 12 2 5 2 3 2" xfId="20451" xr:uid="{00000000-0005-0000-0000-00003D460000}"/>
    <cellStyle name="Normal 2 12 2 5 2 3 2 2" xfId="43094" xr:uid="{00000000-0005-0000-0000-00003E460000}"/>
    <cellStyle name="Normal 2 12 2 5 2 3 3" xfId="13011" xr:uid="{00000000-0005-0000-0000-00003F460000}"/>
    <cellStyle name="Normal 2 12 2 5 2 3 3 2" xfId="35654" xr:uid="{00000000-0005-0000-0000-000040460000}"/>
    <cellStyle name="Normal 2 12 2 5 2 3 4" xfId="28213" xr:uid="{00000000-0005-0000-0000-000041460000}"/>
    <cellStyle name="Normal 2 12 2 5 2 4" xfId="16733" xr:uid="{00000000-0005-0000-0000-000042460000}"/>
    <cellStyle name="Normal 2 12 2 5 2 4 2" xfId="39376" xr:uid="{00000000-0005-0000-0000-000043460000}"/>
    <cellStyle name="Normal 2 12 2 5 2 5" xfId="9293" xr:uid="{00000000-0005-0000-0000-000044460000}"/>
    <cellStyle name="Normal 2 12 2 5 2 5 2" xfId="31936" xr:uid="{00000000-0005-0000-0000-000045460000}"/>
    <cellStyle name="Normal 2 12 2 5 2 6" xfId="24495" xr:uid="{00000000-0005-0000-0000-000046460000}"/>
    <cellStyle name="Normal 2 12 2 5 3" xfId="2768" xr:uid="{00000000-0005-0000-0000-000047460000}"/>
    <cellStyle name="Normal 2 12 2 5 3 2" xfId="6489" xr:uid="{00000000-0005-0000-0000-000048460000}"/>
    <cellStyle name="Normal 2 12 2 5 3 2 2" xfId="21373" xr:uid="{00000000-0005-0000-0000-000049460000}"/>
    <cellStyle name="Normal 2 12 2 5 3 2 2 2" xfId="44016" xr:uid="{00000000-0005-0000-0000-00004A460000}"/>
    <cellStyle name="Normal 2 12 2 5 3 2 3" xfId="13933" xr:uid="{00000000-0005-0000-0000-00004B460000}"/>
    <cellStyle name="Normal 2 12 2 5 3 2 3 2" xfId="36576" xr:uid="{00000000-0005-0000-0000-00004C460000}"/>
    <cellStyle name="Normal 2 12 2 5 3 2 4" xfId="29135" xr:uid="{00000000-0005-0000-0000-00004D460000}"/>
    <cellStyle name="Normal 2 12 2 5 3 3" xfId="17655" xr:uid="{00000000-0005-0000-0000-00004E460000}"/>
    <cellStyle name="Normal 2 12 2 5 3 3 2" xfId="40298" xr:uid="{00000000-0005-0000-0000-00004F460000}"/>
    <cellStyle name="Normal 2 12 2 5 3 4" xfId="10215" xr:uid="{00000000-0005-0000-0000-000050460000}"/>
    <cellStyle name="Normal 2 12 2 5 3 4 2" xfId="32858" xr:uid="{00000000-0005-0000-0000-000051460000}"/>
    <cellStyle name="Normal 2 12 2 5 3 5" xfId="25417" xr:uid="{00000000-0005-0000-0000-000052460000}"/>
    <cellStyle name="Normal 2 12 2 5 4" xfId="4642" xr:uid="{00000000-0005-0000-0000-000053460000}"/>
    <cellStyle name="Normal 2 12 2 5 4 2" xfId="19526" xr:uid="{00000000-0005-0000-0000-000054460000}"/>
    <cellStyle name="Normal 2 12 2 5 4 2 2" xfId="42169" xr:uid="{00000000-0005-0000-0000-000055460000}"/>
    <cellStyle name="Normal 2 12 2 5 4 3" xfId="12086" xr:uid="{00000000-0005-0000-0000-000056460000}"/>
    <cellStyle name="Normal 2 12 2 5 4 3 2" xfId="34729" xr:uid="{00000000-0005-0000-0000-000057460000}"/>
    <cellStyle name="Normal 2 12 2 5 4 4" xfId="27288" xr:uid="{00000000-0005-0000-0000-000058460000}"/>
    <cellStyle name="Normal 2 12 2 5 5" xfId="15808" xr:uid="{00000000-0005-0000-0000-000059460000}"/>
    <cellStyle name="Normal 2 12 2 5 5 2" xfId="38451" xr:uid="{00000000-0005-0000-0000-00005A460000}"/>
    <cellStyle name="Normal 2 12 2 5 6" xfId="8368" xr:uid="{00000000-0005-0000-0000-00005B460000}"/>
    <cellStyle name="Normal 2 12 2 5 6 2" xfId="31011" xr:uid="{00000000-0005-0000-0000-00005C460000}"/>
    <cellStyle name="Normal 2 12 2 5 7" xfId="23570" xr:uid="{00000000-0005-0000-0000-00005D460000}"/>
    <cellStyle name="Normal 2 12 2 6" xfId="1381" xr:uid="{00000000-0005-0000-0000-00005E460000}"/>
    <cellStyle name="Normal 2 12 2 6 2" xfId="3231" xr:uid="{00000000-0005-0000-0000-00005F460000}"/>
    <cellStyle name="Normal 2 12 2 6 2 2" xfId="6952" xr:uid="{00000000-0005-0000-0000-000060460000}"/>
    <cellStyle name="Normal 2 12 2 6 2 2 2" xfId="21836" xr:uid="{00000000-0005-0000-0000-000061460000}"/>
    <cellStyle name="Normal 2 12 2 6 2 2 2 2" xfId="44479" xr:uid="{00000000-0005-0000-0000-000062460000}"/>
    <cellStyle name="Normal 2 12 2 6 2 2 3" xfId="14396" xr:uid="{00000000-0005-0000-0000-000063460000}"/>
    <cellStyle name="Normal 2 12 2 6 2 2 3 2" xfId="37039" xr:uid="{00000000-0005-0000-0000-000064460000}"/>
    <cellStyle name="Normal 2 12 2 6 2 2 4" xfId="29598" xr:uid="{00000000-0005-0000-0000-000065460000}"/>
    <cellStyle name="Normal 2 12 2 6 2 3" xfId="18118" xr:uid="{00000000-0005-0000-0000-000066460000}"/>
    <cellStyle name="Normal 2 12 2 6 2 3 2" xfId="40761" xr:uid="{00000000-0005-0000-0000-000067460000}"/>
    <cellStyle name="Normal 2 12 2 6 2 4" xfId="10678" xr:uid="{00000000-0005-0000-0000-000068460000}"/>
    <cellStyle name="Normal 2 12 2 6 2 4 2" xfId="33321" xr:uid="{00000000-0005-0000-0000-000069460000}"/>
    <cellStyle name="Normal 2 12 2 6 2 5" xfId="25880" xr:uid="{00000000-0005-0000-0000-00006A460000}"/>
    <cellStyle name="Normal 2 12 2 6 3" xfId="5105" xr:uid="{00000000-0005-0000-0000-00006B460000}"/>
    <cellStyle name="Normal 2 12 2 6 3 2" xfId="19989" xr:uid="{00000000-0005-0000-0000-00006C460000}"/>
    <cellStyle name="Normal 2 12 2 6 3 2 2" xfId="42632" xr:uid="{00000000-0005-0000-0000-00006D460000}"/>
    <cellStyle name="Normal 2 12 2 6 3 3" xfId="12549" xr:uid="{00000000-0005-0000-0000-00006E460000}"/>
    <cellStyle name="Normal 2 12 2 6 3 3 2" xfId="35192" xr:uid="{00000000-0005-0000-0000-00006F460000}"/>
    <cellStyle name="Normal 2 12 2 6 3 4" xfId="27751" xr:uid="{00000000-0005-0000-0000-000070460000}"/>
    <cellStyle name="Normal 2 12 2 6 4" xfId="16271" xr:uid="{00000000-0005-0000-0000-000071460000}"/>
    <cellStyle name="Normal 2 12 2 6 4 2" xfId="38914" xr:uid="{00000000-0005-0000-0000-000072460000}"/>
    <cellStyle name="Normal 2 12 2 6 5" xfId="8831" xr:uid="{00000000-0005-0000-0000-000073460000}"/>
    <cellStyle name="Normal 2 12 2 6 5 2" xfId="31474" xr:uid="{00000000-0005-0000-0000-000074460000}"/>
    <cellStyle name="Normal 2 12 2 6 6" xfId="24033" xr:uid="{00000000-0005-0000-0000-000075460000}"/>
    <cellStyle name="Normal 2 12 2 7" xfId="2306" xr:uid="{00000000-0005-0000-0000-000076460000}"/>
    <cellStyle name="Normal 2 12 2 7 2" xfId="6027" xr:uid="{00000000-0005-0000-0000-000077460000}"/>
    <cellStyle name="Normal 2 12 2 7 2 2" xfId="20911" xr:uid="{00000000-0005-0000-0000-000078460000}"/>
    <cellStyle name="Normal 2 12 2 7 2 2 2" xfId="43554" xr:uid="{00000000-0005-0000-0000-000079460000}"/>
    <cellStyle name="Normal 2 12 2 7 2 3" xfId="13471" xr:uid="{00000000-0005-0000-0000-00007A460000}"/>
    <cellStyle name="Normal 2 12 2 7 2 3 2" xfId="36114" xr:uid="{00000000-0005-0000-0000-00007B460000}"/>
    <cellStyle name="Normal 2 12 2 7 2 4" xfId="28673" xr:uid="{00000000-0005-0000-0000-00007C460000}"/>
    <cellStyle name="Normal 2 12 2 7 3" xfId="17193" xr:uid="{00000000-0005-0000-0000-00007D460000}"/>
    <cellStyle name="Normal 2 12 2 7 3 2" xfId="39836" xr:uid="{00000000-0005-0000-0000-00007E460000}"/>
    <cellStyle name="Normal 2 12 2 7 4" xfId="9753" xr:uid="{00000000-0005-0000-0000-00007F460000}"/>
    <cellStyle name="Normal 2 12 2 7 4 2" xfId="32396" xr:uid="{00000000-0005-0000-0000-000080460000}"/>
    <cellStyle name="Normal 2 12 2 7 5" xfId="24955" xr:uid="{00000000-0005-0000-0000-000081460000}"/>
    <cellStyle name="Normal 2 12 2 8" xfId="4180" xr:uid="{00000000-0005-0000-0000-000082460000}"/>
    <cellStyle name="Normal 2 12 2 8 2" xfId="19064" xr:uid="{00000000-0005-0000-0000-000083460000}"/>
    <cellStyle name="Normal 2 12 2 8 2 2" xfId="41707" xr:uid="{00000000-0005-0000-0000-000084460000}"/>
    <cellStyle name="Normal 2 12 2 8 3" xfId="11624" xr:uid="{00000000-0005-0000-0000-000085460000}"/>
    <cellStyle name="Normal 2 12 2 8 3 2" xfId="34267" xr:uid="{00000000-0005-0000-0000-000086460000}"/>
    <cellStyle name="Normal 2 12 2 8 4" xfId="26826" xr:uid="{00000000-0005-0000-0000-000087460000}"/>
    <cellStyle name="Normal 2 12 2 9" xfId="15346" xr:uid="{00000000-0005-0000-0000-000088460000}"/>
    <cellStyle name="Normal 2 12 2 9 2" xfId="37989" xr:uid="{00000000-0005-0000-0000-000089460000}"/>
    <cellStyle name="Normal 2 12 3" xfId="480" xr:uid="{00000000-0005-0000-0000-00008A460000}"/>
    <cellStyle name="Normal 2 12 3 10" xfId="23141" xr:uid="{00000000-0005-0000-0000-00008B460000}"/>
    <cellStyle name="Normal 2 12 3 2" xfId="586" xr:uid="{00000000-0005-0000-0000-00008C460000}"/>
    <cellStyle name="Normal 2 12 3 2 2" xfId="798" xr:uid="{00000000-0005-0000-0000-00008D460000}"/>
    <cellStyle name="Normal 2 12 3 2 2 2" xfId="1263" xr:uid="{00000000-0005-0000-0000-00008E460000}"/>
    <cellStyle name="Normal 2 12 3 2 2 2 2" xfId="2191" xr:uid="{00000000-0005-0000-0000-00008F460000}"/>
    <cellStyle name="Normal 2 12 3 2 2 2 2 2" xfId="4041" xr:uid="{00000000-0005-0000-0000-000090460000}"/>
    <cellStyle name="Normal 2 12 3 2 2 2 2 2 2" xfId="7762" xr:uid="{00000000-0005-0000-0000-000091460000}"/>
    <cellStyle name="Normal 2 12 3 2 2 2 2 2 2 2" xfId="22646" xr:uid="{00000000-0005-0000-0000-000092460000}"/>
    <cellStyle name="Normal 2 12 3 2 2 2 2 2 2 2 2" xfId="45289" xr:uid="{00000000-0005-0000-0000-000093460000}"/>
    <cellStyle name="Normal 2 12 3 2 2 2 2 2 2 3" xfId="15206" xr:uid="{00000000-0005-0000-0000-000094460000}"/>
    <cellStyle name="Normal 2 12 3 2 2 2 2 2 2 3 2" xfId="37849" xr:uid="{00000000-0005-0000-0000-000095460000}"/>
    <cellStyle name="Normal 2 12 3 2 2 2 2 2 2 4" xfId="30408" xr:uid="{00000000-0005-0000-0000-000096460000}"/>
    <cellStyle name="Normal 2 12 3 2 2 2 2 2 3" xfId="18928" xr:uid="{00000000-0005-0000-0000-000097460000}"/>
    <cellStyle name="Normal 2 12 3 2 2 2 2 2 3 2" xfId="41571" xr:uid="{00000000-0005-0000-0000-000098460000}"/>
    <cellStyle name="Normal 2 12 3 2 2 2 2 2 4" xfId="11488" xr:uid="{00000000-0005-0000-0000-000099460000}"/>
    <cellStyle name="Normal 2 12 3 2 2 2 2 2 4 2" xfId="34131" xr:uid="{00000000-0005-0000-0000-00009A460000}"/>
    <cellStyle name="Normal 2 12 3 2 2 2 2 2 5" xfId="26690" xr:uid="{00000000-0005-0000-0000-00009B460000}"/>
    <cellStyle name="Normal 2 12 3 2 2 2 2 3" xfId="5915" xr:uid="{00000000-0005-0000-0000-00009C460000}"/>
    <cellStyle name="Normal 2 12 3 2 2 2 2 3 2" xfId="20799" xr:uid="{00000000-0005-0000-0000-00009D460000}"/>
    <cellStyle name="Normal 2 12 3 2 2 2 2 3 2 2" xfId="43442" xr:uid="{00000000-0005-0000-0000-00009E460000}"/>
    <cellStyle name="Normal 2 12 3 2 2 2 2 3 3" xfId="13359" xr:uid="{00000000-0005-0000-0000-00009F460000}"/>
    <cellStyle name="Normal 2 12 3 2 2 2 2 3 3 2" xfId="36002" xr:uid="{00000000-0005-0000-0000-0000A0460000}"/>
    <cellStyle name="Normal 2 12 3 2 2 2 2 3 4" xfId="28561" xr:uid="{00000000-0005-0000-0000-0000A1460000}"/>
    <cellStyle name="Normal 2 12 3 2 2 2 2 4" xfId="17081" xr:uid="{00000000-0005-0000-0000-0000A2460000}"/>
    <cellStyle name="Normal 2 12 3 2 2 2 2 4 2" xfId="39724" xr:uid="{00000000-0005-0000-0000-0000A3460000}"/>
    <cellStyle name="Normal 2 12 3 2 2 2 2 5" xfId="9641" xr:uid="{00000000-0005-0000-0000-0000A4460000}"/>
    <cellStyle name="Normal 2 12 3 2 2 2 2 5 2" xfId="32284" xr:uid="{00000000-0005-0000-0000-0000A5460000}"/>
    <cellStyle name="Normal 2 12 3 2 2 2 2 6" xfId="24843" xr:uid="{00000000-0005-0000-0000-0000A6460000}"/>
    <cellStyle name="Normal 2 12 3 2 2 2 3" xfId="3116" xr:uid="{00000000-0005-0000-0000-0000A7460000}"/>
    <cellStyle name="Normal 2 12 3 2 2 2 3 2" xfId="6837" xr:uid="{00000000-0005-0000-0000-0000A8460000}"/>
    <cellStyle name="Normal 2 12 3 2 2 2 3 2 2" xfId="21721" xr:uid="{00000000-0005-0000-0000-0000A9460000}"/>
    <cellStyle name="Normal 2 12 3 2 2 2 3 2 2 2" xfId="44364" xr:uid="{00000000-0005-0000-0000-0000AA460000}"/>
    <cellStyle name="Normal 2 12 3 2 2 2 3 2 3" xfId="14281" xr:uid="{00000000-0005-0000-0000-0000AB460000}"/>
    <cellStyle name="Normal 2 12 3 2 2 2 3 2 3 2" xfId="36924" xr:uid="{00000000-0005-0000-0000-0000AC460000}"/>
    <cellStyle name="Normal 2 12 3 2 2 2 3 2 4" xfId="29483" xr:uid="{00000000-0005-0000-0000-0000AD460000}"/>
    <cellStyle name="Normal 2 12 3 2 2 2 3 3" xfId="18003" xr:uid="{00000000-0005-0000-0000-0000AE460000}"/>
    <cellStyle name="Normal 2 12 3 2 2 2 3 3 2" xfId="40646" xr:uid="{00000000-0005-0000-0000-0000AF460000}"/>
    <cellStyle name="Normal 2 12 3 2 2 2 3 4" xfId="10563" xr:uid="{00000000-0005-0000-0000-0000B0460000}"/>
    <cellStyle name="Normal 2 12 3 2 2 2 3 4 2" xfId="33206" xr:uid="{00000000-0005-0000-0000-0000B1460000}"/>
    <cellStyle name="Normal 2 12 3 2 2 2 3 5" xfId="25765" xr:uid="{00000000-0005-0000-0000-0000B2460000}"/>
    <cellStyle name="Normal 2 12 3 2 2 2 4" xfId="4990" xr:uid="{00000000-0005-0000-0000-0000B3460000}"/>
    <cellStyle name="Normal 2 12 3 2 2 2 4 2" xfId="19874" xr:uid="{00000000-0005-0000-0000-0000B4460000}"/>
    <cellStyle name="Normal 2 12 3 2 2 2 4 2 2" xfId="42517" xr:uid="{00000000-0005-0000-0000-0000B5460000}"/>
    <cellStyle name="Normal 2 12 3 2 2 2 4 3" xfId="12434" xr:uid="{00000000-0005-0000-0000-0000B6460000}"/>
    <cellStyle name="Normal 2 12 3 2 2 2 4 3 2" xfId="35077" xr:uid="{00000000-0005-0000-0000-0000B7460000}"/>
    <cellStyle name="Normal 2 12 3 2 2 2 4 4" xfId="27636" xr:uid="{00000000-0005-0000-0000-0000B8460000}"/>
    <cellStyle name="Normal 2 12 3 2 2 2 5" xfId="16156" xr:uid="{00000000-0005-0000-0000-0000B9460000}"/>
    <cellStyle name="Normal 2 12 3 2 2 2 5 2" xfId="38799" xr:uid="{00000000-0005-0000-0000-0000BA460000}"/>
    <cellStyle name="Normal 2 12 3 2 2 2 6" xfId="8716" xr:uid="{00000000-0005-0000-0000-0000BB460000}"/>
    <cellStyle name="Normal 2 12 3 2 2 2 6 2" xfId="31359" xr:uid="{00000000-0005-0000-0000-0000BC460000}"/>
    <cellStyle name="Normal 2 12 3 2 2 2 7" xfId="23918" xr:uid="{00000000-0005-0000-0000-0000BD460000}"/>
    <cellStyle name="Normal 2 12 3 2 2 3" xfId="1729" xr:uid="{00000000-0005-0000-0000-0000BE460000}"/>
    <cellStyle name="Normal 2 12 3 2 2 3 2" xfId="3579" xr:uid="{00000000-0005-0000-0000-0000BF460000}"/>
    <cellStyle name="Normal 2 12 3 2 2 3 2 2" xfId="7300" xr:uid="{00000000-0005-0000-0000-0000C0460000}"/>
    <cellStyle name="Normal 2 12 3 2 2 3 2 2 2" xfId="22184" xr:uid="{00000000-0005-0000-0000-0000C1460000}"/>
    <cellStyle name="Normal 2 12 3 2 2 3 2 2 2 2" xfId="44827" xr:uid="{00000000-0005-0000-0000-0000C2460000}"/>
    <cellStyle name="Normal 2 12 3 2 2 3 2 2 3" xfId="14744" xr:uid="{00000000-0005-0000-0000-0000C3460000}"/>
    <cellStyle name="Normal 2 12 3 2 2 3 2 2 3 2" xfId="37387" xr:uid="{00000000-0005-0000-0000-0000C4460000}"/>
    <cellStyle name="Normal 2 12 3 2 2 3 2 2 4" xfId="29946" xr:uid="{00000000-0005-0000-0000-0000C5460000}"/>
    <cellStyle name="Normal 2 12 3 2 2 3 2 3" xfId="18466" xr:uid="{00000000-0005-0000-0000-0000C6460000}"/>
    <cellStyle name="Normal 2 12 3 2 2 3 2 3 2" xfId="41109" xr:uid="{00000000-0005-0000-0000-0000C7460000}"/>
    <cellStyle name="Normal 2 12 3 2 2 3 2 4" xfId="11026" xr:uid="{00000000-0005-0000-0000-0000C8460000}"/>
    <cellStyle name="Normal 2 12 3 2 2 3 2 4 2" xfId="33669" xr:uid="{00000000-0005-0000-0000-0000C9460000}"/>
    <cellStyle name="Normal 2 12 3 2 2 3 2 5" xfId="26228" xr:uid="{00000000-0005-0000-0000-0000CA460000}"/>
    <cellStyle name="Normal 2 12 3 2 2 3 3" xfId="5453" xr:uid="{00000000-0005-0000-0000-0000CB460000}"/>
    <cellStyle name="Normal 2 12 3 2 2 3 3 2" xfId="20337" xr:uid="{00000000-0005-0000-0000-0000CC460000}"/>
    <cellStyle name="Normal 2 12 3 2 2 3 3 2 2" xfId="42980" xr:uid="{00000000-0005-0000-0000-0000CD460000}"/>
    <cellStyle name="Normal 2 12 3 2 2 3 3 3" xfId="12897" xr:uid="{00000000-0005-0000-0000-0000CE460000}"/>
    <cellStyle name="Normal 2 12 3 2 2 3 3 3 2" xfId="35540" xr:uid="{00000000-0005-0000-0000-0000CF460000}"/>
    <cellStyle name="Normal 2 12 3 2 2 3 3 4" xfId="28099" xr:uid="{00000000-0005-0000-0000-0000D0460000}"/>
    <cellStyle name="Normal 2 12 3 2 2 3 4" xfId="16619" xr:uid="{00000000-0005-0000-0000-0000D1460000}"/>
    <cellStyle name="Normal 2 12 3 2 2 3 4 2" xfId="39262" xr:uid="{00000000-0005-0000-0000-0000D2460000}"/>
    <cellStyle name="Normal 2 12 3 2 2 3 5" xfId="9179" xr:uid="{00000000-0005-0000-0000-0000D3460000}"/>
    <cellStyle name="Normal 2 12 3 2 2 3 5 2" xfId="31822" xr:uid="{00000000-0005-0000-0000-0000D4460000}"/>
    <cellStyle name="Normal 2 12 3 2 2 3 6" xfId="24381" xr:uid="{00000000-0005-0000-0000-0000D5460000}"/>
    <cellStyle name="Normal 2 12 3 2 2 4" xfId="2654" xr:uid="{00000000-0005-0000-0000-0000D6460000}"/>
    <cellStyle name="Normal 2 12 3 2 2 4 2" xfId="6375" xr:uid="{00000000-0005-0000-0000-0000D7460000}"/>
    <cellStyle name="Normal 2 12 3 2 2 4 2 2" xfId="21259" xr:uid="{00000000-0005-0000-0000-0000D8460000}"/>
    <cellStyle name="Normal 2 12 3 2 2 4 2 2 2" xfId="43902" xr:uid="{00000000-0005-0000-0000-0000D9460000}"/>
    <cellStyle name="Normal 2 12 3 2 2 4 2 3" xfId="13819" xr:uid="{00000000-0005-0000-0000-0000DA460000}"/>
    <cellStyle name="Normal 2 12 3 2 2 4 2 3 2" xfId="36462" xr:uid="{00000000-0005-0000-0000-0000DB460000}"/>
    <cellStyle name="Normal 2 12 3 2 2 4 2 4" xfId="29021" xr:uid="{00000000-0005-0000-0000-0000DC460000}"/>
    <cellStyle name="Normal 2 12 3 2 2 4 3" xfId="17541" xr:uid="{00000000-0005-0000-0000-0000DD460000}"/>
    <cellStyle name="Normal 2 12 3 2 2 4 3 2" xfId="40184" xr:uid="{00000000-0005-0000-0000-0000DE460000}"/>
    <cellStyle name="Normal 2 12 3 2 2 4 4" xfId="10101" xr:uid="{00000000-0005-0000-0000-0000DF460000}"/>
    <cellStyle name="Normal 2 12 3 2 2 4 4 2" xfId="32744" xr:uid="{00000000-0005-0000-0000-0000E0460000}"/>
    <cellStyle name="Normal 2 12 3 2 2 4 5" xfId="25303" xr:uid="{00000000-0005-0000-0000-0000E1460000}"/>
    <cellStyle name="Normal 2 12 3 2 2 5" xfId="4528" xr:uid="{00000000-0005-0000-0000-0000E2460000}"/>
    <cellStyle name="Normal 2 12 3 2 2 5 2" xfId="19412" xr:uid="{00000000-0005-0000-0000-0000E3460000}"/>
    <cellStyle name="Normal 2 12 3 2 2 5 2 2" xfId="42055" xr:uid="{00000000-0005-0000-0000-0000E4460000}"/>
    <cellStyle name="Normal 2 12 3 2 2 5 3" xfId="11972" xr:uid="{00000000-0005-0000-0000-0000E5460000}"/>
    <cellStyle name="Normal 2 12 3 2 2 5 3 2" xfId="34615" xr:uid="{00000000-0005-0000-0000-0000E6460000}"/>
    <cellStyle name="Normal 2 12 3 2 2 5 4" xfId="27174" xr:uid="{00000000-0005-0000-0000-0000E7460000}"/>
    <cellStyle name="Normal 2 12 3 2 2 6" xfId="15694" xr:uid="{00000000-0005-0000-0000-0000E8460000}"/>
    <cellStyle name="Normal 2 12 3 2 2 6 2" xfId="38337" xr:uid="{00000000-0005-0000-0000-0000E9460000}"/>
    <cellStyle name="Normal 2 12 3 2 2 7" xfId="8254" xr:uid="{00000000-0005-0000-0000-0000EA460000}"/>
    <cellStyle name="Normal 2 12 3 2 2 7 2" xfId="30897" xr:uid="{00000000-0005-0000-0000-0000EB460000}"/>
    <cellStyle name="Normal 2 12 3 2 2 8" xfId="23456" xr:uid="{00000000-0005-0000-0000-0000EC460000}"/>
    <cellStyle name="Normal 2 12 3 2 3" xfId="1052" xr:uid="{00000000-0005-0000-0000-0000ED460000}"/>
    <cellStyle name="Normal 2 12 3 2 3 2" xfId="1980" xr:uid="{00000000-0005-0000-0000-0000EE460000}"/>
    <cellStyle name="Normal 2 12 3 2 3 2 2" xfId="3830" xr:uid="{00000000-0005-0000-0000-0000EF460000}"/>
    <cellStyle name="Normal 2 12 3 2 3 2 2 2" xfId="7551" xr:uid="{00000000-0005-0000-0000-0000F0460000}"/>
    <cellStyle name="Normal 2 12 3 2 3 2 2 2 2" xfId="22435" xr:uid="{00000000-0005-0000-0000-0000F1460000}"/>
    <cellStyle name="Normal 2 12 3 2 3 2 2 2 2 2" xfId="45078" xr:uid="{00000000-0005-0000-0000-0000F2460000}"/>
    <cellStyle name="Normal 2 12 3 2 3 2 2 2 3" xfId="14995" xr:uid="{00000000-0005-0000-0000-0000F3460000}"/>
    <cellStyle name="Normal 2 12 3 2 3 2 2 2 3 2" xfId="37638" xr:uid="{00000000-0005-0000-0000-0000F4460000}"/>
    <cellStyle name="Normal 2 12 3 2 3 2 2 2 4" xfId="30197" xr:uid="{00000000-0005-0000-0000-0000F5460000}"/>
    <cellStyle name="Normal 2 12 3 2 3 2 2 3" xfId="18717" xr:uid="{00000000-0005-0000-0000-0000F6460000}"/>
    <cellStyle name="Normal 2 12 3 2 3 2 2 3 2" xfId="41360" xr:uid="{00000000-0005-0000-0000-0000F7460000}"/>
    <cellStyle name="Normal 2 12 3 2 3 2 2 4" xfId="11277" xr:uid="{00000000-0005-0000-0000-0000F8460000}"/>
    <cellStyle name="Normal 2 12 3 2 3 2 2 4 2" xfId="33920" xr:uid="{00000000-0005-0000-0000-0000F9460000}"/>
    <cellStyle name="Normal 2 12 3 2 3 2 2 5" xfId="26479" xr:uid="{00000000-0005-0000-0000-0000FA460000}"/>
    <cellStyle name="Normal 2 12 3 2 3 2 3" xfId="5704" xr:uid="{00000000-0005-0000-0000-0000FB460000}"/>
    <cellStyle name="Normal 2 12 3 2 3 2 3 2" xfId="20588" xr:uid="{00000000-0005-0000-0000-0000FC460000}"/>
    <cellStyle name="Normal 2 12 3 2 3 2 3 2 2" xfId="43231" xr:uid="{00000000-0005-0000-0000-0000FD460000}"/>
    <cellStyle name="Normal 2 12 3 2 3 2 3 3" xfId="13148" xr:uid="{00000000-0005-0000-0000-0000FE460000}"/>
    <cellStyle name="Normal 2 12 3 2 3 2 3 3 2" xfId="35791" xr:uid="{00000000-0005-0000-0000-0000FF460000}"/>
    <cellStyle name="Normal 2 12 3 2 3 2 3 4" xfId="28350" xr:uid="{00000000-0005-0000-0000-000000470000}"/>
    <cellStyle name="Normal 2 12 3 2 3 2 4" xfId="16870" xr:uid="{00000000-0005-0000-0000-000001470000}"/>
    <cellStyle name="Normal 2 12 3 2 3 2 4 2" xfId="39513" xr:uid="{00000000-0005-0000-0000-000002470000}"/>
    <cellStyle name="Normal 2 12 3 2 3 2 5" xfId="9430" xr:uid="{00000000-0005-0000-0000-000003470000}"/>
    <cellStyle name="Normal 2 12 3 2 3 2 5 2" xfId="32073" xr:uid="{00000000-0005-0000-0000-000004470000}"/>
    <cellStyle name="Normal 2 12 3 2 3 2 6" xfId="24632" xr:uid="{00000000-0005-0000-0000-000005470000}"/>
    <cellStyle name="Normal 2 12 3 2 3 3" xfId="2905" xr:uid="{00000000-0005-0000-0000-000006470000}"/>
    <cellStyle name="Normal 2 12 3 2 3 3 2" xfId="6626" xr:uid="{00000000-0005-0000-0000-000007470000}"/>
    <cellStyle name="Normal 2 12 3 2 3 3 2 2" xfId="21510" xr:uid="{00000000-0005-0000-0000-000008470000}"/>
    <cellStyle name="Normal 2 12 3 2 3 3 2 2 2" xfId="44153" xr:uid="{00000000-0005-0000-0000-000009470000}"/>
    <cellStyle name="Normal 2 12 3 2 3 3 2 3" xfId="14070" xr:uid="{00000000-0005-0000-0000-00000A470000}"/>
    <cellStyle name="Normal 2 12 3 2 3 3 2 3 2" xfId="36713" xr:uid="{00000000-0005-0000-0000-00000B470000}"/>
    <cellStyle name="Normal 2 12 3 2 3 3 2 4" xfId="29272" xr:uid="{00000000-0005-0000-0000-00000C470000}"/>
    <cellStyle name="Normal 2 12 3 2 3 3 3" xfId="17792" xr:uid="{00000000-0005-0000-0000-00000D470000}"/>
    <cellStyle name="Normal 2 12 3 2 3 3 3 2" xfId="40435" xr:uid="{00000000-0005-0000-0000-00000E470000}"/>
    <cellStyle name="Normal 2 12 3 2 3 3 4" xfId="10352" xr:uid="{00000000-0005-0000-0000-00000F470000}"/>
    <cellStyle name="Normal 2 12 3 2 3 3 4 2" xfId="32995" xr:uid="{00000000-0005-0000-0000-000010470000}"/>
    <cellStyle name="Normal 2 12 3 2 3 3 5" xfId="25554" xr:uid="{00000000-0005-0000-0000-000011470000}"/>
    <cellStyle name="Normal 2 12 3 2 3 4" xfId="4779" xr:uid="{00000000-0005-0000-0000-000012470000}"/>
    <cellStyle name="Normal 2 12 3 2 3 4 2" xfId="19663" xr:uid="{00000000-0005-0000-0000-000013470000}"/>
    <cellStyle name="Normal 2 12 3 2 3 4 2 2" xfId="42306" xr:uid="{00000000-0005-0000-0000-000014470000}"/>
    <cellStyle name="Normal 2 12 3 2 3 4 3" xfId="12223" xr:uid="{00000000-0005-0000-0000-000015470000}"/>
    <cellStyle name="Normal 2 12 3 2 3 4 3 2" xfId="34866" xr:uid="{00000000-0005-0000-0000-000016470000}"/>
    <cellStyle name="Normal 2 12 3 2 3 4 4" xfId="27425" xr:uid="{00000000-0005-0000-0000-000017470000}"/>
    <cellStyle name="Normal 2 12 3 2 3 5" xfId="15945" xr:uid="{00000000-0005-0000-0000-000018470000}"/>
    <cellStyle name="Normal 2 12 3 2 3 5 2" xfId="38588" xr:uid="{00000000-0005-0000-0000-000019470000}"/>
    <cellStyle name="Normal 2 12 3 2 3 6" xfId="8505" xr:uid="{00000000-0005-0000-0000-00001A470000}"/>
    <cellStyle name="Normal 2 12 3 2 3 6 2" xfId="31148" xr:uid="{00000000-0005-0000-0000-00001B470000}"/>
    <cellStyle name="Normal 2 12 3 2 3 7" xfId="23707" xr:uid="{00000000-0005-0000-0000-00001C470000}"/>
    <cellStyle name="Normal 2 12 3 2 4" xfId="1518" xr:uid="{00000000-0005-0000-0000-00001D470000}"/>
    <cellStyle name="Normal 2 12 3 2 4 2" xfId="3368" xr:uid="{00000000-0005-0000-0000-00001E470000}"/>
    <cellStyle name="Normal 2 12 3 2 4 2 2" xfId="7089" xr:uid="{00000000-0005-0000-0000-00001F470000}"/>
    <cellStyle name="Normal 2 12 3 2 4 2 2 2" xfId="21973" xr:uid="{00000000-0005-0000-0000-000020470000}"/>
    <cellStyle name="Normal 2 12 3 2 4 2 2 2 2" xfId="44616" xr:uid="{00000000-0005-0000-0000-000021470000}"/>
    <cellStyle name="Normal 2 12 3 2 4 2 2 3" xfId="14533" xr:uid="{00000000-0005-0000-0000-000022470000}"/>
    <cellStyle name="Normal 2 12 3 2 4 2 2 3 2" xfId="37176" xr:uid="{00000000-0005-0000-0000-000023470000}"/>
    <cellStyle name="Normal 2 12 3 2 4 2 2 4" xfId="29735" xr:uid="{00000000-0005-0000-0000-000024470000}"/>
    <cellStyle name="Normal 2 12 3 2 4 2 3" xfId="18255" xr:uid="{00000000-0005-0000-0000-000025470000}"/>
    <cellStyle name="Normal 2 12 3 2 4 2 3 2" xfId="40898" xr:uid="{00000000-0005-0000-0000-000026470000}"/>
    <cellStyle name="Normal 2 12 3 2 4 2 4" xfId="10815" xr:uid="{00000000-0005-0000-0000-000027470000}"/>
    <cellStyle name="Normal 2 12 3 2 4 2 4 2" xfId="33458" xr:uid="{00000000-0005-0000-0000-000028470000}"/>
    <cellStyle name="Normal 2 12 3 2 4 2 5" xfId="26017" xr:uid="{00000000-0005-0000-0000-000029470000}"/>
    <cellStyle name="Normal 2 12 3 2 4 3" xfId="5242" xr:uid="{00000000-0005-0000-0000-00002A470000}"/>
    <cellStyle name="Normal 2 12 3 2 4 3 2" xfId="20126" xr:uid="{00000000-0005-0000-0000-00002B470000}"/>
    <cellStyle name="Normal 2 12 3 2 4 3 2 2" xfId="42769" xr:uid="{00000000-0005-0000-0000-00002C470000}"/>
    <cellStyle name="Normal 2 12 3 2 4 3 3" xfId="12686" xr:uid="{00000000-0005-0000-0000-00002D470000}"/>
    <cellStyle name="Normal 2 12 3 2 4 3 3 2" xfId="35329" xr:uid="{00000000-0005-0000-0000-00002E470000}"/>
    <cellStyle name="Normal 2 12 3 2 4 3 4" xfId="27888" xr:uid="{00000000-0005-0000-0000-00002F470000}"/>
    <cellStyle name="Normal 2 12 3 2 4 4" xfId="16408" xr:uid="{00000000-0005-0000-0000-000030470000}"/>
    <cellStyle name="Normal 2 12 3 2 4 4 2" xfId="39051" xr:uid="{00000000-0005-0000-0000-000031470000}"/>
    <cellStyle name="Normal 2 12 3 2 4 5" xfId="8968" xr:uid="{00000000-0005-0000-0000-000032470000}"/>
    <cellStyle name="Normal 2 12 3 2 4 5 2" xfId="31611" xr:uid="{00000000-0005-0000-0000-000033470000}"/>
    <cellStyle name="Normal 2 12 3 2 4 6" xfId="24170" xr:uid="{00000000-0005-0000-0000-000034470000}"/>
    <cellStyle name="Normal 2 12 3 2 5" xfId="2443" xr:uid="{00000000-0005-0000-0000-000035470000}"/>
    <cellStyle name="Normal 2 12 3 2 5 2" xfId="6164" xr:uid="{00000000-0005-0000-0000-000036470000}"/>
    <cellStyle name="Normal 2 12 3 2 5 2 2" xfId="21048" xr:uid="{00000000-0005-0000-0000-000037470000}"/>
    <cellStyle name="Normal 2 12 3 2 5 2 2 2" xfId="43691" xr:uid="{00000000-0005-0000-0000-000038470000}"/>
    <cellStyle name="Normal 2 12 3 2 5 2 3" xfId="13608" xr:uid="{00000000-0005-0000-0000-000039470000}"/>
    <cellStyle name="Normal 2 12 3 2 5 2 3 2" xfId="36251" xr:uid="{00000000-0005-0000-0000-00003A470000}"/>
    <cellStyle name="Normal 2 12 3 2 5 2 4" xfId="28810" xr:uid="{00000000-0005-0000-0000-00003B470000}"/>
    <cellStyle name="Normal 2 12 3 2 5 3" xfId="17330" xr:uid="{00000000-0005-0000-0000-00003C470000}"/>
    <cellStyle name="Normal 2 12 3 2 5 3 2" xfId="39973" xr:uid="{00000000-0005-0000-0000-00003D470000}"/>
    <cellStyle name="Normal 2 12 3 2 5 4" xfId="9890" xr:uid="{00000000-0005-0000-0000-00003E470000}"/>
    <cellStyle name="Normal 2 12 3 2 5 4 2" xfId="32533" xr:uid="{00000000-0005-0000-0000-00003F470000}"/>
    <cellStyle name="Normal 2 12 3 2 5 5" xfId="25092" xr:uid="{00000000-0005-0000-0000-000040470000}"/>
    <cellStyle name="Normal 2 12 3 2 6" xfId="4317" xr:uid="{00000000-0005-0000-0000-000041470000}"/>
    <cellStyle name="Normal 2 12 3 2 6 2" xfId="19201" xr:uid="{00000000-0005-0000-0000-000042470000}"/>
    <cellStyle name="Normal 2 12 3 2 6 2 2" xfId="41844" xr:uid="{00000000-0005-0000-0000-000043470000}"/>
    <cellStyle name="Normal 2 12 3 2 6 3" xfId="11761" xr:uid="{00000000-0005-0000-0000-000044470000}"/>
    <cellStyle name="Normal 2 12 3 2 6 3 2" xfId="34404" xr:uid="{00000000-0005-0000-0000-000045470000}"/>
    <cellStyle name="Normal 2 12 3 2 6 4" xfId="26963" xr:uid="{00000000-0005-0000-0000-000046470000}"/>
    <cellStyle name="Normal 2 12 3 2 7" xfId="15483" xr:uid="{00000000-0005-0000-0000-000047470000}"/>
    <cellStyle name="Normal 2 12 3 2 7 2" xfId="38126" xr:uid="{00000000-0005-0000-0000-000048470000}"/>
    <cellStyle name="Normal 2 12 3 2 8" xfId="8043" xr:uid="{00000000-0005-0000-0000-000049470000}"/>
    <cellStyle name="Normal 2 12 3 2 8 2" xfId="30686" xr:uid="{00000000-0005-0000-0000-00004A470000}"/>
    <cellStyle name="Normal 2 12 3 2 9" xfId="23246" xr:uid="{00000000-0005-0000-0000-00004B470000}"/>
    <cellStyle name="Normal 2 12 3 3" xfId="693" xr:uid="{00000000-0005-0000-0000-00004C470000}"/>
    <cellStyle name="Normal 2 12 3 3 2" xfId="1158" xr:uid="{00000000-0005-0000-0000-00004D470000}"/>
    <cellStyle name="Normal 2 12 3 3 2 2" xfId="2086" xr:uid="{00000000-0005-0000-0000-00004E470000}"/>
    <cellStyle name="Normal 2 12 3 3 2 2 2" xfId="3936" xr:uid="{00000000-0005-0000-0000-00004F470000}"/>
    <cellStyle name="Normal 2 12 3 3 2 2 2 2" xfId="7657" xr:uid="{00000000-0005-0000-0000-000050470000}"/>
    <cellStyle name="Normal 2 12 3 3 2 2 2 2 2" xfId="22541" xr:uid="{00000000-0005-0000-0000-000051470000}"/>
    <cellStyle name="Normal 2 12 3 3 2 2 2 2 2 2" xfId="45184" xr:uid="{00000000-0005-0000-0000-000052470000}"/>
    <cellStyle name="Normal 2 12 3 3 2 2 2 2 3" xfId="15101" xr:uid="{00000000-0005-0000-0000-000053470000}"/>
    <cellStyle name="Normal 2 12 3 3 2 2 2 2 3 2" xfId="37744" xr:uid="{00000000-0005-0000-0000-000054470000}"/>
    <cellStyle name="Normal 2 12 3 3 2 2 2 2 4" xfId="30303" xr:uid="{00000000-0005-0000-0000-000055470000}"/>
    <cellStyle name="Normal 2 12 3 3 2 2 2 3" xfId="18823" xr:uid="{00000000-0005-0000-0000-000056470000}"/>
    <cellStyle name="Normal 2 12 3 3 2 2 2 3 2" xfId="41466" xr:uid="{00000000-0005-0000-0000-000057470000}"/>
    <cellStyle name="Normal 2 12 3 3 2 2 2 4" xfId="11383" xr:uid="{00000000-0005-0000-0000-000058470000}"/>
    <cellStyle name="Normal 2 12 3 3 2 2 2 4 2" xfId="34026" xr:uid="{00000000-0005-0000-0000-000059470000}"/>
    <cellStyle name="Normal 2 12 3 3 2 2 2 5" xfId="26585" xr:uid="{00000000-0005-0000-0000-00005A470000}"/>
    <cellStyle name="Normal 2 12 3 3 2 2 3" xfId="5810" xr:uid="{00000000-0005-0000-0000-00005B470000}"/>
    <cellStyle name="Normal 2 12 3 3 2 2 3 2" xfId="20694" xr:uid="{00000000-0005-0000-0000-00005C470000}"/>
    <cellStyle name="Normal 2 12 3 3 2 2 3 2 2" xfId="43337" xr:uid="{00000000-0005-0000-0000-00005D470000}"/>
    <cellStyle name="Normal 2 12 3 3 2 2 3 3" xfId="13254" xr:uid="{00000000-0005-0000-0000-00005E470000}"/>
    <cellStyle name="Normal 2 12 3 3 2 2 3 3 2" xfId="35897" xr:uid="{00000000-0005-0000-0000-00005F470000}"/>
    <cellStyle name="Normal 2 12 3 3 2 2 3 4" xfId="28456" xr:uid="{00000000-0005-0000-0000-000060470000}"/>
    <cellStyle name="Normal 2 12 3 3 2 2 4" xfId="16976" xr:uid="{00000000-0005-0000-0000-000061470000}"/>
    <cellStyle name="Normal 2 12 3 3 2 2 4 2" xfId="39619" xr:uid="{00000000-0005-0000-0000-000062470000}"/>
    <cellStyle name="Normal 2 12 3 3 2 2 5" xfId="9536" xr:uid="{00000000-0005-0000-0000-000063470000}"/>
    <cellStyle name="Normal 2 12 3 3 2 2 5 2" xfId="32179" xr:uid="{00000000-0005-0000-0000-000064470000}"/>
    <cellStyle name="Normal 2 12 3 3 2 2 6" xfId="24738" xr:uid="{00000000-0005-0000-0000-000065470000}"/>
    <cellStyle name="Normal 2 12 3 3 2 3" xfId="3011" xr:uid="{00000000-0005-0000-0000-000066470000}"/>
    <cellStyle name="Normal 2 12 3 3 2 3 2" xfId="6732" xr:uid="{00000000-0005-0000-0000-000067470000}"/>
    <cellStyle name="Normal 2 12 3 3 2 3 2 2" xfId="21616" xr:uid="{00000000-0005-0000-0000-000068470000}"/>
    <cellStyle name="Normal 2 12 3 3 2 3 2 2 2" xfId="44259" xr:uid="{00000000-0005-0000-0000-000069470000}"/>
    <cellStyle name="Normal 2 12 3 3 2 3 2 3" xfId="14176" xr:uid="{00000000-0005-0000-0000-00006A470000}"/>
    <cellStyle name="Normal 2 12 3 3 2 3 2 3 2" xfId="36819" xr:uid="{00000000-0005-0000-0000-00006B470000}"/>
    <cellStyle name="Normal 2 12 3 3 2 3 2 4" xfId="29378" xr:uid="{00000000-0005-0000-0000-00006C470000}"/>
    <cellStyle name="Normal 2 12 3 3 2 3 3" xfId="17898" xr:uid="{00000000-0005-0000-0000-00006D470000}"/>
    <cellStyle name="Normal 2 12 3 3 2 3 3 2" xfId="40541" xr:uid="{00000000-0005-0000-0000-00006E470000}"/>
    <cellStyle name="Normal 2 12 3 3 2 3 4" xfId="10458" xr:uid="{00000000-0005-0000-0000-00006F470000}"/>
    <cellStyle name="Normal 2 12 3 3 2 3 4 2" xfId="33101" xr:uid="{00000000-0005-0000-0000-000070470000}"/>
    <cellStyle name="Normal 2 12 3 3 2 3 5" xfId="25660" xr:uid="{00000000-0005-0000-0000-000071470000}"/>
    <cellStyle name="Normal 2 12 3 3 2 4" xfId="4885" xr:uid="{00000000-0005-0000-0000-000072470000}"/>
    <cellStyle name="Normal 2 12 3 3 2 4 2" xfId="19769" xr:uid="{00000000-0005-0000-0000-000073470000}"/>
    <cellStyle name="Normal 2 12 3 3 2 4 2 2" xfId="42412" xr:uid="{00000000-0005-0000-0000-000074470000}"/>
    <cellStyle name="Normal 2 12 3 3 2 4 3" xfId="12329" xr:uid="{00000000-0005-0000-0000-000075470000}"/>
    <cellStyle name="Normal 2 12 3 3 2 4 3 2" xfId="34972" xr:uid="{00000000-0005-0000-0000-000076470000}"/>
    <cellStyle name="Normal 2 12 3 3 2 4 4" xfId="27531" xr:uid="{00000000-0005-0000-0000-000077470000}"/>
    <cellStyle name="Normal 2 12 3 3 2 5" xfId="16051" xr:uid="{00000000-0005-0000-0000-000078470000}"/>
    <cellStyle name="Normal 2 12 3 3 2 5 2" xfId="38694" xr:uid="{00000000-0005-0000-0000-000079470000}"/>
    <cellStyle name="Normal 2 12 3 3 2 6" xfId="8611" xr:uid="{00000000-0005-0000-0000-00007A470000}"/>
    <cellStyle name="Normal 2 12 3 3 2 6 2" xfId="31254" xr:uid="{00000000-0005-0000-0000-00007B470000}"/>
    <cellStyle name="Normal 2 12 3 3 2 7" xfId="23813" xr:uid="{00000000-0005-0000-0000-00007C470000}"/>
    <cellStyle name="Normal 2 12 3 3 3" xfId="1624" xr:uid="{00000000-0005-0000-0000-00007D470000}"/>
    <cellStyle name="Normal 2 12 3 3 3 2" xfId="3474" xr:uid="{00000000-0005-0000-0000-00007E470000}"/>
    <cellStyle name="Normal 2 12 3 3 3 2 2" xfId="7195" xr:uid="{00000000-0005-0000-0000-00007F470000}"/>
    <cellStyle name="Normal 2 12 3 3 3 2 2 2" xfId="22079" xr:uid="{00000000-0005-0000-0000-000080470000}"/>
    <cellStyle name="Normal 2 12 3 3 3 2 2 2 2" xfId="44722" xr:uid="{00000000-0005-0000-0000-000081470000}"/>
    <cellStyle name="Normal 2 12 3 3 3 2 2 3" xfId="14639" xr:uid="{00000000-0005-0000-0000-000082470000}"/>
    <cellStyle name="Normal 2 12 3 3 3 2 2 3 2" xfId="37282" xr:uid="{00000000-0005-0000-0000-000083470000}"/>
    <cellStyle name="Normal 2 12 3 3 3 2 2 4" xfId="29841" xr:uid="{00000000-0005-0000-0000-000084470000}"/>
    <cellStyle name="Normal 2 12 3 3 3 2 3" xfId="18361" xr:uid="{00000000-0005-0000-0000-000085470000}"/>
    <cellStyle name="Normal 2 12 3 3 3 2 3 2" xfId="41004" xr:uid="{00000000-0005-0000-0000-000086470000}"/>
    <cellStyle name="Normal 2 12 3 3 3 2 4" xfId="10921" xr:uid="{00000000-0005-0000-0000-000087470000}"/>
    <cellStyle name="Normal 2 12 3 3 3 2 4 2" xfId="33564" xr:uid="{00000000-0005-0000-0000-000088470000}"/>
    <cellStyle name="Normal 2 12 3 3 3 2 5" xfId="26123" xr:uid="{00000000-0005-0000-0000-000089470000}"/>
    <cellStyle name="Normal 2 12 3 3 3 3" xfId="5348" xr:uid="{00000000-0005-0000-0000-00008A470000}"/>
    <cellStyle name="Normal 2 12 3 3 3 3 2" xfId="20232" xr:uid="{00000000-0005-0000-0000-00008B470000}"/>
    <cellStyle name="Normal 2 12 3 3 3 3 2 2" xfId="42875" xr:uid="{00000000-0005-0000-0000-00008C470000}"/>
    <cellStyle name="Normal 2 12 3 3 3 3 3" xfId="12792" xr:uid="{00000000-0005-0000-0000-00008D470000}"/>
    <cellStyle name="Normal 2 12 3 3 3 3 3 2" xfId="35435" xr:uid="{00000000-0005-0000-0000-00008E470000}"/>
    <cellStyle name="Normal 2 12 3 3 3 3 4" xfId="27994" xr:uid="{00000000-0005-0000-0000-00008F470000}"/>
    <cellStyle name="Normal 2 12 3 3 3 4" xfId="16514" xr:uid="{00000000-0005-0000-0000-000090470000}"/>
    <cellStyle name="Normal 2 12 3 3 3 4 2" xfId="39157" xr:uid="{00000000-0005-0000-0000-000091470000}"/>
    <cellStyle name="Normal 2 12 3 3 3 5" xfId="9074" xr:uid="{00000000-0005-0000-0000-000092470000}"/>
    <cellStyle name="Normal 2 12 3 3 3 5 2" xfId="31717" xr:uid="{00000000-0005-0000-0000-000093470000}"/>
    <cellStyle name="Normal 2 12 3 3 3 6" xfId="24276" xr:uid="{00000000-0005-0000-0000-000094470000}"/>
    <cellStyle name="Normal 2 12 3 3 4" xfId="2549" xr:uid="{00000000-0005-0000-0000-000095470000}"/>
    <cellStyle name="Normal 2 12 3 3 4 2" xfId="6270" xr:uid="{00000000-0005-0000-0000-000096470000}"/>
    <cellStyle name="Normal 2 12 3 3 4 2 2" xfId="21154" xr:uid="{00000000-0005-0000-0000-000097470000}"/>
    <cellStyle name="Normal 2 12 3 3 4 2 2 2" xfId="43797" xr:uid="{00000000-0005-0000-0000-000098470000}"/>
    <cellStyle name="Normal 2 12 3 3 4 2 3" xfId="13714" xr:uid="{00000000-0005-0000-0000-000099470000}"/>
    <cellStyle name="Normal 2 12 3 3 4 2 3 2" xfId="36357" xr:uid="{00000000-0005-0000-0000-00009A470000}"/>
    <cellStyle name="Normal 2 12 3 3 4 2 4" xfId="28916" xr:uid="{00000000-0005-0000-0000-00009B470000}"/>
    <cellStyle name="Normal 2 12 3 3 4 3" xfId="17436" xr:uid="{00000000-0005-0000-0000-00009C470000}"/>
    <cellStyle name="Normal 2 12 3 3 4 3 2" xfId="40079" xr:uid="{00000000-0005-0000-0000-00009D470000}"/>
    <cellStyle name="Normal 2 12 3 3 4 4" xfId="9996" xr:uid="{00000000-0005-0000-0000-00009E470000}"/>
    <cellStyle name="Normal 2 12 3 3 4 4 2" xfId="32639" xr:uid="{00000000-0005-0000-0000-00009F470000}"/>
    <cellStyle name="Normal 2 12 3 3 4 5" xfId="25198" xr:uid="{00000000-0005-0000-0000-0000A0470000}"/>
    <cellStyle name="Normal 2 12 3 3 5" xfId="4423" xr:uid="{00000000-0005-0000-0000-0000A1470000}"/>
    <cellStyle name="Normal 2 12 3 3 5 2" xfId="19307" xr:uid="{00000000-0005-0000-0000-0000A2470000}"/>
    <cellStyle name="Normal 2 12 3 3 5 2 2" xfId="41950" xr:uid="{00000000-0005-0000-0000-0000A3470000}"/>
    <cellStyle name="Normal 2 12 3 3 5 3" xfId="11867" xr:uid="{00000000-0005-0000-0000-0000A4470000}"/>
    <cellStyle name="Normal 2 12 3 3 5 3 2" xfId="34510" xr:uid="{00000000-0005-0000-0000-0000A5470000}"/>
    <cellStyle name="Normal 2 12 3 3 5 4" xfId="27069" xr:uid="{00000000-0005-0000-0000-0000A6470000}"/>
    <cellStyle name="Normal 2 12 3 3 6" xfId="15589" xr:uid="{00000000-0005-0000-0000-0000A7470000}"/>
    <cellStyle name="Normal 2 12 3 3 6 2" xfId="38232" xr:uid="{00000000-0005-0000-0000-0000A8470000}"/>
    <cellStyle name="Normal 2 12 3 3 7" xfId="8149" xr:uid="{00000000-0005-0000-0000-0000A9470000}"/>
    <cellStyle name="Normal 2 12 3 3 7 2" xfId="30792" xr:uid="{00000000-0005-0000-0000-0000AA470000}"/>
    <cellStyle name="Normal 2 12 3 3 8" xfId="23351" xr:uid="{00000000-0005-0000-0000-0000AB470000}"/>
    <cellStyle name="Normal 2 12 3 4" xfId="947" xr:uid="{00000000-0005-0000-0000-0000AC470000}"/>
    <cellStyle name="Normal 2 12 3 4 2" xfId="1875" xr:uid="{00000000-0005-0000-0000-0000AD470000}"/>
    <cellStyle name="Normal 2 12 3 4 2 2" xfId="3725" xr:uid="{00000000-0005-0000-0000-0000AE470000}"/>
    <cellStyle name="Normal 2 12 3 4 2 2 2" xfId="7446" xr:uid="{00000000-0005-0000-0000-0000AF470000}"/>
    <cellStyle name="Normal 2 12 3 4 2 2 2 2" xfId="22330" xr:uid="{00000000-0005-0000-0000-0000B0470000}"/>
    <cellStyle name="Normal 2 12 3 4 2 2 2 2 2" xfId="44973" xr:uid="{00000000-0005-0000-0000-0000B1470000}"/>
    <cellStyle name="Normal 2 12 3 4 2 2 2 3" xfId="14890" xr:uid="{00000000-0005-0000-0000-0000B2470000}"/>
    <cellStyle name="Normal 2 12 3 4 2 2 2 3 2" xfId="37533" xr:uid="{00000000-0005-0000-0000-0000B3470000}"/>
    <cellStyle name="Normal 2 12 3 4 2 2 2 4" xfId="30092" xr:uid="{00000000-0005-0000-0000-0000B4470000}"/>
    <cellStyle name="Normal 2 12 3 4 2 2 3" xfId="18612" xr:uid="{00000000-0005-0000-0000-0000B5470000}"/>
    <cellStyle name="Normal 2 12 3 4 2 2 3 2" xfId="41255" xr:uid="{00000000-0005-0000-0000-0000B6470000}"/>
    <cellStyle name="Normal 2 12 3 4 2 2 4" xfId="11172" xr:uid="{00000000-0005-0000-0000-0000B7470000}"/>
    <cellStyle name="Normal 2 12 3 4 2 2 4 2" xfId="33815" xr:uid="{00000000-0005-0000-0000-0000B8470000}"/>
    <cellStyle name="Normal 2 12 3 4 2 2 5" xfId="26374" xr:uid="{00000000-0005-0000-0000-0000B9470000}"/>
    <cellStyle name="Normal 2 12 3 4 2 3" xfId="5599" xr:uid="{00000000-0005-0000-0000-0000BA470000}"/>
    <cellStyle name="Normal 2 12 3 4 2 3 2" xfId="20483" xr:uid="{00000000-0005-0000-0000-0000BB470000}"/>
    <cellStyle name="Normal 2 12 3 4 2 3 2 2" xfId="43126" xr:uid="{00000000-0005-0000-0000-0000BC470000}"/>
    <cellStyle name="Normal 2 12 3 4 2 3 3" xfId="13043" xr:uid="{00000000-0005-0000-0000-0000BD470000}"/>
    <cellStyle name="Normal 2 12 3 4 2 3 3 2" xfId="35686" xr:uid="{00000000-0005-0000-0000-0000BE470000}"/>
    <cellStyle name="Normal 2 12 3 4 2 3 4" xfId="28245" xr:uid="{00000000-0005-0000-0000-0000BF470000}"/>
    <cellStyle name="Normal 2 12 3 4 2 4" xfId="16765" xr:uid="{00000000-0005-0000-0000-0000C0470000}"/>
    <cellStyle name="Normal 2 12 3 4 2 4 2" xfId="39408" xr:uid="{00000000-0005-0000-0000-0000C1470000}"/>
    <cellStyle name="Normal 2 12 3 4 2 5" xfId="9325" xr:uid="{00000000-0005-0000-0000-0000C2470000}"/>
    <cellStyle name="Normal 2 12 3 4 2 5 2" xfId="31968" xr:uid="{00000000-0005-0000-0000-0000C3470000}"/>
    <cellStyle name="Normal 2 12 3 4 2 6" xfId="24527" xr:uid="{00000000-0005-0000-0000-0000C4470000}"/>
    <cellStyle name="Normal 2 12 3 4 3" xfId="2800" xr:uid="{00000000-0005-0000-0000-0000C5470000}"/>
    <cellStyle name="Normal 2 12 3 4 3 2" xfId="6521" xr:uid="{00000000-0005-0000-0000-0000C6470000}"/>
    <cellStyle name="Normal 2 12 3 4 3 2 2" xfId="21405" xr:uid="{00000000-0005-0000-0000-0000C7470000}"/>
    <cellStyle name="Normal 2 12 3 4 3 2 2 2" xfId="44048" xr:uid="{00000000-0005-0000-0000-0000C8470000}"/>
    <cellStyle name="Normal 2 12 3 4 3 2 3" xfId="13965" xr:uid="{00000000-0005-0000-0000-0000C9470000}"/>
    <cellStyle name="Normal 2 12 3 4 3 2 3 2" xfId="36608" xr:uid="{00000000-0005-0000-0000-0000CA470000}"/>
    <cellStyle name="Normal 2 12 3 4 3 2 4" xfId="29167" xr:uid="{00000000-0005-0000-0000-0000CB470000}"/>
    <cellStyle name="Normal 2 12 3 4 3 3" xfId="17687" xr:uid="{00000000-0005-0000-0000-0000CC470000}"/>
    <cellStyle name="Normal 2 12 3 4 3 3 2" xfId="40330" xr:uid="{00000000-0005-0000-0000-0000CD470000}"/>
    <cellStyle name="Normal 2 12 3 4 3 4" xfId="10247" xr:uid="{00000000-0005-0000-0000-0000CE470000}"/>
    <cellStyle name="Normal 2 12 3 4 3 4 2" xfId="32890" xr:uid="{00000000-0005-0000-0000-0000CF470000}"/>
    <cellStyle name="Normal 2 12 3 4 3 5" xfId="25449" xr:uid="{00000000-0005-0000-0000-0000D0470000}"/>
    <cellStyle name="Normal 2 12 3 4 4" xfId="4674" xr:uid="{00000000-0005-0000-0000-0000D1470000}"/>
    <cellStyle name="Normal 2 12 3 4 4 2" xfId="19558" xr:uid="{00000000-0005-0000-0000-0000D2470000}"/>
    <cellStyle name="Normal 2 12 3 4 4 2 2" xfId="42201" xr:uid="{00000000-0005-0000-0000-0000D3470000}"/>
    <cellStyle name="Normal 2 12 3 4 4 3" xfId="12118" xr:uid="{00000000-0005-0000-0000-0000D4470000}"/>
    <cellStyle name="Normal 2 12 3 4 4 3 2" xfId="34761" xr:uid="{00000000-0005-0000-0000-0000D5470000}"/>
    <cellStyle name="Normal 2 12 3 4 4 4" xfId="27320" xr:uid="{00000000-0005-0000-0000-0000D6470000}"/>
    <cellStyle name="Normal 2 12 3 4 5" xfId="15840" xr:uid="{00000000-0005-0000-0000-0000D7470000}"/>
    <cellStyle name="Normal 2 12 3 4 5 2" xfId="38483" xr:uid="{00000000-0005-0000-0000-0000D8470000}"/>
    <cellStyle name="Normal 2 12 3 4 6" xfId="8400" xr:uid="{00000000-0005-0000-0000-0000D9470000}"/>
    <cellStyle name="Normal 2 12 3 4 6 2" xfId="31043" xr:uid="{00000000-0005-0000-0000-0000DA470000}"/>
    <cellStyle name="Normal 2 12 3 4 7" xfId="23602" xr:uid="{00000000-0005-0000-0000-0000DB470000}"/>
    <cellStyle name="Normal 2 12 3 5" xfId="1413" xr:uid="{00000000-0005-0000-0000-0000DC470000}"/>
    <cellStyle name="Normal 2 12 3 5 2" xfId="3263" xr:uid="{00000000-0005-0000-0000-0000DD470000}"/>
    <cellStyle name="Normal 2 12 3 5 2 2" xfId="6984" xr:uid="{00000000-0005-0000-0000-0000DE470000}"/>
    <cellStyle name="Normal 2 12 3 5 2 2 2" xfId="21868" xr:uid="{00000000-0005-0000-0000-0000DF470000}"/>
    <cellStyle name="Normal 2 12 3 5 2 2 2 2" xfId="44511" xr:uid="{00000000-0005-0000-0000-0000E0470000}"/>
    <cellStyle name="Normal 2 12 3 5 2 2 3" xfId="14428" xr:uid="{00000000-0005-0000-0000-0000E1470000}"/>
    <cellStyle name="Normal 2 12 3 5 2 2 3 2" xfId="37071" xr:uid="{00000000-0005-0000-0000-0000E2470000}"/>
    <cellStyle name="Normal 2 12 3 5 2 2 4" xfId="29630" xr:uid="{00000000-0005-0000-0000-0000E3470000}"/>
    <cellStyle name="Normal 2 12 3 5 2 3" xfId="18150" xr:uid="{00000000-0005-0000-0000-0000E4470000}"/>
    <cellStyle name="Normal 2 12 3 5 2 3 2" xfId="40793" xr:uid="{00000000-0005-0000-0000-0000E5470000}"/>
    <cellStyle name="Normal 2 12 3 5 2 4" xfId="10710" xr:uid="{00000000-0005-0000-0000-0000E6470000}"/>
    <cellStyle name="Normal 2 12 3 5 2 4 2" xfId="33353" xr:uid="{00000000-0005-0000-0000-0000E7470000}"/>
    <cellStyle name="Normal 2 12 3 5 2 5" xfId="25912" xr:uid="{00000000-0005-0000-0000-0000E8470000}"/>
    <cellStyle name="Normal 2 12 3 5 3" xfId="5137" xr:uid="{00000000-0005-0000-0000-0000E9470000}"/>
    <cellStyle name="Normal 2 12 3 5 3 2" xfId="20021" xr:uid="{00000000-0005-0000-0000-0000EA470000}"/>
    <cellStyle name="Normal 2 12 3 5 3 2 2" xfId="42664" xr:uid="{00000000-0005-0000-0000-0000EB470000}"/>
    <cellStyle name="Normal 2 12 3 5 3 3" xfId="12581" xr:uid="{00000000-0005-0000-0000-0000EC470000}"/>
    <cellStyle name="Normal 2 12 3 5 3 3 2" xfId="35224" xr:uid="{00000000-0005-0000-0000-0000ED470000}"/>
    <cellStyle name="Normal 2 12 3 5 3 4" xfId="27783" xr:uid="{00000000-0005-0000-0000-0000EE470000}"/>
    <cellStyle name="Normal 2 12 3 5 4" xfId="16303" xr:uid="{00000000-0005-0000-0000-0000EF470000}"/>
    <cellStyle name="Normal 2 12 3 5 4 2" xfId="38946" xr:uid="{00000000-0005-0000-0000-0000F0470000}"/>
    <cellStyle name="Normal 2 12 3 5 5" xfId="8863" xr:uid="{00000000-0005-0000-0000-0000F1470000}"/>
    <cellStyle name="Normal 2 12 3 5 5 2" xfId="31506" xr:uid="{00000000-0005-0000-0000-0000F2470000}"/>
    <cellStyle name="Normal 2 12 3 5 6" xfId="24065" xr:uid="{00000000-0005-0000-0000-0000F3470000}"/>
    <cellStyle name="Normal 2 12 3 6" xfId="2338" xr:uid="{00000000-0005-0000-0000-0000F4470000}"/>
    <cellStyle name="Normal 2 12 3 6 2" xfId="6059" xr:uid="{00000000-0005-0000-0000-0000F5470000}"/>
    <cellStyle name="Normal 2 12 3 6 2 2" xfId="20943" xr:uid="{00000000-0005-0000-0000-0000F6470000}"/>
    <cellStyle name="Normal 2 12 3 6 2 2 2" xfId="43586" xr:uid="{00000000-0005-0000-0000-0000F7470000}"/>
    <cellStyle name="Normal 2 12 3 6 2 3" xfId="13503" xr:uid="{00000000-0005-0000-0000-0000F8470000}"/>
    <cellStyle name="Normal 2 12 3 6 2 3 2" xfId="36146" xr:uid="{00000000-0005-0000-0000-0000F9470000}"/>
    <cellStyle name="Normal 2 12 3 6 2 4" xfId="28705" xr:uid="{00000000-0005-0000-0000-0000FA470000}"/>
    <cellStyle name="Normal 2 12 3 6 3" xfId="17225" xr:uid="{00000000-0005-0000-0000-0000FB470000}"/>
    <cellStyle name="Normal 2 12 3 6 3 2" xfId="39868" xr:uid="{00000000-0005-0000-0000-0000FC470000}"/>
    <cellStyle name="Normal 2 12 3 6 4" xfId="9785" xr:uid="{00000000-0005-0000-0000-0000FD470000}"/>
    <cellStyle name="Normal 2 12 3 6 4 2" xfId="32428" xr:uid="{00000000-0005-0000-0000-0000FE470000}"/>
    <cellStyle name="Normal 2 12 3 6 5" xfId="24987" xr:uid="{00000000-0005-0000-0000-0000FF470000}"/>
    <cellStyle name="Normal 2 12 3 7" xfId="4212" xr:uid="{00000000-0005-0000-0000-000000480000}"/>
    <cellStyle name="Normal 2 12 3 7 2" xfId="19096" xr:uid="{00000000-0005-0000-0000-000001480000}"/>
    <cellStyle name="Normal 2 12 3 7 2 2" xfId="41739" xr:uid="{00000000-0005-0000-0000-000002480000}"/>
    <cellStyle name="Normal 2 12 3 7 3" xfId="11656" xr:uid="{00000000-0005-0000-0000-000003480000}"/>
    <cellStyle name="Normal 2 12 3 7 3 2" xfId="34299" xr:uid="{00000000-0005-0000-0000-000004480000}"/>
    <cellStyle name="Normal 2 12 3 7 4" xfId="26858" xr:uid="{00000000-0005-0000-0000-000005480000}"/>
    <cellStyle name="Normal 2 12 3 8" xfId="15378" xr:uid="{00000000-0005-0000-0000-000006480000}"/>
    <cellStyle name="Normal 2 12 3 8 2" xfId="38021" xr:uid="{00000000-0005-0000-0000-000007480000}"/>
    <cellStyle name="Normal 2 12 3 9" xfId="7938" xr:uid="{00000000-0005-0000-0000-000008480000}"/>
    <cellStyle name="Normal 2 12 3 9 2" xfId="30581" xr:uid="{00000000-0005-0000-0000-000009480000}"/>
    <cellStyle name="Normal 2 12 4" xfId="534" xr:uid="{00000000-0005-0000-0000-00000A480000}"/>
    <cellStyle name="Normal 2 12 4 2" xfId="746" xr:uid="{00000000-0005-0000-0000-00000B480000}"/>
    <cellStyle name="Normal 2 12 4 2 2" xfId="1211" xr:uid="{00000000-0005-0000-0000-00000C480000}"/>
    <cellStyle name="Normal 2 12 4 2 2 2" xfId="2139" xr:uid="{00000000-0005-0000-0000-00000D480000}"/>
    <cellStyle name="Normal 2 12 4 2 2 2 2" xfId="3989" xr:uid="{00000000-0005-0000-0000-00000E480000}"/>
    <cellStyle name="Normal 2 12 4 2 2 2 2 2" xfId="7710" xr:uid="{00000000-0005-0000-0000-00000F480000}"/>
    <cellStyle name="Normal 2 12 4 2 2 2 2 2 2" xfId="22594" xr:uid="{00000000-0005-0000-0000-000010480000}"/>
    <cellStyle name="Normal 2 12 4 2 2 2 2 2 2 2" xfId="45237" xr:uid="{00000000-0005-0000-0000-000011480000}"/>
    <cellStyle name="Normal 2 12 4 2 2 2 2 2 3" xfId="15154" xr:uid="{00000000-0005-0000-0000-000012480000}"/>
    <cellStyle name="Normal 2 12 4 2 2 2 2 2 3 2" xfId="37797" xr:uid="{00000000-0005-0000-0000-000013480000}"/>
    <cellStyle name="Normal 2 12 4 2 2 2 2 2 4" xfId="30356" xr:uid="{00000000-0005-0000-0000-000014480000}"/>
    <cellStyle name="Normal 2 12 4 2 2 2 2 3" xfId="18876" xr:uid="{00000000-0005-0000-0000-000015480000}"/>
    <cellStyle name="Normal 2 12 4 2 2 2 2 3 2" xfId="41519" xr:uid="{00000000-0005-0000-0000-000016480000}"/>
    <cellStyle name="Normal 2 12 4 2 2 2 2 4" xfId="11436" xr:uid="{00000000-0005-0000-0000-000017480000}"/>
    <cellStyle name="Normal 2 12 4 2 2 2 2 4 2" xfId="34079" xr:uid="{00000000-0005-0000-0000-000018480000}"/>
    <cellStyle name="Normal 2 12 4 2 2 2 2 5" xfId="26638" xr:uid="{00000000-0005-0000-0000-000019480000}"/>
    <cellStyle name="Normal 2 12 4 2 2 2 3" xfId="5863" xr:uid="{00000000-0005-0000-0000-00001A480000}"/>
    <cellStyle name="Normal 2 12 4 2 2 2 3 2" xfId="20747" xr:uid="{00000000-0005-0000-0000-00001B480000}"/>
    <cellStyle name="Normal 2 12 4 2 2 2 3 2 2" xfId="43390" xr:uid="{00000000-0005-0000-0000-00001C480000}"/>
    <cellStyle name="Normal 2 12 4 2 2 2 3 3" xfId="13307" xr:uid="{00000000-0005-0000-0000-00001D480000}"/>
    <cellStyle name="Normal 2 12 4 2 2 2 3 3 2" xfId="35950" xr:uid="{00000000-0005-0000-0000-00001E480000}"/>
    <cellStyle name="Normal 2 12 4 2 2 2 3 4" xfId="28509" xr:uid="{00000000-0005-0000-0000-00001F480000}"/>
    <cellStyle name="Normal 2 12 4 2 2 2 4" xfId="17029" xr:uid="{00000000-0005-0000-0000-000020480000}"/>
    <cellStyle name="Normal 2 12 4 2 2 2 4 2" xfId="39672" xr:uid="{00000000-0005-0000-0000-000021480000}"/>
    <cellStyle name="Normal 2 12 4 2 2 2 5" xfId="9589" xr:uid="{00000000-0005-0000-0000-000022480000}"/>
    <cellStyle name="Normal 2 12 4 2 2 2 5 2" xfId="32232" xr:uid="{00000000-0005-0000-0000-000023480000}"/>
    <cellStyle name="Normal 2 12 4 2 2 2 6" xfId="24791" xr:uid="{00000000-0005-0000-0000-000024480000}"/>
    <cellStyle name="Normal 2 12 4 2 2 3" xfId="3064" xr:uid="{00000000-0005-0000-0000-000025480000}"/>
    <cellStyle name="Normal 2 12 4 2 2 3 2" xfId="6785" xr:uid="{00000000-0005-0000-0000-000026480000}"/>
    <cellStyle name="Normal 2 12 4 2 2 3 2 2" xfId="21669" xr:uid="{00000000-0005-0000-0000-000027480000}"/>
    <cellStyle name="Normal 2 12 4 2 2 3 2 2 2" xfId="44312" xr:uid="{00000000-0005-0000-0000-000028480000}"/>
    <cellStyle name="Normal 2 12 4 2 2 3 2 3" xfId="14229" xr:uid="{00000000-0005-0000-0000-000029480000}"/>
    <cellStyle name="Normal 2 12 4 2 2 3 2 3 2" xfId="36872" xr:uid="{00000000-0005-0000-0000-00002A480000}"/>
    <cellStyle name="Normal 2 12 4 2 2 3 2 4" xfId="29431" xr:uid="{00000000-0005-0000-0000-00002B480000}"/>
    <cellStyle name="Normal 2 12 4 2 2 3 3" xfId="17951" xr:uid="{00000000-0005-0000-0000-00002C480000}"/>
    <cellStyle name="Normal 2 12 4 2 2 3 3 2" xfId="40594" xr:uid="{00000000-0005-0000-0000-00002D480000}"/>
    <cellStyle name="Normal 2 12 4 2 2 3 4" xfId="10511" xr:uid="{00000000-0005-0000-0000-00002E480000}"/>
    <cellStyle name="Normal 2 12 4 2 2 3 4 2" xfId="33154" xr:uid="{00000000-0005-0000-0000-00002F480000}"/>
    <cellStyle name="Normal 2 12 4 2 2 3 5" xfId="25713" xr:uid="{00000000-0005-0000-0000-000030480000}"/>
    <cellStyle name="Normal 2 12 4 2 2 4" xfId="4938" xr:uid="{00000000-0005-0000-0000-000031480000}"/>
    <cellStyle name="Normal 2 12 4 2 2 4 2" xfId="19822" xr:uid="{00000000-0005-0000-0000-000032480000}"/>
    <cellStyle name="Normal 2 12 4 2 2 4 2 2" xfId="42465" xr:uid="{00000000-0005-0000-0000-000033480000}"/>
    <cellStyle name="Normal 2 12 4 2 2 4 3" xfId="12382" xr:uid="{00000000-0005-0000-0000-000034480000}"/>
    <cellStyle name="Normal 2 12 4 2 2 4 3 2" xfId="35025" xr:uid="{00000000-0005-0000-0000-000035480000}"/>
    <cellStyle name="Normal 2 12 4 2 2 4 4" xfId="27584" xr:uid="{00000000-0005-0000-0000-000036480000}"/>
    <cellStyle name="Normal 2 12 4 2 2 5" xfId="16104" xr:uid="{00000000-0005-0000-0000-000037480000}"/>
    <cellStyle name="Normal 2 12 4 2 2 5 2" xfId="38747" xr:uid="{00000000-0005-0000-0000-000038480000}"/>
    <cellStyle name="Normal 2 12 4 2 2 6" xfId="8664" xr:uid="{00000000-0005-0000-0000-000039480000}"/>
    <cellStyle name="Normal 2 12 4 2 2 6 2" xfId="31307" xr:uid="{00000000-0005-0000-0000-00003A480000}"/>
    <cellStyle name="Normal 2 12 4 2 2 7" xfId="23866" xr:uid="{00000000-0005-0000-0000-00003B480000}"/>
    <cellStyle name="Normal 2 12 4 2 3" xfId="1677" xr:uid="{00000000-0005-0000-0000-00003C480000}"/>
    <cellStyle name="Normal 2 12 4 2 3 2" xfId="3527" xr:uid="{00000000-0005-0000-0000-00003D480000}"/>
    <cellStyle name="Normal 2 12 4 2 3 2 2" xfId="7248" xr:uid="{00000000-0005-0000-0000-00003E480000}"/>
    <cellStyle name="Normal 2 12 4 2 3 2 2 2" xfId="22132" xr:uid="{00000000-0005-0000-0000-00003F480000}"/>
    <cellStyle name="Normal 2 12 4 2 3 2 2 2 2" xfId="44775" xr:uid="{00000000-0005-0000-0000-000040480000}"/>
    <cellStyle name="Normal 2 12 4 2 3 2 2 3" xfId="14692" xr:uid="{00000000-0005-0000-0000-000041480000}"/>
    <cellStyle name="Normal 2 12 4 2 3 2 2 3 2" xfId="37335" xr:uid="{00000000-0005-0000-0000-000042480000}"/>
    <cellStyle name="Normal 2 12 4 2 3 2 2 4" xfId="29894" xr:uid="{00000000-0005-0000-0000-000043480000}"/>
    <cellStyle name="Normal 2 12 4 2 3 2 3" xfId="18414" xr:uid="{00000000-0005-0000-0000-000044480000}"/>
    <cellStyle name="Normal 2 12 4 2 3 2 3 2" xfId="41057" xr:uid="{00000000-0005-0000-0000-000045480000}"/>
    <cellStyle name="Normal 2 12 4 2 3 2 4" xfId="10974" xr:uid="{00000000-0005-0000-0000-000046480000}"/>
    <cellStyle name="Normal 2 12 4 2 3 2 4 2" xfId="33617" xr:uid="{00000000-0005-0000-0000-000047480000}"/>
    <cellStyle name="Normal 2 12 4 2 3 2 5" xfId="26176" xr:uid="{00000000-0005-0000-0000-000048480000}"/>
    <cellStyle name="Normal 2 12 4 2 3 3" xfId="5401" xr:uid="{00000000-0005-0000-0000-000049480000}"/>
    <cellStyle name="Normal 2 12 4 2 3 3 2" xfId="20285" xr:uid="{00000000-0005-0000-0000-00004A480000}"/>
    <cellStyle name="Normal 2 12 4 2 3 3 2 2" xfId="42928" xr:uid="{00000000-0005-0000-0000-00004B480000}"/>
    <cellStyle name="Normal 2 12 4 2 3 3 3" xfId="12845" xr:uid="{00000000-0005-0000-0000-00004C480000}"/>
    <cellStyle name="Normal 2 12 4 2 3 3 3 2" xfId="35488" xr:uid="{00000000-0005-0000-0000-00004D480000}"/>
    <cellStyle name="Normal 2 12 4 2 3 3 4" xfId="28047" xr:uid="{00000000-0005-0000-0000-00004E480000}"/>
    <cellStyle name="Normal 2 12 4 2 3 4" xfId="16567" xr:uid="{00000000-0005-0000-0000-00004F480000}"/>
    <cellStyle name="Normal 2 12 4 2 3 4 2" xfId="39210" xr:uid="{00000000-0005-0000-0000-000050480000}"/>
    <cellStyle name="Normal 2 12 4 2 3 5" xfId="9127" xr:uid="{00000000-0005-0000-0000-000051480000}"/>
    <cellStyle name="Normal 2 12 4 2 3 5 2" xfId="31770" xr:uid="{00000000-0005-0000-0000-000052480000}"/>
    <cellStyle name="Normal 2 12 4 2 3 6" xfId="24329" xr:uid="{00000000-0005-0000-0000-000053480000}"/>
    <cellStyle name="Normal 2 12 4 2 4" xfId="2602" xr:uid="{00000000-0005-0000-0000-000054480000}"/>
    <cellStyle name="Normal 2 12 4 2 4 2" xfId="6323" xr:uid="{00000000-0005-0000-0000-000055480000}"/>
    <cellStyle name="Normal 2 12 4 2 4 2 2" xfId="21207" xr:uid="{00000000-0005-0000-0000-000056480000}"/>
    <cellStyle name="Normal 2 12 4 2 4 2 2 2" xfId="43850" xr:uid="{00000000-0005-0000-0000-000057480000}"/>
    <cellStyle name="Normal 2 12 4 2 4 2 3" xfId="13767" xr:uid="{00000000-0005-0000-0000-000058480000}"/>
    <cellStyle name="Normal 2 12 4 2 4 2 3 2" xfId="36410" xr:uid="{00000000-0005-0000-0000-000059480000}"/>
    <cellStyle name="Normal 2 12 4 2 4 2 4" xfId="28969" xr:uid="{00000000-0005-0000-0000-00005A480000}"/>
    <cellStyle name="Normal 2 12 4 2 4 3" xfId="17489" xr:uid="{00000000-0005-0000-0000-00005B480000}"/>
    <cellStyle name="Normal 2 12 4 2 4 3 2" xfId="40132" xr:uid="{00000000-0005-0000-0000-00005C480000}"/>
    <cellStyle name="Normal 2 12 4 2 4 4" xfId="10049" xr:uid="{00000000-0005-0000-0000-00005D480000}"/>
    <cellStyle name="Normal 2 12 4 2 4 4 2" xfId="32692" xr:uid="{00000000-0005-0000-0000-00005E480000}"/>
    <cellStyle name="Normal 2 12 4 2 4 5" xfId="25251" xr:uid="{00000000-0005-0000-0000-00005F480000}"/>
    <cellStyle name="Normal 2 12 4 2 5" xfId="4476" xr:uid="{00000000-0005-0000-0000-000060480000}"/>
    <cellStyle name="Normal 2 12 4 2 5 2" xfId="19360" xr:uid="{00000000-0005-0000-0000-000061480000}"/>
    <cellStyle name="Normal 2 12 4 2 5 2 2" xfId="42003" xr:uid="{00000000-0005-0000-0000-000062480000}"/>
    <cellStyle name="Normal 2 12 4 2 5 3" xfId="11920" xr:uid="{00000000-0005-0000-0000-000063480000}"/>
    <cellStyle name="Normal 2 12 4 2 5 3 2" xfId="34563" xr:uid="{00000000-0005-0000-0000-000064480000}"/>
    <cellStyle name="Normal 2 12 4 2 5 4" xfId="27122" xr:uid="{00000000-0005-0000-0000-000065480000}"/>
    <cellStyle name="Normal 2 12 4 2 6" xfId="15642" xr:uid="{00000000-0005-0000-0000-000066480000}"/>
    <cellStyle name="Normal 2 12 4 2 6 2" xfId="38285" xr:uid="{00000000-0005-0000-0000-000067480000}"/>
    <cellStyle name="Normal 2 12 4 2 7" xfId="8202" xr:uid="{00000000-0005-0000-0000-000068480000}"/>
    <cellStyle name="Normal 2 12 4 2 7 2" xfId="30845" xr:uid="{00000000-0005-0000-0000-000069480000}"/>
    <cellStyle name="Normal 2 12 4 2 8" xfId="23404" xr:uid="{00000000-0005-0000-0000-00006A480000}"/>
    <cellStyle name="Normal 2 12 4 3" xfId="1000" xr:uid="{00000000-0005-0000-0000-00006B480000}"/>
    <cellStyle name="Normal 2 12 4 3 2" xfId="1928" xr:uid="{00000000-0005-0000-0000-00006C480000}"/>
    <cellStyle name="Normal 2 12 4 3 2 2" xfId="3778" xr:uid="{00000000-0005-0000-0000-00006D480000}"/>
    <cellStyle name="Normal 2 12 4 3 2 2 2" xfId="7499" xr:uid="{00000000-0005-0000-0000-00006E480000}"/>
    <cellStyle name="Normal 2 12 4 3 2 2 2 2" xfId="22383" xr:uid="{00000000-0005-0000-0000-00006F480000}"/>
    <cellStyle name="Normal 2 12 4 3 2 2 2 2 2" xfId="45026" xr:uid="{00000000-0005-0000-0000-000070480000}"/>
    <cellStyle name="Normal 2 12 4 3 2 2 2 3" xfId="14943" xr:uid="{00000000-0005-0000-0000-000071480000}"/>
    <cellStyle name="Normal 2 12 4 3 2 2 2 3 2" xfId="37586" xr:uid="{00000000-0005-0000-0000-000072480000}"/>
    <cellStyle name="Normal 2 12 4 3 2 2 2 4" xfId="30145" xr:uid="{00000000-0005-0000-0000-000073480000}"/>
    <cellStyle name="Normal 2 12 4 3 2 2 3" xfId="18665" xr:uid="{00000000-0005-0000-0000-000074480000}"/>
    <cellStyle name="Normal 2 12 4 3 2 2 3 2" xfId="41308" xr:uid="{00000000-0005-0000-0000-000075480000}"/>
    <cellStyle name="Normal 2 12 4 3 2 2 4" xfId="11225" xr:uid="{00000000-0005-0000-0000-000076480000}"/>
    <cellStyle name="Normal 2 12 4 3 2 2 4 2" xfId="33868" xr:uid="{00000000-0005-0000-0000-000077480000}"/>
    <cellStyle name="Normal 2 12 4 3 2 2 5" xfId="26427" xr:uid="{00000000-0005-0000-0000-000078480000}"/>
    <cellStyle name="Normal 2 12 4 3 2 3" xfId="5652" xr:uid="{00000000-0005-0000-0000-000079480000}"/>
    <cellStyle name="Normal 2 12 4 3 2 3 2" xfId="20536" xr:uid="{00000000-0005-0000-0000-00007A480000}"/>
    <cellStyle name="Normal 2 12 4 3 2 3 2 2" xfId="43179" xr:uid="{00000000-0005-0000-0000-00007B480000}"/>
    <cellStyle name="Normal 2 12 4 3 2 3 3" xfId="13096" xr:uid="{00000000-0005-0000-0000-00007C480000}"/>
    <cellStyle name="Normal 2 12 4 3 2 3 3 2" xfId="35739" xr:uid="{00000000-0005-0000-0000-00007D480000}"/>
    <cellStyle name="Normal 2 12 4 3 2 3 4" xfId="28298" xr:uid="{00000000-0005-0000-0000-00007E480000}"/>
    <cellStyle name="Normal 2 12 4 3 2 4" xfId="16818" xr:uid="{00000000-0005-0000-0000-00007F480000}"/>
    <cellStyle name="Normal 2 12 4 3 2 4 2" xfId="39461" xr:uid="{00000000-0005-0000-0000-000080480000}"/>
    <cellStyle name="Normal 2 12 4 3 2 5" xfId="9378" xr:uid="{00000000-0005-0000-0000-000081480000}"/>
    <cellStyle name="Normal 2 12 4 3 2 5 2" xfId="32021" xr:uid="{00000000-0005-0000-0000-000082480000}"/>
    <cellStyle name="Normal 2 12 4 3 2 6" xfId="24580" xr:uid="{00000000-0005-0000-0000-000083480000}"/>
    <cellStyle name="Normal 2 12 4 3 3" xfId="2853" xr:uid="{00000000-0005-0000-0000-000084480000}"/>
    <cellStyle name="Normal 2 12 4 3 3 2" xfId="6574" xr:uid="{00000000-0005-0000-0000-000085480000}"/>
    <cellStyle name="Normal 2 12 4 3 3 2 2" xfId="21458" xr:uid="{00000000-0005-0000-0000-000086480000}"/>
    <cellStyle name="Normal 2 12 4 3 3 2 2 2" xfId="44101" xr:uid="{00000000-0005-0000-0000-000087480000}"/>
    <cellStyle name="Normal 2 12 4 3 3 2 3" xfId="14018" xr:uid="{00000000-0005-0000-0000-000088480000}"/>
    <cellStyle name="Normal 2 12 4 3 3 2 3 2" xfId="36661" xr:uid="{00000000-0005-0000-0000-000089480000}"/>
    <cellStyle name="Normal 2 12 4 3 3 2 4" xfId="29220" xr:uid="{00000000-0005-0000-0000-00008A480000}"/>
    <cellStyle name="Normal 2 12 4 3 3 3" xfId="17740" xr:uid="{00000000-0005-0000-0000-00008B480000}"/>
    <cellStyle name="Normal 2 12 4 3 3 3 2" xfId="40383" xr:uid="{00000000-0005-0000-0000-00008C480000}"/>
    <cellStyle name="Normal 2 12 4 3 3 4" xfId="10300" xr:uid="{00000000-0005-0000-0000-00008D480000}"/>
    <cellStyle name="Normal 2 12 4 3 3 4 2" xfId="32943" xr:uid="{00000000-0005-0000-0000-00008E480000}"/>
    <cellStyle name="Normal 2 12 4 3 3 5" xfId="25502" xr:uid="{00000000-0005-0000-0000-00008F480000}"/>
    <cellStyle name="Normal 2 12 4 3 4" xfId="4727" xr:uid="{00000000-0005-0000-0000-000090480000}"/>
    <cellStyle name="Normal 2 12 4 3 4 2" xfId="19611" xr:uid="{00000000-0005-0000-0000-000091480000}"/>
    <cellStyle name="Normal 2 12 4 3 4 2 2" xfId="42254" xr:uid="{00000000-0005-0000-0000-000092480000}"/>
    <cellStyle name="Normal 2 12 4 3 4 3" xfId="12171" xr:uid="{00000000-0005-0000-0000-000093480000}"/>
    <cellStyle name="Normal 2 12 4 3 4 3 2" xfId="34814" xr:uid="{00000000-0005-0000-0000-000094480000}"/>
    <cellStyle name="Normal 2 12 4 3 4 4" xfId="27373" xr:uid="{00000000-0005-0000-0000-000095480000}"/>
    <cellStyle name="Normal 2 12 4 3 5" xfId="15893" xr:uid="{00000000-0005-0000-0000-000096480000}"/>
    <cellStyle name="Normal 2 12 4 3 5 2" xfId="38536" xr:uid="{00000000-0005-0000-0000-000097480000}"/>
    <cellStyle name="Normal 2 12 4 3 6" xfId="8453" xr:uid="{00000000-0005-0000-0000-000098480000}"/>
    <cellStyle name="Normal 2 12 4 3 6 2" xfId="31096" xr:uid="{00000000-0005-0000-0000-000099480000}"/>
    <cellStyle name="Normal 2 12 4 3 7" xfId="23655" xr:uid="{00000000-0005-0000-0000-00009A480000}"/>
    <cellStyle name="Normal 2 12 4 4" xfId="1466" xr:uid="{00000000-0005-0000-0000-00009B480000}"/>
    <cellStyle name="Normal 2 12 4 4 2" xfId="3316" xr:uid="{00000000-0005-0000-0000-00009C480000}"/>
    <cellStyle name="Normal 2 12 4 4 2 2" xfId="7037" xr:uid="{00000000-0005-0000-0000-00009D480000}"/>
    <cellStyle name="Normal 2 12 4 4 2 2 2" xfId="21921" xr:uid="{00000000-0005-0000-0000-00009E480000}"/>
    <cellStyle name="Normal 2 12 4 4 2 2 2 2" xfId="44564" xr:uid="{00000000-0005-0000-0000-00009F480000}"/>
    <cellStyle name="Normal 2 12 4 4 2 2 3" xfId="14481" xr:uid="{00000000-0005-0000-0000-0000A0480000}"/>
    <cellStyle name="Normal 2 12 4 4 2 2 3 2" xfId="37124" xr:uid="{00000000-0005-0000-0000-0000A1480000}"/>
    <cellStyle name="Normal 2 12 4 4 2 2 4" xfId="29683" xr:uid="{00000000-0005-0000-0000-0000A2480000}"/>
    <cellStyle name="Normal 2 12 4 4 2 3" xfId="18203" xr:uid="{00000000-0005-0000-0000-0000A3480000}"/>
    <cellStyle name="Normal 2 12 4 4 2 3 2" xfId="40846" xr:uid="{00000000-0005-0000-0000-0000A4480000}"/>
    <cellStyle name="Normal 2 12 4 4 2 4" xfId="10763" xr:uid="{00000000-0005-0000-0000-0000A5480000}"/>
    <cellStyle name="Normal 2 12 4 4 2 4 2" xfId="33406" xr:uid="{00000000-0005-0000-0000-0000A6480000}"/>
    <cellStyle name="Normal 2 12 4 4 2 5" xfId="25965" xr:uid="{00000000-0005-0000-0000-0000A7480000}"/>
    <cellStyle name="Normal 2 12 4 4 3" xfId="5190" xr:uid="{00000000-0005-0000-0000-0000A8480000}"/>
    <cellStyle name="Normal 2 12 4 4 3 2" xfId="20074" xr:uid="{00000000-0005-0000-0000-0000A9480000}"/>
    <cellStyle name="Normal 2 12 4 4 3 2 2" xfId="42717" xr:uid="{00000000-0005-0000-0000-0000AA480000}"/>
    <cellStyle name="Normal 2 12 4 4 3 3" xfId="12634" xr:uid="{00000000-0005-0000-0000-0000AB480000}"/>
    <cellStyle name="Normal 2 12 4 4 3 3 2" xfId="35277" xr:uid="{00000000-0005-0000-0000-0000AC480000}"/>
    <cellStyle name="Normal 2 12 4 4 3 4" xfId="27836" xr:uid="{00000000-0005-0000-0000-0000AD480000}"/>
    <cellStyle name="Normal 2 12 4 4 4" xfId="16356" xr:uid="{00000000-0005-0000-0000-0000AE480000}"/>
    <cellStyle name="Normal 2 12 4 4 4 2" xfId="38999" xr:uid="{00000000-0005-0000-0000-0000AF480000}"/>
    <cellStyle name="Normal 2 12 4 4 5" xfId="8916" xr:uid="{00000000-0005-0000-0000-0000B0480000}"/>
    <cellStyle name="Normal 2 12 4 4 5 2" xfId="31559" xr:uid="{00000000-0005-0000-0000-0000B1480000}"/>
    <cellStyle name="Normal 2 12 4 4 6" xfId="24118" xr:uid="{00000000-0005-0000-0000-0000B2480000}"/>
    <cellStyle name="Normal 2 12 4 5" xfId="2391" xr:uid="{00000000-0005-0000-0000-0000B3480000}"/>
    <cellStyle name="Normal 2 12 4 5 2" xfId="6112" xr:uid="{00000000-0005-0000-0000-0000B4480000}"/>
    <cellStyle name="Normal 2 12 4 5 2 2" xfId="20996" xr:uid="{00000000-0005-0000-0000-0000B5480000}"/>
    <cellStyle name="Normal 2 12 4 5 2 2 2" xfId="43639" xr:uid="{00000000-0005-0000-0000-0000B6480000}"/>
    <cellStyle name="Normal 2 12 4 5 2 3" xfId="13556" xr:uid="{00000000-0005-0000-0000-0000B7480000}"/>
    <cellStyle name="Normal 2 12 4 5 2 3 2" xfId="36199" xr:uid="{00000000-0005-0000-0000-0000B8480000}"/>
    <cellStyle name="Normal 2 12 4 5 2 4" xfId="28758" xr:uid="{00000000-0005-0000-0000-0000B9480000}"/>
    <cellStyle name="Normal 2 12 4 5 3" xfId="17278" xr:uid="{00000000-0005-0000-0000-0000BA480000}"/>
    <cellStyle name="Normal 2 12 4 5 3 2" xfId="39921" xr:uid="{00000000-0005-0000-0000-0000BB480000}"/>
    <cellStyle name="Normal 2 12 4 5 4" xfId="9838" xr:uid="{00000000-0005-0000-0000-0000BC480000}"/>
    <cellStyle name="Normal 2 12 4 5 4 2" xfId="32481" xr:uid="{00000000-0005-0000-0000-0000BD480000}"/>
    <cellStyle name="Normal 2 12 4 5 5" xfId="25040" xr:uid="{00000000-0005-0000-0000-0000BE480000}"/>
    <cellStyle name="Normal 2 12 4 6" xfId="4265" xr:uid="{00000000-0005-0000-0000-0000BF480000}"/>
    <cellStyle name="Normal 2 12 4 6 2" xfId="19149" xr:uid="{00000000-0005-0000-0000-0000C0480000}"/>
    <cellStyle name="Normal 2 12 4 6 2 2" xfId="41792" xr:uid="{00000000-0005-0000-0000-0000C1480000}"/>
    <cellStyle name="Normal 2 12 4 6 3" xfId="11709" xr:uid="{00000000-0005-0000-0000-0000C2480000}"/>
    <cellStyle name="Normal 2 12 4 6 3 2" xfId="34352" xr:uid="{00000000-0005-0000-0000-0000C3480000}"/>
    <cellStyle name="Normal 2 12 4 6 4" xfId="26911" xr:uid="{00000000-0005-0000-0000-0000C4480000}"/>
    <cellStyle name="Normal 2 12 4 7" xfId="15431" xr:uid="{00000000-0005-0000-0000-0000C5480000}"/>
    <cellStyle name="Normal 2 12 4 7 2" xfId="38074" xr:uid="{00000000-0005-0000-0000-0000C6480000}"/>
    <cellStyle name="Normal 2 12 4 8" xfId="7991" xr:uid="{00000000-0005-0000-0000-0000C7480000}"/>
    <cellStyle name="Normal 2 12 4 8 2" xfId="30634" xr:uid="{00000000-0005-0000-0000-0000C8480000}"/>
    <cellStyle name="Normal 2 12 4 9" xfId="23194" xr:uid="{00000000-0005-0000-0000-0000C9480000}"/>
    <cellStyle name="Normal 2 12 5" xfId="640" xr:uid="{00000000-0005-0000-0000-0000CA480000}"/>
    <cellStyle name="Normal 2 12 5 2" xfId="1106" xr:uid="{00000000-0005-0000-0000-0000CB480000}"/>
    <cellStyle name="Normal 2 12 5 2 2" xfId="2034" xr:uid="{00000000-0005-0000-0000-0000CC480000}"/>
    <cellStyle name="Normal 2 12 5 2 2 2" xfId="3884" xr:uid="{00000000-0005-0000-0000-0000CD480000}"/>
    <cellStyle name="Normal 2 12 5 2 2 2 2" xfId="7605" xr:uid="{00000000-0005-0000-0000-0000CE480000}"/>
    <cellStyle name="Normal 2 12 5 2 2 2 2 2" xfId="22489" xr:uid="{00000000-0005-0000-0000-0000CF480000}"/>
    <cellStyle name="Normal 2 12 5 2 2 2 2 2 2" xfId="45132" xr:uid="{00000000-0005-0000-0000-0000D0480000}"/>
    <cellStyle name="Normal 2 12 5 2 2 2 2 3" xfId="15049" xr:uid="{00000000-0005-0000-0000-0000D1480000}"/>
    <cellStyle name="Normal 2 12 5 2 2 2 2 3 2" xfId="37692" xr:uid="{00000000-0005-0000-0000-0000D2480000}"/>
    <cellStyle name="Normal 2 12 5 2 2 2 2 4" xfId="30251" xr:uid="{00000000-0005-0000-0000-0000D3480000}"/>
    <cellStyle name="Normal 2 12 5 2 2 2 3" xfId="18771" xr:uid="{00000000-0005-0000-0000-0000D4480000}"/>
    <cellStyle name="Normal 2 12 5 2 2 2 3 2" xfId="41414" xr:uid="{00000000-0005-0000-0000-0000D5480000}"/>
    <cellStyle name="Normal 2 12 5 2 2 2 4" xfId="11331" xr:uid="{00000000-0005-0000-0000-0000D6480000}"/>
    <cellStyle name="Normal 2 12 5 2 2 2 4 2" xfId="33974" xr:uid="{00000000-0005-0000-0000-0000D7480000}"/>
    <cellStyle name="Normal 2 12 5 2 2 2 5" xfId="26533" xr:uid="{00000000-0005-0000-0000-0000D8480000}"/>
    <cellStyle name="Normal 2 12 5 2 2 3" xfId="5758" xr:uid="{00000000-0005-0000-0000-0000D9480000}"/>
    <cellStyle name="Normal 2 12 5 2 2 3 2" xfId="20642" xr:uid="{00000000-0005-0000-0000-0000DA480000}"/>
    <cellStyle name="Normal 2 12 5 2 2 3 2 2" xfId="43285" xr:uid="{00000000-0005-0000-0000-0000DB480000}"/>
    <cellStyle name="Normal 2 12 5 2 2 3 3" xfId="13202" xr:uid="{00000000-0005-0000-0000-0000DC480000}"/>
    <cellStyle name="Normal 2 12 5 2 2 3 3 2" xfId="35845" xr:uid="{00000000-0005-0000-0000-0000DD480000}"/>
    <cellStyle name="Normal 2 12 5 2 2 3 4" xfId="28404" xr:uid="{00000000-0005-0000-0000-0000DE480000}"/>
    <cellStyle name="Normal 2 12 5 2 2 4" xfId="16924" xr:uid="{00000000-0005-0000-0000-0000DF480000}"/>
    <cellStyle name="Normal 2 12 5 2 2 4 2" xfId="39567" xr:uid="{00000000-0005-0000-0000-0000E0480000}"/>
    <cellStyle name="Normal 2 12 5 2 2 5" xfId="9484" xr:uid="{00000000-0005-0000-0000-0000E1480000}"/>
    <cellStyle name="Normal 2 12 5 2 2 5 2" xfId="32127" xr:uid="{00000000-0005-0000-0000-0000E2480000}"/>
    <cellStyle name="Normal 2 12 5 2 2 6" xfId="24686" xr:uid="{00000000-0005-0000-0000-0000E3480000}"/>
    <cellStyle name="Normal 2 12 5 2 3" xfId="2959" xr:uid="{00000000-0005-0000-0000-0000E4480000}"/>
    <cellStyle name="Normal 2 12 5 2 3 2" xfId="6680" xr:uid="{00000000-0005-0000-0000-0000E5480000}"/>
    <cellStyle name="Normal 2 12 5 2 3 2 2" xfId="21564" xr:uid="{00000000-0005-0000-0000-0000E6480000}"/>
    <cellStyle name="Normal 2 12 5 2 3 2 2 2" xfId="44207" xr:uid="{00000000-0005-0000-0000-0000E7480000}"/>
    <cellStyle name="Normal 2 12 5 2 3 2 3" xfId="14124" xr:uid="{00000000-0005-0000-0000-0000E8480000}"/>
    <cellStyle name="Normal 2 12 5 2 3 2 3 2" xfId="36767" xr:uid="{00000000-0005-0000-0000-0000E9480000}"/>
    <cellStyle name="Normal 2 12 5 2 3 2 4" xfId="29326" xr:uid="{00000000-0005-0000-0000-0000EA480000}"/>
    <cellStyle name="Normal 2 12 5 2 3 3" xfId="17846" xr:uid="{00000000-0005-0000-0000-0000EB480000}"/>
    <cellStyle name="Normal 2 12 5 2 3 3 2" xfId="40489" xr:uid="{00000000-0005-0000-0000-0000EC480000}"/>
    <cellStyle name="Normal 2 12 5 2 3 4" xfId="10406" xr:uid="{00000000-0005-0000-0000-0000ED480000}"/>
    <cellStyle name="Normal 2 12 5 2 3 4 2" xfId="33049" xr:uid="{00000000-0005-0000-0000-0000EE480000}"/>
    <cellStyle name="Normal 2 12 5 2 3 5" xfId="25608" xr:uid="{00000000-0005-0000-0000-0000EF480000}"/>
    <cellStyle name="Normal 2 12 5 2 4" xfId="4833" xr:uid="{00000000-0005-0000-0000-0000F0480000}"/>
    <cellStyle name="Normal 2 12 5 2 4 2" xfId="19717" xr:uid="{00000000-0005-0000-0000-0000F1480000}"/>
    <cellStyle name="Normal 2 12 5 2 4 2 2" xfId="42360" xr:uid="{00000000-0005-0000-0000-0000F2480000}"/>
    <cellStyle name="Normal 2 12 5 2 4 3" xfId="12277" xr:uid="{00000000-0005-0000-0000-0000F3480000}"/>
    <cellStyle name="Normal 2 12 5 2 4 3 2" xfId="34920" xr:uid="{00000000-0005-0000-0000-0000F4480000}"/>
    <cellStyle name="Normal 2 12 5 2 4 4" xfId="27479" xr:uid="{00000000-0005-0000-0000-0000F5480000}"/>
    <cellStyle name="Normal 2 12 5 2 5" xfId="15999" xr:uid="{00000000-0005-0000-0000-0000F6480000}"/>
    <cellStyle name="Normal 2 12 5 2 5 2" xfId="38642" xr:uid="{00000000-0005-0000-0000-0000F7480000}"/>
    <cellStyle name="Normal 2 12 5 2 6" xfId="8559" xr:uid="{00000000-0005-0000-0000-0000F8480000}"/>
    <cellStyle name="Normal 2 12 5 2 6 2" xfId="31202" xr:uid="{00000000-0005-0000-0000-0000F9480000}"/>
    <cellStyle name="Normal 2 12 5 2 7" xfId="23761" xr:uid="{00000000-0005-0000-0000-0000FA480000}"/>
    <cellStyle name="Normal 2 12 5 3" xfId="1572" xr:uid="{00000000-0005-0000-0000-0000FB480000}"/>
    <cellStyle name="Normal 2 12 5 3 2" xfId="3422" xr:uid="{00000000-0005-0000-0000-0000FC480000}"/>
    <cellStyle name="Normal 2 12 5 3 2 2" xfId="7143" xr:uid="{00000000-0005-0000-0000-0000FD480000}"/>
    <cellStyle name="Normal 2 12 5 3 2 2 2" xfId="22027" xr:uid="{00000000-0005-0000-0000-0000FE480000}"/>
    <cellStyle name="Normal 2 12 5 3 2 2 2 2" xfId="44670" xr:uid="{00000000-0005-0000-0000-0000FF480000}"/>
    <cellStyle name="Normal 2 12 5 3 2 2 3" xfId="14587" xr:uid="{00000000-0005-0000-0000-000000490000}"/>
    <cellStyle name="Normal 2 12 5 3 2 2 3 2" xfId="37230" xr:uid="{00000000-0005-0000-0000-000001490000}"/>
    <cellStyle name="Normal 2 12 5 3 2 2 4" xfId="29789" xr:uid="{00000000-0005-0000-0000-000002490000}"/>
    <cellStyle name="Normal 2 12 5 3 2 3" xfId="18309" xr:uid="{00000000-0005-0000-0000-000003490000}"/>
    <cellStyle name="Normal 2 12 5 3 2 3 2" xfId="40952" xr:uid="{00000000-0005-0000-0000-000004490000}"/>
    <cellStyle name="Normal 2 12 5 3 2 4" xfId="10869" xr:uid="{00000000-0005-0000-0000-000005490000}"/>
    <cellStyle name="Normal 2 12 5 3 2 4 2" xfId="33512" xr:uid="{00000000-0005-0000-0000-000006490000}"/>
    <cellStyle name="Normal 2 12 5 3 2 5" xfId="26071" xr:uid="{00000000-0005-0000-0000-000007490000}"/>
    <cellStyle name="Normal 2 12 5 3 3" xfId="5296" xr:uid="{00000000-0005-0000-0000-000008490000}"/>
    <cellStyle name="Normal 2 12 5 3 3 2" xfId="20180" xr:uid="{00000000-0005-0000-0000-000009490000}"/>
    <cellStyle name="Normal 2 12 5 3 3 2 2" xfId="42823" xr:uid="{00000000-0005-0000-0000-00000A490000}"/>
    <cellStyle name="Normal 2 12 5 3 3 3" xfId="12740" xr:uid="{00000000-0005-0000-0000-00000B490000}"/>
    <cellStyle name="Normal 2 12 5 3 3 3 2" xfId="35383" xr:uid="{00000000-0005-0000-0000-00000C490000}"/>
    <cellStyle name="Normal 2 12 5 3 3 4" xfId="27942" xr:uid="{00000000-0005-0000-0000-00000D490000}"/>
    <cellStyle name="Normal 2 12 5 3 4" xfId="16462" xr:uid="{00000000-0005-0000-0000-00000E490000}"/>
    <cellStyle name="Normal 2 12 5 3 4 2" xfId="39105" xr:uid="{00000000-0005-0000-0000-00000F490000}"/>
    <cellStyle name="Normal 2 12 5 3 5" xfId="9022" xr:uid="{00000000-0005-0000-0000-000010490000}"/>
    <cellStyle name="Normal 2 12 5 3 5 2" xfId="31665" xr:uid="{00000000-0005-0000-0000-000011490000}"/>
    <cellStyle name="Normal 2 12 5 3 6" xfId="24224" xr:uid="{00000000-0005-0000-0000-000012490000}"/>
    <cellStyle name="Normal 2 12 5 4" xfId="2497" xr:uid="{00000000-0005-0000-0000-000013490000}"/>
    <cellStyle name="Normal 2 12 5 4 2" xfId="6218" xr:uid="{00000000-0005-0000-0000-000014490000}"/>
    <cellStyle name="Normal 2 12 5 4 2 2" xfId="21102" xr:uid="{00000000-0005-0000-0000-000015490000}"/>
    <cellStyle name="Normal 2 12 5 4 2 2 2" xfId="43745" xr:uid="{00000000-0005-0000-0000-000016490000}"/>
    <cellStyle name="Normal 2 12 5 4 2 3" xfId="13662" xr:uid="{00000000-0005-0000-0000-000017490000}"/>
    <cellStyle name="Normal 2 12 5 4 2 3 2" xfId="36305" xr:uid="{00000000-0005-0000-0000-000018490000}"/>
    <cellStyle name="Normal 2 12 5 4 2 4" xfId="28864" xr:uid="{00000000-0005-0000-0000-000019490000}"/>
    <cellStyle name="Normal 2 12 5 4 3" xfId="17384" xr:uid="{00000000-0005-0000-0000-00001A490000}"/>
    <cellStyle name="Normal 2 12 5 4 3 2" xfId="40027" xr:uid="{00000000-0005-0000-0000-00001B490000}"/>
    <cellStyle name="Normal 2 12 5 4 4" xfId="9944" xr:uid="{00000000-0005-0000-0000-00001C490000}"/>
    <cellStyle name="Normal 2 12 5 4 4 2" xfId="32587" xr:uid="{00000000-0005-0000-0000-00001D490000}"/>
    <cellStyle name="Normal 2 12 5 4 5" xfId="25146" xr:uid="{00000000-0005-0000-0000-00001E490000}"/>
    <cellStyle name="Normal 2 12 5 5" xfId="4371" xr:uid="{00000000-0005-0000-0000-00001F490000}"/>
    <cellStyle name="Normal 2 12 5 5 2" xfId="19255" xr:uid="{00000000-0005-0000-0000-000020490000}"/>
    <cellStyle name="Normal 2 12 5 5 2 2" xfId="41898" xr:uid="{00000000-0005-0000-0000-000021490000}"/>
    <cellStyle name="Normal 2 12 5 5 3" xfId="11815" xr:uid="{00000000-0005-0000-0000-000022490000}"/>
    <cellStyle name="Normal 2 12 5 5 3 2" xfId="34458" xr:uid="{00000000-0005-0000-0000-000023490000}"/>
    <cellStyle name="Normal 2 12 5 5 4" xfId="27017" xr:uid="{00000000-0005-0000-0000-000024490000}"/>
    <cellStyle name="Normal 2 12 5 6" xfId="15537" xr:uid="{00000000-0005-0000-0000-000025490000}"/>
    <cellStyle name="Normal 2 12 5 6 2" xfId="38180" xr:uid="{00000000-0005-0000-0000-000026490000}"/>
    <cellStyle name="Normal 2 12 5 7" xfId="8097" xr:uid="{00000000-0005-0000-0000-000027490000}"/>
    <cellStyle name="Normal 2 12 5 7 2" xfId="30740" xr:uid="{00000000-0005-0000-0000-000028490000}"/>
    <cellStyle name="Normal 2 12 5 8" xfId="23299" xr:uid="{00000000-0005-0000-0000-000029490000}"/>
    <cellStyle name="Normal 2 12 6" xfId="895" xr:uid="{00000000-0005-0000-0000-00002A490000}"/>
    <cellStyle name="Normal 2 12 6 2" xfId="1823" xr:uid="{00000000-0005-0000-0000-00002B490000}"/>
    <cellStyle name="Normal 2 12 6 2 2" xfId="3673" xr:uid="{00000000-0005-0000-0000-00002C490000}"/>
    <cellStyle name="Normal 2 12 6 2 2 2" xfId="7394" xr:uid="{00000000-0005-0000-0000-00002D490000}"/>
    <cellStyle name="Normal 2 12 6 2 2 2 2" xfId="22278" xr:uid="{00000000-0005-0000-0000-00002E490000}"/>
    <cellStyle name="Normal 2 12 6 2 2 2 2 2" xfId="44921" xr:uid="{00000000-0005-0000-0000-00002F490000}"/>
    <cellStyle name="Normal 2 12 6 2 2 2 3" xfId="14838" xr:uid="{00000000-0005-0000-0000-000030490000}"/>
    <cellStyle name="Normal 2 12 6 2 2 2 3 2" xfId="37481" xr:uid="{00000000-0005-0000-0000-000031490000}"/>
    <cellStyle name="Normal 2 12 6 2 2 2 4" xfId="30040" xr:uid="{00000000-0005-0000-0000-000032490000}"/>
    <cellStyle name="Normal 2 12 6 2 2 3" xfId="18560" xr:uid="{00000000-0005-0000-0000-000033490000}"/>
    <cellStyle name="Normal 2 12 6 2 2 3 2" xfId="41203" xr:uid="{00000000-0005-0000-0000-000034490000}"/>
    <cellStyle name="Normal 2 12 6 2 2 4" xfId="11120" xr:uid="{00000000-0005-0000-0000-000035490000}"/>
    <cellStyle name="Normal 2 12 6 2 2 4 2" xfId="33763" xr:uid="{00000000-0005-0000-0000-000036490000}"/>
    <cellStyle name="Normal 2 12 6 2 2 5" xfId="26322" xr:uid="{00000000-0005-0000-0000-000037490000}"/>
    <cellStyle name="Normal 2 12 6 2 3" xfId="5547" xr:uid="{00000000-0005-0000-0000-000038490000}"/>
    <cellStyle name="Normal 2 12 6 2 3 2" xfId="20431" xr:uid="{00000000-0005-0000-0000-000039490000}"/>
    <cellStyle name="Normal 2 12 6 2 3 2 2" xfId="43074" xr:uid="{00000000-0005-0000-0000-00003A490000}"/>
    <cellStyle name="Normal 2 12 6 2 3 3" xfId="12991" xr:uid="{00000000-0005-0000-0000-00003B490000}"/>
    <cellStyle name="Normal 2 12 6 2 3 3 2" xfId="35634" xr:uid="{00000000-0005-0000-0000-00003C490000}"/>
    <cellStyle name="Normal 2 12 6 2 3 4" xfId="28193" xr:uid="{00000000-0005-0000-0000-00003D490000}"/>
    <cellStyle name="Normal 2 12 6 2 4" xfId="16713" xr:uid="{00000000-0005-0000-0000-00003E490000}"/>
    <cellStyle name="Normal 2 12 6 2 4 2" xfId="39356" xr:uid="{00000000-0005-0000-0000-00003F490000}"/>
    <cellStyle name="Normal 2 12 6 2 5" xfId="9273" xr:uid="{00000000-0005-0000-0000-000040490000}"/>
    <cellStyle name="Normal 2 12 6 2 5 2" xfId="31916" xr:uid="{00000000-0005-0000-0000-000041490000}"/>
    <cellStyle name="Normal 2 12 6 2 6" xfId="24475" xr:uid="{00000000-0005-0000-0000-000042490000}"/>
    <cellStyle name="Normal 2 12 6 3" xfId="2748" xr:uid="{00000000-0005-0000-0000-000043490000}"/>
    <cellStyle name="Normal 2 12 6 3 2" xfId="6469" xr:uid="{00000000-0005-0000-0000-000044490000}"/>
    <cellStyle name="Normal 2 12 6 3 2 2" xfId="21353" xr:uid="{00000000-0005-0000-0000-000045490000}"/>
    <cellStyle name="Normal 2 12 6 3 2 2 2" xfId="43996" xr:uid="{00000000-0005-0000-0000-000046490000}"/>
    <cellStyle name="Normal 2 12 6 3 2 3" xfId="13913" xr:uid="{00000000-0005-0000-0000-000047490000}"/>
    <cellStyle name="Normal 2 12 6 3 2 3 2" xfId="36556" xr:uid="{00000000-0005-0000-0000-000048490000}"/>
    <cellStyle name="Normal 2 12 6 3 2 4" xfId="29115" xr:uid="{00000000-0005-0000-0000-000049490000}"/>
    <cellStyle name="Normal 2 12 6 3 3" xfId="17635" xr:uid="{00000000-0005-0000-0000-00004A490000}"/>
    <cellStyle name="Normal 2 12 6 3 3 2" xfId="40278" xr:uid="{00000000-0005-0000-0000-00004B490000}"/>
    <cellStyle name="Normal 2 12 6 3 4" xfId="10195" xr:uid="{00000000-0005-0000-0000-00004C490000}"/>
    <cellStyle name="Normal 2 12 6 3 4 2" xfId="32838" xr:uid="{00000000-0005-0000-0000-00004D490000}"/>
    <cellStyle name="Normal 2 12 6 3 5" xfId="25397" xr:uid="{00000000-0005-0000-0000-00004E490000}"/>
    <cellStyle name="Normal 2 12 6 4" xfId="4622" xr:uid="{00000000-0005-0000-0000-00004F490000}"/>
    <cellStyle name="Normal 2 12 6 4 2" xfId="19506" xr:uid="{00000000-0005-0000-0000-000050490000}"/>
    <cellStyle name="Normal 2 12 6 4 2 2" xfId="42149" xr:uid="{00000000-0005-0000-0000-000051490000}"/>
    <cellStyle name="Normal 2 12 6 4 3" xfId="12066" xr:uid="{00000000-0005-0000-0000-000052490000}"/>
    <cellStyle name="Normal 2 12 6 4 3 2" xfId="34709" xr:uid="{00000000-0005-0000-0000-000053490000}"/>
    <cellStyle name="Normal 2 12 6 4 4" xfId="27268" xr:uid="{00000000-0005-0000-0000-000054490000}"/>
    <cellStyle name="Normal 2 12 6 5" xfId="15788" xr:uid="{00000000-0005-0000-0000-000055490000}"/>
    <cellStyle name="Normal 2 12 6 5 2" xfId="38431" xr:uid="{00000000-0005-0000-0000-000056490000}"/>
    <cellStyle name="Normal 2 12 6 6" xfId="8348" xr:uid="{00000000-0005-0000-0000-000057490000}"/>
    <cellStyle name="Normal 2 12 6 6 2" xfId="30991" xr:uid="{00000000-0005-0000-0000-000058490000}"/>
    <cellStyle name="Normal 2 12 6 7" xfId="23550" xr:uid="{00000000-0005-0000-0000-000059490000}"/>
    <cellStyle name="Normal 2 12 7" xfId="1361" xr:uid="{00000000-0005-0000-0000-00005A490000}"/>
    <cellStyle name="Normal 2 12 7 2" xfId="3211" xr:uid="{00000000-0005-0000-0000-00005B490000}"/>
    <cellStyle name="Normal 2 12 7 2 2" xfId="6932" xr:uid="{00000000-0005-0000-0000-00005C490000}"/>
    <cellStyle name="Normal 2 12 7 2 2 2" xfId="21816" xr:uid="{00000000-0005-0000-0000-00005D490000}"/>
    <cellStyle name="Normal 2 12 7 2 2 2 2" xfId="44459" xr:uid="{00000000-0005-0000-0000-00005E490000}"/>
    <cellStyle name="Normal 2 12 7 2 2 3" xfId="14376" xr:uid="{00000000-0005-0000-0000-00005F490000}"/>
    <cellStyle name="Normal 2 12 7 2 2 3 2" xfId="37019" xr:uid="{00000000-0005-0000-0000-000060490000}"/>
    <cellStyle name="Normal 2 12 7 2 2 4" xfId="29578" xr:uid="{00000000-0005-0000-0000-000061490000}"/>
    <cellStyle name="Normal 2 12 7 2 3" xfId="18098" xr:uid="{00000000-0005-0000-0000-000062490000}"/>
    <cellStyle name="Normal 2 12 7 2 3 2" xfId="40741" xr:uid="{00000000-0005-0000-0000-000063490000}"/>
    <cellStyle name="Normal 2 12 7 2 4" xfId="10658" xr:uid="{00000000-0005-0000-0000-000064490000}"/>
    <cellStyle name="Normal 2 12 7 2 4 2" xfId="33301" xr:uid="{00000000-0005-0000-0000-000065490000}"/>
    <cellStyle name="Normal 2 12 7 2 5" xfId="25860" xr:uid="{00000000-0005-0000-0000-000066490000}"/>
    <cellStyle name="Normal 2 12 7 3" xfId="5085" xr:uid="{00000000-0005-0000-0000-000067490000}"/>
    <cellStyle name="Normal 2 12 7 3 2" xfId="19969" xr:uid="{00000000-0005-0000-0000-000068490000}"/>
    <cellStyle name="Normal 2 12 7 3 2 2" xfId="42612" xr:uid="{00000000-0005-0000-0000-000069490000}"/>
    <cellStyle name="Normal 2 12 7 3 3" xfId="12529" xr:uid="{00000000-0005-0000-0000-00006A490000}"/>
    <cellStyle name="Normal 2 12 7 3 3 2" xfId="35172" xr:uid="{00000000-0005-0000-0000-00006B490000}"/>
    <cellStyle name="Normal 2 12 7 3 4" xfId="27731" xr:uid="{00000000-0005-0000-0000-00006C490000}"/>
    <cellStyle name="Normal 2 12 7 4" xfId="16251" xr:uid="{00000000-0005-0000-0000-00006D490000}"/>
    <cellStyle name="Normal 2 12 7 4 2" xfId="38894" xr:uid="{00000000-0005-0000-0000-00006E490000}"/>
    <cellStyle name="Normal 2 12 7 5" xfId="8811" xr:uid="{00000000-0005-0000-0000-00006F490000}"/>
    <cellStyle name="Normal 2 12 7 5 2" xfId="31454" xr:uid="{00000000-0005-0000-0000-000070490000}"/>
    <cellStyle name="Normal 2 12 7 6" xfId="24013" xr:uid="{00000000-0005-0000-0000-000071490000}"/>
    <cellStyle name="Normal 2 12 8" xfId="2286" xr:uid="{00000000-0005-0000-0000-000072490000}"/>
    <cellStyle name="Normal 2 12 8 2" xfId="6007" xr:uid="{00000000-0005-0000-0000-000073490000}"/>
    <cellStyle name="Normal 2 12 8 2 2" xfId="20891" xr:uid="{00000000-0005-0000-0000-000074490000}"/>
    <cellStyle name="Normal 2 12 8 2 2 2" xfId="43534" xr:uid="{00000000-0005-0000-0000-000075490000}"/>
    <cellStyle name="Normal 2 12 8 2 3" xfId="13451" xr:uid="{00000000-0005-0000-0000-000076490000}"/>
    <cellStyle name="Normal 2 12 8 2 3 2" xfId="36094" xr:uid="{00000000-0005-0000-0000-000077490000}"/>
    <cellStyle name="Normal 2 12 8 2 4" xfId="28653" xr:uid="{00000000-0005-0000-0000-000078490000}"/>
    <cellStyle name="Normal 2 12 8 3" xfId="17173" xr:uid="{00000000-0005-0000-0000-000079490000}"/>
    <cellStyle name="Normal 2 12 8 3 2" xfId="39816" xr:uid="{00000000-0005-0000-0000-00007A490000}"/>
    <cellStyle name="Normal 2 12 8 4" xfId="9733" xr:uid="{00000000-0005-0000-0000-00007B490000}"/>
    <cellStyle name="Normal 2 12 8 4 2" xfId="32376" xr:uid="{00000000-0005-0000-0000-00007C490000}"/>
    <cellStyle name="Normal 2 12 8 5" xfId="24935" xr:uid="{00000000-0005-0000-0000-00007D490000}"/>
    <cellStyle name="Normal 2 12 9" xfId="4160" xr:uid="{00000000-0005-0000-0000-00007E490000}"/>
    <cellStyle name="Normal 2 12 9 2" xfId="19044" xr:uid="{00000000-0005-0000-0000-00007F490000}"/>
    <cellStyle name="Normal 2 12 9 2 2" xfId="41687" xr:uid="{00000000-0005-0000-0000-000080490000}"/>
    <cellStyle name="Normal 2 12 9 3" xfId="11604" xr:uid="{00000000-0005-0000-0000-000081490000}"/>
    <cellStyle name="Normal 2 12 9 3 2" xfId="34247" xr:uid="{00000000-0005-0000-0000-000082490000}"/>
    <cellStyle name="Normal 2 12 9 4" xfId="26806" xr:uid="{00000000-0005-0000-0000-000083490000}"/>
    <cellStyle name="Normal 2 13" xfId="421" xr:uid="{00000000-0005-0000-0000-000084490000}"/>
    <cellStyle name="Normal 2 13 10" xfId="15327" xr:uid="{00000000-0005-0000-0000-000085490000}"/>
    <cellStyle name="Normal 2 13 10 2" xfId="37970" xr:uid="{00000000-0005-0000-0000-000086490000}"/>
    <cellStyle name="Normal 2 13 11" xfId="7887" xr:uid="{00000000-0005-0000-0000-000087490000}"/>
    <cellStyle name="Normal 2 13 11 2" xfId="30530" xr:uid="{00000000-0005-0000-0000-000088490000}"/>
    <cellStyle name="Normal 2 13 12" xfId="23090" xr:uid="{00000000-0005-0000-0000-000089490000}"/>
    <cellStyle name="Normal 2 13 2" xfId="448" xr:uid="{00000000-0005-0000-0000-00008A490000}"/>
    <cellStyle name="Normal 2 13 2 10" xfId="7907" xr:uid="{00000000-0005-0000-0000-00008B490000}"/>
    <cellStyle name="Normal 2 13 2 10 2" xfId="30550" xr:uid="{00000000-0005-0000-0000-00008C490000}"/>
    <cellStyle name="Normal 2 13 2 11" xfId="23110" xr:uid="{00000000-0005-0000-0000-00008D490000}"/>
    <cellStyle name="Normal 2 13 2 2" xfId="501" xr:uid="{00000000-0005-0000-0000-00008E490000}"/>
    <cellStyle name="Normal 2 13 2 2 10" xfId="23162" xr:uid="{00000000-0005-0000-0000-00008F490000}"/>
    <cellStyle name="Normal 2 13 2 2 2" xfId="607" xr:uid="{00000000-0005-0000-0000-000090490000}"/>
    <cellStyle name="Normal 2 13 2 2 2 2" xfId="819" xr:uid="{00000000-0005-0000-0000-000091490000}"/>
    <cellStyle name="Normal 2 13 2 2 2 2 2" xfId="1284" xr:uid="{00000000-0005-0000-0000-000092490000}"/>
    <cellStyle name="Normal 2 13 2 2 2 2 2 2" xfId="2212" xr:uid="{00000000-0005-0000-0000-000093490000}"/>
    <cellStyle name="Normal 2 13 2 2 2 2 2 2 2" xfId="4062" xr:uid="{00000000-0005-0000-0000-000094490000}"/>
    <cellStyle name="Normal 2 13 2 2 2 2 2 2 2 2" xfId="7783" xr:uid="{00000000-0005-0000-0000-000095490000}"/>
    <cellStyle name="Normal 2 13 2 2 2 2 2 2 2 2 2" xfId="22667" xr:uid="{00000000-0005-0000-0000-000096490000}"/>
    <cellStyle name="Normal 2 13 2 2 2 2 2 2 2 2 2 2" xfId="45310" xr:uid="{00000000-0005-0000-0000-000097490000}"/>
    <cellStyle name="Normal 2 13 2 2 2 2 2 2 2 2 3" xfId="15227" xr:uid="{00000000-0005-0000-0000-000098490000}"/>
    <cellStyle name="Normal 2 13 2 2 2 2 2 2 2 2 3 2" xfId="37870" xr:uid="{00000000-0005-0000-0000-000099490000}"/>
    <cellStyle name="Normal 2 13 2 2 2 2 2 2 2 2 4" xfId="30429" xr:uid="{00000000-0005-0000-0000-00009A490000}"/>
    <cellStyle name="Normal 2 13 2 2 2 2 2 2 2 3" xfId="18949" xr:uid="{00000000-0005-0000-0000-00009B490000}"/>
    <cellStyle name="Normal 2 13 2 2 2 2 2 2 2 3 2" xfId="41592" xr:uid="{00000000-0005-0000-0000-00009C490000}"/>
    <cellStyle name="Normal 2 13 2 2 2 2 2 2 2 4" xfId="11509" xr:uid="{00000000-0005-0000-0000-00009D490000}"/>
    <cellStyle name="Normal 2 13 2 2 2 2 2 2 2 4 2" xfId="34152" xr:uid="{00000000-0005-0000-0000-00009E490000}"/>
    <cellStyle name="Normal 2 13 2 2 2 2 2 2 2 5" xfId="26711" xr:uid="{00000000-0005-0000-0000-00009F490000}"/>
    <cellStyle name="Normal 2 13 2 2 2 2 2 2 3" xfId="5936" xr:uid="{00000000-0005-0000-0000-0000A0490000}"/>
    <cellStyle name="Normal 2 13 2 2 2 2 2 2 3 2" xfId="20820" xr:uid="{00000000-0005-0000-0000-0000A1490000}"/>
    <cellStyle name="Normal 2 13 2 2 2 2 2 2 3 2 2" xfId="43463" xr:uid="{00000000-0005-0000-0000-0000A2490000}"/>
    <cellStyle name="Normal 2 13 2 2 2 2 2 2 3 3" xfId="13380" xr:uid="{00000000-0005-0000-0000-0000A3490000}"/>
    <cellStyle name="Normal 2 13 2 2 2 2 2 2 3 3 2" xfId="36023" xr:uid="{00000000-0005-0000-0000-0000A4490000}"/>
    <cellStyle name="Normal 2 13 2 2 2 2 2 2 3 4" xfId="28582" xr:uid="{00000000-0005-0000-0000-0000A5490000}"/>
    <cellStyle name="Normal 2 13 2 2 2 2 2 2 4" xfId="17102" xr:uid="{00000000-0005-0000-0000-0000A6490000}"/>
    <cellStyle name="Normal 2 13 2 2 2 2 2 2 4 2" xfId="39745" xr:uid="{00000000-0005-0000-0000-0000A7490000}"/>
    <cellStyle name="Normal 2 13 2 2 2 2 2 2 5" xfId="9662" xr:uid="{00000000-0005-0000-0000-0000A8490000}"/>
    <cellStyle name="Normal 2 13 2 2 2 2 2 2 5 2" xfId="32305" xr:uid="{00000000-0005-0000-0000-0000A9490000}"/>
    <cellStyle name="Normal 2 13 2 2 2 2 2 2 6" xfId="24864" xr:uid="{00000000-0005-0000-0000-0000AA490000}"/>
    <cellStyle name="Normal 2 13 2 2 2 2 2 3" xfId="3137" xr:uid="{00000000-0005-0000-0000-0000AB490000}"/>
    <cellStyle name="Normal 2 13 2 2 2 2 2 3 2" xfId="6858" xr:uid="{00000000-0005-0000-0000-0000AC490000}"/>
    <cellStyle name="Normal 2 13 2 2 2 2 2 3 2 2" xfId="21742" xr:uid="{00000000-0005-0000-0000-0000AD490000}"/>
    <cellStyle name="Normal 2 13 2 2 2 2 2 3 2 2 2" xfId="44385" xr:uid="{00000000-0005-0000-0000-0000AE490000}"/>
    <cellStyle name="Normal 2 13 2 2 2 2 2 3 2 3" xfId="14302" xr:uid="{00000000-0005-0000-0000-0000AF490000}"/>
    <cellStyle name="Normal 2 13 2 2 2 2 2 3 2 3 2" xfId="36945" xr:uid="{00000000-0005-0000-0000-0000B0490000}"/>
    <cellStyle name="Normal 2 13 2 2 2 2 2 3 2 4" xfId="29504" xr:uid="{00000000-0005-0000-0000-0000B1490000}"/>
    <cellStyle name="Normal 2 13 2 2 2 2 2 3 3" xfId="18024" xr:uid="{00000000-0005-0000-0000-0000B2490000}"/>
    <cellStyle name="Normal 2 13 2 2 2 2 2 3 3 2" xfId="40667" xr:uid="{00000000-0005-0000-0000-0000B3490000}"/>
    <cellStyle name="Normal 2 13 2 2 2 2 2 3 4" xfId="10584" xr:uid="{00000000-0005-0000-0000-0000B4490000}"/>
    <cellStyle name="Normal 2 13 2 2 2 2 2 3 4 2" xfId="33227" xr:uid="{00000000-0005-0000-0000-0000B5490000}"/>
    <cellStyle name="Normal 2 13 2 2 2 2 2 3 5" xfId="25786" xr:uid="{00000000-0005-0000-0000-0000B6490000}"/>
    <cellStyle name="Normal 2 13 2 2 2 2 2 4" xfId="5011" xr:uid="{00000000-0005-0000-0000-0000B7490000}"/>
    <cellStyle name="Normal 2 13 2 2 2 2 2 4 2" xfId="19895" xr:uid="{00000000-0005-0000-0000-0000B8490000}"/>
    <cellStyle name="Normal 2 13 2 2 2 2 2 4 2 2" xfId="42538" xr:uid="{00000000-0005-0000-0000-0000B9490000}"/>
    <cellStyle name="Normal 2 13 2 2 2 2 2 4 3" xfId="12455" xr:uid="{00000000-0005-0000-0000-0000BA490000}"/>
    <cellStyle name="Normal 2 13 2 2 2 2 2 4 3 2" xfId="35098" xr:uid="{00000000-0005-0000-0000-0000BB490000}"/>
    <cellStyle name="Normal 2 13 2 2 2 2 2 4 4" xfId="27657" xr:uid="{00000000-0005-0000-0000-0000BC490000}"/>
    <cellStyle name="Normal 2 13 2 2 2 2 2 5" xfId="16177" xr:uid="{00000000-0005-0000-0000-0000BD490000}"/>
    <cellStyle name="Normal 2 13 2 2 2 2 2 5 2" xfId="38820" xr:uid="{00000000-0005-0000-0000-0000BE490000}"/>
    <cellStyle name="Normal 2 13 2 2 2 2 2 6" xfId="8737" xr:uid="{00000000-0005-0000-0000-0000BF490000}"/>
    <cellStyle name="Normal 2 13 2 2 2 2 2 6 2" xfId="31380" xr:uid="{00000000-0005-0000-0000-0000C0490000}"/>
    <cellStyle name="Normal 2 13 2 2 2 2 2 7" xfId="23939" xr:uid="{00000000-0005-0000-0000-0000C1490000}"/>
    <cellStyle name="Normal 2 13 2 2 2 2 3" xfId="1750" xr:uid="{00000000-0005-0000-0000-0000C2490000}"/>
    <cellStyle name="Normal 2 13 2 2 2 2 3 2" xfId="3600" xr:uid="{00000000-0005-0000-0000-0000C3490000}"/>
    <cellStyle name="Normal 2 13 2 2 2 2 3 2 2" xfId="7321" xr:uid="{00000000-0005-0000-0000-0000C4490000}"/>
    <cellStyle name="Normal 2 13 2 2 2 2 3 2 2 2" xfId="22205" xr:uid="{00000000-0005-0000-0000-0000C5490000}"/>
    <cellStyle name="Normal 2 13 2 2 2 2 3 2 2 2 2" xfId="44848" xr:uid="{00000000-0005-0000-0000-0000C6490000}"/>
    <cellStyle name="Normal 2 13 2 2 2 2 3 2 2 3" xfId="14765" xr:uid="{00000000-0005-0000-0000-0000C7490000}"/>
    <cellStyle name="Normal 2 13 2 2 2 2 3 2 2 3 2" xfId="37408" xr:uid="{00000000-0005-0000-0000-0000C8490000}"/>
    <cellStyle name="Normal 2 13 2 2 2 2 3 2 2 4" xfId="29967" xr:uid="{00000000-0005-0000-0000-0000C9490000}"/>
    <cellStyle name="Normal 2 13 2 2 2 2 3 2 3" xfId="18487" xr:uid="{00000000-0005-0000-0000-0000CA490000}"/>
    <cellStyle name="Normal 2 13 2 2 2 2 3 2 3 2" xfId="41130" xr:uid="{00000000-0005-0000-0000-0000CB490000}"/>
    <cellStyle name="Normal 2 13 2 2 2 2 3 2 4" xfId="11047" xr:uid="{00000000-0005-0000-0000-0000CC490000}"/>
    <cellStyle name="Normal 2 13 2 2 2 2 3 2 4 2" xfId="33690" xr:uid="{00000000-0005-0000-0000-0000CD490000}"/>
    <cellStyle name="Normal 2 13 2 2 2 2 3 2 5" xfId="26249" xr:uid="{00000000-0005-0000-0000-0000CE490000}"/>
    <cellStyle name="Normal 2 13 2 2 2 2 3 3" xfId="5474" xr:uid="{00000000-0005-0000-0000-0000CF490000}"/>
    <cellStyle name="Normal 2 13 2 2 2 2 3 3 2" xfId="20358" xr:uid="{00000000-0005-0000-0000-0000D0490000}"/>
    <cellStyle name="Normal 2 13 2 2 2 2 3 3 2 2" xfId="43001" xr:uid="{00000000-0005-0000-0000-0000D1490000}"/>
    <cellStyle name="Normal 2 13 2 2 2 2 3 3 3" xfId="12918" xr:uid="{00000000-0005-0000-0000-0000D2490000}"/>
    <cellStyle name="Normal 2 13 2 2 2 2 3 3 3 2" xfId="35561" xr:uid="{00000000-0005-0000-0000-0000D3490000}"/>
    <cellStyle name="Normal 2 13 2 2 2 2 3 3 4" xfId="28120" xr:uid="{00000000-0005-0000-0000-0000D4490000}"/>
    <cellStyle name="Normal 2 13 2 2 2 2 3 4" xfId="16640" xr:uid="{00000000-0005-0000-0000-0000D5490000}"/>
    <cellStyle name="Normal 2 13 2 2 2 2 3 4 2" xfId="39283" xr:uid="{00000000-0005-0000-0000-0000D6490000}"/>
    <cellStyle name="Normal 2 13 2 2 2 2 3 5" xfId="9200" xr:uid="{00000000-0005-0000-0000-0000D7490000}"/>
    <cellStyle name="Normal 2 13 2 2 2 2 3 5 2" xfId="31843" xr:uid="{00000000-0005-0000-0000-0000D8490000}"/>
    <cellStyle name="Normal 2 13 2 2 2 2 3 6" xfId="24402" xr:uid="{00000000-0005-0000-0000-0000D9490000}"/>
    <cellStyle name="Normal 2 13 2 2 2 2 4" xfId="2675" xr:uid="{00000000-0005-0000-0000-0000DA490000}"/>
    <cellStyle name="Normal 2 13 2 2 2 2 4 2" xfId="6396" xr:uid="{00000000-0005-0000-0000-0000DB490000}"/>
    <cellStyle name="Normal 2 13 2 2 2 2 4 2 2" xfId="21280" xr:uid="{00000000-0005-0000-0000-0000DC490000}"/>
    <cellStyle name="Normal 2 13 2 2 2 2 4 2 2 2" xfId="43923" xr:uid="{00000000-0005-0000-0000-0000DD490000}"/>
    <cellStyle name="Normal 2 13 2 2 2 2 4 2 3" xfId="13840" xr:uid="{00000000-0005-0000-0000-0000DE490000}"/>
    <cellStyle name="Normal 2 13 2 2 2 2 4 2 3 2" xfId="36483" xr:uid="{00000000-0005-0000-0000-0000DF490000}"/>
    <cellStyle name="Normal 2 13 2 2 2 2 4 2 4" xfId="29042" xr:uid="{00000000-0005-0000-0000-0000E0490000}"/>
    <cellStyle name="Normal 2 13 2 2 2 2 4 3" xfId="17562" xr:uid="{00000000-0005-0000-0000-0000E1490000}"/>
    <cellStyle name="Normal 2 13 2 2 2 2 4 3 2" xfId="40205" xr:uid="{00000000-0005-0000-0000-0000E2490000}"/>
    <cellStyle name="Normal 2 13 2 2 2 2 4 4" xfId="10122" xr:uid="{00000000-0005-0000-0000-0000E3490000}"/>
    <cellStyle name="Normal 2 13 2 2 2 2 4 4 2" xfId="32765" xr:uid="{00000000-0005-0000-0000-0000E4490000}"/>
    <cellStyle name="Normal 2 13 2 2 2 2 4 5" xfId="25324" xr:uid="{00000000-0005-0000-0000-0000E5490000}"/>
    <cellStyle name="Normal 2 13 2 2 2 2 5" xfId="4549" xr:uid="{00000000-0005-0000-0000-0000E6490000}"/>
    <cellStyle name="Normal 2 13 2 2 2 2 5 2" xfId="19433" xr:uid="{00000000-0005-0000-0000-0000E7490000}"/>
    <cellStyle name="Normal 2 13 2 2 2 2 5 2 2" xfId="42076" xr:uid="{00000000-0005-0000-0000-0000E8490000}"/>
    <cellStyle name="Normal 2 13 2 2 2 2 5 3" xfId="11993" xr:uid="{00000000-0005-0000-0000-0000E9490000}"/>
    <cellStyle name="Normal 2 13 2 2 2 2 5 3 2" xfId="34636" xr:uid="{00000000-0005-0000-0000-0000EA490000}"/>
    <cellStyle name="Normal 2 13 2 2 2 2 5 4" xfId="27195" xr:uid="{00000000-0005-0000-0000-0000EB490000}"/>
    <cellStyle name="Normal 2 13 2 2 2 2 6" xfId="15715" xr:uid="{00000000-0005-0000-0000-0000EC490000}"/>
    <cellStyle name="Normal 2 13 2 2 2 2 6 2" xfId="38358" xr:uid="{00000000-0005-0000-0000-0000ED490000}"/>
    <cellStyle name="Normal 2 13 2 2 2 2 7" xfId="8275" xr:uid="{00000000-0005-0000-0000-0000EE490000}"/>
    <cellStyle name="Normal 2 13 2 2 2 2 7 2" xfId="30918" xr:uid="{00000000-0005-0000-0000-0000EF490000}"/>
    <cellStyle name="Normal 2 13 2 2 2 2 8" xfId="23477" xr:uid="{00000000-0005-0000-0000-0000F0490000}"/>
    <cellStyle name="Normal 2 13 2 2 2 3" xfId="1073" xr:uid="{00000000-0005-0000-0000-0000F1490000}"/>
    <cellStyle name="Normal 2 13 2 2 2 3 2" xfId="2001" xr:uid="{00000000-0005-0000-0000-0000F2490000}"/>
    <cellStyle name="Normal 2 13 2 2 2 3 2 2" xfId="3851" xr:uid="{00000000-0005-0000-0000-0000F3490000}"/>
    <cellStyle name="Normal 2 13 2 2 2 3 2 2 2" xfId="7572" xr:uid="{00000000-0005-0000-0000-0000F4490000}"/>
    <cellStyle name="Normal 2 13 2 2 2 3 2 2 2 2" xfId="22456" xr:uid="{00000000-0005-0000-0000-0000F5490000}"/>
    <cellStyle name="Normal 2 13 2 2 2 3 2 2 2 2 2" xfId="45099" xr:uid="{00000000-0005-0000-0000-0000F6490000}"/>
    <cellStyle name="Normal 2 13 2 2 2 3 2 2 2 3" xfId="15016" xr:uid="{00000000-0005-0000-0000-0000F7490000}"/>
    <cellStyle name="Normal 2 13 2 2 2 3 2 2 2 3 2" xfId="37659" xr:uid="{00000000-0005-0000-0000-0000F8490000}"/>
    <cellStyle name="Normal 2 13 2 2 2 3 2 2 2 4" xfId="30218" xr:uid="{00000000-0005-0000-0000-0000F9490000}"/>
    <cellStyle name="Normal 2 13 2 2 2 3 2 2 3" xfId="18738" xr:uid="{00000000-0005-0000-0000-0000FA490000}"/>
    <cellStyle name="Normal 2 13 2 2 2 3 2 2 3 2" xfId="41381" xr:uid="{00000000-0005-0000-0000-0000FB490000}"/>
    <cellStyle name="Normal 2 13 2 2 2 3 2 2 4" xfId="11298" xr:uid="{00000000-0005-0000-0000-0000FC490000}"/>
    <cellStyle name="Normal 2 13 2 2 2 3 2 2 4 2" xfId="33941" xr:uid="{00000000-0005-0000-0000-0000FD490000}"/>
    <cellStyle name="Normal 2 13 2 2 2 3 2 2 5" xfId="26500" xr:uid="{00000000-0005-0000-0000-0000FE490000}"/>
    <cellStyle name="Normal 2 13 2 2 2 3 2 3" xfId="5725" xr:uid="{00000000-0005-0000-0000-0000FF490000}"/>
    <cellStyle name="Normal 2 13 2 2 2 3 2 3 2" xfId="20609" xr:uid="{00000000-0005-0000-0000-0000004A0000}"/>
    <cellStyle name="Normal 2 13 2 2 2 3 2 3 2 2" xfId="43252" xr:uid="{00000000-0005-0000-0000-0000014A0000}"/>
    <cellStyle name="Normal 2 13 2 2 2 3 2 3 3" xfId="13169" xr:uid="{00000000-0005-0000-0000-0000024A0000}"/>
    <cellStyle name="Normal 2 13 2 2 2 3 2 3 3 2" xfId="35812" xr:uid="{00000000-0005-0000-0000-0000034A0000}"/>
    <cellStyle name="Normal 2 13 2 2 2 3 2 3 4" xfId="28371" xr:uid="{00000000-0005-0000-0000-0000044A0000}"/>
    <cellStyle name="Normal 2 13 2 2 2 3 2 4" xfId="16891" xr:uid="{00000000-0005-0000-0000-0000054A0000}"/>
    <cellStyle name="Normal 2 13 2 2 2 3 2 4 2" xfId="39534" xr:uid="{00000000-0005-0000-0000-0000064A0000}"/>
    <cellStyle name="Normal 2 13 2 2 2 3 2 5" xfId="9451" xr:uid="{00000000-0005-0000-0000-0000074A0000}"/>
    <cellStyle name="Normal 2 13 2 2 2 3 2 5 2" xfId="32094" xr:uid="{00000000-0005-0000-0000-0000084A0000}"/>
    <cellStyle name="Normal 2 13 2 2 2 3 2 6" xfId="24653" xr:uid="{00000000-0005-0000-0000-0000094A0000}"/>
    <cellStyle name="Normal 2 13 2 2 2 3 3" xfId="2926" xr:uid="{00000000-0005-0000-0000-00000A4A0000}"/>
    <cellStyle name="Normal 2 13 2 2 2 3 3 2" xfId="6647" xr:uid="{00000000-0005-0000-0000-00000B4A0000}"/>
    <cellStyle name="Normal 2 13 2 2 2 3 3 2 2" xfId="21531" xr:uid="{00000000-0005-0000-0000-00000C4A0000}"/>
    <cellStyle name="Normal 2 13 2 2 2 3 3 2 2 2" xfId="44174" xr:uid="{00000000-0005-0000-0000-00000D4A0000}"/>
    <cellStyle name="Normal 2 13 2 2 2 3 3 2 3" xfId="14091" xr:uid="{00000000-0005-0000-0000-00000E4A0000}"/>
    <cellStyle name="Normal 2 13 2 2 2 3 3 2 3 2" xfId="36734" xr:uid="{00000000-0005-0000-0000-00000F4A0000}"/>
    <cellStyle name="Normal 2 13 2 2 2 3 3 2 4" xfId="29293" xr:uid="{00000000-0005-0000-0000-0000104A0000}"/>
    <cellStyle name="Normal 2 13 2 2 2 3 3 3" xfId="17813" xr:uid="{00000000-0005-0000-0000-0000114A0000}"/>
    <cellStyle name="Normal 2 13 2 2 2 3 3 3 2" xfId="40456" xr:uid="{00000000-0005-0000-0000-0000124A0000}"/>
    <cellStyle name="Normal 2 13 2 2 2 3 3 4" xfId="10373" xr:uid="{00000000-0005-0000-0000-0000134A0000}"/>
    <cellStyle name="Normal 2 13 2 2 2 3 3 4 2" xfId="33016" xr:uid="{00000000-0005-0000-0000-0000144A0000}"/>
    <cellStyle name="Normal 2 13 2 2 2 3 3 5" xfId="25575" xr:uid="{00000000-0005-0000-0000-0000154A0000}"/>
    <cellStyle name="Normal 2 13 2 2 2 3 4" xfId="4800" xr:uid="{00000000-0005-0000-0000-0000164A0000}"/>
    <cellStyle name="Normal 2 13 2 2 2 3 4 2" xfId="19684" xr:uid="{00000000-0005-0000-0000-0000174A0000}"/>
    <cellStyle name="Normal 2 13 2 2 2 3 4 2 2" xfId="42327" xr:uid="{00000000-0005-0000-0000-0000184A0000}"/>
    <cellStyle name="Normal 2 13 2 2 2 3 4 3" xfId="12244" xr:uid="{00000000-0005-0000-0000-0000194A0000}"/>
    <cellStyle name="Normal 2 13 2 2 2 3 4 3 2" xfId="34887" xr:uid="{00000000-0005-0000-0000-00001A4A0000}"/>
    <cellStyle name="Normal 2 13 2 2 2 3 4 4" xfId="27446" xr:uid="{00000000-0005-0000-0000-00001B4A0000}"/>
    <cellStyle name="Normal 2 13 2 2 2 3 5" xfId="15966" xr:uid="{00000000-0005-0000-0000-00001C4A0000}"/>
    <cellStyle name="Normal 2 13 2 2 2 3 5 2" xfId="38609" xr:uid="{00000000-0005-0000-0000-00001D4A0000}"/>
    <cellStyle name="Normal 2 13 2 2 2 3 6" xfId="8526" xr:uid="{00000000-0005-0000-0000-00001E4A0000}"/>
    <cellStyle name="Normal 2 13 2 2 2 3 6 2" xfId="31169" xr:uid="{00000000-0005-0000-0000-00001F4A0000}"/>
    <cellStyle name="Normal 2 13 2 2 2 3 7" xfId="23728" xr:uid="{00000000-0005-0000-0000-0000204A0000}"/>
    <cellStyle name="Normal 2 13 2 2 2 4" xfId="1539" xr:uid="{00000000-0005-0000-0000-0000214A0000}"/>
    <cellStyle name="Normal 2 13 2 2 2 4 2" xfId="3389" xr:uid="{00000000-0005-0000-0000-0000224A0000}"/>
    <cellStyle name="Normal 2 13 2 2 2 4 2 2" xfId="7110" xr:uid="{00000000-0005-0000-0000-0000234A0000}"/>
    <cellStyle name="Normal 2 13 2 2 2 4 2 2 2" xfId="21994" xr:uid="{00000000-0005-0000-0000-0000244A0000}"/>
    <cellStyle name="Normal 2 13 2 2 2 4 2 2 2 2" xfId="44637" xr:uid="{00000000-0005-0000-0000-0000254A0000}"/>
    <cellStyle name="Normal 2 13 2 2 2 4 2 2 3" xfId="14554" xr:uid="{00000000-0005-0000-0000-0000264A0000}"/>
    <cellStyle name="Normal 2 13 2 2 2 4 2 2 3 2" xfId="37197" xr:uid="{00000000-0005-0000-0000-0000274A0000}"/>
    <cellStyle name="Normal 2 13 2 2 2 4 2 2 4" xfId="29756" xr:uid="{00000000-0005-0000-0000-0000284A0000}"/>
    <cellStyle name="Normal 2 13 2 2 2 4 2 3" xfId="18276" xr:uid="{00000000-0005-0000-0000-0000294A0000}"/>
    <cellStyle name="Normal 2 13 2 2 2 4 2 3 2" xfId="40919" xr:uid="{00000000-0005-0000-0000-00002A4A0000}"/>
    <cellStyle name="Normal 2 13 2 2 2 4 2 4" xfId="10836" xr:uid="{00000000-0005-0000-0000-00002B4A0000}"/>
    <cellStyle name="Normal 2 13 2 2 2 4 2 4 2" xfId="33479" xr:uid="{00000000-0005-0000-0000-00002C4A0000}"/>
    <cellStyle name="Normal 2 13 2 2 2 4 2 5" xfId="26038" xr:uid="{00000000-0005-0000-0000-00002D4A0000}"/>
    <cellStyle name="Normal 2 13 2 2 2 4 3" xfId="5263" xr:uid="{00000000-0005-0000-0000-00002E4A0000}"/>
    <cellStyle name="Normal 2 13 2 2 2 4 3 2" xfId="20147" xr:uid="{00000000-0005-0000-0000-00002F4A0000}"/>
    <cellStyle name="Normal 2 13 2 2 2 4 3 2 2" xfId="42790" xr:uid="{00000000-0005-0000-0000-0000304A0000}"/>
    <cellStyle name="Normal 2 13 2 2 2 4 3 3" xfId="12707" xr:uid="{00000000-0005-0000-0000-0000314A0000}"/>
    <cellStyle name="Normal 2 13 2 2 2 4 3 3 2" xfId="35350" xr:uid="{00000000-0005-0000-0000-0000324A0000}"/>
    <cellStyle name="Normal 2 13 2 2 2 4 3 4" xfId="27909" xr:uid="{00000000-0005-0000-0000-0000334A0000}"/>
    <cellStyle name="Normal 2 13 2 2 2 4 4" xfId="16429" xr:uid="{00000000-0005-0000-0000-0000344A0000}"/>
    <cellStyle name="Normal 2 13 2 2 2 4 4 2" xfId="39072" xr:uid="{00000000-0005-0000-0000-0000354A0000}"/>
    <cellStyle name="Normal 2 13 2 2 2 4 5" xfId="8989" xr:uid="{00000000-0005-0000-0000-0000364A0000}"/>
    <cellStyle name="Normal 2 13 2 2 2 4 5 2" xfId="31632" xr:uid="{00000000-0005-0000-0000-0000374A0000}"/>
    <cellStyle name="Normal 2 13 2 2 2 4 6" xfId="24191" xr:uid="{00000000-0005-0000-0000-0000384A0000}"/>
    <cellStyle name="Normal 2 13 2 2 2 5" xfId="2464" xr:uid="{00000000-0005-0000-0000-0000394A0000}"/>
    <cellStyle name="Normal 2 13 2 2 2 5 2" xfId="6185" xr:uid="{00000000-0005-0000-0000-00003A4A0000}"/>
    <cellStyle name="Normal 2 13 2 2 2 5 2 2" xfId="21069" xr:uid="{00000000-0005-0000-0000-00003B4A0000}"/>
    <cellStyle name="Normal 2 13 2 2 2 5 2 2 2" xfId="43712" xr:uid="{00000000-0005-0000-0000-00003C4A0000}"/>
    <cellStyle name="Normal 2 13 2 2 2 5 2 3" xfId="13629" xr:uid="{00000000-0005-0000-0000-00003D4A0000}"/>
    <cellStyle name="Normal 2 13 2 2 2 5 2 3 2" xfId="36272" xr:uid="{00000000-0005-0000-0000-00003E4A0000}"/>
    <cellStyle name="Normal 2 13 2 2 2 5 2 4" xfId="28831" xr:uid="{00000000-0005-0000-0000-00003F4A0000}"/>
    <cellStyle name="Normal 2 13 2 2 2 5 3" xfId="17351" xr:uid="{00000000-0005-0000-0000-0000404A0000}"/>
    <cellStyle name="Normal 2 13 2 2 2 5 3 2" xfId="39994" xr:uid="{00000000-0005-0000-0000-0000414A0000}"/>
    <cellStyle name="Normal 2 13 2 2 2 5 4" xfId="9911" xr:uid="{00000000-0005-0000-0000-0000424A0000}"/>
    <cellStyle name="Normal 2 13 2 2 2 5 4 2" xfId="32554" xr:uid="{00000000-0005-0000-0000-0000434A0000}"/>
    <cellStyle name="Normal 2 13 2 2 2 5 5" xfId="25113" xr:uid="{00000000-0005-0000-0000-0000444A0000}"/>
    <cellStyle name="Normal 2 13 2 2 2 6" xfId="4338" xr:uid="{00000000-0005-0000-0000-0000454A0000}"/>
    <cellStyle name="Normal 2 13 2 2 2 6 2" xfId="19222" xr:uid="{00000000-0005-0000-0000-0000464A0000}"/>
    <cellStyle name="Normal 2 13 2 2 2 6 2 2" xfId="41865" xr:uid="{00000000-0005-0000-0000-0000474A0000}"/>
    <cellStyle name="Normal 2 13 2 2 2 6 3" xfId="11782" xr:uid="{00000000-0005-0000-0000-0000484A0000}"/>
    <cellStyle name="Normal 2 13 2 2 2 6 3 2" xfId="34425" xr:uid="{00000000-0005-0000-0000-0000494A0000}"/>
    <cellStyle name="Normal 2 13 2 2 2 6 4" xfId="26984" xr:uid="{00000000-0005-0000-0000-00004A4A0000}"/>
    <cellStyle name="Normal 2 13 2 2 2 7" xfId="15504" xr:uid="{00000000-0005-0000-0000-00004B4A0000}"/>
    <cellStyle name="Normal 2 13 2 2 2 7 2" xfId="38147" xr:uid="{00000000-0005-0000-0000-00004C4A0000}"/>
    <cellStyle name="Normal 2 13 2 2 2 8" xfId="8064" xr:uid="{00000000-0005-0000-0000-00004D4A0000}"/>
    <cellStyle name="Normal 2 13 2 2 2 8 2" xfId="30707" xr:uid="{00000000-0005-0000-0000-00004E4A0000}"/>
    <cellStyle name="Normal 2 13 2 2 2 9" xfId="23267" xr:uid="{00000000-0005-0000-0000-00004F4A0000}"/>
    <cellStyle name="Normal 2 13 2 2 3" xfId="714" xr:uid="{00000000-0005-0000-0000-0000504A0000}"/>
    <cellStyle name="Normal 2 13 2 2 3 2" xfId="1179" xr:uid="{00000000-0005-0000-0000-0000514A0000}"/>
    <cellStyle name="Normal 2 13 2 2 3 2 2" xfId="2107" xr:uid="{00000000-0005-0000-0000-0000524A0000}"/>
    <cellStyle name="Normal 2 13 2 2 3 2 2 2" xfId="3957" xr:uid="{00000000-0005-0000-0000-0000534A0000}"/>
    <cellStyle name="Normal 2 13 2 2 3 2 2 2 2" xfId="7678" xr:uid="{00000000-0005-0000-0000-0000544A0000}"/>
    <cellStyle name="Normal 2 13 2 2 3 2 2 2 2 2" xfId="22562" xr:uid="{00000000-0005-0000-0000-0000554A0000}"/>
    <cellStyle name="Normal 2 13 2 2 3 2 2 2 2 2 2" xfId="45205" xr:uid="{00000000-0005-0000-0000-0000564A0000}"/>
    <cellStyle name="Normal 2 13 2 2 3 2 2 2 2 3" xfId="15122" xr:uid="{00000000-0005-0000-0000-0000574A0000}"/>
    <cellStyle name="Normal 2 13 2 2 3 2 2 2 2 3 2" xfId="37765" xr:uid="{00000000-0005-0000-0000-0000584A0000}"/>
    <cellStyle name="Normal 2 13 2 2 3 2 2 2 2 4" xfId="30324" xr:uid="{00000000-0005-0000-0000-0000594A0000}"/>
    <cellStyle name="Normal 2 13 2 2 3 2 2 2 3" xfId="18844" xr:uid="{00000000-0005-0000-0000-00005A4A0000}"/>
    <cellStyle name="Normal 2 13 2 2 3 2 2 2 3 2" xfId="41487" xr:uid="{00000000-0005-0000-0000-00005B4A0000}"/>
    <cellStyle name="Normal 2 13 2 2 3 2 2 2 4" xfId="11404" xr:uid="{00000000-0005-0000-0000-00005C4A0000}"/>
    <cellStyle name="Normal 2 13 2 2 3 2 2 2 4 2" xfId="34047" xr:uid="{00000000-0005-0000-0000-00005D4A0000}"/>
    <cellStyle name="Normal 2 13 2 2 3 2 2 2 5" xfId="26606" xr:uid="{00000000-0005-0000-0000-00005E4A0000}"/>
    <cellStyle name="Normal 2 13 2 2 3 2 2 3" xfId="5831" xr:uid="{00000000-0005-0000-0000-00005F4A0000}"/>
    <cellStyle name="Normal 2 13 2 2 3 2 2 3 2" xfId="20715" xr:uid="{00000000-0005-0000-0000-0000604A0000}"/>
    <cellStyle name="Normal 2 13 2 2 3 2 2 3 2 2" xfId="43358" xr:uid="{00000000-0005-0000-0000-0000614A0000}"/>
    <cellStyle name="Normal 2 13 2 2 3 2 2 3 3" xfId="13275" xr:uid="{00000000-0005-0000-0000-0000624A0000}"/>
    <cellStyle name="Normal 2 13 2 2 3 2 2 3 3 2" xfId="35918" xr:uid="{00000000-0005-0000-0000-0000634A0000}"/>
    <cellStyle name="Normal 2 13 2 2 3 2 2 3 4" xfId="28477" xr:uid="{00000000-0005-0000-0000-0000644A0000}"/>
    <cellStyle name="Normal 2 13 2 2 3 2 2 4" xfId="16997" xr:uid="{00000000-0005-0000-0000-0000654A0000}"/>
    <cellStyle name="Normal 2 13 2 2 3 2 2 4 2" xfId="39640" xr:uid="{00000000-0005-0000-0000-0000664A0000}"/>
    <cellStyle name="Normal 2 13 2 2 3 2 2 5" xfId="9557" xr:uid="{00000000-0005-0000-0000-0000674A0000}"/>
    <cellStyle name="Normal 2 13 2 2 3 2 2 5 2" xfId="32200" xr:uid="{00000000-0005-0000-0000-0000684A0000}"/>
    <cellStyle name="Normal 2 13 2 2 3 2 2 6" xfId="24759" xr:uid="{00000000-0005-0000-0000-0000694A0000}"/>
    <cellStyle name="Normal 2 13 2 2 3 2 3" xfId="3032" xr:uid="{00000000-0005-0000-0000-00006A4A0000}"/>
    <cellStyle name="Normal 2 13 2 2 3 2 3 2" xfId="6753" xr:uid="{00000000-0005-0000-0000-00006B4A0000}"/>
    <cellStyle name="Normal 2 13 2 2 3 2 3 2 2" xfId="21637" xr:uid="{00000000-0005-0000-0000-00006C4A0000}"/>
    <cellStyle name="Normal 2 13 2 2 3 2 3 2 2 2" xfId="44280" xr:uid="{00000000-0005-0000-0000-00006D4A0000}"/>
    <cellStyle name="Normal 2 13 2 2 3 2 3 2 3" xfId="14197" xr:uid="{00000000-0005-0000-0000-00006E4A0000}"/>
    <cellStyle name="Normal 2 13 2 2 3 2 3 2 3 2" xfId="36840" xr:uid="{00000000-0005-0000-0000-00006F4A0000}"/>
    <cellStyle name="Normal 2 13 2 2 3 2 3 2 4" xfId="29399" xr:uid="{00000000-0005-0000-0000-0000704A0000}"/>
    <cellStyle name="Normal 2 13 2 2 3 2 3 3" xfId="17919" xr:uid="{00000000-0005-0000-0000-0000714A0000}"/>
    <cellStyle name="Normal 2 13 2 2 3 2 3 3 2" xfId="40562" xr:uid="{00000000-0005-0000-0000-0000724A0000}"/>
    <cellStyle name="Normal 2 13 2 2 3 2 3 4" xfId="10479" xr:uid="{00000000-0005-0000-0000-0000734A0000}"/>
    <cellStyle name="Normal 2 13 2 2 3 2 3 4 2" xfId="33122" xr:uid="{00000000-0005-0000-0000-0000744A0000}"/>
    <cellStyle name="Normal 2 13 2 2 3 2 3 5" xfId="25681" xr:uid="{00000000-0005-0000-0000-0000754A0000}"/>
    <cellStyle name="Normal 2 13 2 2 3 2 4" xfId="4906" xr:uid="{00000000-0005-0000-0000-0000764A0000}"/>
    <cellStyle name="Normal 2 13 2 2 3 2 4 2" xfId="19790" xr:uid="{00000000-0005-0000-0000-0000774A0000}"/>
    <cellStyle name="Normal 2 13 2 2 3 2 4 2 2" xfId="42433" xr:uid="{00000000-0005-0000-0000-0000784A0000}"/>
    <cellStyle name="Normal 2 13 2 2 3 2 4 3" xfId="12350" xr:uid="{00000000-0005-0000-0000-0000794A0000}"/>
    <cellStyle name="Normal 2 13 2 2 3 2 4 3 2" xfId="34993" xr:uid="{00000000-0005-0000-0000-00007A4A0000}"/>
    <cellStyle name="Normal 2 13 2 2 3 2 4 4" xfId="27552" xr:uid="{00000000-0005-0000-0000-00007B4A0000}"/>
    <cellStyle name="Normal 2 13 2 2 3 2 5" xfId="16072" xr:uid="{00000000-0005-0000-0000-00007C4A0000}"/>
    <cellStyle name="Normal 2 13 2 2 3 2 5 2" xfId="38715" xr:uid="{00000000-0005-0000-0000-00007D4A0000}"/>
    <cellStyle name="Normal 2 13 2 2 3 2 6" xfId="8632" xr:uid="{00000000-0005-0000-0000-00007E4A0000}"/>
    <cellStyle name="Normal 2 13 2 2 3 2 6 2" xfId="31275" xr:uid="{00000000-0005-0000-0000-00007F4A0000}"/>
    <cellStyle name="Normal 2 13 2 2 3 2 7" xfId="23834" xr:uid="{00000000-0005-0000-0000-0000804A0000}"/>
    <cellStyle name="Normal 2 13 2 2 3 3" xfId="1645" xr:uid="{00000000-0005-0000-0000-0000814A0000}"/>
    <cellStyle name="Normal 2 13 2 2 3 3 2" xfId="3495" xr:uid="{00000000-0005-0000-0000-0000824A0000}"/>
    <cellStyle name="Normal 2 13 2 2 3 3 2 2" xfId="7216" xr:uid="{00000000-0005-0000-0000-0000834A0000}"/>
    <cellStyle name="Normal 2 13 2 2 3 3 2 2 2" xfId="22100" xr:uid="{00000000-0005-0000-0000-0000844A0000}"/>
    <cellStyle name="Normal 2 13 2 2 3 3 2 2 2 2" xfId="44743" xr:uid="{00000000-0005-0000-0000-0000854A0000}"/>
    <cellStyle name="Normal 2 13 2 2 3 3 2 2 3" xfId="14660" xr:uid="{00000000-0005-0000-0000-0000864A0000}"/>
    <cellStyle name="Normal 2 13 2 2 3 3 2 2 3 2" xfId="37303" xr:uid="{00000000-0005-0000-0000-0000874A0000}"/>
    <cellStyle name="Normal 2 13 2 2 3 3 2 2 4" xfId="29862" xr:uid="{00000000-0005-0000-0000-0000884A0000}"/>
    <cellStyle name="Normal 2 13 2 2 3 3 2 3" xfId="18382" xr:uid="{00000000-0005-0000-0000-0000894A0000}"/>
    <cellStyle name="Normal 2 13 2 2 3 3 2 3 2" xfId="41025" xr:uid="{00000000-0005-0000-0000-00008A4A0000}"/>
    <cellStyle name="Normal 2 13 2 2 3 3 2 4" xfId="10942" xr:uid="{00000000-0005-0000-0000-00008B4A0000}"/>
    <cellStyle name="Normal 2 13 2 2 3 3 2 4 2" xfId="33585" xr:uid="{00000000-0005-0000-0000-00008C4A0000}"/>
    <cellStyle name="Normal 2 13 2 2 3 3 2 5" xfId="26144" xr:uid="{00000000-0005-0000-0000-00008D4A0000}"/>
    <cellStyle name="Normal 2 13 2 2 3 3 3" xfId="5369" xr:uid="{00000000-0005-0000-0000-00008E4A0000}"/>
    <cellStyle name="Normal 2 13 2 2 3 3 3 2" xfId="20253" xr:uid="{00000000-0005-0000-0000-00008F4A0000}"/>
    <cellStyle name="Normal 2 13 2 2 3 3 3 2 2" xfId="42896" xr:uid="{00000000-0005-0000-0000-0000904A0000}"/>
    <cellStyle name="Normal 2 13 2 2 3 3 3 3" xfId="12813" xr:uid="{00000000-0005-0000-0000-0000914A0000}"/>
    <cellStyle name="Normal 2 13 2 2 3 3 3 3 2" xfId="35456" xr:uid="{00000000-0005-0000-0000-0000924A0000}"/>
    <cellStyle name="Normal 2 13 2 2 3 3 3 4" xfId="28015" xr:uid="{00000000-0005-0000-0000-0000934A0000}"/>
    <cellStyle name="Normal 2 13 2 2 3 3 4" xfId="16535" xr:uid="{00000000-0005-0000-0000-0000944A0000}"/>
    <cellStyle name="Normal 2 13 2 2 3 3 4 2" xfId="39178" xr:uid="{00000000-0005-0000-0000-0000954A0000}"/>
    <cellStyle name="Normal 2 13 2 2 3 3 5" xfId="9095" xr:uid="{00000000-0005-0000-0000-0000964A0000}"/>
    <cellStyle name="Normal 2 13 2 2 3 3 5 2" xfId="31738" xr:uid="{00000000-0005-0000-0000-0000974A0000}"/>
    <cellStyle name="Normal 2 13 2 2 3 3 6" xfId="24297" xr:uid="{00000000-0005-0000-0000-0000984A0000}"/>
    <cellStyle name="Normal 2 13 2 2 3 4" xfId="2570" xr:uid="{00000000-0005-0000-0000-0000994A0000}"/>
    <cellStyle name="Normal 2 13 2 2 3 4 2" xfId="6291" xr:uid="{00000000-0005-0000-0000-00009A4A0000}"/>
    <cellStyle name="Normal 2 13 2 2 3 4 2 2" xfId="21175" xr:uid="{00000000-0005-0000-0000-00009B4A0000}"/>
    <cellStyle name="Normal 2 13 2 2 3 4 2 2 2" xfId="43818" xr:uid="{00000000-0005-0000-0000-00009C4A0000}"/>
    <cellStyle name="Normal 2 13 2 2 3 4 2 3" xfId="13735" xr:uid="{00000000-0005-0000-0000-00009D4A0000}"/>
    <cellStyle name="Normal 2 13 2 2 3 4 2 3 2" xfId="36378" xr:uid="{00000000-0005-0000-0000-00009E4A0000}"/>
    <cellStyle name="Normal 2 13 2 2 3 4 2 4" xfId="28937" xr:uid="{00000000-0005-0000-0000-00009F4A0000}"/>
    <cellStyle name="Normal 2 13 2 2 3 4 3" xfId="17457" xr:uid="{00000000-0005-0000-0000-0000A04A0000}"/>
    <cellStyle name="Normal 2 13 2 2 3 4 3 2" xfId="40100" xr:uid="{00000000-0005-0000-0000-0000A14A0000}"/>
    <cellStyle name="Normal 2 13 2 2 3 4 4" xfId="10017" xr:uid="{00000000-0005-0000-0000-0000A24A0000}"/>
    <cellStyle name="Normal 2 13 2 2 3 4 4 2" xfId="32660" xr:uid="{00000000-0005-0000-0000-0000A34A0000}"/>
    <cellStyle name="Normal 2 13 2 2 3 4 5" xfId="25219" xr:uid="{00000000-0005-0000-0000-0000A44A0000}"/>
    <cellStyle name="Normal 2 13 2 2 3 5" xfId="4444" xr:uid="{00000000-0005-0000-0000-0000A54A0000}"/>
    <cellStyle name="Normal 2 13 2 2 3 5 2" xfId="19328" xr:uid="{00000000-0005-0000-0000-0000A64A0000}"/>
    <cellStyle name="Normal 2 13 2 2 3 5 2 2" xfId="41971" xr:uid="{00000000-0005-0000-0000-0000A74A0000}"/>
    <cellStyle name="Normal 2 13 2 2 3 5 3" xfId="11888" xr:uid="{00000000-0005-0000-0000-0000A84A0000}"/>
    <cellStyle name="Normal 2 13 2 2 3 5 3 2" xfId="34531" xr:uid="{00000000-0005-0000-0000-0000A94A0000}"/>
    <cellStyle name="Normal 2 13 2 2 3 5 4" xfId="27090" xr:uid="{00000000-0005-0000-0000-0000AA4A0000}"/>
    <cellStyle name="Normal 2 13 2 2 3 6" xfId="15610" xr:uid="{00000000-0005-0000-0000-0000AB4A0000}"/>
    <cellStyle name="Normal 2 13 2 2 3 6 2" xfId="38253" xr:uid="{00000000-0005-0000-0000-0000AC4A0000}"/>
    <cellStyle name="Normal 2 13 2 2 3 7" xfId="8170" xr:uid="{00000000-0005-0000-0000-0000AD4A0000}"/>
    <cellStyle name="Normal 2 13 2 2 3 7 2" xfId="30813" xr:uid="{00000000-0005-0000-0000-0000AE4A0000}"/>
    <cellStyle name="Normal 2 13 2 2 3 8" xfId="23372" xr:uid="{00000000-0005-0000-0000-0000AF4A0000}"/>
    <cellStyle name="Normal 2 13 2 2 4" xfId="968" xr:uid="{00000000-0005-0000-0000-0000B04A0000}"/>
    <cellStyle name="Normal 2 13 2 2 4 2" xfId="1896" xr:uid="{00000000-0005-0000-0000-0000B14A0000}"/>
    <cellStyle name="Normal 2 13 2 2 4 2 2" xfId="3746" xr:uid="{00000000-0005-0000-0000-0000B24A0000}"/>
    <cellStyle name="Normal 2 13 2 2 4 2 2 2" xfId="7467" xr:uid="{00000000-0005-0000-0000-0000B34A0000}"/>
    <cellStyle name="Normal 2 13 2 2 4 2 2 2 2" xfId="22351" xr:uid="{00000000-0005-0000-0000-0000B44A0000}"/>
    <cellStyle name="Normal 2 13 2 2 4 2 2 2 2 2" xfId="44994" xr:uid="{00000000-0005-0000-0000-0000B54A0000}"/>
    <cellStyle name="Normal 2 13 2 2 4 2 2 2 3" xfId="14911" xr:uid="{00000000-0005-0000-0000-0000B64A0000}"/>
    <cellStyle name="Normal 2 13 2 2 4 2 2 2 3 2" xfId="37554" xr:uid="{00000000-0005-0000-0000-0000B74A0000}"/>
    <cellStyle name="Normal 2 13 2 2 4 2 2 2 4" xfId="30113" xr:uid="{00000000-0005-0000-0000-0000B84A0000}"/>
    <cellStyle name="Normal 2 13 2 2 4 2 2 3" xfId="18633" xr:uid="{00000000-0005-0000-0000-0000B94A0000}"/>
    <cellStyle name="Normal 2 13 2 2 4 2 2 3 2" xfId="41276" xr:uid="{00000000-0005-0000-0000-0000BA4A0000}"/>
    <cellStyle name="Normal 2 13 2 2 4 2 2 4" xfId="11193" xr:uid="{00000000-0005-0000-0000-0000BB4A0000}"/>
    <cellStyle name="Normal 2 13 2 2 4 2 2 4 2" xfId="33836" xr:uid="{00000000-0005-0000-0000-0000BC4A0000}"/>
    <cellStyle name="Normal 2 13 2 2 4 2 2 5" xfId="26395" xr:uid="{00000000-0005-0000-0000-0000BD4A0000}"/>
    <cellStyle name="Normal 2 13 2 2 4 2 3" xfId="5620" xr:uid="{00000000-0005-0000-0000-0000BE4A0000}"/>
    <cellStyle name="Normal 2 13 2 2 4 2 3 2" xfId="20504" xr:uid="{00000000-0005-0000-0000-0000BF4A0000}"/>
    <cellStyle name="Normal 2 13 2 2 4 2 3 2 2" xfId="43147" xr:uid="{00000000-0005-0000-0000-0000C04A0000}"/>
    <cellStyle name="Normal 2 13 2 2 4 2 3 3" xfId="13064" xr:uid="{00000000-0005-0000-0000-0000C14A0000}"/>
    <cellStyle name="Normal 2 13 2 2 4 2 3 3 2" xfId="35707" xr:uid="{00000000-0005-0000-0000-0000C24A0000}"/>
    <cellStyle name="Normal 2 13 2 2 4 2 3 4" xfId="28266" xr:uid="{00000000-0005-0000-0000-0000C34A0000}"/>
    <cellStyle name="Normal 2 13 2 2 4 2 4" xfId="16786" xr:uid="{00000000-0005-0000-0000-0000C44A0000}"/>
    <cellStyle name="Normal 2 13 2 2 4 2 4 2" xfId="39429" xr:uid="{00000000-0005-0000-0000-0000C54A0000}"/>
    <cellStyle name="Normal 2 13 2 2 4 2 5" xfId="9346" xr:uid="{00000000-0005-0000-0000-0000C64A0000}"/>
    <cellStyle name="Normal 2 13 2 2 4 2 5 2" xfId="31989" xr:uid="{00000000-0005-0000-0000-0000C74A0000}"/>
    <cellStyle name="Normal 2 13 2 2 4 2 6" xfId="24548" xr:uid="{00000000-0005-0000-0000-0000C84A0000}"/>
    <cellStyle name="Normal 2 13 2 2 4 3" xfId="2821" xr:uid="{00000000-0005-0000-0000-0000C94A0000}"/>
    <cellStyle name="Normal 2 13 2 2 4 3 2" xfId="6542" xr:uid="{00000000-0005-0000-0000-0000CA4A0000}"/>
    <cellStyle name="Normal 2 13 2 2 4 3 2 2" xfId="21426" xr:uid="{00000000-0005-0000-0000-0000CB4A0000}"/>
    <cellStyle name="Normal 2 13 2 2 4 3 2 2 2" xfId="44069" xr:uid="{00000000-0005-0000-0000-0000CC4A0000}"/>
    <cellStyle name="Normal 2 13 2 2 4 3 2 3" xfId="13986" xr:uid="{00000000-0005-0000-0000-0000CD4A0000}"/>
    <cellStyle name="Normal 2 13 2 2 4 3 2 3 2" xfId="36629" xr:uid="{00000000-0005-0000-0000-0000CE4A0000}"/>
    <cellStyle name="Normal 2 13 2 2 4 3 2 4" xfId="29188" xr:uid="{00000000-0005-0000-0000-0000CF4A0000}"/>
    <cellStyle name="Normal 2 13 2 2 4 3 3" xfId="17708" xr:uid="{00000000-0005-0000-0000-0000D04A0000}"/>
    <cellStyle name="Normal 2 13 2 2 4 3 3 2" xfId="40351" xr:uid="{00000000-0005-0000-0000-0000D14A0000}"/>
    <cellStyle name="Normal 2 13 2 2 4 3 4" xfId="10268" xr:uid="{00000000-0005-0000-0000-0000D24A0000}"/>
    <cellStyle name="Normal 2 13 2 2 4 3 4 2" xfId="32911" xr:uid="{00000000-0005-0000-0000-0000D34A0000}"/>
    <cellStyle name="Normal 2 13 2 2 4 3 5" xfId="25470" xr:uid="{00000000-0005-0000-0000-0000D44A0000}"/>
    <cellStyle name="Normal 2 13 2 2 4 4" xfId="4695" xr:uid="{00000000-0005-0000-0000-0000D54A0000}"/>
    <cellStyle name="Normal 2 13 2 2 4 4 2" xfId="19579" xr:uid="{00000000-0005-0000-0000-0000D64A0000}"/>
    <cellStyle name="Normal 2 13 2 2 4 4 2 2" xfId="42222" xr:uid="{00000000-0005-0000-0000-0000D74A0000}"/>
    <cellStyle name="Normal 2 13 2 2 4 4 3" xfId="12139" xr:uid="{00000000-0005-0000-0000-0000D84A0000}"/>
    <cellStyle name="Normal 2 13 2 2 4 4 3 2" xfId="34782" xr:uid="{00000000-0005-0000-0000-0000D94A0000}"/>
    <cellStyle name="Normal 2 13 2 2 4 4 4" xfId="27341" xr:uid="{00000000-0005-0000-0000-0000DA4A0000}"/>
    <cellStyle name="Normal 2 13 2 2 4 5" xfId="15861" xr:uid="{00000000-0005-0000-0000-0000DB4A0000}"/>
    <cellStyle name="Normal 2 13 2 2 4 5 2" xfId="38504" xr:uid="{00000000-0005-0000-0000-0000DC4A0000}"/>
    <cellStyle name="Normal 2 13 2 2 4 6" xfId="8421" xr:uid="{00000000-0005-0000-0000-0000DD4A0000}"/>
    <cellStyle name="Normal 2 13 2 2 4 6 2" xfId="31064" xr:uid="{00000000-0005-0000-0000-0000DE4A0000}"/>
    <cellStyle name="Normal 2 13 2 2 4 7" xfId="23623" xr:uid="{00000000-0005-0000-0000-0000DF4A0000}"/>
    <cellStyle name="Normal 2 13 2 2 5" xfId="1434" xr:uid="{00000000-0005-0000-0000-0000E04A0000}"/>
    <cellStyle name="Normal 2 13 2 2 5 2" xfId="3284" xr:uid="{00000000-0005-0000-0000-0000E14A0000}"/>
    <cellStyle name="Normal 2 13 2 2 5 2 2" xfId="7005" xr:uid="{00000000-0005-0000-0000-0000E24A0000}"/>
    <cellStyle name="Normal 2 13 2 2 5 2 2 2" xfId="21889" xr:uid="{00000000-0005-0000-0000-0000E34A0000}"/>
    <cellStyle name="Normal 2 13 2 2 5 2 2 2 2" xfId="44532" xr:uid="{00000000-0005-0000-0000-0000E44A0000}"/>
    <cellStyle name="Normal 2 13 2 2 5 2 2 3" xfId="14449" xr:uid="{00000000-0005-0000-0000-0000E54A0000}"/>
    <cellStyle name="Normal 2 13 2 2 5 2 2 3 2" xfId="37092" xr:uid="{00000000-0005-0000-0000-0000E64A0000}"/>
    <cellStyle name="Normal 2 13 2 2 5 2 2 4" xfId="29651" xr:uid="{00000000-0005-0000-0000-0000E74A0000}"/>
    <cellStyle name="Normal 2 13 2 2 5 2 3" xfId="18171" xr:uid="{00000000-0005-0000-0000-0000E84A0000}"/>
    <cellStyle name="Normal 2 13 2 2 5 2 3 2" xfId="40814" xr:uid="{00000000-0005-0000-0000-0000E94A0000}"/>
    <cellStyle name="Normal 2 13 2 2 5 2 4" xfId="10731" xr:uid="{00000000-0005-0000-0000-0000EA4A0000}"/>
    <cellStyle name="Normal 2 13 2 2 5 2 4 2" xfId="33374" xr:uid="{00000000-0005-0000-0000-0000EB4A0000}"/>
    <cellStyle name="Normal 2 13 2 2 5 2 5" xfId="25933" xr:uid="{00000000-0005-0000-0000-0000EC4A0000}"/>
    <cellStyle name="Normal 2 13 2 2 5 3" xfId="5158" xr:uid="{00000000-0005-0000-0000-0000ED4A0000}"/>
    <cellStyle name="Normal 2 13 2 2 5 3 2" xfId="20042" xr:uid="{00000000-0005-0000-0000-0000EE4A0000}"/>
    <cellStyle name="Normal 2 13 2 2 5 3 2 2" xfId="42685" xr:uid="{00000000-0005-0000-0000-0000EF4A0000}"/>
    <cellStyle name="Normal 2 13 2 2 5 3 3" xfId="12602" xr:uid="{00000000-0005-0000-0000-0000F04A0000}"/>
    <cellStyle name="Normal 2 13 2 2 5 3 3 2" xfId="35245" xr:uid="{00000000-0005-0000-0000-0000F14A0000}"/>
    <cellStyle name="Normal 2 13 2 2 5 3 4" xfId="27804" xr:uid="{00000000-0005-0000-0000-0000F24A0000}"/>
    <cellStyle name="Normal 2 13 2 2 5 4" xfId="16324" xr:uid="{00000000-0005-0000-0000-0000F34A0000}"/>
    <cellStyle name="Normal 2 13 2 2 5 4 2" xfId="38967" xr:uid="{00000000-0005-0000-0000-0000F44A0000}"/>
    <cellStyle name="Normal 2 13 2 2 5 5" xfId="8884" xr:uid="{00000000-0005-0000-0000-0000F54A0000}"/>
    <cellStyle name="Normal 2 13 2 2 5 5 2" xfId="31527" xr:uid="{00000000-0005-0000-0000-0000F64A0000}"/>
    <cellStyle name="Normal 2 13 2 2 5 6" xfId="24086" xr:uid="{00000000-0005-0000-0000-0000F74A0000}"/>
    <cellStyle name="Normal 2 13 2 2 6" xfId="2359" xr:uid="{00000000-0005-0000-0000-0000F84A0000}"/>
    <cellStyle name="Normal 2 13 2 2 6 2" xfId="6080" xr:uid="{00000000-0005-0000-0000-0000F94A0000}"/>
    <cellStyle name="Normal 2 13 2 2 6 2 2" xfId="20964" xr:uid="{00000000-0005-0000-0000-0000FA4A0000}"/>
    <cellStyle name="Normal 2 13 2 2 6 2 2 2" xfId="43607" xr:uid="{00000000-0005-0000-0000-0000FB4A0000}"/>
    <cellStyle name="Normal 2 13 2 2 6 2 3" xfId="13524" xr:uid="{00000000-0005-0000-0000-0000FC4A0000}"/>
    <cellStyle name="Normal 2 13 2 2 6 2 3 2" xfId="36167" xr:uid="{00000000-0005-0000-0000-0000FD4A0000}"/>
    <cellStyle name="Normal 2 13 2 2 6 2 4" xfId="28726" xr:uid="{00000000-0005-0000-0000-0000FE4A0000}"/>
    <cellStyle name="Normal 2 13 2 2 6 3" xfId="17246" xr:uid="{00000000-0005-0000-0000-0000FF4A0000}"/>
    <cellStyle name="Normal 2 13 2 2 6 3 2" xfId="39889" xr:uid="{00000000-0005-0000-0000-0000004B0000}"/>
    <cellStyle name="Normal 2 13 2 2 6 4" xfId="9806" xr:uid="{00000000-0005-0000-0000-0000014B0000}"/>
    <cellStyle name="Normal 2 13 2 2 6 4 2" xfId="32449" xr:uid="{00000000-0005-0000-0000-0000024B0000}"/>
    <cellStyle name="Normal 2 13 2 2 6 5" xfId="25008" xr:uid="{00000000-0005-0000-0000-0000034B0000}"/>
    <cellStyle name="Normal 2 13 2 2 7" xfId="4233" xr:uid="{00000000-0005-0000-0000-0000044B0000}"/>
    <cellStyle name="Normal 2 13 2 2 7 2" xfId="19117" xr:uid="{00000000-0005-0000-0000-0000054B0000}"/>
    <cellStyle name="Normal 2 13 2 2 7 2 2" xfId="41760" xr:uid="{00000000-0005-0000-0000-0000064B0000}"/>
    <cellStyle name="Normal 2 13 2 2 7 3" xfId="11677" xr:uid="{00000000-0005-0000-0000-0000074B0000}"/>
    <cellStyle name="Normal 2 13 2 2 7 3 2" xfId="34320" xr:uid="{00000000-0005-0000-0000-0000084B0000}"/>
    <cellStyle name="Normal 2 13 2 2 7 4" xfId="26879" xr:uid="{00000000-0005-0000-0000-0000094B0000}"/>
    <cellStyle name="Normal 2 13 2 2 8" xfId="15399" xr:uid="{00000000-0005-0000-0000-00000A4B0000}"/>
    <cellStyle name="Normal 2 13 2 2 8 2" xfId="38042" xr:uid="{00000000-0005-0000-0000-00000B4B0000}"/>
    <cellStyle name="Normal 2 13 2 2 9" xfId="7959" xr:uid="{00000000-0005-0000-0000-00000C4B0000}"/>
    <cellStyle name="Normal 2 13 2 2 9 2" xfId="30602" xr:uid="{00000000-0005-0000-0000-00000D4B0000}"/>
    <cellStyle name="Normal 2 13 2 3" xfId="555" xr:uid="{00000000-0005-0000-0000-00000E4B0000}"/>
    <cellStyle name="Normal 2 13 2 3 2" xfId="767" xr:uid="{00000000-0005-0000-0000-00000F4B0000}"/>
    <cellStyle name="Normal 2 13 2 3 2 2" xfId="1232" xr:uid="{00000000-0005-0000-0000-0000104B0000}"/>
    <cellStyle name="Normal 2 13 2 3 2 2 2" xfId="2160" xr:uid="{00000000-0005-0000-0000-0000114B0000}"/>
    <cellStyle name="Normal 2 13 2 3 2 2 2 2" xfId="4010" xr:uid="{00000000-0005-0000-0000-0000124B0000}"/>
    <cellStyle name="Normal 2 13 2 3 2 2 2 2 2" xfId="7731" xr:uid="{00000000-0005-0000-0000-0000134B0000}"/>
    <cellStyle name="Normal 2 13 2 3 2 2 2 2 2 2" xfId="22615" xr:uid="{00000000-0005-0000-0000-0000144B0000}"/>
    <cellStyle name="Normal 2 13 2 3 2 2 2 2 2 2 2" xfId="45258" xr:uid="{00000000-0005-0000-0000-0000154B0000}"/>
    <cellStyle name="Normal 2 13 2 3 2 2 2 2 2 3" xfId="15175" xr:uid="{00000000-0005-0000-0000-0000164B0000}"/>
    <cellStyle name="Normal 2 13 2 3 2 2 2 2 2 3 2" xfId="37818" xr:uid="{00000000-0005-0000-0000-0000174B0000}"/>
    <cellStyle name="Normal 2 13 2 3 2 2 2 2 2 4" xfId="30377" xr:uid="{00000000-0005-0000-0000-0000184B0000}"/>
    <cellStyle name="Normal 2 13 2 3 2 2 2 2 3" xfId="18897" xr:uid="{00000000-0005-0000-0000-0000194B0000}"/>
    <cellStyle name="Normal 2 13 2 3 2 2 2 2 3 2" xfId="41540" xr:uid="{00000000-0005-0000-0000-00001A4B0000}"/>
    <cellStyle name="Normal 2 13 2 3 2 2 2 2 4" xfId="11457" xr:uid="{00000000-0005-0000-0000-00001B4B0000}"/>
    <cellStyle name="Normal 2 13 2 3 2 2 2 2 4 2" xfId="34100" xr:uid="{00000000-0005-0000-0000-00001C4B0000}"/>
    <cellStyle name="Normal 2 13 2 3 2 2 2 2 5" xfId="26659" xr:uid="{00000000-0005-0000-0000-00001D4B0000}"/>
    <cellStyle name="Normal 2 13 2 3 2 2 2 3" xfId="5884" xr:uid="{00000000-0005-0000-0000-00001E4B0000}"/>
    <cellStyle name="Normal 2 13 2 3 2 2 2 3 2" xfId="20768" xr:uid="{00000000-0005-0000-0000-00001F4B0000}"/>
    <cellStyle name="Normal 2 13 2 3 2 2 2 3 2 2" xfId="43411" xr:uid="{00000000-0005-0000-0000-0000204B0000}"/>
    <cellStyle name="Normal 2 13 2 3 2 2 2 3 3" xfId="13328" xr:uid="{00000000-0005-0000-0000-0000214B0000}"/>
    <cellStyle name="Normal 2 13 2 3 2 2 2 3 3 2" xfId="35971" xr:uid="{00000000-0005-0000-0000-0000224B0000}"/>
    <cellStyle name="Normal 2 13 2 3 2 2 2 3 4" xfId="28530" xr:uid="{00000000-0005-0000-0000-0000234B0000}"/>
    <cellStyle name="Normal 2 13 2 3 2 2 2 4" xfId="17050" xr:uid="{00000000-0005-0000-0000-0000244B0000}"/>
    <cellStyle name="Normal 2 13 2 3 2 2 2 4 2" xfId="39693" xr:uid="{00000000-0005-0000-0000-0000254B0000}"/>
    <cellStyle name="Normal 2 13 2 3 2 2 2 5" xfId="9610" xr:uid="{00000000-0005-0000-0000-0000264B0000}"/>
    <cellStyle name="Normal 2 13 2 3 2 2 2 5 2" xfId="32253" xr:uid="{00000000-0005-0000-0000-0000274B0000}"/>
    <cellStyle name="Normal 2 13 2 3 2 2 2 6" xfId="24812" xr:uid="{00000000-0005-0000-0000-0000284B0000}"/>
    <cellStyle name="Normal 2 13 2 3 2 2 3" xfId="3085" xr:uid="{00000000-0005-0000-0000-0000294B0000}"/>
    <cellStyle name="Normal 2 13 2 3 2 2 3 2" xfId="6806" xr:uid="{00000000-0005-0000-0000-00002A4B0000}"/>
    <cellStyle name="Normal 2 13 2 3 2 2 3 2 2" xfId="21690" xr:uid="{00000000-0005-0000-0000-00002B4B0000}"/>
    <cellStyle name="Normal 2 13 2 3 2 2 3 2 2 2" xfId="44333" xr:uid="{00000000-0005-0000-0000-00002C4B0000}"/>
    <cellStyle name="Normal 2 13 2 3 2 2 3 2 3" xfId="14250" xr:uid="{00000000-0005-0000-0000-00002D4B0000}"/>
    <cellStyle name="Normal 2 13 2 3 2 2 3 2 3 2" xfId="36893" xr:uid="{00000000-0005-0000-0000-00002E4B0000}"/>
    <cellStyle name="Normal 2 13 2 3 2 2 3 2 4" xfId="29452" xr:uid="{00000000-0005-0000-0000-00002F4B0000}"/>
    <cellStyle name="Normal 2 13 2 3 2 2 3 3" xfId="17972" xr:uid="{00000000-0005-0000-0000-0000304B0000}"/>
    <cellStyle name="Normal 2 13 2 3 2 2 3 3 2" xfId="40615" xr:uid="{00000000-0005-0000-0000-0000314B0000}"/>
    <cellStyle name="Normal 2 13 2 3 2 2 3 4" xfId="10532" xr:uid="{00000000-0005-0000-0000-0000324B0000}"/>
    <cellStyle name="Normal 2 13 2 3 2 2 3 4 2" xfId="33175" xr:uid="{00000000-0005-0000-0000-0000334B0000}"/>
    <cellStyle name="Normal 2 13 2 3 2 2 3 5" xfId="25734" xr:uid="{00000000-0005-0000-0000-0000344B0000}"/>
    <cellStyle name="Normal 2 13 2 3 2 2 4" xfId="4959" xr:uid="{00000000-0005-0000-0000-0000354B0000}"/>
    <cellStyle name="Normal 2 13 2 3 2 2 4 2" xfId="19843" xr:uid="{00000000-0005-0000-0000-0000364B0000}"/>
    <cellStyle name="Normal 2 13 2 3 2 2 4 2 2" xfId="42486" xr:uid="{00000000-0005-0000-0000-0000374B0000}"/>
    <cellStyle name="Normal 2 13 2 3 2 2 4 3" xfId="12403" xr:uid="{00000000-0005-0000-0000-0000384B0000}"/>
    <cellStyle name="Normal 2 13 2 3 2 2 4 3 2" xfId="35046" xr:uid="{00000000-0005-0000-0000-0000394B0000}"/>
    <cellStyle name="Normal 2 13 2 3 2 2 4 4" xfId="27605" xr:uid="{00000000-0005-0000-0000-00003A4B0000}"/>
    <cellStyle name="Normal 2 13 2 3 2 2 5" xfId="16125" xr:uid="{00000000-0005-0000-0000-00003B4B0000}"/>
    <cellStyle name="Normal 2 13 2 3 2 2 5 2" xfId="38768" xr:uid="{00000000-0005-0000-0000-00003C4B0000}"/>
    <cellStyle name="Normal 2 13 2 3 2 2 6" xfId="8685" xr:uid="{00000000-0005-0000-0000-00003D4B0000}"/>
    <cellStyle name="Normal 2 13 2 3 2 2 6 2" xfId="31328" xr:uid="{00000000-0005-0000-0000-00003E4B0000}"/>
    <cellStyle name="Normal 2 13 2 3 2 2 7" xfId="23887" xr:uid="{00000000-0005-0000-0000-00003F4B0000}"/>
    <cellStyle name="Normal 2 13 2 3 2 3" xfId="1698" xr:uid="{00000000-0005-0000-0000-0000404B0000}"/>
    <cellStyle name="Normal 2 13 2 3 2 3 2" xfId="3548" xr:uid="{00000000-0005-0000-0000-0000414B0000}"/>
    <cellStyle name="Normal 2 13 2 3 2 3 2 2" xfId="7269" xr:uid="{00000000-0005-0000-0000-0000424B0000}"/>
    <cellStyle name="Normal 2 13 2 3 2 3 2 2 2" xfId="22153" xr:uid="{00000000-0005-0000-0000-0000434B0000}"/>
    <cellStyle name="Normal 2 13 2 3 2 3 2 2 2 2" xfId="44796" xr:uid="{00000000-0005-0000-0000-0000444B0000}"/>
    <cellStyle name="Normal 2 13 2 3 2 3 2 2 3" xfId="14713" xr:uid="{00000000-0005-0000-0000-0000454B0000}"/>
    <cellStyle name="Normal 2 13 2 3 2 3 2 2 3 2" xfId="37356" xr:uid="{00000000-0005-0000-0000-0000464B0000}"/>
    <cellStyle name="Normal 2 13 2 3 2 3 2 2 4" xfId="29915" xr:uid="{00000000-0005-0000-0000-0000474B0000}"/>
    <cellStyle name="Normal 2 13 2 3 2 3 2 3" xfId="18435" xr:uid="{00000000-0005-0000-0000-0000484B0000}"/>
    <cellStyle name="Normal 2 13 2 3 2 3 2 3 2" xfId="41078" xr:uid="{00000000-0005-0000-0000-0000494B0000}"/>
    <cellStyle name="Normal 2 13 2 3 2 3 2 4" xfId="10995" xr:uid="{00000000-0005-0000-0000-00004A4B0000}"/>
    <cellStyle name="Normal 2 13 2 3 2 3 2 4 2" xfId="33638" xr:uid="{00000000-0005-0000-0000-00004B4B0000}"/>
    <cellStyle name="Normal 2 13 2 3 2 3 2 5" xfId="26197" xr:uid="{00000000-0005-0000-0000-00004C4B0000}"/>
    <cellStyle name="Normal 2 13 2 3 2 3 3" xfId="5422" xr:uid="{00000000-0005-0000-0000-00004D4B0000}"/>
    <cellStyle name="Normal 2 13 2 3 2 3 3 2" xfId="20306" xr:uid="{00000000-0005-0000-0000-00004E4B0000}"/>
    <cellStyle name="Normal 2 13 2 3 2 3 3 2 2" xfId="42949" xr:uid="{00000000-0005-0000-0000-00004F4B0000}"/>
    <cellStyle name="Normal 2 13 2 3 2 3 3 3" xfId="12866" xr:uid="{00000000-0005-0000-0000-0000504B0000}"/>
    <cellStyle name="Normal 2 13 2 3 2 3 3 3 2" xfId="35509" xr:uid="{00000000-0005-0000-0000-0000514B0000}"/>
    <cellStyle name="Normal 2 13 2 3 2 3 3 4" xfId="28068" xr:uid="{00000000-0005-0000-0000-0000524B0000}"/>
    <cellStyle name="Normal 2 13 2 3 2 3 4" xfId="16588" xr:uid="{00000000-0005-0000-0000-0000534B0000}"/>
    <cellStyle name="Normal 2 13 2 3 2 3 4 2" xfId="39231" xr:uid="{00000000-0005-0000-0000-0000544B0000}"/>
    <cellStyle name="Normal 2 13 2 3 2 3 5" xfId="9148" xr:uid="{00000000-0005-0000-0000-0000554B0000}"/>
    <cellStyle name="Normal 2 13 2 3 2 3 5 2" xfId="31791" xr:uid="{00000000-0005-0000-0000-0000564B0000}"/>
    <cellStyle name="Normal 2 13 2 3 2 3 6" xfId="24350" xr:uid="{00000000-0005-0000-0000-0000574B0000}"/>
    <cellStyle name="Normal 2 13 2 3 2 4" xfId="2623" xr:uid="{00000000-0005-0000-0000-0000584B0000}"/>
    <cellStyle name="Normal 2 13 2 3 2 4 2" xfId="6344" xr:uid="{00000000-0005-0000-0000-0000594B0000}"/>
    <cellStyle name="Normal 2 13 2 3 2 4 2 2" xfId="21228" xr:uid="{00000000-0005-0000-0000-00005A4B0000}"/>
    <cellStyle name="Normal 2 13 2 3 2 4 2 2 2" xfId="43871" xr:uid="{00000000-0005-0000-0000-00005B4B0000}"/>
    <cellStyle name="Normal 2 13 2 3 2 4 2 3" xfId="13788" xr:uid="{00000000-0005-0000-0000-00005C4B0000}"/>
    <cellStyle name="Normal 2 13 2 3 2 4 2 3 2" xfId="36431" xr:uid="{00000000-0005-0000-0000-00005D4B0000}"/>
    <cellStyle name="Normal 2 13 2 3 2 4 2 4" xfId="28990" xr:uid="{00000000-0005-0000-0000-00005E4B0000}"/>
    <cellStyle name="Normal 2 13 2 3 2 4 3" xfId="17510" xr:uid="{00000000-0005-0000-0000-00005F4B0000}"/>
    <cellStyle name="Normal 2 13 2 3 2 4 3 2" xfId="40153" xr:uid="{00000000-0005-0000-0000-0000604B0000}"/>
    <cellStyle name="Normal 2 13 2 3 2 4 4" xfId="10070" xr:uid="{00000000-0005-0000-0000-0000614B0000}"/>
    <cellStyle name="Normal 2 13 2 3 2 4 4 2" xfId="32713" xr:uid="{00000000-0005-0000-0000-0000624B0000}"/>
    <cellStyle name="Normal 2 13 2 3 2 4 5" xfId="25272" xr:uid="{00000000-0005-0000-0000-0000634B0000}"/>
    <cellStyle name="Normal 2 13 2 3 2 5" xfId="4497" xr:uid="{00000000-0005-0000-0000-0000644B0000}"/>
    <cellStyle name="Normal 2 13 2 3 2 5 2" xfId="19381" xr:uid="{00000000-0005-0000-0000-0000654B0000}"/>
    <cellStyle name="Normal 2 13 2 3 2 5 2 2" xfId="42024" xr:uid="{00000000-0005-0000-0000-0000664B0000}"/>
    <cellStyle name="Normal 2 13 2 3 2 5 3" xfId="11941" xr:uid="{00000000-0005-0000-0000-0000674B0000}"/>
    <cellStyle name="Normal 2 13 2 3 2 5 3 2" xfId="34584" xr:uid="{00000000-0005-0000-0000-0000684B0000}"/>
    <cellStyle name="Normal 2 13 2 3 2 5 4" xfId="27143" xr:uid="{00000000-0005-0000-0000-0000694B0000}"/>
    <cellStyle name="Normal 2 13 2 3 2 6" xfId="15663" xr:uid="{00000000-0005-0000-0000-00006A4B0000}"/>
    <cellStyle name="Normal 2 13 2 3 2 6 2" xfId="38306" xr:uid="{00000000-0005-0000-0000-00006B4B0000}"/>
    <cellStyle name="Normal 2 13 2 3 2 7" xfId="8223" xr:uid="{00000000-0005-0000-0000-00006C4B0000}"/>
    <cellStyle name="Normal 2 13 2 3 2 7 2" xfId="30866" xr:uid="{00000000-0005-0000-0000-00006D4B0000}"/>
    <cellStyle name="Normal 2 13 2 3 2 8" xfId="23425" xr:uid="{00000000-0005-0000-0000-00006E4B0000}"/>
    <cellStyle name="Normal 2 13 2 3 3" xfId="1021" xr:uid="{00000000-0005-0000-0000-00006F4B0000}"/>
    <cellStyle name="Normal 2 13 2 3 3 2" xfId="1949" xr:uid="{00000000-0005-0000-0000-0000704B0000}"/>
    <cellStyle name="Normal 2 13 2 3 3 2 2" xfId="3799" xr:uid="{00000000-0005-0000-0000-0000714B0000}"/>
    <cellStyle name="Normal 2 13 2 3 3 2 2 2" xfId="7520" xr:uid="{00000000-0005-0000-0000-0000724B0000}"/>
    <cellStyle name="Normal 2 13 2 3 3 2 2 2 2" xfId="22404" xr:uid="{00000000-0005-0000-0000-0000734B0000}"/>
    <cellStyle name="Normal 2 13 2 3 3 2 2 2 2 2" xfId="45047" xr:uid="{00000000-0005-0000-0000-0000744B0000}"/>
    <cellStyle name="Normal 2 13 2 3 3 2 2 2 3" xfId="14964" xr:uid="{00000000-0005-0000-0000-0000754B0000}"/>
    <cellStyle name="Normal 2 13 2 3 3 2 2 2 3 2" xfId="37607" xr:uid="{00000000-0005-0000-0000-0000764B0000}"/>
    <cellStyle name="Normal 2 13 2 3 3 2 2 2 4" xfId="30166" xr:uid="{00000000-0005-0000-0000-0000774B0000}"/>
    <cellStyle name="Normal 2 13 2 3 3 2 2 3" xfId="18686" xr:uid="{00000000-0005-0000-0000-0000784B0000}"/>
    <cellStyle name="Normal 2 13 2 3 3 2 2 3 2" xfId="41329" xr:uid="{00000000-0005-0000-0000-0000794B0000}"/>
    <cellStyle name="Normal 2 13 2 3 3 2 2 4" xfId="11246" xr:uid="{00000000-0005-0000-0000-00007A4B0000}"/>
    <cellStyle name="Normal 2 13 2 3 3 2 2 4 2" xfId="33889" xr:uid="{00000000-0005-0000-0000-00007B4B0000}"/>
    <cellStyle name="Normal 2 13 2 3 3 2 2 5" xfId="26448" xr:uid="{00000000-0005-0000-0000-00007C4B0000}"/>
    <cellStyle name="Normal 2 13 2 3 3 2 3" xfId="5673" xr:uid="{00000000-0005-0000-0000-00007D4B0000}"/>
    <cellStyle name="Normal 2 13 2 3 3 2 3 2" xfId="20557" xr:uid="{00000000-0005-0000-0000-00007E4B0000}"/>
    <cellStyle name="Normal 2 13 2 3 3 2 3 2 2" xfId="43200" xr:uid="{00000000-0005-0000-0000-00007F4B0000}"/>
    <cellStyle name="Normal 2 13 2 3 3 2 3 3" xfId="13117" xr:uid="{00000000-0005-0000-0000-0000804B0000}"/>
    <cellStyle name="Normal 2 13 2 3 3 2 3 3 2" xfId="35760" xr:uid="{00000000-0005-0000-0000-0000814B0000}"/>
    <cellStyle name="Normal 2 13 2 3 3 2 3 4" xfId="28319" xr:uid="{00000000-0005-0000-0000-0000824B0000}"/>
    <cellStyle name="Normal 2 13 2 3 3 2 4" xfId="16839" xr:uid="{00000000-0005-0000-0000-0000834B0000}"/>
    <cellStyle name="Normal 2 13 2 3 3 2 4 2" xfId="39482" xr:uid="{00000000-0005-0000-0000-0000844B0000}"/>
    <cellStyle name="Normal 2 13 2 3 3 2 5" xfId="9399" xr:uid="{00000000-0005-0000-0000-0000854B0000}"/>
    <cellStyle name="Normal 2 13 2 3 3 2 5 2" xfId="32042" xr:uid="{00000000-0005-0000-0000-0000864B0000}"/>
    <cellStyle name="Normal 2 13 2 3 3 2 6" xfId="24601" xr:uid="{00000000-0005-0000-0000-0000874B0000}"/>
    <cellStyle name="Normal 2 13 2 3 3 3" xfId="2874" xr:uid="{00000000-0005-0000-0000-0000884B0000}"/>
    <cellStyle name="Normal 2 13 2 3 3 3 2" xfId="6595" xr:uid="{00000000-0005-0000-0000-0000894B0000}"/>
    <cellStyle name="Normal 2 13 2 3 3 3 2 2" xfId="21479" xr:uid="{00000000-0005-0000-0000-00008A4B0000}"/>
    <cellStyle name="Normal 2 13 2 3 3 3 2 2 2" xfId="44122" xr:uid="{00000000-0005-0000-0000-00008B4B0000}"/>
    <cellStyle name="Normal 2 13 2 3 3 3 2 3" xfId="14039" xr:uid="{00000000-0005-0000-0000-00008C4B0000}"/>
    <cellStyle name="Normal 2 13 2 3 3 3 2 3 2" xfId="36682" xr:uid="{00000000-0005-0000-0000-00008D4B0000}"/>
    <cellStyle name="Normal 2 13 2 3 3 3 2 4" xfId="29241" xr:uid="{00000000-0005-0000-0000-00008E4B0000}"/>
    <cellStyle name="Normal 2 13 2 3 3 3 3" xfId="17761" xr:uid="{00000000-0005-0000-0000-00008F4B0000}"/>
    <cellStyle name="Normal 2 13 2 3 3 3 3 2" xfId="40404" xr:uid="{00000000-0005-0000-0000-0000904B0000}"/>
    <cellStyle name="Normal 2 13 2 3 3 3 4" xfId="10321" xr:uid="{00000000-0005-0000-0000-0000914B0000}"/>
    <cellStyle name="Normal 2 13 2 3 3 3 4 2" xfId="32964" xr:uid="{00000000-0005-0000-0000-0000924B0000}"/>
    <cellStyle name="Normal 2 13 2 3 3 3 5" xfId="25523" xr:uid="{00000000-0005-0000-0000-0000934B0000}"/>
    <cellStyle name="Normal 2 13 2 3 3 4" xfId="4748" xr:uid="{00000000-0005-0000-0000-0000944B0000}"/>
    <cellStyle name="Normal 2 13 2 3 3 4 2" xfId="19632" xr:uid="{00000000-0005-0000-0000-0000954B0000}"/>
    <cellStyle name="Normal 2 13 2 3 3 4 2 2" xfId="42275" xr:uid="{00000000-0005-0000-0000-0000964B0000}"/>
    <cellStyle name="Normal 2 13 2 3 3 4 3" xfId="12192" xr:uid="{00000000-0005-0000-0000-0000974B0000}"/>
    <cellStyle name="Normal 2 13 2 3 3 4 3 2" xfId="34835" xr:uid="{00000000-0005-0000-0000-0000984B0000}"/>
    <cellStyle name="Normal 2 13 2 3 3 4 4" xfId="27394" xr:uid="{00000000-0005-0000-0000-0000994B0000}"/>
    <cellStyle name="Normal 2 13 2 3 3 5" xfId="15914" xr:uid="{00000000-0005-0000-0000-00009A4B0000}"/>
    <cellStyle name="Normal 2 13 2 3 3 5 2" xfId="38557" xr:uid="{00000000-0005-0000-0000-00009B4B0000}"/>
    <cellStyle name="Normal 2 13 2 3 3 6" xfId="8474" xr:uid="{00000000-0005-0000-0000-00009C4B0000}"/>
    <cellStyle name="Normal 2 13 2 3 3 6 2" xfId="31117" xr:uid="{00000000-0005-0000-0000-00009D4B0000}"/>
    <cellStyle name="Normal 2 13 2 3 3 7" xfId="23676" xr:uid="{00000000-0005-0000-0000-00009E4B0000}"/>
    <cellStyle name="Normal 2 13 2 3 4" xfId="1487" xr:uid="{00000000-0005-0000-0000-00009F4B0000}"/>
    <cellStyle name="Normal 2 13 2 3 4 2" xfId="3337" xr:uid="{00000000-0005-0000-0000-0000A04B0000}"/>
    <cellStyle name="Normal 2 13 2 3 4 2 2" xfId="7058" xr:uid="{00000000-0005-0000-0000-0000A14B0000}"/>
    <cellStyle name="Normal 2 13 2 3 4 2 2 2" xfId="21942" xr:uid="{00000000-0005-0000-0000-0000A24B0000}"/>
    <cellStyle name="Normal 2 13 2 3 4 2 2 2 2" xfId="44585" xr:uid="{00000000-0005-0000-0000-0000A34B0000}"/>
    <cellStyle name="Normal 2 13 2 3 4 2 2 3" xfId="14502" xr:uid="{00000000-0005-0000-0000-0000A44B0000}"/>
    <cellStyle name="Normal 2 13 2 3 4 2 2 3 2" xfId="37145" xr:uid="{00000000-0005-0000-0000-0000A54B0000}"/>
    <cellStyle name="Normal 2 13 2 3 4 2 2 4" xfId="29704" xr:uid="{00000000-0005-0000-0000-0000A64B0000}"/>
    <cellStyle name="Normal 2 13 2 3 4 2 3" xfId="18224" xr:uid="{00000000-0005-0000-0000-0000A74B0000}"/>
    <cellStyle name="Normal 2 13 2 3 4 2 3 2" xfId="40867" xr:uid="{00000000-0005-0000-0000-0000A84B0000}"/>
    <cellStyle name="Normal 2 13 2 3 4 2 4" xfId="10784" xr:uid="{00000000-0005-0000-0000-0000A94B0000}"/>
    <cellStyle name="Normal 2 13 2 3 4 2 4 2" xfId="33427" xr:uid="{00000000-0005-0000-0000-0000AA4B0000}"/>
    <cellStyle name="Normal 2 13 2 3 4 2 5" xfId="25986" xr:uid="{00000000-0005-0000-0000-0000AB4B0000}"/>
    <cellStyle name="Normal 2 13 2 3 4 3" xfId="5211" xr:uid="{00000000-0005-0000-0000-0000AC4B0000}"/>
    <cellStyle name="Normal 2 13 2 3 4 3 2" xfId="20095" xr:uid="{00000000-0005-0000-0000-0000AD4B0000}"/>
    <cellStyle name="Normal 2 13 2 3 4 3 2 2" xfId="42738" xr:uid="{00000000-0005-0000-0000-0000AE4B0000}"/>
    <cellStyle name="Normal 2 13 2 3 4 3 3" xfId="12655" xr:uid="{00000000-0005-0000-0000-0000AF4B0000}"/>
    <cellStyle name="Normal 2 13 2 3 4 3 3 2" xfId="35298" xr:uid="{00000000-0005-0000-0000-0000B04B0000}"/>
    <cellStyle name="Normal 2 13 2 3 4 3 4" xfId="27857" xr:uid="{00000000-0005-0000-0000-0000B14B0000}"/>
    <cellStyle name="Normal 2 13 2 3 4 4" xfId="16377" xr:uid="{00000000-0005-0000-0000-0000B24B0000}"/>
    <cellStyle name="Normal 2 13 2 3 4 4 2" xfId="39020" xr:uid="{00000000-0005-0000-0000-0000B34B0000}"/>
    <cellStyle name="Normal 2 13 2 3 4 5" xfId="8937" xr:uid="{00000000-0005-0000-0000-0000B44B0000}"/>
    <cellStyle name="Normal 2 13 2 3 4 5 2" xfId="31580" xr:uid="{00000000-0005-0000-0000-0000B54B0000}"/>
    <cellStyle name="Normal 2 13 2 3 4 6" xfId="24139" xr:uid="{00000000-0005-0000-0000-0000B64B0000}"/>
    <cellStyle name="Normal 2 13 2 3 5" xfId="2412" xr:uid="{00000000-0005-0000-0000-0000B74B0000}"/>
    <cellStyle name="Normal 2 13 2 3 5 2" xfId="6133" xr:uid="{00000000-0005-0000-0000-0000B84B0000}"/>
    <cellStyle name="Normal 2 13 2 3 5 2 2" xfId="21017" xr:uid="{00000000-0005-0000-0000-0000B94B0000}"/>
    <cellStyle name="Normal 2 13 2 3 5 2 2 2" xfId="43660" xr:uid="{00000000-0005-0000-0000-0000BA4B0000}"/>
    <cellStyle name="Normal 2 13 2 3 5 2 3" xfId="13577" xr:uid="{00000000-0005-0000-0000-0000BB4B0000}"/>
    <cellStyle name="Normal 2 13 2 3 5 2 3 2" xfId="36220" xr:uid="{00000000-0005-0000-0000-0000BC4B0000}"/>
    <cellStyle name="Normal 2 13 2 3 5 2 4" xfId="28779" xr:uid="{00000000-0005-0000-0000-0000BD4B0000}"/>
    <cellStyle name="Normal 2 13 2 3 5 3" xfId="17299" xr:uid="{00000000-0005-0000-0000-0000BE4B0000}"/>
    <cellStyle name="Normal 2 13 2 3 5 3 2" xfId="39942" xr:uid="{00000000-0005-0000-0000-0000BF4B0000}"/>
    <cellStyle name="Normal 2 13 2 3 5 4" xfId="9859" xr:uid="{00000000-0005-0000-0000-0000C04B0000}"/>
    <cellStyle name="Normal 2 13 2 3 5 4 2" xfId="32502" xr:uid="{00000000-0005-0000-0000-0000C14B0000}"/>
    <cellStyle name="Normal 2 13 2 3 5 5" xfId="25061" xr:uid="{00000000-0005-0000-0000-0000C24B0000}"/>
    <cellStyle name="Normal 2 13 2 3 6" xfId="4286" xr:uid="{00000000-0005-0000-0000-0000C34B0000}"/>
    <cellStyle name="Normal 2 13 2 3 6 2" xfId="19170" xr:uid="{00000000-0005-0000-0000-0000C44B0000}"/>
    <cellStyle name="Normal 2 13 2 3 6 2 2" xfId="41813" xr:uid="{00000000-0005-0000-0000-0000C54B0000}"/>
    <cellStyle name="Normal 2 13 2 3 6 3" xfId="11730" xr:uid="{00000000-0005-0000-0000-0000C64B0000}"/>
    <cellStyle name="Normal 2 13 2 3 6 3 2" xfId="34373" xr:uid="{00000000-0005-0000-0000-0000C74B0000}"/>
    <cellStyle name="Normal 2 13 2 3 6 4" xfId="26932" xr:uid="{00000000-0005-0000-0000-0000C84B0000}"/>
    <cellStyle name="Normal 2 13 2 3 7" xfId="15452" xr:uid="{00000000-0005-0000-0000-0000C94B0000}"/>
    <cellStyle name="Normal 2 13 2 3 7 2" xfId="38095" xr:uid="{00000000-0005-0000-0000-0000CA4B0000}"/>
    <cellStyle name="Normal 2 13 2 3 8" xfId="8012" xr:uid="{00000000-0005-0000-0000-0000CB4B0000}"/>
    <cellStyle name="Normal 2 13 2 3 8 2" xfId="30655" xr:uid="{00000000-0005-0000-0000-0000CC4B0000}"/>
    <cellStyle name="Normal 2 13 2 3 9" xfId="23215" xr:uid="{00000000-0005-0000-0000-0000CD4B0000}"/>
    <cellStyle name="Normal 2 13 2 4" xfId="662" xr:uid="{00000000-0005-0000-0000-0000CE4B0000}"/>
    <cellStyle name="Normal 2 13 2 4 2" xfId="1127" xr:uid="{00000000-0005-0000-0000-0000CF4B0000}"/>
    <cellStyle name="Normal 2 13 2 4 2 2" xfId="2055" xr:uid="{00000000-0005-0000-0000-0000D04B0000}"/>
    <cellStyle name="Normal 2 13 2 4 2 2 2" xfId="3905" xr:uid="{00000000-0005-0000-0000-0000D14B0000}"/>
    <cellStyle name="Normal 2 13 2 4 2 2 2 2" xfId="7626" xr:uid="{00000000-0005-0000-0000-0000D24B0000}"/>
    <cellStyle name="Normal 2 13 2 4 2 2 2 2 2" xfId="22510" xr:uid="{00000000-0005-0000-0000-0000D34B0000}"/>
    <cellStyle name="Normal 2 13 2 4 2 2 2 2 2 2" xfId="45153" xr:uid="{00000000-0005-0000-0000-0000D44B0000}"/>
    <cellStyle name="Normal 2 13 2 4 2 2 2 2 3" xfId="15070" xr:uid="{00000000-0005-0000-0000-0000D54B0000}"/>
    <cellStyle name="Normal 2 13 2 4 2 2 2 2 3 2" xfId="37713" xr:uid="{00000000-0005-0000-0000-0000D64B0000}"/>
    <cellStyle name="Normal 2 13 2 4 2 2 2 2 4" xfId="30272" xr:uid="{00000000-0005-0000-0000-0000D74B0000}"/>
    <cellStyle name="Normal 2 13 2 4 2 2 2 3" xfId="18792" xr:uid="{00000000-0005-0000-0000-0000D84B0000}"/>
    <cellStyle name="Normal 2 13 2 4 2 2 2 3 2" xfId="41435" xr:uid="{00000000-0005-0000-0000-0000D94B0000}"/>
    <cellStyle name="Normal 2 13 2 4 2 2 2 4" xfId="11352" xr:uid="{00000000-0005-0000-0000-0000DA4B0000}"/>
    <cellStyle name="Normal 2 13 2 4 2 2 2 4 2" xfId="33995" xr:uid="{00000000-0005-0000-0000-0000DB4B0000}"/>
    <cellStyle name="Normal 2 13 2 4 2 2 2 5" xfId="26554" xr:uid="{00000000-0005-0000-0000-0000DC4B0000}"/>
    <cellStyle name="Normal 2 13 2 4 2 2 3" xfId="5779" xr:uid="{00000000-0005-0000-0000-0000DD4B0000}"/>
    <cellStyle name="Normal 2 13 2 4 2 2 3 2" xfId="20663" xr:uid="{00000000-0005-0000-0000-0000DE4B0000}"/>
    <cellStyle name="Normal 2 13 2 4 2 2 3 2 2" xfId="43306" xr:uid="{00000000-0005-0000-0000-0000DF4B0000}"/>
    <cellStyle name="Normal 2 13 2 4 2 2 3 3" xfId="13223" xr:uid="{00000000-0005-0000-0000-0000E04B0000}"/>
    <cellStyle name="Normal 2 13 2 4 2 2 3 3 2" xfId="35866" xr:uid="{00000000-0005-0000-0000-0000E14B0000}"/>
    <cellStyle name="Normal 2 13 2 4 2 2 3 4" xfId="28425" xr:uid="{00000000-0005-0000-0000-0000E24B0000}"/>
    <cellStyle name="Normal 2 13 2 4 2 2 4" xfId="16945" xr:uid="{00000000-0005-0000-0000-0000E34B0000}"/>
    <cellStyle name="Normal 2 13 2 4 2 2 4 2" xfId="39588" xr:uid="{00000000-0005-0000-0000-0000E44B0000}"/>
    <cellStyle name="Normal 2 13 2 4 2 2 5" xfId="9505" xr:uid="{00000000-0005-0000-0000-0000E54B0000}"/>
    <cellStyle name="Normal 2 13 2 4 2 2 5 2" xfId="32148" xr:uid="{00000000-0005-0000-0000-0000E64B0000}"/>
    <cellStyle name="Normal 2 13 2 4 2 2 6" xfId="24707" xr:uid="{00000000-0005-0000-0000-0000E74B0000}"/>
    <cellStyle name="Normal 2 13 2 4 2 3" xfId="2980" xr:uid="{00000000-0005-0000-0000-0000E84B0000}"/>
    <cellStyle name="Normal 2 13 2 4 2 3 2" xfId="6701" xr:uid="{00000000-0005-0000-0000-0000E94B0000}"/>
    <cellStyle name="Normal 2 13 2 4 2 3 2 2" xfId="21585" xr:uid="{00000000-0005-0000-0000-0000EA4B0000}"/>
    <cellStyle name="Normal 2 13 2 4 2 3 2 2 2" xfId="44228" xr:uid="{00000000-0005-0000-0000-0000EB4B0000}"/>
    <cellStyle name="Normal 2 13 2 4 2 3 2 3" xfId="14145" xr:uid="{00000000-0005-0000-0000-0000EC4B0000}"/>
    <cellStyle name="Normal 2 13 2 4 2 3 2 3 2" xfId="36788" xr:uid="{00000000-0005-0000-0000-0000ED4B0000}"/>
    <cellStyle name="Normal 2 13 2 4 2 3 2 4" xfId="29347" xr:uid="{00000000-0005-0000-0000-0000EE4B0000}"/>
    <cellStyle name="Normal 2 13 2 4 2 3 3" xfId="17867" xr:uid="{00000000-0005-0000-0000-0000EF4B0000}"/>
    <cellStyle name="Normal 2 13 2 4 2 3 3 2" xfId="40510" xr:uid="{00000000-0005-0000-0000-0000F04B0000}"/>
    <cellStyle name="Normal 2 13 2 4 2 3 4" xfId="10427" xr:uid="{00000000-0005-0000-0000-0000F14B0000}"/>
    <cellStyle name="Normal 2 13 2 4 2 3 4 2" xfId="33070" xr:uid="{00000000-0005-0000-0000-0000F24B0000}"/>
    <cellStyle name="Normal 2 13 2 4 2 3 5" xfId="25629" xr:uid="{00000000-0005-0000-0000-0000F34B0000}"/>
    <cellStyle name="Normal 2 13 2 4 2 4" xfId="4854" xr:uid="{00000000-0005-0000-0000-0000F44B0000}"/>
    <cellStyle name="Normal 2 13 2 4 2 4 2" xfId="19738" xr:uid="{00000000-0005-0000-0000-0000F54B0000}"/>
    <cellStyle name="Normal 2 13 2 4 2 4 2 2" xfId="42381" xr:uid="{00000000-0005-0000-0000-0000F64B0000}"/>
    <cellStyle name="Normal 2 13 2 4 2 4 3" xfId="12298" xr:uid="{00000000-0005-0000-0000-0000F74B0000}"/>
    <cellStyle name="Normal 2 13 2 4 2 4 3 2" xfId="34941" xr:uid="{00000000-0005-0000-0000-0000F84B0000}"/>
    <cellStyle name="Normal 2 13 2 4 2 4 4" xfId="27500" xr:uid="{00000000-0005-0000-0000-0000F94B0000}"/>
    <cellStyle name="Normal 2 13 2 4 2 5" xfId="16020" xr:uid="{00000000-0005-0000-0000-0000FA4B0000}"/>
    <cellStyle name="Normal 2 13 2 4 2 5 2" xfId="38663" xr:uid="{00000000-0005-0000-0000-0000FB4B0000}"/>
    <cellStyle name="Normal 2 13 2 4 2 6" xfId="8580" xr:uid="{00000000-0005-0000-0000-0000FC4B0000}"/>
    <cellStyle name="Normal 2 13 2 4 2 6 2" xfId="31223" xr:uid="{00000000-0005-0000-0000-0000FD4B0000}"/>
    <cellStyle name="Normal 2 13 2 4 2 7" xfId="23782" xr:uid="{00000000-0005-0000-0000-0000FE4B0000}"/>
    <cellStyle name="Normal 2 13 2 4 3" xfId="1593" xr:uid="{00000000-0005-0000-0000-0000FF4B0000}"/>
    <cellStyle name="Normal 2 13 2 4 3 2" xfId="3443" xr:uid="{00000000-0005-0000-0000-0000004C0000}"/>
    <cellStyle name="Normal 2 13 2 4 3 2 2" xfId="7164" xr:uid="{00000000-0005-0000-0000-0000014C0000}"/>
    <cellStyle name="Normal 2 13 2 4 3 2 2 2" xfId="22048" xr:uid="{00000000-0005-0000-0000-0000024C0000}"/>
    <cellStyle name="Normal 2 13 2 4 3 2 2 2 2" xfId="44691" xr:uid="{00000000-0005-0000-0000-0000034C0000}"/>
    <cellStyle name="Normal 2 13 2 4 3 2 2 3" xfId="14608" xr:uid="{00000000-0005-0000-0000-0000044C0000}"/>
    <cellStyle name="Normal 2 13 2 4 3 2 2 3 2" xfId="37251" xr:uid="{00000000-0005-0000-0000-0000054C0000}"/>
    <cellStyle name="Normal 2 13 2 4 3 2 2 4" xfId="29810" xr:uid="{00000000-0005-0000-0000-0000064C0000}"/>
    <cellStyle name="Normal 2 13 2 4 3 2 3" xfId="18330" xr:uid="{00000000-0005-0000-0000-0000074C0000}"/>
    <cellStyle name="Normal 2 13 2 4 3 2 3 2" xfId="40973" xr:uid="{00000000-0005-0000-0000-0000084C0000}"/>
    <cellStyle name="Normal 2 13 2 4 3 2 4" xfId="10890" xr:uid="{00000000-0005-0000-0000-0000094C0000}"/>
    <cellStyle name="Normal 2 13 2 4 3 2 4 2" xfId="33533" xr:uid="{00000000-0005-0000-0000-00000A4C0000}"/>
    <cellStyle name="Normal 2 13 2 4 3 2 5" xfId="26092" xr:uid="{00000000-0005-0000-0000-00000B4C0000}"/>
    <cellStyle name="Normal 2 13 2 4 3 3" xfId="5317" xr:uid="{00000000-0005-0000-0000-00000C4C0000}"/>
    <cellStyle name="Normal 2 13 2 4 3 3 2" xfId="20201" xr:uid="{00000000-0005-0000-0000-00000D4C0000}"/>
    <cellStyle name="Normal 2 13 2 4 3 3 2 2" xfId="42844" xr:uid="{00000000-0005-0000-0000-00000E4C0000}"/>
    <cellStyle name="Normal 2 13 2 4 3 3 3" xfId="12761" xr:uid="{00000000-0005-0000-0000-00000F4C0000}"/>
    <cellStyle name="Normal 2 13 2 4 3 3 3 2" xfId="35404" xr:uid="{00000000-0005-0000-0000-0000104C0000}"/>
    <cellStyle name="Normal 2 13 2 4 3 3 4" xfId="27963" xr:uid="{00000000-0005-0000-0000-0000114C0000}"/>
    <cellStyle name="Normal 2 13 2 4 3 4" xfId="16483" xr:uid="{00000000-0005-0000-0000-0000124C0000}"/>
    <cellStyle name="Normal 2 13 2 4 3 4 2" xfId="39126" xr:uid="{00000000-0005-0000-0000-0000134C0000}"/>
    <cellStyle name="Normal 2 13 2 4 3 5" xfId="9043" xr:uid="{00000000-0005-0000-0000-0000144C0000}"/>
    <cellStyle name="Normal 2 13 2 4 3 5 2" xfId="31686" xr:uid="{00000000-0005-0000-0000-0000154C0000}"/>
    <cellStyle name="Normal 2 13 2 4 3 6" xfId="24245" xr:uid="{00000000-0005-0000-0000-0000164C0000}"/>
    <cellStyle name="Normal 2 13 2 4 4" xfId="2518" xr:uid="{00000000-0005-0000-0000-0000174C0000}"/>
    <cellStyle name="Normal 2 13 2 4 4 2" xfId="6239" xr:uid="{00000000-0005-0000-0000-0000184C0000}"/>
    <cellStyle name="Normal 2 13 2 4 4 2 2" xfId="21123" xr:uid="{00000000-0005-0000-0000-0000194C0000}"/>
    <cellStyle name="Normal 2 13 2 4 4 2 2 2" xfId="43766" xr:uid="{00000000-0005-0000-0000-00001A4C0000}"/>
    <cellStyle name="Normal 2 13 2 4 4 2 3" xfId="13683" xr:uid="{00000000-0005-0000-0000-00001B4C0000}"/>
    <cellStyle name="Normal 2 13 2 4 4 2 3 2" xfId="36326" xr:uid="{00000000-0005-0000-0000-00001C4C0000}"/>
    <cellStyle name="Normal 2 13 2 4 4 2 4" xfId="28885" xr:uid="{00000000-0005-0000-0000-00001D4C0000}"/>
    <cellStyle name="Normal 2 13 2 4 4 3" xfId="17405" xr:uid="{00000000-0005-0000-0000-00001E4C0000}"/>
    <cellStyle name="Normal 2 13 2 4 4 3 2" xfId="40048" xr:uid="{00000000-0005-0000-0000-00001F4C0000}"/>
    <cellStyle name="Normal 2 13 2 4 4 4" xfId="9965" xr:uid="{00000000-0005-0000-0000-0000204C0000}"/>
    <cellStyle name="Normal 2 13 2 4 4 4 2" xfId="32608" xr:uid="{00000000-0005-0000-0000-0000214C0000}"/>
    <cellStyle name="Normal 2 13 2 4 4 5" xfId="25167" xr:uid="{00000000-0005-0000-0000-0000224C0000}"/>
    <cellStyle name="Normal 2 13 2 4 5" xfId="4392" xr:uid="{00000000-0005-0000-0000-0000234C0000}"/>
    <cellStyle name="Normal 2 13 2 4 5 2" xfId="19276" xr:uid="{00000000-0005-0000-0000-0000244C0000}"/>
    <cellStyle name="Normal 2 13 2 4 5 2 2" xfId="41919" xr:uid="{00000000-0005-0000-0000-0000254C0000}"/>
    <cellStyle name="Normal 2 13 2 4 5 3" xfId="11836" xr:uid="{00000000-0005-0000-0000-0000264C0000}"/>
    <cellStyle name="Normal 2 13 2 4 5 3 2" xfId="34479" xr:uid="{00000000-0005-0000-0000-0000274C0000}"/>
    <cellStyle name="Normal 2 13 2 4 5 4" xfId="27038" xr:uid="{00000000-0005-0000-0000-0000284C0000}"/>
    <cellStyle name="Normal 2 13 2 4 6" xfId="15558" xr:uid="{00000000-0005-0000-0000-0000294C0000}"/>
    <cellStyle name="Normal 2 13 2 4 6 2" xfId="38201" xr:uid="{00000000-0005-0000-0000-00002A4C0000}"/>
    <cellStyle name="Normal 2 13 2 4 7" xfId="8118" xr:uid="{00000000-0005-0000-0000-00002B4C0000}"/>
    <cellStyle name="Normal 2 13 2 4 7 2" xfId="30761" xr:uid="{00000000-0005-0000-0000-00002C4C0000}"/>
    <cellStyle name="Normal 2 13 2 4 8" xfId="23320" xr:uid="{00000000-0005-0000-0000-00002D4C0000}"/>
    <cellStyle name="Normal 2 13 2 5" xfId="916" xr:uid="{00000000-0005-0000-0000-00002E4C0000}"/>
    <cellStyle name="Normal 2 13 2 5 2" xfId="1844" xr:uid="{00000000-0005-0000-0000-00002F4C0000}"/>
    <cellStyle name="Normal 2 13 2 5 2 2" xfId="3694" xr:uid="{00000000-0005-0000-0000-0000304C0000}"/>
    <cellStyle name="Normal 2 13 2 5 2 2 2" xfId="7415" xr:uid="{00000000-0005-0000-0000-0000314C0000}"/>
    <cellStyle name="Normal 2 13 2 5 2 2 2 2" xfId="22299" xr:uid="{00000000-0005-0000-0000-0000324C0000}"/>
    <cellStyle name="Normal 2 13 2 5 2 2 2 2 2" xfId="44942" xr:uid="{00000000-0005-0000-0000-0000334C0000}"/>
    <cellStyle name="Normal 2 13 2 5 2 2 2 3" xfId="14859" xr:uid="{00000000-0005-0000-0000-0000344C0000}"/>
    <cellStyle name="Normal 2 13 2 5 2 2 2 3 2" xfId="37502" xr:uid="{00000000-0005-0000-0000-0000354C0000}"/>
    <cellStyle name="Normal 2 13 2 5 2 2 2 4" xfId="30061" xr:uid="{00000000-0005-0000-0000-0000364C0000}"/>
    <cellStyle name="Normal 2 13 2 5 2 2 3" xfId="18581" xr:uid="{00000000-0005-0000-0000-0000374C0000}"/>
    <cellStyle name="Normal 2 13 2 5 2 2 3 2" xfId="41224" xr:uid="{00000000-0005-0000-0000-0000384C0000}"/>
    <cellStyle name="Normal 2 13 2 5 2 2 4" xfId="11141" xr:uid="{00000000-0005-0000-0000-0000394C0000}"/>
    <cellStyle name="Normal 2 13 2 5 2 2 4 2" xfId="33784" xr:uid="{00000000-0005-0000-0000-00003A4C0000}"/>
    <cellStyle name="Normal 2 13 2 5 2 2 5" xfId="26343" xr:uid="{00000000-0005-0000-0000-00003B4C0000}"/>
    <cellStyle name="Normal 2 13 2 5 2 3" xfId="5568" xr:uid="{00000000-0005-0000-0000-00003C4C0000}"/>
    <cellStyle name="Normal 2 13 2 5 2 3 2" xfId="20452" xr:uid="{00000000-0005-0000-0000-00003D4C0000}"/>
    <cellStyle name="Normal 2 13 2 5 2 3 2 2" xfId="43095" xr:uid="{00000000-0005-0000-0000-00003E4C0000}"/>
    <cellStyle name="Normal 2 13 2 5 2 3 3" xfId="13012" xr:uid="{00000000-0005-0000-0000-00003F4C0000}"/>
    <cellStyle name="Normal 2 13 2 5 2 3 3 2" xfId="35655" xr:uid="{00000000-0005-0000-0000-0000404C0000}"/>
    <cellStyle name="Normal 2 13 2 5 2 3 4" xfId="28214" xr:uid="{00000000-0005-0000-0000-0000414C0000}"/>
    <cellStyle name="Normal 2 13 2 5 2 4" xfId="16734" xr:uid="{00000000-0005-0000-0000-0000424C0000}"/>
    <cellStyle name="Normal 2 13 2 5 2 4 2" xfId="39377" xr:uid="{00000000-0005-0000-0000-0000434C0000}"/>
    <cellStyle name="Normal 2 13 2 5 2 5" xfId="9294" xr:uid="{00000000-0005-0000-0000-0000444C0000}"/>
    <cellStyle name="Normal 2 13 2 5 2 5 2" xfId="31937" xr:uid="{00000000-0005-0000-0000-0000454C0000}"/>
    <cellStyle name="Normal 2 13 2 5 2 6" xfId="24496" xr:uid="{00000000-0005-0000-0000-0000464C0000}"/>
    <cellStyle name="Normal 2 13 2 5 3" xfId="2769" xr:uid="{00000000-0005-0000-0000-0000474C0000}"/>
    <cellStyle name="Normal 2 13 2 5 3 2" xfId="6490" xr:uid="{00000000-0005-0000-0000-0000484C0000}"/>
    <cellStyle name="Normal 2 13 2 5 3 2 2" xfId="21374" xr:uid="{00000000-0005-0000-0000-0000494C0000}"/>
    <cellStyle name="Normal 2 13 2 5 3 2 2 2" xfId="44017" xr:uid="{00000000-0005-0000-0000-00004A4C0000}"/>
    <cellStyle name="Normal 2 13 2 5 3 2 3" xfId="13934" xr:uid="{00000000-0005-0000-0000-00004B4C0000}"/>
    <cellStyle name="Normal 2 13 2 5 3 2 3 2" xfId="36577" xr:uid="{00000000-0005-0000-0000-00004C4C0000}"/>
    <cellStyle name="Normal 2 13 2 5 3 2 4" xfId="29136" xr:uid="{00000000-0005-0000-0000-00004D4C0000}"/>
    <cellStyle name="Normal 2 13 2 5 3 3" xfId="17656" xr:uid="{00000000-0005-0000-0000-00004E4C0000}"/>
    <cellStyle name="Normal 2 13 2 5 3 3 2" xfId="40299" xr:uid="{00000000-0005-0000-0000-00004F4C0000}"/>
    <cellStyle name="Normal 2 13 2 5 3 4" xfId="10216" xr:uid="{00000000-0005-0000-0000-0000504C0000}"/>
    <cellStyle name="Normal 2 13 2 5 3 4 2" xfId="32859" xr:uid="{00000000-0005-0000-0000-0000514C0000}"/>
    <cellStyle name="Normal 2 13 2 5 3 5" xfId="25418" xr:uid="{00000000-0005-0000-0000-0000524C0000}"/>
    <cellStyle name="Normal 2 13 2 5 4" xfId="4643" xr:uid="{00000000-0005-0000-0000-0000534C0000}"/>
    <cellStyle name="Normal 2 13 2 5 4 2" xfId="19527" xr:uid="{00000000-0005-0000-0000-0000544C0000}"/>
    <cellStyle name="Normal 2 13 2 5 4 2 2" xfId="42170" xr:uid="{00000000-0005-0000-0000-0000554C0000}"/>
    <cellStyle name="Normal 2 13 2 5 4 3" xfId="12087" xr:uid="{00000000-0005-0000-0000-0000564C0000}"/>
    <cellStyle name="Normal 2 13 2 5 4 3 2" xfId="34730" xr:uid="{00000000-0005-0000-0000-0000574C0000}"/>
    <cellStyle name="Normal 2 13 2 5 4 4" xfId="27289" xr:uid="{00000000-0005-0000-0000-0000584C0000}"/>
    <cellStyle name="Normal 2 13 2 5 5" xfId="15809" xr:uid="{00000000-0005-0000-0000-0000594C0000}"/>
    <cellStyle name="Normal 2 13 2 5 5 2" xfId="38452" xr:uid="{00000000-0005-0000-0000-00005A4C0000}"/>
    <cellStyle name="Normal 2 13 2 5 6" xfId="8369" xr:uid="{00000000-0005-0000-0000-00005B4C0000}"/>
    <cellStyle name="Normal 2 13 2 5 6 2" xfId="31012" xr:uid="{00000000-0005-0000-0000-00005C4C0000}"/>
    <cellStyle name="Normal 2 13 2 5 7" xfId="23571" xr:uid="{00000000-0005-0000-0000-00005D4C0000}"/>
    <cellStyle name="Normal 2 13 2 6" xfId="1382" xr:uid="{00000000-0005-0000-0000-00005E4C0000}"/>
    <cellStyle name="Normal 2 13 2 6 2" xfId="3232" xr:uid="{00000000-0005-0000-0000-00005F4C0000}"/>
    <cellStyle name="Normal 2 13 2 6 2 2" xfId="6953" xr:uid="{00000000-0005-0000-0000-0000604C0000}"/>
    <cellStyle name="Normal 2 13 2 6 2 2 2" xfId="21837" xr:uid="{00000000-0005-0000-0000-0000614C0000}"/>
    <cellStyle name="Normal 2 13 2 6 2 2 2 2" xfId="44480" xr:uid="{00000000-0005-0000-0000-0000624C0000}"/>
    <cellStyle name="Normal 2 13 2 6 2 2 3" xfId="14397" xr:uid="{00000000-0005-0000-0000-0000634C0000}"/>
    <cellStyle name="Normal 2 13 2 6 2 2 3 2" xfId="37040" xr:uid="{00000000-0005-0000-0000-0000644C0000}"/>
    <cellStyle name="Normal 2 13 2 6 2 2 4" xfId="29599" xr:uid="{00000000-0005-0000-0000-0000654C0000}"/>
    <cellStyle name="Normal 2 13 2 6 2 3" xfId="18119" xr:uid="{00000000-0005-0000-0000-0000664C0000}"/>
    <cellStyle name="Normal 2 13 2 6 2 3 2" xfId="40762" xr:uid="{00000000-0005-0000-0000-0000674C0000}"/>
    <cellStyle name="Normal 2 13 2 6 2 4" xfId="10679" xr:uid="{00000000-0005-0000-0000-0000684C0000}"/>
    <cellStyle name="Normal 2 13 2 6 2 4 2" xfId="33322" xr:uid="{00000000-0005-0000-0000-0000694C0000}"/>
    <cellStyle name="Normal 2 13 2 6 2 5" xfId="25881" xr:uid="{00000000-0005-0000-0000-00006A4C0000}"/>
    <cellStyle name="Normal 2 13 2 6 3" xfId="5106" xr:uid="{00000000-0005-0000-0000-00006B4C0000}"/>
    <cellStyle name="Normal 2 13 2 6 3 2" xfId="19990" xr:uid="{00000000-0005-0000-0000-00006C4C0000}"/>
    <cellStyle name="Normal 2 13 2 6 3 2 2" xfId="42633" xr:uid="{00000000-0005-0000-0000-00006D4C0000}"/>
    <cellStyle name="Normal 2 13 2 6 3 3" xfId="12550" xr:uid="{00000000-0005-0000-0000-00006E4C0000}"/>
    <cellStyle name="Normal 2 13 2 6 3 3 2" xfId="35193" xr:uid="{00000000-0005-0000-0000-00006F4C0000}"/>
    <cellStyle name="Normal 2 13 2 6 3 4" xfId="27752" xr:uid="{00000000-0005-0000-0000-0000704C0000}"/>
    <cellStyle name="Normal 2 13 2 6 4" xfId="16272" xr:uid="{00000000-0005-0000-0000-0000714C0000}"/>
    <cellStyle name="Normal 2 13 2 6 4 2" xfId="38915" xr:uid="{00000000-0005-0000-0000-0000724C0000}"/>
    <cellStyle name="Normal 2 13 2 6 5" xfId="8832" xr:uid="{00000000-0005-0000-0000-0000734C0000}"/>
    <cellStyle name="Normal 2 13 2 6 5 2" xfId="31475" xr:uid="{00000000-0005-0000-0000-0000744C0000}"/>
    <cellStyle name="Normal 2 13 2 6 6" xfId="24034" xr:uid="{00000000-0005-0000-0000-0000754C0000}"/>
    <cellStyle name="Normal 2 13 2 7" xfId="2307" xr:uid="{00000000-0005-0000-0000-0000764C0000}"/>
    <cellStyle name="Normal 2 13 2 7 2" xfId="6028" xr:uid="{00000000-0005-0000-0000-0000774C0000}"/>
    <cellStyle name="Normal 2 13 2 7 2 2" xfId="20912" xr:uid="{00000000-0005-0000-0000-0000784C0000}"/>
    <cellStyle name="Normal 2 13 2 7 2 2 2" xfId="43555" xr:uid="{00000000-0005-0000-0000-0000794C0000}"/>
    <cellStyle name="Normal 2 13 2 7 2 3" xfId="13472" xr:uid="{00000000-0005-0000-0000-00007A4C0000}"/>
    <cellStyle name="Normal 2 13 2 7 2 3 2" xfId="36115" xr:uid="{00000000-0005-0000-0000-00007B4C0000}"/>
    <cellStyle name="Normal 2 13 2 7 2 4" xfId="28674" xr:uid="{00000000-0005-0000-0000-00007C4C0000}"/>
    <cellStyle name="Normal 2 13 2 7 3" xfId="17194" xr:uid="{00000000-0005-0000-0000-00007D4C0000}"/>
    <cellStyle name="Normal 2 13 2 7 3 2" xfId="39837" xr:uid="{00000000-0005-0000-0000-00007E4C0000}"/>
    <cellStyle name="Normal 2 13 2 7 4" xfId="9754" xr:uid="{00000000-0005-0000-0000-00007F4C0000}"/>
    <cellStyle name="Normal 2 13 2 7 4 2" xfId="32397" xr:uid="{00000000-0005-0000-0000-0000804C0000}"/>
    <cellStyle name="Normal 2 13 2 7 5" xfId="24956" xr:uid="{00000000-0005-0000-0000-0000814C0000}"/>
    <cellStyle name="Normal 2 13 2 8" xfId="4181" xr:uid="{00000000-0005-0000-0000-0000824C0000}"/>
    <cellStyle name="Normal 2 13 2 8 2" xfId="19065" xr:uid="{00000000-0005-0000-0000-0000834C0000}"/>
    <cellStyle name="Normal 2 13 2 8 2 2" xfId="41708" xr:uid="{00000000-0005-0000-0000-0000844C0000}"/>
    <cellStyle name="Normal 2 13 2 8 3" xfId="11625" xr:uid="{00000000-0005-0000-0000-0000854C0000}"/>
    <cellStyle name="Normal 2 13 2 8 3 2" xfId="34268" xr:uid="{00000000-0005-0000-0000-0000864C0000}"/>
    <cellStyle name="Normal 2 13 2 8 4" xfId="26827" xr:uid="{00000000-0005-0000-0000-0000874C0000}"/>
    <cellStyle name="Normal 2 13 2 9" xfId="15347" xr:uid="{00000000-0005-0000-0000-0000884C0000}"/>
    <cellStyle name="Normal 2 13 2 9 2" xfId="37990" xr:uid="{00000000-0005-0000-0000-0000894C0000}"/>
    <cellStyle name="Normal 2 13 3" xfId="481" xr:uid="{00000000-0005-0000-0000-00008A4C0000}"/>
    <cellStyle name="Normal 2 13 3 10" xfId="23142" xr:uid="{00000000-0005-0000-0000-00008B4C0000}"/>
    <cellStyle name="Normal 2 13 3 2" xfId="587" xr:uid="{00000000-0005-0000-0000-00008C4C0000}"/>
    <cellStyle name="Normal 2 13 3 2 2" xfId="799" xr:uid="{00000000-0005-0000-0000-00008D4C0000}"/>
    <cellStyle name="Normal 2 13 3 2 2 2" xfId="1264" xr:uid="{00000000-0005-0000-0000-00008E4C0000}"/>
    <cellStyle name="Normal 2 13 3 2 2 2 2" xfId="2192" xr:uid="{00000000-0005-0000-0000-00008F4C0000}"/>
    <cellStyle name="Normal 2 13 3 2 2 2 2 2" xfId="4042" xr:uid="{00000000-0005-0000-0000-0000904C0000}"/>
    <cellStyle name="Normal 2 13 3 2 2 2 2 2 2" xfId="7763" xr:uid="{00000000-0005-0000-0000-0000914C0000}"/>
    <cellStyle name="Normal 2 13 3 2 2 2 2 2 2 2" xfId="22647" xr:uid="{00000000-0005-0000-0000-0000924C0000}"/>
    <cellStyle name="Normal 2 13 3 2 2 2 2 2 2 2 2" xfId="45290" xr:uid="{00000000-0005-0000-0000-0000934C0000}"/>
    <cellStyle name="Normal 2 13 3 2 2 2 2 2 2 3" xfId="15207" xr:uid="{00000000-0005-0000-0000-0000944C0000}"/>
    <cellStyle name="Normal 2 13 3 2 2 2 2 2 2 3 2" xfId="37850" xr:uid="{00000000-0005-0000-0000-0000954C0000}"/>
    <cellStyle name="Normal 2 13 3 2 2 2 2 2 2 4" xfId="30409" xr:uid="{00000000-0005-0000-0000-0000964C0000}"/>
    <cellStyle name="Normal 2 13 3 2 2 2 2 2 3" xfId="18929" xr:uid="{00000000-0005-0000-0000-0000974C0000}"/>
    <cellStyle name="Normal 2 13 3 2 2 2 2 2 3 2" xfId="41572" xr:uid="{00000000-0005-0000-0000-0000984C0000}"/>
    <cellStyle name="Normal 2 13 3 2 2 2 2 2 4" xfId="11489" xr:uid="{00000000-0005-0000-0000-0000994C0000}"/>
    <cellStyle name="Normal 2 13 3 2 2 2 2 2 4 2" xfId="34132" xr:uid="{00000000-0005-0000-0000-00009A4C0000}"/>
    <cellStyle name="Normal 2 13 3 2 2 2 2 2 5" xfId="26691" xr:uid="{00000000-0005-0000-0000-00009B4C0000}"/>
    <cellStyle name="Normal 2 13 3 2 2 2 2 3" xfId="5916" xr:uid="{00000000-0005-0000-0000-00009C4C0000}"/>
    <cellStyle name="Normal 2 13 3 2 2 2 2 3 2" xfId="20800" xr:uid="{00000000-0005-0000-0000-00009D4C0000}"/>
    <cellStyle name="Normal 2 13 3 2 2 2 2 3 2 2" xfId="43443" xr:uid="{00000000-0005-0000-0000-00009E4C0000}"/>
    <cellStyle name="Normal 2 13 3 2 2 2 2 3 3" xfId="13360" xr:uid="{00000000-0005-0000-0000-00009F4C0000}"/>
    <cellStyle name="Normal 2 13 3 2 2 2 2 3 3 2" xfId="36003" xr:uid="{00000000-0005-0000-0000-0000A04C0000}"/>
    <cellStyle name="Normal 2 13 3 2 2 2 2 3 4" xfId="28562" xr:uid="{00000000-0005-0000-0000-0000A14C0000}"/>
    <cellStyle name="Normal 2 13 3 2 2 2 2 4" xfId="17082" xr:uid="{00000000-0005-0000-0000-0000A24C0000}"/>
    <cellStyle name="Normal 2 13 3 2 2 2 2 4 2" xfId="39725" xr:uid="{00000000-0005-0000-0000-0000A34C0000}"/>
    <cellStyle name="Normal 2 13 3 2 2 2 2 5" xfId="9642" xr:uid="{00000000-0005-0000-0000-0000A44C0000}"/>
    <cellStyle name="Normal 2 13 3 2 2 2 2 5 2" xfId="32285" xr:uid="{00000000-0005-0000-0000-0000A54C0000}"/>
    <cellStyle name="Normal 2 13 3 2 2 2 2 6" xfId="24844" xr:uid="{00000000-0005-0000-0000-0000A64C0000}"/>
    <cellStyle name="Normal 2 13 3 2 2 2 3" xfId="3117" xr:uid="{00000000-0005-0000-0000-0000A74C0000}"/>
    <cellStyle name="Normal 2 13 3 2 2 2 3 2" xfId="6838" xr:uid="{00000000-0005-0000-0000-0000A84C0000}"/>
    <cellStyle name="Normal 2 13 3 2 2 2 3 2 2" xfId="21722" xr:uid="{00000000-0005-0000-0000-0000A94C0000}"/>
    <cellStyle name="Normal 2 13 3 2 2 2 3 2 2 2" xfId="44365" xr:uid="{00000000-0005-0000-0000-0000AA4C0000}"/>
    <cellStyle name="Normal 2 13 3 2 2 2 3 2 3" xfId="14282" xr:uid="{00000000-0005-0000-0000-0000AB4C0000}"/>
    <cellStyle name="Normal 2 13 3 2 2 2 3 2 3 2" xfId="36925" xr:uid="{00000000-0005-0000-0000-0000AC4C0000}"/>
    <cellStyle name="Normal 2 13 3 2 2 2 3 2 4" xfId="29484" xr:uid="{00000000-0005-0000-0000-0000AD4C0000}"/>
    <cellStyle name="Normal 2 13 3 2 2 2 3 3" xfId="18004" xr:uid="{00000000-0005-0000-0000-0000AE4C0000}"/>
    <cellStyle name="Normal 2 13 3 2 2 2 3 3 2" xfId="40647" xr:uid="{00000000-0005-0000-0000-0000AF4C0000}"/>
    <cellStyle name="Normal 2 13 3 2 2 2 3 4" xfId="10564" xr:uid="{00000000-0005-0000-0000-0000B04C0000}"/>
    <cellStyle name="Normal 2 13 3 2 2 2 3 4 2" xfId="33207" xr:uid="{00000000-0005-0000-0000-0000B14C0000}"/>
    <cellStyle name="Normal 2 13 3 2 2 2 3 5" xfId="25766" xr:uid="{00000000-0005-0000-0000-0000B24C0000}"/>
    <cellStyle name="Normal 2 13 3 2 2 2 4" xfId="4991" xr:uid="{00000000-0005-0000-0000-0000B34C0000}"/>
    <cellStyle name="Normal 2 13 3 2 2 2 4 2" xfId="19875" xr:uid="{00000000-0005-0000-0000-0000B44C0000}"/>
    <cellStyle name="Normal 2 13 3 2 2 2 4 2 2" xfId="42518" xr:uid="{00000000-0005-0000-0000-0000B54C0000}"/>
    <cellStyle name="Normal 2 13 3 2 2 2 4 3" xfId="12435" xr:uid="{00000000-0005-0000-0000-0000B64C0000}"/>
    <cellStyle name="Normal 2 13 3 2 2 2 4 3 2" xfId="35078" xr:uid="{00000000-0005-0000-0000-0000B74C0000}"/>
    <cellStyle name="Normal 2 13 3 2 2 2 4 4" xfId="27637" xr:uid="{00000000-0005-0000-0000-0000B84C0000}"/>
    <cellStyle name="Normal 2 13 3 2 2 2 5" xfId="16157" xr:uid="{00000000-0005-0000-0000-0000B94C0000}"/>
    <cellStyle name="Normal 2 13 3 2 2 2 5 2" xfId="38800" xr:uid="{00000000-0005-0000-0000-0000BA4C0000}"/>
    <cellStyle name="Normal 2 13 3 2 2 2 6" xfId="8717" xr:uid="{00000000-0005-0000-0000-0000BB4C0000}"/>
    <cellStyle name="Normal 2 13 3 2 2 2 6 2" xfId="31360" xr:uid="{00000000-0005-0000-0000-0000BC4C0000}"/>
    <cellStyle name="Normal 2 13 3 2 2 2 7" xfId="23919" xr:uid="{00000000-0005-0000-0000-0000BD4C0000}"/>
    <cellStyle name="Normal 2 13 3 2 2 3" xfId="1730" xr:uid="{00000000-0005-0000-0000-0000BE4C0000}"/>
    <cellStyle name="Normal 2 13 3 2 2 3 2" xfId="3580" xr:uid="{00000000-0005-0000-0000-0000BF4C0000}"/>
    <cellStyle name="Normal 2 13 3 2 2 3 2 2" xfId="7301" xr:uid="{00000000-0005-0000-0000-0000C04C0000}"/>
    <cellStyle name="Normal 2 13 3 2 2 3 2 2 2" xfId="22185" xr:uid="{00000000-0005-0000-0000-0000C14C0000}"/>
    <cellStyle name="Normal 2 13 3 2 2 3 2 2 2 2" xfId="44828" xr:uid="{00000000-0005-0000-0000-0000C24C0000}"/>
    <cellStyle name="Normal 2 13 3 2 2 3 2 2 3" xfId="14745" xr:uid="{00000000-0005-0000-0000-0000C34C0000}"/>
    <cellStyle name="Normal 2 13 3 2 2 3 2 2 3 2" xfId="37388" xr:uid="{00000000-0005-0000-0000-0000C44C0000}"/>
    <cellStyle name="Normal 2 13 3 2 2 3 2 2 4" xfId="29947" xr:uid="{00000000-0005-0000-0000-0000C54C0000}"/>
    <cellStyle name="Normal 2 13 3 2 2 3 2 3" xfId="18467" xr:uid="{00000000-0005-0000-0000-0000C64C0000}"/>
    <cellStyle name="Normal 2 13 3 2 2 3 2 3 2" xfId="41110" xr:uid="{00000000-0005-0000-0000-0000C74C0000}"/>
    <cellStyle name="Normal 2 13 3 2 2 3 2 4" xfId="11027" xr:uid="{00000000-0005-0000-0000-0000C84C0000}"/>
    <cellStyle name="Normal 2 13 3 2 2 3 2 4 2" xfId="33670" xr:uid="{00000000-0005-0000-0000-0000C94C0000}"/>
    <cellStyle name="Normal 2 13 3 2 2 3 2 5" xfId="26229" xr:uid="{00000000-0005-0000-0000-0000CA4C0000}"/>
    <cellStyle name="Normal 2 13 3 2 2 3 3" xfId="5454" xr:uid="{00000000-0005-0000-0000-0000CB4C0000}"/>
    <cellStyle name="Normal 2 13 3 2 2 3 3 2" xfId="20338" xr:uid="{00000000-0005-0000-0000-0000CC4C0000}"/>
    <cellStyle name="Normal 2 13 3 2 2 3 3 2 2" xfId="42981" xr:uid="{00000000-0005-0000-0000-0000CD4C0000}"/>
    <cellStyle name="Normal 2 13 3 2 2 3 3 3" xfId="12898" xr:uid="{00000000-0005-0000-0000-0000CE4C0000}"/>
    <cellStyle name="Normal 2 13 3 2 2 3 3 3 2" xfId="35541" xr:uid="{00000000-0005-0000-0000-0000CF4C0000}"/>
    <cellStyle name="Normal 2 13 3 2 2 3 3 4" xfId="28100" xr:uid="{00000000-0005-0000-0000-0000D04C0000}"/>
    <cellStyle name="Normal 2 13 3 2 2 3 4" xfId="16620" xr:uid="{00000000-0005-0000-0000-0000D14C0000}"/>
    <cellStyle name="Normal 2 13 3 2 2 3 4 2" xfId="39263" xr:uid="{00000000-0005-0000-0000-0000D24C0000}"/>
    <cellStyle name="Normal 2 13 3 2 2 3 5" xfId="9180" xr:uid="{00000000-0005-0000-0000-0000D34C0000}"/>
    <cellStyle name="Normal 2 13 3 2 2 3 5 2" xfId="31823" xr:uid="{00000000-0005-0000-0000-0000D44C0000}"/>
    <cellStyle name="Normal 2 13 3 2 2 3 6" xfId="24382" xr:uid="{00000000-0005-0000-0000-0000D54C0000}"/>
    <cellStyle name="Normal 2 13 3 2 2 4" xfId="2655" xr:uid="{00000000-0005-0000-0000-0000D64C0000}"/>
    <cellStyle name="Normal 2 13 3 2 2 4 2" xfId="6376" xr:uid="{00000000-0005-0000-0000-0000D74C0000}"/>
    <cellStyle name="Normal 2 13 3 2 2 4 2 2" xfId="21260" xr:uid="{00000000-0005-0000-0000-0000D84C0000}"/>
    <cellStyle name="Normal 2 13 3 2 2 4 2 2 2" xfId="43903" xr:uid="{00000000-0005-0000-0000-0000D94C0000}"/>
    <cellStyle name="Normal 2 13 3 2 2 4 2 3" xfId="13820" xr:uid="{00000000-0005-0000-0000-0000DA4C0000}"/>
    <cellStyle name="Normal 2 13 3 2 2 4 2 3 2" xfId="36463" xr:uid="{00000000-0005-0000-0000-0000DB4C0000}"/>
    <cellStyle name="Normal 2 13 3 2 2 4 2 4" xfId="29022" xr:uid="{00000000-0005-0000-0000-0000DC4C0000}"/>
    <cellStyle name="Normal 2 13 3 2 2 4 3" xfId="17542" xr:uid="{00000000-0005-0000-0000-0000DD4C0000}"/>
    <cellStyle name="Normal 2 13 3 2 2 4 3 2" xfId="40185" xr:uid="{00000000-0005-0000-0000-0000DE4C0000}"/>
    <cellStyle name="Normal 2 13 3 2 2 4 4" xfId="10102" xr:uid="{00000000-0005-0000-0000-0000DF4C0000}"/>
    <cellStyle name="Normal 2 13 3 2 2 4 4 2" xfId="32745" xr:uid="{00000000-0005-0000-0000-0000E04C0000}"/>
    <cellStyle name="Normal 2 13 3 2 2 4 5" xfId="25304" xr:uid="{00000000-0005-0000-0000-0000E14C0000}"/>
    <cellStyle name="Normal 2 13 3 2 2 5" xfId="4529" xr:uid="{00000000-0005-0000-0000-0000E24C0000}"/>
    <cellStyle name="Normal 2 13 3 2 2 5 2" xfId="19413" xr:uid="{00000000-0005-0000-0000-0000E34C0000}"/>
    <cellStyle name="Normal 2 13 3 2 2 5 2 2" xfId="42056" xr:uid="{00000000-0005-0000-0000-0000E44C0000}"/>
    <cellStyle name="Normal 2 13 3 2 2 5 3" xfId="11973" xr:uid="{00000000-0005-0000-0000-0000E54C0000}"/>
    <cellStyle name="Normal 2 13 3 2 2 5 3 2" xfId="34616" xr:uid="{00000000-0005-0000-0000-0000E64C0000}"/>
    <cellStyle name="Normal 2 13 3 2 2 5 4" xfId="27175" xr:uid="{00000000-0005-0000-0000-0000E74C0000}"/>
    <cellStyle name="Normal 2 13 3 2 2 6" xfId="15695" xr:uid="{00000000-0005-0000-0000-0000E84C0000}"/>
    <cellStyle name="Normal 2 13 3 2 2 6 2" xfId="38338" xr:uid="{00000000-0005-0000-0000-0000E94C0000}"/>
    <cellStyle name="Normal 2 13 3 2 2 7" xfId="8255" xr:uid="{00000000-0005-0000-0000-0000EA4C0000}"/>
    <cellStyle name="Normal 2 13 3 2 2 7 2" xfId="30898" xr:uid="{00000000-0005-0000-0000-0000EB4C0000}"/>
    <cellStyle name="Normal 2 13 3 2 2 8" xfId="23457" xr:uid="{00000000-0005-0000-0000-0000EC4C0000}"/>
    <cellStyle name="Normal 2 13 3 2 3" xfId="1053" xr:uid="{00000000-0005-0000-0000-0000ED4C0000}"/>
    <cellStyle name="Normal 2 13 3 2 3 2" xfId="1981" xr:uid="{00000000-0005-0000-0000-0000EE4C0000}"/>
    <cellStyle name="Normal 2 13 3 2 3 2 2" xfId="3831" xr:uid="{00000000-0005-0000-0000-0000EF4C0000}"/>
    <cellStyle name="Normal 2 13 3 2 3 2 2 2" xfId="7552" xr:uid="{00000000-0005-0000-0000-0000F04C0000}"/>
    <cellStyle name="Normal 2 13 3 2 3 2 2 2 2" xfId="22436" xr:uid="{00000000-0005-0000-0000-0000F14C0000}"/>
    <cellStyle name="Normal 2 13 3 2 3 2 2 2 2 2" xfId="45079" xr:uid="{00000000-0005-0000-0000-0000F24C0000}"/>
    <cellStyle name="Normal 2 13 3 2 3 2 2 2 3" xfId="14996" xr:uid="{00000000-0005-0000-0000-0000F34C0000}"/>
    <cellStyle name="Normal 2 13 3 2 3 2 2 2 3 2" xfId="37639" xr:uid="{00000000-0005-0000-0000-0000F44C0000}"/>
    <cellStyle name="Normal 2 13 3 2 3 2 2 2 4" xfId="30198" xr:uid="{00000000-0005-0000-0000-0000F54C0000}"/>
    <cellStyle name="Normal 2 13 3 2 3 2 2 3" xfId="18718" xr:uid="{00000000-0005-0000-0000-0000F64C0000}"/>
    <cellStyle name="Normal 2 13 3 2 3 2 2 3 2" xfId="41361" xr:uid="{00000000-0005-0000-0000-0000F74C0000}"/>
    <cellStyle name="Normal 2 13 3 2 3 2 2 4" xfId="11278" xr:uid="{00000000-0005-0000-0000-0000F84C0000}"/>
    <cellStyle name="Normal 2 13 3 2 3 2 2 4 2" xfId="33921" xr:uid="{00000000-0005-0000-0000-0000F94C0000}"/>
    <cellStyle name="Normal 2 13 3 2 3 2 2 5" xfId="26480" xr:uid="{00000000-0005-0000-0000-0000FA4C0000}"/>
    <cellStyle name="Normal 2 13 3 2 3 2 3" xfId="5705" xr:uid="{00000000-0005-0000-0000-0000FB4C0000}"/>
    <cellStyle name="Normal 2 13 3 2 3 2 3 2" xfId="20589" xr:uid="{00000000-0005-0000-0000-0000FC4C0000}"/>
    <cellStyle name="Normal 2 13 3 2 3 2 3 2 2" xfId="43232" xr:uid="{00000000-0005-0000-0000-0000FD4C0000}"/>
    <cellStyle name="Normal 2 13 3 2 3 2 3 3" xfId="13149" xr:uid="{00000000-0005-0000-0000-0000FE4C0000}"/>
    <cellStyle name="Normal 2 13 3 2 3 2 3 3 2" xfId="35792" xr:uid="{00000000-0005-0000-0000-0000FF4C0000}"/>
    <cellStyle name="Normal 2 13 3 2 3 2 3 4" xfId="28351" xr:uid="{00000000-0005-0000-0000-0000004D0000}"/>
    <cellStyle name="Normal 2 13 3 2 3 2 4" xfId="16871" xr:uid="{00000000-0005-0000-0000-0000014D0000}"/>
    <cellStyle name="Normal 2 13 3 2 3 2 4 2" xfId="39514" xr:uid="{00000000-0005-0000-0000-0000024D0000}"/>
    <cellStyle name="Normal 2 13 3 2 3 2 5" xfId="9431" xr:uid="{00000000-0005-0000-0000-0000034D0000}"/>
    <cellStyle name="Normal 2 13 3 2 3 2 5 2" xfId="32074" xr:uid="{00000000-0005-0000-0000-0000044D0000}"/>
    <cellStyle name="Normal 2 13 3 2 3 2 6" xfId="24633" xr:uid="{00000000-0005-0000-0000-0000054D0000}"/>
    <cellStyle name="Normal 2 13 3 2 3 3" xfId="2906" xr:uid="{00000000-0005-0000-0000-0000064D0000}"/>
    <cellStyle name="Normal 2 13 3 2 3 3 2" xfId="6627" xr:uid="{00000000-0005-0000-0000-0000074D0000}"/>
    <cellStyle name="Normal 2 13 3 2 3 3 2 2" xfId="21511" xr:uid="{00000000-0005-0000-0000-0000084D0000}"/>
    <cellStyle name="Normal 2 13 3 2 3 3 2 2 2" xfId="44154" xr:uid="{00000000-0005-0000-0000-0000094D0000}"/>
    <cellStyle name="Normal 2 13 3 2 3 3 2 3" xfId="14071" xr:uid="{00000000-0005-0000-0000-00000A4D0000}"/>
    <cellStyle name="Normal 2 13 3 2 3 3 2 3 2" xfId="36714" xr:uid="{00000000-0005-0000-0000-00000B4D0000}"/>
    <cellStyle name="Normal 2 13 3 2 3 3 2 4" xfId="29273" xr:uid="{00000000-0005-0000-0000-00000C4D0000}"/>
    <cellStyle name="Normal 2 13 3 2 3 3 3" xfId="17793" xr:uid="{00000000-0005-0000-0000-00000D4D0000}"/>
    <cellStyle name="Normal 2 13 3 2 3 3 3 2" xfId="40436" xr:uid="{00000000-0005-0000-0000-00000E4D0000}"/>
    <cellStyle name="Normal 2 13 3 2 3 3 4" xfId="10353" xr:uid="{00000000-0005-0000-0000-00000F4D0000}"/>
    <cellStyle name="Normal 2 13 3 2 3 3 4 2" xfId="32996" xr:uid="{00000000-0005-0000-0000-0000104D0000}"/>
    <cellStyle name="Normal 2 13 3 2 3 3 5" xfId="25555" xr:uid="{00000000-0005-0000-0000-0000114D0000}"/>
    <cellStyle name="Normal 2 13 3 2 3 4" xfId="4780" xr:uid="{00000000-0005-0000-0000-0000124D0000}"/>
    <cellStyle name="Normal 2 13 3 2 3 4 2" xfId="19664" xr:uid="{00000000-0005-0000-0000-0000134D0000}"/>
    <cellStyle name="Normal 2 13 3 2 3 4 2 2" xfId="42307" xr:uid="{00000000-0005-0000-0000-0000144D0000}"/>
    <cellStyle name="Normal 2 13 3 2 3 4 3" xfId="12224" xr:uid="{00000000-0005-0000-0000-0000154D0000}"/>
    <cellStyle name="Normal 2 13 3 2 3 4 3 2" xfId="34867" xr:uid="{00000000-0005-0000-0000-0000164D0000}"/>
    <cellStyle name="Normal 2 13 3 2 3 4 4" xfId="27426" xr:uid="{00000000-0005-0000-0000-0000174D0000}"/>
    <cellStyle name="Normal 2 13 3 2 3 5" xfId="15946" xr:uid="{00000000-0005-0000-0000-0000184D0000}"/>
    <cellStyle name="Normal 2 13 3 2 3 5 2" xfId="38589" xr:uid="{00000000-0005-0000-0000-0000194D0000}"/>
    <cellStyle name="Normal 2 13 3 2 3 6" xfId="8506" xr:uid="{00000000-0005-0000-0000-00001A4D0000}"/>
    <cellStyle name="Normal 2 13 3 2 3 6 2" xfId="31149" xr:uid="{00000000-0005-0000-0000-00001B4D0000}"/>
    <cellStyle name="Normal 2 13 3 2 3 7" xfId="23708" xr:uid="{00000000-0005-0000-0000-00001C4D0000}"/>
    <cellStyle name="Normal 2 13 3 2 4" xfId="1519" xr:uid="{00000000-0005-0000-0000-00001D4D0000}"/>
    <cellStyle name="Normal 2 13 3 2 4 2" xfId="3369" xr:uid="{00000000-0005-0000-0000-00001E4D0000}"/>
    <cellStyle name="Normal 2 13 3 2 4 2 2" xfId="7090" xr:uid="{00000000-0005-0000-0000-00001F4D0000}"/>
    <cellStyle name="Normal 2 13 3 2 4 2 2 2" xfId="21974" xr:uid="{00000000-0005-0000-0000-0000204D0000}"/>
    <cellStyle name="Normal 2 13 3 2 4 2 2 2 2" xfId="44617" xr:uid="{00000000-0005-0000-0000-0000214D0000}"/>
    <cellStyle name="Normal 2 13 3 2 4 2 2 3" xfId="14534" xr:uid="{00000000-0005-0000-0000-0000224D0000}"/>
    <cellStyle name="Normal 2 13 3 2 4 2 2 3 2" xfId="37177" xr:uid="{00000000-0005-0000-0000-0000234D0000}"/>
    <cellStyle name="Normal 2 13 3 2 4 2 2 4" xfId="29736" xr:uid="{00000000-0005-0000-0000-0000244D0000}"/>
    <cellStyle name="Normal 2 13 3 2 4 2 3" xfId="18256" xr:uid="{00000000-0005-0000-0000-0000254D0000}"/>
    <cellStyle name="Normal 2 13 3 2 4 2 3 2" xfId="40899" xr:uid="{00000000-0005-0000-0000-0000264D0000}"/>
    <cellStyle name="Normal 2 13 3 2 4 2 4" xfId="10816" xr:uid="{00000000-0005-0000-0000-0000274D0000}"/>
    <cellStyle name="Normal 2 13 3 2 4 2 4 2" xfId="33459" xr:uid="{00000000-0005-0000-0000-0000284D0000}"/>
    <cellStyle name="Normal 2 13 3 2 4 2 5" xfId="26018" xr:uid="{00000000-0005-0000-0000-0000294D0000}"/>
    <cellStyle name="Normal 2 13 3 2 4 3" xfId="5243" xr:uid="{00000000-0005-0000-0000-00002A4D0000}"/>
    <cellStyle name="Normal 2 13 3 2 4 3 2" xfId="20127" xr:uid="{00000000-0005-0000-0000-00002B4D0000}"/>
    <cellStyle name="Normal 2 13 3 2 4 3 2 2" xfId="42770" xr:uid="{00000000-0005-0000-0000-00002C4D0000}"/>
    <cellStyle name="Normal 2 13 3 2 4 3 3" xfId="12687" xr:uid="{00000000-0005-0000-0000-00002D4D0000}"/>
    <cellStyle name="Normal 2 13 3 2 4 3 3 2" xfId="35330" xr:uid="{00000000-0005-0000-0000-00002E4D0000}"/>
    <cellStyle name="Normal 2 13 3 2 4 3 4" xfId="27889" xr:uid="{00000000-0005-0000-0000-00002F4D0000}"/>
    <cellStyle name="Normal 2 13 3 2 4 4" xfId="16409" xr:uid="{00000000-0005-0000-0000-0000304D0000}"/>
    <cellStyle name="Normal 2 13 3 2 4 4 2" xfId="39052" xr:uid="{00000000-0005-0000-0000-0000314D0000}"/>
    <cellStyle name="Normal 2 13 3 2 4 5" xfId="8969" xr:uid="{00000000-0005-0000-0000-0000324D0000}"/>
    <cellStyle name="Normal 2 13 3 2 4 5 2" xfId="31612" xr:uid="{00000000-0005-0000-0000-0000334D0000}"/>
    <cellStyle name="Normal 2 13 3 2 4 6" xfId="24171" xr:uid="{00000000-0005-0000-0000-0000344D0000}"/>
    <cellStyle name="Normal 2 13 3 2 5" xfId="2444" xr:uid="{00000000-0005-0000-0000-0000354D0000}"/>
    <cellStyle name="Normal 2 13 3 2 5 2" xfId="6165" xr:uid="{00000000-0005-0000-0000-0000364D0000}"/>
    <cellStyle name="Normal 2 13 3 2 5 2 2" xfId="21049" xr:uid="{00000000-0005-0000-0000-0000374D0000}"/>
    <cellStyle name="Normal 2 13 3 2 5 2 2 2" xfId="43692" xr:uid="{00000000-0005-0000-0000-0000384D0000}"/>
    <cellStyle name="Normal 2 13 3 2 5 2 3" xfId="13609" xr:uid="{00000000-0005-0000-0000-0000394D0000}"/>
    <cellStyle name="Normal 2 13 3 2 5 2 3 2" xfId="36252" xr:uid="{00000000-0005-0000-0000-00003A4D0000}"/>
    <cellStyle name="Normal 2 13 3 2 5 2 4" xfId="28811" xr:uid="{00000000-0005-0000-0000-00003B4D0000}"/>
    <cellStyle name="Normal 2 13 3 2 5 3" xfId="17331" xr:uid="{00000000-0005-0000-0000-00003C4D0000}"/>
    <cellStyle name="Normal 2 13 3 2 5 3 2" xfId="39974" xr:uid="{00000000-0005-0000-0000-00003D4D0000}"/>
    <cellStyle name="Normal 2 13 3 2 5 4" xfId="9891" xr:uid="{00000000-0005-0000-0000-00003E4D0000}"/>
    <cellStyle name="Normal 2 13 3 2 5 4 2" xfId="32534" xr:uid="{00000000-0005-0000-0000-00003F4D0000}"/>
    <cellStyle name="Normal 2 13 3 2 5 5" xfId="25093" xr:uid="{00000000-0005-0000-0000-0000404D0000}"/>
    <cellStyle name="Normal 2 13 3 2 6" xfId="4318" xr:uid="{00000000-0005-0000-0000-0000414D0000}"/>
    <cellStyle name="Normal 2 13 3 2 6 2" xfId="19202" xr:uid="{00000000-0005-0000-0000-0000424D0000}"/>
    <cellStyle name="Normal 2 13 3 2 6 2 2" xfId="41845" xr:uid="{00000000-0005-0000-0000-0000434D0000}"/>
    <cellStyle name="Normal 2 13 3 2 6 3" xfId="11762" xr:uid="{00000000-0005-0000-0000-0000444D0000}"/>
    <cellStyle name="Normal 2 13 3 2 6 3 2" xfId="34405" xr:uid="{00000000-0005-0000-0000-0000454D0000}"/>
    <cellStyle name="Normal 2 13 3 2 6 4" xfId="26964" xr:uid="{00000000-0005-0000-0000-0000464D0000}"/>
    <cellStyle name="Normal 2 13 3 2 7" xfId="15484" xr:uid="{00000000-0005-0000-0000-0000474D0000}"/>
    <cellStyle name="Normal 2 13 3 2 7 2" xfId="38127" xr:uid="{00000000-0005-0000-0000-0000484D0000}"/>
    <cellStyle name="Normal 2 13 3 2 8" xfId="8044" xr:uid="{00000000-0005-0000-0000-0000494D0000}"/>
    <cellStyle name="Normal 2 13 3 2 8 2" xfId="30687" xr:uid="{00000000-0005-0000-0000-00004A4D0000}"/>
    <cellStyle name="Normal 2 13 3 2 9" xfId="23247" xr:uid="{00000000-0005-0000-0000-00004B4D0000}"/>
    <cellStyle name="Normal 2 13 3 3" xfId="694" xr:uid="{00000000-0005-0000-0000-00004C4D0000}"/>
    <cellStyle name="Normal 2 13 3 3 2" xfId="1159" xr:uid="{00000000-0005-0000-0000-00004D4D0000}"/>
    <cellStyle name="Normal 2 13 3 3 2 2" xfId="2087" xr:uid="{00000000-0005-0000-0000-00004E4D0000}"/>
    <cellStyle name="Normal 2 13 3 3 2 2 2" xfId="3937" xr:uid="{00000000-0005-0000-0000-00004F4D0000}"/>
    <cellStyle name="Normal 2 13 3 3 2 2 2 2" xfId="7658" xr:uid="{00000000-0005-0000-0000-0000504D0000}"/>
    <cellStyle name="Normal 2 13 3 3 2 2 2 2 2" xfId="22542" xr:uid="{00000000-0005-0000-0000-0000514D0000}"/>
    <cellStyle name="Normal 2 13 3 3 2 2 2 2 2 2" xfId="45185" xr:uid="{00000000-0005-0000-0000-0000524D0000}"/>
    <cellStyle name="Normal 2 13 3 3 2 2 2 2 3" xfId="15102" xr:uid="{00000000-0005-0000-0000-0000534D0000}"/>
    <cellStyle name="Normal 2 13 3 3 2 2 2 2 3 2" xfId="37745" xr:uid="{00000000-0005-0000-0000-0000544D0000}"/>
    <cellStyle name="Normal 2 13 3 3 2 2 2 2 4" xfId="30304" xr:uid="{00000000-0005-0000-0000-0000554D0000}"/>
    <cellStyle name="Normal 2 13 3 3 2 2 2 3" xfId="18824" xr:uid="{00000000-0005-0000-0000-0000564D0000}"/>
    <cellStyle name="Normal 2 13 3 3 2 2 2 3 2" xfId="41467" xr:uid="{00000000-0005-0000-0000-0000574D0000}"/>
    <cellStyle name="Normal 2 13 3 3 2 2 2 4" xfId="11384" xr:uid="{00000000-0005-0000-0000-0000584D0000}"/>
    <cellStyle name="Normal 2 13 3 3 2 2 2 4 2" xfId="34027" xr:uid="{00000000-0005-0000-0000-0000594D0000}"/>
    <cellStyle name="Normal 2 13 3 3 2 2 2 5" xfId="26586" xr:uid="{00000000-0005-0000-0000-00005A4D0000}"/>
    <cellStyle name="Normal 2 13 3 3 2 2 3" xfId="5811" xr:uid="{00000000-0005-0000-0000-00005B4D0000}"/>
    <cellStyle name="Normal 2 13 3 3 2 2 3 2" xfId="20695" xr:uid="{00000000-0005-0000-0000-00005C4D0000}"/>
    <cellStyle name="Normal 2 13 3 3 2 2 3 2 2" xfId="43338" xr:uid="{00000000-0005-0000-0000-00005D4D0000}"/>
    <cellStyle name="Normal 2 13 3 3 2 2 3 3" xfId="13255" xr:uid="{00000000-0005-0000-0000-00005E4D0000}"/>
    <cellStyle name="Normal 2 13 3 3 2 2 3 3 2" xfId="35898" xr:uid="{00000000-0005-0000-0000-00005F4D0000}"/>
    <cellStyle name="Normal 2 13 3 3 2 2 3 4" xfId="28457" xr:uid="{00000000-0005-0000-0000-0000604D0000}"/>
    <cellStyle name="Normal 2 13 3 3 2 2 4" xfId="16977" xr:uid="{00000000-0005-0000-0000-0000614D0000}"/>
    <cellStyle name="Normal 2 13 3 3 2 2 4 2" xfId="39620" xr:uid="{00000000-0005-0000-0000-0000624D0000}"/>
    <cellStyle name="Normal 2 13 3 3 2 2 5" xfId="9537" xr:uid="{00000000-0005-0000-0000-0000634D0000}"/>
    <cellStyle name="Normal 2 13 3 3 2 2 5 2" xfId="32180" xr:uid="{00000000-0005-0000-0000-0000644D0000}"/>
    <cellStyle name="Normal 2 13 3 3 2 2 6" xfId="24739" xr:uid="{00000000-0005-0000-0000-0000654D0000}"/>
    <cellStyle name="Normal 2 13 3 3 2 3" xfId="3012" xr:uid="{00000000-0005-0000-0000-0000664D0000}"/>
    <cellStyle name="Normal 2 13 3 3 2 3 2" xfId="6733" xr:uid="{00000000-0005-0000-0000-0000674D0000}"/>
    <cellStyle name="Normal 2 13 3 3 2 3 2 2" xfId="21617" xr:uid="{00000000-0005-0000-0000-0000684D0000}"/>
    <cellStyle name="Normal 2 13 3 3 2 3 2 2 2" xfId="44260" xr:uid="{00000000-0005-0000-0000-0000694D0000}"/>
    <cellStyle name="Normal 2 13 3 3 2 3 2 3" xfId="14177" xr:uid="{00000000-0005-0000-0000-00006A4D0000}"/>
    <cellStyle name="Normal 2 13 3 3 2 3 2 3 2" xfId="36820" xr:uid="{00000000-0005-0000-0000-00006B4D0000}"/>
    <cellStyle name="Normal 2 13 3 3 2 3 2 4" xfId="29379" xr:uid="{00000000-0005-0000-0000-00006C4D0000}"/>
    <cellStyle name="Normal 2 13 3 3 2 3 3" xfId="17899" xr:uid="{00000000-0005-0000-0000-00006D4D0000}"/>
    <cellStyle name="Normal 2 13 3 3 2 3 3 2" xfId="40542" xr:uid="{00000000-0005-0000-0000-00006E4D0000}"/>
    <cellStyle name="Normal 2 13 3 3 2 3 4" xfId="10459" xr:uid="{00000000-0005-0000-0000-00006F4D0000}"/>
    <cellStyle name="Normal 2 13 3 3 2 3 4 2" xfId="33102" xr:uid="{00000000-0005-0000-0000-0000704D0000}"/>
    <cellStyle name="Normal 2 13 3 3 2 3 5" xfId="25661" xr:uid="{00000000-0005-0000-0000-0000714D0000}"/>
    <cellStyle name="Normal 2 13 3 3 2 4" xfId="4886" xr:uid="{00000000-0005-0000-0000-0000724D0000}"/>
    <cellStyle name="Normal 2 13 3 3 2 4 2" xfId="19770" xr:uid="{00000000-0005-0000-0000-0000734D0000}"/>
    <cellStyle name="Normal 2 13 3 3 2 4 2 2" xfId="42413" xr:uid="{00000000-0005-0000-0000-0000744D0000}"/>
    <cellStyle name="Normal 2 13 3 3 2 4 3" xfId="12330" xr:uid="{00000000-0005-0000-0000-0000754D0000}"/>
    <cellStyle name="Normal 2 13 3 3 2 4 3 2" xfId="34973" xr:uid="{00000000-0005-0000-0000-0000764D0000}"/>
    <cellStyle name="Normal 2 13 3 3 2 4 4" xfId="27532" xr:uid="{00000000-0005-0000-0000-0000774D0000}"/>
    <cellStyle name="Normal 2 13 3 3 2 5" xfId="16052" xr:uid="{00000000-0005-0000-0000-0000784D0000}"/>
    <cellStyle name="Normal 2 13 3 3 2 5 2" xfId="38695" xr:uid="{00000000-0005-0000-0000-0000794D0000}"/>
    <cellStyle name="Normal 2 13 3 3 2 6" xfId="8612" xr:uid="{00000000-0005-0000-0000-00007A4D0000}"/>
    <cellStyle name="Normal 2 13 3 3 2 6 2" xfId="31255" xr:uid="{00000000-0005-0000-0000-00007B4D0000}"/>
    <cellStyle name="Normal 2 13 3 3 2 7" xfId="23814" xr:uid="{00000000-0005-0000-0000-00007C4D0000}"/>
    <cellStyle name="Normal 2 13 3 3 3" xfId="1625" xr:uid="{00000000-0005-0000-0000-00007D4D0000}"/>
    <cellStyle name="Normal 2 13 3 3 3 2" xfId="3475" xr:uid="{00000000-0005-0000-0000-00007E4D0000}"/>
    <cellStyle name="Normal 2 13 3 3 3 2 2" xfId="7196" xr:uid="{00000000-0005-0000-0000-00007F4D0000}"/>
    <cellStyle name="Normal 2 13 3 3 3 2 2 2" xfId="22080" xr:uid="{00000000-0005-0000-0000-0000804D0000}"/>
    <cellStyle name="Normal 2 13 3 3 3 2 2 2 2" xfId="44723" xr:uid="{00000000-0005-0000-0000-0000814D0000}"/>
    <cellStyle name="Normal 2 13 3 3 3 2 2 3" xfId="14640" xr:uid="{00000000-0005-0000-0000-0000824D0000}"/>
    <cellStyle name="Normal 2 13 3 3 3 2 2 3 2" xfId="37283" xr:uid="{00000000-0005-0000-0000-0000834D0000}"/>
    <cellStyle name="Normal 2 13 3 3 3 2 2 4" xfId="29842" xr:uid="{00000000-0005-0000-0000-0000844D0000}"/>
    <cellStyle name="Normal 2 13 3 3 3 2 3" xfId="18362" xr:uid="{00000000-0005-0000-0000-0000854D0000}"/>
    <cellStyle name="Normal 2 13 3 3 3 2 3 2" xfId="41005" xr:uid="{00000000-0005-0000-0000-0000864D0000}"/>
    <cellStyle name="Normal 2 13 3 3 3 2 4" xfId="10922" xr:uid="{00000000-0005-0000-0000-0000874D0000}"/>
    <cellStyle name="Normal 2 13 3 3 3 2 4 2" xfId="33565" xr:uid="{00000000-0005-0000-0000-0000884D0000}"/>
    <cellStyle name="Normal 2 13 3 3 3 2 5" xfId="26124" xr:uid="{00000000-0005-0000-0000-0000894D0000}"/>
    <cellStyle name="Normal 2 13 3 3 3 3" xfId="5349" xr:uid="{00000000-0005-0000-0000-00008A4D0000}"/>
    <cellStyle name="Normal 2 13 3 3 3 3 2" xfId="20233" xr:uid="{00000000-0005-0000-0000-00008B4D0000}"/>
    <cellStyle name="Normal 2 13 3 3 3 3 2 2" xfId="42876" xr:uid="{00000000-0005-0000-0000-00008C4D0000}"/>
    <cellStyle name="Normal 2 13 3 3 3 3 3" xfId="12793" xr:uid="{00000000-0005-0000-0000-00008D4D0000}"/>
    <cellStyle name="Normal 2 13 3 3 3 3 3 2" xfId="35436" xr:uid="{00000000-0005-0000-0000-00008E4D0000}"/>
    <cellStyle name="Normal 2 13 3 3 3 3 4" xfId="27995" xr:uid="{00000000-0005-0000-0000-00008F4D0000}"/>
    <cellStyle name="Normal 2 13 3 3 3 4" xfId="16515" xr:uid="{00000000-0005-0000-0000-0000904D0000}"/>
    <cellStyle name="Normal 2 13 3 3 3 4 2" xfId="39158" xr:uid="{00000000-0005-0000-0000-0000914D0000}"/>
    <cellStyle name="Normal 2 13 3 3 3 5" xfId="9075" xr:uid="{00000000-0005-0000-0000-0000924D0000}"/>
    <cellStyle name="Normal 2 13 3 3 3 5 2" xfId="31718" xr:uid="{00000000-0005-0000-0000-0000934D0000}"/>
    <cellStyle name="Normal 2 13 3 3 3 6" xfId="24277" xr:uid="{00000000-0005-0000-0000-0000944D0000}"/>
    <cellStyle name="Normal 2 13 3 3 4" xfId="2550" xr:uid="{00000000-0005-0000-0000-0000954D0000}"/>
    <cellStyle name="Normal 2 13 3 3 4 2" xfId="6271" xr:uid="{00000000-0005-0000-0000-0000964D0000}"/>
    <cellStyle name="Normal 2 13 3 3 4 2 2" xfId="21155" xr:uid="{00000000-0005-0000-0000-0000974D0000}"/>
    <cellStyle name="Normal 2 13 3 3 4 2 2 2" xfId="43798" xr:uid="{00000000-0005-0000-0000-0000984D0000}"/>
    <cellStyle name="Normal 2 13 3 3 4 2 3" xfId="13715" xr:uid="{00000000-0005-0000-0000-0000994D0000}"/>
    <cellStyle name="Normal 2 13 3 3 4 2 3 2" xfId="36358" xr:uid="{00000000-0005-0000-0000-00009A4D0000}"/>
    <cellStyle name="Normal 2 13 3 3 4 2 4" xfId="28917" xr:uid="{00000000-0005-0000-0000-00009B4D0000}"/>
    <cellStyle name="Normal 2 13 3 3 4 3" xfId="17437" xr:uid="{00000000-0005-0000-0000-00009C4D0000}"/>
    <cellStyle name="Normal 2 13 3 3 4 3 2" xfId="40080" xr:uid="{00000000-0005-0000-0000-00009D4D0000}"/>
    <cellStyle name="Normal 2 13 3 3 4 4" xfId="9997" xr:uid="{00000000-0005-0000-0000-00009E4D0000}"/>
    <cellStyle name="Normal 2 13 3 3 4 4 2" xfId="32640" xr:uid="{00000000-0005-0000-0000-00009F4D0000}"/>
    <cellStyle name="Normal 2 13 3 3 4 5" xfId="25199" xr:uid="{00000000-0005-0000-0000-0000A04D0000}"/>
    <cellStyle name="Normal 2 13 3 3 5" xfId="4424" xr:uid="{00000000-0005-0000-0000-0000A14D0000}"/>
    <cellStyle name="Normal 2 13 3 3 5 2" xfId="19308" xr:uid="{00000000-0005-0000-0000-0000A24D0000}"/>
    <cellStyle name="Normal 2 13 3 3 5 2 2" xfId="41951" xr:uid="{00000000-0005-0000-0000-0000A34D0000}"/>
    <cellStyle name="Normal 2 13 3 3 5 3" xfId="11868" xr:uid="{00000000-0005-0000-0000-0000A44D0000}"/>
    <cellStyle name="Normal 2 13 3 3 5 3 2" xfId="34511" xr:uid="{00000000-0005-0000-0000-0000A54D0000}"/>
    <cellStyle name="Normal 2 13 3 3 5 4" xfId="27070" xr:uid="{00000000-0005-0000-0000-0000A64D0000}"/>
    <cellStyle name="Normal 2 13 3 3 6" xfId="15590" xr:uid="{00000000-0005-0000-0000-0000A74D0000}"/>
    <cellStyle name="Normal 2 13 3 3 6 2" xfId="38233" xr:uid="{00000000-0005-0000-0000-0000A84D0000}"/>
    <cellStyle name="Normal 2 13 3 3 7" xfId="8150" xr:uid="{00000000-0005-0000-0000-0000A94D0000}"/>
    <cellStyle name="Normal 2 13 3 3 7 2" xfId="30793" xr:uid="{00000000-0005-0000-0000-0000AA4D0000}"/>
    <cellStyle name="Normal 2 13 3 3 8" xfId="23352" xr:uid="{00000000-0005-0000-0000-0000AB4D0000}"/>
    <cellStyle name="Normal 2 13 3 4" xfId="948" xr:uid="{00000000-0005-0000-0000-0000AC4D0000}"/>
    <cellStyle name="Normal 2 13 3 4 2" xfId="1876" xr:uid="{00000000-0005-0000-0000-0000AD4D0000}"/>
    <cellStyle name="Normal 2 13 3 4 2 2" xfId="3726" xr:uid="{00000000-0005-0000-0000-0000AE4D0000}"/>
    <cellStyle name="Normal 2 13 3 4 2 2 2" xfId="7447" xr:uid="{00000000-0005-0000-0000-0000AF4D0000}"/>
    <cellStyle name="Normal 2 13 3 4 2 2 2 2" xfId="22331" xr:uid="{00000000-0005-0000-0000-0000B04D0000}"/>
    <cellStyle name="Normal 2 13 3 4 2 2 2 2 2" xfId="44974" xr:uid="{00000000-0005-0000-0000-0000B14D0000}"/>
    <cellStyle name="Normal 2 13 3 4 2 2 2 3" xfId="14891" xr:uid="{00000000-0005-0000-0000-0000B24D0000}"/>
    <cellStyle name="Normal 2 13 3 4 2 2 2 3 2" xfId="37534" xr:uid="{00000000-0005-0000-0000-0000B34D0000}"/>
    <cellStyle name="Normal 2 13 3 4 2 2 2 4" xfId="30093" xr:uid="{00000000-0005-0000-0000-0000B44D0000}"/>
    <cellStyle name="Normal 2 13 3 4 2 2 3" xfId="18613" xr:uid="{00000000-0005-0000-0000-0000B54D0000}"/>
    <cellStyle name="Normal 2 13 3 4 2 2 3 2" xfId="41256" xr:uid="{00000000-0005-0000-0000-0000B64D0000}"/>
    <cellStyle name="Normal 2 13 3 4 2 2 4" xfId="11173" xr:uid="{00000000-0005-0000-0000-0000B74D0000}"/>
    <cellStyle name="Normal 2 13 3 4 2 2 4 2" xfId="33816" xr:uid="{00000000-0005-0000-0000-0000B84D0000}"/>
    <cellStyle name="Normal 2 13 3 4 2 2 5" xfId="26375" xr:uid="{00000000-0005-0000-0000-0000B94D0000}"/>
    <cellStyle name="Normal 2 13 3 4 2 3" xfId="5600" xr:uid="{00000000-0005-0000-0000-0000BA4D0000}"/>
    <cellStyle name="Normal 2 13 3 4 2 3 2" xfId="20484" xr:uid="{00000000-0005-0000-0000-0000BB4D0000}"/>
    <cellStyle name="Normal 2 13 3 4 2 3 2 2" xfId="43127" xr:uid="{00000000-0005-0000-0000-0000BC4D0000}"/>
    <cellStyle name="Normal 2 13 3 4 2 3 3" xfId="13044" xr:uid="{00000000-0005-0000-0000-0000BD4D0000}"/>
    <cellStyle name="Normal 2 13 3 4 2 3 3 2" xfId="35687" xr:uid="{00000000-0005-0000-0000-0000BE4D0000}"/>
    <cellStyle name="Normal 2 13 3 4 2 3 4" xfId="28246" xr:uid="{00000000-0005-0000-0000-0000BF4D0000}"/>
    <cellStyle name="Normal 2 13 3 4 2 4" xfId="16766" xr:uid="{00000000-0005-0000-0000-0000C04D0000}"/>
    <cellStyle name="Normal 2 13 3 4 2 4 2" xfId="39409" xr:uid="{00000000-0005-0000-0000-0000C14D0000}"/>
    <cellStyle name="Normal 2 13 3 4 2 5" xfId="9326" xr:uid="{00000000-0005-0000-0000-0000C24D0000}"/>
    <cellStyle name="Normal 2 13 3 4 2 5 2" xfId="31969" xr:uid="{00000000-0005-0000-0000-0000C34D0000}"/>
    <cellStyle name="Normal 2 13 3 4 2 6" xfId="24528" xr:uid="{00000000-0005-0000-0000-0000C44D0000}"/>
    <cellStyle name="Normal 2 13 3 4 3" xfId="2801" xr:uid="{00000000-0005-0000-0000-0000C54D0000}"/>
    <cellStyle name="Normal 2 13 3 4 3 2" xfId="6522" xr:uid="{00000000-0005-0000-0000-0000C64D0000}"/>
    <cellStyle name="Normal 2 13 3 4 3 2 2" xfId="21406" xr:uid="{00000000-0005-0000-0000-0000C74D0000}"/>
    <cellStyle name="Normal 2 13 3 4 3 2 2 2" xfId="44049" xr:uid="{00000000-0005-0000-0000-0000C84D0000}"/>
    <cellStyle name="Normal 2 13 3 4 3 2 3" xfId="13966" xr:uid="{00000000-0005-0000-0000-0000C94D0000}"/>
    <cellStyle name="Normal 2 13 3 4 3 2 3 2" xfId="36609" xr:uid="{00000000-0005-0000-0000-0000CA4D0000}"/>
    <cellStyle name="Normal 2 13 3 4 3 2 4" xfId="29168" xr:uid="{00000000-0005-0000-0000-0000CB4D0000}"/>
    <cellStyle name="Normal 2 13 3 4 3 3" xfId="17688" xr:uid="{00000000-0005-0000-0000-0000CC4D0000}"/>
    <cellStyle name="Normal 2 13 3 4 3 3 2" xfId="40331" xr:uid="{00000000-0005-0000-0000-0000CD4D0000}"/>
    <cellStyle name="Normal 2 13 3 4 3 4" xfId="10248" xr:uid="{00000000-0005-0000-0000-0000CE4D0000}"/>
    <cellStyle name="Normal 2 13 3 4 3 4 2" xfId="32891" xr:uid="{00000000-0005-0000-0000-0000CF4D0000}"/>
    <cellStyle name="Normal 2 13 3 4 3 5" xfId="25450" xr:uid="{00000000-0005-0000-0000-0000D04D0000}"/>
    <cellStyle name="Normal 2 13 3 4 4" xfId="4675" xr:uid="{00000000-0005-0000-0000-0000D14D0000}"/>
    <cellStyle name="Normal 2 13 3 4 4 2" xfId="19559" xr:uid="{00000000-0005-0000-0000-0000D24D0000}"/>
    <cellStyle name="Normal 2 13 3 4 4 2 2" xfId="42202" xr:uid="{00000000-0005-0000-0000-0000D34D0000}"/>
    <cellStyle name="Normal 2 13 3 4 4 3" xfId="12119" xr:uid="{00000000-0005-0000-0000-0000D44D0000}"/>
    <cellStyle name="Normal 2 13 3 4 4 3 2" xfId="34762" xr:uid="{00000000-0005-0000-0000-0000D54D0000}"/>
    <cellStyle name="Normal 2 13 3 4 4 4" xfId="27321" xr:uid="{00000000-0005-0000-0000-0000D64D0000}"/>
    <cellStyle name="Normal 2 13 3 4 5" xfId="15841" xr:uid="{00000000-0005-0000-0000-0000D74D0000}"/>
    <cellStyle name="Normal 2 13 3 4 5 2" xfId="38484" xr:uid="{00000000-0005-0000-0000-0000D84D0000}"/>
    <cellStyle name="Normal 2 13 3 4 6" xfId="8401" xr:uid="{00000000-0005-0000-0000-0000D94D0000}"/>
    <cellStyle name="Normal 2 13 3 4 6 2" xfId="31044" xr:uid="{00000000-0005-0000-0000-0000DA4D0000}"/>
    <cellStyle name="Normal 2 13 3 4 7" xfId="23603" xr:uid="{00000000-0005-0000-0000-0000DB4D0000}"/>
    <cellStyle name="Normal 2 13 3 5" xfId="1414" xr:uid="{00000000-0005-0000-0000-0000DC4D0000}"/>
    <cellStyle name="Normal 2 13 3 5 2" xfId="3264" xr:uid="{00000000-0005-0000-0000-0000DD4D0000}"/>
    <cellStyle name="Normal 2 13 3 5 2 2" xfId="6985" xr:uid="{00000000-0005-0000-0000-0000DE4D0000}"/>
    <cellStyle name="Normal 2 13 3 5 2 2 2" xfId="21869" xr:uid="{00000000-0005-0000-0000-0000DF4D0000}"/>
    <cellStyle name="Normal 2 13 3 5 2 2 2 2" xfId="44512" xr:uid="{00000000-0005-0000-0000-0000E04D0000}"/>
    <cellStyle name="Normal 2 13 3 5 2 2 3" xfId="14429" xr:uid="{00000000-0005-0000-0000-0000E14D0000}"/>
    <cellStyle name="Normal 2 13 3 5 2 2 3 2" xfId="37072" xr:uid="{00000000-0005-0000-0000-0000E24D0000}"/>
    <cellStyle name="Normal 2 13 3 5 2 2 4" xfId="29631" xr:uid="{00000000-0005-0000-0000-0000E34D0000}"/>
    <cellStyle name="Normal 2 13 3 5 2 3" xfId="18151" xr:uid="{00000000-0005-0000-0000-0000E44D0000}"/>
    <cellStyle name="Normal 2 13 3 5 2 3 2" xfId="40794" xr:uid="{00000000-0005-0000-0000-0000E54D0000}"/>
    <cellStyle name="Normal 2 13 3 5 2 4" xfId="10711" xr:uid="{00000000-0005-0000-0000-0000E64D0000}"/>
    <cellStyle name="Normal 2 13 3 5 2 4 2" xfId="33354" xr:uid="{00000000-0005-0000-0000-0000E74D0000}"/>
    <cellStyle name="Normal 2 13 3 5 2 5" xfId="25913" xr:uid="{00000000-0005-0000-0000-0000E84D0000}"/>
    <cellStyle name="Normal 2 13 3 5 3" xfId="5138" xr:uid="{00000000-0005-0000-0000-0000E94D0000}"/>
    <cellStyle name="Normal 2 13 3 5 3 2" xfId="20022" xr:uid="{00000000-0005-0000-0000-0000EA4D0000}"/>
    <cellStyle name="Normal 2 13 3 5 3 2 2" xfId="42665" xr:uid="{00000000-0005-0000-0000-0000EB4D0000}"/>
    <cellStyle name="Normal 2 13 3 5 3 3" xfId="12582" xr:uid="{00000000-0005-0000-0000-0000EC4D0000}"/>
    <cellStyle name="Normal 2 13 3 5 3 3 2" xfId="35225" xr:uid="{00000000-0005-0000-0000-0000ED4D0000}"/>
    <cellStyle name="Normal 2 13 3 5 3 4" xfId="27784" xr:uid="{00000000-0005-0000-0000-0000EE4D0000}"/>
    <cellStyle name="Normal 2 13 3 5 4" xfId="16304" xr:uid="{00000000-0005-0000-0000-0000EF4D0000}"/>
    <cellStyle name="Normal 2 13 3 5 4 2" xfId="38947" xr:uid="{00000000-0005-0000-0000-0000F04D0000}"/>
    <cellStyle name="Normal 2 13 3 5 5" xfId="8864" xr:uid="{00000000-0005-0000-0000-0000F14D0000}"/>
    <cellStyle name="Normal 2 13 3 5 5 2" xfId="31507" xr:uid="{00000000-0005-0000-0000-0000F24D0000}"/>
    <cellStyle name="Normal 2 13 3 5 6" xfId="24066" xr:uid="{00000000-0005-0000-0000-0000F34D0000}"/>
    <cellStyle name="Normal 2 13 3 6" xfId="2339" xr:uid="{00000000-0005-0000-0000-0000F44D0000}"/>
    <cellStyle name="Normal 2 13 3 6 2" xfId="6060" xr:uid="{00000000-0005-0000-0000-0000F54D0000}"/>
    <cellStyle name="Normal 2 13 3 6 2 2" xfId="20944" xr:uid="{00000000-0005-0000-0000-0000F64D0000}"/>
    <cellStyle name="Normal 2 13 3 6 2 2 2" xfId="43587" xr:uid="{00000000-0005-0000-0000-0000F74D0000}"/>
    <cellStyle name="Normal 2 13 3 6 2 3" xfId="13504" xr:uid="{00000000-0005-0000-0000-0000F84D0000}"/>
    <cellStyle name="Normal 2 13 3 6 2 3 2" xfId="36147" xr:uid="{00000000-0005-0000-0000-0000F94D0000}"/>
    <cellStyle name="Normal 2 13 3 6 2 4" xfId="28706" xr:uid="{00000000-0005-0000-0000-0000FA4D0000}"/>
    <cellStyle name="Normal 2 13 3 6 3" xfId="17226" xr:uid="{00000000-0005-0000-0000-0000FB4D0000}"/>
    <cellStyle name="Normal 2 13 3 6 3 2" xfId="39869" xr:uid="{00000000-0005-0000-0000-0000FC4D0000}"/>
    <cellStyle name="Normal 2 13 3 6 4" xfId="9786" xr:uid="{00000000-0005-0000-0000-0000FD4D0000}"/>
    <cellStyle name="Normal 2 13 3 6 4 2" xfId="32429" xr:uid="{00000000-0005-0000-0000-0000FE4D0000}"/>
    <cellStyle name="Normal 2 13 3 6 5" xfId="24988" xr:uid="{00000000-0005-0000-0000-0000FF4D0000}"/>
    <cellStyle name="Normal 2 13 3 7" xfId="4213" xr:uid="{00000000-0005-0000-0000-0000004E0000}"/>
    <cellStyle name="Normal 2 13 3 7 2" xfId="19097" xr:uid="{00000000-0005-0000-0000-0000014E0000}"/>
    <cellStyle name="Normal 2 13 3 7 2 2" xfId="41740" xr:uid="{00000000-0005-0000-0000-0000024E0000}"/>
    <cellStyle name="Normal 2 13 3 7 3" xfId="11657" xr:uid="{00000000-0005-0000-0000-0000034E0000}"/>
    <cellStyle name="Normal 2 13 3 7 3 2" xfId="34300" xr:uid="{00000000-0005-0000-0000-0000044E0000}"/>
    <cellStyle name="Normal 2 13 3 7 4" xfId="26859" xr:uid="{00000000-0005-0000-0000-0000054E0000}"/>
    <cellStyle name="Normal 2 13 3 8" xfId="15379" xr:uid="{00000000-0005-0000-0000-0000064E0000}"/>
    <cellStyle name="Normal 2 13 3 8 2" xfId="38022" xr:uid="{00000000-0005-0000-0000-0000074E0000}"/>
    <cellStyle name="Normal 2 13 3 9" xfId="7939" xr:uid="{00000000-0005-0000-0000-0000084E0000}"/>
    <cellStyle name="Normal 2 13 3 9 2" xfId="30582" xr:uid="{00000000-0005-0000-0000-0000094E0000}"/>
    <cellStyle name="Normal 2 13 4" xfId="535" xr:uid="{00000000-0005-0000-0000-00000A4E0000}"/>
    <cellStyle name="Normal 2 13 4 2" xfId="747" xr:uid="{00000000-0005-0000-0000-00000B4E0000}"/>
    <cellStyle name="Normal 2 13 4 2 2" xfId="1212" xr:uid="{00000000-0005-0000-0000-00000C4E0000}"/>
    <cellStyle name="Normal 2 13 4 2 2 2" xfId="2140" xr:uid="{00000000-0005-0000-0000-00000D4E0000}"/>
    <cellStyle name="Normal 2 13 4 2 2 2 2" xfId="3990" xr:uid="{00000000-0005-0000-0000-00000E4E0000}"/>
    <cellStyle name="Normal 2 13 4 2 2 2 2 2" xfId="7711" xr:uid="{00000000-0005-0000-0000-00000F4E0000}"/>
    <cellStyle name="Normal 2 13 4 2 2 2 2 2 2" xfId="22595" xr:uid="{00000000-0005-0000-0000-0000104E0000}"/>
    <cellStyle name="Normal 2 13 4 2 2 2 2 2 2 2" xfId="45238" xr:uid="{00000000-0005-0000-0000-0000114E0000}"/>
    <cellStyle name="Normal 2 13 4 2 2 2 2 2 3" xfId="15155" xr:uid="{00000000-0005-0000-0000-0000124E0000}"/>
    <cellStyle name="Normal 2 13 4 2 2 2 2 2 3 2" xfId="37798" xr:uid="{00000000-0005-0000-0000-0000134E0000}"/>
    <cellStyle name="Normal 2 13 4 2 2 2 2 2 4" xfId="30357" xr:uid="{00000000-0005-0000-0000-0000144E0000}"/>
    <cellStyle name="Normal 2 13 4 2 2 2 2 3" xfId="18877" xr:uid="{00000000-0005-0000-0000-0000154E0000}"/>
    <cellStyle name="Normal 2 13 4 2 2 2 2 3 2" xfId="41520" xr:uid="{00000000-0005-0000-0000-0000164E0000}"/>
    <cellStyle name="Normal 2 13 4 2 2 2 2 4" xfId="11437" xr:uid="{00000000-0005-0000-0000-0000174E0000}"/>
    <cellStyle name="Normal 2 13 4 2 2 2 2 4 2" xfId="34080" xr:uid="{00000000-0005-0000-0000-0000184E0000}"/>
    <cellStyle name="Normal 2 13 4 2 2 2 2 5" xfId="26639" xr:uid="{00000000-0005-0000-0000-0000194E0000}"/>
    <cellStyle name="Normal 2 13 4 2 2 2 3" xfId="5864" xr:uid="{00000000-0005-0000-0000-00001A4E0000}"/>
    <cellStyle name="Normal 2 13 4 2 2 2 3 2" xfId="20748" xr:uid="{00000000-0005-0000-0000-00001B4E0000}"/>
    <cellStyle name="Normal 2 13 4 2 2 2 3 2 2" xfId="43391" xr:uid="{00000000-0005-0000-0000-00001C4E0000}"/>
    <cellStyle name="Normal 2 13 4 2 2 2 3 3" xfId="13308" xr:uid="{00000000-0005-0000-0000-00001D4E0000}"/>
    <cellStyle name="Normal 2 13 4 2 2 2 3 3 2" xfId="35951" xr:uid="{00000000-0005-0000-0000-00001E4E0000}"/>
    <cellStyle name="Normal 2 13 4 2 2 2 3 4" xfId="28510" xr:uid="{00000000-0005-0000-0000-00001F4E0000}"/>
    <cellStyle name="Normal 2 13 4 2 2 2 4" xfId="17030" xr:uid="{00000000-0005-0000-0000-0000204E0000}"/>
    <cellStyle name="Normal 2 13 4 2 2 2 4 2" xfId="39673" xr:uid="{00000000-0005-0000-0000-0000214E0000}"/>
    <cellStyle name="Normal 2 13 4 2 2 2 5" xfId="9590" xr:uid="{00000000-0005-0000-0000-0000224E0000}"/>
    <cellStyle name="Normal 2 13 4 2 2 2 5 2" xfId="32233" xr:uid="{00000000-0005-0000-0000-0000234E0000}"/>
    <cellStyle name="Normal 2 13 4 2 2 2 6" xfId="24792" xr:uid="{00000000-0005-0000-0000-0000244E0000}"/>
    <cellStyle name="Normal 2 13 4 2 2 3" xfId="3065" xr:uid="{00000000-0005-0000-0000-0000254E0000}"/>
    <cellStyle name="Normal 2 13 4 2 2 3 2" xfId="6786" xr:uid="{00000000-0005-0000-0000-0000264E0000}"/>
    <cellStyle name="Normal 2 13 4 2 2 3 2 2" xfId="21670" xr:uid="{00000000-0005-0000-0000-0000274E0000}"/>
    <cellStyle name="Normal 2 13 4 2 2 3 2 2 2" xfId="44313" xr:uid="{00000000-0005-0000-0000-0000284E0000}"/>
    <cellStyle name="Normal 2 13 4 2 2 3 2 3" xfId="14230" xr:uid="{00000000-0005-0000-0000-0000294E0000}"/>
    <cellStyle name="Normal 2 13 4 2 2 3 2 3 2" xfId="36873" xr:uid="{00000000-0005-0000-0000-00002A4E0000}"/>
    <cellStyle name="Normal 2 13 4 2 2 3 2 4" xfId="29432" xr:uid="{00000000-0005-0000-0000-00002B4E0000}"/>
    <cellStyle name="Normal 2 13 4 2 2 3 3" xfId="17952" xr:uid="{00000000-0005-0000-0000-00002C4E0000}"/>
    <cellStyle name="Normal 2 13 4 2 2 3 3 2" xfId="40595" xr:uid="{00000000-0005-0000-0000-00002D4E0000}"/>
    <cellStyle name="Normal 2 13 4 2 2 3 4" xfId="10512" xr:uid="{00000000-0005-0000-0000-00002E4E0000}"/>
    <cellStyle name="Normal 2 13 4 2 2 3 4 2" xfId="33155" xr:uid="{00000000-0005-0000-0000-00002F4E0000}"/>
    <cellStyle name="Normal 2 13 4 2 2 3 5" xfId="25714" xr:uid="{00000000-0005-0000-0000-0000304E0000}"/>
    <cellStyle name="Normal 2 13 4 2 2 4" xfId="4939" xr:uid="{00000000-0005-0000-0000-0000314E0000}"/>
    <cellStyle name="Normal 2 13 4 2 2 4 2" xfId="19823" xr:uid="{00000000-0005-0000-0000-0000324E0000}"/>
    <cellStyle name="Normal 2 13 4 2 2 4 2 2" xfId="42466" xr:uid="{00000000-0005-0000-0000-0000334E0000}"/>
    <cellStyle name="Normal 2 13 4 2 2 4 3" xfId="12383" xr:uid="{00000000-0005-0000-0000-0000344E0000}"/>
    <cellStyle name="Normal 2 13 4 2 2 4 3 2" xfId="35026" xr:uid="{00000000-0005-0000-0000-0000354E0000}"/>
    <cellStyle name="Normal 2 13 4 2 2 4 4" xfId="27585" xr:uid="{00000000-0005-0000-0000-0000364E0000}"/>
    <cellStyle name="Normal 2 13 4 2 2 5" xfId="16105" xr:uid="{00000000-0005-0000-0000-0000374E0000}"/>
    <cellStyle name="Normal 2 13 4 2 2 5 2" xfId="38748" xr:uid="{00000000-0005-0000-0000-0000384E0000}"/>
    <cellStyle name="Normal 2 13 4 2 2 6" xfId="8665" xr:uid="{00000000-0005-0000-0000-0000394E0000}"/>
    <cellStyle name="Normal 2 13 4 2 2 6 2" xfId="31308" xr:uid="{00000000-0005-0000-0000-00003A4E0000}"/>
    <cellStyle name="Normal 2 13 4 2 2 7" xfId="23867" xr:uid="{00000000-0005-0000-0000-00003B4E0000}"/>
    <cellStyle name="Normal 2 13 4 2 3" xfId="1678" xr:uid="{00000000-0005-0000-0000-00003C4E0000}"/>
    <cellStyle name="Normal 2 13 4 2 3 2" xfId="3528" xr:uid="{00000000-0005-0000-0000-00003D4E0000}"/>
    <cellStyle name="Normal 2 13 4 2 3 2 2" xfId="7249" xr:uid="{00000000-0005-0000-0000-00003E4E0000}"/>
    <cellStyle name="Normal 2 13 4 2 3 2 2 2" xfId="22133" xr:uid="{00000000-0005-0000-0000-00003F4E0000}"/>
    <cellStyle name="Normal 2 13 4 2 3 2 2 2 2" xfId="44776" xr:uid="{00000000-0005-0000-0000-0000404E0000}"/>
    <cellStyle name="Normal 2 13 4 2 3 2 2 3" xfId="14693" xr:uid="{00000000-0005-0000-0000-0000414E0000}"/>
    <cellStyle name="Normal 2 13 4 2 3 2 2 3 2" xfId="37336" xr:uid="{00000000-0005-0000-0000-0000424E0000}"/>
    <cellStyle name="Normal 2 13 4 2 3 2 2 4" xfId="29895" xr:uid="{00000000-0005-0000-0000-0000434E0000}"/>
    <cellStyle name="Normal 2 13 4 2 3 2 3" xfId="18415" xr:uid="{00000000-0005-0000-0000-0000444E0000}"/>
    <cellStyle name="Normal 2 13 4 2 3 2 3 2" xfId="41058" xr:uid="{00000000-0005-0000-0000-0000454E0000}"/>
    <cellStyle name="Normal 2 13 4 2 3 2 4" xfId="10975" xr:uid="{00000000-0005-0000-0000-0000464E0000}"/>
    <cellStyle name="Normal 2 13 4 2 3 2 4 2" xfId="33618" xr:uid="{00000000-0005-0000-0000-0000474E0000}"/>
    <cellStyle name="Normal 2 13 4 2 3 2 5" xfId="26177" xr:uid="{00000000-0005-0000-0000-0000484E0000}"/>
    <cellStyle name="Normal 2 13 4 2 3 3" xfId="5402" xr:uid="{00000000-0005-0000-0000-0000494E0000}"/>
    <cellStyle name="Normal 2 13 4 2 3 3 2" xfId="20286" xr:uid="{00000000-0005-0000-0000-00004A4E0000}"/>
    <cellStyle name="Normal 2 13 4 2 3 3 2 2" xfId="42929" xr:uid="{00000000-0005-0000-0000-00004B4E0000}"/>
    <cellStyle name="Normal 2 13 4 2 3 3 3" xfId="12846" xr:uid="{00000000-0005-0000-0000-00004C4E0000}"/>
    <cellStyle name="Normal 2 13 4 2 3 3 3 2" xfId="35489" xr:uid="{00000000-0005-0000-0000-00004D4E0000}"/>
    <cellStyle name="Normal 2 13 4 2 3 3 4" xfId="28048" xr:uid="{00000000-0005-0000-0000-00004E4E0000}"/>
    <cellStyle name="Normal 2 13 4 2 3 4" xfId="16568" xr:uid="{00000000-0005-0000-0000-00004F4E0000}"/>
    <cellStyle name="Normal 2 13 4 2 3 4 2" xfId="39211" xr:uid="{00000000-0005-0000-0000-0000504E0000}"/>
    <cellStyle name="Normal 2 13 4 2 3 5" xfId="9128" xr:uid="{00000000-0005-0000-0000-0000514E0000}"/>
    <cellStyle name="Normal 2 13 4 2 3 5 2" xfId="31771" xr:uid="{00000000-0005-0000-0000-0000524E0000}"/>
    <cellStyle name="Normal 2 13 4 2 3 6" xfId="24330" xr:uid="{00000000-0005-0000-0000-0000534E0000}"/>
    <cellStyle name="Normal 2 13 4 2 4" xfId="2603" xr:uid="{00000000-0005-0000-0000-0000544E0000}"/>
    <cellStyle name="Normal 2 13 4 2 4 2" xfId="6324" xr:uid="{00000000-0005-0000-0000-0000554E0000}"/>
    <cellStyle name="Normal 2 13 4 2 4 2 2" xfId="21208" xr:uid="{00000000-0005-0000-0000-0000564E0000}"/>
    <cellStyle name="Normal 2 13 4 2 4 2 2 2" xfId="43851" xr:uid="{00000000-0005-0000-0000-0000574E0000}"/>
    <cellStyle name="Normal 2 13 4 2 4 2 3" xfId="13768" xr:uid="{00000000-0005-0000-0000-0000584E0000}"/>
    <cellStyle name="Normal 2 13 4 2 4 2 3 2" xfId="36411" xr:uid="{00000000-0005-0000-0000-0000594E0000}"/>
    <cellStyle name="Normal 2 13 4 2 4 2 4" xfId="28970" xr:uid="{00000000-0005-0000-0000-00005A4E0000}"/>
    <cellStyle name="Normal 2 13 4 2 4 3" xfId="17490" xr:uid="{00000000-0005-0000-0000-00005B4E0000}"/>
    <cellStyle name="Normal 2 13 4 2 4 3 2" xfId="40133" xr:uid="{00000000-0005-0000-0000-00005C4E0000}"/>
    <cellStyle name="Normal 2 13 4 2 4 4" xfId="10050" xr:uid="{00000000-0005-0000-0000-00005D4E0000}"/>
    <cellStyle name="Normal 2 13 4 2 4 4 2" xfId="32693" xr:uid="{00000000-0005-0000-0000-00005E4E0000}"/>
    <cellStyle name="Normal 2 13 4 2 4 5" xfId="25252" xr:uid="{00000000-0005-0000-0000-00005F4E0000}"/>
    <cellStyle name="Normal 2 13 4 2 5" xfId="4477" xr:uid="{00000000-0005-0000-0000-0000604E0000}"/>
    <cellStyle name="Normal 2 13 4 2 5 2" xfId="19361" xr:uid="{00000000-0005-0000-0000-0000614E0000}"/>
    <cellStyle name="Normal 2 13 4 2 5 2 2" xfId="42004" xr:uid="{00000000-0005-0000-0000-0000624E0000}"/>
    <cellStyle name="Normal 2 13 4 2 5 3" xfId="11921" xr:uid="{00000000-0005-0000-0000-0000634E0000}"/>
    <cellStyle name="Normal 2 13 4 2 5 3 2" xfId="34564" xr:uid="{00000000-0005-0000-0000-0000644E0000}"/>
    <cellStyle name="Normal 2 13 4 2 5 4" xfId="27123" xr:uid="{00000000-0005-0000-0000-0000654E0000}"/>
    <cellStyle name="Normal 2 13 4 2 6" xfId="15643" xr:uid="{00000000-0005-0000-0000-0000664E0000}"/>
    <cellStyle name="Normal 2 13 4 2 6 2" xfId="38286" xr:uid="{00000000-0005-0000-0000-0000674E0000}"/>
    <cellStyle name="Normal 2 13 4 2 7" xfId="8203" xr:uid="{00000000-0005-0000-0000-0000684E0000}"/>
    <cellStyle name="Normal 2 13 4 2 7 2" xfId="30846" xr:uid="{00000000-0005-0000-0000-0000694E0000}"/>
    <cellStyle name="Normal 2 13 4 2 8" xfId="23405" xr:uid="{00000000-0005-0000-0000-00006A4E0000}"/>
    <cellStyle name="Normal 2 13 4 3" xfId="1001" xr:uid="{00000000-0005-0000-0000-00006B4E0000}"/>
    <cellStyle name="Normal 2 13 4 3 2" xfId="1929" xr:uid="{00000000-0005-0000-0000-00006C4E0000}"/>
    <cellStyle name="Normal 2 13 4 3 2 2" xfId="3779" xr:uid="{00000000-0005-0000-0000-00006D4E0000}"/>
    <cellStyle name="Normal 2 13 4 3 2 2 2" xfId="7500" xr:uid="{00000000-0005-0000-0000-00006E4E0000}"/>
    <cellStyle name="Normal 2 13 4 3 2 2 2 2" xfId="22384" xr:uid="{00000000-0005-0000-0000-00006F4E0000}"/>
    <cellStyle name="Normal 2 13 4 3 2 2 2 2 2" xfId="45027" xr:uid="{00000000-0005-0000-0000-0000704E0000}"/>
    <cellStyle name="Normal 2 13 4 3 2 2 2 3" xfId="14944" xr:uid="{00000000-0005-0000-0000-0000714E0000}"/>
    <cellStyle name="Normal 2 13 4 3 2 2 2 3 2" xfId="37587" xr:uid="{00000000-0005-0000-0000-0000724E0000}"/>
    <cellStyle name="Normal 2 13 4 3 2 2 2 4" xfId="30146" xr:uid="{00000000-0005-0000-0000-0000734E0000}"/>
    <cellStyle name="Normal 2 13 4 3 2 2 3" xfId="18666" xr:uid="{00000000-0005-0000-0000-0000744E0000}"/>
    <cellStyle name="Normal 2 13 4 3 2 2 3 2" xfId="41309" xr:uid="{00000000-0005-0000-0000-0000754E0000}"/>
    <cellStyle name="Normal 2 13 4 3 2 2 4" xfId="11226" xr:uid="{00000000-0005-0000-0000-0000764E0000}"/>
    <cellStyle name="Normal 2 13 4 3 2 2 4 2" xfId="33869" xr:uid="{00000000-0005-0000-0000-0000774E0000}"/>
    <cellStyle name="Normal 2 13 4 3 2 2 5" xfId="26428" xr:uid="{00000000-0005-0000-0000-0000784E0000}"/>
    <cellStyle name="Normal 2 13 4 3 2 3" xfId="5653" xr:uid="{00000000-0005-0000-0000-0000794E0000}"/>
    <cellStyle name="Normal 2 13 4 3 2 3 2" xfId="20537" xr:uid="{00000000-0005-0000-0000-00007A4E0000}"/>
    <cellStyle name="Normal 2 13 4 3 2 3 2 2" xfId="43180" xr:uid="{00000000-0005-0000-0000-00007B4E0000}"/>
    <cellStyle name="Normal 2 13 4 3 2 3 3" xfId="13097" xr:uid="{00000000-0005-0000-0000-00007C4E0000}"/>
    <cellStyle name="Normal 2 13 4 3 2 3 3 2" xfId="35740" xr:uid="{00000000-0005-0000-0000-00007D4E0000}"/>
    <cellStyle name="Normal 2 13 4 3 2 3 4" xfId="28299" xr:uid="{00000000-0005-0000-0000-00007E4E0000}"/>
    <cellStyle name="Normal 2 13 4 3 2 4" xfId="16819" xr:uid="{00000000-0005-0000-0000-00007F4E0000}"/>
    <cellStyle name="Normal 2 13 4 3 2 4 2" xfId="39462" xr:uid="{00000000-0005-0000-0000-0000804E0000}"/>
    <cellStyle name="Normal 2 13 4 3 2 5" xfId="9379" xr:uid="{00000000-0005-0000-0000-0000814E0000}"/>
    <cellStyle name="Normal 2 13 4 3 2 5 2" xfId="32022" xr:uid="{00000000-0005-0000-0000-0000824E0000}"/>
    <cellStyle name="Normal 2 13 4 3 2 6" xfId="24581" xr:uid="{00000000-0005-0000-0000-0000834E0000}"/>
    <cellStyle name="Normal 2 13 4 3 3" xfId="2854" xr:uid="{00000000-0005-0000-0000-0000844E0000}"/>
    <cellStyle name="Normal 2 13 4 3 3 2" xfId="6575" xr:uid="{00000000-0005-0000-0000-0000854E0000}"/>
    <cellStyle name="Normal 2 13 4 3 3 2 2" xfId="21459" xr:uid="{00000000-0005-0000-0000-0000864E0000}"/>
    <cellStyle name="Normal 2 13 4 3 3 2 2 2" xfId="44102" xr:uid="{00000000-0005-0000-0000-0000874E0000}"/>
    <cellStyle name="Normal 2 13 4 3 3 2 3" xfId="14019" xr:uid="{00000000-0005-0000-0000-0000884E0000}"/>
    <cellStyle name="Normal 2 13 4 3 3 2 3 2" xfId="36662" xr:uid="{00000000-0005-0000-0000-0000894E0000}"/>
    <cellStyle name="Normal 2 13 4 3 3 2 4" xfId="29221" xr:uid="{00000000-0005-0000-0000-00008A4E0000}"/>
    <cellStyle name="Normal 2 13 4 3 3 3" xfId="17741" xr:uid="{00000000-0005-0000-0000-00008B4E0000}"/>
    <cellStyle name="Normal 2 13 4 3 3 3 2" xfId="40384" xr:uid="{00000000-0005-0000-0000-00008C4E0000}"/>
    <cellStyle name="Normal 2 13 4 3 3 4" xfId="10301" xr:uid="{00000000-0005-0000-0000-00008D4E0000}"/>
    <cellStyle name="Normal 2 13 4 3 3 4 2" xfId="32944" xr:uid="{00000000-0005-0000-0000-00008E4E0000}"/>
    <cellStyle name="Normal 2 13 4 3 3 5" xfId="25503" xr:uid="{00000000-0005-0000-0000-00008F4E0000}"/>
    <cellStyle name="Normal 2 13 4 3 4" xfId="4728" xr:uid="{00000000-0005-0000-0000-0000904E0000}"/>
    <cellStyle name="Normal 2 13 4 3 4 2" xfId="19612" xr:uid="{00000000-0005-0000-0000-0000914E0000}"/>
    <cellStyle name="Normal 2 13 4 3 4 2 2" xfId="42255" xr:uid="{00000000-0005-0000-0000-0000924E0000}"/>
    <cellStyle name="Normal 2 13 4 3 4 3" xfId="12172" xr:uid="{00000000-0005-0000-0000-0000934E0000}"/>
    <cellStyle name="Normal 2 13 4 3 4 3 2" xfId="34815" xr:uid="{00000000-0005-0000-0000-0000944E0000}"/>
    <cellStyle name="Normal 2 13 4 3 4 4" xfId="27374" xr:uid="{00000000-0005-0000-0000-0000954E0000}"/>
    <cellStyle name="Normal 2 13 4 3 5" xfId="15894" xr:uid="{00000000-0005-0000-0000-0000964E0000}"/>
    <cellStyle name="Normal 2 13 4 3 5 2" xfId="38537" xr:uid="{00000000-0005-0000-0000-0000974E0000}"/>
    <cellStyle name="Normal 2 13 4 3 6" xfId="8454" xr:uid="{00000000-0005-0000-0000-0000984E0000}"/>
    <cellStyle name="Normal 2 13 4 3 6 2" xfId="31097" xr:uid="{00000000-0005-0000-0000-0000994E0000}"/>
    <cellStyle name="Normal 2 13 4 3 7" xfId="23656" xr:uid="{00000000-0005-0000-0000-00009A4E0000}"/>
    <cellStyle name="Normal 2 13 4 4" xfId="1467" xr:uid="{00000000-0005-0000-0000-00009B4E0000}"/>
    <cellStyle name="Normal 2 13 4 4 2" xfId="3317" xr:uid="{00000000-0005-0000-0000-00009C4E0000}"/>
    <cellStyle name="Normal 2 13 4 4 2 2" xfId="7038" xr:uid="{00000000-0005-0000-0000-00009D4E0000}"/>
    <cellStyle name="Normal 2 13 4 4 2 2 2" xfId="21922" xr:uid="{00000000-0005-0000-0000-00009E4E0000}"/>
    <cellStyle name="Normal 2 13 4 4 2 2 2 2" xfId="44565" xr:uid="{00000000-0005-0000-0000-00009F4E0000}"/>
    <cellStyle name="Normal 2 13 4 4 2 2 3" xfId="14482" xr:uid="{00000000-0005-0000-0000-0000A04E0000}"/>
    <cellStyle name="Normal 2 13 4 4 2 2 3 2" xfId="37125" xr:uid="{00000000-0005-0000-0000-0000A14E0000}"/>
    <cellStyle name="Normal 2 13 4 4 2 2 4" xfId="29684" xr:uid="{00000000-0005-0000-0000-0000A24E0000}"/>
    <cellStyle name="Normal 2 13 4 4 2 3" xfId="18204" xr:uid="{00000000-0005-0000-0000-0000A34E0000}"/>
    <cellStyle name="Normal 2 13 4 4 2 3 2" xfId="40847" xr:uid="{00000000-0005-0000-0000-0000A44E0000}"/>
    <cellStyle name="Normal 2 13 4 4 2 4" xfId="10764" xr:uid="{00000000-0005-0000-0000-0000A54E0000}"/>
    <cellStyle name="Normal 2 13 4 4 2 4 2" xfId="33407" xr:uid="{00000000-0005-0000-0000-0000A64E0000}"/>
    <cellStyle name="Normal 2 13 4 4 2 5" xfId="25966" xr:uid="{00000000-0005-0000-0000-0000A74E0000}"/>
    <cellStyle name="Normal 2 13 4 4 3" xfId="5191" xr:uid="{00000000-0005-0000-0000-0000A84E0000}"/>
    <cellStyle name="Normal 2 13 4 4 3 2" xfId="20075" xr:uid="{00000000-0005-0000-0000-0000A94E0000}"/>
    <cellStyle name="Normal 2 13 4 4 3 2 2" xfId="42718" xr:uid="{00000000-0005-0000-0000-0000AA4E0000}"/>
    <cellStyle name="Normal 2 13 4 4 3 3" xfId="12635" xr:uid="{00000000-0005-0000-0000-0000AB4E0000}"/>
    <cellStyle name="Normal 2 13 4 4 3 3 2" xfId="35278" xr:uid="{00000000-0005-0000-0000-0000AC4E0000}"/>
    <cellStyle name="Normal 2 13 4 4 3 4" xfId="27837" xr:uid="{00000000-0005-0000-0000-0000AD4E0000}"/>
    <cellStyle name="Normal 2 13 4 4 4" xfId="16357" xr:uid="{00000000-0005-0000-0000-0000AE4E0000}"/>
    <cellStyle name="Normal 2 13 4 4 4 2" xfId="39000" xr:uid="{00000000-0005-0000-0000-0000AF4E0000}"/>
    <cellStyle name="Normal 2 13 4 4 5" xfId="8917" xr:uid="{00000000-0005-0000-0000-0000B04E0000}"/>
    <cellStyle name="Normal 2 13 4 4 5 2" xfId="31560" xr:uid="{00000000-0005-0000-0000-0000B14E0000}"/>
    <cellStyle name="Normal 2 13 4 4 6" xfId="24119" xr:uid="{00000000-0005-0000-0000-0000B24E0000}"/>
    <cellStyle name="Normal 2 13 4 5" xfId="2392" xr:uid="{00000000-0005-0000-0000-0000B34E0000}"/>
    <cellStyle name="Normal 2 13 4 5 2" xfId="6113" xr:uid="{00000000-0005-0000-0000-0000B44E0000}"/>
    <cellStyle name="Normal 2 13 4 5 2 2" xfId="20997" xr:uid="{00000000-0005-0000-0000-0000B54E0000}"/>
    <cellStyle name="Normal 2 13 4 5 2 2 2" xfId="43640" xr:uid="{00000000-0005-0000-0000-0000B64E0000}"/>
    <cellStyle name="Normal 2 13 4 5 2 3" xfId="13557" xr:uid="{00000000-0005-0000-0000-0000B74E0000}"/>
    <cellStyle name="Normal 2 13 4 5 2 3 2" xfId="36200" xr:uid="{00000000-0005-0000-0000-0000B84E0000}"/>
    <cellStyle name="Normal 2 13 4 5 2 4" xfId="28759" xr:uid="{00000000-0005-0000-0000-0000B94E0000}"/>
    <cellStyle name="Normal 2 13 4 5 3" xfId="17279" xr:uid="{00000000-0005-0000-0000-0000BA4E0000}"/>
    <cellStyle name="Normal 2 13 4 5 3 2" xfId="39922" xr:uid="{00000000-0005-0000-0000-0000BB4E0000}"/>
    <cellStyle name="Normal 2 13 4 5 4" xfId="9839" xr:uid="{00000000-0005-0000-0000-0000BC4E0000}"/>
    <cellStyle name="Normal 2 13 4 5 4 2" xfId="32482" xr:uid="{00000000-0005-0000-0000-0000BD4E0000}"/>
    <cellStyle name="Normal 2 13 4 5 5" xfId="25041" xr:uid="{00000000-0005-0000-0000-0000BE4E0000}"/>
    <cellStyle name="Normal 2 13 4 6" xfId="4266" xr:uid="{00000000-0005-0000-0000-0000BF4E0000}"/>
    <cellStyle name="Normal 2 13 4 6 2" xfId="19150" xr:uid="{00000000-0005-0000-0000-0000C04E0000}"/>
    <cellStyle name="Normal 2 13 4 6 2 2" xfId="41793" xr:uid="{00000000-0005-0000-0000-0000C14E0000}"/>
    <cellStyle name="Normal 2 13 4 6 3" xfId="11710" xr:uid="{00000000-0005-0000-0000-0000C24E0000}"/>
    <cellStyle name="Normal 2 13 4 6 3 2" xfId="34353" xr:uid="{00000000-0005-0000-0000-0000C34E0000}"/>
    <cellStyle name="Normal 2 13 4 6 4" xfId="26912" xr:uid="{00000000-0005-0000-0000-0000C44E0000}"/>
    <cellStyle name="Normal 2 13 4 7" xfId="15432" xr:uid="{00000000-0005-0000-0000-0000C54E0000}"/>
    <cellStyle name="Normal 2 13 4 7 2" xfId="38075" xr:uid="{00000000-0005-0000-0000-0000C64E0000}"/>
    <cellStyle name="Normal 2 13 4 8" xfId="7992" xr:uid="{00000000-0005-0000-0000-0000C74E0000}"/>
    <cellStyle name="Normal 2 13 4 8 2" xfId="30635" xr:uid="{00000000-0005-0000-0000-0000C84E0000}"/>
    <cellStyle name="Normal 2 13 4 9" xfId="23195" xr:uid="{00000000-0005-0000-0000-0000C94E0000}"/>
    <cellStyle name="Normal 2 13 5" xfId="641" xr:uid="{00000000-0005-0000-0000-0000CA4E0000}"/>
    <cellStyle name="Normal 2 13 5 2" xfId="1107" xr:uid="{00000000-0005-0000-0000-0000CB4E0000}"/>
    <cellStyle name="Normal 2 13 5 2 2" xfId="2035" xr:uid="{00000000-0005-0000-0000-0000CC4E0000}"/>
    <cellStyle name="Normal 2 13 5 2 2 2" xfId="3885" xr:uid="{00000000-0005-0000-0000-0000CD4E0000}"/>
    <cellStyle name="Normal 2 13 5 2 2 2 2" xfId="7606" xr:uid="{00000000-0005-0000-0000-0000CE4E0000}"/>
    <cellStyle name="Normal 2 13 5 2 2 2 2 2" xfId="22490" xr:uid="{00000000-0005-0000-0000-0000CF4E0000}"/>
    <cellStyle name="Normal 2 13 5 2 2 2 2 2 2" xfId="45133" xr:uid="{00000000-0005-0000-0000-0000D04E0000}"/>
    <cellStyle name="Normal 2 13 5 2 2 2 2 3" xfId="15050" xr:uid="{00000000-0005-0000-0000-0000D14E0000}"/>
    <cellStyle name="Normal 2 13 5 2 2 2 2 3 2" xfId="37693" xr:uid="{00000000-0005-0000-0000-0000D24E0000}"/>
    <cellStyle name="Normal 2 13 5 2 2 2 2 4" xfId="30252" xr:uid="{00000000-0005-0000-0000-0000D34E0000}"/>
    <cellStyle name="Normal 2 13 5 2 2 2 3" xfId="18772" xr:uid="{00000000-0005-0000-0000-0000D44E0000}"/>
    <cellStyle name="Normal 2 13 5 2 2 2 3 2" xfId="41415" xr:uid="{00000000-0005-0000-0000-0000D54E0000}"/>
    <cellStyle name="Normal 2 13 5 2 2 2 4" xfId="11332" xr:uid="{00000000-0005-0000-0000-0000D64E0000}"/>
    <cellStyle name="Normal 2 13 5 2 2 2 4 2" xfId="33975" xr:uid="{00000000-0005-0000-0000-0000D74E0000}"/>
    <cellStyle name="Normal 2 13 5 2 2 2 5" xfId="26534" xr:uid="{00000000-0005-0000-0000-0000D84E0000}"/>
    <cellStyle name="Normal 2 13 5 2 2 3" xfId="5759" xr:uid="{00000000-0005-0000-0000-0000D94E0000}"/>
    <cellStyle name="Normal 2 13 5 2 2 3 2" xfId="20643" xr:uid="{00000000-0005-0000-0000-0000DA4E0000}"/>
    <cellStyle name="Normal 2 13 5 2 2 3 2 2" xfId="43286" xr:uid="{00000000-0005-0000-0000-0000DB4E0000}"/>
    <cellStyle name="Normal 2 13 5 2 2 3 3" xfId="13203" xr:uid="{00000000-0005-0000-0000-0000DC4E0000}"/>
    <cellStyle name="Normal 2 13 5 2 2 3 3 2" xfId="35846" xr:uid="{00000000-0005-0000-0000-0000DD4E0000}"/>
    <cellStyle name="Normal 2 13 5 2 2 3 4" xfId="28405" xr:uid="{00000000-0005-0000-0000-0000DE4E0000}"/>
    <cellStyle name="Normal 2 13 5 2 2 4" xfId="16925" xr:uid="{00000000-0005-0000-0000-0000DF4E0000}"/>
    <cellStyle name="Normal 2 13 5 2 2 4 2" xfId="39568" xr:uid="{00000000-0005-0000-0000-0000E04E0000}"/>
    <cellStyle name="Normal 2 13 5 2 2 5" xfId="9485" xr:uid="{00000000-0005-0000-0000-0000E14E0000}"/>
    <cellStyle name="Normal 2 13 5 2 2 5 2" xfId="32128" xr:uid="{00000000-0005-0000-0000-0000E24E0000}"/>
    <cellStyle name="Normal 2 13 5 2 2 6" xfId="24687" xr:uid="{00000000-0005-0000-0000-0000E34E0000}"/>
    <cellStyle name="Normal 2 13 5 2 3" xfId="2960" xr:uid="{00000000-0005-0000-0000-0000E44E0000}"/>
    <cellStyle name="Normal 2 13 5 2 3 2" xfId="6681" xr:uid="{00000000-0005-0000-0000-0000E54E0000}"/>
    <cellStyle name="Normal 2 13 5 2 3 2 2" xfId="21565" xr:uid="{00000000-0005-0000-0000-0000E64E0000}"/>
    <cellStyle name="Normal 2 13 5 2 3 2 2 2" xfId="44208" xr:uid="{00000000-0005-0000-0000-0000E74E0000}"/>
    <cellStyle name="Normal 2 13 5 2 3 2 3" xfId="14125" xr:uid="{00000000-0005-0000-0000-0000E84E0000}"/>
    <cellStyle name="Normal 2 13 5 2 3 2 3 2" xfId="36768" xr:uid="{00000000-0005-0000-0000-0000E94E0000}"/>
    <cellStyle name="Normal 2 13 5 2 3 2 4" xfId="29327" xr:uid="{00000000-0005-0000-0000-0000EA4E0000}"/>
    <cellStyle name="Normal 2 13 5 2 3 3" xfId="17847" xr:uid="{00000000-0005-0000-0000-0000EB4E0000}"/>
    <cellStyle name="Normal 2 13 5 2 3 3 2" xfId="40490" xr:uid="{00000000-0005-0000-0000-0000EC4E0000}"/>
    <cellStyle name="Normal 2 13 5 2 3 4" xfId="10407" xr:uid="{00000000-0005-0000-0000-0000ED4E0000}"/>
    <cellStyle name="Normal 2 13 5 2 3 4 2" xfId="33050" xr:uid="{00000000-0005-0000-0000-0000EE4E0000}"/>
    <cellStyle name="Normal 2 13 5 2 3 5" xfId="25609" xr:uid="{00000000-0005-0000-0000-0000EF4E0000}"/>
    <cellStyle name="Normal 2 13 5 2 4" xfId="4834" xr:uid="{00000000-0005-0000-0000-0000F04E0000}"/>
    <cellStyle name="Normal 2 13 5 2 4 2" xfId="19718" xr:uid="{00000000-0005-0000-0000-0000F14E0000}"/>
    <cellStyle name="Normal 2 13 5 2 4 2 2" xfId="42361" xr:uid="{00000000-0005-0000-0000-0000F24E0000}"/>
    <cellStyle name="Normal 2 13 5 2 4 3" xfId="12278" xr:uid="{00000000-0005-0000-0000-0000F34E0000}"/>
    <cellStyle name="Normal 2 13 5 2 4 3 2" xfId="34921" xr:uid="{00000000-0005-0000-0000-0000F44E0000}"/>
    <cellStyle name="Normal 2 13 5 2 4 4" xfId="27480" xr:uid="{00000000-0005-0000-0000-0000F54E0000}"/>
    <cellStyle name="Normal 2 13 5 2 5" xfId="16000" xr:uid="{00000000-0005-0000-0000-0000F64E0000}"/>
    <cellStyle name="Normal 2 13 5 2 5 2" xfId="38643" xr:uid="{00000000-0005-0000-0000-0000F74E0000}"/>
    <cellStyle name="Normal 2 13 5 2 6" xfId="8560" xr:uid="{00000000-0005-0000-0000-0000F84E0000}"/>
    <cellStyle name="Normal 2 13 5 2 6 2" xfId="31203" xr:uid="{00000000-0005-0000-0000-0000F94E0000}"/>
    <cellStyle name="Normal 2 13 5 2 7" xfId="23762" xr:uid="{00000000-0005-0000-0000-0000FA4E0000}"/>
    <cellStyle name="Normal 2 13 5 3" xfId="1573" xr:uid="{00000000-0005-0000-0000-0000FB4E0000}"/>
    <cellStyle name="Normal 2 13 5 3 2" xfId="3423" xr:uid="{00000000-0005-0000-0000-0000FC4E0000}"/>
    <cellStyle name="Normal 2 13 5 3 2 2" xfId="7144" xr:uid="{00000000-0005-0000-0000-0000FD4E0000}"/>
    <cellStyle name="Normal 2 13 5 3 2 2 2" xfId="22028" xr:uid="{00000000-0005-0000-0000-0000FE4E0000}"/>
    <cellStyle name="Normal 2 13 5 3 2 2 2 2" xfId="44671" xr:uid="{00000000-0005-0000-0000-0000FF4E0000}"/>
    <cellStyle name="Normal 2 13 5 3 2 2 3" xfId="14588" xr:uid="{00000000-0005-0000-0000-0000004F0000}"/>
    <cellStyle name="Normal 2 13 5 3 2 2 3 2" xfId="37231" xr:uid="{00000000-0005-0000-0000-0000014F0000}"/>
    <cellStyle name="Normal 2 13 5 3 2 2 4" xfId="29790" xr:uid="{00000000-0005-0000-0000-0000024F0000}"/>
    <cellStyle name="Normal 2 13 5 3 2 3" xfId="18310" xr:uid="{00000000-0005-0000-0000-0000034F0000}"/>
    <cellStyle name="Normal 2 13 5 3 2 3 2" xfId="40953" xr:uid="{00000000-0005-0000-0000-0000044F0000}"/>
    <cellStyle name="Normal 2 13 5 3 2 4" xfId="10870" xr:uid="{00000000-0005-0000-0000-0000054F0000}"/>
    <cellStyle name="Normal 2 13 5 3 2 4 2" xfId="33513" xr:uid="{00000000-0005-0000-0000-0000064F0000}"/>
    <cellStyle name="Normal 2 13 5 3 2 5" xfId="26072" xr:uid="{00000000-0005-0000-0000-0000074F0000}"/>
    <cellStyle name="Normal 2 13 5 3 3" xfId="5297" xr:uid="{00000000-0005-0000-0000-0000084F0000}"/>
    <cellStyle name="Normal 2 13 5 3 3 2" xfId="20181" xr:uid="{00000000-0005-0000-0000-0000094F0000}"/>
    <cellStyle name="Normal 2 13 5 3 3 2 2" xfId="42824" xr:uid="{00000000-0005-0000-0000-00000A4F0000}"/>
    <cellStyle name="Normal 2 13 5 3 3 3" xfId="12741" xr:uid="{00000000-0005-0000-0000-00000B4F0000}"/>
    <cellStyle name="Normal 2 13 5 3 3 3 2" xfId="35384" xr:uid="{00000000-0005-0000-0000-00000C4F0000}"/>
    <cellStyle name="Normal 2 13 5 3 3 4" xfId="27943" xr:uid="{00000000-0005-0000-0000-00000D4F0000}"/>
    <cellStyle name="Normal 2 13 5 3 4" xfId="16463" xr:uid="{00000000-0005-0000-0000-00000E4F0000}"/>
    <cellStyle name="Normal 2 13 5 3 4 2" xfId="39106" xr:uid="{00000000-0005-0000-0000-00000F4F0000}"/>
    <cellStyle name="Normal 2 13 5 3 5" xfId="9023" xr:uid="{00000000-0005-0000-0000-0000104F0000}"/>
    <cellStyle name="Normal 2 13 5 3 5 2" xfId="31666" xr:uid="{00000000-0005-0000-0000-0000114F0000}"/>
    <cellStyle name="Normal 2 13 5 3 6" xfId="24225" xr:uid="{00000000-0005-0000-0000-0000124F0000}"/>
    <cellStyle name="Normal 2 13 5 4" xfId="2498" xr:uid="{00000000-0005-0000-0000-0000134F0000}"/>
    <cellStyle name="Normal 2 13 5 4 2" xfId="6219" xr:uid="{00000000-0005-0000-0000-0000144F0000}"/>
    <cellStyle name="Normal 2 13 5 4 2 2" xfId="21103" xr:uid="{00000000-0005-0000-0000-0000154F0000}"/>
    <cellStyle name="Normal 2 13 5 4 2 2 2" xfId="43746" xr:uid="{00000000-0005-0000-0000-0000164F0000}"/>
    <cellStyle name="Normal 2 13 5 4 2 3" xfId="13663" xr:uid="{00000000-0005-0000-0000-0000174F0000}"/>
    <cellStyle name="Normal 2 13 5 4 2 3 2" xfId="36306" xr:uid="{00000000-0005-0000-0000-0000184F0000}"/>
    <cellStyle name="Normal 2 13 5 4 2 4" xfId="28865" xr:uid="{00000000-0005-0000-0000-0000194F0000}"/>
    <cellStyle name="Normal 2 13 5 4 3" xfId="17385" xr:uid="{00000000-0005-0000-0000-00001A4F0000}"/>
    <cellStyle name="Normal 2 13 5 4 3 2" xfId="40028" xr:uid="{00000000-0005-0000-0000-00001B4F0000}"/>
    <cellStyle name="Normal 2 13 5 4 4" xfId="9945" xr:uid="{00000000-0005-0000-0000-00001C4F0000}"/>
    <cellStyle name="Normal 2 13 5 4 4 2" xfId="32588" xr:uid="{00000000-0005-0000-0000-00001D4F0000}"/>
    <cellStyle name="Normal 2 13 5 4 5" xfId="25147" xr:uid="{00000000-0005-0000-0000-00001E4F0000}"/>
    <cellStyle name="Normal 2 13 5 5" xfId="4372" xr:uid="{00000000-0005-0000-0000-00001F4F0000}"/>
    <cellStyle name="Normal 2 13 5 5 2" xfId="19256" xr:uid="{00000000-0005-0000-0000-0000204F0000}"/>
    <cellStyle name="Normal 2 13 5 5 2 2" xfId="41899" xr:uid="{00000000-0005-0000-0000-0000214F0000}"/>
    <cellStyle name="Normal 2 13 5 5 3" xfId="11816" xr:uid="{00000000-0005-0000-0000-0000224F0000}"/>
    <cellStyle name="Normal 2 13 5 5 3 2" xfId="34459" xr:uid="{00000000-0005-0000-0000-0000234F0000}"/>
    <cellStyle name="Normal 2 13 5 5 4" xfId="27018" xr:uid="{00000000-0005-0000-0000-0000244F0000}"/>
    <cellStyle name="Normal 2 13 5 6" xfId="15538" xr:uid="{00000000-0005-0000-0000-0000254F0000}"/>
    <cellStyle name="Normal 2 13 5 6 2" xfId="38181" xr:uid="{00000000-0005-0000-0000-0000264F0000}"/>
    <cellStyle name="Normal 2 13 5 7" xfId="8098" xr:uid="{00000000-0005-0000-0000-0000274F0000}"/>
    <cellStyle name="Normal 2 13 5 7 2" xfId="30741" xr:uid="{00000000-0005-0000-0000-0000284F0000}"/>
    <cellStyle name="Normal 2 13 5 8" xfId="23300" xr:uid="{00000000-0005-0000-0000-0000294F0000}"/>
    <cellStyle name="Normal 2 13 6" xfId="896" xr:uid="{00000000-0005-0000-0000-00002A4F0000}"/>
    <cellStyle name="Normal 2 13 6 2" xfId="1824" xr:uid="{00000000-0005-0000-0000-00002B4F0000}"/>
    <cellStyle name="Normal 2 13 6 2 2" xfId="3674" xr:uid="{00000000-0005-0000-0000-00002C4F0000}"/>
    <cellStyle name="Normal 2 13 6 2 2 2" xfId="7395" xr:uid="{00000000-0005-0000-0000-00002D4F0000}"/>
    <cellStyle name="Normal 2 13 6 2 2 2 2" xfId="22279" xr:uid="{00000000-0005-0000-0000-00002E4F0000}"/>
    <cellStyle name="Normal 2 13 6 2 2 2 2 2" xfId="44922" xr:uid="{00000000-0005-0000-0000-00002F4F0000}"/>
    <cellStyle name="Normal 2 13 6 2 2 2 3" xfId="14839" xr:uid="{00000000-0005-0000-0000-0000304F0000}"/>
    <cellStyle name="Normal 2 13 6 2 2 2 3 2" xfId="37482" xr:uid="{00000000-0005-0000-0000-0000314F0000}"/>
    <cellStyle name="Normal 2 13 6 2 2 2 4" xfId="30041" xr:uid="{00000000-0005-0000-0000-0000324F0000}"/>
    <cellStyle name="Normal 2 13 6 2 2 3" xfId="18561" xr:uid="{00000000-0005-0000-0000-0000334F0000}"/>
    <cellStyle name="Normal 2 13 6 2 2 3 2" xfId="41204" xr:uid="{00000000-0005-0000-0000-0000344F0000}"/>
    <cellStyle name="Normal 2 13 6 2 2 4" xfId="11121" xr:uid="{00000000-0005-0000-0000-0000354F0000}"/>
    <cellStyle name="Normal 2 13 6 2 2 4 2" xfId="33764" xr:uid="{00000000-0005-0000-0000-0000364F0000}"/>
    <cellStyle name="Normal 2 13 6 2 2 5" xfId="26323" xr:uid="{00000000-0005-0000-0000-0000374F0000}"/>
    <cellStyle name="Normal 2 13 6 2 3" xfId="5548" xr:uid="{00000000-0005-0000-0000-0000384F0000}"/>
    <cellStyle name="Normal 2 13 6 2 3 2" xfId="20432" xr:uid="{00000000-0005-0000-0000-0000394F0000}"/>
    <cellStyle name="Normal 2 13 6 2 3 2 2" xfId="43075" xr:uid="{00000000-0005-0000-0000-00003A4F0000}"/>
    <cellStyle name="Normal 2 13 6 2 3 3" xfId="12992" xr:uid="{00000000-0005-0000-0000-00003B4F0000}"/>
    <cellStyle name="Normal 2 13 6 2 3 3 2" xfId="35635" xr:uid="{00000000-0005-0000-0000-00003C4F0000}"/>
    <cellStyle name="Normal 2 13 6 2 3 4" xfId="28194" xr:uid="{00000000-0005-0000-0000-00003D4F0000}"/>
    <cellStyle name="Normal 2 13 6 2 4" xfId="16714" xr:uid="{00000000-0005-0000-0000-00003E4F0000}"/>
    <cellStyle name="Normal 2 13 6 2 4 2" xfId="39357" xr:uid="{00000000-0005-0000-0000-00003F4F0000}"/>
    <cellStyle name="Normal 2 13 6 2 5" xfId="9274" xr:uid="{00000000-0005-0000-0000-0000404F0000}"/>
    <cellStyle name="Normal 2 13 6 2 5 2" xfId="31917" xr:uid="{00000000-0005-0000-0000-0000414F0000}"/>
    <cellStyle name="Normal 2 13 6 2 6" xfId="24476" xr:uid="{00000000-0005-0000-0000-0000424F0000}"/>
    <cellStyle name="Normal 2 13 6 3" xfId="2749" xr:uid="{00000000-0005-0000-0000-0000434F0000}"/>
    <cellStyle name="Normal 2 13 6 3 2" xfId="6470" xr:uid="{00000000-0005-0000-0000-0000444F0000}"/>
    <cellStyle name="Normal 2 13 6 3 2 2" xfId="21354" xr:uid="{00000000-0005-0000-0000-0000454F0000}"/>
    <cellStyle name="Normal 2 13 6 3 2 2 2" xfId="43997" xr:uid="{00000000-0005-0000-0000-0000464F0000}"/>
    <cellStyle name="Normal 2 13 6 3 2 3" xfId="13914" xr:uid="{00000000-0005-0000-0000-0000474F0000}"/>
    <cellStyle name="Normal 2 13 6 3 2 3 2" xfId="36557" xr:uid="{00000000-0005-0000-0000-0000484F0000}"/>
    <cellStyle name="Normal 2 13 6 3 2 4" xfId="29116" xr:uid="{00000000-0005-0000-0000-0000494F0000}"/>
    <cellStyle name="Normal 2 13 6 3 3" xfId="17636" xr:uid="{00000000-0005-0000-0000-00004A4F0000}"/>
    <cellStyle name="Normal 2 13 6 3 3 2" xfId="40279" xr:uid="{00000000-0005-0000-0000-00004B4F0000}"/>
    <cellStyle name="Normal 2 13 6 3 4" xfId="10196" xr:uid="{00000000-0005-0000-0000-00004C4F0000}"/>
    <cellStyle name="Normal 2 13 6 3 4 2" xfId="32839" xr:uid="{00000000-0005-0000-0000-00004D4F0000}"/>
    <cellStyle name="Normal 2 13 6 3 5" xfId="25398" xr:uid="{00000000-0005-0000-0000-00004E4F0000}"/>
    <cellStyle name="Normal 2 13 6 4" xfId="4623" xr:uid="{00000000-0005-0000-0000-00004F4F0000}"/>
    <cellStyle name="Normal 2 13 6 4 2" xfId="19507" xr:uid="{00000000-0005-0000-0000-0000504F0000}"/>
    <cellStyle name="Normal 2 13 6 4 2 2" xfId="42150" xr:uid="{00000000-0005-0000-0000-0000514F0000}"/>
    <cellStyle name="Normal 2 13 6 4 3" xfId="12067" xr:uid="{00000000-0005-0000-0000-0000524F0000}"/>
    <cellStyle name="Normal 2 13 6 4 3 2" xfId="34710" xr:uid="{00000000-0005-0000-0000-0000534F0000}"/>
    <cellStyle name="Normal 2 13 6 4 4" xfId="27269" xr:uid="{00000000-0005-0000-0000-0000544F0000}"/>
    <cellStyle name="Normal 2 13 6 5" xfId="15789" xr:uid="{00000000-0005-0000-0000-0000554F0000}"/>
    <cellStyle name="Normal 2 13 6 5 2" xfId="38432" xr:uid="{00000000-0005-0000-0000-0000564F0000}"/>
    <cellStyle name="Normal 2 13 6 6" xfId="8349" xr:uid="{00000000-0005-0000-0000-0000574F0000}"/>
    <cellStyle name="Normal 2 13 6 6 2" xfId="30992" xr:uid="{00000000-0005-0000-0000-0000584F0000}"/>
    <cellStyle name="Normal 2 13 6 7" xfId="23551" xr:uid="{00000000-0005-0000-0000-0000594F0000}"/>
    <cellStyle name="Normal 2 13 7" xfId="1362" xr:uid="{00000000-0005-0000-0000-00005A4F0000}"/>
    <cellStyle name="Normal 2 13 7 2" xfId="3212" xr:uid="{00000000-0005-0000-0000-00005B4F0000}"/>
    <cellStyle name="Normal 2 13 7 2 2" xfId="6933" xr:uid="{00000000-0005-0000-0000-00005C4F0000}"/>
    <cellStyle name="Normal 2 13 7 2 2 2" xfId="21817" xr:uid="{00000000-0005-0000-0000-00005D4F0000}"/>
    <cellStyle name="Normal 2 13 7 2 2 2 2" xfId="44460" xr:uid="{00000000-0005-0000-0000-00005E4F0000}"/>
    <cellStyle name="Normal 2 13 7 2 2 3" xfId="14377" xr:uid="{00000000-0005-0000-0000-00005F4F0000}"/>
    <cellStyle name="Normal 2 13 7 2 2 3 2" xfId="37020" xr:uid="{00000000-0005-0000-0000-0000604F0000}"/>
    <cellStyle name="Normal 2 13 7 2 2 4" xfId="29579" xr:uid="{00000000-0005-0000-0000-0000614F0000}"/>
    <cellStyle name="Normal 2 13 7 2 3" xfId="18099" xr:uid="{00000000-0005-0000-0000-0000624F0000}"/>
    <cellStyle name="Normal 2 13 7 2 3 2" xfId="40742" xr:uid="{00000000-0005-0000-0000-0000634F0000}"/>
    <cellStyle name="Normal 2 13 7 2 4" xfId="10659" xr:uid="{00000000-0005-0000-0000-0000644F0000}"/>
    <cellStyle name="Normal 2 13 7 2 4 2" xfId="33302" xr:uid="{00000000-0005-0000-0000-0000654F0000}"/>
    <cellStyle name="Normal 2 13 7 2 5" xfId="25861" xr:uid="{00000000-0005-0000-0000-0000664F0000}"/>
    <cellStyle name="Normal 2 13 7 3" xfId="5086" xr:uid="{00000000-0005-0000-0000-0000674F0000}"/>
    <cellStyle name="Normal 2 13 7 3 2" xfId="19970" xr:uid="{00000000-0005-0000-0000-0000684F0000}"/>
    <cellStyle name="Normal 2 13 7 3 2 2" xfId="42613" xr:uid="{00000000-0005-0000-0000-0000694F0000}"/>
    <cellStyle name="Normal 2 13 7 3 3" xfId="12530" xr:uid="{00000000-0005-0000-0000-00006A4F0000}"/>
    <cellStyle name="Normal 2 13 7 3 3 2" xfId="35173" xr:uid="{00000000-0005-0000-0000-00006B4F0000}"/>
    <cellStyle name="Normal 2 13 7 3 4" xfId="27732" xr:uid="{00000000-0005-0000-0000-00006C4F0000}"/>
    <cellStyle name="Normal 2 13 7 4" xfId="16252" xr:uid="{00000000-0005-0000-0000-00006D4F0000}"/>
    <cellStyle name="Normal 2 13 7 4 2" xfId="38895" xr:uid="{00000000-0005-0000-0000-00006E4F0000}"/>
    <cellStyle name="Normal 2 13 7 5" xfId="8812" xr:uid="{00000000-0005-0000-0000-00006F4F0000}"/>
    <cellStyle name="Normal 2 13 7 5 2" xfId="31455" xr:uid="{00000000-0005-0000-0000-0000704F0000}"/>
    <cellStyle name="Normal 2 13 7 6" xfId="24014" xr:uid="{00000000-0005-0000-0000-0000714F0000}"/>
    <cellStyle name="Normal 2 13 8" xfId="2287" xr:uid="{00000000-0005-0000-0000-0000724F0000}"/>
    <cellStyle name="Normal 2 13 8 2" xfId="6008" xr:uid="{00000000-0005-0000-0000-0000734F0000}"/>
    <cellStyle name="Normal 2 13 8 2 2" xfId="20892" xr:uid="{00000000-0005-0000-0000-0000744F0000}"/>
    <cellStyle name="Normal 2 13 8 2 2 2" xfId="43535" xr:uid="{00000000-0005-0000-0000-0000754F0000}"/>
    <cellStyle name="Normal 2 13 8 2 3" xfId="13452" xr:uid="{00000000-0005-0000-0000-0000764F0000}"/>
    <cellStyle name="Normal 2 13 8 2 3 2" xfId="36095" xr:uid="{00000000-0005-0000-0000-0000774F0000}"/>
    <cellStyle name="Normal 2 13 8 2 4" xfId="28654" xr:uid="{00000000-0005-0000-0000-0000784F0000}"/>
    <cellStyle name="Normal 2 13 8 3" xfId="17174" xr:uid="{00000000-0005-0000-0000-0000794F0000}"/>
    <cellStyle name="Normal 2 13 8 3 2" xfId="39817" xr:uid="{00000000-0005-0000-0000-00007A4F0000}"/>
    <cellStyle name="Normal 2 13 8 4" xfId="9734" xr:uid="{00000000-0005-0000-0000-00007B4F0000}"/>
    <cellStyle name="Normal 2 13 8 4 2" xfId="32377" xr:uid="{00000000-0005-0000-0000-00007C4F0000}"/>
    <cellStyle name="Normal 2 13 8 5" xfId="24936" xr:uid="{00000000-0005-0000-0000-00007D4F0000}"/>
    <cellStyle name="Normal 2 13 9" xfId="4161" xr:uid="{00000000-0005-0000-0000-00007E4F0000}"/>
    <cellStyle name="Normal 2 13 9 2" xfId="19045" xr:uid="{00000000-0005-0000-0000-00007F4F0000}"/>
    <cellStyle name="Normal 2 13 9 2 2" xfId="41688" xr:uid="{00000000-0005-0000-0000-0000804F0000}"/>
    <cellStyle name="Normal 2 13 9 3" xfId="11605" xr:uid="{00000000-0005-0000-0000-0000814F0000}"/>
    <cellStyle name="Normal 2 13 9 3 2" xfId="34248" xr:uid="{00000000-0005-0000-0000-0000824F0000}"/>
    <cellStyle name="Normal 2 13 9 4" xfId="26807" xr:uid="{00000000-0005-0000-0000-0000834F0000}"/>
    <cellStyle name="Normal 2 14" xfId="423" xr:uid="{00000000-0005-0000-0000-0000844F0000}"/>
    <cellStyle name="Normal 2 14 10" xfId="15328" xr:uid="{00000000-0005-0000-0000-0000854F0000}"/>
    <cellStyle name="Normal 2 14 10 2" xfId="37971" xr:uid="{00000000-0005-0000-0000-0000864F0000}"/>
    <cellStyle name="Normal 2 14 11" xfId="7888" xr:uid="{00000000-0005-0000-0000-0000874F0000}"/>
    <cellStyle name="Normal 2 14 11 2" xfId="30531" xr:uid="{00000000-0005-0000-0000-0000884F0000}"/>
    <cellStyle name="Normal 2 14 12" xfId="23091" xr:uid="{00000000-0005-0000-0000-0000894F0000}"/>
    <cellStyle name="Normal 2 14 2" xfId="449" xr:uid="{00000000-0005-0000-0000-00008A4F0000}"/>
    <cellStyle name="Normal 2 14 2 10" xfId="7908" xr:uid="{00000000-0005-0000-0000-00008B4F0000}"/>
    <cellStyle name="Normal 2 14 2 10 2" xfId="30551" xr:uid="{00000000-0005-0000-0000-00008C4F0000}"/>
    <cellStyle name="Normal 2 14 2 11" xfId="23111" xr:uid="{00000000-0005-0000-0000-00008D4F0000}"/>
    <cellStyle name="Normal 2 14 2 2" xfId="502" xr:uid="{00000000-0005-0000-0000-00008E4F0000}"/>
    <cellStyle name="Normal 2 14 2 2 10" xfId="23163" xr:uid="{00000000-0005-0000-0000-00008F4F0000}"/>
    <cellStyle name="Normal 2 14 2 2 2" xfId="608" xr:uid="{00000000-0005-0000-0000-0000904F0000}"/>
    <cellStyle name="Normal 2 14 2 2 2 2" xfId="820" xr:uid="{00000000-0005-0000-0000-0000914F0000}"/>
    <cellStyle name="Normal 2 14 2 2 2 2 2" xfId="1285" xr:uid="{00000000-0005-0000-0000-0000924F0000}"/>
    <cellStyle name="Normal 2 14 2 2 2 2 2 2" xfId="2213" xr:uid="{00000000-0005-0000-0000-0000934F0000}"/>
    <cellStyle name="Normal 2 14 2 2 2 2 2 2 2" xfId="4063" xr:uid="{00000000-0005-0000-0000-0000944F0000}"/>
    <cellStyle name="Normal 2 14 2 2 2 2 2 2 2 2" xfId="7784" xr:uid="{00000000-0005-0000-0000-0000954F0000}"/>
    <cellStyle name="Normal 2 14 2 2 2 2 2 2 2 2 2" xfId="22668" xr:uid="{00000000-0005-0000-0000-0000964F0000}"/>
    <cellStyle name="Normal 2 14 2 2 2 2 2 2 2 2 2 2" xfId="45311" xr:uid="{00000000-0005-0000-0000-0000974F0000}"/>
    <cellStyle name="Normal 2 14 2 2 2 2 2 2 2 2 3" xfId="15228" xr:uid="{00000000-0005-0000-0000-0000984F0000}"/>
    <cellStyle name="Normal 2 14 2 2 2 2 2 2 2 2 3 2" xfId="37871" xr:uid="{00000000-0005-0000-0000-0000994F0000}"/>
    <cellStyle name="Normal 2 14 2 2 2 2 2 2 2 2 4" xfId="30430" xr:uid="{00000000-0005-0000-0000-00009A4F0000}"/>
    <cellStyle name="Normal 2 14 2 2 2 2 2 2 2 3" xfId="18950" xr:uid="{00000000-0005-0000-0000-00009B4F0000}"/>
    <cellStyle name="Normal 2 14 2 2 2 2 2 2 2 3 2" xfId="41593" xr:uid="{00000000-0005-0000-0000-00009C4F0000}"/>
    <cellStyle name="Normal 2 14 2 2 2 2 2 2 2 4" xfId="11510" xr:uid="{00000000-0005-0000-0000-00009D4F0000}"/>
    <cellStyle name="Normal 2 14 2 2 2 2 2 2 2 4 2" xfId="34153" xr:uid="{00000000-0005-0000-0000-00009E4F0000}"/>
    <cellStyle name="Normal 2 14 2 2 2 2 2 2 2 5" xfId="26712" xr:uid="{00000000-0005-0000-0000-00009F4F0000}"/>
    <cellStyle name="Normal 2 14 2 2 2 2 2 2 3" xfId="5937" xr:uid="{00000000-0005-0000-0000-0000A04F0000}"/>
    <cellStyle name="Normal 2 14 2 2 2 2 2 2 3 2" xfId="20821" xr:uid="{00000000-0005-0000-0000-0000A14F0000}"/>
    <cellStyle name="Normal 2 14 2 2 2 2 2 2 3 2 2" xfId="43464" xr:uid="{00000000-0005-0000-0000-0000A24F0000}"/>
    <cellStyle name="Normal 2 14 2 2 2 2 2 2 3 3" xfId="13381" xr:uid="{00000000-0005-0000-0000-0000A34F0000}"/>
    <cellStyle name="Normal 2 14 2 2 2 2 2 2 3 3 2" xfId="36024" xr:uid="{00000000-0005-0000-0000-0000A44F0000}"/>
    <cellStyle name="Normal 2 14 2 2 2 2 2 2 3 4" xfId="28583" xr:uid="{00000000-0005-0000-0000-0000A54F0000}"/>
    <cellStyle name="Normal 2 14 2 2 2 2 2 2 4" xfId="17103" xr:uid="{00000000-0005-0000-0000-0000A64F0000}"/>
    <cellStyle name="Normal 2 14 2 2 2 2 2 2 4 2" xfId="39746" xr:uid="{00000000-0005-0000-0000-0000A74F0000}"/>
    <cellStyle name="Normal 2 14 2 2 2 2 2 2 5" xfId="9663" xr:uid="{00000000-0005-0000-0000-0000A84F0000}"/>
    <cellStyle name="Normal 2 14 2 2 2 2 2 2 5 2" xfId="32306" xr:uid="{00000000-0005-0000-0000-0000A94F0000}"/>
    <cellStyle name="Normal 2 14 2 2 2 2 2 2 6" xfId="24865" xr:uid="{00000000-0005-0000-0000-0000AA4F0000}"/>
    <cellStyle name="Normal 2 14 2 2 2 2 2 3" xfId="3138" xr:uid="{00000000-0005-0000-0000-0000AB4F0000}"/>
    <cellStyle name="Normal 2 14 2 2 2 2 2 3 2" xfId="6859" xr:uid="{00000000-0005-0000-0000-0000AC4F0000}"/>
    <cellStyle name="Normal 2 14 2 2 2 2 2 3 2 2" xfId="21743" xr:uid="{00000000-0005-0000-0000-0000AD4F0000}"/>
    <cellStyle name="Normal 2 14 2 2 2 2 2 3 2 2 2" xfId="44386" xr:uid="{00000000-0005-0000-0000-0000AE4F0000}"/>
    <cellStyle name="Normal 2 14 2 2 2 2 2 3 2 3" xfId="14303" xr:uid="{00000000-0005-0000-0000-0000AF4F0000}"/>
    <cellStyle name="Normal 2 14 2 2 2 2 2 3 2 3 2" xfId="36946" xr:uid="{00000000-0005-0000-0000-0000B04F0000}"/>
    <cellStyle name="Normal 2 14 2 2 2 2 2 3 2 4" xfId="29505" xr:uid="{00000000-0005-0000-0000-0000B14F0000}"/>
    <cellStyle name="Normal 2 14 2 2 2 2 2 3 3" xfId="18025" xr:uid="{00000000-0005-0000-0000-0000B24F0000}"/>
    <cellStyle name="Normal 2 14 2 2 2 2 2 3 3 2" xfId="40668" xr:uid="{00000000-0005-0000-0000-0000B34F0000}"/>
    <cellStyle name="Normal 2 14 2 2 2 2 2 3 4" xfId="10585" xr:uid="{00000000-0005-0000-0000-0000B44F0000}"/>
    <cellStyle name="Normal 2 14 2 2 2 2 2 3 4 2" xfId="33228" xr:uid="{00000000-0005-0000-0000-0000B54F0000}"/>
    <cellStyle name="Normal 2 14 2 2 2 2 2 3 5" xfId="25787" xr:uid="{00000000-0005-0000-0000-0000B64F0000}"/>
    <cellStyle name="Normal 2 14 2 2 2 2 2 4" xfId="5012" xr:uid="{00000000-0005-0000-0000-0000B74F0000}"/>
    <cellStyle name="Normal 2 14 2 2 2 2 2 4 2" xfId="19896" xr:uid="{00000000-0005-0000-0000-0000B84F0000}"/>
    <cellStyle name="Normal 2 14 2 2 2 2 2 4 2 2" xfId="42539" xr:uid="{00000000-0005-0000-0000-0000B94F0000}"/>
    <cellStyle name="Normal 2 14 2 2 2 2 2 4 3" xfId="12456" xr:uid="{00000000-0005-0000-0000-0000BA4F0000}"/>
    <cellStyle name="Normal 2 14 2 2 2 2 2 4 3 2" xfId="35099" xr:uid="{00000000-0005-0000-0000-0000BB4F0000}"/>
    <cellStyle name="Normal 2 14 2 2 2 2 2 4 4" xfId="27658" xr:uid="{00000000-0005-0000-0000-0000BC4F0000}"/>
    <cellStyle name="Normal 2 14 2 2 2 2 2 5" xfId="16178" xr:uid="{00000000-0005-0000-0000-0000BD4F0000}"/>
    <cellStyle name="Normal 2 14 2 2 2 2 2 5 2" xfId="38821" xr:uid="{00000000-0005-0000-0000-0000BE4F0000}"/>
    <cellStyle name="Normal 2 14 2 2 2 2 2 6" xfId="8738" xr:uid="{00000000-0005-0000-0000-0000BF4F0000}"/>
    <cellStyle name="Normal 2 14 2 2 2 2 2 6 2" xfId="31381" xr:uid="{00000000-0005-0000-0000-0000C04F0000}"/>
    <cellStyle name="Normal 2 14 2 2 2 2 2 7" xfId="23940" xr:uid="{00000000-0005-0000-0000-0000C14F0000}"/>
    <cellStyle name="Normal 2 14 2 2 2 2 3" xfId="1751" xr:uid="{00000000-0005-0000-0000-0000C24F0000}"/>
    <cellStyle name="Normal 2 14 2 2 2 2 3 2" xfId="3601" xr:uid="{00000000-0005-0000-0000-0000C34F0000}"/>
    <cellStyle name="Normal 2 14 2 2 2 2 3 2 2" xfId="7322" xr:uid="{00000000-0005-0000-0000-0000C44F0000}"/>
    <cellStyle name="Normal 2 14 2 2 2 2 3 2 2 2" xfId="22206" xr:uid="{00000000-0005-0000-0000-0000C54F0000}"/>
    <cellStyle name="Normal 2 14 2 2 2 2 3 2 2 2 2" xfId="44849" xr:uid="{00000000-0005-0000-0000-0000C64F0000}"/>
    <cellStyle name="Normal 2 14 2 2 2 2 3 2 2 3" xfId="14766" xr:uid="{00000000-0005-0000-0000-0000C74F0000}"/>
    <cellStyle name="Normal 2 14 2 2 2 2 3 2 2 3 2" xfId="37409" xr:uid="{00000000-0005-0000-0000-0000C84F0000}"/>
    <cellStyle name="Normal 2 14 2 2 2 2 3 2 2 4" xfId="29968" xr:uid="{00000000-0005-0000-0000-0000C94F0000}"/>
    <cellStyle name="Normal 2 14 2 2 2 2 3 2 3" xfId="18488" xr:uid="{00000000-0005-0000-0000-0000CA4F0000}"/>
    <cellStyle name="Normal 2 14 2 2 2 2 3 2 3 2" xfId="41131" xr:uid="{00000000-0005-0000-0000-0000CB4F0000}"/>
    <cellStyle name="Normal 2 14 2 2 2 2 3 2 4" xfId="11048" xr:uid="{00000000-0005-0000-0000-0000CC4F0000}"/>
    <cellStyle name="Normal 2 14 2 2 2 2 3 2 4 2" xfId="33691" xr:uid="{00000000-0005-0000-0000-0000CD4F0000}"/>
    <cellStyle name="Normal 2 14 2 2 2 2 3 2 5" xfId="26250" xr:uid="{00000000-0005-0000-0000-0000CE4F0000}"/>
    <cellStyle name="Normal 2 14 2 2 2 2 3 3" xfId="5475" xr:uid="{00000000-0005-0000-0000-0000CF4F0000}"/>
    <cellStyle name="Normal 2 14 2 2 2 2 3 3 2" xfId="20359" xr:uid="{00000000-0005-0000-0000-0000D04F0000}"/>
    <cellStyle name="Normal 2 14 2 2 2 2 3 3 2 2" xfId="43002" xr:uid="{00000000-0005-0000-0000-0000D14F0000}"/>
    <cellStyle name="Normal 2 14 2 2 2 2 3 3 3" xfId="12919" xr:uid="{00000000-0005-0000-0000-0000D24F0000}"/>
    <cellStyle name="Normal 2 14 2 2 2 2 3 3 3 2" xfId="35562" xr:uid="{00000000-0005-0000-0000-0000D34F0000}"/>
    <cellStyle name="Normal 2 14 2 2 2 2 3 3 4" xfId="28121" xr:uid="{00000000-0005-0000-0000-0000D44F0000}"/>
    <cellStyle name="Normal 2 14 2 2 2 2 3 4" xfId="16641" xr:uid="{00000000-0005-0000-0000-0000D54F0000}"/>
    <cellStyle name="Normal 2 14 2 2 2 2 3 4 2" xfId="39284" xr:uid="{00000000-0005-0000-0000-0000D64F0000}"/>
    <cellStyle name="Normal 2 14 2 2 2 2 3 5" xfId="9201" xr:uid="{00000000-0005-0000-0000-0000D74F0000}"/>
    <cellStyle name="Normal 2 14 2 2 2 2 3 5 2" xfId="31844" xr:uid="{00000000-0005-0000-0000-0000D84F0000}"/>
    <cellStyle name="Normal 2 14 2 2 2 2 3 6" xfId="24403" xr:uid="{00000000-0005-0000-0000-0000D94F0000}"/>
    <cellStyle name="Normal 2 14 2 2 2 2 4" xfId="2676" xr:uid="{00000000-0005-0000-0000-0000DA4F0000}"/>
    <cellStyle name="Normal 2 14 2 2 2 2 4 2" xfId="6397" xr:uid="{00000000-0005-0000-0000-0000DB4F0000}"/>
    <cellStyle name="Normal 2 14 2 2 2 2 4 2 2" xfId="21281" xr:uid="{00000000-0005-0000-0000-0000DC4F0000}"/>
    <cellStyle name="Normal 2 14 2 2 2 2 4 2 2 2" xfId="43924" xr:uid="{00000000-0005-0000-0000-0000DD4F0000}"/>
    <cellStyle name="Normal 2 14 2 2 2 2 4 2 3" xfId="13841" xr:uid="{00000000-0005-0000-0000-0000DE4F0000}"/>
    <cellStyle name="Normal 2 14 2 2 2 2 4 2 3 2" xfId="36484" xr:uid="{00000000-0005-0000-0000-0000DF4F0000}"/>
    <cellStyle name="Normal 2 14 2 2 2 2 4 2 4" xfId="29043" xr:uid="{00000000-0005-0000-0000-0000E04F0000}"/>
    <cellStyle name="Normal 2 14 2 2 2 2 4 3" xfId="17563" xr:uid="{00000000-0005-0000-0000-0000E14F0000}"/>
    <cellStyle name="Normal 2 14 2 2 2 2 4 3 2" xfId="40206" xr:uid="{00000000-0005-0000-0000-0000E24F0000}"/>
    <cellStyle name="Normal 2 14 2 2 2 2 4 4" xfId="10123" xr:uid="{00000000-0005-0000-0000-0000E34F0000}"/>
    <cellStyle name="Normal 2 14 2 2 2 2 4 4 2" xfId="32766" xr:uid="{00000000-0005-0000-0000-0000E44F0000}"/>
    <cellStyle name="Normal 2 14 2 2 2 2 4 5" xfId="25325" xr:uid="{00000000-0005-0000-0000-0000E54F0000}"/>
    <cellStyle name="Normal 2 14 2 2 2 2 5" xfId="4550" xr:uid="{00000000-0005-0000-0000-0000E64F0000}"/>
    <cellStyle name="Normal 2 14 2 2 2 2 5 2" xfId="19434" xr:uid="{00000000-0005-0000-0000-0000E74F0000}"/>
    <cellStyle name="Normal 2 14 2 2 2 2 5 2 2" xfId="42077" xr:uid="{00000000-0005-0000-0000-0000E84F0000}"/>
    <cellStyle name="Normal 2 14 2 2 2 2 5 3" xfId="11994" xr:uid="{00000000-0005-0000-0000-0000E94F0000}"/>
    <cellStyle name="Normal 2 14 2 2 2 2 5 3 2" xfId="34637" xr:uid="{00000000-0005-0000-0000-0000EA4F0000}"/>
    <cellStyle name="Normal 2 14 2 2 2 2 5 4" xfId="27196" xr:uid="{00000000-0005-0000-0000-0000EB4F0000}"/>
    <cellStyle name="Normal 2 14 2 2 2 2 6" xfId="15716" xr:uid="{00000000-0005-0000-0000-0000EC4F0000}"/>
    <cellStyle name="Normal 2 14 2 2 2 2 6 2" xfId="38359" xr:uid="{00000000-0005-0000-0000-0000ED4F0000}"/>
    <cellStyle name="Normal 2 14 2 2 2 2 7" xfId="8276" xr:uid="{00000000-0005-0000-0000-0000EE4F0000}"/>
    <cellStyle name="Normal 2 14 2 2 2 2 7 2" xfId="30919" xr:uid="{00000000-0005-0000-0000-0000EF4F0000}"/>
    <cellStyle name="Normal 2 14 2 2 2 2 8" xfId="23478" xr:uid="{00000000-0005-0000-0000-0000F04F0000}"/>
    <cellStyle name="Normal 2 14 2 2 2 3" xfId="1074" xr:uid="{00000000-0005-0000-0000-0000F14F0000}"/>
    <cellStyle name="Normal 2 14 2 2 2 3 2" xfId="2002" xr:uid="{00000000-0005-0000-0000-0000F24F0000}"/>
    <cellStyle name="Normal 2 14 2 2 2 3 2 2" xfId="3852" xr:uid="{00000000-0005-0000-0000-0000F34F0000}"/>
    <cellStyle name="Normal 2 14 2 2 2 3 2 2 2" xfId="7573" xr:uid="{00000000-0005-0000-0000-0000F44F0000}"/>
    <cellStyle name="Normal 2 14 2 2 2 3 2 2 2 2" xfId="22457" xr:uid="{00000000-0005-0000-0000-0000F54F0000}"/>
    <cellStyle name="Normal 2 14 2 2 2 3 2 2 2 2 2" xfId="45100" xr:uid="{00000000-0005-0000-0000-0000F64F0000}"/>
    <cellStyle name="Normal 2 14 2 2 2 3 2 2 2 3" xfId="15017" xr:uid="{00000000-0005-0000-0000-0000F74F0000}"/>
    <cellStyle name="Normal 2 14 2 2 2 3 2 2 2 3 2" xfId="37660" xr:uid="{00000000-0005-0000-0000-0000F84F0000}"/>
    <cellStyle name="Normal 2 14 2 2 2 3 2 2 2 4" xfId="30219" xr:uid="{00000000-0005-0000-0000-0000F94F0000}"/>
    <cellStyle name="Normal 2 14 2 2 2 3 2 2 3" xfId="18739" xr:uid="{00000000-0005-0000-0000-0000FA4F0000}"/>
    <cellStyle name="Normal 2 14 2 2 2 3 2 2 3 2" xfId="41382" xr:uid="{00000000-0005-0000-0000-0000FB4F0000}"/>
    <cellStyle name="Normal 2 14 2 2 2 3 2 2 4" xfId="11299" xr:uid="{00000000-0005-0000-0000-0000FC4F0000}"/>
    <cellStyle name="Normal 2 14 2 2 2 3 2 2 4 2" xfId="33942" xr:uid="{00000000-0005-0000-0000-0000FD4F0000}"/>
    <cellStyle name="Normal 2 14 2 2 2 3 2 2 5" xfId="26501" xr:uid="{00000000-0005-0000-0000-0000FE4F0000}"/>
    <cellStyle name="Normal 2 14 2 2 2 3 2 3" xfId="5726" xr:uid="{00000000-0005-0000-0000-0000FF4F0000}"/>
    <cellStyle name="Normal 2 14 2 2 2 3 2 3 2" xfId="20610" xr:uid="{00000000-0005-0000-0000-000000500000}"/>
    <cellStyle name="Normal 2 14 2 2 2 3 2 3 2 2" xfId="43253" xr:uid="{00000000-0005-0000-0000-000001500000}"/>
    <cellStyle name="Normal 2 14 2 2 2 3 2 3 3" xfId="13170" xr:uid="{00000000-0005-0000-0000-000002500000}"/>
    <cellStyle name="Normal 2 14 2 2 2 3 2 3 3 2" xfId="35813" xr:uid="{00000000-0005-0000-0000-000003500000}"/>
    <cellStyle name="Normal 2 14 2 2 2 3 2 3 4" xfId="28372" xr:uid="{00000000-0005-0000-0000-000004500000}"/>
    <cellStyle name="Normal 2 14 2 2 2 3 2 4" xfId="16892" xr:uid="{00000000-0005-0000-0000-000005500000}"/>
    <cellStyle name="Normal 2 14 2 2 2 3 2 4 2" xfId="39535" xr:uid="{00000000-0005-0000-0000-000006500000}"/>
    <cellStyle name="Normal 2 14 2 2 2 3 2 5" xfId="9452" xr:uid="{00000000-0005-0000-0000-000007500000}"/>
    <cellStyle name="Normal 2 14 2 2 2 3 2 5 2" xfId="32095" xr:uid="{00000000-0005-0000-0000-000008500000}"/>
    <cellStyle name="Normal 2 14 2 2 2 3 2 6" xfId="24654" xr:uid="{00000000-0005-0000-0000-000009500000}"/>
    <cellStyle name="Normal 2 14 2 2 2 3 3" xfId="2927" xr:uid="{00000000-0005-0000-0000-00000A500000}"/>
    <cellStyle name="Normal 2 14 2 2 2 3 3 2" xfId="6648" xr:uid="{00000000-0005-0000-0000-00000B500000}"/>
    <cellStyle name="Normal 2 14 2 2 2 3 3 2 2" xfId="21532" xr:uid="{00000000-0005-0000-0000-00000C500000}"/>
    <cellStyle name="Normal 2 14 2 2 2 3 3 2 2 2" xfId="44175" xr:uid="{00000000-0005-0000-0000-00000D500000}"/>
    <cellStyle name="Normal 2 14 2 2 2 3 3 2 3" xfId="14092" xr:uid="{00000000-0005-0000-0000-00000E500000}"/>
    <cellStyle name="Normal 2 14 2 2 2 3 3 2 3 2" xfId="36735" xr:uid="{00000000-0005-0000-0000-00000F500000}"/>
    <cellStyle name="Normal 2 14 2 2 2 3 3 2 4" xfId="29294" xr:uid="{00000000-0005-0000-0000-000010500000}"/>
    <cellStyle name="Normal 2 14 2 2 2 3 3 3" xfId="17814" xr:uid="{00000000-0005-0000-0000-000011500000}"/>
    <cellStyle name="Normal 2 14 2 2 2 3 3 3 2" xfId="40457" xr:uid="{00000000-0005-0000-0000-000012500000}"/>
    <cellStyle name="Normal 2 14 2 2 2 3 3 4" xfId="10374" xr:uid="{00000000-0005-0000-0000-000013500000}"/>
    <cellStyle name="Normal 2 14 2 2 2 3 3 4 2" xfId="33017" xr:uid="{00000000-0005-0000-0000-000014500000}"/>
    <cellStyle name="Normal 2 14 2 2 2 3 3 5" xfId="25576" xr:uid="{00000000-0005-0000-0000-000015500000}"/>
    <cellStyle name="Normal 2 14 2 2 2 3 4" xfId="4801" xr:uid="{00000000-0005-0000-0000-000016500000}"/>
    <cellStyle name="Normal 2 14 2 2 2 3 4 2" xfId="19685" xr:uid="{00000000-0005-0000-0000-000017500000}"/>
    <cellStyle name="Normal 2 14 2 2 2 3 4 2 2" xfId="42328" xr:uid="{00000000-0005-0000-0000-000018500000}"/>
    <cellStyle name="Normal 2 14 2 2 2 3 4 3" xfId="12245" xr:uid="{00000000-0005-0000-0000-000019500000}"/>
    <cellStyle name="Normal 2 14 2 2 2 3 4 3 2" xfId="34888" xr:uid="{00000000-0005-0000-0000-00001A500000}"/>
    <cellStyle name="Normal 2 14 2 2 2 3 4 4" xfId="27447" xr:uid="{00000000-0005-0000-0000-00001B500000}"/>
    <cellStyle name="Normal 2 14 2 2 2 3 5" xfId="15967" xr:uid="{00000000-0005-0000-0000-00001C500000}"/>
    <cellStyle name="Normal 2 14 2 2 2 3 5 2" xfId="38610" xr:uid="{00000000-0005-0000-0000-00001D500000}"/>
    <cellStyle name="Normal 2 14 2 2 2 3 6" xfId="8527" xr:uid="{00000000-0005-0000-0000-00001E500000}"/>
    <cellStyle name="Normal 2 14 2 2 2 3 6 2" xfId="31170" xr:uid="{00000000-0005-0000-0000-00001F500000}"/>
    <cellStyle name="Normal 2 14 2 2 2 3 7" xfId="23729" xr:uid="{00000000-0005-0000-0000-000020500000}"/>
    <cellStyle name="Normal 2 14 2 2 2 4" xfId="1540" xr:uid="{00000000-0005-0000-0000-000021500000}"/>
    <cellStyle name="Normal 2 14 2 2 2 4 2" xfId="3390" xr:uid="{00000000-0005-0000-0000-000022500000}"/>
    <cellStyle name="Normal 2 14 2 2 2 4 2 2" xfId="7111" xr:uid="{00000000-0005-0000-0000-000023500000}"/>
    <cellStyle name="Normal 2 14 2 2 2 4 2 2 2" xfId="21995" xr:uid="{00000000-0005-0000-0000-000024500000}"/>
    <cellStyle name="Normal 2 14 2 2 2 4 2 2 2 2" xfId="44638" xr:uid="{00000000-0005-0000-0000-000025500000}"/>
    <cellStyle name="Normal 2 14 2 2 2 4 2 2 3" xfId="14555" xr:uid="{00000000-0005-0000-0000-000026500000}"/>
    <cellStyle name="Normal 2 14 2 2 2 4 2 2 3 2" xfId="37198" xr:uid="{00000000-0005-0000-0000-000027500000}"/>
    <cellStyle name="Normal 2 14 2 2 2 4 2 2 4" xfId="29757" xr:uid="{00000000-0005-0000-0000-000028500000}"/>
    <cellStyle name="Normal 2 14 2 2 2 4 2 3" xfId="18277" xr:uid="{00000000-0005-0000-0000-000029500000}"/>
    <cellStyle name="Normal 2 14 2 2 2 4 2 3 2" xfId="40920" xr:uid="{00000000-0005-0000-0000-00002A500000}"/>
    <cellStyle name="Normal 2 14 2 2 2 4 2 4" xfId="10837" xr:uid="{00000000-0005-0000-0000-00002B500000}"/>
    <cellStyle name="Normal 2 14 2 2 2 4 2 4 2" xfId="33480" xr:uid="{00000000-0005-0000-0000-00002C500000}"/>
    <cellStyle name="Normal 2 14 2 2 2 4 2 5" xfId="26039" xr:uid="{00000000-0005-0000-0000-00002D500000}"/>
    <cellStyle name="Normal 2 14 2 2 2 4 3" xfId="5264" xr:uid="{00000000-0005-0000-0000-00002E500000}"/>
    <cellStyle name="Normal 2 14 2 2 2 4 3 2" xfId="20148" xr:uid="{00000000-0005-0000-0000-00002F500000}"/>
    <cellStyle name="Normal 2 14 2 2 2 4 3 2 2" xfId="42791" xr:uid="{00000000-0005-0000-0000-000030500000}"/>
    <cellStyle name="Normal 2 14 2 2 2 4 3 3" xfId="12708" xr:uid="{00000000-0005-0000-0000-000031500000}"/>
    <cellStyle name="Normal 2 14 2 2 2 4 3 3 2" xfId="35351" xr:uid="{00000000-0005-0000-0000-000032500000}"/>
    <cellStyle name="Normal 2 14 2 2 2 4 3 4" xfId="27910" xr:uid="{00000000-0005-0000-0000-000033500000}"/>
    <cellStyle name="Normal 2 14 2 2 2 4 4" xfId="16430" xr:uid="{00000000-0005-0000-0000-000034500000}"/>
    <cellStyle name="Normal 2 14 2 2 2 4 4 2" xfId="39073" xr:uid="{00000000-0005-0000-0000-000035500000}"/>
    <cellStyle name="Normal 2 14 2 2 2 4 5" xfId="8990" xr:uid="{00000000-0005-0000-0000-000036500000}"/>
    <cellStyle name="Normal 2 14 2 2 2 4 5 2" xfId="31633" xr:uid="{00000000-0005-0000-0000-000037500000}"/>
    <cellStyle name="Normal 2 14 2 2 2 4 6" xfId="24192" xr:uid="{00000000-0005-0000-0000-000038500000}"/>
    <cellStyle name="Normal 2 14 2 2 2 5" xfId="2465" xr:uid="{00000000-0005-0000-0000-000039500000}"/>
    <cellStyle name="Normal 2 14 2 2 2 5 2" xfId="6186" xr:uid="{00000000-0005-0000-0000-00003A500000}"/>
    <cellStyle name="Normal 2 14 2 2 2 5 2 2" xfId="21070" xr:uid="{00000000-0005-0000-0000-00003B500000}"/>
    <cellStyle name="Normal 2 14 2 2 2 5 2 2 2" xfId="43713" xr:uid="{00000000-0005-0000-0000-00003C500000}"/>
    <cellStyle name="Normal 2 14 2 2 2 5 2 3" xfId="13630" xr:uid="{00000000-0005-0000-0000-00003D500000}"/>
    <cellStyle name="Normal 2 14 2 2 2 5 2 3 2" xfId="36273" xr:uid="{00000000-0005-0000-0000-00003E500000}"/>
    <cellStyle name="Normal 2 14 2 2 2 5 2 4" xfId="28832" xr:uid="{00000000-0005-0000-0000-00003F500000}"/>
    <cellStyle name="Normal 2 14 2 2 2 5 3" xfId="17352" xr:uid="{00000000-0005-0000-0000-000040500000}"/>
    <cellStyle name="Normal 2 14 2 2 2 5 3 2" xfId="39995" xr:uid="{00000000-0005-0000-0000-000041500000}"/>
    <cellStyle name="Normal 2 14 2 2 2 5 4" xfId="9912" xr:uid="{00000000-0005-0000-0000-000042500000}"/>
    <cellStyle name="Normal 2 14 2 2 2 5 4 2" xfId="32555" xr:uid="{00000000-0005-0000-0000-000043500000}"/>
    <cellStyle name="Normal 2 14 2 2 2 5 5" xfId="25114" xr:uid="{00000000-0005-0000-0000-000044500000}"/>
    <cellStyle name="Normal 2 14 2 2 2 6" xfId="4339" xr:uid="{00000000-0005-0000-0000-000045500000}"/>
    <cellStyle name="Normal 2 14 2 2 2 6 2" xfId="19223" xr:uid="{00000000-0005-0000-0000-000046500000}"/>
    <cellStyle name="Normal 2 14 2 2 2 6 2 2" xfId="41866" xr:uid="{00000000-0005-0000-0000-000047500000}"/>
    <cellStyle name="Normal 2 14 2 2 2 6 3" xfId="11783" xr:uid="{00000000-0005-0000-0000-000048500000}"/>
    <cellStyle name="Normal 2 14 2 2 2 6 3 2" xfId="34426" xr:uid="{00000000-0005-0000-0000-000049500000}"/>
    <cellStyle name="Normal 2 14 2 2 2 6 4" xfId="26985" xr:uid="{00000000-0005-0000-0000-00004A500000}"/>
    <cellStyle name="Normal 2 14 2 2 2 7" xfId="15505" xr:uid="{00000000-0005-0000-0000-00004B500000}"/>
    <cellStyle name="Normal 2 14 2 2 2 7 2" xfId="38148" xr:uid="{00000000-0005-0000-0000-00004C500000}"/>
    <cellStyle name="Normal 2 14 2 2 2 8" xfId="8065" xr:uid="{00000000-0005-0000-0000-00004D500000}"/>
    <cellStyle name="Normal 2 14 2 2 2 8 2" xfId="30708" xr:uid="{00000000-0005-0000-0000-00004E500000}"/>
    <cellStyle name="Normal 2 14 2 2 2 9" xfId="23268" xr:uid="{00000000-0005-0000-0000-00004F500000}"/>
    <cellStyle name="Normal 2 14 2 2 3" xfId="715" xr:uid="{00000000-0005-0000-0000-000050500000}"/>
    <cellStyle name="Normal 2 14 2 2 3 2" xfId="1180" xr:uid="{00000000-0005-0000-0000-000051500000}"/>
    <cellStyle name="Normal 2 14 2 2 3 2 2" xfId="2108" xr:uid="{00000000-0005-0000-0000-000052500000}"/>
    <cellStyle name="Normal 2 14 2 2 3 2 2 2" xfId="3958" xr:uid="{00000000-0005-0000-0000-000053500000}"/>
    <cellStyle name="Normal 2 14 2 2 3 2 2 2 2" xfId="7679" xr:uid="{00000000-0005-0000-0000-000054500000}"/>
    <cellStyle name="Normal 2 14 2 2 3 2 2 2 2 2" xfId="22563" xr:uid="{00000000-0005-0000-0000-000055500000}"/>
    <cellStyle name="Normal 2 14 2 2 3 2 2 2 2 2 2" xfId="45206" xr:uid="{00000000-0005-0000-0000-000056500000}"/>
    <cellStyle name="Normal 2 14 2 2 3 2 2 2 2 3" xfId="15123" xr:uid="{00000000-0005-0000-0000-000057500000}"/>
    <cellStyle name="Normal 2 14 2 2 3 2 2 2 2 3 2" xfId="37766" xr:uid="{00000000-0005-0000-0000-000058500000}"/>
    <cellStyle name="Normal 2 14 2 2 3 2 2 2 2 4" xfId="30325" xr:uid="{00000000-0005-0000-0000-000059500000}"/>
    <cellStyle name="Normal 2 14 2 2 3 2 2 2 3" xfId="18845" xr:uid="{00000000-0005-0000-0000-00005A500000}"/>
    <cellStyle name="Normal 2 14 2 2 3 2 2 2 3 2" xfId="41488" xr:uid="{00000000-0005-0000-0000-00005B500000}"/>
    <cellStyle name="Normal 2 14 2 2 3 2 2 2 4" xfId="11405" xr:uid="{00000000-0005-0000-0000-00005C500000}"/>
    <cellStyle name="Normal 2 14 2 2 3 2 2 2 4 2" xfId="34048" xr:uid="{00000000-0005-0000-0000-00005D500000}"/>
    <cellStyle name="Normal 2 14 2 2 3 2 2 2 5" xfId="26607" xr:uid="{00000000-0005-0000-0000-00005E500000}"/>
    <cellStyle name="Normal 2 14 2 2 3 2 2 3" xfId="5832" xr:uid="{00000000-0005-0000-0000-00005F500000}"/>
    <cellStyle name="Normal 2 14 2 2 3 2 2 3 2" xfId="20716" xr:uid="{00000000-0005-0000-0000-000060500000}"/>
    <cellStyle name="Normal 2 14 2 2 3 2 2 3 2 2" xfId="43359" xr:uid="{00000000-0005-0000-0000-000061500000}"/>
    <cellStyle name="Normal 2 14 2 2 3 2 2 3 3" xfId="13276" xr:uid="{00000000-0005-0000-0000-000062500000}"/>
    <cellStyle name="Normal 2 14 2 2 3 2 2 3 3 2" xfId="35919" xr:uid="{00000000-0005-0000-0000-000063500000}"/>
    <cellStyle name="Normal 2 14 2 2 3 2 2 3 4" xfId="28478" xr:uid="{00000000-0005-0000-0000-000064500000}"/>
    <cellStyle name="Normal 2 14 2 2 3 2 2 4" xfId="16998" xr:uid="{00000000-0005-0000-0000-000065500000}"/>
    <cellStyle name="Normal 2 14 2 2 3 2 2 4 2" xfId="39641" xr:uid="{00000000-0005-0000-0000-000066500000}"/>
    <cellStyle name="Normal 2 14 2 2 3 2 2 5" xfId="9558" xr:uid="{00000000-0005-0000-0000-000067500000}"/>
    <cellStyle name="Normal 2 14 2 2 3 2 2 5 2" xfId="32201" xr:uid="{00000000-0005-0000-0000-000068500000}"/>
    <cellStyle name="Normal 2 14 2 2 3 2 2 6" xfId="24760" xr:uid="{00000000-0005-0000-0000-000069500000}"/>
    <cellStyle name="Normal 2 14 2 2 3 2 3" xfId="3033" xr:uid="{00000000-0005-0000-0000-00006A500000}"/>
    <cellStyle name="Normal 2 14 2 2 3 2 3 2" xfId="6754" xr:uid="{00000000-0005-0000-0000-00006B500000}"/>
    <cellStyle name="Normal 2 14 2 2 3 2 3 2 2" xfId="21638" xr:uid="{00000000-0005-0000-0000-00006C500000}"/>
    <cellStyle name="Normal 2 14 2 2 3 2 3 2 2 2" xfId="44281" xr:uid="{00000000-0005-0000-0000-00006D500000}"/>
    <cellStyle name="Normal 2 14 2 2 3 2 3 2 3" xfId="14198" xr:uid="{00000000-0005-0000-0000-00006E500000}"/>
    <cellStyle name="Normal 2 14 2 2 3 2 3 2 3 2" xfId="36841" xr:uid="{00000000-0005-0000-0000-00006F500000}"/>
    <cellStyle name="Normal 2 14 2 2 3 2 3 2 4" xfId="29400" xr:uid="{00000000-0005-0000-0000-000070500000}"/>
    <cellStyle name="Normal 2 14 2 2 3 2 3 3" xfId="17920" xr:uid="{00000000-0005-0000-0000-000071500000}"/>
    <cellStyle name="Normal 2 14 2 2 3 2 3 3 2" xfId="40563" xr:uid="{00000000-0005-0000-0000-000072500000}"/>
    <cellStyle name="Normal 2 14 2 2 3 2 3 4" xfId="10480" xr:uid="{00000000-0005-0000-0000-000073500000}"/>
    <cellStyle name="Normal 2 14 2 2 3 2 3 4 2" xfId="33123" xr:uid="{00000000-0005-0000-0000-000074500000}"/>
    <cellStyle name="Normal 2 14 2 2 3 2 3 5" xfId="25682" xr:uid="{00000000-0005-0000-0000-000075500000}"/>
    <cellStyle name="Normal 2 14 2 2 3 2 4" xfId="4907" xr:uid="{00000000-0005-0000-0000-000076500000}"/>
    <cellStyle name="Normal 2 14 2 2 3 2 4 2" xfId="19791" xr:uid="{00000000-0005-0000-0000-000077500000}"/>
    <cellStyle name="Normal 2 14 2 2 3 2 4 2 2" xfId="42434" xr:uid="{00000000-0005-0000-0000-000078500000}"/>
    <cellStyle name="Normal 2 14 2 2 3 2 4 3" xfId="12351" xr:uid="{00000000-0005-0000-0000-000079500000}"/>
    <cellStyle name="Normal 2 14 2 2 3 2 4 3 2" xfId="34994" xr:uid="{00000000-0005-0000-0000-00007A500000}"/>
    <cellStyle name="Normal 2 14 2 2 3 2 4 4" xfId="27553" xr:uid="{00000000-0005-0000-0000-00007B500000}"/>
    <cellStyle name="Normal 2 14 2 2 3 2 5" xfId="16073" xr:uid="{00000000-0005-0000-0000-00007C500000}"/>
    <cellStyle name="Normal 2 14 2 2 3 2 5 2" xfId="38716" xr:uid="{00000000-0005-0000-0000-00007D500000}"/>
    <cellStyle name="Normal 2 14 2 2 3 2 6" xfId="8633" xr:uid="{00000000-0005-0000-0000-00007E500000}"/>
    <cellStyle name="Normal 2 14 2 2 3 2 6 2" xfId="31276" xr:uid="{00000000-0005-0000-0000-00007F500000}"/>
    <cellStyle name="Normal 2 14 2 2 3 2 7" xfId="23835" xr:uid="{00000000-0005-0000-0000-000080500000}"/>
    <cellStyle name="Normal 2 14 2 2 3 3" xfId="1646" xr:uid="{00000000-0005-0000-0000-000081500000}"/>
    <cellStyle name="Normal 2 14 2 2 3 3 2" xfId="3496" xr:uid="{00000000-0005-0000-0000-000082500000}"/>
    <cellStyle name="Normal 2 14 2 2 3 3 2 2" xfId="7217" xr:uid="{00000000-0005-0000-0000-000083500000}"/>
    <cellStyle name="Normal 2 14 2 2 3 3 2 2 2" xfId="22101" xr:uid="{00000000-0005-0000-0000-000084500000}"/>
    <cellStyle name="Normal 2 14 2 2 3 3 2 2 2 2" xfId="44744" xr:uid="{00000000-0005-0000-0000-000085500000}"/>
    <cellStyle name="Normal 2 14 2 2 3 3 2 2 3" xfId="14661" xr:uid="{00000000-0005-0000-0000-000086500000}"/>
    <cellStyle name="Normal 2 14 2 2 3 3 2 2 3 2" xfId="37304" xr:uid="{00000000-0005-0000-0000-000087500000}"/>
    <cellStyle name="Normal 2 14 2 2 3 3 2 2 4" xfId="29863" xr:uid="{00000000-0005-0000-0000-000088500000}"/>
    <cellStyle name="Normal 2 14 2 2 3 3 2 3" xfId="18383" xr:uid="{00000000-0005-0000-0000-000089500000}"/>
    <cellStyle name="Normal 2 14 2 2 3 3 2 3 2" xfId="41026" xr:uid="{00000000-0005-0000-0000-00008A500000}"/>
    <cellStyle name="Normal 2 14 2 2 3 3 2 4" xfId="10943" xr:uid="{00000000-0005-0000-0000-00008B500000}"/>
    <cellStyle name="Normal 2 14 2 2 3 3 2 4 2" xfId="33586" xr:uid="{00000000-0005-0000-0000-00008C500000}"/>
    <cellStyle name="Normal 2 14 2 2 3 3 2 5" xfId="26145" xr:uid="{00000000-0005-0000-0000-00008D500000}"/>
    <cellStyle name="Normal 2 14 2 2 3 3 3" xfId="5370" xr:uid="{00000000-0005-0000-0000-00008E500000}"/>
    <cellStyle name="Normal 2 14 2 2 3 3 3 2" xfId="20254" xr:uid="{00000000-0005-0000-0000-00008F500000}"/>
    <cellStyle name="Normal 2 14 2 2 3 3 3 2 2" xfId="42897" xr:uid="{00000000-0005-0000-0000-000090500000}"/>
    <cellStyle name="Normal 2 14 2 2 3 3 3 3" xfId="12814" xr:uid="{00000000-0005-0000-0000-000091500000}"/>
    <cellStyle name="Normal 2 14 2 2 3 3 3 3 2" xfId="35457" xr:uid="{00000000-0005-0000-0000-000092500000}"/>
    <cellStyle name="Normal 2 14 2 2 3 3 3 4" xfId="28016" xr:uid="{00000000-0005-0000-0000-000093500000}"/>
    <cellStyle name="Normal 2 14 2 2 3 3 4" xfId="16536" xr:uid="{00000000-0005-0000-0000-000094500000}"/>
    <cellStyle name="Normal 2 14 2 2 3 3 4 2" xfId="39179" xr:uid="{00000000-0005-0000-0000-000095500000}"/>
    <cellStyle name="Normal 2 14 2 2 3 3 5" xfId="9096" xr:uid="{00000000-0005-0000-0000-000096500000}"/>
    <cellStyle name="Normal 2 14 2 2 3 3 5 2" xfId="31739" xr:uid="{00000000-0005-0000-0000-000097500000}"/>
    <cellStyle name="Normal 2 14 2 2 3 3 6" xfId="24298" xr:uid="{00000000-0005-0000-0000-000098500000}"/>
    <cellStyle name="Normal 2 14 2 2 3 4" xfId="2571" xr:uid="{00000000-0005-0000-0000-000099500000}"/>
    <cellStyle name="Normal 2 14 2 2 3 4 2" xfId="6292" xr:uid="{00000000-0005-0000-0000-00009A500000}"/>
    <cellStyle name="Normal 2 14 2 2 3 4 2 2" xfId="21176" xr:uid="{00000000-0005-0000-0000-00009B500000}"/>
    <cellStyle name="Normal 2 14 2 2 3 4 2 2 2" xfId="43819" xr:uid="{00000000-0005-0000-0000-00009C500000}"/>
    <cellStyle name="Normal 2 14 2 2 3 4 2 3" xfId="13736" xr:uid="{00000000-0005-0000-0000-00009D500000}"/>
    <cellStyle name="Normal 2 14 2 2 3 4 2 3 2" xfId="36379" xr:uid="{00000000-0005-0000-0000-00009E500000}"/>
    <cellStyle name="Normal 2 14 2 2 3 4 2 4" xfId="28938" xr:uid="{00000000-0005-0000-0000-00009F500000}"/>
    <cellStyle name="Normal 2 14 2 2 3 4 3" xfId="17458" xr:uid="{00000000-0005-0000-0000-0000A0500000}"/>
    <cellStyle name="Normal 2 14 2 2 3 4 3 2" xfId="40101" xr:uid="{00000000-0005-0000-0000-0000A1500000}"/>
    <cellStyle name="Normal 2 14 2 2 3 4 4" xfId="10018" xr:uid="{00000000-0005-0000-0000-0000A2500000}"/>
    <cellStyle name="Normal 2 14 2 2 3 4 4 2" xfId="32661" xr:uid="{00000000-0005-0000-0000-0000A3500000}"/>
    <cellStyle name="Normal 2 14 2 2 3 4 5" xfId="25220" xr:uid="{00000000-0005-0000-0000-0000A4500000}"/>
    <cellStyle name="Normal 2 14 2 2 3 5" xfId="4445" xr:uid="{00000000-0005-0000-0000-0000A5500000}"/>
    <cellStyle name="Normal 2 14 2 2 3 5 2" xfId="19329" xr:uid="{00000000-0005-0000-0000-0000A6500000}"/>
    <cellStyle name="Normal 2 14 2 2 3 5 2 2" xfId="41972" xr:uid="{00000000-0005-0000-0000-0000A7500000}"/>
    <cellStyle name="Normal 2 14 2 2 3 5 3" xfId="11889" xr:uid="{00000000-0005-0000-0000-0000A8500000}"/>
    <cellStyle name="Normal 2 14 2 2 3 5 3 2" xfId="34532" xr:uid="{00000000-0005-0000-0000-0000A9500000}"/>
    <cellStyle name="Normal 2 14 2 2 3 5 4" xfId="27091" xr:uid="{00000000-0005-0000-0000-0000AA500000}"/>
    <cellStyle name="Normal 2 14 2 2 3 6" xfId="15611" xr:uid="{00000000-0005-0000-0000-0000AB500000}"/>
    <cellStyle name="Normal 2 14 2 2 3 6 2" xfId="38254" xr:uid="{00000000-0005-0000-0000-0000AC500000}"/>
    <cellStyle name="Normal 2 14 2 2 3 7" xfId="8171" xr:uid="{00000000-0005-0000-0000-0000AD500000}"/>
    <cellStyle name="Normal 2 14 2 2 3 7 2" xfId="30814" xr:uid="{00000000-0005-0000-0000-0000AE500000}"/>
    <cellStyle name="Normal 2 14 2 2 3 8" xfId="23373" xr:uid="{00000000-0005-0000-0000-0000AF500000}"/>
    <cellStyle name="Normal 2 14 2 2 4" xfId="969" xr:uid="{00000000-0005-0000-0000-0000B0500000}"/>
    <cellStyle name="Normal 2 14 2 2 4 2" xfId="1897" xr:uid="{00000000-0005-0000-0000-0000B1500000}"/>
    <cellStyle name="Normal 2 14 2 2 4 2 2" xfId="3747" xr:uid="{00000000-0005-0000-0000-0000B2500000}"/>
    <cellStyle name="Normal 2 14 2 2 4 2 2 2" xfId="7468" xr:uid="{00000000-0005-0000-0000-0000B3500000}"/>
    <cellStyle name="Normal 2 14 2 2 4 2 2 2 2" xfId="22352" xr:uid="{00000000-0005-0000-0000-0000B4500000}"/>
    <cellStyle name="Normal 2 14 2 2 4 2 2 2 2 2" xfId="44995" xr:uid="{00000000-0005-0000-0000-0000B5500000}"/>
    <cellStyle name="Normal 2 14 2 2 4 2 2 2 3" xfId="14912" xr:uid="{00000000-0005-0000-0000-0000B6500000}"/>
    <cellStyle name="Normal 2 14 2 2 4 2 2 2 3 2" xfId="37555" xr:uid="{00000000-0005-0000-0000-0000B7500000}"/>
    <cellStyle name="Normal 2 14 2 2 4 2 2 2 4" xfId="30114" xr:uid="{00000000-0005-0000-0000-0000B8500000}"/>
    <cellStyle name="Normal 2 14 2 2 4 2 2 3" xfId="18634" xr:uid="{00000000-0005-0000-0000-0000B9500000}"/>
    <cellStyle name="Normal 2 14 2 2 4 2 2 3 2" xfId="41277" xr:uid="{00000000-0005-0000-0000-0000BA500000}"/>
    <cellStyle name="Normal 2 14 2 2 4 2 2 4" xfId="11194" xr:uid="{00000000-0005-0000-0000-0000BB500000}"/>
    <cellStyle name="Normal 2 14 2 2 4 2 2 4 2" xfId="33837" xr:uid="{00000000-0005-0000-0000-0000BC500000}"/>
    <cellStyle name="Normal 2 14 2 2 4 2 2 5" xfId="26396" xr:uid="{00000000-0005-0000-0000-0000BD500000}"/>
    <cellStyle name="Normal 2 14 2 2 4 2 3" xfId="5621" xr:uid="{00000000-0005-0000-0000-0000BE500000}"/>
    <cellStyle name="Normal 2 14 2 2 4 2 3 2" xfId="20505" xr:uid="{00000000-0005-0000-0000-0000BF500000}"/>
    <cellStyle name="Normal 2 14 2 2 4 2 3 2 2" xfId="43148" xr:uid="{00000000-0005-0000-0000-0000C0500000}"/>
    <cellStyle name="Normal 2 14 2 2 4 2 3 3" xfId="13065" xr:uid="{00000000-0005-0000-0000-0000C1500000}"/>
    <cellStyle name="Normal 2 14 2 2 4 2 3 3 2" xfId="35708" xr:uid="{00000000-0005-0000-0000-0000C2500000}"/>
    <cellStyle name="Normal 2 14 2 2 4 2 3 4" xfId="28267" xr:uid="{00000000-0005-0000-0000-0000C3500000}"/>
    <cellStyle name="Normal 2 14 2 2 4 2 4" xfId="16787" xr:uid="{00000000-0005-0000-0000-0000C4500000}"/>
    <cellStyle name="Normal 2 14 2 2 4 2 4 2" xfId="39430" xr:uid="{00000000-0005-0000-0000-0000C5500000}"/>
    <cellStyle name="Normal 2 14 2 2 4 2 5" xfId="9347" xr:uid="{00000000-0005-0000-0000-0000C6500000}"/>
    <cellStyle name="Normal 2 14 2 2 4 2 5 2" xfId="31990" xr:uid="{00000000-0005-0000-0000-0000C7500000}"/>
    <cellStyle name="Normal 2 14 2 2 4 2 6" xfId="24549" xr:uid="{00000000-0005-0000-0000-0000C8500000}"/>
    <cellStyle name="Normal 2 14 2 2 4 3" xfId="2822" xr:uid="{00000000-0005-0000-0000-0000C9500000}"/>
    <cellStyle name="Normal 2 14 2 2 4 3 2" xfId="6543" xr:uid="{00000000-0005-0000-0000-0000CA500000}"/>
    <cellStyle name="Normal 2 14 2 2 4 3 2 2" xfId="21427" xr:uid="{00000000-0005-0000-0000-0000CB500000}"/>
    <cellStyle name="Normal 2 14 2 2 4 3 2 2 2" xfId="44070" xr:uid="{00000000-0005-0000-0000-0000CC500000}"/>
    <cellStyle name="Normal 2 14 2 2 4 3 2 3" xfId="13987" xr:uid="{00000000-0005-0000-0000-0000CD500000}"/>
    <cellStyle name="Normal 2 14 2 2 4 3 2 3 2" xfId="36630" xr:uid="{00000000-0005-0000-0000-0000CE500000}"/>
    <cellStyle name="Normal 2 14 2 2 4 3 2 4" xfId="29189" xr:uid="{00000000-0005-0000-0000-0000CF500000}"/>
    <cellStyle name="Normal 2 14 2 2 4 3 3" xfId="17709" xr:uid="{00000000-0005-0000-0000-0000D0500000}"/>
    <cellStyle name="Normal 2 14 2 2 4 3 3 2" xfId="40352" xr:uid="{00000000-0005-0000-0000-0000D1500000}"/>
    <cellStyle name="Normal 2 14 2 2 4 3 4" xfId="10269" xr:uid="{00000000-0005-0000-0000-0000D2500000}"/>
    <cellStyle name="Normal 2 14 2 2 4 3 4 2" xfId="32912" xr:uid="{00000000-0005-0000-0000-0000D3500000}"/>
    <cellStyle name="Normal 2 14 2 2 4 3 5" xfId="25471" xr:uid="{00000000-0005-0000-0000-0000D4500000}"/>
    <cellStyle name="Normal 2 14 2 2 4 4" xfId="4696" xr:uid="{00000000-0005-0000-0000-0000D5500000}"/>
    <cellStyle name="Normal 2 14 2 2 4 4 2" xfId="19580" xr:uid="{00000000-0005-0000-0000-0000D6500000}"/>
    <cellStyle name="Normal 2 14 2 2 4 4 2 2" xfId="42223" xr:uid="{00000000-0005-0000-0000-0000D7500000}"/>
    <cellStyle name="Normal 2 14 2 2 4 4 3" xfId="12140" xr:uid="{00000000-0005-0000-0000-0000D8500000}"/>
    <cellStyle name="Normal 2 14 2 2 4 4 3 2" xfId="34783" xr:uid="{00000000-0005-0000-0000-0000D9500000}"/>
    <cellStyle name="Normal 2 14 2 2 4 4 4" xfId="27342" xr:uid="{00000000-0005-0000-0000-0000DA500000}"/>
    <cellStyle name="Normal 2 14 2 2 4 5" xfId="15862" xr:uid="{00000000-0005-0000-0000-0000DB500000}"/>
    <cellStyle name="Normal 2 14 2 2 4 5 2" xfId="38505" xr:uid="{00000000-0005-0000-0000-0000DC500000}"/>
    <cellStyle name="Normal 2 14 2 2 4 6" xfId="8422" xr:uid="{00000000-0005-0000-0000-0000DD500000}"/>
    <cellStyle name="Normal 2 14 2 2 4 6 2" xfId="31065" xr:uid="{00000000-0005-0000-0000-0000DE500000}"/>
    <cellStyle name="Normal 2 14 2 2 4 7" xfId="23624" xr:uid="{00000000-0005-0000-0000-0000DF500000}"/>
    <cellStyle name="Normal 2 14 2 2 5" xfId="1435" xr:uid="{00000000-0005-0000-0000-0000E0500000}"/>
    <cellStyle name="Normal 2 14 2 2 5 2" xfId="3285" xr:uid="{00000000-0005-0000-0000-0000E1500000}"/>
    <cellStyle name="Normal 2 14 2 2 5 2 2" xfId="7006" xr:uid="{00000000-0005-0000-0000-0000E2500000}"/>
    <cellStyle name="Normal 2 14 2 2 5 2 2 2" xfId="21890" xr:uid="{00000000-0005-0000-0000-0000E3500000}"/>
    <cellStyle name="Normal 2 14 2 2 5 2 2 2 2" xfId="44533" xr:uid="{00000000-0005-0000-0000-0000E4500000}"/>
    <cellStyle name="Normal 2 14 2 2 5 2 2 3" xfId="14450" xr:uid="{00000000-0005-0000-0000-0000E5500000}"/>
    <cellStyle name="Normal 2 14 2 2 5 2 2 3 2" xfId="37093" xr:uid="{00000000-0005-0000-0000-0000E6500000}"/>
    <cellStyle name="Normal 2 14 2 2 5 2 2 4" xfId="29652" xr:uid="{00000000-0005-0000-0000-0000E7500000}"/>
    <cellStyle name="Normal 2 14 2 2 5 2 3" xfId="18172" xr:uid="{00000000-0005-0000-0000-0000E8500000}"/>
    <cellStyle name="Normal 2 14 2 2 5 2 3 2" xfId="40815" xr:uid="{00000000-0005-0000-0000-0000E9500000}"/>
    <cellStyle name="Normal 2 14 2 2 5 2 4" xfId="10732" xr:uid="{00000000-0005-0000-0000-0000EA500000}"/>
    <cellStyle name="Normal 2 14 2 2 5 2 4 2" xfId="33375" xr:uid="{00000000-0005-0000-0000-0000EB500000}"/>
    <cellStyle name="Normal 2 14 2 2 5 2 5" xfId="25934" xr:uid="{00000000-0005-0000-0000-0000EC500000}"/>
    <cellStyle name="Normal 2 14 2 2 5 3" xfId="5159" xr:uid="{00000000-0005-0000-0000-0000ED500000}"/>
    <cellStyle name="Normal 2 14 2 2 5 3 2" xfId="20043" xr:uid="{00000000-0005-0000-0000-0000EE500000}"/>
    <cellStyle name="Normal 2 14 2 2 5 3 2 2" xfId="42686" xr:uid="{00000000-0005-0000-0000-0000EF500000}"/>
    <cellStyle name="Normal 2 14 2 2 5 3 3" xfId="12603" xr:uid="{00000000-0005-0000-0000-0000F0500000}"/>
    <cellStyle name="Normal 2 14 2 2 5 3 3 2" xfId="35246" xr:uid="{00000000-0005-0000-0000-0000F1500000}"/>
    <cellStyle name="Normal 2 14 2 2 5 3 4" xfId="27805" xr:uid="{00000000-0005-0000-0000-0000F2500000}"/>
    <cellStyle name="Normal 2 14 2 2 5 4" xfId="16325" xr:uid="{00000000-0005-0000-0000-0000F3500000}"/>
    <cellStyle name="Normal 2 14 2 2 5 4 2" xfId="38968" xr:uid="{00000000-0005-0000-0000-0000F4500000}"/>
    <cellStyle name="Normal 2 14 2 2 5 5" xfId="8885" xr:uid="{00000000-0005-0000-0000-0000F5500000}"/>
    <cellStyle name="Normal 2 14 2 2 5 5 2" xfId="31528" xr:uid="{00000000-0005-0000-0000-0000F6500000}"/>
    <cellStyle name="Normal 2 14 2 2 5 6" xfId="24087" xr:uid="{00000000-0005-0000-0000-0000F7500000}"/>
    <cellStyle name="Normal 2 14 2 2 6" xfId="2360" xr:uid="{00000000-0005-0000-0000-0000F8500000}"/>
    <cellStyle name="Normal 2 14 2 2 6 2" xfId="6081" xr:uid="{00000000-0005-0000-0000-0000F9500000}"/>
    <cellStyle name="Normal 2 14 2 2 6 2 2" xfId="20965" xr:uid="{00000000-0005-0000-0000-0000FA500000}"/>
    <cellStyle name="Normal 2 14 2 2 6 2 2 2" xfId="43608" xr:uid="{00000000-0005-0000-0000-0000FB500000}"/>
    <cellStyle name="Normal 2 14 2 2 6 2 3" xfId="13525" xr:uid="{00000000-0005-0000-0000-0000FC500000}"/>
    <cellStyle name="Normal 2 14 2 2 6 2 3 2" xfId="36168" xr:uid="{00000000-0005-0000-0000-0000FD500000}"/>
    <cellStyle name="Normal 2 14 2 2 6 2 4" xfId="28727" xr:uid="{00000000-0005-0000-0000-0000FE500000}"/>
    <cellStyle name="Normal 2 14 2 2 6 3" xfId="17247" xr:uid="{00000000-0005-0000-0000-0000FF500000}"/>
    <cellStyle name="Normal 2 14 2 2 6 3 2" xfId="39890" xr:uid="{00000000-0005-0000-0000-000000510000}"/>
    <cellStyle name="Normal 2 14 2 2 6 4" xfId="9807" xr:uid="{00000000-0005-0000-0000-000001510000}"/>
    <cellStyle name="Normal 2 14 2 2 6 4 2" xfId="32450" xr:uid="{00000000-0005-0000-0000-000002510000}"/>
    <cellStyle name="Normal 2 14 2 2 6 5" xfId="25009" xr:uid="{00000000-0005-0000-0000-000003510000}"/>
    <cellStyle name="Normal 2 14 2 2 7" xfId="4234" xr:uid="{00000000-0005-0000-0000-000004510000}"/>
    <cellStyle name="Normal 2 14 2 2 7 2" xfId="19118" xr:uid="{00000000-0005-0000-0000-000005510000}"/>
    <cellStyle name="Normal 2 14 2 2 7 2 2" xfId="41761" xr:uid="{00000000-0005-0000-0000-000006510000}"/>
    <cellStyle name="Normal 2 14 2 2 7 3" xfId="11678" xr:uid="{00000000-0005-0000-0000-000007510000}"/>
    <cellStyle name="Normal 2 14 2 2 7 3 2" xfId="34321" xr:uid="{00000000-0005-0000-0000-000008510000}"/>
    <cellStyle name="Normal 2 14 2 2 7 4" xfId="26880" xr:uid="{00000000-0005-0000-0000-000009510000}"/>
    <cellStyle name="Normal 2 14 2 2 8" xfId="15400" xr:uid="{00000000-0005-0000-0000-00000A510000}"/>
    <cellStyle name="Normal 2 14 2 2 8 2" xfId="38043" xr:uid="{00000000-0005-0000-0000-00000B510000}"/>
    <cellStyle name="Normal 2 14 2 2 9" xfId="7960" xr:uid="{00000000-0005-0000-0000-00000C510000}"/>
    <cellStyle name="Normal 2 14 2 2 9 2" xfId="30603" xr:uid="{00000000-0005-0000-0000-00000D510000}"/>
    <cellStyle name="Normal 2 14 2 3" xfId="556" xr:uid="{00000000-0005-0000-0000-00000E510000}"/>
    <cellStyle name="Normal 2 14 2 3 2" xfId="768" xr:uid="{00000000-0005-0000-0000-00000F510000}"/>
    <cellStyle name="Normal 2 14 2 3 2 2" xfId="1233" xr:uid="{00000000-0005-0000-0000-000010510000}"/>
    <cellStyle name="Normal 2 14 2 3 2 2 2" xfId="2161" xr:uid="{00000000-0005-0000-0000-000011510000}"/>
    <cellStyle name="Normal 2 14 2 3 2 2 2 2" xfId="4011" xr:uid="{00000000-0005-0000-0000-000012510000}"/>
    <cellStyle name="Normal 2 14 2 3 2 2 2 2 2" xfId="7732" xr:uid="{00000000-0005-0000-0000-000013510000}"/>
    <cellStyle name="Normal 2 14 2 3 2 2 2 2 2 2" xfId="22616" xr:uid="{00000000-0005-0000-0000-000014510000}"/>
    <cellStyle name="Normal 2 14 2 3 2 2 2 2 2 2 2" xfId="45259" xr:uid="{00000000-0005-0000-0000-000015510000}"/>
    <cellStyle name="Normal 2 14 2 3 2 2 2 2 2 3" xfId="15176" xr:uid="{00000000-0005-0000-0000-000016510000}"/>
    <cellStyle name="Normal 2 14 2 3 2 2 2 2 2 3 2" xfId="37819" xr:uid="{00000000-0005-0000-0000-000017510000}"/>
    <cellStyle name="Normal 2 14 2 3 2 2 2 2 2 4" xfId="30378" xr:uid="{00000000-0005-0000-0000-000018510000}"/>
    <cellStyle name="Normal 2 14 2 3 2 2 2 2 3" xfId="18898" xr:uid="{00000000-0005-0000-0000-000019510000}"/>
    <cellStyle name="Normal 2 14 2 3 2 2 2 2 3 2" xfId="41541" xr:uid="{00000000-0005-0000-0000-00001A510000}"/>
    <cellStyle name="Normal 2 14 2 3 2 2 2 2 4" xfId="11458" xr:uid="{00000000-0005-0000-0000-00001B510000}"/>
    <cellStyle name="Normal 2 14 2 3 2 2 2 2 4 2" xfId="34101" xr:uid="{00000000-0005-0000-0000-00001C510000}"/>
    <cellStyle name="Normal 2 14 2 3 2 2 2 2 5" xfId="26660" xr:uid="{00000000-0005-0000-0000-00001D510000}"/>
    <cellStyle name="Normal 2 14 2 3 2 2 2 3" xfId="5885" xr:uid="{00000000-0005-0000-0000-00001E510000}"/>
    <cellStyle name="Normal 2 14 2 3 2 2 2 3 2" xfId="20769" xr:uid="{00000000-0005-0000-0000-00001F510000}"/>
    <cellStyle name="Normal 2 14 2 3 2 2 2 3 2 2" xfId="43412" xr:uid="{00000000-0005-0000-0000-000020510000}"/>
    <cellStyle name="Normal 2 14 2 3 2 2 2 3 3" xfId="13329" xr:uid="{00000000-0005-0000-0000-000021510000}"/>
    <cellStyle name="Normal 2 14 2 3 2 2 2 3 3 2" xfId="35972" xr:uid="{00000000-0005-0000-0000-000022510000}"/>
    <cellStyle name="Normal 2 14 2 3 2 2 2 3 4" xfId="28531" xr:uid="{00000000-0005-0000-0000-000023510000}"/>
    <cellStyle name="Normal 2 14 2 3 2 2 2 4" xfId="17051" xr:uid="{00000000-0005-0000-0000-000024510000}"/>
    <cellStyle name="Normal 2 14 2 3 2 2 2 4 2" xfId="39694" xr:uid="{00000000-0005-0000-0000-000025510000}"/>
    <cellStyle name="Normal 2 14 2 3 2 2 2 5" xfId="9611" xr:uid="{00000000-0005-0000-0000-000026510000}"/>
    <cellStyle name="Normal 2 14 2 3 2 2 2 5 2" xfId="32254" xr:uid="{00000000-0005-0000-0000-000027510000}"/>
    <cellStyle name="Normal 2 14 2 3 2 2 2 6" xfId="24813" xr:uid="{00000000-0005-0000-0000-000028510000}"/>
    <cellStyle name="Normal 2 14 2 3 2 2 3" xfId="3086" xr:uid="{00000000-0005-0000-0000-000029510000}"/>
    <cellStyle name="Normal 2 14 2 3 2 2 3 2" xfId="6807" xr:uid="{00000000-0005-0000-0000-00002A510000}"/>
    <cellStyle name="Normal 2 14 2 3 2 2 3 2 2" xfId="21691" xr:uid="{00000000-0005-0000-0000-00002B510000}"/>
    <cellStyle name="Normal 2 14 2 3 2 2 3 2 2 2" xfId="44334" xr:uid="{00000000-0005-0000-0000-00002C510000}"/>
    <cellStyle name="Normal 2 14 2 3 2 2 3 2 3" xfId="14251" xr:uid="{00000000-0005-0000-0000-00002D510000}"/>
    <cellStyle name="Normal 2 14 2 3 2 2 3 2 3 2" xfId="36894" xr:uid="{00000000-0005-0000-0000-00002E510000}"/>
    <cellStyle name="Normal 2 14 2 3 2 2 3 2 4" xfId="29453" xr:uid="{00000000-0005-0000-0000-00002F510000}"/>
    <cellStyle name="Normal 2 14 2 3 2 2 3 3" xfId="17973" xr:uid="{00000000-0005-0000-0000-000030510000}"/>
    <cellStyle name="Normal 2 14 2 3 2 2 3 3 2" xfId="40616" xr:uid="{00000000-0005-0000-0000-000031510000}"/>
    <cellStyle name="Normal 2 14 2 3 2 2 3 4" xfId="10533" xr:uid="{00000000-0005-0000-0000-000032510000}"/>
    <cellStyle name="Normal 2 14 2 3 2 2 3 4 2" xfId="33176" xr:uid="{00000000-0005-0000-0000-000033510000}"/>
    <cellStyle name="Normal 2 14 2 3 2 2 3 5" xfId="25735" xr:uid="{00000000-0005-0000-0000-000034510000}"/>
    <cellStyle name="Normal 2 14 2 3 2 2 4" xfId="4960" xr:uid="{00000000-0005-0000-0000-000035510000}"/>
    <cellStyle name="Normal 2 14 2 3 2 2 4 2" xfId="19844" xr:uid="{00000000-0005-0000-0000-000036510000}"/>
    <cellStyle name="Normal 2 14 2 3 2 2 4 2 2" xfId="42487" xr:uid="{00000000-0005-0000-0000-000037510000}"/>
    <cellStyle name="Normal 2 14 2 3 2 2 4 3" xfId="12404" xr:uid="{00000000-0005-0000-0000-000038510000}"/>
    <cellStyle name="Normal 2 14 2 3 2 2 4 3 2" xfId="35047" xr:uid="{00000000-0005-0000-0000-000039510000}"/>
    <cellStyle name="Normal 2 14 2 3 2 2 4 4" xfId="27606" xr:uid="{00000000-0005-0000-0000-00003A510000}"/>
    <cellStyle name="Normal 2 14 2 3 2 2 5" xfId="16126" xr:uid="{00000000-0005-0000-0000-00003B510000}"/>
    <cellStyle name="Normal 2 14 2 3 2 2 5 2" xfId="38769" xr:uid="{00000000-0005-0000-0000-00003C510000}"/>
    <cellStyle name="Normal 2 14 2 3 2 2 6" xfId="8686" xr:uid="{00000000-0005-0000-0000-00003D510000}"/>
    <cellStyle name="Normal 2 14 2 3 2 2 6 2" xfId="31329" xr:uid="{00000000-0005-0000-0000-00003E510000}"/>
    <cellStyle name="Normal 2 14 2 3 2 2 7" xfId="23888" xr:uid="{00000000-0005-0000-0000-00003F510000}"/>
    <cellStyle name="Normal 2 14 2 3 2 3" xfId="1699" xr:uid="{00000000-0005-0000-0000-000040510000}"/>
    <cellStyle name="Normal 2 14 2 3 2 3 2" xfId="3549" xr:uid="{00000000-0005-0000-0000-000041510000}"/>
    <cellStyle name="Normal 2 14 2 3 2 3 2 2" xfId="7270" xr:uid="{00000000-0005-0000-0000-000042510000}"/>
    <cellStyle name="Normal 2 14 2 3 2 3 2 2 2" xfId="22154" xr:uid="{00000000-0005-0000-0000-000043510000}"/>
    <cellStyle name="Normal 2 14 2 3 2 3 2 2 2 2" xfId="44797" xr:uid="{00000000-0005-0000-0000-000044510000}"/>
    <cellStyle name="Normal 2 14 2 3 2 3 2 2 3" xfId="14714" xr:uid="{00000000-0005-0000-0000-000045510000}"/>
    <cellStyle name="Normal 2 14 2 3 2 3 2 2 3 2" xfId="37357" xr:uid="{00000000-0005-0000-0000-000046510000}"/>
    <cellStyle name="Normal 2 14 2 3 2 3 2 2 4" xfId="29916" xr:uid="{00000000-0005-0000-0000-000047510000}"/>
    <cellStyle name="Normal 2 14 2 3 2 3 2 3" xfId="18436" xr:uid="{00000000-0005-0000-0000-000048510000}"/>
    <cellStyle name="Normal 2 14 2 3 2 3 2 3 2" xfId="41079" xr:uid="{00000000-0005-0000-0000-000049510000}"/>
    <cellStyle name="Normal 2 14 2 3 2 3 2 4" xfId="10996" xr:uid="{00000000-0005-0000-0000-00004A510000}"/>
    <cellStyle name="Normal 2 14 2 3 2 3 2 4 2" xfId="33639" xr:uid="{00000000-0005-0000-0000-00004B510000}"/>
    <cellStyle name="Normal 2 14 2 3 2 3 2 5" xfId="26198" xr:uid="{00000000-0005-0000-0000-00004C510000}"/>
    <cellStyle name="Normal 2 14 2 3 2 3 3" xfId="5423" xr:uid="{00000000-0005-0000-0000-00004D510000}"/>
    <cellStyle name="Normal 2 14 2 3 2 3 3 2" xfId="20307" xr:uid="{00000000-0005-0000-0000-00004E510000}"/>
    <cellStyle name="Normal 2 14 2 3 2 3 3 2 2" xfId="42950" xr:uid="{00000000-0005-0000-0000-00004F510000}"/>
    <cellStyle name="Normal 2 14 2 3 2 3 3 3" xfId="12867" xr:uid="{00000000-0005-0000-0000-000050510000}"/>
    <cellStyle name="Normal 2 14 2 3 2 3 3 3 2" xfId="35510" xr:uid="{00000000-0005-0000-0000-000051510000}"/>
    <cellStyle name="Normal 2 14 2 3 2 3 3 4" xfId="28069" xr:uid="{00000000-0005-0000-0000-000052510000}"/>
    <cellStyle name="Normal 2 14 2 3 2 3 4" xfId="16589" xr:uid="{00000000-0005-0000-0000-000053510000}"/>
    <cellStyle name="Normal 2 14 2 3 2 3 4 2" xfId="39232" xr:uid="{00000000-0005-0000-0000-000054510000}"/>
    <cellStyle name="Normal 2 14 2 3 2 3 5" xfId="9149" xr:uid="{00000000-0005-0000-0000-000055510000}"/>
    <cellStyle name="Normal 2 14 2 3 2 3 5 2" xfId="31792" xr:uid="{00000000-0005-0000-0000-000056510000}"/>
    <cellStyle name="Normal 2 14 2 3 2 3 6" xfId="24351" xr:uid="{00000000-0005-0000-0000-000057510000}"/>
    <cellStyle name="Normal 2 14 2 3 2 4" xfId="2624" xr:uid="{00000000-0005-0000-0000-000058510000}"/>
    <cellStyle name="Normal 2 14 2 3 2 4 2" xfId="6345" xr:uid="{00000000-0005-0000-0000-000059510000}"/>
    <cellStyle name="Normal 2 14 2 3 2 4 2 2" xfId="21229" xr:uid="{00000000-0005-0000-0000-00005A510000}"/>
    <cellStyle name="Normal 2 14 2 3 2 4 2 2 2" xfId="43872" xr:uid="{00000000-0005-0000-0000-00005B510000}"/>
    <cellStyle name="Normal 2 14 2 3 2 4 2 3" xfId="13789" xr:uid="{00000000-0005-0000-0000-00005C510000}"/>
    <cellStyle name="Normal 2 14 2 3 2 4 2 3 2" xfId="36432" xr:uid="{00000000-0005-0000-0000-00005D510000}"/>
    <cellStyle name="Normal 2 14 2 3 2 4 2 4" xfId="28991" xr:uid="{00000000-0005-0000-0000-00005E510000}"/>
    <cellStyle name="Normal 2 14 2 3 2 4 3" xfId="17511" xr:uid="{00000000-0005-0000-0000-00005F510000}"/>
    <cellStyle name="Normal 2 14 2 3 2 4 3 2" xfId="40154" xr:uid="{00000000-0005-0000-0000-000060510000}"/>
    <cellStyle name="Normal 2 14 2 3 2 4 4" xfId="10071" xr:uid="{00000000-0005-0000-0000-000061510000}"/>
    <cellStyle name="Normal 2 14 2 3 2 4 4 2" xfId="32714" xr:uid="{00000000-0005-0000-0000-000062510000}"/>
    <cellStyle name="Normal 2 14 2 3 2 4 5" xfId="25273" xr:uid="{00000000-0005-0000-0000-000063510000}"/>
    <cellStyle name="Normal 2 14 2 3 2 5" xfId="4498" xr:uid="{00000000-0005-0000-0000-000064510000}"/>
    <cellStyle name="Normal 2 14 2 3 2 5 2" xfId="19382" xr:uid="{00000000-0005-0000-0000-000065510000}"/>
    <cellStyle name="Normal 2 14 2 3 2 5 2 2" xfId="42025" xr:uid="{00000000-0005-0000-0000-000066510000}"/>
    <cellStyle name="Normal 2 14 2 3 2 5 3" xfId="11942" xr:uid="{00000000-0005-0000-0000-000067510000}"/>
    <cellStyle name="Normal 2 14 2 3 2 5 3 2" xfId="34585" xr:uid="{00000000-0005-0000-0000-000068510000}"/>
    <cellStyle name="Normal 2 14 2 3 2 5 4" xfId="27144" xr:uid="{00000000-0005-0000-0000-000069510000}"/>
    <cellStyle name="Normal 2 14 2 3 2 6" xfId="15664" xr:uid="{00000000-0005-0000-0000-00006A510000}"/>
    <cellStyle name="Normal 2 14 2 3 2 6 2" xfId="38307" xr:uid="{00000000-0005-0000-0000-00006B510000}"/>
    <cellStyle name="Normal 2 14 2 3 2 7" xfId="8224" xr:uid="{00000000-0005-0000-0000-00006C510000}"/>
    <cellStyle name="Normal 2 14 2 3 2 7 2" xfId="30867" xr:uid="{00000000-0005-0000-0000-00006D510000}"/>
    <cellStyle name="Normal 2 14 2 3 2 8" xfId="23426" xr:uid="{00000000-0005-0000-0000-00006E510000}"/>
    <cellStyle name="Normal 2 14 2 3 3" xfId="1022" xr:uid="{00000000-0005-0000-0000-00006F510000}"/>
    <cellStyle name="Normal 2 14 2 3 3 2" xfId="1950" xr:uid="{00000000-0005-0000-0000-000070510000}"/>
    <cellStyle name="Normal 2 14 2 3 3 2 2" xfId="3800" xr:uid="{00000000-0005-0000-0000-000071510000}"/>
    <cellStyle name="Normal 2 14 2 3 3 2 2 2" xfId="7521" xr:uid="{00000000-0005-0000-0000-000072510000}"/>
    <cellStyle name="Normal 2 14 2 3 3 2 2 2 2" xfId="22405" xr:uid="{00000000-0005-0000-0000-000073510000}"/>
    <cellStyle name="Normal 2 14 2 3 3 2 2 2 2 2" xfId="45048" xr:uid="{00000000-0005-0000-0000-000074510000}"/>
    <cellStyle name="Normal 2 14 2 3 3 2 2 2 3" xfId="14965" xr:uid="{00000000-0005-0000-0000-000075510000}"/>
    <cellStyle name="Normal 2 14 2 3 3 2 2 2 3 2" xfId="37608" xr:uid="{00000000-0005-0000-0000-000076510000}"/>
    <cellStyle name="Normal 2 14 2 3 3 2 2 2 4" xfId="30167" xr:uid="{00000000-0005-0000-0000-000077510000}"/>
    <cellStyle name="Normal 2 14 2 3 3 2 2 3" xfId="18687" xr:uid="{00000000-0005-0000-0000-000078510000}"/>
    <cellStyle name="Normal 2 14 2 3 3 2 2 3 2" xfId="41330" xr:uid="{00000000-0005-0000-0000-000079510000}"/>
    <cellStyle name="Normal 2 14 2 3 3 2 2 4" xfId="11247" xr:uid="{00000000-0005-0000-0000-00007A510000}"/>
    <cellStyle name="Normal 2 14 2 3 3 2 2 4 2" xfId="33890" xr:uid="{00000000-0005-0000-0000-00007B510000}"/>
    <cellStyle name="Normal 2 14 2 3 3 2 2 5" xfId="26449" xr:uid="{00000000-0005-0000-0000-00007C510000}"/>
    <cellStyle name="Normal 2 14 2 3 3 2 3" xfId="5674" xr:uid="{00000000-0005-0000-0000-00007D510000}"/>
    <cellStyle name="Normal 2 14 2 3 3 2 3 2" xfId="20558" xr:uid="{00000000-0005-0000-0000-00007E510000}"/>
    <cellStyle name="Normal 2 14 2 3 3 2 3 2 2" xfId="43201" xr:uid="{00000000-0005-0000-0000-00007F510000}"/>
    <cellStyle name="Normal 2 14 2 3 3 2 3 3" xfId="13118" xr:uid="{00000000-0005-0000-0000-000080510000}"/>
    <cellStyle name="Normal 2 14 2 3 3 2 3 3 2" xfId="35761" xr:uid="{00000000-0005-0000-0000-000081510000}"/>
    <cellStyle name="Normal 2 14 2 3 3 2 3 4" xfId="28320" xr:uid="{00000000-0005-0000-0000-000082510000}"/>
    <cellStyle name="Normal 2 14 2 3 3 2 4" xfId="16840" xr:uid="{00000000-0005-0000-0000-000083510000}"/>
    <cellStyle name="Normal 2 14 2 3 3 2 4 2" xfId="39483" xr:uid="{00000000-0005-0000-0000-000084510000}"/>
    <cellStyle name="Normal 2 14 2 3 3 2 5" xfId="9400" xr:uid="{00000000-0005-0000-0000-000085510000}"/>
    <cellStyle name="Normal 2 14 2 3 3 2 5 2" xfId="32043" xr:uid="{00000000-0005-0000-0000-000086510000}"/>
    <cellStyle name="Normal 2 14 2 3 3 2 6" xfId="24602" xr:uid="{00000000-0005-0000-0000-000087510000}"/>
    <cellStyle name="Normal 2 14 2 3 3 3" xfId="2875" xr:uid="{00000000-0005-0000-0000-000088510000}"/>
    <cellStyle name="Normal 2 14 2 3 3 3 2" xfId="6596" xr:uid="{00000000-0005-0000-0000-000089510000}"/>
    <cellStyle name="Normal 2 14 2 3 3 3 2 2" xfId="21480" xr:uid="{00000000-0005-0000-0000-00008A510000}"/>
    <cellStyle name="Normal 2 14 2 3 3 3 2 2 2" xfId="44123" xr:uid="{00000000-0005-0000-0000-00008B510000}"/>
    <cellStyle name="Normal 2 14 2 3 3 3 2 3" xfId="14040" xr:uid="{00000000-0005-0000-0000-00008C510000}"/>
    <cellStyle name="Normal 2 14 2 3 3 3 2 3 2" xfId="36683" xr:uid="{00000000-0005-0000-0000-00008D510000}"/>
    <cellStyle name="Normal 2 14 2 3 3 3 2 4" xfId="29242" xr:uid="{00000000-0005-0000-0000-00008E510000}"/>
    <cellStyle name="Normal 2 14 2 3 3 3 3" xfId="17762" xr:uid="{00000000-0005-0000-0000-00008F510000}"/>
    <cellStyle name="Normal 2 14 2 3 3 3 3 2" xfId="40405" xr:uid="{00000000-0005-0000-0000-000090510000}"/>
    <cellStyle name="Normal 2 14 2 3 3 3 4" xfId="10322" xr:uid="{00000000-0005-0000-0000-000091510000}"/>
    <cellStyle name="Normal 2 14 2 3 3 3 4 2" xfId="32965" xr:uid="{00000000-0005-0000-0000-000092510000}"/>
    <cellStyle name="Normal 2 14 2 3 3 3 5" xfId="25524" xr:uid="{00000000-0005-0000-0000-000093510000}"/>
    <cellStyle name="Normal 2 14 2 3 3 4" xfId="4749" xr:uid="{00000000-0005-0000-0000-000094510000}"/>
    <cellStyle name="Normal 2 14 2 3 3 4 2" xfId="19633" xr:uid="{00000000-0005-0000-0000-000095510000}"/>
    <cellStyle name="Normal 2 14 2 3 3 4 2 2" xfId="42276" xr:uid="{00000000-0005-0000-0000-000096510000}"/>
    <cellStyle name="Normal 2 14 2 3 3 4 3" xfId="12193" xr:uid="{00000000-0005-0000-0000-000097510000}"/>
    <cellStyle name="Normal 2 14 2 3 3 4 3 2" xfId="34836" xr:uid="{00000000-0005-0000-0000-000098510000}"/>
    <cellStyle name="Normal 2 14 2 3 3 4 4" xfId="27395" xr:uid="{00000000-0005-0000-0000-000099510000}"/>
    <cellStyle name="Normal 2 14 2 3 3 5" xfId="15915" xr:uid="{00000000-0005-0000-0000-00009A510000}"/>
    <cellStyle name="Normal 2 14 2 3 3 5 2" xfId="38558" xr:uid="{00000000-0005-0000-0000-00009B510000}"/>
    <cellStyle name="Normal 2 14 2 3 3 6" xfId="8475" xr:uid="{00000000-0005-0000-0000-00009C510000}"/>
    <cellStyle name="Normal 2 14 2 3 3 6 2" xfId="31118" xr:uid="{00000000-0005-0000-0000-00009D510000}"/>
    <cellStyle name="Normal 2 14 2 3 3 7" xfId="23677" xr:uid="{00000000-0005-0000-0000-00009E510000}"/>
    <cellStyle name="Normal 2 14 2 3 4" xfId="1488" xr:uid="{00000000-0005-0000-0000-00009F510000}"/>
    <cellStyle name="Normal 2 14 2 3 4 2" xfId="3338" xr:uid="{00000000-0005-0000-0000-0000A0510000}"/>
    <cellStyle name="Normal 2 14 2 3 4 2 2" xfId="7059" xr:uid="{00000000-0005-0000-0000-0000A1510000}"/>
    <cellStyle name="Normal 2 14 2 3 4 2 2 2" xfId="21943" xr:uid="{00000000-0005-0000-0000-0000A2510000}"/>
    <cellStyle name="Normal 2 14 2 3 4 2 2 2 2" xfId="44586" xr:uid="{00000000-0005-0000-0000-0000A3510000}"/>
    <cellStyle name="Normal 2 14 2 3 4 2 2 3" xfId="14503" xr:uid="{00000000-0005-0000-0000-0000A4510000}"/>
    <cellStyle name="Normal 2 14 2 3 4 2 2 3 2" xfId="37146" xr:uid="{00000000-0005-0000-0000-0000A5510000}"/>
    <cellStyle name="Normal 2 14 2 3 4 2 2 4" xfId="29705" xr:uid="{00000000-0005-0000-0000-0000A6510000}"/>
    <cellStyle name="Normal 2 14 2 3 4 2 3" xfId="18225" xr:uid="{00000000-0005-0000-0000-0000A7510000}"/>
    <cellStyle name="Normal 2 14 2 3 4 2 3 2" xfId="40868" xr:uid="{00000000-0005-0000-0000-0000A8510000}"/>
    <cellStyle name="Normal 2 14 2 3 4 2 4" xfId="10785" xr:uid="{00000000-0005-0000-0000-0000A9510000}"/>
    <cellStyle name="Normal 2 14 2 3 4 2 4 2" xfId="33428" xr:uid="{00000000-0005-0000-0000-0000AA510000}"/>
    <cellStyle name="Normal 2 14 2 3 4 2 5" xfId="25987" xr:uid="{00000000-0005-0000-0000-0000AB510000}"/>
    <cellStyle name="Normal 2 14 2 3 4 3" xfId="5212" xr:uid="{00000000-0005-0000-0000-0000AC510000}"/>
    <cellStyle name="Normal 2 14 2 3 4 3 2" xfId="20096" xr:uid="{00000000-0005-0000-0000-0000AD510000}"/>
    <cellStyle name="Normal 2 14 2 3 4 3 2 2" xfId="42739" xr:uid="{00000000-0005-0000-0000-0000AE510000}"/>
    <cellStyle name="Normal 2 14 2 3 4 3 3" xfId="12656" xr:uid="{00000000-0005-0000-0000-0000AF510000}"/>
    <cellStyle name="Normal 2 14 2 3 4 3 3 2" xfId="35299" xr:uid="{00000000-0005-0000-0000-0000B0510000}"/>
    <cellStyle name="Normal 2 14 2 3 4 3 4" xfId="27858" xr:uid="{00000000-0005-0000-0000-0000B1510000}"/>
    <cellStyle name="Normal 2 14 2 3 4 4" xfId="16378" xr:uid="{00000000-0005-0000-0000-0000B2510000}"/>
    <cellStyle name="Normal 2 14 2 3 4 4 2" xfId="39021" xr:uid="{00000000-0005-0000-0000-0000B3510000}"/>
    <cellStyle name="Normal 2 14 2 3 4 5" xfId="8938" xr:uid="{00000000-0005-0000-0000-0000B4510000}"/>
    <cellStyle name="Normal 2 14 2 3 4 5 2" xfId="31581" xr:uid="{00000000-0005-0000-0000-0000B5510000}"/>
    <cellStyle name="Normal 2 14 2 3 4 6" xfId="24140" xr:uid="{00000000-0005-0000-0000-0000B6510000}"/>
    <cellStyle name="Normal 2 14 2 3 5" xfId="2413" xr:uid="{00000000-0005-0000-0000-0000B7510000}"/>
    <cellStyle name="Normal 2 14 2 3 5 2" xfId="6134" xr:uid="{00000000-0005-0000-0000-0000B8510000}"/>
    <cellStyle name="Normal 2 14 2 3 5 2 2" xfId="21018" xr:uid="{00000000-0005-0000-0000-0000B9510000}"/>
    <cellStyle name="Normal 2 14 2 3 5 2 2 2" xfId="43661" xr:uid="{00000000-0005-0000-0000-0000BA510000}"/>
    <cellStyle name="Normal 2 14 2 3 5 2 3" xfId="13578" xr:uid="{00000000-0005-0000-0000-0000BB510000}"/>
    <cellStyle name="Normal 2 14 2 3 5 2 3 2" xfId="36221" xr:uid="{00000000-0005-0000-0000-0000BC510000}"/>
    <cellStyle name="Normal 2 14 2 3 5 2 4" xfId="28780" xr:uid="{00000000-0005-0000-0000-0000BD510000}"/>
    <cellStyle name="Normal 2 14 2 3 5 3" xfId="17300" xr:uid="{00000000-0005-0000-0000-0000BE510000}"/>
    <cellStyle name="Normal 2 14 2 3 5 3 2" xfId="39943" xr:uid="{00000000-0005-0000-0000-0000BF510000}"/>
    <cellStyle name="Normal 2 14 2 3 5 4" xfId="9860" xr:uid="{00000000-0005-0000-0000-0000C0510000}"/>
    <cellStyle name="Normal 2 14 2 3 5 4 2" xfId="32503" xr:uid="{00000000-0005-0000-0000-0000C1510000}"/>
    <cellStyle name="Normal 2 14 2 3 5 5" xfId="25062" xr:uid="{00000000-0005-0000-0000-0000C2510000}"/>
    <cellStyle name="Normal 2 14 2 3 6" xfId="4287" xr:uid="{00000000-0005-0000-0000-0000C3510000}"/>
    <cellStyle name="Normal 2 14 2 3 6 2" xfId="19171" xr:uid="{00000000-0005-0000-0000-0000C4510000}"/>
    <cellStyle name="Normal 2 14 2 3 6 2 2" xfId="41814" xr:uid="{00000000-0005-0000-0000-0000C5510000}"/>
    <cellStyle name="Normal 2 14 2 3 6 3" xfId="11731" xr:uid="{00000000-0005-0000-0000-0000C6510000}"/>
    <cellStyle name="Normal 2 14 2 3 6 3 2" xfId="34374" xr:uid="{00000000-0005-0000-0000-0000C7510000}"/>
    <cellStyle name="Normal 2 14 2 3 6 4" xfId="26933" xr:uid="{00000000-0005-0000-0000-0000C8510000}"/>
    <cellStyle name="Normal 2 14 2 3 7" xfId="15453" xr:uid="{00000000-0005-0000-0000-0000C9510000}"/>
    <cellStyle name="Normal 2 14 2 3 7 2" xfId="38096" xr:uid="{00000000-0005-0000-0000-0000CA510000}"/>
    <cellStyle name="Normal 2 14 2 3 8" xfId="8013" xr:uid="{00000000-0005-0000-0000-0000CB510000}"/>
    <cellStyle name="Normal 2 14 2 3 8 2" xfId="30656" xr:uid="{00000000-0005-0000-0000-0000CC510000}"/>
    <cellStyle name="Normal 2 14 2 3 9" xfId="23216" xr:uid="{00000000-0005-0000-0000-0000CD510000}"/>
    <cellStyle name="Normal 2 14 2 4" xfId="663" xr:uid="{00000000-0005-0000-0000-0000CE510000}"/>
    <cellStyle name="Normal 2 14 2 4 2" xfId="1128" xr:uid="{00000000-0005-0000-0000-0000CF510000}"/>
    <cellStyle name="Normal 2 14 2 4 2 2" xfId="2056" xr:uid="{00000000-0005-0000-0000-0000D0510000}"/>
    <cellStyle name="Normal 2 14 2 4 2 2 2" xfId="3906" xr:uid="{00000000-0005-0000-0000-0000D1510000}"/>
    <cellStyle name="Normal 2 14 2 4 2 2 2 2" xfId="7627" xr:uid="{00000000-0005-0000-0000-0000D2510000}"/>
    <cellStyle name="Normal 2 14 2 4 2 2 2 2 2" xfId="22511" xr:uid="{00000000-0005-0000-0000-0000D3510000}"/>
    <cellStyle name="Normal 2 14 2 4 2 2 2 2 2 2" xfId="45154" xr:uid="{00000000-0005-0000-0000-0000D4510000}"/>
    <cellStyle name="Normal 2 14 2 4 2 2 2 2 3" xfId="15071" xr:uid="{00000000-0005-0000-0000-0000D5510000}"/>
    <cellStyle name="Normal 2 14 2 4 2 2 2 2 3 2" xfId="37714" xr:uid="{00000000-0005-0000-0000-0000D6510000}"/>
    <cellStyle name="Normal 2 14 2 4 2 2 2 2 4" xfId="30273" xr:uid="{00000000-0005-0000-0000-0000D7510000}"/>
    <cellStyle name="Normal 2 14 2 4 2 2 2 3" xfId="18793" xr:uid="{00000000-0005-0000-0000-0000D8510000}"/>
    <cellStyle name="Normal 2 14 2 4 2 2 2 3 2" xfId="41436" xr:uid="{00000000-0005-0000-0000-0000D9510000}"/>
    <cellStyle name="Normal 2 14 2 4 2 2 2 4" xfId="11353" xr:uid="{00000000-0005-0000-0000-0000DA510000}"/>
    <cellStyle name="Normal 2 14 2 4 2 2 2 4 2" xfId="33996" xr:uid="{00000000-0005-0000-0000-0000DB510000}"/>
    <cellStyle name="Normal 2 14 2 4 2 2 2 5" xfId="26555" xr:uid="{00000000-0005-0000-0000-0000DC510000}"/>
    <cellStyle name="Normal 2 14 2 4 2 2 3" xfId="5780" xr:uid="{00000000-0005-0000-0000-0000DD510000}"/>
    <cellStyle name="Normal 2 14 2 4 2 2 3 2" xfId="20664" xr:uid="{00000000-0005-0000-0000-0000DE510000}"/>
    <cellStyle name="Normal 2 14 2 4 2 2 3 2 2" xfId="43307" xr:uid="{00000000-0005-0000-0000-0000DF510000}"/>
    <cellStyle name="Normal 2 14 2 4 2 2 3 3" xfId="13224" xr:uid="{00000000-0005-0000-0000-0000E0510000}"/>
    <cellStyle name="Normal 2 14 2 4 2 2 3 3 2" xfId="35867" xr:uid="{00000000-0005-0000-0000-0000E1510000}"/>
    <cellStyle name="Normal 2 14 2 4 2 2 3 4" xfId="28426" xr:uid="{00000000-0005-0000-0000-0000E2510000}"/>
    <cellStyle name="Normal 2 14 2 4 2 2 4" xfId="16946" xr:uid="{00000000-0005-0000-0000-0000E3510000}"/>
    <cellStyle name="Normal 2 14 2 4 2 2 4 2" xfId="39589" xr:uid="{00000000-0005-0000-0000-0000E4510000}"/>
    <cellStyle name="Normal 2 14 2 4 2 2 5" xfId="9506" xr:uid="{00000000-0005-0000-0000-0000E5510000}"/>
    <cellStyle name="Normal 2 14 2 4 2 2 5 2" xfId="32149" xr:uid="{00000000-0005-0000-0000-0000E6510000}"/>
    <cellStyle name="Normal 2 14 2 4 2 2 6" xfId="24708" xr:uid="{00000000-0005-0000-0000-0000E7510000}"/>
    <cellStyle name="Normal 2 14 2 4 2 3" xfId="2981" xr:uid="{00000000-0005-0000-0000-0000E8510000}"/>
    <cellStyle name="Normal 2 14 2 4 2 3 2" xfId="6702" xr:uid="{00000000-0005-0000-0000-0000E9510000}"/>
    <cellStyle name="Normal 2 14 2 4 2 3 2 2" xfId="21586" xr:uid="{00000000-0005-0000-0000-0000EA510000}"/>
    <cellStyle name="Normal 2 14 2 4 2 3 2 2 2" xfId="44229" xr:uid="{00000000-0005-0000-0000-0000EB510000}"/>
    <cellStyle name="Normal 2 14 2 4 2 3 2 3" xfId="14146" xr:uid="{00000000-0005-0000-0000-0000EC510000}"/>
    <cellStyle name="Normal 2 14 2 4 2 3 2 3 2" xfId="36789" xr:uid="{00000000-0005-0000-0000-0000ED510000}"/>
    <cellStyle name="Normal 2 14 2 4 2 3 2 4" xfId="29348" xr:uid="{00000000-0005-0000-0000-0000EE510000}"/>
    <cellStyle name="Normal 2 14 2 4 2 3 3" xfId="17868" xr:uid="{00000000-0005-0000-0000-0000EF510000}"/>
    <cellStyle name="Normal 2 14 2 4 2 3 3 2" xfId="40511" xr:uid="{00000000-0005-0000-0000-0000F0510000}"/>
    <cellStyle name="Normal 2 14 2 4 2 3 4" xfId="10428" xr:uid="{00000000-0005-0000-0000-0000F1510000}"/>
    <cellStyle name="Normal 2 14 2 4 2 3 4 2" xfId="33071" xr:uid="{00000000-0005-0000-0000-0000F2510000}"/>
    <cellStyle name="Normal 2 14 2 4 2 3 5" xfId="25630" xr:uid="{00000000-0005-0000-0000-0000F3510000}"/>
    <cellStyle name="Normal 2 14 2 4 2 4" xfId="4855" xr:uid="{00000000-0005-0000-0000-0000F4510000}"/>
    <cellStyle name="Normal 2 14 2 4 2 4 2" xfId="19739" xr:uid="{00000000-0005-0000-0000-0000F5510000}"/>
    <cellStyle name="Normal 2 14 2 4 2 4 2 2" xfId="42382" xr:uid="{00000000-0005-0000-0000-0000F6510000}"/>
    <cellStyle name="Normal 2 14 2 4 2 4 3" xfId="12299" xr:uid="{00000000-0005-0000-0000-0000F7510000}"/>
    <cellStyle name="Normal 2 14 2 4 2 4 3 2" xfId="34942" xr:uid="{00000000-0005-0000-0000-0000F8510000}"/>
    <cellStyle name="Normal 2 14 2 4 2 4 4" xfId="27501" xr:uid="{00000000-0005-0000-0000-0000F9510000}"/>
    <cellStyle name="Normal 2 14 2 4 2 5" xfId="16021" xr:uid="{00000000-0005-0000-0000-0000FA510000}"/>
    <cellStyle name="Normal 2 14 2 4 2 5 2" xfId="38664" xr:uid="{00000000-0005-0000-0000-0000FB510000}"/>
    <cellStyle name="Normal 2 14 2 4 2 6" xfId="8581" xr:uid="{00000000-0005-0000-0000-0000FC510000}"/>
    <cellStyle name="Normal 2 14 2 4 2 6 2" xfId="31224" xr:uid="{00000000-0005-0000-0000-0000FD510000}"/>
    <cellStyle name="Normal 2 14 2 4 2 7" xfId="23783" xr:uid="{00000000-0005-0000-0000-0000FE510000}"/>
    <cellStyle name="Normal 2 14 2 4 3" xfId="1594" xr:uid="{00000000-0005-0000-0000-0000FF510000}"/>
    <cellStyle name="Normal 2 14 2 4 3 2" xfId="3444" xr:uid="{00000000-0005-0000-0000-000000520000}"/>
    <cellStyle name="Normal 2 14 2 4 3 2 2" xfId="7165" xr:uid="{00000000-0005-0000-0000-000001520000}"/>
    <cellStyle name="Normal 2 14 2 4 3 2 2 2" xfId="22049" xr:uid="{00000000-0005-0000-0000-000002520000}"/>
    <cellStyle name="Normal 2 14 2 4 3 2 2 2 2" xfId="44692" xr:uid="{00000000-0005-0000-0000-000003520000}"/>
    <cellStyle name="Normal 2 14 2 4 3 2 2 3" xfId="14609" xr:uid="{00000000-0005-0000-0000-000004520000}"/>
    <cellStyle name="Normal 2 14 2 4 3 2 2 3 2" xfId="37252" xr:uid="{00000000-0005-0000-0000-000005520000}"/>
    <cellStyle name="Normal 2 14 2 4 3 2 2 4" xfId="29811" xr:uid="{00000000-0005-0000-0000-000006520000}"/>
    <cellStyle name="Normal 2 14 2 4 3 2 3" xfId="18331" xr:uid="{00000000-0005-0000-0000-000007520000}"/>
    <cellStyle name="Normal 2 14 2 4 3 2 3 2" xfId="40974" xr:uid="{00000000-0005-0000-0000-000008520000}"/>
    <cellStyle name="Normal 2 14 2 4 3 2 4" xfId="10891" xr:uid="{00000000-0005-0000-0000-000009520000}"/>
    <cellStyle name="Normal 2 14 2 4 3 2 4 2" xfId="33534" xr:uid="{00000000-0005-0000-0000-00000A520000}"/>
    <cellStyle name="Normal 2 14 2 4 3 2 5" xfId="26093" xr:uid="{00000000-0005-0000-0000-00000B520000}"/>
    <cellStyle name="Normal 2 14 2 4 3 3" xfId="5318" xr:uid="{00000000-0005-0000-0000-00000C520000}"/>
    <cellStyle name="Normal 2 14 2 4 3 3 2" xfId="20202" xr:uid="{00000000-0005-0000-0000-00000D520000}"/>
    <cellStyle name="Normal 2 14 2 4 3 3 2 2" xfId="42845" xr:uid="{00000000-0005-0000-0000-00000E520000}"/>
    <cellStyle name="Normal 2 14 2 4 3 3 3" xfId="12762" xr:uid="{00000000-0005-0000-0000-00000F520000}"/>
    <cellStyle name="Normal 2 14 2 4 3 3 3 2" xfId="35405" xr:uid="{00000000-0005-0000-0000-000010520000}"/>
    <cellStyle name="Normal 2 14 2 4 3 3 4" xfId="27964" xr:uid="{00000000-0005-0000-0000-000011520000}"/>
    <cellStyle name="Normal 2 14 2 4 3 4" xfId="16484" xr:uid="{00000000-0005-0000-0000-000012520000}"/>
    <cellStyle name="Normal 2 14 2 4 3 4 2" xfId="39127" xr:uid="{00000000-0005-0000-0000-000013520000}"/>
    <cellStyle name="Normal 2 14 2 4 3 5" xfId="9044" xr:uid="{00000000-0005-0000-0000-000014520000}"/>
    <cellStyle name="Normal 2 14 2 4 3 5 2" xfId="31687" xr:uid="{00000000-0005-0000-0000-000015520000}"/>
    <cellStyle name="Normal 2 14 2 4 3 6" xfId="24246" xr:uid="{00000000-0005-0000-0000-000016520000}"/>
    <cellStyle name="Normal 2 14 2 4 4" xfId="2519" xr:uid="{00000000-0005-0000-0000-000017520000}"/>
    <cellStyle name="Normal 2 14 2 4 4 2" xfId="6240" xr:uid="{00000000-0005-0000-0000-000018520000}"/>
    <cellStyle name="Normal 2 14 2 4 4 2 2" xfId="21124" xr:uid="{00000000-0005-0000-0000-000019520000}"/>
    <cellStyle name="Normal 2 14 2 4 4 2 2 2" xfId="43767" xr:uid="{00000000-0005-0000-0000-00001A520000}"/>
    <cellStyle name="Normal 2 14 2 4 4 2 3" xfId="13684" xr:uid="{00000000-0005-0000-0000-00001B520000}"/>
    <cellStyle name="Normal 2 14 2 4 4 2 3 2" xfId="36327" xr:uid="{00000000-0005-0000-0000-00001C520000}"/>
    <cellStyle name="Normal 2 14 2 4 4 2 4" xfId="28886" xr:uid="{00000000-0005-0000-0000-00001D520000}"/>
    <cellStyle name="Normal 2 14 2 4 4 3" xfId="17406" xr:uid="{00000000-0005-0000-0000-00001E520000}"/>
    <cellStyle name="Normal 2 14 2 4 4 3 2" xfId="40049" xr:uid="{00000000-0005-0000-0000-00001F520000}"/>
    <cellStyle name="Normal 2 14 2 4 4 4" xfId="9966" xr:uid="{00000000-0005-0000-0000-000020520000}"/>
    <cellStyle name="Normal 2 14 2 4 4 4 2" xfId="32609" xr:uid="{00000000-0005-0000-0000-000021520000}"/>
    <cellStyle name="Normal 2 14 2 4 4 5" xfId="25168" xr:uid="{00000000-0005-0000-0000-000022520000}"/>
    <cellStyle name="Normal 2 14 2 4 5" xfId="4393" xr:uid="{00000000-0005-0000-0000-000023520000}"/>
    <cellStyle name="Normal 2 14 2 4 5 2" xfId="19277" xr:uid="{00000000-0005-0000-0000-000024520000}"/>
    <cellStyle name="Normal 2 14 2 4 5 2 2" xfId="41920" xr:uid="{00000000-0005-0000-0000-000025520000}"/>
    <cellStyle name="Normal 2 14 2 4 5 3" xfId="11837" xr:uid="{00000000-0005-0000-0000-000026520000}"/>
    <cellStyle name="Normal 2 14 2 4 5 3 2" xfId="34480" xr:uid="{00000000-0005-0000-0000-000027520000}"/>
    <cellStyle name="Normal 2 14 2 4 5 4" xfId="27039" xr:uid="{00000000-0005-0000-0000-000028520000}"/>
    <cellStyle name="Normal 2 14 2 4 6" xfId="15559" xr:uid="{00000000-0005-0000-0000-000029520000}"/>
    <cellStyle name="Normal 2 14 2 4 6 2" xfId="38202" xr:uid="{00000000-0005-0000-0000-00002A520000}"/>
    <cellStyle name="Normal 2 14 2 4 7" xfId="8119" xr:uid="{00000000-0005-0000-0000-00002B520000}"/>
    <cellStyle name="Normal 2 14 2 4 7 2" xfId="30762" xr:uid="{00000000-0005-0000-0000-00002C520000}"/>
    <cellStyle name="Normal 2 14 2 4 8" xfId="23321" xr:uid="{00000000-0005-0000-0000-00002D520000}"/>
    <cellStyle name="Normal 2 14 2 5" xfId="917" xr:uid="{00000000-0005-0000-0000-00002E520000}"/>
    <cellStyle name="Normal 2 14 2 5 2" xfId="1845" xr:uid="{00000000-0005-0000-0000-00002F520000}"/>
    <cellStyle name="Normal 2 14 2 5 2 2" xfId="3695" xr:uid="{00000000-0005-0000-0000-000030520000}"/>
    <cellStyle name="Normal 2 14 2 5 2 2 2" xfId="7416" xr:uid="{00000000-0005-0000-0000-000031520000}"/>
    <cellStyle name="Normal 2 14 2 5 2 2 2 2" xfId="22300" xr:uid="{00000000-0005-0000-0000-000032520000}"/>
    <cellStyle name="Normal 2 14 2 5 2 2 2 2 2" xfId="44943" xr:uid="{00000000-0005-0000-0000-000033520000}"/>
    <cellStyle name="Normal 2 14 2 5 2 2 2 3" xfId="14860" xr:uid="{00000000-0005-0000-0000-000034520000}"/>
    <cellStyle name="Normal 2 14 2 5 2 2 2 3 2" xfId="37503" xr:uid="{00000000-0005-0000-0000-000035520000}"/>
    <cellStyle name="Normal 2 14 2 5 2 2 2 4" xfId="30062" xr:uid="{00000000-0005-0000-0000-000036520000}"/>
    <cellStyle name="Normal 2 14 2 5 2 2 3" xfId="18582" xr:uid="{00000000-0005-0000-0000-000037520000}"/>
    <cellStyle name="Normal 2 14 2 5 2 2 3 2" xfId="41225" xr:uid="{00000000-0005-0000-0000-000038520000}"/>
    <cellStyle name="Normal 2 14 2 5 2 2 4" xfId="11142" xr:uid="{00000000-0005-0000-0000-000039520000}"/>
    <cellStyle name="Normal 2 14 2 5 2 2 4 2" xfId="33785" xr:uid="{00000000-0005-0000-0000-00003A520000}"/>
    <cellStyle name="Normal 2 14 2 5 2 2 5" xfId="26344" xr:uid="{00000000-0005-0000-0000-00003B520000}"/>
    <cellStyle name="Normal 2 14 2 5 2 3" xfId="5569" xr:uid="{00000000-0005-0000-0000-00003C520000}"/>
    <cellStyle name="Normal 2 14 2 5 2 3 2" xfId="20453" xr:uid="{00000000-0005-0000-0000-00003D520000}"/>
    <cellStyle name="Normal 2 14 2 5 2 3 2 2" xfId="43096" xr:uid="{00000000-0005-0000-0000-00003E520000}"/>
    <cellStyle name="Normal 2 14 2 5 2 3 3" xfId="13013" xr:uid="{00000000-0005-0000-0000-00003F520000}"/>
    <cellStyle name="Normal 2 14 2 5 2 3 3 2" xfId="35656" xr:uid="{00000000-0005-0000-0000-000040520000}"/>
    <cellStyle name="Normal 2 14 2 5 2 3 4" xfId="28215" xr:uid="{00000000-0005-0000-0000-000041520000}"/>
    <cellStyle name="Normal 2 14 2 5 2 4" xfId="16735" xr:uid="{00000000-0005-0000-0000-000042520000}"/>
    <cellStyle name="Normal 2 14 2 5 2 4 2" xfId="39378" xr:uid="{00000000-0005-0000-0000-000043520000}"/>
    <cellStyle name="Normal 2 14 2 5 2 5" xfId="9295" xr:uid="{00000000-0005-0000-0000-000044520000}"/>
    <cellStyle name="Normal 2 14 2 5 2 5 2" xfId="31938" xr:uid="{00000000-0005-0000-0000-000045520000}"/>
    <cellStyle name="Normal 2 14 2 5 2 6" xfId="24497" xr:uid="{00000000-0005-0000-0000-000046520000}"/>
    <cellStyle name="Normal 2 14 2 5 3" xfId="2770" xr:uid="{00000000-0005-0000-0000-000047520000}"/>
    <cellStyle name="Normal 2 14 2 5 3 2" xfId="6491" xr:uid="{00000000-0005-0000-0000-000048520000}"/>
    <cellStyle name="Normal 2 14 2 5 3 2 2" xfId="21375" xr:uid="{00000000-0005-0000-0000-000049520000}"/>
    <cellStyle name="Normal 2 14 2 5 3 2 2 2" xfId="44018" xr:uid="{00000000-0005-0000-0000-00004A520000}"/>
    <cellStyle name="Normal 2 14 2 5 3 2 3" xfId="13935" xr:uid="{00000000-0005-0000-0000-00004B520000}"/>
    <cellStyle name="Normal 2 14 2 5 3 2 3 2" xfId="36578" xr:uid="{00000000-0005-0000-0000-00004C520000}"/>
    <cellStyle name="Normal 2 14 2 5 3 2 4" xfId="29137" xr:uid="{00000000-0005-0000-0000-00004D520000}"/>
    <cellStyle name="Normal 2 14 2 5 3 3" xfId="17657" xr:uid="{00000000-0005-0000-0000-00004E520000}"/>
    <cellStyle name="Normal 2 14 2 5 3 3 2" xfId="40300" xr:uid="{00000000-0005-0000-0000-00004F520000}"/>
    <cellStyle name="Normal 2 14 2 5 3 4" xfId="10217" xr:uid="{00000000-0005-0000-0000-000050520000}"/>
    <cellStyle name="Normal 2 14 2 5 3 4 2" xfId="32860" xr:uid="{00000000-0005-0000-0000-000051520000}"/>
    <cellStyle name="Normal 2 14 2 5 3 5" xfId="25419" xr:uid="{00000000-0005-0000-0000-000052520000}"/>
    <cellStyle name="Normal 2 14 2 5 4" xfId="4644" xr:uid="{00000000-0005-0000-0000-000053520000}"/>
    <cellStyle name="Normal 2 14 2 5 4 2" xfId="19528" xr:uid="{00000000-0005-0000-0000-000054520000}"/>
    <cellStyle name="Normal 2 14 2 5 4 2 2" xfId="42171" xr:uid="{00000000-0005-0000-0000-000055520000}"/>
    <cellStyle name="Normal 2 14 2 5 4 3" xfId="12088" xr:uid="{00000000-0005-0000-0000-000056520000}"/>
    <cellStyle name="Normal 2 14 2 5 4 3 2" xfId="34731" xr:uid="{00000000-0005-0000-0000-000057520000}"/>
    <cellStyle name="Normal 2 14 2 5 4 4" xfId="27290" xr:uid="{00000000-0005-0000-0000-000058520000}"/>
    <cellStyle name="Normal 2 14 2 5 5" xfId="15810" xr:uid="{00000000-0005-0000-0000-000059520000}"/>
    <cellStyle name="Normal 2 14 2 5 5 2" xfId="38453" xr:uid="{00000000-0005-0000-0000-00005A520000}"/>
    <cellStyle name="Normal 2 14 2 5 6" xfId="8370" xr:uid="{00000000-0005-0000-0000-00005B520000}"/>
    <cellStyle name="Normal 2 14 2 5 6 2" xfId="31013" xr:uid="{00000000-0005-0000-0000-00005C520000}"/>
    <cellStyle name="Normal 2 14 2 5 7" xfId="23572" xr:uid="{00000000-0005-0000-0000-00005D520000}"/>
    <cellStyle name="Normal 2 14 2 6" xfId="1383" xr:uid="{00000000-0005-0000-0000-00005E520000}"/>
    <cellStyle name="Normal 2 14 2 6 2" xfId="3233" xr:uid="{00000000-0005-0000-0000-00005F520000}"/>
    <cellStyle name="Normal 2 14 2 6 2 2" xfId="6954" xr:uid="{00000000-0005-0000-0000-000060520000}"/>
    <cellStyle name="Normal 2 14 2 6 2 2 2" xfId="21838" xr:uid="{00000000-0005-0000-0000-000061520000}"/>
    <cellStyle name="Normal 2 14 2 6 2 2 2 2" xfId="44481" xr:uid="{00000000-0005-0000-0000-000062520000}"/>
    <cellStyle name="Normal 2 14 2 6 2 2 3" xfId="14398" xr:uid="{00000000-0005-0000-0000-000063520000}"/>
    <cellStyle name="Normal 2 14 2 6 2 2 3 2" xfId="37041" xr:uid="{00000000-0005-0000-0000-000064520000}"/>
    <cellStyle name="Normal 2 14 2 6 2 2 4" xfId="29600" xr:uid="{00000000-0005-0000-0000-000065520000}"/>
    <cellStyle name="Normal 2 14 2 6 2 3" xfId="18120" xr:uid="{00000000-0005-0000-0000-000066520000}"/>
    <cellStyle name="Normal 2 14 2 6 2 3 2" xfId="40763" xr:uid="{00000000-0005-0000-0000-000067520000}"/>
    <cellStyle name="Normal 2 14 2 6 2 4" xfId="10680" xr:uid="{00000000-0005-0000-0000-000068520000}"/>
    <cellStyle name="Normal 2 14 2 6 2 4 2" xfId="33323" xr:uid="{00000000-0005-0000-0000-000069520000}"/>
    <cellStyle name="Normal 2 14 2 6 2 5" xfId="25882" xr:uid="{00000000-0005-0000-0000-00006A520000}"/>
    <cellStyle name="Normal 2 14 2 6 3" xfId="5107" xr:uid="{00000000-0005-0000-0000-00006B520000}"/>
    <cellStyle name="Normal 2 14 2 6 3 2" xfId="19991" xr:uid="{00000000-0005-0000-0000-00006C520000}"/>
    <cellStyle name="Normal 2 14 2 6 3 2 2" xfId="42634" xr:uid="{00000000-0005-0000-0000-00006D520000}"/>
    <cellStyle name="Normal 2 14 2 6 3 3" xfId="12551" xr:uid="{00000000-0005-0000-0000-00006E520000}"/>
    <cellStyle name="Normal 2 14 2 6 3 3 2" xfId="35194" xr:uid="{00000000-0005-0000-0000-00006F520000}"/>
    <cellStyle name="Normal 2 14 2 6 3 4" xfId="27753" xr:uid="{00000000-0005-0000-0000-000070520000}"/>
    <cellStyle name="Normal 2 14 2 6 4" xfId="16273" xr:uid="{00000000-0005-0000-0000-000071520000}"/>
    <cellStyle name="Normal 2 14 2 6 4 2" xfId="38916" xr:uid="{00000000-0005-0000-0000-000072520000}"/>
    <cellStyle name="Normal 2 14 2 6 5" xfId="8833" xr:uid="{00000000-0005-0000-0000-000073520000}"/>
    <cellStyle name="Normal 2 14 2 6 5 2" xfId="31476" xr:uid="{00000000-0005-0000-0000-000074520000}"/>
    <cellStyle name="Normal 2 14 2 6 6" xfId="24035" xr:uid="{00000000-0005-0000-0000-000075520000}"/>
    <cellStyle name="Normal 2 14 2 7" xfId="2308" xr:uid="{00000000-0005-0000-0000-000076520000}"/>
    <cellStyle name="Normal 2 14 2 7 2" xfId="6029" xr:uid="{00000000-0005-0000-0000-000077520000}"/>
    <cellStyle name="Normal 2 14 2 7 2 2" xfId="20913" xr:uid="{00000000-0005-0000-0000-000078520000}"/>
    <cellStyle name="Normal 2 14 2 7 2 2 2" xfId="43556" xr:uid="{00000000-0005-0000-0000-000079520000}"/>
    <cellStyle name="Normal 2 14 2 7 2 3" xfId="13473" xr:uid="{00000000-0005-0000-0000-00007A520000}"/>
    <cellStyle name="Normal 2 14 2 7 2 3 2" xfId="36116" xr:uid="{00000000-0005-0000-0000-00007B520000}"/>
    <cellStyle name="Normal 2 14 2 7 2 4" xfId="28675" xr:uid="{00000000-0005-0000-0000-00007C520000}"/>
    <cellStyle name="Normal 2 14 2 7 3" xfId="17195" xr:uid="{00000000-0005-0000-0000-00007D520000}"/>
    <cellStyle name="Normal 2 14 2 7 3 2" xfId="39838" xr:uid="{00000000-0005-0000-0000-00007E520000}"/>
    <cellStyle name="Normal 2 14 2 7 4" xfId="9755" xr:uid="{00000000-0005-0000-0000-00007F520000}"/>
    <cellStyle name="Normal 2 14 2 7 4 2" xfId="32398" xr:uid="{00000000-0005-0000-0000-000080520000}"/>
    <cellStyle name="Normal 2 14 2 7 5" xfId="24957" xr:uid="{00000000-0005-0000-0000-000081520000}"/>
    <cellStyle name="Normal 2 14 2 8" xfId="4182" xr:uid="{00000000-0005-0000-0000-000082520000}"/>
    <cellStyle name="Normal 2 14 2 8 2" xfId="19066" xr:uid="{00000000-0005-0000-0000-000083520000}"/>
    <cellStyle name="Normal 2 14 2 8 2 2" xfId="41709" xr:uid="{00000000-0005-0000-0000-000084520000}"/>
    <cellStyle name="Normal 2 14 2 8 3" xfId="11626" xr:uid="{00000000-0005-0000-0000-000085520000}"/>
    <cellStyle name="Normal 2 14 2 8 3 2" xfId="34269" xr:uid="{00000000-0005-0000-0000-000086520000}"/>
    <cellStyle name="Normal 2 14 2 8 4" xfId="26828" xr:uid="{00000000-0005-0000-0000-000087520000}"/>
    <cellStyle name="Normal 2 14 2 9" xfId="15348" xr:uid="{00000000-0005-0000-0000-000088520000}"/>
    <cellStyle name="Normal 2 14 2 9 2" xfId="37991" xr:uid="{00000000-0005-0000-0000-000089520000}"/>
    <cellStyle name="Normal 2 14 3" xfId="482" xr:uid="{00000000-0005-0000-0000-00008A520000}"/>
    <cellStyle name="Normal 2 14 3 10" xfId="23143" xr:uid="{00000000-0005-0000-0000-00008B520000}"/>
    <cellStyle name="Normal 2 14 3 2" xfId="588" xr:uid="{00000000-0005-0000-0000-00008C520000}"/>
    <cellStyle name="Normal 2 14 3 2 2" xfId="800" xr:uid="{00000000-0005-0000-0000-00008D520000}"/>
    <cellStyle name="Normal 2 14 3 2 2 2" xfId="1265" xr:uid="{00000000-0005-0000-0000-00008E520000}"/>
    <cellStyle name="Normal 2 14 3 2 2 2 2" xfId="2193" xr:uid="{00000000-0005-0000-0000-00008F520000}"/>
    <cellStyle name="Normal 2 14 3 2 2 2 2 2" xfId="4043" xr:uid="{00000000-0005-0000-0000-000090520000}"/>
    <cellStyle name="Normal 2 14 3 2 2 2 2 2 2" xfId="7764" xr:uid="{00000000-0005-0000-0000-000091520000}"/>
    <cellStyle name="Normal 2 14 3 2 2 2 2 2 2 2" xfId="22648" xr:uid="{00000000-0005-0000-0000-000092520000}"/>
    <cellStyle name="Normal 2 14 3 2 2 2 2 2 2 2 2" xfId="45291" xr:uid="{00000000-0005-0000-0000-000093520000}"/>
    <cellStyle name="Normal 2 14 3 2 2 2 2 2 2 3" xfId="15208" xr:uid="{00000000-0005-0000-0000-000094520000}"/>
    <cellStyle name="Normal 2 14 3 2 2 2 2 2 2 3 2" xfId="37851" xr:uid="{00000000-0005-0000-0000-000095520000}"/>
    <cellStyle name="Normal 2 14 3 2 2 2 2 2 2 4" xfId="30410" xr:uid="{00000000-0005-0000-0000-000096520000}"/>
    <cellStyle name="Normal 2 14 3 2 2 2 2 2 3" xfId="18930" xr:uid="{00000000-0005-0000-0000-000097520000}"/>
    <cellStyle name="Normal 2 14 3 2 2 2 2 2 3 2" xfId="41573" xr:uid="{00000000-0005-0000-0000-000098520000}"/>
    <cellStyle name="Normal 2 14 3 2 2 2 2 2 4" xfId="11490" xr:uid="{00000000-0005-0000-0000-000099520000}"/>
    <cellStyle name="Normal 2 14 3 2 2 2 2 2 4 2" xfId="34133" xr:uid="{00000000-0005-0000-0000-00009A520000}"/>
    <cellStyle name="Normal 2 14 3 2 2 2 2 2 5" xfId="26692" xr:uid="{00000000-0005-0000-0000-00009B520000}"/>
    <cellStyle name="Normal 2 14 3 2 2 2 2 3" xfId="5917" xr:uid="{00000000-0005-0000-0000-00009C520000}"/>
    <cellStyle name="Normal 2 14 3 2 2 2 2 3 2" xfId="20801" xr:uid="{00000000-0005-0000-0000-00009D520000}"/>
    <cellStyle name="Normal 2 14 3 2 2 2 2 3 2 2" xfId="43444" xr:uid="{00000000-0005-0000-0000-00009E520000}"/>
    <cellStyle name="Normal 2 14 3 2 2 2 2 3 3" xfId="13361" xr:uid="{00000000-0005-0000-0000-00009F520000}"/>
    <cellStyle name="Normal 2 14 3 2 2 2 2 3 3 2" xfId="36004" xr:uid="{00000000-0005-0000-0000-0000A0520000}"/>
    <cellStyle name="Normal 2 14 3 2 2 2 2 3 4" xfId="28563" xr:uid="{00000000-0005-0000-0000-0000A1520000}"/>
    <cellStyle name="Normal 2 14 3 2 2 2 2 4" xfId="17083" xr:uid="{00000000-0005-0000-0000-0000A2520000}"/>
    <cellStyle name="Normal 2 14 3 2 2 2 2 4 2" xfId="39726" xr:uid="{00000000-0005-0000-0000-0000A3520000}"/>
    <cellStyle name="Normal 2 14 3 2 2 2 2 5" xfId="9643" xr:uid="{00000000-0005-0000-0000-0000A4520000}"/>
    <cellStyle name="Normal 2 14 3 2 2 2 2 5 2" xfId="32286" xr:uid="{00000000-0005-0000-0000-0000A5520000}"/>
    <cellStyle name="Normal 2 14 3 2 2 2 2 6" xfId="24845" xr:uid="{00000000-0005-0000-0000-0000A6520000}"/>
    <cellStyle name="Normal 2 14 3 2 2 2 3" xfId="3118" xr:uid="{00000000-0005-0000-0000-0000A7520000}"/>
    <cellStyle name="Normal 2 14 3 2 2 2 3 2" xfId="6839" xr:uid="{00000000-0005-0000-0000-0000A8520000}"/>
    <cellStyle name="Normal 2 14 3 2 2 2 3 2 2" xfId="21723" xr:uid="{00000000-0005-0000-0000-0000A9520000}"/>
    <cellStyle name="Normal 2 14 3 2 2 2 3 2 2 2" xfId="44366" xr:uid="{00000000-0005-0000-0000-0000AA520000}"/>
    <cellStyle name="Normal 2 14 3 2 2 2 3 2 3" xfId="14283" xr:uid="{00000000-0005-0000-0000-0000AB520000}"/>
    <cellStyle name="Normal 2 14 3 2 2 2 3 2 3 2" xfId="36926" xr:uid="{00000000-0005-0000-0000-0000AC520000}"/>
    <cellStyle name="Normal 2 14 3 2 2 2 3 2 4" xfId="29485" xr:uid="{00000000-0005-0000-0000-0000AD520000}"/>
    <cellStyle name="Normal 2 14 3 2 2 2 3 3" xfId="18005" xr:uid="{00000000-0005-0000-0000-0000AE520000}"/>
    <cellStyle name="Normal 2 14 3 2 2 2 3 3 2" xfId="40648" xr:uid="{00000000-0005-0000-0000-0000AF520000}"/>
    <cellStyle name="Normal 2 14 3 2 2 2 3 4" xfId="10565" xr:uid="{00000000-0005-0000-0000-0000B0520000}"/>
    <cellStyle name="Normal 2 14 3 2 2 2 3 4 2" xfId="33208" xr:uid="{00000000-0005-0000-0000-0000B1520000}"/>
    <cellStyle name="Normal 2 14 3 2 2 2 3 5" xfId="25767" xr:uid="{00000000-0005-0000-0000-0000B2520000}"/>
    <cellStyle name="Normal 2 14 3 2 2 2 4" xfId="4992" xr:uid="{00000000-0005-0000-0000-0000B3520000}"/>
    <cellStyle name="Normal 2 14 3 2 2 2 4 2" xfId="19876" xr:uid="{00000000-0005-0000-0000-0000B4520000}"/>
    <cellStyle name="Normal 2 14 3 2 2 2 4 2 2" xfId="42519" xr:uid="{00000000-0005-0000-0000-0000B5520000}"/>
    <cellStyle name="Normal 2 14 3 2 2 2 4 3" xfId="12436" xr:uid="{00000000-0005-0000-0000-0000B6520000}"/>
    <cellStyle name="Normal 2 14 3 2 2 2 4 3 2" xfId="35079" xr:uid="{00000000-0005-0000-0000-0000B7520000}"/>
    <cellStyle name="Normal 2 14 3 2 2 2 4 4" xfId="27638" xr:uid="{00000000-0005-0000-0000-0000B8520000}"/>
    <cellStyle name="Normal 2 14 3 2 2 2 5" xfId="16158" xr:uid="{00000000-0005-0000-0000-0000B9520000}"/>
    <cellStyle name="Normal 2 14 3 2 2 2 5 2" xfId="38801" xr:uid="{00000000-0005-0000-0000-0000BA520000}"/>
    <cellStyle name="Normal 2 14 3 2 2 2 6" xfId="8718" xr:uid="{00000000-0005-0000-0000-0000BB520000}"/>
    <cellStyle name="Normal 2 14 3 2 2 2 6 2" xfId="31361" xr:uid="{00000000-0005-0000-0000-0000BC520000}"/>
    <cellStyle name="Normal 2 14 3 2 2 2 7" xfId="23920" xr:uid="{00000000-0005-0000-0000-0000BD520000}"/>
    <cellStyle name="Normal 2 14 3 2 2 3" xfId="1731" xr:uid="{00000000-0005-0000-0000-0000BE520000}"/>
    <cellStyle name="Normal 2 14 3 2 2 3 2" xfId="3581" xr:uid="{00000000-0005-0000-0000-0000BF520000}"/>
    <cellStyle name="Normal 2 14 3 2 2 3 2 2" xfId="7302" xr:uid="{00000000-0005-0000-0000-0000C0520000}"/>
    <cellStyle name="Normal 2 14 3 2 2 3 2 2 2" xfId="22186" xr:uid="{00000000-0005-0000-0000-0000C1520000}"/>
    <cellStyle name="Normal 2 14 3 2 2 3 2 2 2 2" xfId="44829" xr:uid="{00000000-0005-0000-0000-0000C2520000}"/>
    <cellStyle name="Normal 2 14 3 2 2 3 2 2 3" xfId="14746" xr:uid="{00000000-0005-0000-0000-0000C3520000}"/>
    <cellStyle name="Normal 2 14 3 2 2 3 2 2 3 2" xfId="37389" xr:uid="{00000000-0005-0000-0000-0000C4520000}"/>
    <cellStyle name="Normal 2 14 3 2 2 3 2 2 4" xfId="29948" xr:uid="{00000000-0005-0000-0000-0000C5520000}"/>
    <cellStyle name="Normal 2 14 3 2 2 3 2 3" xfId="18468" xr:uid="{00000000-0005-0000-0000-0000C6520000}"/>
    <cellStyle name="Normal 2 14 3 2 2 3 2 3 2" xfId="41111" xr:uid="{00000000-0005-0000-0000-0000C7520000}"/>
    <cellStyle name="Normal 2 14 3 2 2 3 2 4" xfId="11028" xr:uid="{00000000-0005-0000-0000-0000C8520000}"/>
    <cellStyle name="Normal 2 14 3 2 2 3 2 4 2" xfId="33671" xr:uid="{00000000-0005-0000-0000-0000C9520000}"/>
    <cellStyle name="Normal 2 14 3 2 2 3 2 5" xfId="26230" xr:uid="{00000000-0005-0000-0000-0000CA520000}"/>
    <cellStyle name="Normal 2 14 3 2 2 3 3" xfId="5455" xr:uid="{00000000-0005-0000-0000-0000CB520000}"/>
    <cellStyle name="Normal 2 14 3 2 2 3 3 2" xfId="20339" xr:uid="{00000000-0005-0000-0000-0000CC520000}"/>
    <cellStyle name="Normal 2 14 3 2 2 3 3 2 2" xfId="42982" xr:uid="{00000000-0005-0000-0000-0000CD520000}"/>
    <cellStyle name="Normal 2 14 3 2 2 3 3 3" xfId="12899" xr:uid="{00000000-0005-0000-0000-0000CE520000}"/>
    <cellStyle name="Normal 2 14 3 2 2 3 3 3 2" xfId="35542" xr:uid="{00000000-0005-0000-0000-0000CF520000}"/>
    <cellStyle name="Normal 2 14 3 2 2 3 3 4" xfId="28101" xr:uid="{00000000-0005-0000-0000-0000D0520000}"/>
    <cellStyle name="Normal 2 14 3 2 2 3 4" xfId="16621" xr:uid="{00000000-0005-0000-0000-0000D1520000}"/>
    <cellStyle name="Normal 2 14 3 2 2 3 4 2" xfId="39264" xr:uid="{00000000-0005-0000-0000-0000D2520000}"/>
    <cellStyle name="Normal 2 14 3 2 2 3 5" xfId="9181" xr:uid="{00000000-0005-0000-0000-0000D3520000}"/>
    <cellStyle name="Normal 2 14 3 2 2 3 5 2" xfId="31824" xr:uid="{00000000-0005-0000-0000-0000D4520000}"/>
    <cellStyle name="Normal 2 14 3 2 2 3 6" xfId="24383" xr:uid="{00000000-0005-0000-0000-0000D5520000}"/>
    <cellStyle name="Normal 2 14 3 2 2 4" xfId="2656" xr:uid="{00000000-0005-0000-0000-0000D6520000}"/>
    <cellStyle name="Normal 2 14 3 2 2 4 2" xfId="6377" xr:uid="{00000000-0005-0000-0000-0000D7520000}"/>
    <cellStyle name="Normal 2 14 3 2 2 4 2 2" xfId="21261" xr:uid="{00000000-0005-0000-0000-0000D8520000}"/>
    <cellStyle name="Normal 2 14 3 2 2 4 2 2 2" xfId="43904" xr:uid="{00000000-0005-0000-0000-0000D9520000}"/>
    <cellStyle name="Normal 2 14 3 2 2 4 2 3" xfId="13821" xr:uid="{00000000-0005-0000-0000-0000DA520000}"/>
    <cellStyle name="Normal 2 14 3 2 2 4 2 3 2" xfId="36464" xr:uid="{00000000-0005-0000-0000-0000DB520000}"/>
    <cellStyle name="Normal 2 14 3 2 2 4 2 4" xfId="29023" xr:uid="{00000000-0005-0000-0000-0000DC520000}"/>
    <cellStyle name="Normal 2 14 3 2 2 4 3" xfId="17543" xr:uid="{00000000-0005-0000-0000-0000DD520000}"/>
    <cellStyle name="Normal 2 14 3 2 2 4 3 2" xfId="40186" xr:uid="{00000000-0005-0000-0000-0000DE520000}"/>
    <cellStyle name="Normal 2 14 3 2 2 4 4" xfId="10103" xr:uid="{00000000-0005-0000-0000-0000DF520000}"/>
    <cellStyle name="Normal 2 14 3 2 2 4 4 2" xfId="32746" xr:uid="{00000000-0005-0000-0000-0000E0520000}"/>
    <cellStyle name="Normal 2 14 3 2 2 4 5" xfId="25305" xr:uid="{00000000-0005-0000-0000-0000E1520000}"/>
    <cellStyle name="Normal 2 14 3 2 2 5" xfId="4530" xr:uid="{00000000-0005-0000-0000-0000E2520000}"/>
    <cellStyle name="Normal 2 14 3 2 2 5 2" xfId="19414" xr:uid="{00000000-0005-0000-0000-0000E3520000}"/>
    <cellStyle name="Normal 2 14 3 2 2 5 2 2" xfId="42057" xr:uid="{00000000-0005-0000-0000-0000E4520000}"/>
    <cellStyle name="Normal 2 14 3 2 2 5 3" xfId="11974" xr:uid="{00000000-0005-0000-0000-0000E5520000}"/>
    <cellStyle name="Normal 2 14 3 2 2 5 3 2" xfId="34617" xr:uid="{00000000-0005-0000-0000-0000E6520000}"/>
    <cellStyle name="Normal 2 14 3 2 2 5 4" xfId="27176" xr:uid="{00000000-0005-0000-0000-0000E7520000}"/>
    <cellStyle name="Normal 2 14 3 2 2 6" xfId="15696" xr:uid="{00000000-0005-0000-0000-0000E8520000}"/>
    <cellStyle name="Normal 2 14 3 2 2 6 2" xfId="38339" xr:uid="{00000000-0005-0000-0000-0000E9520000}"/>
    <cellStyle name="Normal 2 14 3 2 2 7" xfId="8256" xr:uid="{00000000-0005-0000-0000-0000EA520000}"/>
    <cellStyle name="Normal 2 14 3 2 2 7 2" xfId="30899" xr:uid="{00000000-0005-0000-0000-0000EB520000}"/>
    <cellStyle name="Normal 2 14 3 2 2 8" xfId="23458" xr:uid="{00000000-0005-0000-0000-0000EC520000}"/>
    <cellStyle name="Normal 2 14 3 2 3" xfId="1054" xr:uid="{00000000-0005-0000-0000-0000ED520000}"/>
    <cellStyle name="Normal 2 14 3 2 3 2" xfId="1982" xr:uid="{00000000-0005-0000-0000-0000EE520000}"/>
    <cellStyle name="Normal 2 14 3 2 3 2 2" xfId="3832" xr:uid="{00000000-0005-0000-0000-0000EF520000}"/>
    <cellStyle name="Normal 2 14 3 2 3 2 2 2" xfId="7553" xr:uid="{00000000-0005-0000-0000-0000F0520000}"/>
    <cellStyle name="Normal 2 14 3 2 3 2 2 2 2" xfId="22437" xr:uid="{00000000-0005-0000-0000-0000F1520000}"/>
    <cellStyle name="Normal 2 14 3 2 3 2 2 2 2 2" xfId="45080" xr:uid="{00000000-0005-0000-0000-0000F2520000}"/>
    <cellStyle name="Normal 2 14 3 2 3 2 2 2 3" xfId="14997" xr:uid="{00000000-0005-0000-0000-0000F3520000}"/>
    <cellStyle name="Normal 2 14 3 2 3 2 2 2 3 2" xfId="37640" xr:uid="{00000000-0005-0000-0000-0000F4520000}"/>
    <cellStyle name="Normal 2 14 3 2 3 2 2 2 4" xfId="30199" xr:uid="{00000000-0005-0000-0000-0000F5520000}"/>
    <cellStyle name="Normal 2 14 3 2 3 2 2 3" xfId="18719" xr:uid="{00000000-0005-0000-0000-0000F6520000}"/>
    <cellStyle name="Normal 2 14 3 2 3 2 2 3 2" xfId="41362" xr:uid="{00000000-0005-0000-0000-0000F7520000}"/>
    <cellStyle name="Normal 2 14 3 2 3 2 2 4" xfId="11279" xr:uid="{00000000-0005-0000-0000-0000F8520000}"/>
    <cellStyle name="Normal 2 14 3 2 3 2 2 4 2" xfId="33922" xr:uid="{00000000-0005-0000-0000-0000F9520000}"/>
    <cellStyle name="Normal 2 14 3 2 3 2 2 5" xfId="26481" xr:uid="{00000000-0005-0000-0000-0000FA520000}"/>
    <cellStyle name="Normal 2 14 3 2 3 2 3" xfId="5706" xr:uid="{00000000-0005-0000-0000-0000FB520000}"/>
    <cellStyle name="Normal 2 14 3 2 3 2 3 2" xfId="20590" xr:uid="{00000000-0005-0000-0000-0000FC520000}"/>
    <cellStyle name="Normal 2 14 3 2 3 2 3 2 2" xfId="43233" xr:uid="{00000000-0005-0000-0000-0000FD520000}"/>
    <cellStyle name="Normal 2 14 3 2 3 2 3 3" xfId="13150" xr:uid="{00000000-0005-0000-0000-0000FE520000}"/>
    <cellStyle name="Normal 2 14 3 2 3 2 3 3 2" xfId="35793" xr:uid="{00000000-0005-0000-0000-0000FF520000}"/>
    <cellStyle name="Normal 2 14 3 2 3 2 3 4" xfId="28352" xr:uid="{00000000-0005-0000-0000-000000530000}"/>
    <cellStyle name="Normal 2 14 3 2 3 2 4" xfId="16872" xr:uid="{00000000-0005-0000-0000-000001530000}"/>
    <cellStyle name="Normal 2 14 3 2 3 2 4 2" xfId="39515" xr:uid="{00000000-0005-0000-0000-000002530000}"/>
    <cellStyle name="Normal 2 14 3 2 3 2 5" xfId="9432" xr:uid="{00000000-0005-0000-0000-000003530000}"/>
    <cellStyle name="Normal 2 14 3 2 3 2 5 2" xfId="32075" xr:uid="{00000000-0005-0000-0000-000004530000}"/>
    <cellStyle name="Normal 2 14 3 2 3 2 6" xfId="24634" xr:uid="{00000000-0005-0000-0000-000005530000}"/>
    <cellStyle name="Normal 2 14 3 2 3 3" xfId="2907" xr:uid="{00000000-0005-0000-0000-000006530000}"/>
    <cellStyle name="Normal 2 14 3 2 3 3 2" xfId="6628" xr:uid="{00000000-0005-0000-0000-000007530000}"/>
    <cellStyle name="Normal 2 14 3 2 3 3 2 2" xfId="21512" xr:uid="{00000000-0005-0000-0000-000008530000}"/>
    <cellStyle name="Normal 2 14 3 2 3 3 2 2 2" xfId="44155" xr:uid="{00000000-0005-0000-0000-000009530000}"/>
    <cellStyle name="Normal 2 14 3 2 3 3 2 3" xfId="14072" xr:uid="{00000000-0005-0000-0000-00000A530000}"/>
    <cellStyle name="Normal 2 14 3 2 3 3 2 3 2" xfId="36715" xr:uid="{00000000-0005-0000-0000-00000B530000}"/>
    <cellStyle name="Normal 2 14 3 2 3 3 2 4" xfId="29274" xr:uid="{00000000-0005-0000-0000-00000C530000}"/>
    <cellStyle name="Normal 2 14 3 2 3 3 3" xfId="17794" xr:uid="{00000000-0005-0000-0000-00000D530000}"/>
    <cellStyle name="Normal 2 14 3 2 3 3 3 2" xfId="40437" xr:uid="{00000000-0005-0000-0000-00000E530000}"/>
    <cellStyle name="Normal 2 14 3 2 3 3 4" xfId="10354" xr:uid="{00000000-0005-0000-0000-00000F530000}"/>
    <cellStyle name="Normal 2 14 3 2 3 3 4 2" xfId="32997" xr:uid="{00000000-0005-0000-0000-000010530000}"/>
    <cellStyle name="Normal 2 14 3 2 3 3 5" xfId="25556" xr:uid="{00000000-0005-0000-0000-000011530000}"/>
    <cellStyle name="Normal 2 14 3 2 3 4" xfId="4781" xr:uid="{00000000-0005-0000-0000-000012530000}"/>
    <cellStyle name="Normal 2 14 3 2 3 4 2" xfId="19665" xr:uid="{00000000-0005-0000-0000-000013530000}"/>
    <cellStyle name="Normal 2 14 3 2 3 4 2 2" xfId="42308" xr:uid="{00000000-0005-0000-0000-000014530000}"/>
    <cellStyle name="Normal 2 14 3 2 3 4 3" xfId="12225" xr:uid="{00000000-0005-0000-0000-000015530000}"/>
    <cellStyle name="Normal 2 14 3 2 3 4 3 2" xfId="34868" xr:uid="{00000000-0005-0000-0000-000016530000}"/>
    <cellStyle name="Normal 2 14 3 2 3 4 4" xfId="27427" xr:uid="{00000000-0005-0000-0000-000017530000}"/>
    <cellStyle name="Normal 2 14 3 2 3 5" xfId="15947" xr:uid="{00000000-0005-0000-0000-000018530000}"/>
    <cellStyle name="Normal 2 14 3 2 3 5 2" xfId="38590" xr:uid="{00000000-0005-0000-0000-000019530000}"/>
    <cellStyle name="Normal 2 14 3 2 3 6" xfId="8507" xr:uid="{00000000-0005-0000-0000-00001A530000}"/>
    <cellStyle name="Normal 2 14 3 2 3 6 2" xfId="31150" xr:uid="{00000000-0005-0000-0000-00001B530000}"/>
    <cellStyle name="Normal 2 14 3 2 3 7" xfId="23709" xr:uid="{00000000-0005-0000-0000-00001C530000}"/>
    <cellStyle name="Normal 2 14 3 2 4" xfId="1520" xr:uid="{00000000-0005-0000-0000-00001D530000}"/>
    <cellStyle name="Normal 2 14 3 2 4 2" xfId="3370" xr:uid="{00000000-0005-0000-0000-00001E530000}"/>
    <cellStyle name="Normal 2 14 3 2 4 2 2" xfId="7091" xr:uid="{00000000-0005-0000-0000-00001F530000}"/>
    <cellStyle name="Normal 2 14 3 2 4 2 2 2" xfId="21975" xr:uid="{00000000-0005-0000-0000-000020530000}"/>
    <cellStyle name="Normal 2 14 3 2 4 2 2 2 2" xfId="44618" xr:uid="{00000000-0005-0000-0000-000021530000}"/>
    <cellStyle name="Normal 2 14 3 2 4 2 2 3" xfId="14535" xr:uid="{00000000-0005-0000-0000-000022530000}"/>
    <cellStyle name="Normal 2 14 3 2 4 2 2 3 2" xfId="37178" xr:uid="{00000000-0005-0000-0000-000023530000}"/>
    <cellStyle name="Normal 2 14 3 2 4 2 2 4" xfId="29737" xr:uid="{00000000-0005-0000-0000-000024530000}"/>
    <cellStyle name="Normal 2 14 3 2 4 2 3" xfId="18257" xr:uid="{00000000-0005-0000-0000-000025530000}"/>
    <cellStyle name="Normal 2 14 3 2 4 2 3 2" xfId="40900" xr:uid="{00000000-0005-0000-0000-000026530000}"/>
    <cellStyle name="Normal 2 14 3 2 4 2 4" xfId="10817" xr:uid="{00000000-0005-0000-0000-000027530000}"/>
    <cellStyle name="Normal 2 14 3 2 4 2 4 2" xfId="33460" xr:uid="{00000000-0005-0000-0000-000028530000}"/>
    <cellStyle name="Normal 2 14 3 2 4 2 5" xfId="26019" xr:uid="{00000000-0005-0000-0000-000029530000}"/>
    <cellStyle name="Normal 2 14 3 2 4 3" xfId="5244" xr:uid="{00000000-0005-0000-0000-00002A530000}"/>
    <cellStyle name="Normal 2 14 3 2 4 3 2" xfId="20128" xr:uid="{00000000-0005-0000-0000-00002B530000}"/>
    <cellStyle name="Normal 2 14 3 2 4 3 2 2" xfId="42771" xr:uid="{00000000-0005-0000-0000-00002C530000}"/>
    <cellStyle name="Normal 2 14 3 2 4 3 3" xfId="12688" xr:uid="{00000000-0005-0000-0000-00002D530000}"/>
    <cellStyle name="Normal 2 14 3 2 4 3 3 2" xfId="35331" xr:uid="{00000000-0005-0000-0000-00002E530000}"/>
    <cellStyle name="Normal 2 14 3 2 4 3 4" xfId="27890" xr:uid="{00000000-0005-0000-0000-00002F530000}"/>
    <cellStyle name="Normal 2 14 3 2 4 4" xfId="16410" xr:uid="{00000000-0005-0000-0000-000030530000}"/>
    <cellStyle name="Normal 2 14 3 2 4 4 2" xfId="39053" xr:uid="{00000000-0005-0000-0000-000031530000}"/>
    <cellStyle name="Normal 2 14 3 2 4 5" xfId="8970" xr:uid="{00000000-0005-0000-0000-000032530000}"/>
    <cellStyle name="Normal 2 14 3 2 4 5 2" xfId="31613" xr:uid="{00000000-0005-0000-0000-000033530000}"/>
    <cellStyle name="Normal 2 14 3 2 4 6" xfId="24172" xr:uid="{00000000-0005-0000-0000-000034530000}"/>
    <cellStyle name="Normal 2 14 3 2 5" xfId="2445" xr:uid="{00000000-0005-0000-0000-000035530000}"/>
    <cellStyle name="Normal 2 14 3 2 5 2" xfId="6166" xr:uid="{00000000-0005-0000-0000-000036530000}"/>
    <cellStyle name="Normal 2 14 3 2 5 2 2" xfId="21050" xr:uid="{00000000-0005-0000-0000-000037530000}"/>
    <cellStyle name="Normal 2 14 3 2 5 2 2 2" xfId="43693" xr:uid="{00000000-0005-0000-0000-000038530000}"/>
    <cellStyle name="Normal 2 14 3 2 5 2 3" xfId="13610" xr:uid="{00000000-0005-0000-0000-000039530000}"/>
    <cellStyle name="Normal 2 14 3 2 5 2 3 2" xfId="36253" xr:uid="{00000000-0005-0000-0000-00003A530000}"/>
    <cellStyle name="Normal 2 14 3 2 5 2 4" xfId="28812" xr:uid="{00000000-0005-0000-0000-00003B530000}"/>
    <cellStyle name="Normal 2 14 3 2 5 3" xfId="17332" xr:uid="{00000000-0005-0000-0000-00003C530000}"/>
    <cellStyle name="Normal 2 14 3 2 5 3 2" xfId="39975" xr:uid="{00000000-0005-0000-0000-00003D530000}"/>
    <cellStyle name="Normal 2 14 3 2 5 4" xfId="9892" xr:uid="{00000000-0005-0000-0000-00003E530000}"/>
    <cellStyle name="Normal 2 14 3 2 5 4 2" xfId="32535" xr:uid="{00000000-0005-0000-0000-00003F530000}"/>
    <cellStyle name="Normal 2 14 3 2 5 5" xfId="25094" xr:uid="{00000000-0005-0000-0000-000040530000}"/>
    <cellStyle name="Normal 2 14 3 2 6" xfId="4319" xr:uid="{00000000-0005-0000-0000-000041530000}"/>
    <cellStyle name="Normal 2 14 3 2 6 2" xfId="19203" xr:uid="{00000000-0005-0000-0000-000042530000}"/>
    <cellStyle name="Normal 2 14 3 2 6 2 2" xfId="41846" xr:uid="{00000000-0005-0000-0000-000043530000}"/>
    <cellStyle name="Normal 2 14 3 2 6 3" xfId="11763" xr:uid="{00000000-0005-0000-0000-000044530000}"/>
    <cellStyle name="Normal 2 14 3 2 6 3 2" xfId="34406" xr:uid="{00000000-0005-0000-0000-000045530000}"/>
    <cellStyle name="Normal 2 14 3 2 6 4" xfId="26965" xr:uid="{00000000-0005-0000-0000-000046530000}"/>
    <cellStyle name="Normal 2 14 3 2 7" xfId="15485" xr:uid="{00000000-0005-0000-0000-000047530000}"/>
    <cellStyle name="Normal 2 14 3 2 7 2" xfId="38128" xr:uid="{00000000-0005-0000-0000-000048530000}"/>
    <cellStyle name="Normal 2 14 3 2 8" xfId="8045" xr:uid="{00000000-0005-0000-0000-000049530000}"/>
    <cellStyle name="Normal 2 14 3 2 8 2" xfId="30688" xr:uid="{00000000-0005-0000-0000-00004A530000}"/>
    <cellStyle name="Normal 2 14 3 2 9" xfId="23248" xr:uid="{00000000-0005-0000-0000-00004B530000}"/>
    <cellStyle name="Normal 2 14 3 3" xfId="695" xr:uid="{00000000-0005-0000-0000-00004C530000}"/>
    <cellStyle name="Normal 2 14 3 3 2" xfId="1160" xr:uid="{00000000-0005-0000-0000-00004D530000}"/>
    <cellStyle name="Normal 2 14 3 3 2 2" xfId="2088" xr:uid="{00000000-0005-0000-0000-00004E530000}"/>
    <cellStyle name="Normal 2 14 3 3 2 2 2" xfId="3938" xr:uid="{00000000-0005-0000-0000-00004F530000}"/>
    <cellStyle name="Normal 2 14 3 3 2 2 2 2" xfId="7659" xr:uid="{00000000-0005-0000-0000-000050530000}"/>
    <cellStyle name="Normal 2 14 3 3 2 2 2 2 2" xfId="22543" xr:uid="{00000000-0005-0000-0000-000051530000}"/>
    <cellStyle name="Normal 2 14 3 3 2 2 2 2 2 2" xfId="45186" xr:uid="{00000000-0005-0000-0000-000052530000}"/>
    <cellStyle name="Normal 2 14 3 3 2 2 2 2 3" xfId="15103" xr:uid="{00000000-0005-0000-0000-000053530000}"/>
    <cellStyle name="Normal 2 14 3 3 2 2 2 2 3 2" xfId="37746" xr:uid="{00000000-0005-0000-0000-000054530000}"/>
    <cellStyle name="Normal 2 14 3 3 2 2 2 2 4" xfId="30305" xr:uid="{00000000-0005-0000-0000-000055530000}"/>
    <cellStyle name="Normal 2 14 3 3 2 2 2 3" xfId="18825" xr:uid="{00000000-0005-0000-0000-000056530000}"/>
    <cellStyle name="Normal 2 14 3 3 2 2 2 3 2" xfId="41468" xr:uid="{00000000-0005-0000-0000-000057530000}"/>
    <cellStyle name="Normal 2 14 3 3 2 2 2 4" xfId="11385" xr:uid="{00000000-0005-0000-0000-000058530000}"/>
    <cellStyle name="Normal 2 14 3 3 2 2 2 4 2" xfId="34028" xr:uid="{00000000-0005-0000-0000-000059530000}"/>
    <cellStyle name="Normal 2 14 3 3 2 2 2 5" xfId="26587" xr:uid="{00000000-0005-0000-0000-00005A530000}"/>
    <cellStyle name="Normal 2 14 3 3 2 2 3" xfId="5812" xr:uid="{00000000-0005-0000-0000-00005B530000}"/>
    <cellStyle name="Normal 2 14 3 3 2 2 3 2" xfId="20696" xr:uid="{00000000-0005-0000-0000-00005C530000}"/>
    <cellStyle name="Normal 2 14 3 3 2 2 3 2 2" xfId="43339" xr:uid="{00000000-0005-0000-0000-00005D530000}"/>
    <cellStyle name="Normal 2 14 3 3 2 2 3 3" xfId="13256" xr:uid="{00000000-0005-0000-0000-00005E530000}"/>
    <cellStyle name="Normal 2 14 3 3 2 2 3 3 2" xfId="35899" xr:uid="{00000000-0005-0000-0000-00005F530000}"/>
    <cellStyle name="Normal 2 14 3 3 2 2 3 4" xfId="28458" xr:uid="{00000000-0005-0000-0000-000060530000}"/>
    <cellStyle name="Normal 2 14 3 3 2 2 4" xfId="16978" xr:uid="{00000000-0005-0000-0000-000061530000}"/>
    <cellStyle name="Normal 2 14 3 3 2 2 4 2" xfId="39621" xr:uid="{00000000-0005-0000-0000-000062530000}"/>
    <cellStyle name="Normal 2 14 3 3 2 2 5" xfId="9538" xr:uid="{00000000-0005-0000-0000-000063530000}"/>
    <cellStyle name="Normal 2 14 3 3 2 2 5 2" xfId="32181" xr:uid="{00000000-0005-0000-0000-000064530000}"/>
    <cellStyle name="Normal 2 14 3 3 2 2 6" xfId="24740" xr:uid="{00000000-0005-0000-0000-000065530000}"/>
    <cellStyle name="Normal 2 14 3 3 2 3" xfId="3013" xr:uid="{00000000-0005-0000-0000-000066530000}"/>
    <cellStyle name="Normal 2 14 3 3 2 3 2" xfId="6734" xr:uid="{00000000-0005-0000-0000-000067530000}"/>
    <cellStyle name="Normal 2 14 3 3 2 3 2 2" xfId="21618" xr:uid="{00000000-0005-0000-0000-000068530000}"/>
    <cellStyle name="Normal 2 14 3 3 2 3 2 2 2" xfId="44261" xr:uid="{00000000-0005-0000-0000-000069530000}"/>
    <cellStyle name="Normal 2 14 3 3 2 3 2 3" xfId="14178" xr:uid="{00000000-0005-0000-0000-00006A530000}"/>
    <cellStyle name="Normal 2 14 3 3 2 3 2 3 2" xfId="36821" xr:uid="{00000000-0005-0000-0000-00006B530000}"/>
    <cellStyle name="Normal 2 14 3 3 2 3 2 4" xfId="29380" xr:uid="{00000000-0005-0000-0000-00006C530000}"/>
    <cellStyle name="Normal 2 14 3 3 2 3 3" xfId="17900" xr:uid="{00000000-0005-0000-0000-00006D530000}"/>
    <cellStyle name="Normal 2 14 3 3 2 3 3 2" xfId="40543" xr:uid="{00000000-0005-0000-0000-00006E530000}"/>
    <cellStyle name="Normal 2 14 3 3 2 3 4" xfId="10460" xr:uid="{00000000-0005-0000-0000-00006F530000}"/>
    <cellStyle name="Normal 2 14 3 3 2 3 4 2" xfId="33103" xr:uid="{00000000-0005-0000-0000-000070530000}"/>
    <cellStyle name="Normal 2 14 3 3 2 3 5" xfId="25662" xr:uid="{00000000-0005-0000-0000-000071530000}"/>
    <cellStyle name="Normal 2 14 3 3 2 4" xfId="4887" xr:uid="{00000000-0005-0000-0000-000072530000}"/>
    <cellStyle name="Normal 2 14 3 3 2 4 2" xfId="19771" xr:uid="{00000000-0005-0000-0000-000073530000}"/>
    <cellStyle name="Normal 2 14 3 3 2 4 2 2" xfId="42414" xr:uid="{00000000-0005-0000-0000-000074530000}"/>
    <cellStyle name="Normal 2 14 3 3 2 4 3" xfId="12331" xr:uid="{00000000-0005-0000-0000-000075530000}"/>
    <cellStyle name="Normal 2 14 3 3 2 4 3 2" xfId="34974" xr:uid="{00000000-0005-0000-0000-000076530000}"/>
    <cellStyle name="Normal 2 14 3 3 2 4 4" xfId="27533" xr:uid="{00000000-0005-0000-0000-000077530000}"/>
    <cellStyle name="Normal 2 14 3 3 2 5" xfId="16053" xr:uid="{00000000-0005-0000-0000-000078530000}"/>
    <cellStyle name="Normal 2 14 3 3 2 5 2" xfId="38696" xr:uid="{00000000-0005-0000-0000-000079530000}"/>
    <cellStyle name="Normal 2 14 3 3 2 6" xfId="8613" xr:uid="{00000000-0005-0000-0000-00007A530000}"/>
    <cellStyle name="Normal 2 14 3 3 2 6 2" xfId="31256" xr:uid="{00000000-0005-0000-0000-00007B530000}"/>
    <cellStyle name="Normal 2 14 3 3 2 7" xfId="23815" xr:uid="{00000000-0005-0000-0000-00007C530000}"/>
    <cellStyle name="Normal 2 14 3 3 3" xfId="1626" xr:uid="{00000000-0005-0000-0000-00007D530000}"/>
    <cellStyle name="Normal 2 14 3 3 3 2" xfId="3476" xr:uid="{00000000-0005-0000-0000-00007E530000}"/>
    <cellStyle name="Normal 2 14 3 3 3 2 2" xfId="7197" xr:uid="{00000000-0005-0000-0000-00007F530000}"/>
    <cellStyle name="Normal 2 14 3 3 3 2 2 2" xfId="22081" xr:uid="{00000000-0005-0000-0000-000080530000}"/>
    <cellStyle name="Normal 2 14 3 3 3 2 2 2 2" xfId="44724" xr:uid="{00000000-0005-0000-0000-000081530000}"/>
    <cellStyle name="Normal 2 14 3 3 3 2 2 3" xfId="14641" xr:uid="{00000000-0005-0000-0000-000082530000}"/>
    <cellStyle name="Normal 2 14 3 3 3 2 2 3 2" xfId="37284" xr:uid="{00000000-0005-0000-0000-000083530000}"/>
    <cellStyle name="Normal 2 14 3 3 3 2 2 4" xfId="29843" xr:uid="{00000000-0005-0000-0000-000084530000}"/>
    <cellStyle name="Normal 2 14 3 3 3 2 3" xfId="18363" xr:uid="{00000000-0005-0000-0000-000085530000}"/>
    <cellStyle name="Normal 2 14 3 3 3 2 3 2" xfId="41006" xr:uid="{00000000-0005-0000-0000-000086530000}"/>
    <cellStyle name="Normal 2 14 3 3 3 2 4" xfId="10923" xr:uid="{00000000-0005-0000-0000-000087530000}"/>
    <cellStyle name="Normal 2 14 3 3 3 2 4 2" xfId="33566" xr:uid="{00000000-0005-0000-0000-000088530000}"/>
    <cellStyle name="Normal 2 14 3 3 3 2 5" xfId="26125" xr:uid="{00000000-0005-0000-0000-000089530000}"/>
    <cellStyle name="Normal 2 14 3 3 3 3" xfId="5350" xr:uid="{00000000-0005-0000-0000-00008A530000}"/>
    <cellStyle name="Normal 2 14 3 3 3 3 2" xfId="20234" xr:uid="{00000000-0005-0000-0000-00008B530000}"/>
    <cellStyle name="Normal 2 14 3 3 3 3 2 2" xfId="42877" xr:uid="{00000000-0005-0000-0000-00008C530000}"/>
    <cellStyle name="Normal 2 14 3 3 3 3 3" xfId="12794" xr:uid="{00000000-0005-0000-0000-00008D530000}"/>
    <cellStyle name="Normal 2 14 3 3 3 3 3 2" xfId="35437" xr:uid="{00000000-0005-0000-0000-00008E530000}"/>
    <cellStyle name="Normal 2 14 3 3 3 3 4" xfId="27996" xr:uid="{00000000-0005-0000-0000-00008F530000}"/>
    <cellStyle name="Normal 2 14 3 3 3 4" xfId="16516" xr:uid="{00000000-0005-0000-0000-000090530000}"/>
    <cellStyle name="Normal 2 14 3 3 3 4 2" xfId="39159" xr:uid="{00000000-0005-0000-0000-000091530000}"/>
    <cellStyle name="Normal 2 14 3 3 3 5" xfId="9076" xr:uid="{00000000-0005-0000-0000-000092530000}"/>
    <cellStyle name="Normal 2 14 3 3 3 5 2" xfId="31719" xr:uid="{00000000-0005-0000-0000-000093530000}"/>
    <cellStyle name="Normal 2 14 3 3 3 6" xfId="24278" xr:uid="{00000000-0005-0000-0000-000094530000}"/>
    <cellStyle name="Normal 2 14 3 3 4" xfId="2551" xr:uid="{00000000-0005-0000-0000-000095530000}"/>
    <cellStyle name="Normal 2 14 3 3 4 2" xfId="6272" xr:uid="{00000000-0005-0000-0000-000096530000}"/>
    <cellStyle name="Normal 2 14 3 3 4 2 2" xfId="21156" xr:uid="{00000000-0005-0000-0000-000097530000}"/>
    <cellStyle name="Normal 2 14 3 3 4 2 2 2" xfId="43799" xr:uid="{00000000-0005-0000-0000-000098530000}"/>
    <cellStyle name="Normal 2 14 3 3 4 2 3" xfId="13716" xr:uid="{00000000-0005-0000-0000-000099530000}"/>
    <cellStyle name="Normal 2 14 3 3 4 2 3 2" xfId="36359" xr:uid="{00000000-0005-0000-0000-00009A530000}"/>
    <cellStyle name="Normal 2 14 3 3 4 2 4" xfId="28918" xr:uid="{00000000-0005-0000-0000-00009B530000}"/>
    <cellStyle name="Normal 2 14 3 3 4 3" xfId="17438" xr:uid="{00000000-0005-0000-0000-00009C530000}"/>
    <cellStyle name="Normal 2 14 3 3 4 3 2" xfId="40081" xr:uid="{00000000-0005-0000-0000-00009D530000}"/>
    <cellStyle name="Normal 2 14 3 3 4 4" xfId="9998" xr:uid="{00000000-0005-0000-0000-00009E530000}"/>
    <cellStyle name="Normal 2 14 3 3 4 4 2" xfId="32641" xr:uid="{00000000-0005-0000-0000-00009F530000}"/>
    <cellStyle name="Normal 2 14 3 3 4 5" xfId="25200" xr:uid="{00000000-0005-0000-0000-0000A0530000}"/>
    <cellStyle name="Normal 2 14 3 3 5" xfId="4425" xr:uid="{00000000-0005-0000-0000-0000A1530000}"/>
    <cellStyle name="Normal 2 14 3 3 5 2" xfId="19309" xr:uid="{00000000-0005-0000-0000-0000A2530000}"/>
    <cellStyle name="Normal 2 14 3 3 5 2 2" xfId="41952" xr:uid="{00000000-0005-0000-0000-0000A3530000}"/>
    <cellStyle name="Normal 2 14 3 3 5 3" xfId="11869" xr:uid="{00000000-0005-0000-0000-0000A4530000}"/>
    <cellStyle name="Normal 2 14 3 3 5 3 2" xfId="34512" xr:uid="{00000000-0005-0000-0000-0000A5530000}"/>
    <cellStyle name="Normal 2 14 3 3 5 4" xfId="27071" xr:uid="{00000000-0005-0000-0000-0000A6530000}"/>
    <cellStyle name="Normal 2 14 3 3 6" xfId="15591" xr:uid="{00000000-0005-0000-0000-0000A7530000}"/>
    <cellStyle name="Normal 2 14 3 3 6 2" xfId="38234" xr:uid="{00000000-0005-0000-0000-0000A8530000}"/>
    <cellStyle name="Normal 2 14 3 3 7" xfId="8151" xr:uid="{00000000-0005-0000-0000-0000A9530000}"/>
    <cellStyle name="Normal 2 14 3 3 7 2" xfId="30794" xr:uid="{00000000-0005-0000-0000-0000AA530000}"/>
    <cellStyle name="Normal 2 14 3 3 8" xfId="23353" xr:uid="{00000000-0005-0000-0000-0000AB530000}"/>
    <cellStyle name="Normal 2 14 3 4" xfId="949" xr:uid="{00000000-0005-0000-0000-0000AC530000}"/>
    <cellStyle name="Normal 2 14 3 4 2" xfId="1877" xr:uid="{00000000-0005-0000-0000-0000AD530000}"/>
    <cellStyle name="Normal 2 14 3 4 2 2" xfId="3727" xr:uid="{00000000-0005-0000-0000-0000AE530000}"/>
    <cellStyle name="Normal 2 14 3 4 2 2 2" xfId="7448" xr:uid="{00000000-0005-0000-0000-0000AF530000}"/>
    <cellStyle name="Normal 2 14 3 4 2 2 2 2" xfId="22332" xr:uid="{00000000-0005-0000-0000-0000B0530000}"/>
    <cellStyle name="Normal 2 14 3 4 2 2 2 2 2" xfId="44975" xr:uid="{00000000-0005-0000-0000-0000B1530000}"/>
    <cellStyle name="Normal 2 14 3 4 2 2 2 3" xfId="14892" xr:uid="{00000000-0005-0000-0000-0000B2530000}"/>
    <cellStyle name="Normal 2 14 3 4 2 2 2 3 2" xfId="37535" xr:uid="{00000000-0005-0000-0000-0000B3530000}"/>
    <cellStyle name="Normal 2 14 3 4 2 2 2 4" xfId="30094" xr:uid="{00000000-0005-0000-0000-0000B4530000}"/>
    <cellStyle name="Normal 2 14 3 4 2 2 3" xfId="18614" xr:uid="{00000000-0005-0000-0000-0000B5530000}"/>
    <cellStyle name="Normal 2 14 3 4 2 2 3 2" xfId="41257" xr:uid="{00000000-0005-0000-0000-0000B6530000}"/>
    <cellStyle name="Normal 2 14 3 4 2 2 4" xfId="11174" xr:uid="{00000000-0005-0000-0000-0000B7530000}"/>
    <cellStyle name="Normal 2 14 3 4 2 2 4 2" xfId="33817" xr:uid="{00000000-0005-0000-0000-0000B8530000}"/>
    <cellStyle name="Normal 2 14 3 4 2 2 5" xfId="26376" xr:uid="{00000000-0005-0000-0000-0000B9530000}"/>
    <cellStyle name="Normal 2 14 3 4 2 3" xfId="5601" xr:uid="{00000000-0005-0000-0000-0000BA530000}"/>
    <cellStyle name="Normal 2 14 3 4 2 3 2" xfId="20485" xr:uid="{00000000-0005-0000-0000-0000BB530000}"/>
    <cellStyle name="Normal 2 14 3 4 2 3 2 2" xfId="43128" xr:uid="{00000000-0005-0000-0000-0000BC530000}"/>
    <cellStyle name="Normal 2 14 3 4 2 3 3" xfId="13045" xr:uid="{00000000-0005-0000-0000-0000BD530000}"/>
    <cellStyle name="Normal 2 14 3 4 2 3 3 2" xfId="35688" xr:uid="{00000000-0005-0000-0000-0000BE530000}"/>
    <cellStyle name="Normal 2 14 3 4 2 3 4" xfId="28247" xr:uid="{00000000-0005-0000-0000-0000BF530000}"/>
    <cellStyle name="Normal 2 14 3 4 2 4" xfId="16767" xr:uid="{00000000-0005-0000-0000-0000C0530000}"/>
    <cellStyle name="Normal 2 14 3 4 2 4 2" xfId="39410" xr:uid="{00000000-0005-0000-0000-0000C1530000}"/>
    <cellStyle name="Normal 2 14 3 4 2 5" xfId="9327" xr:uid="{00000000-0005-0000-0000-0000C2530000}"/>
    <cellStyle name="Normal 2 14 3 4 2 5 2" xfId="31970" xr:uid="{00000000-0005-0000-0000-0000C3530000}"/>
    <cellStyle name="Normal 2 14 3 4 2 6" xfId="24529" xr:uid="{00000000-0005-0000-0000-0000C4530000}"/>
    <cellStyle name="Normal 2 14 3 4 3" xfId="2802" xr:uid="{00000000-0005-0000-0000-0000C5530000}"/>
    <cellStyle name="Normal 2 14 3 4 3 2" xfId="6523" xr:uid="{00000000-0005-0000-0000-0000C6530000}"/>
    <cellStyle name="Normal 2 14 3 4 3 2 2" xfId="21407" xr:uid="{00000000-0005-0000-0000-0000C7530000}"/>
    <cellStyle name="Normal 2 14 3 4 3 2 2 2" xfId="44050" xr:uid="{00000000-0005-0000-0000-0000C8530000}"/>
    <cellStyle name="Normal 2 14 3 4 3 2 3" xfId="13967" xr:uid="{00000000-0005-0000-0000-0000C9530000}"/>
    <cellStyle name="Normal 2 14 3 4 3 2 3 2" xfId="36610" xr:uid="{00000000-0005-0000-0000-0000CA530000}"/>
    <cellStyle name="Normal 2 14 3 4 3 2 4" xfId="29169" xr:uid="{00000000-0005-0000-0000-0000CB530000}"/>
    <cellStyle name="Normal 2 14 3 4 3 3" xfId="17689" xr:uid="{00000000-0005-0000-0000-0000CC530000}"/>
    <cellStyle name="Normal 2 14 3 4 3 3 2" xfId="40332" xr:uid="{00000000-0005-0000-0000-0000CD530000}"/>
    <cellStyle name="Normal 2 14 3 4 3 4" xfId="10249" xr:uid="{00000000-0005-0000-0000-0000CE530000}"/>
    <cellStyle name="Normal 2 14 3 4 3 4 2" xfId="32892" xr:uid="{00000000-0005-0000-0000-0000CF530000}"/>
    <cellStyle name="Normal 2 14 3 4 3 5" xfId="25451" xr:uid="{00000000-0005-0000-0000-0000D0530000}"/>
    <cellStyle name="Normal 2 14 3 4 4" xfId="4676" xr:uid="{00000000-0005-0000-0000-0000D1530000}"/>
    <cellStyle name="Normal 2 14 3 4 4 2" xfId="19560" xr:uid="{00000000-0005-0000-0000-0000D2530000}"/>
    <cellStyle name="Normal 2 14 3 4 4 2 2" xfId="42203" xr:uid="{00000000-0005-0000-0000-0000D3530000}"/>
    <cellStyle name="Normal 2 14 3 4 4 3" xfId="12120" xr:uid="{00000000-0005-0000-0000-0000D4530000}"/>
    <cellStyle name="Normal 2 14 3 4 4 3 2" xfId="34763" xr:uid="{00000000-0005-0000-0000-0000D5530000}"/>
    <cellStyle name="Normal 2 14 3 4 4 4" xfId="27322" xr:uid="{00000000-0005-0000-0000-0000D6530000}"/>
    <cellStyle name="Normal 2 14 3 4 5" xfId="15842" xr:uid="{00000000-0005-0000-0000-0000D7530000}"/>
    <cellStyle name="Normal 2 14 3 4 5 2" xfId="38485" xr:uid="{00000000-0005-0000-0000-0000D8530000}"/>
    <cellStyle name="Normal 2 14 3 4 6" xfId="8402" xr:uid="{00000000-0005-0000-0000-0000D9530000}"/>
    <cellStyle name="Normal 2 14 3 4 6 2" xfId="31045" xr:uid="{00000000-0005-0000-0000-0000DA530000}"/>
    <cellStyle name="Normal 2 14 3 4 7" xfId="23604" xr:uid="{00000000-0005-0000-0000-0000DB530000}"/>
    <cellStyle name="Normal 2 14 3 5" xfId="1415" xr:uid="{00000000-0005-0000-0000-0000DC530000}"/>
    <cellStyle name="Normal 2 14 3 5 2" xfId="3265" xr:uid="{00000000-0005-0000-0000-0000DD530000}"/>
    <cellStyle name="Normal 2 14 3 5 2 2" xfId="6986" xr:uid="{00000000-0005-0000-0000-0000DE530000}"/>
    <cellStyle name="Normal 2 14 3 5 2 2 2" xfId="21870" xr:uid="{00000000-0005-0000-0000-0000DF530000}"/>
    <cellStyle name="Normal 2 14 3 5 2 2 2 2" xfId="44513" xr:uid="{00000000-0005-0000-0000-0000E0530000}"/>
    <cellStyle name="Normal 2 14 3 5 2 2 3" xfId="14430" xr:uid="{00000000-0005-0000-0000-0000E1530000}"/>
    <cellStyle name="Normal 2 14 3 5 2 2 3 2" xfId="37073" xr:uid="{00000000-0005-0000-0000-0000E2530000}"/>
    <cellStyle name="Normal 2 14 3 5 2 2 4" xfId="29632" xr:uid="{00000000-0005-0000-0000-0000E3530000}"/>
    <cellStyle name="Normal 2 14 3 5 2 3" xfId="18152" xr:uid="{00000000-0005-0000-0000-0000E4530000}"/>
    <cellStyle name="Normal 2 14 3 5 2 3 2" xfId="40795" xr:uid="{00000000-0005-0000-0000-0000E5530000}"/>
    <cellStyle name="Normal 2 14 3 5 2 4" xfId="10712" xr:uid="{00000000-0005-0000-0000-0000E6530000}"/>
    <cellStyle name="Normal 2 14 3 5 2 4 2" xfId="33355" xr:uid="{00000000-0005-0000-0000-0000E7530000}"/>
    <cellStyle name="Normal 2 14 3 5 2 5" xfId="25914" xr:uid="{00000000-0005-0000-0000-0000E8530000}"/>
    <cellStyle name="Normal 2 14 3 5 3" xfId="5139" xr:uid="{00000000-0005-0000-0000-0000E9530000}"/>
    <cellStyle name="Normal 2 14 3 5 3 2" xfId="20023" xr:uid="{00000000-0005-0000-0000-0000EA530000}"/>
    <cellStyle name="Normal 2 14 3 5 3 2 2" xfId="42666" xr:uid="{00000000-0005-0000-0000-0000EB530000}"/>
    <cellStyle name="Normal 2 14 3 5 3 3" xfId="12583" xr:uid="{00000000-0005-0000-0000-0000EC530000}"/>
    <cellStyle name="Normal 2 14 3 5 3 3 2" xfId="35226" xr:uid="{00000000-0005-0000-0000-0000ED530000}"/>
    <cellStyle name="Normal 2 14 3 5 3 4" xfId="27785" xr:uid="{00000000-0005-0000-0000-0000EE530000}"/>
    <cellStyle name="Normal 2 14 3 5 4" xfId="16305" xr:uid="{00000000-0005-0000-0000-0000EF530000}"/>
    <cellStyle name="Normal 2 14 3 5 4 2" xfId="38948" xr:uid="{00000000-0005-0000-0000-0000F0530000}"/>
    <cellStyle name="Normal 2 14 3 5 5" xfId="8865" xr:uid="{00000000-0005-0000-0000-0000F1530000}"/>
    <cellStyle name="Normal 2 14 3 5 5 2" xfId="31508" xr:uid="{00000000-0005-0000-0000-0000F2530000}"/>
    <cellStyle name="Normal 2 14 3 5 6" xfId="24067" xr:uid="{00000000-0005-0000-0000-0000F3530000}"/>
    <cellStyle name="Normal 2 14 3 6" xfId="2340" xr:uid="{00000000-0005-0000-0000-0000F4530000}"/>
    <cellStyle name="Normal 2 14 3 6 2" xfId="6061" xr:uid="{00000000-0005-0000-0000-0000F5530000}"/>
    <cellStyle name="Normal 2 14 3 6 2 2" xfId="20945" xr:uid="{00000000-0005-0000-0000-0000F6530000}"/>
    <cellStyle name="Normal 2 14 3 6 2 2 2" xfId="43588" xr:uid="{00000000-0005-0000-0000-0000F7530000}"/>
    <cellStyle name="Normal 2 14 3 6 2 3" xfId="13505" xr:uid="{00000000-0005-0000-0000-0000F8530000}"/>
    <cellStyle name="Normal 2 14 3 6 2 3 2" xfId="36148" xr:uid="{00000000-0005-0000-0000-0000F9530000}"/>
    <cellStyle name="Normal 2 14 3 6 2 4" xfId="28707" xr:uid="{00000000-0005-0000-0000-0000FA530000}"/>
    <cellStyle name="Normal 2 14 3 6 3" xfId="17227" xr:uid="{00000000-0005-0000-0000-0000FB530000}"/>
    <cellStyle name="Normal 2 14 3 6 3 2" xfId="39870" xr:uid="{00000000-0005-0000-0000-0000FC530000}"/>
    <cellStyle name="Normal 2 14 3 6 4" xfId="9787" xr:uid="{00000000-0005-0000-0000-0000FD530000}"/>
    <cellStyle name="Normal 2 14 3 6 4 2" xfId="32430" xr:uid="{00000000-0005-0000-0000-0000FE530000}"/>
    <cellStyle name="Normal 2 14 3 6 5" xfId="24989" xr:uid="{00000000-0005-0000-0000-0000FF530000}"/>
    <cellStyle name="Normal 2 14 3 7" xfId="4214" xr:uid="{00000000-0005-0000-0000-000000540000}"/>
    <cellStyle name="Normal 2 14 3 7 2" xfId="19098" xr:uid="{00000000-0005-0000-0000-000001540000}"/>
    <cellStyle name="Normal 2 14 3 7 2 2" xfId="41741" xr:uid="{00000000-0005-0000-0000-000002540000}"/>
    <cellStyle name="Normal 2 14 3 7 3" xfId="11658" xr:uid="{00000000-0005-0000-0000-000003540000}"/>
    <cellStyle name="Normal 2 14 3 7 3 2" xfId="34301" xr:uid="{00000000-0005-0000-0000-000004540000}"/>
    <cellStyle name="Normal 2 14 3 7 4" xfId="26860" xr:uid="{00000000-0005-0000-0000-000005540000}"/>
    <cellStyle name="Normal 2 14 3 8" xfId="15380" xr:uid="{00000000-0005-0000-0000-000006540000}"/>
    <cellStyle name="Normal 2 14 3 8 2" xfId="38023" xr:uid="{00000000-0005-0000-0000-000007540000}"/>
    <cellStyle name="Normal 2 14 3 9" xfId="7940" xr:uid="{00000000-0005-0000-0000-000008540000}"/>
    <cellStyle name="Normal 2 14 3 9 2" xfId="30583" xr:uid="{00000000-0005-0000-0000-000009540000}"/>
    <cellStyle name="Normal 2 14 4" xfId="536" xr:uid="{00000000-0005-0000-0000-00000A540000}"/>
    <cellStyle name="Normal 2 14 4 2" xfId="748" xr:uid="{00000000-0005-0000-0000-00000B540000}"/>
    <cellStyle name="Normal 2 14 4 2 2" xfId="1213" xr:uid="{00000000-0005-0000-0000-00000C540000}"/>
    <cellStyle name="Normal 2 14 4 2 2 2" xfId="2141" xr:uid="{00000000-0005-0000-0000-00000D540000}"/>
    <cellStyle name="Normal 2 14 4 2 2 2 2" xfId="3991" xr:uid="{00000000-0005-0000-0000-00000E540000}"/>
    <cellStyle name="Normal 2 14 4 2 2 2 2 2" xfId="7712" xr:uid="{00000000-0005-0000-0000-00000F540000}"/>
    <cellStyle name="Normal 2 14 4 2 2 2 2 2 2" xfId="22596" xr:uid="{00000000-0005-0000-0000-000010540000}"/>
    <cellStyle name="Normal 2 14 4 2 2 2 2 2 2 2" xfId="45239" xr:uid="{00000000-0005-0000-0000-000011540000}"/>
    <cellStyle name="Normal 2 14 4 2 2 2 2 2 3" xfId="15156" xr:uid="{00000000-0005-0000-0000-000012540000}"/>
    <cellStyle name="Normal 2 14 4 2 2 2 2 2 3 2" xfId="37799" xr:uid="{00000000-0005-0000-0000-000013540000}"/>
    <cellStyle name="Normal 2 14 4 2 2 2 2 2 4" xfId="30358" xr:uid="{00000000-0005-0000-0000-000014540000}"/>
    <cellStyle name="Normal 2 14 4 2 2 2 2 3" xfId="18878" xr:uid="{00000000-0005-0000-0000-000015540000}"/>
    <cellStyle name="Normal 2 14 4 2 2 2 2 3 2" xfId="41521" xr:uid="{00000000-0005-0000-0000-000016540000}"/>
    <cellStyle name="Normal 2 14 4 2 2 2 2 4" xfId="11438" xr:uid="{00000000-0005-0000-0000-000017540000}"/>
    <cellStyle name="Normal 2 14 4 2 2 2 2 4 2" xfId="34081" xr:uid="{00000000-0005-0000-0000-000018540000}"/>
    <cellStyle name="Normal 2 14 4 2 2 2 2 5" xfId="26640" xr:uid="{00000000-0005-0000-0000-000019540000}"/>
    <cellStyle name="Normal 2 14 4 2 2 2 3" xfId="5865" xr:uid="{00000000-0005-0000-0000-00001A540000}"/>
    <cellStyle name="Normal 2 14 4 2 2 2 3 2" xfId="20749" xr:uid="{00000000-0005-0000-0000-00001B540000}"/>
    <cellStyle name="Normal 2 14 4 2 2 2 3 2 2" xfId="43392" xr:uid="{00000000-0005-0000-0000-00001C540000}"/>
    <cellStyle name="Normal 2 14 4 2 2 2 3 3" xfId="13309" xr:uid="{00000000-0005-0000-0000-00001D540000}"/>
    <cellStyle name="Normal 2 14 4 2 2 2 3 3 2" xfId="35952" xr:uid="{00000000-0005-0000-0000-00001E540000}"/>
    <cellStyle name="Normal 2 14 4 2 2 2 3 4" xfId="28511" xr:uid="{00000000-0005-0000-0000-00001F540000}"/>
    <cellStyle name="Normal 2 14 4 2 2 2 4" xfId="17031" xr:uid="{00000000-0005-0000-0000-000020540000}"/>
    <cellStyle name="Normal 2 14 4 2 2 2 4 2" xfId="39674" xr:uid="{00000000-0005-0000-0000-000021540000}"/>
    <cellStyle name="Normal 2 14 4 2 2 2 5" xfId="9591" xr:uid="{00000000-0005-0000-0000-000022540000}"/>
    <cellStyle name="Normal 2 14 4 2 2 2 5 2" xfId="32234" xr:uid="{00000000-0005-0000-0000-000023540000}"/>
    <cellStyle name="Normal 2 14 4 2 2 2 6" xfId="24793" xr:uid="{00000000-0005-0000-0000-000024540000}"/>
    <cellStyle name="Normal 2 14 4 2 2 3" xfId="3066" xr:uid="{00000000-0005-0000-0000-000025540000}"/>
    <cellStyle name="Normal 2 14 4 2 2 3 2" xfId="6787" xr:uid="{00000000-0005-0000-0000-000026540000}"/>
    <cellStyle name="Normal 2 14 4 2 2 3 2 2" xfId="21671" xr:uid="{00000000-0005-0000-0000-000027540000}"/>
    <cellStyle name="Normal 2 14 4 2 2 3 2 2 2" xfId="44314" xr:uid="{00000000-0005-0000-0000-000028540000}"/>
    <cellStyle name="Normal 2 14 4 2 2 3 2 3" xfId="14231" xr:uid="{00000000-0005-0000-0000-000029540000}"/>
    <cellStyle name="Normal 2 14 4 2 2 3 2 3 2" xfId="36874" xr:uid="{00000000-0005-0000-0000-00002A540000}"/>
    <cellStyle name="Normal 2 14 4 2 2 3 2 4" xfId="29433" xr:uid="{00000000-0005-0000-0000-00002B540000}"/>
    <cellStyle name="Normal 2 14 4 2 2 3 3" xfId="17953" xr:uid="{00000000-0005-0000-0000-00002C540000}"/>
    <cellStyle name="Normal 2 14 4 2 2 3 3 2" xfId="40596" xr:uid="{00000000-0005-0000-0000-00002D540000}"/>
    <cellStyle name="Normal 2 14 4 2 2 3 4" xfId="10513" xr:uid="{00000000-0005-0000-0000-00002E540000}"/>
    <cellStyle name="Normal 2 14 4 2 2 3 4 2" xfId="33156" xr:uid="{00000000-0005-0000-0000-00002F540000}"/>
    <cellStyle name="Normal 2 14 4 2 2 3 5" xfId="25715" xr:uid="{00000000-0005-0000-0000-000030540000}"/>
    <cellStyle name="Normal 2 14 4 2 2 4" xfId="4940" xr:uid="{00000000-0005-0000-0000-000031540000}"/>
    <cellStyle name="Normal 2 14 4 2 2 4 2" xfId="19824" xr:uid="{00000000-0005-0000-0000-000032540000}"/>
    <cellStyle name="Normal 2 14 4 2 2 4 2 2" xfId="42467" xr:uid="{00000000-0005-0000-0000-000033540000}"/>
    <cellStyle name="Normal 2 14 4 2 2 4 3" xfId="12384" xr:uid="{00000000-0005-0000-0000-000034540000}"/>
    <cellStyle name="Normal 2 14 4 2 2 4 3 2" xfId="35027" xr:uid="{00000000-0005-0000-0000-000035540000}"/>
    <cellStyle name="Normal 2 14 4 2 2 4 4" xfId="27586" xr:uid="{00000000-0005-0000-0000-000036540000}"/>
    <cellStyle name="Normal 2 14 4 2 2 5" xfId="16106" xr:uid="{00000000-0005-0000-0000-000037540000}"/>
    <cellStyle name="Normal 2 14 4 2 2 5 2" xfId="38749" xr:uid="{00000000-0005-0000-0000-000038540000}"/>
    <cellStyle name="Normal 2 14 4 2 2 6" xfId="8666" xr:uid="{00000000-0005-0000-0000-000039540000}"/>
    <cellStyle name="Normal 2 14 4 2 2 6 2" xfId="31309" xr:uid="{00000000-0005-0000-0000-00003A540000}"/>
    <cellStyle name="Normal 2 14 4 2 2 7" xfId="23868" xr:uid="{00000000-0005-0000-0000-00003B540000}"/>
    <cellStyle name="Normal 2 14 4 2 3" xfId="1679" xr:uid="{00000000-0005-0000-0000-00003C540000}"/>
    <cellStyle name="Normal 2 14 4 2 3 2" xfId="3529" xr:uid="{00000000-0005-0000-0000-00003D540000}"/>
    <cellStyle name="Normal 2 14 4 2 3 2 2" xfId="7250" xr:uid="{00000000-0005-0000-0000-00003E540000}"/>
    <cellStyle name="Normal 2 14 4 2 3 2 2 2" xfId="22134" xr:uid="{00000000-0005-0000-0000-00003F540000}"/>
    <cellStyle name="Normal 2 14 4 2 3 2 2 2 2" xfId="44777" xr:uid="{00000000-0005-0000-0000-000040540000}"/>
    <cellStyle name="Normal 2 14 4 2 3 2 2 3" xfId="14694" xr:uid="{00000000-0005-0000-0000-000041540000}"/>
    <cellStyle name="Normal 2 14 4 2 3 2 2 3 2" xfId="37337" xr:uid="{00000000-0005-0000-0000-000042540000}"/>
    <cellStyle name="Normal 2 14 4 2 3 2 2 4" xfId="29896" xr:uid="{00000000-0005-0000-0000-000043540000}"/>
    <cellStyle name="Normal 2 14 4 2 3 2 3" xfId="18416" xr:uid="{00000000-0005-0000-0000-000044540000}"/>
    <cellStyle name="Normal 2 14 4 2 3 2 3 2" xfId="41059" xr:uid="{00000000-0005-0000-0000-000045540000}"/>
    <cellStyle name="Normal 2 14 4 2 3 2 4" xfId="10976" xr:uid="{00000000-0005-0000-0000-000046540000}"/>
    <cellStyle name="Normal 2 14 4 2 3 2 4 2" xfId="33619" xr:uid="{00000000-0005-0000-0000-000047540000}"/>
    <cellStyle name="Normal 2 14 4 2 3 2 5" xfId="26178" xr:uid="{00000000-0005-0000-0000-000048540000}"/>
    <cellStyle name="Normal 2 14 4 2 3 3" xfId="5403" xr:uid="{00000000-0005-0000-0000-000049540000}"/>
    <cellStyle name="Normal 2 14 4 2 3 3 2" xfId="20287" xr:uid="{00000000-0005-0000-0000-00004A540000}"/>
    <cellStyle name="Normal 2 14 4 2 3 3 2 2" xfId="42930" xr:uid="{00000000-0005-0000-0000-00004B540000}"/>
    <cellStyle name="Normal 2 14 4 2 3 3 3" xfId="12847" xr:uid="{00000000-0005-0000-0000-00004C540000}"/>
    <cellStyle name="Normal 2 14 4 2 3 3 3 2" xfId="35490" xr:uid="{00000000-0005-0000-0000-00004D540000}"/>
    <cellStyle name="Normal 2 14 4 2 3 3 4" xfId="28049" xr:uid="{00000000-0005-0000-0000-00004E540000}"/>
    <cellStyle name="Normal 2 14 4 2 3 4" xfId="16569" xr:uid="{00000000-0005-0000-0000-00004F540000}"/>
    <cellStyle name="Normal 2 14 4 2 3 4 2" xfId="39212" xr:uid="{00000000-0005-0000-0000-000050540000}"/>
    <cellStyle name="Normal 2 14 4 2 3 5" xfId="9129" xr:uid="{00000000-0005-0000-0000-000051540000}"/>
    <cellStyle name="Normal 2 14 4 2 3 5 2" xfId="31772" xr:uid="{00000000-0005-0000-0000-000052540000}"/>
    <cellStyle name="Normal 2 14 4 2 3 6" xfId="24331" xr:uid="{00000000-0005-0000-0000-000053540000}"/>
    <cellStyle name="Normal 2 14 4 2 4" xfId="2604" xr:uid="{00000000-0005-0000-0000-000054540000}"/>
    <cellStyle name="Normal 2 14 4 2 4 2" xfId="6325" xr:uid="{00000000-0005-0000-0000-000055540000}"/>
    <cellStyle name="Normal 2 14 4 2 4 2 2" xfId="21209" xr:uid="{00000000-0005-0000-0000-000056540000}"/>
    <cellStyle name="Normal 2 14 4 2 4 2 2 2" xfId="43852" xr:uid="{00000000-0005-0000-0000-000057540000}"/>
    <cellStyle name="Normal 2 14 4 2 4 2 3" xfId="13769" xr:uid="{00000000-0005-0000-0000-000058540000}"/>
    <cellStyle name="Normal 2 14 4 2 4 2 3 2" xfId="36412" xr:uid="{00000000-0005-0000-0000-000059540000}"/>
    <cellStyle name="Normal 2 14 4 2 4 2 4" xfId="28971" xr:uid="{00000000-0005-0000-0000-00005A540000}"/>
    <cellStyle name="Normal 2 14 4 2 4 3" xfId="17491" xr:uid="{00000000-0005-0000-0000-00005B540000}"/>
    <cellStyle name="Normal 2 14 4 2 4 3 2" xfId="40134" xr:uid="{00000000-0005-0000-0000-00005C540000}"/>
    <cellStyle name="Normal 2 14 4 2 4 4" xfId="10051" xr:uid="{00000000-0005-0000-0000-00005D540000}"/>
    <cellStyle name="Normal 2 14 4 2 4 4 2" xfId="32694" xr:uid="{00000000-0005-0000-0000-00005E540000}"/>
    <cellStyle name="Normal 2 14 4 2 4 5" xfId="25253" xr:uid="{00000000-0005-0000-0000-00005F540000}"/>
    <cellStyle name="Normal 2 14 4 2 5" xfId="4478" xr:uid="{00000000-0005-0000-0000-000060540000}"/>
    <cellStyle name="Normal 2 14 4 2 5 2" xfId="19362" xr:uid="{00000000-0005-0000-0000-000061540000}"/>
    <cellStyle name="Normal 2 14 4 2 5 2 2" xfId="42005" xr:uid="{00000000-0005-0000-0000-000062540000}"/>
    <cellStyle name="Normal 2 14 4 2 5 3" xfId="11922" xr:uid="{00000000-0005-0000-0000-000063540000}"/>
    <cellStyle name="Normal 2 14 4 2 5 3 2" xfId="34565" xr:uid="{00000000-0005-0000-0000-000064540000}"/>
    <cellStyle name="Normal 2 14 4 2 5 4" xfId="27124" xr:uid="{00000000-0005-0000-0000-000065540000}"/>
    <cellStyle name="Normal 2 14 4 2 6" xfId="15644" xr:uid="{00000000-0005-0000-0000-000066540000}"/>
    <cellStyle name="Normal 2 14 4 2 6 2" xfId="38287" xr:uid="{00000000-0005-0000-0000-000067540000}"/>
    <cellStyle name="Normal 2 14 4 2 7" xfId="8204" xr:uid="{00000000-0005-0000-0000-000068540000}"/>
    <cellStyle name="Normal 2 14 4 2 7 2" xfId="30847" xr:uid="{00000000-0005-0000-0000-000069540000}"/>
    <cellStyle name="Normal 2 14 4 2 8" xfId="23406" xr:uid="{00000000-0005-0000-0000-00006A540000}"/>
    <cellStyle name="Normal 2 14 4 3" xfId="1002" xr:uid="{00000000-0005-0000-0000-00006B540000}"/>
    <cellStyle name="Normal 2 14 4 3 2" xfId="1930" xr:uid="{00000000-0005-0000-0000-00006C540000}"/>
    <cellStyle name="Normal 2 14 4 3 2 2" xfId="3780" xr:uid="{00000000-0005-0000-0000-00006D540000}"/>
    <cellStyle name="Normal 2 14 4 3 2 2 2" xfId="7501" xr:uid="{00000000-0005-0000-0000-00006E540000}"/>
    <cellStyle name="Normal 2 14 4 3 2 2 2 2" xfId="22385" xr:uid="{00000000-0005-0000-0000-00006F540000}"/>
    <cellStyle name="Normal 2 14 4 3 2 2 2 2 2" xfId="45028" xr:uid="{00000000-0005-0000-0000-000070540000}"/>
    <cellStyle name="Normal 2 14 4 3 2 2 2 3" xfId="14945" xr:uid="{00000000-0005-0000-0000-000071540000}"/>
    <cellStyle name="Normal 2 14 4 3 2 2 2 3 2" xfId="37588" xr:uid="{00000000-0005-0000-0000-000072540000}"/>
    <cellStyle name="Normal 2 14 4 3 2 2 2 4" xfId="30147" xr:uid="{00000000-0005-0000-0000-000073540000}"/>
    <cellStyle name="Normal 2 14 4 3 2 2 3" xfId="18667" xr:uid="{00000000-0005-0000-0000-000074540000}"/>
    <cellStyle name="Normal 2 14 4 3 2 2 3 2" xfId="41310" xr:uid="{00000000-0005-0000-0000-000075540000}"/>
    <cellStyle name="Normal 2 14 4 3 2 2 4" xfId="11227" xr:uid="{00000000-0005-0000-0000-000076540000}"/>
    <cellStyle name="Normal 2 14 4 3 2 2 4 2" xfId="33870" xr:uid="{00000000-0005-0000-0000-000077540000}"/>
    <cellStyle name="Normal 2 14 4 3 2 2 5" xfId="26429" xr:uid="{00000000-0005-0000-0000-000078540000}"/>
    <cellStyle name="Normal 2 14 4 3 2 3" xfId="5654" xr:uid="{00000000-0005-0000-0000-000079540000}"/>
    <cellStyle name="Normal 2 14 4 3 2 3 2" xfId="20538" xr:uid="{00000000-0005-0000-0000-00007A540000}"/>
    <cellStyle name="Normal 2 14 4 3 2 3 2 2" xfId="43181" xr:uid="{00000000-0005-0000-0000-00007B540000}"/>
    <cellStyle name="Normal 2 14 4 3 2 3 3" xfId="13098" xr:uid="{00000000-0005-0000-0000-00007C540000}"/>
    <cellStyle name="Normal 2 14 4 3 2 3 3 2" xfId="35741" xr:uid="{00000000-0005-0000-0000-00007D540000}"/>
    <cellStyle name="Normal 2 14 4 3 2 3 4" xfId="28300" xr:uid="{00000000-0005-0000-0000-00007E540000}"/>
    <cellStyle name="Normal 2 14 4 3 2 4" xfId="16820" xr:uid="{00000000-0005-0000-0000-00007F540000}"/>
    <cellStyle name="Normal 2 14 4 3 2 4 2" xfId="39463" xr:uid="{00000000-0005-0000-0000-000080540000}"/>
    <cellStyle name="Normal 2 14 4 3 2 5" xfId="9380" xr:uid="{00000000-0005-0000-0000-000081540000}"/>
    <cellStyle name="Normal 2 14 4 3 2 5 2" xfId="32023" xr:uid="{00000000-0005-0000-0000-000082540000}"/>
    <cellStyle name="Normal 2 14 4 3 2 6" xfId="24582" xr:uid="{00000000-0005-0000-0000-000083540000}"/>
    <cellStyle name="Normal 2 14 4 3 3" xfId="2855" xr:uid="{00000000-0005-0000-0000-000084540000}"/>
    <cellStyle name="Normal 2 14 4 3 3 2" xfId="6576" xr:uid="{00000000-0005-0000-0000-000085540000}"/>
    <cellStyle name="Normal 2 14 4 3 3 2 2" xfId="21460" xr:uid="{00000000-0005-0000-0000-000086540000}"/>
    <cellStyle name="Normal 2 14 4 3 3 2 2 2" xfId="44103" xr:uid="{00000000-0005-0000-0000-000087540000}"/>
    <cellStyle name="Normal 2 14 4 3 3 2 3" xfId="14020" xr:uid="{00000000-0005-0000-0000-000088540000}"/>
    <cellStyle name="Normal 2 14 4 3 3 2 3 2" xfId="36663" xr:uid="{00000000-0005-0000-0000-000089540000}"/>
    <cellStyle name="Normal 2 14 4 3 3 2 4" xfId="29222" xr:uid="{00000000-0005-0000-0000-00008A540000}"/>
    <cellStyle name="Normal 2 14 4 3 3 3" xfId="17742" xr:uid="{00000000-0005-0000-0000-00008B540000}"/>
    <cellStyle name="Normal 2 14 4 3 3 3 2" xfId="40385" xr:uid="{00000000-0005-0000-0000-00008C540000}"/>
    <cellStyle name="Normal 2 14 4 3 3 4" xfId="10302" xr:uid="{00000000-0005-0000-0000-00008D540000}"/>
    <cellStyle name="Normal 2 14 4 3 3 4 2" xfId="32945" xr:uid="{00000000-0005-0000-0000-00008E540000}"/>
    <cellStyle name="Normal 2 14 4 3 3 5" xfId="25504" xr:uid="{00000000-0005-0000-0000-00008F540000}"/>
    <cellStyle name="Normal 2 14 4 3 4" xfId="4729" xr:uid="{00000000-0005-0000-0000-000090540000}"/>
    <cellStyle name="Normal 2 14 4 3 4 2" xfId="19613" xr:uid="{00000000-0005-0000-0000-000091540000}"/>
    <cellStyle name="Normal 2 14 4 3 4 2 2" xfId="42256" xr:uid="{00000000-0005-0000-0000-000092540000}"/>
    <cellStyle name="Normal 2 14 4 3 4 3" xfId="12173" xr:uid="{00000000-0005-0000-0000-000093540000}"/>
    <cellStyle name="Normal 2 14 4 3 4 3 2" xfId="34816" xr:uid="{00000000-0005-0000-0000-000094540000}"/>
    <cellStyle name="Normal 2 14 4 3 4 4" xfId="27375" xr:uid="{00000000-0005-0000-0000-000095540000}"/>
    <cellStyle name="Normal 2 14 4 3 5" xfId="15895" xr:uid="{00000000-0005-0000-0000-000096540000}"/>
    <cellStyle name="Normal 2 14 4 3 5 2" xfId="38538" xr:uid="{00000000-0005-0000-0000-000097540000}"/>
    <cellStyle name="Normal 2 14 4 3 6" xfId="8455" xr:uid="{00000000-0005-0000-0000-000098540000}"/>
    <cellStyle name="Normal 2 14 4 3 6 2" xfId="31098" xr:uid="{00000000-0005-0000-0000-000099540000}"/>
    <cellStyle name="Normal 2 14 4 3 7" xfId="23657" xr:uid="{00000000-0005-0000-0000-00009A540000}"/>
    <cellStyle name="Normal 2 14 4 4" xfId="1468" xr:uid="{00000000-0005-0000-0000-00009B540000}"/>
    <cellStyle name="Normal 2 14 4 4 2" xfId="3318" xr:uid="{00000000-0005-0000-0000-00009C540000}"/>
    <cellStyle name="Normal 2 14 4 4 2 2" xfId="7039" xr:uid="{00000000-0005-0000-0000-00009D540000}"/>
    <cellStyle name="Normal 2 14 4 4 2 2 2" xfId="21923" xr:uid="{00000000-0005-0000-0000-00009E540000}"/>
    <cellStyle name="Normal 2 14 4 4 2 2 2 2" xfId="44566" xr:uid="{00000000-0005-0000-0000-00009F540000}"/>
    <cellStyle name="Normal 2 14 4 4 2 2 3" xfId="14483" xr:uid="{00000000-0005-0000-0000-0000A0540000}"/>
    <cellStyle name="Normal 2 14 4 4 2 2 3 2" xfId="37126" xr:uid="{00000000-0005-0000-0000-0000A1540000}"/>
    <cellStyle name="Normal 2 14 4 4 2 2 4" xfId="29685" xr:uid="{00000000-0005-0000-0000-0000A2540000}"/>
    <cellStyle name="Normal 2 14 4 4 2 3" xfId="18205" xr:uid="{00000000-0005-0000-0000-0000A3540000}"/>
    <cellStyle name="Normal 2 14 4 4 2 3 2" xfId="40848" xr:uid="{00000000-0005-0000-0000-0000A4540000}"/>
    <cellStyle name="Normal 2 14 4 4 2 4" xfId="10765" xr:uid="{00000000-0005-0000-0000-0000A5540000}"/>
    <cellStyle name="Normal 2 14 4 4 2 4 2" xfId="33408" xr:uid="{00000000-0005-0000-0000-0000A6540000}"/>
    <cellStyle name="Normal 2 14 4 4 2 5" xfId="25967" xr:uid="{00000000-0005-0000-0000-0000A7540000}"/>
    <cellStyle name="Normal 2 14 4 4 3" xfId="5192" xr:uid="{00000000-0005-0000-0000-0000A8540000}"/>
    <cellStyle name="Normal 2 14 4 4 3 2" xfId="20076" xr:uid="{00000000-0005-0000-0000-0000A9540000}"/>
    <cellStyle name="Normal 2 14 4 4 3 2 2" xfId="42719" xr:uid="{00000000-0005-0000-0000-0000AA540000}"/>
    <cellStyle name="Normal 2 14 4 4 3 3" xfId="12636" xr:uid="{00000000-0005-0000-0000-0000AB540000}"/>
    <cellStyle name="Normal 2 14 4 4 3 3 2" xfId="35279" xr:uid="{00000000-0005-0000-0000-0000AC540000}"/>
    <cellStyle name="Normal 2 14 4 4 3 4" xfId="27838" xr:uid="{00000000-0005-0000-0000-0000AD540000}"/>
    <cellStyle name="Normal 2 14 4 4 4" xfId="16358" xr:uid="{00000000-0005-0000-0000-0000AE540000}"/>
    <cellStyle name="Normal 2 14 4 4 4 2" xfId="39001" xr:uid="{00000000-0005-0000-0000-0000AF540000}"/>
    <cellStyle name="Normal 2 14 4 4 5" xfId="8918" xr:uid="{00000000-0005-0000-0000-0000B0540000}"/>
    <cellStyle name="Normal 2 14 4 4 5 2" xfId="31561" xr:uid="{00000000-0005-0000-0000-0000B1540000}"/>
    <cellStyle name="Normal 2 14 4 4 6" xfId="24120" xr:uid="{00000000-0005-0000-0000-0000B2540000}"/>
    <cellStyle name="Normal 2 14 4 5" xfId="2393" xr:uid="{00000000-0005-0000-0000-0000B3540000}"/>
    <cellStyle name="Normal 2 14 4 5 2" xfId="6114" xr:uid="{00000000-0005-0000-0000-0000B4540000}"/>
    <cellStyle name="Normal 2 14 4 5 2 2" xfId="20998" xr:uid="{00000000-0005-0000-0000-0000B5540000}"/>
    <cellStyle name="Normal 2 14 4 5 2 2 2" xfId="43641" xr:uid="{00000000-0005-0000-0000-0000B6540000}"/>
    <cellStyle name="Normal 2 14 4 5 2 3" xfId="13558" xr:uid="{00000000-0005-0000-0000-0000B7540000}"/>
    <cellStyle name="Normal 2 14 4 5 2 3 2" xfId="36201" xr:uid="{00000000-0005-0000-0000-0000B8540000}"/>
    <cellStyle name="Normal 2 14 4 5 2 4" xfId="28760" xr:uid="{00000000-0005-0000-0000-0000B9540000}"/>
    <cellStyle name="Normal 2 14 4 5 3" xfId="17280" xr:uid="{00000000-0005-0000-0000-0000BA540000}"/>
    <cellStyle name="Normal 2 14 4 5 3 2" xfId="39923" xr:uid="{00000000-0005-0000-0000-0000BB540000}"/>
    <cellStyle name="Normal 2 14 4 5 4" xfId="9840" xr:uid="{00000000-0005-0000-0000-0000BC540000}"/>
    <cellStyle name="Normal 2 14 4 5 4 2" xfId="32483" xr:uid="{00000000-0005-0000-0000-0000BD540000}"/>
    <cellStyle name="Normal 2 14 4 5 5" xfId="25042" xr:uid="{00000000-0005-0000-0000-0000BE540000}"/>
    <cellStyle name="Normal 2 14 4 6" xfId="4267" xr:uid="{00000000-0005-0000-0000-0000BF540000}"/>
    <cellStyle name="Normal 2 14 4 6 2" xfId="19151" xr:uid="{00000000-0005-0000-0000-0000C0540000}"/>
    <cellStyle name="Normal 2 14 4 6 2 2" xfId="41794" xr:uid="{00000000-0005-0000-0000-0000C1540000}"/>
    <cellStyle name="Normal 2 14 4 6 3" xfId="11711" xr:uid="{00000000-0005-0000-0000-0000C2540000}"/>
    <cellStyle name="Normal 2 14 4 6 3 2" xfId="34354" xr:uid="{00000000-0005-0000-0000-0000C3540000}"/>
    <cellStyle name="Normal 2 14 4 6 4" xfId="26913" xr:uid="{00000000-0005-0000-0000-0000C4540000}"/>
    <cellStyle name="Normal 2 14 4 7" xfId="15433" xr:uid="{00000000-0005-0000-0000-0000C5540000}"/>
    <cellStyle name="Normal 2 14 4 7 2" xfId="38076" xr:uid="{00000000-0005-0000-0000-0000C6540000}"/>
    <cellStyle name="Normal 2 14 4 8" xfId="7993" xr:uid="{00000000-0005-0000-0000-0000C7540000}"/>
    <cellStyle name="Normal 2 14 4 8 2" xfId="30636" xr:uid="{00000000-0005-0000-0000-0000C8540000}"/>
    <cellStyle name="Normal 2 14 4 9" xfId="23196" xr:uid="{00000000-0005-0000-0000-0000C9540000}"/>
    <cellStyle name="Normal 2 14 5" xfId="642" xr:uid="{00000000-0005-0000-0000-0000CA540000}"/>
    <cellStyle name="Normal 2 14 5 2" xfId="1108" xr:uid="{00000000-0005-0000-0000-0000CB540000}"/>
    <cellStyle name="Normal 2 14 5 2 2" xfId="2036" xr:uid="{00000000-0005-0000-0000-0000CC540000}"/>
    <cellStyle name="Normal 2 14 5 2 2 2" xfId="3886" xr:uid="{00000000-0005-0000-0000-0000CD540000}"/>
    <cellStyle name="Normal 2 14 5 2 2 2 2" xfId="7607" xr:uid="{00000000-0005-0000-0000-0000CE540000}"/>
    <cellStyle name="Normal 2 14 5 2 2 2 2 2" xfId="22491" xr:uid="{00000000-0005-0000-0000-0000CF540000}"/>
    <cellStyle name="Normal 2 14 5 2 2 2 2 2 2" xfId="45134" xr:uid="{00000000-0005-0000-0000-0000D0540000}"/>
    <cellStyle name="Normal 2 14 5 2 2 2 2 3" xfId="15051" xr:uid="{00000000-0005-0000-0000-0000D1540000}"/>
    <cellStyle name="Normal 2 14 5 2 2 2 2 3 2" xfId="37694" xr:uid="{00000000-0005-0000-0000-0000D2540000}"/>
    <cellStyle name="Normal 2 14 5 2 2 2 2 4" xfId="30253" xr:uid="{00000000-0005-0000-0000-0000D3540000}"/>
    <cellStyle name="Normal 2 14 5 2 2 2 3" xfId="18773" xr:uid="{00000000-0005-0000-0000-0000D4540000}"/>
    <cellStyle name="Normal 2 14 5 2 2 2 3 2" xfId="41416" xr:uid="{00000000-0005-0000-0000-0000D5540000}"/>
    <cellStyle name="Normal 2 14 5 2 2 2 4" xfId="11333" xr:uid="{00000000-0005-0000-0000-0000D6540000}"/>
    <cellStyle name="Normal 2 14 5 2 2 2 4 2" xfId="33976" xr:uid="{00000000-0005-0000-0000-0000D7540000}"/>
    <cellStyle name="Normal 2 14 5 2 2 2 5" xfId="26535" xr:uid="{00000000-0005-0000-0000-0000D8540000}"/>
    <cellStyle name="Normal 2 14 5 2 2 3" xfId="5760" xr:uid="{00000000-0005-0000-0000-0000D9540000}"/>
    <cellStyle name="Normal 2 14 5 2 2 3 2" xfId="20644" xr:uid="{00000000-0005-0000-0000-0000DA540000}"/>
    <cellStyle name="Normal 2 14 5 2 2 3 2 2" xfId="43287" xr:uid="{00000000-0005-0000-0000-0000DB540000}"/>
    <cellStyle name="Normal 2 14 5 2 2 3 3" xfId="13204" xr:uid="{00000000-0005-0000-0000-0000DC540000}"/>
    <cellStyle name="Normal 2 14 5 2 2 3 3 2" xfId="35847" xr:uid="{00000000-0005-0000-0000-0000DD540000}"/>
    <cellStyle name="Normal 2 14 5 2 2 3 4" xfId="28406" xr:uid="{00000000-0005-0000-0000-0000DE540000}"/>
    <cellStyle name="Normal 2 14 5 2 2 4" xfId="16926" xr:uid="{00000000-0005-0000-0000-0000DF540000}"/>
    <cellStyle name="Normal 2 14 5 2 2 4 2" xfId="39569" xr:uid="{00000000-0005-0000-0000-0000E0540000}"/>
    <cellStyle name="Normal 2 14 5 2 2 5" xfId="9486" xr:uid="{00000000-0005-0000-0000-0000E1540000}"/>
    <cellStyle name="Normal 2 14 5 2 2 5 2" xfId="32129" xr:uid="{00000000-0005-0000-0000-0000E2540000}"/>
    <cellStyle name="Normal 2 14 5 2 2 6" xfId="24688" xr:uid="{00000000-0005-0000-0000-0000E3540000}"/>
    <cellStyle name="Normal 2 14 5 2 3" xfId="2961" xr:uid="{00000000-0005-0000-0000-0000E4540000}"/>
    <cellStyle name="Normal 2 14 5 2 3 2" xfId="6682" xr:uid="{00000000-0005-0000-0000-0000E5540000}"/>
    <cellStyle name="Normal 2 14 5 2 3 2 2" xfId="21566" xr:uid="{00000000-0005-0000-0000-0000E6540000}"/>
    <cellStyle name="Normal 2 14 5 2 3 2 2 2" xfId="44209" xr:uid="{00000000-0005-0000-0000-0000E7540000}"/>
    <cellStyle name="Normal 2 14 5 2 3 2 3" xfId="14126" xr:uid="{00000000-0005-0000-0000-0000E8540000}"/>
    <cellStyle name="Normal 2 14 5 2 3 2 3 2" xfId="36769" xr:uid="{00000000-0005-0000-0000-0000E9540000}"/>
    <cellStyle name="Normal 2 14 5 2 3 2 4" xfId="29328" xr:uid="{00000000-0005-0000-0000-0000EA540000}"/>
    <cellStyle name="Normal 2 14 5 2 3 3" xfId="17848" xr:uid="{00000000-0005-0000-0000-0000EB540000}"/>
    <cellStyle name="Normal 2 14 5 2 3 3 2" xfId="40491" xr:uid="{00000000-0005-0000-0000-0000EC540000}"/>
    <cellStyle name="Normal 2 14 5 2 3 4" xfId="10408" xr:uid="{00000000-0005-0000-0000-0000ED540000}"/>
    <cellStyle name="Normal 2 14 5 2 3 4 2" xfId="33051" xr:uid="{00000000-0005-0000-0000-0000EE540000}"/>
    <cellStyle name="Normal 2 14 5 2 3 5" xfId="25610" xr:uid="{00000000-0005-0000-0000-0000EF540000}"/>
    <cellStyle name="Normal 2 14 5 2 4" xfId="4835" xr:uid="{00000000-0005-0000-0000-0000F0540000}"/>
    <cellStyle name="Normal 2 14 5 2 4 2" xfId="19719" xr:uid="{00000000-0005-0000-0000-0000F1540000}"/>
    <cellStyle name="Normal 2 14 5 2 4 2 2" xfId="42362" xr:uid="{00000000-0005-0000-0000-0000F2540000}"/>
    <cellStyle name="Normal 2 14 5 2 4 3" xfId="12279" xr:uid="{00000000-0005-0000-0000-0000F3540000}"/>
    <cellStyle name="Normal 2 14 5 2 4 3 2" xfId="34922" xr:uid="{00000000-0005-0000-0000-0000F4540000}"/>
    <cellStyle name="Normal 2 14 5 2 4 4" xfId="27481" xr:uid="{00000000-0005-0000-0000-0000F5540000}"/>
    <cellStyle name="Normal 2 14 5 2 5" xfId="16001" xr:uid="{00000000-0005-0000-0000-0000F6540000}"/>
    <cellStyle name="Normal 2 14 5 2 5 2" xfId="38644" xr:uid="{00000000-0005-0000-0000-0000F7540000}"/>
    <cellStyle name="Normal 2 14 5 2 6" xfId="8561" xr:uid="{00000000-0005-0000-0000-0000F8540000}"/>
    <cellStyle name="Normal 2 14 5 2 6 2" xfId="31204" xr:uid="{00000000-0005-0000-0000-0000F9540000}"/>
    <cellStyle name="Normal 2 14 5 2 7" xfId="23763" xr:uid="{00000000-0005-0000-0000-0000FA540000}"/>
    <cellStyle name="Normal 2 14 5 3" xfId="1574" xr:uid="{00000000-0005-0000-0000-0000FB540000}"/>
    <cellStyle name="Normal 2 14 5 3 2" xfId="3424" xr:uid="{00000000-0005-0000-0000-0000FC540000}"/>
    <cellStyle name="Normal 2 14 5 3 2 2" xfId="7145" xr:uid="{00000000-0005-0000-0000-0000FD540000}"/>
    <cellStyle name="Normal 2 14 5 3 2 2 2" xfId="22029" xr:uid="{00000000-0005-0000-0000-0000FE540000}"/>
    <cellStyle name="Normal 2 14 5 3 2 2 2 2" xfId="44672" xr:uid="{00000000-0005-0000-0000-0000FF540000}"/>
    <cellStyle name="Normal 2 14 5 3 2 2 3" xfId="14589" xr:uid="{00000000-0005-0000-0000-000000550000}"/>
    <cellStyle name="Normal 2 14 5 3 2 2 3 2" xfId="37232" xr:uid="{00000000-0005-0000-0000-000001550000}"/>
    <cellStyle name="Normal 2 14 5 3 2 2 4" xfId="29791" xr:uid="{00000000-0005-0000-0000-000002550000}"/>
    <cellStyle name="Normal 2 14 5 3 2 3" xfId="18311" xr:uid="{00000000-0005-0000-0000-000003550000}"/>
    <cellStyle name="Normal 2 14 5 3 2 3 2" xfId="40954" xr:uid="{00000000-0005-0000-0000-000004550000}"/>
    <cellStyle name="Normal 2 14 5 3 2 4" xfId="10871" xr:uid="{00000000-0005-0000-0000-000005550000}"/>
    <cellStyle name="Normal 2 14 5 3 2 4 2" xfId="33514" xr:uid="{00000000-0005-0000-0000-000006550000}"/>
    <cellStyle name="Normal 2 14 5 3 2 5" xfId="26073" xr:uid="{00000000-0005-0000-0000-000007550000}"/>
    <cellStyle name="Normal 2 14 5 3 3" xfId="5298" xr:uid="{00000000-0005-0000-0000-000008550000}"/>
    <cellStyle name="Normal 2 14 5 3 3 2" xfId="20182" xr:uid="{00000000-0005-0000-0000-000009550000}"/>
    <cellStyle name="Normal 2 14 5 3 3 2 2" xfId="42825" xr:uid="{00000000-0005-0000-0000-00000A550000}"/>
    <cellStyle name="Normal 2 14 5 3 3 3" xfId="12742" xr:uid="{00000000-0005-0000-0000-00000B550000}"/>
    <cellStyle name="Normal 2 14 5 3 3 3 2" xfId="35385" xr:uid="{00000000-0005-0000-0000-00000C550000}"/>
    <cellStyle name="Normal 2 14 5 3 3 4" xfId="27944" xr:uid="{00000000-0005-0000-0000-00000D550000}"/>
    <cellStyle name="Normal 2 14 5 3 4" xfId="16464" xr:uid="{00000000-0005-0000-0000-00000E550000}"/>
    <cellStyle name="Normal 2 14 5 3 4 2" xfId="39107" xr:uid="{00000000-0005-0000-0000-00000F550000}"/>
    <cellStyle name="Normal 2 14 5 3 5" xfId="9024" xr:uid="{00000000-0005-0000-0000-000010550000}"/>
    <cellStyle name="Normal 2 14 5 3 5 2" xfId="31667" xr:uid="{00000000-0005-0000-0000-000011550000}"/>
    <cellStyle name="Normal 2 14 5 3 6" xfId="24226" xr:uid="{00000000-0005-0000-0000-000012550000}"/>
    <cellStyle name="Normal 2 14 5 4" xfId="2499" xr:uid="{00000000-0005-0000-0000-000013550000}"/>
    <cellStyle name="Normal 2 14 5 4 2" xfId="6220" xr:uid="{00000000-0005-0000-0000-000014550000}"/>
    <cellStyle name="Normal 2 14 5 4 2 2" xfId="21104" xr:uid="{00000000-0005-0000-0000-000015550000}"/>
    <cellStyle name="Normal 2 14 5 4 2 2 2" xfId="43747" xr:uid="{00000000-0005-0000-0000-000016550000}"/>
    <cellStyle name="Normal 2 14 5 4 2 3" xfId="13664" xr:uid="{00000000-0005-0000-0000-000017550000}"/>
    <cellStyle name="Normal 2 14 5 4 2 3 2" xfId="36307" xr:uid="{00000000-0005-0000-0000-000018550000}"/>
    <cellStyle name="Normal 2 14 5 4 2 4" xfId="28866" xr:uid="{00000000-0005-0000-0000-000019550000}"/>
    <cellStyle name="Normal 2 14 5 4 3" xfId="17386" xr:uid="{00000000-0005-0000-0000-00001A550000}"/>
    <cellStyle name="Normal 2 14 5 4 3 2" xfId="40029" xr:uid="{00000000-0005-0000-0000-00001B550000}"/>
    <cellStyle name="Normal 2 14 5 4 4" xfId="9946" xr:uid="{00000000-0005-0000-0000-00001C550000}"/>
    <cellStyle name="Normal 2 14 5 4 4 2" xfId="32589" xr:uid="{00000000-0005-0000-0000-00001D550000}"/>
    <cellStyle name="Normal 2 14 5 4 5" xfId="25148" xr:uid="{00000000-0005-0000-0000-00001E550000}"/>
    <cellStyle name="Normal 2 14 5 5" xfId="4373" xr:uid="{00000000-0005-0000-0000-00001F550000}"/>
    <cellStyle name="Normal 2 14 5 5 2" xfId="19257" xr:uid="{00000000-0005-0000-0000-000020550000}"/>
    <cellStyle name="Normal 2 14 5 5 2 2" xfId="41900" xr:uid="{00000000-0005-0000-0000-000021550000}"/>
    <cellStyle name="Normal 2 14 5 5 3" xfId="11817" xr:uid="{00000000-0005-0000-0000-000022550000}"/>
    <cellStyle name="Normal 2 14 5 5 3 2" xfId="34460" xr:uid="{00000000-0005-0000-0000-000023550000}"/>
    <cellStyle name="Normal 2 14 5 5 4" xfId="27019" xr:uid="{00000000-0005-0000-0000-000024550000}"/>
    <cellStyle name="Normal 2 14 5 6" xfId="15539" xr:uid="{00000000-0005-0000-0000-000025550000}"/>
    <cellStyle name="Normal 2 14 5 6 2" xfId="38182" xr:uid="{00000000-0005-0000-0000-000026550000}"/>
    <cellStyle name="Normal 2 14 5 7" xfId="8099" xr:uid="{00000000-0005-0000-0000-000027550000}"/>
    <cellStyle name="Normal 2 14 5 7 2" xfId="30742" xr:uid="{00000000-0005-0000-0000-000028550000}"/>
    <cellStyle name="Normal 2 14 5 8" xfId="23301" xr:uid="{00000000-0005-0000-0000-000029550000}"/>
    <cellStyle name="Normal 2 14 6" xfId="897" xr:uid="{00000000-0005-0000-0000-00002A550000}"/>
    <cellStyle name="Normal 2 14 6 2" xfId="1825" xr:uid="{00000000-0005-0000-0000-00002B550000}"/>
    <cellStyle name="Normal 2 14 6 2 2" xfId="3675" xr:uid="{00000000-0005-0000-0000-00002C550000}"/>
    <cellStyle name="Normal 2 14 6 2 2 2" xfId="7396" xr:uid="{00000000-0005-0000-0000-00002D550000}"/>
    <cellStyle name="Normal 2 14 6 2 2 2 2" xfId="22280" xr:uid="{00000000-0005-0000-0000-00002E550000}"/>
    <cellStyle name="Normal 2 14 6 2 2 2 2 2" xfId="44923" xr:uid="{00000000-0005-0000-0000-00002F550000}"/>
    <cellStyle name="Normal 2 14 6 2 2 2 3" xfId="14840" xr:uid="{00000000-0005-0000-0000-000030550000}"/>
    <cellStyle name="Normal 2 14 6 2 2 2 3 2" xfId="37483" xr:uid="{00000000-0005-0000-0000-000031550000}"/>
    <cellStyle name="Normal 2 14 6 2 2 2 4" xfId="30042" xr:uid="{00000000-0005-0000-0000-000032550000}"/>
    <cellStyle name="Normal 2 14 6 2 2 3" xfId="18562" xr:uid="{00000000-0005-0000-0000-000033550000}"/>
    <cellStyle name="Normal 2 14 6 2 2 3 2" xfId="41205" xr:uid="{00000000-0005-0000-0000-000034550000}"/>
    <cellStyle name="Normal 2 14 6 2 2 4" xfId="11122" xr:uid="{00000000-0005-0000-0000-000035550000}"/>
    <cellStyle name="Normal 2 14 6 2 2 4 2" xfId="33765" xr:uid="{00000000-0005-0000-0000-000036550000}"/>
    <cellStyle name="Normal 2 14 6 2 2 5" xfId="26324" xr:uid="{00000000-0005-0000-0000-000037550000}"/>
    <cellStyle name="Normal 2 14 6 2 3" xfId="5549" xr:uid="{00000000-0005-0000-0000-000038550000}"/>
    <cellStyle name="Normal 2 14 6 2 3 2" xfId="20433" xr:uid="{00000000-0005-0000-0000-000039550000}"/>
    <cellStyle name="Normal 2 14 6 2 3 2 2" xfId="43076" xr:uid="{00000000-0005-0000-0000-00003A550000}"/>
    <cellStyle name="Normal 2 14 6 2 3 3" xfId="12993" xr:uid="{00000000-0005-0000-0000-00003B550000}"/>
    <cellStyle name="Normal 2 14 6 2 3 3 2" xfId="35636" xr:uid="{00000000-0005-0000-0000-00003C550000}"/>
    <cellStyle name="Normal 2 14 6 2 3 4" xfId="28195" xr:uid="{00000000-0005-0000-0000-00003D550000}"/>
    <cellStyle name="Normal 2 14 6 2 4" xfId="16715" xr:uid="{00000000-0005-0000-0000-00003E550000}"/>
    <cellStyle name="Normal 2 14 6 2 4 2" xfId="39358" xr:uid="{00000000-0005-0000-0000-00003F550000}"/>
    <cellStyle name="Normal 2 14 6 2 5" xfId="9275" xr:uid="{00000000-0005-0000-0000-000040550000}"/>
    <cellStyle name="Normal 2 14 6 2 5 2" xfId="31918" xr:uid="{00000000-0005-0000-0000-000041550000}"/>
    <cellStyle name="Normal 2 14 6 2 6" xfId="24477" xr:uid="{00000000-0005-0000-0000-000042550000}"/>
    <cellStyle name="Normal 2 14 6 3" xfId="2750" xr:uid="{00000000-0005-0000-0000-000043550000}"/>
    <cellStyle name="Normal 2 14 6 3 2" xfId="6471" xr:uid="{00000000-0005-0000-0000-000044550000}"/>
    <cellStyle name="Normal 2 14 6 3 2 2" xfId="21355" xr:uid="{00000000-0005-0000-0000-000045550000}"/>
    <cellStyle name="Normal 2 14 6 3 2 2 2" xfId="43998" xr:uid="{00000000-0005-0000-0000-000046550000}"/>
    <cellStyle name="Normal 2 14 6 3 2 3" xfId="13915" xr:uid="{00000000-0005-0000-0000-000047550000}"/>
    <cellStyle name="Normal 2 14 6 3 2 3 2" xfId="36558" xr:uid="{00000000-0005-0000-0000-000048550000}"/>
    <cellStyle name="Normal 2 14 6 3 2 4" xfId="29117" xr:uid="{00000000-0005-0000-0000-000049550000}"/>
    <cellStyle name="Normal 2 14 6 3 3" xfId="17637" xr:uid="{00000000-0005-0000-0000-00004A550000}"/>
    <cellStyle name="Normal 2 14 6 3 3 2" xfId="40280" xr:uid="{00000000-0005-0000-0000-00004B550000}"/>
    <cellStyle name="Normal 2 14 6 3 4" xfId="10197" xr:uid="{00000000-0005-0000-0000-00004C550000}"/>
    <cellStyle name="Normal 2 14 6 3 4 2" xfId="32840" xr:uid="{00000000-0005-0000-0000-00004D550000}"/>
    <cellStyle name="Normal 2 14 6 3 5" xfId="25399" xr:uid="{00000000-0005-0000-0000-00004E550000}"/>
    <cellStyle name="Normal 2 14 6 4" xfId="4624" xr:uid="{00000000-0005-0000-0000-00004F550000}"/>
    <cellStyle name="Normal 2 14 6 4 2" xfId="19508" xr:uid="{00000000-0005-0000-0000-000050550000}"/>
    <cellStyle name="Normal 2 14 6 4 2 2" xfId="42151" xr:uid="{00000000-0005-0000-0000-000051550000}"/>
    <cellStyle name="Normal 2 14 6 4 3" xfId="12068" xr:uid="{00000000-0005-0000-0000-000052550000}"/>
    <cellStyle name="Normal 2 14 6 4 3 2" xfId="34711" xr:uid="{00000000-0005-0000-0000-000053550000}"/>
    <cellStyle name="Normal 2 14 6 4 4" xfId="27270" xr:uid="{00000000-0005-0000-0000-000054550000}"/>
    <cellStyle name="Normal 2 14 6 5" xfId="15790" xr:uid="{00000000-0005-0000-0000-000055550000}"/>
    <cellStyle name="Normal 2 14 6 5 2" xfId="38433" xr:uid="{00000000-0005-0000-0000-000056550000}"/>
    <cellStyle name="Normal 2 14 6 6" xfId="8350" xr:uid="{00000000-0005-0000-0000-000057550000}"/>
    <cellStyle name="Normal 2 14 6 6 2" xfId="30993" xr:uid="{00000000-0005-0000-0000-000058550000}"/>
    <cellStyle name="Normal 2 14 6 7" xfId="23552" xr:uid="{00000000-0005-0000-0000-000059550000}"/>
    <cellStyle name="Normal 2 14 7" xfId="1363" xr:uid="{00000000-0005-0000-0000-00005A550000}"/>
    <cellStyle name="Normal 2 14 7 2" xfId="3213" xr:uid="{00000000-0005-0000-0000-00005B550000}"/>
    <cellStyle name="Normal 2 14 7 2 2" xfId="6934" xr:uid="{00000000-0005-0000-0000-00005C550000}"/>
    <cellStyle name="Normal 2 14 7 2 2 2" xfId="21818" xr:uid="{00000000-0005-0000-0000-00005D550000}"/>
    <cellStyle name="Normal 2 14 7 2 2 2 2" xfId="44461" xr:uid="{00000000-0005-0000-0000-00005E550000}"/>
    <cellStyle name="Normal 2 14 7 2 2 3" xfId="14378" xr:uid="{00000000-0005-0000-0000-00005F550000}"/>
    <cellStyle name="Normal 2 14 7 2 2 3 2" xfId="37021" xr:uid="{00000000-0005-0000-0000-000060550000}"/>
    <cellStyle name="Normal 2 14 7 2 2 4" xfId="29580" xr:uid="{00000000-0005-0000-0000-000061550000}"/>
    <cellStyle name="Normal 2 14 7 2 3" xfId="18100" xr:uid="{00000000-0005-0000-0000-000062550000}"/>
    <cellStyle name="Normal 2 14 7 2 3 2" xfId="40743" xr:uid="{00000000-0005-0000-0000-000063550000}"/>
    <cellStyle name="Normal 2 14 7 2 4" xfId="10660" xr:uid="{00000000-0005-0000-0000-000064550000}"/>
    <cellStyle name="Normal 2 14 7 2 4 2" xfId="33303" xr:uid="{00000000-0005-0000-0000-000065550000}"/>
    <cellStyle name="Normal 2 14 7 2 5" xfId="25862" xr:uid="{00000000-0005-0000-0000-000066550000}"/>
    <cellStyle name="Normal 2 14 7 3" xfId="5087" xr:uid="{00000000-0005-0000-0000-000067550000}"/>
    <cellStyle name="Normal 2 14 7 3 2" xfId="19971" xr:uid="{00000000-0005-0000-0000-000068550000}"/>
    <cellStyle name="Normal 2 14 7 3 2 2" xfId="42614" xr:uid="{00000000-0005-0000-0000-000069550000}"/>
    <cellStyle name="Normal 2 14 7 3 3" xfId="12531" xr:uid="{00000000-0005-0000-0000-00006A550000}"/>
    <cellStyle name="Normal 2 14 7 3 3 2" xfId="35174" xr:uid="{00000000-0005-0000-0000-00006B550000}"/>
    <cellStyle name="Normal 2 14 7 3 4" xfId="27733" xr:uid="{00000000-0005-0000-0000-00006C550000}"/>
    <cellStyle name="Normal 2 14 7 4" xfId="16253" xr:uid="{00000000-0005-0000-0000-00006D550000}"/>
    <cellStyle name="Normal 2 14 7 4 2" xfId="38896" xr:uid="{00000000-0005-0000-0000-00006E550000}"/>
    <cellStyle name="Normal 2 14 7 5" xfId="8813" xr:uid="{00000000-0005-0000-0000-00006F550000}"/>
    <cellStyle name="Normal 2 14 7 5 2" xfId="31456" xr:uid="{00000000-0005-0000-0000-000070550000}"/>
    <cellStyle name="Normal 2 14 7 6" xfId="24015" xr:uid="{00000000-0005-0000-0000-000071550000}"/>
    <cellStyle name="Normal 2 14 8" xfId="2288" xr:uid="{00000000-0005-0000-0000-000072550000}"/>
    <cellStyle name="Normal 2 14 8 2" xfId="6009" xr:uid="{00000000-0005-0000-0000-000073550000}"/>
    <cellStyle name="Normal 2 14 8 2 2" xfId="20893" xr:uid="{00000000-0005-0000-0000-000074550000}"/>
    <cellStyle name="Normal 2 14 8 2 2 2" xfId="43536" xr:uid="{00000000-0005-0000-0000-000075550000}"/>
    <cellStyle name="Normal 2 14 8 2 3" xfId="13453" xr:uid="{00000000-0005-0000-0000-000076550000}"/>
    <cellStyle name="Normal 2 14 8 2 3 2" xfId="36096" xr:uid="{00000000-0005-0000-0000-000077550000}"/>
    <cellStyle name="Normal 2 14 8 2 4" xfId="28655" xr:uid="{00000000-0005-0000-0000-000078550000}"/>
    <cellStyle name="Normal 2 14 8 3" xfId="17175" xr:uid="{00000000-0005-0000-0000-000079550000}"/>
    <cellStyle name="Normal 2 14 8 3 2" xfId="39818" xr:uid="{00000000-0005-0000-0000-00007A550000}"/>
    <cellStyle name="Normal 2 14 8 4" xfId="9735" xr:uid="{00000000-0005-0000-0000-00007B550000}"/>
    <cellStyle name="Normal 2 14 8 4 2" xfId="32378" xr:uid="{00000000-0005-0000-0000-00007C550000}"/>
    <cellStyle name="Normal 2 14 8 5" xfId="24937" xr:uid="{00000000-0005-0000-0000-00007D550000}"/>
    <cellStyle name="Normal 2 14 9" xfId="4162" xr:uid="{00000000-0005-0000-0000-00007E550000}"/>
    <cellStyle name="Normal 2 14 9 2" xfId="19046" xr:uid="{00000000-0005-0000-0000-00007F550000}"/>
    <cellStyle name="Normal 2 14 9 2 2" xfId="41689" xr:uid="{00000000-0005-0000-0000-000080550000}"/>
    <cellStyle name="Normal 2 14 9 3" xfId="11606" xr:uid="{00000000-0005-0000-0000-000081550000}"/>
    <cellStyle name="Normal 2 14 9 3 2" xfId="34249" xr:uid="{00000000-0005-0000-0000-000082550000}"/>
    <cellStyle name="Normal 2 14 9 4" xfId="26808" xr:uid="{00000000-0005-0000-0000-000083550000}"/>
    <cellStyle name="Normal 2 15" xfId="425" xr:uid="{00000000-0005-0000-0000-000084550000}"/>
    <cellStyle name="Normal 2 15 10" xfId="15329" xr:uid="{00000000-0005-0000-0000-000085550000}"/>
    <cellStyle name="Normal 2 15 10 2" xfId="37972" xr:uid="{00000000-0005-0000-0000-000086550000}"/>
    <cellStyle name="Normal 2 15 11" xfId="7889" xr:uid="{00000000-0005-0000-0000-000087550000}"/>
    <cellStyle name="Normal 2 15 11 2" xfId="30532" xr:uid="{00000000-0005-0000-0000-000088550000}"/>
    <cellStyle name="Normal 2 15 12" xfId="23092" xr:uid="{00000000-0005-0000-0000-000089550000}"/>
    <cellStyle name="Normal 2 15 2" xfId="450" xr:uid="{00000000-0005-0000-0000-00008A550000}"/>
    <cellStyle name="Normal 2 15 2 10" xfId="7909" xr:uid="{00000000-0005-0000-0000-00008B550000}"/>
    <cellStyle name="Normal 2 15 2 10 2" xfId="30552" xr:uid="{00000000-0005-0000-0000-00008C550000}"/>
    <cellStyle name="Normal 2 15 2 11" xfId="23112" xr:uid="{00000000-0005-0000-0000-00008D550000}"/>
    <cellStyle name="Normal 2 15 2 2" xfId="503" xr:uid="{00000000-0005-0000-0000-00008E550000}"/>
    <cellStyle name="Normal 2 15 2 2 10" xfId="23164" xr:uid="{00000000-0005-0000-0000-00008F550000}"/>
    <cellStyle name="Normal 2 15 2 2 2" xfId="609" xr:uid="{00000000-0005-0000-0000-000090550000}"/>
    <cellStyle name="Normal 2 15 2 2 2 2" xfId="821" xr:uid="{00000000-0005-0000-0000-000091550000}"/>
    <cellStyle name="Normal 2 15 2 2 2 2 2" xfId="1286" xr:uid="{00000000-0005-0000-0000-000092550000}"/>
    <cellStyle name="Normal 2 15 2 2 2 2 2 2" xfId="2214" xr:uid="{00000000-0005-0000-0000-000093550000}"/>
    <cellStyle name="Normal 2 15 2 2 2 2 2 2 2" xfId="4064" xr:uid="{00000000-0005-0000-0000-000094550000}"/>
    <cellStyle name="Normal 2 15 2 2 2 2 2 2 2 2" xfId="7785" xr:uid="{00000000-0005-0000-0000-000095550000}"/>
    <cellStyle name="Normal 2 15 2 2 2 2 2 2 2 2 2" xfId="22669" xr:uid="{00000000-0005-0000-0000-000096550000}"/>
    <cellStyle name="Normal 2 15 2 2 2 2 2 2 2 2 2 2" xfId="45312" xr:uid="{00000000-0005-0000-0000-000097550000}"/>
    <cellStyle name="Normal 2 15 2 2 2 2 2 2 2 2 3" xfId="15229" xr:uid="{00000000-0005-0000-0000-000098550000}"/>
    <cellStyle name="Normal 2 15 2 2 2 2 2 2 2 2 3 2" xfId="37872" xr:uid="{00000000-0005-0000-0000-000099550000}"/>
    <cellStyle name="Normal 2 15 2 2 2 2 2 2 2 2 4" xfId="30431" xr:uid="{00000000-0005-0000-0000-00009A550000}"/>
    <cellStyle name="Normal 2 15 2 2 2 2 2 2 2 3" xfId="18951" xr:uid="{00000000-0005-0000-0000-00009B550000}"/>
    <cellStyle name="Normal 2 15 2 2 2 2 2 2 2 3 2" xfId="41594" xr:uid="{00000000-0005-0000-0000-00009C550000}"/>
    <cellStyle name="Normal 2 15 2 2 2 2 2 2 2 4" xfId="11511" xr:uid="{00000000-0005-0000-0000-00009D550000}"/>
    <cellStyle name="Normal 2 15 2 2 2 2 2 2 2 4 2" xfId="34154" xr:uid="{00000000-0005-0000-0000-00009E550000}"/>
    <cellStyle name="Normal 2 15 2 2 2 2 2 2 2 5" xfId="26713" xr:uid="{00000000-0005-0000-0000-00009F550000}"/>
    <cellStyle name="Normal 2 15 2 2 2 2 2 2 3" xfId="5938" xr:uid="{00000000-0005-0000-0000-0000A0550000}"/>
    <cellStyle name="Normal 2 15 2 2 2 2 2 2 3 2" xfId="20822" xr:uid="{00000000-0005-0000-0000-0000A1550000}"/>
    <cellStyle name="Normal 2 15 2 2 2 2 2 2 3 2 2" xfId="43465" xr:uid="{00000000-0005-0000-0000-0000A2550000}"/>
    <cellStyle name="Normal 2 15 2 2 2 2 2 2 3 3" xfId="13382" xr:uid="{00000000-0005-0000-0000-0000A3550000}"/>
    <cellStyle name="Normal 2 15 2 2 2 2 2 2 3 3 2" xfId="36025" xr:uid="{00000000-0005-0000-0000-0000A4550000}"/>
    <cellStyle name="Normal 2 15 2 2 2 2 2 2 3 4" xfId="28584" xr:uid="{00000000-0005-0000-0000-0000A5550000}"/>
    <cellStyle name="Normal 2 15 2 2 2 2 2 2 4" xfId="17104" xr:uid="{00000000-0005-0000-0000-0000A6550000}"/>
    <cellStyle name="Normal 2 15 2 2 2 2 2 2 4 2" xfId="39747" xr:uid="{00000000-0005-0000-0000-0000A7550000}"/>
    <cellStyle name="Normal 2 15 2 2 2 2 2 2 5" xfId="9664" xr:uid="{00000000-0005-0000-0000-0000A8550000}"/>
    <cellStyle name="Normal 2 15 2 2 2 2 2 2 5 2" xfId="32307" xr:uid="{00000000-0005-0000-0000-0000A9550000}"/>
    <cellStyle name="Normal 2 15 2 2 2 2 2 2 6" xfId="24866" xr:uid="{00000000-0005-0000-0000-0000AA550000}"/>
    <cellStyle name="Normal 2 15 2 2 2 2 2 3" xfId="3139" xr:uid="{00000000-0005-0000-0000-0000AB550000}"/>
    <cellStyle name="Normal 2 15 2 2 2 2 2 3 2" xfId="6860" xr:uid="{00000000-0005-0000-0000-0000AC550000}"/>
    <cellStyle name="Normal 2 15 2 2 2 2 2 3 2 2" xfId="21744" xr:uid="{00000000-0005-0000-0000-0000AD550000}"/>
    <cellStyle name="Normal 2 15 2 2 2 2 2 3 2 2 2" xfId="44387" xr:uid="{00000000-0005-0000-0000-0000AE550000}"/>
    <cellStyle name="Normal 2 15 2 2 2 2 2 3 2 3" xfId="14304" xr:uid="{00000000-0005-0000-0000-0000AF550000}"/>
    <cellStyle name="Normal 2 15 2 2 2 2 2 3 2 3 2" xfId="36947" xr:uid="{00000000-0005-0000-0000-0000B0550000}"/>
    <cellStyle name="Normal 2 15 2 2 2 2 2 3 2 4" xfId="29506" xr:uid="{00000000-0005-0000-0000-0000B1550000}"/>
    <cellStyle name="Normal 2 15 2 2 2 2 2 3 3" xfId="18026" xr:uid="{00000000-0005-0000-0000-0000B2550000}"/>
    <cellStyle name="Normal 2 15 2 2 2 2 2 3 3 2" xfId="40669" xr:uid="{00000000-0005-0000-0000-0000B3550000}"/>
    <cellStyle name="Normal 2 15 2 2 2 2 2 3 4" xfId="10586" xr:uid="{00000000-0005-0000-0000-0000B4550000}"/>
    <cellStyle name="Normal 2 15 2 2 2 2 2 3 4 2" xfId="33229" xr:uid="{00000000-0005-0000-0000-0000B5550000}"/>
    <cellStyle name="Normal 2 15 2 2 2 2 2 3 5" xfId="25788" xr:uid="{00000000-0005-0000-0000-0000B6550000}"/>
    <cellStyle name="Normal 2 15 2 2 2 2 2 4" xfId="5013" xr:uid="{00000000-0005-0000-0000-0000B7550000}"/>
    <cellStyle name="Normal 2 15 2 2 2 2 2 4 2" xfId="19897" xr:uid="{00000000-0005-0000-0000-0000B8550000}"/>
    <cellStyle name="Normal 2 15 2 2 2 2 2 4 2 2" xfId="42540" xr:uid="{00000000-0005-0000-0000-0000B9550000}"/>
    <cellStyle name="Normal 2 15 2 2 2 2 2 4 3" xfId="12457" xr:uid="{00000000-0005-0000-0000-0000BA550000}"/>
    <cellStyle name="Normal 2 15 2 2 2 2 2 4 3 2" xfId="35100" xr:uid="{00000000-0005-0000-0000-0000BB550000}"/>
    <cellStyle name="Normal 2 15 2 2 2 2 2 4 4" xfId="27659" xr:uid="{00000000-0005-0000-0000-0000BC550000}"/>
    <cellStyle name="Normal 2 15 2 2 2 2 2 5" xfId="16179" xr:uid="{00000000-0005-0000-0000-0000BD550000}"/>
    <cellStyle name="Normal 2 15 2 2 2 2 2 5 2" xfId="38822" xr:uid="{00000000-0005-0000-0000-0000BE550000}"/>
    <cellStyle name="Normal 2 15 2 2 2 2 2 6" xfId="8739" xr:uid="{00000000-0005-0000-0000-0000BF550000}"/>
    <cellStyle name="Normal 2 15 2 2 2 2 2 6 2" xfId="31382" xr:uid="{00000000-0005-0000-0000-0000C0550000}"/>
    <cellStyle name="Normal 2 15 2 2 2 2 2 7" xfId="23941" xr:uid="{00000000-0005-0000-0000-0000C1550000}"/>
    <cellStyle name="Normal 2 15 2 2 2 2 3" xfId="1752" xr:uid="{00000000-0005-0000-0000-0000C2550000}"/>
    <cellStyle name="Normal 2 15 2 2 2 2 3 2" xfId="3602" xr:uid="{00000000-0005-0000-0000-0000C3550000}"/>
    <cellStyle name="Normal 2 15 2 2 2 2 3 2 2" xfId="7323" xr:uid="{00000000-0005-0000-0000-0000C4550000}"/>
    <cellStyle name="Normal 2 15 2 2 2 2 3 2 2 2" xfId="22207" xr:uid="{00000000-0005-0000-0000-0000C5550000}"/>
    <cellStyle name="Normal 2 15 2 2 2 2 3 2 2 2 2" xfId="44850" xr:uid="{00000000-0005-0000-0000-0000C6550000}"/>
    <cellStyle name="Normal 2 15 2 2 2 2 3 2 2 3" xfId="14767" xr:uid="{00000000-0005-0000-0000-0000C7550000}"/>
    <cellStyle name="Normal 2 15 2 2 2 2 3 2 2 3 2" xfId="37410" xr:uid="{00000000-0005-0000-0000-0000C8550000}"/>
    <cellStyle name="Normal 2 15 2 2 2 2 3 2 2 4" xfId="29969" xr:uid="{00000000-0005-0000-0000-0000C9550000}"/>
    <cellStyle name="Normal 2 15 2 2 2 2 3 2 3" xfId="18489" xr:uid="{00000000-0005-0000-0000-0000CA550000}"/>
    <cellStyle name="Normal 2 15 2 2 2 2 3 2 3 2" xfId="41132" xr:uid="{00000000-0005-0000-0000-0000CB550000}"/>
    <cellStyle name="Normal 2 15 2 2 2 2 3 2 4" xfId="11049" xr:uid="{00000000-0005-0000-0000-0000CC550000}"/>
    <cellStyle name="Normal 2 15 2 2 2 2 3 2 4 2" xfId="33692" xr:uid="{00000000-0005-0000-0000-0000CD550000}"/>
    <cellStyle name="Normal 2 15 2 2 2 2 3 2 5" xfId="26251" xr:uid="{00000000-0005-0000-0000-0000CE550000}"/>
    <cellStyle name="Normal 2 15 2 2 2 2 3 3" xfId="5476" xr:uid="{00000000-0005-0000-0000-0000CF550000}"/>
    <cellStyle name="Normal 2 15 2 2 2 2 3 3 2" xfId="20360" xr:uid="{00000000-0005-0000-0000-0000D0550000}"/>
    <cellStyle name="Normal 2 15 2 2 2 2 3 3 2 2" xfId="43003" xr:uid="{00000000-0005-0000-0000-0000D1550000}"/>
    <cellStyle name="Normal 2 15 2 2 2 2 3 3 3" xfId="12920" xr:uid="{00000000-0005-0000-0000-0000D2550000}"/>
    <cellStyle name="Normal 2 15 2 2 2 2 3 3 3 2" xfId="35563" xr:uid="{00000000-0005-0000-0000-0000D3550000}"/>
    <cellStyle name="Normal 2 15 2 2 2 2 3 3 4" xfId="28122" xr:uid="{00000000-0005-0000-0000-0000D4550000}"/>
    <cellStyle name="Normal 2 15 2 2 2 2 3 4" xfId="16642" xr:uid="{00000000-0005-0000-0000-0000D5550000}"/>
    <cellStyle name="Normal 2 15 2 2 2 2 3 4 2" xfId="39285" xr:uid="{00000000-0005-0000-0000-0000D6550000}"/>
    <cellStyle name="Normal 2 15 2 2 2 2 3 5" xfId="9202" xr:uid="{00000000-0005-0000-0000-0000D7550000}"/>
    <cellStyle name="Normal 2 15 2 2 2 2 3 5 2" xfId="31845" xr:uid="{00000000-0005-0000-0000-0000D8550000}"/>
    <cellStyle name="Normal 2 15 2 2 2 2 3 6" xfId="24404" xr:uid="{00000000-0005-0000-0000-0000D9550000}"/>
    <cellStyle name="Normal 2 15 2 2 2 2 4" xfId="2677" xr:uid="{00000000-0005-0000-0000-0000DA550000}"/>
    <cellStyle name="Normal 2 15 2 2 2 2 4 2" xfId="6398" xr:uid="{00000000-0005-0000-0000-0000DB550000}"/>
    <cellStyle name="Normal 2 15 2 2 2 2 4 2 2" xfId="21282" xr:uid="{00000000-0005-0000-0000-0000DC550000}"/>
    <cellStyle name="Normal 2 15 2 2 2 2 4 2 2 2" xfId="43925" xr:uid="{00000000-0005-0000-0000-0000DD550000}"/>
    <cellStyle name="Normal 2 15 2 2 2 2 4 2 3" xfId="13842" xr:uid="{00000000-0005-0000-0000-0000DE550000}"/>
    <cellStyle name="Normal 2 15 2 2 2 2 4 2 3 2" xfId="36485" xr:uid="{00000000-0005-0000-0000-0000DF550000}"/>
    <cellStyle name="Normal 2 15 2 2 2 2 4 2 4" xfId="29044" xr:uid="{00000000-0005-0000-0000-0000E0550000}"/>
    <cellStyle name="Normal 2 15 2 2 2 2 4 3" xfId="17564" xr:uid="{00000000-0005-0000-0000-0000E1550000}"/>
    <cellStyle name="Normal 2 15 2 2 2 2 4 3 2" xfId="40207" xr:uid="{00000000-0005-0000-0000-0000E2550000}"/>
    <cellStyle name="Normal 2 15 2 2 2 2 4 4" xfId="10124" xr:uid="{00000000-0005-0000-0000-0000E3550000}"/>
    <cellStyle name="Normal 2 15 2 2 2 2 4 4 2" xfId="32767" xr:uid="{00000000-0005-0000-0000-0000E4550000}"/>
    <cellStyle name="Normal 2 15 2 2 2 2 4 5" xfId="25326" xr:uid="{00000000-0005-0000-0000-0000E5550000}"/>
    <cellStyle name="Normal 2 15 2 2 2 2 5" xfId="4551" xr:uid="{00000000-0005-0000-0000-0000E6550000}"/>
    <cellStyle name="Normal 2 15 2 2 2 2 5 2" xfId="19435" xr:uid="{00000000-0005-0000-0000-0000E7550000}"/>
    <cellStyle name="Normal 2 15 2 2 2 2 5 2 2" xfId="42078" xr:uid="{00000000-0005-0000-0000-0000E8550000}"/>
    <cellStyle name="Normal 2 15 2 2 2 2 5 3" xfId="11995" xr:uid="{00000000-0005-0000-0000-0000E9550000}"/>
    <cellStyle name="Normal 2 15 2 2 2 2 5 3 2" xfId="34638" xr:uid="{00000000-0005-0000-0000-0000EA550000}"/>
    <cellStyle name="Normal 2 15 2 2 2 2 5 4" xfId="27197" xr:uid="{00000000-0005-0000-0000-0000EB550000}"/>
    <cellStyle name="Normal 2 15 2 2 2 2 6" xfId="15717" xr:uid="{00000000-0005-0000-0000-0000EC550000}"/>
    <cellStyle name="Normal 2 15 2 2 2 2 6 2" xfId="38360" xr:uid="{00000000-0005-0000-0000-0000ED550000}"/>
    <cellStyle name="Normal 2 15 2 2 2 2 7" xfId="8277" xr:uid="{00000000-0005-0000-0000-0000EE550000}"/>
    <cellStyle name="Normal 2 15 2 2 2 2 7 2" xfId="30920" xr:uid="{00000000-0005-0000-0000-0000EF550000}"/>
    <cellStyle name="Normal 2 15 2 2 2 2 8" xfId="23479" xr:uid="{00000000-0005-0000-0000-0000F0550000}"/>
    <cellStyle name="Normal 2 15 2 2 2 3" xfId="1075" xr:uid="{00000000-0005-0000-0000-0000F1550000}"/>
    <cellStyle name="Normal 2 15 2 2 2 3 2" xfId="2003" xr:uid="{00000000-0005-0000-0000-0000F2550000}"/>
    <cellStyle name="Normal 2 15 2 2 2 3 2 2" xfId="3853" xr:uid="{00000000-0005-0000-0000-0000F3550000}"/>
    <cellStyle name="Normal 2 15 2 2 2 3 2 2 2" xfId="7574" xr:uid="{00000000-0005-0000-0000-0000F4550000}"/>
    <cellStyle name="Normal 2 15 2 2 2 3 2 2 2 2" xfId="22458" xr:uid="{00000000-0005-0000-0000-0000F5550000}"/>
    <cellStyle name="Normal 2 15 2 2 2 3 2 2 2 2 2" xfId="45101" xr:uid="{00000000-0005-0000-0000-0000F6550000}"/>
    <cellStyle name="Normal 2 15 2 2 2 3 2 2 2 3" xfId="15018" xr:uid="{00000000-0005-0000-0000-0000F7550000}"/>
    <cellStyle name="Normal 2 15 2 2 2 3 2 2 2 3 2" xfId="37661" xr:uid="{00000000-0005-0000-0000-0000F8550000}"/>
    <cellStyle name="Normal 2 15 2 2 2 3 2 2 2 4" xfId="30220" xr:uid="{00000000-0005-0000-0000-0000F9550000}"/>
    <cellStyle name="Normal 2 15 2 2 2 3 2 2 3" xfId="18740" xr:uid="{00000000-0005-0000-0000-0000FA550000}"/>
    <cellStyle name="Normal 2 15 2 2 2 3 2 2 3 2" xfId="41383" xr:uid="{00000000-0005-0000-0000-0000FB550000}"/>
    <cellStyle name="Normal 2 15 2 2 2 3 2 2 4" xfId="11300" xr:uid="{00000000-0005-0000-0000-0000FC550000}"/>
    <cellStyle name="Normal 2 15 2 2 2 3 2 2 4 2" xfId="33943" xr:uid="{00000000-0005-0000-0000-0000FD550000}"/>
    <cellStyle name="Normal 2 15 2 2 2 3 2 2 5" xfId="26502" xr:uid="{00000000-0005-0000-0000-0000FE550000}"/>
    <cellStyle name="Normal 2 15 2 2 2 3 2 3" xfId="5727" xr:uid="{00000000-0005-0000-0000-0000FF550000}"/>
    <cellStyle name="Normal 2 15 2 2 2 3 2 3 2" xfId="20611" xr:uid="{00000000-0005-0000-0000-000000560000}"/>
    <cellStyle name="Normal 2 15 2 2 2 3 2 3 2 2" xfId="43254" xr:uid="{00000000-0005-0000-0000-000001560000}"/>
    <cellStyle name="Normal 2 15 2 2 2 3 2 3 3" xfId="13171" xr:uid="{00000000-0005-0000-0000-000002560000}"/>
    <cellStyle name="Normal 2 15 2 2 2 3 2 3 3 2" xfId="35814" xr:uid="{00000000-0005-0000-0000-000003560000}"/>
    <cellStyle name="Normal 2 15 2 2 2 3 2 3 4" xfId="28373" xr:uid="{00000000-0005-0000-0000-000004560000}"/>
    <cellStyle name="Normal 2 15 2 2 2 3 2 4" xfId="16893" xr:uid="{00000000-0005-0000-0000-000005560000}"/>
    <cellStyle name="Normal 2 15 2 2 2 3 2 4 2" xfId="39536" xr:uid="{00000000-0005-0000-0000-000006560000}"/>
    <cellStyle name="Normal 2 15 2 2 2 3 2 5" xfId="9453" xr:uid="{00000000-0005-0000-0000-000007560000}"/>
    <cellStyle name="Normal 2 15 2 2 2 3 2 5 2" xfId="32096" xr:uid="{00000000-0005-0000-0000-000008560000}"/>
    <cellStyle name="Normal 2 15 2 2 2 3 2 6" xfId="24655" xr:uid="{00000000-0005-0000-0000-000009560000}"/>
    <cellStyle name="Normal 2 15 2 2 2 3 3" xfId="2928" xr:uid="{00000000-0005-0000-0000-00000A560000}"/>
    <cellStyle name="Normal 2 15 2 2 2 3 3 2" xfId="6649" xr:uid="{00000000-0005-0000-0000-00000B560000}"/>
    <cellStyle name="Normal 2 15 2 2 2 3 3 2 2" xfId="21533" xr:uid="{00000000-0005-0000-0000-00000C560000}"/>
    <cellStyle name="Normal 2 15 2 2 2 3 3 2 2 2" xfId="44176" xr:uid="{00000000-0005-0000-0000-00000D560000}"/>
    <cellStyle name="Normal 2 15 2 2 2 3 3 2 3" xfId="14093" xr:uid="{00000000-0005-0000-0000-00000E560000}"/>
    <cellStyle name="Normal 2 15 2 2 2 3 3 2 3 2" xfId="36736" xr:uid="{00000000-0005-0000-0000-00000F560000}"/>
    <cellStyle name="Normal 2 15 2 2 2 3 3 2 4" xfId="29295" xr:uid="{00000000-0005-0000-0000-000010560000}"/>
    <cellStyle name="Normal 2 15 2 2 2 3 3 3" xfId="17815" xr:uid="{00000000-0005-0000-0000-000011560000}"/>
    <cellStyle name="Normal 2 15 2 2 2 3 3 3 2" xfId="40458" xr:uid="{00000000-0005-0000-0000-000012560000}"/>
    <cellStyle name="Normal 2 15 2 2 2 3 3 4" xfId="10375" xr:uid="{00000000-0005-0000-0000-000013560000}"/>
    <cellStyle name="Normal 2 15 2 2 2 3 3 4 2" xfId="33018" xr:uid="{00000000-0005-0000-0000-000014560000}"/>
    <cellStyle name="Normal 2 15 2 2 2 3 3 5" xfId="25577" xr:uid="{00000000-0005-0000-0000-000015560000}"/>
    <cellStyle name="Normal 2 15 2 2 2 3 4" xfId="4802" xr:uid="{00000000-0005-0000-0000-000016560000}"/>
    <cellStyle name="Normal 2 15 2 2 2 3 4 2" xfId="19686" xr:uid="{00000000-0005-0000-0000-000017560000}"/>
    <cellStyle name="Normal 2 15 2 2 2 3 4 2 2" xfId="42329" xr:uid="{00000000-0005-0000-0000-000018560000}"/>
    <cellStyle name="Normal 2 15 2 2 2 3 4 3" xfId="12246" xr:uid="{00000000-0005-0000-0000-000019560000}"/>
    <cellStyle name="Normal 2 15 2 2 2 3 4 3 2" xfId="34889" xr:uid="{00000000-0005-0000-0000-00001A560000}"/>
    <cellStyle name="Normal 2 15 2 2 2 3 4 4" xfId="27448" xr:uid="{00000000-0005-0000-0000-00001B560000}"/>
    <cellStyle name="Normal 2 15 2 2 2 3 5" xfId="15968" xr:uid="{00000000-0005-0000-0000-00001C560000}"/>
    <cellStyle name="Normal 2 15 2 2 2 3 5 2" xfId="38611" xr:uid="{00000000-0005-0000-0000-00001D560000}"/>
    <cellStyle name="Normal 2 15 2 2 2 3 6" xfId="8528" xr:uid="{00000000-0005-0000-0000-00001E560000}"/>
    <cellStyle name="Normal 2 15 2 2 2 3 6 2" xfId="31171" xr:uid="{00000000-0005-0000-0000-00001F560000}"/>
    <cellStyle name="Normal 2 15 2 2 2 3 7" xfId="23730" xr:uid="{00000000-0005-0000-0000-000020560000}"/>
    <cellStyle name="Normal 2 15 2 2 2 4" xfId="1541" xr:uid="{00000000-0005-0000-0000-000021560000}"/>
    <cellStyle name="Normal 2 15 2 2 2 4 2" xfId="3391" xr:uid="{00000000-0005-0000-0000-000022560000}"/>
    <cellStyle name="Normal 2 15 2 2 2 4 2 2" xfId="7112" xr:uid="{00000000-0005-0000-0000-000023560000}"/>
    <cellStyle name="Normal 2 15 2 2 2 4 2 2 2" xfId="21996" xr:uid="{00000000-0005-0000-0000-000024560000}"/>
    <cellStyle name="Normal 2 15 2 2 2 4 2 2 2 2" xfId="44639" xr:uid="{00000000-0005-0000-0000-000025560000}"/>
    <cellStyle name="Normal 2 15 2 2 2 4 2 2 3" xfId="14556" xr:uid="{00000000-0005-0000-0000-000026560000}"/>
    <cellStyle name="Normal 2 15 2 2 2 4 2 2 3 2" xfId="37199" xr:uid="{00000000-0005-0000-0000-000027560000}"/>
    <cellStyle name="Normal 2 15 2 2 2 4 2 2 4" xfId="29758" xr:uid="{00000000-0005-0000-0000-000028560000}"/>
    <cellStyle name="Normal 2 15 2 2 2 4 2 3" xfId="18278" xr:uid="{00000000-0005-0000-0000-000029560000}"/>
    <cellStyle name="Normal 2 15 2 2 2 4 2 3 2" xfId="40921" xr:uid="{00000000-0005-0000-0000-00002A560000}"/>
    <cellStyle name="Normal 2 15 2 2 2 4 2 4" xfId="10838" xr:uid="{00000000-0005-0000-0000-00002B560000}"/>
    <cellStyle name="Normal 2 15 2 2 2 4 2 4 2" xfId="33481" xr:uid="{00000000-0005-0000-0000-00002C560000}"/>
    <cellStyle name="Normal 2 15 2 2 2 4 2 5" xfId="26040" xr:uid="{00000000-0005-0000-0000-00002D560000}"/>
    <cellStyle name="Normal 2 15 2 2 2 4 3" xfId="5265" xr:uid="{00000000-0005-0000-0000-00002E560000}"/>
    <cellStyle name="Normal 2 15 2 2 2 4 3 2" xfId="20149" xr:uid="{00000000-0005-0000-0000-00002F560000}"/>
    <cellStyle name="Normal 2 15 2 2 2 4 3 2 2" xfId="42792" xr:uid="{00000000-0005-0000-0000-000030560000}"/>
    <cellStyle name="Normal 2 15 2 2 2 4 3 3" xfId="12709" xr:uid="{00000000-0005-0000-0000-000031560000}"/>
    <cellStyle name="Normal 2 15 2 2 2 4 3 3 2" xfId="35352" xr:uid="{00000000-0005-0000-0000-000032560000}"/>
    <cellStyle name="Normal 2 15 2 2 2 4 3 4" xfId="27911" xr:uid="{00000000-0005-0000-0000-000033560000}"/>
    <cellStyle name="Normal 2 15 2 2 2 4 4" xfId="16431" xr:uid="{00000000-0005-0000-0000-000034560000}"/>
    <cellStyle name="Normal 2 15 2 2 2 4 4 2" xfId="39074" xr:uid="{00000000-0005-0000-0000-000035560000}"/>
    <cellStyle name="Normal 2 15 2 2 2 4 5" xfId="8991" xr:uid="{00000000-0005-0000-0000-000036560000}"/>
    <cellStyle name="Normal 2 15 2 2 2 4 5 2" xfId="31634" xr:uid="{00000000-0005-0000-0000-000037560000}"/>
    <cellStyle name="Normal 2 15 2 2 2 4 6" xfId="24193" xr:uid="{00000000-0005-0000-0000-000038560000}"/>
    <cellStyle name="Normal 2 15 2 2 2 5" xfId="2466" xr:uid="{00000000-0005-0000-0000-000039560000}"/>
    <cellStyle name="Normal 2 15 2 2 2 5 2" xfId="6187" xr:uid="{00000000-0005-0000-0000-00003A560000}"/>
    <cellStyle name="Normal 2 15 2 2 2 5 2 2" xfId="21071" xr:uid="{00000000-0005-0000-0000-00003B560000}"/>
    <cellStyle name="Normal 2 15 2 2 2 5 2 2 2" xfId="43714" xr:uid="{00000000-0005-0000-0000-00003C560000}"/>
    <cellStyle name="Normal 2 15 2 2 2 5 2 3" xfId="13631" xr:uid="{00000000-0005-0000-0000-00003D560000}"/>
    <cellStyle name="Normal 2 15 2 2 2 5 2 3 2" xfId="36274" xr:uid="{00000000-0005-0000-0000-00003E560000}"/>
    <cellStyle name="Normal 2 15 2 2 2 5 2 4" xfId="28833" xr:uid="{00000000-0005-0000-0000-00003F560000}"/>
    <cellStyle name="Normal 2 15 2 2 2 5 3" xfId="17353" xr:uid="{00000000-0005-0000-0000-000040560000}"/>
    <cellStyle name="Normal 2 15 2 2 2 5 3 2" xfId="39996" xr:uid="{00000000-0005-0000-0000-000041560000}"/>
    <cellStyle name="Normal 2 15 2 2 2 5 4" xfId="9913" xr:uid="{00000000-0005-0000-0000-000042560000}"/>
    <cellStyle name="Normal 2 15 2 2 2 5 4 2" xfId="32556" xr:uid="{00000000-0005-0000-0000-000043560000}"/>
    <cellStyle name="Normal 2 15 2 2 2 5 5" xfId="25115" xr:uid="{00000000-0005-0000-0000-000044560000}"/>
    <cellStyle name="Normal 2 15 2 2 2 6" xfId="4340" xr:uid="{00000000-0005-0000-0000-000045560000}"/>
    <cellStyle name="Normal 2 15 2 2 2 6 2" xfId="19224" xr:uid="{00000000-0005-0000-0000-000046560000}"/>
    <cellStyle name="Normal 2 15 2 2 2 6 2 2" xfId="41867" xr:uid="{00000000-0005-0000-0000-000047560000}"/>
    <cellStyle name="Normal 2 15 2 2 2 6 3" xfId="11784" xr:uid="{00000000-0005-0000-0000-000048560000}"/>
    <cellStyle name="Normal 2 15 2 2 2 6 3 2" xfId="34427" xr:uid="{00000000-0005-0000-0000-000049560000}"/>
    <cellStyle name="Normal 2 15 2 2 2 6 4" xfId="26986" xr:uid="{00000000-0005-0000-0000-00004A560000}"/>
    <cellStyle name="Normal 2 15 2 2 2 7" xfId="15506" xr:uid="{00000000-0005-0000-0000-00004B560000}"/>
    <cellStyle name="Normal 2 15 2 2 2 7 2" xfId="38149" xr:uid="{00000000-0005-0000-0000-00004C560000}"/>
    <cellStyle name="Normal 2 15 2 2 2 8" xfId="8066" xr:uid="{00000000-0005-0000-0000-00004D560000}"/>
    <cellStyle name="Normal 2 15 2 2 2 8 2" xfId="30709" xr:uid="{00000000-0005-0000-0000-00004E560000}"/>
    <cellStyle name="Normal 2 15 2 2 2 9" xfId="23269" xr:uid="{00000000-0005-0000-0000-00004F560000}"/>
    <cellStyle name="Normal 2 15 2 2 3" xfId="716" xr:uid="{00000000-0005-0000-0000-000050560000}"/>
    <cellStyle name="Normal 2 15 2 2 3 2" xfId="1181" xr:uid="{00000000-0005-0000-0000-000051560000}"/>
    <cellStyle name="Normal 2 15 2 2 3 2 2" xfId="2109" xr:uid="{00000000-0005-0000-0000-000052560000}"/>
    <cellStyle name="Normal 2 15 2 2 3 2 2 2" xfId="3959" xr:uid="{00000000-0005-0000-0000-000053560000}"/>
    <cellStyle name="Normal 2 15 2 2 3 2 2 2 2" xfId="7680" xr:uid="{00000000-0005-0000-0000-000054560000}"/>
    <cellStyle name="Normal 2 15 2 2 3 2 2 2 2 2" xfId="22564" xr:uid="{00000000-0005-0000-0000-000055560000}"/>
    <cellStyle name="Normal 2 15 2 2 3 2 2 2 2 2 2" xfId="45207" xr:uid="{00000000-0005-0000-0000-000056560000}"/>
    <cellStyle name="Normal 2 15 2 2 3 2 2 2 2 3" xfId="15124" xr:uid="{00000000-0005-0000-0000-000057560000}"/>
    <cellStyle name="Normal 2 15 2 2 3 2 2 2 2 3 2" xfId="37767" xr:uid="{00000000-0005-0000-0000-000058560000}"/>
    <cellStyle name="Normal 2 15 2 2 3 2 2 2 2 4" xfId="30326" xr:uid="{00000000-0005-0000-0000-000059560000}"/>
    <cellStyle name="Normal 2 15 2 2 3 2 2 2 3" xfId="18846" xr:uid="{00000000-0005-0000-0000-00005A560000}"/>
    <cellStyle name="Normal 2 15 2 2 3 2 2 2 3 2" xfId="41489" xr:uid="{00000000-0005-0000-0000-00005B560000}"/>
    <cellStyle name="Normal 2 15 2 2 3 2 2 2 4" xfId="11406" xr:uid="{00000000-0005-0000-0000-00005C560000}"/>
    <cellStyle name="Normal 2 15 2 2 3 2 2 2 4 2" xfId="34049" xr:uid="{00000000-0005-0000-0000-00005D560000}"/>
    <cellStyle name="Normal 2 15 2 2 3 2 2 2 5" xfId="26608" xr:uid="{00000000-0005-0000-0000-00005E560000}"/>
    <cellStyle name="Normal 2 15 2 2 3 2 2 3" xfId="5833" xr:uid="{00000000-0005-0000-0000-00005F560000}"/>
    <cellStyle name="Normal 2 15 2 2 3 2 2 3 2" xfId="20717" xr:uid="{00000000-0005-0000-0000-000060560000}"/>
    <cellStyle name="Normal 2 15 2 2 3 2 2 3 2 2" xfId="43360" xr:uid="{00000000-0005-0000-0000-000061560000}"/>
    <cellStyle name="Normal 2 15 2 2 3 2 2 3 3" xfId="13277" xr:uid="{00000000-0005-0000-0000-000062560000}"/>
    <cellStyle name="Normal 2 15 2 2 3 2 2 3 3 2" xfId="35920" xr:uid="{00000000-0005-0000-0000-000063560000}"/>
    <cellStyle name="Normal 2 15 2 2 3 2 2 3 4" xfId="28479" xr:uid="{00000000-0005-0000-0000-000064560000}"/>
    <cellStyle name="Normal 2 15 2 2 3 2 2 4" xfId="16999" xr:uid="{00000000-0005-0000-0000-000065560000}"/>
    <cellStyle name="Normal 2 15 2 2 3 2 2 4 2" xfId="39642" xr:uid="{00000000-0005-0000-0000-000066560000}"/>
    <cellStyle name="Normal 2 15 2 2 3 2 2 5" xfId="9559" xr:uid="{00000000-0005-0000-0000-000067560000}"/>
    <cellStyle name="Normal 2 15 2 2 3 2 2 5 2" xfId="32202" xr:uid="{00000000-0005-0000-0000-000068560000}"/>
    <cellStyle name="Normal 2 15 2 2 3 2 2 6" xfId="24761" xr:uid="{00000000-0005-0000-0000-000069560000}"/>
    <cellStyle name="Normal 2 15 2 2 3 2 3" xfId="3034" xr:uid="{00000000-0005-0000-0000-00006A560000}"/>
    <cellStyle name="Normal 2 15 2 2 3 2 3 2" xfId="6755" xr:uid="{00000000-0005-0000-0000-00006B560000}"/>
    <cellStyle name="Normal 2 15 2 2 3 2 3 2 2" xfId="21639" xr:uid="{00000000-0005-0000-0000-00006C560000}"/>
    <cellStyle name="Normal 2 15 2 2 3 2 3 2 2 2" xfId="44282" xr:uid="{00000000-0005-0000-0000-00006D560000}"/>
    <cellStyle name="Normal 2 15 2 2 3 2 3 2 3" xfId="14199" xr:uid="{00000000-0005-0000-0000-00006E560000}"/>
    <cellStyle name="Normal 2 15 2 2 3 2 3 2 3 2" xfId="36842" xr:uid="{00000000-0005-0000-0000-00006F560000}"/>
    <cellStyle name="Normal 2 15 2 2 3 2 3 2 4" xfId="29401" xr:uid="{00000000-0005-0000-0000-000070560000}"/>
    <cellStyle name="Normal 2 15 2 2 3 2 3 3" xfId="17921" xr:uid="{00000000-0005-0000-0000-000071560000}"/>
    <cellStyle name="Normal 2 15 2 2 3 2 3 3 2" xfId="40564" xr:uid="{00000000-0005-0000-0000-000072560000}"/>
    <cellStyle name="Normal 2 15 2 2 3 2 3 4" xfId="10481" xr:uid="{00000000-0005-0000-0000-000073560000}"/>
    <cellStyle name="Normal 2 15 2 2 3 2 3 4 2" xfId="33124" xr:uid="{00000000-0005-0000-0000-000074560000}"/>
    <cellStyle name="Normal 2 15 2 2 3 2 3 5" xfId="25683" xr:uid="{00000000-0005-0000-0000-000075560000}"/>
    <cellStyle name="Normal 2 15 2 2 3 2 4" xfId="4908" xr:uid="{00000000-0005-0000-0000-000076560000}"/>
    <cellStyle name="Normal 2 15 2 2 3 2 4 2" xfId="19792" xr:uid="{00000000-0005-0000-0000-000077560000}"/>
    <cellStyle name="Normal 2 15 2 2 3 2 4 2 2" xfId="42435" xr:uid="{00000000-0005-0000-0000-000078560000}"/>
    <cellStyle name="Normal 2 15 2 2 3 2 4 3" xfId="12352" xr:uid="{00000000-0005-0000-0000-000079560000}"/>
    <cellStyle name="Normal 2 15 2 2 3 2 4 3 2" xfId="34995" xr:uid="{00000000-0005-0000-0000-00007A560000}"/>
    <cellStyle name="Normal 2 15 2 2 3 2 4 4" xfId="27554" xr:uid="{00000000-0005-0000-0000-00007B560000}"/>
    <cellStyle name="Normal 2 15 2 2 3 2 5" xfId="16074" xr:uid="{00000000-0005-0000-0000-00007C560000}"/>
    <cellStyle name="Normal 2 15 2 2 3 2 5 2" xfId="38717" xr:uid="{00000000-0005-0000-0000-00007D560000}"/>
    <cellStyle name="Normal 2 15 2 2 3 2 6" xfId="8634" xr:uid="{00000000-0005-0000-0000-00007E560000}"/>
    <cellStyle name="Normal 2 15 2 2 3 2 6 2" xfId="31277" xr:uid="{00000000-0005-0000-0000-00007F560000}"/>
    <cellStyle name="Normal 2 15 2 2 3 2 7" xfId="23836" xr:uid="{00000000-0005-0000-0000-000080560000}"/>
    <cellStyle name="Normal 2 15 2 2 3 3" xfId="1647" xr:uid="{00000000-0005-0000-0000-000081560000}"/>
    <cellStyle name="Normal 2 15 2 2 3 3 2" xfId="3497" xr:uid="{00000000-0005-0000-0000-000082560000}"/>
    <cellStyle name="Normal 2 15 2 2 3 3 2 2" xfId="7218" xr:uid="{00000000-0005-0000-0000-000083560000}"/>
    <cellStyle name="Normal 2 15 2 2 3 3 2 2 2" xfId="22102" xr:uid="{00000000-0005-0000-0000-000084560000}"/>
    <cellStyle name="Normal 2 15 2 2 3 3 2 2 2 2" xfId="44745" xr:uid="{00000000-0005-0000-0000-000085560000}"/>
    <cellStyle name="Normal 2 15 2 2 3 3 2 2 3" xfId="14662" xr:uid="{00000000-0005-0000-0000-000086560000}"/>
    <cellStyle name="Normal 2 15 2 2 3 3 2 2 3 2" xfId="37305" xr:uid="{00000000-0005-0000-0000-000087560000}"/>
    <cellStyle name="Normal 2 15 2 2 3 3 2 2 4" xfId="29864" xr:uid="{00000000-0005-0000-0000-000088560000}"/>
    <cellStyle name="Normal 2 15 2 2 3 3 2 3" xfId="18384" xr:uid="{00000000-0005-0000-0000-000089560000}"/>
    <cellStyle name="Normal 2 15 2 2 3 3 2 3 2" xfId="41027" xr:uid="{00000000-0005-0000-0000-00008A560000}"/>
    <cellStyle name="Normal 2 15 2 2 3 3 2 4" xfId="10944" xr:uid="{00000000-0005-0000-0000-00008B560000}"/>
    <cellStyle name="Normal 2 15 2 2 3 3 2 4 2" xfId="33587" xr:uid="{00000000-0005-0000-0000-00008C560000}"/>
    <cellStyle name="Normal 2 15 2 2 3 3 2 5" xfId="26146" xr:uid="{00000000-0005-0000-0000-00008D560000}"/>
    <cellStyle name="Normal 2 15 2 2 3 3 3" xfId="5371" xr:uid="{00000000-0005-0000-0000-00008E560000}"/>
    <cellStyle name="Normal 2 15 2 2 3 3 3 2" xfId="20255" xr:uid="{00000000-0005-0000-0000-00008F560000}"/>
    <cellStyle name="Normal 2 15 2 2 3 3 3 2 2" xfId="42898" xr:uid="{00000000-0005-0000-0000-000090560000}"/>
    <cellStyle name="Normal 2 15 2 2 3 3 3 3" xfId="12815" xr:uid="{00000000-0005-0000-0000-000091560000}"/>
    <cellStyle name="Normal 2 15 2 2 3 3 3 3 2" xfId="35458" xr:uid="{00000000-0005-0000-0000-000092560000}"/>
    <cellStyle name="Normal 2 15 2 2 3 3 3 4" xfId="28017" xr:uid="{00000000-0005-0000-0000-000093560000}"/>
    <cellStyle name="Normal 2 15 2 2 3 3 4" xfId="16537" xr:uid="{00000000-0005-0000-0000-000094560000}"/>
    <cellStyle name="Normal 2 15 2 2 3 3 4 2" xfId="39180" xr:uid="{00000000-0005-0000-0000-000095560000}"/>
    <cellStyle name="Normal 2 15 2 2 3 3 5" xfId="9097" xr:uid="{00000000-0005-0000-0000-000096560000}"/>
    <cellStyle name="Normal 2 15 2 2 3 3 5 2" xfId="31740" xr:uid="{00000000-0005-0000-0000-000097560000}"/>
    <cellStyle name="Normal 2 15 2 2 3 3 6" xfId="24299" xr:uid="{00000000-0005-0000-0000-000098560000}"/>
    <cellStyle name="Normal 2 15 2 2 3 4" xfId="2572" xr:uid="{00000000-0005-0000-0000-000099560000}"/>
    <cellStyle name="Normal 2 15 2 2 3 4 2" xfId="6293" xr:uid="{00000000-0005-0000-0000-00009A560000}"/>
    <cellStyle name="Normal 2 15 2 2 3 4 2 2" xfId="21177" xr:uid="{00000000-0005-0000-0000-00009B560000}"/>
    <cellStyle name="Normal 2 15 2 2 3 4 2 2 2" xfId="43820" xr:uid="{00000000-0005-0000-0000-00009C560000}"/>
    <cellStyle name="Normal 2 15 2 2 3 4 2 3" xfId="13737" xr:uid="{00000000-0005-0000-0000-00009D560000}"/>
    <cellStyle name="Normal 2 15 2 2 3 4 2 3 2" xfId="36380" xr:uid="{00000000-0005-0000-0000-00009E560000}"/>
    <cellStyle name="Normal 2 15 2 2 3 4 2 4" xfId="28939" xr:uid="{00000000-0005-0000-0000-00009F560000}"/>
    <cellStyle name="Normal 2 15 2 2 3 4 3" xfId="17459" xr:uid="{00000000-0005-0000-0000-0000A0560000}"/>
    <cellStyle name="Normal 2 15 2 2 3 4 3 2" xfId="40102" xr:uid="{00000000-0005-0000-0000-0000A1560000}"/>
    <cellStyle name="Normal 2 15 2 2 3 4 4" xfId="10019" xr:uid="{00000000-0005-0000-0000-0000A2560000}"/>
    <cellStyle name="Normal 2 15 2 2 3 4 4 2" xfId="32662" xr:uid="{00000000-0005-0000-0000-0000A3560000}"/>
    <cellStyle name="Normal 2 15 2 2 3 4 5" xfId="25221" xr:uid="{00000000-0005-0000-0000-0000A4560000}"/>
    <cellStyle name="Normal 2 15 2 2 3 5" xfId="4446" xr:uid="{00000000-0005-0000-0000-0000A5560000}"/>
    <cellStyle name="Normal 2 15 2 2 3 5 2" xfId="19330" xr:uid="{00000000-0005-0000-0000-0000A6560000}"/>
    <cellStyle name="Normal 2 15 2 2 3 5 2 2" xfId="41973" xr:uid="{00000000-0005-0000-0000-0000A7560000}"/>
    <cellStyle name="Normal 2 15 2 2 3 5 3" xfId="11890" xr:uid="{00000000-0005-0000-0000-0000A8560000}"/>
    <cellStyle name="Normal 2 15 2 2 3 5 3 2" xfId="34533" xr:uid="{00000000-0005-0000-0000-0000A9560000}"/>
    <cellStyle name="Normal 2 15 2 2 3 5 4" xfId="27092" xr:uid="{00000000-0005-0000-0000-0000AA560000}"/>
    <cellStyle name="Normal 2 15 2 2 3 6" xfId="15612" xr:uid="{00000000-0005-0000-0000-0000AB560000}"/>
    <cellStyle name="Normal 2 15 2 2 3 6 2" xfId="38255" xr:uid="{00000000-0005-0000-0000-0000AC560000}"/>
    <cellStyle name="Normal 2 15 2 2 3 7" xfId="8172" xr:uid="{00000000-0005-0000-0000-0000AD560000}"/>
    <cellStyle name="Normal 2 15 2 2 3 7 2" xfId="30815" xr:uid="{00000000-0005-0000-0000-0000AE560000}"/>
    <cellStyle name="Normal 2 15 2 2 3 8" xfId="23374" xr:uid="{00000000-0005-0000-0000-0000AF560000}"/>
    <cellStyle name="Normal 2 15 2 2 4" xfId="970" xr:uid="{00000000-0005-0000-0000-0000B0560000}"/>
    <cellStyle name="Normal 2 15 2 2 4 2" xfId="1898" xr:uid="{00000000-0005-0000-0000-0000B1560000}"/>
    <cellStyle name="Normal 2 15 2 2 4 2 2" xfId="3748" xr:uid="{00000000-0005-0000-0000-0000B2560000}"/>
    <cellStyle name="Normal 2 15 2 2 4 2 2 2" xfId="7469" xr:uid="{00000000-0005-0000-0000-0000B3560000}"/>
    <cellStyle name="Normal 2 15 2 2 4 2 2 2 2" xfId="22353" xr:uid="{00000000-0005-0000-0000-0000B4560000}"/>
    <cellStyle name="Normal 2 15 2 2 4 2 2 2 2 2" xfId="44996" xr:uid="{00000000-0005-0000-0000-0000B5560000}"/>
    <cellStyle name="Normal 2 15 2 2 4 2 2 2 3" xfId="14913" xr:uid="{00000000-0005-0000-0000-0000B6560000}"/>
    <cellStyle name="Normal 2 15 2 2 4 2 2 2 3 2" xfId="37556" xr:uid="{00000000-0005-0000-0000-0000B7560000}"/>
    <cellStyle name="Normal 2 15 2 2 4 2 2 2 4" xfId="30115" xr:uid="{00000000-0005-0000-0000-0000B8560000}"/>
    <cellStyle name="Normal 2 15 2 2 4 2 2 3" xfId="18635" xr:uid="{00000000-0005-0000-0000-0000B9560000}"/>
    <cellStyle name="Normal 2 15 2 2 4 2 2 3 2" xfId="41278" xr:uid="{00000000-0005-0000-0000-0000BA560000}"/>
    <cellStyle name="Normal 2 15 2 2 4 2 2 4" xfId="11195" xr:uid="{00000000-0005-0000-0000-0000BB560000}"/>
    <cellStyle name="Normal 2 15 2 2 4 2 2 4 2" xfId="33838" xr:uid="{00000000-0005-0000-0000-0000BC560000}"/>
    <cellStyle name="Normal 2 15 2 2 4 2 2 5" xfId="26397" xr:uid="{00000000-0005-0000-0000-0000BD560000}"/>
    <cellStyle name="Normal 2 15 2 2 4 2 3" xfId="5622" xr:uid="{00000000-0005-0000-0000-0000BE560000}"/>
    <cellStyle name="Normal 2 15 2 2 4 2 3 2" xfId="20506" xr:uid="{00000000-0005-0000-0000-0000BF560000}"/>
    <cellStyle name="Normal 2 15 2 2 4 2 3 2 2" xfId="43149" xr:uid="{00000000-0005-0000-0000-0000C0560000}"/>
    <cellStyle name="Normal 2 15 2 2 4 2 3 3" xfId="13066" xr:uid="{00000000-0005-0000-0000-0000C1560000}"/>
    <cellStyle name="Normal 2 15 2 2 4 2 3 3 2" xfId="35709" xr:uid="{00000000-0005-0000-0000-0000C2560000}"/>
    <cellStyle name="Normal 2 15 2 2 4 2 3 4" xfId="28268" xr:uid="{00000000-0005-0000-0000-0000C3560000}"/>
    <cellStyle name="Normal 2 15 2 2 4 2 4" xfId="16788" xr:uid="{00000000-0005-0000-0000-0000C4560000}"/>
    <cellStyle name="Normal 2 15 2 2 4 2 4 2" xfId="39431" xr:uid="{00000000-0005-0000-0000-0000C5560000}"/>
    <cellStyle name="Normal 2 15 2 2 4 2 5" xfId="9348" xr:uid="{00000000-0005-0000-0000-0000C6560000}"/>
    <cellStyle name="Normal 2 15 2 2 4 2 5 2" xfId="31991" xr:uid="{00000000-0005-0000-0000-0000C7560000}"/>
    <cellStyle name="Normal 2 15 2 2 4 2 6" xfId="24550" xr:uid="{00000000-0005-0000-0000-0000C8560000}"/>
    <cellStyle name="Normal 2 15 2 2 4 3" xfId="2823" xr:uid="{00000000-0005-0000-0000-0000C9560000}"/>
    <cellStyle name="Normal 2 15 2 2 4 3 2" xfId="6544" xr:uid="{00000000-0005-0000-0000-0000CA560000}"/>
    <cellStyle name="Normal 2 15 2 2 4 3 2 2" xfId="21428" xr:uid="{00000000-0005-0000-0000-0000CB560000}"/>
    <cellStyle name="Normal 2 15 2 2 4 3 2 2 2" xfId="44071" xr:uid="{00000000-0005-0000-0000-0000CC560000}"/>
    <cellStyle name="Normal 2 15 2 2 4 3 2 3" xfId="13988" xr:uid="{00000000-0005-0000-0000-0000CD560000}"/>
    <cellStyle name="Normal 2 15 2 2 4 3 2 3 2" xfId="36631" xr:uid="{00000000-0005-0000-0000-0000CE560000}"/>
    <cellStyle name="Normal 2 15 2 2 4 3 2 4" xfId="29190" xr:uid="{00000000-0005-0000-0000-0000CF560000}"/>
    <cellStyle name="Normal 2 15 2 2 4 3 3" xfId="17710" xr:uid="{00000000-0005-0000-0000-0000D0560000}"/>
    <cellStyle name="Normal 2 15 2 2 4 3 3 2" xfId="40353" xr:uid="{00000000-0005-0000-0000-0000D1560000}"/>
    <cellStyle name="Normal 2 15 2 2 4 3 4" xfId="10270" xr:uid="{00000000-0005-0000-0000-0000D2560000}"/>
    <cellStyle name="Normal 2 15 2 2 4 3 4 2" xfId="32913" xr:uid="{00000000-0005-0000-0000-0000D3560000}"/>
    <cellStyle name="Normal 2 15 2 2 4 3 5" xfId="25472" xr:uid="{00000000-0005-0000-0000-0000D4560000}"/>
    <cellStyle name="Normal 2 15 2 2 4 4" xfId="4697" xr:uid="{00000000-0005-0000-0000-0000D5560000}"/>
    <cellStyle name="Normal 2 15 2 2 4 4 2" xfId="19581" xr:uid="{00000000-0005-0000-0000-0000D6560000}"/>
    <cellStyle name="Normal 2 15 2 2 4 4 2 2" xfId="42224" xr:uid="{00000000-0005-0000-0000-0000D7560000}"/>
    <cellStyle name="Normal 2 15 2 2 4 4 3" xfId="12141" xr:uid="{00000000-0005-0000-0000-0000D8560000}"/>
    <cellStyle name="Normal 2 15 2 2 4 4 3 2" xfId="34784" xr:uid="{00000000-0005-0000-0000-0000D9560000}"/>
    <cellStyle name="Normal 2 15 2 2 4 4 4" xfId="27343" xr:uid="{00000000-0005-0000-0000-0000DA560000}"/>
    <cellStyle name="Normal 2 15 2 2 4 5" xfId="15863" xr:uid="{00000000-0005-0000-0000-0000DB560000}"/>
    <cellStyle name="Normal 2 15 2 2 4 5 2" xfId="38506" xr:uid="{00000000-0005-0000-0000-0000DC560000}"/>
    <cellStyle name="Normal 2 15 2 2 4 6" xfId="8423" xr:uid="{00000000-0005-0000-0000-0000DD560000}"/>
    <cellStyle name="Normal 2 15 2 2 4 6 2" xfId="31066" xr:uid="{00000000-0005-0000-0000-0000DE560000}"/>
    <cellStyle name="Normal 2 15 2 2 4 7" xfId="23625" xr:uid="{00000000-0005-0000-0000-0000DF560000}"/>
    <cellStyle name="Normal 2 15 2 2 5" xfId="1436" xr:uid="{00000000-0005-0000-0000-0000E0560000}"/>
    <cellStyle name="Normal 2 15 2 2 5 2" xfId="3286" xr:uid="{00000000-0005-0000-0000-0000E1560000}"/>
    <cellStyle name="Normal 2 15 2 2 5 2 2" xfId="7007" xr:uid="{00000000-0005-0000-0000-0000E2560000}"/>
    <cellStyle name="Normal 2 15 2 2 5 2 2 2" xfId="21891" xr:uid="{00000000-0005-0000-0000-0000E3560000}"/>
    <cellStyle name="Normal 2 15 2 2 5 2 2 2 2" xfId="44534" xr:uid="{00000000-0005-0000-0000-0000E4560000}"/>
    <cellStyle name="Normal 2 15 2 2 5 2 2 3" xfId="14451" xr:uid="{00000000-0005-0000-0000-0000E5560000}"/>
    <cellStyle name="Normal 2 15 2 2 5 2 2 3 2" xfId="37094" xr:uid="{00000000-0005-0000-0000-0000E6560000}"/>
    <cellStyle name="Normal 2 15 2 2 5 2 2 4" xfId="29653" xr:uid="{00000000-0005-0000-0000-0000E7560000}"/>
    <cellStyle name="Normal 2 15 2 2 5 2 3" xfId="18173" xr:uid="{00000000-0005-0000-0000-0000E8560000}"/>
    <cellStyle name="Normal 2 15 2 2 5 2 3 2" xfId="40816" xr:uid="{00000000-0005-0000-0000-0000E9560000}"/>
    <cellStyle name="Normal 2 15 2 2 5 2 4" xfId="10733" xr:uid="{00000000-0005-0000-0000-0000EA560000}"/>
    <cellStyle name="Normal 2 15 2 2 5 2 4 2" xfId="33376" xr:uid="{00000000-0005-0000-0000-0000EB560000}"/>
    <cellStyle name="Normal 2 15 2 2 5 2 5" xfId="25935" xr:uid="{00000000-0005-0000-0000-0000EC560000}"/>
    <cellStyle name="Normal 2 15 2 2 5 3" xfId="5160" xr:uid="{00000000-0005-0000-0000-0000ED560000}"/>
    <cellStyle name="Normal 2 15 2 2 5 3 2" xfId="20044" xr:uid="{00000000-0005-0000-0000-0000EE560000}"/>
    <cellStyle name="Normal 2 15 2 2 5 3 2 2" xfId="42687" xr:uid="{00000000-0005-0000-0000-0000EF560000}"/>
    <cellStyle name="Normal 2 15 2 2 5 3 3" xfId="12604" xr:uid="{00000000-0005-0000-0000-0000F0560000}"/>
    <cellStyle name="Normal 2 15 2 2 5 3 3 2" xfId="35247" xr:uid="{00000000-0005-0000-0000-0000F1560000}"/>
    <cellStyle name="Normal 2 15 2 2 5 3 4" xfId="27806" xr:uid="{00000000-0005-0000-0000-0000F2560000}"/>
    <cellStyle name="Normal 2 15 2 2 5 4" xfId="16326" xr:uid="{00000000-0005-0000-0000-0000F3560000}"/>
    <cellStyle name="Normal 2 15 2 2 5 4 2" xfId="38969" xr:uid="{00000000-0005-0000-0000-0000F4560000}"/>
    <cellStyle name="Normal 2 15 2 2 5 5" xfId="8886" xr:uid="{00000000-0005-0000-0000-0000F5560000}"/>
    <cellStyle name="Normal 2 15 2 2 5 5 2" xfId="31529" xr:uid="{00000000-0005-0000-0000-0000F6560000}"/>
    <cellStyle name="Normal 2 15 2 2 5 6" xfId="24088" xr:uid="{00000000-0005-0000-0000-0000F7560000}"/>
    <cellStyle name="Normal 2 15 2 2 6" xfId="2361" xr:uid="{00000000-0005-0000-0000-0000F8560000}"/>
    <cellStyle name="Normal 2 15 2 2 6 2" xfId="6082" xr:uid="{00000000-0005-0000-0000-0000F9560000}"/>
    <cellStyle name="Normal 2 15 2 2 6 2 2" xfId="20966" xr:uid="{00000000-0005-0000-0000-0000FA560000}"/>
    <cellStyle name="Normal 2 15 2 2 6 2 2 2" xfId="43609" xr:uid="{00000000-0005-0000-0000-0000FB560000}"/>
    <cellStyle name="Normal 2 15 2 2 6 2 3" xfId="13526" xr:uid="{00000000-0005-0000-0000-0000FC560000}"/>
    <cellStyle name="Normal 2 15 2 2 6 2 3 2" xfId="36169" xr:uid="{00000000-0005-0000-0000-0000FD560000}"/>
    <cellStyle name="Normal 2 15 2 2 6 2 4" xfId="28728" xr:uid="{00000000-0005-0000-0000-0000FE560000}"/>
    <cellStyle name="Normal 2 15 2 2 6 3" xfId="17248" xr:uid="{00000000-0005-0000-0000-0000FF560000}"/>
    <cellStyle name="Normal 2 15 2 2 6 3 2" xfId="39891" xr:uid="{00000000-0005-0000-0000-000000570000}"/>
    <cellStyle name="Normal 2 15 2 2 6 4" xfId="9808" xr:uid="{00000000-0005-0000-0000-000001570000}"/>
    <cellStyle name="Normal 2 15 2 2 6 4 2" xfId="32451" xr:uid="{00000000-0005-0000-0000-000002570000}"/>
    <cellStyle name="Normal 2 15 2 2 6 5" xfId="25010" xr:uid="{00000000-0005-0000-0000-000003570000}"/>
    <cellStyle name="Normal 2 15 2 2 7" xfId="4235" xr:uid="{00000000-0005-0000-0000-000004570000}"/>
    <cellStyle name="Normal 2 15 2 2 7 2" xfId="19119" xr:uid="{00000000-0005-0000-0000-000005570000}"/>
    <cellStyle name="Normal 2 15 2 2 7 2 2" xfId="41762" xr:uid="{00000000-0005-0000-0000-000006570000}"/>
    <cellStyle name="Normal 2 15 2 2 7 3" xfId="11679" xr:uid="{00000000-0005-0000-0000-000007570000}"/>
    <cellStyle name="Normal 2 15 2 2 7 3 2" xfId="34322" xr:uid="{00000000-0005-0000-0000-000008570000}"/>
    <cellStyle name="Normal 2 15 2 2 7 4" xfId="26881" xr:uid="{00000000-0005-0000-0000-000009570000}"/>
    <cellStyle name="Normal 2 15 2 2 8" xfId="15401" xr:uid="{00000000-0005-0000-0000-00000A570000}"/>
    <cellStyle name="Normal 2 15 2 2 8 2" xfId="38044" xr:uid="{00000000-0005-0000-0000-00000B570000}"/>
    <cellStyle name="Normal 2 15 2 2 9" xfId="7961" xr:uid="{00000000-0005-0000-0000-00000C570000}"/>
    <cellStyle name="Normal 2 15 2 2 9 2" xfId="30604" xr:uid="{00000000-0005-0000-0000-00000D570000}"/>
    <cellStyle name="Normal 2 15 2 3" xfId="557" xr:uid="{00000000-0005-0000-0000-00000E570000}"/>
    <cellStyle name="Normal 2 15 2 3 2" xfId="769" xr:uid="{00000000-0005-0000-0000-00000F570000}"/>
    <cellStyle name="Normal 2 15 2 3 2 2" xfId="1234" xr:uid="{00000000-0005-0000-0000-000010570000}"/>
    <cellStyle name="Normal 2 15 2 3 2 2 2" xfId="2162" xr:uid="{00000000-0005-0000-0000-000011570000}"/>
    <cellStyle name="Normal 2 15 2 3 2 2 2 2" xfId="4012" xr:uid="{00000000-0005-0000-0000-000012570000}"/>
    <cellStyle name="Normal 2 15 2 3 2 2 2 2 2" xfId="7733" xr:uid="{00000000-0005-0000-0000-000013570000}"/>
    <cellStyle name="Normal 2 15 2 3 2 2 2 2 2 2" xfId="22617" xr:uid="{00000000-0005-0000-0000-000014570000}"/>
    <cellStyle name="Normal 2 15 2 3 2 2 2 2 2 2 2" xfId="45260" xr:uid="{00000000-0005-0000-0000-000015570000}"/>
    <cellStyle name="Normal 2 15 2 3 2 2 2 2 2 3" xfId="15177" xr:uid="{00000000-0005-0000-0000-000016570000}"/>
    <cellStyle name="Normal 2 15 2 3 2 2 2 2 2 3 2" xfId="37820" xr:uid="{00000000-0005-0000-0000-000017570000}"/>
    <cellStyle name="Normal 2 15 2 3 2 2 2 2 2 4" xfId="30379" xr:uid="{00000000-0005-0000-0000-000018570000}"/>
    <cellStyle name="Normal 2 15 2 3 2 2 2 2 3" xfId="18899" xr:uid="{00000000-0005-0000-0000-000019570000}"/>
    <cellStyle name="Normal 2 15 2 3 2 2 2 2 3 2" xfId="41542" xr:uid="{00000000-0005-0000-0000-00001A570000}"/>
    <cellStyle name="Normal 2 15 2 3 2 2 2 2 4" xfId="11459" xr:uid="{00000000-0005-0000-0000-00001B570000}"/>
    <cellStyle name="Normal 2 15 2 3 2 2 2 2 4 2" xfId="34102" xr:uid="{00000000-0005-0000-0000-00001C570000}"/>
    <cellStyle name="Normal 2 15 2 3 2 2 2 2 5" xfId="26661" xr:uid="{00000000-0005-0000-0000-00001D570000}"/>
    <cellStyle name="Normal 2 15 2 3 2 2 2 3" xfId="5886" xr:uid="{00000000-0005-0000-0000-00001E570000}"/>
    <cellStyle name="Normal 2 15 2 3 2 2 2 3 2" xfId="20770" xr:uid="{00000000-0005-0000-0000-00001F570000}"/>
    <cellStyle name="Normal 2 15 2 3 2 2 2 3 2 2" xfId="43413" xr:uid="{00000000-0005-0000-0000-000020570000}"/>
    <cellStyle name="Normal 2 15 2 3 2 2 2 3 3" xfId="13330" xr:uid="{00000000-0005-0000-0000-000021570000}"/>
    <cellStyle name="Normal 2 15 2 3 2 2 2 3 3 2" xfId="35973" xr:uid="{00000000-0005-0000-0000-000022570000}"/>
    <cellStyle name="Normal 2 15 2 3 2 2 2 3 4" xfId="28532" xr:uid="{00000000-0005-0000-0000-000023570000}"/>
    <cellStyle name="Normal 2 15 2 3 2 2 2 4" xfId="17052" xr:uid="{00000000-0005-0000-0000-000024570000}"/>
    <cellStyle name="Normal 2 15 2 3 2 2 2 4 2" xfId="39695" xr:uid="{00000000-0005-0000-0000-000025570000}"/>
    <cellStyle name="Normal 2 15 2 3 2 2 2 5" xfId="9612" xr:uid="{00000000-0005-0000-0000-000026570000}"/>
    <cellStyle name="Normal 2 15 2 3 2 2 2 5 2" xfId="32255" xr:uid="{00000000-0005-0000-0000-000027570000}"/>
    <cellStyle name="Normal 2 15 2 3 2 2 2 6" xfId="24814" xr:uid="{00000000-0005-0000-0000-000028570000}"/>
    <cellStyle name="Normal 2 15 2 3 2 2 3" xfId="3087" xr:uid="{00000000-0005-0000-0000-000029570000}"/>
    <cellStyle name="Normal 2 15 2 3 2 2 3 2" xfId="6808" xr:uid="{00000000-0005-0000-0000-00002A570000}"/>
    <cellStyle name="Normal 2 15 2 3 2 2 3 2 2" xfId="21692" xr:uid="{00000000-0005-0000-0000-00002B570000}"/>
    <cellStyle name="Normal 2 15 2 3 2 2 3 2 2 2" xfId="44335" xr:uid="{00000000-0005-0000-0000-00002C570000}"/>
    <cellStyle name="Normal 2 15 2 3 2 2 3 2 3" xfId="14252" xr:uid="{00000000-0005-0000-0000-00002D570000}"/>
    <cellStyle name="Normal 2 15 2 3 2 2 3 2 3 2" xfId="36895" xr:uid="{00000000-0005-0000-0000-00002E570000}"/>
    <cellStyle name="Normal 2 15 2 3 2 2 3 2 4" xfId="29454" xr:uid="{00000000-0005-0000-0000-00002F570000}"/>
    <cellStyle name="Normal 2 15 2 3 2 2 3 3" xfId="17974" xr:uid="{00000000-0005-0000-0000-000030570000}"/>
    <cellStyle name="Normal 2 15 2 3 2 2 3 3 2" xfId="40617" xr:uid="{00000000-0005-0000-0000-000031570000}"/>
    <cellStyle name="Normal 2 15 2 3 2 2 3 4" xfId="10534" xr:uid="{00000000-0005-0000-0000-000032570000}"/>
    <cellStyle name="Normal 2 15 2 3 2 2 3 4 2" xfId="33177" xr:uid="{00000000-0005-0000-0000-000033570000}"/>
    <cellStyle name="Normal 2 15 2 3 2 2 3 5" xfId="25736" xr:uid="{00000000-0005-0000-0000-000034570000}"/>
    <cellStyle name="Normal 2 15 2 3 2 2 4" xfId="4961" xr:uid="{00000000-0005-0000-0000-000035570000}"/>
    <cellStyle name="Normal 2 15 2 3 2 2 4 2" xfId="19845" xr:uid="{00000000-0005-0000-0000-000036570000}"/>
    <cellStyle name="Normal 2 15 2 3 2 2 4 2 2" xfId="42488" xr:uid="{00000000-0005-0000-0000-000037570000}"/>
    <cellStyle name="Normal 2 15 2 3 2 2 4 3" xfId="12405" xr:uid="{00000000-0005-0000-0000-000038570000}"/>
    <cellStyle name="Normal 2 15 2 3 2 2 4 3 2" xfId="35048" xr:uid="{00000000-0005-0000-0000-000039570000}"/>
    <cellStyle name="Normal 2 15 2 3 2 2 4 4" xfId="27607" xr:uid="{00000000-0005-0000-0000-00003A570000}"/>
    <cellStyle name="Normal 2 15 2 3 2 2 5" xfId="16127" xr:uid="{00000000-0005-0000-0000-00003B570000}"/>
    <cellStyle name="Normal 2 15 2 3 2 2 5 2" xfId="38770" xr:uid="{00000000-0005-0000-0000-00003C570000}"/>
    <cellStyle name="Normal 2 15 2 3 2 2 6" xfId="8687" xr:uid="{00000000-0005-0000-0000-00003D570000}"/>
    <cellStyle name="Normal 2 15 2 3 2 2 6 2" xfId="31330" xr:uid="{00000000-0005-0000-0000-00003E570000}"/>
    <cellStyle name="Normal 2 15 2 3 2 2 7" xfId="23889" xr:uid="{00000000-0005-0000-0000-00003F570000}"/>
    <cellStyle name="Normal 2 15 2 3 2 3" xfId="1700" xr:uid="{00000000-0005-0000-0000-000040570000}"/>
    <cellStyle name="Normal 2 15 2 3 2 3 2" xfId="3550" xr:uid="{00000000-0005-0000-0000-000041570000}"/>
    <cellStyle name="Normal 2 15 2 3 2 3 2 2" xfId="7271" xr:uid="{00000000-0005-0000-0000-000042570000}"/>
    <cellStyle name="Normal 2 15 2 3 2 3 2 2 2" xfId="22155" xr:uid="{00000000-0005-0000-0000-000043570000}"/>
    <cellStyle name="Normal 2 15 2 3 2 3 2 2 2 2" xfId="44798" xr:uid="{00000000-0005-0000-0000-000044570000}"/>
    <cellStyle name="Normal 2 15 2 3 2 3 2 2 3" xfId="14715" xr:uid="{00000000-0005-0000-0000-000045570000}"/>
    <cellStyle name="Normal 2 15 2 3 2 3 2 2 3 2" xfId="37358" xr:uid="{00000000-0005-0000-0000-000046570000}"/>
    <cellStyle name="Normal 2 15 2 3 2 3 2 2 4" xfId="29917" xr:uid="{00000000-0005-0000-0000-000047570000}"/>
    <cellStyle name="Normal 2 15 2 3 2 3 2 3" xfId="18437" xr:uid="{00000000-0005-0000-0000-000048570000}"/>
    <cellStyle name="Normal 2 15 2 3 2 3 2 3 2" xfId="41080" xr:uid="{00000000-0005-0000-0000-000049570000}"/>
    <cellStyle name="Normal 2 15 2 3 2 3 2 4" xfId="10997" xr:uid="{00000000-0005-0000-0000-00004A570000}"/>
    <cellStyle name="Normal 2 15 2 3 2 3 2 4 2" xfId="33640" xr:uid="{00000000-0005-0000-0000-00004B570000}"/>
    <cellStyle name="Normal 2 15 2 3 2 3 2 5" xfId="26199" xr:uid="{00000000-0005-0000-0000-00004C570000}"/>
    <cellStyle name="Normal 2 15 2 3 2 3 3" xfId="5424" xr:uid="{00000000-0005-0000-0000-00004D570000}"/>
    <cellStyle name="Normal 2 15 2 3 2 3 3 2" xfId="20308" xr:uid="{00000000-0005-0000-0000-00004E570000}"/>
    <cellStyle name="Normal 2 15 2 3 2 3 3 2 2" xfId="42951" xr:uid="{00000000-0005-0000-0000-00004F570000}"/>
    <cellStyle name="Normal 2 15 2 3 2 3 3 3" xfId="12868" xr:uid="{00000000-0005-0000-0000-000050570000}"/>
    <cellStyle name="Normal 2 15 2 3 2 3 3 3 2" xfId="35511" xr:uid="{00000000-0005-0000-0000-000051570000}"/>
    <cellStyle name="Normal 2 15 2 3 2 3 3 4" xfId="28070" xr:uid="{00000000-0005-0000-0000-000052570000}"/>
    <cellStyle name="Normal 2 15 2 3 2 3 4" xfId="16590" xr:uid="{00000000-0005-0000-0000-000053570000}"/>
    <cellStyle name="Normal 2 15 2 3 2 3 4 2" xfId="39233" xr:uid="{00000000-0005-0000-0000-000054570000}"/>
    <cellStyle name="Normal 2 15 2 3 2 3 5" xfId="9150" xr:uid="{00000000-0005-0000-0000-000055570000}"/>
    <cellStyle name="Normal 2 15 2 3 2 3 5 2" xfId="31793" xr:uid="{00000000-0005-0000-0000-000056570000}"/>
    <cellStyle name="Normal 2 15 2 3 2 3 6" xfId="24352" xr:uid="{00000000-0005-0000-0000-000057570000}"/>
    <cellStyle name="Normal 2 15 2 3 2 4" xfId="2625" xr:uid="{00000000-0005-0000-0000-000058570000}"/>
    <cellStyle name="Normal 2 15 2 3 2 4 2" xfId="6346" xr:uid="{00000000-0005-0000-0000-000059570000}"/>
    <cellStyle name="Normal 2 15 2 3 2 4 2 2" xfId="21230" xr:uid="{00000000-0005-0000-0000-00005A570000}"/>
    <cellStyle name="Normal 2 15 2 3 2 4 2 2 2" xfId="43873" xr:uid="{00000000-0005-0000-0000-00005B570000}"/>
    <cellStyle name="Normal 2 15 2 3 2 4 2 3" xfId="13790" xr:uid="{00000000-0005-0000-0000-00005C570000}"/>
    <cellStyle name="Normal 2 15 2 3 2 4 2 3 2" xfId="36433" xr:uid="{00000000-0005-0000-0000-00005D570000}"/>
    <cellStyle name="Normal 2 15 2 3 2 4 2 4" xfId="28992" xr:uid="{00000000-0005-0000-0000-00005E570000}"/>
    <cellStyle name="Normal 2 15 2 3 2 4 3" xfId="17512" xr:uid="{00000000-0005-0000-0000-00005F570000}"/>
    <cellStyle name="Normal 2 15 2 3 2 4 3 2" xfId="40155" xr:uid="{00000000-0005-0000-0000-000060570000}"/>
    <cellStyle name="Normal 2 15 2 3 2 4 4" xfId="10072" xr:uid="{00000000-0005-0000-0000-000061570000}"/>
    <cellStyle name="Normal 2 15 2 3 2 4 4 2" xfId="32715" xr:uid="{00000000-0005-0000-0000-000062570000}"/>
    <cellStyle name="Normal 2 15 2 3 2 4 5" xfId="25274" xr:uid="{00000000-0005-0000-0000-000063570000}"/>
    <cellStyle name="Normal 2 15 2 3 2 5" xfId="4499" xr:uid="{00000000-0005-0000-0000-000064570000}"/>
    <cellStyle name="Normal 2 15 2 3 2 5 2" xfId="19383" xr:uid="{00000000-0005-0000-0000-000065570000}"/>
    <cellStyle name="Normal 2 15 2 3 2 5 2 2" xfId="42026" xr:uid="{00000000-0005-0000-0000-000066570000}"/>
    <cellStyle name="Normal 2 15 2 3 2 5 3" xfId="11943" xr:uid="{00000000-0005-0000-0000-000067570000}"/>
    <cellStyle name="Normal 2 15 2 3 2 5 3 2" xfId="34586" xr:uid="{00000000-0005-0000-0000-000068570000}"/>
    <cellStyle name="Normal 2 15 2 3 2 5 4" xfId="27145" xr:uid="{00000000-0005-0000-0000-000069570000}"/>
    <cellStyle name="Normal 2 15 2 3 2 6" xfId="15665" xr:uid="{00000000-0005-0000-0000-00006A570000}"/>
    <cellStyle name="Normal 2 15 2 3 2 6 2" xfId="38308" xr:uid="{00000000-0005-0000-0000-00006B570000}"/>
    <cellStyle name="Normal 2 15 2 3 2 7" xfId="8225" xr:uid="{00000000-0005-0000-0000-00006C570000}"/>
    <cellStyle name="Normal 2 15 2 3 2 7 2" xfId="30868" xr:uid="{00000000-0005-0000-0000-00006D570000}"/>
    <cellStyle name="Normal 2 15 2 3 2 8" xfId="23427" xr:uid="{00000000-0005-0000-0000-00006E570000}"/>
    <cellStyle name="Normal 2 15 2 3 3" xfId="1023" xr:uid="{00000000-0005-0000-0000-00006F570000}"/>
    <cellStyle name="Normal 2 15 2 3 3 2" xfId="1951" xr:uid="{00000000-0005-0000-0000-000070570000}"/>
    <cellStyle name="Normal 2 15 2 3 3 2 2" xfId="3801" xr:uid="{00000000-0005-0000-0000-000071570000}"/>
    <cellStyle name="Normal 2 15 2 3 3 2 2 2" xfId="7522" xr:uid="{00000000-0005-0000-0000-000072570000}"/>
    <cellStyle name="Normal 2 15 2 3 3 2 2 2 2" xfId="22406" xr:uid="{00000000-0005-0000-0000-000073570000}"/>
    <cellStyle name="Normal 2 15 2 3 3 2 2 2 2 2" xfId="45049" xr:uid="{00000000-0005-0000-0000-000074570000}"/>
    <cellStyle name="Normal 2 15 2 3 3 2 2 2 3" xfId="14966" xr:uid="{00000000-0005-0000-0000-000075570000}"/>
    <cellStyle name="Normal 2 15 2 3 3 2 2 2 3 2" xfId="37609" xr:uid="{00000000-0005-0000-0000-000076570000}"/>
    <cellStyle name="Normal 2 15 2 3 3 2 2 2 4" xfId="30168" xr:uid="{00000000-0005-0000-0000-000077570000}"/>
    <cellStyle name="Normal 2 15 2 3 3 2 2 3" xfId="18688" xr:uid="{00000000-0005-0000-0000-000078570000}"/>
    <cellStyle name="Normal 2 15 2 3 3 2 2 3 2" xfId="41331" xr:uid="{00000000-0005-0000-0000-000079570000}"/>
    <cellStyle name="Normal 2 15 2 3 3 2 2 4" xfId="11248" xr:uid="{00000000-0005-0000-0000-00007A570000}"/>
    <cellStyle name="Normal 2 15 2 3 3 2 2 4 2" xfId="33891" xr:uid="{00000000-0005-0000-0000-00007B570000}"/>
    <cellStyle name="Normal 2 15 2 3 3 2 2 5" xfId="26450" xr:uid="{00000000-0005-0000-0000-00007C570000}"/>
    <cellStyle name="Normal 2 15 2 3 3 2 3" xfId="5675" xr:uid="{00000000-0005-0000-0000-00007D570000}"/>
    <cellStyle name="Normal 2 15 2 3 3 2 3 2" xfId="20559" xr:uid="{00000000-0005-0000-0000-00007E570000}"/>
    <cellStyle name="Normal 2 15 2 3 3 2 3 2 2" xfId="43202" xr:uid="{00000000-0005-0000-0000-00007F570000}"/>
    <cellStyle name="Normal 2 15 2 3 3 2 3 3" xfId="13119" xr:uid="{00000000-0005-0000-0000-000080570000}"/>
    <cellStyle name="Normal 2 15 2 3 3 2 3 3 2" xfId="35762" xr:uid="{00000000-0005-0000-0000-000081570000}"/>
    <cellStyle name="Normal 2 15 2 3 3 2 3 4" xfId="28321" xr:uid="{00000000-0005-0000-0000-000082570000}"/>
    <cellStyle name="Normal 2 15 2 3 3 2 4" xfId="16841" xr:uid="{00000000-0005-0000-0000-000083570000}"/>
    <cellStyle name="Normal 2 15 2 3 3 2 4 2" xfId="39484" xr:uid="{00000000-0005-0000-0000-000084570000}"/>
    <cellStyle name="Normal 2 15 2 3 3 2 5" xfId="9401" xr:uid="{00000000-0005-0000-0000-000085570000}"/>
    <cellStyle name="Normal 2 15 2 3 3 2 5 2" xfId="32044" xr:uid="{00000000-0005-0000-0000-000086570000}"/>
    <cellStyle name="Normal 2 15 2 3 3 2 6" xfId="24603" xr:uid="{00000000-0005-0000-0000-000087570000}"/>
    <cellStyle name="Normal 2 15 2 3 3 3" xfId="2876" xr:uid="{00000000-0005-0000-0000-000088570000}"/>
    <cellStyle name="Normal 2 15 2 3 3 3 2" xfId="6597" xr:uid="{00000000-0005-0000-0000-000089570000}"/>
    <cellStyle name="Normal 2 15 2 3 3 3 2 2" xfId="21481" xr:uid="{00000000-0005-0000-0000-00008A570000}"/>
    <cellStyle name="Normal 2 15 2 3 3 3 2 2 2" xfId="44124" xr:uid="{00000000-0005-0000-0000-00008B570000}"/>
    <cellStyle name="Normal 2 15 2 3 3 3 2 3" xfId="14041" xr:uid="{00000000-0005-0000-0000-00008C570000}"/>
    <cellStyle name="Normal 2 15 2 3 3 3 2 3 2" xfId="36684" xr:uid="{00000000-0005-0000-0000-00008D570000}"/>
    <cellStyle name="Normal 2 15 2 3 3 3 2 4" xfId="29243" xr:uid="{00000000-0005-0000-0000-00008E570000}"/>
    <cellStyle name="Normal 2 15 2 3 3 3 3" xfId="17763" xr:uid="{00000000-0005-0000-0000-00008F570000}"/>
    <cellStyle name="Normal 2 15 2 3 3 3 3 2" xfId="40406" xr:uid="{00000000-0005-0000-0000-000090570000}"/>
    <cellStyle name="Normal 2 15 2 3 3 3 4" xfId="10323" xr:uid="{00000000-0005-0000-0000-000091570000}"/>
    <cellStyle name="Normal 2 15 2 3 3 3 4 2" xfId="32966" xr:uid="{00000000-0005-0000-0000-000092570000}"/>
    <cellStyle name="Normal 2 15 2 3 3 3 5" xfId="25525" xr:uid="{00000000-0005-0000-0000-000093570000}"/>
    <cellStyle name="Normal 2 15 2 3 3 4" xfId="4750" xr:uid="{00000000-0005-0000-0000-000094570000}"/>
    <cellStyle name="Normal 2 15 2 3 3 4 2" xfId="19634" xr:uid="{00000000-0005-0000-0000-000095570000}"/>
    <cellStyle name="Normal 2 15 2 3 3 4 2 2" xfId="42277" xr:uid="{00000000-0005-0000-0000-000096570000}"/>
    <cellStyle name="Normal 2 15 2 3 3 4 3" xfId="12194" xr:uid="{00000000-0005-0000-0000-000097570000}"/>
    <cellStyle name="Normal 2 15 2 3 3 4 3 2" xfId="34837" xr:uid="{00000000-0005-0000-0000-000098570000}"/>
    <cellStyle name="Normal 2 15 2 3 3 4 4" xfId="27396" xr:uid="{00000000-0005-0000-0000-000099570000}"/>
    <cellStyle name="Normal 2 15 2 3 3 5" xfId="15916" xr:uid="{00000000-0005-0000-0000-00009A570000}"/>
    <cellStyle name="Normal 2 15 2 3 3 5 2" xfId="38559" xr:uid="{00000000-0005-0000-0000-00009B570000}"/>
    <cellStyle name="Normal 2 15 2 3 3 6" xfId="8476" xr:uid="{00000000-0005-0000-0000-00009C570000}"/>
    <cellStyle name="Normal 2 15 2 3 3 6 2" xfId="31119" xr:uid="{00000000-0005-0000-0000-00009D570000}"/>
    <cellStyle name="Normal 2 15 2 3 3 7" xfId="23678" xr:uid="{00000000-0005-0000-0000-00009E570000}"/>
    <cellStyle name="Normal 2 15 2 3 4" xfId="1489" xr:uid="{00000000-0005-0000-0000-00009F570000}"/>
    <cellStyle name="Normal 2 15 2 3 4 2" xfId="3339" xr:uid="{00000000-0005-0000-0000-0000A0570000}"/>
    <cellStyle name="Normal 2 15 2 3 4 2 2" xfId="7060" xr:uid="{00000000-0005-0000-0000-0000A1570000}"/>
    <cellStyle name="Normal 2 15 2 3 4 2 2 2" xfId="21944" xr:uid="{00000000-0005-0000-0000-0000A2570000}"/>
    <cellStyle name="Normal 2 15 2 3 4 2 2 2 2" xfId="44587" xr:uid="{00000000-0005-0000-0000-0000A3570000}"/>
    <cellStyle name="Normal 2 15 2 3 4 2 2 3" xfId="14504" xr:uid="{00000000-0005-0000-0000-0000A4570000}"/>
    <cellStyle name="Normal 2 15 2 3 4 2 2 3 2" xfId="37147" xr:uid="{00000000-0005-0000-0000-0000A5570000}"/>
    <cellStyle name="Normal 2 15 2 3 4 2 2 4" xfId="29706" xr:uid="{00000000-0005-0000-0000-0000A6570000}"/>
    <cellStyle name="Normal 2 15 2 3 4 2 3" xfId="18226" xr:uid="{00000000-0005-0000-0000-0000A7570000}"/>
    <cellStyle name="Normal 2 15 2 3 4 2 3 2" xfId="40869" xr:uid="{00000000-0005-0000-0000-0000A8570000}"/>
    <cellStyle name="Normal 2 15 2 3 4 2 4" xfId="10786" xr:uid="{00000000-0005-0000-0000-0000A9570000}"/>
    <cellStyle name="Normal 2 15 2 3 4 2 4 2" xfId="33429" xr:uid="{00000000-0005-0000-0000-0000AA570000}"/>
    <cellStyle name="Normal 2 15 2 3 4 2 5" xfId="25988" xr:uid="{00000000-0005-0000-0000-0000AB570000}"/>
    <cellStyle name="Normal 2 15 2 3 4 3" xfId="5213" xr:uid="{00000000-0005-0000-0000-0000AC570000}"/>
    <cellStyle name="Normal 2 15 2 3 4 3 2" xfId="20097" xr:uid="{00000000-0005-0000-0000-0000AD570000}"/>
    <cellStyle name="Normal 2 15 2 3 4 3 2 2" xfId="42740" xr:uid="{00000000-0005-0000-0000-0000AE570000}"/>
    <cellStyle name="Normal 2 15 2 3 4 3 3" xfId="12657" xr:uid="{00000000-0005-0000-0000-0000AF570000}"/>
    <cellStyle name="Normal 2 15 2 3 4 3 3 2" xfId="35300" xr:uid="{00000000-0005-0000-0000-0000B0570000}"/>
    <cellStyle name="Normal 2 15 2 3 4 3 4" xfId="27859" xr:uid="{00000000-0005-0000-0000-0000B1570000}"/>
    <cellStyle name="Normal 2 15 2 3 4 4" xfId="16379" xr:uid="{00000000-0005-0000-0000-0000B2570000}"/>
    <cellStyle name="Normal 2 15 2 3 4 4 2" xfId="39022" xr:uid="{00000000-0005-0000-0000-0000B3570000}"/>
    <cellStyle name="Normal 2 15 2 3 4 5" xfId="8939" xr:uid="{00000000-0005-0000-0000-0000B4570000}"/>
    <cellStyle name="Normal 2 15 2 3 4 5 2" xfId="31582" xr:uid="{00000000-0005-0000-0000-0000B5570000}"/>
    <cellStyle name="Normal 2 15 2 3 4 6" xfId="24141" xr:uid="{00000000-0005-0000-0000-0000B6570000}"/>
    <cellStyle name="Normal 2 15 2 3 5" xfId="2414" xr:uid="{00000000-0005-0000-0000-0000B7570000}"/>
    <cellStyle name="Normal 2 15 2 3 5 2" xfId="6135" xr:uid="{00000000-0005-0000-0000-0000B8570000}"/>
    <cellStyle name="Normal 2 15 2 3 5 2 2" xfId="21019" xr:uid="{00000000-0005-0000-0000-0000B9570000}"/>
    <cellStyle name="Normal 2 15 2 3 5 2 2 2" xfId="43662" xr:uid="{00000000-0005-0000-0000-0000BA570000}"/>
    <cellStyle name="Normal 2 15 2 3 5 2 3" xfId="13579" xr:uid="{00000000-0005-0000-0000-0000BB570000}"/>
    <cellStyle name="Normal 2 15 2 3 5 2 3 2" xfId="36222" xr:uid="{00000000-0005-0000-0000-0000BC570000}"/>
    <cellStyle name="Normal 2 15 2 3 5 2 4" xfId="28781" xr:uid="{00000000-0005-0000-0000-0000BD570000}"/>
    <cellStyle name="Normal 2 15 2 3 5 3" xfId="17301" xr:uid="{00000000-0005-0000-0000-0000BE570000}"/>
    <cellStyle name="Normal 2 15 2 3 5 3 2" xfId="39944" xr:uid="{00000000-0005-0000-0000-0000BF570000}"/>
    <cellStyle name="Normal 2 15 2 3 5 4" xfId="9861" xr:uid="{00000000-0005-0000-0000-0000C0570000}"/>
    <cellStyle name="Normal 2 15 2 3 5 4 2" xfId="32504" xr:uid="{00000000-0005-0000-0000-0000C1570000}"/>
    <cellStyle name="Normal 2 15 2 3 5 5" xfId="25063" xr:uid="{00000000-0005-0000-0000-0000C2570000}"/>
    <cellStyle name="Normal 2 15 2 3 6" xfId="4288" xr:uid="{00000000-0005-0000-0000-0000C3570000}"/>
    <cellStyle name="Normal 2 15 2 3 6 2" xfId="19172" xr:uid="{00000000-0005-0000-0000-0000C4570000}"/>
    <cellStyle name="Normal 2 15 2 3 6 2 2" xfId="41815" xr:uid="{00000000-0005-0000-0000-0000C5570000}"/>
    <cellStyle name="Normal 2 15 2 3 6 3" xfId="11732" xr:uid="{00000000-0005-0000-0000-0000C6570000}"/>
    <cellStyle name="Normal 2 15 2 3 6 3 2" xfId="34375" xr:uid="{00000000-0005-0000-0000-0000C7570000}"/>
    <cellStyle name="Normal 2 15 2 3 6 4" xfId="26934" xr:uid="{00000000-0005-0000-0000-0000C8570000}"/>
    <cellStyle name="Normal 2 15 2 3 7" xfId="15454" xr:uid="{00000000-0005-0000-0000-0000C9570000}"/>
    <cellStyle name="Normal 2 15 2 3 7 2" xfId="38097" xr:uid="{00000000-0005-0000-0000-0000CA570000}"/>
    <cellStyle name="Normal 2 15 2 3 8" xfId="8014" xr:uid="{00000000-0005-0000-0000-0000CB570000}"/>
    <cellStyle name="Normal 2 15 2 3 8 2" xfId="30657" xr:uid="{00000000-0005-0000-0000-0000CC570000}"/>
    <cellStyle name="Normal 2 15 2 3 9" xfId="23217" xr:uid="{00000000-0005-0000-0000-0000CD570000}"/>
    <cellStyle name="Normal 2 15 2 4" xfId="664" xr:uid="{00000000-0005-0000-0000-0000CE570000}"/>
    <cellStyle name="Normal 2 15 2 4 2" xfId="1129" xr:uid="{00000000-0005-0000-0000-0000CF570000}"/>
    <cellStyle name="Normal 2 15 2 4 2 2" xfId="2057" xr:uid="{00000000-0005-0000-0000-0000D0570000}"/>
    <cellStyle name="Normal 2 15 2 4 2 2 2" xfId="3907" xr:uid="{00000000-0005-0000-0000-0000D1570000}"/>
    <cellStyle name="Normal 2 15 2 4 2 2 2 2" xfId="7628" xr:uid="{00000000-0005-0000-0000-0000D2570000}"/>
    <cellStyle name="Normal 2 15 2 4 2 2 2 2 2" xfId="22512" xr:uid="{00000000-0005-0000-0000-0000D3570000}"/>
    <cellStyle name="Normal 2 15 2 4 2 2 2 2 2 2" xfId="45155" xr:uid="{00000000-0005-0000-0000-0000D4570000}"/>
    <cellStyle name="Normal 2 15 2 4 2 2 2 2 3" xfId="15072" xr:uid="{00000000-0005-0000-0000-0000D5570000}"/>
    <cellStyle name="Normal 2 15 2 4 2 2 2 2 3 2" xfId="37715" xr:uid="{00000000-0005-0000-0000-0000D6570000}"/>
    <cellStyle name="Normal 2 15 2 4 2 2 2 2 4" xfId="30274" xr:uid="{00000000-0005-0000-0000-0000D7570000}"/>
    <cellStyle name="Normal 2 15 2 4 2 2 2 3" xfId="18794" xr:uid="{00000000-0005-0000-0000-0000D8570000}"/>
    <cellStyle name="Normal 2 15 2 4 2 2 2 3 2" xfId="41437" xr:uid="{00000000-0005-0000-0000-0000D9570000}"/>
    <cellStyle name="Normal 2 15 2 4 2 2 2 4" xfId="11354" xr:uid="{00000000-0005-0000-0000-0000DA570000}"/>
    <cellStyle name="Normal 2 15 2 4 2 2 2 4 2" xfId="33997" xr:uid="{00000000-0005-0000-0000-0000DB570000}"/>
    <cellStyle name="Normal 2 15 2 4 2 2 2 5" xfId="26556" xr:uid="{00000000-0005-0000-0000-0000DC570000}"/>
    <cellStyle name="Normal 2 15 2 4 2 2 3" xfId="5781" xr:uid="{00000000-0005-0000-0000-0000DD570000}"/>
    <cellStyle name="Normal 2 15 2 4 2 2 3 2" xfId="20665" xr:uid="{00000000-0005-0000-0000-0000DE570000}"/>
    <cellStyle name="Normal 2 15 2 4 2 2 3 2 2" xfId="43308" xr:uid="{00000000-0005-0000-0000-0000DF570000}"/>
    <cellStyle name="Normal 2 15 2 4 2 2 3 3" xfId="13225" xr:uid="{00000000-0005-0000-0000-0000E0570000}"/>
    <cellStyle name="Normal 2 15 2 4 2 2 3 3 2" xfId="35868" xr:uid="{00000000-0005-0000-0000-0000E1570000}"/>
    <cellStyle name="Normal 2 15 2 4 2 2 3 4" xfId="28427" xr:uid="{00000000-0005-0000-0000-0000E2570000}"/>
    <cellStyle name="Normal 2 15 2 4 2 2 4" xfId="16947" xr:uid="{00000000-0005-0000-0000-0000E3570000}"/>
    <cellStyle name="Normal 2 15 2 4 2 2 4 2" xfId="39590" xr:uid="{00000000-0005-0000-0000-0000E4570000}"/>
    <cellStyle name="Normal 2 15 2 4 2 2 5" xfId="9507" xr:uid="{00000000-0005-0000-0000-0000E5570000}"/>
    <cellStyle name="Normal 2 15 2 4 2 2 5 2" xfId="32150" xr:uid="{00000000-0005-0000-0000-0000E6570000}"/>
    <cellStyle name="Normal 2 15 2 4 2 2 6" xfId="24709" xr:uid="{00000000-0005-0000-0000-0000E7570000}"/>
    <cellStyle name="Normal 2 15 2 4 2 3" xfId="2982" xr:uid="{00000000-0005-0000-0000-0000E8570000}"/>
    <cellStyle name="Normal 2 15 2 4 2 3 2" xfId="6703" xr:uid="{00000000-0005-0000-0000-0000E9570000}"/>
    <cellStyle name="Normal 2 15 2 4 2 3 2 2" xfId="21587" xr:uid="{00000000-0005-0000-0000-0000EA570000}"/>
    <cellStyle name="Normal 2 15 2 4 2 3 2 2 2" xfId="44230" xr:uid="{00000000-0005-0000-0000-0000EB570000}"/>
    <cellStyle name="Normal 2 15 2 4 2 3 2 3" xfId="14147" xr:uid="{00000000-0005-0000-0000-0000EC570000}"/>
    <cellStyle name="Normal 2 15 2 4 2 3 2 3 2" xfId="36790" xr:uid="{00000000-0005-0000-0000-0000ED570000}"/>
    <cellStyle name="Normal 2 15 2 4 2 3 2 4" xfId="29349" xr:uid="{00000000-0005-0000-0000-0000EE570000}"/>
    <cellStyle name="Normal 2 15 2 4 2 3 3" xfId="17869" xr:uid="{00000000-0005-0000-0000-0000EF570000}"/>
    <cellStyle name="Normal 2 15 2 4 2 3 3 2" xfId="40512" xr:uid="{00000000-0005-0000-0000-0000F0570000}"/>
    <cellStyle name="Normal 2 15 2 4 2 3 4" xfId="10429" xr:uid="{00000000-0005-0000-0000-0000F1570000}"/>
    <cellStyle name="Normal 2 15 2 4 2 3 4 2" xfId="33072" xr:uid="{00000000-0005-0000-0000-0000F2570000}"/>
    <cellStyle name="Normal 2 15 2 4 2 3 5" xfId="25631" xr:uid="{00000000-0005-0000-0000-0000F3570000}"/>
    <cellStyle name="Normal 2 15 2 4 2 4" xfId="4856" xr:uid="{00000000-0005-0000-0000-0000F4570000}"/>
    <cellStyle name="Normal 2 15 2 4 2 4 2" xfId="19740" xr:uid="{00000000-0005-0000-0000-0000F5570000}"/>
    <cellStyle name="Normal 2 15 2 4 2 4 2 2" xfId="42383" xr:uid="{00000000-0005-0000-0000-0000F6570000}"/>
    <cellStyle name="Normal 2 15 2 4 2 4 3" xfId="12300" xr:uid="{00000000-0005-0000-0000-0000F7570000}"/>
    <cellStyle name="Normal 2 15 2 4 2 4 3 2" xfId="34943" xr:uid="{00000000-0005-0000-0000-0000F8570000}"/>
    <cellStyle name="Normal 2 15 2 4 2 4 4" xfId="27502" xr:uid="{00000000-0005-0000-0000-0000F9570000}"/>
    <cellStyle name="Normal 2 15 2 4 2 5" xfId="16022" xr:uid="{00000000-0005-0000-0000-0000FA570000}"/>
    <cellStyle name="Normal 2 15 2 4 2 5 2" xfId="38665" xr:uid="{00000000-0005-0000-0000-0000FB570000}"/>
    <cellStyle name="Normal 2 15 2 4 2 6" xfId="8582" xr:uid="{00000000-0005-0000-0000-0000FC570000}"/>
    <cellStyle name="Normal 2 15 2 4 2 6 2" xfId="31225" xr:uid="{00000000-0005-0000-0000-0000FD570000}"/>
    <cellStyle name="Normal 2 15 2 4 2 7" xfId="23784" xr:uid="{00000000-0005-0000-0000-0000FE570000}"/>
    <cellStyle name="Normal 2 15 2 4 3" xfId="1595" xr:uid="{00000000-0005-0000-0000-0000FF570000}"/>
    <cellStyle name="Normal 2 15 2 4 3 2" xfId="3445" xr:uid="{00000000-0005-0000-0000-000000580000}"/>
    <cellStyle name="Normal 2 15 2 4 3 2 2" xfId="7166" xr:uid="{00000000-0005-0000-0000-000001580000}"/>
    <cellStyle name="Normal 2 15 2 4 3 2 2 2" xfId="22050" xr:uid="{00000000-0005-0000-0000-000002580000}"/>
    <cellStyle name="Normal 2 15 2 4 3 2 2 2 2" xfId="44693" xr:uid="{00000000-0005-0000-0000-000003580000}"/>
    <cellStyle name="Normal 2 15 2 4 3 2 2 3" xfId="14610" xr:uid="{00000000-0005-0000-0000-000004580000}"/>
    <cellStyle name="Normal 2 15 2 4 3 2 2 3 2" xfId="37253" xr:uid="{00000000-0005-0000-0000-000005580000}"/>
    <cellStyle name="Normal 2 15 2 4 3 2 2 4" xfId="29812" xr:uid="{00000000-0005-0000-0000-000006580000}"/>
    <cellStyle name="Normal 2 15 2 4 3 2 3" xfId="18332" xr:uid="{00000000-0005-0000-0000-000007580000}"/>
    <cellStyle name="Normal 2 15 2 4 3 2 3 2" xfId="40975" xr:uid="{00000000-0005-0000-0000-000008580000}"/>
    <cellStyle name="Normal 2 15 2 4 3 2 4" xfId="10892" xr:uid="{00000000-0005-0000-0000-000009580000}"/>
    <cellStyle name="Normal 2 15 2 4 3 2 4 2" xfId="33535" xr:uid="{00000000-0005-0000-0000-00000A580000}"/>
    <cellStyle name="Normal 2 15 2 4 3 2 5" xfId="26094" xr:uid="{00000000-0005-0000-0000-00000B580000}"/>
    <cellStyle name="Normal 2 15 2 4 3 3" xfId="5319" xr:uid="{00000000-0005-0000-0000-00000C580000}"/>
    <cellStyle name="Normal 2 15 2 4 3 3 2" xfId="20203" xr:uid="{00000000-0005-0000-0000-00000D580000}"/>
    <cellStyle name="Normal 2 15 2 4 3 3 2 2" xfId="42846" xr:uid="{00000000-0005-0000-0000-00000E580000}"/>
    <cellStyle name="Normal 2 15 2 4 3 3 3" xfId="12763" xr:uid="{00000000-0005-0000-0000-00000F580000}"/>
    <cellStyle name="Normal 2 15 2 4 3 3 3 2" xfId="35406" xr:uid="{00000000-0005-0000-0000-000010580000}"/>
    <cellStyle name="Normal 2 15 2 4 3 3 4" xfId="27965" xr:uid="{00000000-0005-0000-0000-000011580000}"/>
    <cellStyle name="Normal 2 15 2 4 3 4" xfId="16485" xr:uid="{00000000-0005-0000-0000-000012580000}"/>
    <cellStyle name="Normal 2 15 2 4 3 4 2" xfId="39128" xr:uid="{00000000-0005-0000-0000-000013580000}"/>
    <cellStyle name="Normal 2 15 2 4 3 5" xfId="9045" xr:uid="{00000000-0005-0000-0000-000014580000}"/>
    <cellStyle name="Normal 2 15 2 4 3 5 2" xfId="31688" xr:uid="{00000000-0005-0000-0000-000015580000}"/>
    <cellStyle name="Normal 2 15 2 4 3 6" xfId="24247" xr:uid="{00000000-0005-0000-0000-000016580000}"/>
    <cellStyle name="Normal 2 15 2 4 4" xfId="2520" xr:uid="{00000000-0005-0000-0000-000017580000}"/>
    <cellStyle name="Normal 2 15 2 4 4 2" xfId="6241" xr:uid="{00000000-0005-0000-0000-000018580000}"/>
    <cellStyle name="Normal 2 15 2 4 4 2 2" xfId="21125" xr:uid="{00000000-0005-0000-0000-000019580000}"/>
    <cellStyle name="Normal 2 15 2 4 4 2 2 2" xfId="43768" xr:uid="{00000000-0005-0000-0000-00001A580000}"/>
    <cellStyle name="Normal 2 15 2 4 4 2 3" xfId="13685" xr:uid="{00000000-0005-0000-0000-00001B580000}"/>
    <cellStyle name="Normal 2 15 2 4 4 2 3 2" xfId="36328" xr:uid="{00000000-0005-0000-0000-00001C580000}"/>
    <cellStyle name="Normal 2 15 2 4 4 2 4" xfId="28887" xr:uid="{00000000-0005-0000-0000-00001D580000}"/>
    <cellStyle name="Normal 2 15 2 4 4 3" xfId="17407" xr:uid="{00000000-0005-0000-0000-00001E580000}"/>
    <cellStyle name="Normal 2 15 2 4 4 3 2" xfId="40050" xr:uid="{00000000-0005-0000-0000-00001F580000}"/>
    <cellStyle name="Normal 2 15 2 4 4 4" xfId="9967" xr:uid="{00000000-0005-0000-0000-000020580000}"/>
    <cellStyle name="Normal 2 15 2 4 4 4 2" xfId="32610" xr:uid="{00000000-0005-0000-0000-000021580000}"/>
    <cellStyle name="Normal 2 15 2 4 4 5" xfId="25169" xr:uid="{00000000-0005-0000-0000-000022580000}"/>
    <cellStyle name="Normal 2 15 2 4 5" xfId="4394" xr:uid="{00000000-0005-0000-0000-000023580000}"/>
    <cellStyle name="Normal 2 15 2 4 5 2" xfId="19278" xr:uid="{00000000-0005-0000-0000-000024580000}"/>
    <cellStyle name="Normal 2 15 2 4 5 2 2" xfId="41921" xr:uid="{00000000-0005-0000-0000-000025580000}"/>
    <cellStyle name="Normal 2 15 2 4 5 3" xfId="11838" xr:uid="{00000000-0005-0000-0000-000026580000}"/>
    <cellStyle name="Normal 2 15 2 4 5 3 2" xfId="34481" xr:uid="{00000000-0005-0000-0000-000027580000}"/>
    <cellStyle name="Normal 2 15 2 4 5 4" xfId="27040" xr:uid="{00000000-0005-0000-0000-000028580000}"/>
    <cellStyle name="Normal 2 15 2 4 6" xfId="15560" xr:uid="{00000000-0005-0000-0000-000029580000}"/>
    <cellStyle name="Normal 2 15 2 4 6 2" xfId="38203" xr:uid="{00000000-0005-0000-0000-00002A580000}"/>
    <cellStyle name="Normal 2 15 2 4 7" xfId="8120" xr:uid="{00000000-0005-0000-0000-00002B580000}"/>
    <cellStyle name="Normal 2 15 2 4 7 2" xfId="30763" xr:uid="{00000000-0005-0000-0000-00002C580000}"/>
    <cellStyle name="Normal 2 15 2 4 8" xfId="23322" xr:uid="{00000000-0005-0000-0000-00002D580000}"/>
    <cellStyle name="Normal 2 15 2 5" xfId="918" xr:uid="{00000000-0005-0000-0000-00002E580000}"/>
    <cellStyle name="Normal 2 15 2 5 2" xfId="1846" xr:uid="{00000000-0005-0000-0000-00002F580000}"/>
    <cellStyle name="Normal 2 15 2 5 2 2" xfId="3696" xr:uid="{00000000-0005-0000-0000-000030580000}"/>
    <cellStyle name="Normal 2 15 2 5 2 2 2" xfId="7417" xr:uid="{00000000-0005-0000-0000-000031580000}"/>
    <cellStyle name="Normal 2 15 2 5 2 2 2 2" xfId="22301" xr:uid="{00000000-0005-0000-0000-000032580000}"/>
    <cellStyle name="Normal 2 15 2 5 2 2 2 2 2" xfId="44944" xr:uid="{00000000-0005-0000-0000-000033580000}"/>
    <cellStyle name="Normal 2 15 2 5 2 2 2 3" xfId="14861" xr:uid="{00000000-0005-0000-0000-000034580000}"/>
    <cellStyle name="Normal 2 15 2 5 2 2 2 3 2" xfId="37504" xr:uid="{00000000-0005-0000-0000-000035580000}"/>
    <cellStyle name="Normal 2 15 2 5 2 2 2 4" xfId="30063" xr:uid="{00000000-0005-0000-0000-000036580000}"/>
    <cellStyle name="Normal 2 15 2 5 2 2 3" xfId="18583" xr:uid="{00000000-0005-0000-0000-000037580000}"/>
    <cellStyle name="Normal 2 15 2 5 2 2 3 2" xfId="41226" xr:uid="{00000000-0005-0000-0000-000038580000}"/>
    <cellStyle name="Normal 2 15 2 5 2 2 4" xfId="11143" xr:uid="{00000000-0005-0000-0000-000039580000}"/>
    <cellStyle name="Normal 2 15 2 5 2 2 4 2" xfId="33786" xr:uid="{00000000-0005-0000-0000-00003A580000}"/>
    <cellStyle name="Normal 2 15 2 5 2 2 5" xfId="26345" xr:uid="{00000000-0005-0000-0000-00003B580000}"/>
    <cellStyle name="Normal 2 15 2 5 2 3" xfId="5570" xr:uid="{00000000-0005-0000-0000-00003C580000}"/>
    <cellStyle name="Normal 2 15 2 5 2 3 2" xfId="20454" xr:uid="{00000000-0005-0000-0000-00003D580000}"/>
    <cellStyle name="Normal 2 15 2 5 2 3 2 2" xfId="43097" xr:uid="{00000000-0005-0000-0000-00003E580000}"/>
    <cellStyle name="Normal 2 15 2 5 2 3 3" xfId="13014" xr:uid="{00000000-0005-0000-0000-00003F580000}"/>
    <cellStyle name="Normal 2 15 2 5 2 3 3 2" xfId="35657" xr:uid="{00000000-0005-0000-0000-000040580000}"/>
    <cellStyle name="Normal 2 15 2 5 2 3 4" xfId="28216" xr:uid="{00000000-0005-0000-0000-000041580000}"/>
    <cellStyle name="Normal 2 15 2 5 2 4" xfId="16736" xr:uid="{00000000-0005-0000-0000-000042580000}"/>
    <cellStyle name="Normal 2 15 2 5 2 4 2" xfId="39379" xr:uid="{00000000-0005-0000-0000-000043580000}"/>
    <cellStyle name="Normal 2 15 2 5 2 5" xfId="9296" xr:uid="{00000000-0005-0000-0000-000044580000}"/>
    <cellStyle name="Normal 2 15 2 5 2 5 2" xfId="31939" xr:uid="{00000000-0005-0000-0000-000045580000}"/>
    <cellStyle name="Normal 2 15 2 5 2 6" xfId="24498" xr:uid="{00000000-0005-0000-0000-000046580000}"/>
    <cellStyle name="Normal 2 15 2 5 3" xfId="2771" xr:uid="{00000000-0005-0000-0000-000047580000}"/>
    <cellStyle name="Normal 2 15 2 5 3 2" xfId="6492" xr:uid="{00000000-0005-0000-0000-000048580000}"/>
    <cellStyle name="Normal 2 15 2 5 3 2 2" xfId="21376" xr:uid="{00000000-0005-0000-0000-000049580000}"/>
    <cellStyle name="Normal 2 15 2 5 3 2 2 2" xfId="44019" xr:uid="{00000000-0005-0000-0000-00004A580000}"/>
    <cellStyle name="Normal 2 15 2 5 3 2 3" xfId="13936" xr:uid="{00000000-0005-0000-0000-00004B580000}"/>
    <cellStyle name="Normal 2 15 2 5 3 2 3 2" xfId="36579" xr:uid="{00000000-0005-0000-0000-00004C580000}"/>
    <cellStyle name="Normal 2 15 2 5 3 2 4" xfId="29138" xr:uid="{00000000-0005-0000-0000-00004D580000}"/>
    <cellStyle name="Normal 2 15 2 5 3 3" xfId="17658" xr:uid="{00000000-0005-0000-0000-00004E580000}"/>
    <cellStyle name="Normal 2 15 2 5 3 3 2" xfId="40301" xr:uid="{00000000-0005-0000-0000-00004F580000}"/>
    <cellStyle name="Normal 2 15 2 5 3 4" xfId="10218" xr:uid="{00000000-0005-0000-0000-000050580000}"/>
    <cellStyle name="Normal 2 15 2 5 3 4 2" xfId="32861" xr:uid="{00000000-0005-0000-0000-000051580000}"/>
    <cellStyle name="Normal 2 15 2 5 3 5" xfId="25420" xr:uid="{00000000-0005-0000-0000-000052580000}"/>
    <cellStyle name="Normal 2 15 2 5 4" xfId="4645" xr:uid="{00000000-0005-0000-0000-000053580000}"/>
    <cellStyle name="Normal 2 15 2 5 4 2" xfId="19529" xr:uid="{00000000-0005-0000-0000-000054580000}"/>
    <cellStyle name="Normal 2 15 2 5 4 2 2" xfId="42172" xr:uid="{00000000-0005-0000-0000-000055580000}"/>
    <cellStyle name="Normal 2 15 2 5 4 3" xfId="12089" xr:uid="{00000000-0005-0000-0000-000056580000}"/>
    <cellStyle name="Normal 2 15 2 5 4 3 2" xfId="34732" xr:uid="{00000000-0005-0000-0000-000057580000}"/>
    <cellStyle name="Normal 2 15 2 5 4 4" xfId="27291" xr:uid="{00000000-0005-0000-0000-000058580000}"/>
    <cellStyle name="Normal 2 15 2 5 5" xfId="15811" xr:uid="{00000000-0005-0000-0000-000059580000}"/>
    <cellStyle name="Normal 2 15 2 5 5 2" xfId="38454" xr:uid="{00000000-0005-0000-0000-00005A580000}"/>
    <cellStyle name="Normal 2 15 2 5 6" xfId="8371" xr:uid="{00000000-0005-0000-0000-00005B580000}"/>
    <cellStyle name="Normal 2 15 2 5 6 2" xfId="31014" xr:uid="{00000000-0005-0000-0000-00005C580000}"/>
    <cellStyle name="Normal 2 15 2 5 7" xfId="23573" xr:uid="{00000000-0005-0000-0000-00005D580000}"/>
    <cellStyle name="Normal 2 15 2 6" xfId="1384" xr:uid="{00000000-0005-0000-0000-00005E580000}"/>
    <cellStyle name="Normal 2 15 2 6 2" xfId="3234" xr:uid="{00000000-0005-0000-0000-00005F580000}"/>
    <cellStyle name="Normal 2 15 2 6 2 2" xfId="6955" xr:uid="{00000000-0005-0000-0000-000060580000}"/>
    <cellStyle name="Normal 2 15 2 6 2 2 2" xfId="21839" xr:uid="{00000000-0005-0000-0000-000061580000}"/>
    <cellStyle name="Normal 2 15 2 6 2 2 2 2" xfId="44482" xr:uid="{00000000-0005-0000-0000-000062580000}"/>
    <cellStyle name="Normal 2 15 2 6 2 2 3" xfId="14399" xr:uid="{00000000-0005-0000-0000-000063580000}"/>
    <cellStyle name="Normal 2 15 2 6 2 2 3 2" xfId="37042" xr:uid="{00000000-0005-0000-0000-000064580000}"/>
    <cellStyle name="Normal 2 15 2 6 2 2 4" xfId="29601" xr:uid="{00000000-0005-0000-0000-000065580000}"/>
    <cellStyle name="Normal 2 15 2 6 2 3" xfId="18121" xr:uid="{00000000-0005-0000-0000-000066580000}"/>
    <cellStyle name="Normal 2 15 2 6 2 3 2" xfId="40764" xr:uid="{00000000-0005-0000-0000-000067580000}"/>
    <cellStyle name="Normal 2 15 2 6 2 4" xfId="10681" xr:uid="{00000000-0005-0000-0000-000068580000}"/>
    <cellStyle name="Normal 2 15 2 6 2 4 2" xfId="33324" xr:uid="{00000000-0005-0000-0000-000069580000}"/>
    <cellStyle name="Normal 2 15 2 6 2 5" xfId="25883" xr:uid="{00000000-0005-0000-0000-00006A580000}"/>
    <cellStyle name="Normal 2 15 2 6 3" xfId="5108" xr:uid="{00000000-0005-0000-0000-00006B580000}"/>
    <cellStyle name="Normal 2 15 2 6 3 2" xfId="19992" xr:uid="{00000000-0005-0000-0000-00006C580000}"/>
    <cellStyle name="Normal 2 15 2 6 3 2 2" xfId="42635" xr:uid="{00000000-0005-0000-0000-00006D580000}"/>
    <cellStyle name="Normal 2 15 2 6 3 3" xfId="12552" xr:uid="{00000000-0005-0000-0000-00006E580000}"/>
    <cellStyle name="Normal 2 15 2 6 3 3 2" xfId="35195" xr:uid="{00000000-0005-0000-0000-00006F580000}"/>
    <cellStyle name="Normal 2 15 2 6 3 4" xfId="27754" xr:uid="{00000000-0005-0000-0000-000070580000}"/>
    <cellStyle name="Normal 2 15 2 6 4" xfId="16274" xr:uid="{00000000-0005-0000-0000-000071580000}"/>
    <cellStyle name="Normal 2 15 2 6 4 2" xfId="38917" xr:uid="{00000000-0005-0000-0000-000072580000}"/>
    <cellStyle name="Normal 2 15 2 6 5" xfId="8834" xr:uid="{00000000-0005-0000-0000-000073580000}"/>
    <cellStyle name="Normal 2 15 2 6 5 2" xfId="31477" xr:uid="{00000000-0005-0000-0000-000074580000}"/>
    <cellStyle name="Normal 2 15 2 6 6" xfId="24036" xr:uid="{00000000-0005-0000-0000-000075580000}"/>
    <cellStyle name="Normal 2 15 2 7" xfId="2309" xr:uid="{00000000-0005-0000-0000-000076580000}"/>
    <cellStyle name="Normal 2 15 2 7 2" xfId="6030" xr:uid="{00000000-0005-0000-0000-000077580000}"/>
    <cellStyle name="Normal 2 15 2 7 2 2" xfId="20914" xr:uid="{00000000-0005-0000-0000-000078580000}"/>
    <cellStyle name="Normal 2 15 2 7 2 2 2" xfId="43557" xr:uid="{00000000-0005-0000-0000-000079580000}"/>
    <cellStyle name="Normal 2 15 2 7 2 3" xfId="13474" xr:uid="{00000000-0005-0000-0000-00007A580000}"/>
    <cellStyle name="Normal 2 15 2 7 2 3 2" xfId="36117" xr:uid="{00000000-0005-0000-0000-00007B580000}"/>
    <cellStyle name="Normal 2 15 2 7 2 4" xfId="28676" xr:uid="{00000000-0005-0000-0000-00007C580000}"/>
    <cellStyle name="Normal 2 15 2 7 3" xfId="17196" xr:uid="{00000000-0005-0000-0000-00007D580000}"/>
    <cellStyle name="Normal 2 15 2 7 3 2" xfId="39839" xr:uid="{00000000-0005-0000-0000-00007E580000}"/>
    <cellStyle name="Normal 2 15 2 7 4" xfId="9756" xr:uid="{00000000-0005-0000-0000-00007F580000}"/>
    <cellStyle name="Normal 2 15 2 7 4 2" xfId="32399" xr:uid="{00000000-0005-0000-0000-000080580000}"/>
    <cellStyle name="Normal 2 15 2 7 5" xfId="24958" xr:uid="{00000000-0005-0000-0000-000081580000}"/>
    <cellStyle name="Normal 2 15 2 8" xfId="4183" xr:uid="{00000000-0005-0000-0000-000082580000}"/>
    <cellStyle name="Normal 2 15 2 8 2" xfId="19067" xr:uid="{00000000-0005-0000-0000-000083580000}"/>
    <cellStyle name="Normal 2 15 2 8 2 2" xfId="41710" xr:uid="{00000000-0005-0000-0000-000084580000}"/>
    <cellStyle name="Normal 2 15 2 8 3" xfId="11627" xr:uid="{00000000-0005-0000-0000-000085580000}"/>
    <cellStyle name="Normal 2 15 2 8 3 2" xfId="34270" xr:uid="{00000000-0005-0000-0000-000086580000}"/>
    <cellStyle name="Normal 2 15 2 8 4" xfId="26829" xr:uid="{00000000-0005-0000-0000-000087580000}"/>
    <cellStyle name="Normal 2 15 2 9" xfId="15349" xr:uid="{00000000-0005-0000-0000-000088580000}"/>
    <cellStyle name="Normal 2 15 2 9 2" xfId="37992" xr:uid="{00000000-0005-0000-0000-000089580000}"/>
    <cellStyle name="Normal 2 15 3" xfId="483" xr:uid="{00000000-0005-0000-0000-00008A580000}"/>
    <cellStyle name="Normal 2 15 3 10" xfId="23144" xr:uid="{00000000-0005-0000-0000-00008B580000}"/>
    <cellStyle name="Normal 2 15 3 2" xfId="589" xr:uid="{00000000-0005-0000-0000-00008C580000}"/>
    <cellStyle name="Normal 2 15 3 2 2" xfId="801" xr:uid="{00000000-0005-0000-0000-00008D580000}"/>
    <cellStyle name="Normal 2 15 3 2 2 2" xfId="1266" xr:uid="{00000000-0005-0000-0000-00008E580000}"/>
    <cellStyle name="Normal 2 15 3 2 2 2 2" xfId="2194" xr:uid="{00000000-0005-0000-0000-00008F580000}"/>
    <cellStyle name="Normal 2 15 3 2 2 2 2 2" xfId="4044" xr:uid="{00000000-0005-0000-0000-000090580000}"/>
    <cellStyle name="Normal 2 15 3 2 2 2 2 2 2" xfId="7765" xr:uid="{00000000-0005-0000-0000-000091580000}"/>
    <cellStyle name="Normal 2 15 3 2 2 2 2 2 2 2" xfId="22649" xr:uid="{00000000-0005-0000-0000-000092580000}"/>
    <cellStyle name="Normal 2 15 3 2 2 2 2 2 2 2 2" xfId="45292" xr:uid="{00000000-0005-0000-0000-000093580000}"/>
    <cellStyle name="Normal 2 15 3 2 2 2 2 2 2 3" xfId="15209" xr:uid="{00000000-0005-0000-0000-000094580000}"/>
    <cellStyle name="Normal 2 15 3 2 2 2 2 2 2 3 2" xfId="37852" xr:uid="{00000000-0005-0000-0000-000095580000}"/>
    <cellStyle name="Normal 2 15 3 2 2 2 2 2 2 4" xfId="30411" xr:uid="{00000000-0005-0000-0000-000096580000}"/>
    <cellStyle name="Normal 2 15 3 2 2 2 2 2 3" xfId="18931" xr:uid="{00000000-0005-0000-0000-000097580000}"/>
    <cellStyle name="Normal 2 15 3 2 2 2 2 2 3 2" xfId="41574" xr:uid="{00000000-0005-0000-0000-000098580000}"/>
    <cellStyle name="Normal 2 15 3 2 2 2 2 2 4" xfId="11491" xr:uid="{00000000-0005-0000-0000-000099580000}"/>
    <cellStyle name="Normal 2 15 3 2 2 2 2 2 4 2" xfId="34134" xr:uid="{00000000-0005-0000-0000-00009A580000}"/>
    <cellStyle name="Normal 2 15 3 2 2 2 2 2 5" xfId="26693" xr:uid="{00000000-0005-0000-0000-00009B580000}"/>
    <cellStyle name="Normal 2 15 3 2 2 2 2 3" xfId="5918" xr:uid="{00000000-0005-0000-0000-00009C580000}"/>
    <cellStyle name="Normal 2 15 3 2 2 2 2 3 2" xfId="20802" xr:uid="{00000000-0005-0000-0000-00009D580000}"/>
    <cellStyle name="Normal 2 15 3 2 2 2 2 3 2 2" xfId="43445" xr:uid="{00000000-0005-0000-0000-00009E580000}"/>
    <cellStyle name="Normal 2 15 3 2 2 2 2 3 3" xfId="13362" xr:uid="{00000000-0005-0000-0000-00009F580000}"/>
    <cellStyle name="Normal 2 15 3 2 2 2 2 3 3 2" xfId="36005" xr:uid="{00000000-0005-0000-0000-0000A0580000}"/>
    <cellStyle name="Normal 2 15 3 2 2 2 2 3 4" xfId="28564" xr:uid="{00000000-0005-0000-0000-0000A1580000}"/>
    <cellStyle name="Normal 2 15 3 2 2 2 2 4" xfId="17084" xr:uid="{00000000-0005-0000-0000-0000A2580000}"/>
    <cellStyle name="Normal 2 15 3 2 2 2 2 4 2" xfId="39727" xr:uid="{00000000-0005-0000-0000-0000A3580000}"/>
    <cellStyle name="Normal 2 15 3 2 2 2 2 5" xfId="9644" xr:uid="{00000000-0005-0000-0000-0000A4580000}"/>
    <cellStyle name="Normal 2 15 3 2 2 2 2 5 2" xfId="32287" xr:uid="{00000000-0005-0000-0000-0000A5580000}"/>
    <cellStyle name="Normal 2 15 3 2 2 2 2 6" xfId="24846" xr:uid="{00000000-0005-0000-0000-0000A6580000}"/>
    <cellStyle name="Normal 2 15 3 2 2 2 3" xfId="3119" xr:uid="{00000000-0005-0000-0000-0000A7580000}"/>
    <cellStyle name="Normal 2 15 3 2 2 2 3 2" xfId="6840" xr:uid="{00000000-0005-0000-0000-0000A8580000}"/>
    <cellStyle name="Normal 2 15 3 2 2 2 3 2 2" xfId="21724" xr:uid="{00000000-0005-0000-0000-0000A9580000}"/>
    <cellStyle name="Normal 2 15 3 2 2 2 3 2 2 2" xfId="44367" xr:uid="{00000000-0005-0000-0000-0000AA580000}"/>
    <cellStyle name="Normal 2 15 3 2 2 2 3 2 3" xfId="14284" xr:uid="{00000000-0005-0000-0000-0000AB580000}"/>
    <cellStyle name="Normal 2 15 3 2 2 2 3 2 3 2" xfId="36927" xr:uid="{00000000-0005-0000-0000-0000AC580000}"/>
    <cellStyle name="Normal 2 15 3 2 2 2 3 2 4" xfId="29486" xr:uid="{00000000-0005-0000-0000-0000AD580000}"/>
    <cellStyle name="Normal 2 15 3 2 2 2 3 3" xfId="18006" xr:uid="{00000000-0005-0000-0000-0000AE580000}"/>
    <cellStyle name="Normal 2 15 3 2 2 2 3 3 2" xfId="40649" xr:uid="{00000000-0005-0000-0000-0000AF580000}"/>
    <cellStyle name="Normal 2 15 3 2 2 2 3 4" xfId="10566" xr:uid="{00000000-0005-0000-0000-0000B0580000}"/>
    <cellStyle name="Normal 2 15 3 2 2 2 3 4 2" xfId="33209" xr:uid="{00000000-0005-0000-0000-0000B1580000}"/>
    <cellStyle name="Normal 2 15 3 2 2 2 3 5" xfId="25768" xr:uid="{00000000-0005-0000-0000-0000B2580000}"/>
    <cellStyle name="Normal 2 15 3 2 2 2 4" xfId="4993" xr:uid="{00000000-0005-0000-0000-0000B3580000}"/>
    <cellStyle name="Normal 2 15 3 2 2 2 4 2" xfId="19877" xr:uid="{00000000-0005-0000-0000-0000B4580000}"/>
    <cellStyle name="Normal 2 15 3 2 2 2 4 2 2" xfId="42520" xr:uid="{00000000-0005-0000-0000-0000B5580000}"/>
    <cellStyle name="Normal 2 15 3 2 2 2 4 3" xfId="12437" xr:uid="{00000000-0005-0000-0000-0000B6580000}"/>
    <cellStyle name="Normal 2 15 3 2 2 2 4 3 2" xfId="35080" xr:uid="{00000000-0005-0000-0000-0000B7580000}"/>
    <cellStyle name="Normal 2 15 3 2 2 2 4 4" xfId="27639" xr:uid="{00000000-0005-0000-0000-0000B8580000}"/>
    <cellStyle name="Normal 2 15 3 2 2 2 5" xfId="16159" xr:uid="{00000000-0005-0000-0000-0000B9580000}"/>
    <cellStyle name="Normal 2 15 3 2 2 2 5 2" xfId="38802" xr:uid="{00000000-0005-0000-0000-0000BA580000}"/>
    <cellStyle name="Normal 2 15 3 2 2 2 6" xfId="8719" xr:uid="{00000000-0005-0000-0000-0000BB580000}"/>
    <cellStyle name="Normal 2 15 3 2 2 2 6 2" xfId="31362" xr:uid="{00000000-0005-0000-0000-0000BC580000}"/>
    <cellStyle name="Normal 2 15 3 2 2 2 7" xfId="23921" xr:uid="{00000000-0005-0000-0000-0000BD580000}"/>
    <cellStyle name="Normal 2 15 3 2 2 3" xfId="1732" xr:uid="{00000000-0005-0000-0000-0000BE580000}"/>
    <cellStyle name="Normal 2 15 3 2 2 3 2" xfId="3582" xr:uid="{00000000-0005-0000-0000-0000BF580000}"/>
    <cellStyle name="Normal 2 15 3 2 2 3 2 2" xfId="7303" xr:uid="{00000000-0005-0000-0000-0000C0580000}"/>
    <cellStyle name="Normal 2 15 3 2 2 3 2 2 2" xfId="22187" xr:uid="{00000000-0005-0000-0000-0000C1580000}"/>
    <cellStyle name="Normal 2 15 3 2 2 3 2 2 2 2" xfId="44830" xr:uid="{00000000-0005-0000-0000-0000C2580000}"/>
    <cellStyle name="Normal 2 15 3 2 2 3 2 2 3" xfId="14747" xr:uid="{00000000-0005-0000-0000-0000C3580000}"/>
    <cellStyle name="Normal 2 15 3 2 2 3 2 2 3 2" xfId="37390" xr:uid="{00000000-0005-0000-0000-0000C4580000}"/>
    <cellStyle name="Normal 2 15 3 2 2 3 2 2 4" xfId="29949" xr:uid="{00000000-0005-0000-0000-0000C5580000}"/>
    <cellStyle name="Normal 2 15 3 2 2 3 2 3" xfId="18469" xr:uid="{00000000-0005-0000-0000-0000C6580000}"/>
    <cellStyle name="Normal 2 15 3 2 2 3 2 3 2" xfId="41112" xr:uid="{00000000-0005-0000-0000-0000C7580000}"/>
    <cellStyle name="Normal 2 15 3 2 2 3 2 4" xfId="11029" xr:uid="{00000000-0005-0000-0000-0000C8580000}"/>
    <cellStyle name="Normal 2 15 3 2 2 3 2 4 2" xfId="33672" xr:uid="{00000000-0005-0000-0000-0000C9580000}"/>
    <cellStyle name="Normal 2 15 3 2 2 3 2 5" xfId="26231" xr:uid="{00000000-0005-0000-0000-0000CA580000}"/>
    <cellStyle name="Normal 2 15 3 2 2 3 3" xfId="5456" xr:uid="{00000000-0005-0000-0000-0000CB580000}"/>
    <cellStyle name="Normal 2 15 3 2 2 3 3 2" xfId="20340" xr:uid="{00000000-0005-0000-0000-0000CC580000}"/>
    <cellStyle name="Normal 2 15 3 2 2 3 3 2 2" xfId="42983" xr:uid="{00000000-0005-0000-0000-0000CD580000}"/>
    <cellStyle name="Normal 2 15 3 2 2 3 3 3" xfId="12900" xr:uid="{00000000-0005-0000-0000-0000CE580000}"/>
    <cellStyle name="Normal 2 15 3 2 2 3 3 3 2" xfId="35543" xr:uid="{00000000-0005-0000-0000-0000CF580000}"/>
    <cellStyle name="Normal 2 15 3 2 2 3 3 4" xfId="28102" xr:uid="{00000000-0005-0000-0000-0000D0580000}"/>
    <cellStyle name="Normal 2 15 3 2 2 3 4" xfId="16622" xr:uid="{00000000-0005-0000-0000-0000D1580000}"/>
    <cellStyle name="Normal 2 15 3 2 2 3 4 2" xfId="39265" xr:uid="{00000000-0005-0000-0000-0000D2580000}"/>
    <cellStyle name="Normal 2 15 3 2 2 3 5" xfId="9182" xr:uid="{00000000-0005-0000-0000-0000D3580000}"/>
    <cellStyle name="Normal 2 15 3 2 2 3 5 2" xfId="31825" xr:uid="{00000000-0005-0000-0000-0000D4580000}"/>
    <cellStyle name="Normal 2 15 3 2 2 3 6" xfId="24384" xr:uid="{00000000-0005-0000-0000-0000D5580000}"/>
    <cellStyle name="Normal 2 15 3 2 2 4" xfId="2657" xr:uid="{00000000-0005-0000-0000-0000D6580000}"/>
    <cellStyle name="Normal 2 15 3 2 2 4 2" xfId="6378" xr:uid="{00000000-0005-0000-0000-0000D7580000}"/>
    <cellStyle name="Normal 2 15 3 2 2 4 2 2" xfId="21262" xr:uid="{00000000-0005-0000-0000-0000D8580000}"/>
    <cellStyle name="Normal 2 15 3 2 2 4 2 2 2" xfId="43905" xr:uid="{00000000-0005-0000-0000-0000D9580000}"/>
    <cellStyle name="Normal 2 15 3 2 2 4 2 3" xfId="13822" xr:uid="{00000000-0005-0000-0000-0000DA580000}"/>
    <cellStyle name="Normal 2 15 3 2 2 4 2 3 2" xfId="36465" xr:uid="{00000000-0005-0000-0000-0000DB580000}"/>
    <cellStyle name="Normal 2 15 3 2 2 4 2 4" xfId="29024" xr:uid="{00000000-0005-0000-0000-0000DC580000}"/>
    <cellStyle name="Normal 2 15 3 2 2 4 3" xfId="17544" xr:uid="{00000000-0005-0000-0000-0000DD580000}"/>
    <cellStyle name="Normal 2 15 3 2 2 4 3 2" xfId="40187" xr:uid="{00000000-0005-0000-0000-0000DE580000}"/>
    <cellStyle name="Normal 2 15 3 2 2 4 4" xfId="10104" xr:uid="{00000000-0005-0000-0000-0000DF580000}"/>
    <cellStyle name="Normal 2 15 3 2 2 4 4 2" xfId="32747" xr:uid="{00000000-0005-0000-0000-0000E0580000}"/>
    <cellStyle name="Normal 2 15 3 2 2 4 5" xfId="25306" xr:uid="{00000000-0005-0000-0000-0000E1580000}"/>
    <cellStyle name="Normal 2 15 3 2 2 5" xfId="4531" xr:uid="{00000000-0005-0000-0000-0000E2580000}"/>
    <cellStyle name="Normal 2 15 3 2 2 5 2" xfId="19415" xr:uid="{00000000-0005-0000-0000-0000E3580000}"/>
    <cellStyle name="Normal 2 15 3 2 2 5 2 2" xfId="42058" xr:uid="{00000000-0005-0000-0000-0000E4580000}"/>
    <cellStyle name="Normal 2 15 3 2 2 5 3" xfId="11975" xr:uid="{00000000-0005-0000-0000-0000E5580000}"/>
    <cellStyle name="Normal 2 15 3 2 2 5 3 2" xfId="34618" xr:uid="{00000000-0005-0000-0000-0000E6580000}"/>
    <cellStyle name="Normal 2 15 3 2 2 5 4" xfId="27177" xr:uid="{00000000-0005-0000-0000-0000E7580000}"/>
    <cellStyle name="Normal 2 15 3 2 2 6" xfId="15697" xr:uid="{00000000-0005-0000-0000-0000E8580000}"/>
    <cellStyle name="Normal 2 15 3 2 2 6 2" xfId="38340" xr:uid="{00000000-0005-0000-0000-0000E9580000}"/>
    <cellStyle name="Normal 2 15 3 2 2 7" xfId="8257" xr:uid="{00000000-0005-0000-0000-0000EA580000}"/>
    <cellStyle name="Normal 2 15 3 2 2 7 2" xfId="30900" xr:uid="{00000000-0005-0000-0000-0000EB580000}"/>
    <cellStyle name="Normal 2 15 3 2 2 8" xfId="23459" xr:uid="{00000000-0005-0000-0000-0000EC580000}"/>
    <cellStyle name="Normal 2 15 3 2 3" xfId="1055" xr:uid="{00000000-0005-0000-0000-0000ED580000}"/>
    <cellStyle name="Normal 2 15 3 2 3 2" xfId="1983" xr:uid="{00000000-0005-0000-0000-0000EE580000}"/>
    <cellStyle name="Normal 2 15 3 2 3 2 2" xfId="3833" xr:uid="{00000000-0005-0000-0000-0000EF580000}"/>
    <cellStyle name="Normal 2 15 3 2 3 2 2 2" xfId="7554" xr:uid="{00000000-0005-0000-0000-0000F0580000}"/>
    <cellStyle name="Normal 2 15 3 2 3 2 2 2 2" xfId="22438" xr:uid="{00000000-0005-0000-0000-0000F1580000}"/>
    <cellStyle name="Normal 2 15 3 2 3 2 2 2 2 2" xfId="45081" xr:uid="{00000000-0005-0000-0000-0000F2580000}"/>
    <cellStyle name="Normal 2 15 3 2 3 2 2 2 3" xfId="14998" xr:uid="{00000000-0005-0000-0000-0000F3580000}"/>
    <cellStyle name="Normal 2 15 3 2 3 2 2 2 3 2" xfId="37641" xr:uid="{00000000-0005-0000-0000-0000F4580000}"/>
    <cellStyle name="Normal 2 15 3 2 3 2 2 2 4" xfId="30200" xr:uid="{00000000-0005-0000-0000-0000F5580000}"/>
    <cellStyle name="Normal 2 15 3 2 3 2 2 3" xfId="18720" xr:uid="{00000000-0005-0000-0000-0000F6580000}"/>
    <cellStyle name="Normal 2 15 3 2 3 2 2 3 2" xfId="41363" xr:uid="{00000000-0005-0000-0000-0000F7580000}"/>
    <cellStyle name="Normal 2 15 3 2 3 2 2 4" xfId="11280" xr:uid="{00000000-0005-0000-0000-0000F8580000}"/>
    <cellStyle name="Normal 2 15 3 2 3 2 2 4 2" xfId="33923" xr:uid="{00000000-0005-0000-0000-0000F9580000}"/>
    <cellStyle name="Normal 2 15 3 2 3 2 2 5" xfId="26482" xr:uid="{00000000-0005-0000-0000-0000FA580000}"/>
    <cellStyle name="Normal 2 15 3 2 3 2 3" xfId="5707" xr:uid="{00000000-0005-0000-0000-0000FB580000}"/>
    <cellStyle name="Normal 2 15 3 2 3 2 3 2" xfId="20591" xr:uid="{00000000-0005-0000-0000-0000FC580000}"/>
    <cellStyle name="Normal 2 15 3 2 3 2 3 2 2" xfId="43234" xr:uid="{00000000-0005-0000-0000-0000FD580000}"/>
    <cellStyle name="Normal 2 15 3 2 3 2 3 3" xfId="13151" xr:uid="{00000000-0005-0000-0000-0000FE580000}"/>
    <cellStyle name="Normal 2 15 3 2 3 2 3 3 2" xfId="35794" xr:uid="{00000000-0005-0000-0000-0000FF580000}"/>
    <cellStyle name="Normal 2 15 3 2 3 2 3 4" xfId="28353" xr:uid="{00000000-0005-0000-0000-000000590000}"/>
    <cellStyle name="Normal 2 15 3 2 3 2 4" xfId="16873" xr:uid="{00000000-0005-0000-0000-000001590000}"/>
    <cellStyle name="Normal 2 15 3 2 3 2 4 2" xfId="39516" xr:uid="{00000000-0005-0000-0000-000002590000}"/>
    <cellStyle name="Normal 2 15 3 2 3 2 5" xfId="9433" xr:uid="{00000000-0005-0000-0000-000003590000}"/>
    <cellStyle name="Normal 2 15 3 2 3 2 5 2" xfId="32076" xr:uid="{00000000-0005-0000-0000-000004590000}"/>
    <cellStyle name="Normal 2 15 3 2 3 2 6" xfId="24635" xr:uid="{00000000-0005-0000-0000-000005590000}"/>
    <cellStyle name="Normal 2 15 3 2 3 3" xfId="2908" xr:uid="{00000000-0005-0000-0000-000006590000}"/>
    <cellStyle name="Normal 2 15 3 2 3 3 2" xfId="6629" xr:uid="{00000000-0005-0000-0000-000007590000}"/>
    <cellStyle name="Normal 2 15 3 2 3 3 2 2" xfId="21513" xr:uid="{00000000-0005-0000-0000-000008590000}"/>
    <cellStyle name="Normal 2 15 3 2 3 3 2 2 2" xfId="44156" xr:uid="{00000000-0005-0000-0000-000009590000}"/>
    <cellStyle name="Normal 2 15 3 2 3 3 2 3" xfId="14073" xr:uid="{00000000-0005-0000-0000-00000A590000}"/>
    <cellStyle name="Normal 2 15 3 2 3 3 2 3 2" xfId="36716" xr:uid="{00000000-0005-0000-0000-00000B590000}"/>
    <cellStyle name="Normal 2 15 3 2 3 3 2 4" xfId="29275" xr:uid="{00000000-0005-0000-0000-00000C590000}"/>
    <cellStyle name="Normal 2 15 3 2 3 3 3" xfId="17795" xr:uid="{00000000-0005-0000-0000-00000D590000}"/>
    <cellStyle name="Normal 2 15 3 2 3 3 3 2" xfId="40438" xr:uid="{00000000-0005-0000-0000-00000E590000}"/>
    <cellStyle name="Normal 2 15 3 2 3 3 4" xfId="10355" xr:uid="{00000000-0005-0000-0000-00000F590000}"/>
    <cellStyle name="Normal 2 15 3 2 3 3 4 2" xfId="32998" xr:uid="{00000000-0005-0000-0000-000010590000}"/>
    <cellStyle name="Normal 2 15 3 2 3 3 5" xfId="25557" xr:uid="{00000000-0005-0000-0000-000011590000}"/>
    <cellStyle name="Normal 2 15 3 2 3 4" xfId="4782" xr:uid="{00000000-0005-0000-0000-000012590000}"/>
    <cellStyle name="Normal 2 15 3 2 3 4 2" xfId="19666" xr:uid="{00000000-0005-0000-0000-000013590000}"/>
    <cellStyle name="Normal 2 15 3 2 3 4 2 2" xfId="42309" xr:uid="{00000000-0005-0000-0000-000014590000}"/>
    <cellStyle name="Normal 2 15 3 2 3 4 3" xfId="12226" xr:uid="{00000000-0005-0000-0000-000015590000}"/>
    <cellStyle name="Normal 2 15 3 2 3 4 3 2" xfId="34869" xr:uid="{00000000-0005-0000-0000-000016590000}"/>
    <cellStyle name="Normal 2 15 3 2 3 4 4" xfId="27428" xr:uid="{00000000-0005-0000-0000-000017590000}"/>
    <cellStyle name="Normal 2 15 3 2 3 5" xfId="15948" xr:uid="{00000000-0005-0000-0000-000018590000}"/>
    <cellStyle name="Normal 2 15 3 2 3 5 2" xfId="38591" xr:uid="{00000000-0005-0000-0000-000019590000}"/>
    <cellStyle name="Normal 2 15 3 2 3 6" xfId="8508" xr:uid="{00000000-0005-0000-0000-00001A590000}"/>
    <cellStyle name="Normal 2 15 3 2 3 6 2" xfId="31151" xr:uid="{00000000-0005-0000-0000-00001B590000}"/>
    <cellStyle name="Normal 2 15 3 2 3 7" xfId="23710" xr:uid="{00000000-0005-0000-0000-00001C590000}"/>
    <cellStyle name="Normal 2 15 3 2 4" xfId="1521" xr:uid="{00000000-0005-0000-0000-00001D590000}"/>
    <cellStyle name="Normal 2 15 3 2 4 2" xfId="3371" xr:uid="{00000000-0005-0000-0000-00001E590000}"/>
    <cellStyle name="Normal 2 15 3 2 4 2 2" xfId="7092" xr:uid="{00000000-0005-0000-0000-00001F590000}"/>
    <cellStyle name="Normal 2 15 3 2 4 2 2 2" xfId="21976" xr:uid="{00000000-0005-0000-0000-000020590000}"/>
    <cellStyle name="Normal 2 15 3 2 4 2 2 2 2" xfId="44619" xr:uid="{00000000-0005-0000-0000-000021590000}"/>
    <cellStyle name="Normal 2 15 3 2 4 2 2 3" xfId="14536" xr:uid="{00000000-0005-0000-0000-000022590000}"/>
    <cellStyle name="Normal 2 15 3 2 4 2 2 3 2" xfId="37179" xr:uid="{00000000-0005-0000-0000-000023590000}"/>
    <cellStyle name="Normal 2 15 3 2 4 2 2 4" xfId="29738" xr:uid="{00000000-0005-0000-0000-000024590000}"/>
    <cellStyle name="Normal 2 15 3 2 4 2 3" xfId="18258" xr:uid="{00000000-0005-0000-0000-000025590000}"/>
    <cellStyle name="Normal 2 15 3 2 4 2 3 2" xfId="40901" xr:uid="{00000000-0005-0000-0000-000026590000}"/>
    <cellStyle name="Normal 2 15 3 2 4 2 4" xfId="10818" xr:uid="{00000000-0005-0000-0000-000027590000}"/>
    <cellStyle name="Normal 2 15 3 2 4 2 4 2" xfId="33461" xr:uid="{00000000-0005-0000-0000-000028590000}"/>
    <cellStyle name="Normal 2 15 3 2 4 2 5" xfId="26020" xr:uid="{00000000-0005-0000-0000-000029590000}"/>
    <cellStyle name="Normal 2 15 3 2 4 3" xfId="5245" xr:uid="{00000000-0005-0000-0000-00002A590000}"/>
    <cellStyle name="Normal 2 15 3 2 4 3 2" xfId="20129" xr:uid="{00000000-0005-0000-0000-00002B590000}"/>
    <cellStyle name="Normal 2 15 3 2 4 3 2 2" xfId="42772" xr:uid="{00000000-0005-0000-0000-00002C590000}"/>
    <cellStyle name="Normal 2 15 3 2 4 3 3" xfId="12689" xr:uid="{00000000-0005-0000-0000-00002D590000}"/>
    <cellStyle name="Normal 2 15 3 2 4 3 3 2" xfId="35332" xr:uid="{00000000-0005-0000-0000-00002E590000}"/>
    <cellStyle name="Normal 2 15 3 2 4 3 4" xfId="27891" xr:uid="{00000000-0005-0000-0000-00002F590000}"/>
    <cellStyle name="Normal 2 15 3 2 4 4" xfId="16411" xr:uid="{00000000-0005-0000-0000-000030590000}"/>
    <cellStyle name="Normal 2 15 3 2 4 4 2" xfId="39054" xr:uid="{00000000-0005-0000-0000-000031590000}"/>
    <cellStyle name="Normal 2 15 3 2 4 5" xfId="8971" xr:uid="{00000000-0005-0000-0000-000032590000}"/>
    <cellStyle name="Normal 2 15 3 2 4 5 2" xfId="31614" xr:uid="{00000000-0005-0000-0000-000033590000}"/>
    <cellStyle name="Normal 2 15 3 2 4 6" xfId="24173" xr:uid="{00000000-0005-0000-0000-000034590000}"/>
    <cellStyle name="Normal 2 15 3 2 5" xfId="2446" xr:uid="{00000000-0005-0000-0000-000035590000}"/>
    <cellStyle name="Normal 2 15 3 2 5 2" xfId="6167" xr:uid="{00000000-0005-0000-0000-000036590000}"/>
    <cellStyle name="Normal 2 15 3 2 5 2 2" xfId="21051" xr:uid="{00000000-0005-0000-0000-000037590000}"/>
    <cellStyle name="Normal 2 15 3 2 5 2 2 2" xfId="43694" xr:uid="{00000000-0005-0000-0000-000038590000}"/>
    <cellStyle name="Normal 2 15 3 2 5 2 3" xfId="13611" xr:uid="{00000000-0005-0000-0000-000039590000}"/>
    <cellStyle name="Normal 2 15 3 2 5 2 3 2" xfId="36254" xr:uid="{00000000-0005-0000-0000-00003A590000}"/>
    <cellStyle name="Normal 2 15 3 2 5 2 4" xfId="28813" xr:uid="{00000000-0005-0000-0000-00003B590000}"/>
    <cellStyle name="Normal 2 15 3 2 5 3" xfId="17333" xr:uid="{00000000-0005-0000-0000-00003C590000}"/>
    <cellStyle name="Normal 2 15 3 2 5 3 2" xfId="39976" xr:uid="{00000000-0005-0000-0000-00003D590000}"/>
    <cellStyle name="Normal 2 15 3 2 5 4" xfId="9893" xr:uid="{00000000-0005-0000-0000-00003E590000}"/>
    <cellStyle name="Normal 2 15 3 2 5 4 2" xfId="32536" xr:uid="{00000000-0005-0000-0000-00003F590000}"/>
    <cellStyle name="Normal 2 15 3 2 5 5" xfId="25095" xr:uid="{00000000-0005-0000-0000-000040590000}"/>
    <cellStyle name="Normal 2 15 3 2 6" xfId="4320" xr:uid="{00000000-0005-0000-0000-000041590000}"/>
    <cellStyle name="Normal 2 15 3 2 6 2" xfId="19204" xr:uid="{00000000-0005-0000-0000-000042590000}"/>
    <cellStyle name="Normal 2 15 3 2 6 2 2" xfId="41847" xr:uid="{00000000-0005-0000-0000-000043590000}"/>
    <cellStyle name="Normal 2 15 3 2 6 3" xfId="11764" xr:uid="{00000000-0005-0000-0000-000044590000}"/>
    <cellStyle name="Normal 2 15 3 2 6 3 2" xfId="34407" xr:uid="{00000000-0005-0000-0000-000045590000}"/>
    <cellStyle name="Normal 2 15 3 2 6 4" xfId="26966" xr:uid="{00000000-0005-0000-0000-000046590000}"/>
    <cellStyle name="Normal 2 15 3 2 7" xfId="15486" xr:uid="{00000000-0005-0000-0000-000047590000}"/>
    <cellStyle name="Normal 2 15 3 2 7 2" xfId="38129" xr:uid="{00000000-0005-0000-0000-000048590000}"/>
    <cellStyle name="Normal 2 15 3 2 8" xfId="8046" xr:uid="{00000000-0005-0000-0000-000049590000}"/>
    <cellStyle name="Normal 2 15 3 2 8 2" xfId="30689" xr:uid="{00000000-0005-0000-0000-00004A590000}"/>
    <cellStyle name="Normal 2 15 3 2 9" xfId="23249" xr:uid="{00000000-0005-0000-0000-00004B590000}"/>
    <cellStyle name="Normal 2 15 3 3" xfId="696" xr:uid="{00000000-0005-0000-0000-00004C590000}"/>
    <cellStyle name="Normal 2 15 3 3 2" xfId="1161" xr:uid="{00000000-0005-0000-0000-00004D590000}"/>
    <cellStyle name="Normal 2 15 3 3 2 2" xfId="2089" xr:uid="{00000000-0005-0000-0000-00004E590000}"/>
    <cellStyle name="Normal 2 15 3 3 2 2 2" xfId="3939" xr:uid="{00000000-0005-0000-0000-00004F590000}"/>
    <cellStyle name="Normal 2 15 3 3 2 2 2 2" xfId="7660" xr:uid="{00000000-0005-0000-0000-000050590000}"/>
    <cellStyle name="Normal 2 15 3 3 2 2 2 2 2" xfId="22544" xr:uid="{00000000-0005-0000-0000-000051590000}"/>
    <cellStyle name="Normal 2 15 3 3 2 2 2 2 2 2" xfId="45187" xr:uid="{00000000-0005-0000-0000-000052590000}"/>
    <cellStyle name="Normal 2 15 3 3 2 2 2 2 3" xfId="15104" xr:uid="{00000000-0005-0000-0000-000053590000}"/>
    <cellStyle name="Normal 2 15 3 3 2 2 2 2 3 2" xfId="37747" xr:uid="{00000000-0005-0000-0000-000054590000}"/>
    <cellStyle name="Normal 2 15 3 3 2 2 2 2 4" xfId="30306" xr:uid="{00000000-0005-0000-0000-000055590000}"/>
    <cellStyle name="Normal 2 15 3 3 2 2 2 3" xfId="18826" xr:uid="{00000000-0005-0000-0000-000056590000}"/>
    <cellStyle name="Normal 2 15 3 3 2 2 2 3 2" xfId="41469" xr:uid="{00000000-0005-0000-0000-000057590000}"/>
    <cellStyle name="Normal 2 15 3 3 2 2 2 4" xfId="11386" xr:uid="{00000000-0005-0000-0000-000058590000}"/>
    <cellStyle name="Normal 2 15 3 3 2 2 2 4 2" xfId="34029" xr:uid="{00000000-0005-0000-0000-000059590000}"/>
    <cellStyle name="Normal 2 15 3 3 2 2 2 5" xfId="26588" xr:uid="{00000000-0005-0000-0000-00005A590000}"/>
    <cellStyle name="Normal 2 15 3 3 2 2 3" xfId="5813" xr:uid="{00000000-0005-0000-0000-00005B590000}"/>
    <cellStyle name="Normal 2 15 3 3 2 2 3 2" xfId="20697" xr:uid="{00000000-0005-0000-0000-00005C590000}"/>
    <cellStyle name="Normal 2 15 3 3 2 2 3 2 2" xfId="43340" xr:uid="{00000000-0005-0000-0000-00005D590000}"/>
    <cellStyle name="Normal 2 15 3 3 2 2 3 3" xfId="13257" xr:uid="{00000000-0005-0000-0000-00005E590000}"/>
    <cellStyle name="Normal 2 15 3 3 2 2 3 3 2" xfId="35900" xr:uid="{00000000-0005-0000-0000-00005F590000}"/>
    <cellStyle name="Normal 2 15 3 3 2 2 3 4" xfId="28459" xr:uid="{00000000-0005-0000-0000-000060590000}"/>
    <cellStyle name="Normal 2 15 3 3 2 2 4" xfId="16979" xr:uid="{00000000-0005-0000-0000-000061590000}"/>
    <cellStyle name="Normal 2 15 3 3 2 2 4 2" xfId="39622" xr:uid="{00000000-0005-0000-0000-000062590000}"/>
    <cellStyle name="Normal 2 15 3 3 2 2 5" xfId="9539" xr:uid="{00000000-0005-0000-0000-000063590000}"/>
    <cellStyle name="Normal 2 15 3 3 2 2 5 2" xfId="32182" xr:uid="{00000000-0005-0000-0000-000064590000}"/>
    <cellStyle name="Normal 2 15 3 3 2 2 6" xfId="24741" xr:uid="{00000000-0005-0000-0000-000065590000}"/>
    <cellStyle name="Normal 2 15 3 3 2 3" xfId="3014" xr:uid="{00000000-0005-0000-0000-000066590000}"/>
    <cellStyle name="Normal 2 15 3 3 2 3 2" xfId="6735" xr:uid="{00000000-0005-0000-0000-000067590000}"/>
    <cellStyle name="Normal 2 15 3 3 2 3 2 2" xfId="21619" xr:uid="{00000000-0005-0000-0000-000068590000}"/>
    <cellStyle name="Normal 2 15 3 3 2 3 2 2 2" xfId="44262" xr:uid="{00000000-0005-0000-0000-000069590000}"/>
    <cellStyle name="Normal 2 15 3 3 2 3 2 3" xfId="14179" xr:uid="{00000000-0005-0000-0000-00006A590000}"/>
    <cellStyle name="Normal 2 15 3 3 2 3 2 3 2" xfId="36822" xr:uid="{00000000-0005-0000-0000-00006B590000}"/>
    <cellStyle name="Normal 2 15 3 3 2 3 2 4" xfId="29381" xr:uid="{00000000-0005-0000-0000-00006C590000}"/>
    <cellStyle name="Normal 2 15 3 3 2 3 3" xfId="17901" xr:uid="{00000000-0005-0000-0000-00006D590000}"/>
    <cellStyle name="Normal 2 15 3 3 2 3 3 2" xfId="40544" xr:uid="{00000000-0005-0000-0000-00006E590000}"/>
    <cellStyle name="Normal 2 15 3 3 2 3 4" xfId="10461" xr:uid="{00000000-0005-0000-0000-00006F590000}"/>
    <cellStyle name="Normal 2 15 3 3 2 3 4 2" xfId="33104" xr:uid="{00000000-0005-0000-0000-000070590000}"/>
    <cellStyle name="Normal 2 15 3 3 2 3 5" xfId="25663" xr:uid="{00000000-0005-0000-0000-000071590000}"/>
    <cellStyle name="Normal 2 15 3 3 2 4" xfId="4888" xr:uid="{00000000-0005-0000-0000-000072590000}"/>
    <cellStyle name="Normal 2 15 3 3 2 4 2" xfId="19772" xr:uid="{00000000-0005-0000-0000-000073590000}"/>
    <cellStyle name="Normal 2 15 3 3 2 4 2 2" xfId="42415" xr:uid="{00000000-0005-0000-0000-000074590000}"/>
    <cellStyle name="Normal 2 15 3 3 2 4 3" xfId="12332" xr:uid="{00000000-0005-0000-0000-000075590000}"/>
    <cellStyle name="Normal 2 15 3 3 2 4 3 2" xfId="34975" xr:uid="{00000000-0005-0000-0000-000076590000}"/>
    <cellStyle name="Normal 2 15 3 3 2 4 4" xfId="27534" xr:uid="{00000000-0005-0000-0000-000077590000}"/>
    <cellStyle name="Normal 2 15 3 3 2 5" xfId="16054" xr:uid="{00000000-0005-0000-0000-000078590000}"/>
    <cellStyle name="Normal 2 15 3 3 2 5 2" xfId="38697" xr:uid="{00000000-0005-0000-0000-000079590000}"/>
    <cellStyle name="Normal 2 15 3 3 2 6" xfId="8614" xr:uid="{00000000-0005-0000-0000-00007A590000}"/>
    <cellStyle name="Normal 2 15 3 3 2 6 2" xfId="31257" xr:uid="{00000000-0005-0000-0000-00007B590000}"/>
    <cellStyle name="Normal 2 15 3 3 2 7" xfId="23816" xr:uid="{00000000-0005-0000-0000-00007C590000}"/>
    <cellStyle name="Normal 2 15 3 3 3" xfId="1627" xr:uid="{00000000-0005-0000-0000-00007D590000}"/>
    <cellStyle name="Normal 2 15 3 3 3 2" xfId="3477" xr:uid="{00000000-0005-0000-0000-00007E590000}"/>
    <cellStyle name="Normal 2 15 3 3 3 2 2" xfId="7198" xr:uid="{00000000-0005-0000-0000-00007F590000}"/>
    <cellStyle name="Normal 2 15 3 3 3 2 2 2" xfId="22082" xr:uid="{00000000-0005-0000-0000-000080590000}"/>
    <cellStyle name="Normal 2 15 3 3 3 2 2 2 2" xfId="44725" xr:uid="{00000000-0005-0000-0000-000081590000}"/>
    <cellStyle name="Normal 2 15 3 3 3 2 2 3" xfId="14642" xr:uid="{00000000-0005-0000-0000-000082590000}"/>
    <cellStyle name="Normal 2 15 3 3 3 2 2 3 2" xfId="37285" xr:uid="{00000000-0005-0000-0000-000083590000}"/>
    <cellStyle name="Normal 2 15 3 3 3 2 2 4" xfId="29844" xr:uid="{00000000-0005-0000-0000-000084590000}"/>
    <cellStyle name="Normal 2 15 3 3 3 2 3" xfId="18364" xr:uid="{00000000-0005-0000-0000-000085590000}"/>
    <cellStyle name="Normal 2 15 3 3 3 2 3 2" xfId="41007" xr:uid="{00000000-0005-0000-0000-000086590000}"/>
    <cellStyle name="Normal 2 15 3 3 3 2 4" xfId="10924" xr:uid="{00000000-0005-0000-0000-000087590000}"/>
    <cellStyle name="Normal 2 15 3 3 3 2 4 2" xfId="33567" xr:uid="{00000000-0005-0000-0000-000088590000}"/>
    <cellStyle name="Normal 2 15 3 3 3 2 5" xfId="26126" xr:uid="{00000000-0005-0000-0000-000089590000}"/>
    <cellStyle name="Normal 2 15 3 3 3 3" xfId="5351" xr:uid="{00000000-0005-0000-0000-00008A590000}"/>
    <cellStyle name="Normal 2 15 3 3 3 3 2" xfId="20235" xr:uid="{00000000-0005-0000-0000-00008B590000}"/>
    <cellStyle name="Normal 2 15 3 3 3 3 2 2" xfId="42878" xr:uid="{00000000-0005-0000-0000-00008C590000}"/>
    <cellStyle name="Normal 2 15 3 3 3 3 3" xfId="12795" xr:uid="{00000000-0005-0000-0000-00008D590000}"/>
    <cellStyle name="Normal 2 15 3 3 3 3 3 2" xfId="35438" xr:uid="{00000000-0005-0000-0000-00008E590000}"/>
    <cellStyle name="Normal 2 15 3 3 3 3 4" xfId="27997" xr:uid="{00000000-0005-0000-0000-00008F590000}"/>
    <cellStyle name="Normal 2 15 3 3 3 4" xfId="16517" xr:uid="{00000000-0005-0000-0000-000090590000}"/>
    <cellStyle name="Normal 2 15 3 3 3 4 2" xfId="39160" xr:uid="{00000000-0005-0000-0000-000091590000}"/>
    <cellStyle name="Normal 2 15 3 3 3 5" xfId="9077" xr:uid="{00000000-0005-0000-0000-000092590000}"/>
    <cellStyle name="Normal 2 15 3 3 3 5 2" xfId="31720" xr:uid="{00000000-0005-0000-0000-000093590000}"/>
    <cellStyle name="Normal 2 15 3 3 3 6" xfId="24279" xr:uid="{00000000-0005-0000-0000-000094590000}"/>
    <cellStyle name="Normal 2 15 3 3 4" xfId="2552" xr:uid="{00000000-0005-0000-0000-000095590000}"/>
    <cellStyle name="Normal 2 15 3 3 4 2" xfId="6273" xr:uid="{00000000-0005-0000-0000-000096590000}"/>
    <cellStyle name="Normal 2 15 3 3 4 2 2" xfId="21157" xr:uid="{00000000-0005-0000-0000-000097590000}"/>
    <cellStyle name="Normal 2 15 3 3 4 2 2 2" xfId="43800" xr:uid="{00000000-0005-0000-0000-000098590000}"/>
    <cellStyle name="Normal 2 15 3 3 4 2 3" xfId="13717" xr:uid="{00000000-0005-0000-0000-000099590000}"/>
    <cellStyle name="Normal 2 15 3 3 4 2 3 2" xfId="36360" xr:uid="{00000000-0005-0000-0000-00009A590000}"/>
    <cellStyle name="Normal 2 15 3 3 4 2 4" xfId="28919" xr:uid="{00000000-0005-0000-0000-00009B590000}"/>
    <cellStyle name="Normal 2 15 3 3 4 3" xfId="17439" xr:uid="{00000000-0005-0000-0000-00009C590000}"/>
    <cellStyle name="Normal 2 15 3 3 4 3 2" xfId="40082" xr:uid="{00000000-0005-0000-0000-00009D590000}"/>
    <cellStyle name="Normal 2 15 3 3 4 4" xfId="9999" xr:uid="{00000000-0005-0000-0000-00009E590000}"/>
    <cellStyle name="Normal 2 15 3 3 4 4 2" xfId="32642" xr:uid="{00000000-0005-0000-0000-00009F590000}"/>
    <cellStyle name="Normal 2 15 3 3 4 5" xfId="25201" xr:uid="{00000000-0005-0000-0000-0000A0590000}"/>
    <cellStyle name="Normal 2 15 3 3 5" xfId="4426" xr:uid="{00000000-0005-0000-0000-0000A1590000}"/>
    <cellStyle name="Normal 2 15 3 3 5 2" xfId="19310" xr:uid="{00000000-0005-0000-0000-0000A2590000}"/>
    <cellStyle name="Normal 2 15 3 3 5 2 2" xfId="41953" xr:uid="{00000000-0005-0000-0000-0000A3590000}"/>
    <cellStyle name="Normal 2 15 3 3 5 3" xfId="11870" xr:uid="{00000000-0005-0000-0000-0000A4590000}"/>
    <cellStyle name="Normal 2 15 3 3 5 3 2" xfId="34513" xr:uid="{00000000-0005-0000-0000-0000A5590000}"/>
    <cellStyle name="Normal 2 15 3 3 5 4" xfId="27072" xr:uid="{00000000-0005-0000-0000-0000A6590000}"/>
    <cellStyle name="Normal 2 15 3 3 6" xfId="15592" xr:uid="{00000000-0005-0000-0000-0000A7590000}"/>
    <cellStyle name="Normal 2 15 3 3 6 2" xfId="38235" xr:uid="{00000000-0005-0000-0000-0000A8590000}"/>
    <cellStyle name="Normal 2 15 3 3 7" xfId="8152" xr:uid="{00000000-0005-0000-0000-0000A9590000}"/>
    <cellStyle name="Normal 2 15 3 3 7 2" xfId="30795" xr:uid="{00000000-0005-0000-0000-0000AA590000}"/>
    <cellStyle name="Normal 2 15 3 3 8" xfId="23354" xr:uid="{00000000-0005-0000-0000-0000AB590000}"/>
    <cellStyle name="Normal 2 15 3 4" xfId="950" xr:uid="{00000000-0005-0000-0000-0000AC590000}"/>
    <cellStyle name="Normal 2 15 3 4 2" xfId="1878" xr:uid="{00000000-0005-0000-0000-0000AD590000}"/>
    <cellStyle name="Normal 2 15 3 4 2 2" xfId="3728" xr:uid="{00000000-0005-0000-0000-0000AE590000}"/>
    <cellStyle name="Normal 2 15 3 4 2 2 2" xfId="7449" xr:uid="{00000000-0005-0000-0000-0000AF590000}"/>
    <cellStyle name="Normal 2 15 3 4 2 2 2 2" xfId="22333" xr:uid="{00000000-0005-0000-0000-0000B0590000}"/>
    <cellStyle name="Normal 2 15 3 4 2 2 2 2 2" xfId="44976" xr:uid="{00000000-0005-0000-0000-0000B1590000}"/>
    <cellStyle name="Normal 2 15 3 4 2 2 2 3" xfId="14893" xr:uid="{00000000-0005-0000-0000-0000B2590000}"/>
    <cellStyle name="Normal 2 15 3 4 2 2 2 3 2" xfId="37536" xr:uid="{00000000-0005-0000-0000-0000B3590000}"/>
    <cellStyle name="Normal 2 15 3 4 2 2 2 4" xfId="30095" xr:uid="{00000000-0005-0000-0000-0000B4590000}"/>
    <cellStyle name="Normal 2 15 3 4 2 2 3" xfId="18615" xr:uid="{00000000-0005-0000-0000-0000B5590000}"/>
    <cellStyle name="Normal 2 15 3 4 2 2 3 2" xfId="41258" xr:uid="{00000000-0005-0000-0000-0000B6590000}"/>
    <cellStyle name="Normal 2 15 3 4 2 2 4" xfId="11175" xr:uid="{00000000-0005-0000-0000-0000B7590000}"/>
    <cellStyle name="Normal 2 15 3 4 2 2 4 2" xfId="33818" xr:uid="{00000000-0005-0000-0000-0000B8590000}"/>
    <cellStyle name="Normal 2 15 3 4 2 2 5" xfId="26377" xr:uid="{00000000-0005-0000-0000-0000B9590000}"/>
    <cellStyle name="Normal 2 15 3 4 2 3" xfId="5602" xr:uid="{00000000-0005-0000-0000-0000BA590000}"/>
    <cellStyle name="Normal 2 15 3 4 2 3 2" xfId="20486" xr:uid="{00000000-0005-0000-0000-0000BB590000}"/>
    <cellStyle name="Normal 2 15 3 4 2 3 2 2" xfId="43129" xr:uid="{00000000-0005-0000-0000-0000BC590000}"/>
    <cellStyle name="Normal 2 15 3 4 2 3 3" xfId="13046" xr:uid="{00000000-0005-0000-0000-0000BD590000}"/>
    <cellStyle name="Normal 2 15 3 4 2 3 3 2" xfId="35689" xr:uid="{00000000-0005-0000-0000-0000BE590000}"/>
    <cellStyle name="Normal 2 15 3 4 2 3 4" xfId="28248" xr:uid="{00000000-0005-0000-0000-0000BF590000}"/>
    <cellStyle name="Normal 2 15 3 4 2 4" xfId="16768" xr:uid="{00000000-0005-0000-0000-0000C0590000}"/>
    <cellStyle name="Normal 2 15 3 4 2 4 2" xfId="39411" xr:uid="{00000000-0005-0000-0000-0000C1590000}"/>
    <cellStyle name="Normal 2 15 3 4 2 5" xfId="9328" xr:uid="{00000000-0005-0000-0000-0000C2590000}"/>
    <cellStyle name="Normal 2 15 3 4 2 5 2" xfId="31971" xr:uid="{00000000-0005-0000-0000-0000C3590000}"/>
    <cellStyle name="Normal 2 15 3 4 2 6" xfId="24530" xr:uid="{00000000-0005-0000-0000-0000C4590000}"/>
    <cellStyle name="Normal 2 15 3 4 3" xfId="2803" xr:uid="{00000000-0005-0000-0000-0000C5590000}"/>
    <cellStyle name="Normal 2 15 3 4 3 2" xfId="6524" xr:uid="{00000000-0005-0000-0000-0000C6590000}"/>
    <cellStyle name="Normal 2 15 3 4 3 2 2" xfId="21408" xr:uid="{00000000-0005-0000-0000-0000C7590000}"/>
    <cellStyle name="Normal 2 15 3 4 3 2 2 2" xfId="44051" xr:uid="{00000000-0005-0000-0000-0000C8590000}"/>
    <cellStyle name="Normal 2 15 3 4 3 2 3" xfId="13968" xr:uid="{00000000-0005-0000-0000-0000C9590000}"/>
    <cellStyle name="Normal 2 15 3 4 3 2 3 2" xfId="36611" xr:uid="{00000000-0005-0000-0000-0000CA590000}"/>
    <cellStyle name="Normal 2 15 3 4 3 2 4" xfId="29170" xr:uid="{00000000-0005-0000-0000-0000CB590000}"/>
    <cellStyle name="Normal 2 15 3 4 3 3" xfId="17690" xr:uid="{00000000-0005-0000-0000-0000CC590000}"/>
    <cellStyle name="Normal 2 15 3 4 3 3 2" xfId="40333" xr:uid="{00000000-0005-0000-0000-0000CD590000}"/>
    <cellStyle name="Normal 2 15 3 4 3 4" xfId="10250" xr:uid="{00000000-0005-0000-0000-0000CE590000}"/>
    <cellStyle name="Normal 2 15 3 4 3 4 2" xfId="32893" xr:uid="{00000000-0005-0000-0000-0000CF590000}"/>
    <cellStyle name="Normal 2 15 3 4 3 5" xfId="25452" xr:uid="{00000000-0005-0000-0000-0000D0590000}"/>
    <cellStyle name="Normal 2 15 3 4 4" xfId="4677" xr:uid="{00000000-0005-0000-0000-0000D1590000}"/>
    <cellStyle name="Normal 2 15 3 4 4 2" xfId="19561" xr:uid="{00000000-0005-0000-0000-0000D2590000}"/>
    <cellStyle name="Normal 2 15 3 4 4 2 2" xfId="42204" xr:uid="{00000000-0005-0000-0000-0000D3590000}"/>
    <cellStyle name="Normal 2 15 3 4 4 3" xfId="12121" xr:uid="{00000000-0005-0000-0000-0000D4590000}"/>
    <cellStyle name="Normal 2 15 3 4 4 3 2" xfId="34764" xr:uid="{00000000-0005-0000-0000-0000D5590000}"/>
    <cellStyle name="Normal 2 15 3 4 4 4" xfId="27323" xr:uid="{00000000-0005-0000-0000-0000D6590000}"/>
    <cellStyle name="Normal 2 15 3 4 5" xfId="15843" xr:uid="{00000000-0005-0000-0000-0000D7590000}"/>
    <cellStyle name="Normal 2 15 3 4 5 2" xfId="38486" xr:uid="{00000000-0005-0000-0000-0000D8590000}"/>
    <cellStyle name="Normal 2 15 3 4 6" xfId="8403" xr:uid="{00000000-0005-0000-0000-0000D9590000}"/>
    <cellStyle name="Normal 2 15 3 4 6 2" xfId="31046" xr:uid="{00000000-0005-0000-0000-0000DA590000}"/>
    <cellStyle name="Normal 2 15 3 4 7" xfId="23605" xr:uid="{00000000-0005-0000-0000-0000DB590000}"/>
    <cellStyle name="Normal 2 15 3 5" xfId="1416" xr:uid="{00000000-0005-0000-0000-0000DC590000}"/>
    <cellStyle name="Normal 2 15 3 5 2" xfId="3266" xr:uid="{00000000-0005-0000-0000-0000DD590000}"/>
    <cellStyle name="Normal 2 15 3 5 2 2" xfId="6987" xr:uid="{00000000-0005-0000-0000-0000DE590000}"/>
    <cellStyle name="Normal 2 15 3 5 2 2 2" xfId="21871" xr:uid="{00000000-0005-0000-0000-0000DF590000}"/>
    <cellStyle name="Normal 2 15 3 5 2 2 2 2" xfId="44514" xr:uid="{00000000-0005-0000-0000-0000E0590000}"/>
    <cellStyle name="Normal 2 15 3 5 2 2 3" xfId="14431" xr:uid="{00000000-0005-0000-0000-0000E1590000}"/>
    <cellStyle name="Normal 2 15 3 5 2 2 3 2" xfId="37074" xr:uid="{00000000-0005-0000-0000-0000E2590000}"/>
    <cellStyle name="Normal 2 15 3 5 2 2 4" xfId="29633" xr:uid="{00000000-0005-0000-0000-0000E3590000}"/>
    <cellStyle name="Normal 2 15 3 5 2 3" xfId="18153" xr:uid="{00000000-0005-0000-0000-0000E4590000}"/>
    <cellStyle name="Normal 2 15 3 5 2 3 2" xfId="40796" xr:uid="{00000000-0005-0000-0000-0000E5590000}"/>
    <cellStyle name="Normal 2 15 3 5 2 4" xfId="10713" xr:uid="{00000000-0005-0000-0000-0000E6590000}"/>
    <cellStyle name="Normal 2 15 3 5 2 4 2" xfId="33356" xr:uid="{00000000-0005-0000-0000-0000E7590000}"/>
    <cellStyle name="Normal 2 15 3 5 2 5" xfId="25915" xr:uid="{00000000-0005-0000-0000-0000E8590000}"/>
    <cellStyle name="Normal 2 15 3 5 3" xfId="5140" xr:uid="{00000000-0005-0000-0000-0000E9590000}"/>
    <cellStyle name="Normal 2 15 3 5 3 2" xfId="20024" xr:uid="{00000000-0005-0000-0000-0000EA590000}"/>
    <cellStyle name="Normal 2 15 3 5 3 2 2" xfId="42667" xr:uid="{00000000-0005-0000-0000-0000EB590000}"/>
    <cellStyle name="Normal 2 15 3 5 3 3" xfId="12584" xr:uid="{00000000-0005-0000-0000-0000EC590000}"/>
    <cellStyle name="Normal 2 15 3 5 3 3 2" xfId="35227" xr:uid="{00000000-0005-0000-0000-0000ED590000}"/>
    <cellStyle name="Normal 2 15 3 5 3 4" xfId="27786" xr:uid="{00000000-0005-0000-0000-0000EE590000}"/>
    <cellStyle name="Normal 2 15 3 5 4" xfId="16306" xr:uid="{00000000-0005-0000-0000-0000EF590000}"/>
    <cellStyle name="Normal 2 15 3 5 4 2" xfId="38949" xr:uid="{00000000-0005-0000-0000-0000F0590000}"/>
    <cellStyle name="Normal 2 15 3 5 5" xfId="8866" xr:uid="{00000000-0005-0000-0000-0000F1590000}"/>
    <cellStyle name="Normal 2 15 3 5 5 2" xfId="31509" xr:uid="{00000000-0005-0000-0000-0000F2590000}"/>
    <cellStyle name="Normal 2 15 3 5 6" xfId="24068" xr:uid="{00000000-0005-0000-0000-0000F3590000}"/>
    <cellStyle name="Normal 2 15 3 6" xfId="2341" xr:uid="{00000000-0005-0000-0000-0000F4590000}"/>
    <cellStyle name="Normal 2 15 3 6 2" xfId="6062" xr:uid="{00000000-0005-0000-0000-0000F5590000}"/>
    <cellStyle name="Normal 2 15 3 6 2 2" xfId="20946" xr:uid="{00000000-0005-0000-0000-0000F6590000}"/>
    <cellStyle name="Normal 2 15 3 6 2 2 2" xfId="43589" xr:uid="{00000000-0005-0000-0000-0000F7590000}"/>
    <cellStyle name="Normal 2 15 3 6 2 3" xfId="13506" xr:uid="{00000000-0005-0000-0000-0000F8590000}"/>
    <cellStyle name="Normal 2 15 3 6 2 3 2" xfId="36149" xr:uid="{00000000-0005-0000-0000-0000F9590000}"/>
    <cellStyle name="Normal 2 15 3 6 2 4" xfId="28708" xr:uid="{00000000-0005-0000-0000-0000FA590000}"/>
    <cellStyle name="Normal 2 15 3 6 3" xfId="17228" xr:uid="{00000000-0005-0000-0000-0000FB590000}"/>
    <cellStyle name="Normal 2 15 3 6 3 2" xfId="39871" xr:uid="{00000000-0005-0000-0000-0000FC590000}"/>
    <cellStyle name="Normal 2 15 3 6 4" xfId="9788" xr:uid="{00000000-0005-0000-0000-0000FD590000}"/>
    <cellStyle name="Normal 2 15 3 6 4 2" xfId="32431" xr:uid="{00000000-0005-0000-0000-0000FE590000}"/>
    <cellStyle name="Normal 2 15 3 6 5" xfId="24990" xr:uid="{00000000-0005-0000-0000-0000FF590000}"/>
    <cellStyle name="Normal 2 15 3 7" xfId="4215" xr:uid="{00000000-0005-0000-0000-0000005A0000}"/>
    <cellStyle name="Normal 2 15 3 7 2" xfId="19099" xr:uid="{00000000-0005-0000-0000-0000015A0000}"/>
    <cellStyle name="Normal 2 15 3 7 2 2" xfId="41742" xr:uid="{00000000-0005-0000-0000-0000025A0000}"/>
    <cellStyle name="Normal 2 15 3 7 3" xfId="11659" xr:uid="{00000000-0005-0000-0000-0000035A0000}"/>
    <cellStyle name="Normal 2 15 3 7 3 2" xfId="34302" xr:uid="{00000000-0005-0000-0000-0000045A0000}"/>
    <cellStyle name="Normal 2 15 3 7 4" xfId="26861" xr:uid="{00000000-0005-0000-0000-0000055A0000}"/>
    <cellStyle name="Normal 2 15 3 8" xfId="15381" xr:uid="{00000000-0005-0000-0000-0000065A0000}"/>
    <cellStyle name="Normal 2 15 3 8 2" xfId="38024" xr:uid="{00000000-0005-0000-0000-0000075A0000}"/>
    <cellStyle name="Normal 2 15 3 9" xfId="7941" xr:uid="{00000000-0005-0000-0000-0000085A0000}"/>
    <cellStyle name="Normal 2 15 3 9 2" xfId="30584" xr:uid="{00000000-0005-0000-0000-0000095A0000}"/>
    <cellStyle name="Normal 2 15 4" xfId="537" xr:uid="{00000000-0005-0000-0000-00000A5A0000}"/>
    <cellStyle name="Normal 2 15 4 2" xfId="749" xr:uid="{00000000-0005-0000-0000-00000B5A0000}"/>
    <cellStyle name="Normal 2 15 4 2 2" xfId="1214" xr:uid="{00000000-0005-0000-0000-00000C5A0000}"/>
    <cellStyle name="Normal 2 15 4 2 2 2" xfId="2142" xr:uid="{00000000-0005-0000-0000-00000D5A0000}"/>
    <cellStyle name="Normal 2 15 4 2 2 2 2" xfId="3992" xr:uid="{00000000-0005-0000-0000-00000E5A0000}"/>
    <cellStyle name="Normal 2 15 4 2 2 2 2 2" xfId="7713" xr:uid="{00000000-0005-0000-0000-00000F5A0000}"/>
    <cellStyle name="Normal 2 15 4 2 2 2 2 2 2" xfId="22597" xr:uid="{00000000-0005-0000-0000-0000105A0000}"/>
    <cellStyle name="Normal 2 15 4 2 2 2 2 2 2 2" xfId="45240" xr:uid="{00000000-0005-0000-0000-0000115A0000}"/>
    <cellStyle name="Normal 2 15 4 2 2 2 2 2 3" xfId="15157" xr:uid="{00000000-0005-0000-0000-0000125A0000}"/>
    <cellStyle name="Normal 2 15 4 2 2 2 2 2 3 2" xfId="37800" xr:uid="{00000000-0005-0000-0000-0000135A0000}"/>
    <cellStyle name="Normal 2 15 4 2 2 2 2 2 4" xfId="30359" xr:uid="{00000000-0005-0000-0000-0000145A0000}"/>
    <cellStyle name="Normal 2 15 4 2 2 2 2 3" xfId="18879" xr:uid="{00000000-0005-0000-0000-0000155A0000}"/>
    <cellStyle name="Normal 2 15 4 2 2 2 2 3 2" xfId="41522" xr:uid="{00000000-0005-0000-0000-0000165A0000}"/>
    <cellStyle name="Normal 2 15 4 2 2 2 2 4" xfId="11439" xr:uid="{00000000-0005-0000-0000-0000175A0000}"/>
    <cellStyle name="Normal 2 15 4 2 2 2 2 4 2" xfId="34082" xr:uid="{00000000-0005-0000-0000-0000185A0000}"/>
    <cellStyle name="Normal 2 15 4 2 2 2 2 5" xfId="26641" xr:uid="{00000000-0005-0000-0000-0000195A0000}"/>
    <cellStyle name="Normal 2 15 4 2 2 2 3" xfId="5866" xr:uid="{00000000-0005-0000-0000-00001A5A0000}"/>
    <cellStyle name="Normal 2 15 4 2 2 2 3 2" xfId="20750" xr:uid="{00000000-0005-0000-0000-00001B5A0000}"/>
    <cellStyle name="Normal 2 15 4 2 2 2 3 2 2" xfId="43393" xr:uid="{00000000-0005-0000-0000-00001C5A0000}"/>
    <cellStyle name="Normal 2 15 4 2 2 2 3 3" xfId="13310" xr:uid="{00000000-0005-0000-0000-00001D5A0000}"/>
    <cellStyle name="Normal 2 15 4 2 2 2 3 3 2" xfId="35953" xr:uid="{00000000-0005-0000-0000-00001E5A0000}"/>
    <cellStyle name="Normal 2 15 4 2 2 2 3 4" xfId="28512" xr:uid="{00000000-0005-0000-0000-00001F5A0000}"/>
    <cellStyle name="Normal 2 15 4 2 2 2 4" xfId="17032" xr:uid="{00000000-0005-0000-0000-0000205A0000}"/>
    <cellStyle name="Normal 2 15 4 2 2 2 4 2" xfId="39675" xr:uid="{00000000-0005-0000-0000-0000215A0000}"/>
    <cellStyle name="Normal 2 15 4 2 2 2 5" xfId="9592" xr:uid="{00000000-0005-0000-0000-0000225A0000}"/>
    <cellStyle name="Normal 2 15 4 2 2 2 5 2" xfId="32235" xr:uid="{00000000-0005-0000-0000-0000235A0000}"/>
    <cellStyle name="Normal 2 15 4 2 2 2 6" xfId="24794" xr:uid="{00000000-0005-0000-0000-0000245A0000}"/>
    <cellStyle name="Normal 2 15 4 2 2 3" xfId="3067" xr:uid="{00000000-0005-0000-0000-0000255A0000}"/>
    <cellStyle name="Normal 2 15 4 2 2 3 2" xfId="6788" xr:uid="{00000000-0005-0000-0000-0000265A0000}"/>
    <cellStyle name="Normal 2 15 4 2 2 3 2 2" xfId="21672" xr:uid="{00000000-0005-0000-0000-0000275A0000}"/>
    <cellStyle name="Normal 2 15 4 2 2 3 2 2 2" xfId="44315" xr:uid="{00000000-0005-0000-0000-0000285A0000}"/>
    <cellStyle name="Normal 2 15 4 2 2 3 2 3" xfId="14232" xr:uid="{00000000-0005-0000-0000-0000295A0000}"/>
    <cellStyle name="Normal 2 15 4 2 2 3 2 3 2" xfId="36875" xr:uid="{00000000-0005-0000-0000-00002A5A0000}"/>
    <cellStyle name="Normal 2 15 4 2 2 3 2 4" xfId="29434" xr:uid="{00000000-0005-0000-0000-00002B5A0000}"/>
    <cellStyle name="Normal 2 15 4 2 2 3 3" xfId="17954" xr:uid="{00000000-0005-0000-0000-00002C5A0000}"/>
    <cellStyle name="Normal 2 15 4 2 2 3 3 2" xfId="40597" xr:uid="{00000000-0005-0000-0000-00002D5A0000}"/>
    <cellStyle name="Normal 2 15 4 2 2 3 4" xfId="10514" xr:uid="{00000000-0005-0000-0000-00002E5A0000}"/>
    <cellStyle name="Normal 2 15 4 2 2 3 4 2" xfId="33157" xr:uid="{00000000-0005-0000-0000-00002F5A0000}"/>
    <cellStyle name="Normal 2 15 4 2 2 3 5" xfId="25716" xr:uid="{00000000-0005-0000-0000-0000305A0000}"/>
    <cellStyle name="Normal 2 15 4 2 2 4" xfId="4941" xr:uid="{00000000-0005-0000-0000-0000315A0000}"/>
    <cellStyle name="Normal 2 15 4 2 2 4 2" xfId="19825" xr:uid="{00000000-0005-0000-0000-0000325A0000}"/>
    <cellStyle name="Normal 2 15 4 2 2 4 2 2" xfId="42468" xr:uid="{00000000-0005-0000-0000-0000335A0000}"/>
    <cellStyle name="Normal 2 15 4 2 2 4 3" xfId="12385" xr:uid="{00000000-0005-0000-0000-0000345A0000}"/>
    <cellStyle name="Normal 2 15 4 2 2 4 3 2" xfId="35028" xr:uid="{00000000-0005-0000-0000-0000355A0000}"/>
    <cellStyle name="Normal 2 15 4 2 2 4 4" xfId="27587" xr:uid="{00000000-0005-0000-0000-0000365A0000}"/>
    <cellStyle name="Normal 2 15 4 2 2 5" xfId="16107" xr:uid="{00000000-0005-0000-0000-0000375A0000}"/>
    <cellStyle name="Normal 2 15 4 2 2 5 2" xfId="38750" xr:uid="{00000000-0005-0000-0000-0000385A0000}"/>
    <cellStyle name="Normal 2 15 4 2 2 6" xfId="8667" xr:uid="{00000000-0005-0000-0000-0000395A0000}"/>
    <cellStyle name="Normal 2 15 4 2 2 6 2" xfId="31310" xr:uid="{00000000-0005-0000-0000-00003A5A0000}"/>
    <cellStyle name="Normal 2 15 4 2 2 7" xfId="23869" xr:uid="{00000000-0005-0000-0000-00003B5A0000}"/>
    <cellStyle name="Normal 2 15 4 2 3" xfId="1680" xr:uid="{00000000-0005-0000-0000-00003C5A0000}"/>
    <cellStyle name="Normal 2 15 4 2 3 2" xfId="3530" xr:uid="{00000000-0005-0000-0000-00003D5A0000}"/>
    <cellStyle name="Normal 2 15 4 2 3 2 2" xfId="7251" xr:uid="{00000000-0005-0000-0000-00003E5A0000}"/>
    <cellStyle name="Normal 2 15 4 2 3 2 2 2" xfId="22135" xr:uid="{00000000-0005-0000-0000-00003F5A0000}"/>
    <cellStyle name="Normal 2 15 4 2 3 2 2 2 2" xfId="44778" xr:uid="{00000000-0005-0000-0000-0000405A0000}"/>
    <cellStyle name="Normal 2 15 4 2 3 2 2 3" xfId="14695" xr:uid="{00000000-0005-0000-0000-0000415A0000}"/>
    <cellStyle name="Normal 2 15 4 2 3 2 2 3 2" xfId="37338" xr:uid="{00000000-0005-0000-0000-0000425A0000}"/>
    <cellStyle name="Normal 2 15 4 2 3 2 2 4" xfId="29897" xr:uid="{00000000-0005-0000-0000-0000435A0000}"/>
    <cellStyle name="Normal 2 15 4 2 3 2 3" xfId="18417" xr:uid="{00000000-0005-0000-0000-0000445A0000}"/>
    <cellStyle name="Normal 2 15 4 2 3 2 3 2" xfId="41060" xr:uid="{00000000-0005-0000-0000-0000455A0000}"/>
    <cellStyle name="Normal 2 15 4 2 3 2 4" xfId="10977" xr:uid="{00000000-0005-0000-0000-0000465A0000}"/>
    <cellStyle name="Normal 2 15 4 2 3 2 4 2" xfId="33620" xr:uid="{00000000-0005-0000-0000-0000475A0000}"/>
    <cellStyle name="Normal 2 15 4 2 3 2 5" xfId="26179" xr:uid="{00000000-0005-0000-0000-0000485A0000}"/>
    <cellStyle name="Normal 2 15 4 2 3 3" xfId="5404" xr:uid="{00000000-0005-0000-0000-0000495A0000}"/>
    <cellStyle name="Normal 2 15 4 2 3 3 2" xfId="20288" xr:uid="{00000000-0005-0000-0000-00004A5A0000}"/>
    <cellStyle name="Normal 2 15 4 2 3 3 2 2" xfId="42931" xr:uid="{00000000-0005-0000-0000-00004B5A0000}"/>
    <cellStyle name="Normal 2 15 4 2 3 3 3" xfId="12848" xr:uid="{00000000-0005-0000-0000-00004C5A0000}"/>
    <cellStyle name="Normal 2 15 4 2 3 3 3 2" xfId="35491" xr:uid="{00000000-0005-0000-0000-00004D5A0000}"/>
    <cellStyle name="Normal 2 15 4 2 3 3 4" xfId="28050" xr:uid="{00000000-0005-0000-0000-00004E5A0000}"/>
    <cellStyle name="Normal 2 15 4 2 3 4" xfId="16570" xr:uid="{00000000-0005-0000-0000-00004F5A0000}"/>
    <cellStyle name="Normal 2 15 4 2 3 4 2" xfId="39213" xr:uid="{00000000-0005-0000-0000-0000505A0000}"/>
    <cellStyle name="Normal 2 15 4 2 3 5" xfId="9130" xr:uid="{00000000-0005-0000-0000-0000515A0000}"/>
    <cellStyle name="Normal 2 15 4 2 3 5 2" xfId="31773" xr:uid="{00000000-0005-0000-0000-0000525A0000}"/>
    <cellStyle name="Normal 2 15 4 2 3 6" xfId="24332" xr:uid="{00000000-0005-0000-0000-0000535A0000}"/>
    <cellStyle name="Normal 2 15 4 2 4" xfId="2605" xr:uid="{00000000-0005-0000-0000-0000545A0000}"/>
    <cellStyle name="Normal 2 15 4 2 4 2" xfId="6326" xr:uid="{00000000-0005-0000-0000-0000555A0000}"/>
    <cellStyle name="Normal 2 15 4 2 4 2 2" xfId="21210" xr:uid="{00000000-0005-0000-0000-0000565A0000}"/>
    <cellStyle name="Normal 2 15 4 2 4 2 2 2" xfId="43853" xr:uid="{00000000-0005-0000-0000-0000575A0000}"/>
    <cellStyle name="Normal 2 15 4 2 4 2 3" xfId="13770" xr:uid="{00000000-0005-0000-0000-0000585A0000}"/>
    <cellStyle name="Normal 2 15 4 2 4 2 3 2" xfId="36413" xr:uid="{00000000-0005-0000-0000-0000595A0000}"/>
    <cellStyle name="Normal 2 15 4 2 4 2 4" xfId="28972" xr:uid="{00000000-0005-0000-0000-00005A5A0000}"/>
    <cellStyle name="Normal 2 15 4 2 4 3" xfId="17492" xr:uid="{00000000-0005-0000-0000-00005B5A0000}"/>
    <cellStyle name="Normal 2 15 4 2 4 3 2" xfId="40135" xr:uid="{00000000-0005-0000-0000-00005C5A0000}"/>
    <cellStyle name="Normal 2 15 4 2 4 4" xfId="10052" xr:uid="{00000000-0005-0000-0000-00005D5A0000}"/>
    <cellStyle name="Normal 2 15 4 2 4 4 2" xfId="32695" xr:uid="{00000000-0005-0000-0000-00005E5A0000}"/>
    <cellStyle name="Normal 2 15 4 2 4 5" xfId="25254" xr:uid="{00000000-0005-0000-0000-00005F5A0000}"/>
    <cellStyle name="Normal 2 15 4 2 5" xfId="4479" xr:uid="{00000000-0005-0000-0000-0000605A0000}"/>
    <cellStyle name="Normal 2 15 4 2 5 2" xfId="19363" xr:uid="{00000000-0005-0000-0000-0000615A0000}"/>
    <cellStyle name="Normal 2 15 4 2 5 2 2" xfId="42006" xr:uid="{00000000-0005-0000-0000-0000625A0000}"/>
    <cellStyle name="Normal 2 15 4 2 5 3" xfId="11923" xr:uid="{00000000-0005-0000-0000-0000635A0000}"/>
    <cellStyle name="Normal 2 15 4 2 5 3 2" xfId="34566" xr:uid="{00000000-0005-0000-0000-0000645A0000}"/>
    <cellStyle name="Normal 2 15 4 2 5 4" xfId="27125" xr:uid="{00000000-0005-0000-0000-0000655A0000}"/>
    <cellStyle name="Normal 2 15 4 2 6" xfId="15645" xr:uid="{00000000-0005-0000-0000-0000665A0000}"/>
    <cellStyle name="Normal 2 15 4 2 6 2" xfId="38288" xr:uid="{00000000-0005-0000-0000-0000675A0000}"/>
    <cellStyle name="Normal 2 15 4 2 7" xfId="8205" xr:uid="{00000000-0005-0000-0000-0000685A0000}"/>
    <cellStyle name="Normal 2 15 4 2 7 2" xfId="30848" xr:uid="{00000000-0005-0000-0000-0000695A0000}"/>
    <cellStyle name="Normal 2 15 4 2 8" xfId="23407" xr:uid="{00000000-0005-0000-0000-00006A5A0000}"/>
    <cellStyle name="Normal 2 15 4 3" xfId="1003" xr:uid="{00000000-0005-0000-0000-00006B5A0000}"/>
    <cellStyle name="Normal 2 15 4 3 2" xfId="1931" xr:uid="{00000000-0005-0000-0000-00006C5A0000}"/>
    <cellStyle name="Normal 2 15 4 3 2 2" xfId="3781" xr:uid="{00000000-0005-0000-0000-00006D5A0000}"/>
    <cellStyle name="Normal 2 15 4 3 2 2 2" xfId="7502" xr:uid="{00000000-0005-0000-0000-00006E5A0000}"/>
    <cellStyle name="Normal 2 15 4 3 2 2 2 2" xfId="22386" xr:uid="{00000000-0005-0000-0000-00006F5A0000}"/>
    <cellStyle name="Normal 2 15 4 3 2 2 2 2 2" xfId="45029" xr:uid="{00000000-0005-0000-0000-0000705A0000}"/>
    <cellStyle name="Normal 2 15 4 3 2 2 2 3" xfId="14946" xr:uid="{00000000-0005-0000-0000-0000715A0000}"/>
    <cellStyle name="Normal 2 15 4 3 2 2 2 3 2" xfId="37589" xr:uid="{00000000-0005-0000-0000-0000725A0000}"/>
    <cellStyle name="Normal 2 15 4 3 2 2 2 4" xfId="30148" xr:uid="{00000000-0005-0000-0000-0000735A0000}"/>
    <cellStyle name="Normal 2 15 4 3 2 2 3" xfId="18668" xr:uid="{00000000-0005-0000-0000-0000745A0000}"/>
    <cellStyle name="Normal 2 15 4 3 2 2 3 2" xfId="41311" xr:uid="{00000000-0005-0000-0000-0000755A0000}"/>
    <cellStyle name="Normal 2 15 4 3 2 2 4" xfId="11228" xr:uid="{00000000-0005-0000-0000-0000765A0000}"/>
    <cellStyle name="Normal 2 15 4 3 2 2 4 2" xfId="33871" xr:uid="{00000000-0005-0000-0000-0000775A0000}"/>
    <cellStyle name="Normal 2 15 4 3 2 2 5" xfId="26430" xr:uid="{00000000-0005-0000-0000-0000785A0000}"/>
    <cellStyle name="Normal 2 15 4 3 2 3" xfId="5655" xr:uid="{00000000-0005-0000-0000-0000795A0000}"/>
    <cellStyle name="Normal 2 15 4 3 2 3 2" xfId="20539" xr:uid="{00000000-0005-0000-0000-00007A5A0000}"/>
    <cellStyle name="Normal 2 15 4 3 2 3 2 2" xfId="43182" xr:uid="{00000000-0005-0000-0000-00007B5A0000}"/>
    <cellStyle name="Normal 2 15 4 3 2 3 3" xfId="13099" xr:uid="{00000000-0005-0000-0000-00007C5A0000}"/>
    <cellStyle name="Normal 2 15 4 3 2 3 3 2" xfId="35742" xr:uid="{00000000-0005-0000-0000-00007D5A0000}"/>
    <cellStyle name="Normal 2 15 4 3 2 3 4" xfId="28301" xr:uid="{00000000-0005-0000-0000-00007E5A0000}"/>
    <cellStyle name="Normal 2 15 4 3 2 4" xfId="16821" xr:uid="{00000000-0005-0000-0000-00007F5A0000}"/>
    <cellStyle name="Normal 2 15 4 3 2 4 2" xfId="39464" xr:uid="{00000000-0005-0000-0000-0000805A0000}"/>
    <cellStyle name="Normal 2 15 4 3 2 5" xfId="9381" xr:uid="{00000000-0005-0000-0000-0000815A0000}"/>
    <cellStyle name="Normal 2 15 4 3 2 5 2" xfId="32024" xr:uid="{00000000-0005-0000-0000-0000825A0000}"/>
    <cellStyle name="Normal 2 15 4 3 2 6" xfId="24583" xr:uid="{00000000-0005-0000-0000-0000835A0000}"/>
    <cellStyle name="Normal 2 15 4 3 3" xfId="2856" xr:uid="{00000000-0005-0000-0000-0000845A0000}"/>
    <cellStyle name="Normal 2 15 4 3 3 2" xfId="6577" xr:uid="{00000000-0005-0000-0000-0000855A0000}"/>
    <cellStyle name="Normal 2 15 4 3 3 2 2" xfId="21461" xr:uid="{00000000-0005-0000-0000-0000865A0000}"/>
    <cellStyle name="Normal 2 15 4 3 3 2 2 2" xfId="44104" xr:uid="{00000000-0005-0000-0000-0000875A0000}"/>
    <cellStyle name="Normal 2 15 4 3 3 2 3" xfId="14021" xr:uid="{00000000-0005-0000-0000-0000885A0000}"/>
    <cellStyle name="Normal 2 15 4 3 3 2 3 2" xfId="36664" xr:uid="{00000000-0005-0000-0000-0000895A0000}"/>
    <cellStyle name="Normal 2 15 4 3 3 2 4" xfId="29223" xr:uid="{00000000-0005-0000-0000-00008A5A0000}"/>
    <cellStyle name="Normal 2 15 4 3 3 3" xfId="17743" xr:uid="{00000000-0005-0000-0000-00008B5A0000}"/>
    <cellStyle name="Normal 2 15 4 3 3 3 2" xfId="40386" xr:uid="{00000000-0005-0000-0000-00008C5A0000}"/>
    <cellStyle name="Normal 2 15 4 3 3 4" xfId="10303" xr:uid="{00000000-0005-0000-0000-00008D5A0000}"/>
    <cellStyle name="Normal 2 15 4 3 3 4 2" xfId="32946" xr:uid="{00000000-0005-0000-0000-00008E5A0000}"/>
    <cellStyle name="Normal 2 15 4 3 3 5" xfId="25505" xr:uid="{00000000-0005-0000-0000-00008F5A0000}"/>
    <cellStyle name="Normal 2 15 4 3 4" xfId="4730" xr:uid="{00000000-0005-0000-0000-0000905A0000}"/>
    <cellStyle name="Normal 2 15 4 3 4 2" xfId="19614" xr:uid="{00000000-0005-0000-0000-0000915A0000}"/>
    <cellStyle name="Normal 2 15 4 3 4 2 2" xfId="42257" xr:uid="{00000000-0005-0000-0000-0000925A0000}"/>
    <cellStyle name="Normal 2 15 4 3 4 3" xfId="12174" xr:uid="{00000000-0005-0000-0000-0000935A0000}"/>
    <cellStyle name="Normal 2 15 4 3 4 3 2" xfId="34817" xr:uid="{00000000-0005-0000-0000-0000945A0000}"/>
    <cellStyle name="Normal 2 15 4 3 4 4" xfId="27376" xr:uid="{00000000-0005-0000-0000-0000955A0000}"/>
    <cellStyle name="Normal 2 15 4 3 5" xfId="15896" xr:uid="{00000000-0005-0000-0000-0000965A0000}"/>
    <cellStyle name="Normal 2 15 4 3 5 2" xfId="38539" xr:uid="{00000000-0005-0000-0000-0000975A0000}"/>
    <cellStyle name="Normal 2 15 4 3 6" xfId="8456" xr:uid="{00000000-0005-0000-0000-0000985A0000}"/>
    <cellStyle name="Normal 2 15 4 3 6 2" xfId="31099" xr:uid="{00000000-0005-0000-0000-0000995A0000}"/>
    <cellStyle name="Normal 2 15 4 3 7" xfId="23658" xr:uid="{00000000-0005-0000-0000-00009A5A0000}"/>
    <cellStyle name="Normal 2 15 4 4" xfId="1469" xr:uid="{00000000-0005-0000-0000-00009B5A0000}"/>
    <cellStyle name="Normal 2 15 4 4 2" xfId="3319" xr:uid="{00000000-0005-0000-0000-00009C5A0000}"/>
    <cellStyle name="Normal 2 15 4 4 2 2" xfId="7040" xr:uid="{00000000-0005-0000-0000-00009D5A0000}"/>
    <cellStyle name="Normal 2 15 4 4 2 2 2" xfId="21924" xr:uid="{00000000-0005-0000-0000-00009E5A0000}"/>
    <cellStyle name="Normal 2 15 4 4 2 2 2 2" xfId="44567" xr:uid="{00000000-0005-0000-0000-00009F5A0000}"/>
    <cellStyle name="Normal 2 15 4 4 2 2 3" xfId="14484" xr:uid="{00000000-0005-0000-0000-0000A05A0000}"/>
    <cellStyle name="Normal 2 15 4 4 2 2 3 2" xfId="37127" xr:uid="{00000000-0005-0000-0000-0000A15A0000}"/>
    <cellStyle name="Normal 2 15 4 4 2 2 4" xfId="29686" xr:uid="{00000000-0005-0000-0000-0000A25A0000}"/>
    <cellStyle name="Normal 2 15 4 4 2 3" xfId="18206" xr:uid="{00000000-0005-0000-0000-0000A35A0000}"/>
    <cellStyle name="Normal 2 15 4 4 2 3 2" xfId="40849" xr:uid="{00000000-0005-0000-0000-0000A45A0000}"/>
    <cellStyle name="Normal 2 15 4 4 2 4" xfId="10766" xr:uid="{00000000-0005-0000-0000-0000A55A0000}"/>
    <cellStyle name="Normal 2 15 4 4 2 4 2" xfId="33409" xr:uid="{00000000-0005-0000-0000-0000A65A0000}"/>
    <cellStyle name="Normal 2 15 4 4 2 5" xfId="25968" xr:uid="{00000000-0005-0000-0000-0000A75A0000}"/>
    <cellStyle name="Normal 2 15 4 4 3" xfId="5193" xr:uid="{00000000-0005-0000-0000-0000A85A0000}"/>
    <cellStyle name="Normal 2 15 4 4 3 2" xfId="20077" xr:uid="{00000000-0005-0000-0000-0000A95A0000}"/>
    <cellStyle name="Normal 2 15 4 4 3 2 2" xfId="42720" xr:uid="{00000000-0005-0000-0000-0000AA5A0000}"/>
    <cellStyle name="Normal 2 15 4 4 3 3" xfId="12637" xr:uid="{00000000-0005-0000-0000-0000AB5A0000}"/>
    <cellStyle name="Normal 2 15 4 4 3 3 2" xfId="35280" xr:uid="{00000000-0005-0000-0000-0000AC5A0000}"/>
    <cellStyle name="Normal 2 15 4 4 3 4" xfId="27839" xr:uid="{00000000-0005-0000-0000-0000AD5A0000}"/>
    <cellStyle name="Normal 2 15 4 4 4" xfId="16359" xr:uid="{00000000-0005-0000-0000-0000AE5A0000}"/>
    <cellStyle name="Normal 2 15 4 4 4 2" xfId="39002" xr:uid="{00000000-0005-0000-0000-0000AF5A0000}"/>
    <cellStyle name="Normal 2 15 4 4 5" xfId="8919" xr:uid="{00000000-0005-0000-0000-0000B05A0000}"/>
    <cellStyle name="Normal 2 15 4 4 5 2" xfId="31562" xr:uid="{00000000-0005-0000-0000-0000B15A0000}"/>
    <cellStyle name="Normal 2 15 4 4 6" xfId="24121" xr:uid="{00000000-0005-0000-0000-0000B25A0000}"/>
    <cellStyle name="Normal 2 15 4 5" xfId="2394" xr:uid="{00000000-0005-0000-0000-0000B35A0000}"/>
    <cellStyle name="Normal 2 15 4 5 2" xfId="6115" xr:uid="{00000000-0005-0000-0000-0000B45A0000}"/>
    <cellStyle name="Normal 2 15 4 5 2 2" xfId="20999" xr:uid="{00000000-0005-0000-0000-0000B55A0000}"/>
    <cellStyle name="Normal 2 15 4 5 2 2 2" xfId="43642" xr:uid="{00000000-0005-0000-0000-0000B65A0000}"/>
    <cellStyle name="Normal 2 15 4 5 2 3" xfId="13559" xr:uid="{00000000-0005-0000-0000-0000B75A0000}"/>
    <cellStyle name="Normal 2 15 4 5 2 3 2" xfId="36202" xr:uid="{00000000-0005-0000-0000-0000B85A0000}"/>
    <cellStyle name="Normal 2 15 4 5 2 4" xfId="28761" xr:uid="{00000000-0005-0000-0000-0000B95A0000}"/>
    <cellStyle name="Normal 2 15 4 5 3" xfId="17281" xr:uid="{00000000-0005-0000-0000-0000BA5A0000}"/>
    <cellStyle name="Normal 2 15 4 5 3 2" xfId="39924" xr:uid="{00000000-0005-0000-0000-0000BB5A0000}"/>
    <cellStyle name="Normal 2 15 4 5 4" xfId="9841" xr:uid="{00000000-0005-0000-0000-0000BC5A0000}"/>
    <cellStyle name="Normal 2 15 4 5 4 2" xfId="32484" xr:uid="{00000000-0005-0000-0000-0000BD5A0000}"/>
    <cellStyle name="Normal 2 15 4 5 5" xfId="25043" xr:uid="{00000000-0005-0000-0000-0000BE5A0000}"/>
    <cellStyle name="Normal 2 15 4 6" xfId="4268" xr:uid="{00000000-0005-0000-0000-0000BF5A0000}"/>
    <cellStyle name="Normal 2 15 4 6 2" xfId="19152" xr:uid="{00000000-0005-0000-0000-0000C05A0000}"/>
    <cellStyle name="Normal 2 15 4 6 2 2" xfId="41795" xr:uid="{00000000-0005-0000-0000-0000C15A0000}"/>
    <cellStyle name="Normal 2 15 4 6 3" xfId="11712" xr:uid="{00000000-0005-0000-0000-0000C25A0000}"/>
    <cellStyle name="Normal 2 15 4 6 3 2" xfId="34355" xr:uid="{00000000-0005-0000-0000-0000C35A0000}"/>
    <cellStyle name="Normal 2 15 4 6 4" xfId="26914" xr:uid="{00000000-0005-0000-0000-0000C45A0000}"/>
    <cellStyle name="Normal 2 15 4 7" xfId="15434" xr:uid="{00000000-0005-0000-0000-0000C55A0000}"/>
    <cellStyle name="Normal 2 15 4 7 2" xfId="38077" xr:uid="{00000000-0005-0000-0000-0000C65A0000}"/>
    <cellStyle name="Normal 2 15 4 8" xfId="7994" xr:uid="{00000000-0005-0000-0000-0000C75A0000}"/>
    <cellStyle name="Normal 2 15 4 8 2" xfId="30637" xr:uid="{00000000-0005-0000-0000-0000C85A0000}"/>
    <cellStyle name="Normal 2 15 4 9" xfId="23197" xr:uid="{00000000-0005-0000-0000-0000C95A0000}"/>
    <cellStyle name="Normal 2 15 5" xfId="643" xr:uid="{00000000-0005-0000-0000-0000CA5A0000}"/>
    <cellStyle name="Normal 2 15 5 2" xfId="1109" xr:uid="{00000000-0005-0000-0000-0000CB5A0000}"/>
    <cellStyle name="Normal 2 15 5 2 2" xfId="2037" xr:uid="{00000000-0005-0000-0000-0000CC5A0000}"/>
    <cellStyle name="Normal 2 15 5 2 2 2" xfId="3887" xr:uid="{00000000-0005-0000-0000-0000CD5A0000}"/>
    <cellStyle name="Normal 2 15 5 2 2 2 2" xfId="7608" xr:uid="{00000000-0005-0000-0000-0000CE5A0000}"/>
    <cellStyle name="Normal 2 15 5 2 2 2 2 2" xfId="22492" xr:uid="{00000000-0005-0000-0000-0000CF5A0000}"/>
    <cellStyle name="Normal 2 15 5 2 2 2 2 2 2" xfId="45135" xr:uid="{00000000-0005-0000-0000-0000D05A0000}"/>
    <cellStyle name="Normal 2 15 5 2 2 2 2 3" xfId="15052" xr:uid="{00000000-0005-0000-0000-0000D15A0000}"/>
    <cellStyle name="Normal 2 15 5 2 2 2 2 3 2" xfId="37695" xr:uid="{00000000-0005-0000-0000-0000D25A0000}"/>
    <cellStyle name="Normal 2 15 5 2 2 2 2 4" xfId="30254" xr:uid="{00000000-0005-0000-0000-0000D35A0000}"/>
    <cellStyle name="Normal 2 15 5 2 2 2 3" xfId="18774" xr:uid="{00000000-0005-0000-0000-0000D45A0000}"/>
    <cellStyle name="Normal 2 15 5 2 2 2 3 2" xfId="41417" xr:uid="{00000000-0005-0000-0000-0000D55A0000}"/>
    <cellStyle name="Normal 2 15 5 2 2 2 4" xfId="11334" xr:uid="{00000000-0005-0000-0000-0000D65A0000}"/>
    <cellStyle name="Normal 2 15 5 2 2 2 4 2" xfId="33977" xr:uid="{00000000-0005-0000-0000-0000D75A0000}"/>
    <cellStyle name="Normal 2 15 5 2 2 2 5" xfId="26536" xr:uid="{00000000-0005-0000-0000-0000D85A0000}"/>
    <cellStyle name="Normal 2 15 5 2 2 3" xfId="5761" xr:uid="{00000000-0005-0000-0000-0000D95A0000}"/>
    <cellStyle name="Normal 2 15 5 2 2 3 2" xfId="20645" xr:uid="{00000000-0005-0000-0000-0000DA5A0000}"/>
    <cellStyle name="Normal 2 15 5 2 2 3 2 2" xfId="43288" xr:uid="{00000000-0005-0000-0000-0000DB5A0000}"/>
    <cellStyle name="Normal 2 15 5 2 2 3 3" xfId="13205" xr:uid="{00000000-0005-0000-0000-0000DC5A0000}"/>
    <cellStyle name="Normal 2 15 5 2 2 3 3 2" xfId="35848" xr:uid="{00000000-0005-0000-0000-0000DD5A0000}"/>
    <cellStyle name="Normal 2 15 5 2 2 3 4" xfId="28407" xr:uid="{00000000-0005-0000-0000-0000DE5A0000}"/>
    <cellStyle name="Normal 2 15 5 2 2 4" xfId="16927" xr:uid="{00000000-0005-0000-0000-0000DF5A0000}"/>
    <cellStyle name="Normal 2 15 5 2 2 4 2" xfId="39570" xr:uid="{00000000-0005-0000-0000-0000E05A0000}"/>
    <cellStyle name="Normal 2 15 5 2 2 5" xfId="9487" xr:uid="{00000000-0005-0000-0000-0000E15A0000}"/>
    <cellStyle name="Normal 2 15 5 2 2 5 2" xfId="32130" xr:uid="{00000000-0005-0000-0000-0000E25A0000}"/>
    <cellStyle name="Normal 2 15 5 2 2 6" xfId="24689" xr:uid="{00000000-0005-0000-0000-0000E35A0000}"/>
    <cellStyle name="Normal 2 15 5 2 3" xfId="2962" xr:uid="{00000000-0005-0000-0000-0000E45A0000}"/>
    <cellStyle name="Normal 2 15 5 2 3 2" xfId="6683" xr:uid="{00000000-0005-0000-0000-0000E55A0000}"/>
    <cellStyle name="Normal 2 15 5 2 3 2 2" xfId="21567" xr:uid="{00000000-0005-0000-0000-0000E65A0000}"/>
    <cellStyle name="Normal 2 15 5 2 3 2 2 2" xfId="44210" xr:uid="{00000000-0005-0000-0000-0000E75A0000}"/>
    <cellStyle name="Normal 2 15 5 2 3 2 3" xfId="14127" xr:uid="{00000000-0005-0000-0000-0000E85A0000}"/>
    <cellStyle name="Normal 2 15 5 2 3 2 3 2" xfId="36770" xr:uid="{00000000-0005-0000-0000-0000E95A0000}"/>
    <cellStyle name="Normal 2 15 5 2 3 2 4" xfId="29329" xr:uid="{00000000-0005-0000-0000-0000EA5A0000}"/>
    <cellStyle name="Normal 2 15 5 2 3 3" xfId="17849" xr:uid="{00000000-0005-0000-0000-0000EB5A0000}"/>
    <cellStyle name="Normal 2 15 5 2 3 3 2" xfId="40492" xr:uid="{00000000-0005-0000-0000-0000EC5A0000}"/>
    <cellStyle name="Normal 2 15 5 2 3 4" xfId="10409" xr:uid="{00000000-0005-0000-0000-0000ED5A0000}"/>
    <cellStyle name="Normal 2 15 5 2 3 4 2" xfId="33052" xr:uid="{00000000-0005-0000-0000-0000EE5A0000}"/>
    <cellStyle name="Normal 2 15 5 2 3 5" xfId="25611" xr:uid="{00000000-0005-0000-0000-0000EF5A0000}"/>
    <cellStyle name="Normal 2 15 5 2 4" xfId="4836" xr:uid="{00000000-0005-0000-0000-0000F05A0000}"/>
    <cellStyle name="Normal 2 15 5 2 4 2" xfId="19720" xr:uid="{00000000-0005-0000-0000-0000F15A0000}"/>
    <cellStyle name="Normal 2 15 5 2 4 2 2" xfId="42363" xr:uid="{00000000-0005-0000-0000-0000F25A0000}"/>
    <cellStyle name="Normal 2 15 5 2 4 3" xfId="12280" xr:uid="{00000000-0005-0000-0000-0000F35A0000}"/>
    <cellStyle name="Normal 2 15 5 2 4 3 2" xfId="34923" xr:uid="{00000000-0005-0000-0000-0000F45A0000}"/>
    <cellStyle name="Normal 2 15 5 2 4 4" xfId="27482" xr:uid="{00000000-0005-0000-0000-0000F55A0000}"/>
    <cellStyle name="Normal 2 15 5 2 5" xfId="16002" xr:uid="{00000000-0005-0000-0000-0000F65A0000}"/>
    <cellStyle name="Normal 2 15 5 2 5 2" xfId="38645" xr:uid="{00000000-0005-0000-0000-0000F75A0000}"/>
    <cellStyle name="Normal 2 15 5 2 6" xfId="8562" xr:uid="{00000000-0005-0000-0000-0000F85A0000}"/>
    <cellStyle name="Normal 2 15 5 2 6 2" xfId="31205" xr:uid="{00000000-0005-0000-0000-0000F95A0000}"/>
    <cellStyle name="Normal 2 15 5 2 7" xfId="23764" xr:uid="{00000000-0005-0000-0000-0000FA5A0000}"/>
    <cellStyle name="Normal 2 15 5 3" xfId="1575" xr:uid="{00000000-0005-0000-0000-0000FB5A0000}"/>
    <cellStyle name="Normal 2 15 5 3 2" xfId="3425" xr:uid="{00000000-0005-0000-0000-0000FC5A0000}"/>
    <cellStyle name="Normal 2 15 5 3 2 2" xfId="7146" xr:uid="{00000000-0005-0000-0000-0000FD5A0000}"/>
    <cellStyle name="Normal 2 15 5 3 2 2 2" xfId="22030" xr:uid="{00000000-0005-0000-0000-0000FE5A0000}"/>
    <cellStyle name="Normal 2 15 5 3 2 2 2 2" xfId="44673" xr:uid="{00000000-0005-0000-0000-0000FF5A0000}"/>
    <cellStyle name="Normal 2 15 5 3 2 2 3" xfId="14590" xr:uid="{00000000-0005-0000-0000-0000005B0000}"/>
    <cellStyle name="Normal 2 15 5 3 2 2 3 2" xfId="37233" xr:uid="{00000000-0005-0000-0000-0000015B0000}"/>
    <cellStyle name="Normal 2 15 5 3 2 2 4" xfId="29792" xr:uid="{00000000-0005-0000-0000-0000025B0000}"/>
    <cellStyle name="Normal 2 15 5 3 2 3" xfId="18312" xr:uid="{00000000-0005-0000-0000-0000035B0000}"/>
    <cellStyle name="Normal 2 15 5 3 2 3 2" xfId="40955" xr:uid="{00000000-0005-0000-0000-0000045B0000}"/>
    <cellStyle name="Normal 2 15 5 3 2 4" xfId="10872" xr:uid="{00000000-0005-0000-0000-0000055B0000}"/>
    <cellStyle name="Normal 2 15 5 3 2 4 2" xfId="33515" xr:uid="{00000000-0005-0000-0000-0000065B0000}"/>
    <cellStyle name="Normal 2 15 5 3 2 5" xfId="26074" xr:uid="{00000000-0005-0000-0000-0000075B0000}"/>
    <cellStyle name="Normal 2 15 5 3 3" xfId="5299" xr:uid="{00000000-0005-0000-0000-0000085B0000}"/>
    <cellStyle name="Normal 2 15 5 3 3 2" xfId="20183" xr:uid="{00000000-0005-0000-0000-0000095B0000}"/>
    <cellStyle name="Normal 2 15 5 3 3 2 2" xfId="42826" xr:uid="{00000000-0005-0000-0000-00000A5B0000}"/>
    <cellStyle name="Normal 2 15 5 3 3 3" xfId="12743" xr:uid="{00000000-0005-0000-0000-00000B5B0000}"/>
    <cellStyle name="Normal 2 15 5 3 3 3 2" xfId="35386" xr:uid="{00000000-0005-0000-0000-00000C5B0000}"/>
    <cellStyle name="Normal 2 15 5 3 3 4" xfId="27945" xr:uid="{00000000-0005-0000-0000-00000D5B0000}"/>
    <cellStyle name="Normal 2 15 5 3 4" xfId="16465" xr:uid="{00000000-0005-0000-0000-00000E5B0000}"/>
    <cellStyle name="Normal 2 15 5 3 4 2" xfId="39108" xr:uid="{00000000-0005-0000-0000-00000F5B0000}"/>
    <cellStyle name="Normal 2 15 5 3 5" xfId="9025" xr:uid="{00000000-0005-0000-0000-0000105B0000}"/>
    <cellStyle name="Normal 2 15 5 3 5 2" xfId="31668" xr:uid="{00000000-0005-0000-0000-0000115B0000}"/>
    <cellStyle name="Normal 2 15 5 3 6" xfId="24227" xr:uid="{00000000-0005-0000-0000-0000125B0000}"/>
    <cellStyle name="Normal 2 15 5 4" xfId="2500" xr:uid="{00000000-0005-0000-0000-0000135B0000}"/>
    <cellStyle name="Normal 2 15 5 4 2" xfId="6221" xr:uid="{00000000-0005-0000-0000-0000145B0000}"/>
    <cellStyle name="Normal 2 15 5 4 2 2" xfId="21105" xr:uid="{00000000-0005-0000-0000-0000155B0000}"/>
    <cellStyle name="Normal 2 15 5 4 2 2 2" xfId="43748" xr:uid="{00000000-0005-0000-0000-0000165B0000}"/>
    <cellStyle name="Normal 2 15 5 4 2 3" xfId="13665" xr:uid="{00000000-0005-0000-0000-0000175B0000}"/>
    <cellStyle name="Normal 2 15 5 4 2 3 2" xfId="36308" xr:uid="{00000000-0005-0000-0000-0000185B0000}"/>
    <cellStyle name="Normal 2 15 5 4 2 4" xfId="28867" xr:uid="{00000000-0005-0000-0000-0000195B0000}"/>
    <cellStyle name="Normal 2 15 5 4 3" xfId="17387" xr:uid="{00000000-0005-0000-0000-00001A5B0000}"/>
    <cellStyle name="Normal 2 15 5 4 3 2" xfId="40030" xr:uid="{00000000-0005-0000-0000-00001B5B0000}"/>
    <cellStyle name="Normal 2 15 5 4 4" xfId="9947" xr:uid="{00000000-0005-0000-0000-00001C5B0000}"/>
    <cellStyle name="Normal 2 15 5 4 4 2" xfId="32590" xr:uid="{00000000-0005-0000-0000-00001D5B0000}"/>
    <cellStyle name="Normal 2 15 5 4 5" xfId="25149" xr:uid="{00000000-0005-0000-0000-00001E5B0000}"/>
    <cellStyle name="Normal 2 15 5 5" xfId="4374" xr:uid="{00000000-0005-0000-0000-00001F5B0000}"/>
    <cellStyle name="Normal 2 15 5 5 2" xfId="19258" xr:uid="{00000000-0005-0000-0000-0000205B0000}"/>
    <cellStyle name="Normal 2 15 5 5 2 2" xfId="41901" xr:uid="{00000000-0005-0000-0000-0000215B0000}"/>
    <cellStyle name="Normal 2 15 5 5 3" xfId="11818" xr:uid="{00000000-0005-0000-0000-0000225B0000}"/>
    <cellStyle name="Normal 2 15 5 5 3 2" xfId="34461" xr:uid="{00000000-0005-0000-0000-0000235B0000}"/>
    <cellStyle name="Normal 2 15 5 5 4" xfId="27020" xr:uid="{00000000-0005-0000-0000-0000245B0000}"/>
    <cellStyle name="Normal 2 15 5 6" xfId="15540" xr:uid="{00000000-0005-0000-0000-0000255B0000}"/>
    <cellStyle name="Normal 2 15 5 6 2" xfId="38183" xr:uid="{00000000-0005-0000-0000-0000265B0000}"/>
    <cellStyle name="Normal 2 15 5 7" xfId="8100" xr:uid="{00000000-0005-0000-0000-0000275B0000}"/>
    <cellStyle name="Normal 2 15 5 7 2" xfId="30743" xr:uid="{00000000-0005-0000-0000-0000285B0000}"/>
    <cellStyle name="Normal 2 15 5 8" xfId="23302" xr:uid="{00000000-0005-0000-0000-0000295B0000}"/>
    <cellStyle name="Normal 2 15 6" xfId="898" xr:uid="{00000000-0005-0000-0000-00002A5B0000}"/>
    <cellStyle name="Normal 2 15 6 2" xfId="1826" xr:uid="{00000000-0005-0000-0000-00002B5B0000}"/>
    <cellStyle name="Normal 2 15 6 2 2" xfId="3676" xr:uid="{00000000-0005-0000-0000-00002C5B0000}"/>
    <cellStyle name="Normal 2 15 6 2 2 2" xfId="7397" xr:uid="{00000000-0005-0000-0000-00002D5B0000}"/>
    <cellStyle name="Normal 2 15 6 2 2 2 2" xfId="22281" xr:uid="{00000000-0005-0000-0000-00002E5B0000}"/>
    <cellStyle name="Normal 2 15 6 2 2 2 2 2" xfId="44924" xr:uid="{00000000-0005-0000-0000-00002F5B0000}"/>
    <cellStyle name="Normal 2 15 6 2 2 2 3" xfId="14841" xr:uid="{00000000-0005-0000-0000-0000305B0000}"/>
    <cellStyle name="Normal 2 15 6 2 2 2 3 2" xfId="37484" xr:uid="{00000000-0005-0000-0000-0000315B0000}"/>
    <cellStyle name="Normal 2 15 6 2 2 2 4" xfId="30043" xr:uid="{00000000-0005-0000-0000-0000325B0000}"/>
    <cellStyle name="Normal 2 15 6 2 2 3" xfId="18563" xr:uid="{00000000-0005-0000-0000-0000335B0000}"/>
    <cellStyle name="Normal 2 15 6 2 2 3 2" xfId="41206" xr:uid="{00000000-0005-0000-0000-0000345B0000}"/>
    <cellStyle name="Normal 2 15 6 2 2 4" xfId="11123" xr:uid="{00000000-0005-0000-0000-0000355B0000}"/>
    <cellStyle name="Normal 2 15 6 2 2 4 2" xfId="33766" xr:uid="{00000000-0005-0000-0000-0000365B0000}"/>
    <cellStyle name="Normal 2 15 6 2 2 5" xfId="26325" xr:uid="{00000000-0005-0000-0000-0000375B0000}"/>
    <cellStyle name="Normal 2 15 6 2 3" xfId="5550" xr:uid="{00000000-0005-0000-0000-0000385B0000}"/>
    <cellStyle name="Normal 2 15 6 2 3 2" xfId="20434" xr:uid="{00000000-0005-0000-0000-0000395B0000}"/>
    <cellStyle name="Normal 2 15 6 2 3 2 2" xfId="43077" xr:uid="{00000000-0005-0000-0000-00003A5B0000}"/>
    <cellStyle name="Normal 2 15 6 2 3 3" xfId="12994" xr:uid="{00000000-0005-0000-0000-00003B5B0000}"/>
    <cellStyle name="Normal 2 15 6 2 3 3 2" xfId="35637" xr:uid="{00000000-0005-0000-0000-00003C5B0000}"/>
    <cellStyle name="Normal 2 15 6 2 3 4" xfId="28196" xr:uid="{00000000-0005-0000-0000-00003D5B0000}"/>
    <cellStyle name="Normal 2 15 6 2 4" xfId="16716" xr:uid="{00000000-0005-0000-0000-00003E5B0000}"/>
    <cellStyle name="Normal 2 15 6 2 4 2" xfId="39359" xr:uid="{00000000-0005-0000-0000-00003F5B0000}"/>
    <cellStyle name="Normal 2 15 6 2 5" xfId="9276" xr:uid="{00000000-0005-0000-0000-0000405B0000}"/>
    <cellStyle name="Normal 2 15 6 2 5 2" xfId="31919" xr:uid="{00000000-0005-0000-0000-0000415B0000}"/>
    <cellStyle name="Normal 2 15 6 2 6" xfId="24478" xr:uid="{00000000-0005-0000-0000-0000425B0000}"/>
    <cellStyle name="Normal 2 15 6 3" xfId="2751" xr:uid="{00000000-0005-0000-0000-0000435B0000}"/>
    <cellStyle name="Normal 2 15 6 3 2" xfId="6472" xr:uid="{00000000-0005-0000-0000-0000445B0000}"/>
    <cellStyle name="Normal 2 15 6 3 2 2" xfId="21356" xr:uid="{00000000-0005-0000-0000-0000455B0000}"/>
    <cellStyle name="Normal 2 15 6 3 2 2 2" xfId="43999" xr:uid="{00000000-0005-0000-0000-0000465B0000}"/>
    <cellStyle name="Normal 2 15 6 3 2 3" xfId="13916" xr:uid="{00000000-0005-0000-0000-0000475B0000}"/>
    <cellStyle name="Normal 2 15 6 3 2 3 2" xfId="36559" xr:uid="{00000000-0005-0000-0000-0000485B0000}"/>
    <cellStyle name="Normal 2 15 6 3 2 4" xfId="29118" xr:uid="{00000000-0005-0000-0000-0000495B0000}"/>
    <cellStyle name="Normal 2 15 6 3 3" xfId="17638" xr:uid="{00000000-0005-0000-0000-00004A5B0000}"/>
    <cellStyle name="Normal 2 15 6 3 3 2" xfId="40281" xr:uid="{00000000-0005-0000-0000-00004B5B0000}"/>
    <cellStyle name="Normal 2 15 6 3 4" xfId="10198" xr:uid="{00000000-0005-0000-0000-00004C5B0000}"/>
    <cellStyle name="Normal 2 15 6 3 4 2" xfId="32841" xr:uid="{00000000-0005-0000-0000-00004D5B0000}"/>
    <cellStyle name="Normal 2 15 6 3 5" xfId="25400" xr:uid="{00000000-0005-0000-0000-00004E5B0000}"/>
    <cellStyle name="Normal 2 15 6 4" xfId="4625" xr:uid="{00000000-0005-0000-0000-00004F5B0000}"/>
    <cellStyle name="Normal 2 15 6 4 2" xfId="19509" xr:uid="{00000000-0005-0000-0000-0000505B0000}"/>
    <cellStyle name="Normal 2 15 6 4 2 2" xfId="42152" xr:uid="{00000000-0005-0000-0000-0000515B0000}"/>
    <cellStyle name="Normal 2 15 6 4 3" xfId="12069" xr:uid="{00000000-0005-0000-0000-0000525B0000}"/>
    <cellStyle name="Normal 2 15 6 4 3 2" xfId="34712" xr:uid="{00000000-0005-0000-0000-0000535B0000}"/>
    <cellStyle name="Normal 2 15 6 4 4" xfId="27271" xr:uid="{00000000-0005-0000-0000-0000545B0000}"/>
    <cellStyle name="Normal 2 15 6 5" xfId="15791" xr:uid="{00000000-0005-0000-0000-0000555B0000}"/>
    <cellStyle name="Normal 2 15 6 5 2" xfId="38434" xr:uid="{00000000-0005-0000-0000-0000565B0000}"/>
    <cellStyle name="Normal 2 15 6 6" xfId="8351" xr:uid="{00000000-0005-0000-0000-0000575B0000}"/>
    <cellStyle name="Normal 2 15 6 6 2" xfId="30994" xr:uid="{00000000-0005-0000-0000-0000585B0000}"/>
    <cellStyle name="Normal 2 15 6 7" xfId="23553" xr:uid="{00000000-0005-0000-0000-0000595B0000}"/>
    <cellStyle name="Normal 2 15 7" xfId="1364" xr:uid="{00000000-0005-0000-0000-00005A5B0000}"/>
    <cellStyle name="Normal 2 15 7 2" xfId="3214" xr:uid="{00000000-0005-0000-0000-00005B5B0000}"/>
    <cellStyle name="Normal 2 15 7 2 2" xfId="6935" xr:uid="{00000000-0005-0000-0000-00005C5B0000}"/>
    <cellStyle name="Normal 2 15 7 2 2 2" xfId="21819" xr:uid="{00000000-0005-0000-0000-00005D5B0000}"/>
    <cellStyle name="Normal 2 15 7 2 2 2 2" xfId="44462" xr:uid="{00000000-0005-0000-0000-00005E5B0000}"/>
    <cellStyle name="Normal 2 15 7 2 2 3" xfId="14379" xr:uid="{00000000-0005-0000-0000-00005F5B0000}"/>
    <cellStyle name="Normal 2 15 7 2 2 3 2" xfId="37022" xr:uid="{00000000-0005-0000-0000-0000605B0000}"/>
    <cellStyle name="Normal 2 15 7 2 2 4" xfId="29581" xr:uid="{00000000-0005-0000-0000-0000615B0000}"/>
    <cellStyle name="Normal 2 15 7 2 3" xfId="18101" xr:uid="{00000000-0005-0000-0000-0000625B0000}"/>
    <cellStyle name="Normal 2 15 7 2 3 2" xfId="40744" xr:uid="{00000000-0005-0000-0000-0000635B0000}"/>
    <cellStyle name="Normal 2 15 7 2 4" xfId="10661" xr:uid="{00000000-0005-0000-0000-0000645B0000}"/>
    <cellStyle name="Normal 2 15 7 2 4 2" xfId="33304" xr:uid="{00000000-0005-0000-0000-0000655B0000}"/>
    <cellStyle name="Normal 2 15 7 2 5" xfId="25863" xr:uid="{00000000-0005-0000-0000-0000665B0000}"/>
    <cellStyle name="Normal 2 15 7 3" xfId="5088" xr:uid="{00000000-0005-0000-0000-0000675B0000}"/>
    <cellStyle name="Normal 2 15 7 3 2" xfId="19972" xr:uid="{00000000-0005-0000-0000-0000685B0000}"/>
    <cellStyle name="Normal 2 15 7 3 2 2" xfId="42615" xr:uid="{00000000-0005-0000-0000-0000695B0000}"/>
    <cellStyle name="Normal 2 15 7 3 3" xfId="12532" xr:uid="{00000000-0005-0000-0000-00006A5B0000}"/>
    <cellStyle name="Normal 2 15 7 3 3 2" xfId="35175" xr:uid="{00000000-0005-0000-0000-00006B5B0000}"/>
    <cellStyle name="Normal 2 15 7 3 4" xfId="27734" xr:uid="{00000000-0005-0000-0000-00006C5B0000}"/>
    <cellStyle name="Normal 2 15 7 4" xfId="16254" xr:uid="{00000000-0005-0000-0000-00006D5B0000}"/>
    <cellStyle name="Normal 2 15 7 4 2" xfId="38897" xr:uid="{00000000-0005-0000-0000-00006E5B0000}"/>
    <cellStyle name="Normal 2 15 7 5" xfId="8814" xr:uid="{00000000-0005-0000-0000-00006F5B0000}"/>
    <cellStyle name="Normal 2 15 7 5 2" xfId="31457" xr:uid="{00000000-0005-0000-0000-0000705B0000}"/>
    <cellStyle name="Normal 2 15 7 6" xfId="24016" xr:uid="{00000000-0005-0000-0000-0000715B0000}"/>
    <cellStyle name="Normal 2 15 8" xfId="2289" xr:uid="{00000000-0005-0000-0000-0000725B0000}"/>
    <cellStyle name="Normal 2 15 8 2" xfId="6010" xr:uid="{00000000-0005-0000-0000-0000735B0000}"/>
    <cellStyle name="Normal 2 15 8 2 2" xfId="20894" xr:uid="{00000000-0005-0000-0000-0000745B0000}"/>
    <cellStyle name="Normal 2 15 8 2 2 2" xfId="43537" xr:uid="{00000000-0005-0000-0000-0000755B0000}"/>
    <cellStyle name="Normal 2 15 8 2 3" xfId="13454" xr:uid="{00000000-0005-0000-0000-0000765B0000}"/>
    <cellStyle name="Normal 2 15 8 2 3 2" xfId="36097" xr:uid="{00000000-0005-0000-0000-0000775B0000}"/>
    <cellStyle name="Normal 2 15 8 2 4" xfId="28656" xr:uid="{00000000-0005-0000-0000-0000785B0000}"/>
    <cellStyle name="Normal 2 15 8 3" xfId="17176" xr:uid="{00000000-0005-0000-0000-0000795B0000}"/>
    <cellStyle name="Normal 2 15 8 3 2" xfId="39819" xr:uid="{00000000-0005-0000-0000-00007A5B0000}"/>
    <cellStyle name="Normal 2 15 8 4" xfId="9736" xr:uid="{00000000-0005-0000-0000-00007B5B0000}"/>
    <cellStyle name="Normal 2 15 8 4 2" xfId="32379" xr:uid="{00000000-0005-0000-0000-00007C5B0000}"/>
    <cellStyle name="Normal 2 15 8 5" xfId="24938" xr:uid="{00000000-0005-0000-0000-00007D5B0000}"/>
    <cellStyle name="Normal 2 15 9" xfId="4163" xr:uid="{00000000-0005-0000-0000-00007E5B0000}"/>
    <cellStyle name="Normal 2 15 9 2" xfId="19047" xr:uid="{00000000-0005-0000-0000-00007F5B0000}"/>
    <cellStyle name="Normal 2 15 9 2 2" xfId="41690" xr:uid="{00000000-0005-0000-0000-0000805B0000}"/>
    <cellStyle name="Normal 2 15 9 3" xfId="11607" xr:uid="{00000000-0005-0000-0000-0000815B0000}"/>
    <cellStyle name="Normal 2 15 9 3 2" xfId="34250" xr:uid="{00000000-0005-0000-0000-0000825B0000}"/>
    <cellStyle name="Normal 2 15 9 4" xfId="26809" xr:uid="{00000000-0005-0000-0000-0000835B0000}"/>
    <cellStyle name="Normal 2 2" xfId="386" xr:uid="{00000000-0005-0000-0000-0000845B0000}"/>
    <cellStyle name="Normal 2 3" xfId="390" xr:uid="{00000000-0005-0000-0000-0000855B0000}"/>
    <cellStyle name="Normal 2 4" xfId="396" xr:uid="{00000000-0005-0000-0000-0000865B0000}"/>
    <cellStyle name="Normal 2 5" xfId="402" xr:uid="{00000000-0005-0000-0000-0000875B0000}"/>
    <cellStyle name="Normal 2 5 10" xfId="15319" xr:uid="{00000000-0005-0000-0000-0000885B0000}"/>
    <cellStyle name="Normal 2 5 10 2" xfId="37962" xr:uid="{00000000-0005-0000-0000-0000895B0000}"/>
    <cellStyle name="Normal 2 5 11" xfId="7879" xr:uid="{00000000-0005-0000-0000-00008A5B0000}"/>
    <cellStyle name="Normal 2 5 11 2" xfId="30522" xr:uid="{00000000-0005-0000-0000-00008B5B0000}"/>
    <cellStyle name="Normal 2 5 12" xfId="23082" xr:uid="{00000000-0005-0000-0000-00008C5B0000}"/>
    <cellStyle name="Normal 2 5 2" xfId="440" xr:uid="{00000000-0005-0000-0000-00008D5B0000}"/>
    <cellStyle name="Normal 2 5 2 10" xfId="7899" xr:uid="{00000000-0005-0000-0000-00008E5B0000}"/>
    <cellStyle name="Normal 2 5 2 10 2" xfId="30542" xr:uid="{00000000-0005-0000-0000-00008F5B0000}"/>
    <cellStyle name="Normal 2 5 2 11" xfId="23102" xr:uid="{00000000-0005-0000-0000-0000905B0000}"/>
    <cellStyle name="Normal 2 5 2 2" xfId="493" xr:uid="{00000000-0005-0000-0000-0000915B0000}"/>
    <cellStyle name="Normal 2 5 2 2 10" xfId="23154" xr:uid="{00000000-0005-0000-0000-0000925B0000}"/>
    <cellStyle name="Normal 2 5 2 2 2" xfId="599" xr:uid="{00000000-0005-0000-0000-0000935B0000}"/>
    <cellStyle name="Normal 2 5 2 2 2 2" xfId="811" xr:uid="{00000000-0005-0000-0000-0000945B0000}"/>
    <cellStyle name="Normal 2 5 2 2 2 2 2" xfId="1276" xr:uid="{00000000-0005-0000-0000-0000955B0000}"/>
    <cellStyle name="Normal 2 5 2 2 2 2 2 2" xfId="2204" xr:uid="{00000000-0005-0000-0000-0000965B0000}"/>
    <cellStyle name="Normal 2 5 2 2 2 2 2 2 2" xfId="4054" xr:uid="{00000000-0005-0000-0000-0000975B0000}"/>
    <cellStyle name="Normal 2 5 2 2 2 2 2 2 2 2" xfId="7775" xr:uid="{00000000-0005-0000-0000-0000985B0000}"/>
    <cellStyle name="Normal 2 5 2 2 2 2 2 2 2 2 2" xfId="22659" xr:uid="{00000000-0005-0000-0000-0000995B0000}"/>
    <cellStyle name="Normal 2 5 2 2 2 2 2 2 2 2 2 2" xfId="45302" xr:uid="{00000000-0005-0000-0000-00009A5B0000}"/>
    <cellStyle name="Normal 2 5 2 2 2 2 2 2 2 2 3" xfId="15219" xr:uid="{00000000-0005-0000-0000-00009B5B0000}"/>
    <cellStyle name="Normal 2 5 2 2 2 2 2 2 2 2 3 2" xfId="37862" xr:uid="{00000000-0005-0000-0000-00009C5B0000}"/>
    <cellStyle name="Normal 2 5 2 2 2 2 2 2 2 2 4" xfId="30421" xr:uid="{00000000-0005-0000-0000-00009D5B0000}"/>
    <cellStyle name="Normal 2 5 2 2 2 2 2 2 2 3" xfId="18941" xr:uid="{00000000-0005-0000-0000-00009E5B0000}"/>
    <cellStyle name="Normal 2 5 2 2 2 2 2 2 2 3 2" xfId="41584" xr:uid="{00000000-0005-0000-0000-00009F5B0000}"/>
    <cellStyle name="Normal 2 5 2 2 2 2 2 2 2 4" xfId="11501" xr:uid="{00000000-0005-0000-0000-0000A05B0000}"/>
    <cellStyle name="Normal 2 5 2 2 2 2 2 2 2 4 2" xfId="34144" xr:uid="{00000000-0005-0000-0000-0000A15B0000}"/>
    <cellStyle name="Normal 2 5 2 2 2 2 2 2 2 5" xfId="26703" xr:uid="{00000000-0005-0000-0000-0000A25B0000}"/>
    <cellStyle name="Normal 2 5 2 2 2 2 2 2 3" xfId="5928" xr:uid="{00000000-0005-0000-0000-0000A35B0000}"/>
    <cellStyle name="Normal 2 5 2 2 2 2 2 2 3 2" xfId="20812" xr:uid="{00000000-0005-0000-0000-0000A45B0000}"/>
    <cellStyle name="Normal 2 5 2 2 2 2 2 2 3 2 2" xfId="43455" xr:uid="{00000000-0005-0000-0000-0000A55B0000}"/>
    <cellStyle name="Normal 2 5 2 2 2 2 2 2 3 3" xfId="13372" xr:uid="{00000000-0005-0000-0000-0000A65B0000}"/>
    <cellStyle name="Normal 2 5 2 2 2 2 2 2 3 3 2" xfId="36015" xr:uid="{00000000-0005-0000-0000-0000A75B0000}"/>
    <cellStyle name="Normal 2 5 2 2 2 2 2 2 3 4" xfId="28574" xr:uid="{00000000-0005-0000-0000-0000A85B0000}"/>
    <cellStyle name="Normal 2 5 2 2 2 2 2 2 4" xfId="17094" xr:uid="{00000000-0005-0000-0000-0000A95B0000}"/>
    <cellStyle name="Normal 2 5 2 2 2 2 2 2 4 2" xfId="39737" xr:uid="{00000000-0005-0000-0000-0000AA5B0000}"/>
    <cellStyle name="Normal 2 5 2 2 2 2 2 2 5" xfId="9654" xr:uid="{00000000-0005-0000-0000-0000AB5B0000}"/>
    <cellStyle name="Normal 2 5 2 2 2 2 2 2 5 2" xfId="32297" xr:uid="{00000000-0005-0000-0000-0000AC5B0000}"/>
    <cellStyle name="Normal 2 5 2 2 2 2 2 2 6" xfId="24856" xr:uid="{00000000-0005-0000-0000-0000AD5B0000}"/>
    <cellStyle name="Normal 2 5 2 2 2 2 2 3" xfId="3129" xr:uid="{00000000-0005-0000-0000-0000AE5B0000}"/>
    <cellStyle name="Normal 2 5 2 2 2 2 2 3 2" xfId="6850" xr:uid="{00000000-0005-0000-0000-0000AF5B0000}"/>
    <cellStyle name="Normal 2 5 2 2 2 2 2 3 2 2" xfId="21734" xr:uid="{00000000-0005-0000-0000-0000B05B0000}"/>
    <cellStyle name="Normal 2 5 2 2 2 2 2 3 2 2 2" xfId="44377" xr:uid="{00000000-0005-0000-0000-0000B15B0000}"/>
    <cellStyle name="Normal 2 5 2 2 2 2 2 3 2 3" xfId="14294" xr:uid="{00000000-0005-0000-0000-0000B25B0000}"/>
    <cellStyle name="Normal 2 5 2 2 2 2 2 3 2 3 2" xfId="36937" xr:uid="{00000000-0005-0000-0000-0000B35B0000}"/>
    <cellStyle name="Normal 2 5 2 2 2 2 2 3 2 4" xfId="29496" xr:uid="{00000000-0005-0000-0000-0000B45B0000}"/>
    <cellStyle name="Normal 2 5 2 2 2 2 2 3 3" xfId="18016" xr:uid="{00000000-0005-0000-0000-0000B55B0000}"/>
    <cellStyle name="Normal 2 5 2 2 2 2 2 3 3 2" xfId="40659" xr:uid="{00000000-0005-0000-0000-0000B65B0000}"/>
    <cellStyle name="Normal 2 5 2 2 2 2 2 3 4" xfId="10576" xr:uid="{00000000-0005-0000-0000-0000B75B0000}"/>
    <cellStyle name="Normal 2 5 2 2 2 2 2 3 4 2" xfId="33219" xr:uid="{00000000-0005-0000-0000-0000B85B0000}"/>
    <cellStyle name="Normal 2 5 2 2 2 2 2 3 5" xfId="25778" xr:uid="{00000000-0005-0000-0000-0000B95B0000}"/>
    <cellStyle name="Normal 2 5 2 2 2 2 2 4" xfId="5003" xr:uid="{00000000-0005-0000-0000-0000BA5B0000}"/>
    <cellStyle name="Normal 2 5 2 2 2 2 2 4 2" xfId="19887" xr:uid="{00000000-0005-0000-0000-0000BB5B0000}"/>
    <cellStyle name="Normal 2 5 2 2 2 2 2 4 2 2" xfId="42530" xr:uid="{00000000-0005-0000-0000-0000BC5B0000}"/>
    <cellStyle name="Normal 2 5 2 2 2 2 2 4 3" xfId="12447" xr:uid="{00000000-0005-0000-0000-0000BD5B0000}"/>
    <cellStyle name="Normal 2 5 2 2 2 2 2 4 3 2" xfId="35090" xr:uid="{00000000-0005-0000-0000-0000BE5B0000}"/>
    <cellStyle name="Normal 2 5 2 2 2 2 2 4 4" xfId="27649" xr:uid="{00000000-0005-0000-0000-0000BF5B0000}"/>
    <cellStyle name="Normal 2 5 2 2 2 2 2 5" xfId="16169" xr:uid="{00000000-0005-0000-0000-0000C05B0000}"/>
    <cellStyle name="Normal 2 5 2 2 2 2 2 5 2" xfId="38812" xr:uid="{00000000-0005-0000-0000-0000C15B0000}"/>
    <cellStyle name="Normal 2 5 2 2 2 2 2 6" xfId="8729" xr:uid="{00000000-0005-0000-0000-0000C25B0000}"/>
    <cellStyle name="Normal 2 5 2 2 2 2 2 6 2" xfId="31372" xr:uid="{00000000-0005-0000-0000-0000C35B0000}"/>
    <cellStyle name="Normal 2 5 2 2 2 2 2 7" xfId="23931" xr:uid="{00000000-0005-0000-0000-0000C45B0000}"/>
    <cellStyle name="Normal 2 5 2 2 2 2 3" xfId="1742" xr:uid="{00000000-0005-0000-0000-0000C55B0000}"/>
    <cellStyle name="Normal 2 5 2 2 2 2 3 2" xfId="3592" xr:uid="{00000000-0005-0000-0000-0000C65B0000}"/>
    <cellStyle name="Normal 2 5 2 2 2 2 3 2 2" xfId="7313" xr:uid="{00000000-0005-0000-0000-0000C75B0000}"/>
    <cellStyle name="Normal 2 5 2 2 2 2 3 2 2 2" xfId="22197" xr:uid="{00000000-0005-0000-0000-0000C85B0000}"/>
    <cellStyle name="Normal 2 5 2 2 2 2 3 2 2 2 2" xfId="44840" xr:uid="{00000000-0005-0000-0000-0000C95B0000}"/>
    <cellStyle name="Normal 2 5 2 2 2 2 3 2 2 3" xfId="14757" xr:uid="{00000000-0005-0000-0000-0000CA5B0000}"/>
    <cellStyle name="Normal 2 5 2 2 2 2 3 2 2 3 2" xfId="37400" xr:uid="{00000000-0005-0000-0000-0000CB5B0000}"/>
    <cellStyle name="Normal 2 5 2 2 2 2 3 2 2 4" xfId="29959" xr:uid="{00000000-0005-0000-0000-0000CC5B0000}"/>
    <cellStyle name="Normal 2 5 2 2 2 2 3 2 3" xfId="18479" xr:uid="{00000000-0005-0000-0000-0000CD5B0000}"/>
    <cellStyle name="Normal 2 5 2 2 2 2 3 2 3 2" xfId="41122" xr:uid="{00000000-0005-0000-0000-0000CE5B0000}"/>
    <cellStyle name="Normal 2 5 2 2 2 2 3 2 4" xfId="11039" xr:uid="{00000000-0005-0000-0000-0000CF5B0000}"/>
    <cellStyle name="Normal 2 5 2 2 2 2 3 2 4 2" xfId="33682" xr:uid="{00000000-0005-0000-0000-0000D05B0000}"/>
    <cellStyle name="Normal 2 5 2 2 2 2 3 2 5" xfId="26241" xr:uid="{00000000-0005-0000-0000-0000D15B0000}"/>
    <cellStyle name="Normal 2 5 2 2 2 2 3 3" xfId="5466" xr:uid="{00000000-0005-0000-0000-0000D25B0000}"/>
    <cellStyle name="Normal 2 5 2 2 2 2 3 3 2" xfId="20350" xr:uid="{00000000-0005-0000-0000-0000D35B0000}"/>
    <cellStyle name="Normal 2 5 2 2 2 2 3 3 2 2" xfId="42993" xr:uid="{00000000-0005-0000-0000-0000D45B0000}"/>
    <cellStyle name="Normal 2 5 2 2 2 2 3 3 3" xfId="12910" xr:uid="{00000000-0005-0000-0000-0000D55B0000}"/>
    <cellStyle name="Normal 2 5 2 2 2 2 3 3 3 2" xfId="35553" xr:uid="{00000000-0005-0000-0000-0000D65B0000}"/>
    <cellStyle name="Normal 2 5 2 2 2 2 3 3 4" xfId="28112" xr:uid="{00000000-0005-0000-0000-0000D75B0000}"/>
    <cellStyle name="Normal 2 5 2 2 2 2 3 4" xfId="16632" xr:uid="{00000000-0005-0000-0000-0000D85B0000}"/>
    <cellStyle name="Normal 2 5 2 2 2 2 3 4 2" xfId="39275" xr:uid="{00000000-0005-0000-0000-0000D95B0000}"/>
    <cellStyle name="Normal 2 5 2 2 2 2 3 5" xfId="9192" xr:uid="{00000000-0005-0000-0000-0000DA5B0000}"/>
    <cellStyle name="Normal 2 5 2 2 2 2 3 5 2" xfId="31835" xr:uid="{00000000-0005-0000-0000-0000DB5B0000}"/>
    <cellStyle name="Normal 2 5 2 2 2 2 3 6" xfId="24394" xr:uid="{00000000-0005-0000-0000-0000DC5B0000}"/>
    <cellStyle name="Normal 2 5 2 2 2 2 4" xfId="2667" xr:uid="{00000000-0005-0000-0000-0000DD5B0000}"/>
    <cellStyle name="Normal 2 5 2 2 2 2 4 2" xfId="6388" xr:uid="{00000000-0005-0000-0000-0000DE5B0000}"/>
    <cellStyle name="Normal 2 5 2 2 2 2 4 2 2" xfId="21272" xr:uid="{00000000-0005-0000-0000-0000DF5B0000}"/>
    <cellStyle name="Normal 2 5 2 2 2 2 4 2 2 2" xfId="43915" xr:uid="{00000000-0005-0000-0000-0000E05B0000}"/>
    <cellStyle name="Normal 2 5 2 2 2 2 4 2 3" xfId="13832" xr:uid="{00000000-0005-0000-0000-0000E15B0000}"/>
    <cellStyle name="Normal 2 5 2 2 2 2 4 2 3 2" xfId="36475" xr:uid="{00000000-0005-0000-0000-0000E25B0000}"/>
    <cellStyle name="Normal 2 5 2 2 2 2 4 2 4" xfId="29034" xr:uid="{00000000-0005-0000-0000-0000E35B0000}"/>
    <cellStyle name="Normal 2 5 2 2 2 2 4 3" xfId="17554" xr:uid="{00000000-0005-0000-0000-0000E45B0000}"/>
    <cellStyle name="Normal 2 5 2 2 2 2 4 3 2" xfId="40197" xr:uid="{00000000-0005-0000-0000-0000E55B0000}"/>
    <cellStyle name="Normal 2 5 2 2 2 2 4 4" xfId="10114" xr:uid="{00000000-0005-0000-0000-0000E65B0000}"/>
    <cellStyle name="Normal 2 5 2 2 2 2 4 4 2" xfId="32757" xr:uid="{00000000-0005-0000-0000-0000E75B0000}"/>
    <cellStyle name="Normal 2 5 2 2 2 2 4 5" xfId="25316" xr:uid="{00000000-0005-0000-0000-0000E85B0000}"/>
    <cellStyle name="Normal 2 5 2 2 2 2 5" xfId="4541" xr:uid="{00000000-0005-0000-0000-0000E95B0000}"/>
    <cellStyle name="Normal 2 5 2 2 2 2 5 2" xfId="19425" xr:uid="{00000000-0005-0000-0000-0000EA5B0000}"/>
    <cellStyle name="Normal 2 5 2 2 2 2 5 2 2" xfId="42068" xr:uid="{00000000-0005-0000-0000-0000EB5B0000}"/>
    <cellStyle name="Normal 2 5 2 2 2 2 5 3" xfId="11985" xr:uid="{00000000-0005-0000-0000-0000EC5B0000}"/>
    <cellStyle name="Normal 2 5 2 2 2 2 5 3 2" xfId="34628" xr:uid="{00000000-0005-0000-0000-0000ED5B0000}"/>
    <cellStyle name="Normal 2 5 2 2 2 2 5 4" xfId="27187" xr:uid="{00000000-0005-0000-0000-0000EE5B0000}"/>
    <cellStyle name="Normal 2 5 2 2 2 2 6" xfId="15707" xr:uid="{00000000-0005-0000-0000-0000EF5B0000}"/>
    <cellStyle name="Normal 2 5 2 2 2 2 6 2" xfId="38350" xr:uid="{00000000-0005-0000-0000-0000F05B0000}"/>
    <cellStyle name="Normal 2 5 2 2 2 2 7" xfId="8267" xr:uid="{00000000-0005-0000-0000-0000F15B0000}"/>
    <cellStyle name="Normal 2 5 2 2 2 2 7 2" xfId="30910" xr:uid="{00000000-0005-0000-0000-0000F25B0000}"/>
    <cellStyle name="Normal 2 5 2 2 2 2 8" xfId="23469" xr:uid="{00000000-0005-0000-0000-0000F35B0000}"/>
    <cellStyle name="Normal 2 5 2 2 2 3" xfId="1065" xr:uid="{00000000-0005-0000-0000-0000F45B0000}"/>
    <cellStyle name="Normal 2 5 2 2 2 3 2" xfId="1993" xr:uid="{00000000-0005-0000-0000-0000F55B0000}"/>
    <cellStyle name="Normal 2 5 2 2 2 3 2 2" xfId="3843" xr:uid="{00000000-0005-0000-0000-0000F65B0000}"/>
    <cellStyle name="Normal 2 5 2 2 2 3 2 2 2" xfId="7564" xr:uid="{00000000-0005-0000-0000-0000F75B0000}"/>
    <cellStyle name="Normal 2 5 2 2 2 3 2 2 2 2" xfId="22448" xr:uid="{00000000-0005-0000-0000-0000F85B0000}"/>
    <cellStyle name="Normal 2 5 2 2 2 3 2 2 2 2 2" xfId="45091" xr:uid="{00000000-0005-0000-0000-0000F95B0000}"/>
    <cellStyle name="Normal 2 5 2 2 2 3 2 2 2 3" xfId="15008" xr:uid="{00000000-0005-0000-0000-0000FA5B0000}"/>
    <cellStyle name="Normal 2 5 2 2 2 3 2 2 2 3 2" xfId="37651" xr:uid="{00000000-0005-0000-0000-0000FB5B0000}"/>
    <cellStyle name="Normal 2 5 2 2 2 3 2 2 2 4" xfId="30210" xr:uid="{00000000-0005-0000-0000-0000FC5B0000}"/>
    <cellStyle name="Normal 2 5 2 2 2 3 2 2 3" xfId="18730" xr:uid="{00000000-0005-0000-0000-0000FD5B0000}"/>
    <cellStyle name="Normal 2 5 2 2 2 3 2 2 3 2" xfId="41373" xr:uid="{00000000-0005-0000-0000-0000FE5B0000}"/>
    <cellStyle name="Normal 2 5 2 2 2 3 2 2 4" xfId="11290" xr:uid="{00000000-0005-0000-0000-0000FF5B0000}"/>
    <cellStyle name="Normal 2 5 2 2 2 3 2 2 4 2" xfId="33933" xr:uid="{00000000-0005-0000-0000-0000005C0000}"/>
    <cellStyle name="Normal 2 5 2 2 2 3 2 2 5" xfId="26492" xr:uid="{00000000-0005-0000-0000-0000015C0000}"/>
    <cellStyle name="Normal 2 5 2 2 2 3 2 3" xfId="5717" xr:uid="{00000000-0005-0000-0000-0000025C0000}"/>
    <cellStyle name="Normal 2 5 2 2 2 3 2 3 2" xfId="20601" xr:uid="{00000000-0005-0000-0000-0000035C0000}"/>
    <cellStyle name="Normal 2 5 2 2 2 3 2 3 2 2" xfId="43244" xr:uid="{00000000-0005-0000-0000-0000045C0000}"/>
    <cellStyle name="Normal 2 5 2 2 2 3 2 3 3" xfId="13161" xr:uid="{00000000-0005-0000-0000-0000055C0000}"/>
    <cellStyle name="Normal 2 5 2 2 2 3 2 3 3 2" xfId="35804" xr:uid="{00000000-0005-0000-0000-0000065C0000}"/>
    <cellStyle name="Normal 2 5 2 2 2 3 2 3 4" xfId="28363" xr:uid="{00000000-0005-0000-0000-0000075C0000}"/>
    <cellStyle name="Normal 2 5 2 2 2 3 2 4" xfId="16883" xr:uid="{00000000-0005-0000-0000-0000085C0000}"/>
    <cellStyle name="Normal 2 5 2 2 2 3 2 4 2" xfId="39526" xr:uid="{00000000-0005-0000-0000-0000095C0000}"/>
    <cellStyle name="Normal 2 5 2 2 2 3 2 5" xfId="9443" xr:uid="{00000000-0005-0000-0000-00000A5C0000}"/>
    <cellStyle name="Normal 2 5 2 2 2 3 2 5 2" xfId="32086" xr:uid="{00000000-0005-0000-0000-00000B5C0000}"/>
    <cellStyle name="Normal 2 5 2 2 2 3 2 6" xfId="24645" xr:uid="{00000000-0005-0000-0000-00000C5C0000}"/>
    <cellStyle name="Normal 2 5 2 2 2 3 3" xfId="2918" xr:uid="{00000000-0005-0000-0000-00000D5C0000}"/>
    <cellStyle name="Normal 2 5 2 2 2 3 3 2" xfId="6639" xr:uid="{00000000-0005-0000-0000-00000E5C0000}"/>
    <cellStyle name="Normal 2 5 2 2 2 3 3 2 2" xfId="21523" xr:uid="{00000000-0005-0000-0000-00000F5C0000}"/>
    <cellStyle name="Normal 2 5 2 2 2 3 3 2 2 2" xfId="44166" xr:uid="{00000000-0005-0000-0000-0000105C0000}"/>
    <cellStyle name="Normal 2 5 2 2 2 3 3 2 3" xfId="14083" xr:uid="{00000000-0005-0000-0000-0000115C0000}"/>
    <cellStyle name="Normal 2 5 2 2 2 3 3 2 3 2" xfId="36726" xr:uid="{00000000-0005-0000-0000-0000125C0000}"/>
    <cellStyle name="Normal 2 5 2 2 2 3 3 2 4" xfId="29285" xr:uid="{00000000-0005-0000-0000-0000135C0000}"/>
    <cellStyle name="Normal 2 5 2 2 2 3 3 3" xfId="17805" xr:uid="{00000000-0005-0000-0000-0000145C0000}"/>
    <cellStyle name="Normal 2 5 2 2 2 3 3 3 2" xfId="40448" xr:uid="{00000000-0005-0000-0000-0000155C0000}"/>
    <cellStyle name="Normal 2 5 2 2 2 3 3 4" xfId="10365" xr:uid="{00000000-0005-0000-0000-0000165C0000}"/>
    <cellStyle name="Normal 2 5 2 2 2 3 3 4 2" xfId="33008" xr:uid="{00000000-0005-0000-0000-0000175C0000}"/>
    <cellStyle name="Normal 2 5 2 2 2 3 3 5" xfId="25567" xr:uid="{00000000-0005-0000-0000-0000185C0000}"/>
    <cellStyle name="Normal 2 5 2 2 2 3 4" xfId="4792" xr:uid="{00000000-0005-0000-0000-0000195C0000}"/>
    <cellStyle name="Normal 2 5 2 2 2 3 4 2" xfId="19676" xr:uid="{00000000-0005-0000-0000-00001A5C0000}"/>
    <cellStyle name="Normal 2 5 2 2 2 3 4 2 2" xfId="42319" xr:uid="{00000000-0005-0000-0000-00001B5C0000}"/>
    <cellStyle name="Normal 2 5 2 2 2 3 4 3" xfId="12236" xr:uid="{00000000-0005-0000-0000-00001C5C0000}"/>
    <cellStyle name="Normal 2 5 2 2 2 3 4 3 2" xfId="34879" xr:uid="{00000000-0005-0000-0000-00001D5C0000}"/>
    <cellStyle name="Normal 2 5 2 2 2 3 4 4" xfId="27438" xr:uid="{00000000-0005-0000-0000-00001E5C0000}"/>
    <cellStyle name="Normal 2 5 2 2 2 3 5" xfId="15958" xr:uid="{00000000-0005-0000-0000-00001F5C0000}"/>
    <cellStyle name="Normal 2 5 2 2 2 3 5 2" xfId="38601" xr:uid="{00000000-0005-0000-0000-0000205C0000}"/>
    <cellStyle name="Normal 2 5 2 2 2 3 6" xfId="8518" xr:uid="{00000000-0005-0000-0000-0000215C0000}"/>
    <cellStyle name="Normal 2 5 2 2 2 3 6 2" xfId="31161" xr:uid="{00000000-0005-0000-0000-0000225C0000}"/>
    <cellStyle name="Normal 2 5 2 2 2 3 7" xfId="23720" xr:uid="{00000000-0005-0000-0000-0000235C0000}"/>
    <cellStyle name="Normal 2 5 2 2 2 4" xfId="1531" xr:uid="{00000000-0005-0000-0000-0000245C0000}"/>
    <cellStyle name="Normal 2 5 2 2 2 4 2" xfId="3381" xr:uid="{00000000-0005-0000-0000-0000255C0000}"/>
    <cellStyle name="Normal 2 5 2 2 2 4 2 2" xfId="7102" xr:uid="{00000000-0005-0000-0000-0000265C0000}"/>
    <cellStyle name="Normal 2 5 2 2 2 4 2 2 2" xfId="21986" xr:uid="{00000000-0005-0000-0000-0000275C0000}"/>
    <cellStyle name="Normal 2 5 2 2 2 4 2 2 2 2" xfId="44629" xr:uid="{00000000-0005-0000-0000-0000285C0000}"/>
    <cellStyle name="Normal 2 5 2 2 2 4 2 2 3" xfId="14546" xr:uid="{00000000-0005-0000-0000-0000295C0000}"/>
    <cellStyle name="Normal 2 5 2 2 2 4 2 2 3 2" xfId="37189" xr:uid="{00000000-0005-0000-0000-00002A5C0000}"/>
    <cellStyle name="Normal 2 5 2 2 2 4 2 2 4" xfId="29748" xr:uid="{00000000-0005-0000-0000-00002B5C0000}"/>
    <cellStyle name="Normal 2 5 2 2 2 4 2 3" xfId="18268" xr:uid="{00000000-0005-0000-0000-00002C5C0000}"/>
    <cellStyle name="Normal 2 5 2 2 2 4 2 3 2" xfId="40911" xr:uid="{00000000-0005-0000-0000-00002D5C0000}"/>
    <cellStyle name="Normal 2 5 2 2 2 4 2 4" xfId="10828" xr:uid="{00000000-0005-0000-0000-00002E5C0000}"/>
    <cellStyle name="Normal 2 5 2 2 2 4 2 4 2" xfId="33471" xr:uid="{00000000-0005-0000-0000-00002F5C0000}"/>
    <cellStyle name="Normal 2 5 2 2 2 4 2 5" xfId="26030" xr:uid="{00000000-0005-0000-0000-0000305C0000}"/>
    <cellStyle name="Normal 2 5 2 2 2 4 3" xfId="5255" xr:uid="{00000000-0005-0000-0000-0000315C0000}"/>
    <cellStyle name="Normal 2 5 2 2 2 4 3 2" xfId="20139" xr:uid="{00000000-0005-0000-0000-0000325C0000}"/>
    <cellStyle name="Normal 2 5 2 2 2 4 3 2 2" xfId="42782" xr:uid="{00000000-0005-0000-0000-0000335C0000}"/>
    <cellStyle name="Normal 2 5 2 2 2 4 3 3" xfId="12699" xr:uid="{00000000-0005-0000-0000-0000345C0000}"/>
    <cellStyle name="Normal 2 5 2 2 2 4 3 3 2" xfId="35342" xr:uid="{00000000-0005-0000-0000-0000355C0000}"/>
    <cellStyle name="Normal 2 5 2 2 2 4 3 4" xfId="27901" xr:uid="{00000000-0005-0000-0000-0000365C0000}"/>
    <cellStyle name="Normal 2 5 2 2 2 4 4" xfId="16421" xr:uid="{00000000-0005-0000-0000-0000375C0000}"/>
    <cellStyle name="Normal 2 5 2 2 2 4 4 2" xfId="39064" xr:uid="{00000000-0005-0000-0000-0000385C0000}"/>
    <cellStyle name="Normal 2 5 2 2 2 4 5" xfId="8981" xr:uid="{00000000-0005-0000-0000-0000395C0000}"/>
    <cellStyle name="Normal 2 5 2 2 2 4 5 2" xfId="31624" xr:uid="{00000000-0005-0000-0000-00003A5C0000}"/>
    <cellStyle name="Normal 2 5 2 2 2 4 6" xfId="24183" xr:uid="{00000000-0005-0000-0000-00003B5C0000}"/>
    <cellStyle name="Normal 2 5 2 2 2 5" xfId="2456" xr:uid="{00000000-0005-0000-0000-00003C5C0000}"/>
    <cellStyle name="Normal 2 5 2 2 2 5 2" xfId="6177" xr:uid="{00000000-0005-0000-0000-00003D5C0000}"/>
    <cellStyle name="Normal 2 5 2 2 2 5 2 2" xfId="21061" xr:uid="{00000000-0005-0000-0000-00003E5C0000}"/>
    <cellStyle name="Normal 2 5 2 2 2 5 2 2 2" xfId="43704" xr:uid="{00000000-0005-0000-0000-00003F5C0000}"/>
    <cellStyle name="Normal 2 5 2 2 2 5 2 3" xfId="13621" xr:uid="{00000000-0005-0000-0000-0000405C0000}"/>
    <cellStyle name="Normal 2 5 2 2 2 5 2 3 2" xfId="36264" xr:uid="{00000000-0005-0000-0000-0000415C0000}"/>
    <cellStyle name="Normal 2 5 2 2 2 5 2 4" xfId="28823" xr:uid="{00000000-0005-0000-0000-0000425C0000}"/>
    <cellStyle name="Normal 2 5 2 2 2 5 3" xfId="17343" xr:uid="{00000000-0005-0000-0000-0000435C0000}"/>
    <cellStyle name="Normal 2 5 2 2 2 5 3 2" xfId="39986" xr:uid="{00000000-0005-0000-0000-0000445C0000}"/>
    <cellStyle name="Normal 2 5 2 2 2 5 4" xfId="9903" xr:uid="{00000000-0005-0000-0000-0000455C0000}"/>
    <cellStyle name="Normal 2 5 2 2 2 5 4 2" xfId="32546" xr:uid="{00000000-0005-0000-0000-0000465C0000}"/>
    <cellStyle name="Normal 2 5 2 2 2 5 5" xfId="25105" xr:uid="{00000000-0005-0000-0000-0000475C0000}"/>
    <cellStyle name="Normal 2 5 2 2 2 6" xfId="4330" xr:uid="{00000000-0005-0000-0000-0000485C0000}"/>
    <cellStyle name="Normal 2 5 2 2 2 6 2" xfId="19214" xr:uid="{00000000-0005-0000-0000-0000495C0000}"/>
    <cellStyle name="Normal 2 5 2 2 2 6 2 2" xfId="41857" xr:uid="{00000000-0005-0000-0000-00004A5C0000}"/>
    <cellStyle name="Normal 2 5 2 2 2 6 3" xfId="11774" xr:uid="{00000000-0005-0000-0000-00004B5C0000}"/>
    <cellStyle name="Normal 2 5 2 2 2 6 3 2" xfId="34417" xr:uid="{00000000-0005-0000-0000-00004C5C0000}"/>
    <cellStyle name="Normal 2 5 2 2 2 6 4" xfId="26976" xr:uid="{00000000-0005-0000-0000-00004D5C0000}"/>
    <cellStyle name="Normal 2 5 2 2 2 7" xfId="15496" xr:uid="{00000000-0005-0000-0000-00004E5C0000}"/>
    <cellStyle name="Normal 2 5 2 2 2 7 2" xfId="38139" xr:uid="{00000000-0005-0000-0000-00004F5C0000}"/>
    <cellStyle name="Normal 2 5 2 2 2 8" xfId="8056" xr:uid="{00000000-0005-0000-0000-0000505C0000}"/>
    <cellStyle name="Normal 2 5 2 2 2 8 2" xfId="30699" xr:uid="{00000000-0005-0000-0000-0000515C0000}"/>
    <cellStyle name="Normal 2 5 2 2 2 9" xfId="23259" xr:uid="{00000000-0005-0000-0000-0000525C0000}"/>
    <cellStyle name="Normal 2 5 2 2 3" xfId="706" xr:uid="{00000000-0005-0000-0000-0000535C0000}"/>
    <cellStyle name="Normal 2 5 2 2 3 2" xfId="1171" xr:uid="{00000000-0005-0000-0000-0000545C0000}"/>
    <cellStyle name="Normal 2 5 2 2 3 2 2" xfId="2099" xr:uid="{00000000-0005-0000-0000-0000555C0000}"/>
    <cellStyle name="Normal 2 5 2 2 3 2 2 2" xfId="3949" xr:uid="{00000000-0005-0000-0000-0000565C0000}"/>
    <cellStyle name="Normal 2 5 2 2 3 2 2 2 2" xfId="7670" xr:uid="{00000000-0005-0000-0000-0000575C0000}"/>
    <cellStyle name="Normal 2 5 2 2 3 2 2 2 2 2" xfId="22554" xr:uid="{00000000-0005-0000-0000-0000585C0000}"/>
    <cellStyle name="Normal 2 5 2 2 3 2 2 2 2 2 2" xfId="45197" xr:uid="{00000000-0005-0000-0000-0000595C0000}"/>
    <cellStyle name="Normal 2 5 2 2 3 2 2 2 2 3" xfId="15114" xr:uid="{00000000-0005-0000-0000-00005A5C0000}"/>
    <cellStyle name="Normal 2 5 2 2 3 2 2 2 2 3 2" xfId="37757" xr:uid="{00000000-0005-0000-0000-00005B5C0000}"/>
    <cellStyle name="Normal 2 5 2 2 3 2 2 2 2 4" xfId="30316" xr:uid="{00000000-0005-0000-0000-00005C5C0000}"/>
    <cellStyle name="Normal 2 5 2 2 3 2 2 2 3" xfId="18836" xr:uid="{00000000-0005-0000-0000-00005D5C0000}"/>
    <cellStyle name="Normal 2 5 2 2 3 2 2 2 3 2" xfId="41479" xr:uid="{00000000-0005-0000-0000-00005E5C0000}"/>
    <cellStyle name="Normal 2 5 2 2 3 2 2 2 4" xfId="11396" xr:uid="{00000000-0005-0000-0000-00005F5C0000}"/>
    <cellStyle name="Normal 2 5 2 2 3 2 2 2 4 2" xfId="34039" xr:uid="{00000000-0005-0000-0000-0000605C0000}"/>
    <cellStyle name="Normal 2 5 2 2 3 2 2 2 5" xfId="26598" xr:uid="{00000000-0005-0000-0000-0000615C0000}"/>
    <cellStyle name="Normal 2 5 2 2 3 2 2 3" xfId="5823" xr:uid="{00000000-0005-0000-0000-0000625C0000}"/>
    <cellStyle name="Normal 2 5 2 2 3 2 2 3 2" xfId="20707" xr:uid="{00000000-0005-0000-0000-0000635C0000}"/>
    <cellStyle name="Normal 2 5 2 2 3 2 2 3 2 2" xfId="43350" xr:uid="{00000000-0005-0000-0000-0000645C0000}"/>
    <cellStyle name="Normal 2 5 2 2 3 2 2 3 3" xfId="13267" xr:uid="{00000000-0005-0000-0000-0000655C0000}"/>
    <cellStyle name="Normal 2 5 2 2 3 2 2 3 3 2" xfId="35910" xr:uid="{00000000-0005-0000-0000-0000665C0000}"/>
    <cellStyle name="Normal 2 5 2 2 3 2 2 3 4" xfId="28469" xr:uid="{00000000-0005-0000-0000-0000675C0000}"/>
    <cellStyle name="Normal 2 5 2 2 3 2 2 4" xfId="16989" xr:uid="{00000000-0005-0000-0000-0000685C0000}"/>
    <cellStyle name="Normal 2 5 2 2 3 2 2 4 2" xfId="39632" xr:uid="{00000000-0005-0000-0000-0000695C0000}"/>
    <cellStyle name="Normal 2 5 2 2 3 2 2 5" xfId="9549" xr:uid="{00000000-0005-0000-0000-00006A5C0000}"/>
    <cellStyle name="Normal 2 5 2 2 3 2 2 5 2" xfId="32192" xr:uid="{00000000-0005-0000-0000-00006B5C0000}"/>
    <cellStyle name="Normal 2 5 2 2 3 2 2 6" xfId="24751" xr:uid="{00000000-0005-0000-0000-00006C5C0000}"/>
    <cellStyle name="Normal 2 5 2 2 3 2 3" xfId="3024" xr:uid="{00000000-0005-0000-0000-00006D5C0000}"/>
    <cellStyle name="Normal 2 5 2 2 3 2 3 2" xfId="6745" xr:uid="{00000000-0005-0000-0000-00006E5C0000}"/>
    <cellStyle name="Normal 2 5 2 2 3 2 3 2 2" xfId="21629" xr:uid="{00000000-0005-0000-0000-00006F5C0000}"/>
    <cellStyle name="Normal 2 5 2 2 3 2 3 2 2 2" xfId="44272" xr:uid="{00000000-0005-0000-0000-0000705C0000}"/>
    <cellStyle name="Normal 2 5 2 2 3 2 3 2 3" xfId="14189" xr:uid="{00000000-0005-0000-0000-0000715C0000}"/>
    <cellStyle name="Normal 2 5 2 2 3 2 3 2 3 2" xfId="36832" xr:uid="{00000000-0005-0000-0000-0000725C0000}"/>
    <cellStyle name="Normal 2 5 2 2 3 2 3 2 4" xfId="29391" xr:uid="{00000000-0005-0000-0000-0000735C0000}"/>
    <cellStyle name="Normal 2 5 2 2 3 2 3 3" xfId="17911" xr:uid="{00000000-0005-0000-0000-0000745C0000}"/>
    <cellStyle name="Normal 2 5 2 2 3 2 3 3 2" xfId="40554" xr:uid="{00000000-0005-0000-0000-0000755C0000}"/>
    <cellStyle name="Normal 2 5 2 2 3 2 3 4" xfId="10471" xr:uid="{00000000-0005-0000-0000-0000765C0000}"/>
    <cellStyle name="Normal 2 5 2 2 3 2 3 4 2" xfId="33114" xr:uid="{00000000-0005-0000-0000-0000775C0000}"/>
    <cellStyle name="Normal 2 5 2 2 3 2 3 5" xfId="25673" xr:uid="{00000000-0005-0000-0000-0000785C0000}"/>
    <cellStyle name="Normal 2 5 2 2 3 2 4" xfId="4898" xr:uid="{00000000-0005-0000-0000-0000795C0000}"/>
    <cellStyle name="Normal 2 5 2 2 3 2 4 2" xfId="19782" xr:uid="{00000000-0005-0000-0000-00007A5C0000}"/>
    <cellStyle name="Normal 2 5 2 2 3 2 4 2 2" xfId="42425" xr:uid="{00000000-0005-0000-0000-00007B5C0000}"/>
    <cellStyle name="Normal 2 5 2 2 3 2 4 3" xfId="12342" xr:uid="{00000000-0005-0000-0000-00007C5C0000}"/>
    <cellStyle name="Normal 2 5 2 2 3 2 4 3 2" xfId="34985" xr:uid="{00000000-0005-0000-0000-00007D5C0000}"/>
    <cellStyle name="Normal 2 5 2 2 3 2 4 4" xfId="27544" xr:uid="{00000000-0005-0000-0000-00007E5C0000}"/>
    <cellStyle name="Normal 2 5 2 2 3 2 5" xfId="16064" xr:uid="{00000000-0005-0000-0000-00007F5C0000}"/>
    <cellStyle name="Normal 2 5 2 2 3 2 5 2" xfId="38707" xr:uid="{00000000-0005-0000-0000-0000805C0000}"/>
    <cellStyle name="Normal 2 5 2 2 3 2 6" xfId="8624" xr:uid="{00000000-0005-0000-0000-0000815C0000}"/>
    <cellStyle name="Normal 2 5 2 2 3 2 6 2" xfId="31267" xr:uid="{00000000-0005-0000-0000-0000825C0000}"/>
    <cellStyle name="Normal 2 5 2 2 3 2 7" xfId="23826" xr:uid="{00000000-0005-0000-0000-0000835C0000}"/>
    <cellStyle name="Normal 2 5 2 2 3 3" xfId="1637" xr:uid="{00000000-0005-0000-0000-0000845C0000}"/>
    <cellStyle name="Normal 2 5 2 2 3 3 2" xfId="3487" xr:uid="{00000000-0005-0000-0000-0000855C0000}"/>
    <cellStyle name="Normal 2 5 2 2 3 3 2 2" xfId="7208" xr:uid="{00000000-0005-0000-0000-0000865C0000}"/>
    <cellStyle name="Normal 2 5 2 2 3 3 2 2 2" xfId="22092" xr:uid="{00000000-0005-0000-0000-0000875C0000}"/>
    <cellStyle name="Normal 2 5 2 2 3 3 2 2 2 2" xfId="44735" xr:uid="{00000000-0005-0000-0000-0000885C0000}"/>
    <cellStyle name="Normal 2 5 2 2 3 3 2 2 3" xfId="14652" xr:uid="{00000000-0005-0000-0000-0000895C0000}"/>
    <cellStyle name="Normal 2 5 2 2 3 3 2 2 3 2" xfId="37295" xr:uid="{00000000-0005-0000-0000-00008A5C0000}"/>
    <cellStyle name="Normal 2 5 2 2 3 3 2 2 4" xfId="29854" xr:uid="{00000000-0005-0000-0000-00008B5C0000}"/>
    <cellStyle name="Normal 2 5 2 2 3 3 2 3" xfId="18374" xr:uid="{00000000-0005-0000-0000-00008C5C0000}"/>
    <cellStyle name="Normal 2 5 2 2 3 3 2 3 2" xfId="41017" xr:uid="{00000000-0005-0000-0000-00008D5C0000}"/>
    <cellStyle name="Normal 2 5 2 2 3 3 2 4" xfId="10934" xr:uid="{00000000-0005-0000-0000-00008E5C0000}"/>
    <cellStyle name="Normal 2 5 2 2 3 3 2 4 2" xfId="33577" xr:uid="{00000000-0005-0000-0000-00008F5C0000}"/>
    <cellStyle name="Normal 2 5 2 2 3 3 2 5" xfId="26136" xr:uid="{00000000-0005-0000-0000-0000905C0000}"/>
    <cellStyle name="Normal 2 5 2 2 3 3 3" xfId="5361" xr:uid="{00000000-0005-0000-0000-0000915C0000}"/>
    <cellStyle name="Normal 2 5 2 2 3 3 3 2" xfId="20245" xr:uid="{00000000-0005-0000-0000-0000925C0000}"/>
    <cellStyle name="Normal 2 5 2 2 3 3 3 2 2" xfId="42888" xr:uid="{00000000-0005-0000-0000-0000935C0000}"/>
    <cellStyle name="Normal 2 5 2 2 3 3 3 3" xfId="12805" xr:uid="{00000000-0005-0000-0000-0000945C0000}"/>
    <cellStyle name="Normal 2 5 2 2 3 3 3 3 2" xfId="35448" xr:uid="{00000000-0005-0000-0000-0000955C0000}"/>
    <cellStyle name="Normal 2 5 2 2 3 3 3 4" xfId="28007" xr:uid="{00000000-0005-0000-0000-0000965C0000}"/>
    <cellStyle name="Normal 2 5 2 2 3 3 4" xfId="16527" xr:uid="{00000000-0005-0000-0000-0000975C0000}"/>
    <cellStyle name="Normal 2 5 2 2 3 3 4 2" xfId="39170" xr:uid="{00000000-0005-0000-0000-0000985C0000}"/>
    <cellStyle name="Normal 2 5 2 2 3 3 5" xfId="9087" xr:uid="{00000000-0005-0000-0000-0000995C0000}"/>
    <cellStyle name="Normal 2 5 2 2 3 3 5 2" xfId="31730" xr:uid="{00000000-0005-0000-0000-00009A5C0000}"/>
    <cellStyle name="Normal 2 5 2 2 3 3 6" xfId="24289" xr:uid="{00000000-0005-0000-0000-00009B5C0000}"/>
    <cellStyle name="Normal 2 5 2 2 3 4" xfId="2562" xr:uid="{00000000-0005-0000-0000-00009C5C0000}"/>
    <cellStyle name="Normal 2 5 2 2 3 4 2" xfId="6283" xr:uid="{00000000-0005-0000-0000-00009D5C0000}"/>
    <cellStyle name="Normal 2 5 2 2 3 4 2 2" xfId="21167" xr:uid="{00000000-0005-0000-0000-00009E5C0000}"/>
    <cellStyle name="Normal 2 5 2 2 3 4 2 2 2" xfId="43810" xr:uid="{00000000-0005-0000-0000-00009F5C0000}"/>
    <cellStyle name="Normal 2 5 2 2 3 4 2 3" xfId="13727" xr:uid="{00000000-0005-0000-0000-0000A05C0000}"/>
    <cellStyle name="Normal 2 5 2 2 3 4 2 3 2" xfId="36370" xr:uid="{00000000-0005-0000-0000-0000A15C0000}"/>
    <cellStyle name="Normal 2 5 2 2 3 4 2 4" xfId="28929" xr:uid="{00000000-0005-0000-0000-0000A25C0000}"/>
    <cellStyle name="Normal 2 5 2 2 3 4 3" xfId="17449" xr:uid="{00000000-0005-0000-0000-0000A35C0000}"/>
    <cellStyle name="Normal 2 5 2 2 3 4 3 2" xfId="40092" xr:uid="{00000000-0005-0000-0000-0000A45C0000}"/>
    <cellStyle name="Normal 2 5 2 2 3 4 4" xfId="10009" xr:uid="{00000000-0005-0000-0000-0000A55C0000}"/>
    <cellStyle name="Normal 2 5 2 2 3 4 4 2" xfId="32652" xr:uid="{00000000-0005-0000-0000-0000A65C0000}"/>
    <cellStyle name="Normal 2 5 2 2 3 4 5" xfId="25211" xr:uid="{00000000-0005-0000-0000-0000A75C0000}"/>
    <cellStyle name="Normal 2 5 2 2 3 5" xfId="4436" xr:uid="{00000000-0005-0000-0000-0000A85C0000}"/>
    <cellStyle name="Normal 2 5 2 2 3 5 2" xfId="19320" xr:uid="{00000000-0005-0000-0000-0000A95C0000}"/>
    <cellStyle name="Normal 2 5 2 2 3 5 2 2" xfId="41963" xr:uid="{00000000-0005-0000-0000-0000AA5C0000}"/>
    <cellStyle name="Normal 2 5 2 2 3 5 3" xfId="11880" xr:uid="{00000000-0005-0000-0000-0000AB5C0000}"/>
    <cellStyle name="Normal 2 5 2 2 3 5 3 2" xfId="34523" xr:uid="{00000000-0005-0000-0000-0000AC5C0000}"/>
    <cellStyle name="Normal 2 5 2 2 3 5 4" xfId="27082" xr:uid="{00000000-0005-0000-0000-0000AD5C0000}"/>
    <cellStyle name="Normal 2 5 2 2 3 6" xfId="15602" xr:uid="{00000000-0005-0000-0000-0000AE5C0000}"/>
    <cellStyle name="Normal 2 5 2 2 3 6 2" xfId="38245" xr:uid="{00000000-0005-0000-0000-0000AF5C0000}"/>
    <cellStyle name="Normal 2 5 2 2 3 7" xfId="8162" xr:uid="{00000000-0005-0000-0000-0000B05C0000}"/>
    <cellStyle name="Normal 2 5 2 2 3 7 2" xfId="30805" xr:uid="{00000000-0005-0000-0000-0000B15C0000}"/>
    <cellStyle name="Normal 2 5 2 2 3 8" xfId="23364" xr:uid="{00000000-0005-0000-0000-0000B25C0000}"/>
    <cellStyle name="Normal 2 5 2 2 4" xfId="960" xr:uid="{00000000-0005-0000-0000-0000B35C0000}"/>
    <cellStyle name="Normal 2 5 2 2 4 2" xfId="1888" xr:uid="{00000000-0005-0000-0000-0000B45C0000}"/>
    <cellStyle name="Normal 2 5 2 2 4 2 2" xfId="3738" xr:uid="{00000000-0005-0000-0000-0000B55C0000}"/>
    <cellStyle name="Normal 2 5 2 2 4 2 2 2" xfId="7459" xr:uid="{00000000-0005-0000-0000-0000B65C0000}"/>
    <cellStyle name="Normal 2 5 2 2 4 2 2 2 2" xfId="22343" xr:uid="{00000000-0005-0000-0000-0000B75C0000}"/>
    <cellStyle name="Normal 2 5 2 2 4 2 2 2 2 2" xfId="44986" xr:uid="{00000000-0005-0000-0000-0000B85C0000}"/>
    <cellStyle name="Normal 2 5 2 2 4 2 2 2 3" xfId="14903" xr:uid="{00000000-0005-0000-0000-0000B95C0000}"/>
    <cellStyle name="Normal 2 5 2 2 4 2 2 2 3 2" xfId="37546" xr:uid="{00000000-0005-0000-0000-0000BA5C0000}"/>
    <cellStyle name="Normal 2 5 2 2 4 2 2 2 4" xfId="30105" xr:uid="{00000000-0005-0000-0000-0000BB5C0000}"/>
    <cellStyle name="Normal 2 5 2 2 4 2 2 3" xfId="18625" xr:uid="{00000000-0005-0000-0000-0000BC5C0000}"/>
    <cellStyle name="Normal 2 5 2 2 4 2 2 3 2" xfId="41268" xr:uid="{00000000-0005-0000-0000-0000BD5C0000}"/>
    <cellStyle name="Normal 2 5 2 2 4 2 2 4" xfId="11185" xr:uid="{00000000-0005-0000-0000-0000BE5C0000}"/>
    <cellStyle name="Normal 2 5 2 2 4 2 2 4 2" xfId="33828" xr:uid="{00000000-0005-0000-0000-0000BF5C0000}"/>
    <cellStyle name="Normal 2 5 2 2 4 2 2 5" xfId="26387" xr:uid="{00000000-0005-0000-0000-0000C05C0000}"/>
    <cellStyle name="Normal 2 5 2 2 4 2 3" xfId="5612" xr:uid="{00000000-0005-0000-0000-0000C15C0000}"/>
    <cellStyle name="Normal 2 5 2 2 4 2 3 2" xfId="20496" xr:uid="{00000000-0005-0000-0000-0000C25C0000}"/>
    <cellStyle name="Normal 2 5 2 2 4 2 3 2 2" xfId="43139" xr:uid="{00000000-0005-0000-0000-0000C35C0000}"/>
    <cellStyle name="Normal 2 5 2 2 4 2 3 3" xfId="13056" xr:uid="{00000000-0005-0000-0000-0000C45C0000}"/>
    <cellStyle name="Normal 2 5 2 2 4 2 3 3 2" xfId="35699" xr:uid="{00000000-0005-0000-0000-0000C55C0000}"/>
    <cellStyle name="Normal 2 5 2 2 4 2 3 4" xfId="28258" xr:uid="{00000000-0005-0000-0000-0000C65C0000}"/>
    <cellStyle name="Normal 2 5 2 2 4 2 4" xfId="16778" xr:uid="{00000000-0005-0000-0000-0000C75C0000}"/>
    <cellStyle name="Normal 2 5 2 2 4 2 4 2" xfId="39421" xr:uid="{00000000-0005-0000-0000-0000C85C0000}"/>
    <cellStyle name="Normal 2 5 2 2 4 2 5" xfId="9338" xr:uid="{00000000-0005-0000-0000-0000C95C0000}"/>
    <cellStyle name="Normal 2 5 2 2 4 2 5 2" xfId="31981" xr:uid="{00000000-0005-0000-0000-0000CA5C0000}"/>
    <cellStyle name="Normal 2 5 2 2 4 2 6" xfId="24540" xr:uid="{00000000-0005-0000-0000-0000CB5C0000}"/>
    <cellStyle name="Normal 2 5 2 2 4 3" xfId="2813" xr:uid="{00000000-0005-0000-0000-0000CC5C0000}"/>
    <cellStyle name="Normal 2 5 2 2 4 3 2" xfId="6534" xr:uid="{00000000-0005-0000-0000-0000CD5C0000}"/>
    <cellStyle name="Normal 2 5 2 2 4 3 2 2" xfId="21418" xr:uid="{00000000-0005-0000-0000-0000CE5C0000}"/>
    <cellStyle name="Normal 2 5 2 2 4 3 2 2 2" xfId="44061" xr:uid="{00000000-0005-0000-0000-0000CF5C0000}"/>
    <cellStyle name="Normal 2 5 2 2 4 3 2 3" xfId="13978" xr:uid="{00000000-0005-0000-0000-0000D05C0000}"/>
    <cellStyle name="Normal 2 5 2 2 4 3 2 3 2" xfId="36621" xr:uid="{00000000-0005-0000-0000-0000D15C0000}"/>
    <cellStyle name="Normal 2 5 2 2 4 3 2 4" xfId="29180" xr:uid="{00000000-0005-0000-0000-0000D25C0000}"/>
    <cellStyle name="Normal 2 5 2 2 4 3 3" xfId="17700" xr:uid="{00000000-0005-0000-0000-0000D35C0000}"/>
    <cellStyle name="Normal 2 5 2 2 4 3 3 2" xfId="40343" xr:uid="{00000000-0005-0000-0000-0000D45C0000}"/>
    <cellStyle name="Normal 2 5 2 2 4 3 4" xfId="10260" xr:uid="{00000000-0005-0000-0000-0000D55C0000}"/>
    <cellStyle name="Normal 2 5 2 2 4 3 4 2" xfId="32903" xr:uid="{00000000-0005-0000-0000-0000D65C0000}"/>
    <cellStyle name="Normal 2 5 2 2 4 3 5" xfId="25462" xr:uid="{00000000-0005-0000-0000-0000D75C0000}"/>
    <cellStyle name="Normal 2 5 2 2 4 4" xfId="4687" xr:uid="{00000000-0005-0000-0000-0000D85C0000}"/>
    <cellStyle name="Normal 2 5 2 2 4 4 2" xfId="19571" xr:uid="{00000000-0005-0000-0000-0000D95C0000}"/>
    <cellStyle name="Normal 2 5 2 2 4 4 2 2" xfId="42214" xr:uid="{00000000-0005-0000-0000-0000DA5C0000}"/>
    <cellStyle name="Normal 2 5 2 2 4 4 3" xfId="12131" xr:uid="{00000000-0005-0000-0000-0000DB5C0000}"/>
    <cellStyle name="Normal 2 5 2 2 4 4 3 2" xfId="34774" xr:uid="{00000000-0005-0000-0000-0000DC5C0000}"/>
    <cellStyle name="Normal 2 5 2 2 4 4 4" xfId="27333" xr:uid="{00000000-0005-0000-0000-0000DD5C0000}"/>
    <cellStyle name="Normal 2 5 2 2 4 5" xfId="15853" xr:uid="{00000000-0005-0000-0000-0000DE5C0000}"/>
    <cellStyle name="Normal 2 5 2 2 4 5 2" xfId="38496" xr:uid="{00000000-0005-0000-0000-0000DF5C0000}"/>
    <cellStyle name="Normal 2 5 2 2 4 6" xfId="8413" xr:uid="{00000000-0005-0000-0000-0000E05C0000}"/>
    <cellStyle name="Normal 2 5 2 2 4 6 2" xfId="31056" xr:uid="{00000000-0005-0000-0000-0000E15C0000}"/>
    <cellStyle name="Normal 2 5 2 2 4 7" xfId="23615" xr:uid="{00000000-0005-0000-0000-0000E25C0000}"/>
    <cellStyle name="Normal 2 5 2 2 5" xfId="1426" xr:uid="{00000000-0005-0000-0000-0000E35C0000}"/>
    <cellStyle name="Normal 2 5 2 2 5 2" xfId="3276" xr:uid="{00000000-0005-0000-0000-0000E45C0000}"/>
    <cellStyle name="Normal 2 5 2 2 5 2 2" xfId="6997" xr:uid="{00000000-0005-0000-0000-0000E55C0000}"/>
    <cellStyle name="Normal 2 5 2 2 5 2 2 2" xfId="21881" xr:uid="{00000000-0005-0000-0000-0000E65C0000}"/>
    <cellStyle name="Normal 2 5 2 2 5 2 2 2 2" xfId="44524" xr:uid="{00000000-0005-0000-0000-0000E75C0000}"/>
    <cellStyle name="Normal 2 5 2 2 5 2 2 3" xfId="14441" xr:uid="{00000000-0005-0000-0000-0000E85C0000}"/>
    <cellStyle name="Normal 2 5 2 2 5 2 2 3 2" xfId="37084" xr:uid="{00000000-0005-0000-0000-0000E95C0000}"/>
    <cellStyle name="Normal 2 5 2 2 5 2 2 4" xfId="29643" xr:uid="{00000000-0005-0000-0000-0000EA5C0000}"/>
    <cellStyle name="Normal 2 5 2 2 5 2 3" xfId="18163" xr:uid="{00000000-0005-0000-0000-0000EB5C0000}"/>
    <cellStyle name="Normal 2 5 2 2 5 2 3 2" xfId="40806" xr:uid="{00000000-0005-0000-0000-0000EC5C0000}"/>
    <cellStyle name="Normal 2 5 2 2 5 2 4" xfId="10723" xr:uid="{00000000-0005-0000-0000-0000ED5C0000}"/>
    <cellStyle name="Normal 2 5 2 2 5 2 4 2" xfId="33366" xr:uid="{00000000-0005-0000-0000-0000EE5C0000}"/>
    <cellStyle name="Normal 2 5 2 2 5 2 5" xfId="25925" xr:uid="{00000000-0005-0000-0000-0000EF5C0000}"/>
    <cellStyle name="Normal 2 5 2 2 5 3" xfId="5150" xr:uid="{00000000-0005-0000-0000-0000F05C0000}"/>
    <cellStyle name="Normal 2 5 2 2 5 3 2" xfId="20034" xr:uid="{00000000-0005-0000-0000-0000F15C0000}"/>
    <cellStyle name="Normal 2 5 2 2 5 3 2 2" xfId="42677" xr:uid="{00000000-0005-0000-0000-0000F25C0000}"/>
    <cellStyle name="Normal 2 5 2 2 5 3 3" xfId="12594" xr:uid="{00000000-0005-0000-0000-0000F35C0000}"/>
    <cellStyle name="Normal 2 5 2 2 5 3 3 2" xfId="35237" xr:uid="{00000000-0005-0000-0000-0000F45C0000}"/>
    <cellStyle name="Normal 2 5 2 2 5 3 4" xfId="27796" xr:uid="{00000000-0005-0000-0000-0000F55C0000}"/>
    <cellStyle name="Normal 2 5 2 2 5 4" xfId="16316" xr:uid="{00000000-0005-0000-0000-0000F65C0000}"/>
    <cellStyle name="Normal 2 5 2 2 5 4 2" xfId="38959" xr:uid="{00000000-0005-0000-0000-0000F75C0000}"/>
    <cellStyle name="Normal 2 5 2 2 5 5" xfId="8876" xr:uid="{00000000-0005-0000-0000-0000F85C0000}"/>
    <cellStyle name="Normal 2 5 2 2 5 5 2" xfId="31519" xr:uid="{00000000-0005-0000-0000-0000F95C0000}"/>
    <cellStyle name="Normal 2 5 2 2 5 6" xfId="24078" xr:uid="{00000000-0005-0000-0000-0000FA5C0000}"/>
    <cellStyle name="Normal 2 5 2 2 6" xfId="2351" xr:uid="{00000000-0005-0000-0000-0000FB5C0000}"/>
    <cellStyle name="Normal 2 5 2 2 6 2" xfId="6072" xr:uid="{00000000-0005-0000-0000-0000FC5C0000}"/>
    <cellStyle name="Normal 2 5 2 2 6 2 2" xfId="20956" xr:uid="{00000000-0005-0000-0000-0000FD5C0000}"/>
    <cellStyle name="Normal 2 5 2 2 6 2 2 2" xfId="43599" xr:uid="{00000000-0005-0000-0000-0000FE5C0000}"/>
    <cellStyle name="Normal 2 5 2 2 6 2 3" xfId="13516" xr:uid="{00000000-0005-0000-0000-0000FF5C0000}"/>
    <cellStyle name="Normal 2 5 2 2 6 2 3 2" xfId="36159" xr:uid="{00000000-0005-0000-0000-0000005D0000}"/>
    <cellStyle name="Normal 2 5 2 2 6 2 4" xfId="28718" xr:uid="{00000000-0005-0000-0000-0000015D0000}"/>
    <cellStyle name="Normal 2 5 2 2 6 3" xfId="17238" xr:uid="{00000000-0005-0000-0000-0000025D0000}"/>
    <cellStyle name="Normal 2 5 2 2 6 3 2" xfId="39881" xr:uid="{00000000-0005-0000-0000-0000035D0000}"/>
    <cellStyle name="Normal 2 5 2 2 6 4" xfId="9798" xr:uid="{00000000-0005-0000-0000-0000045D0000}"/>
    <cellStyle name="Normal 2 5 2 2 6 4 2" xfId="32441" xr:uid="{00000000-0005-0000-0000-0000055D0000}"/>
    <cellStyle name="Normal 2 5 2 2 6 5" xfId="25000" xr:uid="{00000000-0005-0000-0000-0000065D0000}"/>
    <cellStyle name="Normal 2 5 2 2 7" xfId="4225" xr:uid="{00000000-0005-0000-0000-0000075D0000}"/>
    <cellStyle name="Normal 2 5 2 2 7 2" xfId="19109" xr:uid="{00000000-0005-0000-0000-0000085D0000}"/>
    <cellStyle name="Normal 2 5 2 2 7 2 2" xfId="41752" xr:uid="{00000000-0005-0000-0000-0000095D0000}"/>
    <cellStyle name="Normal 2 5 2 2 7 3" xfId="11669" xr:uid="{00000000-0005-0000-0000-00000A5D0000}"/>
    <cellStyle name="Normal 2 5 2 2 7 3 2" xfId="34312" xr:uid="{00000000-0005-0000-0000-00000B5D0000}"/>
    <cellStyle name="Normal 2 5 2 2 7 4" xfId="26871" xr:uid="{00000000-0005-0000-0000-00000C5D0000}"/>
    <cellStyle name="Normal 2 5 2 2 8" xfId="15391" xr:uid="{00000000-0005-0000-0000-00000D5D0000}"/>
    <cellStyle name="Normal 2 5 2 2 8 2" xfId="38034" xr:uid="{00000000-0005-0000-0000-00000E5D0000}"/>
    <cellStyle name="Normal 2 5 2 2 9" xfId="7951" xr:uid="{00000000-0005-0000-0000-00000F5D0000}"/>
    <cellStyle name="Normal 2 5 2 2 9 2" xfId="30594" xr:uid="{00000000-0005-0000-0000-0000105D0000}"/>
    <cellStyle name="Normal 2 5 2 3" xfId="547" xr:uid="{00000000-0005-0000-0000-0000115D0000}"/>
    <cellStyle name="Normal 2 5 2 3 2" xfId="759" xr:uid="{00000000-0005-0000-0000-0000125D0000}"/>
    <cellStyle name="Normal 2 5 2 3 2 2" xfId="1224" xr:uid="{00000000-0005-0000-0000-0000135D0000}"/>
    <cellStyle name="Normal 2 5 2 3 2 2 2" xfId="2152" xr:uid="{00000000-0005-0000-0000-0000145D0000}"/>
    <cellStyle name="Normal 2 5 2 3 2 2 2 2" xfId="4002" xr:uid="{00000000-0005-0000-0000-0000155D0000}"/>
    <cellStyle name="Normal 2 5 2 3 2 2 2 2 2" xfId="7723" xr:uid="{00000000-0005-0000-0000-0000165D0000}"/>
    <cellStyle name="Normal 2 5 2 3 2 2 2 2 2 2" xfId="22607" xr:uid="{00000000-0005-0000-0000-0000175D0000}"/>
    <cellStyle name="Normal 2 5 2 3 2 2 2 2 2 2 2" xfId="45250" xr:uid="{00000000-0005-0000-0000-0000185D0000}"/>
    <cellStyle name="Normal 2 5 2 3 2 2 2 2 2 3" xfId="15167" xr:uid="{00000000-0005-0000-0000-0000195D0000}"/>
    <cellStyle name="Normal 2 5 2 3 2 2 2 2 2 3 2" xfId="37810" xr:uid="{00000000-0005-0000-0000-00001A5D0000}"/>
    <cellStyle name="Normal 2 5 2 3 2 2 2 2 2 4" xfId="30369" xr:uid="{00000000-0005-0000-0000-00001B5D0000}"/>
    <cellStyle name="Normal 2 5 2 3 2 2 2 2 3" xfId="18889" xr:uid="{00000000-0005-0000-0000-00001C5D0000}"/>
    <cellStyle name="Normal 2 5 2 3 2 2 2 2 3 2" xfId="41532" xr:uid="{00000000-0005-0000-0000-00001D5D0000}"/>
    <cellStyle name="Normal 2 5 2 3 2 2 2 2 4" xfId="11449" xr:uid="{00000000-0005-0000-0000-00001E5D0000}"/>
    <cellStyle name="Normal 2 5 2 3 2 2 2 2 4 2" xfId="34092" xr:uid="{00000000-0005-0000-0000-00001F5D0000}"/>
    <cellStyle name="Normal 2 5 2 3 2 2 2 2 5" xfId="26651" xr:uid="{00000000-0005-0000-0000-0000205D0000}"/>
    <cellStyle name="Normal 2 5 2 3 2 2 2 3" xfId="5876" xr:uid="{00000000-0005-0000-0000-0000215D0000}"/>
    <cellStyle name="Normal 2 5 2 3 2 2 2 3 2" xfId="20760" xr:uid="{00000000-0005-0000-0000-0000225D0000}"/>
    <cellStyle name="Normal 2 5 2 3 2 2 2 3 2 2" xfId="43403" xr:uid="{00000000-0005-0000-0000-0000235D0000}"/>
    <cellStyle name="Normal 2 5 2 3 2 2 2 3 3" xfId="13320" xr:uid="{00000000-0005-0000-0000-0000245D0000}"/>
    <cellStyle name="Normal 2 5 2 3 2 2 2 3 3 2" xfId="35963" xr:uid="{00000000-0005-0000-0000-0000255D0000}"/>
    <cellStyle name="Normal 2 5 2 3 2 2 2 3 4" xfId="28522" xr:uid="{00000000-0005-0000-0000-0000265D0000}"/>
    <cellStyle name="Normal 2 5 2 3 2 2 2 4" xfId="17042" xr:uid="{00000000-0005-0000-0000-0000275D0000}"/>
    <cellStyle name="Normal 2 5 2 3 2 2 2 4 2" xfId="39685" xr:uid="{00000000-0005-0000-0000-0000285D0000}"/>
    <cellStyle name="Normal 2 5 2 3 2 2 2 5" xfId="9602" xr:uid="{00000000-0005-0000-0000-0000295D0000}"/>
    <cellStyle name="Normal 2 5 2 3 2 2 2 5 2" xfId="32245" xr:uid="{00000000-0005-0000-0000-00002A5D0000}"/>
    <cellStyle name="Normal 2 5 2 3 2 2 2 6" xfId="24804" xr:uid="{00000000-0005-0000-0000-00002B5D0000}"/>
    <cellStyle name="Normal 2 5 2 3 2 2 3" xfId="3077" xr:uid="{00000000-0005-0000-0000-00002C5D0000}"/>
    <cellStyle name="Normal 2 5 2 3 2 2 3 2" xfId="6798" xr:uid="{00000000-0005-0000-0000-00002D5D0000}"/>
    <cellStyle name="Normal 2 5 2 3 2 2 3 2 2" xfId="21682" xr:uid="{00000000-0005-0000-0000-00002E5D0000}"/>
    <cellStyle name="Normal 2 5 2 3 2 2 3 2 2 2" xfId="44325" xr:uid="{00000000-0005-0000-0000-00002F5D0000}"/>
    <cellStyle name="Normal 2 5 2 3 2 2 3 2 3" xfId="14242" xr:uid="{00000000-0005-0000-0000-0000305D0000}"/>
    <cellStyle name="Normal 2 5 2 3 2 2 3 2 3 2" xfId="36885" xr:uid="{00000000-0005-0000-0000-0000315D0000}"/>
    <cellStyle name="Normal 2 5 2 3 2 2 3 2 4" xfId="29444" xr:uid="{00000000-0005-0000-0000-0000325D0000}"/>
    <cellStyle name="Normal 2 5 2 3 2 2 3 3" xfId="17964" xr:uid="{00000000-0005-0000-0000-0000335D0000}"/>
    <cellStyle name="Normal 2 5 2 3 2 2 3 3 2" xfId="40607" xr:uid="{00000000-0005-0000-0000-0000345D0000}"/>
    <cellStyle name="Normal 2 5 2 3 2 2 3 4" xfId="10524" xr:uid="{00000000-0005-0000-0000-0000355D0000}"/>
    <cellStyle name="Normal 2 5 2 3 2 2 3 4 2" xfId="33167" xr:uid="{00000000-0005-0000-0000-0000365D0000}"/>
    <cellStyle name="Normal 2 5 2 3 2 2 3 5" xfId="25726" xr:uid="{00000000-0005-0000-0000-0000375D0000}"/>
    <cellStyle name="Normal 2 5 2 3 2 2 4" xfId="4951" xr:uid="{00000000-0005-0000-0000-0000385D0000}"/>
    <cellStyle name="Normal 2 5 2 3 2 2 4 2" xfId="19835" xr:uid="{00000000-0005-0000-0000-0000395D0000}"/>
    <cellStyle name="Normal 2 5 2 3 2 2 4 2 2" xfId="42478" xr:uid="{00000000-0005-0000-0000-00003A5D0000}"/>
    <cellStyle name="Normal 2 5 2 3 2 2 4 3" xfId="12395" xr:uid="{00000000-0005-0000-0000-00003B5D0000}"/>
    <cellStyle name="Normal 2 5 2 3 2 2 4 3 2" xfId="35038" xr:uid="{00000000-0005-0000-0000-00003C5D0000}"/>
    <cellStyle name="Normal 2 5 2 3 2 2 4 4" xfId="27597" xr:uid="{00000000-0005-0000-0000-00003D5D0000}"/>
    <cellStyle name="Normal 2 5 2 3 2 2 5" xfId="16117" xr:uid="{00000000-0005-0000-0000-00003E5D0000}"/>
    <cellStyle name="Normal 2 5 2 3 2 2 5 2" xfId="38760" xr:uid="{00000000-0005-0000-0000-00003F5D0000}"/>
    <cellStyle name="Normal 2 5 2 3 2 2 6" xfId="8677" xr:uid="{00000000-0005-0000-0000-0000405D0000}"/>
    <cellStyle name="Normal 2 5 2 3 2 2 6 2" xfId="31320" xr:uid="{00000000-0005-0000-0000-0000415D0000}"/>
    <cellStyle name="Normal 2 5 2 3 2 2 7" xfId="23879" xr:uid="{00000000-0005-0000-0000-0000425D0000}"/>
    <cellStyle name="Normal 2 5 2 3 2 3" xfId="1690" xr:uid="{00000000-0005-0000-0000-0000435D0000}"/>
    <cellStyle name="Normal 2 5 2 3 2 3 2" xfId="3540" xr:uid="{00000000-0005-0000-0000-0000445D0000}"/>
    <cellStyle name="Normal 2 5 2 3 2 3 2 2" xfId="7261" xr:uid="{00000000-0005-0000-0000-0000455D0000}"/>
    <cellStyle name="Normal 2 5 2 3 2 3 2 2 2" xfId="22145" xr:uid="{00000000-0005-0000-0000-0000465D0000}"/>
    <cellStyle name="Normal 2 5 2 3 2 3 2 2 2 2" xfId="44788" xr:uid="{00000000-0005-0000-0000-0000475D0000}"/>
    <cellStyle name="Normal 2 5 2 3 2 3 2 2 3" xfId="14705" xr:uid="{00000000-0005-0000-0000-0000485D0000}"/>
    <cellStyle name="Normal 2 5 2 3 2 3 2 2 3 2" xfId="37348" xr:uid="{00000000-0005-0000-0000-0000495D0000}"/>
    <cellStyle name="Normal 2 5 2 3 2 3 2 2 4" xfId="29907" xr:uid="{00000000-0005-0000-0000-00004A5D0000}"/>
    <cellStyle name="Normal 2 5 2 3 2 3 2 3" xfId="18427" xr:uid="{00000000-0005-0000-0000-00004B5D0000}"/>
    <cellStyle name="Normal 2 5 2 3 2 3 2 3 2" xfId="41070" xr:uid="{00000000-0005-0000-0000-00004C5D0000}"/>
    <cellStyle name="Normal 2 5 2 3 2 3 2 4" xfId="10987" xr:uid="{00000000-0005-0000-0000-00004D5D0000}"/>
    <cellStyle name="Normal 2 5 2 3 2 3 2 4 2" xfId="33630" xr:uid="{00000000-0005-0000-0000-00004E5D0000}"/>
    <cellStyle name="Normal 2 5 2 3 2 3 2 5" xfId="26189" xr:uid="{00000000-0005-0000-0000-00004F5D0000}"/>
    <cellStyle name="Normal 2 5 2 3 2 3 3" xfId="5414" xr:uid="{00000000-0005-0000-0000-0000505D0000}"/>
    <cellStyle name="Normal 2 5 2 3 2 3 3 2" xfId="20298" xr:uid="{00000000-0005-0000-0000-0000515D0000}"/>
    <cellStyle name="Normal 2 5 2 3 2 3 3 2 2" xfId="42941" xr:uid="{00000000-0005-0000-0000-0000525D0000}"/>
    <cellStyle name="Normal 2 5 2 3 2 3 3 3" xfId="12858" xr:uid="{00000000-0005-0000-0000-0000535D0000}"/>
    <cellStyle name="Normal 2 5 2 3 2 3 3 3 2" xfId="35501" xr:uid="{00000000-0005-0000-0000-0000545D0000}"/>
    <cellStyle name="Normal 2 5 2 3 2 3 3 4" xfId="28060" xr:uid="{00000000-0005-0000-0000-0000555D0000}"/>
    <cellStyle name="Normal 2 5 2 3 2 3 4" xfId="16580" xr:uid="{00000000-0005-0000-0000-0000565D0000}"/>
    <cellStyle name="Normal 2 5 2 3 2 3 4 2" xfId="39223" xr:uid="{00000000-0005-0000-0000-0000575D0000}"/>
    <cellStyle name="Normal 2 5 2 3 2 3 5" xfId="9140" xr:uid="{00000000-0005-0000-0000-0000585D0000}"/>
    <cellStyle name="Normal 2 5 2 3 2 3 5 2" xfId="31783" xr:uid="{00000000-0005-0000-0000-0000595D0000}"/>
    <cellStyle name="Normal 2 5 2 3 2 3 6" xfId="24342" xr:uid="{00000000-0005-0000-0000-00005A5D0000}"/>
    <cellStyle name="Normal 2 5 2 3 2 4" xfId="2615" xr:uid="{00000000-0005-0000-0000-00005B5D0000}"/>
    <cellStyle name="Normal 2 5 2 3 2 4 2" xfId="6336" xr:uid="{00000000-0005-0000-0000-00005C5D0000}"/>
    <cellStyle name="Normal 2 5 2 3 2 4 2 2" xfId="21220" xr:uid="{00000000-0005-0000-0000-00005D5D0000}"/>
    <cellStyle name="Normal 2 5 2 3 2 4 2 2 2" xfId="43863" xr:uid="{00000000-0005-0000-0000-00005E5D0000}"/>
    <cellStyle name="Normal 2 5 2 3 2 4 2 3" xfId="13780" xr:uid="{00000000-0005-0000-0000-00005F5D0000}"/>
    <cellStyle name="Normal 2 5 2 3 2 4 2 3 2" xfId="36423" xr:uid="{00000000-0005-0000-0000-0000605D0000}"/>
    <cellStyle name="Normal 2 5 2 3 2 4 2 4" xfId="28982" xr:uid="{00000000-0005-0000-0000-0000615D0000}"/>
    <cellStyle name="Normal 2 5 2 3 2 4 3" xfId="17502" xr:uid="{00000000-0005-0000-0000-0000625D0000}"/>
    <cellStyle name="Normal 2 5 2 3 2 4 3 2" xfId="40145" xr:uid="{00000000-0005-0000-0000-0000635D0000}"/>
    <cellStyle name="Normal 2 5 2 3 2 4 4" xfId="10062" xr:uid="{00000000-0005-0000-0000-0000645D0000}"/>
    <cellStyle name="Normal 2 5 2 3 2 4 4 2" xfId="32705" xr:uid="{00000000-0005-0000-0000-0000655D0000}"/>
    <cellStyle name="Normal 2 5 2 3 2 4 5" xfId="25264" xr:uid="{00000000-0005-0000-0000-0000665D0000}"/>
    <cellStyle name="Normal 2 5 2 3 2 5" xfId="4489" xr:uid="{00000000-0005-0000-0000-0000675D0000}"/>
    <cellStyle name="Normal 2 5 2 3 2 5 2" xfId="19373" xr:uid="{00000000-0005-0000-0000-0000685D0000}"/>
    <cellStyle name="Normal 2 5 2 3 2 5 2 2" xfId="42016" xr:uid="{00000000-0005-0000-0000-0000695D0000}"/>
    <cellStyle name="Normal 2 5 2 3 2 5 3" xfId="11933" xr:uid="{00000000-0005-0000-0000-00006A5D0000}"/>
    <cellStyle name="Normal 2 5 2 3 2 5 3 2" xfId="34576" xr:uid="{00000000-0005-0000-0000-00006B5D0000}"/>
    <cellStyle name="Normal 2 5 2 3 2 5 4" xfId="27135" xr:uid="{00000000-0005-0000-0000-00006C5D0000}"/>
    <cellStyle name="Normal 2 5 2 3 2 6" xfId="15655" xr:uid="{00000000-0005-0000-0000-00006D5D0000}"/>
    <cellStyle name="Normal 2 5 2 3 2 6 2" xfId="38298" xr:uid="{00000000-0005-0000-0000-00006E5D0000}"/>
    <cellStyle name="Normal 2 5 2 3 2 7" xfId="8215" xr:uid="{00000000-0005-0000-0000-00006F5D0000}"/>
    <cellStyle name="Normal 2 5 2 3 2 7 2" xfId="30858" xr:uid="{00000000-0005-0000-0000-0000705D0000}"/>
    <cellStyle name="Normal 2 5 2 3 2 8" xfId="23417" xr:uid="{00000000-0005-0000-0000-0000715D0000}"/>
    <cellStyle name="Normal 2 5 2 3 3" xfId="1013" xr:uid="{00000000-0005-0000-0000-0000725D0000}"/>
    <cellStyle name="Normal 2 5 2 3 3 2" xfId="1941" xr:uid="{00000000-0005-0000-0000-0000735D0000}"/>
    <cellStyle name="Normal 2 5 2 3 3 2 2" xfId="3791" xr:uid="{00000000-0005-0000-0000-0000745D0000}"/>
    <cellStyle name="Normal 2 5 2 3 3 2 2 2" xfId="7512" xr:uid="{00000000-0005-0000-0000-0000755D0000}"/>
    <cellStyle name="Normal 2 5 2 3 3 2 2 2 2" xfId="22396" xr:uid="{00000000-0005-0000-0000-0000765D0000}"/>
    <cellStyle name="Normal 2 5 2 3 3 2 2 2 2 2" xfId="45039" xr:uid="{00000000-0005-0000-0000-0000775D0000}"/>
    <cellStyle name="Normal 2 5 2 3 3 2 2 2 3" xfId="14956" xr:uid="{00000000-0005-0000-0000-0000785D0000}"/>
    <cellStyle name="Normal 2 5 2 3 3 2 2 2 3 2" xfId="37599" xr:uid="{00000000-0005-0000-0000-0000795D0000}"/>
    <cellStyle name="Normal 2 5 2 3 3 2 2 2 4" xfId="30158" xr:uid="{00000000-0005-0000-0000-00007A5D0000}"/>
    <cellStyle name="Normal 2 5 2 3 3 2 2 3" xfId="18678" xr:uid="{00000000-0005-0000-0000-00007B5D0000}"/>
    <cellStyle name="Normal 2 5 2 3 3 2 2 3 2" xfId="41321" xr:uid="{00000000-0005-0000-0000-00007C5D0000}"/>
    <cellStyle name="Normal 2 5 2 3 3 2 2 4" xfId="11238" xr:uid="{00000000-0005-0000-0000-00007D5D0000}"/>
    <cellStyle name="Normal 2 5 2 3 3 2 2 4 2" xfId="33881" xr:uid="{00000000-0005-0000-0000-00007E5D0000}"/>
    <cellStyle name="Normal 2 5 2 3 3 2 2 5" xfId="26440" xr:uid="{00000000-0005-0000-0000-00007F5D0000}"/>
    <cellStyle name="Normal 2 5 2 3 3 2 3" xfId="5665" xr:uid="{00000000-0005-0000-0000-0000805D0000}"/>
    <cellStyle name="Normal 2 5 2 3 3 2 3 2" xfId="20549" xr:uid="{00000000-0005-0000-0000-0000815D0000}"/>
    <cellStyle name="Normal 2 5 2 3 3 2 3 2 2" xfId="43192" xr:uid="{00000000-0005-0000-0000-0000825D0000}"/>
    <cellStyle name="Normal 2 5 2 3 3 2 3 3" xfId="13109" xr:uid="{00000000-0005-0000-0000-0000835D0000}"/>
    <cellStyle name="Normal 2 5 2 3 3 2 3 3 2" xfId="35752" xr:uid="{00000000-0005-0000-0000-0000845D0000}"/>
    <cellStyle name="Normal 2 5 2 3 3 2 3 4" xfId="28311" xr:uid="{00000000-0005-0000-0000-0000855D0000}"/>
    <cellStyle name="Normal 2 5 2 3 3 2 4" xfId="16831" xr:uid="{00000000-0005-0000-0000-0000865D0000}"/>
    <cellStyle name="Normal 2 5 2 3 3 2 4 2" xfId="39474" xr:uid="{00000000-0005-0000-0000-0000875D0000}"/>
    <cellStyle name="Normal 2 5 2 3 3 2 5" xfId="9391" xr:uid="{00000000-0005-0000-0000-0000885D0000}"/>
    <cellStyle name="Normal 2 5 2 3 3 2 5 2" xfId="32034" xr:uid="{00000000-0005-0000-0000-0000895D0000}"/>
    <cellStyle name="Normal 2 5 2 3 3 2 6" xfId="24593" xr:uid="{00000000-0005-0000-0000-00008A5D0000}"/>
    <cellStyle name="Normal 2 5 2 3 3 3" xfId="2866" xr:uid="{00000000-0005-0000-0000-00008B5D0000}"/>
    <cellStyle name="Normal 2 5 2 3 3 3 2" xfId="6587" xr:uid="{00000000-0005-0000-0000-00008C5D0000}"/>
    <cellStyle name="Normal 2 5 2 3 3 3 2 2" xfId="21471" xr:uid="{00000000-0005-0000-0000-00008D5D0000}"/>
    <cellStyle name="Normal 2 5 2 3 3 3 2 2 2" xfId="44114" xr:uid="{00000000-0005-0000-0000-00008E5D0000}"/>
    <cellStyle name="Normal 2 5 2 3 3 3 2 3" xfId="14031" xr:uid="{00000000-0005-0000-0000-00008F5D0000}"/>
    <cellStyle name="Normal 2 5 2 3 3 3 2 3 2" xfId="36674" xr:uid="{00000000-0005-0000-0000-0000905D0000}"/>
    <cellStyle name="Normal 2 5 2 3 3 3 2 4" xfId="29233" xr:uid="{00000000-0005-0000-0000-0000915D0000}"/>
    <cellStyle name="Normal 2 5 2 3 3 3 3" xfId="17753" xr:uid="{00000000-0005-0000-0000-0000925D0000}"/>
    <cellStyle name="Normal 2 5 2 3 3 3 3 2" xfId="40396" xr:uid="{00000000-0005-0000-0000-0000935D0000}"/>
    <cellStyle name="Normal 2 5 2 3 3 3 4" xfId="10313" xr:uid="{00000000-0005-0000-0000-0000945D0000}"/>
    <cellStyle name="Normal 2 5 2 3 3 3 4 2" xfId="32956" xr:uid="{00000000-0005-0000-0000-0000955D0000}"/>
    <cellStyle name="Normal 2 5 2 3 3 3 5" xfId="25515" xr:uid="{00000000-0005-0000-0000-0000965D0000}"/>
    <cellStyle name="Normal 2 5 2 3 3 4" xfId="4740" xr:uid="{00000000-0005-0000-0000-0000975D0000}"/>
    <cellStyle name="Normal 2 5 2 3 3 4 2" xfId="19624" xr:uid="{00000000-0005-0000-0000-0000985D0000}"/>
    <cellStyle name="Normal 2 5 2 3 3 4 2 2" xfId="42267" xr:uid="{00000000-0005-0000-0000-0000995D0000}"/>
    <cellStyle name="Normal 2 5 2 3 3 4 3" xfId="12184" xr:uid="{00000000-0005-0000-0000-00009A5D0000}"/>
    <cellStyle name="Normal 2 5 2 3 3 4 3 2" xfId="34827" xr:uid="{00000000-0005-0000-0000-00009B5D0000}"/>
    <cellStyle name="Normal 2 5 2 3 3 4 4" xfId="27386" xr:uid="{00000000-0005-0000-0000-00009C5D0000}"/>
    <cellStyle name="Normal 2 5 2 3 3 5" xfId="15906" xr:uid="{00000000-0005-0000-0000-00009D5D0000}"/>
    <cellStyle name="Normal 2 5 2 3 3 5 2" xfId="38549" xr:uid="{00000000-0005-0000-0000-00009E5D0000}"/>
    <cellStyle name="Normal 2 5 2 3 3 6" xfId="8466" xr:uid="{00000000-0005-0000-0000-00009F5D0000}"/>
    <cellStyle name="Normal 2 5 2 3 3 6 2" xfId="31109" xr:uid="{00000000-0005-0000-0000-0000A05D0000}"/>
    <cellStyle name="Normal 2 5 2 3 3 7" xfId="23668" xr:uid="{00000000-0005-0000-0000-0000A15D0000}"/>
    <cellStyle name="Normal 2 5 2 3 4" xfId="1479" xr:uid="{00000000-0005-0000-0000-0000A25D0000}"/>
    <cellStyle name="Normal 2 5 2 3 4 2" xfId="3329" xr:uid="{00000000-0005-0000-0000-0000A35D0000}"/>
    <cellStyle name="Normal 2 5 2 3 4 2 2" xfId="7050" xr:uid="{00000000-0005-0000-0000-0000A45D0000}"/>
    <cellStyle name="Normal 2 5 2 3 4 2 2 2" xfId="21934" xr:uid="{00000000-0005-0000-0000-0000A55D0000}"/>
    <cellStyle name="Normal 2 5 2 3 4 2 2 2 2" xfId="44577" xr:uid="{00000000-0005-0000-0000-0000A65D0000}"/>
    <cellStyle name="Normal 2 5 2 3 4 2 2 3" xfId="14494" xr:uid="{00000000-0005-0000-0000-0000A75D0000}"/>
    <cellStyle name="Normal 2 5 2 3 4 2 2 3 2" xfId="37137" xr:uid="{00000000-0005-0000-0000-0000A85D0000}"/>
    <cellStyle name="Normal 2 5 2 3 4 2 2 4" xfId="29696" xr:uid="{00000000-0005-0000-0000-0000A95D0000}"/>
    <cellStyle name="Normal 2 5 2 3 4 2 3" xfId="18216" xr:uid="{00000000-0005-0000-0000-0000AA5D0000}"/>
    <cellStyle name="Normal 2 5 2 3 4 2 3 2" xfId="40859" xr:uid="{00000000-0005-0000-0000-0000AB5D0000}"/>
    <cellStyle name="Normal 2 5 2 3 4 2 4" xfId="10776" xr:uid="{00000000-0005-0000-0000-0000AC5D0000}"/>
    <cellStyle name="Normal 2 5 2 3 4 2 4 2" xfId="33419" xr:uid="{00000000-0005-0000-0000-0000AD5D0000}"/>
    <cellStyle name="Normal 2 5 2 3 4 2 5" xfId="25978" xr:uid="{00000000-0005-0000-0000-0000AE5D0000}"/>
    <cellStyle name="Normal 2 5 2 3 4 3" xfId="5203" xr:uid="{00000000-0005-0000-0000-0000AF5D0000}"/>
    <cellStyle name="Normal 2 5 2 3 4 3 2" xfId="20087" xr:uid="{00000000-0005-0000-0000-0000B05D0000}"/>
    <cellStyle name="Normal 2 5 2 3 4 3 2 2" xfId="42730" xr:uid="{00000000-0005-0000-0000-0000B15D0000}"/>
    <cellStyle name="Normal 2 5 2 3 4 3 3" xfId="12647" xr:uid="{00000000-0005-0000-0000-0000B25D0000}"/>
    <cellStyle name="Normal 2 5 2 3 4 3 3 2" xfId="35290" xr:uid="{00000000-0005-0000-0000-0000B35D0000}"/>
    <cellStyle name="Normal 2 5 2 3 4 3 4" xfId="27849" xr:uid="{00000000-0005-0000-0000-0000B45D0000}"/>
    <cellStyle name="Normal 2 5 2 3 4 4" xfId="16369" xr:uid="{00000000-0005-0000-0000-0000B55D0000}"/>
    <cellStyle name="Normal 2 5 2 3 4 4 2" xfId="39012" xr:uid="{00000000-0005-0000-0000-0000B65D0000}"/>
    <cellStyle name="Normal 2 5 2 3 4 5" xfId="8929" xr:uid="{00000000-0005-0000-0000-0000B75D0000}"/>
    <cellStyle name="Normal 2 5 2 3 4 5 2" xfId="31572" xr:uid="{00000000-0005-0000-0000-0000B85D0000}"/>
    <cellStyle name="Normal 2 5 2 3 4 6" xfId="24131" xr:uid="{00000000-0005-0000-0000-0000B95D0000}"/>
    <cellStyle name="Normal 2 5 2 3 5" xfId="2404" xr:uid="{00000000-0005-0000-0000-0000BA5D0000}"/>
    <cellStyle name="Normal 2 5 2 3 5 2" xfId="6125" xr:uid="{00000000-0005-0000-0000-0000BB5D0000}"/>
    <cellStyle name="Normal 2 5 2 3 5 2 2" xfId="21009" xr:uid="{00000000-0005-0000-0000-0000BC5D0000}"/>
    <cellStyle name="Normal 2 5 2 3 5 2 2 2" xfId="43652" xr:uid="{00000000-0005-0000-0000-0000BD5D0000}"/>
    <cellStyle name="Normal 2 5 2 3 5 2 3" xfId="13569" xr:uid="{00000000-0005-0000-0000-0000BE5D0000}"/>
    <cellStyle name="Normal 2 5 2 3 5 2 3 2" xfId="36212" xr:uid="{00000000-0005-0000-0000-0000BF5D0000}"/>
    <cellStyle name="Normal 2 5 2 3 5 2 4" xfId="28771" xr:uid="{00000000-0005-0000-0000-0000C05D0000}"/>
    <cellStyle name="Normal 2 5 2 3 5 3" xfId="17291" xr:uid="{00000000-0005-0000-0000-0000C15D0000}"/>
    <cellStyle name="Normal 2 5 2 3 5 3 2" xfId="39934" xr:uid="{00000000-0005-0000-0000-0000C25D0000}"/>
    <cellStyle name="Normal 2 5 2 3 5 4" xfId="9851" xr:uid="{00000000-0005-0000-0000-0000C35D0000}"/>
    <cellStyle name="Normal 2 5 2 3 5 4 2" xfId="32494" xr:uid="{00000000-0005-0000-0000-0000C45D0000}"/>
    <cellStyle name="Normal 2 5 2 3 5 5" xfId="25053" xr:uid="{00000000-0005-0000-0000-0000C55D0000}"/>
    <cellStyle name="Normal 2 5 2 3 6" xfId="4278" xr:uid="{00000000-0005-0000-0000-0000C65D0000}"/>
    <cellStyle name="Normal 2 5 2 3 6 2" xfId="19162" xr:uid="{00000000-0005-0000-0000-0000C75D0000}"/>
    <cellStyle name="Normal 2 5 2 3 6 2 2" xfId="41805" xr:uid="{00000000-0005-0000-0000-0000C85D0000}"/>
    <cellStyle name="Normal 2 5 2 3 6 3" xfId="11722" xr:uid="{00000000-0005-0000-0000-0000C95D0000}"/>
    <cellStyle name="Normal 2 5 2 3 6 3 2" xfId="34365" xr:uid="{00000000-0005-0000-0000-0000CA5D0000}"/>
    <cellStyle name="Normal 2 5 2 3 6 4" xfId="26924" xr:uid="{00000000-0005-0000-0000-0000CB5D0000}"/>
    <cellStyle name="Normal 2 5 2 3 7" xfId="15444" xr:uid="{00000000-0005-0000-0000-0000CC5D0000}"/>
    <cellStyle name="Normal 2 5 2 3 7 2" xfId="38087" xr:uid="{00000000-0005-0000-0000-0000CD5D0000}"/>
    <cellStyle name="Normal 2 5 2 3 8" xfId="8004" xr:uid="{00000000-0005-0000-0000-0000CE5D0000}"/>
    <cellStyle name="Normal 2 5 2 3 8 2" xfId="30647" xr:uid="{00000000-0005-0000-0000-0000CF5D0000}"/>
    <cellStyle name="Normal 2 5 2 3 9" xfId="23207" xr:uid="{00000000-0005-0000-0000-0000D05D0000}"/>
    <cellStyle name="Normal 2 5 2 4" xfId="654" xr:uid="{00000000-0005-0000-0000-0000D15D0000}"/>
    <cellStyle name="Normal 2 5 2 4 2" xfId="1119" xr:uid="{00000000-0005-0000-0000-0000D25D0000}"/>
    <cellStyle name="Normal 2 5 2 4 2 2" xfId="2047" xr:uid="{00000000-0005-0000-0000-0000D35D0000}"/>
    <cellStyle name="Normal 2 5 2 4 2 2 2" xfId="3897" xr:uid="{00000000-0005-0000-0000-0000D45D0000}"/>
    <cellStyle name="Normal 2 5 2 4 2 2 2 2" xfId="7618" xr:uid="{00000000-0005-0000-0000-0000D55D0000}"/>
    <cellStyle name="Normal 2 5 2 4 2 2 2 2 2" xfId="22502" xr:uid="{00000000-0005-0000-0000-0000D65D0000}"/>
    <cellStyle name="Normal 2 5 2 4 2 2 2 2 2 2" xfId="45145" xr:uid="{00000000-0005-0000-0000-0000D75D0000}"/>
    <cellStyle name="Normal 2 5 2 4 2 2 2 2 3" xfId="15062" xr:uid="{00000000-0005-0000-0000-0000D85D0000}"/>
    <cellStyle name="Normal 2 5 2 4 2 2 2 2 3 2" xfId="37705" xr:uid="{00000000-0005-0000-0000-0000D95D0000}"/>
    <cellStyle name="Normal 2 5 2 4 2 2 2 2 4" xfId="30264" xr:uid="{00000000-0005-0000-0000-0000DA5D0000}"/>
    <cellStyle name="Normal 2 5 2 4 2 2 2 3" xfId="18784" xr:uid="{00000000-0005-0000-0000-0000DB5D0000}"/>
    <cellStyle name="Normal 2 5 2 4 2 2 2 3 2" xfId="41427" xr:uid="{00000000-0005-0000-0000-0000DC5D0000}"/>
    <cellStyle name="Normal 2 5 2 4 2 2 2 4" xfId="11344" xr:uid="{00000000-0005-0000-0000-0000DD5D0000}"/>
    <cellStyle name="Normal 2 5 2 4 2 2 2 4 2" xfId="33987" xr:uid="{00000000-0005-0000-0000-0000DE5D0000}"/>
    <cellStyle name="Normal 2 5 2 4 2 2 2 5" xfId="26546" xr:uid="{00000000-0005-0000-0000-0000DF5D0000}"/>
    <cellStyle name="Normal 2 5 2 4 2 2 3" xfId="5771" xr:uid="{00000000-0005-0000-0000-0000E05D0000}"/>
    <cellStyle name="Normal 2 5 2 4 2 2 3 2" xfId="20655" xr:uid="{00000000-0005-0000-0000-0000E15D0000}"/>
    <cellStyle name="Normal 2 5 2 4 2 2 3 2 2" xfId="43298" xr:uid="{00000000-0005-0000-0000-0000E25D0000}"/>
    <cellStyle name="Normal 2 5 2 4 2 2 3 3" xfId="13215" xr:uid="{00000000-0005-0000-0000-0000E35D0000}"/>
    <cellStyle name="Normal 2 5 2 4 2 2 3 3 2" xfId="35858" xr:uid="{00000000-0005-0000-0000-0000E45D0000}"/>
    <cellStyle name="Normal 2 5 2 4 2 2 3 4" xfId="28417" xr:uid="{00000000-0005-0000-0000-0000E55D0000}"/>
    <cellStyle name="Normal 2 5 2 4 2 2 4" xfId="16937" xr:uid="{00000000-0005-0000-0000-0000E65D0000}"/>
    <cellStyle name="Normal 2 5 2 4 2 2 4 2" xfId="39580" xr:uid="{00000000-0005-0000-0000-0000E75D0000}"/>
    <cellStyle name="Normal 2 5 2 4 2 2 5" xfId="9497" xr:uid="{00000000-0005-0000-0000-0000E85D0000}"/>
    <cellStyle name="Normal 2 5 2 4 2 2 5 2" xfId="32140" xr:uid="{00000000-0005-0000-0000-0000E95D0000}"/>
    <cellStyle name="Normal 2 5 2 4 2 2 6" xfId="24699" xr:uid="{00000000-0005-0000-0000-0000EA5D0000}"/>
    <cellStyle name="Normal 2 5 2 4 2 3" xfId="2972" xr:uid="{00000000-0005-0000-0000-0000EB5D0000}"/>
    <cellStyle name="Normal 2 5 2 4 2 3 2" xfId="6693" xr:uid="{00000000-0005-0000-0000-0000EC5D0000}"/>
    <cellStyle name="Normal 2 5 2 4 2 3 2 2" xfId="21577" xr:uid="{00000000-0005-0000-0000-0000ED5D0000}"/>
    <cellStyle name="Normal 2 5 2 4 2 3 2 2 2" xfId="44220" xr:uid="{00000000-0005-0000-0000-0000EE5D0000}"/>
    <cellStyle name="Normal 2 5 2 4 2 3 2 3" xfId="14137" xr:uid="{00000000-0005-0000-0000-0000EF5D0000}"/>
    <cellStyle name="Normal 2 5 2 4 2 3 2 3 2" xfId="36780" xr:uid="{00000000-0005-0000-0000-0000F05D0000}"/>
    <cellStyle name="Normal 2 5 2 4 2 3 2 4" xfId="29339" xr:uid="{00000000-0005-0000-0000-0000F15D0000}"/>
    <cellStyle name="Normal 2 5 2 4 2 3 3" xfId="17859" xr:uid="{00000000-0005-0000-0000-0000F25D0000}"/>
    <cellStyle name="Normal 2 5 2 4 2 3 3 2" xfId="40502" xr:uid="{00000000-0005-0000-0000-0000F35D0000}"/>
    <cellStyle name="Normal 2 5 2 4 2 3 4" xfId="10419" xr:uid="{00000000-0005-0000-0000-0000F45D0000}"/>
    <cellStyle name="Normal 2 5 2 4 2 3 4 2" xfId="33062" xr:uid="{00000000-0005-0000-0000-0000F55D0000}"/>
    <cellStyle name="Normal 2 5 2 4 2 3 5" xfId="25621" xr:uid="{00000000-0005-0000-0000-0000F65D0000}"/>
    <cellStyle name="Normal 2 5 2 4 2 4" xfId="4846" xr:uid="{00000000-0005-0000-0000-0000F75D0000}"/>
    <cellStyle name="Normal 2 5 2 4 2 4 2" xfId="19730" xr:uid="{00000000-0005-0000-0000-0000F85D0000}"/>
    <cellStyle name="Normal 2 5 2 4 2 4 2 2" xfId="42373" xr:uid="{00000000-0005-0000-0000-0000F95D0000}"/>
    <cellStyle name="Normal 2 5 2 4 2 4 3" xfId="12290" xr:uid="{00000000-0005-0000-0000-0000FA5D0000}"/>
    <cellStyle name="Normal 2 5 2 4 2 4 3 2" xfId="34933" xr:uid="{00000000-0005-0000-0000-0000FB5D0000}"/>
    <cellStyle name="Normal 2 5 2 4 2 4 4" xfId="27492" xr:uid="{00000000-0005-0000-0000-0000FC5D0000}"/>
    <cellStyle name="Normal 2 5 2 4 2 5" xfId="16012" xr:uid="{00000000-0005-0000-0000-0000FD5D0000}"/>
    <cellStyle name="Normal 2 5 2 4 2 5 2" xfId="38655" xr:uid="{00000000-0005-0000-0000-0000FE5D0000}"/>
    <cellStyle name="Normal 2 5 2 4 2 6" xfId="8572" xr:uid="{00000000-0005-0000-0000-0000FF5D0000}"/>
    <cellStyle name="Normal 2 5 2 4 2 6 2" xfId="31215" xr:uid="{00000000-0005-0000-0000-0000005E0000}"/>
    <cellStyle name="Normal 2 5 2 4 2 7" xfId="23774" xr:uid="{00000000-0005-0000-0000-0000015E0000}"/>
    <cellStyle name="Normal 2 5 2 4 3" xfId="1585" xr:uid="{00000000-0005-0000-0000-0000025E0000}"/>
    <cellStyle name="Normal 2 5 2 4 3 2" xfId="3435" xr:uid="{00000000-0005-0000-0000-0000035E0000}"/>
    <cellStyle name="Normal 2 5 2 4 3 2 2" xfId="7156" xr:uid="{00000000-0005-0000-0000-0000045E0000}"/>
    <cellStyle name="Normal 2 5 2 4 3 2 2 2" xfId="22040" xr:uid="{00000000-0005-0000-0000-0000055E0000}"/>
    <cellStyle name="Normal 2 5 2 4 3 2 2 2 2" xfId="44683" xr:uid="{00000000-0005-0000-0000-0000065E0000}"/>
    <cellStyle name="Normal 2 5 2 4 3 2 2 3" xfId="14600" xr:uid="{00000000-0005-0000-0000-0000075E0000}"/>
    <cellStyle name="Normal 2 5 2 4 3 2 2 3 2" xfId="37243" xr:uid="{00000000-0005-0000-0000-0000085E0000}"/>
    <cellStyle name="Normal 2 5 2 4 3 2 2 4" xfId="29802" xr:uid="{00000000-0005-0000-0000-0000095E0000}"/>
    <cellStyle name="Normal 2 5 2 4 3 2 3" xfId="18322" xr:uid="{00000000-0005-0000-0000-00000A5E0000}"/>
    <cellStyle name="Normal 2 5 2 4 3 2 3 2" xfId="40965" xr:uid="{00000000-0005-0000-0000-00000B5E0000}"/>
    <cellStyle name="Normal 2 5 2 4 3 2 4" xfId="10882" xr:uid="{00000000-0005-0000-0000-00000C5E0000}"/>
    <cellStyle name="Normal 2 5 2 4 3 2 4 2" xfId="33525" xr:uid="{00000000-0005-0000-0000-00000D5E0000}"/>
    <cellStyle name="Normal 2 5 2 4 3 2 5" xfId="26084" xr:uid="{00000000-0005-0000-0000-00000E5E0000}"/>
    <cellStyle name="Normal 2 5 2 4 3 3" xfId="5309" xr:uid="{00000000-0005-0000-0000-00000F5E0000}"/>
    <cellStyle name="Normal 2 5 2 4 3 3 2" xfId="20193" xr:uid="{00000000-0005-0000-0000-0000105E0000}"/>
    <cellStyle name="Normal 2 5 2 4 3 3 2 2" xfId="42836" xr:uid="{00000000-0005-0000-0000-0000115E0000}"/>
    <cellStyle name="Normal 2 5 2 4 3 3 3" xfId="12753" xr:uid="{00000000-0005-0000-0000-0000125E0000}"/>
    <cellStyle name="Normal 2 5 2 4 3 3 3 2" xfId="35396" xr:uid="{00000000-0005-0000-0000-0000135E0000}"/>
    <cellStyle name="Normal 2 5 2 4 3 3 4" xfId="27955" xr:uid="{00000000-0005-0000-0000-0000145E0000}"/>
    <cellStyle name="Normal 2 5 2 4 3 4" xfId="16475" xr:uid="{00000000-0005-0000-0000-0000155E0000}"/>
    <cellStyle name="Normal 2 5 2 4 3 4 2" xfId="39118" xr:uid="{00000000-0005-0000-0000-0000165E0000}"/>
    <cellStyle name="Normal 2 5 2 4 3 5" xfId="9035" xr:uid="{00000000-0005-0000-0000-0000175E0000}"/>
    <cellStyle name="Normal 2 5 2 4 3 5 2" xfId="31678" xr:uid="{00000000-0005-0000-0000-0000185E0000}"/>
    <cellStyle name="Normal 2 5 2 4 3 6" xfId="24237" xr:uid="{00000000-0005-0000-0000-0000195E0000}"/>
    <cellStyle name="Normal 2 5 2 4 4" xfId="2510" xr:uid="{00000000-0005-0000-0000-00001A5E0000}"/>
    <cellStyle name="Normal 2 5 2 4 4 2" xfId="6231" xr:uid="{00000000-0005-0000-0000-00001B5E0000}"/>
    <cellStyle name="Normal 2 5 2 4 4 2 2" xfId="21115" xr:uid="{00000000-0005-0000-0000-00001C5E0000}"/>
    <cellStyle name="Normal 2 5 2 4 4 2 2 2" xfId="43758" xr:uid="{00000000-0005-0000-0000-00001D5E0000}"/>
    <cellStyle name="Normal 2 5 2 4 4 2 3" xfId="13675" xr:uid="{00000000-0005-0000-0000-00001E5E0000}"/>
    <cellStyle name="Normal 2 5 2 4 4 2 3 2" xfId="36318" xr:uid="{00000000-0005-0000-0000-00001F5E0000}"/>
    <cellStyle name="Normal 2 5 2 4 4 2 4" xfId="28877" xr:uid="{00000000-0005-0000-0000-0000205E0000}"/>
    <cellStyle name="Normal 2 5 2 4 4 3" xfId="17397" xr:uid="{00000000-0005-0000-0000-0000215E0000}"/>
    <cellStyle name="Normal 2 5 2 4 4 3 2" xfId="40040" xr:uid="{00000000-0005-0000-0000-0000225E0000}"/>
    <cellStyle name="Normal 2 5 2 4 4 4" xfId="9957" xr:uid="{00000000-0005-0000-0000-0000235E0000}"/>
    <cellStyle name="Normal 2 5 2 4 4 4 2" xfId="32600" xr:uid="{00000000-0005-0000-0000-0000245E0000}"/>
    <cellStyle name="Normal 2 5 2 4 4 5" xfId="25159" xr:uid="{00000000-0005-0000-0000-0000255E0000}"/>
    <cellStyle name="Normal 2 5 2 4 5" xfId="4384" xr:uid="{00000000-0005-0000-0000-0000265E0000}"/>
    <cellStyle name="Normal 2 5 2 4 5 2" xfId="19268" xr:uid="{00000000-0005-0000-0000-0000275E0000}"/>
    <cellStyle name="Normal 2 5 2 4 5 2 2" xfId="41911" xr:uid="{00000000-0005-0000-0000-0000285E0000}"/>
    <cellStyle name="Normal 2 5 2 4 5 3" xfId="11828" xr:uid="{00000000-0005-0000-0000-0000295E0000}"/>
    <cellStyle name="Normal 2 5 2 4 5 3 2" xfId="34471" xr:uid="{00000000-0005-0000-0000-00002A5E0000}"/>
    <cellStyle name="Normal 2 5 2 4 5 4" xfId="27030" xr:uid="{00000000-0005-0000-0000-00002B5E0000}"/>
    <cellStyle name="Normal 2 5 2 4 6" xfId="15550" xr:uid="{00000000-0005-0000-0000-00002C5E0000}"/>
    <cellStyle name="Normal 2 5 2 4 6 2" xfId="38193" xr:uid="{00000000-0005-0000-0000-00002D5E0000}"/>
    <cellStyle name="Normal 2 5 2 4 7" xfId="8110" xr:uid="{00000000-0005-0000-0000-00002E5E0000}"/>
    <cellStyle name="Normal 2 5 2 4 7 2" xfId="30753" xr:uid="{00000000-0005-0000-0000-00002F5E0000}"/>
    <cellStyle name="Normal 2 5 2 4 8" xfId="23312" xr:uid="{00000000-0005-0000-0000-0000305E0000}"/>
    <cellStyle name="Normal 2 5 2 5" xfId="908" xr:uid="{00000000-0005-0000-0000-0000315E0000}"/>
    <cellStyle name="Normal 2 5 2 5 2" xfId="1836" xr:uid="{00000000-0005-0000-0000-0000325E0000}"/>
    <cellStyle name="Normal 2 5 2 5 2 2" xfId="3686" xr:uid="{00000000-0005-0000-0000-0000335E0000}"/>
    <cellStyle name="Normal 2 5 2 5 2 2 2" xfId="7407" xr:uid="{00000000-0005-0000-0000-0000345E0000}"/>
    <cellStyle name="Normal 2 5 2 5 2 2 2 2" xfId="22291" xr:uid="{00000000-0005-0000-0000-0000355E0000}"/>
    <cellStyle name="Normal 2 5 2 5 2 2 2 2 2" xfId="44934" xr:uid="{00000000-0005-0000-0000-0000365E0000}"/>
    <cellStyle name="Normal 2 5 2 5 2 2 2 3" xfId="14851" xr:uid="{00000000-0005-0000-0000-0000375E0000}"/>
    <cellStyle name="Normal 2 5 2 5 2 2 2 3 2" xfId="37494" xr:uid="{00000000-0005-0000-0000-0000385E0000}"/>
    <cellStyle name="Normal 2 5 2 5 2 2 2 4" xfId="30053" xr:uid="{00000000-0005-0000-0000-0000395E0000}"/>
    <cellStyle name="Normal 2 5 2 5 2 2 3" xfId="18573" xr:uid="{00000000-0005-0000-0000-00003A5E0000}"/>
    <cellStyle name="Normal 2 5 2 5 2 2 3 2" xfId="41216" xr:uid="{00000000-0005-0000-0000-00003B5E0000}"/>
    <cellStyle name="Normal 2 5 2 5 2 2 4" xfId="11133" xr:uid="{00000000-0005-0000-0000-00003C5E0000}"/>
    <cellStyle name="Normal 2 5 2 5 2 2 4 2" xfId="33776" xr:uid="{00000000-0005-0000-0000-00003D5E0000}"/>
    <cellStyle name="Normal 2 5 2 5 2 2 5" xfId="26335" xr:uid="{00000000-0005-0000-0000-00003E5E0000}"/>
    <cellStyle name="Normal 2 5 2 5 2 3" xfId="5560" xr:uid="{00000000-0005-0000-0000-00003F5E0000}"/>
    <cellStyle name="Normal 2 5 2 5 2 3 2" xfId="20444" xr:uid="{00000000-0005-0000-0000-0000405E0000}"/>
    <cellStyle name="Normal 2 5 2 5 2 3 2 2" xfId="43087" xr:uid="{00000000-0005-0000-0000-0000415E0000}"/>
    <cellStyle name="Normal 2 5 2 5 2 3 3" xfId="13004" xr:uid="{00000000-0005-0000-0000-0000425E0000}"/>
    <cellStyle name="Normal 2 5 2 5 2 3 3 2" xfId="35647" xr:uid="{00000000-0005-0000-0000-0000435E0000}"/>
    <cellStyle name="Normal 2 5 2 5 2 3 4" xfId="28206" xr:uid="{00000000-0005-0000-0000-0000445E0000}"/>
    <cellStyle name="Normal 2 5 2 5 2 4" xfId="16726" xr:uid="{00000000-0005-0000-0000-0000455E0000}"/>
    <cellStyle name="Normal 2 5 2 5 2 4 2" xfId="39369" xr:uid="{00000000-0005-0000-0000-0000465E0000}"/>
    <cellStyle name="Normal 2 5 2 5 2 5" xfId="9286" xr:uid="{00000000-0005-0000-0000-0000475E0000}"/>
    <cellStyle name="Normal 2 5 2 5 2 5 2" xfId="31929" xr:uid="{00000000-0005-0000-0000-0000485E0000}"/>
    <cellStyle name="Normal 2 5 2 5 2 6" xfId="24488" xr:uid="{00000000-0005-0000-0000-0000495E0000}"/>
    <cellStyle name="Normal 2 5 2 5 3" xfId="2761" xr:uid="{00000000-0005-0000-0000-00004A5E0000}"/>
    <cellStyle name="Normal 2 5 2 5 3 2" xfId="6482" xr:uid="{00000000-0005-0000-0000-00004B5E0000}"/>
    <cellStyle name="Normal 2 5 2 5 3 2 2" xfId="21366" xr:uid="{00000000-0005-0000-0000-00004C5E0000}"/>
    <cellStyle name="Normal 2 5 2 5 3 2 2 2" xfId="44009" xr:uid="{00000000-0005-0000-0000-00004D5E0000}"/>
    <cellStyle name="Normal 2 5 2 5 3 2 3" xfId="13926" xr:uid="{00000000-0005-0000-0000-00004E5E0000}"/>
    <cellStyle name="Normal 2 5 2 5 3 2 3 2" xfId="36569" xr:uid="{00000000-0005-0000-0000-00004F5E0000}"/>
    <cellStyle name="Normal 2 5 2 5 3 2 4" xfId="29128" xr:uid="{00000000-0005-0000-0000-0000505E0000}"/>
    <cellStyle name="Normal 2 5 2 5 3 3" xfId="17648" xr:uid="{00000000-0005-0000-0000-0000515E0000}"/>
    <cellStyle name="Normal 2 5 2 5 3 3 2" xfId="40291" xr:uid="{00000000-0005-0000-0000-0000525E0000}"/>
    <cellStyle name="Normal 2 5 2 5 3 4" xfId="10208" xr:uid="{00000000-0005-0000-0000-0000535E0000}"/>
    <cellStyle name="Normal 2 5 2 5 3 4 2" xfId="32851" xr:uid="{00000000-0005-0000-0000-0000545E0000}"/>
    <cellStyle name="Normal 2 5 2 5 3 5" xfId="25410" xr:uid="{00000000-0005-0000-0000-0000555E0000}"/>
    <cellStyle name="Normal 2 5 2 5 4" xfId="4635" xr:uid="{00000000-0005-0000-0000-0000565E0000}"/>
    <cellStyle name="Normal 2 5 2 5 4 2" xfId="19519" xr:uid="{00000000-0005-0000-0000-0000575E0000}"/>
    <cellStyle name="Normal 2 5 2 5 4 2 2" xfId="42162" xr:uid="{00000000-0005-0000-0000-0000585E0000}"/>
    <cellStyle name="Normal 2 5 2 5 4 3" xfId="12079" xr:uid="{00000000-0005-0000-0000-0000595E0000}"/>
    <cellStyle name="Normal 2 5 2 5 4 3 2" xfId="34722" xr:uid="{00000000-0005-0000-0000-00005A5E0000}"/>
    <cellStyle name="Normal 2 5 2 5 4 4" xfId="27281" xr:uid="{00000000-0005-0000-0000-00005B5E0000}"/>
    <cellStyle name="Normal 2 5 2 5 5" xfId="15801" xr:uid="{00000000-0005-0000-0000-00005C5E0000}"/>
    <cellStyle name="Normal 2 5 2 5 5 2" xfId="38444" xr:uid="{00000000-0005-0000-0000-00005D5E0000}"/>
    <cellStyle name="Normal 2 5 2 5 6" xfId="8361" xr:uid="{00000000-0005-0000-0000-00005E5E0000}"/>
    <cellStyle name="Normal 2 5 2 5 6 2" xfId="31004" xr:uid="{00000000-0005-0000-0000-00005F5E0000}"/>
    <cellStyle name="Normal 2 5 2 5 7" xfId="23563" xr:uid="{00000000-0005-0000-0000-0000605E0000}"/>
    <cellStyle name="Normal 2 5 2 6" xfId="1374" xr:uid="{00000000-0005-0000-0000-0000615E0000}"/>
    <cellStyle name="Normal 2 5 2 6 2" xfId="3224" xr:uid="{00000000-0005-0000-0000-0000625E0000}"/>
    <cellStyle name="Normal 2 5 2 6 2 2" xfId="6945" xr:uid="{00000000-0005-0000-0000-0000635E0000}"/>
    <cellStyle name="Normal 2 5 2 6 2 2 2" xfId="21829" xr:uid="{00000000-0005-0000-0000-0000645E0000}"/>
    <cellStyle name="Normal 2 5 2 6 2 2 2 2" xfId="44472" xr:uid="{00000000-0005-0000-0000-0000655E0000}"/>
    <cellStyle name="Normal 2 5 2 6 2 2 3" xfId="14389" xr:uid="{00000000-0005-0000-0000-0000665E0000}"/>
    <cellStyle name="Normal 2 5 2 6 2 2 3 2" xfId="37032" xr:uid="{00000000-0005-0000-0000-0000675E0000}"/>
    <cellStyle name="Normal 2 5 2 6 2 2 4" xfId="29591" xr:uid="{00000000-0005-0000-0000-0000685E0000}"/>
    <cellStyle name="Normal 2 5 2 6 2 3" xfId="18111" xr:uid="{00000000-0005-0000-0000-0000695E0000}"/>
    <cellStyle name="Normal 2 5 2 6 2 3 2" xfId="40754" xr:uid="{00000000-0005-0000-0000-00006A5E0000}"/>
    <cellStyle name="Normal 2 5 2 6 2 4" xfId="10671" xr:uid="{00000000-0005-0000-0000-00006B5E0000}"/>
    <cellStyle name="Normal 2 5 2 6 2 4 2" xfId="33314" xr:uid="{00000000-0005-0000-0000-00006C5E0000}"/>
    <cellStyle name="Normal 2 5 2 6 2 5" xfId="25873" xr:uid="{00000000-0005-0000-0000-00006D5E0000}"/>
    <cellStyle name="Normal 2 5 2 6 3" xfId="5098" xr:uid="{00000000-0005-0000-0000-00006E5E0000}"/>
    <cellStyle name="Normal 2 5 2 6 3 2" xfId="19982" xr:uid="{00000000-0005-0000-0000-00006F5E0000}"/>
    <cellStyle name="Normal 2 5 2 6 3 2 2" xfId="42625" xr:uid="{00000000-0005-0000-0000-0000705E0000}"/>
    <cellStyle name="Normal 2 5 2 6 3 3" xfId="12542" xr:uid="{00000000-0005-0000-0000-0000715E0000}"/>
    <cellStyle name="Normal 2 5 2 6 3 3 2" xfId="35185" xr:uid="{00000000-0005-0000-0000-0000725E0000}"/>
    <cellStyle name="Normal 2 5 2 6 3 4" xfId="27744" xr:uid="{00000000-0005-0000-0000-0000735E0000}"/>
    <cellStyle name="Normal 2 5 2 6 4" xfId="16264" xr:uid="{00000000-0005-0000-0000-0000745E0000}"/>
    <cellStyle name="Normal 2 5 2 6 4 2" xfId="38907" xr:uid="{00000000-0005-0000-0000-0000755E0000}"/>
    <cellStyle name="Normal 2 5 2 6 5" xfId="8824" xr:uid="{00000000-0005-0000-0000-0000765E0000}"/>
    <cellStyle name="Normal 2 5 2 6 5 2" xfId="31467" xr:uid="{00000000-0005-0000-0000-0000775E0000}"/>
    <cellStyle name="Normal 2 5 2 6 6" xfId="24026" xr:uid="{00000000-0005-0000-0000-0000785E0000}"/>
    <cellStyle name="Normal 2 5 2 7" xfId="2299" xr:uid="{00000000-0005-0000-0000-0000795E0000}"/>
    <cellStyle name="Normal 2 5 2 7 2" xfId="6020" xr:uid="{00000000-0005-0000-0000-00007A5E0000}"/>
    <cellStyle name="Normal 2 5 2 7 2 2" xfId="20904" xr:uid="{00000000-0005-0000-0000-00007B5E0000}"/>
    <cellStyle name="Normal 2 5 2 7 2 2 2" xfId="43547" xr:uid="{00000000-0005-0000-0000-00007C5E0000}"/>
    <cellStyle name="Normal 2 5 2 7 2 3" xfId="13464" xr:uid="{00000000-0005-0000-0000-00007D5E0000}"/>
    <cellStyle name="Normal 2 5 2 7 2 3 2" xfId="36107" xr:uid="{00000000-0005-0000-0000-00007E5E0000}"/>
    <cellStyle name="Normal 2 5 2 7 2 4" xfId="28666" xr:uid="{00000000-0005-0000-0000-00007F5E0000}"/>
    <cellStyle name="Normal 2 5 2 7 3" xfId="17186" xr:uid="{00000000-0005-0000-0000-0000805E0000}"/>
    <cellStyle name="Normal 2 5 2 7 3 2" xfId="39829" xr:uid="{00000000-0005-0000-0000-0000815E0000}"/>
    <cellStyle name="Normal 2 5 2 7 4" xfId="9746" xr:uid="{00000000-0005-0000-0000-0000825E0000}"/>
    <cellStyle name="Normal 2 5 2 7 4 2" xfId="32389" xr:uid="{00000000-0005-0000-0000-0000835E0000}"/>
    <cellStyle name="Normal 2 5 2 7 5" xfId="24948" xr:uid="{00000000-0005-0000-0000-0000845E0000}"/>
    <cellStyle name="Normal 2 5 2 8" xfId="4173" xr:uid="{00000000-0005-0000-0000-0000855E0000}"/>
    <cellStyle name="Normal 2 5 2 8 2" xfId="19057" xr:uid="{00000000-0005-0000-0000-0000865E0000}"/>
    <cellStyle name="Normal 2 5 2 8 2 2" xfId="41700" xr:uid="{00000000-0005-0000-0000-0000875E0000}"/>
    <cellStyle name="Normal 2 5 2 8 3" xfId="11617" xr:uid="{00000000-0005-0000-0000-0000885E0000}"/>
    <cellStyle name="Normal 2 5 2 8 3 2" xfId="34260" xr:uid="{00000000-0005-0000-0000-0000895E0000}"/>
    <cellStyle name="Normal 2 5 2 8 4" xfId="26819" xr:uid="{00000000-0005-0000-0000-00008A5E0000}"/>
    <cellStyle name="Normal 2 5 2 9" xfId="15339" xr:uid="{00000000-0005-0000-0000-00008B5E0000}"/>
    <cellStyle name="Normal 2 5 2 9 2" xfId="37982" xr:uid="{00000000-0005-0000-0000-00008C5E0000}"/>
    <cellStyle name="Normal 2 5 3" xfId="473" xr:uid="{00000000-0005-0000-0000-00008D5E0000}"/>
    <cellStyle name="Normal 2 5 3 10" xfId="23134" xr:uid="{00000000-0005-0000-0000-00008E5E0000}"/>
    <cellStyle name="Normal 2 5 3 2" xfId="579" xr:uid="{00000000-0005-0000-0000-00008F5E0000}"/>
    <cellStyle name="Normal 2 5 3 2 2" xfId="791" xr:uid="{00000000-0005-0000-0000-0000905E0000}"/>
    <cellStyle name="Normal 2 5 3 2 2 2" xfId="1256" xr:uid="{00000000-0005-0000-0000-0000915E0000}"/>
    <cellStyle name="Normal 2 5 3 2 2 2 2" xfId="2184" xr:uid="{00000000-0005-0000-0000-0000925E0000}"/>
    <cellStyle name="Normal 2 5 3 2 2 2 2 2" xfId="4034" xr:uid="{00000000-0005-0000-0000-0000935E0000}"/>
    <cellStyle name="Normal 2 5 3 2 2 2 2 2 2" xfId="7755" xr:uid="{00000000-0005-0000-0000-0000945E0000}"/>
    <cellStyle name="Normal 2 5 3 2 2 2 2 2 2 2" xfId="22639" xr:uid="{00000000-0005-0000-0000-0000955E0000}"/>
    <cellStyle name="Normal 2 5 3 2 2 2 2 2 2 2 2" xfId="45282" xr:uid="{00000000-0005-0000-0000-0000965E0000}"/>
    <cellStyle name="Normal 2 5 3 2 2 2 2 2 2 3" xfId="15199" xr:uid="{00000000-0005-0000-0000-0000975E0000}"/>
    <cellStyle name="Normal 2 5 3 2 2 2 2 2 2 3 2" xfId="37842" xr:uid="{00000000-0005-0000-0000-0000985E0000}"/>
    <cellStyle name="Normal 2 5 3 2 2 2 2 2 2 4" xfId="30401" xr:uid="{00000000-0005-0000-0000-0000995E0000}"/>
    <cellStyle name="Normal 2 5 3 2 2 2 2 2 3" xfId="18921" xr:uid="{00000000-0005-0000-0000-00009A5E0000}"/>
    <cellStyle name="Normal 2 5 3 2 2 2 2 2 3 2" xfId="41564" xr:uid="{00000000-0005-0000-0000-00009B5E0000}"/>
    <cellStyle name="Normal 2 5 3 2 2 2 2 2 4" xfId="11481" xr:uid="{00000000-0005-0000-0000-00009C5E0000}"/>
    <cellStyle name="Normal 2 5 3 2 2 2 2 2 4 2" xfId="34124" xr:uid="{00000000-0005-0000-0000-00009D5E0000}"/>
    <cellStyle name="Normal 2 5 3 2 2 2 2 2 5" xfId="26683" xr:uid="{00000000-0005-0000-0000-00009E5E0000}"/>
    <cellStyle name="Normal 2 5 3 2 2 2 2 3" xfId="5908" xr:uid="{00000000-0005-0000-0000-00009F5E0000}"/>
    <cellStyle name="Normal 2 5 3 2 2 2 2 3 2" xfId="20792" xr:uid="{00000000-0005-0000-0000-0000A05E0000}"/>
    <cellStyle name="Normal 2 5 3 2 2 2 2 3 2 2" xfId="43435" xr:uid="{00000000-0005-0000-0000-0000A15E0000}"/>
    <cellStyle name="Normal 2 5 3 2 2 2 2 3 3" xfId="13352" xr:uid="{00000000-0005-0000-0000-0000A25E0000}"/>
    <cellStyle name="Normal 2 5 3 2 2 2 2 3 3 2" xfId="35995" xr:uid="{00000000-0005-0000-0000-0000A35E0000}"/>
    <cellStyle name="Normal 2 5 3 2 2 2 2 3 4" xfId="28554" xr:uid="{00000000-0005-0000-0000-0000A45E0000}"/>
    <cellStyle name="Normal 2 5 3 2 2 2 2 4" xfId="17074" xr:uid="{00000000-0005-0000-0000-0000A55E0000}"/>
    <cellStyle name="Normal 2 5 3 2 2 2 2 4 2" xfId="39717" xr:uid="{00000000-0005-0000-0000-0000A65E0000}"/>
    <cellStyle name="Normal 2 5 3 2 2 2 2 5" xfId="9634" xr:uid="{00000000-0005-0000-0000-0000A75E0000}"/>
    <cellStyle name="Normal 2 5 3 2 2 2 2 5 2" xfId="32277" xr:uid="{00000000-0005-0000-0000-0000A85E0000}"/>
    <cellStyle name="Normal 2 5 3 2 2 2 2 6" xfId="24836" xr:uid="{00000000-0005-0000-0000-0000A95E0000}"/>
    <cellStyle name="Normal 2 5 3 2 2 2 3" xfId="3109" xr:uid="{00000000-0005-0000-0000-0000AA5E0000}"/>
    <cellStyle name="Normal 2 5 3 2 2 2 3 2" xfId="6830" xr:uid="{00000000-0005-0000-0000-0000AB5E0000}"/>
    <cellStyle name="Normal 2 5 3 2 2 2 3 2 2" xfId="21714" xr:uid="{00000000-0005-0000-0000-0000AC5E0000}"/>
    <cellStyle name="Normal 2 5 3 2 2 2 3 2 2 2" xfId="44357" xr:uid="{00000000-0005-0000-0000-0000AD5E0000}"/>
    <cellStyle name="Normal 2 5 3 2 2 2 3 2 3" xfId="14274" xr:uid="{00000000-0005-0000-0000-0000AE5E0000}"/>
    <cellStyle name="Normal 2 5 3 2 2 2 3 2 3 2" xfId="36917" xr:uid="{00000000-0005-0000-0000-0000AF5E0000}"/>
    <cellStyle name="Normal 2 5 3 2 2 2 3 2 4" xfId="29476" xr:uid="{00000000-0005-0000-0000-0000B05E0000}"/>
    <cellStyle name="Normal 2 5 3 2 2 2 3 3" xfId="17996" xr:uid="{00000000-0005-0000-0000-0000B15E0000}"/>
    <cellStyle name="Normal 2 5 3 2 2 2 3 3 2" xfId="40639" xr:uid="{00000000-0005-0000-0000-0000B25E0000}"/>
    <cellStyle name="Normal 2 5 3 2 2 2 3 4" xfId="10556" xr:uid="{00000000-0005-0000-0000-0000B35E0000}"/>
    <cellStyle name="Normal 2 5 3 2 2 2 3 4 2" xfId="33199" xr:uid="{00000000-0005-0000-0000-0000B45E0000}"/>
    <cellStyle name="Normal 2 5 3 2 2 2 3 5" xfId="25758" xr:uid="{00000000-0005-0000-0000-0000B55E0000}"/>
    <cellStyle name="Normal 2 5 3 2 2 2 4" xfId="4983" xr:uid="{00000000-0005-0000-0000-0000B65E0000}"/>
    <cellStyle name="Normal 2 5 3 2 2 2 4 2" xfId="19867" xr:uid="{00000000-0005-0000-0000-0000B75E0000}"/>
    <cellStyle name="Normal 2 5 3 2 2 2 4 2 2" xfId="42510" xr:uid="{00000000-0005-0000-0000-0000B85E0000}"/>
    <cellStyle name="Normal 2 5 3 2 2 2 4 3" xfId="12427" xr:uid="{00000000-0005-0000-0000-0000B95E0000}"/>
    <cellStyle name="Normal 2 5 3 2 2 2 4 3 2" xfId="35070" xr:uid="{00000000-0005-0000-0000-0000BA5E0000}"/>
    <cellStyle name="Normal 2 5 3 2 2 2 4 4" xfId="27629" xr:uid="{00000000-0005-0000-0000-0000BB5E0000}"/>
    <cellStyle name="Normal 2 5 3 2 2 2 5" xfId="16149" xr:uid="{00000000-0005-0000-0000-0000BC5E0000}"/>
    <cellStyle name="Normal 2 5 3 2 2 2 5 2" xfId="38792" xr:uid="{00000000-0005-0000-0000-0000BD5E0000}"/>
    <cellStyle name="Normal 2 5 3 2 2 2 6" xfId="8709" xr:uid="{00000000-0005-0000-0000-0000BE5E0000}"/>
    <cellStyle name="Normal 2 5 3 2 2 2 6 2" xfId="31352" xr:uid="{00000000-0005-0000-0000-0000BF5E0000}"/>
    <cellStyle name="Normal 2 5 3 2 2 2 7" xfId="23911" xr:uid="{00000000-0005-0000-0000-0000C05E0000}"/>
    <cellStyle name="Normal 2 5 3 2 2 3" xfId="1722" xr:uid="{00000000-0005-0000-0000-0000C15E0000}"/>
    <cellStyle name="Normal 2 5 3 2 2 3 2" xfId="3572" xr:uid="{00000000-0005-0000-0000-0000C25E0000}"/>
    <cellStyle name="Normal 2 5 3 2 2 3 2 2" xfId="7293" xr:uid="{00000000-0005-0000-0000-0000C35E0000}"/>
    <cellStyle name="Normal 2 5 3 2 2 3 2 2 2" xfId="22177" xr:uid="{00000000-0005-0000-0000-0000C45E0000}"/>
    <cellStyle name="Normal 2 5 3 2 2 3 2 2 2 2" xfId="44820" xr:uid="{00000000-0005-0000-0000-0000C55E0000}"/>
    <cellStyle name="Normal 2 5 3 2 2 3 2 2 3" xfId="14737" xr:uid="{00000000-0005-0000-0000-0000C65E0000}"/>
    <cellStyle name="Normal 2 5 3 2 2 3 2 2 3 2" xfId="37380" xr:uid="{00000000-0005-0000-0000-0000C75E0000}"/>
    <cellStyle name="Normal 2 5 3 2 2 3 2 2 4" xfId="29939" xr:uid="{00000000-0005-0000-0000-0000C85E0000}"/>
    <cellStyle name="Normal 2 5 3 2 2 3 2 3" xfId="18459" xr:uid="{00000000-0005-0000-0000-0000C95E0000}"/>
    <cellStyle name="Normal 2 5 3 2 2 3 2 3 2" xfId="41102" xr:uid="{00000000-0005-0000-0000-0000CA5E0000}"/>
    <cellStyle name="Normal 2 5 3 2 2 3 2 4" xfId="11019" xr:uid="{00000000-0005-0000-0000-0000CB5E0000}"/>
    <cellStyle name="Normal 2 5 3 2 2 3 2 4 2" xfId="33662" xr:uid="{00000000-0005-0000-0000-0000CC5E0000}"/>
    <cellStyle name="Normal 2 5 3 2 2 3 2 5" xfId="26221" xr:uid="{00000000-0005-0000-0000-0000CD5E0000}"/>
    <cellStyle name="Normal 2 5 3 2 2 3 3" xfId="5446" xr:uid="{00000000-0005-0000-0000-0000CE5E0000}"/>
    <cellStyle name="Normal 2 5 3 2 2 3 3 2" xfId="20330" xr:uid="{00000000-0005-0000-0000-0000CF5E0000}"/>
    <cellStyle name="Normal 2 5 3 2 2 3 3 2 2" xfId="42973" xr:uid="{00000000-0005-0000-0000-0000D05E0000}"/>
    <cellStyle name="Normal 2 5 3 2 2 3 3 3" xfId="12890" xr:uid="{00000000-0005-0000-0000-0000D15E0000}"/>
    <cellStyle name="Normal 2 5 3 2 2 3 3 3 2" xfId="35533" xr:uid="{00000000-0005-0000-0000-0000D25E0000}"/>
    <cellStyle name="Normal 2 5 3 2 2 3 3 4" xfId="28092" xr:uid="{00000000-0005-0000-0000-0000D35E0000}"/>
    <cellStyle name="Normal 2 5 3 2 2 3 4" xfId="16612" xr:uid="{00000000-0005-0000-0000-0000D45E0000}"/>
    <cellStyle name="Normal 2 5 3 2 2 3 4 2" xfId="39255" xr:uid="{00000000-0005-0000-0000-0000D55E0000}"/>
    <cellStyle name="Normal 2 5 3 2 2 3 5" xfId="9172" xr:uid="{00000000-0005-0000-0000-0000D65E0000}"/>
    <cellStyle name="Normal 2 5 3 2 2 3 5 2" xfId="31815" xr:uid="{00000000-0005-0000-0000-0000D75E0000}"/>
    <cellStyle name="Normal 2 5 3 2 2 3 6" xfId="24374" xr:uid="{00000000-0005-0000-0000-0000D85E0000}"/>
    <cellStyle name="Normal 2 5 3 2 2 4" xfId="2647" xr:uid="{00000000-0005-0000-0000-0000D95E0000}"/>
    <cellStyle name="Normal 2 5 3 2 2 4 2" xfId="6368" xr:uid="{00000000-0005-0000-0000-0000DA5E0000}"/>
    <cellStyle name="Normal 2 5 3 2 2 4 2 2" xfId="21252" xr:uid="{00000000-0005-0000-0000-0000DB5E0000}"/>
    <cellStyle name="Normal 2 5 3 2 2 4 2 2 2" xfId="43895" xr:uid="{00000000-0005-0000-0000-0000DC5E0000}"/>
    <cellStyle name="Normal 2 5 3 2 2 4 2 3" xfId="13812" xr:uid="{00000000-0005-0000-0000-0000DD5E0000}"/>
    <cellStyle name="Normal 2 5 3 2 2 4 2 3 2" xfId="36455" xr:uid="{00000000-0005-0000-0000-0000DE5E0000}"/>
    <cellStyle name="Normal 2 5 3 2 2 4 2 4" xfId="29014" xr:uid="{00000000-0005-0000-0000-0000DF5E0000}"/>
    <cellStyle name="Normal 2 5 3 2 2 4 3" xfId="17534" xr:uid="{00000000-0005-0000-0000-0000E05E0000}"/>
    <cellStyle name="Normal 2 5 3 2 2 4 3 2" xfId="40177" xr:uid="{00000000-0005-0000-0000-0000E15E0000}"/>
    <cellStyle name="Normal 2 5 3 2 2 4 4" xfId="10094" xr:uid="{00000000-0005-0000-0000-0000E25E0000}"/>
    <cellStyle name="Normal 2 5 3 2 2 4 4 2" xfId="32737" xr:uid="{00000000-0005-0000-0000-0000E35E0000}"/>
    <cellStyle name="Normal 2 5 3 2 2 4 5" xfId="25296" xr:uid="{00000000-0005-0000-0000-0000E45E0000}"/>
    <cellStyle name="Normal 2 5 3 2 2 5" xfId="4521" xr:uid="{00000000-0005-0000-0000-0000E55E0000}"/>
    <cellStyle name="Normal 2 5 3 2 2 5 2" xfId="19405" xr:uid="{00000000-0005-0000-0000-0000E65E0000}"/>
    <cellStyle name="Normal 2 5 3 2 2 5 2 2" xfId="42048" xr:uid="{00000000-0005-0000-0000-0000E75E0000}"/>
    <cellStyle name="Normal 2 5 3 2 2 5 3" xfId="11965" xr:uid="{00000000-0005-0000-0000-0000E85E0000}"/>
    <cellStyle name="Normal 2 5 3 2 2 5 3 2" xfId="34608" xr:uid="{00000000-0005-0000-0000-0000E95E0000}"/>
    <cellStyle name="Normal 2 5 3 2 2 5 4" xfId="27167" xr:uid="{00000000-0005-0000-0000-0000EA5E0000}"/>
    <cellStyle name="Normal 2 5 3 2 2 6" xfId="15687" xr:uid="{00000000-0005-0000-0000-0000EB5E0000}"/>
    <cellStyle name="Normal 2 5 3 2 2 6 2" xfId="38330" xr:uid="{00000000-0005-0000-0000-0000EC5E0000}"/>
    <cellStyle name="Normal 2 5 3 2 2 7" xfId="8247" xr:uid="{00000000-0005-0000-0000-0000ED5E0000}"/>
    <cellStyle name="Normal 2 5 3 2 2 7 2" xfId="30890" xr:uid="{00000000-0005-0000-0000-0000EE5E0000}"/>
    <cellStyle name="Normal 2 5 3 2 2 8" xfId="23449" xr:uid="{00000000-0005-0000-0000-0000EF5E0000}"/>
    <cellStyle name="Normal 2 5 3 2 3" xfId="1045" xr:uid="{00000000-0005-0000-0000-0000F05E0000}"/>
    <cellStyle name="Normal 2 5 3 2 3 2" xfId="1973" xr:uid="{00000000-0005-0000-0000-0000F15E0000}"/>
    <cellStyle name="Normal 2 5 3 2 3 2 2" xfId="3823" xr:uid="{00000000-0005-0000-0000-0000F25E0000}"/>
    <cellStyle name="Normal 2 5 3 2 3 2 2 2" xfId="7544" xr:uid="{00000000-0005-0000-0000-0000F35E0000}"/>
    <cellStyle name="Normal 2 5 3 2 3 2 2 2 2" xfId="22428" xr:uid="{00000000-0005-0000-0000-0000F45E0000}"/>
    <cellStyle name="Normal 2 5 3 2 3 2 2 2 2 2" xfId="45071" xr:uid="{00000000-0005-0000-0000-0000F55E0000}"/>
    <cellStyle name="Normal 2 5 3 2 3 2 2 2 3" xfId="14988" xr:uid="{00000000-0005-0000-0000-0000F65E0000}"/>
    <cellStyle name="Normal 2 5 3 2 3 2 2 2 3 2" xfId="37631" xr:uid="{00000000-0005-0000-0000-0000F75E0000}"/>
    <cellStyle name="Normal 2 5 3 2 3 2 2 2 4" xfId="30190" xr:uid="{00000000-0005-0000-0000-0000F85E0000}"/>
    <cellStyle name="Normal 2 5 3 2 3 2 2 3" xfId="18710" xr:uid="{00000000-0005-0000-0000-0000F95E0000}"/>
    <cellStyle name="Normal 2 5 3 2 3 2 2 3 2" xfId="41353" xr:uid="{00000000-0005-0000-0000-0000FA5E0000}"/>
    <cellStyle name="Normal 2 5 3 2 3 2 2 4" xfId="11270" xr:uid="{00000000-0005-0000-0000-0000FB5E0000}"/>
    <cellStyle name="Normal 2 5 3 2 3 2 2 4 2" xfId="33913" xr:uid="{00000000-0005-0000-0000-0000FC5E0000}"/>
    <cellStyle name="Normal 2 5 3 2 3 2 2 5" xfId="26472" xr:uid="{00000000-0005-0000-0000-0000FD5E0000}"/>
    <cellStyle name="Normal 2 5 3 2 3 2 3" xfId="5697" xr:uid="{00000000-0005-0000-0000-0000FE5E0000}"/>
    <cellStyle name="Normal 2 5 3 2 3 2 3 2" xfId="20581" xr:uid="{00000000-0005-0000-0000-0000FF5E0000}"/>
    <cellStyle name="Normal 2 5 3 2 3 2 3 2 2" xfId="43224" xr:uid="{00000000-0005-0000-0000-0000005F0000}"/>
    <cellStyle name="Normal 2 5 3 2 3 2 3 3" xfId="13141" xr:uid="{00000000-0005-0000-0000-0000015F0000}"/>
    <cellStyle name="Normal 2 5 3 2 3 2 3 3 2" xfId="35784" xr:uid="{00000000-0005-0000-0000-0000025F0000}"/>
    <cellStyle name="Normal 2 5 3 2 3 2 3 4" xfId="28343" xr:uid="{00000000-0005-0000-0000-0000035F0000}"/>
    <cellStyle name="Normal 2 5 3 2 3 2 4" xfId="16863" xr:uid="{00000000-0005-0000-0000-0000045F0000}"/>
    <cellStyle name="Normal 2 5 3 2 3 2 4 2" xfId="39506" xr:uid="{00000000-0005-0000-0000-0000055F0000}"/>
    <cellStyle name="Normal 2 5 3 2 3 2 5" xfId="9423" xr:uid="{00000000-0005-0000-0000-0000065F0000}"/>
    <cellStyle name="Normal 2 5 3 2 3 2 5 2" xfId="32066" xr:uid="{00000000-0005-0000-0000-0000075F0000}"/>
    <cellStyle name="Normal 2 5 3 2 3 2 6" xfId="24625" xr:uid="{00000000-0005-0000-0000-0000085F0000}"/>
    <cellStyle name="Normal 2 5 3 2 3 3" xfId="2898" xr:uid="{00000000-0005-0000-0000-0000095F0000}"/>
    <cellStyle name="Normal 2 5 3 2 3 3 2" xfId="6619" xr:uid="{00000000-0005-0000-0000-00000A5F0000}"/>
    <cellStyle name="Normal 2 5 3 2 3 3 2 2" xfId="21503" xr:uid="{00000000-0005-0000-0000-00000B5F0000}"/>
    <cellStyle name="Normal 2 5 3 2 3 3 2 2 2" xfId="44146" xr:uid="{00000000-0005-0000-0000-00000C5F0000}"/>
    <cellStyle name="Normal 2 5 3 2 3 3 2 3" xfId="14063" xr:uid="{00000000-0005-0000-0000-00000D5F0000}"/>
    <cellStyle name="Normal 2 5 3 2 3 3 2 3 2" xfId="36706" xr:uid="{00000000-0005-0000-0000-00000E5F0000}"/>
    <cellStyle name="Normal 2 5 3 2 3 3 2 4" xfId="29265" xr:uid="{00000000-0005-0000-0000-00000F5F0000}"/>
    <cellStyle name="Normal 2 5 3 2 3 3 3" xfId="17785" xr:uid="{00000000-0005-0000-0000-0000105F0000}"/>
    <cellStyle name="Normal 2 5 3 2 3 3 3 2" xfId="40428" xr:uid="{00000000-0005-0000-0000-0000115F0000}"/>
    <cellStyle name="Normal 2 5 3 2 3 3 4" xfId="10345" xr:uid="{00000000-0005-0000-0000-0000125F0000}"/>
    <cellStyle name="Normal 2 5 3 2 3 3 4 2" xfId="32988" xr:uid="{00000000-0005-0000-0000-0000135F0000}"/>
    <cellStyle name="Normal 2 5 3 2 3 3 5" xfId="25547" xr:uid="{00000000-0005-0000-0000-0000145F0000}"/>
    <cellStyle name="Normal 2 5 3 2 3 4" xfId="4772" xr:uid="{00000000-0005-0000-0000-0000155F0000}"/>
    <cellStyle name="Normal 2 5 3 2 3 4 2" xfId="19656" xr:uid="{00000000-0005-0000-0000-0000165F0000}"/>
    <cellStyle name="Normal 2 5 3 2 3 4 2 2" xfId="42299" xr:uid="{00000000-0005-0000-0000-0000175F0000}"/>
    <cellStyle name="Normal 2 5 3 2 3 4 3" xfId="12216" xr:uid="{00000000-0005-0000-0000-0000185F0000}"/>
    <cellStyle name="Normal 2 5 3 2 3 4 3 2" xfId="34859" xr:uid="{00000000-0005-0000-0000-0000195F0000}"/>
    <cellStyle name="Normal 2 5 3 2 3 4 4" xfId="27418" xr:uid="{00000000-0005-0000-0000-00001A5F0000}"/>
    <cellStyle name="Normal 2 5 3 2 3 5" xfId="15938" xr:uid="{00000000-0005-0000-0000-00001B5F0000}"/>
    <cellStyle name="Normal 2 5 3 2 3 5 2" xfId="38581" xr:uid="{00000000-0005-0000-0000-00001C5F0000}"/>
    <cellStyle name="Normal 2 5 3 2 3 6" xfId="8498" xr:uid="{00000000-0005-0000-0000-00001D5F0000}"/>
    <cellStyle name="Normal 2 5 3 2 3 6 2" xfId="31141" xr:uid="{00000000-0005-0000-0000-00001E5F0000}"/>
    <cellStyle name="Normal 2 5 3 2 3 7" xfId="23700" xr:uid="{00000000-0005-0000-0000-00001F5F0000}"/>
    <cellStyle name="Normal 2 5 3 2 4" xfId="1511" xr:uid="{00000000-0005-0000-0000-0000205F0000}"/>
    <cellStyle name="Normal 2 5 3 2 4 2" xfId="3361" xr:uid="{00000000-0005-0000-0000-0000215F0000}"/>
    <cellStyle name="Normal 2 5 3 2 4 2 2" xfId="7082" xr:uid="{00000000-0005-0000-0000-0000225F0000}"/>
    <cellStyle name="Normal 2 5 3 2 4 2 2 2" xfId="21966" xr:uid="{00000000-0005-0000-0000-0000235F0000}"/>
    <cellStyle name="Normal 2 5 3 2 4 2 2 2 2" xfId="44609" xr:uid="{00000000-0005-0000-0000-0000245F0000}"/>
    <cellStyle name="Normal 2 5 3 2 4 2 2 3" xfId="14526" xr:uid="{00000000-0005-0000-0000-0000255F0000}"/>
    <cellStyle name="Normal 2 5 3 2 4 2 2 3 2" xfId="37169" xr:uid="{00000000-0005-0000-0000-0000265F0000}"/>
    <cellStyle name="Normal 2 5 3 2 4 2 2 4" xfId="29728" xr:uid="{00000000-0005-0000-0000-0000275F0000}"/>
    <cellStyle name="Normal 2 5 3 2 4 2 3" xfId="18248" xr:uid="{00000000-0005-0000-0000-0000285F0000}"/>
    <cellStyle name="Normal 2 5 3 2 4 2 3 2" xfId="40891" xr:uid="{00000000-0005-0000-0000-0000295F0000}"/>
    <cellStyle name="Normal 2 5 3 2 4 2 4" xfId="10808" xr:uid="{00000000-0005-0000-0000-00002A5F0000}"/>
    <cellStyle name="Normal 2 5 3 2 4 2 4 2" xfId="33451" xr:uid="{00000000-0005-0000-0000-00002B5F0000}"/>
    <cellStyle name="Normal 2 5 3 2 4 2 5" xfId="26010" xr:uid="{00000000-0005-0000-0000-00002C5F0000}"/>
    <cellStyle name="Normal 2 5 3 2 4 3" xfId="5235" xr:uid="{00000000-0005-0000-0000-00002D5F0000}"/>
    <cellStyle name="Normal 2 5 3 2 4 3 2" xfId="20119" xr:uid="{00000000-0005-0000-0000-00002E5F0000}"/>
    <cellStyle name="Normal 2 5 3 2 4 3 2 2" xfId="42762" xr:uid="{00000000-0005-0000-0000-00002F5F0000}"/>
    <cellStyle name="Normal 2 5 3 2 4 3 3" xfId="12679" xr:uid="{00000000-0005-0000-0000-0000305F0000}"/>
    <cellStyle name="Normal 2 5 3 2 4 3 3 2" xfId="35322" xr:uid="{00000000-0005-0000-0000-0000315F0000}"/>
    <cellStyle name="Normal 2 5 3 2 4 3 4" xfId="27881" xr:uid="{00000000-0005-0000-0000-0000325F0000}"/>
    <cellStyle name="Normal 2 5 3 2 4 4" xfId="16401" xr:uid="{00000000-0005-0000-0000-0000335F0000}"/>
    <cellStyle name="Normal 2 5 3 2 4 4 2" xfId="39044" xr:uid="{00000000-0005-0000-0000-0000345F0000}"/>
    <cellStyle name="Normal 2 5 3 2 4 5" xfId="8961" xr:uid="{00000000-0005-0000-0000-0000355F0000}"/>
    <cellStyle name="Normal 2 5 3 2 4 5 2" xfId="31604" xr:uid="{00000000-0005-0000-0000-0000365F0000}"/>
    <cellStyle name="Normal 2 5 3 2 4 6" xfId="24163" xr:uid="{00000000-0005-0000-0000-0000375F0000}"/>
    <cellStyle name="Normal 2 5 3 2 5" xfId="2436" xr:uid="{00000000-0005-0000-0000-0000385F0000}"/>
    <cellStyle name="Normal 2 5 3 2 5 2" xfId="6157" xr:uid="{00000000-0005-0000-0000-0000395F0000}"/>
    <cellStyle name="Normal 2 5 3 2 5 2 2" xfId="21041" xr:uid="{00000000-0005-0000-0000-00003A5F0000}"/>
    <cellStyle name="Normal 2 5 3 2 5 2 2 2" xfId="43684" xr:uid="{00000000-0005-0000-0000-00003B5F0000}"/>
    <cellStyle name="Normal 2 5 3 2 5 2 3" xfId="13601" xr:uid="{00000000-0005-0000-0000-00003C5F0000}"/>
    <cellStyle name="Normal 2 5 3 2 5 2 3 2" xfId="36244" xr:uid="{00000000-0005-0000-0000-00003D5F0000}"/>
    <cellStyle name="Normal 2 5 3 2 5 2 4" xfId="28803" xr:uid="{00000000-0005-0000-0000-00003E5F0000}"/>
    <cellStyle name="Normal 2 5 3 2 5 3" xfId="17323" xr:uid="{00000000-0005-0000-0000-00003F5F0000}"/>
    <cellStyle name="Normal 2 5 3 2 5 3 2" xfId="39966" xr:uid="{00000000-0005-0000-0000-0000405F0000}"/>
    <cellStyle name="Normal 2 5 3 2 5 4" xfId="9883" xr:uid="{00000000-0005-0000-0000-0000415F0000}"/>
    <cellStyle name="Normal 2 5 3 2 5 4 2" xfId="32526" xr:uid="{00000000-0005-0000-0000-0000425F0000}"/>
    <cellStyle name="Normal 2 5 3 2 5 5" xfId="25085" xr:uid="{00000000-0005-0000-0000-0000435F0000}"/>
    <cellStyle name="Normal 2 5 3 2 6" xfId="4310" xr:uid="{00000000-0005-0000-0000-0000445F0000}"/>
    <cellStyle name="Normal 2 5 3 2 6 2" xfId="19194" xr:uid="{00000000-0005-0000-0000-0000455F0000}"/>
    <cellStyle name="Normal 2 5 3 2 6 2 2" xfId="41837" xr:uid="{00000000-0005-0000-0000-0000465F0000}"/>
    <cellStyle name="Normal 2 5 3 2 6 3" xfId="11754" xr:uid="{00000000-0005-0000-0000-0000475F0000}"/>
    <cellStyle name="Normal 2 5 3 2 6 3 2" xfId="34397" xr:uid="{00000000-0005-0000-0000-0000485F0000}"/>
    <cellStyle name="Normal 2 5 3 2 6 4" xfId="26956" xr:uid="{00000000-0005-0000-0000-0000495F0000}"/>
    <cellStyle name="Normal 2 5 3 2 7" xfId="15476" xr:uid="{00000000-0005-0000-0000-00004A5F0000}"/>
    <cellStyle name="Normal 2 5 3 2 7 2" xfId="38119" xr:uid="{00000000-0005-0000-0000-00004B5F0000}"/>
    <cellStyle name="Normal 2 5 3 2 8" xfId="8036" xr:uid="{00000000-0005-0000-0000-00004C5F0000}"/>
    <cellStyle name="Normal 2 5 3 2 8 2" xfId="30679" xr:uid="{00000000-0005-0000-0000-00004D5F0000}"/>
    <cellStyle name="Normal 2 5 3 2 9" xfId="23239" xr:uid="{00000000-0005-0000-0000-00004E5F0000}"/>
    <cellStyle name="Normal 2 5 3 3" xfId="686" xr:uid="{00000000-0005-0000-0000-00004F5F0000}"/>
    <cellStyle name="Normal 2 5 3 3 2" xfId="1151" xr:uid="{00000000-0005-0000-0000-0000505F0000}"/>
    <cellStyle name="Normal 2 5 3 3 2 2" xfId="2079" xr:uid="{00000000-0005-0000-0000-0000515F0000}"/>
    <cellStyle name="Normal 2 5 3 3 2 2 2" xfId="3929" xr:uid="{00000000-0005-0000-0000-0000525F0000}"/>
    <cellStyle name="Normal 2 5 3 3 2 2 2 2" xfId="7650" xr:uid="{00000000-0005-0000-0000-0000535F0000}"/>
    <cellStyle name="Normal 2 5 3 3 2 2 2 2 2" xfId="22534" xr:uid="{00000000-0005-0000-0000-0000545F0000}"/>
    <cellStyle name="Normal 2 5 3 3 2 2 2 2 2 2" xfId="45177" xr:uid="{00000000-0005-0000-0000-0000555F0000}"/>
    <cellStyle name="Normal 2 5 3 3 2 2 2 2 3" xfId="15094" xr:uid="{00000000-0005-0000-0000-0000565F0000}"/>
    <cellStyle name="Normal 2 5 3 3 2 2 2 2 3 2" xfId="37737" xr:uid="{00000000-0005-0000-0000-0000575F0000}"/>
    <cellStyle name="Normal 2 5 3 3 2 2 2 2 4" xfId="30296" xr:uid="{00000000-0005-0000-0000-0000585F0000}"/>
    <cellStyle name="Normal 2 5 3 3 2 2 2 3" xfId="18816" xr:uid="{00000000-0005-0000-0000-0000595F0000}"/>
    <cellStyle name="Normal 2 5 3 3 2 2 2 3 2" xfId="41459" xr:uid="{00000000-0005-0000-0000-00005A5F0000}"/>
    <cellStyle name="Normal 2 5 3 3 2 2 2 4" xfId="11376" xr:uid="{00000000-0005-0000-0000-00005B5F0000}"/>
    <cellStyle name="Normal 2 5 3 3 2 2 2 4 2" xfId="34019" xr:uid="{00000000-0005-0000-0000-00005C5F0000}"/>
    <cellStyle name="Normal 2 5 3 3 2 2 2 5" xfId="26578" xr:uid="{00000000-0005-0000-0000-00005D5F0000}"/>
    <cellStyle name="Normal 2 5 3 3 2 2 3" xfId="5803" xr:uid="{00000000-0005-0000-0000-00005E5F0000}"/>
    <cellStyle name="Normal 2 5 3 3 2 2 3 2" xfId="20687" xr:uid="{00000000-0005-0000-0000-00005F5F0000}"/>
    <cellStyle name="Normal 2 5 3 3 2 2 3 2 2" xfId="43330" xr:uid="{00000000-0005-0000-0000-0000605F0000}"/>
    <cellStyle name="Normal 2 5 3 3 2 2 3 3" xfId="13247" xr:uid="{00000000-0005-0000-0000-0000615F0000}"/>
    <cellStyle name="Normal 2 5 3 3 2 2 3 3 2" xfId="35890" xr:uid="{00000000-0005-0000-0000-0000625F0000}"/>
    <cellStyle name="Normal 2 5 3 3 2 2 3 4" xfId="28449" xr:uid="{00000000-0005-0000-0000-0000635F0000}"/>
    <cellStyle name="Normal 2 5 3 3 2 2 4" xfId="16969" xr:uid="{00000000-0005-0000-0000-0000645F0000}"/>
    <cellStyle name="Normal 2 5 3 3 2 2 4 2" xfId="39612" xr:uid="{00000000-0005-0000-0000-0000655F0000}"/>
    <cellStyle name="Normal 2 5 3 3 2 2 5" xfId="9529" xr:uid="{00000000-0005-0000-0000-0000665F0000}"/>
    <cellStyle name="Normal 2 5 3 3 2 2 5 2" xfId="32172" xr:uid="{00000000-0005-0000-0000-0000675F0000}"/>
    <cellStyle name="Normal 2 5 3 3 2 2 6" xfId="24731" xr:uid="{00000000-0005-0000-0000-0000685F0000}"/>
    <cellStyle name="Normal 2 5 3 3 2 3" xfId="3004" xr:uid="{00000000-0005-0000-0000-0000695F0000}"/>
    <cellStyle name="Normal 2 5 3 3 2 3 2" xfId="6725" xr:uid="{00000000-0005-0000-0000-00006A5F0000}"/>
    <cellStyle name="Normal 2 5 3 3 2 3 2 2" xfId="21609" xr:uid="{00000000-0005-0000-0000-00006B5F0000}"/>
    <cellStyle name="Normal 2 5 3 3 2 3 2 2 2" xfId="44252" xr:uid="{00000000-0005-0000-0000-00006C5F0000}"/>
    <cellStyle name="Normal 2 5 3 3 2 3 2 3" xfId="14169" xr:uid="{00000000-0005-0000-0000-00006D5F0000}"/>
    <cellStyle name="Normal 2 5 3 3 2 3 2 3 2" xfId="36812" xr:uid="{00000000-0005-0000-0000-00006E5F0000}"/>
    <cellStyle name="Normal 2 5 3 3 2 3 2 4" xfId="29371" xr:uid="{00000000-0005-0000-0000-00006F5F0000}"/>
    <cellStyle name="Normal 2 5 3 3 2 3 3" xfId="17891" xr:uid="{00000000-0005-0000-0000-0000705F0000}"/>
    <cellStyle name="Normal 2 5 3 3 2 3 3 2" xfId="40534" xr:uid="{00000000-0005-0000-0000-0000715F0000}"/>
    <cellStyle name="Normal 2 5 3 3 2 3 4" xfId="10451" xr:uid="{00000000-0005-0000-0000-0000725F0000}"/>
    <cellStyle name="Normal 2 5 3 3 2 3 4 2" xfId="33094" xr:uid="{00000000-0005-0000-0000-0000735F0000}"/>
    <cellStyle name="Normal 2 5 3 3 2 3 5" xfId="25653" xr:uid="{00000000-0005-0000-0000-0000745F0000}"/>
    <cellStyle name="Normal 2 5 3 3 2 4" xfId="4878" xr:uid="{00000000-0005-0000-0000-0000755F0000}"/>
    <cellStyle name="Normal 2 5 3 3 2 4 2" xfId="19762" xr:uid="{00000000-0005-0000-0000-0000765F0000}"/>
    <cellStyle name="Normal 2 5 3 3 2 4 2 2" xfId="42405" xr:uid="{00000000-0005-0000-0000-0000775F0000}"/>
    <cellStyle name="Normal 2 5 3 3 2 4 3" xfId="12322" xr:uid="{00000000-0005-0000-0000-0000785F0000}"/>
    <cellStyle name="Normal 2 5 3 3 2 4 3 2" xfId="34965" xr:uid="{00000000-0005-0000-0000-0000795F0000}"/>
    <cellStyle name="Normal 2 5 3 3 2 4 4" xfId="27524" xr:uid="{00000000-0005-0000-0000-00007A5F0000}"/>
    <cellStyle name="Normal 2 5 3 3 2 5" xfId="16044" xr:uid="{00000000-0005-0000-0000-00007B5F0000}"/>
    <cellStyle name="Normal 2 5 3 3 2 5 2" xfId="38687" xr:uid="{00000000-0005-0000-0000-00007C5F0000}"/>
    <cellStyle name="Normal 2 5 3 3 2 6" xfId="8604" xr:uid="{00000000-0005-0000-0000-00007D5F0000}"/>
    <cellStyle name="Normal 2 5 3 3 2 6 2" xfId="31247" xr:uid="{00000000-0005-0000-0000-00007E5F0000}"/>
    <cellStyle name="Normal 2 5 3 3 2 7" xfId="23806" xr:uid="{00000000-0005-0000-0000-00007F5F0000}"/>
    <cellStyle name="Normal 2 5 3 3 3" xfId="1617" xr:uid="{00000000-0005-0000-0000-0000805F0000}"/>
    <cellStyle name="Normal 2 5 3 3 3 2" xfId="3467" xr:uid="{00000000-0005-0000-0000-0000815F0000}"/>
    <cellStyle name="Normal 2 5 3 3 3 2 2" xfId="7188" xr:uid="{00000000-0005-0000-0000-0000825F0000}"/>
    <cellStyle name="Normal 2 5 3 3 3 2 2 2" xfId="22072" xr:uid="{00000000-0005-0000-0000-0000835F0000}"/>
    <cellStyle name="Normal 2 5 3 3 3 2 2 2 2" xfId="44715" xr:uid="{00000000-0005-0000-0000-0000845F0000}"/>
    <cellStyle name="Normal 2 5 3 3 3 2 2 3" xfId="14632" xr:uid="{00000000-0005-0000-0000-0000855F0000}"/>
    <cellStyle name="Normal 2 5 3 3 3 2 2 3 2" xfId="37275" xr:uid="{00000000-0005-0000-0000-0000865F0000}"/>
    <cellStyle name="Normal 2 5 3 3 3 2 2 4" xfId="29834" xr:uid="{00000000-0005-0000-0000-0000875F0000}"/>
    <cellStyle name="Normal 2 5 3 3 3 2 3" xfId="18354" xr:uid="{00000000-0005-0000-0000-0000885F0000}"/>
    <cellStyle name="Normal 2 5 3 3 3 2 3 2" xfId="40997" xr:uid="{00000000-0005-0000-0000-0000895F0000}"/>
    <cellStyle name="Normal 2 5 3 3 3 2 4" xfId="10914" xr:uid="{00000000-0005-0000-0000-00008A5F0000}"/>
    <cellStyle name="Normal 2 5 3 3 3 2 4 2" xfId="33557" xr:uid="{00000000-0005-0000-0000-00008B5F0000}"/>
    <cellStyle name="Normal 2 5 3 3 3 2 5" xfId="26116" xr:uid="{00000000-0005-0000-0000-00008C5F0000}"/>
    <cellStyle name="Normal 2 5 3 3 3 3" xfId="5341" xr:uid="{00000000-0005-0000-0000-00008D5F0000}"/>
    <cellStyle name="Normal 2 5 3 3 3 3 2" xfId="20225" xr:uid="{00000000-0005-0000-0000-00008E5F0000}"/>
    <cellStyle name="Normal 2 5 3 3 3 3 2 2" xfId="42868" xr:uid="{00000000-0005-0000-0000-00008F5F0000}"/>
    <cellStyle name="Normal 2 5 3 3 3 3 3" xfId="12785" xr:uid="{00000000-0005-0000-0000-0000905F0000}"/>
    <cellStyle name="Normal 2 5 3 3 3 3 3 2" xfId="35428" xr:uid="{00000000-0005-0000-0000-0000915F0000}"/>
    <cellStyle name="Normal 2 5 3 3 3 3 4" xfId="27987" xr:uid="{00000000-0005-0000-0000-0000925F0000}"/>
    <cellStyle name="Normal 2 5 3 3 3 4" xfId="16507" xr:uid="{00000000-0005-0000-0000-0000935F0000}"/>
    <cellStyle name="Normal 2 5 3 3 3 4 2" xfId="39150" xr:uid="{00000000-0005-0000-0000-0000945F0000}"/>
    <cellStyle name="Normal 2 5 3 3 3 5" xfId="9067" xr:uid="{00000000-0005-0000-0000-0000955F0000}"/>
    <cellStyle name="Normal 2 5 3 3 3 5 2" xfId="31710" xr:uid="{00000000-0005-0000-0000-0000965F0000}"/>
    <cellStyle name="Normal 2 5 3 3 3 6" xfId="24269" xr:uid="{00000000-0005-0000-0000-0000975F0000}"/>
    <cellStyle name="Normal 2 5 3 3 4" xfId="2542" xr:uid="{00000000-0005-0000-0000-0000985F0000}"/>
    <cellStyle name="Normal 2 5 3 3 4 2" xfId="6263" xr:uid="{00000000-0005-0000-0000-0000995F0000}"/>
    <cellStyle name="Normal 2 5 3 3 4 2 2" xfId="21147" xr:uid="{00000000-0005-0000-0000-00009A5F0000}"/>
    <cellStyle name="Normal 2 5 3 3 4 2 2 2" xfId="43790" xr:uid="{00000000-0005-0000-0000-00009B5F0000}"/>
    <cellStyle name="Normal 2 5 3 3 4 2 3" xfId="13707" xr:uid="{00000000-0005-0000-0000-00009C5F0000}"/>
    <cellStyle name="Normal 2 5 3 3 4 2 3 2" xfId="36350" xr:uid="{00000000-0005-0000-0000-00009D5F0000}"/>
    <cellStyle name="Normal 2 5 3 3 4 2 4" xfId="28909" xr:uid="{00000000-0005-0000-0000-00009E5F0000}"/>
    <cellStyle name="Normal 2 5 3 3 4 3" xfId="17429" xr:uid="{00000000-0005-0000-0000-00009F5F0000}"/>
    <cellStyle name="Normal 2 5 3 3 4 3 2" xfId="40072" xr:uid="{00000000-0005-0000-0000-0000A05F0000}"/>
    <cellStyle name="Normal 2 5 3 3 4 4" xfId="9989" xr:uid="{00000000-0005-0000-0000-0000A15F0000}"/>
    <cellStyle name="Normal 2 5 3 3 4 4 2" xfId="32632" xr:uid="{00000000-0005-0000-0000-0000A25F0000}"/>
    <cellStyle name="Normal 2 5 3 3 4 5" xfId="25191" xr:uid="{00000000-0005-0000-0000-0000A35F0000}"/>
    <cellStyle name="Normal 2 5 3 3 5" xfId="4416" xr:uid="{00000000-0005-0000-0000-0000A45F0000}"/>
    <cellStyle name="Normal 2 5 3 3 5 2" xfId="19300" xr:uid="{00000000-0005-0000-0000-0000A55F0000}"/>
    <cellStyle name="Normal 2 5 3 3 5 2 2" xfId="41943" xr:uid="{00000000-0005-0000-0000-0000A65F0000}"/>
    <cellStyle name="Normal 2 5 3 3 5 3" xfId="11860" xr:uid="{00000000-0005-0000-0000-0000A75F0000}"/>
    <cellStyle name="Normal 2 5 3 3 5 3 2" xfId="34503" xr:uid="{00000000-0005-0000-0000-0000A85F0000}"/>
    <cellStyle name="Normal 2 5 3 3 5 4" xfId="27062" xr:uid="{00000000-0005-0000-0000-0000A95F0000}"/>
    <cellStyle name="Normal 2 5 3 3 6" xfId="15582" xr:uid="{00000000-0005-0000-0000-0000AA5F0000}"/>
    <cellStyle name="Normal 2 5 3 3 6 2" xfId="38225" xr:uid="{00000000-0005-0000-0000-0000AB5F0000}"/>
    <cellStyle name="Normal 2 5 3 3 7" xfId="8142" xr:uid="{00000000-0005-0000-0000-0000AC5F0000}"/>
    <cellStyle name="Normal 2 5 3 3 7 2" xfId="30785" xr:uid="{00000000-0005-0000-0000-0000AD5F0000}"/>
    <cellStyle name="Normal 2 5 3 3 8" xfId="23344" xr:uid="{00000000-0005-0000-0000-0000AE5F0000}"/>
    <cellStyle name="Normal 2 5 3 4" xfId="940" xr:uid="{00000000-0005-0000-0000-0000AF5F0000}"/>
    <cellStyle name="Normal 2 5 3 4 2" xfId="1868" xr:uid="{00000000-0005-0000-0000-0000B05F0000}"/>
    <cellStyle name="Normal 2 5 3 4 2 2" xfId="3718" xr:uid="{00000000-0005-0000-0000-0000B15F0000}"/>
    <cellStyle name="Normal 2 5 3 4 2 2 2" xfId="7439" xr:uid="{00000000-0005-0000-0000-0000B25F0000}"/>
    <cellStyle name="Normal 2 5 3 4 2 2 2 2" xfId="22323" xr:uid="{00000000-0005-0000-0000-0000B35F0000}"/>
    <cellStyle name="Normal 2 5 3 4 2 2 2 2 2" xfId="44966" xr:uid="{00000000-0005-0000-0000-0000B45F0000}"/>
    <cellStyle name="Normal 2 5 3 4 2 2 2 3" xfId="14883" xr:uid="{00000000-0005-0000-0000-0000B55F0000}"/>
    <cellStyle name="Normal 2 5 3 4 2 2 2 3 2" xfId="37526" xr:uid="{00000000-0005-0000-0000-0000B65F0000}"/>
    <cellStyle name="Normal 2 5 3 4 2 2 2 4" xfId="30085" xr:uid="{00000000-0005-0000-0000-0000B75F0000}"/>
    <cellStyle name="Normal 2 5 3 4 2 2 3" xfId="18605" xr:uid="{00000000-0005-0000-0000-0000B85F0000}"/>
    <cellStyle name="Normal 2 5 3 4 2 2 3 2" xfId="41248" xr:uid="{00000000-0005-0000-0000-0000B95F0000}"/>
    <cellStyle name="Normal 2 5 3 4 2 2 4" xfId="11165" xr:uid="{00000000-0005-0000-0000-0000BA5F0000}"/>
    <cellStyle name="Normal 2 5 3 4 2 2 4 2" xfId="33808" xr:uid="{00000000-0005-0000-0000-0000BB5F0000}"/>
    <cellStyle name="Normal 2 5 3 4 2 2 5" xfId="26367" xr:uid="{00000000-0005-0000-0000-0000BC5F0000}"/>
    <cellStyle name="Normal 2 5 3 4 2 3" xfId="5592" xr:uid="{00000000-0005-0000-0000-0000BD5F0000}"/>
    <cellStyle name="Normal 2 5 3 4 2 3 2" xfId="20476" xr:uid="{00000000-0005-0000-0000-0000BE5F0000}"/>
    <cellStyle name="Normal 2 5 3 4 2 3 2 2" xfId="43119" xr:uid="{00000000-0005-0000-0000-0000BF5F0000}"/>
    <cellStyle name="Normal 2 5 3 4 2 3 3" xfId="13036" xr:uid="{00000000-0005-0000-0000-0000C05F0000}"/>
    <cellStyle name="Normal 2 5 3 4 2 3 3 2" xfId="35679" xr:uid="{00000000-0005-0000-0000-0000C15F0000}"/>
    <cellStyle name="Normal 2 5 3 4 2 3 4" xfId="28238" xr:uid="{00000000-0005-0000-0000-0000C25F0000}"/>
    <cellStyle name="Normal 2 5 3 4 2 4" xfId="16758" xr:uid="{00000000-0005-0000-0000-0000C35F0000}"/>
    <cellStyle name="Normal 2 5 3 4 2 4 2" xfId="39401" xr:uid="{00000000-0005-0000-0000-0000C45F0000}"/>
    <cellStyle name="Normal 2 5 3 4 2 5" xfId="9318" xr:uid="{00000000-0005-0000-0000-0000C55F0000}"/>
    <cellStyle name="Normal 2 5 3 4 2 5 2" xfId="31961" xr:uid="{00000000-0005-0000-0000-0000C65F0000}"/>
    <cellStyle name="Normal 2 5 3 4 2 6" xfId="24520" xr:uid="{00000000-0005-0000-0000-0000C75F0000}"/>
    <cellStyle name="Normal 2 5 3 4 3" xfId="2793" xr:uid="{00000000-0005-0000-0000-0000C85F0000}"/>
    <cellStyle name="Normal 2 5 3 4 3 2" xfId="6514" xr:uid="{00000000-0005-0000-0000-0000C95F0000}"/>
    <cellStyle name="Normal 2 5 3 4 3 2 2" xfId="21398" xr:uid="{00000000-0005-0000-0000-0000CA5F0000}"/>
    <cellStyle name="Normal 2 5 3 4 3 2 2 2" xfId="44041" xr:uid="{00000000-0005-0000-0000-0000CB5F0000}"/>
    <cellStyle name="Normal 2 5 3 4 3 2 3" xfId="13958" xr:uid="{00000000-0005-0000-0000-0000CC5F0000}"/>
    <cellStyle name="Normal 2 5 3 4 3 2 3 2" xfId="36601" xr:uid="{00000000-0005-0000-0000-0000CD5F0000}"/>
    <cellStyle name="Normal 2 5 3 4 3 2 4" xfId="29160" xr:uid="{00000000-0005-0000-0000-0000CE5F0000}"/>
    <cellStyle name="Normal 2 5 3 4 3 3" xfId="17680" xr:uid="{00000000-0005-0000-0000-0000CF5F0000}"/>
    <cellStyle name="Normal 2 5 3 4 3 3 2" xfId="40323" xr:uid="{00000000-0005-0000-0000-0000D05F0000}"/>
    <cellStyle name="Normal 2 5 3 4 3 4" xfId="10240" xr:uid="{00000000-0005-0000-0000-0000D15F0000}"/>
    <cellStyle name="Normal 2 5 3 4 3 4 2" xfId="32883" xr:uid="{00000000-0005-0000-0000-0000D25F0000}"/>
    <cellStyle name="Normal 2 5 3 4 3 5" xfId="25442" xr:uid="{00000000-0005-0000-0000-0000D35F0000}"/>
    <cellStyle name="Normal 2 5 3 4 4" xfId="4667" xr:uid="{00000000-0005-0000-0000-0000D45F0000}"/>
    <cellStyle name="Normal 2 5 3 4 4 2" xfId="19551" xr:uid="{00000000-0005-0000-0000-0000D55F0000}"/>
    <cellStyle name="Normal 2 5 3 4 4 2 2" xfId="42194" xr:uid="{00000000-0005-0000-0000-0000D65F0000}"/>
    <cellStyle name="Normal 2 5 3 4 4 3" xfId="12111" xr:uid="{00000000-0005-0000-0000-0000D75F0000}"/>
    <cellStyle name="Normal 2 5 3 4 4 3 2" xfId="34754" xr:uid="{00000000-0005-0000-0000-0000D85F0000}"/>
    <cellStyle name="Normal 2 5 3 4 4 4" xfId="27313" xr:uid="{00000000-0005-0000-0000-0000D95F0000}"/>
    <cellStyle name="Normal 2 5 3 4 5" xfId="15833" xr:uid="{00000000-0005-0000-0000-0000DA5F0000}"/>
    <cellStyle name="Normal 2 5 3 4 5 2" xfId="38476" xr:uid="{00000000-0005-0000-0000-0000DB5F0000}"/>
    <cellStyle name="Normal 2 5 3 4 6" xfId="8393" xr:uid="{00000000-0005-0000-0000-0000DC5F0000}"/>
    <cellStyle name="Normal 2 5 3 4 6 2" xfId="31036" xr:uid="{00000000-0005-0000-0000-0000DD5F0000}"/>
    <cellStyle name="Normal 2 5 3 4 7" xfId="23595" xr:uid="{00000000-0005-0000-0000-0000DE5F0000}"/>
    <cellStyle name="Normal 2 5 3 5" xfId="1406" xr:uid="{00000000-0005-0000-0000-0000DF5F0000}"/>
    <cellStyle name="Normal 2 5 3 5 2" xfId="3256" xr:uid="{00000000-0005-0000-0000-0000E05F0000}"/>
    <cellStyle name="Normal 2 5 3 5 2 2" xfId="6977" xr:uid="{00000000-0005-0000-0000-0000E15F0000}"/>
    <cellStyle name="Normal 2 5 3 5 2 2 2" xfId="21861" xr:uid="{00000000-0005-0000-0000-0000E25F0000}"/>
    <cellStyle name="Normal 2 5 3 5 2 2 2 2" xfId="44504" xr:uid="{00000000-0005-0000-0000-0000E35F0000}"/>
    <cellStyle name="Normal 2 5 3 5 2 2 3" xfId="14421" xr:uid="{00000000-0005-0000-0000-0000E45F0000}"/>
    <cellStyle name="Normal 2 5 3 5 2 2 3 2" xfId="37064" xr:uid="{00000000-0005-0000-0000-0000E55F0000}"/>
    <cellStyle name="Normal 2 5 3 5 2 2 4" xfId="29623" xr:uid="{00000000-0005-0000-0000-0000E65F0000}"/>
    <cellStyle name="Normal 2 5 3 5 2 3" xfId="18143" xr:uid="{00000000-0005-0000-0000-0000E75F0000}"/>
    <cellStyle name="Normal 2 5 3 5 2 3 2" xfId="40786" xr:uid="{00000000-0005-0000-0000-0000E85F0000}"/>
    <cellStyle name="Normal 2 5 3 5 2 4" xfId="10703" xr:uid="{00000000-0005-0000-0000-0000E95F0000}"/>
    <cellStyle name="Normal 2 5 3 5 2 4 2" xfId="33346" xr:uid="{00000000-0005-0000-0000-0000EA5F0000}"/>
    <cellStyle name="Normal 2 5 3 5 2 5" xfId="25905" xr:uid="{00000000-0005-0000-0000-0000EB5F0000}"/>
    <cellStyle name="Normal 2 5 3 5 3" xfId="5130" xr:uid="{00000000-0005-0000-0000-0000EC5F0000}"/>
    <cellStyle name="Normal 2 5 3 5 3 2" xfId="20014" xr:uid="{00000000-0005-0000-0000-0000ED5F0000}"/>
    <cellStyle name="Normal 2 5 3 5 3 2 2" xfId="42657" xr:uid="{00000000-0005-0000-0000-0000EE5F0000}"/>
    <cellStyle name="Normal 2 5 3 5 3 3" xfId="12574" xr:uid="{00000000-0005-0000-0000-0000EF5F0000}"/>
    <cellStyle name="Normal 2 5 3 5 3 3 2" xfId="35217" xr:uid="{00000000-0005-0000-0000-0000F05F0000}"/>
    <cellStyle name="Normal 2 5 3 5 3 4" xfId="27776" xr:uid="{00000000-0005-0000-0000-0000F15F0000}"/>
    <cellStyle name="Normal 2 5 3 5 4" xfId="16296" xr:uid="{00000000-0005-0000-0000-0000F25F0000}"/>
    <cellStyle name="Normal 2 5 3 5 4 2" xfId="38939" xr:uid="{00000000-0005-0000-0000-0000F35F0000}"/>
    <cellStyle name="Normal 2 5 3 5 5" xfId="8856" xr:uid="{00000000-0005-0000-0000-0000F45F0000}"/>
    <cellStyle name="Normal 2 5 3 5 5 2" xfId="31499" xr:uid="{00000000-0005-0000-0000-0000F55F0000}"/>
    <cellStyle name="Normal 2 5 3 5 6" xfId="24058" xr:uid="{00000000-0005-0000-0000-0000F65F0000}"/>
    <cellStyle name="Normal 2 5 3 6" xfId="2331" xr:uid="{00000000-0005-0000-0000-0000F75F0000}"/>
    <cellStyle name="Normal 2 5 3 6 2" xfId="6052" xr:uid="{00000000-0005-0000-0000-0000F85F0000}"/>
    <cellStyle name="Normal 2 5 3 6 2 2" xfId="20936" xr:uid="{00000000-0005-0000-0000-0000F95F0000}"/>
    <cellStyle name="Normal 2 5 3 6 2 2 2" xfId="43579" xr:uid="{00000000-0005-0000-0000-0000FA5F0000}"/>
    <cellStyle name="Normal 2 5 3 6 2 3" xfId="13496" xr:uid="{00000000-0005-0000-0000-0000FB5F0000}"/>
    <cellStyle name="Normal 2 5 3 6 2 3 2" xfId="36139" xr:uid="{00000000-0005-0000-0000-0000FC5F0000}"/>
    <cellStyle name="Normal 2 5 3 6 2 4" xfId="28698" xr:uid="{00000000-0005-0000-0000-0000FD5F0000}"/>
    <cellStyle name="Normal 2 5 3 6 3" xfId="17218" xr:uid="{00000000-0005-0000-0000-0000FE5F0000}"/>
    <cellStyle name="Normal 2 5 3 6 3 2" xfId="39861" xr:uid="{00000000-0005-0000-0000-0000FF5F0000}"/>
    <cellStyle name="Normal 2 5 3 6 4" xfId="9778" xr:uid="{00000000-0005-0000-0000-000000600000}"/>
    <cellStyle name="Normal 2 5 3 6 4 2" xfId="32421" xr:uid="{00000000-0005-0000-0000-000001600000}"/>
    <cellStyle name="Normal 2 5 3 6 5" xfId="24980" xr:uid="{00000000-0005-0000-0000-000002600000}"/>
    <cellStyle name="Normal 2 5 3 7" xfId="4205" xr:uid="{00000000-0005-0000-0000-000003600000}"/>
    <cellStyle name="Normal 2 5 3 7 2" xfId="19089" xr:uid="{00000000-0005-0000-0000-000004600000}"/>
    <cellStyle name="Normal 2 5 3 7 2 2" xfId="41732" xr:uid="{00000000-0005-0000-0000-000005600000}"/>
    <cellStyle name="Normal 2 5 3 7 3" xfId="11649" xr:uid="{00000000-0005-0000-0000-000006600000}"/>
    <cellStyle name="Normal 2 5 3 7 3 2" xfId="34292" xr:uid="{00000000-0005-0000-0000-000007600000}"/>
    <cellStyle name="Normal 2 5 3 7 4" xfId="26851" xr:uid="{00000000-0005-0000-0000-000008600000}"/>
    <cellStyle name="Normal 2 5 3 8" xfId="15371" xr:uid="{00000000-0005-0000-0000-000009600000}"/>
    <cellStyle name="Normal 2 5 3 8 2" xfId="38014" xr:uid="{00000000-0005-0000-0000-00000A600000}"/>
    <cellStyle name="Normal 2 5 3 9" xfId="7931" xr:uid="{00000000-0005-0000-0000-00000B600000}"/>
    <cellStyle name="Normal 2 5 3 9 2" xfId="30574" xr:uid="{00000000-0005-0000-0000-00000C600000}"/>
    <cellStyle name="Normal 2 5 4" xfId="527" xr:uid="{00000000-0005-0000-0000-00000D600000}"/>
    <cellStyle name="Normal 2 5 4 2" xfId="739" xr:uid="{00000000-0005-0000-0000-00000E600000}"/>
    <cellStyle name="Normal 2 5 4 2 2" xfId="1204" xr:uid="{00000000-0005-0000-0000-00000F600000}"/>
    <cellStyle name="Normal 2 5 4 2 2 2" xfId="2132" xr:uid="{00000000-0005-0000-0000-000010600000}"/>
    <cellStyle name="Normal 2 5 4 2 2 2 2" xfId="3982" xr:uid="{00000000-0005-0000-0000-000011600000}"/>
    <cellStyle name="Normal 2 5 4 2 2 2 2 2" xfId="7703" xr:uid="{00000000-0005-0000-0000-000012600000}"/>
    <cellStyle name="Normal 2 5 4 2 2 2 2 2 2" xfId="22587" xr:uid="{00000000-0005-0000-0000-000013600000}"/>
    <cellStyle name="Normal 2 5 4 2 2 2 2 2 2 2" xfId="45230" xr:uid="{00000000-0005-0000-0000-000014600000}"/>
    <cellStyle name="Normal 2 5 4 2 2 2 2 2 3" xfId="15147" xr:uid="{00000000-0005-0000-0000-000015600000}"/>
    <cellStyle name="Normal 2 5 4 2 2 2 2 2 3 2" xfId="37790" xr:uid="{00000000-0005-0000-0000-000016600000}"/>
    <cellStyle name="Normal 2 5 4 2 2 2 2 2 4" xfId="30349" xr:uid="{00000000-0005-0000-0000-000017600000}"/>
    <cellStyle name="Normal 2 5 4 2 2 2 2 3" xfId="18869" xr:uid="{00000000-0005-0000-0000-000018600000}"/>
    <cellStyle name="Normal 2 5 4 2 2 2 2 3 2" xfId="41512" xr:uid="{00000000-0005-0000-0000-000019600000}"/>
    <cellStyle name="Normal 2 5 4 2 2 2 2 4" xfId="11429" xr:uid="{00000000-0005-0000-0000-00001A600000}"/>
    <cellStyle name="Normal 2 5 4 2 2 2 2 4 2" xfId="34072" xr:uid="{00000000-0005-0000-0000-00001B600000}"/>
    <cellStyle name="Normal 2 5 4 2 2 2 2 5" xfId="26631" xr:uid="{00000000-0005-0000-0000-00001C600000}"/>
    <cellStyle name="Normal 2 5 4 2 2 2 3" xfId="5856" xr:uid="{00000000-0005-0000-0000-00001D600000}"/>
    <cellStyle name="Normal 2 5 4 2 2 2 3 2" xfId="20740" xr:uid="{00000000-0005-0000-0000-00001E600000}"/>
    <cellStyle name="Normal 2 5 4 2 2 2 3 2 2" xfId="43383" xr:uid="{00000000-0005-0000-0000-00001F600000}"/>
    <cellStyle name="Normal 2 5 4 2 2 2 3 3" xfId="13300" xr:uid="{00000000-0005-0000-0000-000020600000}"/>
    <cellStyle name="Normal 2 5 4 2 2 2 3 3 2" xfId="35943" xr:uid="{00000000-0005-0000-0000-000021600000}"/>
    <cellStyle name="Normal 2 5 4 2 2 2 3 4" xfId="28502" xr:uid="{00000000-0005-0000-0000-000022600000}"/>
    <cellStyle name="Normal 2 5 4 2 2 2 4" xfId="17022" xr:uid="{00000000-0005-0000-0000-000023600000}"/>
    <cellStyle name="Normal 2 5 4 2 2 2 4 2" xfId="39665" xr:uid="{00000000-0005-0000-0000-000024600000}"/>
    <cellStyle name="Normal 2 5 4 2 2 2 5" xfId="9582" xr:uid="{00000000-0005-0000-0000-000025600000}"/>
    <cellStyle name="Normal 2 5 4 2 2 2 5 2" xfId="32225" xr:uid="{00000000-0005-0000-0000-000026600000}"/>
    <cellStyle name="Normal 2 5 4 2 2 2 6" xfId="24784" xr:uid="{00000000-0005-0000-0000-000027600000}"/>
    <cellStyle name="Normal 2 5 4 2 2 3" xfId="3057" xr:uid="{00000000-0005-0000-0000-000028600000}"/>
    <cellStyle name="Normal 2 5 4 2 2 3 2" xfId="6778" xr:uid="{00000000-0005-0000-0000-000029600000}"/>
    <cellStyle name="Normal 2 5 4 2 2 3 2 2" xfId="21662" xr:uid="{00000000-0005-0000-0000-00002A600000}"/>
    <cellStyle name="Normal 2 5 4 2 2 3 2 2 2" xfId="44305" xr:uid="{00000000-0005-0000-0000-00002B600000}"/>
    <cellStyle name="Normal 2 5 4 2 2 3 2 3" xfId="14222" xr:uid="{00000000-0005-0000-0000-00002C600000}"/>
    <cellStyle name="Normal 2 5 4 2 2 3 2 3 2" xfId="36865" xr:uid="{00000000-0005-0000-0000-00002D600000}"/>
    <cellStyle name="Normal 2 5 4 2 2 3 2 4" xfId="29424" xr:uid="{00000000-0005-0000-0000-00002E600000}"/>
    <cellStyle name="Normal 2 5 4 2 2 3 3" xfId="17944" xr:uid="{00000000-0005-0000-0000-00002F600000}"/>
    <cellStyle name="Normal 2 5 4 2 2 3 3 2" xfId="40587" xr:uid="{00000000-0005-0000-0000-000030600000}"/>
    <cellStyle name="Normal 2 5 4 2 2 3 4" xfId="10504" xr:uid="{00000000-0005-0000-0000-000031600000}"/>
    <cellStyle name="Normal 2 5 4 2 2 3 4 2" xfId="33147" xr:uid="{00000000-0005-0000-0000-000032600000}"/>
    <cellStyle name="Normal 2 5 4 2 2 3 5" xfId="25706" xr:uid="{00000000-0005-0000-0000-000033600000}"/>
    <cellStyle name="Normal 2 5 4 2 2 4" xfId="4931" xr:uid="{00000000-0005-0000-0000-000034600000}"/>
    <cellStyle name="Normal 2 5 4 2 2 4 2" xfId="19815" xr:uid="{00000000-0005-0000-0000-000035600000}"/>
    <cellStyle name="Normal 2 5 4 2 2 4 2 2" xfId="42458" xr:uid="{00000000-0005-0000-0000-000036600000}"/>
    <cellStyle name="Normal 2 5 4 2 2 4 3" xfId="12375" xr:uid="{00000000-0005-0000-0000-000037600000}"/>
    <cellStyle name="Normal 2 5 4 2 2 4 3 2" xfId="35018" xr:uid="{00000000-0005-0000-0000-000038600000}"/>
    <cellStyle name="Normal 2 5 4 2 2 4 4" xfId="27577" xr:uid="{00000000-0005-0000-0000-000039600000}"/>
    <cellStyle name="Normal 2 5 4 2 2 5" xfId="16097" xr:uid="{00000000-0005-0000-0000-00003A600000}"/>
    <cellStyle name="Normal 2 5 4 2 2 5 2" xfId="38740" xr:uid="{00000000-0005-0000-0000-00003B600000}"/>
    <cellStyle name="Normal 2 5 4 2 2 6" xfId="8657" xr:uid="{00000000-0005-0000-0000-00003C600000}"/>
    <cellStyle name="Normal 2 5 4 2 2 6 2" xfId="31300" xr:uid="{00000000-0005-0000-0000-00003D600000}"/>
    <cellStyle name="Normal 2 5 4 2 2 7" xfId="23859" xr:uid="{00000000-0005-0000-0000-00003E600000}"/>
    <cellStyle name="Normal 2 5 4 2 3" xfId="1670" xr:uid="{00000000-0005-0000-0000-00003F600000}"/>
    <cellStyle name="Normal 2 5 4 2 3 2" xfId="3520" xr:uid="{00000000-0005-0000-0000-000040600000}"/>
    <cellStyle name="Normal 2 5 4 2 3 2 2" xfId="7241" xr:uid="{00000000-0005-0000-0000-000041600000}"/>
    <cellStyle name="Normal 2 5 4 2 3 2 2 2" xfId="22125" xr:uid="{00000000-0005-0000-0000-000042600000}"/>
    <cellStyle name="Normal 2 5 4 2 3 2 2 2 2" xfId="44768" xr:uid="{00000000-0005-0000-0000-000043600000}"/>
    <cellStyle name="Normal 2 5 4 2 3 2 2 3" xfId="14685" xr:uid="{00000000-0005-0000-0000-000044600000}"/>
    <cellStyle name="Normal 2 5 4 2 3 2 2 3 2" xfId="37328" xr:uid="{00000000-0005-0000-0000-000045600000}"/>
    <cellStyle name="Normal 2 5 4 2 3 2 2 4" xfId="29887" xr:uid="{00000000-0005-0000-0000-000046600000}"/>
    <cellStyle name="Normal 2 5 4 2 3 2 3" xfId="18407" xr:uid="{00000000-0005-0000-0000-000047600000}"/>
    <cellStyle name="Normal 2 5 4 2 3 2 3 2" xfId="41050" xr:uid="{00000000-0005-0000-0000-000048600000}"/>
    <cellStyle name="Normal 2 5 4 2 3 2 4" xfId="10967" xr:uid="{00000000-0005-0000-0000-000049600000}"/>
    <cellStyle name="Normal 2 5 4 2 3 2 4 2" xfId="33610" xr:uid="{00000000-0005-0000-0000-00004A600000}"/>
    <cellStyle name="Normal 2 5 4 2 3 2 5" xfId="26169" xr:uid="{00000000-0005-0000-0000-00004B600000}"/>
    <cellStyle name="Normal 2 5 4 2 3 3" xfId="5394" xr:uid="{00000000-0005-0000-0000-00004C600000}"/>
    <cellStyle name="Normal 2 5 4 2 3 3 2" xfId="20278" xr:uid="{00000000-0005-0000-0000-00004D600000}"/>
    <cellStyle name="Normal 2 5 4 2 3 3 2 2" xfId="42921" xr:uid="{00000000-0005-0000-0000-00004E600000}"/>
    <cellStyle name="Normal 2 5 4 2 3 3 3" xfId="12838" xr:uid="{00000000-0005-0000-0000-00004F600000}"/>
    <cellStyle name="Normal 2 5 4 2 3 3 3 2" xfId="35481" xr:uid="{00000000-0005-0000-0000-000050600000}"/>
    <cellStyle name="Normal 2 5 4 2 3 3 4" xfId="28040" xr:uid="{00000000-0005-0000-0000-000051600000}"/>
    <cellStyle name="Normal 2 5 4 2 3 4" xfId="16560" xr:uid="{00000000-0005-0000-0000-000052600000}"/>
    <cellStyle name="Normal 2 5 4 2 3 4 2" xfId="39203" xr:uid="{00000000-0005-0000-0000-000053600000}"/>
    <cellStyle name="Normal 2 5 4 2 3 5" xfId="9120" xr:uid="{00000000-0005-0000-0000-000054600000}"/>
    <cellStyle name="Normal 2 5 4 2 3 5 2" xfId="31763" xr:uid="{00000000-0005-0000-0000-000055600000}"/>
    <cellStyle name="Normal 2 5 4 2 3 6" xfId="24322" xr:uid="{00000000-0005-0000-0000-000056600000}"/>
    <cellStyle name="Normal 2 5 4 2 4" xfId="2595" xr:uid="{00000000-0005-0000-0000-000057600000}"/>
    <cellStyle name="Normal 2 5 4 2 4 2" xfId="6316" xr:uid="{00000000-0005-0000-0000-000058600000}"/>
    <cellStyle name="Normal 2 5 4 2 4 2 2" xfId="21200" xr:uid="{00000000-0005-0000-0000-000059600000}"/>
    <cellStyle name="Normal 2 5 4 2 4 2 2 2" xfId="43843" xr:uid="{00000000-0005-0000-0000-00005A600000}"/>
    <cellStyle name="Normal 2 5 4 2 4 2 3" xfId="13760" xr:uid="{00000000-0005-0000-0000-00005B600000}"/>
    <cellStyle name="Normal 2 5 4 2 4 2 3 2" xfId="36403" xr:uid="{00000000-0005-0000-0000-00005C600000}"/>
    <cellStyle name="Normal 2 5 4 2 4 2 4" xfId="28962" xr:uid="{00000000-0005-0000-0000-00005D600000}"/>
    <cellStyle name="Normal 2 5 4 2 4 3" xfId="17482" xr:uid="{00000000-0005-0000-0000-00005E600000}"/>
    <cellStyle name="Normal 2 5 4 2 4 3 2" xfId="40125" xr:uid="{00000000-0005-0000-0000-00005F600000}"/>
    <cellStyle name="Normal 2 5 4 2 4 4" xfId="10042" xr:uid="{00000000-0005-0000-0000-000060600000}"/>
    <cellStyle name="Normal 2 5 4 2 4 4 2" xfId="32685" xr:uid="{00000000-0005-0000-0000-000061600000}"/>
    <cellStyle name="Normal 2 5 4 2 4 5" xfId="25244" xr:uid="{00000000-0005-0000-0000-000062600000}"/>
    <cellStyle name="Normal 2 5 4 2 5" xfId="4469" xr:uid="{00000000-0005-0000-0000-000063600000}"/>
    <cellStyle name="Normal 2 5 4 2 5 2" xfId="19353" xr:uid="{00000000-0005-0000-0000-000064600000}"/>
    <cellStyle name="Normal 2 5 4 2 5 2 2" xfId="41996" xr:uid="{00000000-0005-0000-0000-000065600000}"/>
    <cellStyle name="Normal 2 5 4 2 5 3" xfId="11913" xr:uid="{00000000-0005-0000-0000-000066600000}"/>
    <cellStyle name="Normal 2 5 4 2 5 3 2" xfId="34556" xr:uid="{00000000-0005-0000-0000-000067600000}"/>
    <cellStyle name="Normal 2 5 4 2 5 4" xfId="27115" xr:uid="{00000000-0005-0000-0000-000068600000}"/>
    <cellStyle name="Normal 2 5 4 2 6" xfId="15635" xr:uid="{00000000-0005-0000-0000-000069600000}"/>
    <cellStyle name="Normal 2 5 4 2 6 2" xfId="38278" xr:uid="{00000000-0005-0000-0000-00006A600000}"/>
    <cellStyle name="Normal 2 5 4 2 7" xfId="8195" xr:uid="{00000000-0005-0000-0000-00006B600000}"/>
    <cellStyle name="Normal 2 5 4 2 7 2" xfId="30838" xr:uid="{00000000-0005-0000-0000-00006C600000}"/>
    <cellStyle name="Normal 2 5 4 2 8" xfId="23397" xr:uid="{00000000-0005-0000-0000-00006D600000}"/>
    <cellStyle name="Normal 2 5 4 3" xfId="993" xr:uid="{00000000-0005-0000-0000-00006E600000}"/>
    <cellStyle name="Normal 2 5 4 3 2" xfId="1921" xr:uid="{00000000-0005-0000-0000-00006F600000}"/>
    <cellStyle name="Normal 2 5 4 3 2 2" xfId="3771" xr:uid="{00000000-0005-0000-0000-000070600000}"/>
    <cellStyle name="Normal 2 5 4 3 2 2 2" xfId="7492" xr:uid="{00000000-0005-0000-0000-000071600000}"/>
    <cellStyle name="Normal 2 5 4 3 2 2 2 2" xfId="22376" xr:uid="{00000000-0005-0000-0000-000072600000}"/>
    <cellStyle name="Normal 2 5 4 3 2 2 2 2 2" xfId="45019" xr:uid="{00000000-0005-0000-0000-000073600000}"/>
    <cellStyle name="Normal 2 5 4 3 2 2 2 3" xfId="14936" xr:uid="{00000000-0005-0000-0000-000074600000}"/>
    <cellStyle name="Normal 2 5 4 3 2 2 2 3 2" xfId="37579" xr:uid="{00000000-0005-0000-0000-000075600000}"/>
    <cellStyle name="Normal 2 5 4 3 2 2 2 4" xfId="30138" xr:uid="{00000000-0005-0000-0000-000076600000}"/>
    <cellStyle name="Normal 2 5 4 3 2 2 3" xfId="18658" xr:uid="{00000000-0005-0000-0000-000077600000}"/>
    <cellStyle name="Normal 2 5 4 3 2 2 3 2" xfId="41301" xr:uid="{00000000-0005-0000-0000-000078600000}"/>
    <cellStyle name="Normal 2 5 4 3 2 2 4" xfId="11218" xr:uid="{00000000-0005-0000-0000-000079600000}"/>
    <cellStyle name="Normal 2 5 4 3 2 2 4 2" xfId="33861" xr:uid="{00000000-0005-0000-0000-00007A600000}"/>
    <cellStyle name="Normal 2 5 4 3 2 2 5" xfId="26420" xr:uid="{00000000-0005-0000-0000-00007B600000}"/>
    <cellStyle name="Normal 2 5 4 3 2 3" xfId="5645" xr:uid="{00000000-0005-0000-0000-00007C600000}"/>
    <cellStyle name="Normal 2 5 4 3 2 3 2" xfId="20529" xr:uid="{00000000-0005-0000-0000-00007D600000}"/>
    <cellStyle name="Normal 2 5 4 3 2 3 2 2" xfId="43172" xr:uid="{00000000-0005-0000-0000-00007E600000}"/>
    <cellStyle name="Normal 2 5 4 3 2 3 3" xfId="13089" xr:uid="{00000000-0005-0000-0000-00007F600000}"/>
    <cellStyle name="Normal 2 5 4 3 2 3 3 2" xfId="35732" xr:uid="{00000000-0005-0000-0000-000080600000}"/>
    <cellStyle name="Normal 2 5 4 3 2 3 4" xfId="28291" xr:uid="{00000000-0005-0000-0000-000081600000}"/>
    <cellStyle name="Normal 2 5 4 3 2 4" xfId="16811" xr:uid="{00000000-0005-0000-0000-000082600000}"/>
    <cellStyle name="Normal 2 5 4 3 2 4 2" xfId="39454" xr:uid="{00000000-0005-0000-0000-000083600000}"/>
    <cellStyle name="Normal 2 5 4 3 2 5" xfId="9371" xr:uid="{00000000-0005-0000-0000-000084600000}"/>
    <cellStyle name="Normal 2 5 4 3 2 5 2" xfId="32014" xr:uid="{00000000-0005-0000-0000-000085600000}"/>
    <cellStyle name="Normal 2 5 4 3 2 6" xfId="24573" xr:uid="{00000000-0005-0000-0000-000086600000}"/>
    <cellStyle name="Normal 2 5 4 3 3" xfId="2846" xr:uid="{00000000-0005-0000-0000-000087600000}"/>
    <cellStyle name="Normal 2 5 4 3 3 2" xfId="6567" xr:uid="{00000000-0005-0000-0000-000088600000}"/>
    <cellStyle name="Normal 2 5 4 3 3 2 2" xfId="21451" xr:uid="{00000000-0005-0000-0000-000089600000}"/>
    <cellStyle name="Normal 2 5 4 3 3 2 2 2" xfId="44094" xr:uid="{00000000-0005-0000-0000-00008A600000}"/>
    <cellStyle name="Normal 2 5 4 3 3 2 3" xfId="14011" xr:uid="{00000000-0005-0000-0000-00008B600000}"/>
    <cellStyle name="Normal 2 5 4 3 3 2 3 2" xfId="36654" xr:uid="{00000000-0005-0000-0000-00008C600000}"/>
    <cellStyle name="Normal 2 5 4 3 3 2 4" xfId="29213" xr:uid="{00000000-0005-0000-0000-00008D600000}"/>
    <cellStyle name="Normal 2 5 4 3 3 3" xfId="17733" xr:uid="{00000000-0005-0000-0000-00008E600000}"/>
    <cellStyle name="Normal 2 5 4 3 3 3 2" xfId="40376" xr:uid="{00000000-0005-0000-0000-00008F600000}"/>
    <cellStyle name="Normal 2 5 4 3 3 4" xfId="10293" xr:uid="{00000000-0005-0000-0000-000090600000}"/>
    <cellStyle name="Normal 2 5 4 3 3 4 2" xfId="32936" xr:uid="{00000000-0005-0000-0000-000091600000}"/>
    <cellStyle name="Normal 2 5 4 3 3 5" xfId="25495" xr:uid="{00000000-0005-0000-0000-000092600000}"/>
    <cellStyle name="Normal 2 5 4 3 4" xfId="4720" xr:uid="{00000000-0005-0000-0000-000093600000}"/>
    <cellStyle name="Normal 2 5 4 3 4 2" xfId="19604" xr:uid="{00000000-0005-0000-0000-000094600000}"/>
    <cellStyle name="Normal 2 5 4 3 4 2 2" xfId="42247" xr:uid="{00000000-0005-0000-0000-000095600000}"/>
    <cellStyle name="Normal 2 5 4 3 4 3" xfId="12164" xr:uid="{00000000-0005-0000-0000-000096600000}"/>
    <cellStyle name="Normal 2 5 4 3 4 3 2" xfId="34807" xr:uid="{00000000-0005-0000-0000-000097600000}"/>
    <cellStyle name="Normal 2 5 4 3 4 4" xfId="27366" xr:uid="{00000000-0005-0000-0000-000098600000}"/>
    <cellStyle name="Normal 2 5 4 3 5" xfId="15886" xr:uid="{00000000-0005-0000-0000-000099600000}"/>
    <cellStyle name="Normal 2 5 4 3 5 2" xfId="38529" xr:uid="{00000000-0005-0000-0000-00009A600000}"/>
    <cellStyle name="Normal 2 5 4 3 6" xfId="8446" xr:uid="{00000000-0005-0000-0000-00009B600000}"/>
    <cellStyle name="Normal 2 5 4 3 6 2" xfId="31089" xr:uid="{00000000-0005-0000-0000-00009C600000}"/>
    <cellStyle name="Normal 2 5 4 3 7" xfId="23648" xr:uid="{00000000-0005-0000-0000-00009D600000}"/>
    <cellStyle name="Normal 2 5 4 4" xfId="1459" xr:uid="{00000000-0005-0000-0000-00009E600000}"/>
    <cellStyle name="Normal 2 5 4 4 2" xfId="3309" xr:uid="{00000000-0005-0000-0000-00009F600000}"/>
    <cellStyle name="Normal 2 5 4 4 2 2" xfId="7030" xr:uid="{00000000-0005-0000-0000-0000A0600000}"/>
    <cellStyle name="Normal 2 5 4 4 2 2 2" xfId="21914" xr:uid="{00000000-0005-0000-0000-0000A1600000}"/>
    <cellStyle name="Normal 2 5 4 4 2 2 2 2" xfId="44557" xr:uid="{00000000-0005-0000-0000-0000A2600000}"/>
    <cellStyle name="Normal 2 5 4 4 2 2 3" xfId="14474" xr:uid="{00000000-0005-0000-0000-0000A3600000}"/>
    <cellStyle name="Normal 2 5 4 4 2 2 3 2" xfId="37117" xr:uid="{00000000-0005-0000-0000-0000A4600000}"/>
    <cellStyle name="Normal 2 5 4 4 2 2 4" xfId="29676" xr:uid="{00000000-0005-0000-0000-0000A5600000}"/>
    <cellStyle name="Normal 2 5 4 4 2 3" xfId="18196" xr:uid="{00000000-0005-0000-0000-0000A6600000}"/>
    <cellStyle name="Normal 2 5 4 4 2 3 2" xfId="40839" xr:uid="{00000000-0005-0000-0000-0000A7600000}"/>
    <cellStyle name="Normal 2 5 4 4 2 4" xfId="10756" xr:uid="{00000000-0005-0000-0000-0000A8600000}"/>
    <cellStyle name="Normal 2 5 4 4 2 4 2" xfId="33399" xr:uid="{00000000-0005-0000-0000-0000A9600000}"/>
    <cellStyle name="Normal 2 5 4 4 2 5" xfId="25958" xr:uid="{00000000-0005-0000-0000-0000AA600000}"/>
    <cellStyle name="Normal 2 5 4 4 3" xfId="5183" xr:uid="{00000000-0005-0000-0000-0000AB600000}"/>
    <cellStyle name="Normal 2 5 4 4 3 2" xfId="20067" xr:uid="{00000000-0005-0000-0000-0000AC600000}"/>
    <cellStyle name="Normal 2 5 4 4 3 2 2" xfId="42710" xr:uid="{00000000-0005-0000-0000-0000AD600000}"/>
    <cellStyle name="Normal 2 5 4 4 3 3" xfId="12627" xr:uid="{00000000-0005-0000-0000-0000AE600000}"/>
    <cellStyle name="Normal 2 5 4 4 3 3 2" xfId="35270" xr:uid="{00000000-0005-0000-0000-0000AF600000}"/>
    <cellStyle name="Normal 2 5 4 4 3 4" xfId="27829" xr:uid="{00000000-0005-0000-0000-0000B0600000}"/>
    <cellStyle name="Normal 2 5 4 4 4" xfId="16349" xr:uid="{00000000-0005-0000-0000-0000B1600000}"/>
    <cellStyle name="Normal 2 5 4 4 4 2" xfId="38992" xr:uid="{00000000-0005-0000-0000-0000B2600000}"/>
    <cellStyle name="Normal 2 5 4 4 5" xfId="8909" xr:uid="{00000000-0005-0000-0000-0000B3600000}"/>
    <cellStyle name="Normal 2 5 4 4 5 2" xfId="31552" xr:uid="{00000000-0005-0000-0000-0000B4600000}"/>
    <cellStyle name="Normal 2 5 4 4 6" xfId="24111" xr:uid="{00000000-0005-0000-0000-0000B5600000}"/>
    <cellStyle name="Normal 2 5 4 5" xfId="2384" xr:uid="{00000000-0005-0000-0000-0000B6600000}"/>
    <cellStyle name="Normal 2 5 4 5 2" xfId="6105" xr:uid="{00000000-0005-0000-0000-0000B7600000}"/>
    <cellStyle name="Normal 2 5 4 5 2 2" xfId="20989" xr:uid="{00000000-0005-0000-0000-0000B8600000}"/>
    <cellStyle name="Normal 2 5 4 5 2 2 2" xfId="43632" xr:uid="{00000000-0005-0000-0000-0000B9600000}"/>
    <cellStyle name="Normal 2 5 4 5 2 3" xfId="13549" xr:uid="{00000000-0005-0000-0000-0000BA600000}"/>
    <cellStyle name="Normal 2 5 4 5 2 3 2" xfId="36192" xr:uid="{00000000-0005-0000-0000-0000BB600000}"/>
    <cellStyle name="Normal 2 5 4 5 2 4" xfId="28751" xr:uid="{00000000-0005-0000-0000-0000BC600000}"/>
    <cellStyle name="Normal 2 5 4 5 3" xfId="17271" xr:uid="{00000000-0005-0000-0000-0000BD600000}"/>
    <cellStyle name="Normal 2 5 4 5 3 2" xfId="39914" xr:uid="{00000000-0005-0000-0000-0000BE600000}"/>
    <cellStyle name="Normal 2 5 4 5 4" xfId="9831" xr:uid="{00000000-0005-0000-0000-0000BF600000}"/>
    <cellStyle name="Normal 2 5 4 5 4 2" xfId="32474" xr:uid="{00000000-0005-0000-0000-0000C0600000}"/>
    <cellStyle name="Normal 2 5 4 5 5" xfId="25033" xr:uid="{00000000-0005-0000-0000-0000C1600000}"/>
    <cellStyle name="Normal 2 5 4 6" xfId="4258" xr:uid="{00000000-0005-0000-0000-0000C2600000}"/>
    <cellStyle name="Normal 2 5 4 6 2" xfId="19142" xr:uid="{00000000-0005-0000-0000-0000C3600000}"/>
    <cellStyle name="Normal 2 5 4 6 2 2" xfId="41785" xr:uid="{00000000-0005-0000-0000-0000C4600000}"/>
    <cellStyle name="Normal 2 5 4 6 3" xfId="11702" xr:uid="{00000000-0005-0000-0000-0000C5600000}"/>
    <cellStyle name="Normal 2 5 4 6 3 2" xfId="34345" xr:uid="{00000000-0005-0000-0000-0000C6600000}"/>
    <cellStyle name="Normal 2 5 4 6 4" xfId="26904" xr:uid="{00000000-0005-0000-0000-0000C7600000}"/>
    <cellStyle name="Normal 2 5 4 7" xfId="15424" xr:uid="{00000000-0005-0000-0000-0000C8600000}"/>
    <cellStyle name="Normal 2 5 4 7 2" xfId="38067" xr:uid="{00000000-0005-0000-0000-0000C9600000}"/>
    <cellStyle name="Normal 2 5 4 8" xfId="7984" xr:uid="{00000000-0005-0000-0000-0000CA600000}"/>
    <cellStyle name="Normal 2 5 4 8 2" xfId="30627" xr:uid="{00000000-0005-0000-0000-0000CB600000}"/>
    <cellStyle name="Normal 2 5 4 9" xfId="23187" xr:uid="{00000000-0005-0000-0000-0000CC600000}"/>
    <cellStyle name="Normal 2 5 5" xfId="633" xr:uid="{00000000-0005-0000-0000-0000CD600000}"/>
    <cellStyle name="Normal 2 5 5 2" xfId="1099" xr:uid="{00000000-0005-0000-0000-0000CE600000}"/>
    <cellStyle name="Normal 2 5 5 2 2" xfId="2027" xr:uid="{00000000-0005-0000-0000-0000CF600000}"/>
    <cellStyle name="Normal 2 5 5 2 2 2" xfId="3877" xr:uid="{00000000-0005-0000-0000-0000D0600000}"/>
    <cellStyle name="Normal 2 5 5 2 2 2 2" xfId="7598" xr:uid="{00000000-0005-0000-0000-0000D1600000}"/>
    <cellStyle name="Normal 2 5 5 2 2 2 2 2" xfId="22482" xr:uid="{00000000-0005-0000-0000-0000D2600000}"/>
    <cellStyle name="Normal 2 5 5 2 2 2 2 2 2" xfId="45125" xr:uid="{00000000-0005-0000-0000-0000D3600000}"/>
    <cellStyle name="Normal 2 5 5 2 2 2 2 3" xfId="15042" xr:uid="{00000000-0005-0000-0000-0000D4600000}"/>
    <cellStyle name="Normal 2 5 5 2 2 2 2 3 2" xfId="37685" xr:uid="{00000000-0005-0000-0000-0000D5600000}"/>
    <cellStyle name="Normal 2 5 5 2 2 2 2 4" xfId="30244" xr:uid="{00000000-0005-0000-0000-0000D6600000}"/>
    <cellStyle name="Normal 2 5 5 2 2 2 3" xfId="18764" xr:uid="{00000000-0005-0000-0000-0000D7600000}"/>
    <cellStyle name="Normal 2 5 5 2 2 2 3 2" xfId="41407" xr:uid="{00000000-0005-0000-0000-0000D8600000}"/>
    <cellStyle name="Normal 2 5 5 2 2 2 4" xfId="11324" xr:uid="{00000000-0005-0000-0000-0000D9600000}"/>
    <cellStyle name="Normal 2 5 5 2 2 2 4 2" xfId="33967" xr:uid="{00000000-0005-0000-0000-0000DA600000}"/>
    <cellStyle name="Normal 2 5 5 2 2 2 5" xfId="26526" xr:uid="{00000000-0005-0000-0000-0000DB600000}"/>
    <cellStyle name="Normal 2 5 5 2 2 3" xfId="5751" xr:uid="{00000000-0005-0000-0000-0000DC600000}"/>
    <cellStyle name="Normal 2 5 5 2 2 3 2" xfId="20635" xr:uid="{00000000-0005-0000-0000-0000DD600000}"/>
    <cellStyle name="Normal 2 5 5 2 2 3 2 2" xfId="43278" xr:uid="{00000000-0005-0000-0000-0000DE600000}"/>
    <cellStyle name="Normal 2 5 5 2 2 3 3" xfId="13195" xr:uid="{00000000-0005-0000-0000-0000DF600000}"/>
    <cellStyle name="Normal 2 5 5 2 2 3 3 2" xfId="35838" xr:uid="{00000000-0005-0000-0000-0000E0600000}"/>
    <cellStyle name="Normal 2 5 5 2 2 3 4" xfId="28397" xr:uid="{00000000-0005-0000-0000-0000E1600000}"/>
    <cellStyle name="Normal 2 5 5 2 2 4" xfId="16917" xr:uid="{00000000-0005-0000-0000-0000E2600000}"/>
    <cellStyle name="Normal 2 5 5 2 2 4 2" xfId="39560" xr:uid="{00000000-0005-0000-0000-0000E3600000}"/>
    <cellStyle name="Normal 2 5 5 2 2 5" xfId="9477" xr:uid="{00000000-0005-0000-0000-0000E4600000}"/>
    <cellStyle name="Normal 2 5 5 2 2 5 2" xfId="32120" xr:uid="{00000000-0005-0000-0000-0000E5600000}"/>
    <cellStyle name="Normal 2 5 5 2 2 6" xfId="24679" xr:uid="{00000000-0005-0000-0000-0000E6600000}"/>
    <cellStyle name="Normal 2 5 5 2 3" xfId="2952" xr:uid="{00000000-0005-0000-0000-0000E7600000}"/>
    <cellStyle name="Normal 2 5 5 2 3 2" xfId="6673" xr:uid="{00000000-0005-0000-0000-0000E8600000}"/>
    <cellStyle name="Normal 2 5 5 2 3 2 2" xfId="21557" xr:uid="{00000000-0005-0000-0000-0000E9600000}"/>
    <cellStyle name="Normal 2 5 5 2 3 2 2 2" xfId="44200" xr:uid="{00000000-0005-0000-0000-0000EA600000}"/>
    <cellStyle name="Normal 2 5 5 2 3 2 3" xfId="14117" xr:uid="{00000000-0005-0000-0000-0000EB600000}"/>
    <cellStyle name="Normal 2 5 5 2 3 2 3 2" xfId="36760" xr:uid="{00000000-0005-0000-0000-0000EC600000}"/>
    <cellStyle name="Normal 2 5 5 2 3 2 4" xfId="29319" xr:uid="{00000000-0005-0000-0000-0000ED600000}"/>
    <cellStyle name="Normal 2 5 5 2 3 3" xfId="17839" xr:uid="{00000000-0005-0000-0000-0000EE600000}"/>
    <cellStyle name="Normal 2 5 5 2 3 3 2" xfId="40482" xr:uid="{00000000-0005-0000-0000-0000EF600000}"/>
    <cellStyle name="Normal 2 5 5 2 3 4" xfId="10399" xr:uid="{00000000-0005-0000-0000-0000F0600000}"/>
    <cellStyle name="Normal 2 5 5 2 3 4 2" xfId="33042" xr:uid="{00000000-0005-0000-0000-0000F1600000}"/>
    <cellStyle name="Normal 2 5 5 2 3 5" xfId="25601" xr:uid="{00000000-0005-0000-0000-0000F2600000}"/>
    <cellStyle name="Normal 2 5 5 2 4" xfId="4826" xr:uid="{00000000-0005-0000-0000-0000F3600000}"/>
    <cellStyle name="Normal 2 5 5 2 4 2" xfId="19710" xr:uid="{00000000-0005-0000-0000-0000F4600000}"/>
    <cellStyle name="Normal 2 5 5 2 4 2 2" xfId="42353" xr:uid="{00000000-0005-0000-0000-0000F5600000}"/>
    <cellStyle name="Normal 2 5 5 2 4 3" xfId="12270" xr:uid="{00000000-0005-0000-0000-0000F6600000}"/>
    <cellStyle name="Normal 2 5 5 2 4 3 2" xfId="34913" xr:uid="{00000000-0005-0000-0000-0000F7600000}"/>
    <cellStyle name="Normal 2 5 5 2 4 4" xfId="27472" xr:uid="{00000000-0005-0000-0000-0000F8600000}"/>
    <cellStyle name="Normal 2 5 5 2 5" xfId="15992" xr:uid="{00000000-0005-0000-0000-0000F9600000}"/>
    <cellStyle name="Normal 2 5 5 2 5 2" xfId="38635" xr:uid="{00000000-0005-0000-0000-0000FA600000}"/>
    <cellStyle name="Normal 2 5 5 2 6" xfId="8552" xr:uid="{00000000-0005-0000-0000-0000FB600000}"/>
    <cellStyle name="Normal 2 5 5 2 6 2" xfId="31195" xr:uid="{00000000-0005-0000-0000-0000FC600000}"/>
    <cellStyle name="Normal 2 5 5 2 7" xfId="23754" xr:uid="{00000000-0005-0000-0000-0000FD600000}"/>
    <cellStyle name="Normal 2 5 5 3" xfId="1565" xr:uid="{00000000-0005-0000-0000-0000FE600000}"/>
    <cellStyle name="Normal 2 5 5 3 2" xfId="3415" xr:uid="{00000000-0005-0000-0000-0000FF600000}"/>
    <cellStyle name="Normal 2 5 5 3 2 2" xfId="7136" xr:uid="{00000000-0005-0000-0000-000000610000}"/>
    <cellStyle name="Normal 2 5 5 3 2 2 2" xfId="22020" xr:uid="{00000000-0005-0000-0000-000001610000}"/>
    <cellStyle name="Normal 2 5 5 3 2 2 2 2" xfId="44663" xr:uid="{00000000-0005-0000-0000-000002610000}"/>
    <cellStyle name="Normal 2 5 5 3 2 2 3" xfId="14580" xr:uid="{00000000-0005-0000-0000-000003610000}"/>
    <cellStyle name="Normal 2 5 5 3 2 2 3 2" xfId="37223" xr:uid="{00000000-0005-0000-0000-000004610000}"/>
    <cellStyle name="Normal 2 5 5 3 2 2 4" xfId="29782" xr:uid="{00000000-0005-0000-0000-000005610000}"/>
    <cellStyle name="Normal 2 5 5 3 2 3" xfId="18302" xr:uid="{00000000-0005-0000-0000-000006610000}"/>
    <cellStyle name="Normal 2 5 5 3 2 3 2" xfId="40945" xr:uid="{00000000-0005-0000-0000-000007610000}"/>
    <cellStyle name="Normal 2 5 5 3 2 4" xfId="10862" xr:uid="{00000000-0005-0000-0000-000008610000}"/>
    <cellStyle name="Normal 2 5 5 3 2 4 2" xfId="33505" xr:uid="{00000000-0005-0000-0000-000009610000}"/>
    <cellStyle name="Normal 2 5 5 3 2 5" xfId="26064" xr:uid="{00000000-0005-0000-0000-00000A610000}"/>
    <cellStyle name="Normal 2 5 5 3 3" xfId="5289" xr:uid="{00000000-0005-0000-0000-00000B610000}"/>
    <cellStyle name="Normal 2 5 5 3 3 2" xfId="20173" xr:uid="{00000000-0005-0000-0000-00000C610000}"/>
    <cellStyle name="Normal 2 5 5 3 3 2 2" xfId="42816" xr:uid="{00000000-0005-0000-0000-00000D610000}"/>
    <cellStyle name="Normal 2 5 5 3 3 3" xfId="12733" xr:uid="{00000000-0005-0000-0000-00000E610000}"/>
    <cellStyle name="Normal 2 5 5 3 3 3 2" xfId="35376" xr:uid="{00000000-0005-0000-0000-00000F610000}"/>
    <cellStyle name="Normal 2 5 5 3 3 4" xfId="27935" xr:uid="{00000000-0005-0000-0000-000010610000}"/>
    <cellStyle name="Normal 2 5 5 3 4" xfId="16455" xr:uid="{00000000-0005-0000-0000-000011610000}"/>
    <cellStyle name="Normal 2 5 5 3 4 2" xfId="39098" xr:uid="{00000000-0005-0000-0000-000012610000}"/>
    <cellStyle name="Normal 2 5 5 3 5" xfId="9015" xr:uid="{00000000-0005-0000-0000-000013610000}"/>
    <cellStyle name="Normal 2 5 5 3 5 2" xfId="31658" xr:uid="{00000000-0005-0000-0000-000014610000}"/>
    <cellStyle name="Normal 2 5 5 3 6" xfId="24217" xr:uid="{00000000-0005-0000-0000-000015610000}"/>
    <cellStyle name="Normal 2 5 5 4" xfId="2490" xr:uid="{00000000-0005-0000-0000-000016610000}"/>
    <cellStyle name="Normal 2 5 5 4 2" xfId="6211" xr:uid="{00000000-0005-0000-0000-000017610000}"/>
    <cellStyle name="Normal 2 5 5 4 2 2" xfId="21095" xr:uid="{00000000-0005-0000-0000-000018610000}"/>
    <cellStyle name="Normal 2 5 5 4 2 2 2" xfId="43738" xr:uid="{00000000-0005-0000-0000-000019610000}"/>
    <cellStyle name="Normal 2 5 5 4 2 3" xfId="13655" xr:uid="{00000000-0005-0000-0000-00001A610000}"/>
    <cellStyle name="Normal 2 5 5 4 2 3 2" xfId="36298" xr:uid="{00000000-0005-0000-0000-00001B610000}"/>
    <cellStyle name="Normal 2 5 5 4 2 4" xfId="28857" xr:uid="{00000000-0005-0000-0000-00001C610000}"/>
    <cellStyle name="Normal 2 5 5 4 3" xfId="17377" xr:uid="{00000000-0005-0000-0000-00001D610000}"/>
    <cellStyle name="Normal 2 5 5 4 3 2" xfId="40020" xr:uid="{00000000-0005-0000-0000-00001E610000}"/>
    <cellStyle name="Normal 2 5 5 4 4" xfId="9937" xr:uid="{00000000-0005-0000-0000-00001F610000}"/>
    <cellStyle name="Normal 2 5 5 4 4 2" xfId="32580" xr:uid="{00000000-0005-0000-0000-000020610000}"/>
    <cellStyle name="Normal 2 5 5 4 5" xfId="25139" xr:uid="{00000000-0005-0000-0000-000021610000}"/>
    <cellStyle name="Normal 2 5 5 5" xfId="4364" xr:uid="{00000000-0005-0000-0000-000022610000}"/>
    <cellStyle name="Normal 2 5 5 5 2" xfId="19248" xr:uid="{00000000-0005-0000-0000-000023610000}"/>
    <cellStyle name="Normal 2 5 5 5 2 2" xfId="41891" xr:uid="{00000000-0005-0000-0000-000024610000}"/>
    <cellStyle name="Normal 2 5 5 5 3" xfId="11808" xr:uid="{00000000-0005-0000-0000-000025610000}"/>
    <cellStyle name="Normal 2 5 5 5 3 2" xfId="34451" xr:uid="{00000000-0005-0000-0000-000026610000}"/>
    <cellStyle name="Normal 2 5 5 5 4" xfId="27010" xr:uid="{00000000-0005-0000-0000-000027610000}"/>
    <cellStyle name="Normal 2 5 5 6" xfId="15530" xr:uid="{00000000-0005-0000-0000-000028610000}"/>
    <cellStyle name="Normal 2 5 5 6 2" xfId="38173" xr:uid="{00000000-0005-0000-0000-000029610000}"/>
    <cellStyle name="Normal 2 5 5 7" xfId="8090" xr:uid="{00000000-0005-0000-0000-00002A610000}"/>
    <cellStyle name="Normal 2 5 5 7 2" xfId="30733" xr:uid="{00000000-0005-0000-0000-00002B610000}"/>
    <cellStyle name="Normal 2 5 5 8" xfId="23292" xr:uid="{00000000-0005-0000-0000-00002C610000}"/>
    <cellStyle name="Normal 2 5 6" xfId="888" xr:uid="{00000000-0005-0000-0000-00002D610000}"/>
    <cellStyle name="Normal 2 5 6 2" xfId="1816" xr:uid="{00000000-0005-0000-0000-00002E610000}"/>
    <cellStyle name="Normal 2 5 6 2 2" xfId="3666" xr:uid="{00000000-0005-0000-0000-00002F610000}"/>
    <cellStyle name="Normal 2 5 6 2 2 2" xfId="7387" xr:uid="{00000000-0005-0000-0000-000030610000}"/>
    <cellStyle name="Normal 2 5 6 2 2 2 2" xfId="22271" xr:uid="{00000000-0005-0000-0000-000031610000}"/>
    <cellStyle name="Normal 2 5 6 2 2 2 2 2" xfId="44914" xr:uid="{00000000-0005-0000-0000-000032610000}"/>
    <cellStyle name="Normal 2 5 6 2 2 2 3" xfId="14831" xr:uid="{00000000-0005-0000-0000-000033610000}"/>
    <cellStyle name="Normal 2 5 6 2 2 2 3 2" xfId="37474" xr:uid="{00000000-0005-0000-0000-000034610000}"/>
    <cellStyle name="Normal 2 5 6 2 2 2 4" xfId="30033" xr:uid="{00000000-0005-0000-0000-000035610000}"/>
    <cellStyle name="Normal 2 5 6 2 2 3" xfId="18553" xr:uid="{00000000-0005-0000-0000-000036610000}"/>
    <cellStyle name="Normal 2 5 6 2 2 3 2" xfId="41196" xr:uid="{00000000-0005-0000-0000-000037610000}"/>
    <cellStyle name="Normal 2 5 6 2 2 4" xfId="11113" xr:uid="{00000000-0005-0000-0000-000038610000}"/>
    <cellStyle name="Normal 2 5 6 2 2 4 2" xfId="33756" xr:uid="{00000000-0005-0000-0000-000039610000}"/>
    <cellStyle name="Normal 2 5 6 2 2 5" xfId="26315" xr:uid="{00000000-0005-0000-0000-00003A610000}"/>
    <cellStyle name="Normal 2 5 6 2 3" xfId="5540" xr:uid="{00000000-0005-0000-0000-00003B610000}"/>
    <cellStyle name="Normal 2 5 6 2 3 2" xfId="20424" xr:uid="{00000000-0005-0000-0000-00003C610000}"/>
    <cellStyle name="Normal 2 5 6 2 3 2 2" xfId="43067" xr:uid="{00000000-0005-0000-0000-00003D610000}"/>
    <cellStyle name="Normal 2 5 6 2 3 3" xfId="12984" xr:uid="{00000000-0005-0000-0000-00003E610000}"/>
    <cellStyle name="Normal 2 5 6 2 3 3 2" xfId="35627" xr:uid="{00000000-0005-0000-0000-00003F610000}"/>
    <cellStyle name="Normal 2 5 6 2 3 4" xfId="28186" xr:uid="{00000000-0005-0000-0000-000040610000}"/>
    <cellStyle name="Normal 2 5 6 2 4" xfId="16706" xr:uid="{00000000-0005-0000-0000-000041610000}"/>
    <cellStyle name="Normal 2 5 6 2 4 2" xfId="39349" xr:uid="{00000000-0005-0000-0000-000042610000}"/>
    <cellStyle name="Normal 2 5 6 2 5" xfId="9266" xr:uid="{00000000-0005-0000-0000-000043610000}"/>
    <cellStyle name="Normal 2 5 6 2 5 2" xfId="31909" xr:uid="{00000000-0005-0000-0000-000044610000}"/>
    <cellStyle name="Normal 2 5 6 2 6" xfId="24468" xr:uid="{00000000-0005-0000-0000-000045610000}"/>
    <cellStyle name="Normal 2 5 6 3" xfId="2741" xr:uid="{00000000-0005-0000-0000-000046610000}"/>
    <cellStyle name="Normal 2 5 6 3 2" xfId="6462" xr:uid="{00000000-0005-0000-0000-000047610000}"/>
    <cellStyle name="Normal 2 5 6 3 2 2" xfId="21346" xr:uid="{00000000-0005-0000-0000-000048610000}"/>
    <cellStyle name="Normal 2 5 6 3 2 2 2" xfId="43989" xr:uid="{00000000-0005-0000-0000-000049610000}"/>
    <cellStyle name="Normal 2 5 6 3 2 3" xfId="13906" xr:uid="{00000000-0005-0000-0000-00004A610000}"/>
    <cellStyle name="Normal 2 5 6 3 2 3 2" xfId="36549" xr:uid="{00000000-0005-0000-0000-00004B610000}"/>
    <cellStyle name="Normal 2 5 6 3 2 4" xfId="29108" xr:uid="{00000000-0005-0000-0000-00004C610000}"/>
    <cellStyle name="Normal 2 5 6 3 3" xfId="17628" xr:uid="{00000000-0005-0000-0000-00004D610000}"/>
    <cellStyle name="Normal 2 5 6 3 3 2" xfId="40271" xr:uid="{00000000-0005-0000-0000-00004E610000}"/>
    <cellStyle name="Normal 2 5 6 3 4" xfId="10188" xr:uid="{00000000-0005-0000-0000-00004F610000}"/>
    <cellStyle name="Normal 2 5 6 3 4 2" xfId="32831" xr:uid="{00000000-0005-0000-0000-000050610000}"/>
    <cellStyle name="Normal 2 5 6 3 5" xfId="25390" xr:uid="{00000000-0005-0000-0000-000051610000}"/>
    <cellStyle name="Normal 2 5 6 4" xfId="4615" xr:uid="{00000000-0005-0000-0000-000052610000}"/>
    <cellStyle name="Normal 2 5 6 4 2" xfId="19499" xr:uid="{00000000-0005-0000-0000-000053610000}"/>
    <cellStyle name="Normal 2 5 6 4 2 2" xfId="42142" xr:uid="{00000000-0005-0000-0000-000054610000}"/>
    <cellStyle name="Normal 2 5 6 4 3" xfId="12059" xr:uid="{00000000-0005-0000-0000-000055610000}"/>
    <cellStyle name="Normal 2 5 6 4 3 2" xfId="34702" xr:uid="{00000000-0005-0000-0000-000056610000}"/>
    <cellStyle name="Normal 2 5 6 4 4" xfId="27261" xr:uid="{00000000-0005-0000-0000-000057610000}"/>
    <cellStyle name="Normal 2 5 6 5" xfId="15781" xr:uid="{00000000-0005-0000-0000-000058610000}"/>
    <cellStyle name="Normal 2 5 6 5 2" xfId="38424" xr:uid="{00000000-0005-0000-0000-000059610000}"/>
    <cellStyle name="Normal 2 5 6 6" xfId="8341" xr:uid="{00000000-0005-0000-0000-00005A610000}"/>
    <cellStyle name="Normal 2 5 6 6 2" xfId="30984" xr:uid="{00000000-0005-0000-0000-00005B610000}"/>
    <cellStyle name="Normal 2 5 6 7" xfId="23543" xr:uid="{00000000-0005-0000-0000-00005C610000}"/>
    <cellStyle name="Normal 2 5 7" xfId="1354" xr:uid="{00000000-0005-0000-0000-00005D610000}"/>
    <cellStyle name="Normal 2 5 7 2" xfId="3204" xr:uid="{00000000-0005-0000-0000-00005E610000}"/>
    <cellStyle name="Normal 2 5 7 2 2" xfId="6925" xr:uid="{00000000-0005-0000-0000-00005F610000}"/>
    <cellStyle name="Normal 2 5 7 2 2 2" xfId="21809" xr:uid="{00000000-0005-0000-0000-000060610000}"/>
    <cellStyle name="Normal 2 5 7 2 2 2 2" xfId="44452" xr:uid="{00000000-0005-0000-0000-000061610000}"/>
    <cellStyle name="Normal 2 5 7 2 2 3" xfId="14369" xr:uid="{00000000-0005-0000-0000-000062610000}"/>
    <cellStyle name="Normal 2 5 7 2 2 3 2" xfId="37012" xr:uid="{00000000-0005-0000-0000-000063610000}"/>
    <cellStyle name="Normal 2 5 7 2 2 4" xfId="29571" xr:uid="{00000000-0005-0000-0000-000064610000}"/>
    <cellStyle name="Normal 2 5 7 2 3" xfId="18091" xr:uid="{00000000-0005-0000-0000-000065610000}"/>
    <cellStyle name="Normal 2 5 7 2 3 2" xfId="40734" xr:uid="{00000000-0005-0000-0000-000066610000}"/>
    <cellStyle name="Normal 2 5 7 2 4" xfId="10651" xr:uid="{00000000-0005-0000-0000-000067610000}"/>
    <cellStyle name="Normal 2 5 7 2 4 2" xfId="33294" xr:uid="{00000000-0005-0000-0000-000068610000}"/>
    <cellStyle name="Normal 2 5 7 2 5" xfId="25853" xr:uid="{00000000-0005-0000-0000-000069610000}"/>
    <cellStyle name="Normal 2 5 7 3" xfId="5078" xr:uid="{00000000-0005-0000-0000-00006A610000}"/>
    <cellStyle name="Normal 2 5 7 3 2" xfId="19962" xr:uid="{00000000-0005-0000-0000-00006B610000}"/>
    <cellStyle name="Normal 2 5 7 3 2 2" xfId="42605" xr:uid="{00000000-0005-0000-0000-00006C610000}"/>
    <cellStyle name="Normal 2 5 7 3 3" xfId="12522" xr:uid="{00000000-0005-0000-0000-00006D610000}"/>
    <cellStyle name="Normal 2 5 7 3 3 2" xfId="35165" xr:uid="{00000000-0005-0000-0000-00006E610000}"/>
    <cellStyle name="Normal 2 5 7 3 4" xfId="27724" xr:uid="{00000000-0005-0000-0000-00006F610000}"/>
    <cellStyle name="Normal 2 5 7 4" xfId="16244" xr:uid="{00000000-0005-0000-0000-000070610000}"/>
    <cellStyle name="Normal 2 5 7 4 2" xfId="38887" xr:uid="{00000000-0005-0000-0000-000071610000}"/>
    <cellStyle name="Normal 2 5 7 5" xfId="8804" xr:uid="{00000000-0005-0000-0000-000072610000}"/>
    <cellStyle name="Normal 2 5 7 5 2" xfId="31447" xr:uid="{00000000-0005-0000-0000-000073610000}"/>
    <cellStyle name="Normal 2 5 7 6" xfId="24006" xr:uid="{00000000-0005-0000-0000-000074610000}"/>
    <cellStyle name="Normal 2 5 8" xfId="2279" xr:uid="{00000000-0005-0000-0000-000075610000}"/>
    <cellStyle name="Normal 2 5 8 2" xfId="6000" xr:uid="{00000000-0005-0000-0000-000076610000}"/>
    <cellStyle name="Normal 2 5 8 2 2" xfId="20884" xr:uid="{00000000-0005-0000-0000-000077610000}"/>
    <cellStyle name="Normal 2 5 8 2 2 2" xfId="43527" xr:uid="{00000000-0005-0000-0000-000078610000}"/>
    <cellStyle name="Normal 2 5 8 2 3" xfId="13444" xr:uid="{00000000-0005-0000-0000-000079610000}"/>
    <cellStyle name="Normal 2 5 8 2 3 2" xfId="36087" xr:uid="{00000000-0005-0000-0000-00007A610000}"/>
    <cellStyle name="Normal 2 5 8 2 4" xfId="28646" xr:uid="{00000000-0005-0000-0000-00007B610000}"/>
    <cellStyle name="Normal 2 5 8 3" xfId="17166" xr:uid="{00000000-0005-0000-0000-00007C610000}"/>
    <cellStyle name="Normal 2 5 8 3 2" xfId="39809" xr:uid="{00000000-0005-0000-0000-00007D610000}"/>
    <cellStyle name="Normal 2 5 8 4" xfId="9726" xr:uid="{00000000-0005-0000-0000-00007E610000}"/>
    <cellStyle name="Normal 2 5 8 4 2" xfId="32369" xr:uid="{00000000-0005-0000-0000-00007F610000}"/>
    <cellStyle name="Normal 2 5 8 5" xfId="24928" xr:uid="{00000000-0005-0000-0000-000080610000}"/>
    <cellStyle name="Normal 2 5 9" xfId="4153" xr:uid="{00000000-0005-0000-0000-000081610000}"/>
    <cellStyle name="Normal 2 5 9 2" xfId="19037" xr:uid="{00000000-0005-0000-0000-000082610000}"/>
    <cellStyle name="Normal 2 5 9 2 2" xfId="41680" xr:uid="{00000000-0005-0000-0000-000083610000}"/>
    <cellStyle name="Normal 2 5 9 3" xfId="11597" xr:uid="{00000000-0005-0000-0000-000084610000}"/>
    <cellStyle name="Normal 2 5 9 3 2" xfId="34240" xr:uid="{00000000-0005-0000-0000-000085610000}"/>
    <cellStyle name="Normal 2 5 9 4" xfId="26799" xr:uid="{00000000-0005-0000-0000-000086610000}"/>
    <cellStyle name="Normal 2 6" xfId="405" xr:uid="{00000000-0005-0000-0000-000087610000}"/>
    <cellStyle name="Normal 2 6 10" xfId="15320" xr:uid="{00000000-0005-0000-0000-000088610000}"/>
    <cellStyle name="Normal 2 6 10 2" xfId="37963" xr:uid="{00000000-0005-0000-0000-000089610000}"/>
    <cellStyle name="Normal 2 6 11" xfId="7880" xr:uid="{00000000-0005-0000-0000-00008A610000}"/>
    <cellStyle name="Normal 2 6 11 2" xfId="30523" xr:uid="{00000000-0005-0000-0000-00008B610000}"/>
    <cellStyle name="Normal 2 6 12" xfId="23083" xr:uid="{00000000-0005-0000-0000-00008C610000}"/>
    <cellStyle name="Normal 2 6 2" xfId="441" xr:uid="{00000000-0005-0000-0000-00008D610000}"/>
    <cellStyle name="Normal 2 6 2 10" xfId="7900" xr:uid="{00000000-0005-0000-0000-00008E610000}"/>
    <cellStyle name="Normal 2 6 2 10 2" xfId="30543" xr:uid="{00000000-0005-0000-0000-00008F610000}"/>
    <cellStyle name="Normal 2 6 2 11" xfId="23103" xr:uid="{00000000-0005-0000-0000-000090610000}"/>
    <cellStyle name="Normal 2 6 2 2" xfId="494" xr:uid="{00000000-0005-0000-0000-000091610000}"/>
    <cellStyle name="Normal 2 6 2 2 10" xfId="23155" xr:uid="{00000000-0005-0000-0000-000092610000}"/>
    <cellStyle name="Normal 2 6 2 2 2" xfId="600" xr:uid="{00000000-0005-0000-0000-000093610000}"/>
    <cellStyle name="Normal 2 6 2 2 2 2" xfId="812" xr:uid="{00000000-0005-0000-0000-000094610000}"/>
    <cellStyle name="Normal 2 6 2 2 2 2 2" xfId="1277" xr:uid="{00000000-0005-0000-0000-000095610000}"/>
    <cellStyle name="Normal 2 6 2 2 2 2 2 2" xfId="2205" xr:uid="{00000000-0005-0000-0000-000096610000}"/>
    <cellStyle name="Normal 2 6 2 2 2 2 2 2 2" xfId="4055" xr:uid="{00000000-0005-0000-0000-000097610000}"/>
    <cellStyle name="Normal 2 6 2 2 2 2 2 2 2 2" xfId="7776" xr:uid="{00000000-0005-0000-0000-000098610000}"/>
    <cellStyle name="Normal 2 6 2 2 2 2 2 2 2 2 2" xfId="22660" xr:uid="{00000000-0005-0000-0000-000099610000}"/>
    <cellStyle name="Normal 2 6 2 2 2 2 2 2 2 2 2 2" xfId="45303" xr:uid="{00000000-0005-0000-0000-00009A610000}"/>
    <cellStyle name="Normal 2 6 2 2 2 2 2 2 2 2 3" xfId="15220" xr:uid="{00000000-0005-0000-0000-00009B610000}"/>
    <cellStyle name="Normal 2 6 2 2 2 2 2 2 2 2 3 2" xfId="37863" xr:uid="{00000000-0005-0000-0000-00009C610000}"/>
    <cellStyle name="Normal 2 6 2 2 2 2 2 2 2 2 4" xfId="30422" xr:uid="{00000000-0005-0000-0000-00009D610000}"/>
    <cellStyle name="Normal 2 6 2 2 2 2 2 2 2 3" xfId="18942" xr:uid="{00000000-0005-0000-0000-00009E610000}"/>
    <cellStyle name="Normal 2 6 2 2 2 2 2 2 2 3 2" xfId="41585" xr:uid="{00000000-0005-0000-0000-00009F610000}"/>
    <cellStyle name="Normal 2 6 2 2 2 2 2 2 2 4" xfId="11502" xr:uid="{00000000-0005-0000-0000-0000A0610000}"/>
    <cellStyle name="Normal 2 6 2 2 2 2 2 2 2 4 2" xfId="34145" xr:uid="{00000000-0005-0000-0000-0000A1610000}"/>
    <cellStyle name="Normal 2 6 2 2 2 2 2 2 2 5" xfId="26704" xr:uid="{00000000-0005-0000-0000-0000A2610000}"/>
    <cellStyle name="Normal 2 6 2 2 2 2 2 2 3" xfId="5929" xr:uid="{00000000-0005-0000-0000-0000A3610000}"/>
    <cellStyle name="Normal 2 6 2 2 2 2 2 2 3 2" xfId="20813" xr:uid="{00000000-0005-0000-0000-0000A4610000}"/>
    <cellStyle name="Normal 2 6 2 2 2 2 2 2 3 2 2" xfId="43456" xr:uid="{00000000-0005-0000-0000-0000A5610000}"/>
    <cellStyle name="Normal 2 6 2 2 2 2 2 2 3 3" xfId="13373" xr:uid="{00000000-0005-0000-0000-0000A6610000}"/>
    <cellStyle name="Normal 2 6 2 2 2 2 2 2 3 3 2" xfId="36016" xr:uid="{00000000-0005-0000-0000-0000A7610000}"/>
    <cellStyle name="Normal 2 6 2 2 2 2 2 2 3 4" xfId="28575" xr:uid="{00000000-0005-0000-0000-0000A8610000}"/>
    <cellStyle name="Normal 2 6 2 2 2 2 2 2 4" xfId="17095" xr:uid="{00000000-0005-0000-0000-0000A9610000}"/>
    <cellStyle name="Normal 2 6 2 2 2 2 2 2 4 2" xfId="39738" xr:uid="{00000000-0005-0000-0000-0000AA610000}"/>
    <cellStyle name="Normal 2 6 2 2 2 2 2 2 5" xfId="9655" xr:uid="{00000000-0005-0000-0000-0000AB610000}"/>
    <cellStyle name="Normal 2 6 2 2 2 2 2 2 5 2" xfId="32298" xr:uid="{00000000-0005-0000-0000-0000AC610000}"/>
    <cellStyle name="Normal 2 6 2 2 2 2 2 2 6" xfId="24857" xr:uid="{00000000-0005-0000-0000-0000AD610000}"/>
    <cellStyle name="Normal 2 6 2 2 2 2 2 3" xfId="3130" xr:uid="{00000000-0005-0000-0000-0000AE610000}"/>
    <cellStyle name="Normal 2 6 2 2 2 2 2 3 2" xfId="6851" xr:uid="{00000000-0005-0000-0000-0000AF610000}"/>
    <cellStyle name="Normal 2 6 2 2 2 2 2 3 2 2" xfId="21735" xr:uid="{00000000-0005-0000-0000-0000B0610000}"/>
    <cellStyle name="Normal 2 6 2 2 2 2 2 3 2 2 2" xfId="44378" xr:uid="{00000000-0005-0000-0000-0000B1610000}"/>
    <cellStyle name="Normal 2 6 2 2 2 2 2 3 2 3" xfId="14295" xr:uid="{00000000-0005-0000-0000-0000B2610000}"/>
    <cellStyle name="Normal 2 6 2 2 2 2 2 3 2 3 2" xfId="36938" xr:uid="{00000000-0005-0000-0000-0000B3610000}"/>
    <cellStyle name="Normal 2 6 2 2 2 2 2 3 2 4" xfId="29497" xr:uid="{00000000-0005-0000-0000-0000B4610000}"/>
    <cellStyle name="Normal 2 6 2 2 2 2 2 3 3" xfId="18017" xr:uid="{00000000-0005-0000-0000-0000B5610000}"/>
    <cellStyle name="Normal 2 6 2 2 2 2 2 3 3 2" xfId="40660" xr:uid="{00000000-0005-0000-0000-0000B6610000}"/>
    <cellStyle name="Normal 2 6 2 2 2 2 2 3 4" xfId="10577" xr:uid="{00000000-0005-0000-0000-0000B7610000}"/>
    <cellStyle name="Normal 2 6 2 2 2 2 2 3 4 2" xfId="33220" xr:uid="{00000000-0005-0000-0000-0000B8610000}"/>
    <cellStyle name="Normal 2 6 2 2 2 2 2 3 5" xfId="25779" xr:uid="{00000000-0005-0000-0000-0000B9610000}"/>
    <cellStyle name="Normal 2 6 2 2 2 2 2 4" xfId="5004" xr:uid="{00000000-0005-0000-0000-0000BA610000}"/>
    <cellStyle name="Normal 2 6 2 2 2 2 2 4 2" xfId="19888" xr:uid="{00000000-0005-0000-0000-0000BB610000}"/>
    <cellStyle name="Normal 2 6 2 2 2 2 2 4 2 2" xfId="42531" xr:uid="{00000000-0005-0000-0000-0000BC610000}"/>
    <cellStyle name="Normal 2 6 2 2 2 2 2 4 3" xfId="12448" xr:uid="{00000000-0005-0000-0000-0000BD610000}"/>
    <cellStyle name="Normal 2 6 2 2 2 2 2 4 3 2" xfId="35091" xr:uid="{00000000-0005-0000-0000-0000BE610000}"/>
    <cellStyle name="Normal 2 6 2 2 2 2 2 4 4" xfId="27650" xr:uid="{00000000-0005-0000-0000-0000BF610000}"/>
    <cellStyle name="Normal 2 6 2 2 2 2 2 5" xfId="16170" xr:uid="{00000000-0005-0000-0000-0000C0610000}"/>
    <cellStyle name="Normal 2 6 2 2 2 2 2 5 2" xfId="38813" xr:uid="{00000000-0005-0000-0000-0000C1610000}"/>
    <cellStyle name="Normal 2 6 2 2 2 2 2 6" xfId="8730" xr:uid="{00000000-0005-0000-0000-0000C2610000}"/>
    <cellStyle name="Normal 2 6 2 2 2 2 2 6 2" xfId="31373" xr:uid="{00000000-0005-0000-0000-0000C3610000}"/>
    <cellStyle name="Normal 2 6 2 2 2 2 2 7" xfId="23932" xr:uid="{00000000-0005-0000-0000-0000C4610000}"/>
    <cellStyle name="Normal 2 6 2 2 2 2 3" xfId="1743" xr:uid="{00000000-0005-0000-0000-0000C5610000}"/>
    <cellStyle name="Normal 2 6 2 2 2 2 3 2" xfId="3593" xr:uid="{00000000-0005-0000-0000-0000C6610000}"/>
    <cellStyle name="Normal 2 6 2 2 2 2 3 2 2" xfId="7314" xr:uid="{00000000-0005-0000-0000-0000C7610000}"/>
    <cellStyle name="Normal 2 6 2 2 2 2 3 2 2 2" xfId="22198" xr:uid="{00000000-0005-0000-0000-0000C8610000}"/>
    <cellStyle name="Normal 2 6 2 2 2 2 3 2 2 2 2" xfId="44841" xr:uid="{00000000-0005-0000-0000-0000C9610000}"/>
    <cellStyle name="Normal 2 6 2 2 2 2 3 2 2 3" xfId="14758" xr:uid="{00000000-0005-0000-0000-0000CA610000}"/>
    <cellStyle name="Normal 2 6 2 2 2 2 3 2 2 3 2" xfId="37401" xr:uid="{00000000-0005-0000-0000-0000CB610000}"/>
    <cellStyle name="Normal 2 6 2 2 2 2 3 2 2 4" xfId="29960" xr:uid="{00000000-0005-0000-0000-0000CC610000}"/>
    <cellStyle name="Normal 2 6 2 2 2 2 3 2 3" xfId="18480" xr:uid="{00000000-0005-0000-0000-0000CD610000}"/>
    <cellStyle name="Normal 2 6 2 2 2 2 3 2 3 2" xfId="41123" xr:uid="{00000000-0005-0000-0000-0000CE610000}"/>
    <cellStyle name="Normal 2 6 2 2 2 2 3 2 4" xfId="11040" xr:uid="{00000000-0005-0000-0000-0000CF610000}"/>
    <cellStyle name="Normal 2 6 2 2 2 2 3 2 4 2" xfId="33683" xr:uid="{00000000-0005-0000-0000-0000D0610000}"/>
    <cellStyle name="Normal 2 6 2 2 2 2 3 2 5" xfId="26242" xr:uid="{00000000-0005-0000-0000-0000D1610000}"/>
    <cellStyle name="Normal 2 6 2 2 2 2 3 3" xfId="5467" xr:uid="{00000000-0005-0000-0000-0000D2610000}"/>
    <cellStyle name="Normal 2 6 2 2 2 2 3 3 2" xfId="20351" xr:uid="{00000000-0005-0000-0000-0000D3610000}"/>
    <cellStyle name="Normal 2 6 2 2 2 2 3 3 2 2" xfId="42994" xr:uid="{00000000-0005-0000-0000-0000D4610000}"/>
    <cellStyle name="Normal 2 6 2 2 2 2 3 3 3" xfId="12911" xr:uid="{00000000-0005-0000-0000-0000D5610000}"/>
    <cellStyle name="Normal 2 6 2 2 2 2 3 3 3 2" xfId="35554" xr:uid="{00000000-0005-0000-0000-0000D6610000}"/>
    <cellStyle name="Normal 2 6 2 2 2 2 3 3 4" xfId="28113" xr:uid="{00000000-0005-0000-0000-0000D7610000}"/>
    <cellStyle name="Normal 2 6 2 2 2 2 3 4" xfId="16633" xr:uid="{00000000-0005-0000-0000-0000D8610000}"/>
    <cellStyle name="Normal 2 6 2 2 2 2 3 4 2" xfId="39276" xr:uid="{00000000-0005-0000-0000-0000D9610000}"/>
    <cellStyle name="Normal 2 6 2 2 2 2 3 5" xfId="9193" xr:uid="{00000000-0005-0000-0000-0000DA610000}"/>
    <cellStyle name="Normal 2 6 2 2 2 2 3 5 2" xfId="31836" xr:uid="{00000000-0005-0000-0000-0000DB610000}"/>
    <cellStyle name="Normal 2 6 2 2 2 2 3 6" xfId="24395" xr:uid="{00000000-0005-0000-0000-0000DC610000}"/>
    <cellStyle name="Normal 2 6 2 2 2 2 4" xfId="2668" xr:uid="{00000000-0005-0000-0000-0000DD610000}"/>
    <cellStyle name="Normal 2 6 2 2 2 2 4 2" xfId="6389" xr:uid="{00000000-0005-0000-0000-0000DE610000}"/>
    <cellStyle name="Normal 2 6 2 2 2 2 4 2 2" xfId="21273" xr:uid="{00000000-0005-0000-0000-0000DF610000}"/>
    <cellStyle name="Normal 2 6 2 2 2 2 4 2 2 2" xfId="43916" xr:uid="{00000000-0005-0000-0000-0000E0610000}"/>
    <cellStyle name="Normal 2 6 2 2 2 2 4 2 3" xfId="13833" xr:uid="{00000000-0005-0000-0000-0000E1610000}"/>
    <cellStyle name="Normal 2 6 2 2 2 2 4 2 3 2" xfId="36476" xr:uid="{00000000-0005-0000-0000-0000E2610000}"/>
    <cellStyle name="Normal 2 6 2 2 2 2 4 2 4" xfId="29035" xr:uid="{00000000-0005-0000-0000-0000E3610000}"/>
    <cellStyle name="Normal 2 6 2 2 2 2 4 3" xfId="17555" xr:uid="{00000000-0005-0000-0000-0000E4610000}"/>
    <cellStyle name="Normal 2 6 2 2 2 2 4 3 2" xfId="40198" xr:uid="{00000000-0005-0000-0000-0000E5610000}"/>
    <cellStyle name="Normal 2 6 2 2 2 2 4 4" xfId="10115" xr:uid="{00000000-0005-0000-0000-0000E6610000}"/>
    <cellStyle name="Normal 2 6 2 2 2 2 4 4 2" xfId="32758" xr:uid="{00000000-0005-0000-0000-0000E7610000}"/>
    <cellStyle name="Normal 2 6 2 2 2 2 4 5" xfId="25317" xr:uid="{00000000-0005-0000-0000-0000E8610000}"/>
    <cellStyle name="Normal 2 6 2 2 2 2 5" xfId="4542" xr:uid="{00000000-0005-0000-0000-0000E9610000}"/>
    <cellStyle name="Normal 2 6 2 2 2 2 5 2" xfId="19426" xr:uid="{00000000-0005-0000-0000-0000EA610000}"/>
    <cellStyle name="Normal 2 6 2 2 2 2 5 2 2" xfId="42069" xr:uid="{00000000-0005-0000-0000-0000EB610000}"/>
    <cellStyle name="Normal 2 6 2 2 2 2 5 3" xfId="11986" xr:uid="{00000000-0005-0000-0000-0000EC610000}"/>
    <cellStyle name="Normal 2 6 2 2 2 2 5 3 2" xfId="34629" xr:uid="{00000000-0005-0000-0000-0000ED610000}"/>
    <cellStyle name="Normal 2 6 2 2 2 2 5 4" xfId="27188" xr:uid="{00000000-0005-0000-0000-0000EE610000}"/>
    <cellStyle name="Normal 2 6 2 2 2 2 6" xfId="15708" xr:uid="{00000000-0005-0000-0000-0000EF610000}"/>
    <cellStyle name="Normal 2 6 2 2 2 2 6 2" xfId="38351" xr:uid="{00000000-0005-0000-0000-0000F0610000}"/>
    <cellStyle name="Normal 2 6 2 2 2 2 7" xfId="8268" xr:uid="{00000000-0005-0000-0000-0000F1610000}"/>
    <cellStyle name="Normal 2 6 2 2 2 2 7 2" xfId="30911" xr:uid="{00000000-0005-0000-0000-0000F2610000}"/>
    <cellStyle name="Normal 2 6 2 2 2 2 8" xfId="23470" xr:uid="{00000000-0005-0000-0000-0000F3610000}"/>
    <cellStyle name="Normal 2 6 2 2 2 3" xfId="1066" xr:uid="{00000000-0005-0000-0000-0000F4610000}"/>
    <cellStyle name="Normal 2 6 2 2 2 3 2" xfId="1994" xr:uid="{00000000-0005-0000-0000-0000F5610000}"/>
    <cellStyle name="Normal 2 6 2 2 2 3 2 2" xfId="3844" xr:uid="{00000000-0005-0000-0000-0000F6610000}"/>
    <cellStyle name="Normal 2 6 2 2 2 3 2 2 2" xfId="7565" xr:uid="{00000000-0005-0000-0000-0000F7610000}"/>
    <cellStyle name="Normal 2 6 2 2 2 3 2 2 2 2" xfId="22449" xr:uid="{00000000-0005-0000-0000-0000F8610000}"/>
    <cellStyle name="Normal 2 6 2 2 2 3 2 2 2 2 2" xfId="45092" xr:uid="{00000000-0005-0000-0000-0000F9610000}"/>
    <cellStyle name="Normal 2 6 2 2 2 3 2 2 2 3" xfId="15009" xr:uid="{00000000-0005-0000-0000-0000FA610000}"/>
    <cellStyle name="Normal 2 6 2 2 2 3 2 2 2 3 2" xfId="37652" xr:uid="{00000000-0005-0000-0000-0000FB610000}"/>
    <cellStyle name="Normal 2 6 2 2 2 3 2 2 2 4" xfId="30211" xr:uid="{00000000-0005-0000-0000-0000FC610000}"/>
    <cellStyle name="Normal 2 6 2 2 2 3 2 2 3" xfId="18731" xr:uid="{00000000-0005-0000-0000-0000FD610000}"/>
    <cellStyle name="Normal 2 6 2 2 2 3 2 2 3 2" xfId="41374" xr:uid="{00000000-0005-0000-0000-0000FE610000}"/>
    <cellStyle name="Normal 2 6 2 2 2 3 2 2 4" xfId="11291" xr:uid="{00000000-0005-0000-0000-0000FF610000}"/>
    <cellStyle name="Normal 2 6 2 2 2 3 2 2 4 2" xfId="33934" xr:uid="{00000000-0005-0000-0000-000000620000}"/>
    <cellStyle name="Normal 2 6 2 2 2 3 2 2 5" xfId="26493" xr:uid="{00000000-0005-0000-0000-000001620000}"/>
    <cellStyle name="Normal 2 6 2 2 2 3 2 3" xfId="5718" xr:uid="{00000000-0005-0000-0000-000002620000}"/>
    <cellStyle name="Normal 2 6 2 2 2 3 2 3 2" xfId="20602" xr:uid="{00000000-0005-0000-0000-000003620000}"/>
    <cellStyle name="Normal 2 6 2 2 2 3 2 3 2 2" xfId="43245" xr:uid="{00000000-0005-0000-0000-000004620000}"/>
    <cellStyle name="Normal 2 6 2 2 2 3 2 3 3" xfId="13162" xr:uid="{00000000-0005-0000-0000-000005620000}"/>
    <cellStyle name="Normal 2 6 2 2 2 3 2 3 3 2" xfId="35805" xr:uid="{00000000-0005-0000-0000-000006620000}"/>
    <cellStyle name="Normal 2 6 2 2 2 3 2 3 4" xfId="28364" xr:uid="{00000000-0005-0000-0000-000007620000}"/>
    <cellStyle name="Normal 2 6 2 2 2 3 2 4" xfId="16884" xr:uid="{00000000-0005-0000-0000-000008620000}"/>
    <cellStyle name="Normal 2 6 2 2 2 3 2 4 2" xfId="39527" xr:uid="{00000000-0005-0000-0000-000009620000}"/>
    <cellStyle name="Normal 2 6 2 2 2 3 2 5" xfId="9444" xr:uid="{00000000-0005-0000-0000-00000A620000}"/>
    <cellStyle name="Normal 2 6 2 2 2 3 2 5 2" xfId="32087" xr:uid="{00000000-0005-0000-0000-00000B620000}"/>
    <cellStyle name="Normal 2 6 2 2 2 3 2 6" xfId="24646" xr:uid="{00000000-0005-0000-0000-00000C620000}"/>
    <cellStyle name="Normal 2 6 2 2 2 3 3" xfId="2919" xr:uid="{00000000-0005-0000-0000-00000D620000}"/>
    <cellStyle name="Normal 2 6 2 2 2 3 3 2" xfId="6640" xr:uid="{00000000-0005-0000-0000-00000E620000}"/>
    <cellStyle name="Normal 2 6 2 2 2 3 3 2 2" xfId="21524" xr:uid="{00000000-0005-0000-0000-00000F620000}"/>
    <cellStyle name="Normal 2 6 2 2 2 3 3 2 2 2" xfId="44167" xr:uid="{00000000-0005-0000-0000-000010620000}"/>
    <cellStyle name="Normal 2 6 2 2 2 3 3 2 3" xfId="14084" xr:uid="{00000000-0005-0000-0000-000011620000}"/>
    <cellStyle name="Normal 2 6 2 2 2 3 3 2 3 2" xfId="36727" xr:uid="{00000000-0005-0000-0000-000012620000}"/>
    <cellStyle name="Normal 2 6 2 2 2 3 3 2 4" xfId="29286" xr:uid="{00000000-0005-0000-0000-000013620000}"/>
    <cellStyle name="Normal 2 6 2 2 2 3 3 3" xfId="17806" xr:uid="{00000000-0005-0000-0000-000014620000}"/>
    <cellStyle name="Normal 2 6 2 2 2 3 3 3 2" xfId="40449" xr:uid="{00000000-0005-0000-0000-000015620000}"/>
    <cellStyle name="Normal 2 6 2 2 2 3 3 4" xfId="10366" xr:uid="{00000000-0005-0000-0000-000016620000}"/>
    <cellStyle name="Normal 2 6 2 2 2 3 3 4 2" xfId="33009" xr:uid="{00000000-0005-0000-0000-000017620000}"/>
    <cellStyle name="Normal 2 6 2 2 2 3 3 5" xfId="25568" xr:uid="{00000000-0005-0000-0000-000018620000}"/>
    <cellStyle name="Normal 2 6 2 2 2 3 4" xfId="4793" xr:uid="{00000000-0005-0000-0000-000019620000}"/>
    <cellStyle name="Normal 2 6 2 2 2 3 4 2" xfId="19677" xr:uid="{00000000-0005-0000-0000-00001A620000}"/>
    <cellStyle name="Normal 2 6 2 2 2 3 4 2 2" xfId="42320" xr:uid="{00000000-0005-0000-0000-00001B620000}"/>
    <cellStyle name="Normal 2 6 2 2 2 3 4 3" xfId="12237" xr:uid="{00000000-0005-0000-0000-00001C620000}"/>
    <cellStyle name="Normal 2 6 2 2 2 3 4 3 2" xfId="34880" xr:uid="{00000000-0005-0000-0000-00001D620000}"/>
    <cellStyle name="Normal 2 6 2 2 2 3 4 4" xfId="27439" xr:uid="{00000000-0005-0000-0000-00001E620000}"/>
    <cellStyle name="Normal 2 6 2 2 2 3 5" xfId="15959" xr:uid="{00000000-0005-0000-0000-00001F620000}"/>
    <cellStyle name="Normal 2 6 2 2 2 3 5 2" xfId="38602" xr:uid="{00000000-0005-0000-0000-000020620000}"/>
    <cellStyle name="Normal 2 6 2 2 2 3 6" xfId="8519" xr:uid="{00000000-0005-0000-0000-000021620000}"/>
    <cellStyle name="Normal 2 6 2 2 2 3 6 2" xfId="31162" xr:uid="{00000000-0005-0000-0000-000022620000}"/>
    <cellStyle name="Normal 2 6 2 2 2 3 7" xfId="23721" xr:uid="{00000000-0005-0000-0000-000023620000}"/>
    <cellStyle name="Normal 2 6 2 2 2 4" xfId="1532" xr:uid="{00000000-0005-0000-0000-000024620000}"/>
    <cellStyle name="Normal 2 6 2 2 2 4 2" xfId="3382" xr:uid="{00000000-0005-0000-0000-000025620000}"/>
    <cellStyle name="Normal 2 6 2 2 2 4 2 2" xfId="7103" xr:uid="{00000000-0005-0000-0000-000026620000}"/>
    <cellStyle name="Normal 2 6 2 2 2 4 2 2 2" xfId="21987" xr:uid="{00000000-0005-0000-0000-000027620000}"/>
    <cellStyle name="Normal 2 6 2 2 2 4 2 2 2 2" xfId="44630" xr:uid="{00000000-0005-0000-0000-000028620000}"/>
    <cellStyle name="Normal 2 6 2 2 2 4 2 2 3" xfId="14547" xr:uid="{00000000-0005-0000-0000-000029620000}"/>
    <cellStyle name="Normal 2 6 2 2 2 4 2 2 3 2" xfId="37190" xr:uid="{00000000-0005-0000-0000-00002A620000}"/>
    <cellStyle name="Normal 2 6 2 2 2 4 2 2 4" xfId="29749" xr:uid="{00000000-0005-0000-0000-00002B620000}"/>
    <cellStyle name="Normal 2 6 2 2 2 4 2 3" xfId="18269" xr:uid="{00000000-0005-0000-0000-00002C620000}"/>
    <cellStyle name="Normal 2 6 2 2 2 4 2 3 2" xfId="40912" xr:uid="{00000000-0005-0000-0000-00002D620000}"/>
    <cellStyle name="Normal 2 6 2 2 2 4 2 4" xfId="10829" xr:uid="{00000000-0005-0000-0000-00002E620000}"/>
    <cellStyle name="Normal 2 6 2 2 2 4 2 4 2" xfId="33472" xr:uid="{00000000-0005-0000-0000-00002F620000}"/>
    <cellStyle name="Normal 2 6 2 2 2 4 2 5" xfId="26031" xr:uid="{00000000-0005-0000-0000-000030620000}"/>
    <cellStyle name="Normal 2 6 2 2 2 4 3" xfId="5256" xr:uid="{00000000-0005-0000-0000-000031620000}"/>
    <cellStyle name="Normal 2 6 2 2 2 4 3 2" xfId="20140" xr:uid="{00000000-0005-0000-0000-000032620000}"/>
    <cellStyle name="Normal 2 6 2 2 2 4 3 2 2" xfId="42783" xr:uid="{00000000-0005-0000-0000-000033620000}"/>
    <cellStyle name="Normal 2 6 2 2 2 4 3 3" xfId="12700" xr:uid="{00000000-0005-0000-0000-000034620000}"/>
    <cellStyle name="Normal 2 6 2 2 2 4 3 3 2" xfId="35343" xr:uid="{00000000-0005-0000-0000-000035620000}"/>
    <cellStyle name="Normal 2 6 2 2 2 4 3 4" xfId="27902" xr:uid="{00000000-0005-0000-0000-000036620000}"/>
    <cellStyle name="Normal 2 6 2 2 2 4 4" xfId="16422" xr:uid="{00000000-0005-0000-0000-000037620000}"/>
    <cellStyle name="Normal 2 6 2 2 2 4 4 2" xfId="39065" xr:uid="{00000000-0005-0000-0000-000038620000}"/>
    <cellStyle name="Normal 2 6 2 2 2 4 5" xfId="8982" xr:uid="{00000000-0005-0000-0000-000039620000}"/>
    <cellStyle name="Normal 2 6 2 2 2 4 5 2" xfId="31625" xr:uid="{00000000-0005-0000-0000-00003A620000}"/>
    <cellStyle name="Normal 2 6 2 2 2 4 6" xfId="24184" xr:uid="{00000000-0005-0000-0000-00003B620000}"/>
    <cellStyle name="Normal 2 6 2 2 2 5" xfId="2457" xr:uid="{00000000-0005-0000-0000-00003C620000}"/>
    <cellStyle name="Normal 2 6 2 2 2 5 2" xfId="6178" xr:uid="{00000000-0005-0000-0000-00003D620000}"/>
    <cellStyle name="Normal 2 6 2 2 2 5 2 2" xfId="21062" xr:uid="{00000000-0005-0000-0000-00003E620000}"/>
    <cellStyle name="Normal 2 6 2 2 2 5 2 2 2" xfId="43705" xr:uid="{00000000-0005-0000-0000-00003F620000}"/>
    <cellStyle name="Normal 2 6 2 2 2 5 2 3" xfId="13622" xr:uid="{00000000-0005-0000-0000-000040620000}"/>
    <cellStyle name="Normal 2 6 2 2 2 5 2 3 2" xfId="36265" xr:uid="{00000000-0005-0000-0000-000041620000}"/>
    <cellStyle name="Normal 2 6 2 2 2 5 2 4" xfId="28824" xr:uid="{00000000-0005-0000-0000-000042620000}"/>
    <cellStyle name="Normal 2 6 2 2 2 5 3" xfId="17344" xr:uid="{00000000-0005-0000-0000-000043620000}"/>
    <cellStyle name="Normal 2 6 2 2 2 5 3 2" xfId="39987" xr:uid="{00000000-0005-0000-0000-000044620000}"/>
    <cellStyle name="Normal 2 6 2 2 2 5 4" xfId="9904" xr:uid="{00000000-0005-0000-0000-000045620000}"/>
    <cellStyle name="Normal 2 6 2 2 2 5 4 2" xfId="32547" xr:uid="{00000000-0005-0000-0000-000046620000}"/>
    <cellStyle name="Normal 2 6 2 2 2 5 5" xfId="25106" xr:uid="{00000000-0005-0000-0000-000047620000}"/>
    <cellStyle name="Normal 2 6 2 2 2 6" xfId="4331" xr:uid="{00000000-0005-0000-0000-000048620000}"/>
    <cellStyle name="Normal 2 6 2 2 2 6 2" xfId="19215" xr:uid="{00000000-0005-0000-0000-000049620000}"/>
    <cellStyle name="Normal 2 6 2 2 2 6 2 2" xfId="41858" xr:uid="{00000000-0005-0000-0000-00004A620000}"/>
    <cellStyle name="Normal 2 6 2 2 2 6 3" xfId="11775" xr:uid="{00000000-0005-0000-0000-00004B620000}"/>
    <cellStyle name="Normal 2 6 2 2 2 6 3 2" xfId="34418" xr:uid="{00000000-0005-0000-0000-00004C620000}"/>
    <cellStyle name="Normal 2 6 2 2 2 6 4" xfId="26977" xr:uid="{00000000-0005-0000-0000-00004D620000}"/>
    <cellStyle name="Normal 2 6 2 2 2 7" xfId="15497" xr:uid="{00000000-0005-0000-0000-00004E620000}"/>
    <cellStyle name="Normal 2 6 2 2 2 7 2" xfId="38140" xr:uid="{00000000-0005-0000-0000-00004F620000}"/>
    <cellStyle name="Normal 2 6 2 2 2 8" xfId="8057" xr:uid="{00000000-0005-0000-0000-000050620000}"/>
    <cellStyle name="Normal 2 6 2 2 2 8 2" xfId="30700" xr:uid="{00000000-0005-0000-0000-000051620000}"/>
    <cellStyle name="Normal 2 6 2 2 2 9" xfId="23260" xr:uid="{00000000-0005-0000-0000-000052620000}"/>
    <cellStyle name="Normal 2 6 2 2 3" xfId="707" xr:uid="{00000000-0005-0000-0000-000053620000}"/>
    <cellStyle name="Normal 2 6 2 2 3 2" xfId="1172" xr:uid="{00000000-0005-0000-0000-000054620000}"/>
    <cellStyle name="Normal 2 6 2 2 3 2 2" xfId="2100" xr:uid="{00000000-0005-0000-0000-000055620000}"/>
    <cellStyle name="Normal 2 6 2 2 3 2 2 2" xfId="3950" xr:uid="{00000000-0005-0000-0000-000056620000}"/>
    <cellStyle name="Normal 2 6 2 2 3 2 2 2 2" xfId="7671" xr:uid="{00000000-0005-0000-0000-000057620000}"/>
    <cellStyle name="Normal 2 6 2 2 3 2 2 2 2 2" xfId="22555" xr:uid="{00000000-0005-0000-0000-000058620000}"/>
    <cellStyle name="Normal 2 6 2 2 3 2 2 2 2 2 2" xfId="45198" xr:uid="{00000000-0005-0000-0000-000059620000}"/>
    <cellStyle name="Normal 2 6 2 2 3 2 2 2 2 3" xfId="15115" xr:uid="{00000000-0005-0000-0000-00005A620000}"/>
    <cellStyle name="Normal 2 6 2 2 3 2 2 2 2 3 2" xfId="37758" xr:uid="{00000000-0005-0000-0000-00005B620000}"/>
    <cellStyle name="Normal 2 6 2 2 3 2 2 2 2 4" xfId="30317" xr:uid="{00000000-0005-0000-0000-00005C620000}"/>
    <cellStyle name="Normal 2 6 2 2 3 2 2 2 3" xfId="18837" xr:uid="{00000000-0005-0000-0000-00005D620000}"/>
    <cellStyle name="Normal 2 6 2 2 3 2 2 2 3 2" xfId="41480" xr:uid="{00000000-0005-0000-0000-00005E620000}"/>
    <cellStyle name="Normal 2 6 2 2 3 2 2 2 4" xfId="11397" xr:uid="{00000000-0005-0000-0000-00005F620000}"/>
    <cellStyle name="Normal 2 6 2 2 3 2 2 2 4 2" xfId="34040" xr:uid="{00000000-0005-0000-0000-000060620000}"/>
    <cellStyle name="Normal 2 6 2 2 3 2 2 2 5" xfId="26599" xr:uid="{00000000-0005-0000-0000-000061620000}"/>
    <cellStyle name="Normal 2 6 2 2 3 2 2 3" xfId="5824" xr:uid="{00000000-0005-0000-0000-000062620000}"/>
    <cellStyle name="Normal 2 6 2 2 3 2 2 3 2" xfId="20708" xr:uid="{00000000-0005-0000-0000-000063620000}"/>
    <cellStyle name="Normal 2 6 2 2 3 2 2 3 2 2" xfId="43351" xr:uid="{00000000-0005-0000-0000-000064620000}"/>
    <cellStyle name="Normal 2 6 2 2 3 2 2 3 3" xfId="13268" xr:uid="{00000000-0005-0000-0000-000065620000}"/>
    <cellStyle name="Normal 2 6 2 2 3 2 2 3 3 2" xfId="35911" xr:uid="{00000000-0005-0000-0000-000066620000}"/>
    <cellStyle name="Normal 2 6 2 2 3 2 2 3 4" xfId="28470" xr:uid="{00000000-0005-0000-0000-000067620000}"/>
    <cellStyle name="Normal 2 6 2 2 3 2 2 4" xfId="16990" xr:uid="{00000000-0005-0000-0000-000068620000}"/>
    <cellStyle name="Normal 2 6 2 2 3 2 2 4 2" xfId="39633" xr:uid="{00000000-0005-0000-0000-000069620000}"/>
    <cellStyle name="Normal 2 6 2 2 3 2 2 5" xfId="9550" xr:uid="{00000000-0005-0000-0000-00006A620000}"/>
    <cellStyle name="Normal 2 6 2 2 3 2 2 5 2" xfId="32193" xr:uid="{00000000-0005-0000-0000-00006B620000}"/>
    <cellStyle name="Normal 2 6 2 2 3 2 2 6" xfId="24752" xr:uid="{00000000-0005-0000-0000-00006C620000}"/>
    <cellStyle name="Normal 2 6 2 2 3 2 3" xfId="3025" xr:uid="{00000000-0005-0000-0000-00006D620000}"/>
    <cellStyle name="Normal 2 6 2 2 3 2 3 2" xfId="6746" xr:uid="{00000000-0005-0000-0000-00006E620000}"/>
    <cellStyle name="Normal 2 6 2 2 3 2 3 2 2" xfId="21630" xr:uid="{00000000-0005-0000-0000-00006F620000}"/>
    <cellStyle name="Normal 2 6 2 2 3 2 3 2 2 2" xfId="44273" xr:uid="{00000000-0005-0000-0000-000070620000}"/>
    <cellStyle name="Normal 2 6 2 2 3 2 3 2 3" xfId="14190" xr:uid="{00000000-0005-0000-0000-000071620000}"/>
    <cellStyle name="Normal 2 6 2 2 3 2 3 2 3 2" xfId="36833" xr:uid="{00000000-0005-0000-0000-000072620000}"/>
    <cellStyle name="Normal 2 6 2 2 3 2 3 2 4" xfId="29392" xr:uid="{00000000-0005-0000-0000-000073620000}"/>
    <cellStyle name="Normal 2 6 2 2 3 2 3 3" xfId="17912" xr:uid="{00000000-0005-0000-0000-000074620000}"/>
    <cellStyle name="Normal 2 6 2 2 3 2 3 3 2" xfId="40555" xr:uid="{00000000-0005-0000-0000-000075620000}"/>
    <cellStyle name="Normal 2 6 2 2 3 2 3 4" xfId="10472" xr:uid="{00000000-0005-0000-0000-000076620000}"/>
    <cellStyle name="Normal 2 6 2 2 3 2 3 4 2" xfId="33115" xr:uid="{00000000-0005-0000-0000-000077620000}"/>
    <cellStyle name="Normal 2 6 2 2 3 2 3 5" xfId="25674" xr:uid="{00000000-0005-0000-0000-000078620000}"/>
    <cellStyle name="Normal 2 6 2 2 3 2 4" xfId="4899" xr:uid="{00000000-0005-0000-0000-000079620000}"/>
    <cellStyle name="Normal 2 6 2 2 3 2 4 2" xfId="19783" xr:uid="{00000000-0005-0000-0000-00007A620000}"/>
    <cellStyle name="Normal 2 6 2 2 3 2 4 2 2" xfId="42426" xr:uid="{00000000-0005-0000-0000-00007B620000}"/>
    <cellStyle name="Normal 2 6 2 2 3 2 4 3" xfId="12343" xr:uid="{00000000-0005-0000-0000-00007C620000}"/>
    <cellStyle name="Normal 2 6 2 2 3 2 4 3 2" xfId="34986" xr:uid="{00000000-0005-0000-0000-00007D620000}"/>
    <cellStyle name="Normal 2 6 2 2 3 2 4 4" xfId="27545" xr:uid="{00000000-0005-0000-0000-00007E620000}"/>
    <cellStyle name="Normal 2 6 2 2 3 2 5" xfId="16065" xr:uid="{00000000-0005-0000-0000-00007F620000}"/>
    <cellStyle name="Normal 2 6 2 2 3 2 5 2" xfId="38708" xr:uid="{00000000-0005-0000-0000-000080620000}"/>
    <cellStyle name="Normal 2 6 2 2 3 2 6" xfId="8625" xr:uid="{00000000-0005-0000-0000-000081620000}"/>
    <cellStyle name="Normal 2 6 2 2 3 2 6 2" xfId="31268" xr:uid="{00000000-0005-0000-0000-000082620000}"/>
    <cellStyle name="Normal 2 6 2 2 3 2 7" xfId="23827" xr:uid="{00000000-0005-0000-0000-000083620000}"/>
    <cellStyle name="Normal 2 6 2 2 3 3" xfId="1638" xr:uid="{00000000-0005-0000-0000-000084620000}"/>
    <cellStyle name="Normal 2 6 2 2 3 3 2" xfId="3488" xr:uid="{00000000-0005-0000-0000-000085620000}"/>
    <cellStyle name="Normal 2 6 2 2 3 3 2 2" xfId="7209" xr:uid="{00000000-0005-0000-0000-000086620000}"/>
    <cellStyle name="Normal 2 6 2 2 3 3 2 2 2" xfId="22093" xr:uid="{00000000-0005-0000-0000-000087620000}"/>
    <cellStyle name="Normal 2 6 2 2 3 3 2 2 2 2" xfId="44736" xr:uid="{00000000-0005-0000-0000-000088620000}"/>
    <cellStyle name="Normal 2 6 2 2 3 3 2 2 3" xfId="14653" xr:uid="{00000000-0005-0000-0000-000089620000}"/>
    <cellStyle name="Normal 2 6 2 2 3 3 2 2 3 2" xfId="37296" xr:uid="{00000000-0005-0000-0000-00008A620000}"/>
    <cellStyle name="Normal 2 6 2 2 3 3 2 2 4" xfId="29855" xr:uid="{00000000-0005-0000-0000-00008B620000}"/>
    <cellStyle name="Normal 2 6 2 2 3 3 2 3" xfId="18375" xr:uid="{00000000-0005-0000-0000-00008C620000}"/>
    <cellStyle name="Normal 2 6 2 2 3 3 2 3 2" xfId="41018" xr:uid="{00000000-0005-0000-0000-00008D620000}"/>
    <cellStyle name="Normal 2 6 2 2 3 3 2 4" xfId="10935" xr:uid="{00000000-0005-0000-0000-00008E620000}"/>
    <cellStyle name="Normal 2 6 2 2 3 3 2 4 2" xfId="33578" xr:uid="{00000000-0005-0000-0000-00008F620000}"/>
    <cellStyle name="Normal 2 6 2 2 3 3 2 5" xfId="26137" xr:uid="{00000000-0005-0000-0000-000090620000}"/>
    <cellStyle name="Normal 2 6 2 2 3 3 3" xfId="5362" xr:uid="{00000000-0005-0000-0000-000091620000}"/>
    <cellStyle name="Normal 2 6 2 2 3 3 3 2" xfId="20246" xr:uid="{00000000-0005-0000-0000-000092620000}"/>
    <cellStyle name="Normal 2 6 2 2 3 3 3 2 2" xfId="42889" xr:uid="{00000000-0005-0000-0000-000093620000}"/>
    <cellStyle name="Normal 2 6 2 2 3 3 3 3" xfId="12806" xr:uid="{00000000-0005-0000-0000-000094620000}"/>
    <cellStyle name="Normal 2 6 2 2 3 3 3 3 2" xfId="35449" xr:uid="{00000000-0005-0000-0000-000095620000}"/>
    <cellStyle name="Normal 2 6 2 2 3 3 3 4" xfId="28008" xr:uid="{00000000-0005-0000-0000-000096620000}"/>
    <cellStyle name="Normal 2 6 2 2 3 3 4" xfId="16528" xr:uid="{00000000-0005-0000-0000-000097620000}"/>
    <cellStyle name="Normal 2 6 2 2 3 3 4 2" xfId="39171" xr:uid="{00000000-0005-0000-0000-000098620000}"/>
    <cellStyle name="Normal 2 6 2 2 3 3 5" xfId="9088" xr:uid="{00000000-0005-0000-0000-000099620000}"/>
    <cellStyle name="Normal 2 6 2 2 3 3 5 2" xfId="31731" xr:uid="{00000000-0005-0000-0000-00009A620000}"/>
    <cellStyle name="Normal 2 6 2 2 3 3 6" xfId="24290" xr:uid="{00000000-0005-0000-0000-00009B620000}"/>
    <cellStyle name="Normal 2 6 2 2 3 4" xfId="2563" xr:uid="{00000000-0005-0000-0000-00009C620000}"/>
    <cellStyle name="Normal 2 6 2 2 3 4 2" xfId="6284" xr:uid="{00000000-0005-0000-0000-00009D620000}"/>
    <cellStyle name="Normal 2 6 2 2 3 4 2 2" xfId="21168" xr:uid="{00000000-0005-0000-0000-00009E620000}"/>
    <cellStyle name="Normal 2 6 2 2 3 4 2 2 2" xfId="43811" xr:uid="{00000000-0005-0000-0000-00009F620000}"/>
    <cellStyle name="Normal 2 6 2 2 3 4 2 3" xfId="13728" xr:uid="{00000000-0005-0000-0000-0000A0620000}"/>
    <cellStyle name="Normal 2 6 2 2 3 4 2 3 2" xfId="36371" xr:uid="{00000000-0005-0000-0000-0000A1620000}"/>
    <cellStyle name="Normal 2 6 2 2 3 4 2 4" xfId="28930" xr:uid="{00000000-0005-0000-0000-0000A2620000}"/>
    <cellStyle name="Normal 2 6 2 2 3 4 3" xfId="17450" xr:uid="{00000000-0005-0000-0000-0000A3620000}"/>
    <cellStyle name="Normal 2 6 2 2 3 4 3 2" xfId="40093" xr:uid="{00000000-0005-0000-0000-0000A4620000}"/>
    <cellStyle name="Normal 2 6 2 2 3 4 4" xfId="10010" xr:uid="{00000000-0005-0000-0000-0000A5620000}"/>
    <cellStyle name="Normal 2 6 2 2 3 4 4 2" xfId="32653" xr:uid="{00000000-0005-0000-0000-0000A6620000}"/>
    <cellStyle name="Normal 2 6 2 2 3 4 5" xfId="25212" xr:uid="{00000000-0005-0000-0000-0000A7620000}"/>
    <cellStyle name="Normal 2 6 2 2 3 5" xfId="4437" xr:uid="{00000000-0005-0000-0000-0000A8620000}"/>
    <cellStyle name="Normal 2 6 2 2 3 5 2" xfId="19321" xr:uid="{00000000-0005-0000-0000-0000A9620000}"/>
    <cellStyle name="Normal 2 6 2 2 3 5 2 2" xfId="41964" xr:uid="{00000000-0005-0000-0000-0000AA620000}"/>
    <cellStyle name="Normal 2 6 2 2 3 5 3" xfId="11881" xr:uid="{00000000-0005-0000-0000-0000AB620000}"/>
    <cellStyle name="Normal 2 6 2 2 3 5 3 2" xfId="34524" xr:uid="{00000000-0005-0000-0000-0000AC620000}"/>
    <cellStyle name="Normal 2 6 2 2 3 5 4" xfId="27083" xr:uid="{00000000-0005-0000-0000-0000AD620000}"/>
    <cellStyle name="Normal 2 6 2 2 3 6" xfId="15603" xr:uid="{00000000-0005-0000-0000-0000AE620000}"/>
    <cellStyle name="Normal 2 6 2 2 3 6 2" xfId="38246" xr:uid="{00000000-0005-0000-0000-0000AF620000}"/>
    <cellStyle name="Normal 2 6 2 2 3 7" xfId="8163" xr:uid="{00000000-0005-0000-0000-0000B0620000}"/>
    <cellStyle name="Normal 2 6 2 2 3 7 2" xfId="30806" xr:uid="{00000000-0005-0000-0000-0000B1620000}"/>
    <cellStyle name="Normal 2 6 2 2 3 8" xfId="23365" xr:uid="{00000000-0005-0000-0000-0000B2620000}"/>
    <cellStyle name="Normal 2 6 2 2 4" xfId="961" xr:uid="{00000000-0005-0000-0000-0000B3620000}"/>
    <cellStyle name="Normal 2 6 2 2 4 2" xfId="1889" xr:uid="{00000000-0005-0000-0000-0000B4620000}"/>
    <cellStyle name="Normal 2 6 2 2 4 2 2" xfId="3739" xr:uid="{00000000-0005-0000-0000-0000B5620000}"/>
    <cellStyle name="Normal 2 6 2 2 4 2 2 2" xfId="7460" xr:uid="{00000000-0005-0000-0000-0000B6620000}"/>
    <cellStyle name="Normal 2 6 2 2 4 2 2 2 2" xfId="22344" xr:uid="{00000000-0005-0000-0000-0000B7620000}"/>
    <cellStyle name="Normal 2 6 2 2 4 2 2 2 2 2" xfId="44987" xr:uid="{00000000-0005-0000-0000-0000B8620000}"/>
    <cellStyle name="Normal 2 6 2 2 4 2 2 2 3" xfId="14904" xr:uid="{00000000-0005-0000-0000-0000B9620000}"/>
    <cellStyle name="Normal 2 6 2 2 4 2 2 2 3 2" xfId="37547" xr:uid="{00000000-0005-0000-0000-0000BA620000}"/>
    <cellStyle name="Normal 2 6 2 2 4 2 2 2 4" xfId="30106" xr:uid="{00000000-0005-0000-0000-0000BB620000}"/>
    <cellStyle name="Normal 2 6 2 2 4 2 2 3" xfId="18626" xr:uid="{00000000-0005-0000-0000-0000BC620000}"/>
    <cellStyle name="Normal 2 6 2 2 4 2 2 3 2" xfId="41269" xr:uid="{00000000-0005-0000-0000-0000BD620000}"/>
    <cellStyle name="Normal 2 6 2 2 4 2 2 4" xfId="11186" xr:uid="{00000000-0005-0000-0000-0000BE620000}"/>
    <cellStyle name="Normal 2 6 2 2 4 2 2 4 2" xfId="33829" xr:uid="{00000000-0005-0000-0000-0000BF620000}"/>
    <cellStyle name="Normal 2 6 2 2 4 2 2 5" xfId="26388" xr:uid="{00000000-0005-0000-0000-0000C0620000}"/>
    <cellStyle name="Normal 2 6 2 2 4 2 3" xfId="5613" xr:uid="{00000000-0005-0000-0000-0000C1620000}"/>
    <cellStyle name="Normal 2 6 2 2 4 2 3 2" xfId="20497" xr:uid="{00000000-0005-0000-0000-0000C2620000}"/>
    <cellStyle name="Normal 2 6 2 2 4 2 3 2 2" xfId="43140" xr:uid="{00000000-0005-0000-0000-0000C3620000}"/>
    <cellStyle name="Normal 2 6 2 2 4 2 3 3" xfId="13057" xr:uid="{00000000-0005-0000-0000-0000C4620000}"/>
    <cellStyle name="Normal 2 6 2 2 4 2 3 3 2" xfId="35700" xr:uid="{00000000-0005-0000-0000-0000C5620000}"/>
    <cellStyle name="Normal 2 6 2 2 4 2 3 4" xfId="28259" xr:uid="{00000000-0005-0000-0000-0000C6620000}"/>
    <cellStyle name="Normal 2 6 2 2 4 2 4" xfId="16779" xr:uid="{00000000-0005-0000-0000-0000C7620000}"/>
    <cellStyle name="Normal 2 6 2 2 4 2 4 2" xfId="39422" xr:uid="{00000000-0005-0000-0000-0000C8620000}"/>
    <cellStyle name="Normal 2 6 2 2 4 2 5" xfId="9339" xr:uid="{00000000-0005-0000-0000-0000C9620000}"/>
    <cellStyle name="Normal 2 6 2 2 4 2 5 2" xfId="31982" xr:uid="{00000000-0005-0000-0000-0000CA620000}"/>
    <cellStyle name="Normal 2 6 2 2 4 2 6" xfId="24541" xr:uid="{00000000-0005-0000-0000-0000CB620000}"/>
    <cellStyle name="Normal 2 6 2 2 4 3" xfId="2814" xr:uid="{00000000-0005-0000-0000-0000CC620000}"/>
    <cellStyle name="Normal 2 6 2 2 4 3 2" xfId="6535" xr:uid="{00000000-0005-0000-0000-0000CD620000}"/>
    <cellStyle name="Normal 2 6 2 2 4 3 2 2" xfId="21419" xr:uid="{00000000-0005-0000-0000-0000CE620000}"/>
    <cellStyle name="Normal 2 6 2 2 4 3 2 2 2" xfId="44062" xr:uid="{00000000-0005-0000-0000-0000CF620000}"/>
    <cellStyle name="Normal 2 6 2 2 4 3 2 3" xfId="13979" xr:uid="{00000000-0005-0000-0000-0000D0620000}"/>
    <cellStyle name="Normal 2 6 2 2 4 3 2 3 2" xfId="36622" xr:uid="{00000000-0005-0000-0000-0000D1620000}"/>
    <cellStyle name="Normal 2 6 2 2 4 3 2 4" xfId="29181" xr:uid="{00000000-0005-0000-0000-0000D2620000}"/>
    <cellStyle name="Normal 2 6 2 2 4 3 3" xfId="17701" xr:uid="{00000000-0005-0000-0000-0000D3620000}"/>
    <cellStyle name="Normal 2 6 2 2 4 3 3 2" xfId="40344" xr:uid="{00000000-0005-0000-0000-0000D4620000}"/>
    <cellStyle name="Normal 2 6 2 2 4 3 4" xfId="10261" xr:uid="{00000000-0005-0000-0000-0000D5620000}"/>
    <cellStyle name="Normal 2 6 2 2 4 3 4 2" xfId="32904" xr:uid="{00000000-0005-0000-0000-0000D6620000}"/>
    <cellStyle name="Normal 2 6 2 2 4 3 5" xfId="25463" xr:uid="{00000000-0005-0000-0000-0000D7620000}"/>
    <cellStyle name="Normal 2 6 2 2 4 4" xfId="4688" xr:uid="{00000000-0005-0000-0000-0000D8620000}"/>
    <cellStyle name="Normal 2 6 2 2 4 4 2" xfId="19572" xr:uid="{00000000-0005-0000-0000-0000D9620000}"/>
    <cellStyle name="Normal 2 6 2 2 4 4 2 2" xfId="42215" xr:uid="{00000000-0005-0000-0000-0000DA620000}"/>
    <cellStyle name="Normal 2 6 2 2 4 4 3" xfId="12132" xr:uid="{00000000-0005-0000-0000-0000DB620000}"/>
    <cellStyle name="Normal 2 6 2 2 4 4 3 2" xfId="34775" xr:uid="{00000000-0005-0000-0000-0000DC620000}"/>
    <cellStyle name="Normal 2 6 2 2 4 4 4" xfId="27334" xr:uid="{00000000-0005-0000-0000-0000DD620000}"/>
    <cellStyle name="Normal 2 6 2 2 4 5" xfId="15854" xr:uid="{00000000-0005-0000-0000-0000DE620000}"/>
    <cellStyle name="Normal 2 6 2 2 4 5 2" xfId="38497" xr:uid="{00000000-0005-0000-0000-0000DF620000}"/>
    <cellStyle name="Normal 2 6 2 2 4 6" xfId="8414" xr:uid="{00000000-0005-0000-0000-0000E0620000}"/>
    <cellStyle name="Normal 2 6 2 2 4 6 2" xfId="31057" xr:uid="{00000000-0005-0000-0000-0000E1620000}"/>
    <cellStyle name="Normal 2 6 2 2 4 7" xfId="23616" xr:uid="{00000000-0005-0000-0000-0000E2620000}"/>
    <cellStyle name="Normal 2 6 2 2 5" xfId="1427" xr:uid="{00000000-0005-0000-0000-0000E3620000}"/>
    <cellStyle name="Normal 2 6 2 2 5 2" xfId="3277" xr:uid="{00000000-0005-0000-0000-0000E4620000}"/>
    <cellStyle name="Normal 2 6 2 2 5 2 2" xfId="6998" xr:uid="{00000000-0005-0000-0000-0000E5620000}"/>
    <cellStyle name="Normal 2 6 2 2 5 2 2 2" xfId="21882" xr:uid="{00000000-0005-0000-0000-0000E6620000}"/>
    <cellStyle name="Normal 2 6 2 2 5 2 2 2 2" xfId="44525" xr:uid="{00000000-0005-0000-0000-0000E7620000}"/>
    <cellStyle name="Normal 2 6 2 2 5 2 2 3" xfId="14442" xr:uid="{00000000-0005-0000-0000-0000E8620000}"/>
    <cellStyle name="Normal 2 6 2 2 5 2 2 3 2" xfId="37085" xr:uid="{00000000-0005-0000-0000-0000E9620000}"/>
    <cellStyle name="Normal 2 6 2 2 5 2 2 4" xfId="29644" xr:uid="{00000000-0005-0000-0000-0000EA620000}"/>
    <cellStyle name="Normal 2 6 2 2 5 2 3" xfId="18164" xr:uid="{00000000-0005-0000-0000-0000EB620000}"/>
    <cellStyle name="Normal 2 6 2 2 5 2 3 2" xfId="40807" xr:uid="{00000000-0005-0000-0000-0000EC620000}"/>
    <cellStyle name="Normal 2 6 2 2 5 2 4" xfId="10724" xr:uid="{00000000-0005-0000-0000-0000ED620000}"/>
    <cellStyle name="Normal 2 6 2 2 5 2 4 2" xfId="33367" xr:uid="{00000000-0005-0000-0000-0000EE620000}"/>
    <cellStyle name="Normal 2 6 2 2 5 2 5" xfId="25926" xr:uid="{00000000-0005-0000-0000-0000EF620000}"/>
    <cellStyle name="Normal 2 6 2 2 5 3" xfId="5151" xr:uid="{00000000-0005-0000-0000-0000F0620000}"/>
    <cellStyle name="Normal 2 6 2 2 5 3 2" xfId="20035" xr:uid="{00000000-0005-0000-0000-0000F1620000}"/>
    <cellStyle name="Normal 2 6 2 2 5 3 2 2" xfId="42678" xr:uid="{00000000-0005-0000-0000-0000F2620000}"/>
    <cellStyle name="Normal 2 6 2 2 5 3 3" xfId="12595" xr:uid="{00000000-0005-0000-0000-0000F3620000}"/>
    <cellStyle name="Normal 2 6 2 2 5 3 3 2" xfId="35238" xr:uid="{00000000-0005-0000-0000-0000F4620000}"/>
    <cellStyle name="Normal 2 6 2 2 5 3 4" xfId="27797" xr:uid="{00000000-0005-0000-0000-0000F5620000}"/>
    <cellStyle name="Normal 2 6 2 2 5 4" xfId="16317" xr:uid="{00000000-0005-0000-0000-0000F6620000}"/>
    <cellStyle name="Normal 2 6 2 2 5 4 2" xfId="38960" xr:uid="{00000000-0005-0000-0000-0000F7620000}"/>
    <cellStyle name="Normal 2 6 2 2 5 5" xfId="8877" xr:uid="{00000000-0005-0000-0000-0000F8620000}"/>
    <cellStyle name="Normal 2 6 2 2 5 5 2" xfId="31520" xr:uid="{00000000-0005-0000-0000-0000F9620000}"/>
    <cellStyle name="Normal 2 6 2 2 5 6" xfId="24079" xr:uid="{00000000-0005-0000-0000-0000FA620000}"/>
    <cellStyle name="Normal 2 6 2 2 6" xfId="2352" xr:uid="{00000000-0005-0000-0000-0000FB620000}"/>
    <cellStyle name="Normal 2 6 2 2 6 2" xfId="6073" xr:uid="{00000000-0005-0000-0000-0000FC620000}"/>
    <cellStyle name="Normal 2 6 2 2 6 2 2" xfId="20957" xr:uid="{00000000-0005-0000-0000-0000FD620000}"/>
    <cellStyle name="Normal 2 6 2 2 6 2 2 2" xfId="43600" xr:uid="{00000000-0005-0000-0000-0000FE620000}"/>
    <cellStyle name="Normal 2 6 2 2 6 2 3" xfId="13517" xr:uid="{00000000-0005-0000-0000-0000FF620000}"/>
    <cellStyle name="Normal 2 6 2 2 6 2 3 2" xfId="36160" xr:uid="{00000000-0005-0000-0000-000000630000}"/>
    <cellStyle name="Normal 2 6 2 2 6 2 4" xfId="28719" xr:uid="{00000000-0005-0000-0000-000001630000}"/>
    <cellStyle name="Normal 2 6 2 2 6 3" xfId="17239" xr:uid="{00000000-0005-0000-0000-000002630000}"/>
    <cellStyle name="Normal 2 6 2 2 6 3 2" xfId="39882" xr:uid="{00000000-0005-0000-0000-000003630000}"/>
    <cellStyle name="Normal 2 6 2 2 6 4" xfId="9799" xr:uid="{00000000-0005-0000-0000-000004630000}"/>
    <cellStyle name="Normal 2 6 2 2 6 4 2" xfId="32442" xr:uid="{00000000-0005-0000-0000-000005630000}"/>
    <cellStyle name="Normal 2 6 2 2 6 5" xfId="25001" xr:uid="{00000000-0005-0000-0000-000006630000}"/>
    <cellStyle name="Normal 2 6 2 2 7" xfId="4226" xr:uid="{00000000-0005-0000-0000-000007630000}"/>
    <cellStyle name="Normal 2 6 2 2 7 2" xfId="19110" xr:uid="{00000000-0005-0000-0000-000008630000}"/>
    <cellStyle name="Normal 2 6 2 2 7 2 2" xfId="41753" xr:uid="{00000000-0005-0000-0000-000009630000}"/>
    <cellStyle name="Normal 2 6 2 2 7 3" xfId="11670" xr:uid="{00000000-0005-0000-0000-00000A630000}"/>
    <cellStyle name="Normal 2 6 2 2 7 3 2" xfId="34313" xr:uid="{00000000-0005-0000-0000-00000B630000}"/>
    <cellStyle name="Normal 2 6 2 2 7 4" xfId="26872" xr:uid="{00000000-0005-0000-0000-00000C630000}"/>
    <cellStyle name="Normal 2 6 2 2 8" xfId="15392" xr:uid="{00000000-0005-0000-0000-00000D630000}"/>
    <cellStyle name="Normal 2 6 2 2 8 2" xfId="38035" xr:uid="{00000000-0005-0000-0000-00000E630000}"/>
    <cellStyle name="Normal 2 6 2 2 9" xfId="7952" xr:uid="{00000000-0005-0000-0000-00000F630000}"/>
    <cellStyle name="Normal 2 6 2 2 9 2" xfId="30595" xr:uid="{00000000-0005-0000-0000-000010630000}"/>
    <cellStyle name="Normal 2 6 2 3" xfId="548" xr:uid="{00000000-0005-0000-0000-000011630000}"/>
    <cellStyle name="Normal 2 6 2 3 2" xfId="760" xr:uid="{00000000-0005-0000-0000-000012630000}"/>
    <cellStyle name="Normal 2 6 2 3 2 2" xfId="1225" xr:uid="{00000000-0005-0000-0000-000013630000}"/>
    <cellStyle name="Normal 2 6 2 3 2 2 2" xfId="2153" xr:uid="{00000000-0005-0000-0000-000014630000}"/>
    <cellStyle name="Normal 2 6 2 3 2 2 2 2" xfId="4003" xr:uid="{00000000-0005-0000-0000-000015630000}"/>
    <cellStyle name="Normal 2 6 2 3 2 2 2 2 2" xfId="7724" xr:uid="{00000000-0005-0000-0000-000016630000}"/>
    <cellStyle name="Normal 2 6 2 3 2 2 2 2 2 2" xfId="22608" xr:uid="{00000000-0005-0000-0000-000017630000}"/>
    <cellStyle name="Normal 2 6 2 3 2 2 2 2 2 2 2" xfId="45251" xr:uid="{00000000-0005-0000-0000-000018630000}"/>
    <cellStyle name="Normal 2 6 2 3 2 2 2 2 2 3" xfId="15168" xr:uid="{00000000-0005-0000-0000-000019630000}"/>
    <cellStyle name="Normal 2 6 2 3 2 2 2 2 2 3 2" xfId="37811" xr:uid="{00000000-0005-0000-0000-00001A630000}"/>
    <cellStyle name="Normal 2 6 2 3 2 2 2 2 2 4" xfId="30370" xr:uid="{00000000-0005-0000-0000-00001B630000}"/>
    <cellStyle name="Normal 2 6 2 3 2 2 2 2 3" xfId="18890" xr:uid="{00000000-0005-0000-0000-00001C630000}"/>
    <cellStyle name="Normal 2 6 2 3 2 2 2 2 3 2" xfId="41533" xr:uid="{00000000-0005-0000-0000-00001D630000}"/>
    <cellStyle name="Normal 2 6 2 3 2 2 2 2 4" xfId="11450" xr:uid="{00000000-0005-0000-0000-00001E630000}"/>
    <cellStyle name="Normal 2 6 2 3 2 2 2 2 4 2" xfId="34093" xr:uid="{00000000-0005-0000-0000-00001F630000}"/>
    <cellStyle name="Normal 2 6 2 3 2 2 2 2 5" xfId="26652" xr:uid="{00000000-0005-0000-0000-000020630000}"/>
    <cellStyle name="Normal 2 6 2 3 2 2 2 3" xfId="5877" xr:uid="{00000000-0005-0000-0000-000021630000}"/>
    <cellStyle name="Normal 2 6 2 3 2 2 2 3 2" xfId="20761" xr:uid="{00000000-0005-0000-0000-000022630000}"/>
    <cellStyle name="Normal 2 6 2 3 2 2 2 3 2 2" xfId="43404" xr:uid="{00000000-0005-0000-0000-000023630000}"/>
    <cellStyle name="Normal 2 6 2 3 2 2 2 3 3" xfId="13321" xr:uid="{00000000-0005-0000-0000-000024630000}"/>
    <cellStyle name="Normal 2 6 2 3 2 2 2 3 3 2" xfId="35964" xr:uid="{00000000-0005-0000-0000-000025630000}"/>
    <cellStyle name="Normal 2 6 2 3 2 2 2 3 4" xfId="28523" xr:uid="{00000000-0005-0000-0000-000026630000}"/>
    <cellStyle name="Normal 2 6 2 3 2 2 2 4" xfId="17043" xr:uid="{00000000-0005-0000-0000-000027630000}"/>
    <cellStyle name="Normal 2 6 2 3 2 2 2 4 2" xfId="39686" xr:uid="{00000000-0005-0000-0000-000028630000}"/>
    <cellStyle name="Normal 2 6 2 3 2 2 2 5" xfId="9603" xr:uid="{00000000-0005-0000-0000-000029630000}"/>
    <cellStyle name="Normal 2 6 2 3 2 2 2 5 2" xfId="32246" xr:uid="{00000000-0005-0000-0000-00002A630000}"/>
    <cellStyle name="Normal 2 6 2 3 2 2 2 6" xfId="24805" xr:uid="{00000000-0005-0000-0000-00002B630000}"/>
    <cellStyle name="Normal 2 6 2 3 2 2 3" xfId="3078" xr:uid="{00000000-0005-0000-0000-00002C630000}"/>
    <cellStyle name="Normal 2 6 2 3 2 2 3 2" xfId="6799" xr:uid="{00000000-0005-0000-0000-00002D630000}"/>
    <cellStyle name="Normal 2 6 2 3 2 2 3 2 2" xfId="21683" xr:uid="{00000000-0005-0000-0000-00002E630000}"/>
    <cellStyle name="Normal 2 6 2 3 2 2 3 2 2 2" xfId="44326" xr:uid="{00000000-0005-0000-0000-00002F630000}"/>
    <cellStyle name="Normal 2 6 2 3 2 2 3 2 3" xfId="14243" xr:uid="{00000000-0005-0000-0000-000030630000}"/>
    <cellStyle name="Normal 2 6 2 3 2 2 3 2 3 2" xfId="36886" xr:uid="{00000000-0005-0000-0000-000031630000}"/>
    <cellStyle name="Normal 2 6 2 3 2 2 3 2 4" xfId="29445" xr:uid="{00000000-0005-0000-0000-000032630000}"/>
    <cellStyle name="Normal 2 6 2 3 2 2 3 3" xfId="17965" xr:uid="{00000000-0005-0000-0000-000033630000}"/>
    <cellStyle name="Normal 2 6 2 3 2 2 3 3 2" xfId="40608" xr:uid="{00000000-0005-0000-0000-000034630000}"/>
    <cellStyle name="Normal 2 6 2 3 2 2 3 4" xfId="10525" xr:uid="{00000000-0005-0000-0000-000035630000}"/>
    <cellStyle name="Normal 2 6 2 3 2 2 3 4 2" xfId="33168" xr:uid="{00000000-0005-0000-0000-000036630000}"/>
    <cellStyle name="Normal 2 6 2 3 2 2 3 5" xfId="25727" xr:uid="{00000000-0005-0000-0000-000037630000}"/>
    <cellStyle name="Normal 2 6 2 3 2 2 4" xfId="4952" xr:uid="{00000000-0005-0000-0000-000038630000}"/>
    <cellStyle name="Normal 2 6 2 3 2 2 4 2" xfId="19836" xr:uid="{00000000-0005-0000-0000-000039630000}"/>
    <cellStyle name="Normal 2 6 2 3 2 2 4 2 2" xfId="42479" xr:uid="{00000000-0005-0000-0000-00003A630000}"/>
    <cellStyle name="Normal 2 6 2 3 2 2 4 3" xfId="12396" xr:uid="{00000000-0005-0000-0000-00003B630000}"/>
    <cellStyle name="Normal 2 6 2 3 2 2 4 3 2" xfId="35039" xr:uid="{00000000-0005-0000-0000-00003C630000}"/>
    <cellStyle name="Normal 2 6 2 3 2 2 4 4" xfId="27598" xr:uid="{00000000-0005-0000-0000-00003D630000}"/>
    <cellStyle name="Normal 2 6 2 3 2 2 5" xfId="16118" xr:uid="{00000000-0005-0000-0000-00003E630000}"/>
    <cellStyle name="Normal 2 6 2 3 2 2 5 2" xfId="38761" xr:uid="{00000000-0005-0000-0000-00003F630000}"/>
    <cellStyle name="Normal 2 6 2 3 2 2 6" xfId="8678" xr:uid="{00000000-0005-0000-0000-000040630000}"/>
    <cellStyle name="Normal 2 6 2 3 2 2 6 2" xfId="31321" xr:uid="{00000000-0005-0000-0000-000041630000}"/>
    <cellStyle name="Normal 2 6 2 3 2 2 7" xfId="23880" xr:uid="{00000000-0005-0000-0000-000042630000}"/>
    <cellStyle name="Normal 2 6 2 3 2 3" xfId="1691" xr:uid="{00000000-0005-0000-0000-000043630000}"/>
    <cellStyle name="Normal 2 6 2 3 2 3 2" xfId="3541" xr:uid="{00000000-0005-0000-0000-000044630000}"/>
    <cellStyle name="Normal 2 6 2 3 2 3 2 2" xfId="7262" xr:uid="{00000000-0005-0000-0000-000045630000}"/>
    <cellStyle name="Normal 2 6 2 3 2 3 2 2 2" xfId="22146" xr:uid="{00000000-0005-0000-0000-000046630000}"/>
    <cellStyle name="Normal 2 6 2 3 2 3 2 2 2 2" xfId="44789" xr:uid="{00000000-0005-0000-0000-000047630000}"/>
    <cellStyle name="Normal 2 6 2 3 2 3 2 2 3" xfId="14706" xr:uid="{00000000-0005-0000-0000-000048630000}"/>
    <cellStyle name="Normal 2 6 2 3 2 3 2 2 3 2" xfId="37349" xr:uid="{00000000-0005-0000-0000-000049630000}"/>
    <cellStyle name="Normal 2 6 2 3 2 3 2 2 4" xfId="29908" xr:uid="{00000000-0005-0000-0000-00004A630000}"/>
    <cellStyle name="Normal 2 6 2 3 2 3 2 3" xfId="18428" xr:uid="{00000000-0005-0000-0000-00004B630000}"/>
    <cellStyle name="Normal 2 6 2 3 2 3 2 3 2" xfId="41071" xr:uid="{00000000-0005-0000-0000-00004C630000}"/>
    <cellStyle name="Normal 2 6 2 3 2 3 2 4" xfId="10988" xr:uid="{00000000-0005-0000-0000-00004D630000}"/>
    <cellStyle name="Normal 2 6 2 3 2 3 2 4 2" xfId="33631" xr:uid="{00000000-0005-0000-0000-00004E630000}"/>
    <cellStyle name="Normal 2 6 2 3 2 3 2 5" xfId="26190" xr:uid="{00000000-0005-0000-0000-00004F630000}"/>
    <cellStyle name="Normal 2 6 2 3 2 3 3" xfId="5415" xr:uid="{00000000-0005-0000-0000-000050630000}"/>
    <cellStyle name="Normal 2 6 2 3 2 3 3 2" xfId="20299" xr:uid="{00000000-0005-0000-0000-000051630000}"/>
    <cellStyle name="Normal 2 6 2 3 2 3 3 2 2" xfId="42942" xr:uid="{00000000-0005-0000-0000-000052630000}"/>
    <cellStyle name="Normal 2 6 2 3 2 3 3 3" xfId="12859" xr:uid="{00000000-0005-0000-0000-000053630000}"/>
    <cellStyle name="Normal 2 6 2 3 2 3 3 3 2" xfId="35502" xr:uid="{00000000-0005-0000-0000-000054630000}"/>
    <cellStyle name="Normal 2 6 2 3 2 3 3 4" xfId="28061" xr:uid="{00000000-0005-0000-0000-000055630000}"/>
    <cellStyle name="Normal 2 6 2 3 2 3 4" xfId="16581" xr:uid="{00000000-0005-0000-0000-000056630000}"/>
    <cellStyle name="Normal 2 6 2 3 2 3 4 2" xfId="39224" xr:uid="{00000000-0005-0000-0000-000057630000}"/>
    <cellStyle name="Normal 2 6 2 3 2 3 5" xfId="9141" xr:uid="{00000000-0005-0000-0000-000058630000}"/>
    <cellStyle name="Normal 2 6 2 3 2 3 5 2" xfId="31784" xr:uid="{00000000-0005-0000-0000-000059630000}"/>
    <cellStyle name="Normal 2 6 2 3 2 3 6" xfId="24343" xr:uid="{00000000-0005-0000-0000-00005A630000}"/>
    <cellStyle name="Normal 2 6 2 3 2 4" xfId="2616" xr:uid="{00000000-0005-0000-0000-00005B630000}"/>
    <cellStyle name="Normal 2 6 2 3 2 4 2" xfId="6337" xr:uid="{00000000-0005-0000-0000-00005C630000}"/>
    <cellStyle name="Normal 2 6 2 3 2 4 2 2" xfId="21221" xr:uid="{00000000-0005-0000-0000-00005D630000}"/>
    <cellStyle name="Normal 2 6 2 3 2 4 2 2 2" xfId="43864" xr:uid="{00000000-0005-0000-0000-00005E630000}"/>
    <cellStyle name="Normal 2 6 2 3 2 4 2 3" xfId="13781" xr:uid="{00000000-0005-0000-0000-00005F630000}"/>
    <cellStyle name="Normal 2 6 2 3 2 4 2 3 2" xfId="36424" xr:uid="{00000000-0005-0000-0000-000060630000}"/>
    <cellStyle name="Normal 2 6 2 3 2 4 2 4" xfId="28983" xr:uid="{00000000-0005-0000-0000-000061630000}"/>
    <cellStyle name="Normal 2 6 2 3 2 4 3" xfId="17503" xr:uid="{00000000-0005-0000-0000-000062630000}"/>
    <cellStyle name="Normal 2 6 2 3 2 4 3 2" xfId="40146" xr:uid="{00000000-0005-0000-0000-000063630000}"/>
    <cellStyle name="Normal 2 6 2 3 2 4 4" xfId="10063" xr:uid="{00000000-0005-0000-0000-000064630000}"/>
    <cellStyle name="Normal 2 6 2 3 2 4 4 2" xfId="32706" xr:uid="{00000000-0005-0000-0000-000065630000}"/>
    <cellStyle name="Normal 2 6 2 3 2 4 5" xfId="25265" xr:uid="{00000000-0005-0000-0000-000066630000}"/>
    <cellStyle name="Normal 2 6 2 3 2 5" xfId="4490" xr:uid="{00000000-0005-0000-0000-000067630000}"/>
    <cellStyle name="Normal 2 6 2 3 2 5 2" xfId="19374" xr:uid="{00000000-0005-0000-0000-000068630000}"/>
    <cellStyle name="Normal 2 6 2 3 2 5 2 2" xfId="42017" xr:uid="{00000000-0005-0000-0000-000069630000}"/>
    <cellStyle name="Normal 2 6 2 3 2 5 3" xfId="11934" xr:uid="{00000000-0005-0000-0000-00006A630000}"/>
    <cellStyle name="Normal 2 6 2 3 2 5 3 2" xfId="34577" xr:uid="{00000000-0005-0000-0000-00006B630000}"/>
    <cellStyle name="Normal 2 6 2 3 2 5 4" xfId="27136" xr:uid="{00000000-0005-0000-0000-00006C630000}"/>
    <cellStyle name="Normal 2 6 2 3 2 6" xfId="15656" xr:uid="{00000000-0005-0000-0000-00006D630000}"/>
    <cellStyle name="Normal 2 6 2 3 2 6 2" xfId="38299" xr:uid="{00000000-0005-0000-0000-00006E630000}"/>
    <cellStyle name="Normal 2 6 2 3 2 7" xfId="8216" xr:uid="{00000000-0005-0000-0000-00006F630000}"/>
    <cellStyle name="Normal 2 6 2 3 2 7 2" xfId="30859" xr:uid="{00000000-0005-0000-0000-000070630000}"/>
    <cellStyle name="Normal 2 6 2 3 2 8" xfId="23418" xr:uid="{00000000-0005-0000-0000-000071630000}"/>
    <cellStyle name="Normal 2 6 2 3 3" xfId="1014" xr:uid="{00000000-0005-0000-0000-000072630000}"/>
    <cellStyle name="Normal 2 6 2 3 3 2" xfId="1942" xr:uid="{00000000-0005-0000-0000-000073630000}"/>
    <cellStyle name="Normal 2 6 2 3 3 2 2" xfId="3792" xr:uid="{00000000-0005-0000-0000-000074630000}"/>
    <cellStyle name="Normal 2 6 2 3 3 2 2 2" xfId="7513" xr:uid="{00000000-0005-0000-0000-000075630000}"/>
    <cellStyle name="Normal 2 6 2 3 3 2 2 2 2" xfId="22397" xr:uid="{00000000-0005-0000-0000-000076630000}"/>
    <cellStyle name="Normal 2 6 2 3 3 2 2 2 2 2" xfId="45040" xr:uid="{00000000-0005-0000-0000-000077630000}"/>
    <cellStyle name="Normal 2 6 2 3 3 2 2 2 3" xfId="14957" xr:uid="{00000000-0005-0000-0000-000078630000}"/>
    <cellStyle name="Normal 2 6 2 3 3 2 2 2 3 2" xfId="37600" xr:uid="{00000000-0005-0000-0000-000079630000}"/>
    <cellStyle name="Normal 2 6 2 3 3 2 2 2 4" xfId="30159" xr:uid="{00000000-0005-0000-0000-00007A630000}"/>
    <cellStyle name="Normal 2 6 2 3 3 2 2 3" xfId="18679" xr:uid="{00000000-0005-0000-0000-00007B630000}"/>
    <cellStyle name="Normal 2 6 2 3 3 2 2 3 2" xfId="41322" xr:uid="{00000000-0005-0000-0000-00007C630000}"/>
    <cellStyle name="Normal 2 6 2 3 3 2 2 4" xfId="11239" xr:uid="{00000000-0005-0000-0000-00007D630000}"/>
    <cellStyle name="Normal 2 6 2 3 3 2 2 4 2" xfId="33882" xr:uid="{00000000-0005-0000-0000-00007E630000}"/>
    <cellStyle name="Normal 2 6 2 3 3 2 2 5" xfId="26441" xr:uid="{00000000-0005-0000-0000-00007F630000}"/>
    <cellStyle name="Normal 2 6 2 3 3 2 3" xfId="5666" xr:uid="{00000000-0005-0000-0000-000080630000}"/>
    <cellStyle name="Normal 2 6 2 3 3 2 3 2" xfId="20550" xr:uid="{00000000-0005-0000-0000-000081630000}"/>
    <cellStyle name="Normal 2 6 2 3 3 2 3 2 2" xfId="43193" xr:uid="{00000000-0005-0000-0000-000082630000}"/>
    <cellStyle name="Normal 2 6 2 3 3 2 3 3" xfId="13110" xr:uid="{00000000-0005-0000-0000-000083630000}"/>
    <cellStyle name="Normal 2 6 2 3 3 2 3 3 2" xfId="35753" xr:uid="{00000000-0005-0000-0000-000084630000}"/>
    <cellStyle name="Normal 2 6 2 3 3 2 3 4" xfId="28312" xr:uid="{00000000-0005-0000-0000-000085630000}"/>
    <cellStyle name="Normal 2 6 2 3 3 2 4" xfId="16832" xr:uid="{00000000-0005-0000-0000-000086630000}"/>
    <cellStyle name="Normal 2 6 2 3 3 2 4 2" xfId="39475" xr:uid="{00000000-0005-0000-0000-000087630000}"/>
    <cellStyle name="Normal 2 6 2 3 3 2 5" xfId="9392" xr:uid="{00000000-0005-0000-0000-000088630000}"/>
    <cellStyle name="Normal 2 6 2 3 3 2 5 2" xfId="32035" xr:uid="{00000000-0005-0000-0000-000089630000}"/>
    <cellStyle name="Normal 2 6 2 3 3 2 6" xfId="24594" xr:uid="{00000000-0005-0000-0000-00008A630000}"/>
    <cellStyle name="Normal 2 6 2 3 3 3" xfId="2867" xr:uid="{00000000-0005-0000-0000-00008B630000}"/>
    <cellStyle name="Normal 2 6 2 3 3 3 2" xfId="6588" xr:uid="{00000000-0005-0000-0000-00008C630000}"/>
    <cellStyle name="Normal 2 6 2 3 3 3 2 2" xfId="21472" xr:uid="{00000000-0005-0000-0000-00008D630000}"/>
    <cellStyle name="Normal 2 6 2 3 3 3 2 2 2" xfId="44115" xr:uid="{00000000-0005-0000-0000-00008E630000}"/>
    <cellStyle name="Normal 2 6 2 3 3 3 2 3" xfId="14032" xr:uid="{00000000-0005-0000-0000-00008F630000}"/>
    <cellStyle name="Normal 2 6 2 3 3 3 2 3 2" xfId="36675" xr:uid="{00000000-0005-0000-0000-000090630000}"/>
    <cellStyle name="Normal 2 6 2 3 3 3 2 4" xfId="29234" xr:uid="{00000000-0005-0000-0000-000091630000}"/>
    <cellStyle name="Normal 2 6 2 3 3 3 3" xfId="17754" xr:uid="{00000000-0005-0000-0000-000092630000}"/>
    <cellStyle name="Normal 2 6 2 3 3 3 3 2" xfId="40397" xr:uid="{00000000-0005-0000-0000-000093630000}"/>
    <cellStyle name="Normal 2 6 2 3 3 3 4" xfId="10314" xr:uid="{00000000-0005-0000-0000-000094630000}"/>
    <cellStyle name="Normal 2 6 2 3 3 3 4 2" xfId="32957" xr:uid="{00000000-0005-0000-0000-000095630000}"/>
    <cellStyle name="Normal 2 6 2 3 3 3 5" xfId="25516" xr:uid="{00000000-0005-0000-0000-000096630000}"/>
    <cellStyle name="Normal 2 6 2 3 3 4" xfId="4741" xr:uid="{00000000-0005-0000-0000-000097630000}"/>
    <cellStyle name="Normal 2 6 2 3 3 4 2" xfId="19625" xr:uid="{00000000-0005-0000-0000-000098630000}"/>
    <cellStyle name="Normal 2 6 2 3 3 4 2 2" xfId="42268" xr:uid="{00000000-0005-0000-0000-000099630000}"/>
    <cellStyle name="Normal 2 6 2 3 3 4 3" xfId="12185" xr:uid="{00000000-0005-0000-0000-00009A630000}"/>
    <cellStyle name="Normal 2 6 2 3 3 4 3 2" xfId="34828" xr:uid="{00000000-0005-0000-0000-00009B630000}"/>
    <cellStyle name="Normal 2 6 2 3 3 4 4" xfId="27387" xr:uid="{00000000-0005-0000-0000-00009C630000}"/>
    <cellStyle name="Normal 2 6 2 3 3 5" xfId="15907" xr:uid="{00000000-0005-0000-0000-00009D630000}"/>
    <cellStyle name="Normal 2 6 2 3 3 5 2" xfId="38550" xr:uid="{00000000-0005-0000-0000-00009E630000}"/>
    <cellStyle name="Normal 2 6 2 3 3 6" xfId="8467" xr:uid="{00000000-0005-0000-0000-00009F630000}"/>
    <cellStyle name="Normal 2 6 2 3 3 6 2" xfId="31110" xr:uid="{00000000-0005-0000-0000-0000A0630000}"/>
    <cellStyle name="Normal 2 6 2 3 3 7" xfId="23669" xr:uid="{00000000-0005-0000-0000-0000A1630000}"/>
    <cellStyle name="Normal 2 6 2 3 4" xfId="1480" xr:uid="{00000000-0005-0000-0000-0000A2630000}"/>
    <cellStyle name="Normal 2 6 2 3 4 2" xfId="3330" xr:uid="{00000000-0005-0000-0000-0000A3630000}"/>
    <cellStyle name="Normal 2 6 2 3 4 2 2" xfId="7051" xr:uid="{00000000-0005-0000-0000-0000A4630000}"/>
    <cellStyle name="Normal 2 6 2 3 4 2 2 2" xfId="21935" xr:uid="{00000000-0005-0000-0000-0000A5630000}"/>
    <cellStyle name="Normal 2 6 2 3 4 2 2 2 2" xfId="44578" xr:uid="{00000000-0005-0000-0000-0000A6630000}"/>
    <cellStyle name="Normal 2 6 2 3 4 2 2 3" xfId="14495" xr:uid="{00000000-0005-0000-0000-0000A7630000}"/>
    <cellStyle name="Normal 2 6 2 3 4 2 2 3 2" xfId="37138" xr:uid="{00000000-0005-0000-0000-0000A8630000}"/>
    <cellStyle name="Normal 2 6 2 3 4 2 2 4" xfId="29697" xr:uid="{00000000-0005-0000-0000-0000A9630000}"/>
    <cellStyle name="Normal 2 6 2 3 4 2 3" xfId="18217" xr:uid="{00000000-0005-0000-0000-0000AA630000}"/>
    <cellStyle name="Normal 2 6 2 3 4 2 3 2" xfId="40860" xr:uid="{00000000-0005-0000-0000-0000AB630000}"/>
    <cellStyle name="Normal 2 6 2 3 4 2 4" xfId="10777" xr:uid="{00000000-0005-0000-0000-0000AC630000}"/>
    <cellStyle name="Normal 2 6 2 3 4 2 4 2" xfId="33420" xr:uid="{00000000-0005-0000-0000-0000AD630000}"/>
    <cellStyle name="Normal 2 6 2 3 4 2 5" xfId="25979" xr:uid="{00000000-0005-0000-0000-0000AE630000}"/>
    <cellStyle name="Normal 2 6 2 3 4 3" xfId="5204" xr:uid="{00000000-0005-0000-0000-0000AF630000}"/>
    <cellStyle name="Normal 2 6 2 3 4 3 2" xfId="20088" xr:uid="{00000000-0005-0000-0000-0000B0630000}"/>
    <cellStyle name="Normal 2 6 2 3 4 3 2 2" xfId="42731" xr:uid="{00000000-0005-0000-0000-0000B1630000}"/>
    <cellStyle name="Normal 2 6 2 3 4 3 3" xfId="12648" xr:uid="{00000000-0005-0000-0000-0000B2630000}"/>
    <cellStyle name="Normal 2 6 2 3 4 3 3 2" xfId="35291" xr:uid="{00000000-0005-0000-0000-0000B3630000}"/>
    <cellStyle name="Normal 2 6 2 3 4 3 4" xfId="27850" xr:uid="{00000000-0005-0000-0000-0000B4630000}"/>
    <cellStyle name="Normal 2 6 2 3 4 4" xfId="16370" xr:uid="{00000000-0005-0000-0000-0000B5630000}"/>
    <cellStyle name="Normal 2 6 2 3 4 4 2" xfId="39013" xr:uid="{00000000-0005-0000-0000-0000B6630000}"/>
    <cellStyle name="Normal 2 6 2 3 4 5" xfId="8930" xr:uid="{00000000-0005-0000-0000-0000B7630000}"/>
    <cellStyle name="Normal 2 6 2 3 4 5 2" xfId="31573" xr:uid="{00000000-0005-0000-0000-0000B8630000}"/>
    <cellStyle name="Normal 2 6 2 3 4 6" xfId="24132" xr:uid="{00000000-0005-0000-0000-0000B9630000}"/>
    <cellStyle name="Normal 2 6 2 3 5" xfId="2405" xr:uid="{00000000-0005-0000-0000-0000BA630000}"/>
    <cellStyle name="Normal 2 6 2 3 5 2" xfId="6126" xr:uid="{00000000-0005-0000-0000-0000BB630000}"/>
    <cellStyle name="Normal 2 6 2 3 5 2 2" xfId="21010" xr:uid="{00000000-0005-0000-0000-0000BC630000}"/>
    <cellStyle name="Normal 2 6 2 3 5 2 2 2" xfId="43653" xr:uid="{00000000-0005-0000-0000-0000BD630000}"/>
    <cellStyle name="Normal 2 6 2 3 5 2 3" xfId="13570" xr:uid="{00000000-0005-0000-0000-0000BE630000}"/>
    <cellStyle name="Normal 2 6 2 3 5 2 3 2" xfId="36213" xr:uid="{00000000-0005-0000-0000-0000BF630000}"/>
    <cellStyle name="Normal 2 6 2 3 5 2 4" xfId="28772" xr:uid="{00000000-0005-0000-0000-0000C0630000}"/>
    <cellStyle name="Normal 2 6 2 3 5 3" xfId="17292" xr:uid="{00000000-0005-0000-0000-0000C1630000}"/>
    <cellStyle name="Normal 2 6 2 3 5 3 2" xfId="39935" xr:uid="{00000000-0005-0000-0000-0000C2630000}"/>
    <cellStyle name="Normal 2 6 2 3 5 4" xfId="9852" xr:uid="{00000000-0005-0000-0000-0000C3630000}"/>
    <cellStyle name="Normal 2 6 2 3 5 4 2" xfId="32495" xr:uid="{00000000-0005-0000-0000-0000C4630000}"/>
    <cellStyle name="Normal 2 6 2 3 5 5" xfId="25054" xr:uid="{00000000-0005-0000-0000-0000C5630000}"/>
    <cellStyle name="Normal 2 6 2 3 6" xfId="4279" xr:uid="{00000000-0005-0000-0000-0000C6630000}"/>
    <cellStyle name="Normal 2 6 2 3 6 2" xfId="19163" xr:uid="{00000000-0005-0000-0000-0000C7630000}"/>
    <cellStyle name="Normal 2 6 2 3 6 2 2" xfId="41806" xr:uid="{00000000-0005-0000-0000-0000C8630000}"/>
    <cellStyle name="Normal 2 6 2 3 6 3" xfId="11723" xr:uid="{00000000-0005-0000-0000-0000C9630000}"/>
    <cellStyle name="Normal 2 6 2 3 6 3 2" xfId="34366" xr:uid="{00000000-0005-0000-0000-0000CA630000}"/>
    <cellStyle name="Normal 2 6 2 3 6 4" xfId="26925" xr:uid="{00000000-0005-0000-0000-0000CB630000}"/>
    <cellStyle name="Normal 2 6 2 3 7" xfId="15445" xr:uid="{00000000-0005-0000-0000-0000CC630000}"/>
    <cellStyle name="Normal 2 6 2 3 7 2" xfId="38088" xr:uid="{00000000-0005-0000-0000-0000CD630000}"/>
    <cellStyle name="Normal 2 6 2 3 8" xfId="8005" xr:uid="{00000000-0005-0000-0000-0000CE630000}"/>
    <cellStyle name="Normal 2 6 2 3 8 2" xfId="30648" xr:uid="{00000000-0005-0000-0000-0000CF630000}"/>
    <cellStyle name="Normal 2 6 2 3 9" xfId="23208" xr:uid="{00000000-0005-0000-0000-0000D0630000}"/>
    <cellStyle name="Normal 2 6 2 4" xfId="655" xr:uid="{00000000-0005-0000-0000-0000D1630000}"/>
    <cellStyle name="Normal 2 6 2 4 2" xfId="1120" xr:uid="{00000000-0005-0000-0000-0000D2630000}"/>
    <cellStyle name="Normal 2 6 2 4 2 2" xfId="2048" xr:uid="{00000000-0005-0000-0000-0000D3630000}"/>
    <cellStyle name="Normal 2 6 2 4 2 2 2" xfId="3898" xr:uid="{00000000-0005-0000-0000-0000D4630000}"/>
    <cellStyle name="Normal 2 6 2 4 2 2 2 2" xfId="7619" xr:uid="{00000000-0005-0000-0000-0000D5630000}"/>
    <cellStyle name="Normal 2 6 2 4 2 2 2 2 2" xfId="22503" xr:uid="{00000000-0005-0000-0000-0000D6630000}"/>
    <cellStyle name="Normal 2 6 2 4 2 2 2 2 2 2" xfId="45146" xr:uid="{00000000-0005-0000-0000-0000D7630000}"/>
    <cellStyle name="Normal 2 6 2 4 2 2 2 2 3" xfId="15063" xr:uid="{00000000-0005-0000-0000-0000D8630000}"/>
    <cellStyle name="Normal 2 6 2 4 2 2 2 2 3 2" xfId="37706" xr:uid="{00000000-0005-0000-0000-0000D9630000}"/>
    <cellStyle name="Normal 2 6 2 4 2 2 2 2 4" xfId="30265" xr:uid="{00000000-0005-0000-0000-0000DA630000}"/>
    <cellStyle name="Normal 2 6 2 4 2 2 2 3" xfId="18785" xr:uid="{00000000-0005-0000-0000-0000DB630000}"/>
    <cellStyle name="Normal 2 6 2 4 2 2 2 3 2" xfId="41428" xr:uid="{00000000-0005-0000-0000-0000DC630000}"/>
    <cellStyle name="Normal 2 6 2 4 2 2 2 4" xfId="11345" xr:uid="{00000000-0005-0000-0000-0000DD630000}"/>
    <cellStyle name="Normal 2 6 2 4 2 2 2 4 2" xfId="33988" xr:uid="{00000000-0005-0000-0000-0000DE630000}"/>
    <cellStyle name="Normal 2 6 2 4 2 2 2 5" xfId="26547" xr:uid="{00000000-0005-0000-0000-0000DF630000}"/>
    <cellStyle name="Normal 2 6 2 4 2 2 3" xfId="5772" xr:uid="{00000000-0005-0000-0000-0000E0630000}"/>
    <cellStyle name="Normal 2 6 2 4 2 2 3 2" xfId="20656" xr:uid="{00000000-0005-0000-0000-0000E1630000}"/>
    <cellStyle name="Normal 2 6 2 4 2 2 3 2 2" xfId="43299" xr:uid="{00000000-0005-0000-0000-0000E2630000}"/>
    <cellStyle name="Normal 2 6 2 4 2 2 3 3" xfId="13216" xr:uid="{00000000-0005-0000-0000-0000E3630000}"/>
    <cellStyle name="Normal 2 6 2 4 2 2 3 3 2" xfId="35859" xr:uid="{00000000-0005-0000-0000-0000E4630000}"/>
    <cellStyle name="Normal 2 6 2 4 2 2 3 4" xfId="28418" xr:uid="{00000000-0005-0000-0000-0000E5630000}"/>
    <cellStyle name="Normal 2 6 2 4 2 2 4" xfId="16938" xr:uid="{00000000-0005-0000-0000-0000E6630000}"/>
    <cellStyle name="Normal 2 6 2 4 2 2 4 2" xfId="39581" xr:uid="{00000000-0005-0000-0000-0000E7630000}"/>
    <cellStyle name="Normal 2 6 2 4 2 2 5" xfId="9498" xr:uid="{00000000-0005-0000-0000-0000E8630000}"/>
    <cellStyle name="Normal 2 6 2 4 2 2 5 2" xfId="32141" xr:uid="{00000000-0005-0000-0000-0000E9630000}"/>
    <cellStyle name="Normal 2 6 2 4 2 2 6" xfId="24700" xr:uid="{00000000-0005-0000-0000-0000EA630000}"/>
    <cellStyle name="Normal 2 6 2 4 2 3" xfId="2973" xr:uid="{00000000-0005-0000-0000-0000EB630000}"/>
    <cellStyle name="Normal 2 6 2 4 2 3 2" xfId="6694" xr:uid="{00000000-0005-0000-0000-0000EC630000}"/>
    <cellStyle name="Normal 2 6 2 4 2 3 2 2" xfId="21578" xr:uid="{00000000-0005-0000-0000-0000ED630000}"/>
    <cellStyle name="Normal 2 6 2 4 2 3 2 2 2" xfId="44221" xr:uid="{00000000-0005-0000-0000-0000EE630000}"/>
    <cellStyle name="Normal 2 6 2 4 2 3 2 3" xfId="14138" xr:uid="{00000000-0005-0000-0000-0000EF630000}"/>
    <cellStyle name="Normal 2 6 2 4 2 3 2 3 2" xfId="36781" xr:uid="{00000000-0005-0000-0000-0000F0630000}"/>
    <cellStyle name="Normal 2 6 2 4 2 3 2 4" xfId="29340" xr:uid="{00000000-0005-0000-0000-0000F1630000}"/>
    <cellStyle name="Normal 2 6 2 4 2 3 3" xfId="17860" xr:uid="{00000000-0005-0000-0000-0000F2630000}"/>
    <cellStyle name="Normal 2 6 2 4 2 3 3 2" xfId="40503" xr:uid="{00000000-0005-0000-0000-0000F3630000}"/>
    <cellStyle name="Normal 2 6 2 4 2 3 4" xfId="10420" xr:uid="{00000000-0005-0000-0000-0000F4630000}"/>
    <cellStyle name="Normal 2 6 2 4 2 3 4 2" xfId="33063" xr:uid="{00000000-0005-0000-0000-0000F5630000}"/>
    <cellStyle name="Normal 2 6 2 4 2 3 5" xfId="25622" xr:uid="{00000000-0005-0000-0000-0000F6630000}"/>
    <cellStyle name="Normal 2 6 2 4 2 4" xfId="4847" xr:uid="{00000000-0005-0000-0000-0000F7630000}"/>
    <cellStyle name="Normal 2 6 2 4 2 4 2" xfId="19731" xr:uid="{00000000-0005-0000-0000-0000F8630000}"/>
    <cellStyle name="Normal 2 6 2 4 2 4 2 2" xfId="42374" xr:uid="{00000000-0005-0000-0000-0000F9630000}"/>
    <cellStyle name="Normal 2 6 2 4 2 4 3" xfId="12291" xr:uid="{00000000-0005-0000-0000-0000FA630000}"/>
    <cellStyle name="Normal 2 6 2 4 2 4 3 2" xfId="34934" xr:uid="{00000000-0005-0000-0000-0000FB630000}"/>
    <cellStyle name="Normal 2 6 2 4 2 4 4" xfId="27493" xr:uid="{00000000-0005-0000-0000-0000FC630000}"/>
    <cellStyle name="Normal 2 6 2 4 2 5" xfId="16013" xr:uid="{00000000-0005-0000-0000-0000FD630000}"/>
    <cellStyle name="Normal 2 6 2 4 2 5 2" xfId="38656" xr:uid="{00000000-0005-0000-0000-0000FE630000}"/>
    <cellStyle name="Normal 2 6 2 4 2 6" xfId="8573" xr:uid="{00000000-0005-0000-0000-0000FF630000}"/>
    <cellStyle name="Normal 2 6 2 4 2 6 2" xfId="31216" xr:uid="{00000000-0005-0000-0000-000000640000}"/>
    <cellStyle name="Normal 2 6 2 4 2 7" xfId="23775" xr:uid="{00000000-0005-0000-0000-000001640000}"/>
    <cellStyle name="Normal 2 6 2 4 3" xfId="1586" xr:uid="{00000000-0005-0000-0000-000002640000}"/>
    <cellStyle name="Normal 2 6 2 4 3 2" xfId="3436" xr:uid="{00000000-0005-0000-0000-000003640000}"/>
    <cellStyle name="Normal 2 6 2 4 3 2 2" xfId="7157" xr:uid="{00000000-0005-0000-0000-000004640000}"/>
    <cellStyle name="Normal 2 6 2 4 3 2 2 2" xfId="22041" xr:uid="{00000000-0005-0000-0000-000005640000}"/>
    <cellStyle name="Normal 2 6 2 4 3 2 2 2 2" xfId="44684" xr:uid="{00000000-0005-0000-0000-000006640000}"/>
    <cellStyle name="Normal 2 6 2 4 3 2 2 3" xfId="14601" xr:uid="{00000000-0005-0000-0000-000007640000}"/>
    <cellStyle name="Normal 2 6 2 4 3 2 2 3 2" xfId="37244" xr:uid="{00000000-0005-0000-0000-000008640000}"/>
    <cellStyle name="Normal 2 6 2 4 3 2 2 4" xfId="29803" xr:uid="{00000000-0005-0000-0000-000009640000}"/>
    <cellStyle name="Normal 2 6 2 4 3 2 3" xfId="18323" xr:uid="{00000000-0005-0000-0000-00000A640000}"/>
    <cellStyle name="Normal 2 6 2 4 3 2 3 2" xfId="40966" xr:uid="{00000000-0005-0000-0000-00000B640000}"/>
    <cellStyle name="Normal 2 6 2 4 3 2 4" xfId="10883" xr:uid="{00000000-0005-0000-0000-00000C640000}"/>
    <cellStyle name="Normal 2 6 2 4 3 2 4 2" xfId="33526" xr:uid="{00000000-0005-0000-0000-00000D640000}"/>
    <cellStyle name="Normal 2 6 2 4 3 2 5" xfId="26085" xr:uid="{00000000-0005-0000-0000-00000E640000}"/>
    <cellStyle name="Normal 2 6 2 4 3 3" xfId="5310" xr:uid="{00000000-0005-0000-0000-00000F640000}"/>
    <cellStyle name="Normal 2 6 2 4 3 3 2" xfId="20194" xr:uid="{00000000-0005-0000-0000-000010640000}"/>
    <cellStyle name="Normal 2 6 2 4 3 3 2 2" xfId="42837" xr:uid="{00000000-0005-0000-0000-000011640000}"/>
    <cellStyle name="Normal 2 6 2 4 3 3 3" xfId="12754" xr:uid="{00000000-0005-0000-0000-000012640000}"/>
    <cellStyle name="Normal 2 6 2 4 3 3 3 2" xfId="35397" xr:uid="{00000000-0005-0000-0000-000013640000}"/>
    <cellStyle name="Normal 2 6 2 4 3 3 4" xfId="27956" xr:uid="{00000000-0005-0000-0000-000014640000}"/>
    <cellStyle name="Normal 2 6 2 4 3 4" xfId="16476" xr:uid="{00000000-0005-0000-0000-000015640000}"/>
    <cellStyle name="Normal 2 6 2 4 3 4 2" xfId="39119" xr:uid="{00000000-0005-0000-0000-000016640000}"/>
    <cellStyle name="Normal 2 6 2 4 3 5" xfId="9036" xr:uid="{00000000-0005-0000-0000-000017640000}"/>
    <cellStyle name="Normal 2 6 2 4 3 5 2" xfId="31679" xr:uid="{00000000-0005-0000-0000-000018640000}"/>
    <cellStyle name="Normal 2 6 2 4 3 6" xfId="24238" xr:uid="{00000000-0005-0000-0000-000019640000}"/>
    <cellStyle name="Normal 2 6 2 4 4" xfId="2511" xr:uid="{00000000-0005-0000-0000-00001A640000}"/>
    <cellStyle name="Normal 2 6 2 4 4 2" xfId="6232" xr:uid="{00000000-0005-0000-0000-00001B640000}"/>
    <cellStyle name="Normal 2 6 2 4 4 2 2" xfId="21116" xr:uid="{00000000-0005-0000-0000-00001C640000}"/>
    <cellStyle name="Normal 2 6 2 4 4 2 2 2" xfId="43759" xr:uid="{00000000-0005-0000-0000-00001D640000}"/>
    <cellStyle name="Normal 2 6 2 4 4 2 3" xfId="13676" xr:uid="{00000000-0005-0000-0000-00001E640000}"/>
    <cellStyle name="Normal 2 6 2 4 4 2 3 2" xfId="36319" xr:uid="{00000000-0005-0000-0000-00001F640000}"/>
    <cellStyle name="Normal 2 6 2 4 4 2 4" xfId="28878" xr:uid="{00000000-0005-0000-0000-000020640000}"/>
    <cellStyle name="Normal 2 6 2 4 4 3" xfId="17398" xr:uid="{00000000-0005-0000-0000-000021640000}"/>
    <cellStyle name="Normal 2 6 2 4 4 3 2" xfId="40041" xr:uid="{00000000-0005-0000-0000-000022640000}"/>
    <cellStyle name="Normal 2 6 2 4 4 4" xfId="9958" xr:uid="{00000000-0005-0000-0000-000023640000}"/>
    <cellStyle name="Normal 2 6 2 4 4 4 2" xfId="32601" xr:uid="{00000000-0005-0000-0000-000024640000}"/>
    <cellStyle name="Normal 2 6 2 4 4 5" xfId="25160" xr:uid="{00000000-0005-0000-0000-000025640000}"/>
    <cellStyle name="Normal 2 6 2 4 5" xfId="4385" xr:uid="{00000000-0005-0000-0000-000026640000}"/>
    <cellStyle name="Normal 2 6 2 4 5 2" xfId="19269" xr:uid="{00000000-0005-0000-0000-000027640000}"/>
    <cellStyle name="Normal 2 6 2 4 5 2 2" xfId="41912" xr:uid="{00000000-0005-0000-0000-000028640000}"/>
    <cellStyle name="Normal 2 6 2 4 5 3" xfId="11829" xr:uid="{00000000-0005-0000-0000-000029640000}"/>
    <cellStyle name="Normal 2 6 2 4 5 3 2" xfId="34472" xr:uid="{00000000-0005-0000-0000-00002A640000}"/>
    <cellStyle name="Normal 2 6 2 4 5 4" xfId="27031" xr:uid="{00000000-0005-0000-0000-00002B640000}"/>
    <cellStyle name="Normal 2 6 2 4 6" xfId="15551" xr:uid="{00000000-0005-0000-0000-00002C640000}"/>
    <cellStyle name="Normal 2 6 2 4 6 2" xfId="38194" xr:uid="{00000000-0005-0000-0000-00002D640000}"/>
    <cellStyle name="Normal 2 6 2 4 7" xfId="8111" xr:uid="{00000000-0005-0000-0000-00002E640000}"/>
    <cellStyle name="Normal 2 6 2 4 7 2" xfId="30754" xr:uid="{00000000-0005-0000-0000-00002F640000}"/>
    <cellStyle name="Normal 2 6 2 4 8" xfId="23313" xr:uid="{00000000-0005-0000-0000-000030640000}"/>
    <cellStyle name="Normal 2 6 2 5" xfId="909" xr:uid="{00000000-0005-0000-0000-000031640000}"/>
    <cellStyle name="Normal 2 6 2 5 2" xfId="1837" xr:uid="{00000000-0005-0000-0000-000032640000}"/>
    <cellStyle name="Normal 2 6 2 5 2 2" xfId="3687" xr:uid="{00000000-0005-0000-0000-000033640000}"/>
    <cellStyle name="Normal 2 6 2 5 2 2 2" xfId="7408" xr:uid="{00000000-0005-0000-0000-000034640000}"/>
    <cellStyle name="Normal 2 6 2 5 2 2 2 2" xfId="22292" xr:uid="{00000000-0005-0000-0000-000035640000}"/>
    <cellStyle name="Normal 2 6 2 5 2 2 2 2 2" xfId="44935" xr:uid="{00000000-0005-0000-0000-000036640000}"/>
    <cellStyle name="Normal 2 6 2 5 2 2 2 3" xfId="14852" xr:uid="{00000000-0005-0000-0000-000037640000}"/>
    <cellStyle name="Normal 2 6 2 5 2 2 2 3 2" xfId="37495" xr:uid="{00000000-0005-0000-0000-000038640000}"/>
    <cellStyle name="Normal 2 6 2 5 2 2 2 4" xfId="30054" xr:uid="{00000000-0005-0000-0000-000039640000}"/>
    <cellStyle name="Normal 2 6 2 5 2 2 3" xfId="18574" xr:uid="{00000000-0005-0000-0000-00003A640000}"/>
    <cellStyle name="Normal 2 6 2 5 2 2 3 2" xfId="41217" xr:uid="{00000000-0005-0000-0000-00003B640000}"/>
    <cellStyle name="Normal 2 6 2 5 2 2 4" xfId="11134" xr:uid="{00000000-0005-0000-0000-00003C640000}"/>
    <cellStyle name="Normal 2 6 2 5 2 2 4 2" xfId="33777" xr:uid="{00000000-0005-0000-0000-00003D640000}"/>
    <cellStyle name="Normal 2 6 2 5 2 2 5" xfId="26336" xr:uid="{00000000-0005-0000-0000-00003E640000}"/>
    <cellStyle name="Normal 2 6 2 5 2 3" xfId="5561" xr:uid="{00000000-0005-0000-0000-00003F640000}"/>
    <cellStyle name="Normal 2 6 2 5 2 3 2" xfId="20445" xr:uid="{00000000-0005-0000-0000-000040640000}"/>
    <cellStyle name="Normal 2 6 2 5 2 3 2 2" xfId="43088" xr:uid="{00000000-0005-0000-0000-000041640000}"/>
    <cellStyle name="Normal 2 6 2 5 2 3 3" xfId="13005" xr:uid="{00000000-0005-0000-0000-000042640000}"/>
    <cellStyle name="Normal 2 6 2 5 2 3 3 2" xfId="35648" xr:uid="{00000000-0005-0000-0000-000043640000}"/>
    <cellStyle name="Normal 2 6 2 5 2 3 4" xfId="28207" xr:uid="{00000000-0005-0000-0000-000044640000}"/>
    <cellStyle name="Normal 2 6 2 5 2 4" xfId="16727" xr:uid="{00000000-0005-0000-0000-000045640000}"/>
    <cellStyle name="Normal 2 6 2 5 2 4 2" xfId="39370" xr:uid="{00000000-0005-0000-0000-000046640000}"/>
    <cellStyle name="Normal 2 6 2 5 2 5" xfId="9287" xr:uid="{00000000-0005-0000-0000-000047640000}"/>
    <cellStyle name="Normal 2 6 2 5 2 5 2" xfId="31930" xr:uid="{00000000-0005-0000-0000-000048640000}"/>
    <cellStyle name="Normal 2 6 2 5 2 6" xfId="24489" xr:uid="{00000000-0005-0000-0000-000049640000}"/>
    <cellStyle name="Normal 2 6 2 5 3" xfId="2762" xr:uid="{00000000-0005-0000-0000-00004A640000}"/>
    <cellStyle name="Normal 2 6 2 5 3 2" xfId="6483" xr:uid="{00000000-0005-0000-0000-00004B640000}"/>
    <cellStyle name="Normal 2 6 2 5 3 2 2" xfId="21367" xr:uid="{00000000-0005-0000-0000-00004C640000}"/>
    <cellStyle name="Normal 2 6 2 5 3 2 2 2" xfId="44010" xr:uid="{00000000-0005-0000-0000-00004D640000}"/>
    <cellStyle name="Normal 2 6 2 5 3 2 3" xfId="13927" xr:uid="{00000000-0005-0000-0000-00004E640000}"/>
    <cellStyle name="Normal 2 6 2 5 3 2 3 2" xfId="36570" xr:uid="{00000000-0005-0000-0000-00004F640000}"/>
    <cellStyle name="Normal 2 6 2 5 3 2 4" xfId="29129" xr:uid="{00000000-0005-0000-0000-000050640000}"/>
    <cellStyle name="Normal 2 6 2 5 3 3" xfId="17649" xr:uid="{00000000-0005-0000-0000-000051640000}"/>
    <cellStyle name="Normal 2 6 2 5 3 3 2" xfId="40292" xr:uid="{00000000-0005-0000-0000-000052640000}"/>
    <cellStyle name="Normal 2 6 2 5 3 4" xfId="10209" xr:uid="{00000000-0005-0000-0000-000053640000}"/>
    <cellStyle name="Normal 2 6 2 5 3 4 2" xfId="32852" xr:uid="{00000000-0005-0000-0000-000054640000}"/>
    <cellStyle name="Normal 2 6 2 5 3 5" xfId="25411" xr:uid="{00000000-0005-0000-0000-000055640000}"/>
    <cellStyle name="Normal 2 6 2 5 4" xfId="4636" xr:uid="{00000000-0005-0000-0000-000056640000}"/>
    <cellStyle name="Normal 2 6 2 5 4 2" xfId="19520" xr:uid="{00000000-0005-0000-0000-000057640000}"/>
    <cellStyle name="Normal 2 6 2 5 4 2 2" xfId="42163" xr:uid="{00000000-0005-0000-0000-000058640000}"/>
    <cellStyle name="Normal 2 6 2 5 4 3" xfId="12080" xr:uid="{00000000-0005-0000-0000-000059640000}"/>
    <cellStyle name="Normal 2 6 2 5 4 3 2" xfId="34723" xr:uid="{00000000-0005-0000-0000-00005A640000}"/>
    <cellStyle name="Normal 2 6 2 5 4 4" xfId="27282" xr:uid="{00000000-0005-0000-0000-00005B640000}"/>
    <cellStyle name="Normal 2 6 2 5 5" xfId="15802" xr:uid="{00000000-0005-0000-0000-00005C640000}"/>
    <cellStyle name="Normal 2 6 2 5 5 2" xfId="38445" xr:uid="{00000000-0005-0000-0000-00005D640000}"/>
    <cellStyle name="Normal 2 6 2 5 6" xfId="8362" xr:uid="{00000000-0005-0000-0000-00005E640000}"/>
    <cellStyle name="Normal 2 6 2 5 6 2" xfId="31005" xr:uid="{00000000-0005-0000-0000-00005F640000}"/>
    <cellStyle name="Normal 2 6 2 5 7" xfId="23564" xr:uid="{00000000-0005-0000-0000-000060640000}"/>
    <cellStyle name="Normal 2 6 2 6" xfId="1375" xr:uid="{00000000-0005-0000-0000-000061640000}"/>
    <cellStyle name="Normal 2 6 2 6 2" xfId="3225" xr:uid="{00000000-0005-0000-0000-000062640000}"/>
    <cellStyle name="Normal 2 6 2 6 2 2" xfId="6946" xr:uid="{00000000-0005-0000-0000-000063640000}"/>
    <cellStyle name="Normal 2 6 2 6 2 2 2" xfId="21830" xr:uid="{00000000-0005-0000-0000-000064640000}"/>
    <cellStyle name="Normal 2 6 2 6 2 2 2 2" xfId="44473" xr:uid="{00000000-0005-0000-0000-000065640000}"/>
    <cellStyle name="Normal 2 6 2 6 2 2 3" xfId="14390" xr:uid="{00000000-0005-0000-0000-000066640000}"/>
    <cellStyle name="Normal 2 6 2 6 2 2 3 2" xfId="37033" xr:uid="{00000000-0005-0000-0000-000067640000}"/>
    <cellStyle name="Normal 2 6 2 6 2 2 4" xfId="29592" xr:uid="{00000000-0005-0000-0000-000068640000}"/>
    <cellStyle name="Normal 2 6 2 6 2 3" xfId="18112" xr:uid="{00000000-0005-0000-0000-000069640000}"/>
    <cellStyle name="Normal 2 6 2 6 2 3 2" xfId="40755" xr:uid="{00000000-0005-0000-0000-00006A640000}"/>
    <cellStyle name="Normal 2 6 2 6 2 4" xfId="10672" xr:uid="{00000000-0005-0000-0000-00006B640000}"/>
    <cellStyle name="Normal 2 6 2 6 2 4 2" xfId="33315" xr:uid="{00000000-0005-0000-0000-00006C640000}"/>
    <cellStyle name="Normal 2 6 2 6 2 5" xfId="25874" xr:uid="{00000000-0005-0000-0000-00006D640000}"/>
    <cellStyle name="Normal 2 6 2 6 3" xfId="5099" xr:uid="{00000000-0005-0000-0000-00006E640000}"/>
    <cellStyle name="Normal 2 6 2 6 3 2" xfId="19983" xr:uid="{00000000-0005-0000-0000-00006F640000}"/>
    <cellStyle name="Normal 2 6 2 6 3 2 2" xfId="42626" xr:uid="{00000000-0005-0000-0000-000070640000}"/>
    <cellStyle name="Normal 2 6 2 6 3 3" xfId="12543" xr:uid="{00000000-0005-0000-0000-000071640000}"/>
    <cellStyle name="Normal 2 6 2 6 3 3 2" xfId="35186" xr:uid="{00000000-0005-0000-0000-000072640000}"/>
    <cellStyle name="Normal 2 6 2 6 3 4" xfId="27745" xr:uid="{00000000-0005-0000-0000-000073640000}"/>
    <cellStyle name="Normal 2 6 2 6 4" xfId="16265" xr:uid="{00000000-0005-0000-0000-000074640000}"/>
    <cellStyle name="Normal 2 6 2 6 4 2" xfId="38908" xr:uid="{00000000-0005-0000-0000-000075640000}"/>
    <cellStyle name="Normal 2 6 2 6 5" xfId="8825" xr:uid="{00000000-0005-0000-0000-000076640000}"/>
    <cellStyle name="Normal 2 6 2 6 5 2" xfId="31468" xr:uid="{00000000-0005-0000-0000-000077640000}"/>
    <cellStyle name="Normal 2 6 2 6 6" xfId="24027" xr:uid="{00000000-0005-0000-0000-000078640000}"/>
    <cellStyle name="Normal 2 6 2 7" xfId="2300" xr:uid="{00000000-0005-0000-0000-000079640000}"/>
    <cellStyle name="Normal 2 6 2 7 2" xfId="6021" xr:uid="{00000000-0005-0000-0000-00007A640000}"/>
    <cellStyle name="Normal 2 6 2 7 2 2" xfId="20905" xr:uid="{00000000-0005-0000-0000-00007B640000}"/>
    <cellStyle name="Normal 2 6 2 7 2 2 2" xfId="43548" xr:uid="{00000000-0005-0000-0000-00007C640000}"/>
    <cellStyle name="Normal 2 6 2 7 2 3" xfId="13465" xr:uid="{00000000-0005-0000-0000-00007D640000}"/>
    <cellStyle name="Normal 2 6 2 7 2 3 2" xfId="36108" xr:uid="{00000000-0005-0000-0000-00007E640000}"/>
    <cellStyle name="Normal 2 6 2 7 2 4" xfId="28667" xr:uid="{00000000-0005-0000-0000-00007F640000}"/>
    <cellStyle name="Normal 2 6 2 7 3" xfId="17187" xr:uid="{00000000-0005-0000-0000-000080640000}"/>
    <cellStyle name="Normal 2 6 2 7 3 2" xfId="39830" xr:uid="{00000000-0005-0000-0000-000081640000}"/>
    <cellStyle name="Normal 2 6 2 7 4" xfId="9747" xr:uid="{00000000-0005-0000-0000-000082640000}"/>
    <cellStyle name="Normal 2 6 2 7 4 2" xfId="32390" xr:uid="{00000000-0005-0000-0000-000083640000}"/>
    <cellStyle name="Normal 2 6 2 7 5" xfId="24949" xr:uid="{00000000-0005-0000-0000-000084640000}"/>
    <cellStyle name="Normal 2 6 2 8" xfId="4174" xr:uid="{00000000-0005-0000-0000-000085640000}"/>
    <cellStyle name="Normal 2 6 2 8 2" xfId="19058" xr:uid="{00000000-0005-0000-0000-000086640000}"/>
    <cellStyle name="Normal 2 6 2 8 2 2" xfId="41701" xr:uid="{00000000-0005-0000-0000-000087640000}"/>
    <cellStyle name="Normal 2 6 2 8 3" xfId="11618" xr:uid="{00000000-0005-0000-0000-000088640000}"/>
    <cellStyle name="Normal 2 6 2 8 3 2" xfId="34261" xr:uid="{00000000-0005-0000-0000-000089640000}"/>
    <cellStyle name="Normal 2 6 2 8 4" xfId="26820" xr:uid="{00000000-0005-0000-0000-00008A640000}"/>
    <cellStyle name="Normal 2 6 2 9" xfId="15340" xr:uid="{00000000-0005-0000-0000-00008B640000}"/>
    <cellStyle name="Normal 2 6 2 9 2" xfId="37983" xr:uid="{00000000-0005-0000-0000-00008C640000}"/>
    <cellStyle name="Normal 2 6 3" xfId="474" xr:uid="{00000000-0005-0000-0000-00008D640000}"/>
    <cellStyle name="Normal 2 6 3 10" xfId="23135" xr:uid="{00000000-0005-0000-0000-00008E640000}"/>
    <cellStyle name="Normal 2 6 3 2" xfId="580" xr:uid="{00000000-0005-0000-0000-00008F640000}"/>
    <cellStyle name="Normal 2 6 3 2 2" xfId="792" xr:uid="{00000000-0005-0000-0000-000090640000}"/>
    <cellStyle name="Normal 2 6 3 2 2 2" xfId="1257" xr:uid="{00000000-0005-0000-0000-000091640000}"/>
    <cellStyle name="Normal 2 6 3 2 2 2 2" xfId="2185" xr:uid="{00000000-0005-0000-0000-000092640000}"/>
    <cellStyle name="Normal 2 6 3 2 2 2 2 2" xfId="4035" xr:uid="{00000000-0005-0000-0000-000093640000}"/>
    <cellStyle name="Normal 2 6 3 2 2 2 2 2 2" xfId="7756" xr:uid="{00000000-0005-0000-0000-000094640000}"/>
    <cellStyle name="Normal 2 6 3 2 2 2 2 2 2 2" xfId="22640" xr:uid="{00000000-0005-0000-0000-000095640000}"/>
    <cellStyle name="Normal 2 6 3 2 2 2 2 2 2 2 2" xfId="45283" xr:uid="{00000000-0005-0000-0000-000096640000}"/>
    <cellStyle name="Normal 2 6 3 2 2 2 2 2 2 3" xfId="15200" xr:uid="{00000000-0005-0000-0000-000097640000}"/>
    <cellStyle name="Normal 2 6 3 2 2 2 2 2 2 3 2" xfId="37843" xr:uid="{00000000-0005-0000-0000-000098640000}"/>
    <cellStyle name="Normal 2 6 3 2 2 2 2 2 2 4" xfId="30402" xr:uid="{00000000-0005-0000-0000-000099640000}"/>
    <cellStyle name="Normal 2 6 3 2 2 2 2 2 3" xfId="18922" xr:uid="{00000000-0005-0000-0000-00009A640000}"/>
    <cellStyle name="Normal 2 6 3 2 2 2 2 2 3 2" xfId="41565" xr:uid="{00000000-0005-0000-0000-00009B640000}"/>
    <cellStyle name="Normal 2 6 3 2 2 2 2 2 4" xfId="11482" xr:uid="{00000000-0005-0000-0000-00009C640000}"/>
    <cellStyle name="Normal 2 6 3 2 2 2 2 2 4 2" xfId="34125" xr:uid="{00000000-0005-0000-0000-00009D640000}"/>
    <cellStyle name="Normal 2 6 3 2 2 2 2 2 5" xfId="26684" xr:uid="{00000000-0005-0000-0000-00009E640000}"/>
    <cellStyle name="Normal 2 6 3 2 2 2 2 3" xfId="5909" xr:uid="{00000000-0005-0000-0000-00009F640000}"/>
    <cellStyle name="Normal 2 6 3 2 2 2 2 3 2" xfId="20793" xr:uid="{00000000-0005-0000-0000-0000A0640000}"/>
    <cellStyle name="Normal 2 6 3 2 2 2 2 3 2 2" xfId="43436" xr:uid="{00000000-0005-0000-0000-0000A1640000}"/>
    <cellStyle name="Normal 2 6 3 2 2 2 2 3 3" xfId="13353" xr:uid="{00000000-0005-0000-0000-0000A2640000}"/>
    <cellStyle name="Normal 2 6 3 2 2 2 2 3 3 2" xfId="35996" xr:uid="{00000000-0005-0000-0000-0000A3640000}"/>
    <cellStyle name="Normal 2 6 3 2 2 2 2 3 4" xfId="28555" xr:uid="{00000000-0005-0000-0000-0000A4640000}"/>
    <cellStyle name="Normal 2 6 3 2 2 2 2 4" xfId="17075" xr:uid="{00000000-0005-0000-0000-0000A5640000}"/>
    <cellStyle name="Normal 2 6 3 2 2 2 2 4 2" xfId="39718" xr:uid="{00000000-0005-0000-0000-0000A6640000}"/>
    <cellStyle name="Normal 2 6 3 2 2 2 2 5" xfId="9635" xr:uid="{00000000-0005-0000-0000-0000A7640000}"/>
    <cellStyle name="Normal 2 6 3 2 2 2 2 5 2" xfId="32278" xr:uid="{00000000-0005-0000-0000-0000A8640000}"/>
    <cellStyle name="Normal 2 6 3 2 2 2 2 6" xfId="24837" xr:uid="{00000000-0005-0000-0000-0000A9640000}"/>
    <cellStyle name="Normal 2 6 3 2 2 2 3" xfId="3110" xr:uid="{00000000-0005-0000-0000-0000AA640000}"/>
    <cellStyle name="Normal 2 6 3 2 2 2 3 2" xfId="6831" xr:uid="{00000000-0005-0000-0000-0000AB640000}"/>
    <cellStyle name="Normal 2 6 3 2 2 2 3 2 2" xfId="21715" xr:uid="{00000000-0005-0000-0000-0000AC640000}"/>
    <cellStyle name="Normal 2 6 3 2 2 2 3 2 2 2" xfId="44358" xr:uid="{00000000-0005-0000-0000-0000AD640000}"/>
    <cellStyle name="Normal 2 6 3 2 2 2 3 2 3" xfId="14275" xr:uid="{00000000-0005-0000-0000-0000AE640000}"/>
    <cellStyle name="Normal 2 6 3 2 2 2 3 2 3 2" xfId="36918" xr:uid="{00000000-0005-0000-0000-0000AF640000}"/>
    <cellStyle name="Normal 2 6 3 2 2 2 3 2 4" xfId="29477" xr:uid="{00000000-0005-0000-0000-0000B0640000}"/>
    <cellStyle name="Normal 2 6 3 2 2 2 3 3" xfId="17997" xr:uid="{00000000-0005-0000-0000-0000B1640000}"/>
    <cellStyle name="Normal 2 6 3 2 2 2 3 3 2" xfId="40640" xr:uid="{00000000-0005-0000-0000-0000B2640000}"/>
    <cellStyle name="Normal 2 6 3 2 2 2 3 4" xfId="10557" xr:uid="{00000000-0005-0000-0000-0000B3640000}"/>
    <cellStyle name="Normal 2 6 3 2 2 2 3 4 2" xfId="33200" xr:uid="{00000000-0005-0000-0000-0000B4640000}"/>
    <cellStyle name="Normal 2 6 3 2 2 2 3 5" xfId="25759" xr:uid="{00000000-0005-0000-0000-0000B5640000}"/>
    <cellStyle name="Normal 2 6 3 2 2 2 4" xfId="4984" xr:uid="{00000000-0005-0000-0000-0000B6640000}"/>
    <cellStyle name="Normal 2 6 3 2 2 2 4 2" xfId="19868" xr:uid="{00000000-0005-0000-0000-0000B7640000}"/>
    <cellStyle name="Normal 2 6 3 2 2 2 4 2 2" xfId="42511" xr:uid="{00000000-0005-0000-0000-0000B8640000}"/>
    <cellStyle name="Normal 2 6 3 2 2 2 4 3" xfId="12428" xr:uid="{00000000-0005-0000-0000-0000B9640000}"/>
    <cellStyle name="Normal 2 6 3 2 2 2 4 3 2" xfId="35071" xr:uid="{00000000-0005-0000-0000-0000BA640000}"/>
    <cellStyle name="Normal 2 6 3 2 2 2 4 4" xfId="27630" xr:uid="{00000000-0005-0000-0000-0000BB640000}"/>
    <cellStyle name="Normal 2 6 3 2 2 2 5" xfId="16150" xr:uid="{00000000-0005-0000-0000-0000BC640000}"/>
    <cellStyle name="Normal 2 6 3 2 2 2 5 2" xfId="38793" xr:uid="{00000000-0005-0000-0000-0000BD640000}"/>
    <cellStyle name="Normal 2 6 3 2 2 2 6" xfId="8710" xr:uid="{00000000-0005-0000-0000-0000BE640000}"/>
    <cellStyle name="Normal 2 6 3 2 2 2 6 2" xfId="31353" xr:uid="{00000000-0005-0000-0000-0000BF640000}"/>
    <cellStyle name="Normal 2 6 3 2 2 2 7" xfId="23912" xr:uid="{00000000-0005-0000-0000-0000C0640000}"/>
    <cellStyle name="Normal 2 6 3 2 2 3" xfId="1723" xr:uid="{00000000-0005-0000-0000-0000C1640000}"/>
    <cellStyle name="Normal 2 6 3 2 2 3 2" xfId="3573" xr:uid="{00000000-0005-0000-0000-0000C2640000}"/>
    <cellStyle name="Normal 2 6 3 2 2 3 2 2" xfId="7294" xr:uid="{00000000-0005-0000-0000-0000C3640000}"/>
    <cellStyle name="Normal 2 6 3 2 2 3 2 2 2" xfId="22178" xr:uid="{00000000-0005-0000-0000-0000C4640000}"/>
    <cellStyle name="Normal 2 6 3 2 2 3 2 2 2 2" xfId="44821" xr:uid="{00000000-0005-0000-0000-0000C5640000}"/>
    <cellStyle name="Normal 2 6 3 2 2 3 2 2 3" xfId="14738" xr:uid="{00000000-0005-0000-0000-0000C6640000}"/>
    <cellStyle name="Normal 2 6 3 2 2 3 2 2 3 2" xfId="37381" xr:uid="{00000000-0005-0000-0000-0000C7640000}"/>
    <cellStyle name="Normal 2 6 3 2 2 3 2 2 4" xfId="29940" xr:uid="{00000000-0005-0000-0000-0000C8640000}"/>
    <cellStyle name="Normal 2 6 3 2 2 3 2 3" xfId="18460" xr:uid="{00000000-0005-0000-0000-0000C9640000}"/>
    <cellStyle name="Normal 2 6 3 2 2 3 2 3 2" xfId="41103" xr:uid="{00000000-0005-0000-0000-0000CA640000}"/>
    <cellStyle name="Normal 2 6 3 2 2 3 2 4" xfId="11020" xr:uid="{00000000-0005-0000-0000-0000CB640000}"/>
    <cellStyle name="Normal 2 6 3 2 2 3 2 4 2" xfId="33663" xr:uid="{00000000-0005-0000-0000-0000CC640000}"/>
    <cellStyle name="Normal 2 6 3 2 2 3 2 5" xfId="26222" xr:uid="{00000000-0005-0000-0000-0000CD640000}"/>
    <cellStyle name="Normal 2 6 3 2 2 3 3" xfId="5447" xr:uid="{00000000-0005-0000-0000-0000CE640000}"/>
    <cellStyle name="Normal 2 6 3 2 2 3 3 2" xfId="20331" xr:uid="{00000000-0005-0000-0000-0000CF640000}"/>
    <cellStyle name="Normal 2 6 3 2 2 3 3 2 2" xfId="42974" xr:uid="{00000000-0005-0000-0000-0000D0640000}"/>
    <cellStyle name="Normal 2 6 3 2 2 3 3 3" xfId="12891" xr:uid="{00000000-0005-0000-0000-0000D1640000}"/>
    <cellStyle name="Normal 2 6 3 2 2 3 3 3 2" xfId="35534" xr:uid="{00000000-0005-0000-0000-0000D2640000}"/>
    <cellStyle name="Normal 2 6 3 2 2 3 3 4" xfId="28093" xr:uid="{00000000-0005-0000-0000-0000D3640000}"/>
    <cellStyle name="Normal 2 6 3 2 2 3 4" xfId="16613" xr:uid="{00000000-0005-0000-0000-0000D4640000}"/>
    <cellStyle name="Normal 2 6 3 2 2 3 4 2" xfId="39256" xr:uid="{00000000-0005-0000-0000-0000D5640000}"/>
    <cellStyle name="Normal 2 6 3 2 2 3 5" xfId="9173" xr:uid="{00000000-0005-0000-0000-0000D6640000}"/>
    <cellStyle name="Normal 2 6 3 2 2 3 5 2" xfId="31816" xr:uid="{00000000-0005-0000-0000-0000D7640000}"/>
    <cellStyle name="Normal 2 6 3 2 2 3 6" xfId="24375" xr:uid="{00000000-0005-0000-0000-0000D8640000}"/>
    <cellStyle name="Normal 2 6 3 2 2 4" xfId="2648" xr:uid="{00000000-0005-0000-0000-0000D9640000}"/>
    <cellStyle name="Normal 2 6 3 2 2 4 2" xfId="6369" xr:uid="{00000000-0005-0000-0000-0000DA640000}"/>
    <cellStyle name="Normal 2 6 3 2 2 4 2 2" xfId="21253" xr:uid="{00000000-0005-0000-0000-0000DB640000}"/>
    <cellStyle name="Normal 2 6 3 2 2 4 2 2 2" xfId="43896" xr:uid="{00000000-0005-0000-0000-0000DC640000}"/>
    <cellStyle name="Normal 2 6 3 2 2 4 2 3" xfId="13813" xr:uid="{00000000-0005-0000-0000-0000DD640000}"/>
    <cellStyle name="Normal 2 6 3 2 2 4 2 3 2" xfId="36456" xr:uid="{00000000-0005-0000-0000-0000DE640000}"/>
    <cellStyle name="Normal 2 6 3 2 2 4 2 4" xfId="29015" xr:uid="{00000000-0005-0000-0000-0000DF640000}"/>
    <cellStyle name="Normal 2 6 3 2 2 4 3" xfId="17535" xr:uid="{00000000-0005-0000-0000-0000E0640000}"/>
    <cellStyle name="Normal 2 6 3 2 2 4 3 2" xfId="40178" xr:uid="{00000000-0005-0000-0000-0000E1640000}"/>
    <cellStyle name="Normal 2 6 3 2 2 4 4" xfId="10095" xr:uid="{00000000-0005-0000-0000-0000E2640000}"/>
    <cellStyle name="Normal 2 6 3 2 2 4 4 2" xfId="32738" xr:uid="{00000000-0005-0000-0000-0000E3640000}"/>
    <cellStyle name="Normal 2 6 3 2 2 4 5" xfId="25297" xr:uid="{00000000-0005-0000-0000-0000E4640000}"/>
    <cellStyle name="Normal 2 6 3 2 2 5" xfId="4522" xr:uid="{00000000-0005-0000-0000-0000E5640000}"/>
    <cellStyle name="Normal 2 6 3 2 2 5 2" xfId="19406" xr:uid="{00000000-0005-0000-0000-0000E6640000}"/>
    <cellStyle name="Normal 2 6 3 2 2 5 2 2" xfId="42049" xr:uid="{00000000-0005-0000-0000-0000E7640000}"/>
    <cellStyle name="Normal 2 6 3 2 2 5 3" xfId="11966" xr:uid="{00000000-0005-0000-0000-0000E8640000}"/>
    <cellStyle name="Normal 2 6 3 2 2 5 3 2" xfId="34609" xr:uid="{00000000-0005-0000-0000-0000E9640000}"/>
    <cellStyle name="Normal 2 6 3 2 2 5 4" xfId="27168" xr:uid="{00000000-0005-0000-0000-0000EA640000}"/>
    <cellStyle name="Normal 2 6 3 2 2 6" xfId="15688" xr:uid="{00000000-0005-0000-0000-0000EB640000}"/>
    <cellStyle name="Normal 2 6 3 2 2 6 2" xfId="38331" xr:uid="{00000000-0005-0000-0000-0000EC640000}"/>
    <cellStyle name="Normal 2 6 3 2 2 7" xfId="8248" xr:uid="{00000000-0005-0000-0000-0000ED640000}"/>
    <cellStyle name="Normal 2 6 3 2 2 7 2" xfId="30891" xr:uid="{00000000-0005-0000-0000-0000EE640000}"/>
    <cellStyle name="Normal 2 6 3 2 2 8" xfId="23450" xr:uid="{00000000-0005-0000-0000-0000EF640000}"/>
    <cellStyle name="Normal 2 6 3 2 3" xfId="1046" xr:uid="{00000000-0005-0000-0000-0000F0640000}"/>
    <cellStyle name="Normal 2 6 3 2 3 2" xfId="1974" xr:uid="{00000000-0005-0000-0000-0000F1640000}"/>
    <cellStyle name="Normal 2 6 3 2 3 2 2" xfId="3824" xr:uid="{00000000-0005-0000-0000-0000F2640000}"/>
    <cellStyle name="Normal 2 6 3 2 3 2 2 2" xfId="7545" xr:uid="{00000000-0005-0000-0000-0000F3640000}"/>
    <cellStyle name="Normal 2 6 3 2 3 2 2 2 2" xfId="22429" xr:uid="{00000000-0005-0000-0000-0000F4640000}"/>
    <cellStyle name="Normal 2 6 3 2 3 2 2 2 2 2" xfId="45072" xr:uid="{00000000-0005-0000-0000-0000F5640000}"/>
    <cellStyle name="Normal 2 6 3 2 3 2 2 2 3" xfId="14989" xr:uid="{00000000-0005-0000-0000-0000F6640000}"/>
    <cellStyle name="Normal 2 6 3 2 3 2 2 2 3 2" xfId="37632" xr:uid="{00000000-0005-0000-0000-0000F7640000}"/>
    <cellStyle name="Normal 2 6 3 2 3 2 2 2 4" xfId="30191" xr:uid="{00000000-0005-0000-0000-0000F8640000}"/>
    <cellStyle name="Normal 2 6 3 2 3 2 2 3" xfId="18711" xr:uid="{00000000-0005-0000-0000-0000F9640000}"/>
    <cellStyle name="Normal 2 6 3 2 3 2 2 3 2" xfId="41354" xr:uid="{00000000-0005-0000-0000-0000FA640000}"/>
    <cellStyle name="Normal 2 6 3 2 3 2 2 4" xfId="11271" xr:uid="{00000000-0005-0000-0000-0000FB640000}"/>
    <cellStyle name="Normal 2 6 3 2 3 2 2 4 2" xfId="33914" xr:uid="{00000000-0005-0000-0000-0000FC640000}"/>
    <cellStyle name="Normal 2 6 3 2 3 2 2 5" xfId="26473" xr:uid="{00000000-0005-0000-0000-0000FD640000}"/>
    <cellStyle name="Normal 2 6 3 2 3 2 3" xfId="5698" xr:uid="{00000000-0005-0000-0000-0000FE640000}"/>
    <cellStyle name="Normal 2 6 3 2 3 2 3 2" xfId="20582" xr:uid="{00000000-0005-0000-0000-0000FF640000}"/>
    <cellStyle name="Normal 2 6 3 2 3 2 3 2 2" xfId="43225" xr:uid="{00000000-0005-0000-0000-000000650000}"/>
    <cellStyle name="Normal 2 6 3 2 3 2 3 3" xfId="13142" xr:uid="{00000000-0005-0000-0000-000001650000}"/>
    <cellStyle name="Normal 2 6 3 2 3 2 3 3 2" xfId="35785" xr:uid="{00000000-0005-0000-0000-000002650000}"/>
    <cellStyle name="Normal 2 6 3 2 3 2 3 4" xfId="28344" xr:uid="{00000000-0005-0000-0000-000003650000}"/>
    <cellStyle name="Normal 2 6 3 2 3 2 4" xfId="16864" xr:uid="{00000000-0005-0000-0000-000004650000}"/>
    <cellStyle name="Normal 2 6 3 2 3 2 4 2" xfId="39507" xr:uid="{00000000-0005-0000-0000-000005650000}"/>
    <cellStyle name="Normal 2 6 3 2 3 2 5" xfId="9424" xr:uid="{00000000-0005-0000-0000-000006650000}"/>
    <cellStyle name="Normal 2 6 3 2 3 2 5 2" xfId="32067" xr:uid="{00000000-0005-0000-0000-000007650000}"/>
    <cellStyle name="Normal 2 6 3 2 3 2 6" xfId="24626" xr:uid="{00000000-0005-0000-0000-000008650000}"/>
    <cellStyle name="Normal 2 6 3 2 3 3" xfId="2899" xr:uid="{00000000-0005-0000-0000-000009650000}"/>
    <cellStyle name="Normal 2 6 3 2 3 3 2" xfId="6620" xr:uid="{00000000-0005-0000-0000-00000A650000}"/>
    <cellStyle name="Normal 2 6 3 2 3 3 2 2" xfId="21504" xr:uid="{00000000-0005-0000-0000-00000B650000}"/>
    <cellStyle name="Normal 2 6 3 2 3 3 2 2 2" xfId="44147" xr:uid="{00000000-0005-0000-0000-00000C650000}"/>
    <cellStyle name="Normal 2 6 3 2 3 3 2 3" xfId="14064" xr:uid="{00000000-0005-0000-0000-00000D650000}"/>
    <cellStyle name="Normal 2 6 3 2 3 3 2 3 2" xfId="36707" xr:uid="{00000000-0005-0000-0000-00000E650000}"/>
    <cellStyle name="Normal 2 6 3 2 3 3 2 4" xfId="29266" xr:uid="{00000000-0005-0000-0000-00000F650000}"/>
    <cellStyle name="Normal 2 6 3 2 3 3 3" xfId="17786" xr:uid="{00000000-0005-0000-0000-000010650000}"/>
    <cellStyle name="Normal 2 6 3 2 3 3 3 2" xfId="40429" xr:uid="{00000000-0005-0000-0000-000011650000}"/>
    <cellStyle name="Normal 2 6 3 2 3 3 4" xfId="10346" xr:uid="{00000000-0005-0000-0000-000012650000}"/>
    <cellStyle name="Normal 2 6 3 2 3 3 4 2" xfId="32989" xr:uid="{00000000-0005-0000-0000-000013650000}"/>
    <cellStyle name="Normal 2 6 3 2 3 3 5" xfId="25548" xr:uid="{00000000-0005-0000-0000-000014650000}"/>
    <cellStyle name="Normal 2 6 3 2 3 4" xfId="4773" xr:uid="{00000000-0005-0000-0000-000015650000}"/>
    <cellStyle name="Normal 2 6 3 2 3 4 2" xfId="19657" xr:uid="{00000000-0005-0000-0000-000016650000}"/>
    <cellStyle name="Normal 2 6 3 2 3 4 2 2" xfId="42300" xr:uid="{00000000-0005-0000-0000-000017650000}"/>
    <cellStyle name="Normal 2 6 3 2 3 4 3" xfId="12217" xr:uid="{00000000-0005-0000-0000-000018650000}"/>
    <cellStyle name="Normal 2 6 3 2 3 4 3 2" xfId="34860" xr:uid="{00000000-0005-0000-0000-000019650000}"/>
    <cellStyle name="Normal 2 6 3 2 3 4 4" xfId="27419" xr:uid="{00000000-0005-0000-0000-00001A650000}"/>
    <cellStyle name="Normal 2 6 3 2 3 5" xfId="15939" xr:uid="{00000000-0005-0000-0000-00001B650000}"/>
    <cellStyle name="Normal 2 6 3 2 3 5 2" xfId="38582" xr:uid="{00000000-0005-0000-0000-00001C650000}"/>
    <cellStyle name="Normal 2 6 3 2 3 6" xfId="8499" xr:uid="{00000000-0005-0000-0000-00001D650000}"/>
    <cellStyle name="Normal 2 6 3 2 3 6 2" xfId="31142" xr:uid="{00000000-0005-0000-0000-00001E650000}"/>
    <cellStyle name="Normal 2 6 3 2 3 7" xfId="23701" xr:uid="{00000000-0005-0000-0000-00001F650000}"/>
    <cellStyle name="Normal 2 6 3 2 4" xfId="1512" xr:uid="{00000000-0005-0000-0000-000020650000}"/>
    <cellStyle name="Normal 2 6 3 2 4 2" xfId="3362" xr:uid="{00000000-0005-0000-0000-000021650000}"/>
    <cellStyle name="Normal 2 6 3 2 4 2 2" xfId="7083" xr:uid="{00000000-0005-0000-0000-000022650000}"/>
    <cellStyle name="Normal 2 6 3 2 4 2 2 2" xfId="21967" xr:uid="{00000000-0005-0000-0000-000023650000}"/>
    <cellStyle name="Normal 2 6 3 2 4 2 2 2 2" xfId="44610" xr:uid="{00000000-0005-0000-0000-000024650000}"/>
    <cellStyle name="Normal 2 6 3 2 4 2 2 3" xfId="14527" xr:uid="{00000000-0005-0000-0000-000025650000}"/>
    <cellStyle name="Normal 2 6 3 2 4 2 2 3 2" xfId="37170" xr:uid="{00000000-0005-0000-0000-000026650000}"/>
    <cellStyle name="Normal 2 6 3 2 4 2 2 4" xfId="29729" xr:uid="{00000000-0005-0000-0000-000027650000}"/>
    <cellStyle name="Normal 2 6 3 2 4 2 3" xfId="18249" xr:uid="{00000000-0005-0000-0000-000028650000}"/>
    <cellStyle name="Normal 2 6 3 2 4 2 3 2" xfId="40892" xr:uid="{00000000-0005-0000-0000-000029650000}"/>
    <cellStyle name="Normal 2 6 3 2 4 2 4" xfId="10809" xr:uid="{00000000-0005-0000-0000-00002A650000}"/>
    <cellStyle name="Normal 2 6 3 2 4 2 4 2" xfId="33452" xr:uid="{00000000-0005-0000-0000-00002B650000}"/>
    <cellStyle name="Normal 2 6 3 2 4 2 5" xfId="26011" xr:uid="{00000000-0005-0000-0000-00002C650000}"/>
    <cellStyle name="Normal 2 6 3 2 4 3" xfId="5236" xr:uid="{00000000-0005-0000-0000-00002D650000}"/>
    <cellStyle name="Normal 2 6 3 2 4 3 2" xfId="20120" xr:uid="{00000000-0005-0000-0000-00002E650000}"/>
    <cellStyle name="Normal 2 6 3 2 4 3 2 2" xfId="42763" xr:uid="{00000000-0005-0000-0000-00002F650000}"/>
    <cellStyle name="Normal 2 6 3 2 4 3 3" xfId="12680" xr:uid="{00000000-0005-0000-0000-000030650000}"/>
    <cellStyle name="Normal 2 6 3 2 4 3 3 2" xfId="35323" xr:uid="{00000000-0005-0000-0000-000031650000}"/>
    <cellStyle name="Normal 2 6 3 2 4 3 4" xfId="27882" xr:uid="{00000000-0005-0000-0000-000032650000}"/>
    <cellStyle name="Normal 2 6 3 2 4 4" xfId="16402" xr:uid="{00000000-0005-0000-0000-000033650000}"/>
    <cellStyle name="Normal 2 6 3 2 4 4 2" xfId="39045" xr:uid="{00000000-0005-0000-0000-000034650000}"/>
    <cellStyle name="Normal 2 6 3 2 4 5" xfId="8962" xr:uid="{00000000-0005-0000-0000-000035650000}"/>
    <cellStyle name="Normal 2 6 3 2 4 5 2" xfId="31605" xr:uid="{00000000-0005-0000-0000-000036650000}"/>
    <cellStyle name="Normal 2 6 3 2 4 6" xfId="24164" xr:uid="{00000000-0005-0000-0000-000037650000}"/>
    <cellStyle name="Normal 2 6 3 2 5" xfId="2437" xr:uid="{00000000-0005-0000-0000-000038650000}"/>
    <cellStyle name="Normal 2 6 3 2 5 2" xfId="6158" xr:uid="{00000000-0005-0000-0000-000039650000}"/>
    <cellStyle name="Normal 2 6 3 2 5 2 2" xfId="21042" xr:uid="{00000000-0005-0000-0000-00003A650000}"/>
    <cellStyle name="Normal 2 6 3 2 5 2 2 2" xfId="43685" xr:uid="{00000000-0005-0000-0000-00003B650000}"/>
    <cellStyle name="Normal 2 6 3 2 5 2 3" xfId="13602" xr:uid="{00000000-0005-0000-0000-00003C650000}"/>
    <cellStyle name="Normal 2 6 3 2 5 2 3 2" xfId="36245" xr:uid="{00000000-0005-0000-0000-00003D650000}"/>
    <cellStyle name="Normal 2 6 3 2 5 2 4" xfId="28804" xr:uid="{00000000-0005-0000-0000-00003E650000}"/>
    <cellStyle name="Normal 2 6 3 2 5 3" xfId="17324" xr:uid="{00000000-0005-0000-0000-00003F650000}"/>
    <cellStyle name="Normal 2 6 3 2 5 3 2" xfId="39967" xr:uid="{00000000-0005-0000-0000-000040650000}"/>
    <cellStyle name="Normal 2 6 3 2 5 4" xfId="9884" xr:uid="{00000000-0005-0000-0000-000041650000}"/>
    <cellStyle name="Normal 2 6 3 2 5 4 2" xfId="32527" xr:uid="{00000000-0005-0000-0000-000042650000}"/>
    <cellStyle name="Normal 2 6 3 2 5 5" xfId="25086" xr:uid="{00000000-0005-0000-0000-000043650000}"/>
    <cellStyle name="Normal 2 6 3 2 6" xfId="4311" xr:uid="{00000000-0005-0000-0000-000044650000}"/>
    <cellStyle name="Normal 2 6 3 2 6 2" xfId="19195" xr:uid="{00000000-0005-0000-0000-000045650000}"/>
    <cellStyle name="Normal 2 6 3 2 6 2 2" xfId="41838" xr:uid="{00000000-0005-0000-0000-000046650000}"/>
    <cellStyle name="Normal 2 6 3 2 6 3" xfId="11755" xr:uid="{00000000-0005-0000-0000-000047650000}"/>
    <cellStyle name="Normal 2 6 3 2 6 3 2" xfId="34398" xr:uid="{00000000-0005-0000-0000-000048650000}"/>
    <cellStyle name="Normal 2 6 3 2 6 4" xfId="26957" xr:uid="{00000000-0005-0000-0000-000049650000}"/>
    <cellStyle name="Normal 2 6 3 2 7" xfId="15477" xr:uid="{00000000-0005-0000-0000-00004A650000}"/>
    <cellStyle name="Normal 2 6 3 2 7 2" xfId="38120" xr:uid="{00000000-0005-0000-0000-00004B650000}"/>
    <cellStyle name="Normal 2 6 3 2 8" xfId="8037" xr:uid="{00000000-0005-0000-0000-00004C650000}"/>
    <cellStyle name="Normal 2 6 3 2 8 2" xfId="30680" xr:uid="{00000000-0005-0000-0000-00004D650000}"/>
    <cellStyle name="Normal 2 6 3 2 9" xfId="23240" xr:uid="{00000000-0005-0000-0000-00004E650000}"/>
    <cellStyle name="Normal 2 6 3 3" xfId="687" xr:uid="{00000000-0005-0000-0000-00004F650000}"/>
    <cellStyle name="Normal 2 6 3 3 2" xfId="1152" xr:uid="{00000000-0005-0000-0000-000050650000}"/>
    <cellStyle name="Normal 2 6 3 3 2 2" xfId="2080" xr:uid="{00000000-0005-0000-0000-000051650000}"/>
    <cellStyle name="Normal 2 6 3 3 2 2 2" xfId="3930" xr:uid="{00000000-0005-0000-0000-000052650000}"/>
    <cellStyle name="Normal 2 6 3 3 2 2 2 2" xfId="7651" xr:uid="{00000000-0005-0000-0000-000053650000}"/>
    <cellStyle name="Normal 2 6 3 3 2 2 2 2 2" xfId="22535" xr:uid="{00000000-0005-0000-0000-000054650000}"/>
    <cellStyle name="Normal 2 6 3 3 2 2 2 2 2 2" xfId="45178" xr:uid="{00000000-0005-0000-0000-000055650000}"/>
    <cellStyle name="Normal 2 6 3 3 2 2 2 2 3" xfId="15095" xr:uid="{00000000-0005-0000-0000-000056650000}"/>
    <cellStyle name="Normal 2 6 3 3 2 2 2 2 3 2" xfId="37738" xr:uid="{00000000-0005-0000-0000-000057650000}"/>
    <cellStyle name="Normal 2 6 3 3 2 2 2 2 4" xfId="30297" xr:uid="{00000000-0005-0000-0000-000058650000}"/>
    <cellStyle name="Normal 2 6 3 3 2 2 2 3" xfId="18817" xr:uid="{00000000-0005-0000-0000-000059650000}"/>
    <cellStyle name="Normal 2 6 3 3 2 2 2 3 2" xfId="41460" xr:uid="{00000000-0005-0000-0000-00005A650000}"/>
    <cellStyle name="Normal 2 6 3 3 2 2 2 4" xfId="11377" xr:uid="{00000000-0005-0000-0000-00005B650000}"/>
    <cellStyle name="Normal 2 6 3 3 2 2 2 4 2" xfId="34020" xr:uid="{00000000-0005-0000-0000-00005C650000}"/>
    <cellStyle name="Normal 2 6 3 3 2 2 2 5" xfId="26579" xr:uid="{00000000-0005-0000-0000-00005D650000}"/>
    <cellStyle name="Normal 2 6 3 3 2 2 3" xfId="5804" xr:uid="{00000000-0005-0000-0000-00005E650000}"/>
    <cellStyle name="Normal 2 6 3 3 2 2 3 2" xfId="20688" xr:uid="{00000000-0005-0000-0000-00005F650000}"/>
    <cellStyle name="Normal 2 6 3 3 2 2 3 2 2" xfId="43331" xr:uid="{00000000-0005-0000-0000-000060650000}"/>
    <cellStyle name="Normal 2 6 3 3 2 2 3 3" xfId="13248" xr:uid="{00000000-0005-0000-0000-000061650000}"/>
    <cellStyle name="Normal 2 6 3 3 2 2 3 3 2" xfId="35891" xr:uid="{00000000-0005-0000-0000-000062650000}"/>
    <cellStyle name="Normal 2 6 3 3 2 2 3 4" xfId="28450" xr:uid="{00000000-0005-0000-0000-000063650000}"/>
    <cellStyle name="Normal 2 6 3 3 2 2 4" xfId="16970" xr:uid="{00000000-0005-0000-0000-000064650000}"/>
    <cellStyle name="Normal 2 6 3 3 2 2 4 2" xfId="39613" xr:uid="{00000000-0005-0000-0000-000065650000}"/>
    <cellStyle name="Normal 2 6 3 3 2 2 5" xfId="9530" xr:uid="{00000000-0005-0000-0000-000066650000}"/>
    <cellStyle name="Normal 2 6 3 3 2 2 5 2" xfId="32173" xr:uid="{00000000-0005-0000-0000-000067650000}"/>
    <cellStyle name="Normal 2 6 3 3 2 2 6" xfId="24732" xr:uid="{00000000-0005-0000-0000-000068650000}"/>
    <cellStyle name="Normal 2 6 3 3 2 3" xfId="3005" xr:uid="{00000000-0005-0000-0000-000069650000}"/>
    <cellStyle name="Normal 2 6 3 3 2 3 2" xfId="6726" xr:uid="{00000000-0005-0000-0000-00006A650000}"/>
    <cellStyle name="Normal 2 6 3 3 2 3 2 2" xfId="21610" xr:uid="{00000000-0005-0000-0000-00006B650000}"/>
    <cellStyle name="Normal 2 6 3 3 2 3 2 2 2" xfId="44253" xr:uid="{00000000-0005-0000-0000-00006C650000}"/>
    <cellStyle name="Normal 2 6 3 3 2 3 2 3" xfId="14170" xr:uid="{00000000-0005-0000-0000-00006D650000}"/>
    <cellStyle name="Normal 2 6 3 3 2 3 2 3 2" xfId="36813" xr:uid="{00000000-0005-0000-0000-00006E650000}"/>
    <cellStyle name="Normal 2 6 3 3 2 3 2 4" xfId="29372" xr:uid="{00000000-0005-0000-0000-00006F650000}"/>
    <cellStyle name="Normal 2 6 3 3 2 3 3" xfId="17892" xr:uid="{00000000-0005-0000-0000-000070650000}"/>
    <cellStyle name="Normal 2 6 3 3 2 3 3 2" xfId="40535" xr:uid="{00000000-0005-0000-0000-000071650000}"/>
    <cellStyle name="Normal 2 6 3 3 2 3 4" xfId="10452" xr:uid="{00000000-0005-0000-0000-000072650000}"/>
    <cellStyle name="Normal 2 6 3 3 2 3 4 2" xfId="33095" xr:uid="{00000000-0005-0000-0000-000073650000}"/>
    <cellStyle name="Normal 2 6 3 3 2 3 5" xfId="25654" xr:uid="{00000000-0005-0000-0000-000074650000}"/>
    <cellStyle name="Normal 2 6 3 3 2 4" xfId="4879" xr:uid="{00000000-0005-0000-0000-000075650000}"/>
    <cellStyle name="Normal 2 6 3 3 2 4 2" xfId="19763" xr:uid="{00000000-0005-0000-0000-000076650000}"/>
    <cellStyle name="Normal 2 6 3 3 2 4 2 2" xfId="42406" xr:uid="{00000000-0005-0000-0000-000077650000}"/>
    <cellStyle name="Normal 2 6 3 3 2 4 3" xfId="12323" xr:uid="{00000000-0005-0000-0000-000078650000}"/>
    <cellStyle name="Normal 2 6 3 3 2 4 3 2" xfId="34966" xr:uid="{00000000-0005-0000-0000-000079650000}"/>
    <cellStyle name="Normal 2 6 3 3 2 4 4" xfId="27525" xr:uid="{00000000-0005-0000-0000-00007A650000}"/>
    <cellStyle name="Normal 2 6 3 3 2 5" xfId="16045" xr:uid="{00000000-0005-0000-0000-00007B650000}"/>
    <cellStyle name="Normal 2 6 3 3 2 5 2" xfId="38688" xr:uid="{00000000-0005-0000-0000-00007C650000}"/>
    <cellStyle name="Normal 2 6 3 3 2 6" xfId="8605" xr:uid="{00000000-0005-0000-0000-00007D650000}"/>
    <cellStyle name="Normal 2 6 3 3 2 6 2" xfId="31248" xr:uid="{00000000-0005-0000-0000-00007E650000}"/>
    <cellStyle name="Normal 2 6 3 3 2 7" xfId="23807" xr:uid="{00000000-0005-0000-0000-00007F650000}"/>
    <cellStyle name="Normal 2 6 3 3 3" xfId="1618" xr:uid="{00000000-0005-0000-0000-000080650000}"/>
    <cellStyle name="Normal 2 6 3 3 3 2" xfId="3468" xr:uid="{00000000-0005-0000-0000-000081650000}"/>
    <cellStyle name="Normal 2 6 3 3 3 2 2" xfId="7189" xr:uid="{00000000-0005-0000-0000-000082650000}"/>
    <cellStyle name="Normal 2 6 3 3 3 2 2 2" xfId="22073" xr:uid="{00000000-0005-0000-0000-000083650000}"/>
    <cellStyle name="Normal 2 6 3 3 3 2 2 2 2" xfId="44716" xr:uid="{00000000-0005-0000-0000-000084650000}"/>
    <cellStyle name="Normal 2 6 3 3 3 2 2 3" xfId="14633" xr:uid="{00000000-0005-0000-0000-000085650000}"/>
    <cellStyle name="Normal 2 6 3 3 3 2 2 3 2" xfId="37276" xr:uid="{00000000-0005-0000-0000-000086650000}"/>
    <cellStyle name="Normal 2 6 3 3 3 2 2 4" xfId="29835" xr:uid="{00000000-0005-0000-0000-000087650000}"/>
    <cellStyle name="Normal 2 6 3 3 3 2 3" xfId="18355" xr:uid="{00000000-0005-0000-0000-000088650000}"/>
    <cellStyle name="Normal 2 6 3 3 3 2 3 2" xfId="40998" xr:uid="{00000000-0005-0000-0000-000089650000}"/>
    <cellStyle name="Normal 2 6 3 3 3 2 4" xfId="10915" xr:uid="{00000000-0005-0000-0000-00008A650000}"/>
    <cellStyle name="Normal 2 6 3 3 3 2 4 2" xfId="33558" xr:uid="{00000000-0005-0000-0000-00008B650000}"/>
    <cellStyle name="Normal 2 6 3 3 3 2 5" xfId="26117" xr:uid="{00000000-0005-0000-0000-00008C650000}"/>
    <cellStyle name="Normal 2 6 3 3 3 3" xfId="5342" xr:uid="{00000000-0005-0000-0000-00008D650000}"/>
    <cellStyle name="Normal 2 6 3 3 3 3 2" xfId="20226" xr:uid="{00000000-0005-0000-0000-00008E650000}"/>
    <cellStyle name="Normal 2 6 3 3 3 3 2 2" xfId="42869" xr:uid="{00000000-0005-0000-0000-00008F650000}"/>
    <cellStyle name="Normal 2 6 3 3 3 3 3" xfId="12786" xr:uid="{00000000-0005-0000-0000-000090650000}"/>
    <cellStyle name="Normal 2 6 3 3 3 3 3 2" xfId="35429" xr:uid="{00000000-0005-0000-0000-000091650000}"/>
    <cellStyle name="Normal 2 6 3 3 3 3 4" xfId="27988" xr:uid="{00000000-0005-0000-0000-000092650000}"/>
    <cellStyle name="Normal 2 6 3 3 3 4" xfId="16508" xr:uid="{00000000-0005-0000-0000-000093650000}"/>
    <cellStyle name="Normal 2 6 3 3 3 4 2" xfId="39151" xr:uid="{00000000-0005-0000-0000-000094650000}"/>
    <cellStyle name="Normal 2 6 3 3 3 5" xfId="9068" xr:uid="{00000000-0005-0000-0000-000095650000}"/>
    <cellStyle name="Normal 2 6 3 3 3 5 2" xfId="31711" xr:uid="{00000000-0005-0000-0000-000096650000}"/>
    <cellStyle name="Normal 2 6 3 3 3 6" xfId="24270" xr:uid="{00000000-0005-0000-0000-000097650000}"/>
    <cellStyle name="Normal 2 6 3 3 4" xfId="2543" xr:uid="{00000000-0005-0000-0000-000098650000}"/>
    <cellStyle name="Normal 2 6 3 3 4 2" xfId="6264" xr:uid="{00000000-0005-0000-0000-000099650000}"/>
    <cellStyle name="Normal 2 6 3 3 4 2 2" xfId="21148" xr:uid="{00000000-0005-0000-0000-00009A650000}"/>
    <cellStyle name="Normal 2 6 3 3 4 2 2 2" xfId="43791" xr:uid="{00000000-0005-0000-0000-00009B650000}"/>
    <cellStyle name="Normal 2 6 3 3 4 2 3" xfId="13708" xr:uid="{00000000-0005-0000-0000-00009C650000}"/>
    <cellStyle name="Normal 2 6 3 3 4 2 3 2" xfId="36351" xr:uid="{00000000-0005-0000-0000-00009D650000}"/>
    <cellStyle name="Normal 2 6 3 3 4 2 4" xfId="28910" xr:uid="{00000000-0005-0000-0000-00009E650000}"/>
    <cellStyle name="Normal 2 6 3 3 4 3" xfId="17430" xr:uid="{00000000-0005-0000-0000-00009F650000}"/>
    <cellStyle name="Normal 2 6 3 3 4 3 2" xfId="40073" xr:uid="{00000000-0005-0000-0000-0000A0650000}"/>
    <cellStyle name="Normal 2 6 3 3 4 4" xfId="9990" xr:uid="{00000000-0005-0000-0000-0000A1650000}"/>
    <cellStyle name="Normal 2 6 3 3 4 4 2" xfId="32633" xr:uid="{00000000-0005-0000-0000-0000A2650000}"/>
    <cellStyle name="Normal 2 6 3 3 4 5" xfId="25192" xr:uid="{00000000-0005-0000-0000-0000A3650000}"/>
    <cellStyle name="Normal 2 6 3 3 5" xfId="4417" xr:uid="{00000000-0005-0000-0000-0000A4650000}"/>
    <cellStyle name="Normal 2 6 3 3 5 2" xfId="19301" xr:uid="{00000000-0005-0000-0000-0000A5650000}"/>
    <cellStyle name="Normal 2 6 3 3 5 2 2" xfId="41944" xr:uid="{00000000-0005-0000-0000-0000A6650000}"/>
    <cellStyle name="Normal 2 6 3 3 5 3" xfId="11861" xr:uid="{00000000-0005-0000-0000-0000A7650000}"/>
    <cellStyle name="Normal 2 6 3 3 5 3 2" xfId="34504" xr:uid="{00000000-0005-0000-0000-0000A8650000}"/>
    <cellStyle name="Normal 2 6 3 3 5 4" xfId="27063" xr:uid="{00000000-0005-0000-0000-0000A9650000}"/>
    <cellStyle name="Normal 2 6 3 3 6" xfId="15583" xr:uid="{00000000-0005-0000-0000-0000AA650000}"/>
    <cellStyle name="Normal 2 6 3 3 6 2" xfId="38226" xr:uid="{00000000-0005-0000-0000-0000AB650000}"/>
    <cellStyle name="Normal 2 6 3 3 7" xfId="8143" xr:uid="{00000000-0005-0000-0000-0000AC650000}"/>
    <cellStyle name="Normal 2 6 3 3 7 2" xfId="30786" xr:uid="{00000000-0005-0000-0000-0000AD650000}"/>
    <cellStyle name="Normal 2 6 3 3 8" xfId="23345" xr:uid="{00000000-0005-0000-0000-0000AE650000}"/>
    <cellStyle name="Normal 2 6 3 4" xfId="941" xr:uid="{00000000-0005-0000-0000-0000AF650000}"/>
    <cellStyle name="Normal 2 6 3 4 2" xfId="1869" xr:uid="{00000000-0005-0000-0000-0000B0650000}"/>
    <cellStyle name="Normal 2 6 3 4 2 2" xfId="3719" xr:uid="{00000000-0005-0000-0000-0000B1650000}"/>
    <cellStyle name="Normal 2 6 3 4 2 2 2" xfId="7440" xr:uid="{00000000-0005-0000-0000-0000B2650000}"/>
    <cellStyle name="Normal 2 6 3 4 2 2 2 2" xfId="22324" xr:uid="{00000000-0005-0000-0000-0000B3650000}"/>
    <cellStyle name="Normal 2 6 3 4 2 2 2 2 2" xfId="44967" xr:uid="{00000000-0005-0000-0000-0000B4650000}"/>
    <cellStyle name="Normal 2 6 3 4 2 2 2 3" xfId="14884" xr:uid="{00000000-0005-0000-0000-0000B5650000}"/>
    <cellStyle name="Normal 2 6 3 4 2 2 2 3 2" xfId="37527" xr:uid="{00000000-0005-0000-0000-0000B6650000}"/>
    <cellStyle name="Normal 2 6 3 4 2 2 2 4" xfId="30086" xr:uid="{00000000-0005-0000-0000-0000B7650000}"/>
    <cellStyle name="Normal 2 6 3 4 2 2 3" xfId="18606" xr:uid="{00000000-0005-0000-0000-0000B8650000}"/>
    <cellStyle name="Normal 2 6 3 4 2 2 3 2" xfId="41249" xr:uid="{00000000-0005-0000-0000-0000B9650000}"/>
    <cellStyle name="Normal 2 6 3 4 2 2 4" xfId="11166" xr:uid="{00000000-0005-0000-0000-0000BA650000}"/>
    <cellStyle name="Normal 2 6 3 4 2 2 4 2" xfId="33809" xr:uid="{00000000-0005-0000-0000-0000BB650000}"/>
    <cellStyle name="Normal 2 6 3 4 2 2 5" xfId="26368" xr:uid="{00000000-0005-0000-0000-0000BC650000}"/>
    <cellStyle name="Normal 2 6 3 4 2 3" xfId="5593" xr:uid="{00000000-0005-0000-0000-0000BD650000}"/>
    <cellStyle name="Normal 2 6 3 4 2 3 2" xfId="20477" xr:uid="{00000000-0005-0000-0000-0000BE650000}"/>
    <cellStyle name="Normal 2 6 3 4 2 3 2 2" xfId="43120" xr:uid="{00000000-0005-0000-0000-0000BF650000}"/>
    <cellStyle name="Normal 2 6 3 4 2 3 3" xfId="13037" xr:uid="{00000000-0005-0000-0000-0000C0650000}"/>
    <cellStyle name="Normal 2 6 3 4 2 3 3 2" xfId="35680" xr:uid="{00000000-0005-0000-0000-0000C1650000}"/>
    <cellStyle name="Normal 2 6 3 4 2 3 4" xfId="28239" xr:uid="{00000000-0005-0000-0000-0000C2650000}"/>
    <cellStyle name="Normal 2 6 3 4 2 4" xfId="16759" xr:uid="{00000000-0005-0000-0000-0000C3650000}"/>
    <cellStyle name="Normal 2 6 3 4 2 4 2" xfId="39402" xr:uid="{00000000-0005-0000-0000-0000C4650000}"/>
    <cellStyle name="Normal 2 6 3 4 2 5" xfId="9319" xr:uid="{00000000-0005-0000-0000-0000C5650000}"/>
    <cellStyle name="Normal 2 6 3 4 2 5 2" xfId="31962" xr:uid="{00000000-0005-0000-0000-0000C6650000}"/>
    <cellStyle name="Normal 2 6 3 4 2 6" xfId="24521" xr:uid="{00000000-0005-0000-0000-0000C7650000}"/>
    <cellStyle name="Normal 2 6 3 4 3" xfId="2794" xr:uid="{00000000-0005-0000-0000-0000C8650000}"/>
    <cellStyle name="Normal 2 6 3 4 3 2" xfId="6515" xr:uid="{00000000-0005-0000-0000-0000C9650000}"/>
    <cellStyle name="Normal 2 6 3 4 3 2 2" xfId="21399" xr:uid="{00000000-0005-0000-0000-0000CA650000}"/>
    <cellStyle name="Normal 2 6 3 4 3 2 2 2" xfId="44042" xr:uid="{00000000-0005-0000-0000-0000CB650000}"/>
    <cellStyle name="Normal 2 6 3 4 3 2 3" xfId="13959" xr:uid="{00000000-0005-0000-0000-0000CC650000}"/>
    <cellStyle name="Normal 2 6 3 4 3 2 3 2" xfId="36602" xr:uid="{00000000-0005-0000-0000-0000CD650000}"/>
    <cellStyle name="Normal 2 6 3 4 3 2 4" xfId="29161" xr:uid="{00000000-0005-0000-0000-0000CE650000}"/>
    <cellStyle name="Normal 2 6 3 4 3 3" xfId="17681" xr:uid="{00000000-0005-0000-0000-0000CF650000}"/>
    <cellStyle name="Normal 2 6 3 4 3 3 2" xfId="40324" xr:uid="{00000000-0005-0000-0000-0000D0650000}"/>
    <cellStyle name="Normal 2 6 3 4 3 4" xfId="10241" xr:uid="{00000000-0005-0000-0000-0000D1650000}"/>
    <cellStyle name="Normal 2 6 3 4 3 4 2" xfId="32884" xr:uid="{00000000-0005-0000-0000-0000D2650000}"/>
    <cellStyle name="Normal 2 6 3 4 3 5" xfId="25443" xr:uid="{00000000-0005-0000-0000-0000D3650000}"/>
    <cellStyle name="Normal 2 6 3 4 4" xfId="4668" xr:uid="{00000000-0005-0000-0000-0000D4650000}"/>
    <cellStyle name="Normal 2 6 3 4 4 2" xfId="19552" xr:uid="{00000000-0005-0000-0000-0000D5650000}"/>
    <cellStyle name="Normal 2 6 3 4 4 2 2" xfId="42195" xr:uid="{00000000-0005-0000-0000-0000D6650000}"/>
    <cellStyle name="Normal 2 6 3 4 4 3" xfId="12112" xr:uid="{00000000-0005-0000-0000-0000D7650000}"/>
    <cellStyle name="Normal 2 6 3 4 4 3 2" xfId="34755" xr:uid="{00000000-0005-0000-0000-0000D8650000}"/>
    <cellStyle name="Normal 2 6 3 4 4 4" xfId="27314" xr:uid="{00000000-0005-0000-0000-0000D9650000}"/>
    <cellStyle name="Normal 2 6 3 4 5" xfId="15834" xr:uid="{00000000-0005-0000-0000-0000DA650000}"/>
    <cellStyle name="Normal 2 6 3 4 5 2" xfId="38477" xr:uid="{00000000-0005-0000-0000-0000DB650000}"/>
    <cellStyle name="Normal 2 6 3 4 6" xfId="8394" xr:uid="{00000000-0005-0000-0000-0000DC650000}"/>
    <cellStyle name="Normal 2 6 3 4 6 2" xfId="31037" xr:uid="{00000000-0005-0000-0000-0000DD650000}"/>
    <cellStyle name="Normal 2 6 3 4 7" xfId="23596" xr:uid="{00000000-0005-0000-0000-0000DE650000}"/>
    <cellStyle name="Normal 2 6 3 5" xfId="1407" xr:uid="{00000000-0005-0000-0000-0000DF650000}"/>
    <cellStyle name="Normal 2 6 3 5 2" xfId="3257" xr:uid="{00000000-0005-0000-0000-0000E0650000}"/>
    <cellStyle name="Normal 2 6 3 5 2 2" xfId="6978" xr:uid="{00000000-0005-0000-0000-0000E1650000}"/>
    <cellStyle name="Normal 2 6 3 5 2 2 2" xfId="21862" xr:uid="{00000000-0005-0000-0000-0000E2650000}"/>
    <cellStyle name="Normal 2 6 3 5 2 2 2 2" xfId="44505" xr:uid="{00000000-0005-0000-0000-0000E3650000}"/>
    <cellStyle name="Normal 2 6 3 5 2 2 3" xfId="14422" xr:uid="{00000000-0005-0000-0000-0000E4650000}"/>
    <cellStyle name="Normal 2 6 3 5 2 2 3 2" xfId="37065" xr:uid="{00000000-0005-0000-0000-0000E5650000}"/>
    <cellStyle name="Normal 2 6 3 5 2 2 4" xfId="29624" xr:uid="{00000000-0005-0000-0000-0000E6650000}"/>
    <cellStyle name="Normal 2 6 3 5 2 3" xfId="18144" xr:uid="{00000000-0005-0000-0000-0000E7650000}"/>
    <cellStyle name="Normal 2 6 3 5 2 3 2" xfId="40787" xr:uid="{00000000-0005-0000-0000-0000E8650000}"/>
    <cellStyle name="Normal 2 6 3 5 2 4" xfId="10704" xr:uid="{00000000-0005-0000-0000-0000E9650000}"/>
    <cellStyle name="Normal 2 6 3 5 2 4 2" xfId="33347" xr:uid="{00000000-0005-0000-0000-0000EA650000}"/>
    <cellStyle name="Normal 2 6 3 5 2 5" xfId="25906" xr:uid="{00000000-0005-0000-0000-0000EB650000}"/>
    <cellStyle name="Normal 2 6 3 5 3" xfId="5131" xr:uid="{00000000-0005-0000-0000-0000EC650000}"/>
    <cellStyle name="Normal 2 6 3 5 3 2" xfId="20015" xr:uid="{00000000-0005-0000-0000-0000ED650000}"/>
    <cellStyle name="Normal 2 6 3 5 3 2 2" xfId="42658" xr:uid="{00000000-0005-0000-0000-0000EE650000}"/>
    <cellStyle name="Normal 2 6 3 5 3 3" xfId="12575" xr:uid="{00000000-0005-0000-0000-0000EF650000}"/>
    <cellStyle name="Normal 2 6 3 5 3 3 2" xfId="35218" xr:uid="{00000000-0005-0000-0000-0000F0650000}"/>
    <cellStyle name="Normal 2 6 3 5 3 4" xfId="27777" xr:uid="{00000000-0005-0000-0000-0000F1650000}"/>
    <cellStyle name="Normal 2 6 3 5 4" xfId="16297" xr:uid="{00000000-0005-0000-0000-0000F2650000}"/>
    <cellStyle name="Normal 2 6 3 5 4 2" xfId="38940" xr:uid="{00000000-0005-0000-0000-0000F3650000}"/>
    <cellStyle name="Normal 2 6 3 5 5" xfId="8857" xr:uid="{00000000-0005-0000-0000-0000F4650000}"/>
    <cellStyle name="Normal 2 6 3 5 5 2" xfId="31500" xr:uid="{00000000-0005-0000-0000-0000F5650000}"/>
    <cellStyle name="Normal 2 6 3 5 6" xfId="24059" xr:uid="{00000000-0005-0000-0000-0000F6650000}"/>
    <cellStyle name="Normal 2 6 3 6" xfId="2332" xr:uid="{00000000-0005-0000-0000-0000F7650000}"/>
    <cellStyle name="Normal 2 6 3 6 2" xfId="6053" xr:uid="{00000000-0005-0000-0000-0000F8650000}"/>
    <cellStyle name="Normal 2 6 3 6 2 2" xfId="20937" xr:uid="{00000000-0005-0000-0000-0000F9650000}"/>
    <cellStyle name="Normal 2 6 3 6 2 2 2" xfId="43580" xr:uid="{00000000-0005-0000-0000-0000FA650000}"/>
    <cellStyle name="Normal 2 6 3 6 2 3" xfId="13497" xr:uid="{00000000-0005-0000-0000-0000FB650000}"/>
    <cellStyle name="Normal 2 6 3 6 2 3 2" xfId="36140" xr:uid="{00000000-0005-0000-0000-0000FC650000}"/>
    <cellStyle name="Normal 2 6 3 6 2 4" xfId="28699" xr:uid="{00000000-0005-0000-0000-0000FD650000}"/>
    <cellStyle name="Normal 2 6 3 6 3" xfId="17219" xr:uid="{00000000-0005-0000-0000-0000FE650000}"/>
    <cellStyle name="Normal 2 6 3 6 3 2" xfId="39862" xr:uid="{00000000-0005-0000-0000-0000FF650000}"/>
    <cellStyle name="Normal 2 6 3 6 4" xfId="9779" xr:uid="{00000000-0005-0000-0000-000000660000}"/>
    <cellStyle name="Normal 2 6 3 6 4 2" xfId="32422" xr:uid="{00000000-0005-0000-0000-000001660000}"/>
    <cellStyle name="Normal 2 6 3 6 5" xfId="24981" xr:uid="{00000000-0005-0000-0000-000002660000}"/>
    <cellStyle name="Normal 2 6 3 7" xfId="4206" xr:uid="{00000000-0005-0000-0000-000003660000}"/>
    <cellStyle name="Normal 2 6 3 7 2" xfId="19090" xr:uid="{00000000-0005-0000-0000-000004660000}"/>
    <cellStyle name="Normal 2 6 3 7 2 2" xfId="41733" xr:uid="{00000000-0005-0000-0000-000005660000}"/>
    <cellStyle name="Normal 2 6 3 7 3" xfId="11650" xr:uid="{00000000-0005-0000-0000-000006660000}"/>
    <cellStyle name="Normal 2 6 3 7 3 2" xfId="34293" xr:uid="{00000000-0005-0000-0000-000007660000}"/>
    <cellStyle name="Normal 2 6 3 7 4" xfId="26852" xr:uid="{00000000-0005-0000-0000-000008660000}"/>
    <cellStyle name="Normal 2 6 3 8" xfId="15372" xr:uid="{00000000-0005-0000-0000-000009660000}"/>
    <cellStyle name="Normal 2 6 3 8 2" xfId="38015" xr:uid="{00000000-0005-0000-0000-00000A660000}"/>
    <cellStyle name="Normal 2 6 3 9" xfId="7932" xr:uid="{00000000-0005-0000-0000-00000B660000}"/>
    <cellStyle name="Normal 2 6 3 9 2" xfId="30575" xr:uid="{00000000-0005-0000-0000-00000C660000}"/>
    <cellStyle name="Normal 2 6 4" xfId="528" xr:uid="{00000000-0005-0000-0000-00000D660000}"/>
    <cellStyle name="Normal 2 6 4 2" xfId="740" xr:uid="{00000000-0005-0000-0000-00000E660000}"/>
    <cellStyle name="Normal 2 6 4 2 2" xfId="1205" xr:uid="{00000000-0005-0000-0000-00000F660000}"/>
    <cellStyle name="Normal 2 6 4 2 2 2" xfId="2133" xr:uid="{00000000-0005-0000-0000-000010660000}"/>
    <cellStyle name="Normal 2 6 4 2 2 2 2" xfId="3983" xr:uid="{00000000-0005-0000-0000-000011660000}"/>
    <cellStyle name="Normal 2 6 4 2 2 2 2 2" xfId="7704" xr:uid="{00000000-0005-0000-0000-000012660000}"/>
    <cellStyle name="Normal 2 6 4 2 2 2 2 2 2" xfId="22588" xr:uid="{00000000-0005-0000-0000-000013660000}"/>
    <cellStyle name="Normal 2 6 4 2 2 2 2 2 2 2" xfId="45231" xr:uid="{00000000-0005-0000-0000-000014660000}"/>
    <cellStyle name="Normal 2 6 4 2 2 2 2 2 3" xfId="15148" xr:uid="{00000000-0005-0000-0000-000015660000}"/>
    <cellStyle name="Normal 2 6 4 2 2 2 2 2 3 2" xfId="37791" xr:uid="{00000000-0005-0000-0000-000016660000}"/>
    <cellStyle name="Normal 2 6 4 2 2 2 2 2 4" xfId="30350" xr:uid="{00000000-0005-0000-0000-000017660000}"/>
    <cellStyle name="Normal 2 6 4 2 2 2 2 3" xfId="18870" xr:uid="{00000000-0005-0000-0000-000018660000}"/>
    <cellStyle name="Normal 2 6 4 2 2 2 2 3 2" xfId="41513" xr:uid="{00000000-0005-0000-0000-000019660000}"/>
    <cellStyle name="Normal 2 6 4 2 2 2 2 4" xfId="11430" xr:uid="{00000000-0005-0000-0000-00001A660000}"/>
    <cellStyle name="Normal 2 6 4 2 2 2 2 4 2" xfId="34073" xr:uid="{00000000-0005-0000-0000-00001B660000}"/>
    <cellStyle name="Normal 2 6 4 2 2 2 2 5" xfId="26632" xr:uid="{00000000-0005-0000-0000-00001C660000}"/>
    <cellStyle name="Normal 2 6 4 2 2 2 3" xfId="5857" xr:uid="{00000000-0005-0000-0000-00001D660000}"/>
    <cellStyle name="Normal 2 6 4 2 2 2 3 2" xfId="20741" xr:uid="{00000000-0005-0000-0000-00001E660000}"/>
    <cellStyle name="Normal 2 6 4 2 2 2 3 2 2" xfId="43384" xr:uid="{00000000-0005-0000-0000-00001F660000}"/>
    <cellStyle name="Normal 2 6 4 2 2 2 3 3" xfId="13301" xr:uid="{00000000-0005-0000-0000-000020660000}"/>
    <cellStyle name="Normal 2 6 4 2 2 2 3 3 2" xfId="35944" xr:uid="{00000000-0005-0000-0000-000021660000}"/>
    <cellStyle name="Normal 2 6 4 2 2 2 3 4" xfId="28503" xr:uid="{00000000-0005-0000-0000-000022660000}"/>
    <cellStyle name="Normal 2 6 4 2 2 2 4" xfId="17023" xr:uid="{00000000-0005-0000-0000-000023660000}"/>
    <cellStyle name="Normal 2 6 4 2 2 2 4 2" xfId="39666" xr:uid="{00000000-0005-0000-0000-000024660000}"/>
    <cellStyle name="Normal 2 6 4 2 2 2 5" xfId="9583" xr:uid="{00000000-0005-0000-0000-000025660000}"/>
    <cellStyle name="Normal 2 6 4 2 2 2 5 2" xfId="32226" xr:uid="{00000000-0005-0000-0000-000026660000}"/>
    <cellStyle name="Normal 2 6 4 2 2 2 6" xfId="24785" xr:uid="{00000000-0005-0000-0000-000027660000}"/>
    <cellStyle name="Normal 2 6 4 2 2 3" xfId="3058" xr:uid="{00000000-0005-0000-0000-000028660000}"/>
    <cellStyle name="Normal 2 6 4 2 2 3 2" xfId="6779" xr:uid="{00000000-0005-0000-0000-000029660000}"/>
    <cellStyle name="Normal 2 6 4 2 2 3 2 2" xfId="21663" xr:uid="{00000000-0005-0000-0000-00002A660000}"/>
    <cellStyle name="Normal 2 6 4 2 2 3 2 2 2" xfId="44306" xr:uid="{00000000-0005-0000-0000-00002B660000}"/>
    <cellStyle name="Normal 2 6 4 2 2 3 2 3" xfId="14223" xr:uid="{00000000-0005-0000-0000-00002C660000}"/>
    <cellStyle name="Normal 2 6 4 2 2 3 2 3 2" xfId="36866" xr:uid="{00000000-0005-0000-0000-00002D660000}"/>
    <cellStyle name="Normal 2 6 4 2 2 3 2 4" xfId="29425" xr:uid="{00000000-0005-0000-0000-00002E660000}"/>
    <cellStyle name="Normal 2 6 4 2 2 3 3" xfId="17945" xr:uid="{00000000-0005-0000-0000-00002F660000}"/>
    <cellStyle name="Normal 2 6 4 2 2 3 3 2" xfId="40588" xr:uid="{00000000-0005-0000-0000-000030660000}"/>
    <cellStyle name="Normal 2 6 4 2 2 3 4" xfId="10505" xr:uid="{00000000-0005-0000-0000-000031660000}"/>
    <cellStyle name="Normal 2 6 4 2 2 3 4 2" xfId="33148" xr:uid="{00000000-0005-0000-0000-000032660000}"/>
    <cellStyle name="Normal 2 6 4 2 2 3 5" xfId="25707" xr:uid="{00000000-0005-0000-0000-000033660000}"/>
    <cellStyle name="Normal 2 6 4 2 2 4" xfId="4932" xr:uid="{00000000-0005-0000-0000-000034660000}"/>
    <cellStyle name="Normal 2 6 4 2 2 4 2" xfId="19816" xr:uid="{00000000-0005-0000-0000-000035660000}"/>
    <cellStyle name="Normal 2 6 4 2 2 4 2 2" xfId="42459" xr:uid="{00000000-0005-0000-0000-000036660000}"/>
    <cellStyle name="Normal 2 6 4 2 2 4 3" xfId="12376" xr:uid="{00000000-0005-0000-0000-000037660000}"/>
    <cellStyle name="Normal 2 6 4 2 2 4 3 2" xfId="35019" xr:uid="{00000000-0005-0000-0000-000038660000}"/>
    <cellStyle name="Normal 2 6 4 2 2 4 4" xfId="27578" xr:uid="{00000000-0005-0000-0000-000039660000}"/>
    <cellStyle name="Normal 2 6 4 2 2 5" xfId="16098" xr:uid="{00000000-0005-0000-0000-00003A660000}"/>
    <cellStyle name="Normal 2 6 4 2 2 5 2" xfId="38741" xr:uid="{00000000-0005-0000-0000-00003B660000}"/>
    <cellStyle name="Normal 2 6 4 2 2 6" xfId="8658" xr:uid="{00000000-0005-0000-0000-00003C660000}"/>
    <cellStyle name="Normal 2 6 4 2 2 6 2" xfId="31301" xr:uid="{00000000-0005-0000-0000-00003D660000}"/>
    <cellStyle name="Normal 2 6 4 2 2 7" xfId="23860" xr:uid="{00000000-0005-0000-0000-00003E660000}"/>
    <cellStyle name="Normal 2 6 4 2 3" xfId="1671" xr:uid="{00000000-0005-0000-0000-00003F660000}"/>
    <cellStyle name="Normal 2 6 4 2 3 2" xfId="3521" xr:uid="{00000000-0005-0000-0000-000040660000}"/>
    <cellStyle name="Normal 2 6 4 2 3 2 2" xfId="7242" xr:uid="{00000000-0005-0000-0000-000041660000}"/>
    <cellStyle name="Normal 2 6 4 2 3 2 2 2" xfId="22126" xr:uid="{00000000-0005-0000-0000-000042660000}"/>
    <cellStyle name="Normal 2 6 4 2 3 2 2 2 2" xfId="44769" xr:uid="{00000000-0005-0000-0000-000043660000}"/>
    <cellStyle name="Normal 2 6 4 2 3 2 2 3" xfId="14686" xr:uid="{00000000-0005-0000-0000-000044660000}"/>
    <cellStyle name="Normal 2 6 4 2 3 2 2 3 2" xfId="37329" xr:uid="{00000000-0005-0000-0000-000045660000}"/>
    <cellStyle name="Normal 2 6 4 2 3 2 2 4" xfId="29888" xr:uid="{00000000-0005-0000-0000-000046660000}"/>
    <cellStyle name="Normal 2 6 4 2 3 2 3" xfId="18408" xr:uid="{00000000-0005-0000-0000-000047660000}"/>
    <cellStyle name="Normal 2 6 4 2 3 2 3 2" xfId="41051" xr:uid="{00000000-0005-0000-0000-000048660000}"/>
    <cellStyle name="Normal 2 6 4 2 3 2 4" xfId="10968" xr:uid="{00000000-0005-0000-0000-000049660000}"/>
    <cellStyle name="Normal 2 6 4 2 3 2 4 2" xfId="33611" xr:uid="{00000000-0005-0000-0000-00004A660000}"/>
    <cellStyle name="Normal 2 6 4 2 3 2 5" xfId="26170" xr:uid="{00000000-0005-0000-0000-00004B660000}"/>
    <cellStyle name="Normal 2 6 4 2 3 3" xfId="5395" xr:uid="{00000000-0005-0000-0000-00004C660000}"/>
    <cellStyle name="Normal 2 6 4 2 3 3 2" xfId="20279" xr:uid="{00000000-0005-0000-0000-00004D660000}"/>
    <cellStyle name="Normal 2 6 4 2 3 3 2 2" xfId="42922" xr:uid="{00000000-0005-0000-0000-00004E660000}"/>
    <cellStyle name="Normal 2 6 4 2 3 3 3" xfId="12839" xr:uid="{00000000-0005-0000-0000-00004F660000}"/>
    <cellStyle name="Normal 2 6 4 2 3 3 3 2" xfId="35482" xr:uid="{00000000-0005-0000-0000-000050660000}"/>
    <cellStyle name="Normal 2 6 4 2 3 3 4" xfId="28041" xr:uid="{00000000-0005-0000-0000-000051660000}"/>
    <cellStyle name="Normal 2 6 4 2 3 4" xfId="16561" xr:uid="{00000000-0005-0000-0000-000052660000}"/>
    <cellStyle name="Normal 2 6 4 2 3 4 2" xfId="39204" xr:uid="{00000000-0005-0000-0000-000053660000}"/>
    <cellStyle name="Normal 2 6 4 2 3 5" xfId="9121" xr:uid="{00000000-0005-0000-0000-000054660000}"/>
    <cellStyle name="Normal 2 6 4 2 3 5 2" xfId="31764" xr:uid="{00000000-0005-0000-0000-000055660000}"/>
    <cellStyle name="Normal 2 6 4 2 3 6" xfId="24323" xr:uid="{00000000-0005-0000-0000-000056660000}"/>
    <cellStyle name="Normal 2 6 4 2 4" xfId="2596" xr:uid="{00000000-0005-0000-0000-000057660000}"/>
    <cellStyle name="Normal 2 6 4 2 4 2" xfId="6317" xr:uid="{00000000-0005-0000-0000-000058660000}"/>
    <cellStyle name="Normal 2 6 4 2 4 2 2" xfId="21201" xr:uid="{00000000-0005-0000-0000-000059660000}"/>
    <cellStyle name="Normal 2 6 4 2 4 2 2 2" xfId="43844" xr:uid="{00000000-0005-0000-0000-00005A660000}"/>
    <cellStyle name="Normal 2 6 4 2 4 2 3" xfId="13761" xr:uid="{00000000-0005-0000-0000-00005B660000}"/>
    <cellStyle name="Normal 2 6 4 2 4 2 3 2" xfId="36404" xr:uid="{00000000-0005-0000-0000-00005C660000}"/>
    <cellStyle name="Normal 2 6 4 2 4 2 4" xfId="28963" xr:uid="{00000000-0005-0000-0000-00005D660000}"/>
    <cellStyle name="Normal 2 6 4 2 4 3" xfId="17483" xr:uid="{00000000-0005-0000-0000-00005E660000}"/>
    <cellStyle name="Normal 2 6 4 2 4 3 2" xfId="40126" xr:uid="{00000000-0005-0000-0000-00005F660000}"/>
    <cellStyle name="Normal 2 6 4 2 4 4" xfId="10043" xr:uid="{00000000-0005-0000-0000-000060660000}"/>
    <cellStyle name="Normal 2 6 4 2 4 4 2" xfId="32686" xr:uid="{00000000-0005-0000-0000-000061660000}"/>
    <cellStyle name="Normal 2 6 4 2 4 5" xfId="25245" xr:uid="{00000000-0005-0000-0000-000062660000}"/>
    <cellStyle name="Normal 2 6 4 2 5" xfId="4470" xr:uid="{00000000-0005-0000-0000-000063660000}"/>
    <cellStyle name="Normal 2 6 4 2 5 2" xfId="19354" xr:uid="{00000000-0005-0000-0000-000064660000}"/>
    <cellStyle name="Normal 2 6 4 2 5 2 2" xfId="41997" xr:uid="{00000000-0005-0000-0000-000065660000}"/>
    <cellStyle name="Normal 2 6 4 2 5 3" xfId="11914" xr:uid="{00000000-0005-0000-0000-000066660000}"/>
    <cellStyle name="Normal 2 6 4 2 5 3 2" xfId="34557" xr:uid="{00000000-0005-0000-0000-000067660000}"/>
    <cellStyle name="Normal 2 6 4 2 5 4" xfId="27116" xr:uid="{00000000-0005-0000-0000-000068660000}"/>
    <cellStyle name="Normal 2 6 4 2 6" xfId="15636" xr:uid="{00000000-0005-0000-0000-000069660000}"/>
    <cellStyle name="Normal 2 6 4 2 6 2" xfId="38279" xr:uid="{00000000-0005-0000-0000-00006A660000}"/>
    <cellStyle name="Normal 2 6 4 2 7" xfId="8196" xr:uid="{00000000-0005-0000-0000-00006B660000}"/>
    <cellStyle name="Normal 2 6 4 2 7 2" xfId="30839" xr:uid="{00000000-0005-0000-0000-00006C660000}"/>
    <cellStyle name="Normal 2 6 4 2 8" xfId="23398" xr:uid="{00000000-0005-0000-0000-00006D660000}"/>
    <cellStyle name="Normal 2 6 4 3" xfId="994" xr:uid="{00000000-0005-0000-0000-00006E660000}"/>
    <cellStyle name="Normal 2 6 4 3 2" xfId="1922" xr:uid="{00000000-0005-0000-0000-00006F660000}"/>
    <cellStyle name="Normal 2 6 4 3 2 2" xfId="3772" xr:uid="{00000000-0005-0000-0000-000070660000}"/>
    <cellStyle name="Normal 2 6 4 3 2 2 2" xfId="7493" xr:uid="{00000000-0005-0000-0000-000071660000}"/>
    <cellStyle name="Normal 2 6 4 3 2 2 2 2" xfId="22377" xr:uid="{00000000-0005-0000-0000-000072660000}"/>
    <cellStyle name="Normal 2 6 4 3 2 2 2 2 2" xfId="45020" xr:uid="{00000000-0005-0000-0000-000073660000}"/>
    <cellStyle name="Normal 2 6 4 3 2 2 2 3" xfId="14937" xr:uid="{00000000-0005-0000-0000-000074660000}"/>
    <cellStyle name="Normal 2 6 4 3 2 2 2 3 2" xfId="37580" xr:uid="{00000000-0005-0000-0000-000075660000}"/>
    <cellStyle name="Normal 2 6 4 3 2 2 2 4" xfId="30139" xr:uid="{00000000-0005-0000-0000-000076660000}"/>
    <cellStyle name="Normal 2 6 4 3 2 2 3" xfId="18659" xr:uid="{00000000-0005-0000-0000-000077660000}"/>
    <cellStyle name="Normal 2 6 4 3 2 2 3 2" xfId="41302" xr:uid="{00000000-0005-0000-0000-000078660000}"/>
    <cellStyle name="Normal 2 6 4 3 2 2 4" xfId="11219" xr:uid="{00000000-0005-0000-0000-000079660000}"/>
    <cellStyle name="Normal 2 6 4 3 2 2 4 2" xfId="33862" xr:uid="{00000000-0005-0000-0000-00007A660000}"/>
    <cellStyle name="Normal 2 6 4 3 2 2 5" xfId="26421" xr:uid="{00000000-0005-0000-0000-00007B660000}"/>
    <cellStyle name="Normal 2 6 4 3 2 3" xfId="5646" xr:uid="{00000000-0005-0000-0000-00007C660000}"/>
    <cellStyle name="Normal 2 6 4 3 2 3 2" xfId="20530" xr:uid="{00000000-0005-0000-0000-00007D660000}"/>
    <cellStyle name="Normal 2 6 4 3 2 3 2 2" xfId="43173" xr:uid="{00000000-0005-0000-0000-00007E660000}"/>
    <cellStyle name="Normal 2 6 4 3 2 3 3" xfId="13090" xr:uid="{00000000-0005-0000-0000-00007F660000}"/>
    <cellStyle name="Normal 2 6 4 3 2 3 3 2" xfId="35733" xr:uid="{00000000-0005-0000-0000-000080660000}"/>
    <cellStyle name="Normal 2 6 4 3 2 3 4" xfId="28292" xr:uid="{00000000-0005-0000-0000-000081660000}"/>
    <cellStyle name="Normal 2 6 4 3 2 4" xfId="16812" xr:uid="{00000000-0005-0000-0000-000082660000}"/>
    <cellStyle name="Normal 2 6 4 3 2 4 2" xfId="39455" xr:uid="{00000000-0005-0000-0000-000083660000}"/>
    <cellStyle name="Normal 2 6 4 3 2 5" xfId="9372" xr:uid="{00000000-0005-0000-0000-000084660000}"/>
    <cellStyle name="Normal 2 6 4 3 2 5 2" xfId="32015" xr:uid="{00000000-0005-0000-0000-000085660000}"/>
    <cellStyle name="Normal 2 6 4 3 2 6" xfId="24574" xr:uid="{00000000-0005-0000-0000-000086660000}"/>
    <cellStyle name="Normal 2 6 4 3 3" xfId="2847" xr:uid="{00000000-0005-0000-0000-000087660000}"/>
    <cellStyle name="Normal 2 6 4 3 3 2" xfId="6568" xr:uid="{00000000-0005-0000-0000-000088660000}"/>
    <cellStyle name="Normal 2 6 4 3 3 2 2" xfId="21452" xr:uid="{00000000-0005-0000-0000-000089660000}"/>
    <cellStyle name="Normal 2 6 4 3 3 2 2 2" xfId="44095" xr:uid="{00000000-0005-0000-0000-00008A660000}"/>
    <cellStyle name="Normal 2 6 4 3 3 2 3" xfId="14012" xr:uid="{00000000-0005-0000-0000-00008B660000}"/>
    <cellStyle name="Normal 2 6 4 3 3 2 3 2" xfId="36655" xr:uid="{00000000-0005-0000-0000-00008C660000}"/>
    <cellStyle name="Normal 2 6 4 3 3 2 4" xfId="29214" xr:uid="{00000000-0005-0000-0000-00008D660000}"/>
    <cellStyle name="Normal 2 6 4 3 3 3" xfId="17734" xr:uid="{00000000-0005-0000-0000-00008E660000}"/>
    <cellStyle name="Normal 2 6 4 3 3 3 2" xfId="40377" xr:uid="{00000000-0005-0000-0000-00008F660000}"/>
    <cellStyle name="Normal 2 6 4 3 3 4" xfId="10294" xr:uid="{00000000-0005-0000-0000-000090660000}"/>
    <cellStyle name="Normal 2 6 4 3 3 4 2" xfId="32937" xr:uid="{00000000-0005-0000-0000-000091660000}"/>
    <cellStyle name="Normal 2 6 4 3 3 5" xfId="25496" xr:uid="{00000000-0005-0000-0000-000092660000}"/>
    <cellStyle name="Normal 2 6 4 3 4" xfId="4721" xr:uid="{00000000-0005-0000-0000-000093660000}"/>
    <cellStyle name="Normal 2 6 4 3 4 2" xfId="19605" xr:uid="{00000000-0005-0000-0000-000094660000}"/>
    <cellStyle name="Normal 2 6 4 3 4 2 2" xfId="42248" xr:uid="{00000000-0005-0000-0000-000095660000}"/>
    <cellStyle name="Normal 2 6 4 3 4 3" xfId="12165" xr:uid="{00000000-0005-0000-0000-000096660000}"/>
    <cellStyle name="Normal 2 6 4 3 4 3 2" xfId="34808" xr:uid="{00000000-0005-0000-0000-000097660000}"/>
    <cellStyle name="Normal 2 6 4 3 4 4" xfId="27367" xr:uid="{00000000-0005-0000-0000-000098660000}"/>
    <cellStyle name="Normal 2 6 4 3 5" xfId="15887" xr:uid="{00000000-0005-0000-0000-000099660000}"/>
    <cellStyle name="Normal 2 6 4 3 5 2" xfId="38530" xr:uid="{00000000-0005-0000-0000-00009A660000}"/>
    <cellStyle name="Normal 2 6 4 3 6" xfId="8447" xr:uid="{00000000-0005-0000-0000-00009B660000}"/>
    <cellStyle name="Normal 2 6 4 3 6 2" xfId="31090" xr:uid="{00000000-0005-0000-0000-00009C660000}"/>
    <cellStyle name="Normal 2 6 4 3 7" xfId="23649" xr:uid="{00000000-0005-0000-0000-00009D660000}"/>
    <cellStyle name="Normal 2 6 4 4" xfId="1460" xr:uid="{00000000-0005-0000-0000-00009E660000}"/>
    <cellStyle name="Normal 2 6 4 4 2" xfId="3310" xr:uid="{00000000-0005-0000-0000-00009F660000}"/>
    <cellStyle name="Normal 2 6 4 4 2 2" xfId="7031" xr:uid="{00000000-0005-0000-0000-0000A0660000}"/>
    <cellStyle name="Normal 2 6 4 4 2 2 2" xfId="21915" xr:uid="{00000000-0005-0000-0000-0000A1660000}"/>
    <cellStyle name="Normal 2 6 4 4 2 2 2 2" xfId="44558" xr:uid="{00000000-0005-0000-0000-0000A2660000}"/>
    <cellStyle name="Normal 2 6 4 4 2 2 3" xfId="14475" xr:uid="{00000000-0005-0000-0000-0000A3660000}"/>
    <cellStyle name="Normal 2 6 4 4 2 2 3 2" xfId="37118" xr:uid="{00000000-0005-0000-0000-0000A4660000}"/>
    <cellStyle name="Normal 2 6 4 4 2 2 4" xfId="29677" xr:uid="{00000000-0005-0000-0000-0000A5660000}"/>
    <cellStyle name="Normal 2 6 4 4 2 3" xfId="18197" xr:uid="{00000000-0005-0000-0000-0000A6660000}"/>
    <cellStyle name="Normal 2 6 4 4 2 3 2" xfId="40840" xr:uid="{00000000-0005-0000-0000-0000A7660000}"/>
    <cellStyle name="Normal 2 6 4 4 2 4" xfId="10757" xr:uid="{00000000-0005-0000-0000-0000A8660000}"/>
    <cellStyle name="Normal 2 6 4 4 2 4 2" xfId="33400" xr:uid="{00000000-0005-0000-0000-0000A9660000}"/>
    <cellStyle name="Normal 2 6 4 4 2 5" xfId="25959" xr:uid="{00000000-0005-0000-0000-0000AA660000}"/>
    <cellStyle name="Normal 2 6 4 4 3" xfId="5184" xr:uid="{00000000-0005-0000-0000-0000AB660000}"/>
    <cellStyle name="Normal 2 6 4 4 3 2" xfId="20068" xr:uid="{00000000-0005-0000-0000-0000AC660000}"/>
    <cellStyle name="Normal 2 6 4 4 3 2 2" xfId="42711" xr:uid="{00000000-0005-0000-0000-0000AD660000}"/>
    <cellStyle name="Normal 2 6 4 4 3 3" xfId="12628" xr:uid="{00000000-0005-0000-0000-0000AE660000}"/>
    <cellStyle name="Normal 2 6 4 4 3 3 2" xfId="35271" xr:uid="{00000000-0005-0000-0000-0000AF660000}"/>
    <cellStyle name="Normal 2 6 4 4 3 4" xfId="27830" xr:uid="{00000000-0005-0000-0000-0000B0660000}"/>
    <cellStyle name="Normal 2 6 4 4 4" xfId="16350" xr:uid="{00000000-0005-0000-0000-0000B1660000}"/>
    <cellStyle name="Normal 2 6 4 4 4 2" xfId="38993" xr:uid="{00000000-0005-0000-0000-0000B2660000}"/>
    <cellStyle name="Normal 2 6 4 4 5" xfId="8910" xr:uid="{00000000-0005-0000-0000-0000B3660000}"/>
    <cellStyle name="Normal 2 6 4 4 5 2" xfId="31553" xr:uid="{00000000-0005-0000-0000-0000B4660000}"/>
    <cellStyle name="Normal 2 6 4 4 6" xfId="24112" xr:uid="{00000000-0005-0000-0000-0000B5660000}"/>
    <cellStyle name="Normal 2 6 4 5" xfId="2385" xr:uid="{00000000-0005-0000-0000-0000B6660000}"/>
    <cellStyle name="Normal 2 6 4 5 2" xfId="6106" xr:uid="{00000000-0005-0000-0000-0000B7660000}"/>
    <cellStyle name="Normal 2 6 4 5 2 2" xfId="20990" xr:uid="{00000000-0005-0000-0000-0000B8660000}"/>
    <cellStyle name="Normal 2 6 4 5 2 2 2" xfId="43633" xr:uid="{00000000-0005-0000-0000-0000B9660000}"/>
    <cellStyle name="Normal 2 6 4 5 2 3" xfId="13550" xr:uid="{00000000-0005-0000-0000-0000BA660000}"/>
    <cellStyle name="Normal 2 6 4 5 2 3 2" xfId="36193" xr:uid="{00000000-0005-0000-0000-0000BB660000}"/>
    <cellStyle name="Normal 2 6 4 5 2 4" xfId="28752" xr:uid="{00000000-0005-0000-0000-0000BC660000}"/>
    <cellStyle name="Normal 2 6 4 5 3" xfId="17272" xr:uid="{00000000-0005-0000-0000-0000BD660000}"/>
    <cellStyle name="Normal 2 6 4 5 3 2" xfId="39915" xr:uid="{00000000-0005-0000-0000-0000BE660000}"/>
    <cellStyle name="Normal 2 6 4 5 4" xfId="9832" xr:uid="{00000000-0005-0000-0000-0000BF660000}"/>
    <cellStyle name="Normal 2 6 4 5 4 2" xfId="32475" xr:uid="{00000000-0005-0000-0000-0000C0660000}"/>
    <cellStyle name="Normal 2 6 4 5 5" xfId="25034" xr:uid="{00000000-0005-0000-0000-0000C1660000}"/>
    <cellStyle name="Normal 2 6 4 6" xfId="4259" xr:uid="{00000000-0005-0000-0000-0000C2660000}"/>
    <cellStyle name="Normal 2 6 4 6 2" xfId="19143" xr:uid="{00000000-0005-0000-0000-0000C3660000}"/>
    <cellStyle name="Normal 2 6 4 6 2 2" xfId="41786" xr:uid="{00000000-0005-0000-0000-0000C4660000}"/>
    <cellStyle name="Normal 2 6 4 6 3" xfId="11703" xr:uid="{00000000-0005-0000-0000-0000C5660000}"/>
    <cellStyle name="Normal 2 6 4 6 3 2" xfId="34346" xr:uid="{00000000-0005-0000-0000-0000C6660000}"/>
    <cellStyle name="Normal 2 6 4 6 4" xfId="26905" xr:uid="{00000000-0005-0000-0000-0000C7660000}"/>
    <cellStyle name="Normal 2 6 4 7" xfId="15425" xr:uid="{00000000-0005-0000-0000-0000C8660000}"/>
    <cellStyle name="Normal 2 6 4 7 2" xfId="38068" xr:uid="{00000000-0005-0000-0000-0000C9660000}"/>
    <cellStyle name="Normal 2 6 4 8" xfId="7985" xr:uid="{00000000-0005-0000-0000-0000CA660000}"/>
    <cellStyle name="Normal 2 6 4 8 2" xfId="30628" xr:uid="{00000000-0005-0000-0000-0000CB660000}"/>
    <cellStyle name="Normal 2 6 4 9" xfId="23188" xr:uid="{00000000-0005-0000-0000-0000CC660000}"/>
    <cellStyle name="Normal 2 6 5" xfId="634" xr:uid="{00000000-0005-0000-0000-0000CD660000}"/>
    <cellStyle name="Normal 2 6 5 2" xfId="1100" xr:uid="{00000000-0005-0000-0000-0000CE660000}"/>
    <cellStyle name="Normal 2 6 5 2 2" xfId="2028" xr:uid="{00000000-0005-0000-0000-0000CF660000}"/>
    <cellStyle name="Normal 2 6 5 2 2 2" xfId="3878" xr:uid="{00000000-0005-0000-0000-0000D0660000}"/>
    <cellStyle name="Normal 2 6 5 2 2 2 2" xfId="7599" xr:uid="{00000000-0005-0000-0000-0000D1660000}"/>
    <cellStyle name="Normal 2 6 5 2 2 2 2 2" xfId="22483" xr:uid="{00000000-0005-0000-0000-0000D2660000}"/>
    <cellStyle name="Normal 2 6 5 2 2 2 2 2 2" xfId="45126" xr:uid="{00000000-0005-0000-0000-0000D3660000}"/>
    <cellStyle name="Normal 2 6 5 2 2 2 2 3" xfId="15043" xr:uid="{00000000-0005-0000-0000-0000D4660000}"/>
    <cellStyle name="Normal 2 6 5 2 2 2 2 3 2" xfId="37686" xr:uid="{00000000-0005-0000-0000-0000D5660000}"/>
    <cellStyle name="Normal 2 6 5 2 2 2 2 4" xfId="30245" xr:uid="{00000000-0005-0000-0000-0000D6660000}"/>
    <cellStyle name="Normal 2 6 5 2 2 2 3" xfId="18765" xr:uid="{00000000-0005-0000-0000-0000D7660000}"/>
    <cellStyle name="Normal 2 6 5 2 2 2 3 2" xfId="41408" xr:uid="{00000000-0005-0000-0000-0000D8660000}"/>
    <cellStyle name="Normal 2 6 5 2 2 2 4" xfId="11325" xr:uid="{00000000-0005-0000-0000-0000D9660000}"/>
    <cellStyle name="Normal 2 6 5 2 2 2 4 2" xfId="33968" xr:uid="{00000000-0005-0000-0000-0000DA660000}"/>
    <cellStyle name="Normal 2 6 5 2 2 2 5" xfId="26527" xr:uid="{00000000-0005-0000-0000-0000DB660000}"/>
    <cellStyle name="Normal 2 6 5 2 2 3" xfId="5752" xr:uid="{00000000-0005-0000-0000-0000DC660000}"/>
    <cellStyle name="Normal 2 6 5 2 2 3 2" xfId="20636" xr:uid="{00000000-0005-0000-0000-0000DD660000}"/>
    <cellStyle name="Normal 2 6 5 2 2 3 2 2" xfId="43279" xr:uid="{00000000-0005-0000-0000-0000DE660000}"/>
    <cellStyle name="Normal 2 6 5 2 2 3 3" xfId="13196" xr:uid="{00000000-0005-0000-0000-0000DF660000}"/>
    <cellStyle name="Normal 2 6 5 2 2 3 3 2" xfId="35839" xr:uid="{00000000-0005-0000-0000-0000E0660000}"/>
    <cellStyle name="Normal 2 6 5 2 2 3 4" xfId="28398" xr:uid="{00000000-0005-0000-0000-0000E1660000}"/>
    <cellStyle name="Normal 2 6 5 2 2 4" xfId="16918" xr:uid="{00000000-0005-0000-0000-0000E2660000}"/>
    <cellStyle name="Normal 2 6 5 2 2 4 2" xfId="39561" xr:uid="{00000000-0005-0000-0000-0000E3660000}"/>
    <cellStyle name="Normal 2 6 5 2 2 5" xfId="9478" xr:uid="{00000000-0005-0000-0000-0000E4660000}"/>
    <cellStyle name="Normal 2 6 5 2 2 5 2" xfId="32121" xr:uid="{00000000-0005-0000-0000-0000E5660000}"/>
    <cellStyle name="Normal 2 6 5 2 2 6" xfId="24680" xr:uid="{00000000-0005-0000-0000-0000E6660000}"/>
    <cellStyle name="Normal 2 6 5 2 3" xfId="2953" xr:uid="{00000000-0005-0000-0000-0000E7660000}"/>
    <cellStyle name="Normal 2 6 5 2 3 2" xfId="6674" xr:uid="{00000000-0005-0000-0000-0000E8660000}"/>
    <cellStyle name="Normal 2 6 5 2 3 2 2" xfId="21558" xr:uid="{00000000-0005-0000-0000-0000E9660000}"/>
    <cellStyle name="Normal 2 6 5 2 3 2 2 2" xfId="44201" xr:uid="{00000000-0005-0000-0000-0000EA660000}"/>
    <cellStyle name="Normal 2 6 5 2 3 2 3" xfId="14118" xr:uid="{00000000-0005-0000-0000-0000EB660000}"/>
    <cellStyle name="Normal 2 6 5 2 3 2 3 2" xfId="36761" xr:uid="{00000000-0005-0000-0000-0000EC660000}"/>
    <cellStyle name="Normal 2 6 5 2 3 2 4" xfId="29320" xr:uid="{00000000-0005-0000-0000-0000ED660000}"/>
    <cellStyle name="Normal 2 6 5 2 3 3" xfId="17840" xr:uid="{00000000-0005-0000-0000-0000EE660000}"/>
    <cellStyle name="Normal 2 6 5 2 3 3 2" xfId="40483" xr:uid="{00000000-0005-0000-0000-0000EF660000}"/>
    <cellStyle name="Normal 2 6 5 2 3 4" xfId="10400" xr:uid="{00000000-0005-0000-0000-0000F0660000}"/>
    <cellStyle name="Normal 2 6 5 2 3 4 2" xfId="33043" xr:uid="{00000000-0005-0000-0000-0000F1660000}"/>
    <cellStyle name="Normal 2 6 5 2 3 5" xfId="25602" xr:uid="{00000000-0005-0000-0000-0000F2660000}"/>
    <cellStyle name="Normal 2 6 5 2 4" xfId="4827" xr:uid="{00000000-0005-0000-0000-0000F3660000}"/>
    <cellStyle name="Normal 2 6 5 2 4 2" xfId="19711" xr:uid="{00000000-0005-0000-0000-0000F4660000}"/>
    <cellStyle name="Normal 2 6 5 2 4 2 2" xfId="42354" xr:uid="{00000000-0005-0000-0000-0000F5660000}"/>
    <cellStyle name="Normal 2 6 5 2 4 3" xfId="12271" xr:uid="{00000000-0005-0000-0000-0000F6660000}"/>
    <cellStyle name="Normal 2 6 5 2 4 3 2" xfId="34914" xr:uid="{00000000-0005-0000-0000-0000F7660000}"/>
    <cellStyle name="Normal 2 6 5 2 4 4" xfId="27473" xr:uid="{00000000-0005-0000-0000-0000F8660000}"/>
    <cellStyle name="Normal 2 6 5 2 5" xfId="15993" xr:uid="{00000000-0005-0000-0000-0000F9660000}"/>
    <cellStyle name="Normal 2 6 5 2 5 2" xfId="38636" xr:uid="{00000000-0005-0000-0000-0000FA660000}"/>
    <cellStyle name="Normal 2 6 5 2 6" xfId="8553" xr:uid="{00000000-0005-0000-0000-0000FB660000}"/>
    <cellStyle name="Normal 2 6 5 2 6 2" xfId="31196" xr:uid="{00000000-0005-0000-0000-0000FC660000}"/>
    <cellStyle name="Normal 2 6 5 2 7" xfId="23755" xr:uid="{00000000-0005-0000-0000-0000FD660000}"/>
    <cellStyle name="Normal 2 6 5 3" xfId="1566" xr:uid="{00000000-0005-0000-0000-0000FE660000}"/>
    <cellStyle name="Normal 2 6 5 3 2" xfId="3416" xr:uid="{00000000-0005-0000-0000-0000FF660000}"/>
    <cellStyle name="Normal 2 6 5 3 2 2" xfId="7137" xr:uid="{00000000-0005-0000-0000-000000670000}"/>
    <cellStyle name="Normal 2 6 5 3 2 2 2" xfId="22021" xr:uid="{00000000-0005-0000-0000-000001670000}"/>
    <cellStyle name="Normal 2 6 5 3 2 2 2 2" xfId="44664" xr:uid="{00000000-0005-0000-0000-000002670000}"/>
    <cellStyle name="Normal 2 6 5 3 2 2 3" xfId="14581" xr:uid="{00000000-0005-0000-0000-000003670000}"/>
    <cellStyle name="Normal 2 6 5 3 2 2 3 2" xfId="37224" xr:uid="{00000000-0005-0000-0000-000004670000}"/>
    <cellStyle name="Normal 2 6 5 3 2 2 4" xfId="29783" xr:uid="{00000000-0005-0000-0000-000005670000}"/>
    <cellStyle name="Normal 2 6 5 3 2 3" xfId="18303" xr:uid="{00000000-0005-0000-0000-000006670000}"/>
    <cellStyle name="Normal 2 6 5 3 2 3 2" xfId="40946" xr:uid="{00000000-0005-0000-0000-000007670000}"/>
    <cellStyle name="Normal 2 6 5 3 2 4" xfId="10863" xr:uid="{00000000-0005-0000-0000-000008670000}"/>
    <cellStyle name="Normal 2 6 5 3 2 4 2" xfId="33506" xr:uid="{00000000-0005-0000-0000-000009670000}"/>
    <cellStyle name="Normal 2 6 5 3 2 5" xfId="26065" xr:uid="{00000000-0005-0000-0000-00000A670000}"/>
    <cellStyle name="Normal 2 6 5 3 3" xfId="5290" xr:uid="{00000000-0005-0000-0000-00000B670000}"/>
    <cellStyle name="Normal 2 6 5 3 3 2" xfId="20174" xr:uid="{00000000-0005-0000-0000-00000C670000}"/>
    <cellStyle name="Normal 2 6 5 3 3 2 2" xfId="42817" xr:uid="{00000000-0005-0000-0000-00000D670000}"/>
    <cellStyle name="Normal 2 6 5 3 3 3" xfId="12734" xr:uid="{00000000-0005-0000-0000-00000E670000}"/>
    <cellStyle name="Normal 2 6 5 3 3 3 2" xfId="35377" xr:uid="{00000000-0005-0000-0000-00000F670000}"/>
    <cellStyle name="Normal 2 6 5 3 3 4" xfId="27936" xr:uid="{00000000-0005-0000-0000-000010670000}"/>
    <cellStyle name="Normal 2 6 5 3 4" xfId="16456" xr:uid="{00000000-0005-0000-0000-000011670000}"/>
    <cellStyle name="Normal 2 6 5 3 4 2" xfId="39099" xr:uid="{00000000-0005-0000-0000-000012670000}"/>
    <cellStyle name="Normal 2 6 5 3 5" xfId="9016" xr:uid="{00000000-0005-0000-0000-000013670000}"/>
    <cellStyle name="Normal 2 6 5 3 5 2" xfId="31659" xr:uid="{00000000-0005-0000-0000-000014670000}"/>
    <cellStyle name="Normal 2 6 5 3 6" xfId="24218" xr:uid="{00000000-0005-0000-0000-000015670000}"/>
    <cellStyle name="Normal 2 6 5 4" xfId="2491" xr:uid="{00000000-0005-0000-0000-000016670000}"/>
    <cellStyle name="Normal 2 6 5 4 2" xfId="6212" xr:uid="{00000000-0005-0000-0000-000017670000}"/>
    <cellStyle name="Normal 2 6 5 4 2 2" xfId="21096" xr:uid="{00000000-0005-0000-0000-000018670000}"/>
    <cellStyle name="Normal 2 6 5 4 2 2 2" xfId="43739" xr:uid="{00000000-0005-0000-0000-000019670000}"/>
    <cellStyle name="Normal 2 6 5 4 2 3" xfId="13656" xr:uid="{00000000-0005-0000-0000-00001A670000}"/>
    <cellStyle name="Normal 2 6 5 4 2 3 2" xfId="36299" xr:uid="{00000000-0005-0000-0000-00001B670000}"/>
    <cellStyle name="Normal 2 6 5 4 2 4" xfId="28858" xr:uid="{00000000-0005-0000-0000-00001C670000}"/>
    <cellStyle name="Normal 2 6 5 4 3" xfId="17378" xr:uid="{00000000-0005-0000-0000-00001D670000}"/>
    <cellStyle name="Normal 2 6 5 4 3 2" xfId="40021" xr:uid="{00000000-0005-0000-0000-00001E670000}"/>
    <cellStyle name="Normal 2 6 5 4 4" xfId="9938" xr:uid="{00000000-0005-0000-0000-00001F670000}"/>
    <cellStyle name="Normal 2 6 5 4 4 2" xfId="32581" xr:uid="{00000000-0005-0000-0000-000020670000}"/>
    <cellStyle name="Normal 2 6 5 4 5" xfId="25140" xr:uid="{00000000-0005-0000-0000-000021670000}"/>
    <cellStyle name="Normal 2 6 5 5" xfId="4365" xr:uid="{00000000-0005-0000-0000-000022670000}"/>
    <cellStyle name="Normal 2 6 5 5 2" xfId="19249" xr:uid="{00000000-0005-0000-0000-000023670000}"/>
    <cellStyle name="Normal 2 6 5 5 2 2" xfId="41892" xr:uid="{00000000-0005-0000-0000-000024670000}"/>
    <cellStyle name="Normal 2 6 5 5 3" xfId="11809" xr:uid="{00000000-0005-0000-0000-000025670000}"/>
    <cellStyle name="Normal 2 6 5 5 3 2" xfId="34452" xr:uid="{00000000-0005-0000-0000-000026670000}"/>
    <cellStyle name="Normal 2 6 5 5 4" xfId="27011" xr:uid="{00000000-0005-0000-0000-000027670000}"/>
    <cellStyle name="Normal 2 6 5 6" xfId="15531" xr:uid="{00000000-0005-0000-0000-000028670000}"/>
    <cellStyle name="Normal 2 6 5 6 2" xfId="38174" xr:uid="{00000000-0005-0000-0000-000029670000}"/>
    <cellStyle name="Normal 2 6 5 7" xfId="8091" xr:uid="{00000000-0005-0000-0000-00002A670000}"/>
    <cellStyle name="Normal 2 6 5 7 2" xfId="30734" xr:uid="{00000000-0005-0000-0000-00002B670000}"/>
    <cellStyle name="Normal 2 6 5 8" xfId="23293" xr:uid="{00000000-0005-0000-0000-00002C670000}"/>
    <cellStyle name="Normal 2 6 6" xfId="889" xr:uid="{00000000-0005-0000-0000-00002D670000}"/>
    <cellStyle name="Normal 2 6 6 2" xfId="1817" xr:uid="{00000000-0005-0000-0000-00002E670000}"/>
    <cellStyle name="Normal 2 6 6 2 2" xfId="3667" xr:uid="{00000000-0005-0000-0000-00002F670000}"/>
    <cellStyle name="Normal 2 6 6 2 2 2" xfId="7388" xr:uid="{00000000-0005-0000-0000-000030670000}"/>
    <cellStyle name="Normal 2 6 6 2 2 2 2" xfId="22272" xr:uid="{00000000-0005-0000-0000-000031670000}"/>
    <cellStyle name="Normal 2 6 6 2 2 2 2 2" xfId="44915" xr:uid="{00000000-0005-0000-0000-000032670000}"/>
    <cellStyle name="Normal 2 6 6 2 2 2 3" xfId="14832" xr:uid="{00000000-0005-0000-0000-000033670000}"/>
    <cellStyle name="Normal 2 6 6 2 2 2 3 2" xfId="37475" xr:uid="{00000000-0005-0000-0000-000034670000}"/>
    <cellStyle name="Normal 2 6 6 2 2 2 4" xfId="30034" xr:uid="{00000000-0005-0000-0000-000035670000}"/>
    <cellStyle name="Normal 2 6 6 2 2 3" xfId="18554" xr:uid="{00000000-0005-0000-0000-000036670000}"/>
    <cellStyle name="Normal 2 6 6 2 2 3 2" xfId="41197" xr:uid="{00000000-0005-0000-0000-000037670000}"/>
    <cellStyle name="Normal 2 6 6 2 2 4" xfId="11114" xr:uid="{00000000-0005-0000-0000-000038670000}"/>
    <cellStyle name="Normal 2 6 6 2 2 4 2" xfId="33757" xr:uid="{00000000-0005-0000-0000-000039670000}"/>
    <cellStyle name="Normal 2 6 6 2 2 5" xfId="26316" xr:uid="{00000000-0005-0000-0000-00003A670000}"/>
    <cellStyle name="Normal 2 6 6 2 3" xfId="5541" xr:uid="{00000000-0005-0000-0000-00003B670000}"/>
    <cellStyle name="Normal 2 6 6 2 3 2" xfId="20425" xr:uid="{00000000-0005-0000-0000-00003C670000}"/>
    <cellStyle name="Normal 2 6 6 2 3 2 2" xfId="43068" xr:uid="{00000000-0005-0000-0000-00003D670000}"/>
    <cellStyle name="Normal 2 6 6 2 3 3" xfId="12985" xr:uid="{00000000-0005-0000-0000-00003E670000}"/>
    <cellStyle name="Normal 2 6 6 2 3 3 2" xfId="35628" xr:uid="{00000000-0005-0000-0000-00003F670000}"/>
    <cellStyle name="Normal 2 6 6 2 3 4" xfId="28187" xr:uid="{00000000-0005-0000-0000-000040670000}"/>
    <cellStyle name="Normal 2 6 6 2 4" xfId="16707" xr:uid="{00000000-0005-0000-0000-000041670000}"/>
    <cellStyle name="Normal 2 6 6 2 4 2" xfId="39350" xr:uid="{00000000-0005-0000-0000-000042670000}"/>
    <cellStyle name="Normal 2 6 6 2 5" xfId="9267" xr:uid="{00000000-0005-0000-0000-000043670000}"/>
    <cellStyle name="Normal 2 6 6 2 5 2" xfId="31910" xr:uid="{00000000-0005-0000-0000-000044670000}"/>
    <cellStyle name="Normal 2 6 6 2 6" xfId="24469" xr:uid="{00000000-0005-0000-0000-000045670000}"/>
    <cellStyle name="Normal 2 6 6 3" xfId="2742" xr:uid="{00000000-0005-0000-0000-000046670000}"/>
    <cellStyle name="Normal 2 6 6 3 2" xfId="6463" xr:uid="{00000000-0005-0000-0000-000047670000}"/>
    <cellStyle name="Normal 2 6 6 3 2 2" xfId="21347" xr:uid="{00000000-0005-0000-0000-000048670000}"/>
    <cellStyle name="Normal 2 6 6 3 2 2 2" xfId="43990" xr:uid="{00000000-0005-0000-0000-000049670000}"/>
    <cellStyle name="Normal 2 6 6 3 2 3" xfId="13907" xr:uid="{00000000-0005-0000-0000-00004A670000}"/>
    <cellStyle name="Normal 2 6 6 3 2 3 2" xfId="36550" xr:uid="{00000000-0005-0000-0000-00004B670000}"/>
    <cellStyle name="Normal 2 6 6 3 2 4" xfId="29109" xr:uid="{00000000-0005-0000-0000-00004C670000}"/>
    <cellStyle name="Normal 2 6 6 3 3" xfId="17629" xr:uid="{00000000-0005-0000-0000-00004D670000}"/>
    <cellStyle name="Normal 2 6 6 3 3 2" xfId="40272" xr:uid="{00000000-0005-0000-0000-00004E670000}"/>
    <cellStyle name="Normal 2 6 6 3 4" xfId="10189" xr:uid="{00000000-0005-0000-0000-00004F670000}"/>
    <cellStyle name="Normal 2 6 6 3 4 2" xfId="32832" xr:uid="{00000000-0005-0000-0000-000050670000}"/>
    <cellStyle name="Normal 2 6 6 3 5" xfId="25391" xr:uid="{00000000-0005-0000-0000-000051670000}"/>
    <cellStyle name="Normal 2 6 6 4" xfId="4616" xr:uid="{00000000-0005-0000-0000-000052670000}"/>
    <cellStyle name="Normal 2 6 6 4 2" xfId="19500" xr:uid="{00000000-0005-0000-0000-000053670000}"/>
    <cellStyle name="Normal 2 6 6 4 2 2" xfId="42143" xr:uid="{00000000-0005-0000-0000-000054670000}"/>
    <cellStyle name="Normal 2 6 6 4 3" xfId="12060" xr:uid="{00000000-0005-0000-0000-000055670000}"/>
    <cellStyle name="Normal 2 6 6 4 3 2" xfId="34703" xr:uid="{00000000-0005-0000-0000-000056670000}"/>
    <cellStyle name="Normal 2 6 6 4 4" xfId="27262" xr:uid="{00000000-0005-0000-0000-000057670000}"/>
    <cellStyle name="Normal 2 6 6 5" xfId="15782" xr:uid="{00000000-0005-0000-0000-000058670000}"/>
    <cellStyle name="Normal 2 6 6 5 2" xfId="38425" xr:uid="{00000000-0005-0000-0000-000059670000}"/>
    <cellStyle name="Normal 2 6 6 6" xfId="8342" xr:uid="{00000000-0005-0000-0000-00005A670000}"/>
    <cellStyle name="Normal 2 6 6 6 2" xfId="30985" xr:uid="{00000000-0005-0000-0000-00005B670000}"/>
    <cellStyle name="Normal 2 6 6 7" xfId="23544" xr:uid="{00000000-0005-0000-0000-00005C670000}"/>
    <cellStyle name="Normal 2 6 7" xfId="1355" xr:uid="{00000000-0005-0000-0000-00005D670000}"/>
    <cellStyle name="Normal 2 6 7 2" xfId="3205" xr:uid="{00000000-0005-0000-0000-00005E670000}"/>
    <cellStyle name="Normal 2 6 7 2 2" xfId="6926" xr:uid="{00000000-0005-0000-0000-00005F670000}"/>
    <cellStyle name="Normal 2 6 7 2 2 2" xfId="21810" xr:uid="{00000000-0005-0000-0000-000060670000}"/>
    <cellStyle name="Normal 2 6 7 2 2 2 2" xfId="44453" xr:uid="{00000000-0005-0000-0000-000061670000}"/>
    <cellStyle name="Normal 2 6 7 2 2 3" xfId="14370" xr:uid="{00000000-0005-0000-0000-000062670000}"/>
    <cellStyle name="Normal 2 6 7 2 2 3 2" xfId="37013" xr:uid="{00000000-0005-0000-0000-000063670000}"/>
    <cellStyle name="Normal 2 6 7 2 2 4" xfId="29572" xr:uid="{00000000-0005-0000-0000-000064670000}"/>
    <cellStyle name="Normal 2 6 7 2 3" xfId="18092" xr:uid="{00000000-0005-0000-0000-000065670000}"/>
    <cellStyle name="Normal 2 6 7 2 3 2" xfId="40735" xr:uid="{00000000-0005-0000-0000-000066670000}"/>
    <cellStyle name="Normal 2 6 7 2 4" xfId="10652" xr:uid="{00000000-0005-0000-0000-000067670000}"/>
    <cellStyle name="Normal 2 6 7 2 4 2" xfId="33295" xr:uid="{00000000-0005-0000-0000-000068670000}"/>
    <cellStyle name="Normal 2 6 7 2 5" xfId="25854" xr:uid="{00000000-0005-0000-0000-000069670000}"/>
    <cellStyle name="Normal 2 6 7 3" xfId="5079" xr:uid="{00000000-0005-0000-0000-00006A670000}"/>
    <cellStyle name="Normal 2 6 7 3 2" xfId="19963" xr:uid="{00000000-0005-0000-0000-00006B670000}"/>
    <cellStyle name="Normal 2 6 7 3 2 2" xfId="42606" xr:uid="{00000000-0005-0000-0000-00006C670000}"/>
    <cellStyle name="Normal 2 6 7 3 3" xfId="12523" xr:uid="{00000000-0005-0000-0000-00006D670000}"/>
    <cellStyle name="Normal 2 6 7 3 3 2" xfId="35166" xr:uid="{00000000-0005-0000-0000-00006E670000}"/>
    <cellStyle name="Normal 2 6 7 3 4" xfId="27725" xr:uid="{00000000-0005-0000-0000-00006F670000}"/>
    <cellStyle name="Normal 2 6 7 4" xfId="16245" xr:uid="{00000000-0005-0000-0000-000070670000}"/>
    <cellStyle name="Normal 2 6 7 4 2" xfId="38888" xr:uid="{00000000-0005-0000-0000-000071670000}"/>
    <cellStyle name="Normal 2 6 7 5" xfId="8805" xr:uid="{00000000-0005-0000-0000-000072670000}"/>
    <cellStyle name="Normal 2 6 7 5 2" xfId="31448" xr:uid="{00000000-0005-0000-0000-000073670000}"/>
    <cellStyle name="Normal 2 6 7 6" xfId="24007" xr:uid="{00000000-0005-0000-0000-000074670000}"/>
    <cellStyle name="Normal 2 6 8" xfId="2280" xr:uid="{00000000-0005-0000-0000-000075670000}"/>
    <cellStyle name="Normal 2 6 8 2" xfId="6001" xr:uid="{00000000-0005-0000-0000-000076670000}"/>
    <cellStyle name="Normal 2 6 8 2 2" xfId="20885" xr:uid="{00000000-0005-0000-0000-000077670000}"/>
    <cellStyle name="Normal 2 6 8 2 2 2" xfId="43528" xr:uid="{00000000-0005-0000-0000-000078670000}"/>
    <cellStyle name="Normal 2 6 8 2 3" xfId="13445" xr:uid="{00000000-0005-0000-0000-000079670000}"/>
    <cellStyle name="Normal 2 6 8 2 3 2" xfId="36088" xr:uid="{00000000-0005-0000-0000-00007A670000}"/>
    <cellStyle name="Normal 2 6 8 2 4" xfId="28647" xr:uid="{00000000-0005-0000-0000-00007B670000}"/>
    <cellStyle name="Normal 2 6 8 3" xfId="17167" xr:uid="{00000000-0005-0000-0000-00007C670000}"/>
    <cellStyle name="Normal 2 6 8 3 2" xfId="39810" xr:uid="{00000000-0005-0000-0000-00007D670000}"/>
    <cellStyle name="Normal 2 6 8 4" xfId="9727" xr:uid="{00000000-0005-0000-0000-00007E670000}"/>
    <cellStyle name="Normal 2 6 8 4 2" xfId="32370" xr:uid="{00000000-0005-0000-0000-00007F670000}"/>
    <cellStyle name="Normal 2 6 8 5" xfId="24929" xr:uid="{00000000-0005-0000-0000-000080670000}"/>
    <cellStyle name="Normal 2 6 9" xfId="4154" xr:uid="{00000000-0005-0000-0000-000081670000}"/>
    <cellStyle name="Normal 2 6 9 2" xfId="19038" xr:uid="{00000000-0005-0000-0000-000082670000}"/>
    <cellStyle name="Normal 2 6 9 2 2" xfId="41681" xr:uid="{00000000-0005-0000-0000-000083670000}"/>
    <cellStyle name="Normal 2 6 9 3" xfId="11598" xr:uid="{00000000-0005-0000-0000-000084670000}"/>
    <cellStyle name="Normal 2 6 9 3 2" xfId="34241" xr:uid="{00000000-0005-0000-0000-000085670000}"/>
    <cellStyle name="Normal 2 6 9 4" xfId="26800" xr:uid="{00000000-0005-0000-0000-000086670000}"/>
    <cellStyle name="Normal 2 7" xfId="408" xr:uid="{00000000-0005-0000-0000-000087670000}"/>
    <cellStyle name="Normal 2 7 10" xfId="15321" xr:uid="{00000000-0005-0000-0000-000088670000}"/>
    <cellStyle name="Normal 2 7 10 2" xfId="37964" xr:uid="{00000000-0005-0000-0000-000089670000}"/>
    <cellStyle name="Normal 2 7 11" xfId="7881" xr:uid="{00000000-0005-0000-0000-00008A670000}"/>
    <cellStyle name="Normal 2 7 11 2" xfId="30524" xr:uid="{00000000-0005-0000-0000-00008B670000}"/>
    <cellStyle name="Normal 2 7 12" xfId="23084" xr:uid="{00000000-0005-0000-0000-00008C670000}"/>
    <cellStyle name="Normal 2 7 2" xfId="442" xr:uid="{00000000-0005-0000-0000-00008D670000}"/>
    <cellStyle name="Normal 2 7 2 10" xfId="7901" xr:uid="{00000000-0005-0000-0000-00008E670000}"/>
    <cellStyle name="Normal 2 7 2 10 2" xfId="30544" xr:uid="{00000000-0005-0000-0000-00008F670000}"/>
    <cellStyle name="Normal 2 7 2 11" xfId="23104" xr:uid="{00000000-0005-0000-0000-000090670000}"/>
    <cellStyle name="Normal 2 7 2 2" xfId="495" xr:uid="{00000000-0005-0000-0000-000091670000}"/>
    <cellStyle name="Normal 2 7 2 2 10" xfId="23156" xr:uid="{00000000-0005-0000-0000-000092670000}"/>
    <cellStyle name="Normal 2 7 2 2 2" xfId="601" xr:uid="{00000000-0005-0000-0000-000093670000}"/>
    <cellStyle name="Normal 2 7 2 2 2 2" xfId="813" xr:uid="{00000000-0005-0000-0000-000094670000}"/>
    <cellStyle name="Normal 2 7 2 2 2 2 2" xfId="1278" xr:uid="{00000000-0005-0000-0000-000095670000}"/>
    <cellStyle name="Normal 2 7 2 2 2 2 2 2" xfId="2206" xr:uid="{00000000-0005-0000-0000-000096670000}"/>
    <cellStyle name="Normal 2 7 2 2 2 2 2 2 2" xfId="4056" xr:uid="{00000000-0005-0000-0000-000097670000}"/>
    <cellStyle name="Normal 2 7 2 2 2 2 2 2 2 2" xfId="7777" xr:uid="{00000000-0005-0000-0000-000098670000}"/>
    <cellStyle name="Normal 2 7 2 2 2 2 2 2 2 2 2" xfId="22661" xr:uid="{00000000-0005-0000-0000-000099670000}"/>
    <cellStyle name="Normal 2 7 2 2 2 2 2 2 2 2 2 2" xfId="45304" xr:uid="{00000000-0005-0000-0000-00009A670000}"/>
    <cellStyle name="Normal 2 7 2 2 2 2 2 2 2 2 3" xfId="15221" xr:uid="{00000000-0005-0000-0000-00009B670000}"/>
    <cellStyle name="Normal 2 7 2 2 2 2 2 2 2 2 3 2" xfId="37864" xr:uid="{00000000-0005-0000-0000-00009C670000}"/>
    <cellStyle name="Normal 2 7 2 2 2 2 2 2 2 2 4" xfId="30423" xr:uid="{00000000-0005-0000-0000-00009D670000}"/>
    <cellStyle name="Normal 2 7 2 2 2 2 2 2 2 3" xfId="18943" xr:uid="{00000000-0005-0000-0000-00009E670000}"/>
    <cellStyle name="Normal 2 7 2 2 2 2 2 2 2 3 2" xfId="41586" xr:uid="{00000000-0005-0000-0000-00009F670000}"/>
    <cellStyle name="Normal 2 7 2 2 2 2 2 2 2 4" xfId="11503" xr:uid="{00000000-0005-0000-0000-0000A0670000}"/>
    <cellStyle name="Normal 2 7 2 2 2 2 2 2 2 4 2" xfId="34146" xr:uid="{00000000-0005-0000-0000-0000A1670000}"/>
    <cellStyle name="Normal 2 7 2 2 2 2 2 2 2 5" xfId="26705" xr:uid="{00000000-0005-0000-0000-0000A2670000}"/>
    <cellStyle name="Normal 2 7 2 2 2 2 2 2 3" xfId="5930" xr:uid="{00000000-0005-0000-0000-0000A3670000}"/>
    <cellStyle name="Normal 2 7 2 2 2 2 2 2 3 2" xfId="20814" xr:uid="{00000000-0005-0000-0000-0000A4670000}"/>
    <cellStyle name="Normal 2 7 2 2 2 2 2 2 3 2 2" xfId="43457" xr:uid="{00000000-0005-0000-0000-0000A5670000}"/>
    <cellStyle name="Normal 2 7 2 2 2 2 2 2 3 3" xfId="13374" xr:uid="{00000000-0005-0000-0000-0000A6670000}"/>
    <cellStyle name="Normal 2 7 2 2 2 2 2 2 3 3 2" xfId="36017" xr:uid="{00000000-0005-0000-0000-0000A7670000}"/>
    <cellStyle name="Normal 2 7 2 2 2 2 2 2 3 4" xfId="28576" xr:uid="{00000000-0005-0000-0000-0000A8670000}"/>
    <cellStyle name="Normal 2 7 2 2 2 2 2 2 4" xfId="17096" xr:uid="{00000000-0005-0000-0000-0000A9670000}"/>
    <cellStyle name="Normal 2 7 2 2 2 2 2 2 4 2" xfId="39739" xr:uid="{00000000-0005-0000-0000-0000AA670000}"/>
    <cellStyle name="Normal 2 7 2 2 2 2 2 2 5" xfId="9656" xr:uid="{00000000-0005-0000-0000-0000AB670000}"/>
    <cellStyle name="Normal 2 7 2 2 2 2 2 2 5 2" xfId="32299" xr:uid="{00000000-0005-0000-0000-0000AC670000}"/>
    <cellStyle name="Normal 2 7 2 2 2 2 2 2 6" xfId="24858" xr:uid="{00000000-0005-0000-0000-0000AD670000}"/>
    <cellStyle name="Normal 2 7 2 2 2 2 2 3" xfId="3131" xr:uid="{00000000-0005-0000-0000-0000AE670000}"/>
    <cellStyle name="Normal 2 7 2 2 2 2 2 3 2" xfId="6852" xr:uid="{00000000-0005-0000-0000-0000AF670000}"/>
    <cellStyle name="Normal 2 7 2 2 2 2 2 3 2 2" xfId="21736" xr:uid="{00000000-0005-0000-0000-0000B0670000}"/>
    <cellStyle name="Normal 2 7 2 2 2 2 2 3 2 2 2" xfId="44379" xr:uid="{00000000-0005-0000-0000-0000B1670000}"/>
    <cellStyle name="Normal 2 7 2 2 2 2 2 3 2 3" xfId="14296" xr:uid="{00000000-0005-0000-0000-0000B2670000}"/>
    <cellStyle name="Normal 2 7 2 2 2 2 2 3 2 3 2" xfId="36939" xr:uid="{00000000-0005-0000-0000-0000B3670000}"/>
    <cellStyle name="Normal 2 7 2 2 2 2 2 3 2 4" xfId="29498" xr:uid="{00000000-0005-0000-0000-0000B4670000}"/>
    <cellStyle name="Normal 2 7 2 2 2 2 2 3 3" xfId="18018" xr:uid="{00000000-0005-0000-0000-0000B5670000}"/>
    <cellStyle name="Normal 2 7 2 2 2 2 2 3 3 2" xfId="40661" xr:uid="{00000000-0005-0000-0000-0000B6670000}"/>
    <cellStyle name="Normal 2 7 2 2 2 2 2 3 4" xfId="10578" xr:uid="{00000000-0005-0000-0000-0000B7670000}"/>
    <cellStyle name="Normal 2 7 2 2 2 2 2 3 4 2" xfId="33221" xr:uid="{00000000-0005-0000-0000-0000B8670000}"/>
    <cellStyle name="Normal 2 7 2 2 2 2 2 3 5" xfId="25780" xr:uid="{00000000-0005-0000-0000-0000B9670000}"/>
    <cellStyle name="Normal 2 7 2 2 2 2 2 4" xfId="5005" xr:uid="{00000000-0005-0000-0000-0000BA670000}"/>
    <cellStyle name="Normal 2 7 2 2 2 2 2 4 2" xfId="19889" xr:uid="{00000000-0005-0000-0000-0000BB670000}"/>
    <cellStyle name="Normal 2 7 2 2 2 2 2 4 2 2" xfId="42532" xr:uid="{00000000-0005-0000-0000-0000BC670000}"/>
    <cellStyle name="Normal 2 7 2 2 2 2 2 4 3" xfId="12449" xr:uid="{00000000-0005-0000-0000-0000BD670000}"/>
    <cellStyle name="Normal 2 7 2 2 2 2 2 4 3 2" xfId="35092" xr:uid="{00000000-0005-0000-0000-0000BE670000}"/>
    <cellStyle name="Normal 2 7 2 2 2 2 2 4 4" xfId="27651" xr:uid="{00000000-0005-0000-0000-0000BF670000}"/>
    <cellStyle name="Normal 2 7 2 2 2 2 2 5" xfId="16171" xr:uid="{00000000-0005-0000-0000-0000C0670000}"/>
    <cellStyle name="Normal 2 7 2 2 2 2 2 5 2" xfId="38814" xr:uid="{00000000-0005-0000-0000-0000C1670000}"/>
    <cellStyle name="Normal 2 7 2 2 2 2 2 6" xfId="8731" xr:uid="{00000000-0005-0000-0000-0000C2670000}"/>
    <cellStyle name="Normal 2 7 2 2 2 2 2 6 2" xfId="31374" xr:uid="{00000000-0005-0000-0000-0000C3670000}"/>
    <cellStyle name="Normal 2 7 2 2 2 2 2 7" xfId="23933" xr:uid="{00000000-0005-0000-0000-0000C4670000}"/>
    <cellStyle name="Normal 2 7 2 2 2 2 3" xfId="1744" xr:uid="{00000000-0005-0000-0000-0000C5670000}"/>
    <cellStyle name="Normal 2 7 2 2 2 2 3 2" xfId="3594" xr:uid="{00000000-0005-0000-0000-0000C6670000}"/>
    <cellStyle name="Normal 2 7 2 2 2 2 3 2 2" xfId="7315" xr:uid="{00000000-0005-0000-0000-0000C7670000}"/>
    <cellStyle name="Normal 2 7 2 2 2 2 3 2 2 2" xfId="22199" xr:uid="{00000000-0005-0000-0000-0000C8670000}"/>
    <cellStyle name="Normal 2 7 2 2 2 2 3 2 2 2 2" xfId="44842" xr:uid="{00000000-0005-0000-0000-0000C9670000}"/>
    <cellStyle name="Normal 2 7 2 2 2 2 3 2 2 3" xfId="14759" xr:uid="{00000000-0005-0000-0000-0000CA670000}"/>
    <cellStyle name="Normal 2 7 2 2 2 2 3 2 2 3 2" xfId="37402" xr:uid="{00000000-0005-0000-0000-0000CB670000}"/>
    <cellStyle name="Normal 2 7 2 2 2 2 3 2 2 4" xfId="29961" xr:uid="{00000000-0005-0000-0000-0000CC670000}"/>
    <cellStyle name="Normal 2 7 2 2 2 2 3 2 3" xfId="18481" xr:uid="{00000000-0005-0000-0000-0000CD670000}"/>
    <cellStyle name="Normal 2 7 2 2 2 2 3 2 3 2" xfId="41124" xr:uid="{00000000-0005-0000-0000-0000CE670000}"/>
    <cellStyle name="Normal 2 7 2 2 2 2 3 2 4" xfId="11041" xr:uid="{00000000-0005-0000-0000-0000CF670000}"/>
    <cellStyle name="Normal 2 7 2 2 2 2 3 2 4 2" xfId="33684" xr:uid="{00000000-0005-0000-0000-0000D0670000}"/>
    <cellStyle name="Normal 2 7 2 2 2 2 3 2 5" xfId="26243" xr:uid="{00000000-0005-0000-0000-0000D1670000}"/>
    <cellStyle name="Normal 2 7 2 2 2 2 3 3" xfId="5468" xr:uid="{00000000-0005-0000-0000-0000D2670000}"/>
    <cellStyle name="Normal 2 7 2 2 2 2 3 3 2" xfId="20352" xr:uid="{00000000-0005-0000-0000-0000D3670000}"/>
    <cellStyle name="Normal 2 7 2 2 2 2 3 3 2 2" xfId="42995" xr:uid="{00000000-0005-0000-0000-0000D4670000}"/>
    <cellStyle name="Normal 2 7 2 2 2 2 3 3 3" xfId="12912" xr:uid="{00000000-0005-0000-0000-0000D5670000}"/>
    <cellStyle name="Normal 2 7 2 2 2 2 3 3 3 2" xfId="35555" xr:uid="{00000000-0005-0000-0000-0000D6670000}"/>
    <cellStyle name="Normal 2 7 2 2 2 2 3 3 4" xfId="28114" xr:uid="{00000000-0005-0000-0000-0000D7670000}"/>
    <cellStyle name="Normal 2 7 2 2 2 2 3 4" xfId="16634" xr:uid="{00000000-0005-0000-0000-0000D8670000}"/>
    <cellStyle name="Normal 2 7 2 2 2 2 3 4 2" xfId="39277" xr:uid="{00000000-0005-0000-0000-0000D9670000}"/>
    <cellStyle name="Normal 2 7 2 2 2 2 3 5" xfId="9194" xr:uid="{00000000-0005-0000-0000-0000DA670000}"/>
    <cellStyle name="Normal 2 7 2 2 2 2 3 5 2" xfId="31837" xr:uid="{00000000-0005-0000-0000-0000DB670000}"/>
    <cellStyle name="Normal 2 7 2 2 2 2 3 6" xfId="24396" xr:uid="{00000000-0005-0000-0000-0000DC670000}"/>
    <cellStyle name="Normal 2 7 2 2 2 2 4" xfId="2669" xr:uid="{00000000-0005-0000-0000-0000DD670000}"/>
    <cellStyle name="Normal 2 7 2 2 2 2 4 2" xfId="6390" xr:uid="{00000000-0005-0000-0000-0000DE670000}"/>
    <cellStyle name="Normal 2 7 2 2 2 2 4 2 2" xfId="21274" xr:uid="{00000000-0005-0000-0000-0000DF670000}"/>
    <cellStyle name="Normal 2 7 2 2 2 2 4 2 2 2" xfId="43917" xr:uid="{00000000-0005-0000-0000-0000E0670000}"/>
    <cellStyle name="Normal 2 7 2 2 2 2 4 2 3" xfId="13834" xr:uid="{00000000-0005-0000-0000-0000E1670000}"/>
    <cellStyle name="Normal 2 7 2 2 2 2 4 2 3 2" xfId="36477" xr:uid="{00000000-0005-0000-0000-0000E2670000}"/>
    <cellStyle name="Normal 2 7 2 2 2 2 4 2 4" xfId="29036" xr:uid="{00000000-0005-0000-0000-0000E3670000}"/>
    <cellStyle name="Normal 2 7 2 2 2 2 4 3" xfId="17556" xr:uid="{00000000-0005-0000-0000-0000E4670000}"/>
    <cellStyle name="Normal 2 7 2 2 2 2 4 3 2" xfId="40199" xr:uid="{00000000-0005-0000-0000-0000E5670000}"/>
    <cellStyle name="Normal 2 7 2 2 2 2 4 4" xfId="10116" xr:uid="{00000000-0005-0000-0000-0000E6670000}"/>
    <cellStyle name="Normal 2 7 2 2 2 2 4 4 2" xfId="32759" xr:uid="{00000000-0005-0000-0000-0000E7670000}"/>
    <cellStyle name="Normal 2 7 2 2 2 2 4 5" xfId="25318" xr:uid="{00000000-0005-0000-0000-0000E8670000}"/>
    <cellStyle name="Normal 2 7 2 2 2 2 5" xfId="4543" xr:uid="{00000000-0005-0000-0000-0000E9670000}"/>
    <cellStyle name="Normal 2 7 2 2 2 2 5 2" xfId="19427" xr:uid="{00000000-0005-0000-0000-0000EA670000}"/>
    <cellStyle name="Normal 2 7 2 2 2 2 5 2 2" xfId="42070" xr:uid="{00000000-0005-0000-0000-0000EB670000}"/>
    <cellStyle name="Normal 2 7 2 2 2 2 5 3" xfId="11987" xr:uid="{00000000-0005-0000-0000-0000EC670000}"/>
    <cellStyle name="Normal 2 7 2 2 2 2 5 3 2" xfId="34630" xr:uid="{00000000-0005-0000-0000-0000ED670000}"/>
    <cellStyle name="Normal 2 7 2 2 2 2 5 4" xfId="27189" xr:uid="{00000000-0005-0000-0000-0000EE670000}"/>
    <cellStyle name="Normal 2 7 2 2 2 2 6" xfId="15709" xr:uid="{00000000-0005-0000-0000-0000EF670000}"/>
    <cellStyle name="Normal 2 7 2 2 2 2 6 2" xfId="38352" xr:uid="{00000000-0005-0000-0000-0000F0670000}"/>
    <cellStyle name="Normal 2 7 2 2 2 2 7" xfId="8269" xr:uid="{00000000-0005-0000-0000-0000F1670000}"/>
    <cellStyle name="Normal 2 7 2 2 2 2 7 2" xfId="30912" xr:uid="{00000000-0005-0000-0000-0000F2670000}"/>
    <cellStyle name="Normal 2 7 2 2 2 2 8" xfId="23471" xr:uid="{00000000-0005-0000-0000-0000F3670000}"/>
    <cellStyle name="Normal 2 7 2 2 2 3" xfId="1067" xr:uid="{00000000-0005-0000-0000-0000F4670000}"/>
    <cellStyle name="Normal 2 7 2 2 2 3 2" xfId="1995" xr:uid="{00000000-0005-0000-0000-0000F5670000}"/>
    <cellStyle name="Normal 2 7 2 2 2 3 2 2" xfId="3845" xr:uid="{00000000-0005-0000-0000-0000F6670000}"/>
    <cellStyle name="Normal 2 7 2 2 2 3 2 2 2" xfId="7566" xr:uid="{00000000-0005-0000-0000-0000F7670000}"/>
    <cellStyle name="Normal 2 7 2 2 2 3 2 2 2 2" xfId="22450" xr:uid="{00000000-0005-0000-0000-0000F8670000}"/>
    <cellStyle name="Normal 2 7 2 2 2 3 2 2 2 2 2" xfId="45093" xr:uid="{00000000-0005-0000-0000-0000F9670000}"/>
    <cellStyle name="Normal 2 7 2 2 2 3 2 2 2 3" xfId="15010" xr:uid="{00000000-0005-0000-0000-0000FA670000}"/>
    <cellStyle name="Normal 2 7 2 2 2 3 2 2 2 3 2" xfId="37653" xr:uid="{00000000-0005-0000-0000-0000FB670000}"/>
    <cellStyle name="Normal 2 7 2 2 2 3 2 2 2 4" xfId="30212" xr:uid="{00000000-0005-0000-0000-0000FC670000}"/>
    <cellStyle name="Normal 2 7 2 2 2 3 2 2 3" xfId="18732" xr:uid="{00000000-0005-0000-0000-0000FD670000}"/>
    <cellStyle name="Normal 2 7 2 2 2 3 2 2 3 2" xfId="41375" xr:uid="{00000000-0005-0000-0000-0000FE670000}"/>
    <cellStyle name="Normal 2 7 2 2 2 3 2 2 4" xfId="11292" xr:uid="{00000000-0005-0000-0000-0000FF670000}"/>
    <cellStyle name="Normal 2 7 2 2 2 3 2 2 4 2" xfId="33935" xr:uid="{00000000-0005-0000-0000-000000680000}"/>
    <cellStyle name="Normal 2 7 2 2 2 3 2 2 5" xfId="26494" xr:uid="{00000000-0005-0000-0000-000001680000}"/>
    <cellStyle name="Normal 2 7 2 2 2 3 2 3" xfId="5719" xr:uid="{00000000-0005-0000-0000-000002680000}"/>
    <cellStyle name="Normal 2 7 2 2 2 3 2 3 2" xfId="20603" xr:uid="{00000000-0005-0000-0000-000003680000}"/>
    <cellStyle name="Normal 2 7 2 2 2 3 2 3 2 2" xfId="43246" xr:uid="{00000000-0005-0000-0000-000004680000}"/>
    <cellStyle name="Normal 2 7 2 2 2 3 2 3 3" xfId="13163" xr:uid="{00000000-0005-0000-0000-000005680000}"/>
    <cellStyle name="Normal 2 7 2 2 2 3 2 3 3 2" xfId="35806" xr:uid="{00000000-0005-0000-0000-000006680000}"/>
    <cellStyle name="Normal 2 7 2 2 2 3 2 3 4" xfId="28365" xr:uid="{00000000-0005-0000-0000-000007680000}"/>
    <cellStyle name="Normal 2 7 2 2 2 3 2 4" xfId="16885" xr:uid="{00000000-0005-0000-0000-000008680000}"/>
    <cellStyle name="Normal 2 7 2 2 2 3 2 4 2" xfId="39528" xr:uid="{00000000-0005-0000-0000-000009680000}"/>
    <cellStyle name="Normal 2 7 2 2 2 3 2 5" xfId="9445" xr:uid="{00000000-0005-0000-0000-00000A680000}"/>
    <cellStyle name="Normal 2 7 2 2 2 3 2 5 2" xfId="32088" xr:uid="{00000000-0005-0000-0000-00000B680000}"/>
    <cellStyle name="Normal 2 7 2 2 2 3 2 6" xfId="24647" xr:uid="{00000000-0005-0000-0000-00000C680000}"/>
    <cellStyle name="Normal 2 7 2 2 2 3 3" xfId="2920" xr:uid="{00000000-0005-0000-0000-00000D680000}"/>
    <cellStyle name="Normal 2 7 2 2 2 3 3 2" xfId="6641" xr:uid="{00000000-0005-0000-0000-00000E680000}"/>
    <cellStyle name="Normal 2 7 2 2 2 3 3 2 2" xfId="21525" xr:uid="{00000000-0005-0000-0000-00000F680000}"/>
    <cellStyle name="Normal 2 7 2 2 2 3 3 2 2 2" xfId="44168" xr:uid="{00000000-0005-0000-0000-000010680000}"/>
    <cellStyle name="Normal 2 7 2 2 2 3 3 2 3" xfId="14085" xr:uid="{00000000-0005-0000-0000-000011680000}"/>
    <cellStyle name="Normal 2 7 2 2 2 3 3 2 3 2" xfId="36728" xr:uid="{00000000-0005-0000-0000-000012680000}"/>
    <cellStyle name="Normal 2 7 2 2 2 3 3 2 4" xfId="29287" xr:uid="{00000000-0005-0000-0000-000013680000}"/>
    <cellStyle name="Normal 2 7 2 2 2 3 3 3" xfId="17807" xr:uid="{00000000-0005-0000-0000-000014680000}"/>
    <cellStyle name="Normal 2 7 2 2 2 3 3 3 2" xfId="40450" xr:uid="{00000000-0005-0000-0000-000015680000}"/>
    <cellStyle name="Normal 2 7 2 2 2 3 3 4" xfId="10367" xr:uid="{00000000-0005-0000-0000-000016680000}"/>
    <cellStyle name="Normal 2 7 2 2 2 3 3 4 2" xfId="33010" xr:uid="{00000000-0005-0000-0000-000017680000}"/>
    <cellStyle name="Normal 2 7 2 2 2 3 3 5" xfId="25569" xr:uid="{00000000-0005-0000-0000-000018680000}"/>
    <cellStyle name="Normal 2 7 2 2 2 3 4" xfId="4794" xr:uid="{00000000-0005-0000-0000-000019680000}"/>
    <cellStyle name="Normal 2 7 2 2 2 3 4 2" xfId="19678" xr:uid="{00000000-0005-0000-0000-00001A680000}"/>
    <cellStyle name="Normal 2 7 2 2 2 3 4 2 2" xfId="42321" xr:uid="{00000000-0005-0000-0000-00001B680000}"/>
    <cellStyle name="Normal 2 7 2 2 2 3 4 3" xfId="12238" xr:uid="{00000000-0005-0000-0000-00001C680000}"/>
    <cellStyle name="Normal 2 7 2 2 2 3 4 3 2" xfId="34881" xr:uid="{00000000-0005-0000-0000-00001D680000}"/>
    <cellStyle name="Normal 2 7 2 2 2 3 4 4" xfId="27440" xr:uid="{00000000-0005-0000-0000-00001E680000}"/>
    <cellStyle name="Normal 2 7 2 2 2 3 5" xfId="15960" xr:uid="{00000000-0005-0000-0000-00001F680000}"/>
    <cellStyle name="Normal 2 7 2 2 2 3 5 2" xfId="38603" xr:uid="{00000000-0005-0000-0000-000020680000}"/>
    <cellStyle name="Normal 2 7 2 2 2 3 6" xfId="8520" xr:uid="{00000000-0005-0000-0000-000021680000}"/>
    <cellStyle name="Normal 2 7 2 2 2 3 6 2" xfId="31163" xr:uid="{00000000-0005-0000-0000-000022680000}"/>
    <cellStyle name="Normal 2 7 2 2 2 3 7" xfId="23722" xr:uid="{00000000-0005-0000-0000-000023680000}"/>
    <cellStyle name="Normal 2 7 2 2 2 4" xfId="1533" xr:uid="{00000000-0005-0000-0000-000024680000}"/>
    <cellStyle name="Normal 2 7 2 2 2 4 2" xfId="3383" xr:uid="{00000000-0005-0000-0000-000025680000}"/>
    <cellStyle name="Normal 2 7 2 2 2 4 2 2" xfId="7104" xr:uid="{00000000-0005-0000-0000-000026680000}"/>
    <cellStyle name="Normal 2 7 2 2 2 4 2 2 2" xfId="21988" xr:uid="{00000000-0005-0000-0000-000027680000}"/>
    <cellStyle name="Normal 2 7 2 2 2 4 2 2 2 2" xfId="44631" xr:uid="{00000000-0005-0000-0000-000028680000}"/>
    <cellStyle name="Normal 2 7 2 2 2 4 2 2 3" xfId="14548" xr:uid="{00000000-0005-0000-0000-000029680000}"/>
    <cellStyle name="Normal 2 7 2 2 2 4 2 2 3 2" xfId="37191" xr:uid="{00000000-0005-0000-0000-00002A680000}"/>
    <cellStyle name="Normal 2 7 2 2 2 4 2 2 4" xfId="29750" xr:uid="{00000000-0005-0000-0000-00002B680000}"/>
    <cellStyle name="Normal 2 7 2 2 2 4 2 3" xfId="18270" xr:uid="{00000000-0005-0000-0000-00002C680000}"/>
    <cellStyle name="Normal 2 7 2 2 2 4 2 3 2" xfId="40913" xr:uid="{00000000-0005-0000-0000-00002D680000}"/>
    <cellStyle name="Normal 2 7 2 2 2 4 2 4" xfId="10830" xr:uid="{00000000-0005-0000-0000-00002E680000}"/>
    <cellStyle name="Normal 2 7 2 2 2 4 2 4 2" xfId="33473" xr:uid="{00000000-0005-0000-0000-00002F680000}"/>
    <cellStyle name="Normal 2 7 2 2 2 4 2 5" xfId="26032" xr:uid="{00000000-0005-0000-0000-000030680000}"/>
    <cellStyle name="Normal 2 7 2 2 2 4 3" xfId="5257" xr:uid="{00000000-0005-0000-0000-000031680000}"/>
    <cellStyle name="Normal 2 7 2 2 2 4 3 2" xfId="20141" xr:uid="{00000000-0005-0000-0000-000032680000}"/>
    <cellStyle name="Normal 2 7 2 2 2 4 3 2 2" xfId="42784" xr:uid="{00000000-0005-0000-0000-000033680000}"/>
    <cellStyle name="Normal 2 7 2 2 2 4 3 3" xfId="12701" xr:uid="{00000000-0005-0000-0000-000034680000}"/>
    <cellStyle name="Normal 2 7 2 2 2 4 3 3 2" xfId="35344" xr:uid="{00000000-0005-0000-0000-000035680000}"/>
    <cellStyle name="Normal 2 7 2 2 2 4 3 4" xfId="27903" xr:uid="{00000000-0005-0000-0000-000036680000}"/>
    <cellStyle name="Normal 2 7 2 2 2 4 4" xfId="16423" xr:uid="{00000000-0005-0000-0000-000037680000}"/>
    <cellStyle name="Normal 2 7 2 2 2 4 4 2" xfId="39066" xr:uid="{00000000-0005-0000-0000-000038680000}"/>
    <cellStyle name="Normal 2 7 2 2 2 4 5" xfId="8983" xr:uid="{00000000-0005-0000-0000-000039680000}"/>
    <cellStyle name="Normal 2 7 2 2 2 4 5 2" xfId="31626" xr:uid="{00000000-0005-0000-0000-00003A680000}"/>
    <cellStyle name="Normal 2 7 2 2 2 4 6" xfId="24185" xr:uid="{00000000-0005-0000-0000-00003B680000}"/>
    <cellStyle name="Normal 2 7 2 2 2 5" xfId="2458" xr:uid="{00000000-0005-0000-0000-00003C680000}"/>
    <cellStyle name="Normal 2 7 2 2 2 5 2" xfId="6179" xr:uid="{00000000-0005-0000-0000-00003D680000}"/>
    <cellStyle name="Normal 2 7 2 2 2 5 2 2" xfId="21063" xr:uid="{00000000-0005-0000-0000-00003E680000}"/>
    <cellStyle name="Normal 2 7 2 2 2 5 2 2 2" xfId="43706" xr:uid="{00000000-0005-0000-0000-00003F680000}"/>
    <cellStyle name="Normal 2 7 2 2 2 5 2 3" xfId="13623" xr:uid="{00000000-0005-0000-0000-000040680000}"/>
    <cellStyle name="Normal 2 7 2 2 2 5 2 3 2" xfId="36266" xr:uid="{00000000-0005-0000-0000-000041680000}"/>
    <cellStyle name="Normal 2 7 2 2 2 5 2 4" xfId="28825" xr:uid="{00000000-0005-0000-0000-000042680000}"/>
    <cellStyle name="Normal 2 7 2 2 2 5 3" xfId="17345" xr:uid="{00000000-0005-0000-0000-000043680000}"/>
    <cellStyle name="Normal 2 7 2 2 2 5 3 2" xfId="39988" xr:uid="{00000000-0005-0000-0000-000044680000}"/>
    <cellStyle name="Normal 2 7 2 2 2 5 4" xfId="9905" xr:uid="{00000000-0005-0000-0000-000045680000}"/>
    <cellStyle name="Normal 2 7 2 2 2 5 4 2" xfId="32548" xr:uid="{00000000-0005-0000-0000-000046680000}"/>
    <cellStyle name="Normal 2 7 2 2 2 5 5" xfId="25107" xr:uid="{00000000-0005-0000-0000-000047680000}"/>
    <cellStyle name="Normal 2 7 2 2 2 6" xfId="4332" xr:uid="{00000000-0005-0000-0000-000048680000}"/>
    <cellStyle name="Normal 2 7 2 2 2 6 2" xfId="19216" xr:uid="{00000000-0005-0000-0000-000049680000}"/>
    <cellStyle name="Normal 2 7 2 2 2 6 2 2" xfId="41859" xr:uid="{00000000-0005-0000-0000-00004A680000}"/>
    <cellStyle name="Normal 2 7 2 2 2 6 3" xfId="11776" xr:uid="{00000000-0005-0000-0000-00004B680000}"/>
    <cellStyle name="Normal 2 7 2 2 2 6 3 2" xfId="34419" xr:uid="{00000000-0005-0000-0000-00004C680000}"/>
    <cellStyle name="Normal 2 7 2 2 2 6 4" xfId="26978" xr:uid="{00000000-0005-0000-0000-00004D680000}"/>
    <cellStyle name="Normal 2 7 2 2 2 7" xfId="15498" xr:uid="{00000000-0005-0000-0000-00004E680000}"/>
    <cellStyle name="Normal 2 7 2 2 2 7 2" xfId="38141" xr:uid="{00000000-0005-0000-0000-00004F680000}"/>
    <cellStyle name="Normal 2 7 2 2 2 8" xfId="8058" xr:uid="{00000000-0005-0000-0000-000050680000}"/>
    <cellStyle name="Normal 2 7 2 2 2 8 2" xfId="30701" xr:uid="{00000000-0005-0000-0000-000051680000}"/>
    <cellStyle name="Normal 2 7 2 2 2 9" xfId="23261" xr:uid="{00000000-0005-0000-0000-000052680000}"/>
    <cellStyle name="Normal 2 7 2 2 3" xfId="708" xr:uid="{00000000-0005-0000-0000-000053680000}"/>
    <cellStyle name="Normal 2 7 2 2 3 2" xfId="1173" xr:uid="{00000000-0005-0000-0000-000054680000}"/>
    <cellStyle name="Normal 2 7 2 2 3 2 2" xfId="2101" xr:uid="{00000000-0005-0000-0000-000055680000}"/>
    <cellStyle name="Normal 2 7 2 2 3 2 2 2" xfId="3951" xr:uid="{00000000-0005-0000-0000-000056680000}"/>
    <cellStyle name="Normal 2 7 2 2 3 2 2 2 2" xfId="7672" xr:uid="{00000000-0005-0000-0000-000057680000}"/>
    <cellStyle name="Normal 2 7 2 2 3 2 2 2 2 2" xfId="22556" xr:uid="{00000000-0005-0000-0000-000058680000}"/>
    <cellStyle name="Normal 2 7 2 2 3 2 2 2 2 2 2" xfId="45199" xr:uid="{00000000-0005-0000-0000-000059680000}"/>
    <cellStyle name="Normal 2 7 2 2 3 2 2 2 2 3" xfId="15116" xr:uid="{00000000-0005-0000-0000-00005A680000}"/>
    <cellStyle name="Normal 2 7 2 2 3 2 2 2 2 3 2" xfId="37759" xr:uid="{00000000-0005-0000-0000-00005B680000}"/>
    <cellStyle name="Normal 2 7 2 2 3 2 2 2 2 4" xfId="30318" xr:uid="{00000000-0005-0000-0000-00005C680000}"/>
    <cellStyle name="Normal 2 7 2 2 3 2 2 2 3" xfId="18838" xr:uid="{00000000-0005-0000-0000-00005D680000}"/>
    <cellStyle name="Normal 2 7 2 2 3 2 2 2 3 2" xfId="41481" xr:uid="{00000000-0005-0000-0000-00005E680000}"/>
    <cellStyle name="Normal 2 7 2 2 3 2 2 2 4" xfId="11398" xr:uid="{00000000-0005-0000-0000-00005F680000}"/>
    <cellStyle name="Normal 2 7 2 2 3 2 2 2 4 2" xfId="34041" xr:uid="{00000000-0005-0000-0000-000060680000}"/>
    <cellStyle name="Normal 2 7 2 2 3 2 2 2 5" xfId="26600" xr:uid="{00000000-0005-0000-0000-000061680000}"/>
    <cellStyle name="Normal 2 7 2 2 3 2 2 3" xfId="5825" xr:uid="{00000000-0005-0000-0000-000062680000}"/>
    <cellStyle name="Normal 2 7 2 2 3 2 2 3 2" xfId="20709" xr:uid="{00000000-0005-0000-0000-000063680000}"/>
    <cellStyle name="Normal 2 7 2 2 3 2 2 3 2 2" xfId="43352" xr:uid="{00000000-0005-0000-0000-000064680000}"/>
    <cellStyle name="Normal 2 7 2 2 3 2 2 3 3" xfId="13269" xr:uid="{00000000-0005-0000-0000-000065680000}"/>
    <cellStyle name="Normal 2 7 2 2 3 2 2 3 3 2" xfId="35912" xr:uid="{00000000-0005-0000-0000-000066680000}"/>
    <cellStyle name="Normal 2 7 2 2 3 2 2 3 4" xfId="28471" xr:uid="{00000000-0005-0000-0000-000067680000}"/>
    <cellStyle name="Normal 2 7 2 2 3 2 2 4" xfId="16991" xr:uid="{00000000-0005-0000-0000-000068680000}"/>
    <cellStyle name="Normal 2 7 2 2 3 2 2 4 2" xfId="39634" xr:uid="{00000000-0005-0000-0000-000069680000}"/>
    <cellStyle name="Normal 2 7 2 2 3 2 2 5" xfId="9551" xr:uid="{00000000-0005-0000-0000-00006A680000}"/>
    <cellStyle name="Normal 2 7 2 2 3 2 2 5 2" xfId="32194" xr:uid="{00000000-0005-0000-0000-00006B680000}"/>
    <cellStyle name="Normal 2 7 2 2 3 2 2 6" xfId="24753" xr:uid="{00000000-0005-0000-0000-00006C680000}"/>
    <cellStyle name="Normal 2 7 2 2 3 2 3" xfId="3026" xr:uid="{00000000-0005-0000-0000-00006D680000}"/>
    <cellStyle name="Normal 2 7 2 2 3 2 3 2" xfId="6747" xr:uid="{00000000-0005-0000-0000-00006E680000}"/>
    <cellStyle name="Normal 2 7 2 2 3 2 3 2 2" xfId="21631" xr:uid="{00000000-0005-0000-0000-00006F680000}"/>
    <cellStyle name="Normal 2 7 2 2 3 2 3 2 2 2" xfId="44274" xr:uid="{00000000-0005-0000-0000-000070680000}"/>
    <cellStyle name="Normal 2 7 2 2 3 2 3 2 3" xfId="14191" xr:uid="{00000000-0005-0000-0000-000071680000}"/>
    <cellStyle name="Normal 2 7 2 2 3 2 3 2 3 2" xfId="36834" xr:uid="{00000000-0005-0000-0000-000072680000}"/>
    <cellStyle name="Normal 2 7 2 2 3 2 3 2 4" xfId="29393" xr:uid="{00000000-0005-0000-0000-000073680000}"/>
    <cellStyle name="Normal 2 7 2 2 3 2 3 3" xfId="17913" xr:uid="{00000000-0005-0000-0000-000074680000}"/>
    <cellStyle name="Normal 2 7 2 2 3 2 3 3 2" xfId="40556" xr:uid="{00000000-0005-0000-0000-000075680000}"/>
    <cellStyle name="Normal 2 7 2 2 3 2 3 4" xfId="10473" xr:uid="{00000000-0005-0000-0000-000076680000}"/>
    <cellStyle name="Normal 2 7 2 2 3 2 3 4 2" xfId="33116" xr:uid="{00000000-0005-0000-0000-000077680000}"/>
    <cellStyle name="Normal 2 7 2 2 3 2 3 5" xfId="25675" xr:uid="{00000000-0005-0000-0000-000078680000}"/>
    <cellStyle name="Normal 2 7 2 2 3 2 4" xfId="4900" xr:uid="{00000000-0005-0000-0000-000079680000}"/>
    <cellStyle name="Normal 2 7 2 2 3 2 4 2" xfId="19784" xr:uid="{00000000-0005-0000-0000-00007A680000}"/>
    <cellStyle name="Normal 2 7 2 2 3 2 4 2 2" xfId="42427" xr:uid="{00000000-0005-0000-0000-00007B680000}"/>
    <cellStyle name="Normal 2 7 2 2 3 2 4 3" xfId="12344" xr:uid="{00000000-0005-0000-0000-00007C680000}"/>
    <cellStyle name="Normal 2 7 2 2 3 2 4 3 2" xfId="34987" xr:uid="{00000000-0005-0000-0000-00007D680000}"/>
    <cellStyle name="Normal 2 7 2 2 3 2 4 4" xfId="27546" xr:uid="{00000000-0005-0000-0000-00007E680000}"/>
    <cellStyle name="Normal 2 7 2 2 3 2 5" xfId="16066" xr:uid="{00000000-0005-0000-0000-00007F680000}"/>
    <cellStyle name="Normal 2 7 2 2 3 2 5 2" xfId="38709" xr:uid="{00000000-0005-0000-0000-000080680000}"/>
    <cellStyle name="Normal 2 7 2 2 3 2 6" xfId="8626" xr:uid="{00000000-0005-0000-0000-000081680000}"/>
    <cellStyle name="Normal 2 7 2 2 3 2 6 2" xfId="31269" xr:uid="{00000000-0005-0000-0000-000082680000}"/>
    <cellStyle name="Normal 2 7 2 2 3 2 7" xfId="23828" xr:uid="{00000000-0005-0000-0000-000083680000}"/>
    <cellStyle name="Normal 2 7 2 2 3 3" xfId="1639" xr:uid="{00000000-0005-0000-0000-000084680000}"/>
    <cellStyle name="Normal 2 7 2 2 3 3 2" xfId="3489" xr:uid="{00000000-0005-0000-0000-000085680000}"/>
    <cellStyle name="Normal 2 7 2 2 3 3 2 2" xfId="7210" xr:uid="{00000000-0005-0000-0000-000086680000}"/>
    <cellStyle name="Normal 2 7 2 2 3 3 2 2 2" xfId="22094" xr:uid="{00000000-0005-0000-0000-000087680000}"/>
    <cellStyle name="Normal 2 7 2 2 3 3 2 2 2 2" xfId="44737" xr:uid="{00000000-0005-0000-0000-000088680000}"/>
    <cellStyle name="Normal 2 7 2 2 3 3 2 2 3" xfId="14654" xr:uid="{00000000-0005-0000-0000-000089680000}"/>
    <cellStyle name="Normal 2 7 2 2 3 3 2 2 3 2" xfId="37297" xr:uid="{00000000-0005-0000-0000-00008A680000}"/>
    <cellStyle name="Normal 2 7 2 2 3 3 2 2 4" xfId="29856" xr:uid="{00000000-0005-0000-0000-00008B680000}"/>
    <cellStyle name="Normal 2 7 2 2 3 3 2 3" xfId="18376" xr:uid="{00000000-0005-0000-0000-00008C680000}"/>
    <cellStyle name="Normal 2 7 2 2 3 3 2 3 2" xfId="41019" xr:uid="{00000000-0005-0000-0000-00008D680000}"/>
    <cellStyle name="Normal 2 7 2 2 3 3 2 4" xfId="10936" xr:uid="{00000000-0005-0000-0000-00008E680000}"/>
    <cellStyle name="Normal 2 7 2 2 3 3 2 4 2" xfId="33579" xr:uid="{00000000-0005-0000-0000-00008F680000}"/>
    <cellStyle name="Normal 2 7 2 2 3 3 2 5" xfId="26138" xr:uid="{00000000-0005-0000-0000-000090680000}"/>
    <cellStyle name="Normal 2 7 2 2 3 3 3" xfId="5363" xr:uid="{00000000-0005-0000-0000-000091680000}"/>
    <cellStyle name="Normal 2 7 2 2 3 3 3 2" xfId="20247" xr:uid="{00000000-0005-0000-0000-000092680000}"/>
    <cellStyle name="Normal 2 7 2 2 3 3 3 2 2" xfId="42890" xr:uid="{00000000-0005-0000-0000-000093680000}"/>
    <cellStyle name="Normal 2 7 2 2 3 3 3 3" xfId="12807" xr:uid="{00000000-0005-0000-0000-000094680000}"/>
    <cellStyle name="Normal 2 7 2 2 3 3 3 3 2" xfId="35450" xr:uid="{00000000-0005-0000-0000-000095680000}"/>
    <cellStyle name="Normal 2 7 2 2 3 3 3 4" xfId="28009" xr:uid="{00000000-0005-0000-0000-000096680000}"/>
    <cellStyle name="Normal 2 7 2 2 3 3 4" xfId="16529" xr:uid="{00000000-0005-0000-0000-000097680000}"/>
    <cellStyle name="Normal 2 7 2 2 3 3 4 2" xfId="39172" xr:uid="{00000000-0005-0000-0000-000098680000}"/>
    <cellStyle name="Normal 2 7 2 2 3 3 5" xfId="9089" xr:uid="{00000000-0005-0000-0000-000099680000}"/>
    <cellStyle name="Normal 2 7 2 2 3 3 5 2" xfId="31732" xr:uid="{00000000-0005-0000-0000-00009A680000}"/>
    <cellStyle name="Normal 2 7 2 2 3 3 6" xfId="24291" xr:uid="{00000000-0005-0000-0000-00009B680000}"/>
    <cellStyle name="Normal 2 7 2 2 3 4" xfId="2564" xr:uid="{00000000-0005-0000-0000-00009C680000}"/>
    <cellStyle name="Normal 2 7 2 2 3 4 2" xfId="6285" xr:uid="{00000000-0005-0000-0000-00009D680000}"/>
    <cellStyle name="Normal 2 7 2 2 3 4 2 2" xfId="21169" xr:uid="{00000000-0005-0000-0000-00009E680000}"/>
    <cellStyle name="Normal 2 7 2 2 3 4 2 2 2" xfId="43812" xr:uid="{00000000-0005-0000-0000-00009F680000}"/>
    <cellStyle name="Normal 2 7 2 2 3 4 2 3" xfId="13729" xr:uid="{00000000-0005-0000-0000-0000A0680000}"/>
    <cellStyle name="Normal 2 7 2 2 3 4 2 3 2" xfId="36372" xr:uid="{00000000-0005-0000-0000-0000A1680000}"/>
    <cellStyle name="Normal 2 7 2 2 3 4 2 4" xfId="28931" xr:uid="{00000000-0005-0000-0000-0000A2680000}"/>
    <cellStyle name="Normal 2 7 2 2 3 4 3" xfId="17451" xr:uid="{00000000-0005-0000-0000-0000A3680000}"/>
    <cellStyle name="Normal 2 7 2 2 3 4 3 2" xfId="40094" xr:uid="{00000000-0005-0000-0000-0000A4680000}"/>
    <cellStyle name="Normal 2 7 2 2 3 4 4" xfId="10011" xr:uid="{00000000-0005-0000-0000-0000A5680000}"/>
    <cellStyle name="Normal 2 7 2 2 3 4 4 2" xfId="32654" xr:uid="{00000000-0005-0000-0000-0000A6680000}"/>
    <cellStyle name="Normal 2 7 2 2 3 4 5" xfId="25213" xr:uid="{00000000-0005-0000-0000-0000A7680000}"/>
    <cellStyle name="Normal 2 7 2 2 3 5" xfId="4438" xr:uid="{00000000-0005-0000-0000-0000A8680000}"/>
    <cellStyle name="Normal 2 7 2 2 3 5 2" xfId="19322" xr:uid="{00000000-0005-0000-0000-0000A9680000}"/>
    <cellStyle name="Normal 2 7 2 2 3 5 2 2" xfId="41965" xr:uid="{00000000-0005-0000-0000-0000AA680000}"/>
    <cellStyle name="Normal 2 7 2 2 3 5 3" xfId="11882" xr:uid="{00000000-0005-0000-0000-0000AB680000}"/>
    <cellStyle name="Normal 2 7 2 2 3 5 3 2" xfId="34525" xr:uid="{00000000-0005-0000-0000-0000AC680000}"/>
    <cellStyle name="Normal 2 7 2 2 3 5 4" xfId="27084" xr:uid="{00000000-0005-0000-0000-0000AD680000}"/>
    <cellStyle name="Normal 2 7 2 2 3 6" xfId="15604" xr:uid="{00000000-0005-0000-0000-0000AE680000}"/>
    <cellStyle name="Normal 2 7 2 2 3 6 2" xfId="38247" xr:uid="{00000000-0005-0000-0000-0000AF680000}"/>
    <cellStyle name="Normal 2 7 2 2 3 7" xfId="8164" xr:uid="{00000000-0005-0000-0000-0000B0680000}"/>
    <cellStyle name="Normal 2 7 2 2 3 7 2" xfId="30807" xr:uid="{00000000-0005-0000-0000-0000B1680000}"/>
    <cellStyle name="Normal 2 7 2 2 3 8" xfId="23366" xr:uid="{00000000-0005-0000-0000-0000B2680000}"/>
    <cellStyle name="Normal 2 7 2 2 4" xfId="962" xr:uid="{00000000-0005-0000-0000-0000B3680000}"/>
    <cellStyle name="Normal 2 7 2 2 4 2" xfId="1890" xr:uid="{00000000-0005-0000-0000-0000B4680000}"/>
    <cellStyle name="Normal 2 7 2 2 4 2 2" xfId="3740" xr:uid="{00000000-0005-0000-0000-0000B5680000}"/>
    <cellStyle name="Normal 2 7 2 2 4 2 2 2" xfId="7461" xr:uid="{00000000-0005-0000-0000-0000B6680000}"/>
    <cellStyle name="Normal 2 7 2 2 4 2 2 2 2" xfId="22345" xr:uid="{00000000-0005-0000-0000-0000B7680000}"/>
    <cellStyle name="Normal 2 7 2 2 4 2 2 2 2 2" xfId="44988" xr:uid="{00000000-0005-0000-0000-0000B8680000}"/>
    <cellStyle name="Normal 2 7 2 2 4 2 2 2 3" xfId="14905" xr:uid="{00000000-0005-0000-0000-0000B9680000}"/>
    <cellStyle name="Normal 2 7 2 2 4 2 2 2 3 2" xfId="37548" xr:uid="{00000000-0005-0000-0000-0000BA680000}"/>
    <cellStyle name="Normal 2 7 2 2 4 2 2 2 4" xfId="30107" xr:uid="{00000000-0005-0000-0000-0000BB680000}"/>
    <cellStyle name="Normal 2 7 2 2 4 2 2 3" xfId="18627" xr:uid="{00000000-0005-0000-0000-0000BC680000}"/>
    <cellStyle name="Normal 2 7 2 2 4 2 2 3 2" xfId="41270" xr:uid="{00000000-0005-0000-0000-0000BD680000}"/>
    <cellStyle name="Normal 2 7 2 2 4 2 2 4" xfId="11187" xr:uid="{00000000-0005-0000-0000-0000BE680000}"/>
    <cellStyle name="Normal 2 7 2 2 4 2 2 4 2" xfId="33830" xr:uid="{00000000-0005-0000-0000-0000BF680000}"/>
    <cellStyle name="Normal 2 7 2 2 4 2 2 5" xfId="26389" xr:uid="{00000000-0005-0000-0000-0000C0680000}"/>
    <cellStyle name="Normal 2 7 2 2 4 2 3" xfId="5614" xr:uid="{00000000-0005-0000-0000-0000C1680000}"/>
    <cellStyle name="Normal 2 7 2 2 4 2 3 2" xfId="20498" xr:uid="{00000000-0005-0000-0000-0000C2680000}"/>
    <cellStyle name="Normal 2 7 2 2 4 2 3 2 2" xfId="43141" xr:uid="{00000000-0005-0000-0000-0000C3680000}"/>
    <cellStyle name="Normal 2 7 2 2 4 2 3 3" xfId="13058" xr:uid="{00000000-0005-0000-0000-0000C4680000}"/>
    <cellStyle name="Normal 2 7 2 2 4 2 3 3 2" xfId="35701" xr:uid="{00000000-0005-0000-0000-0000C5680000}"/>
    <cellStyle name="Normal 2 7 2 2 4 2 3 4" xfId="28260" xr:uid="{00000000-0005-0000-0000-0000C6680000}"/>
    <cellStyle name="Normal 2 7 2 2 4 2 4" xfId="16780" xr:uid="{00000000-0005-0000-0000-0000C7680000}"/>
    <cellStyle name="Normal 2 7 2 2 4 2 4 2" xfId="39423" xr:uid="{00000000-0005-0000-0000-0000C8680000}"/>
    <cellStyle name="Normal 2 7 2 2 4 2 5" xfId="9340" xr:uid="{00000000-0005-0000-0000-0000C9680000}"/>
    <cellStyle name="Normal 2 7 2 2 4 2 5 2" xfId="31983" xr:uid="{00000000-0005-0000-0000-0000CA680000}"/>
    <cellStyle name="Normal 2 7 2 2 4 2 6" xfId="24542" xr:uid="{00000000-0005-0000-0000-0000CB680000}"/>
    <cellStyle name="Normal 2 7 2 2 4 3" xfId="2815" xr:uid="{00000000-0005-0000-0000-0000CC680000}"/>
    <cellStyle name="Normal 2 7 2 2 4 3 2" xfId="6536" xr:uid="{00000000-0005-0000-0000-0000CD680000}"/>
    <cellStyle name="Normal 2 7 2 2 4 3 2 2" xfId="21420" xr:uid="{00000000-0005-0000-0000-0000CE680000}"/>
    <cellStyle name="Normal 2 7 2 2 4 3 2 2 2" xfId="44063" xr:uid="{00000000-0005-0000-0000-0000CF680000}"/>
    <cellStyle name="Normal 2 7 2 2 4 3 2 3" xfId="13980" xr:uid="{00000000-0005-0000-0000-0000D0680000}"/>
    <cellStyle name="Normal 2 7 2 2 4 3 2 3 2" xfId="36623" xr:uid="{00000000-0005-0000-0000-0000D1680000}"/>
    <cellStyle name="Normal 2 7 2 2 4 3 2 4" xfId="29182" xr:uid="{00000000-0005-0000-0000-0000D2680000}"/>
    <cellStyle name="Normal 2 7 2 2 4 3 3" xfId="17702" xr:uid="{00000000-0005-0000-0000-0000D3680000}"/>
    <cellStyle name="Normal 2 7 2 2 4 3 3 2" xfId="40345" xr:uid="{00000000-0005-0000-0000-0000D4680000}"/>
    <cellStyle name="Normal 2 7 2 2 4 3 4" xfId="10262" xr:uid="{00000000-0005-0000-0000-0000D5680000}"/>
    <cellStyle name="Normal 2 7 2 2 4 3 4 2" xfId="32905" xr:uid="{00000000-0005-0000-0000-0000D6680000}"/>
    <cellStyle name="Normal 2 7 2 2 4 3 5" xfId="25464" xr:uid="{00000000-0005-0000-0000-0000D7680000}"/>
    <cellStyle name="Normal 2 7 2 2 4 4" xfId="4689" xr:uid="{00000000-0005-0000-0000-0000D8680000}"/>
    <cellStyle name="Normal 2 7 2 2 4 4 2" xfId="19573" xr:uid="{00000000-0005-0000-0000-0000D9680000}"/>
    <cellStyle name="Normal 2 7 2 2 4 4 2 2" xfId="42216" xr:uid="{00000000-0005-0000-0000-0000DA680000}"/>
    <cellStyle name="Normal 2 7 2 2 4 4 3" xfId="12133" xr:uid="{00000000-0005-0000-0000-0000DB680000}"/>
    <cellStyle name="Normal 2 7 2 2 4 4 3 2" xfId="34776" xr:uid="{00000000-0005-0000-0000-0000DC680000}"/>
    <cellStyle name="Normal 2 7 2 2 4 4 4" xfId="27335" xr:uid="{00000000-0005-0000-0000-0000DD680000}"/>
    <cellStyle name="Normal 2 7 2 2 4 5" xfId="15855" xr:uid="{00000000-0005-0000-0000-0000DE680000}"/>
    <cellStyle name="Normal 2 7 2 2 4 5 2" xfId="38498" xr:uid="{00000000-0005-0000-0000-0000DF680000}"/>
    <cellStyle name="Normal 2 7 2 2 4 6" xfId="8415" xr:uid="{00000000-0005-0000-0000-0000E0680000}"/>
    <cellStyle name="Normal 2 7 2 2 4 6 2" xfId="31058" xr:uid="{00000000-0005-0000-0000-0000E1680000}"/>
    <cellStyle name="Normal 2 7 2 2 4 7" xfId="23617" xr:uid="{00000000-0005-0000-0000-0000E2680000}"/>
    <cellStyle name="Normal 2 7 2 2 5" xfId="1428" xr:uid="{00000000-0005-0000-0000-0000E3680000}"/>
    <cellStyle name="Normal 2 7 2 2 5 2" xfId="3278" xr:uid="{00000000-0005-0000-0000-0000E4680000}"/>
    <cellStyle name="Normal 2 7 2 2 5 2 2" xfId="6999" xr:uid="{00000000-0005-0000-0000-0000E5680000}"/>
    <cellStyle name="Normal 2 7 2 2 5 2 2 2" xfId="21883" xr:uid="{00000000-0005-0000-0000-0000E6680000}"/>
    <cellStyle name="Normal 2 7 2 2 5 2 2 2 2" xfId="44526" xr:uid="{00000000-0005-0000-0000-0000E7680000}"/>
    <cellStyle name="Normal 2 7 2 2 5 2 2 3" xfId="14443" xr:uid="{00000000-0005-0000-0000-0000E8680000}"/>
    <cellStyle name="Normal 2 7 2 2 5 2 2 3 2" xfId="37086" xr:uid="{00000000-0005-0000-0000-0000E9680000}"/>
    <cellStyle name="Normal 2 7 2 2 5 2 2 4" xfId="29645" xr:uid="{00000000-0005-0000-0000-0000EA680000}"/>
    <cellStyle name="Normal 2 7 2 2 5 2 3" xfId="18165" xr:uid="{00000000-0005-0000-0000-0000EB680000}"/>
    <cellStyle name="Normal 2 7 2 2 5 2 3 2" xfId="40808" xr:uid="{00000000-0005-0000-0000-0000EC680000}"/>
    <cellStyle name="Normal 2 7 2 2 5 2 4" xfId="10725" xr:uid="{00000000-0005-0000-0000-0000ED680000}"/>
    <cellStyle name="Normal 2 7 2 2 5 2 4 2" xfId="33368" xr:uid="{00000000-0005-0000-0000-0000EE680000}"/>
    <cellStyle name="Normal 2 7 2 2 5 2 5" xfId="25927" xr:uid="{00000000-0005-0000-0000-0000EF680000}"/>
    <cellStyle name="Normal 2 7 2 2 5 3" xfId="5152" xr:uid="{00000000-0005-0000-0000-0000F0680000}"/>
    <cellStyle name="Normal 2 7 2 2 5 3 2" xfId="20036" xr:uid="{00000000-0005-0000-0000-0000F1680000}"/>
    <cellStyle name="Normal 2 7 2 2 5 3 2 2" xfId="42679" xr:uid="{00000000-0005-0000-0000-0000F2680000}"/>
    <cellStyle name="Normal 2 7 2 2 5 3 3" xfId="12596" xr:uid="{00000000-0005-0000-0000-0000F3680000}"/>
    <cellStyle name="Normal 2 7 2 2 5 3 3 2" xfId="35239" xr:uid="{00000000-0005-0000-0000-0000F4680000}"/>
    <cellStyle name="Normal 2 7 2 2 5 3 4" xfId="27798" xr:uid="{00000000-0005-0000-0000-0000F5680000}"/>
    <cellStyle name="Normal 2 7 2 2 5 4" xfId="16318" xr:uid="{00000000-0005-0000-0000-0000F6680000}"/>
    <cellStyle name="Normal 2 7 2 2 5 4 2" xfId="38961" xr:uid="{00000000-0005-0000-0000-0000F7680000}"/>
    <cellStyle name="Normal 2 7 2 2 5 5" xfId="8878" xr:uid="{00000000-0005-0000-0000-0000F8680000}"/>
    <cellStyle name="Normal 2 7 2 2 5 5 2" xfId="31521" xr:uid="{00000000-0005-0000-0000-0000F9680000}"/>
    <cellStyle name="Normal 2 7 2 2 5 6" xfId="24080" xr:uid="{00000000-0005-0000-0000-0000FA680000}"/>
    <cellStyle name="Normal 2 7 2 2 6" xfId="2353" xr:uid="{00000000-0005-0000-0000-0000FB680000}"/>
    <cellStyle name="Normal 2 7 2 2 6 2" xfId="6074" xr:uid="{00000000-0005-0000-0000-0000FC680000}"/>
    <cellStyle name="Normal 2 7 2 2 6 2 2" xfId="20958" xr:uid="{00000000-0005-0000-0000-0000FD680000}"/>
    <cellStyle name="Normal 2 7 2 2 6 2 2 2" xfId="43601" xr:uid="{00000000-0005-0000-0000-0000FE680000}"/>
    <cellStyle name="Normal 2 7 2 2 6 2 3" xfId="13518" xr:uid="{00000000-0005-0000-0000-0000FF680000}"/>
    <cellStyle name="Normal 2 7 2 2 6 2 3 2" xfId="36161" xr:uid="{00000000-0005-0000-0000-000000690000}"/>
    <cellStyle name="Normal 2 7 2 2 6 2 4" xfId="28720" xr:uid="{00000000-0005-0000-0000-000001690000}"/>
    <cellStyle name="Normal 2 7 2 2 6 3" xfId="17240" xr:uid="{00000000-0005-0000-0000-000002690000}"/>
    <cellStyle name="Normal 2 7 2 2 6 3 2" xfId="39883" xr:uid="{00000000-0005-0000-0000-000003690000}"/>
    <cellStyle name="Normal 2 7 2 2 6 4" xfId="9800" xr:uid="{00000000-0005-0000-0000-000004690000}"/>
    <cellStyle name="Normal 2 7 2 2 6 4 2" xfId="32443" xr:uid="{00000000-0005-0000-0000-000005690000}"/>
    <cellStyle name="Normal 2 7 2 2 6 5" xfId="25002" xr:uid="{00000000-0005-0000-0000-000006690000}"/>
    <cellStyle name="Normal 2 7 2 2 7" xfId="4227" xr:uid="{00000000-0005-0000-0000-000007690000}"/>
    <cellStyle name="Normal 2 7 2 2 7 2" xfId="19111" xr:uid="{00000000-0005-0000-0000-000008690000}"/>
    <cellStyle name="Normal 2 7 2 2 7 2 2" xfId="41754" xr:uid="{00000000-0005-0000-0000-000009690000}"/>
    <cellStyle name="Normal 2 7 2 2 7 3" xfId="11671" xr:uid="{00000000-0005-0000-0000-00000A690000}"/>
    <cellStyle name="Normal 2 7 2 2 7 3 2" xfId="34314" xr:uid="{00000000-0005-0000-0000-00000B690000}"/>
    <cellStyle name="Normal 2 7 2 2 7 4" xfId="26873" xr:uid="{00000000-0005-0000-0000-00000C690000}"/>
    <cellStyle name="Normal 2 7 2 2 8" xfId="15393" xr:uid="{00000000-0005-0000-0000-00000D690000}"/>
    <cellStyle name="Normal 2 7 2 2 8 2" xfId="38036" xr:uid="{00000000-0005-0000-0000-00000E690000}"/>
    <cellStyle name="Normal 2 7 2 2 9" xfId="7953" xr:uid="{00000000-0005-0000-0000-00000F690000}"/>
    <cellStyle name="Normal 2 7 2 2 9 2" xfId="30596" xr:uid="{00000000-0005-0000-0000-000010690000}"/>
    <cellStyle name="Normal 2 7 2 3" xfId="549" xr:uid="{00000000-0005-0000-0000-000011690000}"/>
    <cellStyle name="Normal 2 7 2 3 2" xfId="761" xr:uid="{00000000-0005-0000-0000-000012690000}"/>
    <cellStyle name="Normal 2 7 2 3 2 2" xfId="1226" xr:uid="{00000000-0005-0000-0000-000013690000}"/>
    <cellStyle name="Normal 2 7 2 3 2 2 2" xfId="2154" xr:uid="{00000000-0005-0000-0000-000014690000}"/>
    <cellStyle name="Normal 2 7 2 3 2 2 2 2" xfId="4004" xr:uid="{00000000-0005-0000-0000-000015690000}"/>
    <cellStyle name="Normal 2 7 2 3 2 2 2 2 2" xfId="7725" xr:uid="{00000000-0005-0000-0000-000016690000}"/>
    <cellStyle name="Normal 2 7 2 3 2 2 2 2 2 2" xfId="22609" xr:uid="{00000000-0005-0000-0000-000017690000}"/>
    <cellStyle name="Normal 2 7 2 3 2 2 2 2 2 2 2" xfId="45252" xr:uid="{00000000-0005-0000-0000-000018690000}"/>
    <cellStyle name="Normal 2 7 2 3 2 2 2 2 2 3" xfId="15169" xr:uid="{00000000-0005-0000-0000-000019690000}"/>
    <cellStyle name="Normal 2 7 2 3 2 2 2 2 2 3 2" xfId="37812" xr:uid="{00000000-0005-0000-0000-00001A690000}"/>
    <cellStyle name="Normal 2 7 2 3 2 2 2 2 2 4" xfId="30371" xr:uid="{00000000-0005-0000-0000-00001B690000}"/>
    <cellStyle name="Normal 2 7 2 3 2 2 2 2 3" xfId="18891" xr:uid="{00000000-0005-0000-0000-00001C690000}"/>
    <cellStyle name="Normal 2 7 2 3 2 2 2 2 3 2" xfId="41534" xr:uid="{00000000-0005-0000-0000-00001D690000}"/>
    <cellStyle name="Normal 2 7 2 3 2 2 2 2 4" xfId="11451" xr:uid="{00000000-0005-0000-0000-00001E690000}"/>
    <cellStyle name="Normal 2 7 2 3 2 2 2 2 4 2" xfId="34094" xr:uid="{00000000-0005-0000-0000-00001F690000}"/>
    <cellStyle name="Normal 2 7 2 3 2 2 2 2 5" xfId="26653" xr:uid="{00000000-0005-0000-0000-000020690000}"/>
    <cellStyle name="Normal 2 7 2 3 2 2 2 3" xfId="5878" xr:uid="{00000000-0005-0000-0000-000021690000}"/>
    <cellStyle name="Normal 2 7 2 3 2 2 2 3 2" xfId="20762" xr:uid="{00000000-0005-0000-0000-000022690000}"/>
    <cellStyle name="Normal 2 7 2 3 2 2 2 3 2 2" xfId="43405" xr:uid="{00000000-0005-0000-0000-000023690000}"/>
    <cellStyle name="Normal 2 7 2 3 2 2 2 3 3" xfId="13322" xr:uid="{00000000-0005-0000-0000-000024690000}"/>
    <cellStyle name="Normal 2 7 2 3 2 2 2 3 3 2" xfId="35965" xr:uid="{00000000-0005-0000-0000-000025690000}"/>
    <cellStyle name="Normal 2 7 2 3 2 2 2 3 4" xfId="28524" xr:uid="{00000000-0005-0000-0000-000026690000}"/>
    <cellStyle name="Normal 2 7 2 3 2 2 2 4" xfId="17044" xr:uid="{00000000-0005-0000-0000-000027690000}"/>
    <cellStyle name="Normal 2 7 2 3 2 2 2 4 2" xfId="39687" xr:uid="{00000000-0005-0000-0000-000028690000}"/>
    <cellStyle name="Normal 2 7 2 3 2 2 2 5" xfId="9604" xr:uid="{00000000-0005-0000-0000-000029690000}"/>
    <cellStyle name="Normal 2 7 2 3 2 2 2 5 2" xfId="32247" xr:uid="{00000000-0005-0000-0000-00002A690000}"/>
    <cellStyle name="Normal 2 7 2 3 2 2 2 6" xfId="24806" xr:uid="{00000000-0005-0000-0000-00002B690000}"/>
    <cellStyle name="Normal 2 7 2 3 2 2 3" xfId="3079" xr:uid="{00000000-0005-0000-0000-00002C690000}"/>
    <cellStyle name="Normal 2 7 2 3 2 2 3 2" xfId="6800" xr:uid="{00000000-0005-0000-0000-00002D690000}"/>
    <cellStyle name="Normal 2 7 2 3 2 2 3 2 2" xfId="21684" xr:uid="{00000000-0005-0000-0000-00002E690000}"/>
    <cellStyle name="Normal 2 7 2 3 2 2 3 2 2 2" xfId="44327" xr:uid="{00000000-0005-0000-0000-00002F690000}"/>
    <cellStyle name="Normal 2 7 2 3 2 2 3 2 3" xfId="14244" xr:uid="{00000000-0005-0000-0000-000030690000}"/>
    <cellStyle name="Normal 2 7 2 3 2 2 3 2 3 2" xfId="36887" xr:uid="{00000000-0005-0000-0000-000031690000}"/>
    <cellStyle name="Normal 2 7 2 3 2 2 3 2 4" xfId="29446" xr:uid="{00000000-0005-0000-0000-000032690000}"/>
    <cellStyle name="Normal 2 7 2 3 2 2 3 3" xfId="17966" xr:uid="{00000000-0005-0000-0000-000033690000}"/>
    <cellStyle name="Normal 2 7 2 3 2 2 3 3 2" xfId="40609" xr:uid="{00000000-0005-0000-0000-000034690000}"/>
    <cellStyle name="Normal 2 7 2 3 2 2 3 4" xfId="10526" xr:uid="{00000000-0005-0000-0000-000035690000}"/>
    <cellStyle name="Normal 2 7 2 3 2 2 3 4 2" xfId="33169" xr:uid="{00000000-0005-0000-0000-000036690000}"/>
    <cellStyle name="Normal 2 7 2 3 2 2 3 5" xfId="25728" xr:uid="{00000000-0005-0000-0000-000037690000}"/>
    <cellStyle name="Normal 2 7 2 3 2 2 4" xfId="4953" xr:uid="{00000000-0005-0000-0000-000038690000}"/>
    <cellStyle name="Normal 2 7 2 3 2 2 4 2" xfId="19837" xr:uid="{00000000-0005-0000-0000-000039690000}"/>
    <cellStyle name="Normal 2 7 2 3 2 2 4 2 2" xfId="42480" xr:uid="{00000000-0005-0000-0000-00003A690000}"/>
    <cellStyle name="Normal 2 7 2 3 2 2 4 3" xfId="12397" xr:uid="{00000000-0005-0000-0000-00003B690000}"/>
    <cellStyle name="Normal 2 7 2 3 2 2 4 3 2" xfId="35040" xr:uid="{00000000-0005-0000-0000-00003C690000}"/>
    <cellStyle name="Normal 2 7 2 3 2 2 4 4" xfId="27599" xr:uid="{00000000-0005-0000-0000-00003D690000}"/>
    <cellStyle name="Normal 2 7 2 3 2 2 5" xfId="16119" xr:uid="{00000000-0005-0000-0000-00003E690000}"/>
    <cellStyle name="Normal 2 7 2 3 2 2 5 2" xfId="38762" xr:uid="{00000000-0005-0000-0000-00003F690000}"/>
    <cellStyle name="Normal 2 7 2 3 2 2 6" xfId="8679" xr:uid="{00000000-0005-0000-0000-000040690000}"/>
    <cellStyle name="Normal 2 7 2 3 2 2 6 2" xfId="31322" xr:uid="{00000000-0005-0000-0000-000041690000}"/>
    <cellStyle name="Normal 2 7 2 3 2 2 7" xfId="23881" xr:uid="{00000000-0005-0000-0000-000042690000}"/>
    <cellStyle name="Normal 2 7 2 3 2 3" xfId="1692" xr:uid="{00000000-0005-0000-0000-000043690000}"/>
    <cellStyle name="Normal 2 7 2 3 2 3 2" xfId="3542" xr:uid="{00000000-0005-0000-0000-000044690000}"/>
    <cellStyle name="Normal 2 7 2 3 2 3 2 2" xfId="7263" xr:uid="{00000000-0005-0000-0000-000045690000}"/>
    <cellStyle name="Normal 2 7 2 3 2 3 2 2 2" xfId="22147" xr:uid="{00000000-0005-0000-0000-000046690000}"/>
    <cellStyle name="Normal 2 7 2 3 2 3 2 2 2 2" xfId="44790" xr:uid="{00000000-0005-0000-0000-000047690000}"/>
    <cellStyle name="Normal 2 7 2 3 2 3 2 2 3" xfId="14707" xr:uid="{00000000-0005-0000-0000-000048690000}"/>
    <cellStyle name="Normal 2 7 2 3 2 3 2 2 3 2" xfId="37350" xr:uid="{00000000-0005-0000-0000-000049690000}"/>
    <cellStyle name="Normal 2 7 2 3 2 3 2 2 4" xfId="29909" xr:uid="{00000000-0005-0000-0000-00004A690000}"/>
    <cellStyle name="Normal 2 7 2 3 2 3 2 3" xfId="18429" xr:uid="{00000000-0005-0000-0000-00004B690000}"/>
    <cellStyle name="Normal 2 7 2 3 2 3 2 3 2" xfId="41072" xr:uid="{00000000-0005-0000-0000-00004C690000}"/>
    <cellStyle name="Normal 2 7 2 3 2 3 2 4" xfId="10989" xr:uid="{00000000-0005-0000-0000-00004D690000}"/>
    <cellStyle name="Normal 2 7 2 3 2 3 2 4 2" xfId="33632" xr:uid="{00000000-0005-0000-0000-00004E690000}"/>
    <cellStyle name="Normal 2 7 2 3 2 3 2 5" xfId="26191" xr:uid="{00000000-0005-0000-0000-00004F690000}"/>
    <cellStyle name="Normal 2 7 2 3 2 3 3" xfId="5416" xr:uid="{00000000-0005-0000-0000-000050690000}"/>
    <cellStyle name="Normal 2 7 2 3 2 3 3 2" xfId="20300" xr:uid="{00000000-0005-0000-0000-000051690000}"/>
    <cellStyle name="Normal 2 7 2 3 2 3 3 2 2" xfId="42943" xr:uid="{00000000-0005-0000-0000-000052690000}"/>
    <cellStyle name="Normal 2 7 2 3 2 3 3 3" xfId="12860" xr:uid="{00000000-0005-0000-0000-000053690000}"/>
    <cellStyle name="Normal 2 7 2 3 2 3 3 3 2" xfId="35503" xr:uid="{00000000-0005-0000-0000-000054690000}"/>
    <cellStyle name="Normal 2 7 2 3 2 3 3 4" xfId="28062" xr:uid="{00000000-0005-0000-0000-000055690000}"/>
    <cellStyle name="Normal 2 7 2 3 2 3 4" xfId="16582" xr:uid="{00000000-0005-0000-0000-000056690000}"/>
    <cellStyle name="Normal 2 7 2 3 2 3 4 2" xfId="39225" xr:uid="{00000000-0005-0000-0000-000057690000}"/>
    <cellStyle name="Normal 2 7 2 3 2 3 5" xfId="9142" xr:uid="{00000000-0005-0000-0000-000058690000}"/>
    <cellStyle name="Normal 2 7 2 3 2 3 5 2" xfId="31785" xr:uid="{00000000-0005-0000-0000-000059690000}"/>
    <cellStyle name="Normal 2 7 2 3 2 3 6" xfId="24344" xr:uid="{00000000-0005-0000-0000-00005A690000}"/>
    <cellStyle name="Normal 2 7 2 3 2 4" xfId="2617" xr:uid="{00000000-0005-0000-0000-00005B690000}"/>
    <cellStyle name="Normal 2 7 2 3 2 4 2" xfId="6338" xr:uid="{00000000-0005-0000-0000-00005C690000}"/>
    <cellStyle name="Normal 2 7 2 3 2 4 2 2" xfId="21222" xr:uid="{00000000-0005-0000-0000-00005D690000}"/>
    <cellStyle name="Normal 2 7 2 3 2 4 2 2 2" xfId="43865" xr:uid="{00000000-0005-0000-0000-00005E690000}"/>
    <cellStyle name="Normal 2 7 2 3 2 4 2 3" xfId="13782" xr:uid="{00000000-0005-0000-0000-00005F690000}"/>
    <cellStyle name="Normal 2 7 2 3 2 4 2 3 2" xfId="36425" xr:uid="{00000000-0005-0000-0000-000060690000}"/>
    <cellStyle name="Normal 2 7 2 3 2 4 2 4" xfId="28984" xr:uid="{00000000-0005-0000-0000-000061690000}"/>
    <cellStyle name="Normal 2 7 2 3 2 4 3" xfId="17504" xr:uid="{00000000-0005-0000-0000-000062690000}"/>
    <cellStyle name="Normal 2 7 2 3 2 4 3 2" xfId="40147" xr:uid="{00000000-0005-0000-0000-000063690000}"/>
    <cellStyle name="Normal 2 7 2 3 2 4 4" xfId="10064" xr:uid="{00000000-0005-0000-0000-000064690000}"/>
    <cellStyle name="Normal 2 7 2 3 2 4 4 2" xfId="32707" xr:uid="{00000000-0005-0000-0000-000065690000}"/>
    <cellStyle name="Normal 2 7 2 3 2 4 5" xfId="25266" xr:uid="{00000000-0005-0000-0000-000066690000}"/>
    <cellStyle name="Normal 2 7 2 3 2 5" xfId="4491" xr:uid="{00000000-0005-0000-0000-000067690000}"/>
    <cellStyle name="Normal 2 7 2 3 2 5 2" xfId="19375" xr:uid="{00000000-0005-0000-0000-000068690000}"/>
    <cellStyle name="Normal 2 7 2 3 2 5 2 2" xfId="42018" xr:uid="{00000000-0005-0000-0000-000069690000}"/>
    <cellStyle name="Normal 2 7 2 3 2 5 3" xfId="11935" xr:uid="{00000000-0005-0000-0000-00006A690000}"/>
    <cellStyle name="Normal 2 7 2 3 2 5 3 2" xfId="34578" xr:uid="{00000000-0005-0000-0000-00006B690000}"/>
    <cellStyle name="Normal 2 7 2 3 2 5 4" xfId="27137" xr:uid="{00000000-0005-0000-0000-00006C690000}"/>
    <cellStyle name="Normal 2 7 2 3 2 6" xfId="15657" xr:uid="{00000000-0005-0000-0000-00006D690000}"/>
    <cellStyle name="Normal 2 7 2 3 2 6 2" xfId="38300" xr:uid="{00000000-0005-0000-0000-00006E690000}"/>
    <cellStyle name="Normal 2 7 2 3 2 7" xfId="8217" xr:uid="{00000000-0005-0000-0000-00006F690000}"/>
    <cellStyle name="Normal 2 7 2 3 2 7 2" xfId="30860" xr:uid="{00000000-0005-0000-0000-000070690000}"/>
    <cellStyle name="Normal 2 7 2 3 2 8" xfId="23419" xr:uid="{00000000-0005-0000-0000-000071690000}"/>
    <cellStyle name="Normal 2 7 2 3 3" xfId="1015" xr:uid="{00000000-0005-0000-0000-000072690000}"/>
    <cellStyle name="Normal 2 7 2 3 3 2" xfId="1943" xr:uid="{00000000-0005-0000-0000-000073690000}"/>
    <cellStyle name="Normal 2 7 2 3 3 2 2" xfId="3793" xr:uid="{00000000-0005-0000-0000-000074690000}"/>
    <cellStyle name="Normal 2 7 2 3 3 2 2 2" xfId="7514" xr:uid="{00000000-0005-0000-0000-000075690000}"/>
    <cellStyle name="Normal 2 7 2 3 3 2 2 2 2" xfId="22398" xr:uid="{00000000-0005-0000-0000-000076690000}"/>
    <cellStyle name="Normal 2 7 2 3 3 2 2 2 2 2" xfId="45041" xr:uid="{00000000-0005-0000-0000-000077690000}"/>
    <cellStyle name="Normal 2 7 2 3 3 2 2 2 3" xfId="14958" xr:uid="{00000000-0005-0000-0000-000078690000}"/>
    <cellStyle name="Normal 2 7 2 3 3 2 2 2 3 2" xfId="37601" xr:uid="{00000000-0005-0000-0000-000079690000}"/>
    <cellStyle name="Normal 2 7 2 3 3 2 2 2 4" xfId="30160" xr:uid="{00000000-0005-0000-0000-00007A690000}"/>
    <cellStyle name="Normal 2 7 2 3 3 2 2 3" xfId="18680" xr:uid="{00000000-0005-0000-0000-00007B690000}"/>
    <cellStyle name="Normal 2 7 2 3 3 2 2 3 2" xfId="41323" xr:uid="{00000000-0005-0000-0000-00007C690000}"/>
    <cellStyle name="Normal 2 7 2 3 3 2 2 4" xfId="11240" xr:uid="{00000000-0005-0000-0000-00007D690000}"/>
    <cellStyle name="Normal 2 7 2 3 3 2 2 4 2" xfId="33883" xr:uid="{00000000-0005-0000-0000-00007E690000}"/>
    <cellStyle name="Normal 2 7 2 3 3 2 2 5" xfId="26442" xr:uid="{00000000-0005-0000-0000-00007F690000}"/>
    <cellStyle name="Normal 2 7 2 3 3 2 3" xfId="5667" xr:uid="{00000000-0005-0000-0000-000080690000}"/>
    <cellStyle name="Normal 2 7 2 3 3 2 3 2" xfId="20551" xr:uid="{00000000-0005-0000-0000-000081690000}"/>
    <cellStyle name="Normal 2 7 2 3 3 2 3 2 2" xfId="43194" xr:uid="{00000000-0005-0000-0000-000082690000}"/>
    <cellStyle name="Normal 2 7 2 3 3 2 3 3" xfId="13111" xr:uid="{00000000-0005-0000-0000-000083690000}"/>
    <cellStyle name="Normal 2 7 2 3 3 2 3 3 2" xfId="35754" xr:uid="{00000000-0005-0000-0000-000084690000}"/>
    <cellStyle name="Normal 2 7 2 3 3 2 3 4" xfId="28313" xr:uid="{00000000-0005-0000-0000-000085690000}"/>
    <cellStyle name="Normal 2 7 2 3 3 2 4" xfId="16833" xr:uid="{00000000-0005-0000-0000-000086690000}"/>
    <cellStyle name="Normal 2 7 2 3 3 2 4 2" xfId="39476" xr:uid="{00000000-0005-0000-0000-000087690000}"/>
    <cellStyle name="Normal 2 7 2 3 3 2 5" xfId="9393" xr:uid="{00000000-0005-0000-0000-000088690000}"/>
    <cellStyle name="Normal 2 7 2 3 3 2 5 2" xfId="32036" xr:uid="{00000000-0005-0000-0000-000089690000}"/>
    <cellStyle name="Normal 2 7 2 3 3 2 6" xfId="24595" xr:uid="{00000000-0005-0000-0000-00008A690000}"/>
    <cellStyle name="Normal 2 7 2 3 3 3" xfId="2868" xr:uid="{00000000-0005-0000-0000-00008B690000}"/>
    <cellStyle name="Normal 2 7 2 3 3 3 2" xfId="6589" xr:uid="{00000000-0005-0000-0000-00008C690000}"/>
    <cellStyle name="Normal 2 7 2 3 3 3 2 2" xfId="21473" xr:uid="{00000000-0005-0000-0000-00008D690000}"/>
    <cellStyle name="Normal 2 7 2 3 3 3 2 2 2" xfId="44116" xr:uid="{00000000-0005-0000-0000-00008E690000}"/>
    <cellStyle name="Normal 2 7 2 3 3 3 2 3" xfId="14033" xr:uid="{00000000-0005-0000-0000-00008F690000}"/>
    <cellStyle name="Normal 2 7 2 3 3 3 2 3 2" xfId="36676" xr:uid="{00000000-0005-0000-0000-000090690000}"/>
    <cellStyle name="Normal 2 7 2 3 3 3 2 4" xfId="29235" xr:uid="{00000000-0005-0000-0000-000091690000}"/>
    <cellStyle name="Normal 2 7 2 3 3 3 3" xfId="17755" xr:uid="{00000000-0005-0000-0000-000092690000}"/>
    <cellStyle name="Normal 2 7 2 3 3 3 3 2" xfId="40398" xr:uid="{00000000-0005-0000-0000-000093690000}"/>
    <cellStyle name="Normal 2 7 2 3 3 3 4" xfId="10315" xr:uid="{00000000-0005-0000-0000-000094690000}"/>
    <cellStyle name="Normal 2 7 2 3 3 3 4 2" xfId="32958" xr:uid="{00000000-0005-0000-0000-000095690000}"/>
    <cellStyle name="Normal 2 7 2 3 3 3 5" xfId="25517" xr:uid="{00000000-0005-0000-0000-000096690000}"/>
    <cellStyle name="Normal 2 7 2 3 3 4" xfId="4742" xr:uid="{00000000-0005-0000-0000-000097690000}"/>
    <cellStyle name="Normal 2 7 2 3 3 4 2" xfId="19626" xr:uid="{00000000-0005-0000-0000-000098690000}"/>
    <cellStyle name="Normal 2 7 2 3 3 4 2 2" xfId="42269" xr:uid="{00000000-0005-0000-0000-000099690000}"/>
    <cellStyle name="Normal 2 7 2 3 3 4 3" xfId="12186" xr:uid="{00000000-0005-0000-0000-00009A690000}"/>
    <cellStyle name="Normal 2 7 2 3 3 4 3 2" xfId="34829" xr:uid="{00000000-0005-0000-0000-00009B690000}"/>
    <cellStyle name="Normal 2 7 2 3 3 4 4" xfId="27388" xr:uid="{00000000-0005-0000-0000-00009C690000}"/>
    <cellStyle name="Normal 2 7 2 3 3 5" xfId="15908" xr:uid="{00000000-0005-0000-0000-00009D690000}"/>
    <cellStyle name="Normal 2 7 2 3 3 5 2" xfId="38551" xr:uid="{00000000-0005-0000-0000-00009E690000}"/>
    <cellStyle name="Normal 2 7 2 3 3 6" xfId="8468" xr:uid="{00000000-0005-0000-0000-00009F690000}"/>
    <cellStyle name="Normal 2 7 2 3 3 6 2" xfId="31111" xr:uid="{00000000-0005-0000-0000-0000A0690000}"/>
    <cellStyle name="Normal 2 7 2 3 3 7" xfId="23670" xr:uid="{00000000-0005-0000-0000-0000A1690000}"/>
    <cellStyle name="Normal 2 7 2 3 4" xfId="1481" xr:uid="{00000000-0005-0000-0000-0000A2690000}"/>
    <cellStyle name="Normal 2 7 2 3 4 2" xfId="3331" xr:uid="{00000000-0005-0000-0000-0000A3690000}"/>
    <cellStyle name="Normal 2 7 2 3 4 2 2" xfId="7052" xr:uid="{00000000-0005-0000-0000-0000A4690000}"/>
    <cellStyle name="Normal 2 7 2 3 4 2 2 2" xfId="21936" xr:uid="{00000000-0005-0000-0000-0000A5690000}"/>
    <cellStyle name="Normal 2 7 2 3 4 2 2 2 2" xfId="44579" xr:uid="{00000000-0005-0000-0000-0000A6690000}"/>
    <cellStyle name="Normal 2 7 2 3 4 2 2 3" xfId="14496" xr:uid="{00000000-0005-0000-0000-0000A7690000}"/>
    <cellStyle name="Normal 2 7 2 3 4 2 2 3 2" xfId="37139" xr:uid="{00000000-0005-0000-0000-0000A8690000}"/>
    <cellStyle name="Normal 2 7 2 3 4 2 2 4" xfId="29698" xr:uid="{00000000-0005-0000-0000-0000A9690000}"/>
    <cellStyle name="Normal 2 7 2 3 4 2 3" xfId="18218" xr:uid="{00000000-0005-0000-0000-0000AA690000}"/>
    <cellStyle name="Normal 2 7 2 3 4 2 3 2" xfId="40861" xr:uid="{00000000-0005-0000-0000-0000AB690000}"/>
    <cellStyle name="Normal 2 7 2 3 4 2 4" xfId="10778" xr:uid="{00000000-0005-0000-0000-0000AC690000}"/>
    <cellStyle name="Normal 2 7 2 3 4 2 4 2" xfId="33421" xr:uid="{00000000-0005-0000-0000-0000AD690000}"/>
    <cellStyle name="Normal 2 7 2 3 4 2 5" xfId="25980" xr:uid="{00000000-0005-0000-0000-0000AE690000}"/>
    <cellStyle name="Normal 2 7 2 3 4 3" xfId="5205" xr:uid="{00000000-0005-0000-0000-0000AF690000}"/>
    <cellStyle name="Normal 2 7 2 3 4 3 2" xfId="20089" xr:uid="{00000000-0005-0000-0000-0000B0690000}"/>
    <cellStyle name="Normal 2 7 2 3 4 3 2 2" xfId="42732" xr:uid="{00000000-0005-0000-0000-0000B1690000}"/>
    <cellStyle name="Normal 2 7 2 3 4 3 3" xfId="12649" xr:uid="{00000000-0005-0000-0000-0000B2690000}"/>
    <cellStyle name="Normal 2 7 2 3 4 3 3 2" xfId="35292" xr:uid="{00000000-0005-0000-0000-0000B3690000}"/>
    <cellStyle name="Normal 2 7 2 3 4 3 4" xfId="27851" xr:uid="{00000000-0005-0000-0000-0000B4690000}"/>
    <cellStyle name="Normal 2 7 2 3 4 4" xfId="16371" xr:uid="{00000000-0005-0000-0000-0000B5690000}"/>
    <cellStyle name="Normal 2 7 2 3 4 4 2" xfId="39014" xr:uid="{00000000-0005-0000-0000-0000B6690000}"/>
    <cellStyle name="Normal 2 7 2 3 4 5" xfId="8931" xr:uid="{00000000-0005-0000-0000-0000B7690000}"/>
    <cellStyle name="Normal 2 7 2 3 4 5 2" xfId="31574" xr:uid="{00000000-0005-0000-0000-0000B8690000}"/>
    <cellStyle name="Normal 2 7 2 3 4 6" xfId="24133" xr:uid="{00000000-0005-0000-0000-0000B9690000}"/>
    <cellStyle name="Normal 2 7 2 3 5" xfId="2406" xr:uid="{00000000-0005-0000-0000-0000BA690000}"/>
    <cellStyle name="Normal 2 7 2 3 5 2" xfId="6127" xr:uid="{00000000-0005-0000-0000-0000BB690000}"/>
    <cellStyle name="Normal 2 7 2 3 5 2 2" xfId="21011" xr:uid="{00000000-0005-0000-0000-0000BC690000}"/>
    <cellStyle name="Normal 2 7 2 3 5 2 2 2" xfId="43654" xr:uid="{00000000-0005-0000-0000-0000BD690000}"/>
    <cellStyle name="Normal 2 7 2 3 5 2 3" xfId="13571" xr:uid="{00000000-0005-0000-0000-0000BE690000}"/>
    <cellStyle name="Normal 2 7 2 3 5 2 3 2" xfId="36214" xr:uid="{00000000-0005-0000-0000-0000BF690000}"/>
    <cellStyle name="Normal 2 7 2 3 5 2 4" xfId="28773" xr:uid="{00000000-0005-0000-0000-0000C0690000}"/>
    <cellStyle name="Normal 2 7 2 3 5 3" xfId="17293" xr:uid="{00000000-0005-0000-0000-0000C1690000}"/>
    <cellStyle name="Normal 2 7 2 3 5 3 2" xfId="39936" xr:uid="{00000000-0005-0000-0000-0000C2690000}"/>
    <cellStyle name="Normal 2 7 2 3 5 4" xfId="9853" xr:uid="{00000000-0005-0000-0000-0000C3690000}"/>
    <cellStyle name="Normal 2 7 2 3 5 4 2" xfId="32496" xr:uid="{00000000-0005-0000-0000-0000C4690000}"/>
    <cellStyle name="Normal 2 7 2 3 5 5" xfId="25055" xr:uid="{00000000-0005-0000-0000-0000C5690000}"/>
    <cellStyle name="Normal 2 7 2 3 6" xfId="4280" xr:uid="{00000000-0005-0000-0000-0000C6690000}"/>
    <cellStyle name="Normal 2 7 2 3 6 2" xfId="19164" xr:uid="{00000000-0005-0000-0000-0000C7690000}"/>
    <cellStyle name="Normal 2 7 2 3 6 2 2" xfId="41807" xr:uid="{00000000-0005-0000-0000-0000C8690000}"/>
    <cellStyle name="Normal 2 7 2 3 6 3" xfId="11724" xr:uid="{00000000-0005-0000-0000-0000C9690000}"/>
    <cellStyle name="Normal 2 7 2 3 6 3 2" xfId="34367" xr:uid="{00000000-0005-0000-0000-0000CA690000}"/>
    <cellStyle name="Normal 2 7 2 3 6 4" xfId="26926" xr:uid="{00000000-0005-0000-0000-0000CB690000}"/>
    <cellStyle name="Normal 2 7 2 3 7" xfId="15446" xr:uid="{00000000-0005-0000-0000-0000CC690000}"/>
    <cellStyle name="Normal 2 7 2 3 7 2" xfId="38089" xr:uid="{00000000-0005-0000-0000-0000CD690000}"/>
    <cellStyle name="Normal 2 7 2 3 8" xfId="8006" xr:uid="{00000000-0005-0000-0000-0000CE690000}"/>
    <cellStyle name="Normal 2 7 2 3 8 2" xfId="30649" xr:uid="{00000000-0005-0000-0000-0000CF690000}"/>
    <cellStyle name="Normal 2 7 2 3 9" xfId="23209" xr:uid="{00000000-0005-0000-0000-0000D0690000}"/>
    <cellStyle name="Normal 2 7 2 4" xfId="656" xr:uid="{00000000-0005-0000-0000-0000D1690000}"/>
    <cellStyle name="Normal 2 7 2 4 2" xfId="1121" xr:uid="{00000000-0005-0000-0000-0000D2690000}"/>
    <cellStyle name="Normal 2 7 2 4 2 2" xfId="2049" xr:uid="{00000000-0005-0000-0000-0000D3690000}"/>
    <cellStyle name="Normal 2 7 2 4 2 2 2" xfId="3899" xr:uid="{00000000-0005-0000-0000-0000D4690000}"/>
    <cellStyle name="Normal 2 7 2 4 2 2 2 2" xfId="7620" xr:uid="{00000000-0005-0000-0000-0000D5690000}"/>
    <cellStyle name="Normal 2 7 2 4 2 2 2 2 2" xfId="22504" xr:uid="{00000000-0005-0000-0000-0000D6690000}"/>
    <cellStyle name="Normal 2 7 2 4 2 2 2 2 2 2" xfId="45147" xr:uid="{00000000-0005-0000-0000-0000D7690000}"/>
    <cellStyle name="Normal 2 7 2 4 2 2 2 2 3" xfId="15064" xr:uid="{00000000-0005-0000-0000-0000D8690000}"/>
    <cellStyle name="Normal 2 7 2 4 2 2 2 2 3 2" xfId="37707" xr:uid="{00000000-0005-0000-0000-0000D9690000}"/>
    <cellStyle name="Normal 2 7 2 4 2 2 2 2 4" xfId="30266" xr:uid="{00000000-0005-0000-0000-0000DA690000}"/>
    <cellStyle name="Normal 2 7 2 4 2 2 2 3" xfId="18786" xr:uid="{00000000-0005-0000-0000-0000DB690000}"/>
    <cellStyle name="Normal 2 7 2 4 2 2 2 3 2" xfId="41429" xr:uid="{00000000-0005-0000-0000-0000DC690000}"/>
    <cellStyle name="Normal 2 7 2 4 2 2 2 4" xfId="11346" xr:uid="{00000000-0005-0000-0000-0000DD690000}"/>
    <cellStyle name="Normal 2 7 2 4 2 2 2 4 2" xfId="33989" xr:uid="{00000000-0005-0000-0000-0000DE690000}"/>
    <cellStyle name="Normal 2 7 2 4 2 2 2 5" xfId="26548" xr:uid="{00000000-0005-0000-0000-0000DF690000}"/>
    <cellStyle name="Normal 2 7 2 4 2 2 3" xfId="5773" xr:uid="{00000000-0005-0000-0000-0000E0690000}"/>
    <cellStyle name="Normal 2 7 2 4 2 2 3 2" xfId="20657" xr:uid="{00000000-0005-0000-0000-0000E1690000}"/>
    <cellStyle name="Normal 2 7 2 4 2 2 3 2 2" xfId="43300" xr:uid="{00000000-0005-0000-0000-0000E2690000}"/>
    <cellStyle name="Normal 2 7 2 4 2 2 3 3" xfId="13217" xr:uid="{00000000-0005-0000-0000-0000E3690000}"/>
    <cellStyle name="Normal 2 7 2 4 2 2 3 3 2" xfId="35860" xr:uid="{00000000-0005-0000-0000-0000E4690000}"/>
    <cellStyle name="Normal 2 7 2 4 2 2 3 4" xfId="28419" xr:uid="{00000000-0005-0000-0000-0000E5690000}"/>
    <cellStyle name="Normal 2 7 2 4 2 2 4" xfId="16939" xr:uid="{00000000-0005-0000-0000-0000E6690000}"/>
    <cellStyle name="Normal 2 7 2 4 2 2 4 2" xfId="39582" xr:uid="{00000000-0005-0000-0000-0000E7690000}"/>
    <cellStyle name="Normal 2 7 2 4 2 2 5" xfId="9499" xr:uid="{00000000-0005-0000-0000-0000E8690000}"/>
    <cellStyle name="Normal 2 7 2 4 2 2 5 2" xfId="32142" xr:uid="{00000000-0005-0000-0000-0000E9690000}"/>
    <cellStyle name="Normal 2 7 2 4 2 2 6" xfId="24701" xr:uid="{00000000-0005-0000-0000-0000EA690000}"/>
    <cellStyle name="Normal 2 7 2 4 2 3" xfId="2974" xr:uid="{00000000-0005-0000-0000-0000EB690000}"/>
    <cellStyle name="Normal 2 7 2 4 2 3 2" xfId="6695" xr:uid="{00000000-0005-0000-0000-0000EC690000}"/>
    <cellStyle name="Normal 2 7 2 4 2 3 2 2" xfId="21579" xr:uid="{00000000-0005-0000-0000-0000ED690000}"/>
    <cellStyle name="Normal 2 7 2 4 2 3 2 2 2" xfId="44222" xr:uid="{00000000-0005-0000-0000-0000EE690000}"/>
    <cellStyle name="Normal 2 7 2 4 2 3 2 3" xfId="14139" xr:uid="{00000000-0005-0000-0000-0000EF690000}"/>
    <cellStyle name="Normal 2 7 2 4 2 3 2 3 2" xfId="36782" xr:uid="{00000000-0005-0000-0000-0000F0690000}"/>
    <cellStyle name="Normal 2 7 2 4 2 3 2 4" xfId="29341" xr:uid="{00000000-0005-0000-0000-0000F1690000}"/>
    <cellStyle name="Normal 2 7 2 4 2 3 3" xfId="17861" xr:uid="{00000000-0005-0000-0000-0000F2690000}"/>
    <cellStyle name="Normal 2 7 2 4 2 3 3 2" xfId="40504" xr:uid="{00000000-0005-0000-0000-0000F3690000}"/>
    <cellStyle name="Normal 2 7 2 4 2 3 4" xfId="10421" xr:uid="{00000000-0005-0000-0000-0000F4690000}"/>
    <cellStyle name="Normal 2 7 2 4 2 3 4 2" xfId="33064" xr:uid="{00000000-0005-0000-0000-0000F5690000}"/>
    <cellStyle name="Normal 2 7 2 4 2 3 5" xfId="25623" xr:uid="{00000000-0005-0000-0000-0000F6690000}"/>
    <cellStyle name="Normal 2 7 2 4 2 4" xfId="4848" xr:uid="{00000000-0005-0000-0000-0000F7690000}"/>
    <cellStyle name="Normal 2 7 2 4 2 4 2" xfId="19732" xr:uid="{00000000-0005-0000-0000-0000F8690000}"/>
    <cellStyle name="Normal 2 7 2 4 2 4 2 2" xfId="42375" xr:uid="{00000000-0005-0000-0000-0000F9690000}"/>
    <cellStyle name="Normal 2 7 2 4 2 4 3" xfId="12292" xr:uid="{00000000-0005-0000-0000-0000FA690000}"/>
    <cellStyle name="Normal 2 7 2 4 2 4 3 2" xfId="34935" xr:uid="{00000000-0005-0000-0000-0000FB690000}"/>
    <cellStyle name="Normal 2 7 2 4 2 4 4" xfId="27494" xr:uid="{00000000-0005-0000-0000-0000FC690000}"/>
    <cellStyle name="Normal 2 7 2 4 2 5" xfId="16014" xr:uid="{00000000-0005-0000-0000-0000FD690000}"/>
    <cellStyle name="Normal 2 7 2 4 2 5 2" xfId="38657" xr:uid="{00000000-0005-0000-0000-0000FE690000}"/>
    <cellStyle name="Normal 2 7 2 4 2 6" xfId="8574" xr:uid="{00000000-0005-0000-0000-0000FF690000}"/>
    <cellStyle name="Normal 2 7 2 4 2 6 2" xfId="31217" xr:uid="{00000000-0005-0000-0000-0000006A0000}"/>
    <cellStyle name="Normal 2 7 2 4 2 7" xfId="23776" xr:uid="{00000000-0005-0000-0000-0000016A0000}"/>
    <cellStyle name="Normal 2 7 2 4 3" xfId="1587" xr:uid="{00000000-0005-0000-0000-0000026A0000}"/>
    <cellStyle name="Normal 2 7 2 4 3 2" xfId="3437" xr:uid="{00000000-0005-0000-0000-0000036A0000}"/>
    <cellStyle name="Normal 2 7 2 4 3 2 2" xfId="7158" xr:uid="{00000000-0005-0000-0000-0000046A0000}"/>
    <cellStyle name="Normal 2 7 2 4 3 2 2 2" xfId="22042" xr:uid="{00000000-0005-0000-0000-0000056A0000}"/>
    <cellStyle name="Normal 2 7 2 4 3 2 2 2 2" xfId="44685" xr:uid="{00000000-0005-0000-0000-0000066A0000}"/>
    <cellStyle name="Normal 2 7 2 4 3 2 2 3" xfId="14602" xr:uid="{00000000-0005-0000-0000-0000076A0000}"/>
    <cellStyle name="Normal 2 7 2 4 3 2 2 3 2" xfId="37245" xr:uid="{00000000-0005-0000-0000-0000086A0000}"/>
    <cellStyle name="Normal 2 7 2 4 3 2 2 4" xfId="29804" xr:uid="{00000000-0005-0000-0000-0000096A0000}"/>
    <cellStyle name="Normal 2 7 2 4 3 2 3" xfId="18324" xr:uid="{00000000-0005-0000-0000-00000A6A0000}"/>
    <cellStyle name="Normal 2 7 2 4 3 2 3 2" xfId="40967" xr:uid="{00000000-0005-0000-0000-00000B6A0000}"/>
    <cellStyle name="Normal 2 7 2 4 3 2 4" xfId="10884" xr:uid="{00000000-0005-0000-0000-00000C6A0000}"/>
    <cellStyle name="Normal 2 7 2 4 3 2 4 2" xfId="33527" xr:uid="{00000000-0005-0000-0000-00000D6A0000}"/>
    <cellStyle name="Normal 2 7 2 4 3 2 5" xfId="26086" xr:uid="{00000000-0005-0000-0000-00000E6A0000}"/>
    <cellStyle name="Normal 2 7 2 4 3 3" xfId="5311" xr:uid="{00000000-0005-0000-0000-00000F6A0000}"/>
    <cellStyle name="Normal 2 7 2 4 3 3 2" xfId="20195" xr:uid="{00000000-0005-0000-0000-0000106A0000}"/>
    <cellStyle name="Normal 2 7 2 4 3 3 2 2" xfId="42838" xr:uid="{00000000-0005-0000-0000-0000116A0000}"/>
    <cellStyle name="Normal 2 7 2 4 3 3 3" xfId="12755" xr:uid="{00000000-0005-0000-0000-0000126A0000}"/>
    <cellStyle name="Normal 2 7 2 4 3 3 3 2" xfId="35398" xr:uid="{00000000-0005-0000-0000-0000136A0000}"/>
    <cellStyle name="Normal 2 7 2 4 3 3 4" xfId="27957" xr:uid="{00000000-0005-0000-0000-0000146A0000}"/>
    <cellStyle name="Normal 2 7 2 4 3 4" xfId="16477" xr:uid="{00000000-0005-0000-0000-0000156A0000}"/>
    <cellStyle name="Normal 2 7 2 4 3 4 2" xfId="39120" xr:uid="{00000000-0005-0000-0000-0000166A0000}"/>
    <cellStyle name="Normal 2 7 2 4 3 5" xfId="9037" xr:uid="{00000000-0005-0000-0000-0000176A0000}"/>
    <cellStyle name="Normal 2 7 2 4 3 5 2" xfId="31680" xr:uid="{00000000-0005-0000-0000-0000186A0000}"/>
    <cellStyle name="Normal 2 7 2 4 3 6" xfId="24239" xr:uid="{00000000-0005-0000-0000-0000196A0000}"/>
    <cellStyle name="Normal 2 7 2 4 4" xfId="2512" xr:uid="{00000000-0005-0000-0000-00001A6A0000}"/>
    <cellStyle name="Normal 2 7 2 4 4 2" xfId="6233" xr:uid="{00000000-0005-0000-0000-00001B6A0000}"/>
    <cellStyle name="Normal 2 7 2 4 4 2 2" xfId="21117" xr:uid="{00000000-0005-0000-0000-00001C6A0000}"/>
    <cellStyle name="Normal 2 7 2 4 4 2 2 2" xfId="43760" xr:uid="{00000000-0005-0000-0000-00001D6A0000}"/>
    <cellStyle name="Normal 2 7 2 4 4 2 3" xfId="13677" xr:uid="{00000000-0005-0000-0000-00001E6A0000}"/>
    <cellStyle name="Normal 2 7 2 4 4 2 3 2" xfId="36320" xr:uid="{00000000-0005-0000-0000-00001F6A0000}"/>
    <cellStyle name="Normal 2 7 2 4 4 2 4" xfId="28879" xr:uid="{00000000-0005-0000-0000-0000206A0000}"/>
    <cellStyle name="Normal 2 7 2 4 4 3" xfId="17399" xr:uid="{00000000-0005-0000-0000-0000216A0000}"/>
    <cellStyle name="Normal 2 7 2 4 4 3 2" xfId="40042" xr:uid="{00000000-0005-0000-0000-0000226A0000}"/>
    <cellStyle name="Normal 2 7 2 4 4 4" xfId="9959" xr:uid="{00000000-0005-0000-0000-0000236A0000}"/>
    <cellStyle name="Normal 2 7 2 4 4 4 2" xfId="32602" xr:uid="{00000000-0005-0000-0000-0000246A0000}"/>
    <cellStyle name="Normal 2 7 2 4 4 5" xfId="25161" xr:uid="{00000000-0005-0000-0000-0000256A0000}"/>
    <cellStyle name="Normal 2 7 2 4 5" xfId="4386" xr:uid="{00000000-0005-0000-0000-0000266A0000}"/>
    <cellStyle name="Normal 2 7 2 4 5 2" xfId="19270" xr:uid="{00000000-0005-0000-0000-0000276A0000}"/>
    <cellStyle name="Normal 2 7 2 4 5 2 2" xfId="41913" xr:uid="{00000000-0005-0000-0000-0000286A0000}"/>
    <cellStyle name="Normal 2 7 2 4 5 3" xfId="11830" xr:uid="{00000000-0005-0000-0000-0000296A0000}"/>
    <cellStyle name="Normal 2 7 2 4 5 3 2" xfId="34473" xr:uid="{00000000-0005-0000-0000-00002A6A0000}"/>
    <cellStyle name="Normal 2 7 2 4 5 4" xfId="27032" xr:uid="{00000000-0005-0000-0000-00002B6A0000}"/>
    <cellStyle name="Normal 2 7 2 4 6" xfId="15552" xr:uid="{00000000-0005-0000-0000-00002C6A0000}"/>
    <cellStyle name="Normal 2 7 2 4 6 2" xfId="38195" xr:uid="{00000000-0005-0000-0000-00002D6A0000}"/>
    <cellStyle name="Normal 2 7 2 4 7" xfId="8112" xr:uid="{00000000-0005-0000-0000-00002E6A0000}"/>
    <cellStyle name="Normal 2 7 2 4 7 2" xfId="30755" xr:uid="{00000000-0005-0000-0000-00002F6A0000}"/>
    <cellStyle name="Normal 2 7 2 4 8" xfId="23314" xr:uid="{00000000-0005-0000-0000-0000306A0000}"/>
    <cellStyle name="Normal 2 7 2 5" xfId="910" xr:uid="{00000000-0005-0000-0000-0000316A0000}"/>
    <cellStyle name="Normal 2 7 2 5 2" xfId="1838" xr:uid="{00000000-0005-0000-0000-0000326A0000}"/>
    <cellStyle name="Normal 2 7 2 5 2 2" xfId="3688" xr:uid="{00000000-0005-0000-0000-0000336A0000}"/>
    <cellStyle name="Normal 2 7 2 5 2 2 2" xfId="7409" xr:uid="{00000000-0005-0000-0000-0000346A0000}"/>
    <cellStyle name="Normal 2 7 2 5 2 2 2 2" xfId="22293" xr:uid="{00000000-0005-0000-0000-0000356A0000}"/>
    <cellStyle name="Normal 2 7 2 5 2 2 2 2 2" xfId="44936" xr:uid="{00000000-0005-0000-0000-0000366A0000}"/>
    <cellStyle name="Normal 2 7 2 5 2 2 2 3" xfId="14853" xr:uid="{00000000-0005-0000-0000-0000376A0000}"/>
    <cellStyle name="Normal 2 7 2 5 2 2 2 3 2" xfId="37496" xr:uid="{00000000-0005-0000-0000-0000386A0000}"/>
    <cellStyle name="Normal 2 7 2 5 2 2 2 4" xfId="30055" xr:uid="{00000000-0005-0000-0000-0000396A0000}"/>
    <cellStyle name="Normal 2 7 2 5 2 2 3" xfId="18575" xr:uid="{00000000-0005-0000-0000-00003A6A0000}"/>
    <cellStyle name="Normal 2 7 2 5 2 2 3 2" xfId="41218" xr:uid="{00000000-0005-0000-0000-00003B6A0000}"/>
    <cellStyle name="Normal 2 7 2 5 2 2 4" xfId="11135" xr:uid="{00000000-0005-0000-0000-00003C6A0000}"/>
    <cellStyle name="Normal 2 7 2 5 2 2 4 2" xfId="33778" xr:uid="{00000000-0005-0000-0000-00003D6A0000}"/>
    <cellStyle name="Normal 2 7 2 5 2 2 5" xfId="26337" xr:uid="{00000000-0005-0000-0000-00003E6A0000}"/>
    <cellStyle name="Normal 2 7 2 5 2 3" xfId="5562" xr:uid="{00000000-0005-0000-0000-00003F6A0000}"/>
    <cellStyle name="Normal 2 7 2 5 2 3 2" xfId="20446" xr:uid="{00000000-0005-0000-0000-0000406A0000}"/>
    <cellStyle name="Normal 2 7 2 5 2 3 2 2" xfId="43089" xr:uid="{00000000-0005-0000-0000-0000416A0000}"/>
    <cellStyle name="Normal 2 7 2 5 2 3 3" xfId="13006" xr:uid="{00000000-0005-0000-0000-0000426A0000}"/>
    <cellStyle name="Normal 2 7 2 5 2 3 3 2" xfId="35649" xr:uid="{00000000-0005-0000-0000-0000436A0000}"/>
    <cellStyle name="Normal 2 7 2 5 2 3 4" xfId="28208" xr:uid="{00000000-0005-0000-0000-0000446A0000}"/>
    <cellStyle name="Normal 2 7 2 5 2 4" xfId="16728" xr:uid="{00000000-0005-0000-0000-0000456A0000}"/>
    <cellStyle name="Normal 2 7 2 5 2 4 2" xfId="39371" xr:uid="{00000000-0005-0000-0000-0000466A0000}"/>
    <cellStyle name="Normal 2 7 2 5 2 5" xfId="9288" xr:uid="{00000000-0005-0000-0000-0000476A0000}"/>
    <cellStyle name="Normal 2 7 2 5 2 5 2" xfId="31931" xr:uid="{00000000-0005-0000-0000-0000486A0000}"/>
    <cellStyle name="Normal 2 7 2 5 2 6" xfId="24490" xr:uid="{00000000-0005-0000-0000-0000496A0000}"/>
    <cellStyle name="Normal 2 7 2 5 3" xfId="2763" xr:uid="{00000000-0005-0000-0000-00004A6A0000}"/>
    <cellStyle name="Normal 2 7 2 5 3 2" xfId="6484" xr:uid="{00000000-0005-0000-0000-00004B6A0000}"/>
    <cellStyle name="Normal 2 7 2 5 3 2 2" xfId="21368" xr:uid="{00000000-0005-0000-0000-00004C6A0000}"/>
    <cellStyle name="Normal 2 7 2 5 3 2 2 2" xfId="44011" xr:uid="{00000000-0005-0000-0000-00004D6A0000}"/>
    <cellStyle name="Normal 2 7 2 5 3 2 3" xfId="13928" xr:uid="{00000000-0005-0000-0000-00004E6A0000}"/>
    <cellStyle name="Normal 2 7 2 5 3 2 3 2" xfId="36571" xr:uid="{00000000-0005-0000-0000-00004F6A0000}"/>
    <cellStyle name="Normal 2 7 2 5 3 2 4" xfId="29130" xr:uid="{00000000-0005-0000-0000-0000506A0000}"/>
    <cellStyle name="Normal 2 7 2 5 3 3" xfId="17650" xr:uid="{00000000-0005-0000-0000-0000516A0000}"/>
    <cellStyle name="Normal 2 7 2 5 3 3 2" xfId="40293" xr:uid="{00000000-0005-0000-0000-0000526A0000}"/>
    <cellStyle name="Normal 2 7 2 5 3 4" xfId="10210" xr:uid="{00000000-0005-0000-0000-0000536A0000}"/>
    <cellStyle name="Normal 2 7 2 5 3 4 2" xfId="32853" xr:uid="{00000000-0005-0000-0000-0000546A0000}"/>
    <cellStyle name="Normal 2 7 2 5 3 5" xfId="25412" xr:uid="{00000000-0005-0000-0000-0000556A0000}"/>
    <cellStyle name="Normal 2 7 2 5 4" xfId="4637" xr:uid="{00000000-0005-0000-0000-0000566A0000}"/>
    <cellStyle name="Normal 2 7 2 5 4 2" xfId="19521" xr:uid="{00000000-0005-0000-0000-0000576A0000}"/>
    <cellStyle name="Normal 2 7 2 5 4 2 2" xfId="42164" xr:uid="{00000000-0005-0000-0000-0000586A0000}"/>
    <cellStyle name="Normal 2 7 2 5 4 3" xfId="12081" xr:uid="{00000000-0005-0000-0000-0000596A0000}"/>
    <cellStyle name="Normal 2 7 2 5 4 3 2" xfId="34724" xr:uid="{00000000-0005-0000-0000-00005A6A0000}"/>
    <cellStyle name="Normal 2 7 2 5 4 4" xfId="27283" xr:uid="{00000000-0005-0000-0000-00005B6A0000}"/>
    <cellStyle name="Normal 2 7 2 5 5" xfId="15803" xr:uid="{00000000-0005-0000-0000-00005C6A0000}"/>
    <cellStyle name="Normal 2 7 2 5 5 2" xfId="38446" xr:uid="{00000000-0005-0000-0000-00005D6A0000}"/>
    <cellStyle name="Normal 2 7 2 5 6" xfId="8363" xr:uid="{00000000-0005-0000-0000-00005E6A0000}"/>
    <cellStyle name="Normal 2 7 2 5 6 2" xfId="31006" xr:uid="{00000000-0005-0000-0000-00005F6A0000}"/>
    <cellStyle name="Normal 2 7 2 5 7" xfId="23565" xr:uid="{00000000-0005-0000-0000-0000606A0000}"/>
    <cellStyle name="Normal 2 7 2 6" xfId="1376" xr:uid="{00000000-0005-0000-0000-0000616A0000}"/>
    <cellStyle name="Normal 2 7 2 6 2" xfId="3226" xr:uid="{00000000-0005-0000-0000-0000626A0000}"/>
    <cellStyle name="Normal 2 7 2 6 2 2" xfId="6947" xr:uid="{00000000-0005-0000-0000-0000636A0000}"/>
    <cellStyle name="Normal 2 7 2 6 2 2 2" xfId="21831" xr:uid="{00000000-0005-0000-0000-0000646A0000}"/>
    <cellStyle name="Normal 2 7 2 6 2 2 2 2" xfId="44474" xr:uid="{00000000-0005-0000-0000-0000656A0000}"/>
    <cellStyle name="Normal 2 7 2 6 2 2 3" xfId="14391" xr:uid="{00000000-0005-0000-0000-0000666A0000}"/>
    <cellStyle name="Normal 2 7 2 6 2 2 3 2" xfId="37034" xr:uid="{00000000-0005-0000-0000-0000676A0000}"/>
    <cellStyle name="Normal 2 7 2 6 2 2 4" xfId="29593" xr:uid="{00000000-0005-0000-0000-0000686A0000}"/>
    <cellStyle name="Normal 2 7 2 6 2 3" xfId="18113" xr:uid="{00000000-0005-0000-0000-0000696A0000}"/>
    <cellStyle name="Normal 2 7 2 6 2 3 2" xfId="40756" xr:uid="{00000000-0005-0000-0000-00006A6A0000}"/>
    <cellStyle name="Normal 2 7 2 6 2 4" xfId="10673" xr:uid="{00000000-0005-0000-0000-00006B6A0000}"/>
    <cellStyle name="Normal 2 7 2 6 2 4 2" xfId="33316" xr:uid="{00000000-0005-0000-0000-00006C6A0000}"/>
    <cellStyle name="Normal 2 7 2 6 2 5" xfId="25875" xr:uid="{00000000-0005-0000-0000-00006D6A0000}"/>
    <cellStyle name="Normal 2 7 2 6 3" xfId="5100" xr:uid="{00000000-0005-0000-0000-00006E6A0000}"/>
    <cellStyle name="Normal 2 7 2 6 3 2" xfId="19984" xr:uid="{00000000-0005-0000-0000-00006F6A0000}"/>
    <cellStyle name="Normal 2 7 2 6 3 2 2" xfId="42627" xr:uid="{00000000-0005-0000-0000-0000706A0000}"/>
    <cellStyle name="Normal 2 7 2 6 3 3" xfId="12544" xr:uid="{00000000-0005-0000-0000-0000716A0000}"/>
    <cellStyle name="Normal 2 7 2 6 3 3 2" xfId="35187" xr:uid="{00000000-0005-0000-0000-0000726A0000}"/>
    <cellStyle name="Normal 2 7 2 6 3 4" xfId="27746" xr:uid="{00000000-0005-0000-0000-0000736A0000}"/>
    <cellStyle name="Normal 2 7 2 6 4" xfId="16266" xr:uid="{00000000-0005-0000-0000-0000746A0000}"/>
    <cellStyle name="Normal 2 7 2 6 4 2" xfId="38909" xr:uid="{00000000-0005-0000-0000-0000756A0000}"/>
    <cellStyle name="Normal 2 7 2 6 5" xfId="8826" xr:uid="{00000000-0005-0000-0000-0000766A0000}"/>
    <cellStyle name="Normal 2 7 2 6 5 2" xfId="31469" xr:uid="{00000000-0005-0000-0000-0000776A0000}"/>
    <cellStyle name="Normal 2 7 2 6 6" xfId="24028" xr:uid="{00000000-0005-0000-0000-0000786A0000}"/>
    <cellStyle name="Normal 2 7 2 7" xfId="2301" xr:uid="{00000000-0005-0000-0000-0000796A0000}"/>
    <cellStyle name="Normal 2 7 2 7 2" xfId="6022" xr:uid="{00000000-0005-0000-0000-00007A6A0000}"/>
    <cellStyle name="Normal 2 7 2 7 2 2" xfId="20906" xr:uid="{00000000-0005-0000-0000-00007B6A0000}"/>
    <cellStyle name="Normal 2 7 2 7 2 2 2" xfId="43549" xr:uid="{00000000-0005-0000-0000-00007C6A0000}"/>
    <cellStyle name="Normal 2 7 2 7 2 3" xfId="13466" xr:uid="{00000000-0005-0000-0000-00007D6A0000}"/>
    <cellStyle name="Normal 2 7 2 7 2 3 2" xfId="36109" xr:uid="{00000000-0005-0000-0000-00007E6A0000}"/>
    <cellStyle name="Normal 2 7 2 7 2 4" xfId="28668" xr:uid="{00000000-0005-0000-0000-00007F6A0000}"/>
    <cellStyle name="Normal 2 7 2 7 3" xfId="17188" xr:uid="{00000000-0005-0000-0000-0000806A0000}"/>
    <cellStyle name="Normal 2 7 2 7 3 2" xfId="39831" xr:uid="{00000000-0005-0000-0000-0000816A0000}"/>
    <cellStyle name="Normal 2 7 2 7 4" xfId="9748" xr:uid="{00000000-0005-0000-0000-0000826A0000}"/>
    <cellStyle name="Normal 2 7 2 7 4 2" xfId="32391" xr:uid="{00000000-0005-0000-0000-0000836A0000}"/>
    <cellStyle name="Normal 2 7 2 7 5" xfId="24950" xr:uid="{00000000-0005-0000-0000-0000846A0000}"/>
    <cellStyle name="Normal 2 7 2 8" xfId="4175" xr:uid="{00000000-0005-0000-0000-0000856A0000}"/>
    <cellStyle name="Normal 2 7 2 8 2" xfId="19059" xr:uid="{00000000-0005-0000-0000-0000866A0000}"/>
    <cellStyle name="Normal 2 7 2 8 2 2" xfId="41702" xr:uid="{00000000-0005-0000-0000-0000876A0000}"/>
    <cellStyle name="Normal 2 7 2 8 3" xfId="11619" xr:uid="{00000000-0005-0000-0000-0000886A0000}"/>
    <cellStyle name="Normal 2 7 2 8 3 2" xfId="34262" xr:uid="{00000000-0005-0000-0000-0000896A0000}"/>
    <cellStyle name="Normal 2 7 2 8 4" xfId="26821" xr:uid="{00000000-0005-0000-0000-00008A6A0000}"/>
    <cellStyle name="Normal 2 7 2 9" xfId="15341" xr:uid="{00000000-0005-0000-0000-00008B6A0000}"/>
    <cellStyle name="Normal 2 7 2 9 2" xfId="37984" xr:uid="{00000000-0005-0000-0000-00008C6A0000}"/>
    <cellStyle name="Normal 2 7 3" xfId="475" xr:uid="{00000000-0005-0000-0000-00008D6A0000}"/>
    <cellStyle name="Normal 2 7 3 10" xfId="23136" xr:uid="{00000000-0005-0000-0000-00008E6A0000}"/>
    <cellStyle name="Normal 2 7 3 2" xfId="581" xr:uid="{00000000-0005-0000-0000-00008F6A0000}"/>
    <cellStyle name="Normal 2 7 3 2 2" xfId="793" xr:uid="{00000000-0005-0000-0000-0000906A0000}"/>
    <cellStyle name="Normal 2 7 3 2 2 2" xfId="1258" xr:uid="{00000000-0005-0000-0000-0000916A0000}"/>
    <cellStyle name="Normal 2 7 3 2 2 2 2" xfId="2186" xr:uid="{00000000-0005-0000-0000-0000926A0000}"/>
    <cellStyle name="Normal 2 7 3 2 2 2 2 2" xfId="4036" xr:uid="{00000000-0005-0000-0000-0000936A0000}"/>
    <cellStyle name="Normal 2 7 3 2 2 2 2 2 2" xfId="7757" xr:uid="{00000000-0005-0000-0000-0000946A0000}"/>
    <cellStyle name="Normal 2 7 3 2 2 2 2 2 2 2" xfId="22641" xr:uid="{00000000-0005-0000-0000-0000956A0000}"/>
    <cellStyle name="Normal 2 7 3 2 2 2 2 2 2 2 2" xfId="45284" xr:uid="{00000000-0005-0000-0000-0000966A0000}"/>
    <cellStyle name="Normal 2 7 3 2 2 2 2 2 2 3" xfId="15201" xr:uid="{00000000-0005-0000-0000-0000976A0000}"/>
    <cellStyle name="Normal 2 7 3 2 2 2 2 2 2 3 2" xfId="37844" xr:uid="{00000000-0005-0000-0000-0000986A0000}"/>
    <cellStyle name="Normal 2 7 3 2 2 2 2 2 2 4" xfId="30403" xr:uid="{00000000-0005-0000-0000-0000996A0000}"/>
    <cellStyle name="Normal 2 7 3 2 2 2 2 2 3" xfId="18923" xr:uid="{00000000-0005-0000-0000-00009A6A0000}"/>
    <cellStyle name="Normal 2 7 3 2 2 2 2 2 3 2" xfId="41566" xr:uid="{00000000-0005-0000-0000-00009B6A0000}"/>
    <cellStyle name="Normal 2 7 3 2 2 2 2 2 4" xfId="11483" xr:uid="{00000000-0005-0000-0000-00009C6A0000}"/>
    <cellStyle name="Normal 2 7 3 2 2 2 2 2 4 2" xfId="34126" xr:uid="{00000000-0005-0000-0000-00009D6A0000}"/>
    <cellStyle name="Normal 2 7 3 2 2 2 2 2 5" xfId="26685" xr:uid="{00000000-0005-0000-0000-00009E6A0000}"/>
    <cellStyle name="Normal 2 7 3 2 2 2 2 3" xfId="5910" xr:uid="{00000000-0005-0000-0000-00009F6A0000}"/>
    <cellStyle name="Normal 2 7 3 2 2 2 2 3 2" xfId="20794" xr:uid="{00000000-0005-0000-0000-0000A06A0000}"/>
    <cellStyle name="Normal 2 7 3 2 2 2 2 3 2 2" xfId="43437" xr:uid="{00000000-0005-0000-0000-0000A16A0000}"/>
    <cellStyle name="Normal 2 7 3 2 2 2 2 3 3" xfId="13354" xr:uid="{00000000-0005-0000-0000-0000A26A0000}"/>
    <cellStyle name="Normal 2 7 3 2 2 2 2 3 3 2" xfId="35997" xr:uid="{00000000-0005-0000-0000-0000A36A0000}"/>
    <cellStyle name="Normal 2 7 3 2 2 2 2 3 4" xfId="28556" xr:uid="{00000000-0005-0000-0000-0000A46A0000}"/>
    <cellStyle name="Normal 2 7 3 2 2 2 2 4" xfId="17076" xr:uid="{00000000-0005-0000-0000-0000A56A0000}"/>
    <cellStyle name="Normal 2 7 3 2 2 2 2 4 2" xfId="39719" xr:uid="{00000000-0005-0000-0000-0000A66A0000}"/>
    <cellStyle name="Normal 2 7 3 2 2 2 2 5" xfId="9636" xr:uid="{00000000-0005-0000-0000-0000A76A0000}"/>
    <cellStyle name="Normal 2 7 3 2 2 2 2 5 2" xfId="32279" xr:uid="{00000000-0005-0000-0000-0000A86A0000}"/>
    <cellStyle name="Normal 2 7 3 2 2 2 2 6" xfId="24838" xr:uid="{00000000-0005-0000-0000-0000A96A0000}"/>
    <cellStyle name="Normal 2 7 3 2 2 2 3" xfId="3111" xr:uid="{00000000-0005-0000-0000-0000AA6A0000}"/>
    <cellStyle name="Normal 2 7 3 2 2 2 3 2" xfId="6832" xr:uid="{00000000-0005-0000-0000-0000AB6A0000}"/>
    <cellStyle name="Normal 2 7 3 2 2 2 3 2 2" xfId="21716" xr:uid="{00000000-0005-0000-0000-0000AC6A0000}"/>
    <cellStyle name="Normal 2 7 3 2 2 2 3 2 2 2" xfId="44359" xr:uid="{00000000-0005-0000-0000-0000AD6A0000}"/>
    <cellStyle name="Normal 2 7 3 2 2 2 3 2 3" xfId="14276" xr:uid="{00000000-0005-0000-0000-0000AE6A0000}"/>
    <cellStyle name="Normal 2 7 3 2 2 2 3 2 3 2" xfId="36919" xr:uid="{00000000-0005-0000-0000-0000AF6A0000}"/>
    <cellStyle name="Normal 2 7 3 2 2 2 3 2 4" xfId="29478" xr:uid="{00000000-0005-0000-0000-0000B06A0000}"/>
    <cellStyle name="Normal 2 7 3 2 2 2 3 3" xfId="17998" xr:uid="{00000000-0005-0000-0000-0000B16A0000}"/>
    <cellStyle name="Normal 2 7 3 2 2 2 3 3 2" xfId="40641" xr:uid="{00000000-0005-0000-0000-0000B26A0000}"/>
    <cellStyle name="Normal 2 7 3 2 2 2 3 4" xfId="10558" xr:uid="{00000000-0005-0000-0000-0000B36A0000}"/>
    <cellStyle name="Normal 2 7 3 2 2 2 3 4 2" xfId="33201" xr:uid="{00000000-0005-0000-0000-0000B46A0000}"/>
    <cellStyle name="Normal 2 7 3 2 2 2 3 5" xfId="25760" xr:uid="{00000000-0005-0000-0000-0000B56A0000}"/>
    <cellStyle name="Normal 2 7 3 2 2 2 4" xfId="4985" xr:uid="{00000000-0005-0000-0000-0000B66A0000}"/>
    <cellStyle name="Normal 2 7 3 2 2 2 4 2" xfId="19869" xr:uid="{00000000-0005-0000-0000-0000B76A0000}"/>
    <cellStyle name="Normal 2 7 3 2 2 2 4 2 2" xfId="42512" xr:uid="{00000000-0005-0000-0000-0000B86A0000}"/>
    <cellStyle name="Normal 2 7 3 2 2 2 4 3" xfId="12429" xr:uid="{00000000-0005-0000-0000-0000B96A0000}"/>
    <cellStyle name="Normal 2 7 3 2 2 2 4 3 2" xfId="35072" xr:uid="{00000000-0005-0000-0000-0000BA6A0000}"/>
    <cellStyle name="Normal 2 7 3 2 2 2 4 4" xfId="27631" xr:uid="{00000000-0005-0000-0000-0000BB6A0000}"/>
    <cellStyle name="Normal 2 7 3 2 2 2 5" xfId="16151" xr:uid="{00000000-0005-0000-0000-0000BC6A0000}"/>
    <cellStyle name="Normal 2 7 3 2 2 2 5 2" xfId="38794" xr:uid="{00000000-0005-0000-0000-0000BD6A0000}"/>
    <cellStyle name="Normal 2 7 3 2 2 2 6" xfId="8711" xr:uid="{00000000-0005-0000-0000-0000BE6A0000}"/>
    <cellStyle name="Normal 2 7 3 2 2 2 6 2" xfId="31354" xr:uid="{00000000-0005-0000-0000-0000BF6A0000}"/>
    <cellStyle name="Normal 2 7 3 2 2 2 7" xfId="23913" xr:uid="{00000000-0005-0000-0000-0000C06A0000}"/>
    <cellStyle name="Normal 2 7 3 2 2 3" xfId="1724" xr:uid="{00000000-0005-0000-0000-0000C16A0000}"/>
    <cellStyle name="Normal 2 7 3 2 2 3 2" xfId="3574" xr:uid="{00000000-0005-0000-0000-0000C26A0000}"/>
    <cellStyle name="Normal 2 7 3 2 2 3 2 2" xfId="7295" xr:uid="{00000000-0005-0000-0000-0000C36A0000}"/>
    <cellStyle name="Normal 2 7 3 2 2 3 2 2 2" xfId="22179" xr:uid="{00000000-0005-0000-0000-0000C46A0000}"/>
    <cellStyle name="Normal 2 7 3 2 2 3 2 2 2 2" xfId="44822" xr:uid="{00000000-0005-0000-0000-0000C56A0000}"/>
    <cellStyle name="Normal 2 7 3 2 2 3 2 2 3" xfId="14739" xr:uid="{00000000-0005-0000-0000-0000C66A0000}"/>
    <cellStyle name="Normal 2 7 3 2 2 3 2 2 3 2" xfId="37382" xr:uid="{00000000-0005-0000-0000-0000C76A0000}"/>
    <cellStyle name="Normal 2 7 3 2 2 3 2 2 4" xfId="29941" xr:uid="{00000000-0005-0000-0000-0000C86A0000}"/>
    <cellStyle name="Normal 2 7 3 2 2 3 2 3" xfId="18461" xr:uid="{00000000-0005-0000-0000-0000C96A0000}"/>
    <cellStyle name="Normal 2 7 3 2 2 3 2 3 2" xfId="41104" xr:uid="{00000000-0005-0000-0000-0000CA6A0000}"/>
    <cellStyle name="Normal 2 7 3 2 2 3 2 4" xfId="11021" xr:uid="{00000000-0005-0000-0000-0000CB6A0000}"/>
    <cellStyle name="Normal 2 7 3 2 2 3 2 4 2" xfId="33664" xr:uid="{00000000-0005-0000-0000-0000CC6A0000}"/>
    <cellStyle name="Normal 2 7 3 2 2 3 2 5" xfId="26223" xr:uid="{00000000-0005-0000-0000-0000CD6A0000}"/>
    <cellStyle name="Normal 2 7 3 2 2 3 3" xfId="5448" xr:uid="{00000000-0005-0000-0000-0000CE6A0000}"/>
    <cellStyle name="Normal 2 7 3 2 2 3 3 2" xfId="20332" xr:uid="{00000000-0005-0000-0000-0000CF6A0000}"/>
    <cellStyle name="Normal 2 7 3 2 2 3 3 2 2" xfId="42975" xr:uid="{00000000-0005-0000-0000-0000D06A0000}"/>
    <cellStyle name="Normal 2 7 3 2 2 3 3 3" xfId="12892" xr:uid="{00000000-0005-0000-0000-0000D16A0000}"/>
    <cellStyle name="Normal 2 7 3 2 2 3 3 3 2" xfId="35535" xr:uid="{00000000-0005-0000-0000-0000D26A0000}"/>
    <cellStyle name="Normal 2 7 3 2 2 3 3 4" xfId="28094" xr:uid="{00000000-0005-0000-0000-0000D36A0000}"/>
    <cellStyle name="Normal 2 7 3 2 2 3 4" xfId="16614" xr:uid="{00000000-0005-0000-0000-0000D46A0000}"/>
    <cellStyle name="Normal 2 7 3 2 2 3 4 2" xfId="39257" xr:uid="{00000000-0005-0000-0000-0000D56A0000}"/>
    <cellStyle name="Normal 2 7 3 2 2 3 5" xfId="9174" xr:uid="{00000000-0005-0000-0000-0000D66A0000}"/>
    <cellStyle name="Normal 2 7 3 2 2 3 5 2" xfId="31817" xr:uid="{00000000-0005-0000-0000-0000D76A0000}"/>
    <cellStyle name="Normal 2 7 3 2 2 3 6" xfId="24376" xr:uid="{00000000-0005-0000-0000-0000D86A0000}"/>
    <cellStyle name="Normal 2 7 3 2 2 4" xfId="2649" xr:uid="{00000000-0005-0000-0000-0000D96A0000}"/>
    <cellStyle name="Normal 2 7 3 2 2 4 2" xfId="6370" xr:uid="{00000000-0005-0000-0000-0000DA6A0000}"/>
    <cellStyle name="Normal 2 7 3 2 2 4 2 2" xfId="21254" xr:uid="{00000000-0005-0000-0000-0000DB6A0000}"/>
    <cellStyle name="Normal 2 7 3 2 2 4 2 2 2" xfId="43897" xr:uid="{00000000-0005-0000-0000-0000DC6A0000}"/>
    <cellStyle name="Normal 2 7 3 2 2 4 2 3" xfId="13814" xr:uid="{00000000-0005-0000-0000-0000DD6A0000}"/>
    <cellStyle name="Normal 2 7 3 2 2 4 2 3 2" xfId="36457" xr:uid="{00000000-0005-0000-0000-0000DE6A0000}"/>
    <cellStyle name="Normal 2 7 3 2 2 4 2 4" xfId="29016" xr:uid="{00000000-0005-0000-0000-0000DF6A0000}"/>
    <cellStyle name="Normal 2 7 3 2 2 4 3" xfId="17536" xr:uid="{00000000-0005-0000-0000-0000E06A0000}"/>
    <cellStyle name="Normal 2 7 3 2 2 4 3 2" xfId="40179" xr:uid="{00000000-0005-0000-0000-0000E16A0000}"/>
    <cellStyle name="Normal 2 7 3 2 2 4 4" xfId="10096" xr:uid="{00000000-0005-0000-0000-0000E26A0000}"/>
    <cellStyle name="Normal 2 7 3 2 2 4 4 2" xfId="32739" xr:uid="{00000000-0005-0000-0000-0000E36A0000}"/>
    <cellStyle name="Normal 2 7 3 2 2 4 5" xfId="25298" xr:uid="{00000000-0005-0000-0000-0000E46A0000}"/>
    <cellStyle name="Normal 2 7 3 2 2 5" xfId="4523" xr:uid="{00000000-0005-0000-0000-0000E56A0000}"/>
    <cellStyle name="Normal 2 7 3 2 2 5 2" xfId="19407" xr:uid="{00000000-0005-0000-0000-0000E66A0000}"/>
    <cellStyle name="Normal 2 7 3 2 2 5 2 2" xfId="42050" xr:uid="{00000000-0005-0000-0000-0000E76A0000}"/>
    <cellStyle name="Normal 2 7 3 2 2 5 3" xfId="11967" xr:uid="{00000000-0005-0000-0000-0000E86A0000}"/>
    <cellStyle name="Normal 2 7 3 2 2 5 3 2" xfId="34610" xr:uid="{00000000-0005-0000-0000-0000E96A0000}"/>
    <cellStyle name="Normal 2 7 3 2 2 5 4" xfId="27169" xr:uid="{00000000-0005-0000-0000-0000EA6A0000}"/>
    <cellStyle name="Normal 2 7 3 2 2 6" xfId="15689" xr:uid="{00000000-0005-0000-0000-0000EB6A0000}"/>
    <cellStyle name="Normal 2 7 3 2 2 6 2" xfId="38332" xr:uid="{00000000-0005-0000-0000-0000EC6A0000}"/>
    <cellStyle name="Normal 2 7 3 2 2 7" xfId="8249" xr:uid="{00000000-0005-0000-0000-0000ED6A0000}"/>
    <cellStyle name="Normal 2 7 3 2 2 7 2" xfId="30892" xr:uid="{00000000-0005-0000-0000-0000EE6A0000}"/>
    <cellStyle name="Normal 2 7 3 2 2 8" xfId="23451" xr:uid="{00000000-0005-0000-0000-0000EF6A0000}"/>
    <cellStyle name="Normal 2 7 3 2 3" xfId="1047" xr:uid="{00000000-0005-0000-0000-0000F06A0000}"/>
    <cellStyle name="Normal 2 7 3 2 3 2" xfId="1975" xr:uid="{00000000-0005-0000-0000-0000F16A0000}"/>
    <cellStyle name="Normal 2 7 3 2 3 2 2" xfId="3825" xr:uid="{00000000-0005-0000-0000-0000F26A0000}"/>
    <cellStyle name="Normal 2 7 3 2 3 2 2 2" xfId="7546" xr:uid="{00000000-0005-0000-0000-0000F36A0000}"/>
    <cellStyle name="Normal 2 7 3 2 3 2 2 2 2" xfId="22430" xr:uid="{00000000-0005-0000-0000-0000F46A0000}"/>
    <cellStyle name="Normal 2 7 3 2 3 2 2 2 2 2" xfId="45073" xr:uid="{00000000-0005-0000-0000-0000F56A0000}"/>
    <cellStyle name="Normal 2 7 3 2 3 2 2 2 3" xfId="14990" xr:uid="{00000000-0005-0000-0000-0000F66A0000}"/>
    <cellStyle name="Normal 2 7 3 2 3 2 2 2 3 2" xfId="37633" xr:uid="{00000000-0005-0000-0000-0000F76A0000}"/>
    <cellStyle name="Normal 2 7 3 2 3 2 2 2 4" xfId="30192" xr:uid="{00000000-0005-0000-0000-0000F86A0000}"/>
    <cellStyle name="Normal 2 7 3 2 3 2 2 3" xfId="18712" xr:uid="{00000000-0005-0000-0000-0000F96A0000}"/>
    <cellStyle name="Normal 2 7 3 2 3 2 2 3 2" xfId="41355" xr:uid="{00000000-0005-0000-0000-0000FA6A0000}"/>
    <cellStyle name="Normal 2 7 3 2 3 2 2 4" xfId="11272" xr:uid="{00000000-0005-0000-0000-0000FB6A0000}"/>
    <cellStyle name="Normal 2 7 3 2 3 2 2 4 2" xfId="33915" xr:uid="{00000000-0005-0000-0000-0000FC6A0000}"/>
    <cellStyle name="Normal 2 7 3 2 3 2 2 5" xfId="26474" xr:uid="{00000000-0005-0000-0000-0000FD6A0000}"/>
    <cellStyle name="Normal 2 7 3 2 3 2 3" xfId="5699" xr:uid="{00000000-0005-0000-0000-0000FE6A0000}"/>
    <cellStyle name="Normal 2 7 3 2 3 2 3 2" xfId="20583" xr:uid="{00000000-0005-0000-0000-0000FF6A0000}"/>
    <cellStyle name="Normal 2 7 3 2 3 2 3 2 2" xfId="43226" xr:uid="{00000000-0005-0000-0000-0000006B0000}"/>
    <cellStyle name="Normal 2 7 3 2 3 2 3 3" xfId="13143" xr:uid="{00000000-0005-0000-0000-0000016B0000}"/>
    <cellStyle name="Normal 2 7 3 2 3 2 3 3 2" xfId="35786" xr:uid="{00000000-0005-0000-0000-0000026B0000}"/>
    <cellStyle name="Normal 2 7 3 2 3 2 3 4" xfId="28345" xr:uid="{00000000-0005-0000-0000-0000036B0000}"/>
    <cellStyle name="Normal 2 7 3 2 3 2 4" xfId="16865" xr:uid="{00000000-0005-0000-0000-0000046B0000}"/>
    <cellStyle name="Normal 2 7 3 2 3 2 4 2" xfId="39508" xr:uid="{00000000-0005-0000-0000-0000056B0000}"/>
    <cellStyle name="Normal 2 7 3 2 3 2 5" xfId="9425" xr:uid="{00000000-0005-0000-0000-0000066B0000}"/>
    <cellStyle name="Normal 2 7 3 2 3 2 5 2" xfId="32068" xr:uid="{00000000-0005-0000-0000-0000076B0000}"/>
    <cellStyle name="Normal 2 7 3 2 3 2 6" xfId="24627" xr:uid="{00000000-0005-0000-0000-0000086B0000}"/>
    <cellStyle name="Normal 2 7 3 2 3 3" xfId="2900" xr:uid="{00000000-0005-0000-0000-0000096B0000}"/>
    <cellStyle name="Normal 2 7 3 2 3 3 2" xfId="6621" xr:uid="{00000000-0005-0000-0000-00000A6B0000}"/>
    <cellStyle name="Normal 2 7 3 2 3 3 2 2" xfId="21505" xr:uid="{00000000-0005-0000-0000-00000B6B0000}"/>
    <cellStyle name="Normal 2 7 3 2 3 3 2 2 2" xfId="44148" xr:uid="{00000000-0005-0000-0000-00000C6B0000}"/>
    <cellStyle name="Normal 2 7 3 2 3 3 2 3" xfId="14065" xr:uid="{00000000-0005-0000-0000-00000D6B0000}"/>
    <cellStyle name="Normal 2 7 3 2 3 3 2 3 2" xfId="36708" xr:uid="{00000000-0005-0000-0000-00000E6B0000}"/>
    <cellStyle name="Normal 2 7 3 2 3 3 2 4" xfId="29267" xr:uid="{00000000-0005-0000-0000-00000F6B0000}"/>
    <cellStyle name="Normal 2 7 3 2 3 3 3" xfId="17787" xr:uid="{00000000-0005-0000-0000-0000106B0000}"/>
    <cellStyle name="Normal 2 7 3 2 3 3 3 2" xfId="40430" xr:uid="{00000000-0005-0000-0000-0000116B0000}"/>
    <cellStyle name="Normal 2 7 3 2 3 3 4" xfId="10347" xr:uid="{00000000-0005-0000-0000-0000126B0000}"/>
    <cellStyle name="Normal 2 7 3 2 3 3 4 2" xfId="32990" xr:uid="{00000000-0005-0000-0000-0000136B0000}"/>
    <cellStyle name="Normal 2 7 3 2 3 3 5" xfId="25549" xr:uid="{00000000-0005-0000-0000-0000146B0000}"/>
    <cellStyle name="Normal 2 7 3 2 3 4" xfId="4774" xr:uid="{00000000-0005-0000-0000-0000156B0000}"/>
    <cellStyle name="Normal 2 7 3 2 3 4 2" xfId="19658" xr:uid="{00000000-0005-0000-0000-0000166B0000}"/>
    <cellStyle name="Normal 2 7 3 2 3 4 2 2" xfId="42301" xr:uid="{00000000-0005-0000-0000-0000176B0000}"/>
    <cellStyle name="Normal 2 7 3 2 3 4 3" xfId="12218" xr:uid="{00000000-0005-0000-0000-0000186B0000}"/>
    <cellStyle name="Normal 2 7 3 2 3 4 3 2" xfId="34861" xr:uid="{00000000-0005-0000-0000-0000196B0000}"/>
    <cellStyle name="Normal 2 7 3 2 3 4 4" xfId="27420" xr:uid="{00000000-0005-0000-0000-00001A6B0000}"/>
    <cellStyle name="Normal 2 7 3 2 3 5" xfId="15940" xr:uid="{00000000-0005-0000-0000-00001B6B0000}"/>
    <cellStyle name="Normal 2 7 3 2 3 5 2" xfId="38583" xr:uid="{00000000-0005-0000-0000-00001C6B0000}"/>
    <cellStyle name="Normal 2 7 3 2 3 6" xfId="8500" xr:uid="{00000000-0005-0000-0000-00001D6B0000}"/>
    <cellStyle name="Normal 2 7 3 2 3 6 2" xfId="31143" xr:uid="{00000000-0005-0000-0000-00001E6B0000}"/>
    <cellStyle name="Normal 2 7 3 2 3 7" xfId="23702" xr:uid="{00000000-0005-0000-0000-00001F6B0000}"/>
    <cellStyle name="Normal 2 7 3 2 4" xfId="1513" xr:uid="{00000000-0005-0000-0000-0000206B0000}"/>
    <cellStyle name="Normal 2 7 3 2 4 2" xfId="3363" xr:uid="{00000000-0005-0000-0000-0000216B0000}"/>
    <cellStyle name="Normal 2 7 3 2 4 2 2" xfId="7084" xr:uid="{00000000-0005-0000-0000-0000226B0000}"/>
    <cellStyle name="Normal 2 7 3 2 4 2 2 2" xfId="21968" xr:uid="{00000000-0005-0000-0000-0000236B0000}"/>
    <cellStyle name="Normal 2 7 3 2 4 2 2 2 2" xfId="44611" xr:uid="{00000000-0005-0000-0000-0000246B0000}"/>
    <cellStyle name="Normal 2 7 3 2 4 2 2 3" xfId="14528" xr:uid="{00000000-0005-0000-0000-0000256B0000}"/>
    <cellStyle name="Normal 2 7 3 2 4 2 2 3 2" xfId="37171" xr:uid="{00000000-0005-0000-0000-0000266B0000}"/>
    <cellStyle name="Normal 2 7 3 2 4 2 2 4" xfId="29730" xr:uid="{00000000-0005-0000-0000-0000276B0000}"/>
    <cellStyle name="Normal 2 7 3 2 4 2 3" xfId="18250" xr:uid="{00000000-0005-0000-0000-0000286B0000}"/>
    <cellStyle name="Normal 2 7 3 2 4 2 3 2" xfId="40893" xr:uid="{00000000-0005-0000-0000-0000296B0000}"/>
    <cellStyle name="Normal 2 7 3 2 4 2 4" xfId="10810" xr:uid="{00000000-0005-0000-0000-00002A6B0000}"/>
    <cellStyle name="Normal 2 7 3 2 4 2 4 2" xfId="33453" xr:uid="{00000000-0005-0000-0000-00002B6B0000}"/>
    <cellStyle name="Normal 2 7 3 2 4 2 5" xfId="26012" xr:uid="{00000000-0005-0000-0000-00002C6B0000}"/>
    <cellStyle name="Normal 2 7 3 2 4 3" xfId="5237" xr:uid="{00000000-0005-0000-0000-00002D6B0000}"/>
    <cellStyle name="Normal 2 7 3 2 4 3 2" xfId="20121" xr:uid="{00000000-0005-0000-0000-00002E6B0000}"/>
    <cellStyle name="Normal 2 7 3 2 4 3 2 2" xfId="42764" xr:uid="{00000000-0005-0000-0000-00002F6B0000}"/>
    <cellStyle name="Normal 2 7 3 2 4 3 3" xfId="12681" xr:uid="{00000000-0005-0000-0000-0000306B0000}"/>
    <cellStyle name="Normal 2 7 3 2 4 3 3 2" xfId="35324" xr:uid="{00000000-0005-0000-0000-0000316B0000}"/>
    <cellStyle name="Normal 2 7 3 2 4 3 4" xfId="27883" xr:uid="{00000000-0005-0000-0000-0000326B0000}"/>
    <cellStyle name="Normal 2 7 3 2 4 4" xfId="16403" xr:uid="{00000000-0005-0000-0000-0000336B0000}"/>
    <cellStyle name="Normal 2 7 3 2 4 4 2" xfId="39046" xr:uid="{00000000-0005-0000-0000-0000346B0000}"/>
    <cellStyle name="Normal 2 7 3 2 4 5" xfId="8963" xr:uid="{00000000-0005-0000-0000-0000356B0000}"/>
    <cellStyle name="Normal 2 7 3 2 4 5 2" xfId="31606" xr:uid="{00000000-0005-0000-0000-0000366B0000}"/>
    <cellStyle name="Normal 2 7 3 2 4 6" xfId="24165" xr:uid="{00000000-0005-0000-0000-0000376B0000}"/>
    <cellStyle name="Normal 2 7 3 2 5" xfId="2438" xr:uid="{00000000-0005-0000-0000-0000386B0000}"/>
    <cellStyle name="Normal 2 7 3 2 5 2" xfId="6159" xr:uid="{00000000-0005-0000-0000-0000396B0000}"/>
    <cellStyle name="Normal 2 7 3 2 5 2 2" xfId="21043" xr:uid="{00000000-0005-0000-0000-00003A6B0000}"/>
    <cellStyle name="Normal 2 7 3 2 5 2 2 2" xfId="43686" xr:uid="{00000000-0005-0000-0000-00003B6B0000}"/>
    <cellStyle name="Normal 2 7 3 2 5 2 3" xfId="13603" xr:uid="{00000000-0005-0000-0000-00003C6B0000}"/>
    <cellStyle name="Normal 2 7 3 2 5 2 3 2" xfId="36246" xr:uid="{00000000-0005-0000-0000-00003D6B0000}"/>
    <cellStyle name="Normal 2 7 3 2 5 2 4" xfId="28805" xr:uid="{00000000-0005-0000-0000-00003E6B0000}"/>
    <cellStyle name="Normal 2 7 3 2 5 3" xfId="17325" xr:uid="{00000000-0005-0000-0000-00003F6B0000}"/>
    <cellStyle name="Normal 2 7 3 2 5 3 2" xfId="39968" xr:uid="{00000000-0005-0000-0000-0000406B0000}"/>
    <cellStyle name="Normal 2 7 3 2 5 4" xfId="9885" xr:uid="{00000000-0005-0000-0000-0000416B0000}"/>
    <cellStyle name="Normal 2 7 3 2 5 4 2" xfId="32528" xr:uid="{00000000-0005-0000-0000-0000426B0000}"/>
    <cellStyle name="Normal 2 7 3 2 5 5" xfId="25087" xr:uid="{00000000-0005-0000-0000-0000436B0000}"/>
    <cellStyle name="Normal 2 7 3 2 6" xfId="4312" xr:uid="{00000000-0005-0000-0000-0000446B0000}"/>
    <cellStyle name="Normal 2 7 3 2 6 2" xfId="19196" xr:uid="{00000000-0005-0000-0000-0000456B0000}"/>
    <cellStyle name="Normal 2 7 3 2 6 2 2" xfId="41839" xr:uid="{00000000-0005-0000-0000-0000466B0000}"/>
    <cellStyle name="Normal 2 7 3 2 6 3" xfId="11756" xr:uid="{00000000-0005-0000-0000-0000476B0000}"/>
    <cellStyle name="Normal 2 7 3 2 6 3 2" xfId="34399" xr:uid="{00000000-0005-0000-0000-0000486B0000}"/>
    <cellStyle name="Normal 2 7 3 2 6 4" xfId="26958" xr:uid="{00000000-0005-0000-0000-0000496B0000}"/>
    <cellStyle name="Normal 2 7 3 2 7" xfId="15478" xr:uid="{00000000-0005-0000-0000-00004A6B0000}"/>
    <cellStyle name="Normal 2 7 3 2 7 2" xfId="38121" xr:uid="{00000000-0005-0000-0000-00004B6B0000}"/>
    <cellStyle name="Normal 2 7 3 2 8" xfId="8038" xr:uid="{00000000-0005-0000-0000-00004C6B0000}"/>
    <cellStyle name="Normal 2 7 3 2 8 2" xfId="30681" xr:uid="{00000000-0005-0000-0000-00004D6B0000}"/>
    <cellStyle name="Normal 2 7 3 2 9" xfId="23241" xr:uid="{00000000-0005-0000-0000-00004E6B0000}"/>
    <cellStyle name="Normal 2 7 3 3" xfId="688" xr:uid="{00000000-0005-0000-0000-00004F6B0000}"/>
    <cellStyle name="Normal 2 7 3 3 2" xfId="1153" xr:uid="{00000000-0005-0000-0000-0000506B0000}"/>
    <cellStyle name="Normal 2 7 3 3 2 2" xfId="2081" xr:uid="{00000000-0005-0000-0000-0000516B0000}"/>
    <cellStyle name="Normal 2 7 3 3 2 2 2" xfId="3931" xr:uid="{00000000-0005-0000-0000-0000526B0000}"/>
    <cellStyle name="Normal 2 7 3 3 2 2 2 2" xfId="7652" xr:uid="{00000000-0005-0000-0000-0000536B0000}"/>
    <cellStyle name="Normal 2 7 3 3 2 2 2 2 2" xfId="22536" xr:uid="{00000000-0005-0000-0000-0000546B0000}"/>
    <cellStyle name="Normal 2 7 3 3 2 2 2 2 2 2" xfId="45179" xr:uid="{00000000-0005-0000-0000-0000556B0000}"/>
    <cellStyle name="Normal 2 7 3 3 2 2 2 2 3" xfId="15096" xr:uid="{00000000-0005-0000-0000-0000566B0000}"/>
    <cellStyle name="Normal 2 7 3 3 2 2 2 2 3 2" xfId="37739" xr:uid="{00000000-0005-0000-0000-0000576B0000}"/>
    <cellStyle name="Normal 2 7 3 3 2 2 2 2 4" xfId="30298" xr:uid="{00000000-0005-0000-0000-0000586B0000}"/>
    <cellStyle name="Normal 2 7 3 3 2 2 2 3" xfId="18818" xr:uid="{00000000-0005-0000-0000-0000596B0000}"/>
    <cellStyle name="Normal 2 7 3 3 2 2 2 3 2" xfId="41461" xr:uid="{00000000-0005-0000-0000-00005A6B0000}"/>
    <cellStyle name="Normal 2 7 3 3 2 2 2 4" xfId="11378" xr:uid="{00000000-0005-0000-0000-00005B6B0000}"/>
    <cellStyle name="Normal 2 7 3 3 2 2 2 4 2" xfId="34021" xr:uid="{00000000-0005-0000-0000-00005C6B0000}"/>
    <cellStyle name="Normal 2 7 3 3 2 2 2 5" xfId="26580" xr:uid="{00000000-0005-0000-0000-00005D6B0000}"/>
    <cellStyle name="Normal 2 7 3 3 2 2 3" xfId="5805" xr:uid="{00000000-0005-0000-0000-00005E6B0000}"/>
    <cellStyle name="Normal 2 7 3 3 2 2 3 2" xfId="20689" xr:uid="{00000000-0005-0000-0000-00005F6B0000}"/>
    <cellStyle name="Normal 2 7 3 3 2 2 3 2 2" xfId="43332" xr:uid="{00000000-0005-0000-0000-0000606B0000}"/>
    <cellStyle name="Normal 2 7 3 3 2 2 3 3" xfId="13249" xr:uid="{00000000-0005-0000-0000-0000616B0000}"/>
    <cellStyle name="Normal 2 7 3 3 2 2 3 3 2" xfId="35892" xr:uid="{00000000-0005-0000-0000-0000626B0000}"/>
    <cellStyle name="Normal 2 7 3 3 2 2 3 4" xfId="28451" xr:uid="{00000000-0005-0000-0000-0000636B0000}"/>
    <cellStyle name="Normal 2 7 3 3 2 2 4" xfId="16971" xr:uid="{00000000-0005-0000-0000-0000646B0000}"/>
    <cellStyle name="Normal 2 7 3 3 2 2 4 2" xfId="39614" xr:uid="{00000000-0005-0000-0000-0000656B0000}"/>
    <cellStyle name="Normal 2 7 3 3 2 2 5" xfId="9531" xr:uid="{00000000-0005-0000-0000-0000666B0000}"/>
    <cellStyle name="Normal 2 7 3 3 2 2 5 2" xfId="32174" xr:uid="{00000000-0005-0000-0000-0000676B0000}"/>
    <cellStyle name="Normal 2 7 3 3 2 2 6" xfId="24733" xr:uid="{00000000-0005-0000-0000-0000686B0000}"/>
    <cellStyle name="Normal 2 7 3 3 2 3" xfId="3006" xr:uid="{00000000-0005-0000-0000-0000696B0000}"/>
    <cellStyle name="Normal 2 7 3 3 2 3 2" xfId="6727" xr:uid="{00000000-0005-0000-0000-00006A6B0000}"/>
    <cellStyle name="Normal 2 7 3 3 2 3 2 2" xfId="21611" xr:uid="{00000000-0005-0000-0000-00006B6B0000}"/>
    <cellStyle name="Normal 2 7 3 3 2 3 2 2 2" xfId="44254" xr:uid="{00000000-0005-0000-0000-00006C6B0000}"/>
    <cellStyle name="Normal 2 7 3 3 2 3 2 3" xfId="14171" xr:uid="{00000000-0005-0000-0000-00006D6B0000}"/>
    <cellStyle name="Normal 2 7 3 3 2 3 2 3 2" xfId="36814" xr:uid="{00000000-0005-0000-0000-00006E6B0000}"/>
    <cellStyle name="Normal 2 7 3 3 2 3 2 4" xfId="29373" xr:uid="{00000000-0005-0000-0000-00006F6B0000}"/>
    <cellStyle name="Normal 2 7 3 3 2 3 3" xfId="17893" xr:uid="{00000000-0005-0000-0000-0000706B0000}"/>
    <cellStyle name="Normal 2 7 3 3 2 3 3 2" xfId="40536" xr:uid="{00000000-0005-0000-0000-0000716B0000}"/>
    <cellStyle name="Normal 2 7 3 3 2 3 4" xfId="10453" xr:uid="{00000000-0005-0000-0000-0000726B0000}"/>
    <cellStyle name="Normal 2 7 3 3 2 3 4 2" xfId="33096" xr:uid="{00000000-0005-0000-0000-0000736B0000}"/>
    <cellStyle name="Normal 2 7 3 3 2 3 5" xfId="25655" xr:uid="{00000000-0005-0000-0000-0000746B0000}"/>
    <cellStyle name="Normal 2 7 3 3 2 4" xfId="4880" xr:uid="{00000000-0005-0000-0000-0000756B0000}"/>
    <cellStyle name="Normal 2 7 3 3 2 4 2" xfId="19764" xr:uid="{00000000-0005-0000-0000-0000766B0000}"/>
    <cellStyle name="Normal 2 7 3 3 2 4 2 2" xfId="42407" xr:uid="{00000000-0005-0000-0000-0000776B0000}"/>
    <cellStyle name="Normal 2 7 3 3 2 4 3" xfId="12324" xr:uid="{00000000-0005-0000-0000-0000786B0000}"/>
    <cellStyle name="Normal 2 7 3 3 2 4 3 2" xfId="34967" xr:uid="{00000000-0005-0000-0000-0000796B0000}"/>
    <cellStyle name="Normal 2 7 3 3 2 4 4" xfId="27526" xr:uid="{00000000-0005-0000-0000-00007A6B0000}"/>
    <cellStyle name="Normal 2 7 3 3 2 5" xfId="16046" xr:uid="{00000000-0005-0000-0000-00007B6B0000}"/>
    <cellStyle name="Normal 2 7 3 3 2 5 2" xfId="38689" xr:uid="{00000000-0005-0000-0000-00007C6B0000}"/>
    <cellStyle name="Normal 2 7 3 3 2 6" xfId="8606" xr:uid="{00000000-0005-0000-0000-00007D6B0000}"/>
    <cellStyle name="Normal 2 7 3 3 2 6 2" xfId="31249" xr:uid="{00000000-0005-0000-0000-00007E6B0000}"/>
    <cellStyle name="Normal 2 7 3 3 2 7" xfId="23808" xr:uid="{00000000-0005-0000-0000-00007F6B0000}"/>
    <cellStyle name="Normal 2 7 3 3 3" xfId="1619" xr:uid="{00000000-0005-0000-0000-0000806B0000}"/>
    <cellStyle name="Normal 2 7 3 3 3 2" xfId="3469" xr:uid="{00000000-0005-0000-0000-0000816B0000}"/>
    <cellStyle name="Normal 2 7 3 3 3 2 2" xfId="7190" xr:uid="{00000000-0005-0000-0000-0000826B0000}"/>
    <cellStyle name="Normal 2 7 3 3 3 2 2 2" xfId="22074" xr:uid="{00000000-0005-0000-0000-0000836B0000}"/>
    <cellStyle name="Normal 2 7 3 3 3 2 2 2 2" xfId="44717" xr:uid="{00000000-0005-0000-0000-0000846B0000}"/>
    <cellStyle name="Normal 2 7 3 3 3 2 2 3" xfId="14634" xr:uid="{00000000-0005-0000-0000-0000856B0000}"/>
    <cellStyle name="Normal 2 7 3 3 3 2 2 3 2" xfId="37277" xr:uid="{00000000-0005-0000-0000-0000866B0000}"/>
    <cellStyle name="Normal 2 7 3 3 3 2 2 4" xfId="29836" xr:uid="{00000000-0005-0000-0000-0000876B0000}"/>
    <cellStyle name="Normal 2 7 3 3 3 2 3" xfId="18356" xr:uid="{00000000-0005-0000-0000-0000886B0000}"/>
    <cellStyle name="Normal 2 7 3 3 3 2 3 2" xfId="40999" xr:uid="{00000000-0005-0000-0000-0000896B0000}"/>
    <cellStyle name="Normal 2 7 3 3 3 2 4" xfId="10916" xr:uid="{00000000-0005-0000-0000-00008A6B0000}"/>
    <cellStyle name="Normal 2 7 3 3 3 2 4 2" xfId="33559" xr:uid="{00000000-0005-0000-0000-00008B6B0000}"/>
    <cellStyle name="Normal 2 7 3 3 3 2 5" xfId="26118" xr:uid="{00000000-0005-0000-0000-00008C6B0000}"/>
    <cellStyle name="Normal 2 7 3 3 3 3" xfId="5343" xr:uid="{00000000-0005-0000-0000-00008D6B0000}"/>
    <cellStyle name="Normal 2 7 3 3 3 3 2" xfId="20227" xr:uid="{00000000-0005-0000-0000-00008E6B0000}"/>
    <cellStyle name="Normal 2 7 3 3 3 3 2 2" xfId="42870" xr:uid="{00000000-0005-0000-0000-00008F6B0000}"/>
    <cellStyle name="Normal 2 7 3 3 3 3 3" xfId="12787" xr:uid="{00000000-0005-0000-0000-0000906B0000}"/>
    <cellStyle name="Normal 2 7 3 3 3 3 3 2" xfId="35430" xr:uid="{00000000-0005-0000-0000-0000916B0000}"/>
    <cellStyle name="Normal 2 7 3 3 3 3 4" xfId="27989" xr:uid="{00000000-0005-0000-0000-0000926B0000}"/>
    <cellStyle name="Normal 2 7 3 3 3 4" xfId="16509" xr:uid="{00000000-0005-0000-0000-0000936B0000}"/>
    <cellStyle name="Normal 2 7 3 3 3 4 2" xfId="39152" xr:uid="{00000000-0005-0000-0000-0000946B0000}"/>
    <cellStyle name="Normal 2 7 3 3 3 5" xfId="9069" xr:uid="{00000000-0005-0000-0000-0000956B0000}"/>
    <cellStyle name="Normal 2 7 3 3 3 5 2" xfId="31712" xr:uid="{00000000-0005-0000-0000-0000966B0000}"/>
    <cellStyle name="Normal 2 7 3 3 3 6" xfId="24271" xr:uid="{00000000-0005-0000-0000-0000976B0000}"/>
    <cellStyle name="Normal 2 7 3 3 4" xfId="2544" xr:uid="{00000000-0005-0000-0000-0000986B0000}"/>
    <cellStyle name="Normal 2 7 3 3 4 2" xfId="6265" xr:uid="{00000000-0005-0000-0000-0000996B0000}"/>
    <cellStyle name="Normal 2 7 3 3 4 2 2" xfId="21149" xr:uid="{00000000-0005-0000-0000-00009A6B0000}"/>
    <cellStyle name="Normal 2 7 3 3 4 2 2 2" xfId="43792" xr:uid="{00000000-0005-0000-0000-00009B6B0000}"/>
    <cellStyle name="Normal 2 7 3 3 4 2 3" xfId="13709" xr:uid="{00000000-0005-0000-0000-00009C6B0000}"/>
    <cellStyle name="Normal 2 7 3 3 4 2 3 2" xfId="36352" xr:uid="{00000000-0005-0000-0000-00009D6B0000}"/>
    <cellStyle name="Normal 2 7 3 3 4 2 4" xfId="28911" xr:uid="{00000000-0005-0000-0000-00009E6B0000}"/>
    <cellStyle name="Normal 2 7 3 3 4 3" xfId="17431" xr:uid="{00000000-0005-0000-0000-00009F6B0000}"/>
    <cellStyle name="Normal 2 7 3 3 4 3 2" xfId="40074" xr:uid="{00000000-0005-0000-0000-0000A06B0000}"/>
    <cellStyle name="Normal 2 7 3 3 4 4" xfId="9991" xr:uid="{00000000-0005-0000-0000-0000A16B0000}"/>
    <cellStyle name="Normal 2 7 3 3 4 4 2" xfId="32634" xr:uid="{00000000-0005-0000-0000-0000A26B0000}"/>
    <cellStyle name="Normal 2 7 3 3 4 5" xfId="25193" xr:uid="{00000000-0005-0000-0000-0000A36B0000}"/>
    <cellStyle name="Normal 2 7 3 3 5" xfId="4418" xr:uid="{00000000-0005-0000-0000-0000A46B0000}"/>
    <cellStyle name="Normal 2 7 3 3 5 2" xfId="19302" xr:uid="{00000000-0005-0000-0000-0000A56B0000}"/>
    <cellStyle name="Normal 2 7 3 3 5 2 2" xfId="41945" xr:uid="{00000000-0005-0000-0000-0000A66B0000}"/>
    <cellStyle name="Normal 2 7 3 3 5 3" xfId="11862" xr:uid="{00000000-0005-0000-0000-0000A76B0000}"/>
    <cellStyle name="Normal 2 7 3 3 5 3 2" xfId="34505" xr:uid="{00000000-0005-0000-0000-0000A86B0000}"/>
    <cellStyle name="Normal 2 7 3 3 5 4" xfId="27064" xr:uid="{00000000-0005-0000-0000-0000A96B0000}"/>
    <cellStyle name="Normal 2 7 3 3 6" xfId="15584" xr:uid="{00000000-0005-0000-0000-0000AA6B0000}"/>
    <cellStyle name="Normal 2 7 3 3 6 2" xfId="38227" xr:uid="{00000000-0005-0000-0000-0000AB6B0000}"/>
    <cellStyle name="Normal 2 7 3 3 7" xfId="8144" xr:uid="{00000000-0005-0000-0000-0000AC6B0000}"/>
    <cellStyle name="Normal 2 7 3 3 7 2" xfId="30787" xr:uid="{00000000-0005-0000-0000-0000AD6B0000}"/>
    <cellStyle name="Normal 2 7 3 3 8" xfId="23346" xr:uid="{00000000-0005-0000-0000-0000AE6B0000}"/>
    <cellStyle name="Normal 2 7 3 4" xfId="942" xr:uid="{00000000-0005-0000-0000-0000AF6B0000}"/>
    <cellStyle name="Normal 2 7 3 4 2" xfId="1870" xr:uid="{00000000-0005-0000-0000-0000B06B0000}"/>
    <cellStyle name="Normal 2 7 3 4 2 2" xfId="3720" xr:uid="{00000000-0005-0000-0000-0000B16B0000}"/>
    <cellStyle name="Normal 2 7 3 4 2 2 2" xfId="7441" xr:uid="{00000000-0005-0000-0000-0000B26B0000}"/>
    <cellStyle name="Normal 2 7 3 4 2 2 2 2" xfId="22325" xr:uid="{00000000-0005-0000-0000-0000B36B0000}"/>
    <cellStyle name="Normal 2 7 3 4 2 2 2 2 2" xfId="44968" xr:uid="{00000000-0005-0000-0000-0000B46B0000}"/>
    <cellStyle name="Normal 2 7 3 4 2 2 2 3" xfId="14885" xr:uid="{00000000-0005-0000-0000-0000B56B0000}"/>
    <cellStyle name="Normal 2 7 3 4 2 2 2 3 2" xfId="37528" xr:uid="{00000000-0005-0000-0000-0000B66B0000}"/>
    <cellStyle name="Normal 2 7 3 4 2 2 2 4" xfId="30087" xr:uid="{00000000-0005-0000-0000-0000B76B0000}"/>
    <cellStyle name="Normal 2 7 3 4 2 2 3" xfId="18607" xr:uid="{00000000-0005-0000-0000-0000B86B0000}"/>
    <cellStyle name="Normal 2 7 3 4 2 2 3 2" xfId="41250" xr:uid="{00000000-0005-0000-0000-0000B96B0000}"/>
    <cellStyle name="Normal 2 7 3 4 2 2 4" xfId="11167" xr:uid="{00000000-0005-0000-0000-0000BA6B0000}"/>
    <cellStyle name="Normal 2 7 3 4 2 2 4 2" xfId="33810" xr:uid="{00000000-0005-0000-0000-0000BB6B0000}"/>
    <cellStyle name="Normal 2 7 3 4 2 2 5" xfId="26369" xr:uid="{00000000-0005-0000-0000-0000BC6B0000}"/>
    <cellStyle name="Normal 2 7 3 4 2 3" xfId="5594" xr:uid="{00000000-0005-0000-0000-0000BD6B0000}"/>
    <cellStyle name="Normal 2 7 3 4 2 3 2" xfId="20478" xr:uid="{00000000-0005-0000-0000-0000BE6B0000}"/>
    <cellStyle name="Normal 2 7 3 4 2 3 2 2" xfId="43121" xr:uid="{00000000-0005-0000-0000-0000BF6B0000}"/>
    <cellStyle name="Normal 2 7 3 4 2 3 3" xfId="13038" xr:uid="{00000000-0005-0000-0000-0000C06B0000}"/>
    <cellStyle name="Normal 2 7 3 4 2 3 3 2" xfId="35681" xr:uid="{00000000-0005-0000-0000-0000C16B0000}"/>
    <cellStyle name="Normal 2 7 3 4 2 3 4" xfId="28240" xr:uid="{00000000-0005-0000-0000-0000C26B0000}"/>
    <cellStyle name="Normal 2 7 3 4 2 4" xfId="16760" xr:uid="{00000000-0005-0000-0000-0000C36B0000}"/>
    <cellStyle name="Normal 2 7 3 4 2 4 2" xfId="39403" xr:uid="{00000000-0005-0000-0000-0000C46B0000}"/>
    <cellStyle name="Normal 2 7 3 4 2 5" xfId="9320" xr:uid="{00000000-0005-0000-0000-0000C56B0000}"/>
    <cellStyle name="Normal 2 7 3 4 2 5 2" xfId="31963" xr:uid="{00000000-0005-0000-0000-0000C66B0000}"/>
    <cellStyle name="Normal 2 7 3 4 2 6" xfId="24522" xr:uid="{00000000-0005-0000-0000-0000C76B0000}"/>
    <cellStyle name="Normal 2 7 3 4 3" xfId="2795" xr:uid="{00000000-0005-0000-0000-0000C86B0000}"/>
    <cellStyle name="Normal 2 7 3 4 3 2" xfId="6516" xr:uid="{00000000-0005-0000-0000-0000C96B0000}"/>
    <cellStyle name="Normal 2 7 3 4 3 2 2" xfId="21400" xr:uid="{00000000-0005-0000-0000-0000CA6B0000}"/>
    <cellStyle name="Normal 2 7 3 4 3 2 2 2" xfId="44043" xr:uid="{00000000-0005-0000-0000-0000CB6B0000}"/>
    <cellStyle name="Normal 2 7 3 4 3 2 3" xfId="13960" xr:uid="{00000000-0005-0000-0000-0000CC6B0000}"/>
    <cellStyle name="Normal 2 7 3 4 3 2 3 2" xfId="36603" xr:uid="{00000000-0005-0000-0000-0000CD6B0000}"/>
    <cellStyle name="Normal 2 7 3 4 3 2 4" xfId="29162" xr:uid="{00000000-0005-0000-0000-0000CE6B0000}"/>
    <cellStyle name="Normal 2 7 3 4 3 3" xfId="17682" xr:uid="{00000000-0005-0000-0000-0000CF6B0000}"/>
    <cellStyle name="Normal 2 7 3 4 3 3 2" xfId="40325" xr:uid="{00000000-0005-0000-0000-0000D06B0000}"/>
    <cellStyle name="Normal 2 7 3 4 3 4" xfId="10242" xr:uid="{00000000-0005-0000-0000-0000D16B0000}"/>
    <cellStyle name="Normal 2 7 3 4 3 4 2" xfId="32885" xr:uid="{00000000-0005-0000-0000-0000D26B0000}"/>
    <cellStyle name="Normal 2 7 3 4 3 5" xfId="25444" xr:uid="{00000000-0005-0000-0000-0000D36B0000}"/>
    <cellStyle name="Normal 2 7 3 4 4" xfId="4669" xr:uid="{00000000-0005-0000-0000-0000D46B0000}"/>
    <cellStyle name="Normal 2 7 3 4 4 2" xfId="19553" xr:uid="{00000000-0005-0000-0000-0000D56B0000}"/>
    <cellStyle name="Normal 2 7 3 4 4 2 2" xfId="42196" xr:uid="{00000000-0005-0000-0000-0000D66B0000}"/>
    <cellStyle name="Normal 2 7 3 4 4 3" xfId="12113" xr:uid="{00000000-0005-0000-0000-0000D76B0000}"/>
    <cellStyle name="Normal 2 7 3 4 4 3 2" xfId="34756" xr:uid="{00000000-0005-0000-0000-0000D86B0000}"/>
    <cellStyle name="Normal 2 7 3 4 4 4" xfId="27315" xr:uid="{00000000-0005-0000-0000-0000D96B0000}"/>
    <cellStyle name="Normal 2 7 3 4 5" xfId="15835" xr:uid="{00000000-0005-0000-0000-0000DA6B0000}"/>
    <cellStyle name="Normal 2 7 3 4 5 2" xfId="38478" xr:uid="{00000000-0005-0000-0000-0000DB6B0000}"/>
    <cellStyle name="Normal 2 7 3 4 6" xfId="8395" xr:uid="{00000000-0005-0000-0000-0000DC6B0000}"/>
    <cellStyle name="Normal 2 7 3 4 6 2" xfId="31038" xr:uid="{00000000-0005-0000-0000-0000DD6B0000}"/>
    <cellStyle name="Normal 2 7 3 4 7" xfId="23597" xr:uid="{00000000-0005-0000-0000-0000DE6B0000}"/>
    <cellStyle name="Normal 2 7 3 5" xfId="1408" xr:uid="{00000000-0005-0000-0000-0000DF6B0000}"/>
    <cellStyle name="Normal 2 7 3 5 2" xfId="3258" xr:uid="{00000000-0005-0000-0000-0000E06B0000}"/>
    <cellStyle name="Normal 2 7 3 5 2 2" xfId="6979" xr:uid="{00000000-0005-0000-0000-0000E16B0000}"/>
    <cellStyle name="Normal 2 7 3 5 2 2 2" xfId="21863" xr:uid="{00000000-0005-0000-0000-0000E26B0000}"/>
    <cellStyle name="Normal 2 7 3 5 2 2 2 2" xfId="44506" xr:uid="{00000000-0005-0000-0000-0000E36B0000}"/>
    <cellStyle name="Normal 2 7 3 5 2 2 3" xfId="14423" xr:uid="{00000000-0005-0000-0000-0000E46B0000}"/>
    <cellStyle name="Normal 2 7 3 5 2 2 3 2" xfId="37066" xr:uid="{00000000-0005-0000-0000-0000E56B0000}"/>
    <cellStyle name="Normal 2 7 3 5 2 2 4" xfId="29625" xr:uid="{00000000-0005-0000-0000-0000E66B0000}"/>
    <cellStyle name="Normal 2 7 3 5 2 3" xfId="18145" xr:uid="{00000000-0005-0000-0000-0000E76B0000}"/>
    <cellStyle name="Normal 2 7 3 5 2 3 2" xfId="40788" xr:uid="{00000000-0005-0000-0000-0000E86B0000}"/>
    <cellStyle name="Normal 2 7 3 5 2 4" xfId="10705" xr:uid="{00000000-0005-0000-0000-0000E96B0000}"/>
    <cellStyle name="Normal 2 7 3 5 2 4 2" xfId="33348" xr:uid="{00000000-0005-0000-0000-0000EA6B0000}"/>
    <cellStyle name="Normal 2 7 3 5 2 5" xfId="25907" xr:uid="{00000000-0005-0000-0000-0000EB6B0000}"/>
    <cellStyle name="Normal 2 7 3 5 3" xfId="5132" xr:uid="{00000000-0005-0000-0000-0000EC6B0000}"/>
    <cellStyle name="Normal 2 7 3 5 3 2" xfId="20016" xr:uid="{00000000-0005-0000-0000-0000ED6B0000}"/>
    <cellStyle name="Normal 2 7 3 5 3 2 2" xfId="42659" xr:uid="{00000000-0005-0000-0000-0000EE6B0000}"/>
    <cellStyle name="Normal 2 7 3 5 3 3" xfId="12576" xr:uid="{00000000-0005-0000-0000-0000EF6B0000}"/>
    <cellStyle name="Normal 2 7 3 5 3 3 2" xfId="35219" xr:uid="{00000000-0005-0000-0000-0000F06B0000}"/>
    <cellStyle name="Normal 2 7 3 5 3 4" xfId="27778" xr:uid="{00000000-0005-0000-0000-0000F16B0000}"/>
    <cellStyle name="Normal 2 7 3 5 4" xfId="16298" xr:uid="{00000000-0005-0000-0000-0000F26B0000}"/>
    <cellStyle name="Normal 2 7 3 5 4 2" xfId="38941" xr:uid="{00000000-0005-0000-0000-0000F36B0000}"/>
    <cellStyle name="Normal 2 7 3 5 5" xfId="8858" xr:uid="{00000000-0005-0000-0000-0000F46B0000}"/>
    <cellStyle name="Normal 2 7 3 5 5 2" xfId="31501" xr:uid="{00000000-0005-0000-0000-0000F56B0000}"/>
    <cellStyle name="Normal 2 7 3 5 6" xfId="24060" xr:uid="{00000000-0005-0000-0000-0000F66B0000}"/>
    <cellStyle name="Normal 2 7 3 6" xfId="2333" xr:uid="{00000000-0005-0000-0000-0000F76B0000}"/>
    <cellStyle name="Normal 2 7 3 6 2" xfId="6054" xr:uid="{00000000-0005-0000-0000-0000F86B0000}"/>
    <cellStyle name="Normal 2 7 3 6 2 2" xfId="20938" xr:uid="{00000000-0005-0000-0000-0000F96B0000}"/>
    <cellStyle name="Normal 2 7 3 6 2 2 2" xfId="43581" xr:uid="{00000000-0005-0000-0000-0000FA6B0000}"/>
    <cellStyle name="Normal 2 7 3 6 2 3" xfId="13498" xr:uid="{00000000-0005-0000-0000-0000FB6B0000}"/>
    <cellStyle name="Normal 2 7 3 6 2 3 2" xfId="36141" xr:uid="{00000000-0005-0000-0000-0000FC6B0000}"/>
    <cellStyle name="Normal 2 7 3 6 2 4" xfId="28700" xr:uid="{00000000-0005-0000-0000-0000FD6B0000}"/>
    <cellStyle name="Normal 2 7 3 6 3" xfId="17220" xr:uid="{00000000-0005-0000-0000-0000FE6B0000}"/>
    <cellStyle name="Normal 2 7 3 6 3 2" xfId="39863" xr:uid="{00000000-0005-0000-0000-0000FF6B0000}"/>
    <cellStyle name="Normal 2 7 3 6 4" xfId="9780" xr:uid="{00000000-0005-0000-0000-0000006C0000}"/>
    <cellStyle name="Normal 2 7 3 6 4 2" xfId="32423" xr:uid="{00000000-0005-0000-0000-0000016C0000}"/>
    <cellStyle name="Normal 2 7 3 6 5" xfId="24982" xr:uid="{00000000-0005-0000-0000-0000026C0000}"/>
    <cellStyle name="Normal 2 7 3 7" xfId="4207" xr:uid="{00000000-0005-0000-0000-0000036C0000}"/>
    <cellStyle name="Normal 2 7 3 7 2" xfId="19091" xr:uid="{00000000-0005-0000-0000-0000046C0000}"/>
    <cellStyle name="Normal 2 7 3 7 2 2" xfId="41734" xr:uid="{00000000-0005-0000-0000-0000056C0000}"/>
    <cellStyle name="Normal 2 7 3 7 3" xfId="11651" xr:uid="{00000000-0005-0000-0000-0000066C0000}"/>
    <cellStyle name="Normal 2 7 3 7 3 2" xfId="34294" xr:uid="{00000000-0005-0000-0000-0000076C0000}"/>
    <cellStyle name="Normal 2 7 3 7 4" xfId="26853" xr:uid="{00000000-0005-0000-0000-0000086C0000}"/>
    <cellStyle name="Normal 2 7 3 8" xfId="15373" xr:uid="{00000000-0005-0000-0000-0000096C0000}"/>
    <cellStyle name="Normal 2 7 3 8 2" xfId="38016" xr:uid="{00000000-0005-0000-0000-00000A6C0000}"/>
    <cellStyle name="Normal 2 7 3 9" xfId="7933" xr:uid="{00000000-0005-0000-0000-00000B6C0000}"/>
    <cellStyle name="Normal 2 7 3 9 2" xfId="30576" xr:uid="{00000000-0005-0000-0000-00000C6C0000}"/>
    <cellStyle name="Normal 2 7 4" xfId="529" xr:uid="{00000000-0005-0000-0000-00000D6C0000}"/>
    <cellStyle name="Normal 2 7 4 2" xfId="741" xr:uid="{00000000-0005-0000-0000-00000E6C0000}"/>
    <cellStyle name="Normal 2 7 4 2 2" xfId="1206" xr:uid="{00000000-0005-0000-0000-00000F6C0000}"/>
    <cellStyle name="Normal 2 7 4 2 2 2" xfId="2134" xr:uid="{00000000-0005-0000-0000-0000106C0000}"/>
    <cellStyle name="Normal 2 7 4 2 2 2 2" xfId="3984" xr:uid="{00000000-0005-0000-0000-0000116C0000}"/>
    <cellStyle name="Normal 2 7 4 2 2 2 2 2" xfId="7705" xr:uid="{00000000-0005-0000-0000-0000126C0000}"/>
    <cellStyle name="Normal 2 7 4 2 2 2 2 2 2" xfId="22589" xr:uid="{00000000-0005-0000-0000-0000136C0000}"/>
    <cellStyle name="Normal 2 7 4 2 2 2 2 2 2 2" xfId="45232" xr:uid="{00000000-0005-0000-0000-0000146C0000}"/>
    <cellStyle name="Normal 2 7 4 2 2 2 2 2 3" xfId="15149" xr:uid="{00000000-0005-0000-0000-0000156C0000}"/>
    <cellStyle name="Normal 2 7 4 2 2 2 2 2 3 2" xfId="37792" xr:uid="{00000000-0005-0000-0000-0000166C0000}"/>
    <cellStyle name="Normal 2 7 4 2 2 2 2 2 4" xfId="30351" xr:uid="{00000000-0005-0000-0000-0000176C0000}"/>
    <cellStyle name="Normal 2 7 4 2 2 2 2 3" xfId="18871" xr:uid="{00000000-0005-0000-0000-0000186C0000}"/>
    <cellStyle name="Normal 2 7 4 2 2 2 2 3 2" xfId="41514" xr:uid="{00000000-0005-0000-0000-0000196C0000}"/>
    <cellStyle name="Normal 2 7 4 2 2 2 2 4" xfId="11431" xr:uid="{00000000-0005-0000-0000-00001A6C0000}"/>
    <cellStyle name="Normal 2 7 4 2 2 2 2 4 2" xfId="34074" xr:uid="{00000000-0005-0000-0000-00001B6C0000}"/>
    <cellStyle name="Normal 2 7 4 2 2 2 2 5" xfId="26633" xr:uid="{00000000-0005-0000-0000-00001C6C0000}"/>
    <cellStyle name="Normal 2 7 4 2 2 2 3" xfId="5858" xr:uid="{00000000-0005-0000-0000-00001D6C0000}"/>
    <cellStyle name="Normal 2 7 4 2 2 2 3 2" xfId="20742" xr:uid="{00000000-0005-0000-0000-00001E6C0000}"/>
    <cellStyle name="Normal 2 7 4 2 2 2 3 2 2" xfId="43385" xr:uid="{00000000-0005-0000-0000-00001F6C0000}"/>
    <cellStyle name="Normal 2 7 4 2 2 2 3 3" xfId="13302" xr:uid="{00000000-0005-0000-0000-0000206C0000}"/>
    <cellStyle name="Normal 2 7 4 2 2 2 3 3 2" xfId="35945" xr:uid="{00000000-0005-0000-0000-0000216C0000}"/>
    <cellStyle name="Normal 2 7 4 2 2 2 3 4" xfId="28504" xr:uid="{00000000-0005-0000-0000-0000226C0000}"/>
    <cellStyle name="Normal 2 7 4 2 2 2 4" xfId="17024" xr:uid="{00000000-0005-0000-0000-0000236C0000}"/>
    <cellStyle name="Normal 2 7 4 2 2 2 4 2" xfId="39667" xr:uid="{00000000-0005-0000-0000-0000246C0000}"/>
    <cellStyle name="Normal 2 7 4 2 2 2 5" xfId="9584" xr:uid="{00000000-0005-0000-0000-0000256C0000}"/>
    <cellStyle name="Normal 2 7 4 2 2 2 5 2" xfId="32227" xr:uid="{00000000-0005-0000-0000-0000266C0000}"/>
    <cellStyle name="Normal 2 7 4 2 2 2 6" xfId="24786" xr:uid="{00000000-0005-0000-0000-0000276C0000}"/>
    <cellStyle name="Normal 2 7 4 2 2 3" xfId="3059" xr:uid="{00000000-0005-0000-0000-0000286C0000}"/>
    <cellStyle name="Normal 2 7 4 2 2 3 2" xfId="6780" xr:uid="{00000000-0005-0000-0000-0000296C0000}"/>
    <cellStyle name="Normal 2 7 4 2 2 3 2 2" xfId="21664" xr:uid="{00000000-0005-0000-0000-00002A6C0000}"/>
    <cellStyle name="Normal 2 7 4 2 2 3 2 2 2" xfId="44307" xr:uid="{00000000-0005-0000-0000-00002B6C0000}"/>
    <cellStyle name="Normal 2 7 4 2 2 3 2 3" xfId="14224" xr:uid="{00000000-0005-0000-0000-00002C6C0000}"/>
    <cellStyle name="Normal 2 7 4 2 2 3 2 3 2" xfId="36867" xr:uid="{00000000-0005-0000-0000-00002D6C0000}"/>
    <cellStyle name="Normal 2 7 4 2 2 3 2 4" xfId="29426" xr:uid="{00000000-0005-0000-0000-00002E6C0000}"/>
    <cellStyle name="Normal 2 7 4 2 2 3 3" xfId="17946" xr:uid="{00000000-0005-0000-0000-00002F6C0000}"/>
    <cellStyle name="Normal 2 7 4 2 2 3 3 2" xfId="40589" xr:uid="{00000000-0005-0000-0000-0000306C0000}"/>
    <cellStyle name="Normal 2 7 4 2 2 3 4" xfId="10506" xr:uid="{00000000-0005-0000-0000-0000316C0000}"/>
    <cellStyle name="Normal 2 7 4 2 2 3 4 2" xfId="33149" xr:uid="{00000000-0005-0000-0000-0000326C0000}"/>
    <cellStyle name="Normal 2 7 4 2 2 3 5" xfId="25708" xr:uid="{00000000-0005-0000-0000-0000336C0000}"/>
    <cellStyle name="Normal 2 7 4 2 2 4" xfId="4933" xr:uid="{00000000-0005-0000-0000-0000346C0000}"/>
    <cellStyle name="Normal 2 7 4 2 2 4 2" xfId="19817" xr:uid="{00000000-0005-0000-0000-0000356C0000}"/>
    <cellStyle name="Normal 2 7 4 2 2 4 2 2" xfId="42460" xr:uid="{00000000-0005-0000-0000-0000366C0000}"/>
    <cellStyle name="Normal 2 7 4 2 2 4 3" xfId="12377" xr:uid="{00000000-0005-0000-0000-0000376C0000}"/>
    <cellStyle name="Normal 2 7 4 2 2 4 3 2" xfId="35020" xr:uid="{00000000-0005-0000-0000-0000386C0000}"/>
    <cellStyle name="Normal 2 7 4 2 2 4 4" xfId="27579" xr:uid="{00000000-0005-0000-0000-0000396C0000}"/>
    <cellStyle name="Normal 2 7 4 2 2 5" xfId="16099" xr:uid="{00000000-0005-0000-0000-00003A6C0000}"/>
    <cellStyle name="Normal 2 7 4 2 2 5 2" xfId="38742" xr:uid="{00000000-0005-0000-0000-00003B6C0000}"/>
    <cellStyle name="Normal 2 7 4 2 2 6" xfId="8659" xr:uid="{00000000-0005-0000-0000-00003C6C0000}"/>
    <cellStyle name="Normal 2 7 4 2 2 6 2" xfId="31302" xr:uid="{00000000-0005-0000-0000-00003D6C0000}"/>
    <cellStyle name="Normal 2 7 4 2 2 7" xfId="23861" xr:uid="{00000000-0005-0000-0000-00003E6C0000}"/>
    <cellStyle name="Normal 2 7 4 2 3" xfId="1672" xr:uid="{00000000-0005-0000-0000-00003F6C0000}"/>
    <cellStyle name="Normal 2 7 4 2 3 2" xfId="3522" xr:uid="{00000000-0005-0000-0000-0000406C0000}"/>
    <cellStyle name="Normal 2 7 4 2 3 2 2" xfId="7243" xr:uid="{00000000-0005-0000-0000-0000416C0000}"/>
    <cellStyle name="Normal 2 7 4 2 3 2 2 2" xfId="22127" xr:uid="{00000000-0005-0000-0000-0000426C0000}"/>
    <cellStyle name="Normal 2 7 4 2 3 2 2 2 2" xfId="44770" xr:uid="{00000000-0005-0000-0000-0000436C0000}"/>
    <cellStyle name="Normal 2 7 4 2 3 2 2 3" xfId="14687" xr:uid="{00000000-0005-0000-0000-0000446C0000}"/>
    <cellStyle name="Normal 2 7 4 2 3 2 2 3 2" xfId="37330" xr:uid="{00000000-0005-0000-0000-0000456C0000}"/>
    <cellStyle name="Normal 2 7 4 2 3 2 2 4" xfId="29889" xr:uid="{00000000-0005-0000-0000-0000466C0000}"/>
    <cellStyle name="Normal 2 7 4 2 3 2 3" xfId="18409" xr:uid="{00000000-0005-0000-0000-0000476C0000}"/>
    <cellStyle name="Normal 2 7 4 2 3 2 3 2" xfId="41052" xr:uid="{00000000-0005-0000-0000-0000486C0000}"/>
    <cellStyle name="Normal 2 7 4 2 3 2 4" xfId="10969" xr:uid="{00000000-0005-0000-0000-0000496C0000}"/>
    <cellStyle name="Normal 2 7 4 2 3 2 4 2" xfId="33612" xr:uid="{00000000-0005-0000-0000-00004A6C0000}"/>
    <cellStyle name="Normal 2 7 4 2 3 2 5" xfId="26171" xr:uid="{00000000-0005-0000-0000-00004B6C0000}"/>
    <cellStyle name="Normal 2 7 4 2 3 3" xfId="5396" xr:uid="{00000000-0005-0000-0000-00004C6C0000}"/>
    <cellStyle name="Normal 2 7 4 2 3 3 2" xfId="20280" xr:uid="{00000000-0005-0000-0000-00004D6C0000}"/>
    <cellStyle name="Normal 2 7 4 2 3 3 2 2" xfId="42923" xr:uid="{00000000-0005-0000-0000-00004E6C0000}"/>
    <cellStyle name="Normal 2 7 4 2 3 3 3" xfId="12840" xr:uid="{00000000-0005-0000-0000-00004F6C0000}"/>
    <cellStyle name="Normal 2 7 4 2 3 3 3 2" xfId="35483" xr:uid="{00000000-0005-0000-0000-0000506C0000}"/>
    <cellStyle name="Normal 2 7 4 2 3 3 4" xfId="28042" xr:uid="{00000000-0005-0000-0000-0000516C0000}"/>
    <cellStyle name="Normal 2 7 4 2 3 4" xfId="16562" xr:uid="{00000000-0005-0000-0000-0000526C0000}"/>
    <cellStyle name="Normal 2 7 4 2 3 4 2" xfId="39205" xr:uid="{00000000-0005-0000-0000-0000536C0000}"/>
    <cellStyle name="Normal 2 7 4 2 3 5" xfId="9122" xr:uid="{00000000-0005-0000-0000-0000546C0000}"/>
    <cellStyle name="Normal 2 7 4 2 3 5 2" xfId="31765" xr:uid="{00000000-0005-0000-0000-0000556C0000}"/>
    <cellStyle name="Normal 2 7 4 2 3 6" xfId="24324" xr:uid="{00000000-0005-0000-0000-0000566C0000}"/>
    <cellStyle name="Normal 2 7 4 2 4" xfId="2597" xr:uid="{00000000-0005-0000-0000-0000576C0000}"/>
    <cellStyle name="Normal 2 7 4 2 4 2" xfId="6318" xr:uid="{00000000-0005-0000-0000-0000586C0000}"/>
    <cellStyle name="Normal 2 7 4 2 4 2 2" xfId="21202" xr:uid="{00000000-0005-0000-0000-0000596C0000}"/>
    <cellStyle name="Normal 2 7 4 2 4 2 2 2" xfId="43845" xr:uid="{00000000-0005-0000-0000-00005A6C0000}"/>
    <cellStyle name="Normal 2 7 4 2 4 2 3" xfId="13762" xr:uid="{00000000-0005-0000-0000-00005B6C0000}"/>
    <cellStyle name="Normal 2 7 4 2 4 2 3 2" xfId="36405" xr:uid="{00000000-0005-0000-0000-00005C6C0000}"/>
    <cellStyle name="Normal 2 7 4 2 4 2 4" xfId="28964" xr:uid="{00000000-0005-0000-0000-00005D6C0000}"/>
    <cellStyle name="Normal 2 7 4 2 4 3" xfId="17484" xr:uid="{00000000-0005-0000-0000-00005E6C0000}"/>
    <cellStyle name="Normal 2 7 4 2 4 3 2" xfId="40127" xr:uid="{00000000-0005-0000-0000-00005F6C0000}"/>
    <cellStyle name="Normal 2 7 4 2 4 4" xfId="10044" xr:uid="{00000000-0005-0000-0000-0000606C0000}"/>
    <cellStyle name="Normal 2 7 4 2 4 4 2" xfId="32687" xr:uid="{00000000-0005-0000-0000-0000616C0000}"/>
    <cellStyle name="Normal 2 7 4 2 4 5" xfId="25246" xr:uid="{00000000-0005-0000-0000-0000626C0000}"/>
    <cellStyle name="Normal 2 7 4 2 5" xfId="4471" xr:uid="{00000000-0005-0000-0000-0000636C0000}"/>
    <cellStyle name="Normal 2 7 4 2 5 2" xfId="19355" xr:uid="{00000000-0005-0000-0000-0000646C0000}"/>
    <cellStyle name="Normal 2 7 4 2 5 2 2" xfId="41998" xr:uid="{00000000-0005-0000-0000-0000656C0000}"/>
    <cellStyle name="Normal 2 7 4 2 5 3" xfId="11915" xr:uid="{00000000-0005-0000-0000-0000666C0000}"/>
    <cellStyle name="Normal 2 7 4 2 5 3 2" xfId="34558" xr:uid="{00000000-0005-0000-0000-0000676C0000}"/>
    <cellStyle name="Normal 2 7 4 2 5 4" xfId="27117" xr:uid="{00000000-0005-0000-0000-0000686C0000}"/>
    <cellStyle name="Normal 2 7 4 2 6" xfId="15637" xr:uid="{00000000-0005-0000-0000-0000696C0000}"/>
    <cellStyle name="Normal 2 7 4 2 6 2" xfId="38280" xr:uid="{00000000-0005-0000-0000-00006A6C0000}"/>
    <cellStyle name="Normal 2 7 4 2 7" xfId="8197" xr:uid="{00000000-0005-0000-0000-00006B6C0000}"/>
    <cellStyle name="Normal 2 7 4 2 7 2" xfId="30840" xr:uid="{00000000-0005-0000-0000-00006C6C0000}"/>
    <cellStyle name="Normal 2 7 4 2 8" xfId="23399" xr:uid="{00000000-0005-0000-0000-00006D6C0000}"/>
    <cellStyle name="Normal 2 7 4 3" xfId="995" xr:uid="{00000000-0005-0000-0000-00006E6C0000}"/>
    <cellStyle name="Normal 2 7 4 3 2" xfId="1923" xr:uid="{00000000-0005-0000-0000-00006F6C0000}"/>
    <cellStyle name="Normal 2 7 4 3 2 2" xfId="3773" xr:uid="{00000000-0005-0000-0000-0000706C0000}"/>
    <cellStyle name="Normal 2 7 4 3 2 2 2" xfId="7494" xr:uid="{00000000-0005-0000-0000-0000716C0000}"/>
    <cellStyle name="Normal 2 7 4 3 2 2 2 2" xfId="22378" xr:uid="{00000000-0005-0000-0000-0000726C0000}"/>
    <cellStyle name="Normal 2 7 4 3 2 2 2 2 2" xfId="45021" xr:uid="{00000000-0005-0000-0000-0000736C0000}"/>
    <cellStyle name="Normal 2 7 4 3 2 2 2 3" xfId="14938" xr:uid="{00000000-0005-0000-0000-0000746C0000}"/>
    <cellStyle name="Normal 2 7 4 3 2 2 2 3 2" xfId="37581" xr:uid="{00000000-0005-0000-0000-0000756C0000}"/>
    <cellStyle name="Normal 2 7 4 3 2 2 2 4" xfId="30140" xr:uid="{00000000-0005-0000-0000-0000766C0000}"/>
    <cellStyle name="Normal 2 7 4 3 2 2 3" xfId="18660" xr:uid="{00000000-0005-0000-0000-0000776C0000}"/>
    <cellStyle name="Normal 2 7 4 3 2 2 3 2" xfId="41303" xr:uid="{00000000-0005-0000-0000-0000786C0000}"/>
    <cellStyle name="Normal 2 7 4 3 2 2 4" xfId="11220" xr:uid="{00000000-0005-0000-0000-0000796C0000}"/>
    <cellStyle name="Normal 2 7 4 3 2 2 4 2" xfId="33863" xr:uid="{00000000-0005-0000-0000-00007A6C0000}"/>
    <cellStyle name="Normal 2 7 4 3 2 2 5" xfId="26422" xr:uid="{00000000-0005-0000-0000-00007B6C0000}"/>
    <cellStyle name="Normal 2 7 4 3 2 3" xfId="5647" xr:uid="{00000000-0005-0000-0000-00007C6C0000}"/>
    <cellStyle name="Normal 2 7 4 3 2 3 2" xfId="20531" xr:uid="{00000000-0005-0000-0000-00007D6C0000}"/>
    <cellStyle name="Normal 2 7 4 3 2 3 2 2" xfId="43174" xr:uid="{00000000-0005-0000-0000-00007E6C0000}"/>
    <cellStyle name="Normal 2 7 4 3 2 3 3" xfId="13091" xr:uid="{00000000-0005-0000-0000-00007F6C0000}"/>
    <cellStyle name="Normal 2 7 4 3 2 3 3 2" xfId="35734" xr:uid="{00000000-0005-0000-0000-0000806C0000}"/>
    <cellStyle name="Normal 2 7 4 3 2 3 4" xfId="28293" xr:uid="{00000000-0005-0000-0000-0000816C0000}"/>
    <cellStyle name="Normal 2 7 4 3 2 4" xfId="16813" xr:uid="{00000000-0005-0000-0000-0000826C0000}"/>
    <cellStyle name="Normal 2 7 4 3 2 4 2" xfId="39456" xr:uid="{00000000-0005-0000-0000-0000836C0000}"/>
    <cellStyle name="Normal 2 7 4 3 2 5" xfId="9373" xr:uid="{00000000-0005-0000-0000-0000846C0000}"/>
    <cellStyle name="Normal 2 7 4 3 2 5 2" xfId="32016" xr:uid="{00000000-0005-0000-0000-0000856C0000}"/>
    <cellStyle name="Normal 2 7 4 3 2 6" xfId="24575" xr:uid="{00000000-0005-0000-0000-0000866C0000}"/>
    <cellStyle name="Normal 2 7 4 3 3" xfId="2848" xr:uid="{00000000-0005-0000-0000-0000876C0000}"/>
    <cellStyle name="Normal 2 7 4 3 3 2" xfId="6569" xr:uid="{00000000-0005-0000-0000-0000886C0000}"/>
    <cellStyle name="Normal 2 7 4 3 3 2 2" xfId="21453" xr:uid="{00000000-0005-0000-0000-0000896C0000}"/>
    <cellStyle name="Normal 2 7 4 3 3 2 2 2" xfId="44096" xr:uid="{00000000-0005-0000-0000-00008A6C0000}"/>
    <cellStyle name="Normal 2 7 4 3 3 2 3" xfId="14013" xr:uid="{00000000-0005-0000-0000-00008B6C0000}"/>
    <cellStyle name="Normal 2 7 4 3 3 2 3 2" xfId="36656" xr:uid="{00000000-0005-0000-0000-00008C6C0000}"/>
    <cellStyle name="Normal 2 7 4 3 3 2 4" xfId="29215" xr:uid="{00000000-0005-0000-0000-00008D6C0000}"/>
    <cellStyle name="Normal 2 7 4 3 3 3" xfId="17735" xr:uid="{00000000-0005-0000-0000-00008E6C0000}"/>
    <cellStyle name="Normal 2 7 4 3 3 3 2" xfId="40378" xr:uid="{00000000-0005-0000-0000-00008F6C0000}"/>
    <cellStyle name="Normal 2 7 4 3 3 4" xfId="10295" xr:uid="{00000000-0005-0000-0000-0000906C0000}"/>
    <cellStyle name="Normal 2 7 4 3 3 4 2" xfId="32938" xr:uid="{00000000-0005-0000-0000-0000916C0000}"/>
    <cellStyle name="Normal 2 7 4 3 3 5" xfId="25497" xr:uid="{00000000-0005-0000-0000-0000926C0000}"/>
    <cellStyle name="Normal 2 7 4 3 4" xfId="4722" xr:uid="{00000000-0005-0000-0000-0000936C0000}"/>
    <cellStyle name="Normal 2 7 4 3 4 2" xfId="19606" xr:uid="{00000000-0005-0000-0000-0000946C0000}"/>
    <cellStyle name="Normal 2 7 4 3 4 2 2" xfId="42249" xr:uid="{00000000-0005-0000-0000-0000956C0000}"/>
    <cellStyle name="Normal 2 7 4 3 4 3" xfId="12166" xr:uid="{00000000-0005-0000-0000-0000966C0000}"/>
    <cellStyle name="Normal 2 7 4 3 4 3 2" xfId="34809" xr:uid="{00000000-0005-0000-0000-0000976C0000}"/>
    <cellStyle name="Normal 2 7 4 3 4 4" xfId="27368" xr:uid="{00000000-0005-0000-0000-0000986C0000}"/>
    <cellStyle name="Normal 2 7 4 3 5" xfId="15888" xr:uid="{00000000-0005-0000-0000-0000996C0000}"/>
    <cellStyle name="Normal 2 7 4 3 5 2" xfId="38531" xr:uid="{00000000-0005-0000-0000-00009A6C0000}"/>
    <cellStyle name="Normal 2 7 4 3 6" xfId="8448" xr:uid="{00000000-0005-0000-0000-00009B6C0000}"/>
    <cellStyle name="Normal 2 7 4 3 6 2" xfId="31091" xr:uid="{00000000-0005-0000-0000-00009C6C0000}"/>
    <cellStyle name="Normal 2 7 4 3 7" xfId="23650" xr:uid="{00000000-0005-0000-0000-00009D6C0000}"/>
    <cellStyle name="Normal 2 7 4 4" xfId="1461" xr:uid="{00000000-0005-0000-0000-00009E6C0000}"/>
    <cellStyle name="Normal 2 7 4 4 2" xfId="3311" xr:uid="{00000000-0005-0000-0000-00009F6C0000}"/>
    <cellStyle name="Normal 2 7 4 4 2 2" xfId="7032" xr:uid="{00000000-0005-0000-0000-0000A06C0000}"/>
    <cellStyle name="Normal 2 7 4 4 2 2 2" xfId="21916" xr:uid="{00000000-0005-0000-0000-0000A16C0000}"/>
    <cellStyle name="Normal 2 7 4 4 2 2 2 2" xfId="44559" xr:uid="{00000000-0005-0000-0000-0000A26C0000}"/>
    <cellStyle name="Normal 2 7 4 4 2 2 3" xfId="14476" xr:uid="{00000000-0005-0000-0000-0000A36C0000}"/>
    <cellStyle name="Normal 2 7 4 4 2 2 3 2" xfId="37119" xr:uid="{00000000-0005-0000-0000-0000A46C0000}"/>
    <cellStyle name="Normal 2 7 4 4 2 2 4" xfId="29678" xr:uid="{00000000-0005-0000-0000-0000A56C0000}"/>
    <cellStyle name="Normal 2 7 4 4 2 3" xfId="18198" xr:uid="{00000000-0005-0000-0000-0000A66C0000}"/>
    <cellStyle name="Normal 2 7 4 4 2 3 2" xfId="40841" xr:uid="{00000000-0005-0000-0000-0000A76C0000}"/>
    <cellStyle name="Normal 2 7 4 4 2 4" xfId="10758" xr:uid="{00000000-0005-0000-0000-0000A86C0000}"/>
    <cellStyle name="Normal 2 7 4 4 2 4 2" xfId="33401" xr:uid="{00000000-0005-0000-0000-0000A96C0000}"/>
    <cellStyle name="Normal 2 7 4 4 2 5" xfId="25960" xr:uid="{00000000-0005-0000-0000-0000AA6C0000}"/>
    <cellStyle name="Normal 2 7 4 4 3" xfId="5185" xr:uid="{00000000-0005-0000-0000-0000AB6C0000}"/>
    <cellStyle name="Normal 2 7 4 4 3 2" xfId="20069" xr:uid="{00000000-0005-0000-0000-0000AC6C0000}"/>
    <cellStyle name="Normal 2 7 4 4 3 2 2" xfId="42712" xr:uid="{00000000-0005-0000-0000-0000AD6C0000}"/>
    <cellStyle name="Normal 2 7 4 4 3 3" xfId="12629" xr:uid="{00000000-0005-0000-0000-0000AE6C0000}"/>
    <cellStyle name="Normal 2 7 4 4 3 3 2" xfId="35272" xr:uid="{00000000-0005-0000-0000-0000AF6C0000}"/>
    <cellStyle name="Normal 2 7 4 4 3 4" xfId="27831" xr:uid="{00000000-0005-0000-0000-0000B06C0000}"/>
    <cellStyle name="Normal 2 7 4 4 4" xfId="16351" xr:uid="{00000000-0005-0000-0000-0000B16C0000}"/>
    <cellStyle name="Normal 2 7 4 4 4 2" xfId="38994" xr:uid="{00000000-0005-0000-0000-0000B26C0000}"/>
    <cellStyle name="Normal 2 7 4 4 5" xfId="8911" xr:uid="{00000000-0005-0000-0000-0000B36C0000}"/>
    <cellStyle name="Normal 2 7 4 4 5 2" xfId="31554" xr:uid="{00000000-0005-0000-0000-0000B46C0000}"/>
    <cellStyle name="Normal 2 7 4 4 6" xfId="24113" xr:uid="{00000000-0005-0000-0000-0000B56C0000}"/>
    <cellStyle name="Normal 2 7 4 5" xfId="2386" xr:uid="{00000000-0005-0000-0000-0000B66C0000}"/>
    <cellStyle name="Normal 2 7 4 5 2" xfId="6107" xr:uid="{00000000-0005-0000-0000-0000B76C0000}"/>
    <cellStyle name="Normal 2 7 4 5 2 2" xfId="20991" xr:uid="{00000000-0005-0000-0000-0000B86C0000}"/>
    <cellStyle name="Normal 2 7 4 5 2 2 2" xfId="43634" xr:uid="{00000000-0005-0000-0000-0000B96C0000}"/>
    <cellStyle name="Normal 2 7 4 5 2 3" xfId="13551" xr:uid="{00000000-0005-0000-0000-0000BA6C0000}"/>
    <cellStyle name="Normal 2 7 4 5 2 3 2" xfId="36194" xr:uid="{00000000-0005-0000-0000-0000BB6C0000}"/>
    <cellStyle name="Normal 2 7 4 5 2 4" xfId="28753" xr:uid="{00000000-0005-0000-0000-0000BC6C0000}"/>
    <cellStyle name="Normal 2 7 4 5 3" xfId="17273" xr:uid="{00000000-0005-0000-0000-0000BD6C0000}"/>
    <cellStyle name="Normal 2 7 4 5 3 2" xfId="39916" xr:uid="{00000000-0005-0000-0000-0000BE6C0000}"/>
    <cellStyle name="Normal 2 7 4 5 4" xfId="9833" xr:uid="{00000000-0005-0000-0000-0000BF6C0000}"/>
    <cellStyle name="Normal 2 7 4 5 4 2" xfId="32476" xr:uid="{00000000-0005-0000-0000-0000C06C0000}"/>
    <cellStyle name="Normal 2 7 4 5 5" xfId="25035" xr:uid="{00000000-0005-0000-0000-0000C16C0000}"/>
    <cellStyle name="Normal 2 7 4 6" xfId="4260" xr:uid="{00000000-0005-0000-0000-0000C26C0000}"/>
    <cellStyle name="Normal 2 7 4 6 2" xfId="19144" xr:uid="{00000000-0005-0000-0000-0000C36C0000}"/>
    <cellStyle name="Normal 2 7 4 6 2 2" xfId="41787" xr:uid="{00000000-0005-0000-0000-0000C46C0000}"/>
    <cellStyle name="Normal 2 7 4 6 3" xfId="11704" xr:uid="{00000000-0005-0000-0000-0000C56C0000}"/>
    <cellStyle name="Normal 2 7 4 6 3 2" xfId="34347" xr:uid="{00000000-0005-0000-0000-0000C66C0000}"/>
    <cellStyle name="Normal 2 7 4 6 4" xfId="26906" xr:uid="{00000000-0005-0000-0000-0000C76C0000}"/>
    <cellStyle name="Normal 2 7 4 7" xfId="15426" xr:uid="{00000000-0005-0000-0000-0000C86C0000}"/>
    <cellStyle name="Normal 2 7 4 7 2" xfId="38069" xr:uid="{00000000-0005-0000-0000-0000C96C0000}"/>
    <cellStyle name="Normal 2 7 4 8" xfId="7986" xr:uid="{00000000-0005-0000-0000-0000CA6C0000}"/>
    <cellStyle name="Normal 2 7 4 8 2" xfId="30629" xr:uid="{00000000-0005-0000-0000-0000CB6C0000}"/>
    <cellStyle name="Normal 2 7 4 9" xfId="23189" xr:uid="{00000000-0005-0000-0000-0000CC6C0000}"/>
    <cellStyle name="Normal 2 7 5" xfId="635" xr:uid="{00000000-0005-0000-0000-0000CD6C0000}"/>
    <cellStyle name="Normal 2 7 5 2" xfId="1101" xr:uid="{00000000-0005-0000-0000-0000CE6C0000}"/>
    <cellStyle name="Normal 2 7 5 2 2" xfId="2029" xr:uid="{00000000-0005-0000-0000-0000CF6C0000}"/>
    <cellStyle name="Normal 2 7 5 2 2 2" xfId="3879" xr:uid="{00000000-0005-0000-0000-0000D06C0000}"/>
    <cellStyle name="Normal 2 7 5 2 2 2 2" xfId="7600" xr:uid="{00000000-0005-0000-0000-0000D16C0000}"/>
    <cellStyle name="Normal 2 7 5 2 2 2 2 2" xfId="22484" xr:uid="{00000000-0005-0000-0000-0000D26C0000}"/>
    <cellStyle name="Normal 2 7 5 2 2 2 2 2 2" xfId="45127" xr:uid="{00000000-0005-0000-0000-0000D36C0000}"/>
    <cellStyle name="Normal 2 7 5 2 2 2 2 3" xfId="15044" xr:uid="{00000000-0005-0000-0000-0000D46C0000}"/>
    <cellStyle name="Normal 2 7 5 2 2 2 2 3 2" xfId="37687" xr:uid="{00000000-0005-0000-0000-0000D56C0000}"/>
    <cellStyle name="Normal 2 7 5 2 2 2 2 4" xfId="30246" xr:uid="{00000000-0005-0000-0000-0000D66C0000}"/>
    <cellStyle name="Normal 2 7 5 2 2 2 3" xfId="18766" xr:uid="{00000000-0005-0000-0000-0000D76C0000}"/>
    <cellStyle name="Normal 2 7 5 2 2 2 3 2" xfId="41409" xr:uid="{00000000-0005-0000-0000-0000D86C0000}"/>
    <cellStyle name="Normal 2 7 5 2 2 2 4" xfId="11326" xr:uid="{00000000-0005-0000-0000-0000D96C0000}"/>
    <cellStyle name="Normal 2 7 5 2 2 2 4 2" xfId="33969" xr:uid="{00000000-0005-0000-0000-0000DA6C0000}"/>
    <cellStyle name="Normal 2 7 5 2 2 2 5" xfId="26528" xr:uid="{00000000-0005-0000-0000-0000DB6C0000}"/>
    <cellStyle name="Normal 2 7 5 2 2 3" xfId="5753" xr:uid="{00000000-0005-0000-0000-0000DC6C0000}"/>
    <cellStyle name="Normal 2 7 5 2 2 3 2" xfId="20637" xr:uid="{00000000-0005-0000-0000-0000DD6C0000}"/>
    <cellStyle name="Normal 2 7 5 2 2 3 2 2" xfId="43280" xr:uid="{00000000-0005-0000-0000-0000DE6C0000}"/>
    <cellStyle name="Normal 2 7 5 2 2 3 3" xfId="13197" xr:uid="{00000000-0005-0000-0000-0000DF6C0000}"/>
    <cellStyle name="Normal 2 7 5 2 2 3 3 2" xfId="35840" xr:uid="{00000000-0005-0000-0000-0000E06C0000}"/>
    <cellStyle name="Normal 2 7 5 2 2 3 4" xfId="28399" xr:uid="{00000000-0005-0000-0000-0000E16C0000}"/>
    <cellStyle name="Normal 2 7 5 2 2 4" xfId="16919" xr:uid="{00000000-0005-0000-0000-0000E26C0000}"/>
    <cellStyle name="Normal 2 7 5 2 2 4 2" xfId="39562" xr:uid="{00000000-0005-0000-0000-0000E36C0000}"/>
    <cellStyle name="Normal 2 7 5 2 2 5" xfId="9479" xr:uid="{00000000-0005-0000-0000-0000E46C0000}"/>
    <cellStyle name="Normal 2 7 5 2 2 5 2" xfId="32122" xr:uid="{00000000-0005-0000-0000-0000E56C0000}"/>
    <cellStyle name="Normal 2 7 5 2 2 6" xfId="24681" xr:uid="{00000000-0005-0000-0000-0000E66C0000}"/>
    <cellStyle name="Normal 2 7 5 2 3" xfId="2954" xr:uid="{00000000-0005-0000-0000-0000E76C0000}"/>
    <cellStyle name="Normal 2 7 5 2 3 2" xfId="6675" xr:uid="{00000000-0005-0000-0000-0000E86C0000}"/>
    <cellStyle name="Normal 2 7 5 2 3 2 2" xfId="21559" xr:uid="{00000000-0005-0000-0000-0000E96C0000}"/>
    <cellStyle name="Normal 2 7 5 2 3 2 2 2" xfId="44202" xr:uid="{00000000-0005-0000-0000-0000EA6C0000}"/>
    <cellStyle name="Normal 2 7 5 2 3 2 3" xfId="14119" xr:uid="{00000000-0005-0000-0000-0000EB6C0000}"/>
    <cellStyle name="Normal 2 7 5 2 3 2 3 2" xfId="36762" xr:uid="{00000000-0005-0000-0000-0000EC6C0000}"/>
    <cellStyle name="Normal 2 7 5 2 3 2 4" xfId="29321" xr:uid="{00000000-0005-0000-0000-0000ED6C0000}"/>
    <cellStyle name="Normal 2 7 5 2 3 3" xfId="17841" xr:uid="{00000000-0005-0000-0000-0000EE6C0000}"/>
    <cellStyle name="Normal 2 7 5 2 3 3 2" xfId="40484" xr:uid="{00000000-0005-0000-0000-0000EF6C0000}"/>
    <cellStyle name="Normal 2 7 5 2 3 4" xfId="10401" xr:uid="{00000000-0005-0000-0000-0000F06C0000}"/>
    <cellStyle name="Normal 2 7 5 2 3 4 2" xfId="33044" xr:uid="{00000000-0005-0000-0000-0000F16C0000}"/>
    <cellStyle name="Normal 2 7 5 2 3 5" xfId="25603" xr:uid="{00000000-0005-0000-0000-0000F26C0000}"/>
    <cellStyle name="Normal 2 7 5 2 4" xfId="4828" xr:uid="{00000000-0005-0000-0000-0000F36C0000}"/>
    <cellStyle name="Normal 2 7 5 2 4 2" xfId="19712" xr:uid="{00000000-0005-0000-0000-0000F46C0000}"/>
    <cellStyle name="Normal 2 7 5 2 4 2 2" xfId="42355" xr:uid="{00000000-0005-0000-0000-0000F56C0000}"/>
    <cellStyle name="Normal 2 7 5 2 4 3" xfId="12272" xr:uid="{00000000-0005-0000-0000-0000F66C0000}"/>
    <cellStyle name="Normal 2 7 5 2 4 3 2" xfId="34915" xr:uid="{00000000-0005-0000-0000-0000F76C0000}"/>
    <cellStyle name="Normal 2 7 5 2 4 4" xfId="27474" xr:uid="{00000000-0005-0000-0000-0000F86C0000}"/>
    <cellStyle name="Normal 2 7 5 2 5" xfId="15994" xr:uid="{00000000-0005-0000-0000-0000F96C0000}"/>
    <cellStyle name="Normal 2 7 5 2 5 2" xfId="38637" xr:uid="{00000000-0005-0000-0000-0000FA6C0000}"/>
    <cellStyle name="Normal 2 7 5 2 6" xfId="8554" xr:uid="{00000000-0005-0000-0000-0000FB6C0000}"/>
    <cellStyle name="Normal 2 7 5 2 6 2" xfId="31197" xr:uid="{00000000-0005-0000-0000-0000FC6C0000}"/>
    <cellStyle name="Normal 2 7 5 2 7" xfId="23756" xr:uid="{00000000-0005-0000-0000-0000FD6C0000}"/>
    <cellStyle name="Normal 2 7 5 3" xfId="1567" xr:uid="{00000000-0005-0000-0000-0000FE6C0000}"/>
    <cellStyle name="Normal 2 7 5 3 2" xfId="3417" xr:uid="{00000000-0005-0000-0000-0000FF6C0000}"/>
    <cellStyle name="Normal 2 7 5 3 2 2" xfId="7138" xr:uid="{00000000-0005-0000-0000-0000006D0000}"/>
    <cellStyle name="Normal 2 7 5 3 2 2 2" xfId="22022" xr:uid="{00000000-0005-0000-0000-0000016D0000}"/>
    <cellStyle name="Normal 2 7 5 3 2 2 2 2" xfId="44665" xr:uid="{00000000-0005-0000-0000-0000026D0000}"/>
    <cellStyle name="Normal 2 7 5 3 2 2 3" xfId="14582" xr:uid="{00000000-0005-0000-0000-0000036D0000}"/>
    <cellStyle name="Normal 2 7 5 3 2 2 3 2" xfId="37225" xr:uid="{00000000-0005-0000-0000-0000046D0000}"/>
    <cellStyle name="Normal 2 7 5 3 2 2 4" xfId="29784" xr:uid="{00000000-0005-0000-0000-0000056D0000}"/>
    <cellStyle name="Normal 2 7 5 3 2 3" xfId="18304" xr:uid="{00000000-0005-0000-0000-0000066D0000}"/>
    <cellStyle name="Normal 2 7 5 3 2 3 2" xfId="40947" xr:uid="{00000000-0005-0000-0000-0000076D0000}"/>
    <cellStyle name="Normal 2 7 5 3 2 4" xfId="10864" xr:uid="{00000000-0005-0000-0000-0000086D0000}"/>
    <cellStyle name="Normal 2 7 5 3 2 4 2" xfId="33507" xr:uid="{00000000-0005-0000-0000-0000096D0000}"/>
    <cellStyle name="Normal 2 7 5 3 2 5" xfId="26066" xr:uid="{00000000-0005-0000-0000-00000A6D0000}"/>
    <cellStyle name="Normal 2 7 5 3 3" xfId="5291" xr:uid="{00000000-0005-0000-0000-00000B6D0000}"/>
    <cellStyle name="Normal 2 7 5 3 3 2" xfId="20175" xr:uid="{00000000-0005-0000-0000-00000C6D0000}"/>
    <cellStyle name="Normal 2 7 5 3 3 2 2" xfId="42818" xr:uid="{00000000-0005-0000-0000-00000D6D0000}"/>
    <cellStyle name="Normal 2 7 5 3 3 3" xfId="12735" xr:uid="{00000000-0005-0000-0000-00000E6D0000}"/>
    <cellStyle name="Normal 2 7 5 3 3 3 2" xfId="35378" xr:uid="{00000000-0005-0000-0000-00000F6D0000}"/>
    <cellStyle name="Normal 2 7 5 3 3 4" xfId="27937" xr:uid="{00000000-0005-0000-0000-0000106D0000}"/>
    <cellStyle name="Normal 2 7 5 3 4" xfId="16457" xr:uid="{00000000-0005-0000-0000-0000116D0000}"/>
    <cellStyle name="Normal 2 7 5 3 4 2" xfId="39100" xr:uid="{00000000-0005-0000-0000-0000126D0000}"/>
    <cellStyle name="Normal 2 7 5 3 5" xfId="9017" xr:uid="{00000000-0005-0000-0000-0000136D0000}"/>
    <cellStyle name="Normal 2 7 5 3 5 2" xfId="31660" xr:uid="{00000000-0005-0000-0000-0000146D0000}"/>
    <cellStyle name="Normal 2 7 5 3 6" xfId="24219" xr:uid="{00000000-0005-0000-0000-0000156D0000}"/>
    <cellStyle name="Normal 2 7 5 4" xfId="2492" xr:uid="{00000000-0005-0000-0000-0000166D0000}"/>
    <cellStyle name="Normal 2 7 5 4 2" xfId="6213" xr:uid="{00000000-0005-0000-0000-0000176D0000}"/>
    <cellStyle name="Normal 2 7 5 4 2 2" xfId="21097" xr:uid="{00000000-0005-0000-0000-0000186D0000}"/>
    <cellStyle name="Normal 2 7 5 4 2 2 2" xfId="43740" xr:uid="{00000000-0005-0000-0000-0000196D0000}"/>
    <cellStyle name="Normal 2 7 5 4 2 3" xfId="13657" xr:uid="{00000000-0005-0000-0000-00001A6D0000}"/>
    <cellStyle name="Normal 2 7 5 4 2 3 2" xfId="36300" xr:uid="{00000000-0005-0000-0000-00001B6D0000}"/>
    <cellStyle name="Normal 2 7 5 4 2 4" xfId="28859" xr:uid="{00000000-0005-0000-0000-00001C6D0000}"/>
    <cellStyle name="Normal 2 7 5 4 3" xfId="17379" xr:uid="{00000000-0005-0000-0000-00001D6D0000}"/>
    <cellStyle name="Normal 2 7 5 4 3 2" xfId="40022" xr:uid="{00000000-0005-0000-0000-00001E6D0000}"/>
    <cellStyle name="Normal 2 7 5 4 4" xfId="9939" xr:uid="{00000000-0005-0000-0000-00001F6D0000}"/>
    <cellStyle name="Normal 2 7 5 4 4 2" xfId="32582" xr:uid="{00000000-0005-0000-0000-0000206D0000}"/>
    <cellStyle name="Normal 2 7 5 4 5" xfId="25141" xr:uid="{00000000-0005-0000-0000-0000216D0000}"/>
    <cellStyle name="Normal 2 7 5 5" xfId="4366" xr:uid="{00000000-0005-0000-0000-0000226D0000}"/>
    <cellStyle name="Normal 2 7 5 5 2" xfId="19250" xr:uid="{00000000-0005-0000-0000-0000236D0000}"/>
    <cellStyle name="Normal 2 7 5 5 2 2" xfId="41893" xr:uid="{00000000-0005-0000-0000-0000246D0000}"/>
    <cellStyle name="Normal 2 7 5 5 3" xfId="11810" xr:uid="{00000000-0005-0000-0000-0000256D0000}"/>
    <cellStyle name="Normal 2 7 5 5 3 2" xfId="34453" xr:uid="{00000000-0005-0000-0000-0000266D0000}"/>
    <cellStyle name="Normal 2 7 5 5 4" xfId="27012" xr:uid="{00000000-0005-0000-0000-0000276D0000}"/>
    <cellStyle name="Normal 2 7 5 6" xfId="15532" xr:uid="{00000000-0005-0000-0000-0000286D0000}"/>
    <cellStyle name="Normal 2 7 5 6 2" xfId="38175" xr:uid="{00000000-0005-0000-0000-0000296D0000}"/>
    <cellStyle name="Normal 2 7 5 7" xfId="8092" xr:uid="{00000000-0005-0000-0000-00002A6D0000}"/>
    <cellStyle name="Normal 2 7 5 7 2" xfId="30735" xr:uid="{00000000-0005-0000-0000-00002B6D0000}"/>
    <cellStyle name="Normal 2 7 5 8" xfId="23294" xr:uid="{00000000-0005-0000-0000-00002C6D0000}"/>
    <cellStyle name="Normal 2 7 6" xfId="890" xr:uid="{00000000-0005-0000-0000-00002D6D0000}"/>
    <cellStyle name="Normal 2 7 6 2" xfId="1818" xr:uid="{00000000-0005-0000-0000-00002E6D0000}"/>
    <cellStyle name="Normal 2 7 6 2 2" xfId="3668" xr:uid="{00000000-0005-0000-0000-00002F6D0000}"/>
    <cellStyle name="Normal 2 7 6 2 2 2" xfId="7389" xr:uid="{00000000-0005-0000-0000-0000306D0000}"/>
    <cellStyle name="Normal 2 7 6 2 2 2 2" xfId="22273" xr:uid="{00000000-0005-0000-0000-0000316D0000}"/>
    <cellStyle name="Normal 2 7 6 2 2 2 2 2" xfId="44916" xr:uid="{00000000-0005-0000-0000-0000326D0000}"/>
    <cellStyle name="Normal 2 7 6 2 2 2 3" xfId="14833" xr:uid="{00000000-0005-0000-0000-0000336D0000}"/>
    <cellStyle name="Normal 2 7 6 2 2 2 3 2" xfId="37476" xr:uid="{00000000-0005-0000-0000-0000346D0000}"/>
    <cellStyle name="Normal 2 7 6 2 2 2 4" xfId="30035" xr:uid="{00000000-0005-0000-0000-0000356D0000}"/>
    <cellStyle name="Normal 2 7 6 2 2 3" xfId="18555" xr:uid="{00000000-0005-0000-0000-0000366D0000}"/>
    <cellStyle name="Normal 2 7 6 2 2 3 2" xfId="41198" xr:uid="{00000000-0005-0000-0000-0000376D0000}"/>
    <cellStyle name="Normal 2 7 6 2 2 4" xfId="11115" xr:uid="{00000000-0005-0000-0000-0000386D0000}"/>
    <cellStyle name="Normal 2 7 6 2 2 4 2" xfId="33758" xr:uid="{00000000-0005-0000-0000-0000396D0000}"/>
    <cellStyle name="Normal 2 7 6 2 2 5" xfId="26317" xr:uid="{00000000-0005-0000-0000-00003A6D0000}"/>
    <cellStyle name="Normal 2 7 6 2 3" xfId="5542" xr:uid="{00000000-0005-0000-0000-00003B6D0000}"/>
    <cellStyle name="Normal 2 7 6 2 3 2" xfId="20426" xr:uid="{00000000-0005-0000-0000-00003C6D0000}"/>
    <cellStyle name="Normal 2 7 6 2 3 2 2" xfId="43069" xr:uid="{00000000-0005-0000-0000-00003D6D0000}"/>
    <cellStyle name="Normal 2 7 6 2 3 3" xfId="12986" xr:uid="{00000000-0005-0000-0000-00003E6D0000}"/>
    <cellStyle name="Normal 2 7 6 2 3 3 2" xfId="35629" xr:uid="{00000000-0005-0000-0000-00003F6D0000}"/>
    <cellStyle name="Normal 2 7 6 2 3 4" xfId="28188" xr:uid="{00000000-0005-0000-0000-0000406D0000}"/>
    <cellStyle name="Normal 2 7 6 2 4" xfId="16708" xr:uid="{00000000-0005-0000-0000-0000416D0000}"/>
    <cellStyle name="Normal 2 7 6 2 4 2" xfId="39351" xr:uid="{00000000-0005-0000-0000-0000426D0000}"/>
    <cellStyle name="Normal 2 7 6 2 5" xfId="9268" xr:uid="{00000000-0005-0000-0000-0000436D0000}"/>
    <cellStyle name="Normal 2 7 6 2 5 2" xfId="31911" xr:uid="{00000000-0005-0000-0000-0000446D0000}"/>
    <cellStyle name="Normal 2 7 6 2 6" xfId="24470" xr:uid="{00000000-0005-0000-0000-0000456D0000}"/>
    <cellStyle name="Normal 2 7 6 3" xfId="2743" xr:uid="{00000000-0005-0000-0000-0000466D0000}"/>
    <cellStyle name="Normal 2 7 6 3 2" xfId="6464" xr:uid="{00000000-0005-0000-0000-0000476D0000}"/>
    <cellStyle name="Normal 2 7 6 3 2 2" xfId="21348" xr:uid="{00000000-0005-0000-0000-0000486D0000}"/>
    <cellStyle name="Normal 2 7 6 3 2 2 2" xfId="43991" xr:uid="{00000000-0005-0000-0000-0000496D0000}"/>
    <cellStyle name="Normal 2 7 6 3 2 3" xfId="13908" xr:uid="{00000000-0005-0000-0000-00004A6D0000}"/>
    <cellStyle name="Normal 2 7 6 3 2 3 2" xfId="36551" xr:uid="{00000000-0005-0000-0000-00004B6D0000}"/>
    <cellStyle name="Normal 2 7 6 3 2 4" xfId="29110" xr:uid="{00000000-0005-0000-0000-00004C6D0000}"/>
    <cellStyle name="Normal 2 7 6 3 3" xfId="17630" xr:uid="{00000000-0005-0000-0000-00004D6D0000}"/>
    <cellStyle name="Normal 2 7 6 3 3 2" xfId="40273" xr:uid="{00000000-0005-0000-0000-00004E6D0000}"/>
    <cellStyle name="Normal 2 7 6 3 4" xfId="10190" xr:uid="{00000000-0005-0000-0000-00004F6D0000}"/>
    <cellStyle name="Normal 2 7 6 3 4 2" xfId="32833" xr:uid="{00000000-0005-0000-0000-0000506D0000}"/>
    <cellStyle name="Normal 2 7 6 3 5" xfId="25392" xr:uid="{00000000-0005-0000-0000-0000516D0000}"/>
    <cellStyle name="Normal 2 7 6 4" xfId="4617" xr:uid="{00000000-0005-0000-0000-0000526D0000}"/>
    <cellStyle name="Normal 2 7 6 4 2" xfId="19501" xr:uid="{00000000-0005-0000-0000-0000536D0000}"/>
    <cellStyle name="Normal 2 7 6 4 2 2" xfId="42144" xr:uid="{00000000-0005-0000-0000-0000546D0000}"/>
    <cellStyle name="Normal 2 7 6 4 3" xfId="12061" xr:uid="{00000000-0005-0000-0000-0000556D0000}"/>
    <cellStyle name="Normal 2 7 6 4 3 2" xfId="34704" xr:uid="{00000000-0005-0000-0000-0000566D0000}"/>
    <cellStyle name="Normal 2 7 6 4 4" xfId="27263" xr:uid="{00000000-0005-0000-0000-0000576D0000}"/>
    <cellStyle name="Normal 2 7 6 5" xfId="15783" xr:uid="{00000000-0005-0000-0000-0000586D0000}"/>
    <cellStyle name="Normal 2 7 6 5 2" xfId="38426" xr:uid="{00000000-0005-0000-0000-0000596D0000}"/>
    <cellStyle name="Normal 2 7 6 6" xfId="8343" xr:uid="{00000000-0005-0000-0000-00005A6D0000}"/>
    <cellStyle name="Normal 2 7 6 6 2" xfId="30986" xr:uid="{00000000-0005-0000-0000-00005B6D0000}"/>
    <cellStyle name="Normal 2 7 6 7" xfId="23545" xr:uid="{00000000-0005-0000-0000-00005C6D0000}"/>
    <cellStyle name="Normal 2 7 7" xfId="1356" xr:uid="{00000000-0005-0000-0000-00005D6D0000}"/>
    <cellStyle name="Normal 2 7 7 2" xfId="3206" xr:uid="{00000000-0005-0000-0000-00005E6D0000}"/>
    <cellStyle name="Normal 2 7 7 2 2" xfId="6927" xr:uid="{00000000-0005-0000-0000-00005F6D0000}"/>
    <cellStyle name="Normal 2 7 7 2 2 2" xfId="21811" xr:uid="{00000000-0005-0000-0000-0000606D0000}"/>
    <cellStyle name="Normal 2 7 7 2 2 2 2" xfId="44454" xr:uid="{00000000-0005-0000-0000-0000616D0000}"/>
    <cellStyle name="Normal 2 7 7 2 2 3" xfId="14371" xr:uid="{00000000-0005-0000-0000-0000626D0000}"/>
    <cellStyle name="Normal 2 7 7 2 2 3 2" xfId="37014" xr:uid="{00000000-0005-0000-0000-0000636D0000}"/>
    <cellStyle name="Normal 2 7 7 2 2 4" xfId="29573" xr:uid="{00000000-0005-0000-0000-0000646D0000}"/>
    <cellStyle name="Normal 2 7 7 2 3" xfId="18093" xr:uid="{00000000-0005-0000-0000-0000656D0000}"/>
    <cellStyle name="Normal 2 7 7 2 3 2" xfId="40736" xr:uid="{00000000-0005-0000-0000-0000666D0000}"/>
    <cellStyle name="Normal 2 7 7 2 4" xfId="10653" xr:uid="{00000000-0005-0000-0000-0000676D0000}"/>
    <cellStyle name="Normal 2 7 7 2 4 2" xfId="33296" xr:uid="{00000000-0005-0000-0000-0000686D0000}"/>
    <cellStyle name="Normal 2 7 7 2 5" xfId="25855" xr:uid="{00000000-0005-0000-0000-0000696D0000}"/>
    <cellStyle name="Normal 2 7 7 3" xfId="5080" xr:uid="{00000000-0005-0000-0000-00006A6D0000}"/>
    <cellStyle name="Normal 2 7 7 3 2" xfId="19964" xr:uid="{00000000-0005-0000-0000-00006B6D0000}"/>
    <cellStyle name="Normal 2 7 7 3 2 2" xfId="42607" xr:uid="{00000000-0005-0000-0000-00006C6D0000}"/>
    <cellStyle name="Normal 2 7 7 3 3" xfId="12524" xr:uid="{00000000-0005-0000-0000-00006D6D0000}"/>
    <cellStyle name="Normal 2 7 7 3 3 2" xfId="35167" xr:uid="{00000000-0005-0000-0000-00006E6D0000}"/>
    <cellStyle name="Normal 2 7 7 3 4" xfId="27726" xr:uid="{00000000-0005-0000-0000-00006F6D0000}"/>
    <cellStyle name="Normal 2 7 7 4" xfId="16246" xr:uid="{00000000-0005-0000-0000-0000706D0000}"/>
    <cellStyle name="Normal 2 7 7 4 2" xfId="38889" xr:uid="{00000000-0005-0000-0000-0000716D0000}"/>
    <cellStyle name="Normal 2 7 7 5" xfId="8806" xr:uid="{00000000-0005-0000-0000-0000726D0000}"/>
    <cellStyle name="Normal 2 7 7 5 2" xfId="31449" xr:uid="{00000000-0005-0000-0000-0000736D0000}"/>
    <cellStyle name="Normal 2 7 7 6" xfId="24008" xr:uid="{00000000-0005-0000-0000-0000746D0000}"/>
    <cellStyle name="Normal 2 7 8" xfId="2281" xr:uid="{00000000-0005-0000-0000-0000756D0000}"/>
    <cellStyle name="Normal 2 7 8 2" xfId="6002" xr:uid="{00000000-0005-0000-0000-0000766D0000}"/>
    <cellStyle name="Normal 2 7 8 2 2" xfId="20886" xr:uid="{00000000-0005-0000-0000-0000776D0000}"/>
    <cellStyle name="Normal 2 7 8 2 2 2" xfId="43529" xr:uid="{00000000-0005-0000-0000-0000786D0000}"/>
    <cellStyle name="Normal 2 7 8 2 3" xfId="13446" xr:uid="{00000000-0005-0000-0000-0000796D0000}"/>
    <cellStyle name="Normal 2 7 8 2 3 2" xfId="36089" xr:uid="{00000000-0005-0000-0000-00007A6D0000}"/>
    <cellStyle name="Normal 2 7 8 2 4" xfId="28648" xr:uid="{00000000-0005-0000-0000-00007B6D0000}"/>
    <cellStyle name="Normal 2 7 8 3" xfId="17168" xr:uid="{00000000-0005-0000-0000-00007C6D0000}"/>
    <cellStyle name="Normal 2 7 8 3 2" xfId="39811" xr:uid="{00000000-0005-0000-0000-00007D6D0000}"/>
    <cellStyle name="Normal 2 7 8 4" xfId="9728" xr:uid="{00000000-0005-0000-0000-00007E6D0000}"/>
    <cellStyle name="Normal 2 7 8 4 2" xfId="32371" xr:uid="{00000000-0005-0000-0000-00007F6D0000}"/>
    <cellStyle name="Normal 2 7 8 5" xfId="24930" xr:uid="{00000000-0005-0000-0000-0000806D0000}"/>
    <cellStyle name="Normal 2 7 9" xfId="4155" xr:uid="{00000000-0005-0000-0000-0000816D0000}"/>
    <cellStyle name="Normal 2 7 9 2" xfId="19039" xr:uid="{00000000-0005-0000-0000-0000826D0000}"/>
    <cellStyle name="Normal 2 7 9 2 2" xfId="41682" xr:uid="{00000000-0005-0000-0000-0000836D0000}"/>
    <cellStyle name="Normal 2 7 9 3" xfId="11599" xr:uid="{00000000-0005-0000-0000-0000846D0000}"/>
    <cellStyle name="Normal 2 7 9 3 2" xfId="34242" xr:uid="{00000000-0005-0000-0000-0000856D0000}"/>
    <cellStyle name="Normal 2 7 9 4" xfId="26801" xr:uid="{00000000-0005-0000-0000-0000866D0000}"/>
    <cellStyle name="Normal 2 8" xfId="411" xr:uid="{00000000-0005-0000-0000-0000876D0000}"/>
    <cellStyle name="Normal 2 8 10" xfId="15322" xr:uid="{00000000-0005-0000-0000-0000886D0000}"/>
    <cellStyle name="Normal 2 8 10 2" xfId="37965" xr:uid="{00000000-0005-0000-0000-0000896D0000}"/>
    <cellStyle name="Normal 2 8 11" xfId="7882" xr:uid="{00000000-0005-0000-0000-00008A6D0000}"/>
    <cellStyle name="Normal 2 8 11 2" xfId="30525" xr:uid="{00000000-0005-0000-0000-00008B6D0000}"/>
    <cellStyle name="Normal 2 8 12" xfId="23085" xr:uid="{00000000-0005-0000-0000-00008C6D0000}"/>
    <cellStyle name="Normal 2 8 2" xfId="443" xr:uid="{00000000-0005-0000-0000-00008D6D0000}"/>
    <cellStyle name="Normal 2 8 2 10" xfId="7902" xr:uid="{00000000-0005-0000-0000-00008E6D0000}"/>
    <cellStyle name="Normal 2 8 2 10 2" xfId="30545" xr:uid="{00000000-0005-0000-0000-00008F6D0000}"/>
    <cellStyle name="Normal 2 8 2 11" xfId="23105" xr:uid="{00000000-0005-0000-0000-0000906D0000}"/>
    <cellStyle name="Normal 2 8 2 2" xfId="496" xr:uid="{00000000-0005-0000-0000-0000916D0000}"/>
    <cellStyle name="Normal 2 8 2 2 10" xfId="23157" xr:uid="{00000000-0005-0000-0000-0000926D0000}"/>
    <cellStyle name="Normal 2 8 2 2 2" xfId="602" xr:uid="{00000000-0005-0000-0000-0000936D0000}"/>
    <cellStyle name="Normal 2 8 2 2 2 2" xfId="814" xr:uid="{00000000-0005-0000-0000-0000946D0000}"/>
    <cellStyle name="Normal 2 8 2 2 2 2 2" xfId="1279" xr:uid="{00000000-0005-0000-0000-0000956D0000}"/>
    <cellStyle name="Normal 2 8 2 2 2 2 2 2" xfId="2207" xr:uid="{00000000-0005-0000-0000-0000966D0000}"/>
    <cellStyle name="Normal 2 8 2 2 2 2 2 2 2" xfId="4057" xr:uid="{00000000-0005-0000-0000-0000976D0000}"/>
    <cellStyle name="Normal 2 8 2 2 2 2 2 2 2 2" xfId="7778" xr:uid="{00000000-0005-0000-0000-0000986D0000}"/>
    <cellStyle name="Normal 2 8 2 2 2 2 2 2 2 2 2" xfId="22662" xr:uid="{00000000-0005-0000-0000-0000996D0000}"/>
    <cellStyle name="Normal 2 8 2 2 2 2 2 2 2 2 2 2" xfId="45305" xr:uid="{00000000-0005-0000-0000-00009A6D0000}"/>
    <cellStyle name="Normal 2 8 2 2 2 2 2 2 2 2 3" xfId="15222" xr:uid="{00000000-0005-0000-0000-00009B6D0000}"/>
    <cellStyle name="Normal 2 8 2 2 2 2 2 2 2 2 3 2" xfId="37865" xr:uid="{00000000-0005-0000-0000-00009C6D0000}"/>
    <cellStyle name="Normal 2 8 2 2 2 2 2 2 2 2 4" xfId="30424" xr:uid="{00000000-0005-0000-0000-00009D6D0000}"/>
    <cellStyle name="Normal 2 8 2 2 2 2 2 2 2 3" xfId="18944" xr:uid="{00000000-0005-0000-0000-00009E6D0000}"/>
    <cellStyle name="Normal 2 8 2 2 2 2 2 2 2 3 2" xfId="41587" xr:uid="{00000000-0005-0000-0000-00009F6D0000}"/>
    <cellStyle name="Normal 2 8 2 2 2 2 2 2 2 4" xfId="11504" xr:uid="{00000000-0005-0000-0000-0000A06D0000}"/>
    <cellStyle name="Normal 2 8 2 2 2 2 2 2 2 4 2" xfId="34147" xr:uid="{00000000-0005-0000-0000-0000A16D0000}"/>
    <cellStyle name="Normal 2 8 2 2 2 2 2 2 2 5" xfId="26706" xr:uid="{00000000-0005-0000-0000-0000A26D0000}"/>
    <cellStyle name="Normal 2 8 2 2 2 2 2 2 3" xfId="5931" xr:uid="{00000000-0005-0000-0000-0000A36D0000}"/>
    <cellStyle name="Normal 2 8 2 2 2 2 2 2 3 2" xfId="20815" xr:uid="{00000000-0005-0000-0000-0000A46D0000}"/>
    <cellStyle name="Normal 2 8 2 2 2 2 2 2 3 2 2" xfId="43458" xr:uid="{00000000-0005-0000-0000-0000A56D0000}"/>
    <cellStyle name="Normal 2 8 2 2 2 2 2 2 3 3" xfId="13375" xr:uid="{00000000-0005-0000-0000-0000A66D0000}"/>
    <cellStyle name="Normal 2 8 2 2 2 2 2 2 3 3 2" xfId="36018" xr:uid="{00000000-0005-0000-0000-0000A76D0000}"/>
    <cellStyle name="Normal 2 8 2 2 2 2 2 2 3 4" xfId="28577" xr:uid="{00000000-0005-0000-0000-0000A86D0000}"/>
    <cellStyle name="Normal 2 8 2 2 2 2 2 2 4" xfId="17097" xr:uid="{00000000-0005-0000-0000-0000A96D0000}"/>
    <cellStyle name="Normal 2 8 2 2 2 2 2 2 4 2" xfId="39740" xr:uid="{00000000-0005-0000-0000-0000AA6D0000}"/>
    <cellStyle name="Normal 2 8 2 2 2 2 2 2 5" xfId="9657" xr:uid="{00000000-0005-0000-0000-0000AB6D0000}"/>
    <cellStyle name="Normal 2 8 2 2 2 2 2 2 5 2" xfId="32300" xr:uid="{00000000-0005-0000-0000-0000AC6D0000}"/>
    <cellStyle name="Normal 2 8 2 2 2 2 2 2 6" xfId="24859" xr:uid="{00000000-0005-0000-0000-0000AD6D0000}"/>
    <cellStyle name="Normal 2 8 2 2 2 2 2 3" xfId="3132" xr:uid="{00000000-0005-0000-0000-0000AE6D0000}"/>
    <cellStyle name="Normal 2 8 2 2 2 2 2 3 2" xfId="6853" xr:uid="{00000000-0005-0000-0000-0000AF6D0000}"/>
    <cellStyle name="Normal 2 8 2 2 2 2 2 3 2 2" xfId="21737" xr:uid="{00000000-0005-0000-0000-0000B06D0000}"/>
    <cellStyle name="Normal 2 8 2 2 2 2 2 3 2 2 2" xfId="44380" xr:uid="{00000000-0005-0000-0000-0000B16D0000}"/>
    <cellStyle name="Normal 2 8 2 2 2 2 2 3 2 3" xfId="14297" xr:uid="{00000000-0005-0000-0000-0000B26D0000}"/>
    <cellStyle name="Normal 2 8 2 2 2 2 2 3 2 3 2" xfId="36940" xr:uid="{00000000-0005-0000-0000-0000B36D0000}"/>
    <cellStyle name="Normal 2 8 2 2 2 2 2 3 2 4" xfId="29499" xr:uid="{00000000-0005-0000-0000-0000B46D0000}"/>
    <cellStyle name="Normal 2 8 2 2 2 2 2 3 3" xfId="18019" xr:uid="{00000000-0005-0000-0000-0000B56D0000}"/>
    <cellStyle name="Normal 2 8 2 2 2 2 2 3 3 2" xfId="40662" xr:uid="{00000000-0005-0000-0000-0000B66D0000}"/>
    <cellStyle name="Normal 2 8 2 2 2 2 2 3 4" xfId="10579" xr:uid="{00000000-0005-0000-0000-0000B76D0000}"/>
    <cellStyle name="Normal 2 8 2 2 2 2 2 3 4 2" xfId="33222" xr:uid="{00000000-0005-0000-0000-0000B86D0000}"/>
    <cellStyle name="Normal 2 8 2 2 2 2 2 3 5" xfId="25781" xr:uid="{00000000-0005-0000-0000-0000B96D0000}"/>
    <cellStyle name="Normal 2 8 2 2 2 2 2 4" xfId="5006" xr:uid="{00000000-0005-0000-0000-0000BA6D0000}"/>
    <cellStyle name="Normal 2 8 2 2 2 2 2 4 2" xfId="19890" xr:uid="{00000000-0005-0000-0000-0000BB6D0000}"/>
    <cellStyle name="Normal 2 8 2 2 2 2 2 4 2 2" xfId="42533" xr:uid="{00000000-0005-0000-0000-0000BC6D0000}"/>
    <cellStyle name="Normal 2 8 2 2 2 2 2 4 3" xfId="12450" xr:uid="{00000000-0005-0000-0000-0000BD6D0000}"/>
    <cellStyle name="Normal 2 8 2 2 2 2 2 4 3 2" xfId="35093" xr:uid="{00000000-0005-0000-0000-0000BE6D0000}"/>
    <cellStyle name="Normal 2 8 2 2 2 2 2 4 4" xfId="27652" xr:uid="{00000000-0005-0000-0000-0000BF6D0000}"/>
    <cellStyle name="Normal 2 8 2 2 2 2 2 5" xfId="16172" xr:uid="{00000000-0005-0000-0000-0000C06D0000}"/>
    <cellStyle name="Normal 2 8 2 2 2 2 2 5 2" xfId="38815" xr:uid="{00000000-0005-0000-0000-0000C16D0000}"/>
    <cellStyle name="Normal 2 8 2 2 2 2 2 6" xfId="8732" xr:uid="{00000000-0005-0000-0000-0000C26D0000}"/>
    <cellStyle name="Normal 2 8 2 2 2 2 2 6 2" xfId="31375" xr:uid="{00000000-0005-0000-0000-0000C36D0000}"/>
    <cellStyle name="Normal 2 8 2 2 2 2 2 7" xfId="23934" xr:uid="{00000000-0005-0000-0000-0000C46D0000}"/>
    <cellStyle name="Normal 2 8 2 2 2 2 3" xfId="1745" xr:uid="{00000000-0005-0000-0000-0000C56D0000}"/>
    <cellStyle name="Normal 2 8 2 2 2 2 3 2" xfId="3595" xr:uid="{00000000-0005-0000-0000-0000C66D0000}"/>
    <cellStyle name="Normal 2 8 2 2 2 2 3 2 2" xfId="7316" xr:uid="{00000000-0005-0000-0000-0000C76D0000}"/>
    <cellStyle name="Normal 2 8 2 2 2 2 3 2 2 2" xfId="22200" xr:uid="{00000000-0005-0000-0000-0000C86D0000}"/>
    <cellStyle name="Normal 2 8 2 2 2 2 3 2 2 2 2" xfId="44843" xr:uid="{00000000-0005-0000-0000-0000C96D0000}"/>
    <cellStyle name="Normal 2 8 2 2 2 2 3 2 2 3" xfId="14760" xr:uid="{00000000-0005-0000-0000-0000CA6D0000}"/>
    <cellStyle name="Normal 2 8 2 2 2 2 3 2 2 3 2" xfId="37403" xr:uid="{00000000-0005-0000-0000-0000CB6D0000}"/>
    <cellStyle name="Normal 2 8 2 2 2 2 3 2 2 4" xfId="29962" xr:uid="{00000000-0005-0000-0000-0000CC6D0000}"/>
    <cellStyle name="Normal 2 8 2 2 2 2 3 2 3" xfId="18482" xr:uid="{00000000-0005-0000-0000-0000CD6D0000}"/>
    <cellStyle name="Normal 2 8 2 2 2 2 3 2 3 2" xfId="41125" xr:uid="{00000000-0005-0000-0000-0000CE6D0000}"/>
    <cellStyle name="Normal 2 8 2 2 2 2 3 2 4" xfId="11042" xr:uid="{00000000-0005-0000-0000-0000CF6D0000}"/>
    <cellStyle name="Normal 2 8 2 2 2 2 3 2 4 2" xfId="33685" xr:uid="{00000000-0005-0000-0000-0000D06D0000}"/>
    <cellStyle name="Normal 2 8 2 2 2 2 3 2 5" xfId="26244" xr:uid="{00000000-0005-0000-0000-0000D16D0000}"/>
    <cellStyle name="Normal 2 8 2 2 2 2 3 3" xfId="5469" xr:uid="{00000000-0005-0000-0000-0000D26D0000}"/>
    <cellStyle name="Normal 2 8 2 2 2 2 3 3 2" xfId="20353" xr:uid="{00000000-0005-0000-0000-0000D36D0000}"/>
    <cellStyle name="Normal 2 8 2 2 2 2 3 3 2 2" xfId="42996" xr:uid="{00000000-0005-0000-0000-0000D46D0000}"/>
    <cellStyle name="Normal 2 8 2 2 2 2 3 3 3" xfId="12913" xr:uid="{00000000-0005-0000-0000-0000D56D0000}"/>
    <cellStyle name="Normal 2 8 2 2 2 2 3 3 3 2" xfId="35556" xr:uid="{00000000-0005-0000-0000-0000D66D0000}"/>
    <cellStyle name="Normal 2 8 2 2 2 2 3 3 4" xfId="28115" xr:uid="{00000000-0005-0000-0000-0000D76D0000}"/>
    <cellStyle name="Normal 2 8 2 2 2 2 3 4" xfId="16635" xr:uid="{00000000-0005-0000-0000-0000D86D0000}"/>
    <cellStyle name="Normal 2 8 2 2 2 2 3 4 2" xfId="39278" xr:uid="{00000000-0005-0000-0000-0000D96D0000}"/>
    <cellStyle name="Normal 2 8 2 2 2 2 3 5" xfId="9195" xr:uid="{00000000-0005-0000-0000-0000DA6D0000}"/>
    <cellStyle name="Normal 2 8 2 2 2 2 3 5 2" xfId="31838" xr:uid="{00000000-0005-0000-0000-0000DB6D0000}"/>
    <cellStyle name="Normal 2 8 2 2 2 2 3 6" xfId="24397" xr:uid="{00000000-0005-0000-0000-0000DC6D0000}"/>
    <cellStyle name="Normal 2 8 2 2 2 2 4" xfId="2670" xr:uid="{00000000-0005-0000-0000-0000DD6D0000}"/>
    <cellStyle name="Normal 2 8 2 2 2 2 4 2" xfId="6391" xr:uid="{00000000-0005-0000-0000-0000DE6D0000}"/>
    <cellStyle name="Normal 2 8 2 2 2 2 4 2 2" xfId="21275" xr:uid="{00000000-0005-0000-0000-0000DF6D0000}"/>
    <cellStyle name="Normal 2 8 2 2 2 2 4 2 2 2" xfId="43918" xr:uid="{00000000-0005-0000-0000-0000E06D0000}"/>
    <cellStyle name="Normal 2 8 2 2 2 2 4 2 3" xfId="13835" xr:uid="{00000000-0005-0000-0000-0000E16D0000}"/>
    <cellStyle name="Normal 2 8 2 2 2 2 4 2 3 2" xfId="36478" xr:uid="{00000000-0005-0000-0000-0000E26D0000}"/>
    <cellStyle name="Normal 2 8 2 2 2 2 4 2 4" xfId="29037" xr:uid="{00000000-0005-0000-0000-0000E36D0000}"/>
    <cellStyle name="Normal 2 8 2 2 2 2 4 3" xfId="17557" xr:uid="{00000000-0005-0000-0000-0000E46D0000}"/>
    <cellStyle name="Normal 2 8 2 2 2 2 4 3 2" xfId="40200" xr:uid="{00000000-0005-0000-0000-0000E56D0000}"/>
    <cellStyle name="Normal 2 8 2 2 2 2 4 4" xfId="10117" xr:uid="{00000000-0005-0000-0000-0000E66D0000}"/>
    <cellStyle name="Normal 2 8 2 2 2 2 4 4 2" xfId="32760" xr:uid="{00000000-0005-0000-0000-0000E76D0000}"/>
    <cellStyle name="Normal 2 8 2 2 2 2 4 5" xfId="25319" xr:uid="{00000000-0005-0000-0000-0000E86D0000}"/>
    <cellStyle name="Normal 2 8 2 2 2 2 5" xfId="4544" xr:uid="{00000000-0005-0000-0000-0000E96D0000}"/>
    <cellStyle name="Normal 2 8 2 2 2 2 5 2" xfId="19428" xr:uid="{00000000-0005-0000-0000-0000EA6D0000}"/>
    <cellStyle name="Normal 2 8 2 2 2 2 5 2 2" xfId="42071" xr:uid="{00000000-0005-0000-0000-0000EB6D0000}"/>
    <cellStyle name="Normal 2 8 2 2 2 2 5 3" xfId="11988" xr:uid="{00000000-0005-0000-0000-0000EC6D0000}"/>
    <cellStyle name="Normal 2 8 2 2 2 2 5 3 2" xfId="34631" xr:uid="{00000000-0005-0000-0000-0000ED6D0000}"/>
    <cellStyle name="Normal 2 8 2 2 2 2 5 4" xfId="27190" xr:uid="{00000000-0005-0000-0000-0000EE6D0000}"/>
    <cellStyle name="Normal 2 8 2 2 2 2 6" xfId="15710" xr:uid="{00000000-0005-0000-0000-0000EF6D0000}"/>
    <cellStyle name="Normal 2 8 2 2 2 2 6 2" xfId="38353" xr:uid="{00000000-0005-0000-0000-0000F06D0000}"/>
    <cellStyle name="Normal 2 8 2 2 2 2 7" xfId="8270" xr:uid="{00000000-0005-0000-0000-0000F16D0000}"/>
    <cellStyle name="Normal 2 8 2 2 2 2 7 2" xfId="30913" xr:uid="{00000000-0005-0000-0000-0000F26D0000}"/>
    <cellStyle name="Normal 2 8 2 2 2 2 8" xfId="23472" xr:uid="{00000000-0005-0000-0000-0000F36D0000}"/>
    <cellStyle name="Normal 2 8 2 2 2 3" xfId="1068" xr:uid="{00000000-0005-0000-0000-0000F46D0000}"/>
    <cellStyle name="Normal 2 8 2 2 2 3 2" xfId="1996" xr:uid="{00000000-0005-0000-0000-0000F56D0000}"/>
    <cellStyle name="Normal 2 8 2 2 2 3 2 2" xfId="3846" xr:uid="{00000000-0005-0000-0000-0000F66D0000}"/>
    <cellStyle name="Normal 2 8 2 2 2 3 2 2 2" xfId="7567" xr:uid="{00000000-0005-0000-0000-0000F76D0000}"/>
    <cellStyle name="Normal 2 8 2 2 2 3 2 2 2 2" xfId="22451" xr:uid="{00000000-0005-0000-0000-0000F86D0000}"/>
    <cellStyle name="Normal 2 8 2 2 2 3 2 2 2 2 2" xfId="45094" xr:uid="{00000000-0005-0000-0000-0000F96D0000}"/>
    <cellStyle name="Normal 2 8 2 2 2 3 2 2 2 3" xfId="15011" xr:uid="{00000000-0005-0000-0000-0000FA6D0000}"/>
    <cellStyle name="Normal 2 8 2 2 2 3 2 2 2 3 2" xfId="37654" xr:uid="{00000000-0005-0000-0000-0000FB6D0000}"/>
    <cellStyle name="Normal 2 8 2 2 2 3 2 2 2 4" xfId="30213" xr:uid="{00000000-0005-0000-0000-0000FC6D0000}"/>
    <cellStyle name="Normal 2 8 2 2 2 3 2 2 3" xfId="18733" xr:uid="{00000000-0005-0000-0000-0000FD6D0000}"/>
    <cellStyle name="Normal 2 8 2 2 2 3 2 2 3 2" xfId="41376" xr:uid="{00000000-0005-0000-0000-0000FE6D0000}"/>
    <cellStyle name="Normal 2 8 2 2 2 3 2 2 4" xfId="11293" xr:uid="{00000000-0005-0000-0000-0000FF6D0000}"/>
    <cellStyle name="Normal 2 8 2 2 2 3 2 2 4 2" xfId="33936" xr:uid="{00000000-0005-0000-0000-0000006E0000}"/>
    <cellStyle name="Normal 2 8 2 2 2 3 2 2 5" xfId="26495" xr:uid="{00000000-0005-0000-0000-0000016E0000}"/>
    <cellStyle name="Normal 2 8 2 2 2 3 2 3" xfId="5720" xr:uid="{00000000-0005-0000-0000-0000026E0000}"/>
    <cellStyle name="Normal 2 8 2 2 2 3 2 3 2" xfId="20604" xr:uid="{00000000-0005-0000-0000-0000036E0000}"/>
    <cellStyle name="Normal 2 8 2 2 2 3 2 3 2 2" xfId="43247" xr:uid="{00000000-0005-0000-0000-0000046E0000}"/>
    <cellStyle name="Normal 2 8 2 2 2 3 2 3 3" xfId="13164" xr:uid="{00000000-0005-0000-0000-0000056E0000}"/>
    <cellStyle name="Normal 2 8 2 2 2 3 2 3 3 2" xfId="35807" xr:uid="{00000000-0005-0000-0000-0000066E0000}"/>
    <cellStyle name="Normal 2 8 2 2 2 3 2 3 4" xfId="28366" xr:uid="{00000000-0005-0000-0000-0000076E0000}"/>
    <cellStyle name="Normal 2 8 2 2 2 3 2 4" xfId="16886" xr:uid="{00000000-0005-0000-0000-0000086E0000}"/>
    <cellStyle name="Normal 2 8 2 2 2 3 2 4 2" xfId="39529" xr:uid="{00000000-0005-0000-0000-0000096E0000}"/>
    <cellStyle name="Normal 2 8 2 2 2 3 2 5" xfId="9446" xr:uid="{00000000-0005-0000-0000-00000A6E0000}"/>
    <cellStyle name="Normal 2 8 2 2 2 3 2 5 2" xfId="32089" xr:uid="{00000000-0005-0000-0000-00000B6E0000}"/>
    <cellStyle name="Normal 2 8 2 2 2 3 2 6" xfId="24648" xr:uid="{00000000-0005-0000-0000-00000C6E0000}"/>
    <cellStyle name="Normal 2 8 2 2 2 3 3" xfId="2921" xr:uid="{00000000-0005-0000-0000-00000D6E0000}"/>
    <cellStyle name="Normal 2 8 2 2 2 3 3 2" xfId="6642" xr:uid="{00000000-0005-0000-0000-00000E6E0000}"/>
    <cellStyle name="Normal 2 8 2 2 2 3 3 2 2" xfId="21526" xr:uid="{00000000-0005-0000-0000-00000F6E0000}"/>
    <cellStyle name="Normal 2 8 2 2 2 3 3 2 2 2" xfId="44169" xr:uid="{00000000-0005-0000-0000-0000106E0000}"/>
    <cellStyle name="Normal 2 8 2 2 2 3 3 2 3" xfId="14086" xr:uid="{00000000-0005-0000-0000-0000116E0000}"/>
    <cellStyle name="Normal 2 8 2 2 2 3 3 2 3 2" xfId="36729" xr:uid="{00000000-0005-0000-0000-0000126E0000}"/>
    <cellStyle name="Normal 2 8 2 2 2 3 3 2 4" xfId="29288" xr:uid="{00000000-0005-0000-0000-0000136E0000}"/>
    <cellStyle name="Normal 2 8 2 2 2 3 3 3" xfId="17808" xr:uid="{00000000-0005-0000-0000-0000146E0000}"/>
    <cellStyle name="Normal 2 8 2 2 2 3 3 3 2" xfId="40451" xr:uid="{00000000-0005-0000-0000-0000156E0000}"/>
    <cellStyle name="Normal 2 8 2 2 2 3 3 4" xfId="10368" xr:uid="{00000000-0005-0000-0000-0000166E0000}"/>
    <cellStyle name="Normal 2 8 2 2 2 3 3 4 2" xfId="33011" xr:uid="{00000000-0005-0000-0000-0000176E0000}"/>
    <cellStyle name="Normal 2 8 2 2 2 3 3 5" xfId="25570" xr:uid="{00000000-0005-0000-0000-0000186E0000}"/>
    <cellStyle name="Normal 2 8 2 2 2 3 4" xfId="4795" xr:uid="{00000000-0005-0000-0000-0000196E0000}"/>
    <cellStyle name="Normal 2 8 2 2 2 3 4 2" xfId="19679" xr:uid="{00000000-0005-0000-0000-00001A6E0000}"/>
    <cellStyle name="Normal 2 8 2 2 2 3 4 2 2" xfId="42322" xr:uid="{00000000-0005-0000-0000-00001B6E0000}"/>
    <cellStyle name="Normal 2 8 2 2 2 3 4 3" xfId="12239" xr:uid="{00000000-0005-0000-0000-00001C6E0000}"/>
    <cellStyle name="Normal 2 8 2 2 2 3 4 3 2" xfId="34882" xr:uid="{00000000-0005-0000-0000-00001D6E0000}"/>
    <cellStyle name="Normal 2 8 2 2 2 3 4 4" xfId="27441" xr:uid="{00000000-0005-0000-0000-00001E6E0000}"/>
    <cellStyle name="Normal 2 8 2 2 2 3 5" xfId="15961" xr:uid="{00000000-0005-0000-0000-00001F6E0000}"/>
    <cellStyle name="Normal 2 8 2 2 2 3 5 2" xfId="38604" xr:uid="{00000000-0005-0000-0000-0000206E0000}"/>
    <cellStyle name="Normal 2 8 2 2 2 3 6" xfId="8521" xr:uid="{00000000-0005-0000-0000-0000216E0000}"/>
    <cellStyle name="Normal 2 8 2 2 2 3 6 2" xfId="31164" xr:uid="{00000000-0005-0000-0000-0000226E0000}"/>
    <cellStyle name="Normal 2 8 2 2 2 3 7" xfId="23723" xr:uid="{00000000-0005-0000-0000-0000236E0000}"/>
    <cellStyle name="Normal 2 8 2 2 2 4" xfId="1534" xr:uid="{00000000-0005-0000-0000-0000246E0000}"/>
    <cellStyle name="Normal 2 8 2 2 2 4 2" xfId="3384" xr:uid="{00000000-0005-0000-0000-0000256E0000}"/>
    <cellStyle name="Normal 2 8 2 2 2 4 2 2" xfId="7105" xr:uid="{00000000-0005-0000-0000-0000266E0000}"/>
    <cellStyle name="Normal 2 8 2 2 2 4 2 2 2" xfId="21989" xr:uid="{00000000-0005-0000-0000-0000276E0000}"/>
    <cellStyle name="Normal 2 8 2 2 2 4 2 2 2 2" xfId="44632" xr:uid="{00000000-0005-0000-0000-0000286E0000}"/>
    <cellStyle name="Normal 2 8 2 2 2 4 2 2 3" xfId="14549" xr:uid="{00000000-0005-0000-0000-0000296E0000}"/>
    <cellStyle name="Normal 2 8 2 2 2 4 2 2 3 2" xfId="37192" xr:uid="{00000000-0005-0000-0000-00002A6E0000}"/>
    <cellStyle name="Normal 2 8 2 2 2 4 2 2 4" xfId="29751" xr:uid="{00000000-0005-0000-0000-00002B6E0000}"/>
    <cellStyle name="Normal 2 8 2 2 2 4 2 3" xfId="18271" xr:uid="{00000000-0005-0000-0000-00002C6E0000}"/>
    <cellStyle name="Normal 2 8 2 2 2 4 2 3 2" xfId="40914" xr:uid="{00000000-0005-0000-0000-00002D6E0000}"/>
    <cellStyle name="Normal 2 8 2 2 2 4 2 4" xfId="10831" xr:uid="{00000000-0005-0000-0000-00002E6E0000}"/>
    <cellStyle name="Normal 2 8 2 2 2 4 2 4 2" xfId="33474" xr:uid="{00000000-0005-0000-0000-00002F6E0000}"/>
    <cellStyle name="Normal 2 8 2 2 2 4 2 5" xfId="26033" xr:uid="{00000000-0005-0000-0000-0000306E0000}"/>
    <cellStyle name="Normal 2 8 2 2 2 4 3" xfId="5258" xr:uid="{00000000-0005-0000-0000-0000316E0000}"/>
    <cellStyle name="Normal 2 8 2 2 2 4 3 2" xfId="20142" xr:uid="{00000000-0005-0000-0000-0000326E0000}"/>
    <cellStyle name="Normal 2 8 2 2 2 4 3 2 2" xfId="42785" xr:uid="{00000000-0005-0000-0000-0000336E0000}"/>
    <cellStyle name="Normal 2 8 2 2 2 4 3 3" xfId="12702" xr:uid="{00000000-0005-0000-0000-0000346E0000}"/>
    <cellStyle name="Normal 2 8 2 2 2 4 3 3 2" xfId="35345" xr:uid="{00000000-0005-0000-0000-0000356E0000}"/>
    <cellStyle name="Normal 2 8 2 2 2 4 3 4" xfId="27904" xr:uid="{00000000-0005-0000-0000-0000366E0000}"/>
    <cellStyle name="Normal 2 8 2 2 2 4 4" xfId="16424" xr:uid="{00000000-0005-0000-0000-0000376E0000}"/>
    <cellStyle name="Normal 2 8 2 2 2 4 4 2" xfId="39067" xr:uid="{00000000-0005-0000-0000-0000386E0000}"/>
    <cellStyle name="Normal 2 8 2 2 2 4 5" xfId="8984" xr:uid="{00000000-0005-0000-0000-0000396E0000}"/>
    <cellStyle name="Normal 2 8 2 2 2 4 5 2" xfId="31627" xr:uid="{00000000-0005-0000-0000-00003A6E0000}"/>
    <cellStyle name="Normal 2 8 2 2 2 4 6" xfId="24186" xr:uid="{00000000-0005-0000-0000-00003B6E0000}"/>
    <cellStyle name="Normal 2 8 2 2 2 5" xfId="2459" xr:uid="{00000000-0005-0000-0000-00003C6E0000}"/>
    <cellStyle name="Normal 2 8 2 2 2 5 2" xfId="6180" xr:uid="{00000000-0005-0000-0000-00003D6E0000}"/>
    <cellStyle name="Normal 2 8 2 2 2 5 2 2" xfId="21064" xr:uid="{00000000-0005-0000-0000-00003E6E0000}"/>
    <cellStyle name="Normal 2 8 2 2 2 5 2 2 2" xfId="43707" xr:uid="{00000000-0005-0000-0000-00003F6E0000}"/>
    <cellStyle name="Normal 2 8 2 2 2 5 2 3" xfId="13624" xr:uid="{00000000-0005-0000-0000-0000406E0000}"/>
    <cellStyle name="Normal 2 8 2 2 2 5 2 3 2" xfId="36267" xr:uid="{00000000-0005-0000-0000-0000416E0000}"/>
    <cellStyle name="Normal 2 8 2 2 2 5 2 4" xfId="28826" xr:uid="{00000000-0005-0000-0000-0000426E0000}"/>
    <cellStyle name="Normal 2 8 2 2 2 5 3" xfId="17346" xr:uid="{00000000-0005-0000-0000-0000436E0000}"/>
    <cellStyle name="Normal 2 8 2 2 2 5 3 2" xfId="39989" xr:uid="{00000000-0005-0000-0000-0000446E0000}"/>
    <cellStyle name="Normal 2 8 2 2 2 5 4" xfId="9906" xr:uid="{00000000-0005-0000-0000-0000456E0000}"/>
    <cellStyle name="Normal 2 8 2 2 2 5 4 2" xfId="32549" xr:uid="{00000000-0005-0000-0000-0000466E0000}"/>
    <cellStyle name="Normal 2 8 2 2 2 5 5" xfId="25108" xr:uid="{00000000-0005-0000-0000-0000476E0000}"/>
    <cellStyle name="Normal 2 8 2 2 2 6" xfId="4333" xr:uid="{00000000-0005-0000-0000-0000486E0000}"/>
    <cellStyle name="Normal 2 8 2 2 2 6 2" xfId="19217" xr:uid="{00000000-0005-0000-0000-0000496E0000}"/>
    <cellStyle name="Normal 2 8 2 2 2 6 2 2" xfId="41860" xr:uid="{00000000-0005-0000-0000-00004A6E0000}"/>
    <cellStyle name="Normal 2 8 2 2 2 6 3" xfId="11777" xr:uid="{00000000-0005-0000-0000-00004B6E0000}"/>
    <cellStyle name="Normal 2 8 2 2 2 6 3 2" xfId="34420" xr:uid="{00000000-0005-0000-0000-00004C6E0000}"/>
    <cellStyle name="Normal 2 8 2 2 2 6 4" xfId="26979" xr:uid="{00000000-0005-0000-0000-00004D6E0000}"/>
    <cellStyle name="Normal 2 8 2 2 2 7" xfId="15499" xr:uid="{00000000-0005-0000-0000-00004E6E0000}"/>
    <cellStyle name="Normal 2 8 2 2 2 7 2" xfId="38142" xr:uid="{00000000-0005-0000-0000-00004F6E0000}"/>
    <cellStyle name="Normal 2 8 2 2 2 8" xfId="8059" xr:uid="{00000000-0005-0000-0000-0000506E0000}"/>
    <cellStyle name="Normal 2 8 2 2 2 8 2" xfId="30702" xr:uid="{00000000-0005-0000-0000-0000516E0000}"/>
    <cellStyle name="Normal 2 8 2 2 2 9" xfId="23262" xr:uid="{00000000-0005-0000-0000-0000526E0000}"/>
    <cellStyle name="Normal 2 8 2 2 3" xfId="709" xr:uid="{00000000-0005-0000-0000-0000536E0000}"/>
    <cellStyle name="Normal 2 8 2 2 3 2" xfId="1174" xr:uid="{00000000-0005-0000-0000-0000546E0000}"/>
    <cellStyle name="Normal 2 8 2 2 3 2 2" xfId="2102" xr:uid="{00000000-0005-0000-0000-0000556E0000}"/>
    <cellStyle name="Normal 2 8 2 2 3 2 2 2" xfId="3952" xr:uid="{00000000-0005-0000-0000-0000566E0000}"/>
    <cellStyle name="Normal 2 8 2 2 3 2 2 2 2" xfId="7673" xr:uid="{00000000-0005-0000-0000-0000576E0000}"/>
    <cellStyle name="Normal 2 8 2 2 3 2 2 2 2 2" xfId="22557" xr:uid="{00000000-0005-0000-0000-0000586E0000}"/>
    <cellStyle name="Normal 2 8 2 2 3 2 2 2 2 2 2" xfId="45200" xr:uid="{00000000-0005-0000-0000-0000596E0000}"/>
    <cellStyle name="Normal 2 8 2 2 3 2 2 2 2 3" xfId="15117" xr:uid="{00000000-0005-0000-0000-00005A6E0000}"/>
    <cellStyle name="Normal 2 8 2 2 3 2 2 2 2 3 2" xfId="37760" xr:uid="{00000000-0005-0000-0000-00005B6E0000}"/>
    <cellStyle name="Normal 2 8 2 2 3 2 2 2 2 4" xfId="30319" xr:uid="{00000000-0005-0000-0000-00005C6E0000}"/>
    <cellStyle name="Normal 2 8 2 2 3 2 2 2 3" xfId="18839" xr:uid="{00000000-0005-0000-0000-00005D6E0000}"/>
    <cellStyle name="Normal 2 8 2 2 3 2 2 2 3 2" xfId="41482" xr:uid="{00000000-0005-0000-0000-00005E6E0000}"/>
    <cellStyle name="Normal 2 8 2 2 3 2 2 2 4" xfId="11399" xr:uid="{00000000-0005-0000-0000-00005F6E0000}"/>
    <cellStyle name="Normal 2 8 2 2 3 2 2 2 4 2" xfId="34042" xr:uid="{00000000-0005-0000-0000-0000606E0000}"/>
    <cellStyle name="Normal 2 8 2 2 3 2 2 2 5" xfId="26601" xr:uid="{00000000-0005-0000-0000-0000616E0000}"/>
    <cellStyle name="Normal 2 8 2 2 3 2 2 3" xfId="5826" xr:uid="{00000000-0005-0000-0000-0000626E0000}"/>
    <cellStyle name="Normal 2 8 2 2 3 2 2 3 2" xfId="20710" xr:uid="{00000000-0005-0000-0000-0000636E0000}"/>
    <cellStyle name="Normal 2 8 2 2 3 2 2 3 2 2" xfId="43353" xr:uid="{00000000-0005-0000-0000-0000646E0000}"/>
    <cellStyle name="Normal 2 8 2 2 3 2 2 3 3" xfId="13270" xr:uid="{00000000-0005-0000-0000-0000656E0000}"/>
    <cellStyle name="Normal 2 8 2 2 3 2 2 3 3 2" xfId="35913" xr:uid="{00000000-0005-0000-0000-0000666E0000}"/>
    <cellStyle name="Normal 2 8 2 2 3 2 2 3 4" xfId="28472" xr:uid="{00000000-0005-0000-0000-0000676E0000}"/>
    <cellStyle name="Normal 2 8 2 2 3 2 2 4" xfId="16992" xr:uid="{00000000-0005-0000-0000-0000686E0000}"/>
    <cellStyle name="Normal 2 8 2 2 3 2 2 4 2" xfId="39635" xr:uid="{00000000-0005-0000-0000-0000696E0000}"/>
    <cellStyle name="Normal 2 8 2 2 3 2 2 5" xfId="9552" xr:uid="{00000000-0005-0000-0000-00006A6E0000}"/>
    <cellStyle name="Normal 2 8 2 2 3 2 2 5 2" xfId="32195" xr:uid="{00000000-0005-0000-0000-00006B6E0000}"/>
    <cellStyle name="Normal 2 8 2 2 3 2 2 6" xfId="24754" xr:uid="{00000000-0005-0000-0000-00006C6E0000}"/>
    <cellStyle name="Normal 2 8 2 2 3 2 3" xfId="3027" xr:uid="{00000000-0005-0000-0000-00006D6E0000}"/>
    <cellStyle name="Normal 2 8 2 2 3 2 3 2" xfId="6748" xr:uid="{00000000-0005-0000-0000-00006E6E0000}"/>
    <cellStyle name="Normal 2 8 2 2 3 2 3 2 2" xfId="21632" xr:uid="{00000000-0005-0000-0000-00006F6E0000}"/>
    <cellStyle name="Normal 2 8 2 2 3 2 3 2 2 2" xfId="44275" xr:uid="{00000000-0005-0000-0000-0000706E0000}"/>
    <cellStyle name="Normal 2 8 2 2 3 2 3 2 3" xfId="14192" xr:uid="{00000000-0005-0000-0000-0000716E0000}"/>
    <cellStyle name="Normal 2 8 2 2 3 2 3 2 3 2" xfId="36835" xr:uid="{00000000-0005-0000-0000-0000726E0000}"/>
    <cellStyle name="Normal 2 8 2 2 3 2 3 2 4" xfId="29394" xr:uid="{00000000-0005-0000-0000-0000736E0000}"/>
    <cellStyle name="Normal 2 8 2 2 3 2 3 3" xfId="17914" xr:uid="{00000000-0005-0000-0000-0000746E0000}"/>
    <cellStyle name="Normal 2 8 2 2 3 2 3 3 2" xfId="40557" xr:uid="{00000000-0005-0000-0000-0000756E0000}"/>
    <cellStyle name="Normal 2 8 2 2 3 2 3 4" xfId="10474" xr:uid="{00000000-0005-0000-0000-0000766E0000}"/>
    <cellStyle name="Normal 2 8 2 2 3 2 3 4 2" xfId="33117" xr:uid="{00000000-0005-0000-0000-0000776E0000}"/>
    <cellStyle name="Normal 2 8 2 2 3 2 3 5" xfId="25676" xr:uid="{00000000-0005-0000-0000-0000786E0000}"/>
    <cellStyle name="Normal 2 8 2 2 3 2 4" xfId="4901" xr:uid="{00000000-0005-0000-0000-0000796E0000}"/>
    <cellStyle name="Normal 2 8 2 2 3 2 4 2" xfId="19785" xr:uid="{00000000-0005-0000-0000-00007A6E0000}"/>
    <cellStyle name="Normal 2 8 2 2 3 2 4 2 2" xfId="42428" xr:uid="{00000000-0005-0000-0000-00007B6E0000}"/>
    <cellStyle name="Normal 2 8 2 2 3 2 4 3" xfId="12345" xr:uid="{00000000-0005-0000-0000-00007C6E0000}"/>
    <cellStyle name="Normal 2 8 2 2 3 2 4 3 2" xfId="34988" xr:uid="{00000000-0005-0000-0000-00007D6E0000}"/>
    <cellStyle name="Normal 2 8 2 2 3 2 4 4" xfId="27547" xr:uid="{00000000-0005-0000-0000-00007E6E0000}"/>
    <cellStyle name="Normal 2 8 2 2 3 2 5" xfId="16067" xr:uid="{00000000-0005-0000-0000-00007F6E0000}"/>
    <cellStyle name="Normal 2 8 2 2 3 2 5 2" xfId="38710" xr:uid="{00000000-0005-0000-0000-0000806E0000}"/>
    <cellStyle name="Normal 2 8 2 2 3 2 6" xfId="8627" xr:uid="{00000000-0005-0000-0000-0000816E0000}"/>
    <cellStyle name="Normal 2 8 2 2 3 2 6 2" xfId="31270" xr:uid="{00000000-0005-0000-0000-0000826E0000}"/>
    <cellStyle name="Normal 2 8 2 2 3 2 7" xfId="23829" xr:uid="{00000000-0005-0000-0000-0000836E0000}"/>
    <cellStyle name="Normal 2 8 2 2 3 3" xfId="1640" xr:uid="{00000000-0005-0000-0000-0000846E0000}"/>
    <cellStyle name="Normal 2 8 2 2 3 3 2" xfId="3490" xr:uid="{00000000-0005-0000-0000-0000856E0000}"/>
    <cellStyle name="Normal 2 8 2 2 3 3 2 2" xfId="7211" xr:uid="{00000000-0005-0000-0000-0000866E0000}"/>
    <cellStyle name="Normal 2 8 2 2 3 3 2 2 2" xfId="22095" xr:uid="{00000000-0005-0000-0000-0000876E0000}"/>
    <cellStyle name="Normal 2 8 2 2 3 3 2 2 2 2" xfId="44738" xr:uid="{00000000-0005-0000-0000-0000886E0000}"/>
    <cellStyle name="Normal 2 8 2 2 3 3 2 2 3" xfId="14655" xr:uid="{00000000-0005-0000-0000-0000896E0000}"/>
    <cellStyle name="Normal 2 8 2 2 3 3 2 2 3 2" xfId="37298" xr:uid="{00000000-0005-0000-0000-00008A6E0000}"/>
    <cellStyle name="Normal 2 8 2 2 3 3 2 2 4" xfId="29857" xr:uid="{00000000-0005-0000-0000-00008B6E0000}"/>
    <cellStyle name="Normal 2 8 2 2 3 3 2 3" xfId="18377" xr:uid="{00000000-0005-0000-0000-00008C6E0000}"/>
    <cellStyle name="Normal 2 8 2 2 3 3 2 3 2" xfId="41020" xr:uid="{00000000-0005-0000-0000-00008D6E0000}"/>
    <cellStyle name="Normal 2 8 2 2 3 3 2 4" xfId="10937" xr:uid="{00000000-0005-0000-0000-00008E6E0000}"/>
    <cellStyle name="Normal 2 8 2 2 3 3 2 4 2" xfId="33580" xr:uid="{00000000-0005-0000-0000-00008F6E0000}"/>
    <cellStyle name="Normal 2 8 2 2 3 3 2 5" xfId="26139" xr:uid="{00000000-0005-0000-0000-0000906E0000}"/>
    <cellStyle name="Normal 2 8 2 2 3 3 3" xfId="5364" xr:uid="{00000000-0005-0000-0000-0000916E0000}"/>
    <cellStyle name="Normal 2 8 2 2 3 3 3 2" xfId="20248" xr:uid="{00000000-0005-0000-0000-0000926E0000}"/>
    <cellStyle name="Normal 2 8 2 2 3 3 3 2 2" xfId="42891" xr:uid="{00000000-0005-0000-0000-0000936E0000}"/>
    <cellStyle name="Normal 2 8 2 2 3 3 3 3" xfId="12808" xr:uid="{00000000-0005-0000-0000-0000946E0000}"/>
    <cellStyle name="Normal 2 8 2 2 3 3 3 3 2" xfId="35451" xr:uid="{00000000-0005-0000-0000-0000956E0000}"/>
    <cellStyle name="Normal 2 8 2 2 3 3 3 4" xfId="28010" xr:uid="{00000000-0005-0000-0000-0000966E0000}"/>
    <cellStyle name="Normal 2 8 2 2 3 3 4" xfId="16530" xr:uid="{00000000-0005-0000-0000-0000976E0000}"/>
    <cellStyle name="Normal 2 8 2 2 3 3 4 2" xfId="39173" xr:uid="{00000000-0005-0000-0000-0000986E0000}"/>
    <cellStyle name="Normal 2 8 2 2 3 3 5" xfId="9090" xr:uid="{00000000-0005-0000-0000-0000996E0000}"/>
    <cellStyle name="Normal 2 8 2 2 3 3 5 2" xfId="31733" xr:uid="{00000000-0005-0000-0000-00009A6E0000}"/>
    <cellStyle name="Normal 2 8 2 2 3 3 6" xfId="24292" xr:uid="{00000000-0005-0000-0000-00009B6E0000}"/>
    <cellStyle name="Normal 2 8 2 2 3 4" xfId="2565" xr:uid="{00000000-0005-0000-0000-00009C6E0000}"/>
    <cellStyle name="Normal 2 8 2 2 3 4 2" xfId="6286" xr:uid="{00000000-0005-0000-0000-00009D6E0000}"/>
    <cellStyle name="Normal 2 8 2 2 3 4 2 2" xfId="21170" xr:uid="{00000000-0005-0000-0000-00009E6E0000}"/>
    <cellStyle name="Normal 2 8 2 2 3 4 2 2 2" xfId="43813" xr:uid="{00000000-0005-0000-0000-00009F6E0000}"/>
    <cellStyle name="Normal 2 8 2 2 3 4 2 3" xfId="13730" xr:uid="{00000000-0005-0000-0000-0000A06E0000}"/>
    <cellStyle name="Normal 2 8 2 2 3 4 2 3 2" xfId="36373" xr:uid="{00000000-0005-0000-0000-0000A16E0000}"/>
    <cellStyle name="Normal 2 8 2 2 3 4 2 4" xfId="28932" xr:uid="{00000000-0005-0000-0000-0000A26E0000}"/>
    <cellStyle name="Normal 2 8 2 2 3 4 3" xfId="17452" xr:uid="{00000000-0005-0000-0000-0000A36E0000}"/>
    <cellStyle name="Normal 2 8 2 2 3 4 3 2" xfId="40095" xr:uid="{00000000-0005-0000-0000-0000A46E0000}"/>
    <cellStyle name="Normal 2 8 2 2 3 4 4" xfId="10012" xr:uid="{00000000-0005-0000-0000-0000A56E0000}"/>
    <cellStyle name="Normal 2 8 2 2 3 4 4 2" xfId="32655" xr:uid="{00000000-0005-0000-0000-0000A66E0000}"/>
    <cellStyle name="Normal 2 8 2 2 3 4 5" xfId="25214" xr:uid="{00000000-0005-0000-0000-0000A76E0000}"/>
    <cellStyle name="Normal 2 8 2 2 3 5" xfId="4439" xr:uid="{00000000-0005-0000-0000-0000A86E0000}"/>
    <cellStyle name="Normal 2 8 2 2 3 5 2" xfId="19323" xr:uid="{00000000-0005-0000-0000-0000A96E0000}"/>
    <cellStyle name="Normal 2 8 2 2 3 5 2 2" xfId="41966" xr:uid="{00000000-0005-0000-0000-0000AA6E0000}"/>
    <cellStyle name="Normal 2 8 2 2 3 5 3" xfId="11883" xr:uid="{00000000-0005-0000-0000-0000AB6E0000}"/>
    <cellStyle name="Normal 2 8 2 2 3 5 3 2" xfId="34526" xr:uid="{00000000-0005-0000-0000-0000AC6E0000}"/>
    <cellStyle name="Normal 2 8 2 2 3 5 4" xfId="27085" xr:uid="{00000000-0005-0000-0000-0000AD6E0000}"/>
    <cellStyle name="Normal 2 8 2 2 3 6" xfId="15605" xr:uid="{00000000-0005-0000-0000-0000AE6E0000}"/>
    <cellStyle name="Normal 2 8 2 2 3 6 2" xfId="38248" xr:uid="{00000000-0005-0000-0000-0000AF6E0000}"/>
    <cellStyle name="Normal 2 8 2 2 3 7" xfId="8165" xr:uid="{00000000-0005-0000-0000-0000B06E0000}"/>
    <cellStyle name="Normal 2 8 2 2 3 7 2" xfId="30808" xr:uid="{00000000-0005-0000-0000-0000B16E0000}"/>
    <cellStyle name="Normal 2 8 2 2 3 8" xfId="23367" xr:uid="{00000000-0005-0000-0000-0000B26E0000}"/>
    <cellStyle name="Normal 2 8 2 2 4" xfId="963" xr:uid="{00000000-0005-0000-0000-0000B36E0000}"/>
    <cellStyle name="Normal 2 8 2 2 4 2" xfId="1891" xr:uid="{00000000-0005-0000-0000-0000B46E0000}"/>
    <cellStyle name="Normal 2 8 2 2 4 2 2" xfId="3741" xr:uid="{00000000-0005-0000-0000-0000B56E0000}"/>
    <cellStyle name="Normal 2 8 2 2 4 2 2 2" xfId="7462" xr:uid="{00000000-0005-0000-0000-0000B66E0000}"/>
    <cellStyle name="Normal 2 8 2 2 4 2 2 2 2" xfId="22346" xr:uid="{00000000-0005-0000-0000-0000B76E0000}"/>
    <cellStyle name="Normal 2 8 2 2 4 2 2 2 2 2" xfId="44989" xr:uid="{00000000-0005-0000-0000-0000B86E0000}"/>
    <cellStyle name="Normal 2 8 2 2 4 2 2 2 3" xfId="14906" xr:uid="{00000000-0005-0000-0000-0000B96E0000}"/>
    <cellStyle name="Normal 2 8 2 2 4 2 2 2 3 2" xfId="37549" xr:uid="{00000000-0005-0000-0000-0000BA6E0000}"/>
    <cellStyle name="Normal 2 8 2 2 4 2 2 2 4" xfId="30108" xr:uid="{00000000-0005-0000-0000-0000BB6E0000}"/>
    <cellStyle name="Normal 2 8 2 2 4 2 2 3" xfId="18628" xr:uid="{00000000-0005-0000-0000-0000BC6E0000}"/>
    <cellStyle name="Normal 2 8 2 2 4 2 2 3 2" xfId="41271" xr:uid="{00000000-0005-0000-0000-0000BD6E0000}"/>
    <cellStyle name="Normal 2 8 2 2 4 2 2 4" xfId="11188" xr:uid="{00000000-0005-0000-0000-0000BE6E0000}"/>
    <cellStyle name="Normal 2 8 2 2 4 2 2 4 2" xfId="33831" xr:uid="{00000000-0005-0000-0000-0000BF6E0000}"/>
    <cellStyle name="Normal 2 8 2 2 4 2 2 5" xfId="26390" xr:uid="{00000000-0005-0000-0000-0000C06E0000}"/>
    <cellStyle name="Normal 2 8 2 2 4 2 3" xfId="5615" xr:uid="{00000000-0005-0000-0000-0000C16E0000}"/>
    <cellStyle name="Normal 2 8 2 2 4 2 3 2" xfId="20499" xr:uid="{00000000-0005-0000-0000-0000C26E0000}"/>
    <cellStyle name="Normal 2 8 2 2 4 2 3 2 2" xfId="43142" xr:uid="{00000000-0005-0000-0000-0000C36E0000}"/>
    <cellStyle name="Normal 2 8 2 2 4 2 3 3" xfId="13059" xr:uid="{00000000-0005-0000-0000-0000C46E0000}"/>
    <cellStyle name="Normal 2 8 2 2 4 2 3 3 2" xfId="35702" xr:uid="{00000000-0005-0000-0000-0000C56E0000}"/>
    <cellStyle name="Normal 2 8 2 2 4 2 3 4" xfId="28261" xr:uid="{00000000-0005-0000-0000-0000C66E0000}"/>
    <cellStyle name="Normal 2 8 2 2 4 2 4" xfId="16781" xr:uid="{00000000-0005-0000-0000-0000C76E0000}"/>
    <cellStyle name="Normal 2 8 2 2 4 2 4 2" xfId="39424" xr:uid="{00000000-0005-0000-0000-0000C86E0000}"/>
    <cellStyle name="Normal 2 8 2 2 4 2 5" xfId="9341" xr:uid="{00000000-0005-0000-0000-0000C96E0000}"/>
    <cellStyle name="Normal 2 8 2 2 4 2 5 2" xfId="31984" xr:uid="{00000000-0005-0000-0000-0000CA6E0000}"/>
    <cellStyle name="Normal 2 8 2 2 4 2 6" xfId="24543" xr:uid="{00000000-0005-0000-0000-0000CB6E0000}"/>
    <cellStyle name="Normal 2 8 2 2 4 3" xfId="2816" xr:uid="{00000000-0005-0000-0000-0000CC6E0000}"/>
    <cellStyle name="Normal 2 8 2 2 4 3 2" xfId="6537" xr:uid="{00000000-0005-0000-0000-0000CD6E0000}"/>
    <cellStyle name="Normal 2 8 2 2 4 3 2 2" xfId="21421" xr:uid="{00000000-0005-0000-0000-0000CE6E0000}"/>
    <cellStyle name="Normal 2 8 2 2 4 3 2 2 2" xfId="44064" xr:uid="{00000000-0005-0000-0000-0000CF6E0000}"/>
    <cellStyle name="Normal 2 8 2 2 4 3 2 3" xfId="13981" xr:uid="{00000000-0005-0000-0000-0000D06E0000}"/>
    <cellStyle name="Normal 2 8 2 2 4 3 2 3 2" xfId="36624" xr:uid="{00000000-0005-0000-0000-0000D16E0000}"/>
    <cellStyle name="Normal 2 8 2 2 4 3 2 4" xfId="29183" xr:uid="{00000000-0005-0000-0000-0000D26E0000}"/>
    <cellStyle name="Normal 2 8 2 2 4 3 3" xfId="17703" xr:uid="{00000000-0005-0000-0000-0000D36E0000}"/>
    <cellStyle name="Normal 2 8 2 2 4 3 3 2" xfId="40346" xr:uid="{00000000-0005-0000-0000-0000D46E0000}"/>
    <cellStyle name="Normal 2 8 2 2 4 3 4" xfId="10263" xr:uid="{00000000-0005-0000-0000-0000D56E0000}"/>
    <cellStyle name="Normal 2 8 2 2 4 3 4 2" xfId="32906" xr:uid="{00000000-0005-0000-0000-0000D66E0000}"/>
    <cellStyle name="Normal 2 8 2 2 4 3 5" xfId="25465" xr:uid="{00000000-0005-0000-0000-0000D76E0000}"/>
    <cellStyle name="Normal 2 8 2 2 4 4" xfId="4690" xr:uid="{00000000-0005-0000-0000-0000D86E0000}"/>
    <cellStyle name="Normal 2 8 2 2 4 4 2" xfId="19574" xr:uid="{00000000-0005-0000-0000-0000D96E0000}"/>
    <cellStyle name="Normal 2 8 2 2 4 4 2 2" xfId="42217" xr:uid="{00000000-0005-0000-0000-0000DA6E0000}"/>
    <cellStyle name="Normal 2 8 2 2 4 4 3" xfId="12134" xr:uid="{00000000-0005-0000-0000-0000DB6E0000}"/>
    <cellStyle name="Normal 2 8 2 2 4 4 3 2" xfId="34777" xr:uid="{00000000-0005-0000-0000-0000DC6E0000}"/>
    <cellStyle name="Normal 2 8 2 2 4 4 4" xfId="27336" xr:uid="{00000000-0005-0000-0000-0000DD6E0000}"/>
    <cellStyle name="Normal 2 8 2 2 4 5" xfId="15856" xr:uid="{00000000-0005-0000-0000-0000DE6E0000}"/>
    <cellStyle name="Normal 2 8 2 2 4 5 2" xfId="38499" xr:uid="{00000000-0005-0000-0000-0000DF6E0000}"/>
    <cellStyle name="Normal 2 8 2 2 4 6" xfId="8416" xr:uid="{00000000-0005-0000-0000-0000E06E0000}"/>
    <cellStyle name="Normal 2 8 2 2 4 6 2" xfId="31059" xr:uid="{00000000-0005-0000-0000-0000E16E0000}"/>
    <cellStyle name="Normal 2 8 2 2 4 7" xfId="23618" xr:uid="{00000000-0005-0000-0000-0000E26E0000}"/>
    <cellStyle name="Normal 2 8 2 2 5" xfId="1429" xr:uid="{00000000-0005-0000-0000-0000E36E0000}"/>
    <cellStyle name="Normal 2 8 2 2 5 2" xfId="3279" xr:uid="{00000000-0005-0000-0000-0000E46E0000}"/>
    <cellStyle name="Normal 2 8 2 2 5 2 2" xfId="7000" xr:uid="{00000000-0005-0000-0000-0000E56E0000}"/>
    <cellStyle name="Normal 2 8 2 2 5 2 2 2" xfId="21884" xr:uid="{00000000-0005-0000-0000-0000E66E0000}"/>
    <cellStyle name="Normal 2 8 2 2 5 2 2 2 2" xfId="44527" xr:uid="{00000000-0005-0000-0000-0000E76E0000}"/>
    <cellStyle name="Normal 2 8 2 2 5 2 2 3" xfId="14444" xr:uid="{00000000-0005-0000-0000-0000E86E0000}"/>
    <cellStyle name="Normal 2 8 2 2 5 2 2 3 2" xfId="37087" xr:uid="{00000000-0005-0000-0000-0000E96E0000}"/>
    <cellStyle name="Normal 2 8 2 2 5 2 2 4" xfId="29646" xr:uid="{00000000-0005-0000-0000-0000EA6E0000}"/>
    <cellStyle name="Normal 2 8 2 2 5 2 3" xfId="18166" xr:uid="{00000000-0005-0000-0000-0000EB6E0000}"/>
    <cellStyle name="Normal 2 8 2 2 5 2 3 2" xfId="40809" xr:uid="{00000000-0005-0000-0000-0000EC6E0000}"/>
    <cellStyle name="Normal 2 8 2 2 5 2 4" xfId="10726" xr:uid="{00000000-0005-0000-0000-0000ED6E0000}"/>
    <cellStyle name="Normal 2 8 2 2 5 2 4 2" xfId="33369" xr:uid="{00000000-0005-0000-0000-0000EE6E0000}"/>
    <cellStyle name="Normal 2 8 2 2 5 2 5" xfId="25928" xr:uid="{00000000-0005-0000-0000-0000EF6E0000}"/>
    <cellStyle name="Normal 2 8 2 2 5 3" xfId="5153" xr:uid="{00000000-0005-0000-0000-0000F06E0000}"/>
    <cellStyle name="Normal 2 8 2 2 5 3 2" xfId="20037" xr:uid="{00000000-0005-0000-0000-0000F16E0000}"/>
    <cellStyle name="Normal 2 8 2 2 5 3 2 2" xfId="42680" xr:uid="{00000000-0005-0000-0000-0000F26E0000}"/>
    <cellStyle name="Normal 2 8 2 2 5 3 3" xfId="12597" xr:uid="{00000000-0005-0000-0000-0000F36E0000}"/>
    <cellStyle name="Normal 2 8 2 2 5 3 3 2" xfId="35240" xr:uid="{00000000-0005-0000-0000-0000F46E0000}"/>
    <cellStyle name="Normal 2 8 2 2 5 3 4" xfId="27799" xr:uid="{00000000-0005-0000-0000-0000F56E0000}"/>
    <cellStyle name="Normal 2 8 2 2 5 4" xfId="16319" xr:uid="{00000000-0005-0000-0000-0000F66E0000}"/>
    <cellStyle name="Normal 2 8 2 2 5 4 2" xfId="38962" xr:uid="{00000000-0005-0000-0000-0000F76E0000}"/>
    <cellStyle name="Normal 2 8 2 2 5 5" xfId="8879" xr:uid="{00000000-0005-0000-0000-0000F86E0000}"/>
    <cellStyle name="Normal 2 8 2 2 5 5 2" xfId="31522" xr:uid="{00000000-0005-0000-0000-0000F96E0000}"/>
    <cellStyle name="Normal 2 8 2 2 5 6" xfId="24081" xr:uid="{00000000-0005-0000-0000-0000FA6E0000}"/>
    <cellStyle name="Normal 2 8 2 2 6" xfId="2354" xr:uid="{00000000-0005-0000-0000-0000FB6E0000}"/>
    <cellStyle name="Normal 2 8 2 2 6 2" xfId="6075" xr:uid="{00000000-0005-0000-0000-0000FC6E0000}"/>
    <cellStyle name="Normal 2 8 2 2 6 2 2" xfId="20959" xr:uid="{00000000-0005-0000-0000-0000FD6E0000}"/>
    <cellStyle name="Normal 2 8 2 2 6 2 2 2" xfId="43602" xr:uid="{00000000-0005-0000-0000-0000FE6E0000}"/>
    <cellStyle name="Normal 2 8 2 2 6 2 3" xfId="13519" xr:uid="{00000000-0005-0000-0000-0000FF6E0000}"/>
    <cellStyle name="Normal 2 8 2 2 6 2 3 2" xfId="36162" xr:uid="{00000000-0005-0000-0000-0000006F0000}"/>
    <cellStyle name="Normal 2 8 2 2 6 2 4" xfId="28721" xr:uid="{00000000-0005-0000-0000-0000016F0000}"/>
    <cellStyle name="Normal 2 8 2 2 6 3" xfId="17241" xr:uid="{00000000-0005-0000-0000-0000026F0000}"/>
    <cellStyle name="Normal 2 8 2 2 6 3 2" xfId="39884" xr:uid="{00000000-0005-0000-0000-0000036F0000}"/>
    <cellStyle name="Normal 2 8 2 2 6 4" xfId="9801" xr:uid="{00000000-0005-0000-0000-0000046F0000}"/>
    <cellStyle name="Normal 2 8 2 2 6 4 2" xfId="32444" xr:uid="{00000000-0005-0000-0000-0000056F0000}"/>
    <cellStyle name="Normal 2 8 2 2 6 5" xfId="25003" xr:uid="{00000000-0005-0000-0000-0000066F0000}"/>
    <cellStyle name="Normal 2 8 2 2 7" xfId="4228" xr:uid="{00000000-0005-0000-0000-0000076F0000}"/>
    <cellStyle name="Normal 2 8 2 2 7 2" xfId="19112" xr:uid="{00000000-0005-0000-0000-0000086F0000}"/>
    <cellStyle name="Normal 2 8 2 2 7 2 2" xfId="41755" xr:uid="{00000000-0005-0000-0000-0000096F0000}"/>
    <cellStyle name="Normal 2 8 2 2 7 3" xfId="11672" xr:uid="{00000000-0005-0000-0000-00000A6F0000}"/>
    <cellStyle name="Normal 2 8 2 2 7 3 2" xfId="34315" xr:uid="{00000000-0005-0000-0000-00000B6F0000}"/>
    <cellStyle name="Normal 2 8 2 2 7 4" xfId="26874" xr:uid="{00000000-0005-0000-0000-00000C6F0000}"/>
    <cellStyle name="Normal 2 8 2 2 8" xfId="15394" xr:uid="{00000000-0005-0000-0000-00000D6F0000}"/>
    <cellStyle name="Normal 2 8 2 2 8 2" xfId="38037" xr:uid="{00000000-0005-0000-0000-00000E6F0000}"/>
    <cellStyle name="Normal 2 8 2 2 9" xfId="7954" xr:uid="{00000000-0005-0000-0000-00000F6F0000}"/>
    <cellStyle name="Normal 2 8 2 2 9 2" xfId="30597" xr:uid="{00000000-0005-0000-0000-0000106F0000}"/>
    <cellStyle name="Normal 2 8 2 3" xfId="550" xr:uid="{00000000-0005-0000-0000-0000116F0000}"/>
    <cellStyle name="Normal 2 8 2 3 2" xfId="762" xr:uid="{00000000-0005-0000-0000-0000126F0000}"/>
    <cellStyle name="Normal 2 8 2 3 2 2" xfId="1227" xr:uid="{00000000-0005-0000-0000-0000136F0000}"/>
    <cellStyle name="Normal 2 8 2 3 2 2 2" xfId="2155" xr:uid="{00000000-0005-0000-0000-0000146F0000}"/>
    <cellStyle name="Normal 2 8 2 3 2 2 2 2" xfId="4005" xr:uid="{00000000-0005-0000-0000-0000156F0000}"/>
    <cellStyle name="Normal 2 8 2 3 2 2 2 2 2" xfId="7726" xr:uid="{00000000-0005-0000-0000-0000166F0000}"/>
    <cellStyle name="Normal 2 8 2 3 2 2 2 2 2 2" xfId="22610" xr:uid="{00000000-0005-0000-0000-0000176F0000}"/>
    <cellStyle name="Normal 2 8 2 3 2 2 2 2 2 2 2" xfId="45253" xr:uid="{00000000-0005-0000-0000-0000186F0000}"/>
    <cellStyle name="Normal 2 8 2 3 2 2 2 2 2 3" xfId="15170" xr:uid="{00000000-0005-0000-0000-0000196F0000}"/>
    <cellStyle name="Normal 2 8 2 3 2 2 2 2 2 3 2" xfId="37813" xr:uid="{00000000-0005-0000-0000-00001A6F0000}"/>
    <cellStyle name="Normal 2 8 2 3 2 2 2 2 2 4" xfId="30372" xr:uid="{00000000-0005-0000-0000-00001B6F0000}"/>
    <cellStyle name="Normal 2 8 2 3 2 2 2 2 3" xfId="18892" xr:uid="{00000000-0005-0000-0000-00001C6F0000}"/>
    <cellStyle name="Normal 2 8 2 3 2 2 2 2 3 2" xfId="41535" xr:uid="{00000000-0005-0000-0000-00001D6F0000}"/>
    <cellStyle name="Normal 2 8 2 3 2 2 2 2 4" xfId="11452" xr:uid="{00000000-0005-0000-0000-00001E6F0000}"/>
    <cellStyle name="Normal 2 8 2 3 2 2 2 2 4 2" xfId="34095" xr:uid="{00000000-0005-0000-0000-00001F6F0000}"/>
    <cellStyle name="Normal 2 8 2 3 2 2 2 2 5" xfId="26654" xr:uid="{00000000-0005-0000-0000-0000206F0000}"/>
    <cellStyle name="Normal 2 8 2 3 2 2 2 3" xfId="5879" xr:uid="{00000000-0005-0000-0000-0000216F0000}"/>
    <cellStyle name="Normal 2 8 2 3 2 2 2 3 2" xfId="20763" xr:uid="{00000000-0005-0000-0000-0000226F0000}"/>
    <cellStyle name="Normal 2 8 2 3 2 2 2 3 2 2" xfId="43406" xr:uid="{00000000-0005-0000-0000-0000236F0000}"/>
    <cellStyle name="Normal 2 8 2 3 2 2 2 3 3" xfId="13323" xr:uid="{00000000-0005-0000-0000-0000246F0000}"/>
    <cellStyle name="Normal 2 8 2 3 2 2 2 3 3 2" xfId="35966" xr:uid="{00000000-0005-0000-0000-0000256F0000}"/>
    <cellStyle name="Normal 2 8 2 3 2 2 2 3 4" xfId="28525" xr:uid="{00000000-0005-0000-0000-0000266F0000}"/>
    <cellStyle name="Normal 2 8 2 3 2 2 2 4" xfId="17045" xr:uid="{00000000-0005-0000-0000-0000276F0000}"/>
    <cellStyle name="Normal 2 8 2 3 2 2 2 4 2" xfId="39688" xr:uid="{00000000-0005-0000-0000-0000286F0000}"/>
    <cellStyle name="Normal 2 8 2 3 2 2 2 5" xfId="9605" xr:uid="{00000000-0005-0000-0000-0000296F0000}"/>
    <cellStyle name="Normal 2 8 2 3 2 2 2 5 2" xfId="32248" xr:uid="{00000000-0005-0000-0000-00002A6F0000}"/>
    <cellStyle name="Normal 2 8 2 3 2 2 2 6" xfId="24807" xr:uid="{00000000-0005-0000-0000-00002B6F0000}"/>
    <cellStyle name="Normal 2 8 2 3 2 2 3" xfId="3080" xr:uid="{00000000-0005-0000-0000-00002C6F0000}"/>
    <cellStyle name="Normal 2 8 2 3 2 2 3 2" xfId="6801" xr:uid="{00000000-0005-0000-0000-00002D6F0000}"/>
    <cellStyle name="Normal 2 8 2 3 2 2 3 2 2" xfId="21685" xr:uid="{00000000-0005-0000-0000-00002E6F0000}"/>
    <cellStyle name="Normal 2 8 2 3 2 2 3 2 2 2" xfId="44328" xr:uid="{00000000-0005-0000-0000-00002F6F0000}"/>
    <cellStyle name="Normal 2 8 2 3 2 2 3 2 3" xfId="14245" xr:uid="{00000000-0005-0000-0000-0000306F0000}"/>
    <cellStyle name="Normal 2 8 2 3 2 2 3 2 3 2" xfId="36888" xr:uid="{00000000-0005-0000-0000-0000316F0000}"/>
    <cellStyle name="Normal 2 8 2 3 2 2 3 2 4" xfId="29447" xr:uid="{00000000-0005-0000-0000-0000326F0000}"/>
    <cellStyle name="Normal 2 8 2 3 2 2 3 3" xfId="17967" xr:uid="{00000000-0005-0000-0000-0000336F0000}"/>
    <cellStyle name="Normal 2 8 2 3 2 2 3 3 2" xfId="40610" xr:uid="{00000000-0005-0000-0000-0000346F0000}"/>
    <cellStyle name="Normal 2 8 2 3 2 2 3 4" xfId="10527" xr:uid="{00000000-0005-0000-0000-0000356F0000}"/>
    <cellStyle name="Normal 2 8 2 3 2 2 3 4 2" xfId="33170" xr:uid="{00000000-0005-0000-0000-0000366F0000}"/>
    <cellStyle name="Normal 2 8 2 3 2 2 3 5" xfId="25729" xr:uid="{00000000-0005-0000-0000-0000376F0000}"/>
    <cellStyle name="Normal 2 8 2 3 2 2 4" xfId="4954" xr:uid="{00000000-0005-0000-0000-0000386F0000}"/>
    <cellStyle name="Normal 2 8 2 3 2 2 4 2" xfId="19838" xr:uid="{00000000-0005-0000-0000-0000396F0000}"/>
    <cellStyle name="Normal 2 8 2 3 2 2 4 2 2" xfId="42481" xr:uid="{00000000-0005-0000-0000-00003A6F0000}"/>
    <cellStyle name="Normal 2 8 2 3 2 2 4 3" xfId="12398" xr:uid="{00000000-0005-0000-0000-00003B6F0000}"/>
    <cellStyle name="Normal 2 8 2 3 2 2 4 3 2" xfId="35041" xr:uid="{00000000-0005-0000-0000-00003C6F0000}"/>
    <cellStyle name="Normal 2 8 2 3 2 2 4 4" xfId="27600" xr:uid="{00000000-0005-0000-0000-00003D6F0000}"/>
    <cellStyle name="Normal 2 8 2 3 2 2 5" xfId="16120" xr:uid="{00000000-0005-0000-0000-00003E6F0000}"/>
    <cellStyle name="Normal 2 8 2 3 2 2 5 2" xfId="38763" xr:uid="{00000000-0005-0000-0000-00003F6F0000}"/>
    <cellStyle name="Normal 2 8 2 3 2 2 6" xfId="8680" xr:uid="{00000000-0005-0000-0000-0000406F0000}"/>
    <cellStyle name="Normal 2 8 2 3 2 2 6 2" xfId="31323" xr:uid="{00000000-0005-0000-0000-0000416F0000}"/>
    <cellStyle name="Normal 2 8 2 3 2 2 7" xfId="23882" xr:uid="{00000000-0005-0000-0000-0000426F0000}"/>
    <cellStyle name="Normal 2 8 2 3 2 3" xfId="1693" xr:uid="{00000000-0005-0000-0000-0000436F0000}"/>
    <cellStyle name="Normal 2 8 2 3 2 3 2" xfId="3543" xr:uid="{00000000-0005-0000-0000-0000446F0000}"/>
    <cellStyle name="Normal 2 8 2 3 2 3 2 2" xfId="7264" xr:uid="{00000000-0005-0000-0000-0000456F0000}"/>
    <cellStyle name="Normal 2 8 2 3 2 3 2 2 2" xfId="22148" xr:uid="{00000000-0005-0000-0000-0000466F0000}"/>
    <cellStyle name="Normal 2 8 2 3 2 3 2 2 2 2" xfId="44791" xr:uid="{00000000-0005-0000-0000-0000476F0000}"/>
    <cellStyle name="Normal 2 8 2 3 2 3 2 2 3" xfId="14708" xr:uid="{00000000-0005-0000-0000-0000486F0000}"/>
    <cellStyle name="Normal 2 8 2 3 2 3 2 2 3 2" xfId="37351" xr:uid="{00000000-0005-0000-0000-0000496F0000}"/>
    <cellStyle name="Normal 2 8 2 3 2 3 2 2 4" xfId="29910" xr:uid="{00000000-0005-0000-0000-00004A6F0000}"/>
    <cellStyle name="Normal 2 8 2 3 2 3 2 3" xfId="18430" xr:uid="{00000000-0005-0000-0000-00004B6F0000}"/>
    <cellStyle name="Normal 2 8 2 3 2 3 2 3 2" xfId="41073" xr:uid="{00000000-0005-0000-0000-00004C6F0000}"/>
    <cellStyle name="Normal 2 8 2 3 2 3 2 4" xfId="10990" xr:uid="{00000000-0005-0000-0000-00004D6F0000}"/>
    <cellStyle name="Normal 2 8 2 3 2 3 2 4 2" xfId="33633" xr:uid="{00000000-0005-0000-0000-00004E6F0000}"/>
    <cellStyle name="Normal 2 8 2 3 2 3 2 5" xfId="26192" xr:uid="{00000000-0005-0000-0000-00004F6F0000}"/>
    <cellStyle name="Normal 2 8 2 3 2 3 3" xfId="5417" xr:uid="{00000000-0005-0000-0000-0000506F0000}"/>
    <cellStyle name="Normal 2 8 2 3 2 3 3 2" xfId="20301" xr:uid="{00000000-0005-0000-0000-0000516F0000}"/>
    <cellStyle name="Normal 2 8 2 3 2 3 3 2 2" xfId="42944" xr:uid="{00000000-0005-0000-0000-0000526F0000}"/>
    <cellStyle name="Normal 2 8 2 3 2 3 3 3" xfId="12861" xr:uid="{00000000-0005-0000-0000-0000536F0000}"/>
    <cellStyle name="Normal 2 8 2 3 2 3 3 3 2" xfId="35504" xr:uid="{00000000-0005-0000-0000-0000546F0000}"/>
    <cellStyle name="Normal 2 8 2 3 2 3 3 4" xfId="28063" xr:uid="{00000000-0005-0000-0000-0000556F0000}"/>
    <cellStyle name="Normal 2 8 2 3 2 3 4" xfId="16583" xr:uid="{00000000-0005-0000-0000-0000566F0000}"/>
    <cellStyle name="Normal 2 8 2 3 2 3 4 2" xfId="39226" xr:uid="{00000000-0005-0000-0000-0000576F0000}"/>
    <cellStyle name="Normal 2 8 2 3 2 3 5" xfId="9143" xr:uid="{00000000-0005-0000-0000-0000586F0000}"/>
    <cellStyle name="Normal 2 8 2 3 2 3 5 2" xfId="31786" xr:uid="{00000000-0005-0000-0000-0000596F0000}"/>
    <cellStyle name="Normal 2 8 2 3 2 3 6" xfId="24345" xr:uid="{00000000-0005-0000-0000-00005A6F0000}"/>
    <cellStyle name="Normal 2 8 2 3 2 4" xfId="2618" xr:uid="{00000000-0005-0000-0000-00005B6F0000}"/>
    <cellStyle name="Normal 2 8 2 3 2 4 2" xfId="6339" xr:uid="{00000000-0005-0000-0000-00005C6F0000}"/>
    <cellStyle name="Normal 2 8 2 3 2 4 2 2" xfId="21223" xr:uid="{00000000-0005-0000-0000-00005D6F0000}"/>
    <cellStyle name="Normal 2 8 2 3 2 4 2 2 2" xfId="43866" xr:uid="{00000000-0005-0000-0000-00005E6F0000}"/>
    <cellStyle name="Normal 2 8 2 3 2 4 2 3" xfId="13783" xr:uid="{00000000-0005-0000-0000-00005F6F0000}"/>
    <cellStyle name="Normal 2 8 2 3 2 4 2 3 2" xfId="36426" xr:uid="{00000000-0005-0000-0000-0000606F0000}"/>
    <cellStyle name="Normal 2 8 2 3 2 4 2 4" xfId="28985" xr:uid="{00000000-0005-0000-0000-0000616F0000}"/>
    <cellStyle name="Normal 2 8 2 3 2 4 3" xfId="17505" xr:uid="{00000000-0005-0000-0000-0000626F0000}"/>
    <cellStyle name="Normal 2 8 2 3 2 4 3 2" xfId="40148" xr:uid="{00000000-0005-0000-0000-0000636F0000}"/>
    <cellStyle name="Normal 2 8 2 3 2 4 4" xfId="10065" xr:uid="{00000000-0005-0000-0000-0000646F0000}"/>
    <cellStyle name="Normal 2 8 2 3 2 4 4 2" xfId="32708" xr:uid="{00000000-0005-0000-0000-0000656F0000}"/>
    <cellStyle name="Normal 2 8 2 3 2 4 5" xfId="25267" xr:uid="{00000000-0005-0000-0000-0000666F0000}"/>
    <cellStyle name="Normal 2 8 2 3 2 5" xfId="4492" xr:uid="{00000000-0005-0000-0000-0000676F0000}"/>
    <cellStyle name="Normal 2 8 2 3 2 5 2" xfId="19376" xr:uid="{00000000-0005-0000-0000-0000686F0000}"/>
    <cellStyle name="Normal 2 8 2 3 2 5 2 2" xfId="42019" xr:uid="{00000000-0005-0000-0000-0000696F0000}"/>
    <cellStyle name="Normal 2 8 2 3 2 5 3" xfId="11936" xr:uid="{00000000-0005-0000-0000-00006A6F0000}"/>
    <cellStyle name="Normal 2 8 2 3 2 5 3 2" xfId="34579" xr:uid="{00000000-0005-0000-0000-00006B6F0000}"/>
    <cellStyle name="Normal 2 8 2 3 2 5 4" xfId="27138" xr:uid="{00000000-0005-0000-0000-00006C6F0000}"/>
    <cellStyle name="Normal 2 8 2 3 2 6" xfId="15658" xr:uid="{00000000-0005-0000-0000-00006D6F0000}"/>
    <cellStyle name="Normal 2 8 2 3 2 6 2" xfId="38301" xr:uid="{00000000-0005-0000-0000-00006E6F0000}"/>
    <cellStyle name="Normal 2 8 2 3 2 7" xfId="8218" xr:uid="{00000000-0005-0000-0000-00006F6F0000}"/>
    <cellStyle name="Normal 2 8 2 3 2 7 2" xfId="30861" xr:uid="{00000000-0005-0000-0000-0000706F0000}"/>
    <cellStyle name="Normal 2 8 2 3 2 8" xfId="23420" xr:uid="{00000000-0005-0000-0000-0000716F0000}"/>
    <cellStyle name="Normal 2 8 2 3 3" xfId="1016" xr:uid="{00000000-0005-0000-0000-0000726F0000}"/>
    <cellStyle name="Normal 2 8 2 3 3 2" xfId="1944" xr:uid="{00000000-0005-0000-0000-0000736F0000}"/>
    <cellStyle name="Normal 2 8 2 3 3 2 2" xfId="3794" xr:uid="{00000000-0005-0000-0000-0000746F0000}"/>
    <cellStyle name="Normal 2 8 2 3 3 2 2 2" xfId="7515" xr:uid="{00000000-0005-0000-0000-0000756F0000}"/>
    <cellStyle name="Normal 2 8 2 3 3 2 2 2 2" xfId="22399" xr:uid="{00000000-0005-0000-0000-0000766F0000}"/>
    <cellStyle name="Normal 2 8 2 3 3 2 2 2 2 2" xfId="45042" xr:uid="{00000000-0005-0000-0000-0000776F0000}"/>
    <cellStyle name="Normal 2 8 2 3 3 2 2 2 3" xfId="14959" xr:uid="{00000000-0005-0000-0000-0000786F0000}"/>
    <cellStyle name="Normal 2 8 2 3 3 2 2 2 3 2" xfId="37602" xr:uid="{00000000-0005-0000-0000-0000796F0000}"/>
    <cellStyle name="Normal 2 8 2 3 3 2 2 2 4" xfId="30161" xr:uid="{00000000-0005-0000-0000-00007A6F0000}"/>
    <cellStyle name="Normal 2 8 2 3 3 2 2 3" xfId="18681" xr:uid="{00000000-0005-0000-0000-00007B6F0000}"/>
    <cellStyle name="Normal 2 8 2 3 3 2 2 3 2" xfId="41324" xr:uid="{00000000-0005-0000-0000-00007C6F0000}"/>
    <cellStyle name="Normal 2 8 2 3 3 2 2 4" xfId="11241" xr:uid="{00000000-0005-0000-0000-00007D6F0000}"/>
    <cellStyle name="Normal 2 8 2 3 3 2 2 4 2" xfId="33884" xr:uid="{00000000-0005-0000-0000-00007E6F0000}"/>
    <cellStyle name="Normal 2 8 2 3 3 2 2 5" xfId="26443" xr:uid="{00000000-0005-0000-0000-00007F6F0000}"/>
    <cellStyle name="Normal 2 8 2 3 3 2 3" xfId="5668" xr:uid="{00000000-0005-0000-0000-0000806F0000}"/>
    <cellStyle name="Normal 2 8 2 3 3 2 3 2" xfId="20552" xr:uid="{00000000-0005-0000-0000-0000816F0000}"/>
    <cellStyle name="Normal 2 8 2 3 3 2 3 2 2" xfId="43195" xr:uid="{00000000-0005-0000-0000-0000826F0000}"/>
    <cellStyle name="Normal 2 8 2 3 3 2 3 3" xfId="13112" xr:uid="{00000000-0005-0000-0000-0000836F0000}"/>
    <cellStyle name="Normal 2 8 2 3 3 2 3 3 2" xfId="35755" xr:uid="{00000000-0005-0000-0000-0000846F0000}"/>
    <cellStyle name="Normal 2 8 2 3 3 2 3 4" xfId="28314" xr:uid="{00000000-0005-0000-0000-0000856F0000}"/>
    <cellStyle name="Normal 2 8 2 3 3 2 4" xfId="16834" xr:uid="{00000000-0005-0000-0000-0000866F0000}"/>
    <cellStyle name="Normal 2 8 2 3 3 2 4 2" xfId="39477" xr:uid="{00000000-0005-0000-0000-0000876F0000}"/>
    <cellStyle name="Normal 2 8 2 3 3 2 5" xfId="9394" xr:uid="{00000000-0005-0000-0000-0000886F0000}"/>
    <cellStyle name="Normal 2 8 2 3 3 2 5 2" xfId="32037" xr:uid="{00000000-0005-0000-0000-0000896F0000}"/>
    <cellStyle name="Normal 2 8 2 3 3 2 6" xfId="24596" xr:uid="{00000000-0005-0000-0000-00008A6F0000}"/>
    <cellStyle name="Normal 2 8 2 3 3 3" xfId="2869" xr:uid="{00000000-0005-0000-0000-00008B6F0000}"/>
    <cellStyle name="Normal 2 8 2 3 3 3 2" xfId="6590" xr:uid="{00000000-0005-0000-0000-00008C6F0000}"/>
    <cellStyle name="Normal 2 8 2 3 3 3 2 2" xfId="21474" xr:uid="{00000000-0005-0000-0000-00008D6F0000}"/>
    <cellStyle name="Normal 2 8 2 3 3 3 2 2 2" xfId="44117" xr:uid="{00000000-0005-0000-0000-00008E6F0000}"/>
    <cellStyle name="Normal 2 8 2 3 3 3 2 3" xfId="14034" xr:uid="{00000000-0005-0000-0000-00008F6F0000}"/>
    <cellStyle name="Normal 2 8 2 3 3 3 2 3 2" xfId="36677" xr:uid="{00000000-0005-0000-0000-0000906F0000}"/>
    <cellStyle name="Normal 2 8 2 3 3 3 2 4" xfId="29236" xr:uid="{00000000-0005-0000-0000-0000916F0000}"/>
    <cellStyle name="Normal 2 8 2 3 3 3 3" xfId="17756" xr:uid="{00000000-0005-0000-0000-0000926F0000}"/>
    <cellStyle name="Normal 2 8 2 3 3 3 3 2" xfId="40399" xr:uid="{00000000-0005-0000-0000-0000936F0000}"/>
    <cellStyle name="Normal 2 8 2 3 3 3 4" xfId="10316" xr:uid="{00000000-0005-0000-0000-0000946F0000}"/>
    <cellStyle name="Normal 2 8 2 3 3 3 4 2" xfId="32959" xr:uid="{00000000-0005-0000-0000-0000956F0000}"/>
    <cellStyle name="Normal 2 8 2 3 3 3 5" xfId="25518" xr:uid="{00000000-0005-0000-0000-0000966F0000}"/>
    <cellStyle name="Normal 2 8 2 3 3 4" xfId="4743" xr:uid="{00000000-0005-0000-0000-0000976F0000}"/>
    <cellStyle name="Normal 2 8 2 3 3 4 2" xfId="19627" xr:uid="{00000000-0005-0000-0000-0000986F0000}"/>
    <cellStyle name="Normal 2 8 2 3 3 4 2 2" xfId="42270" xr:uid="{00000000-0005-0000-0000-0000996F0000}"/>
    <cellStyle name="Normal 2 8 2 3 3 4 3" xfId="12187" xr:uid="{00000000-0005-0000-0000-00009A6F0000}"/>
    <cellStyle name="Normal 2 8 2 3 3 4 3 2" xfId="34830" xr:uid="{00000000-0005-0000-0000-00009B6F0000}"/>
    <cellStyle name="Normal 2 8 2 3 3 4 4" xfId="27389" xr:uid="{00000000-0005-0000-0000-00009C6F0000}"/>
    <cellStyle name="Normal 2 8 2 3 3 5" xfId="15909" xr:uid="{00000000-0005-0000-0000-00009D6F0000}"/>
    <cellStyle name="Normal 2 8 2 3 3 5 2" xfId="38552" xr:uid="{00000000-0005-0000-0000-00009E6F0000}"/>
    <cellStyle name="Normal 2 8 2 3 3 6" xfId="8469" xr:uid="{00000000-0005-0000-0000-00009F6F0000}"/>
    <cellStyle name="Normal 2 8 2 3 3 6 2" xfId="31112" xr:uid="{00000000-0005-0000-0000-0000A06F0000}"/>
    <cellStyle name="Normal 2 8 2 3 3 7" xfId="23671" xr:uid="{00000000-0005-0000-0000-0000A16F0000}"/>
    <cellStyle name="Normal 2 8 2 3 4" xfId="1482" xr:uid="{00000000-0005-0000-0000-0000A26F0000}"/>
    <cellStyle name="Normal 2 8 2 3 4 2" xfId="3332" xr:uid="{00000000-0005-0000-0000-0000A36F0000}"/>
    <cellStyle name="Normal 2 8 2 3 4 2 2" xfId="7053" xr:uid="{00000000-0005-0000-0000-0000A46F0000}"/>
    <cellStyle name="Normal 2 8 2 3 4 2 2 2" xfId="21937" xr:uid="{00000000-0005-0000-0000-0000A56F0000}"/>
    <cellStyle name="Normal 2 8 2 3 4 2 2 2 2" xfId="44580" xr:uid="{00000000-0005-0000-0000-0000A66F0000}"/>
    <cellStyle name="Normal 2 8 2 3 4 2 2 3" xfId="14497" xr:uid="{00000000-0005-0000-0000-0000A76F0000}"/>
    <cellStyle name="Normal 2 8 2 3 4 2 2 3 2" xfId="37140" xr:uid="{00000000-0005-0000-0000-0000A86F0000}"/>
    <cellStyle name="Normal 2 8 2 3 4 2 2 4" xfId="29699" xr:uid="{00000000-0005-0000-0000-0000A96F0000}"/>
    <cellStyle name="Normal 2 8 2 3 4 2 3" xfId="18219" xr:uid="{00000000-0005-0000-0000-0000AA6F0000}"/>
    <cellStyle name="Normal 2 8 2 3 4 2 3 2" xfId="40862" xr:uid="{00000000-0005-0000-0000-0000AB6F0000}"/>
    <cellStyle name="Normal 2 8 2 3 4 2 4" xfId="10779" xr:uid="{00000000-0005-0000-0000-0000AC6F0000}"/>
    <cellStyle name="Normal 2 8 2 3 4 2 4 2" xfId="33422" xr:uid="{00000000-0005-0000-0000-0000AD6F0000}"/>
    <cellStyle name="Normal 2 8 2 3 4 2 5" xfId="25981" xr:uid="{00000000-0005-0000-0000-0000AE6F0000}"/>
    <cellStyle name="Normal 2 8 2 3 4 3" xfId="5206" xr:uid="{00000000-0005-0000-0000-0000AF6F0000}"/>
    <cellStyle name="Normal 2 8 2 3 4 3 2" xfId="20090" xr:uid="{00000000-0005-0000-0000-0000B06F0000}"/>
    <cellStyle name="Normal 2 8 2 3 4 3 2 2" xfId="42733" xr:uid="{00000000-0005-0000-0000-0000B16F0000}"/>
    <cellStyle name="Normal 2 8 2 3 4 3 3" xfId="12650" xr:uid="{00000000-0005-0000-0000-0000B26F0000}"/>
    <cellStyle name="Normal 2 8 2 3 4 3 3 2" xfId="35293" xr:uid="{00000000-0005-0000-0000-0000B36F0000}"/>
    <cellStyle name="Normal 2 8 2 3 4 3 4" xfId="27852" xr:uid="{00000000-0005-0000-0000-0000B46F0000}"/>
    <cellStyle name="Normal 2 8 2 3 4 4" xfId="16372" xr:uid="{00000000-0005-0000-0000-0000B56F0000}"/>
    <cellStyle name="Normal 2 8 2 3 4 4 2" xfId="39015" xr:uid="{00000000-0005-0000-0000-0000B66F0000}"/>
    <cellStyle name="Normal 2 8 2 3 4 5" xfId="8932" xr:uid="{00000000-0005-0000-0000-0000B76F0000}"/>
    <cellStyle name="Normal 2 8 2 3 4 5 2" xfId="31575" xr:uid="{00000000-0005-0000-0000-0000B86F0000}"/>
    <cellStyle name="Normal 2 8 2 3 4 6" xfId="24134" xr:uid="{00000000-0005-0000-0000-0000B96F0000}"/>
    <cellStyle name="Normal 2 8 2 3 5" xfId="2407" xr:uid="{00000000-0005-0000-0000-0000BA6F0000}"/>
    <cellStyle name="Normal 2 8 2 3 5 2" xfId="6128" xr:uid="{00000000-0005-0000-0000-0000BB6F0000}"/>
    <cellStyle name="Normal 2 8 2 3 5 2 2" xfId="21012" xr:uid="{00000000-0005-0000-0000-0000BC6F0000}"/>
    <cellStyle name="Normal 2 8 2 3 5 2 2 2" xfId="43655" xr:uid="{00000000-0005-0000-0000-0000BD6F0000}"/>
    <cellStyle name="Normal 2 8 2 3 5 2 3" xfId="13572" xr:uid="{00000000-0005-0000-0000-0000BE6F0000}"/>
    <cellStyle name="Normal 2 8 2 3 5 2 3 2" xfId="36215" xr:uid="{00000000-0005-0000-0000-0000BF6F0000}"/>
    <cellStyle name="Normal 2 8 2 3 5 2 4" xfId="28774" xr:uid="{00000000-0005-0000-0000-0000C06F0000}"/>
    <cellStyle name="Normal 2 8 2 3 5 3" xfId="17294" xr:uid="{00000000-0005-0000-0000-0000C16F0000}"/>
    <cellStyle name="Normal 2 8 2 3 5 3 2" xfId="39937" xr:uid="{00000000-0005-0000-0000-0000C26F0000}"/>
    <cellStyle name="Normal 2 8 2 3 5 4" xfId="9854" xr:uid="{00000000-0005-0000-0000-0000C36F0000}"/>
    <cellStyle name="Normal 2 8 2 3 5 4 2" xfId="32497" xr:uid="{00000000-0005-0000-0000-0000C46F0000}"/>
    <cellStyle name="Normal 2 8 2 3 5 5" xfId="25056" xr:uid="{00000000-0005-0000-0000-0000C56F0000}"/>
    <cellStyle name="Normal 2 8 2 3 6" xfId="4281" xr:uid="{00000000-0005-0000-0000-0000C66F0000}"/>
    <cellStyle name="Normal 2 8 2 3 6 2" xfId="19165" xr:uid="{00000000-0005-0000-0000-0000C76F0000}"/>
    <cellStyle name="Normal 2 8 2 3 6 2 2" xfId="41808" xr:uid="{00000000-0005-0000-0000-0000C86F0000}"/>
    <cellStyle name="Normal 2 8 2 3 6 3" xfId="11725" xr:uid="{00000000-0005-0000-0000-0000C96F0000}"/>
    <cellStyle name="Normal 2 8 2 3 6 3 2" xfId="34368" xr:uid="{00000000-0005-0000-0000-0000CA6F0000}"/>
    <cellStyle name="Normal 2 8 2 3 6 4" xfId="26927" xr:uid="{00000000-0005-0000-0000-0000CB6F0000}"/>
    <cellStyle name="Normal 2 8 2 3 7" xfId="15447" xr:uid="{00000000-0005-0000-0000-0000CC6F0000}"/>
    <cellStyle name="Normal 2 8 2 3 7 2" xfId="38090" xr:uid="{00000000-0005-0000-0000-0000CD6F0000}"/>
    <cellStyle name="Normal 2 8 2 3 8" xfId="8007" xr:uid="{00000000-0005-0000-0000-0000CE6F0000}"/>
    <cellStyle name="Normal 2 8 2 3 8 2" xfId="30650" xr:uid="{00000000-0005-0000-0000-0000CF6F0000}"/>
    <cellStyle name="Normal 2 8 2 3 9" xfId="23210" xr:uid="{00000000-0005-0000-0000-0000D06F0000}"/>
    <cellStyle name="Normal 2 8 2 4" xfId="657" xr:uid="{00000000-0005-0000-0000-0000D16F0000}"/>
    <cellStyle name="Normal 2 8 2 4 2" xfId="1122" xr:uid="{00000000-0005-0000-0000-0000D26F0000}"/>
    <cellStyle name="Normal 2 8 2 4 2 2" xfId="2050" xr:uid="{00000000-0005-0000-0000-0000D36F0000}"/>
    <cellStyle name="Normal 2 8 2 4 2 2 2" xfId="3900" xr:uid="{00000000-0005-0000-0000-0000D46F0000}"/>
    <cellStyle name="Normal 2 8 2 4 2 2 2 2" xfId="7621" xr:uid="{00000000-0005-0000-0000-0000D56F0000}"/>
    <cellStyle name="Normal 2 8 2 4 2 2 2 2 2" xfId="22505" xr:uid="{00000000-0005-0000-0000-0000D66F0000}"/>
    <cellStyle name="Normal 2 8 2 4 2 2 2 2 2 2" xfId="45148" xr:uid="{00000000-0005-0000-0000-0000D76F0000}"/>
    <cellStyle name="Normal 2 8 2 4 2 2 2 2 3" xfId="15065" xr:uid="{00000000-0005-0000-0000-0000D86F0000}"/>
    <cellStyle name="Normal 2 8 2 4 2 2 2 2 3 2" xfId="37708" xr:uid="{00000000-0005-0000-0000-0000D96F0000}"/>
    <cellStyle name="Normal 2 8 2 4 2 2 2 2 4" xfId="30267" xr:uid="{00000000-0005-0000-0000-0000DA6F0000}"/>
    <cellStyle name="Normal 2 8 2 4 2 2 2 3" xfId="18787" xr:uid="{00000000-0005-0000-0000-0000DB6F0000}"/>
    <cellStyle name="Normal 2 8 2 4 2 2 2 3 2" xfId="41430" xr:uid="{00000000-0005-0000-0000-0000DC6F0000}"/>
    <cellStyle name="Normal 2 8 2 4 2 2 2 4" xfId="11347" xr:uid="{00000000-0005-0000-0000-0000DD6F0000}"/>
    <cellStyle name="Normal 2 8 2 4 2 2 2 4 2" xfId="33990" xr:uid="{00000000-0005-0000-0000-0000DE6F0000}"/>
    <cellStyle name="Normal 2 8 2 4 2 2 2 5" xfId="26549" xr:uid="{00000000-0005-0000-0000-0000DF6F0000}"/>
    <cellStyle name="Normal 2 8 2 4 2 2 3" xfId="5774" xr:uid="{00000000-0005-0000-0000-0000E06F0000}"/>
    <cellStyle name="Normal 2 8 2 4 2 2 3 2" xfId="20658" xr:uid="{00000000-0005-0000-0000-0000E16F0000}"/>
    <cellStyle name="Normal 2 8 2 4 2 2 3 2 2" xfId="43301" xr:uid="{00000000-0005-0000-0000-0000E26F0000}"/>
    <cellStyle name="Normal 2 8 2 4 2 2 3 3" xfId="13218" xr:uid="{00000000-0005-0000-0000-0000E36F0000}"/>
    <cellStyle name="Normal 2 8 2 4 2 2 3 3 2" xfId="35861" xr:uid="{00000000-0005-0000-0000-0000E46F0000}"/>
    <cellStyle name="Normal 2 8 2 4 2 2 3 4" xfId="28420" xr:uid="{00000000-0005-0000-0000-0000E56F0000}"/>
    <cellStyle name="Normal 2 8 2 4 2 2 4" xfId="16940" xr:uid="{00000000-0005-0000-0000-0000E66F0000}"/>
    <cellStyle name="Normal 2 8 2 4 2 2 4 2" xfId="39583" xr:uid="{00000000-0005-0000-0000-0000E76F0000}"/>
    <cellStyle name="Normal 2 8 2 4 2 2 5" xfId="9500" xr:uid="{00000000-0005-0000-0000-0000E86F0000}"/>
    <cellStyle name="Normal 2 8 2 4 2 2 5 2" xfId="32143" xr:uid="{00000000-0005-0000-0000-0000E96F0000}"/>
    <cellStyle name="Normal 2 8 2 4 2 2 6" xfId="24702" xr:uid="{00000000-0005-0000-0000-0000EA6F0000}"/>
    <cellStyle name="Normal 2 8 2 4 2 3" xfId="2975" xr:uid="{00000000-0005-0000-0000-0000EB6F0000}"/>
    <cellStyle name="Normal 2 8 2 4 2 3 2" xfId="6696" xr:uid="{00000000-0005-0000-0000-0000EC6F0000}"/>
    <cellStyle name="Normal 2 8 2 4 2 3 2 2" xfId="21580" xr:uid="{00000000-0005-0000-0000-0000ED6F0000}"/>
    <cellStyle name="Normal 2 8 2 4 2 3 2 2 2" xfId="44223" xr:uid="{00000000-0005-0000-0000-0000EE6F0000}"/>
    <cellStyle name="Normal 2 8 2 4 2 3 2 3" xfId="14140" xr:uid="{00000000-0005-0000-0000-0000EF6F0000}"/>
    <cellStyle name="Normal 2 8 2 4 2 3 2 3 2" xfId="36783" xr:uid="{00000000-0005-0000-0000-0000F06F0000}"/>
    <cellStyle name="Normal 2 8 2 4 2 3 2 4" xfId="29342" xr:uid="{00000000-0005-0000-0000-0000F16F0000}"/>
    <cellStyle name="Normal 2 8 2 4 2 3 3" xfId="17862" xr:uid="{00000000-0005-0000-0000-0000F26F0000}"/>
    <cellStyle name="Normal 2 8 2 4 2 3 3 2" xfId="40505" xr:uid="{00000000-0005-0000-0000-0000F36F0000}"/>
    <cellStyle name="Normal 2 8 2 4 2 3 4" xfId="10422" xr:uid="{00000000-0005-0000-0000-0000F46F0000}"/>
    <cellStyle name="Normal 2 8 2 4 2 3 4 2" xfId="33065" xr:uid="{00000000-0005-0000-0000-0000F56F0000}"/>
    <cellStyle name="Normal 2 8 2 4 2 3 5" xfId="25624" xr:uid="{00000000-0005-0000-0000-0000F66F0000}"/>
    <cellStyle name="Normal 2 8 2 4 2 4" xfId="4849" xr:uid="{00000000-0005-0000-0000-0000F76F0000}"/>
    <cellStyle name="Normal 2 8 2 4 2 4 2" xfId="19733" xr:uid="{00000000-0005-0000-0000-0000F86F0000}"/>
    <cellStyle name="Normal 2 8 2 4 2 4 2 2" xfId="42376" xr:uid="{00000000-0005-0000-0000-0000F96F0000}"/>
    <cellStyle name="Normal 2 8 2 4 2 4 3" xfId="12293" xr:uid="{00000000-0005-0000-0000-0000FA6F0000}"/>
    <cellStyle name="Normal 2 8 2 4 2 4 3 2" xfId="34936" xr:uid="{00000000-0005-0000-0000-0000FB6F0000}"/>
    <cellStyle name="Normal 2 8 2 4 2 4 4" xfId="27495" xr:uid="{00000000-0005-0000-0000-0000FC6F0000}"/>
    <cellStyle name="Normal 2 8 2 4 2 5" xfId="16015" xr:uid="{00000000-0005-0000-0000-0000FD6F0000}"/>
    <cellStyle name="Normal 2 8 2 4 2 5 2" xfId="38658" xr:uid="{00000000-0005-0000-0000-0000FE6F0000}"/>
    <cellStyle name="Normal 2 8 2 4 2 6" xfId="8575" xr:uid="{00000000-0005-0000-0000-0000FF6F0000}"/>
    <cellStyle name="Normal 2 8 2 4 2 6 2" xfId="31218" xr:uid="{00000000-0005-0000-0000-000000700000}"/>
    <cellStyle name="Normal 2 8 2 4 2 7" xfId="23777" xr:uid="{00000000-0005-0000-0000-000001700000}"/>
    <cellStyle name="Normal 2 8 2 4 3" xfId="1588" xr:uid="{00000000-0005-0000-0000-000002700000}"/>
    <cellStyle name="Normal 2 8 2 4 3 2" xfId="3438" xr:uid="{00000000-0005-0000-0000-000003700000}"/>
    <cellStyle name="Normal 2 8 2 4 3 2 2" xfId="7159" xr:uid="{00000000-0005-0000-0000-000004700000}"/>
    <cellStyle name="Normal 2 8 2 4 3 2 2 2" xfId="22043" xr:uid="{00000000-0005-0000-0000-000005700000}"/>
    <cellStyle name="Normal 2 8 2 4 3 2 2 2 2" xfId="44686" xr:uid="{00000000-0005-0000-0000-000006700000}"/>
    <cellStyle name="Normal 2 8 2 4 3 2 2 3" xfId="14603" xr:uid="{00000000-0005-0000-0000-000007700000}"/>
    <cellStyle name="Normal 2 8 2 4 3 2 2 3 2" xfId="37246" xr:uid="{00000000-0005-0000-0000-000008700000}"/>
    <cellStyle name="Normal 2 8 2 4 3 2 2 4" xfId="29805" xr:uid="{00000000-0005-0000-0000-000009700000}"/>
    <cellStyle name="Normal 2 8 2 4 3 2 3" xfId="18325" xr:uid="{00000000-0005-0000-0000-00000A700000}"/>
    <cellStyle name="Normal 2 8 2 4 3 2 3 2" xfId="40968" xr:uid="{00000000-0005-0000-0000-00000B700000}"/>
    <cellStyle name="Normal 2 8 2 4 3 2 4" xfId="10885" xr:uid="{00000000-0005-0000-0000-00000C700000}"/>
    <cellStyle name="Normal 2 8 2 4 3 2 4 2" xfId="33528" xr:uid="{00000000-0005-0000-0000-00000D700000}"/>
    <cellStyle name="Normal 2 8 2 4 3 2 5" xfId="26087" xr:uid="{00000000-0005-0000-0000-00000E700000}"/>
    <cellStyle name="Normal 2 8 2 4 3 3" xfId="5312" xr:uid="{00000000-0005-0000-0000-00000F700000}"/>
    <cellStyle name="Normal 2 8 2 4 3 3 2" xfId="20196" xr:uid="{00000000-0005-0000-0000-000010700000}"/>
    <cellStyle name="Normal 2 8 2 4 3 3 2 2" xfId="42839" xr:uid="{00000000-0005-0000-0000-000011700000}"/>
    <cellStyle name="Normal 2 8 2 4 3 3 3" xfId="12756" xr:uid="{00000000-0005-0000-0000-000012700000}"/>
    <cellStyle name="Normal 2 8 2 4 3 3 3 2" xfId="35399" xr:uid="{00000000-0005-0000-0000-000013700000}"/>
    <cellStyle name="Normal 2 8 2 4 3 3 4" xfId="27958" xr:uid="{00000000-0005-0000-0000-000014700000}"/>
    <cellStyle name="Normal 2 8 2 4 3 4" xfId="16478" xr:uid="{00000000-0005-0000-0000-000015700000}"/>
    <cellStyle name="Normal 2 8 2 4 3 4 2" xfId="39121" xr:uid="{00000000-0005-0000-0000-000016700000}"/>
    <cellStyle name="Normal 2 8 2 4 3 5" xfId="9038" xr:uid="{00000000-0005-0000-0000-000017700000}"/>
    <cellStyle name="Normal 2 8 2 4 3 5 2" xfId="31681" xr:uid="{00000000-0005-0000-0000-000018700000}"/>
    <cellStyle name="Normal 2 8 2 4 3 6" xfId="24240" xr:uid="{00000000-0005-0000-0000-000019700000}"/>
    <cellStyle name="Normal 2 8 2 4 4" xfId="2513" xr:uid="{00000000-0005-0000-0000-00001A700000}"/>
    <cellStyle name="Normal 2 8 2 4 4 2" xfId="6234" xr:uid="{00000000-0005-0000-0000-00001B700000}"/>
    <cellStyle name="Normal 2 8 2 4 4 2 2" xfId="21118" xr:uid="{00000000-0005-0000-0000-00001C700000}"/>
    <cellStyle name="Normal 2 8 2 4 4 2 2 2" xfId="43761" xr:uid="{00000000-0005-0000-0000-00001D700000}"/>
    <cellStyle name="Normal 2 8 2 4 4 2 3" xfId="13678" xr:uid="{00000000-0005-0000-0000-00001E700000}"/>
    <cellStyle name="Normal 2 8 2 4 4 2 3 2" xfId="36321" xr:uid="{00000000-0005-0000-0000-00001F700000}"/>
    <cellStyle name="Normal 2 8 2 4 4 2 4" xfId="28880" xr:uid="{00000000-0005-0000-0000-000020700000}"/>
    <cellStyle name="Normal 2 8 2 4 4 3" xfId="17400" xr:uid="{00000000-0005-0000-0000-000021700000}"/>
    <cellStyle name="Normal 2 8 2 4 4 3 2" xfId="40043" xr:uid="{00000000-0005-0000-0000-000022700000}"/>
    <cellStyle name="Normal 2 8 2 4 4 4" xfId="9960" xr:uid="{00000000-0005-0000-0000-000023700000}"/>
    <cellStyle name="Normal 2 8 2 4 4 4 2" xfId="32603" xr:uid="{00000000-0005-0000-0000-000024700000}"/>
    <cellStyle name="Normal 2 8 2 4 4 5" xfId="25162" xr:uid="{00000000-0005-0000-0000-000025700000}"/>
    <cellStyle name="Normal 2 8 2 4 5" xfId="4387" xr:uid="{00000000-0005-0000-0000-000026700000}"/>
    <cellStyle name="Normal 2 8 2 4 5 2" xfId="19271" xr:uid="{00000000-0005-0000-0000-000027700000}"/>
    <cellStyle name="Normal 2 8 2 4 5 2 2" xfId="41914" xr:uid="{00000000-0005-0000-0000-000028700000}"/>
    <cellStyle name="Normal 2 8 2 4 5 3" xfId="11831" xr:uid="{00000000-0005-0000-0000-000029700000}"/>
    <cellStyle name="Normal 2 8 2 4 5 3 2" xfId="34474" xr:uid="{00000000-0005-0000-0000-00002A700000}"/>
    <cellStyle name="Normal 2 8 2 4 5 4" xfId="27033" xr:uid="{00000000-0005-0000-0000-00002B700000}"/>
    <cellStyle name="Normal 2 8 2 4 6" xfId="15553" xr:uid="{00000000-0005-0000-0000-00002C700000}"/>
    <cellStyle name="Normal 2 8 2 4 6 2" xfId="38196" xr:uid="{00000000-0005-0000-0000-00002D700000}"/>
    <cellStyle name="Normal 2 8 2 4 7" xfId="8113" xr:uid="{00000000-0005-0000-0000-00002E700000}"/>
    <cellStyle name="Normal 2 8 2 4 7 2" xfId="30756" xr:uid="{00000000-0005-0000-0000-00002F700000}"/>
    <cellStyle name="Normal 2 8 2 4 8" xfId="23315" xr:uid="{00000000-0005-0000-0000-000030700000}"/>
    <cellStyle name="Normal 2 8 2 5" xfId="911" xr:uid="{00000000-0005-0000-0000-000031700000}"/>
    <cellStyle name="Normal 2 8 2 5 2" xfId="1839" xr:uid="{00000000-0005-0000-0000-000032700000}"/>
    <cellStyle name="Normal 2 8 2 5 2 2" xfId="3689" xr:uid="{00000000-0005-0000-0000-000033700000}"/>
    <cellStyle name="Normal 2 8 2 5 2 2 2" xfId="7410" xr:uid="{00000000-0005-0000-0000-000034700000}"/>
    <cellStyle name="Normal 2 8 2 5 2 2 2 2" xfId="22294" xr:uid="{00000000-0005-0000-0000-000035700000}"/>
    <cellStyle name="Normal 2 8 2 5 2 2 2 2 2" xfId="44937" xr:uid="{00000000-0005-0000-0000-000036700000}"/>
    <cellStyle name="Normal 2 8 2 5 2 2 2 3" xfId="14854" xr:uid="{00000000-0005-0000-0000-000037700000}"/>
    <cellStyle name="Normal 2 8 2 5 2 2 2 3 2" xfId="37497" xr:uid="{00000000-0005-0000-0000-000038700000}"/>
    <cellStyle name="Normal 2 8 2 5 2 2 2 4" xfId="30056" xr:uid="{00000000-0005-0000-0000-000039700000}"/>
    <cellStyle name="Normal 2 8 2 5 2 2 3" xfId="18576" xr:uid="{00000000-0005-0000-0000-00003A700000}"/>
    <cellStyle name="Normal 2 8 2 5 2 2 3 2" xfId="41219" xr:uid="{00000000-0005-0000-0000-00003B700000}"/>
    <cellStyle name="Normal 2 8 2 5 2 2 4" xfId="11136" xr:uid="{00000000-0005-0000-0000-00003C700000}"/>
    <cellStyle name="Normal 2 8 2 5 2 2 4 2" xfId="33779" xr:uid="{00000000-0005-0000-0000-00003D700000}"/>
    <cellStyle name="Normal 2 8 2 5 2 2 5" xfId="26338" xr:uid="{00000000-0005-0000-0000-00003E700000}"/>
    <cellStyle name="Normal 2 8 2 5 2 3" xfId="5563" xr:uid="{00000000-0005-0000-0000-00003F700000}"/>
    <cellStyle name="Normal 2 8 2 5 2 3 2" xfId="20447" xr:uid="{00000000-0005-0000-0000-000040700000}"/>
    <cellStyle name="Normal 2 8 2 5 2 3 2 2" xfId="43090" xr:uid="{00000000-0005-0000-0000-000041700000}"/>
    <cellStyle name="Normal 2 8 2 5 2 3 3" xfId="13007" xr:uid="{00000000-0005-0000-0000-000042700000}"/>
    <cellStyle name="Normal 2 8 2 5 2 3 3 2" xfId="35650" xr:uid="{00000000-0005-0000-0000-000043700000}"/>
    <cellStyle name="Normal 2 8 2 5 2 3 4" xfId="28209" xr:uid="{00000000-0005-0000-0000-000044700000}"/>
    <cellStyle name="Normal 2 8 2 5 2 4" xfId="16729" xr:uid="{00000000-0005-0000-0000-000045700000}"/>
    <cellStyle name="Normal 2 8 2 5 2 4 2" xfId="39372" xr:uid="{00000000-0005-0000-0000-000046700000}"/>
    <cellStyle name="Normal 2 8 2 5 2 5" xfId="9289" xr:uid="{00000000-0005-0000-0000-000047700000}"/>
    <cellStyle name="Normal 2 8 2 5 2 5 2" xfId="31932" xr:uid="{00000000-0005-0000-0000-000048700000}"/>
    <cellStyle name="Normal 2 8 2 5 2 6" xfId="24491" xr:uid="{00000000-0005-0000-0000-000049700000}"/>
    <cellStyle name="Normal 2 8 2 5 3" xfId="2764" xr:uid="{00000000-0005-0000-0000-00004A700000}"/>
    <cellStyle name="Normal 2 8 2 5 3 2" xfId="6485" xr:uid="{00000000-0005-0000-0000-00004B700000}"/>
    <cellStyle name="Normal 2 8 2 5 3 2 2" xfId="21369" xr:uid="{00000000-0005-0000-0000-00004C700000}"/>
    <cellStyle name="Normal 2 8 2 5 3 2 2 2" xfId="44012" xr:uid="{00000000-0005-0000-0000-00004D700000}"/>
    <cellStyle name="Normal 2 8 2 5 3 2 3" xfId="13929" xr:uid="{00000000-0005-0000-0000-00004E700000}"/>
    <cellStyle name="Normal 2 8 2 5 3 2 3 2" xfId="36572" xr:uid="{00000000-0005-0000-0000-00004F700000}"/>
    <cellStyle name="Normal 2 8 2 5 3 2 4" xfId="29131" xr:uid="{00000000-0005-0000-0000-000050700000}"/>
    <cellStyle name="Normal 2 8 2 5 3 3" xfId="17651" xr:uid="{00000000-0005-0000-0000-000051700000}"/>
    <cellStyle name="Normal 2 8 2 5 3 3 2" xfId="40294" xr:uid="{00000000-0005-0000-0000-000052700000}"/>
    <cellStyle name="Normal 2 8 2 5 3 4" xfId="10211" xr:uid="{00000000-0005-0000-0000-000053700000}"/>
    <cellStyle name="Normal 2 8 2 5 3 4 2" xfId="32854" xr:uid="{00000000-0005-0000-0000-000054700000}"/>
    <cellStyle name="Normal 2 8 2 5 3 5" xfId="25413" xr:uid="{00000000-0005-0000-0000-000055700000}"/>
    <cellStyle name="Normal 2 8 2 5 4" xfId="4638" xr:uid="{00000000-0005-0000-0000-000056700000}"/>
    <cellStyle name="Normal 2 8 2 5 4 2" xfId="19522" xr:uid="{00000000-0005-0000-0000-000057700000}"/>
    <cellStyle name="Normal 2 8 2 5 4 2 2" xfId="42165" xr:uid="{00000000-0005-0000-0000-000058700000}"/>
    <cellStyle name="Normal 2 8 2 5 4 3" xfId="12082" xr:uid="{00000000-0005-0000-0000-000059700000}"/>
    <cellStyle name="Normal 2 8 2 5 4 3 2" xfId="34725" xr:uid="{00000000-0005-0000-0000-00005A700000}"/>
    <cellStyle name="Normal 2 8 2 5 4 4" xfId="27284" xr:uid="{00000000-0005-0000-0000-00005B700000}"/>
    <cellStyle name="Normal 2 8 2 5 5" xfId="15804" xr:uid="{00000000-0005-0000-0000-00005C700000}"/>
    <cellStyle name="Normal 2 8 2 5 5 2" xfId="38447" xr:uid="{00000000-0005-0000-0000-00005D700000}"/>
    <cellStyle name="Normal 2 8 2 5 6" xfId="8364" xr:uid="{00000000-0005-0000-0000-00005E700000}"/>
    <cellStyle name="Normal 2 8 2 5 6 2" xfId="31007" xr:uid="{00000000-0005-0000-0000-00005F700000}"/>
    <cellStyle name="Normal 2 8 2 5 7" xfId="23566" xr:uid="{00000000-0005-0000-0000-000060700000}"/>
    <cellStyle name="Normal 2 8 2 6" xfId="1377" xr:uid="{00000000-0005-0000-0000-000061700000}"/>
    <cellStyle name="Normal 2 8 2 6 2" xfId="3227" xr:uid="{00000000-0005-0000-0000-000062700000}"/>
    <cellStyle name="Normal 2 8 2 6 2 2" xfId="6948" xr:uid="{00000000-0005-0000-0000-000063700000}"/>
    <cellStyle name="Normal 2 8 2 6 2 2 2" xfId="21832" xr:uid="{00000000-0005-0000-0000-000064700000}"/>
    <cellStyle name="Normal 2 8 2 6 2 2 2 2" xfId="44475" xr:uid="{00000000-0005-0000-0000-000065700000}"/>
    <cellStyle name="Normal 2 8 2 6 2 2 3" xfId="14392" xr:uid="{00000000-0005-0000-0000-000066700000}"/>
    <cellStyle name="Normal 2 8 2 6 2 2 3 2" xfId="37035" xr:uid="{00000000-0005-0000-0000-000067700000}"/>
    <cellStyle name="Normal 2 8 2 6 2 2 4" xfId="29594" xr:uid="{00000000-0005-0000-0000-000068700000}"/>
    <cellStyle name="Normal 2 8 2 6 2 3" xfId="18114" xr:uid="{00000000-0005-0000-0000-000069700000}"/>
    <cellStyle name="Normal 2 8 2 6 2 3 2" xfId="40757" xr:uid="{00000000-0005-0000-0000-00006A700000}"/>
    <cellStyle name="Normal 2 8 2 6 2 4" xfId="10674" xr:uid="{00000000-0005-0000-0000-00006B700000}"/>
    <cellStyle name="Normal 2 8 2 6 2 4 2" xfId="33317" xr:uid="{00000000-0005-0000-0000-00006C700000}"/>
    <cellStyle name="Normal 2 8 2 6 2 5" xfId="25876" xr:uid="{00000000-0005-0000-0000-00006D700000}"/>
    <cellStyle name="Normal 2 8 2 6 3" xfId="5101" xr:uid="{00000000-0005-0000-0000-00006E700000}"/>
    <cellStyle name="Normal 2 8 2 6 3 2" xfId="19985" xr:uid="{00000000-0005-0000-0000-00006F700000}"/>
    <cellStyle name="Normal 2 8 2 6 3 2 2" xfId="42628" xr:uid="{00000000-0005-0000-0000-000070700000}"/>
    <cellStyle name="Normal 2 8 2 6 3 3" xfId="12545" xr:uid="{00000000-0005-0000-0000-000071700000}"/>
    <cellStyle name="Normal 2 8 2 6 3 3 2" xfId="35188" xr:uid="{00000000-0005-0000-0000-000072700000}"/>
    <cellStyle name="Normal 2 8 2 6 3 4" xfId="27747" xr:uid="{00000000-0005-0000-0000-000073700000}"/>
    <cellStyle name="Normal 2 8 2 6 4" xfId="16267" xr:uid="{00000000-0005-0000-0000-000074700000}"/>
    <cellStyle name="Normal 2 8 2 6 4 2" xfId="38910" xr:uid="{00000000-0005-0000-0000-000075700000}"/>
    <cellStyle name="Normal 2 8 2 6 5" xfId="8827" xr:uid="{00000000-0005-0000-0000-000076700000}"/>
    <cellStyle name="Normal 2 8 2 6 5 2" xfId="31470" xr:uid="{00000000-0005-0000-0000-000077700000}"/>
    <cellStyle name="Normal 2 8 2 6 6" xfId="24029" xr:uid="{00000000-0005-0000-0000-000078700000}"/>
    <cellStyle name="Normal 2 8 2 7" xfId="2302" xr:uid="{00000000-0005-0000-0000-000079700000}"/>
    <cellStyle name="Normal 2 8 2 7 2" xfId="6023" xr:uid="{00000000-0005-0000-0000-00007A700000}"/>
    <cellStyle name="Normal 2 8 2 7 2 2" xfId="20907" xr:uid="{00000000-0005-0000-0000-00007B700000}"/>
    <cellStyle name="Normal 2 8 2 7 2 2 2" xfId="43550" xr:uid="{00000000-0005-0000-0000-00007C700000}"/>
    <cellStyle name="Normal 2 8 2 7 2 3" xfId="13467" xr:uid="{00000000-0005-0000-0000-00007D700000}"/>
    <cellStyle name="Normal 2 8 2 7 2 3 2" xfId="36110" xr:uid="{00000000-0005-0000-0000-00007E700000}"/>
    <cellStyle name="Normal 2 8 2 7 2 4" xfId="28669" xr:uid="{00000000-0005-0000-0000-00007F700000}"/>
    <cellStyle name="Normal 2 8 2 7 3" xfId="17189" xr:uid="{00000000-0005-0000-0000-000080700000}"/>
    <cellStyle name="Normal 2 8 2 7 3 2" xfId="39832" xr:uid="{00000000-0005-0000-0000-000081700000}"/>
    <cellStyle name="Normal 2 8 2 7 4" xfId="9749" xr:uid="{00000000-0005-0000-0000-000082700000}"/>
    <cellStyle name="Normal 2 8 2 7 4 2" xfId="32392" xr:uid="{00000000-0005-0000-0000-000083700000}"/>
    <cellStyle name="Normal 2 8 2 7 5" xfId="24951" xr:uid="{00000000-0005-0000-0000-000084700000}"/>
    <cellStyle name="Normal 2 8 2 8" xfId="4176" xr:uid="{00000000-0005-0000-0000-000085700000}"/>
    <cellStyle name="Normal 2 8 2 8 2" xfId="19060" xr:uid="{00000000-0005-0000-0000-000086700000}"/>
    <cellStyle name="Normal 2 8 2 8 2 2" xfId="41703" xr:uid="{00000000-0005-0000-0000-000087700000}"/>
    <cellStyle name="Normal 2 8 2 8 3" xfId="11620" xr:uid="{00000000-0005-0000-0000-000088700000}"/>
    <cellStyle name="Normal 2 8 2 8 3 2" xfId="34263" xr:uid="{00000000-0005-0000-0000-000089700000}"/>
    <cellStyle name="Normal 2 8 2 8 4" xfId="26822" xr:uid="{00000000-0005-0000-0000-00008A700000}"/>
    <cellStyle name="Normal 2 8 2 9" xfId="15342" xr:uid="{00000000-0005-0000-0000-00008B700000}"/>
    <cellStyle name="Normal 2 8 2 9 2" xfId="37985" xr:uid="{00000000-0005-0000-0000-00008C700000}"/>
    <cellStyle name="Normal 2 8 3" xfId="476" xr:uid="{00000000-0005-0000-0000-00008D700000}"/>
    <cellStyle name="Normal 2 8 3 10" xfId="23137" xr:uid="{00000000-0005-0000-0000-00008E700000}"/>
    <cellStyle name="Normal 2 8 3 2" xfId="582" xr:uid="{00000000-0005-0000-0000-00008F700000}"/>
    <cellStyle name="Normal 2 8 3 2 2" xfId="794" xr:uid="{00000000-0005-0000-0000-000090700000}"/>
    <cellStyle name="Normal 2 8 3 2 2 2" xfId="1259" xr:uid="{00000000-0005-0000-0000-000091700000}"/>
    <cellStyle name="Normal 2 8 3 2 2 2 2" xfId="2187" xr:uid="{00000000-0005-0000-0000-000092700000}"/>
    <cellStyle name="Normal 2 8 3 2 2 2 2 2" xfId="4037" xr:uid="{00000000-0005-0000-0000-000093700000}"/>
    <cellStyle name="Normal 2 8 3 2 2 2 2 2 2" xfId="7758" xr:uid="{00000000-0005-0000-0000-000094700000}"/>
    <cellStyle name="Normal 2 8 3 2 2 2 2 2 2 2" xfId="22642" xr:uid="{00000000-0005-0000-0000-000095700000}"/>
    <cellStyle name="Normal 2 8 3 2 2 2 2 2 2 2 2" xfId="45285" xr:uid="{00000000-0005-0000-0000-000096700000}"/>
    <cellStyle name="Normal 2 8 3 2 2 2 2 2 2 3" xfId="15202" xr:uid="{00000000-0005-0000-0000-000097700000}"/>
    <cellStyle name="Normal 2 8 3 2 2 2 2 2 2 3 2" xfId="37845" xr:uid="{00000000-0005-0000-0000-000098700000}"/>
    <cellStyle name="Normal 2 8 3 2 2 2 2 2 2 4" xfId="30404" xr:uid="{00000000-0005-0000-0000-000099700000}"/>
    <cellStyle name="Normal 2 8 3 2 2 2 2 2 3" xfId="18924" xr:uid="{00000000-0005-0000-0000-00009A700000}"/>
    <cellStyle name="Normal 2 8 3 2 2 2 2 2 3 2" xfId="41567" xr:uid="{00000000-0005-0000-0000-00009B700000}"/>
    <cellStyle name="Normal 2 8 3 2 2 2 2 2 4" xfId="11484" xr:uid="{00000000-0005-0000-0000-00009C700000}"/>
    <cellStyle name="Normal 2 8 3 2 2 2 2 2 4 2" xfId="34127" xr:uid="{00000000-0005-0000-0000-00009D700000}"/>
    <cellStyle name="Normal 2 8 3 2 2 2 2 2 5" xfId="26686" xr:uid="{00000000-0005-0000-0000-00009E700000}"/>
    <cellStyle name="Normal 2 8 3 2 2 2 2 3" xfId="5911" xr:uid="{00000000-0005-0000-0000-00009F700000}"/>
    <cellStyle name="Normal 2 8 3 2 2 2 2 3 2" xfId="20795" xr:uid="{00000000-0005-0000-0000-0000A0700000}"/>
    <cellStyle name="Normal 2 8 3 2 2 2 2 3 2 2" xfId="43438" xr:uid="{00000000-0005-0000-0000-0000A1700000}"/>
    <cellStyle name="Normal 2 8 3 2 2 2 2 3 3" xfId="13355" xr:uid="{00000000-0005-0000-0000-0000A2700000}"/>
    <cellStyle name="Normal 2 8 3 2 2 2 2 3 3 2" xfId="35998" xr:uid="{00000000-0005-0000-0000-0000A3700000}"/>
    <cellStyle name="Normal 2 8 3 2 2 2 2 3 4" xfId="28557" xr:uid="{00000000-0005-0000-0000-0000A4700000}"/>
    <cellStyle name="Normal 2 8 3 2 2 2 2 4" xfId="17077" xr:uid="{00000000-0005-0000-0000-0000A5700000}"/>
    <cellStyle name="Normal 2 8 3 2 2 2 2 4 2" xfId="39720" xr:uid="{00000000-0005-0000-0000-0000A6700000}"/>
    <cellStyle name="Normal 2 8 3 2 2 2 2 5" xfId="9637" xr:uid="{00000000-0005-0000-0000-0000A7700000}"/>
    <cellStyle name="Normal 2 8 3 2 2 2 2 5 2" xfId="32280" xr:uid="{00000000-0005-0000-0000-0000A8700000}"/>
    <cellStyle name="Normal 2 8 3 2 2 2 2 6" xfId="24839" xr:uid="{00000000-0005-0000-0000-0000A9700000}"/>
    <cellStyle name="Normal 2 8 3 2 2 2 3" xfId="3112" xr:uid="{00000000-0005-0000-0000-0000AA700000}"/>
    <cellStyle name="Normal 2 8 3 2 2 2 3 2" xfId="6833" xr:uid="{00000000-0005-0000-0000-0000AB700000}"/>
    <cellStyle name="Normal 2 8 3 2 2 2 3 2 2" xfId="21717" xr:uid="{00000000-0005-0000-0000-0000AC700000}"/>
    <cellStyle name="Normal 2 8 3 2 2 2 3 2 2 2" xfId="44360" xr:uid="{00000000-0005-0000-0000-0000AD700000}"/>
    <cellStyle name="Normal 2 8 3 2 2 2 3 2 3" xfId="14277" xr:uid="{00000000-0005-0000-0000-0000AE700000}"/>
    <cellStyle name="Normal 2 8 3 2 2 2 3 2 3 2" xfId="36920" xr:uid="{00000000-0005-0000-0000-0000AF700000}"/>
    <cellStyle name="Normal 2 8 3 2 2 2 3 2 4" xfId="29479" xr:uid="{00000000-0005-0000-0000-0000B0700000}"/>
    <cellStyle name="Normal 2 8 3 2 2 2 3 3" xfId="17999" xr:uid="{00000000-0005-0000-0000-0000B1700000}"/>
    <cellStyle name="Normal 2 8 3 2 2 2 3 3 2" xfId="40642" xr:uid="{00000000-0005-0000-0000-0000B2700000}"/>
    <cellStyle name="Normal 2 8 3 2 2 2 3 4" xfId="10559" xr:uid="{00000000-0005-0000-0000-0000B3700000}"/>
    <cellStyle name="Normal 2 8 3 2 2 2 3 4 2" xfId="33202" xr:uid="{00000000-0005-0000-0000-0000B4700000}"/>
    <cellStyle name="Normal 2 8 3 2 2 2 3 5" xfId="25761" xr:uid="{00000000-0005-0000-0000-0000B5700000}"/>
    <cellStyle name="Normal 2 8 3 2 2 2 4" xfId="4986" xr:uid="{00000000-0005-0000-0000-0000B6700000}"/>
    <cellStyle name="Normal 2 8 3 2 2 2 4 2" xfId="19870" xr:uid="{00000000-0005-0000-0000-0000B7700000}"/>
    <cellStyle name="Normal 2 8 3 2 2 2 4 2 2" xfId="42513" xr:uid="{00000000-0005-0000-0000-0000B8700000}"/>
    <cellStyle name="Normal 2 8 3 2 2 2 4 3" xfId="12430" xr:uid="{00000000-0005-0000-0000-0000B9700000}"/>
    <cellStyle name="Normal 2 8 3 2 2 2 4 3 2" xfId="35073" xr:uid="{00000000-0005-0000-0000-0000BA700000}"/>
    <cellStyle name="Normal 2 8 3 2 2 2 4 4" xfId="27632" xr:uid="{00000000-0005-0000-0000-0000BB700000}"/>
    <cellStyle name="Normal 2 8 3 2 2 2 5" xfId="16152" xr:uid="{00000000-0005-0000-0000-0000BC700000}"/>
    <cellStyle name="Normal 2 8 3 2 2 2 5 2" xfId="38795" xr:uid="{00000000-0005-0000-0000-0000BD700000}"/>
    <cellStyle name="Normal 2 8 3 2 2 2 6" xfId="8712" xr:uid="{00000000-0005-0000-0000-0000BE700000}"/>
    <cellStyle name="Normal 2 8 3 2 2 2 6 2" xfId="31355" xr:uid="{00000000-0005-0000-0000-0000BF700000}"/>
    <cellStyle name="Normal 2 8 3 2 2 2 7" xfId="23914" xr:uid="{00000000-0005-0000-0000-0000C0700000}"/>
    <cellStyle name="Normal 2 8 3 2 2 3" xfId="1725" xr:uid="{00000000-0005-0000-0000-0000C1700000}"/>
    <cellStyle name="Normal 2 8 3 2 2 3 2" xfId="3575" xr:uid="{00000000-0005-0000-0000-0000C2700000}"/>
    <cellStyle name="Normal 2 8 3 2 2 3 2 2" xfId="7296" xr:uid="{00000000-0005-0000-0000-0000C3700000}"/>
    <cellStyle name="Normal 2 8 3 2 2 3 2 2 2" xfId="22180" xr:uid="{00000000-0005-0000-0000-0000C4700000}"/>
    <cellStyle name="Normal 2 8 3 2 2 3 2 2 2 2" xfId="44823" xr:uid="{00000000-0005-0000-0000-0000C5700000}"/>
    <cellStyle name="Normal 2 8 3 2 2 3 2 2 3" xfId="14740" xr:uid="{00000000-0005-0000-0000-0000C6700000}"/>
    <cellStyle name="Normal 2 8 3 2 2 3 2 2 3 2" xfId="37383" xr:uid="{00000000-0005-0000-0000-0000C7700000}"/>
    <cellStyle name="Normal 2 8 3 2 2 3 2 2 4" xfId="29942" xr:uid="{00000000-0005-0000-0000-0000C8700000}"/>
    <cellStyle name="Normal 2 8 3 2 2 3 2 3" xfId="18462" xr:uid="{00000000-0005-0000-0000-0000C9700000}"/>
    <cellStyle name="Normal 2 8 3 2 2 3 2 3 2" xfId="41105" xr:uid="{00000000-0005-0000-0000-0000CA700000}"/>
    <cellStyle name="Normal 2 8 3 2 2 3 2 4" xfId="11022" xr:uid="{00000000-0005-0000-0000-0000CB700000}"/>
    <cellStyle name="Normal 2 8 3 2 2 3 2 4 2" xfId="33665" xr:uid="{00000000-0005-0000-0000-0000CC700000}"/>
    <cellStyle name="Normal 2 8 3 2 2 3 2 5" xfId="26224" xr:uid="{00000000-0005-0000-0000-0000CD700000}"/>
    <cellStyle name="Normal 2 8 3 2 2 3 3" xfId="5449" xr:uid="{00000000-0005-0000-0000-0000CE700000}"/>
    <cellStyle name="Normal 2 8 3 2 2 3 3 2" xfId="20333" xr:uid="{00000000-0005-0000-0000-0000CF700000}"/>
    <cellStyle name="Normal 2 8 3 2 2 3 3 2 2" xfId="42976" xr:uid="{00000000-0005-0000-0000-0000D0700000}"/>
    <cellStyle name="Normal 2 8 3 2 2 3 3 3" xfId="12893" xr:uid="{00000000-0005-0000-0000-0000D1700000}"/>
    <cellStyle name="Normal 2 8 3 2 2 3 3 3 2" xfId="35536" xr:uid="{00000000-0005-0000-0000-0000D2700000}"/>
    <cellStyle name="Normal 2 8 3 2 2 3 3 4" xfId="28095" xr:uid="{00000000-0005-0000-0000-0000D3700000}"/>
    <cellStyle name="Normal 2 8 3 2 2 3 4" xfId="16615" xr:uid="{00000000-0005-0000-0000-0000D4700000}"/>
    <cellStyle name="Normal 2 8 3 2 2 3 4 2" xfId="39258" xr:uid="{00000000-0005-0000-0000-0000D5700000}"/>
    <cellStyle name="Normal 2 8 3 2 2 3 5" xfId="9175" xr:uid="{00000000-0005-0000-0000-0000D6700000}"/>
    <cellStyle name="Normal 2 8 3 2 2 3 5 2" xfId="31818" xr:uid="{00000000-0005-0000-0000-0000D7700000}"/>
    <cellStyle name="Normal 2 8 3 2 2 3 6" xfId="24377" xr:uid="{00000000-0005-0000-0000-0000D8700000}"/>
    <cellStyle name="Normal 2 8 3 2 2 4" xfId="2650" xr:uid="{00000000-0005-0000-0000-0000D9700000}"/>
    <cellStyle name="Normal 2 8 3 2 2 4 2" xfId="6371" xr:uid="{00000000-0005-0000-0000-0000DA700000}"/>
    <cellStyle name="Normal 2 8 3 2 2 4 2 2" xfId="21255" xr:uid="{00000000-0005-0000-0000-0000DB700000}"/>
    <cellStyle name="Normal 2 8 3 2 2 4 2 2 2" xfId="43898" xr:uid="{00000000-0005-0000-0000-0000DC700000}"/>
    <cellStyle name="Normal 2 8 3 2 2 4 2 3" xfId="13815" xr:uid="{00000000-0005-0000-0000-0000DD700000}"/>
    <cellStyle name="Normal 2 8 3 2 2 4 2 3 2" xfId="36458" xr:uid="{00000000-0005-0000-0000-0000DE700000}"/>
    <cellStyle name="Normal 2 8 3 2 2 4 2 4" xfId="29017" xr:uid="{00000000-0005-0000-0000-0000DF700000}"/>
    <cellStyle name="Normal 2 8 3 2 2 4 3" xfId="17537" xr:uid="{00000000-0005-0000-0000-0000E0700000}"/>
    <cellStyle name="Normal 2 8 3 2 2 4 3 2" xfId="40180" xr:uid="{00000000-0005-0000-0000-0000E1700000}"/>
    <cellStyle name="Normal 2 8 3 2 2 4 4" xfId="10097" xr:uid="{00000000-0005-0000-0000-0000E2700000}"/>
    <cellStyle name="Normal 2 8 3 2 2 4 4 2" xfId="32740" xr:uid="{00000000-0005-0000-0000-0000E3700000}"/>
    <cellStyle name="Normal 2 8 3 2 2 4 5" xfId="25299" xr:uid="{00000000-0005-0000-0000-0000E4700000}"/>
    <cellStyle name="Normal 2 8 3 2 2 5" xfId="4524" xr:uid="{00000000-0005-0000-0000-0000E5700000}"/>
    <cellStyle name="Normal 2 8 3 2 2 5 2" xfId="19408" xr:uid="{00000000-0005-0000-0000-0000E6700000}"/>
    <cellStyle name="Normal 2 8 3 2 2 5 2 2" xfId="42051" xr:uid="{00000000-0005-0000-0000-0000E7700000}"/>
    <cellStyle name="Normal 2 8 3 2 2 5 3" xfId="11968" xr:uid="{00000000-0005-0000-0000-0000E8700000}"/>
    <cellStyle name="Normal 2 8 3 2 2 5 3 2" xfId="34611" xr:uid="{00000000-0005-0000-0000-0000E9700000}"/>
    <cellStyle name="Normal 2 8 3 2 2 5 4" xfId="27170" xr:uid="{00000000-0005-0000-0000-0000EA700000}"/>
    <cellStyle name="Normal 2 8 3 2 2 6" xfId="15690" xr:uid="{00000000-0005-0000-0000-0000EB700000}"/>
    <cellStyle name="Normal 2 8 3 2 2 6 2" xfId="38333" xr:uid="{00000000-0005-0000-0000-0000EC700000}"/>
    <cellStyle name="Normal 2 8 3 2 2 7" xfId="8250" xr:uid="{00000000-0005-0000-0000-0000ED700000}"/>
    <cellStyle name="Normal 2 8 3 2 2 7 2" xfId="30893" xr:uid="{00000000-0005-0000-0000-0000EE700000}"/>
    <cellStyle name="Normal 2 8 3 2 2 8" xfId="23452" xr:uid="{00000000-0005-0000-0000-0000EF700000}"/>
    <cellStyle name="Normal 2 8 3 2 3" xfId="1048" xr:uid="{00000000-0005-0000-0000-0000F0700000}"/>
    <cellStyle name="Normal 2 8 3 2 3 2" xfId="1976" xr:uid="{00000000-0005-0000-0000-0000F1700000}"/>
    <cellStyle name="Normal 2 8 3 2 3 2 2" xfId="3826" xr:uid="{00000000-0005-0000-0000-0000F2700000}"/>
    <cellStyle name="Normal 2 8 3 2 3 2 2 2" xfId="7547" xr:uid="{00000000-0005-0000-0000-0000F3700000}"/>
    <cellStyle name="Normal 2 8 3 2 3 2 2 2 2" xfId="22431" xr:uid="{00000000-0005-0000-0000-0000F4700000}"/>
    <cellStyle name="Normal 2 8 3 2 3 2 2 2 2 2" xfId="45074" xr:uid="{00000000-0005-0000-0000-0000F5700000}"/>
    <cellStyle name="Normal 2 8 3 2 3 2 2 2 3" xfId="14991" xr:uid="{00000000-0005-0000-0000-0000F6700000}"/>
    <cellStyle name="Normal 2 8 3 2 3 2 2 2 3 2" xfId="37634" xr:uid="{00000000-0005-0000-0000-0000F7700000}"/>
    <cellStyle name="Normal 2 8 3 2 3 2 2 2 4" xfId="30193" xr:uid="{00000000-0005-0000-0000-0000F8700000}"/>
    <cellStyle name="Normal 2 8 3 2 3 2 2 3" xfId="18713" xr:uid="{00000000-0005-0000-0000-0000F9700000}"/>
    <cellStyle name="Normal 2 8 3 2 3 2 2 3 2" xfId="41356" xr:uid="{00000000-0005-0000-0000-0000FA700000}"/>
    <cellStyle name="Normal 2 8 3 2 3 2 2 4" xfId="11273" xr:uid="{00000000-0005-0000-0000-0000FB700000}"/>
    <cellStyle name="Normal 2 8 3 2 3 2 2 4 2" xfId="33916" xr:uid="{00000000-0005-0000-0000-0000FC700000}"/>
    <cellStyle name="Normal 2 8 3 2 3 2 2 5" xfId="26475" xr:uid="{00000000-0005-0000-0000-0000FD700000}"/>
    <cellStyle name="Normal 2 8 3 2 3 2 3" xfId="5700" xr:uid="{00000000-0005-0000-0000-0000FE700000}"/>
    <cellStyle name="Normal 2 8 3 2 3 2 3 2" xfId="20584" xr:uid="{00000000-0005-0000-0000-0000FF700000}"/>
    <cellStyle name="Normal 2 8 3 2 3 2 3 2 2" xfId="43227" xr:uid="{00000000-0005-0000-0000-000000710000}"/>
    <cellStyle name="Normal 2 8 3 2 3 2 3 3" xfId="13144" xr:uid="{00000000-0005-0000-0000-000001710000}"/>
    <cellStyle name="Normal 2 8 3 2 3 2 3 3 2" xfId="35787" xr:uid="{00000000-0005-0000-0000-000002710000}"/>
    <cellStyle name="Normal 2 8 3 2 3 2 3 4" xfId="28346" xr:uid="{00000000-0005-0000-0000-000003710000}"/>
    <cellStyle name="Normal 2 8 3 2 3 2 4" xfId="16866" xr:uid="{00000000-0005-0000-0000-000004710000}"/>
    <cellStyle name="Normal 2 8 3 2 3 2 4 2" xfId="39509" xr:uid="{00000000-0005-0000-0000-000005710000}"/>
    <cellStyle name="Normal 2 8 3 2 3 2 5" xfId="9426" xr:uid="{00000000-0005-0000-0000-000006710000}"/>
    <cellStyle name="Normal 2 8 3 2 3 2 5 2" xfId="32069" xr:uid="{00000000-0005-0000-0000-000007710000}"/>
    <cellStyle name="Normal 2 8 3 2 3 2 6" xfId="24628" xr:uid="{00000000-0005-0000-0000-000008710000}"/>
    <cellStyle name="Normal 2 8 3 2 3 3" xfId="2901" xr:uid="{00000000-0005-0000-0000-000009710000}"/>
    <cellStyle name="Normal 2 8 3 2 3 3 2" xfId="6622" xr:uid="{00000000-0005-0000-0000-00000A710000}"/>
    <cellStyle name="Normal 2 8 3 2 3 3 2 2" xfId="21506" xr:uid="{00000000-0005-0000-0000-00000B710000}"/>
    <cellStyle name="Normal 2 8 3 2 3 3 2 2 2" xfId="44149" xr:uid="{00000000-0005-0000-0000-00000C710000}"/>
    <cellStyle name="Normal 2 8 3 2 3 3 2 3" xfId="14066" xr:uid="{00000000-0005-0000-0000-00000D710000}"/>
    <cellStyle name="Normal 2 8 3 2 3 3 2 3 2" xfId="36709" xr:uid="{00000000-0005-0000-0000-00000E710000}"/>
    <cellStyle name="Normal 2 8 3 2 3 3 2 4" xfId="29268" xr:uid="{00000000-0005-0000-0000-00000F710000}"/>
    <cellStyle name="Normal 2 8 3 2 3 3 3" xfId="17788" xr:uid="{00000000-0005-0000-0000-000010710000}"/>
    <cellStyle name="Normal 2 8 3 2 3 3 3 2" xfId="40431" xr:uid="{00000000-0005-0000-0000-000011710000}"/>
    <cellStyle name="Normal 2 8 3 2 3 3 4" xfId="10348" xr:uid="{00000000-0005-0000-0000-000012710000}"/>
    <cellStyle name="Normal 2 8 3 2 3 3 4 2" xfId="32991" xr:uid="{00000000-0005-0000-0000-000013710000}"/>
    <cellStyle name="Normal 2 8 3 2 3 3 5" xfId="25550" xr:uid="{00000000-0005-0000-0000-000014710000}"/>
    <cellStyle name="Normal 2 8 3 2 3 4" xfId="4775" xr:uid="{00000000-0005-0000-0000-000015710000}"/>
    <cellStyle name="Normal 2 8 3 2 3 4 2" xfId="19659" xr:uid="{00000000-0005-0000-0000-000016710000}"/>
    <cellStyle name="Normal 2 8 3 2 3 4 2 2" xfId="42302" xr:uid="{00000000-0005-0000-0000-000017710000}"/>
    <cellStyle name="Normal 2 8 3 2 3 4 3" xfId="12219" xr:uid="{00000000-0005-0000-0000-000018710000}"/>
    <cellStyle name="Normal 2 8 3 2 3 4 3 2" xfId="34862" xr:uid="{00000000-0005-0000-0000-000019710000}"/>
    <cellStyle name="Normal 2 8 3 2 3 4 4" xfId="27421" xr:uid="{00000000-0005-0000-0000-00001A710000}"/>
    <cellStyle name="Normal 2 8 3 2 3 5" xfId="15941" xr:uid="{00000000-0005-0000-0000-00001B710000}"/>
    <cellStyle name="Normal 2 8 3 2 3 5 2" xfId="38584" xr:uid="{00000000-0005-0000-0000-00001C710000}"/>
    <cellStyle name="Normal 2 8 3 2 3 6" xfId="8501" xr:uid="{00000000-0005-0000-0000-00001D710000}"/>
    <cellStyle name="Normal 2 8 3 2 3 6 2" xfId="31144" xr:uid="{00000000-0005-0000-0000-00001E710000}"/>
    <cellStyle name="Normal 2 8 3 2 3 7" xfId="23703" xr:uid="{00000000-0005-0000-0000-00001F710000}"/>
    <cellStyle name="Normal 2 8 3 2 4" xfId="1514" xr:uid="{00000000-0005-0000-0000-000020710000}"/>
    <cellStyle name="Normal 2 8 3 2 4 2" xfId="3364" xr:uid="{00000000-0005-0000-0000-000021710000}"/>
    <cellStyle name="Normal 2 8 3 2 4 2 2" xfId="7085" xr:uid="{00000000-0005-0000-0000-000022710000}"/>
    <cellStyle name="Normal 2 8 3 2 4 2 2 2" xfId="21969" xr:uid="{00000000-0005-0000-0000-000023710000}"/>
    <cellStyle name="Normal 2 8 3 2 4 2 2 2 2" xfId="44612" xr:uid="{00000000-0005-0000-0000-000024710000}"/>
    <cellStyle name="Normal 2 8 3 2 4 2 2 3" xfId="14529" xr:uid="{00000000-0005-0000-0000-000025710000}"/>
    <cellStyle name="Normal 2 8 3 2 4 2 2 3 2" xfId="37172" xr:uid="{00000000-0005-0000-0000-000026710000}"/>
    <cellStyle name="Normal 2 8 3 2 4 2 2 4" xfId="29731" xr:uid="{00000000-0005-0000-0000-000027710000}"/>
    <cellStyle name="Normal 2 8 3 2 4 2 3" xfId="18251" xr:uid="{00000000-0005-0000-0000-000028710000}"/>
    <cellStyle name="Normal 2 8 3 2 4 2 3 2" xfId="40894" xr:uid="{00000000-0005-0000-0000-000029710000}"/>
    <cellStyle name="Normal 2 8 3 2 4 2 4" xfId="10811" xr:uid="{00000000-0005-0000-0000-00002A710000}"/>
    <cellStyle name="Normal 2 8 3 2 4 2 4 2" xfId="33454" xr:uid="{00000000-0005-0000-0000-00002B710000}"/>
    <cellStyle name="Normal 2 8 3 2 4 2 5" xfId="26013" xr:uid="{00000000-0005-0000-0000-00002C710000}"/>
    <cellStyle name="Normal 2 8 3 2 4 3" xfId="5238" xr:uid="{00000000-0005-0000-0000-00002D710000}"/>
    <cellStyle name="Normal 2 8 3 2 4 3 2" xfId="20122" xr:uid="{00000000-0005-0000-0000-00002E710000}"/>
    <cellStyle name="Normal 2 8 3 2 4 3 2 2" xfId="42765" xr:uid="{00000000-0005-0000-0000-00002F710000}"/>
    <cellStyle name="Normal 2 8 3 2 4 3 3" xfId="12682" xr:uid="{00000000-0005-0000-0000-000030710000}"/>
    <cellStyle name="Normal 2 8 3 2 4 3 3 2" xfId="35325" xr:uid="{00000000-0005-0000-0000-000031710000}"/>
    <cellStyle name="Normal 2 8 3 2 4 3 4" xfId="27884" xr:uid="{00000000-0005-0000-0000-000032710000}"/>
    <cellStyle name="Normal 2 8 3 2 4 4" xfId="16404" xr:uid="{00000000-0005-0000-0000-000033710000}"/>
    <cellStyle name="Normal 2 8 3 2 4 4 2" xfId="39047" xr:uid="{00000000-0005-0000-0000-000034710000}"/>
    <cellStyle name="Normal 2 8 3 2 4 5" xfId="8964" xr:uid="{00000000-0005-0000-0000-000035710000}"/>
    <cellStyle name="Normal 2 8 3 2 4 5 2" xfId="31607" xr:uid="{00000000-0005-0000-0000-000036710000}"/>
    <cellStyle name="Normal 2 8 3 2 4 6" xfId="24166" xr:uid="{00000000-0005-0000-0000-000037710000}"/>
    <cellStyle name="Normal 2 8 3 2 5" xfId="2439" xr:uid="{00000000-0005-0000-0000-000038710000}"/>
    <cellStyle name="Normal 2 8 3 2 5 2" xfId="6160" xr:uid="{00000000-0005-0000-0000-000039710000}"/>
    <cellStyle name="Normal 2 8 3 2 5 2 2" xfId="21044" xr:uid="{00000000-0005-0000-0000-00003A710000}"/>
    <cellStyle name="Normal 2 8 3 2 5 2 2 2" xfId="43687" xr:uid="{00000000-0005-0000-0000-00003B710000}"/>
    <cellStyle name="Normal 2 8 3 2 5 2 3" xfId="13604" xr:uid="{00000000-0005-0000-0000-00003C710000}"/>
    <cellStyle name="Normal 2 8 3 2 5 2 3 2" xfId="36247" xr:uid="{00000000-0005-0000-0000-00003D710000}"/>
    <cellStyle name="Normal 2 8 3 2 5 2 4" xfId="28806" xr:uid="{00000000-0005-0000-0000-00003E710000}"/>
    <cellStyle name="Normal 2 8 3 2 5 3" xfId="17326" xr:uid="{00000000-0005-0000-0000-00003F710000}"/>
    <cellStyle name="Normal 2 8 3 2 5 3 2" xfId="39969" xr:uid="{00000000-0005-0000-0000-000040710000}"/>
    <cellStyle name="Normal 2 8 3 2 5 4" xfId="9886" xr:uid="{00000000-0005-0000-0000-000041710000}"/>
    <cellStyle name="Normal 2 8 3 2 5 4 2" xfId="32529" xr:uid="{00000000-0005-0000-0000-000042710000}"/>
    <cellStyle name="Normal 2 8 3 2 5 5" xfId="25088" xr:uid="{00000000-0005-0000-0000-000043710000}"/>
    <cellStyle name="Normal 2 8 3 2 6" xfId="4313" xr:uid="{00000000-0005-0000-0000-000044710000}"/>
    <cellStyle name="Normal 2 8 3 2 6 2" xfId="19197" xr:uid="{00000000-0005-0000-0000-000045710000}"/>
    <cellStyle name="Normal 2 8 3 2 6 2 2" xfId="41840" xr:uid="{00000000-0005-0000-0000-000046710000}"/>
    <cellStyle name="Normal 2 8 3 2 6 3" xfId="11757" xr:uid="{00000000-0005-0000-0000-000047710000}"/>
    <cellStyle name="Normal 2 8 3 2 6 3 2" xfId="34400" xr:uid="{00000000-0005-0000-0000-000048710000}"/>
    <cellStyle name="Normal 2 8 3 2 6 4" xfId="26959" xr:uid="{00000000-0005-0000-0000-000049710000}"/>
    <cellStyle name="Normal 2 8 3 2 7" xfId="15479" xr:uid="{00000000-0005-0000-0000-00004A710000}"/>
    <cellStyle name="Normal 2 8 3 2 7 2" xfId="38122" xr:uid="{00000000-0005-0000-0000-00004B710000}"/>
    <cellStyle name="Normal 2 8 3 2 8" xfId="8039" xr:uid="{00000000-0005-0000-0000-00004C710000}"/>
    <cellStyle name="Normal 2 8 3 2 8 2" xfId="30682" xr:uid="{00000000-0005-0000-0000-00004D710000}"/>
    <cellStyle name="Normal 2 8 3 2 9" xfId="23242" xr:uid="{00000000-0005-0000-0000-00004E710000}"/>
    <cellStyle name="Normal 2 8 3 3" xfId="689" xr:uid="{00000000-0005-0000-0000-00004F710000}"/>
    <cellStyle name="Normal 2 8 3 3 2" xfId="1154" xr:uid="{00000000-0005-0000-0000-000050710000}"/>
    <cellStyle name="Normal 2 8 3 3 2 2" xfId="2082" xr:uid="{00000000-0005-0000-0000-000051710000}"/>
    <cellStyle name="Normal 2 8 3 3 2 2 2" xfId="3932" xr:uid="{00000000-0005-0000-0000-000052710000}"/>
    <cellStyle name="Normal 2 8 3 3 2 2 2 2" xfId="7653" xr:uid="{00000000-0005-0000-0000-000053710000}"/>
    <cellStyle name="Normal 2 8 3 3 2 2 2 2 2" xfId="22537" xr:uid="{00000000-0005-0000-0000-000054710000}"/>
    <cellStyle name="Normal 2 8 3 3 2 2 2 2 2 2" xfId="45180" xr:uid="{00000000-0005-0000-0000-000055710000}"/>
    <cellStyle name="Normal 2 8 3 3 2 2 2 2 3" xfId="15097" xr:uid="{00000000-0005-0000-0000-000056710000}"/>
    <cellStyle name="Normal 2 8 3 3 2 2 2 2 3 2" xfId="37740" xr:uid="{00000000-0005-0000-0000-000057710000}"/>
    <cellStyle name="Normal 2 8 3 3 2 2 2 2 4" xfId="30299" xr:uid="{00000000-0005-0000-0000-000058710000}"/>
    <cellStyle name="Normal 2 8 3 3 2 2 2 3" xfId="18819" xr:uid="{00000000-0005-0000-0000-000059710000}"/>
    <cellStyle name="Normal 2 8 3 3 2 2 2 3 2" xfId="41462" xr:uid="{00000000-0005-0000-0000-00005A710000}"/>
    <cellStyle name="Normal 2 8 3 3 2 2 2 4" xfId="11379" xr:uid="{00000000-0005-0000-0000-00005B710000}"/>
    <cellStyle name="Normal 2 8 3 3 2 2 2 4 2" xfId="34022" xr:uid="{00000000-0005-0000-0000-00005C710000}"/>
    <cellStyle name="Normal 2 8 3 3 2 2 2 5" xfId="26581" xr:uid="{00000000-0005-0000-0000-00005D710000}"/>
    <cellStyle name="Normal 2 8 3 3 2 2 3" xfId="5806" xr:uid="{00000000-0005-0000-0000-00005E710000}"/>
    <cellStyle name="Normal 2 8 3 3 2 2 3 2" xfId="20690" xr:uid="{00000000-0005-0000-0000-00005F710000}"/>
    <cellStyle name="Normal 2 8 3 3 2 2 3 2 2" xfId="43333" xr:uid="{00000000-0005-0000-0000-000060710000}"/>
    <cellStyle name="Normal 2 8 3 3 2 2 3 3" xfId="13250" xr:uid="{00000000-0005-0000-0000-000061710000}"/>
    <cellStyle name="Normal 2 8 3 3 2 2 3 3 2" xfId="35893" xr:uid="{00000000-0005-0000-0000-000062710000}"/>
    <cellStyle name="Normal 2 8 3 3 2 2 3 4" xfId="28452" xr:uid="{00000000-0005-0000-0000-000063710000}"/>
    <cellStyle name="Normal 2 8 3 3 2 2 4" xfId="16972" xr:uid="{00000000-0005-0000-0000-000064710000}"/>
    <cellStyle name="Normal 2 8 3 3 2 2 4 2" xfId="39615" xr:uid="{00000000-0005-0000-0000-000065710000}"/>
    <cellStyle name="Normal 2 8 3 3 2 2 5" xfId="9532" xr:uid="{00000000-0005-0000-0000-000066710000}"/>
    <cellStyle name="Normal 2 8 3 3 2 2 5 2" xfId="32175" xr:uid="{00000000-0005-0000-0000-000067710000}"/>
    <cellStyle name="Normal 2 8 3 3 2 2 6" xfId="24734" xr:uid="{00000000-0005-0000-0000-000068710000}"/>
    <cellStyle name="Normal 2 8 3 3 2 3" xfId="3007" xr:uid="{00000000-0005-0000-0000-000069710000}"/>
    <cellStyle name="Normal 2 8 3 3 2 3 2" xfId="6728" xr:uid="{00000000-0005-0000-0000-00006A710000}"/>
    <cellStyle name="Normal 2 8 3 3 2 3 2 2" xfId="21612" xr:uid="{00000000-0005-0000-0000-00006B710000}"/>
    <cellStyle name="Normal 2 8 3 3 2 3 2 2 2" xfId="44255" xr:uid="{00000000-0005-0000-0000-00006C710000}"/>
    <cellStyle name="Normal 2 8 3 3 2 3 2 3" xfId="14172" xr:uid="{00000000-0005-0000-0000-00006D710000}"/>
    <cellStyle name="Normal 2 8 3 3 2 3 2 3 2" xfId="36815" xr:uid="{00000000-0005-0000-0000-00006E710000}"/>
    <cellStyle name="Normal 2 8 3 3 2 3 2 4" xfId="29374" xr:uid="{00000000-0005-0000-0000-00006F710000}"/>
    <cellStyle name="Normal 2 8 3 3 2 3 3" xfId="17894" xr:uid="{00000000-0005-0000-0000-000070710000}"/>
    <cellStyle name="Normal 2 8 3 3 2 3 3 2" xfId="40537" xr:uid="{00000000-0005-0000-0000-000071710000}"/>
    <cellStyle name="Normal 2 8 3 3 2 3 4" xfId="10454" xr:uid="{00000000-0005-0000-0000-000072710000}"/>
    <cellStyle name="Normal 2 8 3 3 2 3 4 2" xfId="33097" xr:uid="{00000000-0005-0000-0000-000073710000}"/>
    <cellStyle name="Normal 2 8 3 3 2 3 5" xfId="25656" xr:uid="{00000000-0005-0000-0000-000074710000}"/>
    <cellStyle name="Normal 2 8 3 3 2 4" xfId="4881" xr:uid="{00000000-0005-0000-0000-000075710000}"/>
    <cellStyle name="Normal 2 8 3 3 2 4 2" xfId="19765" xr:uid="{00000000-0005-0000-0000-000076710000}"/>
    <cellStyle name="Normal 2 8 3 3 2 4 2 2" xfId="42408" xr:uid="{00000000-0005-0000-0000-000077710000}"/>
    <cellStyle name="Normal 2 8 3 3 2 4 3" xfId="12325" xr:uid="{00000000-0005-0000-0000-000078710000}"/>
    <cellStyle name="Normal 2 8 3 3 2 4 3 2" xfId="34968" xr:uid="{00000000-0005-0000-0000-000079710000}"/>
    <cellStyle name="Normal 2 8 3 3 2 4 4" xfId="27527" xr:uid="{00000000-0005-0000-0000-00007A710000}"/>
    <cellStyle name="Normal 2 8 3 3 2 5" xfId="16047" xr:uid="{00000000-0005-0000-0000-00007B710000}"/>
    <cellStyle name="Normal 2 8 3 3 2 5 2" xfId="38690" xr:uid="{00000000-0005-0000-0000-00007C710000}"/>
    <cellStyle name="Normal 2 8 3 3 2 6" xfId="8607" xr:uid="{00000000-0005-0000-0000-00007D710000}"/>
    <cellStyle name="Normal 2 8 3 3 2 6 2" xfId="31250" xr:uid="{00000000-0005-0000-0000-00007E710000}"/>
    <cellStyle name="Normal 2 8 3 3 2 7" xfId="23809" xr:uid="{00000000-0005-0000-0000-00007F710000}"/>
    <cellStyle name="Normal 2 8 3 3 3" xfId="1620" xr:uid="{00000000-0005-0000-0000-000080710000}"/>
    <cellStyle name="Normal 2 8 3 3 3 2" xfId="3470" xr:uid="{00000000-0005-0000-0000-000081710000}"/>
    <cellStyle name="Normal 2 8 3 3 3 2 2" xfId="7191" xr:uid="{00000000-0005-0000-0000-000082710000}"/>
    <cellStyle name="Normal 2 8 3 3 3 2 2 2" xfId="22075" xr:uid="{00000000-0005-0000-0000-000083710000}"/>
    <cellStyle name="Normal 2 8 3 3 3 2 2 2 2" xfId="44718" xr:uid="{00000000-0005-0000-0000-000084710000}"/>
    <cellStyle name="Normal 2 8 3 3 3 2 2 3" xfId="14635" xr:uid="{00000000-0005-0000-0000-000085710000}"/>
    <cellStyle name="Normal 2 8 3 3 3 2 2 3 2" xfId="37278" xr:uid="{00000000-0005-0000-0000-000086710000}"/>
    <cellStyle name="Normal 2 8 3 3 3 2 2 4" xfId="29837" xr:uid="{00000000-0005-0000-0000-000087710000}"/>
    <cellStyle name="Normal 2 8 3 3 3 2 3" xfId="18357" xr:uid="{00000000-0005-0000-0000-000088710000}"/>
    <cellStyle name="Normal 2 8 3 3 3 2 3 2" xfId="41000" xr:uid="{00000000-0005-0000-0000-000089710000}"/>
    <cellStyle name="Normal 2 8 3 3 3 2 4" xfId="10917" xr:uid="{00000000-0005-0000-0000-00008A710000}"/>
    <cellStyle name="Normal 2 8 3 3 3 2 4 2" xfId="33560" xr:uid="{00000000-0005-0000-0000-00008B710000}"/>
    <cellStyle name="Normal 2 8 3 3 3 2 5" xfId="26119" xr:uid="{00000000-0005-0000-0000-00008C710000}"/>
    <cellStyle name="Normal 2 8 3 3 3 3" xfId="5344" xr:uid="{00000000-0005-0000-0000-00008D710000}"/>
    <cellStyle name="Normal 2 8 3 3 3 3 2" xfId="20228" xr:uid="{00000000-0005-0000-0000-00008E710000}"/>
    <cellStyle name="Normal 2 8 3 3 3 3 2 2" xfId="42871" xr:uid="{00000000-0005-0000-0000-00008F710000}"/>
    <cellStyle name="Normal 2 8 3 3 3 3 3" xfId="12788" xr:uid="{00000000-0005-0000-0000-000090710000}"/>
    <cellStyle name="Normal 2 8 3 3 3 3 3 2" xfId="35431" xr:uid="{00000000-0005-0000-0000-000091710000}"/>
    <cellStyle name="Normal 2 8 3 3 3 3 4" xfId="27990" xr:uid="{00000000-0005-0000-0000-000092710000}"/>
    <cellStyle name="Normal 2 8 3 3 3 4" xfId="16510" xr:uid="{00000000-0005-0000-0000-000093710000}"/>
    <cellStyle name="Normal 2 8 3 3 3 4 2" xfId="39153" xr:uid="{00000000-0005-0000-0000-000094710000}"/>
    <cellStyle name="Normal 2 8 3 3 3 5" xfId="9070" xr:uid="{00000000-0005-0000-0000-000095710000}"/>
    <cellStyle name="Normal 2 8 3 3 3 5 2" xfId="31713" xr:uid="{00000000-0005-0000-0000-000096710000}"/>
    <cellStyle name="Normal 2 8 3 3 3 6" xfId="24272" xr:uid="{00000000-0005-0000-0000-000097710000}"/>
    <cellStyle name="Normal 2 8 3 3 4" xfId="2545" xr:uid="{00000000-0005-0000-0000-000098710000}"/>
    <cellStyle name="Normal 2 8 3 3 4 2" xfId="6266" xr:uid="{00000000-0005-0000-0000-000099710000}"/>
    <cellStyle name="Normal 2 8 3 3 4 2 2" xfId="21150" xr:uid="{00000000-0005-0000-0000-00009A710000}"/>
    <cellStyle name="Normal 2 8 3 3 4 2 2 2" xfId="43793" xr:uid="{00000000-0005-0000-0000-00009B710000}"/>
    <cellStyle name="Normal 2 8 3 3 4 2 3" xfId="13710" xr:uid="{00000000-0005-0000-0000-00009C710000}"/>
    <cellStyle name="Normal 2 8 3 3 4 2 3 2" xfId="36353" xr:uid="{00000000-0005-0000-0000-00009D710000}"/>
    <cellStyle name="Normal 2 8 3 3 4 2 4" xfId="28912" xr:uid="{00000000-0005-0000-0000-00009E710000}"/>
    <cellStyle name="Normal 2 8 3 3 4 3" xfId="17432" xr:uid="{00000000-0005-0000-0000-00009F710000}"/>
    <cellStyle name="Normal 2 8 3 3 4 3 2" xfId="40075" xr:uid="{00000000-0005-0000-0000-0000A0710000}"/>
    <cellStyle name="Normal 2 8 3 3 4 4" xfId="9992" xr:uid="{00000000-0005-0000-0000-0000A1710000}"/>
    <cellStyle name="Normal 2 8 3 3 4 4 2" xfId="32635" xr:uid="{00000000-0005-0000-0000-0000A2710000}"/>
    <cellStyle name="Normal 2 8 3 3 4 5" xfId="25194" xr:uid="{00000000-0005-0000-0000-0000A3710000}"/>
    <cellStyle name="Normal 2 8 3 3 5" xfId="4419" xr:uid="{00000000-0005-0000-0000-0000A4710000}"/>
    <cellStyle name="Normal 2 8 3 3 5 2" xfId="19303" xr:uid="{00000000-0005-0000-0000-0000A5710000}"/>
    <cellStyle name="Normal 2 8 3 3 5 2 2" xfId="41946" xr:uid="{00000000-0005-0000-0000-0000A6710000}"/>
    <cellStyle name="Normal 2 8 3 3 5 3" xfId="11863" xr:uid="{00000000-0005-0000-0000-0000A7710000}"/>
    <cellStyle name="Normal 2 8 3 3 5 3 2" xfId="34506" xr:uid="{00000000-0005-0000-0000-0000A8710000}"/>
    <cellStyle name="Normal 2 8 3 3 5 4" xfId="27065" xr:uid="{00000000-0005-0000-0000-0000A9710000}"/>
    <cellStyle name="Normal 2 8 3 3 6" xfId="15585" xr:uid="{00000000-0005-0000-0000-0000AA710000}"/>
    <cellStyle name="Normal 2 8 3 3 6 2" xfId="38228" xr:uid="{00000000-0005-0000-0000-0000AB710000}"/>
    <cellStyle name="Normal 2 8 3 3 7" xfId="8145" xr:uid="{00000000-0005-0000-0000-0000AC710000}"/>
    <cellStyle name="Normal 2 8 3 3 7 2" xfId="30788" xr:uid="{00000000-0005-0000-0000-0000AD710000}"/>
    <cellStyle name="Normal 2 8 3 3 8" xfId="23347" xr:uid="{00000000-0005-0000-0000-0000AE710000}"/>
    <cellStyle name="Normal 2 8 3 4" xfId="943" xr:uid="{00000000-0005-0000-0000-0000AF710000}"/>
    <cellStyle name="Normal 2 8 3 4 2" xfId="1871" xr:uid="{00000000-0005-0000-0000-0000B0710000}"/>
    <cellStyle name="Normal 2 8 3 4 2 2" xfId="3721" xr:uid="{00000000-0005-0000-0000-0000B1710000}"/>
    <cellStyle name="Normal 2 8 3 4 2 2 2" xfId="7442" xr:uid="{00000000-0005-0000-0000-0000B2710000}"/>
    <cellStyle name="Normal 2 8 3 4 2 2 2 2" xfId="22326" xr:uid="{00000000-0005-0000-0000-0000B3710000}"/>
    <cellStyle name="Normal 2 8 3 4 2 2 2 2 2" xfId="44969" xr:uid="{00000000-0005-0000-0000-0000B4710000}"/>
    <cellStyle name="Normal 2 8 3 4 2 2 2 3" xfId="14886" xr:uid="{00000000-0005-0000-0000-0000B5710000}"/>
    <cellStyle name="Normal 2 8 3 4 2 2 2 3 2" xfId="37529" xr:uid="{00000000-0005-0000-0000-0000B6710000}"/>
    <cellStyle name="Normal 2 8 3 4 2 2 2 4" xfId="30088" xr:uid="{00000000-0005-0000-0000-0000B7710000}"/>
    <cellStyle name="Normal 2 8 3 4 2 2 3" xfId="18608" xr:uid="{00000000-0005-0000-0000-0000B8710000}"/>
    <cellStyle name="Normal 2 8 3 4 2 2 3 2" xfId="41251" xr:uid="{00000000-0005-0000-0000-0000B9710000}"/>
    <cellStyle name="Normal 2 8 3 4 2 2 4" xfId="11168" xr:uid="{00000000-0005-0000-0000-0000BA710000}"/>
    <cellStyle name="Normal 2 8 3 4 2 2 4 2" xfId="33811" xr:uid="{00000000-0005-0000-0000-0000BB710000}"/>
    <cellStyle name="Normal 2 8 3 4 2 2 5" xfId="26370" xr:uid="{00000000-0005-0000-0000-0000BC710000}"/>
    <cellStyle name="Normal 2 8 3 4 2 3" xfId="5595" xr:uid="{00000000-0005-0000-0000-0000BD710000}"/>
    <cellStyle name="Normal 2 8 3 4 2 3 2" xfId="20479" xr:uid="{00000000-0005-0000-0000-0000BE710000}"/>
    <cellStyle name="Normal 2 8 3 4 2 3 2 2" xfId="43122" xr:uid="{00000000-0005-0000-0000-0000BF710000}"/>
    <cellStyle name="Normal 2 8 3 4 2 3 3" xfId="13039" xr:uid="{00000000-0005-0000-0000-0000C0710000}"/>
    <cellStyle name="Normal 2 8 3 4 2 3 3 2" xfId="35682" xr:uid="{00000000-0005-0000-0000-0000C1710000}"/>
    <cellStyle name="Normal 2 8 3 4 2 3 4" xfId="28241" xr:uid="{00000000-0005-0000-0000-0000C2710000}"/>
    <cellStyle name="Normal 2 8 3 4 2 4" xfId="16761" xr:uid="{00000000-0005-0000-0000-0000C3710000}"/>
    <cellStyle name="Normal 2 8 3 4 2 4 2" xfId="39404" xr:uid="{00000000-0005-0000-0000-0000C4710000}"/>
    <cellStyle name="Normal 2 8 3 4 2 5" xfId="9321" xr:uid="{00000000-0005-0000-0000-0000C5710000}"/>
    <cellStyle name="Normal 2 8 3 4 2 5 2" xfId="31964" xr:uid="{00000000-0005-0000-0000-0000C6710000}"/>
    <cellStyle name="Normal 2 8 3 4 2 6" xfId="24523" xr:uid="{00000000-0005-0000-0000-0000C7710000}"/>
    <cellStyle name="Normal 2 8 3 4 3" xfId="2796" xr:uid="{00000000-0005-0000-0000-0000C8710000}"/>
    <cellStyle name="Normal 2 8 3 4 3 2" xfId="6517" xr:uid="{00000000-0005-0000-0000-0000C9710000}"/>
    <cellStyle name="Normal 2 8 3 4 3 2 2" xfId="21401" xr:uid="{00000000-0005-0000-0000-0000CA710000}"/>
    <cellStyle name="Normal 2 8 3 4 3 2 2 2" xfId="44044" xr:uid="{00000000-0005-0000-0000-0000CB710000}"/>
    <cellStyle name="Normal 2 8 3 4 3 2 3" xfId="13961" xr:uid="{00000000-0005-0000-0000-0000CC710000}"/>
    <cellStyle name="Normal 2 8 3 4 3 2 3 2" xfId="36604" xr:uid="{00000000-0005-0000-0000-0000CD710000}"/>
    <cellStyle name="Normal 2 8 3 4 3 2 4" xfId="29163" xr:uid="{00000000-0005-0000-0000-0000CE710000}"/>
    <cellStyle name="Normal 2 8 3 4 3 3" xfId="17683" xr:uid="{00000000-0005-0000-0000-0000CF710000}"/>
    <cellStyle name="Normal 2 8 3 4 3 3 2" xfId="40326" xr:uid="{00000000-0005-0000-0000-0000D0710000}"/>
    <cellStyle name="Normal 2 8 3 4 3 4" xfId="10243" xr:uid="{00000000-0005-0000-0000-0000D1710000}"/>
    <cellStyle name="Normal 2 8 3 4 3 4 2" xfId="32886" xr:uid="{00000000-0005-0000-0000-0000D2710000}"/>
    <cellStyle name="Normal 2 8 3 4 3 5" xfId="25445" xr:uid="{00000000-0005-0000-0000-0000D3710000}"/>
    <cellStyle name="Normal 2 8 3 4 4" xfId="4670" xr:uid="{00000000-0005-0000-0000-0000D4710000}"/>
    <cellStyle name="Normal 2 8 3 4 4 2" xfId="19554" xr:uid="{00000000-0005-0000-0000-0000D5710000}"/>
    <cellStyle name="Normal 2 8 3 4 4 2 2" xfId="42197" xr:uid="{00000000-0005-0000-0000-0000D6710000}"/>
    <cellStyle name="Normal 2 8 3 4 4 3" xfId="12114" xr:uid="{00000000-0005-0000-0000-0000D7710000}"/>
    <cellStyle name="Normal 2 8 3 4 4 3 2" xfId="34757" xr:uid="{00000000-0005-0000-0000-0000D8710000}"/>
    <cellStyle name="Normal 2 8 3 4 4 4" xfId="27316" xr:uid="{00000000-0005-0000-0000-0000D9710000}"/>
    <cellStyle name="Normal 2 8 3 4 5" xfId="15836" xr:uid="{00000000-0005-0000-0000-0000DA710000}"/>
    <cellStyle name="Normal 2 8 3 4 5 2" xfId="38479" xr:uid="{00000000-0005-0000-0000-0000DB710000}"/>
    <cellStyle name="Normal 2 8 3 4 6" xfId="8396" xr:uid="{00000000-0005-0000-0000-0000DC710000}"/>
    <cellStyle name="Normal 2 8 3 4 6 2" xfId="31039" xr:uid="{00000000-0005-0000-0000-0000DD710000}"/>
    <cellStyle name="Normal 2 8 3 4 7" xfId="23598" xr:uid="{00000000-0005-0000-0000-0000DE710000}"/>
    <cellStyle name="Normal 2 8 3 5" xfId="1409" xr:uid="{00000000-0005-0000-0000-0000DF710000}"/>
    <cellStyle name="Normal 2 8 3 5 2" xfId="3259" xr:uid="{00000000-0005-0000-0000-0000E0710000}"/>
    <cellStyle name="Normal 2 8 3 5 2 2" xfId="6980" xr:uid="{00000000-0005-0000-0000-0000E1710000}"/>
    <cellStyle name="Normal 2 8 3 5 2 2 2" xfId="21864" xr:uid="{00000000-0005-0000-0000-0000E2710000}"/>
    <cellStyle name="Normal 2 8 3 5 2 2 2 2" xfId="44507" xr:uid="{00000000-0005-0000-0000-0000E3710000}"/>
    <cellStyle name="Normal 2 8 3 5 2 2 3" xfId="14424" xr:uid="{00000000-0005-0000-0000-0000E4710000}"/>
    <cellStyle name="Normal 2 8 3 5 2 2 3 2" xfId="37067" xr:uid="{00000000-0005-0000-0000-0000E5710000}"/>
    <cellStyle name="Normal 2 8 3 5 2 2 4" xfId="29626" xr:uid="{00000000-0005-0000-0000-0000E6710000}"/>
    <cellStyle name="Normal 2 8 3 5 2 3" xfId="18146" xr:uid="{00000000-0005-0000-0000-0000E7710000}"/>
    <cellStyle name="Normal 2 8 3 5 2 3 2" xfId="40789" xr:uid="{00000000-0005-0000-0000-0000E8710000}"/>
    <cellStyle name="Normal 2 8 3 5 2 4" xfId="10706" xr:uid="{00000000-0005-0000-0000-0000E9710000}"/>
    <cellStyle name="Normal 2 8 3 5 2 4 2" xfId="33349" xr:uid="{00000000-0005-0000-0000-0000EA710000}"/>
    <cellStyle name="Normal 2 8 3 5 2 5" xfId="25908" xr:uid="{00000000-0005-0000-0000-0000EB710000}"/>
    <cellStyle name="Normal 2 8 3 5 3" xfId="5133" xr:uid="{00000000-0005-0000-0000-0000EC710000}"/>
    <cellStyle name="Normal 2 8 3 5 3 2" xfId="20017" xr:uid="{00000000-0005-0000-0000-0000ED710000}"/>
    <cellStyle name="Normal 2 8 3 5 3 2 2" xfId="42660" xr:uid="{00000000-0005-0000-0000-0000EE710000}"/>
    <cellStyle name="Normal 2 8 3 5 3 3" xfId="12577" xr:uid="{00000000-0005-0000-0000-0000EF710000}"/>
    <cellStyle name="Normal 2 8 3 5 3 3 2" xfId="35220" xr:uid="{00000000-0005-0000-0000-0000F0710000}"/>
    <cellStyle name="Normal 2 8 3 5 3 4" xfId="27779" xr:uid="{00000000-0005-0000-0000-0000F1710000}"/>
    <cellStyle name="Normal 2 8 3 5 4" xfId="16299" xr:uid="{00000000-0005-0000-0000-0000F2710000}"/>
    <cellStyle name="Normal 2 8 3 5 4 2" xfId="38942" xr:uid="{00000000-0005-0000-0000-0000F3710000}"/>
    <cellStyle name="Normal 2 8 3 5 5" xfId="8859" xr:uid="{00000000-0005-0000-0000-0000F4710000}"/>
    <cellStyle name="Normal 2 8 3 5 5 2" xfId="31502" xr:uid="{00000000-0005-0000-0000-0000F5710000}"/>
    <cellStyle name="Normal 2 8 3 5 6" xfId="24061" xr:uid="{00000000-0005-0000-0000-0000F6710000}"/>
    <cellStyle name="Normal 2 8 3 6" xfId="2334" xr:uid="{00000000-0005-0000-0000-0000F7710000}"/>
    <cellStyle name="Normal 2 8 3 6 2" xfId="6055" xr:uid="{00000000-0005-0000-0000-0000F8710000}"/>
    <cellStyle name="Normal 2 8 3 6 2 2" xfId="20939" xr:uid="{00000000-0005-0000-0000-0000F9710000}"/>
    <cellStyle name="Normal 2 8 3 6 2 2 2" xfId="43582" xr:uid="{00000000-0005-0000-0000-0000FA710000}"/>
    <cellStyle name="Normal 2 8 3 6 2 3" xfId="13499" xr:uid="{00000000-0005-0000-0000-0000FB710000}"/>
    <cellStyle name="Normal 2 8 3 6 2 3 2" xfId="36142" xr:uid="{00000000-0005-0000-0000-0000FC710000}"/>
    <cellStyle name="Normal 2 8 3 6 2 4" xfId="28701" xr:uid="{00000000-0005-0000-0000-0000FD710000}"/>
    <cellStyle name="Normal 2 8 3 6 3" xfId="17221" xr:uid="{00000000-0005-0000-0000-0000FE710000}"/>
    <cellStyle name="Normal 2 8 3 6 3 2" xfId="39864" xr:uid="{00000000-0005-0000-0000-0000FF710000}"/>
    <cellStyle name="Normal 2 8 3 6 4" xfId="9781" xr:uid="{00000000-0005-0000-0000-000000720000}"/>
    <cellStyle name="Normal 2 8 3 6 4 2" xfId="32424" xr:uid="{00000000-0005-0000-0000-000001720000}"/>
    <cellStyle name="Normal 2 8 3 6 5" xfId="24983" xr:uid="{00000000-0005-0000-0000-000002720000}"/>
    <cellStyle name="Normal 2 8 3 7" xfId="4208" xr:uid="{00000000-0005-0000-0000-000003720000}"/>
    <cellStyle name="Normal 2 8 3 7 2" xfId="19092" xr:uid="{00000000-0005-0000-0000-000004720000}"/>
    <cellStyle name="Normal 2 8 3 7 2 2" xfId="41735" xr:uid="{00000000-0005-0000-0000-000005720000}"/>
    <cellStyle name="Normal 2 8 3 7 3" xfId="11652" xr:uid="{00000000-0005-0000-0000-000006720000}"/>
    <cellStyle name="Normal 2 8 3 7 3 2" xfId="34295" xr:uid="{00000000-0005-0000-0000-000007720000}"/>
    <cellStyle name="Normal 2 8 3 7 4" xfId="26854" xr:uid="{00000000-0005-0000-0000-000008720000}"/>
    <cellStyle name="Normal 2 8 3 8" xfId="15374" xr:uid="{00000000-0005-0000-0000-000009720000}"/>
    <cellStyle name="Normal 2 8 3 8 2" xfId="38017" xr:uid="{00000000-0005-0000-0000-00000A720000}"/>
    <cellStyle name="Normal 2 8 3 9" xfId="7934" xr:uid="{00000000-0005-0000-0000-00000B720000}"/>
    <cellStyle name="Normal 2 8 3 9 2" xfId="30577" xr:uid="{00000000-0005-0000-0000-00000C720000}"/>
    <cellStyle name="Normal 2 8 4" xfId="530" xr:uid="{00000000-0005-0000-0000-00000D720000}"/>
    <cellStyle name="Normal 2 8 4 2" xfId="742" xr:uid="{00000000-0005-0000-0000-00000E720000}"/>
    <cellStyle name="Normal 2 8 4 2 2" xfId="1207" xr:uid="{00000000-0005-0000-0000-00000F720000}"/>
    <cellStyle name="Normal 2 8 4 2 2 2" xfId="2135" xr:uid="{00000000-0005-0000-0000-000010720000}"/>
    <cellStyle name="Normal 2 8 4 2 2 2 2" xfId="3985" xr:uid="{00000000-0005-0000-0000-000011720000}"/>
    <cellStyle name="Normal 2 8 4 2 2 2 2 2" xfId="7706" xr:uid="{00000000-0005-0000-0000-000012720000}"/>
    <cellStyle name="Normal 2 8 4 2 2 2 2 2 2" xfId="22590" xr:uid="{00000000-0005-0000-0000-000013720000}"/>
    <cellStyle name="Normal 2 8 4 2 2 2 2 2 2 2" xfId="45233" xr:uid="{00000000-0005-0000-0000-000014720000}"/>
    <cellStyle name="Normal 2 8 4 2 2 2 2 2 3" xfId="15150" xr:uid="{00000000-0005-0000-0000-000015720000}"/>
    <cellStyle name="Normal 2 8 4 2 2 2 2 2 3 2" xfId="37793" xr:uid="{00000000-0005-0000-0000-000016720000}"/>
    <cellStyle name="Normal 2 8 4 2 2 2 2 2 4" xfId="30352" xr:uid="{00000000-0005-0000-0000-000017720000}"/>
    <cellStyle name="Normal 2 8 4 2 2 2 2 3" xfId="18872" xr:uid="{00000000-0005-0000-0000-000018720000}"/>
    <cellStyle name="Normal 2 8 4 2 2 2 2 3 2" xfId="41515" xr:uid="{00000000-0005-0000-0000-000019720000}"/>
    <cellStyle name="Normal 2 8 4 2 2 2 2 4" xfId="11432" xr:uid="{00000000-0005-0000-0000-00001A720000}"/>
    <cellStyle name="Normal 2 8 4 2 2 2 2 4 2" xfId="34075" xr:uid="{00000000-0005-0000-0000-00001B720000}"/>
    <cellStyle name="Normal 2 8 4 2 2 2 2 5" xfId="26634" xr:uid="{00000000-0005-0000-0000-00001C720000}"/>
    <cellStyle name="Normal 2 8 4 2 2 2 3" xfId="5859" xr:uid="{00000000-0005-0000-0000-00001D720000}"/>
    <cellStyle name="Normal 2 8 4 2 2 2 3 2" xfId="20743" xr:uid="{00000000-0005-0000-0000-00001E720000}"/>
    <cellStyle name="Normal 2 8 4 2 2 2 3 2 2" xfId="43386" xr:uid="{00000000-0005-0000-0000-00001F720000}"/>
    <cellStyle name="Normal 2 8 4 2 2 2 3 3" xfId="13303" xr:uid="{00000000-0005-0000-0000-000020720000}"/>
    <cellStyle name="Normal 2 8 4 2 2 2 3 3 2" xfId="35946" xr:uid="{00000000-0005-0000-0000-000021720000}"/>
    <cellStyle name="Normal 2 8 4 2 2 2 3 4" xfId="28505" xr:uid="{00000000-0005-0000-0000-000022720000}"/>
    <cellStyle name="Normal 2 8 4 2 2 2 4" xfId="17025" xr:uid="{00000000-0005-0000-0000-000023720000}"/>
    <cellStyle name="Normal 2 8 4 2 2 2 4 2" xfId="39668" xr:uid="{00000000-0005-0000-0000-000024720000}"/>
    <cellStyle name="Normal 2 8 4 2 2 2 5" xfId="9585" xr:uid="{00000000-0005-0000-0000-000025720000}"/>
    <cellStyle name="Normal 2 8 4 2 2 2 5 2" xfId="32228" xr:uid="{00000000-0005-0000-0000-000026720000}"/>
    <cellStyle name="Normal 2 8 4 2 2 2 6" xfId="24787" xr:uid="{00000000-0005-0000-0000-000027720000}"/>
    <cellStyle name="Normal 2 8 4 2 2 3" xfId="3060" xr:uid="{00000000-0005-0000-0000-000028720000}"/>
    <cellStyle name="Normal 2 8 4 2 2 3 2" xfId="6781" xr:uid="{00000000-0005-0000-0000-000029720000}"/>
    <cellStyle name="Normal 2 8 4 2 2 3 2 2" xfId="21665" xr:uid="{00000000-0005-0000-0000-00002A720000}"/>
    <cellStyle name="Normal 2 8 4 2 2 3 2 2 2" xfId="44308" xr:uid="{00000000-0005-0000-0000-00002B720000}"/>
    <cellStyle name="Normal 2 8 4 2 2 3 2 3" xfId="14225" xr:uid="{00000000-0005-0000-0000-00002C720000}"/>
    <cellStyle name="Normal 2 8 4 2 2 3 2 3 2" xfId="36868" xr:uid="{00000000-0005-0000-0000-00002D720000}"/>
    <cellStyle name="Normal 2 8 4 2 2 3 2 4" xfId="29427" xr:uid="{00000000-0005-0000-0000-00002E720000}"/>
    <cellStyle name="Normal 2 8 4 2 2 3 3" xfId="17947" xr:uid="{00000000-0005-0000-0000-00002F720000}"/>
    <cellStyle name="Normal 2 8 4 2 2 3 3 2" xfId="40590" xr:uid="{00000000-0005-0000-0000-000030720000}"/>
    <cellStyle name="Normal 2 8 4 2 2 3 4" xfId="10507" xr:uid="{00000000-0005-0000-0000-000031720000}"/>
    <cellStyle name="Normal 2 8 4 2 2 3 4 2" xfId="33150" xr:uid="{00000000-0005-0000-0000-000032720000}"/>
    <cellStyle name="Normal 2 8 4 2 2 3 5" xfId="25709" xr:uid="{00000000-0005-0000-0000-000033720000}"/>
    <cellStyle name="Normal 2 8 4 2 2 4" xfId="4934" xr:uid="{00000000-0005-0000-0000-000034720000}"/>
    <cellStyle name="Normal 2 8 4 2 2 4 2" xfId="19818" xr:uid="{00000000-0005-0000-0000-000035720000}"/>
    <cellStyle name="Normal 2 8 4 2 2 4 2 2" xfId="42461" xr:uid="{00000000-0005-0000-0000-000036720000}"/>
    <cellStyle name="Normal 2 8 4 2 2 4 3" xfId="12378" xr:uid="{00000000-0005-0000-0000-000037720000}"/>
    <cellStyle name="Normal 2 8 4 2 2 4 3 2" xfId="35021" xr:uid="{00000000-0005-0000-0000-000038720000}"/>
    <cellStyle name="Normal 2 8 4 2 2 4 4" xfId="27580" xr:uid="{00000000-0005-0000-0000-000039720000}"/>
    <cellStyle name="Normal 2 8 4 2 2 5" xfId="16100" xr:uid="{00000000-0005-0000-0000-00003A720000}"/>
    <cellStyle name="Normal 2 8 4 2 2 5 2" xfId="38743" xr:uid="{00000000-0005-0000-0000-00003B720000}"/>
    <cellStyle name="Normal 2 8 4 2 2 6" xfId="8660" xr:uid="{00000000-0005-0000-0000-00003C720000}"/>
    <cellStyle name="Normal 2 8 4 2 2 6 2" xfId="31303" xr:uid="{00000000-0005-0000-0000-00003D720000}"/>
    <cellStyle name="Normal 2 8 4 2 2 7" xfId="23862" xr:uid="{00000000-0005-0000-0000-00003E720000}"/>
    <cellStyle name="Normal 2 8 4 2 3" xfId="1673" xr:uid="{00000000-0005-0000-0000-00003F720000}"/>
    <cellStyle name="Normal 2 8 4 2 3 2" xfId="3523" xr:uid="{00000000-0005-0000-0000-000040720000}"/>
    <cellStyle name="Normal 2 8 4 2 3 2 2" xfId="7244" xr:uid="{00000000-0005-0000-0000-000041720000}"/>
    <cellStyle name="Normal 2 8 4 2 3 2 2 2" xfId="22128" xr:uid="{00000000-0005-0000-0000-000042720000}"/>
    <cellStyle name="Normal 2 8 4 2 3 2 2 2 2" xfId="44771" xr:uid="{00000000-0005-0000-0000-000043720000}"/>
    <cellStyle name="Normal 2 8 4 2 3 2 2 3" xfId="14688" xr:uid="{00000000-0005-0000-0000-000044720000}"/>
    <cellStyle name="Normal 2 8 4 2 3 2 2 3 2" xfId="37331" xr:uid="{00000000-0005-0000-0000-000045720000}"/>
    <cellStyle name="Normal 2 8 4 2 3 2 2 4" xfId="29890" xr:uid="{00000000-0005-0000-0000-000046720000}"/>
    <cellStyle name="Normal 2 8 4 2 3 2 3" xfId="18410" xr:uid="{00000000-0005-0000-0000-000047720000}"/>
    <cellStyle name="Normal 2 8 4 2 3 2 3 2" xfId="41053" xr:uid="{00000000-0005-0000-0000-000048720000}"/>
    <cellStyle name="Normal 2 8 4 2 3 2 4" xfId="10970" xr:uid="{00000000-0005-0000-0000-000049720000}"/>
    <cellStyle name="Normal 2 8 4 2 3 2 4 2" xfId="33613" xr:uid="{00000000-0005-0000-0000-00004A720000}"/>
    <cellStyle name="Normal 2 8 4 2 3 2 5" xfId="26172" xr:uid="{00000000-0005-0000-0000-00004B720000}"/>
    <cellStyle name="Normal 2 8 4 2 3 3" xfId="5397" xr:uid="{00000000-0005-0000-0000-00004C720000}"/>
    <cellStyle name="Normal 2 8 4 2 3 3 2" xfId="20281" xr:uid="{00000000-0005-0000-0000-00004D720000}"/>
    <cellStyle name="Normal 2 8 4 2 3 3 2 2" xfId="42924" xr:uid="{00000000-0005-0000-0000-00004E720000}"/>
    <cellStyle name="Normal 2 8 4 2 3 3 3" xfId="12841" xr:uid="{00000000-0005-0000-0000-00004F720000}"/>
    <cellStyle name="Normal 2 8 4 2 3 3 3 2" xfId="35484" xr:uid="{00000000-0005-0000-0000-000050720000}"/>
    <cellStyle name="Normal 2 8 4 2 3 3 4" xfId="28043" xr:uid="{00000000-0005-0000-0000-000051720000}"/>
    <cellStyle name="Normal 2 8 4 2 3 4" xfId="16563" xr:uid="{00000000-0005-0000-0000-000052720000}"/>
    <cellStyle name="Normal 2 8 4 2 3 4 2" xfId="39206" xr:uid="{00000000-0005-0000-0000-000053720000}"/>
    <cellStyle name="Normal 2 8 4 2 3 5" xfId="9123" xr:uid="{00000000-0005-0000-0000-000054720000}"/>
    <cellStyle name="Normal 2 8 4 2 3 5 2" xfId="31766" xr:uid="{00000000-0005-0000-0000-000055720000}"/>
    <cellStyle name="Normal 2 8 4 2 3 6" xfId="24325" xr:uid="{00000000-0005-0000-0000-000056720000}"/>
    <cellStyle name="Normal 2 8 4 2 4" xfId="2598" xr:uid="{00000000-0005-0000-0000-000057720000}"/>
    <cellStyle name="Normal 2 8 4 2 4 2" xfId="6319" xr:uid="{00000000-0005-0000-0000-000058720000}"/>
    <cellStyle name="Normal 2 8 4 2 4 2 2" xfId="21203" xr:uid="{00000000-0005-0000-0000-000059720000}"/>
    <cellStyle name="Normal 2 8 4 2 4 2 2 2" xfId="43846" xr:uid="{00000000-0005-0000-0000-00005A720000}"/>
    <cellStyle name="Normal 2 8 4 2 4 2 3" xfId="13763" xr:uid="{00000000-0005-0000-0000-00005B720000}"/>
    <cellStyle name="Normal 2 8 4 2 4 2 3 2" xfId="36406" xr:uid="{00000000-0005-0000-0000-00005C720000}"/>
    <cellStyle name="Normal 2 8 4 2 4 2 4" xfId="28965" xr:uid="{00000000-0005-0000-0000-00005D720000}"/>
    <cellStyle name="Normal 2 8 4 2 4 3" xfId="17485" xr:uid="{00000000-0005-0000-0000-00005E720000}"/>
    <cellStyle name="Normal 2 8 4 2 4 3 2" xfId="40128" xr:uid="{00000000-0005-0000-0000-00005F720000}"/>
    <cellStyle name="Normal 2 8 4 2 4 4" xfId="10045" xr:uid="{00000000-0005-0000-0000-000060720000}"/>
    <cellStyle name="Normal 2 8 4 2 4 4 2" xfId="32688" xr:uid="{00000000-0005-0000-0000-000061720000}"/>
    <cellStyle name="Normal 2 8 4 2 4 5" xfId="25247" xr:uid="{00000000-0005-0000-0000-000062720000}"/>
    <cellStyle name="Normal 2 8 4 2 5" xfId="4472" xr:uid="{00000000-0005-0000-0000-000063720000}"/>
    <cellStyle name="Normal 2 8 4 2 5 2" xfId="19356" xr:uid="{00000000-0005-0000-0000-000064720000}"/>
    <cellStyle name="Normal 2 8 4 2 5 2 2" xfId="41999" xr:uid="{00000000-0005-0000-0000-000065720000}"/>
    <cellStyle name="Normal 2 8 4 2 5 3" xfId="11916" xr:uid="{00000000-0005-0000-0000-000066720000}"/>
    <cellStyle name="Normal 2 8 4 2 5 3 2" xfId="34559" xr:uid="{00000000-0005-0000-0000-000067720000}"/>
    <cellStyle name="Normal 2 8 4 2 5 4" xfId="27118" xr:uid="{00000000-0005-0000-0000-000068720000}"/>
    <cellStyle name="Normal 2 8 4 2 6" xfId="15638" xr:uid="{00000000-0005-0000-0000-000069720000}"/>
    <cellStyle name="Normal 2 8 4 2 6 2" xfId="38281" xr:uid="{00000000-0005-0000-0000-00006A720000}"/>
    <cellStyle name="Normal 2 8 4 2 7" xfId="8198" xr:uid="{00000000-0005-0000-0000-00006B720000}"/>
    <cellStyle name="Normal 2 8 4 2 7 2" xfId="30841" xr:uid="{00000000-0005-0000-0000-00006C720000}"/>
    <cellStyle name="Normal 2 8 4 2 8" xfId="23400" xr:uid="{00000000-0005-0000-0000-00006D720000}"/>
    <cellStyle name="Normal 2 8 4 3" xfId="996" xr:uid="{00000000-0005-0000-0000-00006E720000}"/>
    <cellStyle name="Normal 2 8 4 3 2" xfId="1924" xr:uid="{00000000-0005-0000-0000-00006F720000}"/>
    <cellStyle name="Normal 2 8 4 3 2 2" xfId="3774" xr:uid="{00000000-0005-0000-0000-000070720000}"/>
    <cellStyle name="Normal 2 8 4 3 2 2 2" xfId="7495" xr:uid="{00000000-0005-0000-0000-000071720000}"/>
    <cellStyle name="Normal 2 8 4 3 2 2 2 2" xfId="22379" xr:uid="{00000000-0005-0000-0000-000072720000}"/>
    <cellStyle name="Normal 2 8 4 3 2 2 2 2 2" xfId="45022" xr:uid="{00000000-0005-0000-0000-000073720000}"/>
    <cellStyle name="Normal 2 8 4 3 2 2 2 3" xfId="14939" xr:uid="{00000000-0005-0000-0000-000074720000}"/>
    <cellStyle name="Normal 2 8 4 3 2 2 2 3 2" xfId="37582" xr:uid="{00000000-0005-0000-0000-000075720000}"/>
    <cellStyle name="Normal 2 8 4 3 2 2 2 4" xfId="30141" xr:uid="{00000000-0005-0000-0000-000076720000}"/>
    <cellStyle name="Normal 2 8 4 3 2 2 3" xfId="18661" xr:uid="{00000000-0005-0000-0000-000077720000}"/>
    <cellStyle name="Normal 2 8 4 3 2 2 3 2" xfId="41304" xr:uid="{00000000-0005-0000-0000-000078720000}"/>
    <cellStyle name="Normal 2 8 4 3 2 2 4" xfId="11221" xr:uid="{00000000-0005-0000-0000-000079720000}"/>
    <cellStyle name="Normal 2 8 4 3 2 2 4 2" xfId="33864" xr:uid="{00000000-0005-0000-0000-00007A720000}"/>
    <cellStyle name="Normal 2 8 4 3 2 2 5" xfId="26423" xr:uid="{00000000-0005-0000-0000-00007B720000}"/>
    <cellStyle name="Normal 2 8 4 3 2 3" xfId="5648" xr:uid="{00000000-0005-0000-0000-00007C720000}"/>
    <cellStyle name="Normal 2 8 4 3 2 3 2" xfId="20532" xr:uid="{00000000-0005-0000-0000-00007D720000}"/>
    <cellStyle name="Normal 2 8 4 3 2 3 2 2" xfId="43175" xr:uid="{00000000-0005-0000-0000-00007E720000}"/>
    <cellStyle name="Normal 2 8 4 3 2 3 3" xfId="13092" xr:uid="{00000000-0005-0000-0000-00007F720000}"/>
    <cellStyle name="Normal 2 8 4 3 2 3 3 2" xfId="35735" xr:uid="{00000000-0005-0000-0000-000080720000}"/>
    <cellStyle name="Normal 2 8 4 3 2 3 4" xfId="28294" xr:uid="{00000000-0005-0000-0000-000081720000}"/>
    <cellStyle name="Normal 2 8 4 3 2 4" xfId="16814" xr:uid="{00000000-0005-0000-0000-000082720000}"/>
    <cellStyle name="Normal 2 8 4 3 2 4 2" xfId="39457" xr:uid="{00000000-0005-0000-0000-000083720000}"/>
    <cellStyle name="Normal 2 8 4 3 2 5" xfId="9374" xr:uid="{00000000-0005-0000-0000-000084720000}"/>
    <cellStyle name="Normal 2 8 4 3 2 5 2" xfId="32017" xr:uid="{00000000-0005-0000-0000-000085720000}"/>
    <cellStyle name="Normal 2 8 4 3 2 6" xfId="24576" xr:uid="{00000000-0005-0000-0000-000086720000}"/>
    <cellStyle name="Normal 2 8 4 3 3" xfId="2849" xr:uid="{00000000-0005-0000-0000-000087720000}"/>
    <cellStyle name="Normal 2 8 4 3 3 2" xfId="6570" xr:uid="{00000000-0005-0000-0000-000088720000}"/>
    <cellStyle name="Normal 2 8 4 3 3 2 2" xfId="21454" xr:uid="{00000000-0005-0000-0000-000089720000}"/>
    <cellStyle name="Normal 2 8 4 3 3 2 2 2" xfId="44097" xr:uid="{00000000-0005-0000-0000-00008A720000}"/>
    <cellStyle name="Normal 2 8 4 3 3 2 3" xfId="14014" xr:uid="{00000000-0005-0000-0000-00008B720000}"/>
    <cellStyle name="Normal 2 8 4 3 3 2 3 2" xfId="36657" xr:uid="{00000000-0005-0000-0000-00008C720000}"/>
    <cellStyle name="Normal 2 8 4 3 3 2 4" xfId="29216" xr:uid="{00000000-0005-0000-0000-00008D720000}"/>
    <cellStyle name="Normal 2 8 4 3 3 3" xfId="17736" xr:uid="{00000000-0005-0000-0000-00008E720000}"/>
    <cellStyle name="Normal 2 8 4 3 3 3 2" xfId="40379" xr:uid="{00000000-0005-0000-0000-00008F720000}"/>
    <cellStyle name="Normal 2 8 4 3 3 4" xfId="10296" xr:uid="{00000000-0005-0000-0000-000090720000}"/>
    <cellStyle name="Normal 2 8 4 3 3 4 2" xfId="32939" xr:uid="{00000000-0005-0000-0000-000091720000}"/>
    <cellStyle name="Normal 2 8 4 3 3 5" xfId="25498" xr:uid="{00000000-0005-0000-0000-000092720000}"/>
    <cellStyle name="Normal 2 8 4 3 4" xfId="4723" xr:uid="{00000000-0005-0000-0000-000093720000}"/>
    <cellStyle name="Normal 2 8 4 3 4 2" xfId="19607" xr:uid="{00000000-0005-0000-0000-000094720000}"/>
    <cellStyle name="Normal 2 8 4 3 4 2 2" xfId="42250" xr:uid="{00000000-0005-0000-0000-000095720000}"/>
    <cellStyle name="Normal 2 8 4 3 4 3" xfId="12167" xr:uid="{00000000-0005-0000-0000-000096720000}"/>
    <cellStyle name="Normal 2 8 4 3 4 3 2" xfId="34810" xr:uid="{00000000-0005-0000-0000-000097720000}"/>
    <cellStyle name="Normal 2 8 4 3 4 4" xfId="27369" xr:uid="{00000000-0005-0000-0000-000098720000}"/>
    <cellStyle name="Normal 2 8 4 3 5" xfId="15889" xr:uid="{00000000-0005-0000-0000-000099720000}"/>
    <cellStyle name="Normal 2 8 4 3 5 2" xfId="38532" xr:uid="{00000000-0005-0000-0000-00009A720000}"/>
    <cellStyle name="Normal 2 8 4 3 6" xfId="8449" xr:uid="{00000000-0005-0000-0000-00009B720000}"/>
    <cellStyle name="Normal 2 8 4 3 6 2" xfId="31092" xr:uid="{00000000-0005-0000-0000-00009C720000}"/>
    <cellStyle name="Normal 2 8 4 3 7" xfId="23651" xr:uid="{00000000-0005-0000-0000-00009D720000}"/>
    <cellStyle name="Normal 2 8 4 4" xfId="1462" xr:uid="{00000000-0005-0000-0000-00009E720000}"/>
    <cellStyle name="Normal 2 8 4 4 2" xfId="3312" xr:uid="{00000000-0005-0000-0000-00009F720000}"/>
    <cellStyle name="Normal 2 8 4 4 2 2" xfId="7033" xr:uid="{00000000-0005-0000-0000-0000A0720000}"/>
    <cellStyle name="Normal 2 8 4 4 2 2 2" xfId="21917" xr:uid="{00000000-0005-0000-0000-0000A1720000}"/>
    <cellStyle name="Normal 2 8 4 4 2 2 2 2" xfId="44560" xr:uid="{00000000-0005-0000-0000-0000A2720000}"/>
    <cellStyle name="Normal 2 8 4 4 2 2 3" xfId="14477" xr:uid="{00000000-0005-0000-0000-0000A3720000}"/>
    <cellStyle name="Normal 2 8 4 4 2 2 3 2" xfId="37120" xr:uid="{00000000-0005-0000-0000-0000A4720000}"/>
    <cellStyle name="Normal 2 8 4 4 2 2 4" xfId="29679" xr:uid="{00000000-0005-0000-0000-0000A5720000}"/>
    <cellStyle name="Normal 2 8 4 4 2 3" xfId="18199" xr:uid="{00000000-0005-0000-0000-0000A6720000}"/>
    <cellStyle name="Normal 2 8 4 4 2 3 2" xfId="40842" xr:uid="{00000000-0005-0000-0000-0000A7720000}"/>
    <cellStyle name="Normal 2 8 4 4 2 4" xfId="10759" xr:uid="{00000000-0005-0000-0000-0000A8720000}"/>
    <cellStyle name="Normal 2 8 4 4 2 4 2" xfId="33402" xr:uid="{00000000-0005-0000-0000-0000A9720000}"/>
    <cellStyle name="Normal 2 8 4 4 2 5" xfId="25961" xr:uid="{00000000-0005-0000-0000-0000AA720000}"/>
    <cellStyle name="Normal 2 8 4 4 3" xfId="5186" xr:uid="{00000000-0005-0000-0000-0000AB720000}"/>
    <cellStyle name="Normal 2 8 4 4 3 2" xfId="20070" xr:uid="{00000000-0005-0000-0000-0000AC720000}"/>
    <cellStyle name="Normal 2 8 4 4 3 2 2" xfId="42713" xr:uid="{00000000-0005-0000-0000-0000AD720000}"/>
    <cellStyle name="Normal 2 8 4 4 3 3" xfId="12630" xr:uid="{00000000-0005-0000-0000-0000AE720000}"/>
    <cellStyle name="Normal 2 8 4 4 3 3 2" xfId="35273" xr:uid="{00000000-0005-0000-0000-0000AF720000}"/>
    <cellStyle name="Normal 2 8 4 4 3 4" xfId="27832" xr:uid="{00000000-0005-0000-0000-0000B0720000}"/>
    <cellStyle name="Normal 2 8 4 4 4" xfId="16352" xr:uid="{00000000-0005-0000-0000-0000B1720000}"/>
    <cellStyle name="Normal 2 8 4 4 4 2" xfId="38995" xr:uid="{00000000-0005-0000-0000-0000B2720000}"/>
    <cellStyle name="Normal 2 8 4 4 5" xfId="8912" xr:uid="{00000000-0005-0000-0000-0000B3720000}"/>
    <cellStyle name="Normal 2 8 4 4 5 2" xfId="31555" xr:uid="{00000000-0005-0000-0000-0000B4720000}"/>
    <cellStyle name="Normal 2 8 4 4 6" xfId="24114" xr:uid="{00000000-0005-0000-0000-0000B5720000}"/>
    <cellStyle name="Normal 2 8 4 5" xfId="2387" xr:uid="{00000000-0005-0000-0000-0000B6720000}"/>
    <cellStyle name="Normal 2 8 4 5 2" xfId="6108" xr:uid="{00000000-0005-0000-0000-0000B7720000}"/>
    <cellStyle name="Normal 2 8 4 5 2 2" xfId="20992" xr:uid="{00000000-0005-0000-0000-0000B8720000}"/>
    <cellStyle name="Normal 2 8 4 5 2 2 2" xfId="43635" xr:uid="{00000000-0005-0000-0000-0000B9720000}"/>
    <cellStyle name="Normal 2 8 4 5 2 3" xfId="13552" xr:uid="{00000000-0005-0000-0000-0000BA720000}"/>
    <cellStyle name="Normal 2 8 4 5 2 3 2" xfId="36195" xr:uid="{00000000-0005-0000-0000-0000BB720000}"/>
    <cellStyle name="Normal 2 8 4 5 2 4" xfId="28754" xr:uid="{00000000-0005-0000-0000-0000BC720000}"/>
    <cellStyle name="Normal 2 8 4 5 3" xfId="17274" xr:uid="{00000000-0005-0000-0000-0000BD720000}"/>
    <cellStyle name="Normal 2 8 4 5 3 2" xfId="39917" xr:uid="{00000000-0005-0000-0000-0000BE720000}"/>
    <cellStyle name="Normal 2 8 4 5 4" xfId="9834" xr:uid="{00000000-0005-0000-0000-0000BF720000}"/>
    <cellStyle name="Normal 2 8 4 5 4 2" xfId="32477" xr:uid="{00000000-0005-0000-0000-0000C0720000}"/>
    <cellStyle name="Normal 2 8 4 5 5" xfId="25036" xr:uid="{00000000-0005-0000-0000-0000C1720000}"/>
    <cellStyle name="Normal 2 8 4 6" xfId="4261" xr:uid="{00000000-0005-0000-0000-0000C2720000}"/>
    <cellStyle name="Normal 2 8 4 6 2" xfId="19145" xr:uid="{00000000-0005-0000-0000-0000C3720000}"/>
    <cellStyle name="Normal 2 8 4 6 2 2" xfId="41788" xr:uid="{00000000-0005-0000-0000-0000C4720000}"/>
    <cellStyle name="Normal 2 8 4 6 3" xfId="11705" xr:uid="{00000000-0005-0000-0000-0000C5720000}"/>
    <cellStyle name="Normal 2 8 4 6 3 2" xfId="34348" xr:uid="{00000000-0005-0000-0000-0000C6720000}"/>
    <cellStyle name="Normal 2 8 4 6 4" xfId="26907" xr:uid="{00000000-0005-0000-0000-0000C7720000}"/>
    <cellStyle name="Normal 2 8 4 7" xfId="15427" xr:uid="{00000000-0005-0000-0000-0000C8720000}"/>
    <cellStyle name="Normal 2 8 4 7 2" xfId="38070" xr:uid="{00000000-0005-0000-0000-0000C9720000}"/>
    <cellStyle name="Normal 2 8 4 8" xfId="7987" xr:uid="{00000000-0005-0000-0000-0000CA720000}"/>
    <cellStyle name="Normal 2 8 4 8 2" xfId="30630" xr:uid="{00000000-0005-0000-0000-0000CB720000}"/>
    <cellStyle name="Normal 2 8 4 9" xfId="23190" xr:uid="{00000000-0005-0000-0000-0000CC720000}"/>
    <cellStyle name="Normal 2 8 5" xfId="636" xr:uid="{00000000-0005-0000-0000-0000CD720000}"/>
    <cellStyle name="Normal 2 8 5 2" xfId="1102" xr:uid="{00000000-0005-0000-0000-0000CE720000}"/>
    <cellStyle name="Normal 2 8 5 2 2" xfId="2030" xr:uid="{00000000-0005-0000-0000-0000CF720000}"/>
    <cellStyle name="Normal 2 8 5 2 2 2" xfId="3880" xr:uid="{00000000-0005-0000-0000-0000D0720000}"/>
    <cellStyle name="Normal 2 8 5 2 2 2 2" xfId="7601" xr:uid="{00000000-0005-0000-0000-0000D1720000}"/>
    <cellStyle name="Normal 2 8 5 2 2 2 2 2" xfId="22485" xr:uid="{00000000-0005-0000-0000-0000D2720000}"/>
    <cellStyle name="Normal 2 8 5 2 2 2 2 2 2" xfId="45128" xr:uid="{00000000-0005-0000-0000-0000D3720000}"/>
    <cellStyle name="Normal 2 8 5 2 2 2 2 3" xfId="15045" xr:uid="{00000000-0005-0000-0000-0000D4720000}"/>
    <cellStyle name="Normal 2 8 5 2 2 2 2 3 2" xfId="37688" xr:uid="{00000000-0005-0000-0000-0000D5720000}"/>
    <cellStyle name="Normal 2 8 5 2 2 2 2 4" xfId="30247" xr:uid="{00000000-0005-0000-0000-0000D6720000}"/>
    <cellStyle name="Normal 2 8 5 2 2 2 3" xfId="18767" xr:uid="{00000000-0005-0000-0000-0000D7720000}"/>
    <cellStyle name="Normal 2 8 5 2 2 2 3 2" xfId="41410" xr:uid="{00000000-0005-0000-0000-0000D8720000}"/>
    <cellStyle name="Normal 2 8 5 2 2 2 4" xfId="11327" xr:uid="{00000000-0005-0000-0000-0000D9720000}"/>
    <cellStyle name="Normal 2 8 5 2 2 2 4 2" xfId="33970" xr:uid="{00000000-0005-0000-0000-0000DA720000}"/>
    <cellStyle name="Normal 2 8 5 2 2 2 5" xfId="26529" xr:uid="{00000000-0005-0000-0000-0000DB720000}"/>
    <cellStyle name="Normal 2 8 5 2 2 3" xfId="5754" xr:uid="{00000000-0005-0000-0000-0000DC720000}"/>
    <cellStyle name="Normal 2 8 5 2 2 3 2" xfId="20638" xr:uid="{00000000-0005-0000-0000-0000DD720000}"/>
    <cellStyle name="Normal 2 8 5 2 2 3 2 2" xfId="43281" xr:uid="{00000000-0005-0000-0000-0000DE720000}"/>
    <cellStyle name="Normal 2 8 5 2 2 3 3" xfId="13198" xr:uid="{00000000-0005-0000-0000-0000DF720000}"/>
    <cellStyle name="Normal 2 8 5 2 2 3 3 2" xfId="35841" xr:uid="{00000000-0005-0000-0000-0000E0720000}"/>
    <cellStyle name="Normal 2 8 5 2 2 3 4" xfId="28400" xr:uid="{00000000-0005-0000-0000-0000E1720000}"/>
    <cellStyle name="Normal 2 8 5 2 2 4" xfId="16920" xr:uid="{00000000-0005-0000-0000-0000E2720000}"/>
    <cellStyle name="Normal 2 8 5 2 2 4 2" xfId="39563" xr:uid="{00000000-0005-0000-0000-0000E3720000}"/>
    <cellStyle name="Normal 2 8 5 2 2 5" xfId="9480" xr:uid="{00000000-0005-0000-0000-0000E4720000}"/>
    <cellStyle name="Normal 2 8 5 2 2 5 2" xfId="32123" xr:uid="{00000000-0005-0000-0000-0000E5720000}"/>
    <cellStyle name="Normal 2 8 5 2 2 6" xfId="24682" xr:uid="{00000000-0005-0000-0000-0000E6720000}"/>
    <cellStyle name="Normal 2 8 5 2 3" xfId="2955" xr:uid="{00000000-0005-0000-0000-0000E7720000}"/>
    <cellStyle name="Normal 2 8 5 2 3 2" xfId="6676" xr:uid="{00000000-0005-0000-0000-0000E8720000}"/>
    <cellStyle name="Normal 2 8 5 2 3 2 2" xfId="21560" xr:uid="{00000000-0005-0000-0000-0000E9720000}"/>
    <cellStyle name="Normal 2 8 5 2 3 2 2 2" xfId="44203" xr:uid="{00000000-0005-0000-0000-0000EA720000}"/>
    <cellStyle name="Normal 2 8 5 2 3 2 3" xfId="14120" xr:uid="{00000000-0005-0000-0000-0000EB720000}"/>
    <cellStyle name="Normal 2 8 5 2 3 2 3 2" xfId="36763" xr:uid="{00000000-0005-0000-0000-0000EC720000}"/>
    <cellStyle name="Normal 2 8 5 2 3 2 4" xfId="29322" xr:uid="{00000000-0005-0000-0000-0000ED720000}"/>
    <cellStyle name="Normal 2 8 5 2 3 3" xfId="17842" xr:uid="{00000000-0005-0000-0000-0000EE720000}"/>
    <cellStyle name="Normal 2 8 5 2 3 3 2" xfId="40485" xr:uid="{00000000-0005-0000-0000-0000EF720000}"/>
    <cellStyle name="Normal 2 8 5 2 3 4" xfId="10402" xr:uid="{00000000-0005-0000-0000-0000F0720000}"/>
    <cellStyle name="Normal 2 8 5 2 3 4 2" xfId="33045" xr:uid="{00000000-0005-0000-0000-0000F1720000}"/>
    <cellStyle name="Normal 2 8 5 2 3 5" xfId="25604" xr:uid="{00000000-0005-0000-0000-0000F2720000}"/>
    <cellStyle name="Normal 2 8 5 2 4" xfId="4829" xr:uid="{00000000-0005-0000-0000-0000F3720000}"/>
    <cellStyle name="Normal 2 8 5 2 4 2" xfId="19713" xr:uid="{00000000-0005-0000-0000-0000F4720000}"/>
    <cellStyle name="Normal 2 8 5 2 4 2 2" xfId="42356" xr:uid="{00000000-0005-0000-0000-0000F5720000}"/>
    <cellStyle name="Normal 2 8 5 2 4 3" xfId="12273" xr:uid="{00000000-0005-0000-0000-0000F6720000}"/>
    <cellStyle name="Normal 2 8 5 2 4 3 2" xfId="34916" xr:uid="{00000000-0005-0000-0000-0000F7720000}"/>
    <cellStyle name="Normal 2 8 5 2 4 4" xfId="27475" xr:uid="{00000000-0005-0000-0000-0000F8720000}"/>
    <cellStyle name="Normal 2 8 5 2 5" xfId="15995" xr:uid="{00000000-0005-0000-0000-0000F9720000}"/>
    <cellStyle name="Normal 2 8 5 2 5 2" xfId="38638" xr:uid="{00000000-0005-0000-0000-0000FA720000}"/>
    <cellStyle name="Normal 2 8 5 2 6" xfId="8555" xr:uid="{00000000-0005-0000-0000-0000FB720000}"/>
    <cellStyle name="Normal 2 8 5 2 6 2" xfId="31198" xr:uid="{00000000-0005-0000-0000-0000FC720000}"/>
    <cellStyle name="Normal 2 8 5 2 7" xfId="23757" xr:uid="{00000000-0005-0000-0000-0000FD720000}"/>
    <cellStyle name="Normal 2 8 5 3" xfId="1568" xr:uid="{00000000-0005-0000-0000-0000FE720000}"/>
    <cellStyle name="Normal 2 8 5 3 2" xfId="3418" xr:uid="{00000000-0005-0000-0000-0000FF720000}"/>
    <cellStyle name="Normal 2 8 5 3 2 2" xfId="7139" xr:uid="{00000000-0005-0000-0000-000000730000}"/>
    <cellStyle name="Normal 2 8 5 3 2 2 2" xfId="22023" xr:uid="{00000000-0005-0000-0000-000001730000}"/>
    <cellStyle name="Normal 2 8 5 3 2 2 2 2" xfId="44666" xr:uid="{00000000-0005-0000-0000-000002730000}"/>
    <cellStyle name="Normal 2 8 5 3 2 2 3" xfId="14583" xr:uid="{00000000-0005-0000-0000-000003730000}"/>
    <cellStyle name="Normal 2 8 5 3 2 2 3 2" xfId="37226" xr:uid="{00000000-0005-0000-0000-000004730000}"/>
    <cellStyle name="Normal 2 8 5 3 2 2 4" xfId="29785" xr:uid="{00000000-0005-0000-0000-000005730000}"/>
    <cellStyle name="Normal 2 8 5 3 2 3" xfId="18305" xr:uid="{00000000-0005-0000-0000-000006730000}"/>
    <cellStyle name="Normal 2 8 5 3 2 3 2" xfId="40948" xr:uid="{00000000-0005-0000-0000-000007730000}"/>
    <cellStyle name="Normal 2 8 5 3 2 4" xfId="10865" xr:uid="{00000000-0005-0000-0000-000008730000}"/>
    <cellStyle name="Normal 2 8 5 3 2 4 2" xfId="33508" xr:uid="{00000000-0005-0000-0000-000009730000}"/>
    <cellStyle name="Normal 2 8 5 3 2 5" xfId="26067" xr:uid="{00000000-0005-0000-0000-00000A730000}"/>
    <cellStyle name="Normal 2 8 5 3 3" xfId="5292" xr:uid="{00000000-0005-0000-0000-00000B730000}"/>
    <cellStyle name="Normal 2 8 5 3 3 2" xfId="20176" xr:uid="{00000000-0005-0000-0000-00000C730000}"/>
    <cellStyle name="Normal 2 8 5 3 3 2 2" xfId="42819" xr:uid="{00000000-0005-0000-0000-00000D730000}"/>
    <cellStyle name="Normal 2 8 5 3 3 3" xfId="12736" xr:uid="{00000000-0005-0000-0000-00000E730000}"/>
    <cellStyle name="Normal 2 8 5 3 3 3 2" xfId="35379" xr:uid="{00000000-0005-0000-0000-00000F730000}"/>
    <cellStyle name="Normal 2 8 5 3 3 4" xfId="27938" xr:uid="{00000000-0005-0000-0000-000010730000}"/>
    <cellStyle name="Normal 2 8 5 3 4" xfId="16458" xr:uid="{00000000-0005-0000-0000-000011730000}"/>
    <cellStyle name="Normal 2 8 5 3 4 2" xfId="39101" xr:uid="{00000000-0005-0000-0000-000012730000}"/>
    <cellStyle name="Normal 2 8 5 3 5" xfId="9018" xr:uid="{00000000-0005-0000-0000-000013730000}"/>
    <cellStyle name="Normal 2 8 5 3 5 2" xfId="31661" xr:uid="{00000000-0005-0000-0000-000014730000}"/>
    <cellStyle name="Normal 2 8 5 3 6" xfId="24220" xr:uid="{00000000-0005-0000-0000-000015730000}"/>
    <cellStyle name="Normal 2 8 5 4" xfId="2493" xr:uid="{00000000-0005-0000-0000-000016730000}"/>
    <cellStyle name="Normal 2 8 5 4 2" xfId="6214" xr:uid="{00000000-0005-0000-0000-000017730000}"/>
    <cellStyle name="Normal 2 8 5 4 2 2" xfId="21098" xr:uid="{00000000-0005-0000-0000-000018730000}"/>
    <cellStyle name="Normal 2 8 5 4 2 2 2" xfId="43741" xr:uid="{00000000-0005-0000-0000-000019730000}"/>
    <cellStyle name="Normal 2 8 5 4 2 3" xfId="13658" xr:uid="{00000000-0005-0000-0000-00001A730000}"/>
    <cellStyle name="Normal 2 8 5 4 2 3 2" xfId="36301" xr:uid="{00000000-0005-0000-0000-00001B730000}"/>
    <cellStyle name="Normal 2 8 5 4 2 4" xfId="28860" xr:uid="{00000000-0005-0000-0000-00001C730000}"/>
    <cellStyle name="Normal 2 8 5 4 3" xfId="17380" xr:uid="{00000000-0005-0000-0000-00001D730000}"/>
    <cellStyle name="Normal 2 8 5 4 3 2" xfId="40023" xr:uid="{00000000-0005-0000-0000-00001E730000}"/>
    <cellStyle name="Normal 2 8 5 4 4" xfId="9940" xr:uid="{00000000-0005-0000-0000-00001F730000}"/>
    <cellStyle name="Normal 2 8 5 4 4 2" xfId="32583" xr:uid="{00000000-0005-0000-0000-000020730000}"/>
    <cellStyle name="Normal 2 8 5 4 5" xfId="25142" xr:uid="{00000000-0005-0000-0000-000021730000}"/>
    <cellStyle name="Normal 2 8 5 5" xfId="4367" xr:uid="{00000000-0005-0000-0000-000022730000}"/>
    <cellStyle name="Normal 2 8 5 5 2" xfId="19251" xr:uid="{00000000-0005-0000-0000-000023730000}"/>
    <cellStyle name="Normal 2 8 5 5 2 2" xfId="41894" xr:uid="{00000000-0005-0000-0000-000024730000}"/>
    <cellStyle name="Normal 2 8 5 5 3" xfId="11811" xr:uid="{00000000-0005-0000-0000-000025730000}"/>
    <cellStyle name="Normal 2 8 5 5 3 2" xfId="34454" xr:uid="{00000000-0005-0000-0000-000026730000}"/>
    <cellStyle name="Normal 2 8 5 5 4" xfId="27013" xr:uid="{00000000-0005-0000-0000-000027730000}"/>
    <cellStyle name="Normal 2 8 5 6" xfId="15533" xr:uid="{00000000-0005-0000-0000-000028730000}"/>
    <cellStyle name="Normal 2 8 5 6 2" xfId="38176" xr:uid="{00000000-0005-0000-0000-000029730000}"/>
    <cellStyle name="Normal 2 8 5 7" xfId="8093" xr:uid="{00000000-0005-0000-0000-00002A730000}"/>
    <cellStyle name="Normal 2 8 5 7 2" xfId="30736" xr:uid="{00000000-0005-0000-0000-00002B730000}"/>
    <cellStyle name="Normal 2 8 5 8" xfId="23295" xr:uid="{00000000-0005-0000-0000-00002C730000}"/>
    <cellStyle name="Normal 2 8 6" xfId="891" xr:uid="{00000000-0005-0000-0000-00002D730000}"/>
    <cellStyle name="Normal 2 8 6 2" xfId="1819" xr:uid="{00000000-0005-0000-0000-00002E730000}"/>
    <cellStyle name="Normal 2 8 6 2 2" xfId="3669" xr:uid="{00000000-0005-0000-0000-00002F730000}"/>
    <cellStyle name="Normal 2 8 6 2 2 2" xfId="7390" xr:uid="{00000000-0005-0000-0000-000030730000}"/>
    <cellStyle name="Normal 2 8 6 2 2 2 2" xfId="22274" xr:uid="{00000000-0005-0000-0000-000031730000}"/>
    <cellStyle name="Normal 2 8 6 2 2 2 2 2" xfId="44917" xr:uid="{00000000-0005-0000-0000-000032730000}"/>
    <cellStyle name="Normal 2 8 6 2 2 2 3" xfId="14834" xr:uid="{00000000-0005-0000-0000-000033730000}"/>
    <cellStyle name="Normal 2 8 6 2 2 2 3 2" xfId="37477" xr:uid="{00000000-0005-0000-0000-000034730000}"/>
    <cellStyle name="Normal 2 8 6 2 2 2 4" xfId="30036" xr:uid="{00000000-0005-0000-0000-000035730000}"/>
    <cellStyle name="Normal 2 8 6 2 2 3" xfId="18556" xr:uid="{00000000-0005-0000-0000-000036730000}"/>
    <cellStyle name="Normal 2 8 6 2 2 3 2" xfId="41199" xr:uid="{00000000-0005-0000-0000-000037730000}"/>
    <cellStyle name="Normal 2 8 6 2 2 4" xfId="11116" xr:uid="{00000000-0005-0000-0000-000038730000}"/>
    <cellStyle name="Normal 2 8 6 2 2 4 2" xfId="33759" xr:uid="{00000000-0005-0000-0000-000039730000}"/>
    <cellStyle name="Normal 2 8 6 2 2 5" xfId="26318" xr:uid="{00000000-0005-0000-0000-00003A730000}"/>
    <cellStyle name="Normal 2 8 6 2 3" xfId="5543" xr:uid="{00000000-0005-0000-0000-00003B730000}"/>
    <cellStyle name="Normal 2 8 6 2 3 2" xfId="20427" xr:uid="{00000000-0005-0000-0000-00003C730000}"/>
    <cellStyle name="Normal 2 8 6 2 3 2 2" xfId="43070" xr:uid="{00000000-0005-0000-0000-00003D730000}"/>
    <cellStyle name="Normal 2 8 6 2 3 3" xfId="12987" xr:uid="{00000000-0005-0000-0000-00003E730000}"/>
    <cellStyle name="Normal 2 8 6 2 3 3 2" xfId="35630" xr:uid="{00000000-0005-0000-0000-00003F730000}"/>
    <cellStyle name="Normal 2 8 6 2 3 4" xfId="28189" xr:uid="{00000000-0005-0000-0000-000040730000}"/>
    <cellStyle name="Normal 2 8 6 2 4" xfId="16709" xr:uid="{00000000-0005-0000-0000-000041730000}"/>
    <cellStyle name="Normal 2 8 6 2 4 2" xfId="39352" xr:uid="{00000000-0005-0000-0000-000042730000}"/>
    <cellStyle name="Normal 2 8 6 2 5" xfId="9269" xr:uid="{00000000-0005-0000-0000-000043730000}"/>
    <cellStyle name="Normal 2 8 6 2 5 2" xfId="31912" xr:uid="{00000000-0005-0000-0000-000044730000}"/>
    <cellStyle name="Normal 2 8 6 2 6" xfId="24471" xr:uid="{00000000-0005-0000-0000-000045730000}"/>
    <cellStyle name="Normal 2 8 6 3" xfId="2744" xr:uid="{00000000-0005-0000-0000-000046730000}"/>
    <cellStyle name="Normal 2 8 6 3 2" xfId="6465" xr:uid="{00000000-0005-0000-0000-000047730000}"/>
    <cellStyle name="Normal 2 8 6 3 2 2" xfId="21349" xr:uid="{00000000-0005-0000-0000-000048730000}"/>
    <cellStyle name="Normal 2 8 6 3 2 2 2" xfId="43992" xr:uid="{00000000-0005-0000-0000-000049730000}"/>
    <cellStyle name="Normal 2 8 6 3 2 3" xfId="13909" xr:uid="{00000000-0005-0000-0000-00004A730000}"/>
    <cellStyle name="Normal 2 8 6 3 2 3 2" xfId="36552" xr:uid="{00000000-0005-0000-0000-00004B730000}"/>
    <cellStyle name="Normal 2 8 6 3 2 4" xfId="29111" xr:uid="{00000000-0005-0000-0000-00004C730000}"/>
    <cellStyle name="Normal 2 8 6 3 3" xfId="17631" xr:uid="{00000000-0005-0000-0000-00004D730000}"/>
    <cellStyle name="Normal 2 8 6 3 3 2" xfId="40274" xr:uid="{00000000-0005-0000-0000-00004E730000}"/>
    <cellStyle name="Normal 2 8 6 3 4" xfId="10191" xr:uid="{00000000-0005-0000-0000-00004F730000}"/>
    <cellStyle name="Normal 2 8 6 3 4 2" xfId="32834" xr:uid="{00000000-0005-0000-0000-000050730000}"/>
    <cellStyle name="Normal 2 8 6 3 5" xfId="25393" xr:uid="{00000000-0005-0000-0000-000051730000}"/>
    <cellStyle name="Normal 2 8 6 4" xfId="4618" xr:uid="{00000000-0005-0000-0000-000052730000}"/>
    <cellStyle name="Normal 2 8 6 4 2" xfId="19502" xr:uid="{00000000-0005-0000-0000-000053730000}"/>
    <cellStyle name="Normal 2 8 6 4 2 2" xfId="42145" xr:uid="{00000000-0005-0000-0000-000054730000}"/>
    <cellStyle name="Normal 2 8 6 4 3" xfId="12062" xr:uid="{00000000-0005-0000-0000-000055730000}"/>
    <cellStyle name="Normal 2 8 6 4 3 2" xfId="34705" xr:uid="{00000000-0005-0000-0000-000056730000}"/>
    <cellStyle name="Normal 2 8 6 4 4" xfId="27264" xr:uid="{00000000-0005-0000-0000-000057730000}"/>
    <cellStyle name="Normal 2 8 6 5" xfId="15784" xr:uid="{00000000-0005-0000-0000-000058730000}"/>
    <cellStyle name="Normal 2 8 6 5 2" xfId="38427" xr:uid="{00000000-0005-0000-0000-000059730000}"/>
    <cellStyle name="Normal 2 8 6 6" xfId="8344" xr:uid="{00000000-0005-0000-0000-00005A730000}"/>
    <cellStyle name="Normal 2 8 6 6 2" xfId="30987" xr:uid="{00000000-0005-0000-0000-00005B730000}"/>
    <cellStyle name="Normal 2 8 6 7" xfId="23546" xr:uid="{00000000-0005-0000-0000-00005C730000}"/>
    <cellStyle name="Normal 2 8 7" xfId="1357" xr:uid="{00000000-0005-0000-0000-00005D730000}"/>
    <cellStyle name="Normal 2 8 7 2" xfId="3207" xr:uid="{00000000-0005-0000-0000-00005E730000}"/>
    <cellStyle name="Normal 2 8 7 2 2" xfId="6928" xr:uid="{00000000-0005-0000-0000-00005F730000}"/>
    <cellStyle name="Normal 2 8 7 2 2 2" xfId="21812" xr:uid="{00000000-0005-0000-0000-000060730000}"/>
    <cellStyle name="Normal 2 8 7 2 2 2 2" xfId="44455" xr:uid="{00000000-0005-0000-0000-000061730000}"/>
    <cellStyle name="Normal 2 8 7 2 2 3" xfId="14372" xr:uid="{00000000-0005-0000-0000-000062730000}"/>
    <cellStyle name="Normal 2 8 7 2 2 3 2" xfId="37015" xr:uid="{00000000-0005-0000-0000-000063730000}"/>
    <cellStyle name="Normal 2 8 7 2 2 4" xfId="29574" xr:uid="{00000000-0005-0000-0000-000064730000}"/>
    <cellStyle name="Normal 2 8 7 2 3" xfId="18094" xr:uid="{00000000-0005-0000-0000-000065730000}"/>
    <cellStyle name="Normal 2 8 7 2 3 2" xfId="40737" xr:uid="{00000000-0005-0000-0000-000066730000}"/>
    <cellStyle name="Normal 2 8 7 2 4" xfId="10654" xr:uid="{00000000-0005-0000-0000-000067730000}"/>
    <cellStyle name="Normal 2 8 7 2 4 2" xfId="33297" xr:uid="{00000000-0005-0000-0000-000068730000}"/>
    <cellStyle name="Normal 2 8 7 2 5" xfId="25856" xr:uid="{00000000-0005-0000-0000-000069730000}"/>
    <cellStyle name="Normal 2 8 7 3" xfId="5081" xr:uid="{00000000-0005-0000-0000-00006A730000}"/>
    <cellStyle name="Normal 2 8 7 3 2" xfId="19965" xr:uid="{00000000-0005-0000-0000-00006B730000}"/>
    <cellStyle name="Normal 2 8 7 3 2 2" xfId="42608" xr:uid="{00000000-0005-0000-0000-00006C730000}"/>
    <cellStyle name="Normal 2 8 7 3 3" xfId="12525" xr:uid="{00000000-0005-0000-0000-00006D730000}"/>
    <cellStyle name="Normal 2 8 7 3 3 2" xfId="35168" xr:uid="{00000000-0005-0000-0000-00006E730000}"/>
    <cellStyle name="Normal 2 8 7 3 4" xfId="27727" xr:uid="{00000000-0005-0000-0000-00006F730000}"/>
    <cellStyle name="Normal 2 8 7 4" xfId="16247" xr:uid="{00000000-0005-0000-0000-000070730000}"/>
    <cellStyle name="Normal 2 8 7 4 2" xfId="38890" xr:uid="{00000000-0005-0000-0000-000071730000}"/>
    <cellStyle name="Normal 2 8 7 5" xfId="8807" xr:uid="{00000000-0005-0000-0000-000072730000}"/>
    <cellStyle name="Normal 2 8 7 5 2" xfId="31450" xr:uid="{00000000-0005-0000-0000-000073730000}"/>
    <cellStyle name="Normal 2 8 7 6" xfId="24009" xr:uid="{00000000-0005-0000-0000-000074730000}"/>
    <cellStyle name="Normal 2 8 8" xfId="2282" xr:uid="{00000000-0005-0000-0000-000075730000}"/>
    <cellStyle name="Normal 2 8 8 2" xfId="6003" xr:uid="{00000000-0005-0000-0000-000076730000}"/>
    <cellStyle name="Normal 2 8 8 2 2" xfId="20887" xr:uid="{00000000-0005-0000-0000-000077730000}"/>
    <cellStyle name="Normal 2 8 8 2 2 2" xfId="43530" xr:uid="{00000000-0005-0000-0000-000078730000}"/>
    <cellStyle name="Normal 2 8 8 2 3" xfId="13447" xr:uid="{00000000-0005-0000-0000-000079730000}"/>
    <cellStyle name="Normal 2 8 8 2 3 2" xfId="36090" xr:uid="{00000000-0005-0000-0000-00007A730000}"/>
    <cellStyle name="Normal 2 8 8 2 4" xfId="28649" xr:uid="{00000000-0005-0000-0000-00007B730000}"/>
    <cellStyle name="Normal 2 8 8 3" xfId="17169" xr:uid="{00000000-0005-0000-0000-00007C730000}"/>
    <cellStyle name="Normal 2 8 8 3 2" xfId="39812" xr:uid="{00000000-0005-0000-0000-00007D730000}"/>
    <cellStyle name="Normal 2 8 8 4" xfId="9729" xr:uid="{00000000-0005-0000-0000-00007E730000}"/>
    <cellStyle name="Normal 2 8 8 4 2" xfId="32372" xr:uid="{00000000-0005-0000-0000-00007F730000}"/>
    <cellStyle name="Normal 2 8 8 5" xfId="24931" xr:uid="{00000000-0005-0000-0000-000080730000}"/>
    <cellStyle name="Normal 2 8 9" xfId="4156" xr:uid="{00000000-0005-0000-0000-000081730000}"/>
    <cellStyle name="Normal 2 8 9 2" xfId="19040" xr:uid="{00000000-0005-0000-0000-000082730000}"/>
    <cellStyle name="Normal 2 8 9 2 2" xfId="41683" xr:uid="{00000000-0005-0000-0000-000083730000}"/>
    <cellStyle name="Normal 2 8 9 3" xfId="11600" xr:uid="{00000000-0005-0000-0000-000084730000}"/>
    <cellStyle name="Normal 2 8 9 3 2" xfId="34243" xr:uid="{00000000-0005-0000-0000-000085730000}"/>
    <cellStyle name="Normal 2 8 9 4" xfId="26802" xr:uid="{00000000-0005-0000-0000-000086730000}"/>
    <cellStyle name="Normal 2 9" xfId="413" xr:uid="{00000000-0005-0000-0000-000087730000}"/>
    <cellStyle name="Normal 2 9 10" xfId="15323" xr:uid="{00000000-0005-0000-0000-000088730000}"/>
    <cellStyle name="Normal 2 9 10 2" xfId="37966" xr:uid="{00000000-0005-0000-0000-000089730000}"/>
    <cellStyle name="Normal 2 9 11" xfId="7883" xr:uid="{00000000-0005-0000-0000-00008A730000}"/>
    <cellStyle name="Normal 2 9 11 2" xfId="30526" xr:uid="{00000000-0005-0000-0000-00008B730000}"/>
    <cellStyle name="Normal 2 9 12" xfId="23086" xr:uid="{00000000-0005-0000-0000-00008C730000}"/>
    <cellStyle name="Normal 2 9 2" xfId="444" xr:uid="{00000000-0005-0000-0000-00008D730000}"/>
    <cellStyle name="Normal 2 9 2 10" xfId="7903" xr:uid="{00000000-0005-0000-0000-00008E730000}"/>
    <cellStyle name="Normal 2 9 2 10 2" xfId="30546" xr:uid="{00000000-0005-0000-0000-00008F730000}"/>
    <cellStyle name="Normal 2 9 2 11" xfId="23106" xr:uid="{00000000-0005-0000-0000-000090730000}"/>
    <cellStyle name="Normal 2 9 2 2" xfId="497" xr:uid="{00000000-0005-0000-0000-000091730000}"/>
    <cellStyle name="Normal 2 9 2 2 10" xfId="23158" xr:uid="{00000000-0005-0000-0000-000092730000}"/>
    <cellStyle name="Normal 2 9 2 2 2" xfId="603" xr:uid="{00000000-0005-0000-0000-000093730000}"/>
    <cellStyle name="Normal 2 9 2 2 2 2" xfId="815" xr:uid="{00000000-0005-0000-0000-000094730000}"/>
    <cellStyle name="Normal 2 9 2 2 2 2 2" xfId="1280" xr:uid="{00000000-0005-0000-0000-000095730000}"/>
    <cellStyle name="Normal 2 9 2 2 2 2 2 2" xfId="2208" xr:uid="{00000000-0005-0000-0000-000096730000}"/>
    <cellStyle name="Normal 2 9 2 2 2 2 2 2 2" xfId="4058" xr:uid="{00000000-0005-0000-0000-000097730000}"/>
    <cellStyle name="Normal 2 9 2 2 2 2 2 2 2 2" xfId="7779" xr:uid="{00000000-0005-0000-0000-000098730000}"/>
    <cellStyle name="Normal 2 9 2 2 2 2 2 2 2 2 2" xfId="22663" xr:uid="{00000000-0005-0000-0000-000099730000}"/>
    <cellStyle name="Normal 2 9 2 2 2 2 2 2 2 2 2 2" xfId="45306" xr:uid="{00000000-0005-0000-0000-00009A730000}"/>
    <cellStyle name="Normal 2 9 2 2 2 2 2 2 2 2 3" xfId="15223" xr:uid="{00000000-0005-0000-0000-00009B730000}"/>
    <cellStyle name="Normal 2 9 2 2 2 2 2 2 2 2 3 2" xfId="37866" xr:uid="{00000000-0005-0000-0000-00009C730000}"/>
    <cellStyle name="Normal 2 9 2 2 2 2 2 2 2 2 4" xfId="30425" xr:uid="{00000000-0005-0000-0000-00009D730000}"/>
    <cellStyle name="Normal 2 9 2 2 2 2 2 2 2 3" xfId="18945" xr:uid="{00000000-0005-0000-0000-00009E730000}"/>
    <cellStyle name="Normal 2 9 2 2 2 2 2 2 2 3 2" xfId="41588" xr:uid="{00000000-0005-0000-0000-00009F730000}"/>
    <cellStyle name="Normal 2 9 2 2 2 2 2 2 2 4" xfId="11505" xr:uid="{00000000-0005-0000-0000-0000A0730000}"/>
    <cellStyle name="Normal 2 9 2 2 2 2 2 2 2 4 2" xfId="34148" xr:uid="{00000000-0005-0000-0000-0000A1730000}"/>
    <cellStyle name="Normal 2 9 2 2 2 2 2 2 2 5" xfId="26707" xr:uid="{00000000-0005-0000-0000-0000A2730000}"/>
    <cellStyle name="Normal 2 9 2 2 2 2 2 2 3" xfId="5932" xr:uid="{00000000-0005-0000-0000-0000A3730000}"/>
    <cellStyle name="Normal 2 9 2 2 2 2 2 2 3 2" xfId="20816" xr:uid="{00000000-0005-0000-0000-0000A4730000}"/>
    <cellStyle name="Normal 2 9 2 2 2 2 2 2 3 2 2" xfId="43459" xr:uid="{00000000-0005-0000-0000-0000A5730000}"/>
    <cellStyle name="Normal 2 9 2 2 2 2 2 2 3 3" xfId="13376" xr:uid="{00000000-0005-0000-0000-0000A6730000}"/>
    <cellStyle name="Normal 2 9 2 2 2 2 2 2 3 3 2" xfId="36019" xr:uid="{00000000-0005-0000-0000-0000A7730000}"/>
    <cellStyle name="Normal 2 9 2 2 2 2 2 2 3 4" xfId="28578" xr:uid="{00000000-0005-0000-0000-0000A8730000}"/>
    <cellStyle name="Normal 2 9 2 2 2 2 2 2 4" xfId="17098" xr:uid="{00000000-0005-0000-0000-0000A9730000}"/>
    <cellStyle name="Normal 2 9 2 2 2 2 2 2 4 2" xfId="39741" xr:uid="{00000000-0005-0000-0000-0000AA730000}"/>
    <cellStyle name="Normal 2 9 2 2 2 2 2 2 5" xfId="9658" xr:uid="{00000000-0005-0000-0000-0000AB730000}"/>
    <cellStyle name="Normal 2 9 2 2 2 2 2 2 5 2" xfId="32301" xr:uid="{00000000-0005-0000-0000-0000AC730000}"/>
    <cellStyle name="Normal 2 9 2 2 2 2 2 2 6" xfId="24860" xr:uid="{00000000-0005-0000-0000-0000AD730000}"/>
    <cellStyle name="Normal 2 9 2 2 2 2 2 3" xfId="3133" xr:uid="{00000000-0005-0000-0000-0000AE730000}"/>
    <cellStyle name="Normal 2 9 2 2 2 2 2 3 2" xfId="6854" xr:uid="{00000000-0005-0000-0000-0000AF730000}"/>
    <cellStyle name="Normal 2 9 2 2 2 2 2 3 2 2" xfId="21738" xr:uid="{00000000-0005-0000-0000-0000B0730000}"/>
    <cellStyle name="Normal 2 9 2 2 2 2 2 3 2 2 2" xfId="44381" xr:uid="{00000000-0005-0000-0000-0000B1730000}"/>
    <cellStyle name="Normal 2 9 2 2 2 2 2 3 2 3" xfId="14298" xr:uid="{00000000-0005-0000-0000-0000B2730000}"/>
    <cellStyle name="Normal 2 9 2 2 2 2 2 3 2 3 2" xfId="36941" xr:uid="{00000000-0005-0000-0000-0000B3730000}"/>
    <cellStyle name="Normal 2 9 2 2 2 2 2 3 2 4" xfId="29500" xr:uid="{00000000-0005-0000-0000-0000B4730000}"/>
    <cellStyle name="Normal 2 9 2 2 2 2 2 3 3" xfId="18020" xr:uid="{00000000-0005-0000-0000-0000B5730000}"/>
    <cellStyle name="Normal 2 9 2 2 2 2 2 3 3 2" xfId="40663" xr:uid="{00000000-0005-0000-0000-0000B6730000}"/>
    <cellStyle name="Normal 2 9 2 2 2 2 2 3 4" xfId="10580" xr:uid="{00000000-0005-0000-0000-0000B7730000}"/>
    <cellStyle name="Normal 2 9 2 2 2 2 2 3 4 2" xfId="33223" xr:uid="{00000000-0005-0000-0000-0000B8730000}"/>
    <cellStyle name="Normal 2 9 2 2 2 2 2 3 5" xfId="25782" xr:uid="{00000000-0005-0000-0000-0000B9730000}"/>
    <cellStyle name="Normal 2 9 2 2 2 2 2 4" xfId="5007" xr:uid="{00000000-0005-0000-0000-0000BA730000}"/>
    <cellStyle name="Normal 2 9 2 2 2 2 2 4 2" xfId="19891" xr:uid="{00000000-0005-0000-0000-0000BB730000}"/>
    <cellStyle name="Normal 2 9 2 2 2 2 2 4 2 2" xfId="42534" xr:uid="{00000000-0005-0000-0000-0000BC730000}"/>
    <cellStyle name="Normal 2 9 2 2 2 2 2 4 3" xfId="12451" xr:uid="{00000000-0005-0000-0000-0000BD730000}"/>
    <cellStyle name="Normal 2 9 2 2 2 2 2 4 3 2" xfId="35094" xr:uid="{00000000-0005-0000-0000-0000BE730000}"/>
    <cellStyle name="Normal 2 9 2 2 2 2 2 4 4" xfId="27653" xr:uid="{00000000-0005-0000-0000-0000BF730000}"/>
    <cellStyle name="Normal 2 9 2 2 2 2 2 5" xfId="16173" xr:uid="{00000000-0005-0000-0000-0000C0730000}"/>
    <cellStyle name="Normal 2 9 2 2 2 2 2 5 2" xfId="38816" xr:uid="{00000000-0005-0000-0000-0000C1730000}"/>
    <cellStyle name="Normal 2 9 2 2 2 2 2 6" xfId="8733" xr:uid="{00000000-0005-0000-0000-0000C2730000}"/>
    <cellStyle name="Normal 2 9 2 2 2 2 2 6 2" xfId="31376" xr:uid="{00000000-0005-0000-0000-0000C3730000}"/>
    <cellStyle name="Normal 2 9 2 2 2 2 2 7" xfId="23935" xr:uid="{00000000-0005-0000-0000-0000C4730000}"/>
    <cellStyle name="Normal 2 9 2 2 2 2 3" xfId="1746" xr:uid="{00000000-0005-0000-0000-0000C5730000}"/>
    <cellStyle name="Normal 2 9 2 2 2 2 3 2" xfId="3596" xr:uid="{00000000-0005-0000-0000-0000C6730000}"/>
    <cellStyle name="Normal 2 9 2 2 2 2 3 2 2" xfId="7317" xr:uid="{00000000-0005-0000-0000-0000C7730000}"/>
    <cellStyle name="Normal 2 9 2 2 2 2 3 2 2 2" xfId="22201" xr:uid="{00000000-0005-0000-0000-0000C8730000}"/>
    <cellStyle name="Normal 2 9 2 2 2 2 3 2 2 2 2" xfId="44844" xr:uid="{00000000-0005-0000-0000-0000C9730000}"/>
    <cellStyle name="Normal 2 9 2 2 2 2 3 2 2 3" xfId="14761" xr:uid="{00000000-0005-0000-0000-0000CA730000}"/>
    <cellStyle name="Normal 2 9 2 2 2 2 3 2 2 3 2" xfId="37404" xr:uid="{00000000-0005-0000-0000-0000CB730000}"/>
    <cellStyle name="Normal 2 9 2 2 2 2 3 2 2 4" xfId="29963" xr:uid="{00000000-0005-0000-0000-0000CC730000}"/>
    <cellStyle name="Normal 2 9 2 2 2 2 3 2 3" xfId="18483" xr:uid="{00000000-0005-0000-0000-0000CD730000}"/>
    <cellStyle name="Normal 2 9 2 2 2 2 3 2 3 2" xfId="41126" xr:uid="{00000000-0005-0000-0000-0000CE730000}"/>
    <cellStyle name="Normal 2 9 2 2 2 2 3 2 4" xfId="11043" xr:uid="{00000000-0005-0000-0000-0000CF730000}"/>
    <cellStyle name="Normal 2 9 2 2 2 2 3 2 4 2" xfId="33686" xr:uid="{00000000-0005-0000-0000-0000D0730000}"/>
    <cellStyle name="Normal 2 9 2 2 2 2 3 2 5" xfId="26245" xr:uid="{00000000-0005-0000-0000-0000D1730000}"/>
    <cellStyle name="Normal 2 9 2 2 2 2 3 3" xfId="5470" xr:uid="{00000000-0005-0000-0000-0000D2730000}"/>
    <cellStyle name="Normal 2 9 2 2 2 2 3 3 2" xfId="20354" xr:uid="{00000000-0005-0000-0000-0000D3730000}"/>
    <cellStyle name="Normal 2 9 2 2 2 2 3 3 2 2" xfId="42997" xr:uid="{00000000-0005-0000-0000-0000D4730000}"/>
    <cellStyle name="Normal 2 9 2 2 2 2 3 3 3" xfId="12914" xr:uid="{00000000-0005-0000-0000-0000D5730000}"/>
    <cellStyle name="Normal 2 9 2 2 2 2 3 3 3 2" xfId="35557" xr:uid="{00000000-0005-0000-0000-0000D6730000}"/>
    <cellStyle name="Normal 2 9 2 2 2 2 3 3 4" xfId="28116" xr:uid="{00000000-0005-0000-0000-0000D7730000}"/>
    <cellStyle name="Normal 2 9 2 2 2 2 3 4" xfId="16636" xr:uid="{00000000-0005-0000-0000-0000D8730000}"/>
    <cellStyle name="Normal 2 9 2 2 2 2 3 4 2" xfId="39279" xr:uid="{00000000-0005-0000-0000-0000D9730000}"/>
    <cellStyle name="Normal 2 9 2 2 2 2 3 5" xfId="9196" xr:uid="{00000000-0005-0000-0000-0000DA730000}"/>
    <cellStyle name="Normal 2 9 2 2 2 2 3 5 2" xfId="31839" xr:uid="{00000000-0005-0000-0000-0000DB730000}"/>
    <cellStyle name="Normal 2 9 2 2 2 2 3 6" xfId="24398" xr:uid="{00000000-0005-0000-0000-0000DC730000}"/>
    <cellStyle name="Normal 2 9 2 2 2 2 4" xfId="2671" xr:uid="{00000000-0005-0000-0000-0000DD730000}"/>
    <cellStyle name="Normal 2 9 2 2 2 2 4 2" xfId="6392" xr:uid="{00000000-0005-0000-0000-0000DE730000}"/>
    <cellStyle name="Normal 2 9 2 2 2 2 4 2 2" xfId="21276" xr:uid="{00000000-0005-0000-0000-0000DF730000}"/>
    <cellStyle name="Normal 2 9 2 2 2 2 4 2 2 2" xfId="43919" xr:uid="{00000000-0005-0000-0000-0000E0730000}"/>
    <cellStyle name="Normal 2 9 2 2 2 2 4 2 3" xfId="13836" xr:uid="{00000000-0005-0000-0000-0000E1730000}"/>
    <cellStyle name="Normal 2 9 2 2 2 2 4 2 3 2" xfId="36479" xr:uid="{00000000-0005-0000-0000-0000E2730000}"/>
    <cellStyle name="Normal 2 9 2 2 2 2 4 2 4" xfId="29038" xr:uid="{00000000-0005-0000-0000-0000E3730000}"/>
    <cellStyle name="Normal 2 9 2 2 2 2 4 3" xfId="17558" xr:uid="{00000000-0005-0000-0000-0000E4730000}"/>
    <cellStyle name="Normal 2 9 2 2 2 2 4 3 2" xfId="40201" xr:uid="{00000000-0005-0000-0000-0000E5730000}"/>
    <cellStyle name="Normal 2 9 2 2 2 2 4 4" xfId="10118" xr:uid="{00000000-0005-0000-0000-0000E6730000}"/>
    <cellStyle name="Normal 2 9 2 2 2 2 4 4 2" xfId="32761" xr:uid="{00000000-0005-0000-0000-0000E7730000}"/>
    <cellStyle name="Normal 2 9 2 2 2 2 4 5" xfId="25320" xr:uid="{00000000-0005-0000-0000-0000E8730000}"/>
    <cellStyle name="Normal 2 9 2 2 2 2 5" xfId="4545" xr:uid="{00000000-0005-0000-0000-0000E9730000}"/>
    <cellStyle name="Normal 2 9 2 2 2 2 5 2" xfId="19429" xr:uid="{00000000-0005-0000-0000-0000EA730000}"/>
    <cellStyle name="Normal 2 9 2 2 2 2 5 2 2" xfId="42072" xr:uid="{00000000-0005-0000-0000-0000EB730000}"/>
    <cellStyle name="Normal 2 9 2 2 2 2 5 3" xfId="11989" xr:uid="{00000000-0005-0000-0000-0000EC730000}"/>
    <cellStyle name="Normal 2 9 2 2 2 2 5 3 2" xfId="34632" xr:uid="{00000000-0005-0000-0000-0000ED730000}"/>
    <cellStyle name="Normal 2 9 2 2 2 2 5 4" xfId="27191" xr:uid="{00000000-0005-0000-0000-0000EE730000}"/>
    <cellStyle name="Normal 2 9 2 2 2 2 6" xfId="15711" xr:uid="{00000000-0005-0000-0000-0000EF730000}"/>
    <cellStyle name="Normal 2 9 2 2 2 2 6 2" xfId="38354" xr:uid="{00000000-0005-0000-0000-0000F0730000}"/>
    <cellStyle name="Normal 2 9 2 2 2 2 7" xfId="8271" xr:uid="{00000000-0005-0000-0000-0000F1730000}"/>
    <cellStyle name="Normal 2 9 2 2 2 2 7 2" xfId="30914" xr:uid="{00000000-0005-0000-0000-0000F2730000}"/>
    <cellStyle name="Normal 2 9 2 2 2 2 8" xfId="23473" xr:uid="{00000000-0005-0000-0000-0000F3730000}"/>
    <cellStyle name="Normal 2 9 2 2 2 3" xfId="1069" xr:uid="{00000000-0005-0000-0000-0000F4730000}"/>
    <cellStyle name="Normal 2 9 2 2 2 3 2" xfId="1997" xr:uid="{00000000-0005-0000-0000-0000F5730000}"/>
    <cellStyle name="Normal 2 9 2 2 2 3 2 2" xfId="3847" xr:uid="{00000000-0005-0000-0000-0000F6730000}"/>
    <cellStyle name="Normal 2 9 2 2 2 3 2 2 2" xfId="7568" xr:uid="{00000000-0005-0000-0000-0000F7730000}"/>
    <cellStyle name="Normal 2 9 2 2 2 3 2 2 2 2" xfId="22452" xr:uid="{00000000-0005-0000-0000-0000F8730000}"/>
    <cellStyle name="Normal 2 9 2 2 2 3 2 2 2 2 2" xfId="45095" xr:uid="{00000000-0005-0000-0000-0000F9730000}"/>
    <cellStyle name="Normal 2 9 2 2 2 3 2 2 2 3" xfId="15012" xr:uid="{00000000-0005-0000-0000-0000FA730000}"/>
    <cellStyle name="Normal 2 9 2 2 2 3 2 2 2 3 2" xfId="37655" xr:uid="{00000000-0005-0000-0000-0000FB730000}"/>
    <cellStyle name="Normal 2 9 2 2 2 3 2 2 2 4" xfId="30214" xr:uid="{00000000-0005-0000-0000-0000FC730000}"/>
    <cellStyle name="Normal 2 9 2 2 2 3 2 2 3" xfId="18734" xr:uid="{00000000-0005-0000-0000-0000FD730000}"/>
    <cellStyle name="Normal 2 9 2 2 2 3 2 2 3 2" xfId="41377" xr:uid="{00000000-0005-0000-0000-0000FE730000}"/>
    <cellStyle name="Normal 2 9 2 2 2 3 2 2 4" xfId="11294" xr:uid="{00000000-0005-0000-0000-0000FF730000}"/>
    <cellStyle name="Normal 2 9 2 2 2 3 2 2 4 2" xfId="33937" xr:uid="{00000000-0005-0000-0000-000000740000}"/>
    <cellStyle name="Normal 2 9 2 2 2 3 2 2 5" xfId="26496" xr:uid="{00000000-0005-0000-0000-000001740000}"/>
    <cellStyle name="Normal 2 9 2 2 2 3 2 3" xfId="5721" xr:uid="{00000000-0005-0000-0000-000002740000}"/>
    <cellStyle name="Normal 2 9 2 2 2 3 2 3 2" xfId="20605" xr:uid="{00000000-0005-0000-0000-000003740000}"/>
    <cellStyle name="Normal 2 9 2 2 2 3 2 3 2 2" xfId="43248" xr:uid="{00000000-0005-0000-0000-000004740000}"/>
    <cellStyle name="Normal 2 9 2 2 2 3 2 3 3" xfId="13165" xr:uid="{00000000-0005-0000-0000-000005740000}"/>
    <cellStyle name="Normal 2 9 2 2 2 3 2 3 3 2" xfId="35808" xr:uid="{00000000-0005-0000-0000-000006740000}"/>
    <cellStyle name="Normal 2 9 2 2 2 3 2 3 4" xfId="28367" xr:uid="{00000000-0005-0000-0000-000007740000}"/>
    <cellStyle name="Normal 2 9 2 2 2 3 2 4" xfId="16887" xr:uid="{00000000-0005-0000-0000-000008740000}"/>
    <cellStyle name="Normal 2 9 2 2 2 3 2 4 2" xfId="39530" xr:uid="{00000000-0005-0000-0000-000009740000}"/>
    <cellStyle name="Normal 2 9 2 2 2 3 2 5" xfId="9447" xr:uid="{00000000-0005-0000-0000-00000A740000}"/>
    <cellStyle name="Normal 2 9 2 2 2 3 2 5 2" xfId="32090" xr:uid="{00000000-0005-0000-0000-00000B740000}"/>
    <cellStyle name="Normal 2 9 2 2 2 3 2 6" xfId="24649" xr:uid="{00000000-0005-0000-0000-00000C740000}"/>
    <cellStyle name="Normal 2 9 2 2 2 3 3" xfId="2922" xr:uid="{00000000-0005-0000-0000-00000D740000}"/>
    <cellStyle name="Normal 2 9 2 2 2 3 3 2" xfId="6643" xr:uid="{00000000-0005-0000-0000-00000E740000}"/>
    <cellStyle name="Normal 2 9 2 2 2 3 3 2 2" xfId="21527" xr:uid="{00000000-0005-0000-0000-00000F740000}"/>
    <cellStyle name="Normal 2 9 2 2 2 3 3 2 2 2" xfId="44170" xr:uid="{00000000-0005-0000-0000-000010740000}"/>
    <cellStyle name="Normal 2 9 2 2 2 3 3 2 3" xfId="14087" xr:uid="{00000000-0005-0000-0000-000011740000}"/>
    <cellStyle name="Normal 2 9 2 2 2 3 3 2 3 2" xfId="36730" xr:uid="{00000000-0005-0000-0000-000012740000}"/>
    <cellStyle name="Normal 2 9 2 2 2 3 3 2 4" xfId="29289" xr:uid="{00000000-0005-0000-0000-000013740000}"/>
    <cellStyle name="Normal 2 9 2 2 2 3 3 3" xfId="17809" xr:uid="{00000000-0005-0000-0000-000014740000}"/>
    <cellStyle name="Normal 2 9 2 2 2 3 3 3 2" xfId="40452" xr:uid="{00000000-0005-0000-0000-000015740000}"/>
    <cellStyle name="Normal 2 9 2 2 2 3 3 4" xfId="10369" xr:uid="{00000000-0005-0000-0000-000016740000}"/>
    <cellStyle name="Normal 2 9 2 2 2 3 3 4 2" xfId="33012" xr:uid="{00000000-0005-0000-0000-000017740000}"/>
    <cellStyle name="Normal 2 9 2 2 2 3 3 5" xfId="25571" xr:uid="{00000000-0005-0000-0000-000018740000}"/>
    <cellStyle name="Normal 2 9 2 2 2 3 4" xfId="4796" xr:uid="{00000000-0005-0000-0000-000019740000}"/>
    <cellStyle name="Normal 2 9 2 2 2 3 4 2" xfId="19680" xr:uid="{00000000-0005-0000-0000-00001A740000}"/>
    <cellStyle name="Normal 2 9 2 2 2 3 4 2 2" xfId="42323" xr:uid="{00000000-0005-0000-0000-00001B740000}"/>
    <cellStyle name="Normal 2 9 2 2 2 3 4 3" xfId="12240" xr:uid="{00000000-0005-0000-0000-00001C740000}"/>
    <cellStyle name="Normal 2 9 2 2 2 3 4 3 2" xfId="34883" xr:uid="{00000000-0005-0000-0000-00001D740000}"/>
    <cellStyle name="Normal 2 9 2 2 2 3 4 4" xfId="27442" xr:uid="{00000000-0005-0000-0000-00001E740000}"/>
    <cellStyle name="Normal 2 9 2 2 2 3 5" xfId="15962" xr:uid="{00000000-0005-0000-0000-00001F740000}"/>
    <cellStyle name="Normal 2 9 2 2 2 3 5 2" xfId="38605" xr:uid="{00000000-0005-0000-0000-000020740000}"/>
    <cellStyle name="Normal 2 9 2 2 2 3 6" xfId="8522" xr:uid="{00000000-0005-0000-0000-000021740000}"/>
    <cellStyle name="Normal 2 9 2 2 2 3 6 2" xfId="31165" xr:uid="{00000000-0005-0000-0000-000022740000}"/>
    <cellStyle name="Normal 2 9 2 2 2 3 7" xfId="23724" xr:uid="{00000000-0005-0000-0000-000023740000}"/>
    <cellStyle name="Normal 2 9 2 2 2 4" xfId="1535" xr:uid="{00000000-0005-0000-0000-000024740000}"/>
    <cellStyle name="Normal 2 9 2 2 2 4 2" xfId="3385" xr:uid="{00000000-0005-0000-0000-000025740000}"/>
    <cellStyle name="Normal 2 9 2 2 2 4 2 2" xfId="7106" xr:uid="{00000000-0005-0000-0000-000026740000}"/>
    <cellStyle name="Normal 2 9 2 2 2 4 2 2 2" xfId="21990" xr:uid="{00000000-0005-0000-0000-000027740000}"/>
    <cellStyle name="Normal 2 9 2 2 2 4 2 2 2 2" xfId="44633" xr:uid="{00000000-0005-0000-0000-000028740000}"/>
    <cellStyle name="Normal 2 9 2 2 2 4 2 2 3" xfId="14550" xr:uid="{00000000-0005-0000-0000-000029740000}"/>
    <cellStyle name="Normal 2 9 2 2 2 4 2 2 3 2" xfId="37193" xr:uid="{00000000-0005-0000-0000-00002A740000}"/>
    <cellStyle name="Normal 2 9 2 2 2 4 2 2 4" xfId="29752" xr:uid="{00000000-0005-0000-0000-00002B740000}"/>
    <cellStyle name="Normal 2 9 2 2 2 4 2 3" xfId="18272" xr:uid="{00000000-0005-0000-0000-00002C740000}"/>
    <cellStyle name="Normal 2 9 2 2 2 4 2 3 2" xfId="40915" xr:uid="{00000000-0005-0000-0000-00002D740000}"/>
    <cellStyle name="Normal 2 9 2 2 2 4 2 4" xfId="10832" xr:uid="{00000000-0005-0000-0000-00002E740000}"/>
    <cellStyle name="Normal 2 9 2 2 2 4 2 4 2" xfId="33475" xr:uid="{00000000-0005-0000-0000-00002F740000}"/>
    <cellStyle name="Normal 2 9 2 2 2 4 2 5" xfId="26034" xr:uid="{00000000-0005-0000-0000-000030740000}"/>
    <cellStyle name="Normal 2 9 2 2 2 4 3" xfId="5259" xr:uid="{00000000-0005-0000-0000-000031740000}"/>
    <cellStyle name="Normal 2 9 2 2 2 4 3 2" xfId="20143" xr:uid="{00000000-0005-0000-0000-000032740000}"/>
    <cellStyle name="Normal 2 9 2 2 2 4 3 2 2" xfId="42786" xr:uid="{00000000-0005-0000-0000-000033740000}"/>
    <cellStyle name="Normal 2 9 2 2 2 4 3 3" xfId="12703" xr:uid="{00000000-0005-0000-0000-000034740000}"/>
    <cellStyle name="Normal 2 9 2 2 2 4 3 3 2" xfId="35346" xr:uid="{00000000-0005-0000-0000-000035740000}"/>
    <cellStyle name="Normal 2 9 2 2 2 4 3 4" xfId="27905" xr:uid="{00000000-0005-0000-0000-000036740000}"/>
    <cellStyle name="Normal 2 9 2 2 2 4 4" xfId="16425" xr:uid="{00000000-0005-0000-0000-000037740000}"/>
    <cellStyle name="Normal 2 9 2 2 2 4 4 2" xfId="39068" xr:uid="{00000000-0005-0000-0000-000038740000}"/>
    <cellStyle name="Normal 2 9 2 2 2 4 5" xfId="8985" xr:uid="{00000000-0005-0000-0000-000039740000}"/>
    <cellStyle name="Normal 2 9 2 2 2 4 5 2" xfId="31628" xr:uid="{00000000-0005-0000-0000-00003A740000}"/>
    <cellStyle name="Normal 2 9 2 2 2 4 6" xfId="24187" xr:uid="{00000000-0005-0000-0000-00003B740000}"/>
    <cellStyle name="Normal 2 9 2 2 2 5" xfId="2460" xr:uid="{00000000-0005-0000-0000-00003C740000}"/>
    <cellStyle name="Normal 2 9 2 2 2 5 2" xfId="6181" xr:uid="{00000000-0005-0000-0000-00003D740000}"/>
    <cellStyle name="Normal 2 9 2 2 2 5 2 2" xfId="21065" xr:uid="{00000000-0005-0000-0000-00003E740000}"/>
    <cellStyle name="Normal 2 9 2 2 2 5 2 2 2" xfId="43708" xr:uid="{00000000-0005-0000-0000-00003F740000}"/>
    <cellStyle name="Normal 2 9 2 2 2 5 2 3" xfId="13625" xr:uid="{00000000-0005-0000-0000-000040740000}"/>
    <cellStyle name="Normal 2 9 2 2 2 5 2 3 2" xfId="36268" xr:uid="{00000000-0005-0000-0000-000041740000}"/>
    <cellStyle name="Normal 2 9 2 2 2 5 2 4" xfId="28827" xr:uid="{00000000-0005-0000-0000-000042740000}"/>
    <cellStyle name="Normal 2 9 2 2 2 5 3" xfId="17347" xr:uid="{00000000-0005-0000-0000-000043740000}"/>
    <cellStyle name="Normal 2 9 2 2 2 5 3 2" xfId="39990" xr:uid="{00000000-0005-0000-0000-000044740000}"/>
    <cellStyle name="Normal 2 9 2 2 2 5 4" xfId="9907" xr:uid="{00000000-0005-0000-0000-000045740000}"/>
    <cellStyle name="Normal 2 9 2 2 2 5 4 2" xfId="32550" xr:uid="{00000000-0005-0000-0000-000046740000}"/>
    <cellStyle name="Normal 2 9 2 2 2 5 5" xfId="25109" xr:uid="{00000000-0005-0000-0000-000047740000}"/>
    <cellStyle name="Normal 2 9 2 2 2 6" xfId="4334" xr:uid="{00000000-0005-0000-0000-000048740000}"/>
    <cellStyle name="Normal 2 9 2 2 2 6 2" xfId="19218" xr:uid="{00000000-0005-0000-0000-000049740000}"/>
    <cellStyle name="Normal 2 9 2 2 2 6 2 2" xfId="41861" xr:uid="{00000000-0005-0000-0000-00004A740000}"/>
    <cellStyle name="Normal 2 9 2 2 2 6 3" xfId="11778" xr:uid="{00000000-0005-0000-0000-00004B740000}"/>
    <cellStyle name="Normal 2 9 2 2 2 6 3 2" xfId="34421" xr:uid="{00000000-0005-0000-0000-00004C740000}"/>
    <cellStyle name="Normal 2 9 2 2 2 6 4" xfId="26980" xr:uid="{00000000-0005-0000-0000-00004D740000}"/>
    <cellStyle name="Normal 2 9 2 2 2 7" xfId="15500" xr:uid="{00000000-0005-0000-0000-00004E740000}"/>
    <cellStyle name="Normal 2 9 2 2 2 7 2" xfId="38143" xr:uid="{00000000-0005-0000-0000-00004F740000}"/>
    <cellStyle name="Normal 2 9 2 2 2 8" xfId="8060" xr:uid="{00000000-0005-0000-0000-000050740000}"/>
    <cellStyle name="Normal 2 9 2 2 2 8 2" xfId="30703" xr:uid="{00000000-0005-0000-0000-000051740000}"/>
    <cellStyle name="Normal 2 9 2 2 2 9" xfId="23263" xr:uid="{00000000-0005-0000-0000-000052740000}"/>
    <cellStyle name="Normal 2 9 2 2 3" xfId="710" xr:uid="{00000000-0005-0000-0000-000053740000}"/>
    <cellStyle name="Normal 2 9 2 2 3 2" xfId="1175" xr:uid="{00000000-0005-0000-0000-000054740000}"/>
    <cellStyle name="Normal 2 9 2 2 3 2 2" xfId="2103" xr:uid="{00000000-0005-0000-0000-000055740000}"/>
    <cellStyle name="Normal 2 9 2 2 3 2 2 2" xfId="3953" xr:uid="{00000000-0005-0000-0000-000056740000}"/>
    <cellStyle name="Normal 2 9 2 2 3 2 2 2 2" xfId="7674" xr:uid="{00000000-0005-0000-0000-000057740000}"/>
    <cellStyle name="Normal 2 9 2 2 3 2 2 2 2 2" xfId="22558" xr:uid="{00000000-0005-0000-0000-000058740000}"/>
    <cellStyle name="Normal 2 9 2 2 3 2 2 2 2 2 2" xfId="45201" xr:uid="{00000000-0005-0000-0000-000059740000}"/>
    <cellStyle name="Normal 2 9 2 2 3 2 2 2 2 3" xfId="15118" xr:uid="{00000000-0005-0000-0000-00005A740000}"/>
    <cellStyle name="Normal 2 9 2 2 3 2 2 2 2 3 2" xfId="37761" xr:uid="{00000000-0005-0000-0000-00005B740000}"/>
    <cellStyle name="Normal 2 9 2 2 3 2 2 2 2 4" xfId="30320" xr:uid="{00000000-0005-0000-0000-00005C740000}"/>
    <cellStyle name="Normal 2 9 2 2 3 2 2 2 3" xfId="18840" xr:uid="{00000000-0005-0000-0000-00005D740000}"/>
    <cellStyle name="Normal 2 9 2 2 3 2 2 2 3 2" xfId="41483" xr:uid="{00000000-0005-0000-0000-00005E740000}"/>
    <cellStyle name="Normal 2 9 2 2 3 2 2 2 4" xfId="11400" xr:uid="{00000000-0005-0000-0000-00005F740000}"/>
    <cellStyle name="Normal 2 9 2 2 3 2 2 2 4 2" xfId="34043" xr:uid="{00000000-0005-0000-0000-000060740000}"/>
    <cellStyle name="Normal 2 9 2 2 3 2 2 2 5" xfId="26602" xr:uid="{00000000-0005-0000-0000-000061740000}"/>
    <cellStyle name="Normal 2 9 2 2 3 2 2 3" xfId="5827" xr:uid="{00000000-0005-0000-0000-000062740000}"/>
    <cellStyle name="Normal 2 9 2 2 3 2 2 3 2" xfId="20711" xr:uid="{00000000-0005-0000-0000-000063740000}"/>
    <cellStyle name="Normal 2 9 2 2 3 2 2 3 2 2" xfId="43354" xr:uid="{00000000-0005-0000-0000-000064740000}"/>
    <cellStyle name="Normal 2 9 2 2 3 2 2 3 3" xfId="13271" xr:uid="{00000000-0005-0000-0000-000065740000}"/>
    <cellStyle name="Normal 2 9 2 2 3 2 2 3 3 2" xfId="35914" xr:uid="{00000000-0005-0000-0000-000066740000}"/>
    <cellStyle name="Normal 2 9 2 2 3 2 2 3 4" xfId="28473" xr:uid="{00000000-0005-0000-0000-000067740000}"/>
    <cellStyle name="Normal 2 9 2 2 3 2 2 4" xfId="16993" xr:uid="{00000000-0005-0000-0000-000068740000}"/>
    <cellStyle name="Normal 2 9 2 2 3 2 2 4 2" xfId="39636" xr:uid="{00000000-0005-0000-0000-000069740000}"/>
    <cellStyle name="Normal 2 9 2 2 3 2 2 5" xfId="9553" xr:uid="{00000000-0005-0000-0000-00006A740000}"/>
    <cellStyle name="Normal 2 9 2 2 3 2 2 5 2" xfId="32196" xr:uid="{00000000-0005-0000-0000-00006B740000}"/>
    <cellStyle name="Normal 2 9 2 2 3 2 2 6" xfId="24755" xr:uid="{00000000-0005-0000-0000-00006C740000}"/>
    <cellStyle name="Normal 2 9 2 2 3 2 3" xfId="3028" xr:uid="{00000000-0005-0000-0000-00006D740000}"/>
    <cellStyle name="Normal 2 9 2 2 3 2 3 2" xfId="6749" xr:uid="{00000000-0005-0000-0000-00006E740000}"/>
    <cellStyle name="Normal 2 9 2 2 3 2 3 2 2" xfId="21633" xr:uid="{00000000-0005-0000-0000-00006F740000}"/>
    <cellStyle name="Normal 2 9 2 2 3 2 3 2 2 2" xfId="44276" xr:uid="{00000000-0005-0000-0000-000070740000}"/>
    <cellStyle name="Normal 2 9 2 2 3 2 3 2 3" xfId="14193" xr:uid="{00000000-0005-0000-0000-000071740000}"/>
    <cellStyle name="Normal 2 9 2 2 3 2 3 2 3 2" xfId="36836" xr:uid="{00000000-0005-0000-0000-000072740000}"/>
    <cellStyle name="Normal 2 9 2 2 3 2 3 2 4" xfId="29395" xr:uid="{00000000-0005-0000-0000-000073740000}"/>
    <cellStyle name="Normal 2 9 2 2 3 2 3 3" xfId="17915" xr:uid="{00000000-0005-0000-0000-000074740000}"/>
    <cellStyle name="Normal 2 9 2 2 3 2 3 3 2" xfId="40558" xr:uid="{00000000-0005-0000-0000-000075740000}"/>
    <cellStyle name="Normal 2 9 2 2 3 2 3 4" xfId="10475" xr:uid="{00000000-0005-0000-0000-000076740000}"/>
    <cellStyle name="Normal 2 9 2 2 3 2 3 4 2" xfId="33118" xr:uid="{00000000-0005-0000-0000-000077740000}"/>
    <cellStyle name="Normal 2 9 2 2 3 2 3 5" xfId="25677" xr:uid="{00000000-0005-0000-0000-000078740000}"/>
    <cellStyle name="Normal 2 9 2 2 3 2 4" xfId="4902" xr:uid="{00000000-0005-0000-0000-000079740000}"/>
    <cellStyle name="Normal 2 9 2 2 3 2 4 2" xfId="19786" xr:uid="{00000000-0005-0000-0000-00007A740000}"/>
    <cellStyle name="Normal 2 9 2 2 3 2 4 2 2" xfId="42429" xr:uid="{00000000-0005-0000-0000-00007B740000}"/>
    <cellStyle name="Normal 2 9 2 2 3 2 4 3" xfId="12346" xr:uid="{00000000-0005-0000-0000-00007C740000}"/>
    <cellStyle name="Normal 2 9 2 2 3 2 4 3 2" xfId="34989" xr:uid="{00000000-0005-0000-0000-00007D740000}"/>
    <cellStyle name="Normal 2 9 2 2 3 2 4 4" xfId="27548" xr:uid="{00000000-0005-0000-0000-00007E740000}"/>
    <cellStyle name="Normal 2 9 2 2 3 2 5" xfId="16068" xr:uid="{00000000-0005-0000-0000-00007F740000}"/>
    <cellStyle name="Normal 2 9 2 2 3 2 5 2" xfId="38711" xr:uid="{00000000-0005-0000-0000-000080740000}"/>
    <cellStyle name="Normal 2 9 2 2 3 2 6" xfId="8628" xr:uid="{00000000-0005-0000-0000-000081740000}"/>
    <cellStyle name="Normal 2 9 2 2 3 2 6 2" xfId="31271" xr:uid="{00000000-0005-0000-0000-000082740000}"/>
    <cellStyle name="Normal 2 9 2 2 3 2 7" xfId="23830" xr:uid="{00000000-0005-0000-0000-000083740000}"/>
    <cellStyle name="Normal 2 9 2 2 3 3" xfId="1641" xr:uid="{00000000-0005-0000-0000-000084740000}"/>
    <cellStyle name="Normal 2 9 2 2 3 3 2" xfId="3491" xr:uid="{00000000-0005-0000-0000-000085740000}"/>
    <cellStyle name="Normal 2 9 2 2 3 3 2 2" xfId="7212" xr:uid="{00000000-0005-0000-0000-000086740000}"/>
    <cellStyle name="Normal 2 9 2 2 3 3 2 2 2" xfId="22096" xr:uid="{00000000-0005-0000-0000-000087740000}"/>
    <cellStyle name="Normal 2 9 2 2 3 3 2 2 2 2" xfId="44739" xr:uid="{00000000-0005-0000-0000-000088740000}"/>
    <cellStyle name="Normal 2 9 2 2 3 3 2 2 3" xfId="14656" xr:uid="{00000000-0005-0000-0000-000089740000}"/>
    <cellStyle name="Normal 2 9 2 2 3 3 2 2 3 2" xfId="37299" xr:uid="{00000000-0005-0000-0000-00008A740000}"/>
    <cellStyle name="Normal 2 9 2 2 3 3 2 2 4" xfId="29858" xr:uid="{00000000-0005-0000-0000-00008B740000}"/>
    <cellStyle name="Normal 2 9 2 2 3 3 2 3" xfId="18378" xr:uid="{00000000-0005-0000-0000-00008C740000}"/>
    <cellStyle name="Normal 2 9 2 2 3 3 2 3 2" xfId="41021" xr:uid="{00000000-0005-0000-0000-00008D740000}"/>
    <cellStyle name="Normal 2 9 2 2 3 3 2 4" xfId="10938" xr:uid="{00000000-0005-0000-0000-00008E740000}"/>
    <cellStyle name="Normal 2 9 2 2 3 3 2 4 2" xfId="33581" xr:uid="{00000000-0005-0000-0000-00008F740000}"/>
    <cellStyle name="Normal 2 9 2 2 3 3 2 5" xfId="26140" xr:uid="{00000000-0005-0000-0000-000090740000}"/>
    <cellStyle name="Normal 2 9 2 2 3 3 3" xfId="5365" xr:uid="{00000000-0005-0000-0000-000091740000}"/>
    <cellStyle name="Normal 2 9 2 2 3 3 3 2" xfId="20249" xr:uid="{00000000-0005-0000-0000-000092740000}"/>
    <cellStyle name="Normal 2 9 2 2 3 3 3 2 2" xfId="42892" xr:uid="{00000000-0005-0000-0000-000093740000}"/>
    <cellStyle name="Normal 2 9 2 2 3 3 3 3" xfId="12809" xr:uid="{00000000-0005-0000-0000-000094740000}"/>
    <cellStyle name="Normal 2 9 2 2 3 3 3 3 2" xfId="35452" xr:uid="{00000000-0005-0000-0000-000095740000}"/>
    <cellStyle name="Normal 2 9 2 2 3 3 3 4" xfId="28011" xr:uid="{00000000-0005-0000-0000-000096740000}"/>
    <cellStyle name="Normal 2 9 2 2 3 3 4" xfId="16531" xr:uid="{00000000-0005-0000-0000-000097740000}"/>
    <cellStyle name="Normal 2 9 2 2 3 3 4 2" xfId="39174" xr:uid="{00000000-0005-0000-0000-000098740000}"/>
    <cellStyle name="Normal 2 9 2 2 3 3 5" xfId="9091" xr:uid="{00000000-0005-0000-0000-000099740000}"/>
    <cellStyle name="Normal 2 9 2 2 3 3 5 2" xfId="31734" xr:uid="{00000000-0005-0000-0000-00009A740000}"/>
    <cellStyle name="Normal 2 9 2 2 3 3 6" xfId="24293" xr:uid="{00000000-0005-0000-0000-00009B740000}"/>
    <cellStyle name="Normal 2 9 2 2 3 4" xfId="2566" xr:uid="{00000000-0005-0000-0000-00009C740000}"/>
    <cellStyle name="Normal 2 9 2 2 3 4 2" xfId="6287" xr:uid="{00000000-0005-0000-0000-00009D740000}"/>
    <cellStyle name="Normal 2 9 2 2 3 4 2 2" xfId="21171" xr:uid="{00000000-0005-0000-0000-00009E740000}"/>
    <cellStyle name="Normal 2 9 2 2 3 4 2 2 2" xfId="43814" xr:uid="{00000000-0005-0000-0000-00009F740000}"/>
    <cellStyle name="Normal 2 9 2 2 3 4 2 3" xfId="13731" xr:uid="{00000000-0005-0000-0000-0000A0740000}"/>
    <cellStyle name="Normal 2 9 2 2 3 4 2 3 2" xfId="36374" xr:uid="{00000000-0005-0000-0000-0000A1740000}"/>
    <cellStyle name="Normal 2 9 2 2 3 4 2 4" xfId="28933" xr:uid="{00000000-0005-0000-0000-0000A2740000}"/>
    <cellStyle name="Normal 2 9 2 2 3 4 3" xfId="17453" xr:uid="{00000000-0005-0000-0000-0000A3740000}"/>
    <cellStyle name="Normal 2 9 2 2 3 4 3 2" xfId="40096" xr:uid="{00000000-0005-0000-0000-0000A4740000}"/>
    <cellStyle name="Normal 2 9 2 2 3 4 4" xfId="10013" xr:uid="{00000000-0005-0000-0000-0000A5740000}"/>
    <cellStyle name="Normal 2 9 2 2 3 4 4 2" xfId="32656" xr:uid="{00000000-0005-0000-0000-0000A6740000}"/>
    <cellStyle name="Normal 2 9 2 2 3 4 5" xfId="25215" xr:uid="{00000000-0005-0000-0000-0000A7740000}"/>
    <cellStyle name="Normal 2 9 2 2 3 5" xfId="4440" xr:uid="{00000000-0005-0000-0000-0000A8740000}"/>
    <cellStyle name="Normal 2 9 2 2 3 5 2" xfId="19324" xr:uid="{00000000-0005-0000-0000-0000A9740000}"/>
    <cellStyle name="Normal 2 9 2 2 3 5 2 2" xfId="41967" xr:uid="{00000000-0005-0000-0000-0000AA740000}"/>
    <cellStyle name="Normal 2 9 2 2 3 5 3" xfId="11884" xr:uid="{00000000-0005-0000-0000-0000AB740000}"/>
    <cellStyle name="Normal 2 9 2 2 3 5 3 2" xfId="34527" xr:uid="{00000000-0005-0000-0000-0000AC740000}"/>
    <cellStyle name="Normal 2 9 2 2 3 5 4" xfId="27086" xr:uid="{00000000-0005-0000-0000-0000AD740000}"/>
    <cellStyle name="Normal 2 9 2 2 3 6" xfId="15606" xr:uid="{00000000-0005-0000-0000-0000AE740000}"/>
    <cellStyle name="Normal 2 9 2 2 3 6 2" xfId="38249" xr:uid="{00000000-0005-0000-0000-0000AF740000}"/>
    <cellStyle name="Normal 2 9 2 2 3 7" xfId="8166" xr:uid="{00000000-0005-0000-0000-0000B0740000}"/>
    <cellStyle name="Normal 2 9 2 2 3 7 2" xfId="30809" xr:uid="{00000000-0005-0000-0000-0000B1740000}"/>
    <cellStyle name="Normal 2 9 2 2 3 8" xfId="23368" xr:uid="{00000000-0005-0000-0000-0000B2740000}"/>
    <cellStyle name="Normal 2 9 2 2 4" xfId="964" xr:uid="{00000000-0005-0000-0000-0000B3740000}"/>
    <cellStyle name="Normal 2 9 2 2 4 2" xfId="1892" xr:uid="{00000000-0005-0000-0000-0000B4740000}"/>
    <cellStyle name="Normal 2 9 2 2 4 2 2" xfId="3742" xr:uid="{00000000-0005-0000-0000-0000B5740000}"/>
    <cellStyle name="Normal 2 9 2 2 4 2 2 2" xfId="7463" xr:uid="{00000000-0005-0000-0000-0000B6740000}"/>
    <cellStyle name="Normal 2 9 2 2 4 2 2 2 2" xfId="22347" xr:uid="{00000000-0005-0000-0000-0000B7740000}"/>
    <cellStyle name="Normal 2 9 2 2 4 2 2 2 2 2" xfId="44990" xr:uid="{00000000-0005-0000-0000-0000B8740000}"/>
    <cellStyle name="Normal 2 9 2 2 4 2 2 2 3" xfId="14907" xr:uid="{00000000-0005-0000-0000-0000B9740000}"/>
    <cellStyle name="Normal 2 9 2 2 4 2 2 2 3 2" xfId="37550" xr:uid="{00000000-0005-0000-0000-0000BA740000}"/>
    <cellStyle name="Normal 2 9 2 2 4 2 2 2 4" xfId="30109" xr:uid="{00000000-0005-0000-0000-0000BB740000}"/>
    <cellStyle name="Normal 2 9 2 2 4 2 2 3" xfId="18629" xr:uid="{00000000-0005-0000-0000-0000BC740000}"/>
    <cellStyle name="Normal 2 9 2 2 4 2 2 3 2" xfId="41272" xr:uid="{00000000-0005-0000-0000-0000BD740000}"/>
    <cellStyle name="Normal 2 9 2 2 4 2 2 4" xfId="11189" xr:uid="{00000000-0005-0000-0000-0000BE740000}"/>
    <cellStyle name="Normal 2 9 2 2 4 2 2 4 2" xfId="33832" xr:uid="{00000000-0005-0000-0000-0000BF740000}"/>
    <cellStyle name="Normal 2 9 2 2 4 2 2 5" xfId="26391" xr:uid="{00000000-0005-0000-0000-0000C0740000}"/>
    <cellStyle name="Normal 2 9 2 2 4 2 3" xfId="5616" xr:uid="{00000000-0005-0000-0000-0000C1740000}"/>
    <cellStyle name="Normal 2 9 2 2 4 2 3 2" xfId="20500" xr:uid="{00000000-0005-0000-0000-0000C2740000}"/>
    <cellStyle name="Normal 2 9 2 2 4 2 3 2 2" xfId="43143" xr:uid="{00000000-0005-0000-0000-0000C3740000}"/>
    <cellStyle name="Normal 2 9 2 2 4 2 3 3" xfId="13060" xr:uid="{00000000-0005-0000-0000-0000C4740000}"/>
    <cellStyle name="Normal 2 9 2 2 4 2 3 3 2" xfId="35703" xr:uid="{00000000-0005-0000-0000-0000C5740000}"/>
    <cellStyle name="Normal 2 9 2 2 4 2 3 4" xfId="28262" xr:uid="{00000000-0005-0000-0000-0000C6740000}"/>
    <cellStyle name="Normal 2 9 2 2 4 2 4" xfId="16782" xr:uid="{00000000-0005-0000-0000-0000C7740000}"/>
    <cellStyle name="Normal 2 9 2 2 4 2 4 2" xfId="39425" xr:uid="{00000000-0005-0000-0000-0000C8740000}"/>
    <cellStyle name="Normal 2 9 2 2 4 2 5" xfId="9342" xr:uid="{00000000-0005-0000-0000-0000C9740000}"/>
    <cellStyle name="Normal 2 9 2 2 4 2 5 2" xfId="31985" xr:uid="{00000000-0005-0000-0000-0000CA740000}"/>
    <cellStyle name="Normal 2 9 2 2 4 2 6" xfId="24544" xr:uid="{00000000-0005-0000-0000-0000CB740000}"/>
    <cellStyle name="Normal 2 9 2 2 4 3" xfId="2817" xr:uid="{00000000-0005-0000-0000-0000CC740000}"/>
    <cellStyle name="Normal 2 9 2 2 4 3 2" xfId="6538" xr:uid="{00000000-0005-0000-0000-0000CD740000}"/>
    <cellStyle name="Normal 2 9 2 2 4 3 2 2" xfId="21422" xr:uid="{00000000-0005-0000-0000-0000CE740000}"/>
    <cellStyle name="Normal 2 9 2 2 4 3 2 2 2" xfId="44065" xr:uid="{00000000-0005-0000-0000-0000CF740000}"/>
    <cellStyle name="Normal 2 9 2 2 4 3 2 3" xfId="13982" xr:uid="{00000000-0005-0000-0000-0000D0740000}"/>
    <cellStyle name="Normal 2 9 2 2 4 3 2 3 2" xfId="36625" xr:uid="{00000000-0005-0000-0000-0000D1740000}"/>
    <cellStyle name="Normal 2 9 2 2 4 3 2 4" xfId="29184" xr:uid="{00000000-0005-0000-0000-0000D2740000}"/>
    <cellStyle name="Normal 2 9 2 2 4 3 3" xfId="17704" xr:uid="{00000000-0005-0000-0000-0000D3740000}"/>
    <cellStyle name="Normal 2 9 2 2 4 3 3 2" xfId="40347" xr:uid="{00000000-0005-0000-0000-0000D4740000}"/>
    <cellStyle name="Normal 2 9 2 2 4 3 4" xfId="10264" xr:uid="{00000000-0005-0000-0000-0000D5740000}"/>
    <cellStyle name="Normal 2 9 2 2 4 3 4 2" xfId="32907" xr:uid="{00000000-0005-0000-0000-0000D6740000}"/>
    <cellStyle name="Normal 2 9 2 2 4 3 5" xfId="25466" xr:uid="{00000000-0005-0000-0000-0000D7740000}"/>
    <cellStyle name="Normal 2 9 2 2 4 4" xfId="4691" xr:uid="{00000000-0005-0000-0000-0000D8740000}"/>
    <cellStyle name="Normal 2 9 2 2 4 4 2" xfId="19575" xr:uid="{00000000-0005-0000-0000-0000D9740000}"/>
    <cellStyle name="Normal 2 9 2 2 4 4 2 2" xfId="42218" xr:uid="{00000000-0005-0000-0000-0000DA740000}"/>
    <cellStyle name="Normal 2 9 2 2 4 4 3" xfId="12135" xr:uid="{00000000-0005-0000-0000-0000DB740000}"/>
    <cellStyle name="Normal 2 9 2 2 4 4 3 2" xfId="34778" xr:uid="{00000000-0005-0000-0000-0000DC740000}"/>
    <cellStyle name="Normal 2 9 2 2 4 4 4" xfId="27337" xr:uid="{00000000-0005-0000-0000-0000DD740000}"/>
    <cellStyle name="Normal 2 9 2 2 4 5" xfId="15857" xr:uid="{00000000-0005-0000-0000-0000DE740000}"/>
    <cellStyle name="Normal 2 9 2 2 4 5 2" xfId="38500" xr:uid="{00000000-0005-0000-0000-0000DF740000}"/>
    <cellStyle name="Normal 2 9 2 2 4 6" xfId="8417" xr:uid="{00000000-0005-0000-0000-0000E0740000}"/>
    <cellStyle name="Normal 2 9 2 2 4 6 2" xfId="31060" xr:uid="{00000000-0005-0000-0000-0000E1740000}"/>
    <cellStyle name="Normal 2 9 2 2 4 7" xfId="23619" xr:uid="{00000000-0005-0000-0000-0000E2740000}"/>
    <cellStyle name="Normal 2 9 2 2 5" xfId="1430" xr:uid="{00000000-0005-0000-0000-0000E3740000}"/>
    <cellStyle name="Normal 2 9 2 2 5 2" xfId="3280" xr:uid="{00000000-0005-0000-0000-0000E4740000}"/>
    <cellStyle name="Normal 2 9 2 2 5 2 2" xfId="7001" xr:uid="{00000000-0005-0000-0000-0000E5740000}"/>
    <cellStyle name="Normal 2 9 2 2 5 2 2 2" xfId="21885" xr:uid="{00000000-0005-0000-0000-0000E6740000}"/>
    <cellStyle name="Normal 2 9 2 2 5 2 2 2 2" xfId="44528" xr:uid="{00000000-0005-0000-0000-0000E7740000}"/>
    <cellStyle name="Normal 2 9 2 2 5 2 2 3" xfId="14445" xr:uid="{00000000-0005-0000-0000-0000E8740000}"/>
    <cellStyle name="Normal 2 9 2 2 5 2 2 3 2" xfId="37088" xr:uid="{00000000-0005-0000-0000-0000E9740000}"/>
    <cellStyle name="Normal 2 9 2 2 5 2 2 4" xfId="29647" xr:uid="{00000000-0005-0000-0000-0000EA740000}"/>
    <cellStyle name="Normal 2 9 2 2 5 2 3" xfId="18167" xr:uid="{00000000-0005-0000-0000-0000EB740000}"/>
    <cellStyle name="Normal 2 9 2 2 5 2 3 2" xfId="40810" xr:uid="{00000000-0005-0000-0000-0000EC740000}"/>
    <cellStyle name="Normal 2 9 2 2 5 2 4" xfId="10727" xr:uid="{00000000-0005-0000-0000-0000ED740000}"/>
    <cellStyle name="Normal 2 9 2 2 5 2 4 2" xfId="33370" xr:uid="{00000000-0005-0000-0000-0000EE740000}"/>
    <cellStyle name="Normal 2 9 2 2 5 2 5" xfId="25929" xr:uid="{00000000-0005-0000-0000-0000EF740000}"/>
    <cellStyle name="Normal 2 9 2 2 5 3" xfId="5154" xr:uid="{00000000-0005-0000-0000-0000F0740000}"/>
    <cellStyle name="Normal 2 9 2 2 5 3 2" xfId="20038" xr:uid="{00000000-0005-0000-0000-0000F1740000}"/>
    <cellStyle name="Normal 2 9 2 2 5 3 2 2" xfId="42681" xr:uid="{00000000-0005-0000-0000-0000F2740000}"/>
    <cellStyle name="Normal 2 9 2 2 5 3 3" xfId="12598" xr:uid="{00000000-0005-0000-0000-0000F3740000}"/>
    <cellStyle name="Normal 2 9 2 2 5 3 3 2" xfId="35241" xr:uid="{00000000-0005-0000-0000-0000F4740000}"/>
    <cellStyle name="Normal 2 9 2 2 5 3 4" xfId="27800" xr:uid="{00000000-0005-0000-0000-0000F5740000}"/>
    <cellStyle name="Normal 2 9 2 2 5 4" xfId="16320" xr:uid="{00000000-0005-0000-0000-0000F6740000}"/>
    <cellStyle name="Normal 2 9 2 2 5 4 2" xfId="38963" xr:uid="{00000000-0005-0000-0000-0000F7740000}"/>
    <cellStyle name="Normal 2 9 2 2 5 5" xfId="8880" xr:uid="{00000000-0005-0000-0000-0000F8740000}"/>
    <cellStyle name="Normal 2 9 2 2 5 5 2" xfId="31523" xr:uid="{00000000-0005-0000-0000-0000F9740000}"/>
    <cellStyle name="Normal 2 9 2 2 5 6" xfId="24082" xr:uid="{00000000-0005-0000-0000-0000FA740000}"/>
    <cellStyle name="Normal 2 9 2 2 6" xfId="2355" xr:uid="{00000000-0005-0000-0000-0000FB740000}"/>
    <cellStyle name="Normal 2 9 2 2 6 2" xfId="6076" xr:uid="{00000000-0005-0000-0000-0000FC740000}"/>
    <cellStyle name="Normal 2 9 2 2 6 2 2" xfId="20960" xr:uid="{00000000-0005-0000-0000-0000FD740000}"/>
    <cellStyle name="Normal 2 9 2 2 6 2 2 2" xfId="43603" xr:uid="{00000000-0005-0000-0000-0000FE740000}"/>
    <cellStyle name="Normal 2 9 2 2 6 2 3" xfId="13520" xr:uid="{00000000-0005-0000-0000-0000FF740000}"/>
    <cellStyle name="Normal 2 9 2 2 6 2 3 2" xfId="36163" xr:uid="{00000000-0005-0000-0000-000000750000}"/>
    <cellStyle name="Normal 2 9 2 2 6 2 4" xfId="28722" xr:uid="{00000000-0005-0000-0000-000001750000}"/>
    <cellStyle name="Normal 2 9 2 2 6 3" xfId="17242" xr:uid="{00000000-0005-0000-0000-000002750000}"/>
    <cellStyle name="Normal 2 9 2 2 6 3 2" xfId="39885" xr:uid="{00000000-0005-0000-0000-000003750000}"/>
    <cellStyle name="Normal 2 9 2 2 6 4" xfId="9802" xr:uid="{00000000-0005-0000-0000-000004750000}"/>
    <cellStyle name="Normal 2 9 2 2 6 4 2" xfId="32445" xr:uid="{00000000-0005-0000-0000-000005750000}"/>
    <cellStyle name="Normal 2 9 2 2 6 5" xfId="25004" xr:uid="{00000000-0005-0000-0000-000006750000}"/>
    <cellStyle name="Normal 2 9 2 2 7" xfId="4229" xr:uid="{00000000-0005-0000-0000-000007750000}"/>
    <cellStyle name="Normal 2 9 2 2 7 2" xfId="19113" xr:uid="{00000000-0005-0000-0000-000008750000}"/>
    <cellStyle name="Normal 2 9 2 2 7 2 2" xfId="41756" xr:uid="{00000000-0005-0000-0000-000009750000}"/>
    <cellStyle name="Normal 2 9 2 2 7 3" xfId="11673" xr:uid="{00000000-0005-0000-0000-00000A750000}"/>
    <cellStyle name="Normal 2 9 2 2 7 3 2" xfId="34316" xr:uid="{00000000-0005-0000-0000-00000B750000}"/>
    <cellStyle name="Normal 2 9 2 2 7 4" xfId="26875" xr:uid="{00000000-0005-0000-0000-00000C750000}"/>
    <cellStyle name="Normal 2 9 2 2 8" xfId="15395" xr:uid="{00000000-0005-0000-0000-00000D750000}"/>
    <cellStyle name="Normal 2 9 2 2 8 2" xfId="38038" xr:uid="{00000000-0005-0000-0000-00000E750000}"/>
    <cellStyle name="Normal 2 9 2 2 9" xfId="7955" xr:uid="{00000000-0005-0000-0000-00000F750000}"/>
    <cellStyle name="Normal 2 9 2 2 9 2" xfId="30598" xr:uid="{00000000-0005-0000-0000-000010750000}"/>
    <cellStyle name="Normal 2 9 2 3" xfId="551" xr:uid="{00000000-0005-0000-0000-000011750000}"/>
    <cellStyle name="Normal 2 9 2 3 2" xfId="763" xr:uid="{00000000-0005-0000-0000-000012750000}"/>
    <cellStyle name="Normal 2 9 2 3 2 2" xfId="1228" xr:uid="{00000000-0005-0000-0000-000013750000}"/>
    <cellStyle name="Normal 2 9 2 3 2 2 2" xfId="2156" xr:uid="{00000000-0005-0000-0000-000014750000}"/>
    <cellStyle name="Normal 2 9 2 3 2 2 2 2" xfId="4006" xr:uid="{00000000-0005-0000-0000-000015750000}"/>
    <cellStyle name="Normal 2 9 2 3 2 2 2 2 2" xfId="7727" xr:uid="{00000000-0005-0000-0000-000016750000}"/>
    <cellStyle name="Normal 2 9 2 3 2 2 2 2 2 2" xfId="22611" xr:uid="{00000000-0005-0000-0000-000017750000}"/>
    <cellStyle name="Normal 2 9 2 3 2 2 2 2 2 2 2" xfId="45254" xr:uid="{00000000-0005-0000-0000-000018750000}"/>
    <cellStyle name="Normal 2 9 2 3 2 2 2 2 2 3" xfId="15171" xr:uid="{00000000-0005-0000-0000-000019750000}"/>
    <cellStyle name="Normal 2 9 2 3 2 2 2 2 2 3 2" xfId="37814" xr:uid="{00000000-0005-0000-0000-00001A750000}"/>
    <cellStyle name="Normal 2 9 2 3 2 2 2 2 2 4" xfId="30373" xr:uid="{00000000-0005-0000-0000-00001B750000}"/>
    <cellStyle name="Normal 2 9 2 3 2 2 2 2 3" xfId="18893" xr:uid="{00000000-0005-0000-0000-00001C750000}"/>
    <cellStyle name="Normal 2 9 2 3 2 2 2 2 3 2" xfId="41536" xr:uid="{00000000-0005-0000-0000-00001D750000}"/>
    <cellStyle name="Normal 2 9 2 3 2 2 2 2 4" xfId="11453" xr:uid="{00000000-0005-0000-0000-00001E750000}"/>
    <cellStyle name="Normal 2 9 2 3 2 2 2 2 4 2" xfId="34096" xr:uid="{00000000-0005-0000-0000-00001F750000}"/>
    <cellStyle name="Normal 2 9 2 3 2 2 2 2 5" xfId="26655" xr:uid="{00000000-0005-0000-0000-000020750000}"/>
    <cellStyle name="Normal 2 9 2 3 2 2 2 3" xfId="5880" xr:uid="{00000000-0005-0000-0000-000021750000}"/>
    <cellStyle name="Normal 2 9 2 3 2 2 2 3 2" xfId="20764" xr:uid="{00000000-0005-0000-0000-000022750000}"/>
    <cellStyle name="Normal 2 9 2 3 2 2 2 3 2 2" xfId="43407" xr:uid="{00000000-0005-0000-0000-000023750000}"/>
    <cellStyle name="Normal 2 9 2 3 2 2 2 3 3" xfId="13324" xr:uid="{00000000-0005-0000-0000-000024750000}"/>
    <cellStyle name="Normal 2 9 2 3 2 2 2 3 3 2" xfId="35967" xr:uid="{00000000-0005-0000-0000-000025750000}"/>
    <cellStyle name="Normal 2 9 2 3 2 2 2 3 4" xfId="28526" xr:uid="{00000000-0005-0000-0000-000026750000}"/>
    <cellStyle name="Normal 2 9 2 3 2 2 2 4" xfId="17046" xr:uid="{00000000-0005-0000-0000-000027750000}"/>
    <cellStyle name="Normal 2 9 2 3 2 2 2 4 2" xfId="39689" xr:uid="{00000000-0005-0000-0000-000028750000}"/>
    <cellStyle name="Normal 2 9 2 3 2 2 2 5" xfId="9606" xr:uid="{00000000-0005-0000-0000-000029750000}"/>
    <cellStyle name="Normal 2 9 2 3 2 2 2 5 2" xfId="32249" xr:uid="{00000000-0005-0000-0000-00002A750000}"/>
    <cellStyle name="Normal 2 9 2 3 2 2 2 6" xfId="24808" xr:uid="{00000000-0005-0000-0000-00002B750000}"/>
    <cellStyle name="Normal 2 9 2 3 2 2 3" xfId="3081" xr:uid="{00000000-0005-0000-0000-00002C750000}"/>
    <cellStyle name="Normal 2 9 2 3 2 2 3 2" xfId="6802" xr:uid="{00000000-0005-0000-0000-00002D750000}"/>
    <cellStyle name="Normal 2 9 2 3 2 2 3 2 2" xfId="21686" xr:uid="{00000000-0005-0000-0000-00002E750000}"/>
    <cellStyle name="Normal 2 9 2 3 2 2 3 2 2 2" xfId="44329" xr:uid="{00000000-0005-0000-0000-00002F750000}"/>
    <cellStyle name="Normal 2 9 2 3 2 2 3 2 3" xfId="14246" xr:uid="{00000000-0005-0000-0000-000030750000}"/>
    <cellStyle name="Normal 2 9 2 3 2 2 3 2 3 2" xfId="36889" xr:uid="{00000000-0005-0000-0000-000031750000}"/>
    <cellStyle name="Normal 2 9 2 3 2 2 3 2 4" xfId="29448" xr:uid="{00000000-0005-0000-0000-000032750000}"/>
    <cellStyle name="Normal 2 9 2 3 2 2 3 3" xfId="17968" xr:uid="{00000000-0005-0000-0000-000033750000}"/>
    <cellStyle name="Normal 2 9 2 3 2 2 3 3 2" xfId="40611" xr:uid="{00000000-0005-0000-0000-000034750000}"/>
    <cellStyle name="Normal 2 9 2 3 2 2 3 4" xfId="10528" xr:uid="{00000000-0005-0000-0000-000035750000}"/>
    <cellStyle name="Normal 2 9 2 3 2 2 3 4 2" xfId="33171" xr:uid="{00000000-0005-0000-0000-000036750000}"/>
    <cellStyle name="Normal 2 9 2 3 2 2 3 5" xfId="25730" xr:uid="{00000000-0005-0000-0000-000037750000}"/>
    <cellStyle name="Normal 2 9 2 3 2 2 4" xfId="4955" xr:uid="{00000000-0005-0000-0000-000038750000}"/>
    <cellStyle name="Normal 2 9 2 3 2 2 4 2" xfId="19839" xr:uid="{00000000-0005-0000-0000-000039750000}"/>
    <cellStyle name="Normal 2 9 2 3 2 2 4 2 2" xfId="42482" xr:uid="{00000000-0005-0000-0000-00003A750000}"/>
    <cellStyle name="Normal 2 9 2 3 2 2 4 3" xfId="12399" xr:uid="{00000000-0005-0000-0000-00003B750000}"/>
    <cellStyle name="Normal 2 9 2 3 2 2 4 3 2" xfId="35042" xr:uid="{00000000-0005-0000-0000-00003C750000}"/>
    <cellStyle name="Normal 2 9 2 3 2 2 4 4" xfId="27601" xr:uid="{00000000-0005-0000-0000-00003D750000}"/>
    <cellStyle name="Normal 2 9 2 3 2 2 5" xfId="16121" xr:uid="{00000000-0005-0000-0000-00003E750000}"/>
    <cellStyle name="Normal 2 9 2 3 2 2 5 2" xfId="38764" xr:uid="{00000000-0005-0000-0000-00003F750000}"/>
    <cellStyle name="Normal 2 9 2 3 2 2 6" xfId="8681" xr:uid="{00000000-0005-0000-0000-000040750000}"/>
    <cellStyle name="Normal 2 9 2 3 2 2 6 2" xfId="31324" xr:uid="{00000000-0005-0000-0000-000041750000}"/>
    <cellStyle name="Normal 2 9 2 3 2 2 7" xfId="23883" xr:uid="{00000000-0005-0000-0000-000042750000}"/>
    <cellStyle name="Normal 2 9 2 3 2 3" xfId="1694" xr:uid="{00000000-0005-0000-0000-000043750000}"/>
    <cellStyle name="Normal 2 9 2 3 2 3 2" xfId="3544" xr:uid="{00000000-0005-0000-0000-000044750000}"/>
    <cellStyle name="Normal 2 9 2 3 2 3 2 2" xfId="7265" xr:uid="{00000000-0005-0000-0000-000045750000}"/>
    <cellStyle name="Normal 2 9 2 3 2 3 2 2 2" xfId="22149" xr:uid="{00000000-0005-0000-0000-000046750000}"/>
    <cellStyle name="Normal 2 9 2 3 2 3 2 2 2 2" xfId="44792" xr:uid="{00000000-0005-0000-0000-000047750000}"/>
    <cellStyle name="Normal 2 9 2 3 2 3 2 2 3" xfId="14709" xr:uid="{00000000-0005-0000-0000-000048750000}"/>
    <cellStyle name="Normal 2 9 2 3 2 3 2 2 3 2" xfId="37352" xr:uid="{00000000-0005-0000-0000-000049750000}"/>
    <cellStyle name="Normal 2 9 2 3 2 3 2 2 4" xfId="29911" xr:uid="{00000000-0005-0000-0000-00004A750000}"/>
    <cellStyle name="Normal 2 9 2 3 2 3 2 3" xfId="18431" xr:uid="{00000000-0005-0000-0000-00004B750000}"/>
    <cellStyle name="Normal 2 9 2 3 2 3 2 3 2" xfId="41074" xr:uid="{00000000-0005-0000-0000-00004C750000}"/>
    <cellStyle name="Normal 2 9 2 3 2 3 2 4" xfId="10991" xr:uid="{00000000-0005-0000-0000-00004D750000}"/>
    <cellStyle name="Normal 2 9 2 3 2 3 2 4 2" xfId="33634" xr:uid="{00000000-0005-0000-0000-00004E750000}"/>
    <cellStyle name="Normal 2 9 2 3 2 3 2 5" xfId="26193" xr:uid="{00000000-0005-0000-0000-00004F750000}"/>
    <cellStyle name="Normal 2 9 2 3 2 3 3" xfId="5418" xr:uid="{00000000-0005-0000-0000-000050750000}"/>
    <cellStyle name="Normal 2 9 2 3 2 3 3 2" xfId="20302" xr:uid="{00000000-0005-0000-0000-000051750000}"/>
    <cellStyle name="Normal 2 9 2 3 2 3 3 2 2" xfId="42945" xr:uid="{00000000-0005-0000-0000-000052750000}"/>
    <cellStyle name="Normal 2 9 2 3 2 3 3 3" xfId="12862" xr:uid="{00000000-0005-0000-0000-000053750000}"/>
    <cellStyle name="Normal 2 9 2 3 2 3 3 3 2" xfId="35505" xr:uid="{00000000-0005-0000-0000-000054750000}"/>
    <cellStyle name="Normal 2 9 2 3 2 3 3 4" xfId="28064" xr:uid="{00000000-0005-0000-0000-000055750000}"/>
    <cellStyle name="Normal 2 9 2 3 2 3 4" xfId="16584" xr:uid="{00000000-0005-0000-0000-000056750000}"/>
    <cellStyle name="Normal 2 9 2 3 2 3 4 2" xfId="39227" xr:uid="{00000000-0005-0000-0000-000057750000}"/>
    <cellStyle name="Normal 2 9 2 3 2 3 5" xfId="9144" xr:uid="{00000000-0005-0000-0000-000058750000}"/>
    <cellStyle name="Normal 2 9 2 3 2 3 5 2" xfId="31787" xr:uid="{00000000-0005-0000-0000-000059750000}"/>
    <cellStyle name="Normal 2 9 2 3 2 3 6" xfId="24346" xr:uid="{00000000-0005-0000-0000-00005A750000}"/>
    <cellStyle name="Normal 2 9 2 3 2 4" xfId="2619" xr:uid="{00000000-0005-0000-0000-00005B750000}"/>
    <cellStyle name="Normal 2 9 2 3 2 4 2" xfId="6340" xr:uid="{00000000-0005-0000-0000-00005C750000}"/>
    <cellStyle name="Normal 2 9 2 3 2 4 2 2" xfId="21224" xr:uid="{00000000-0005-0000-0000-00005D750000}"/>
    <cellStyle name="Normal 2 9 2 3 2 4 2 2 2" xfId="43867" xr:uid="{00000000-0005-0000-0000-00005E750000}"/>
    <cellStyle name="Normal 2 9 2 3 2 4 2 3" xfId="13784" xr:uid="{00000000-0005-0000-0000-00005F750000}"/>
    <cellStyle name="Normal 2 9 2 3 2 4 2 3 2" xfId="36427" xr:uid="{00000000-0005-0000-0000-000060750000}"/>
    <cellStyle name="Normal 2 9 2 3 2 4 2 4" xfId="28986" xr:uid="{00000000-0005-0000-0000-000061750000}"/>
    <cellStyle name="Normal 2 9 2 3 2 4 3" xfId="17506" xr:uid="{00000000-0005-0000-0000-000062750000}"/>
    <cellStyle name="Normal 2 9 2 3 2 4 3 2" xfId="40149" xr:uid="{00000000-0005-0000-0000-000063750000}"/>
    <cellStyle name="Normal 2 9 2 3 2 4 4" xfId="10066" xr:uid="{00000000-0005-0000-0000-000064750000}"/>
    <cellStyle name="Normal 2 9 2 3 2 4 4 2" xfId="32709" xr:uid="{00000000-0005-0000-0000-000065750000}"/>
    <cellStyle name="Normal 2 9 2 3 2 4 5" xfId="25268" xr:uid="{00000000-0005-0000-0000-000066750000}"/>
    <cellStyle name="Normal 2 9 2 3 2 5" xfId="4493" xr:uid="{00000000-0005-0000-0000-000067750000}"/>
    <cellStyle name="Normal 2 9 2 3 2 5 2" xfId="19377" xr:uid="{00000000-0005-0000-0000-000068750000}"/>
    <cellStyle name="Normal 2 9 2 3 2 5 2 2" xfId="42020" xr:uid="{00000000-0005-0000-0000-000069750000}"/>
    <cellStyle name="Normal 2 9 2 3 2 5 3" xfId="11937" xr:uid="{00000000-0005-0000-0000-00006A750000}"/>
    <cellStyle name="Normal 2 9 2 3 2 5 3 2" xfId="34580" xr:uid="{00000000-0005-0000-0000-00006B750000}"/>
    <cellStyle name="Normal 2 9 2 3 2 5 4" xfId="27139" xr:uid="{00000000-0005-0000-0000-00006C750000}"/>
    <cellStyle name="Normal 2 9 2 3 2 6" xfId="15659" xr:uid="{00000000-0005-0000-0000-00006D750000}"/>
    <cellStyle name="Normal 2 9 2 3 2 6 2" xfId="38302" xr:uid="{00000000-0005-0000-0000-00006E750000}"/>
    <cellStyle name="Normal 2 9 2 3 2 7" xfId="8219" xr:uid="{00000000-0005-0000-0000-00006F750000}"/>
    <cellStyle name="Normal 2 9 2 3 2 7 2" xfId="30862" xr:uid="{00000000-0005-0000-0000-000070750000}"/>
    <cellStyle name="Normal 2 9 2 3 2 8" xfId="23421" xr:uid="{00000000-0005-0000-0000-000071750000}"/>
    <cellStyle name="Normal 2 9 2 3 3" xfId="1017" xr:uid="{00000000-0005-0000-0000-000072750000}"/>
    <cellStyle name="Normal 2 9 2 3 3 2" xfId="1945" xr:uid="{00000000-0005-0000-0000-000073750000}"/>
    <cellStyle name="Normal 2 9 2 3 3 2 2" xfId="3795" xr:uid="{00000000-0005-0000-0000-000074750000}"/>
    <cellStyle name="Normal 2 9 2 3 3 2 2 2" xfId="7516" xr:uid="{00000000-0005-0000-0000-000075750000}"/>
    <cellStyle name="Normal 2 9 2 3 3 2 2 2 2" xfId="22400" xr:uid="{00000000-0005-0000-0000-000076750000}"/>
    <cellStyle name="Normal 2 9 2 3 3 2 2 2 2 2" xfId="45043" xr:uid="{00000000-0005-0000-0000-000077750000}"/>
    <cellStyle name="Normal 2 9 2 3 3 2 2 2 3" xfId="14960" xr:uid="{00000000-0005-0000-0000-000078750000}"/>
    <cellStyle name="Normal 2 9 2 3 3 2 2 2 3 2" xfId="37603" xr:uid="{00000000-0005-0000-0000-000079750000}"/>
    <cellStyle name="Normal 2 9 2 3 3 2 2 2 4" xfId="30162" xr:uid="{00000000-0005-0000-0000-00007A750000}"/>
    <cellStyle name="Normal 2 9 2 3 3 2 2 3" xfId="18682" xr:uid="{00000000-0005-0000-0000-00007B750000}"/>
    <cellStyle name="Normal 2 9 2 3 3 2 2 3 2" xfId="41325" xr:uid="{00000000-0005-0000-0000-00007C750000}"/>
    <cellStyle name="Normal 2 9 2 3 3 2 2 4" xfId="11242" xr:uid="{00000000-0005-0000-0000-00007D750000}"/>
    <cellStyle name="Normal 2 9 2 3 3 2 2 4 2" xfId="33885" xr:uid="{00000000-0005-0000-0000-00007E750000}"/>
    <cellStyle name="Normal 2 9 2 3 3 2 2 5" xfId="26444" xr:uid="{00000000-0005-0000-0000-00007F750000}"/>
    <cellStyle name="Normal 2 9 2 3 3 2 3" xfId="5669" xr:uid="{00000000-0005-0000-0000-000080750000}"/>
    <cellStyle name="Normal 2 9 2 3 3 2 3 2" xfId="20553" xr:uid="{00000000-0005-0000-0000-000081750000}"/>
    <cellStyle name="Normal 2 9 2 3 3 2 3 2 2" xfId="43196" xr:uid="{00000000-0005-0000-0000-000082750000}"/>
    <cellStyle name="Normal 2 9 2 3 3 2 3 3" xfId="13113" xr:uid="{00000000-0005-0000-0000-000083750000}"/>
    <cellStyle name="Normal 2 9 2 3 3 2 3 3 2" xfId="35756" xr:uid="{00000000-0005-0000-0000-000084750000}"/>
    <cellStyle name="Normal 2 9 2 3 3 2 3 4" xfId="28315" xr:uid="{00000000-0005-0000-0000-000085750000}"/>
    <cellStyle name="Normal 2 9 2 3 3 2 4" xfId="16835" xr:uid="{00000000-0005-0000-0000-000086750000}"/>
    <cellStyle name="Normal 2 9 2 3 3 2 4 2" xfId="39478" xr:uid="{00000000-0005-0000-0000-000087750000}"/>
    <cellStyle name="Normal 2 9 2 3 3 2 5" xfId="9395" xr:uid="{00000000-0005-0000-0000-000088750000}"/>
    <cellStyle name="Normal 2 9 2 3 3 2 5 2" xfId="32038" xr:uid="{00000000-0005-0000-0000-000089750000}"/>
    <cellStyle name="Normal 2 9 2 3 3 2 6" xfId="24597" xr:uid="{00000000-0005-0000-0000-00008A750000}"/>
    <cellStyle name="Normal 2 9 2 3 3 3" xfId="2870" xr:uid="{00000000-0005-0000-0000-00008B750000}"/>
    <cellStyle name="Normal 2 9 2 3 3 3 2" xfId="6591" xr:uid="{00000000-0005-0000-0000-00008C750000}"/>
    <cellStyle name="Normal 2 9 2 3 3 3 2 2" xfId="21475" xr:uid="{00000000-0005-0000-0000-00008D750000}"/>
    <cellStyle name="Normal 2 9 2 3 3 3 2 2 2" xfId="44118" xr:uid="{00000000-0005-0000-0000-00008E750000}"/>
    <cellStyle name="Normal 2 9 2 3 3 3 2 3" xfId="14035" xr:uid="{00000000-0005-0000-0000-00008F750000}"/>
    <cellStyle name="Normal 2 9 2 3 3 3 2 3 2" xfId="36678" xr:uid="{00000000-0005-0000-0000-000090750000}"/>
    <cellStyle name="Normal 2 9 2 3 3 3 2 4" xfId="29237" xr:uid="{00000000-0005-0000-0000-000091750000}"/>
    <cellStyle name="Normal 2 9 2 3 3 3 3" xfId="17757" xr:uid="{00000000-0005-0000-0000-000092750000}"/>
    <cellStyle name="Normal 2 9 2 3 3 3 3 2" xfId="40400" xr:uid="{00000000-0005-0000-0000-000093750000}"/>
    <cellStyle name="Normal 2 9 2 3 3 3 4" xfId="10317" xr:uid="{00000000-0005-0000-0000-000094750000}"/>
    <cellStyle name="Normal 2 9 2 3 3 3 4 2" xfId="32960" xr:uid="{00000000-0005-0000-0000-000095750000}"/>
    <cellStyle name="Normal 2 9 2 3 3 3 5" xfId="25519" xr:uid="{00000000-0005-0000-0000-000096750000}"/>
    <cellStyle name="Normal 2 9 2 3 3 4" xfId="4744" xr:uid="{00000000-0005-0000-0000-000097750000}"/>
    <cellStyle name="Normal 2 9 2 3 3 4 2" xfId="19628" xr:uid="{00000000-0005-0000-0000-000098750000}"/>
    <cellStyle name="Normal 2 9 2 3 3 4 2 2" xfId="42271" xr:uid="{00000000-0005-0000-0000-000099750000}"/>
    <cellStyle name="Normal 2 9 2 3 3 4 3" xfId="12188" xr:uid="{00000000-0005-0000-0000-00009A750000}"/>
    <cellStyle name="Normal 2 9 2 3 3 4 3 2" xfId="34831" xr:uid="{00000000-0005-0000-0000-00009B750000}"/>
    <cellStyle name="Normal 2 9 2 3 3 4 4" xfId="27390" xr:uid="{00000000-0005-0000-0000-00009C750000}"/>
    <cellStyle name="Normal 2 9 2 3 3 5" xfId="15910" xr:uid="{00000000-0005-0000-0000-00009D750000}"/>
    <cellStyle name="Normal 2 9 2 3 3 5 2" xfId="38553" xr:uid="{00000000-0005-0000-0000-00009E750000}"/>
    <cellStyle name="Normal 2 9 2 3 3 6" xfId="8470" xr:uid="{00000000-0005-0000-0000-00009F750000}"/>
    <cellStyle name="Normal 2 9 2 3 3 6 2" xfId="31113" xr:uid="{00000000-0005-0000-0000-0000A0750000}"/>
    <cellStyle name="Normal 2 9 2 3 3 7" xfId="23672" xr:uid="{00000000-0005-0000-0000-0000A1750000}"/>
    <cellStyle name="Normal 2 9 2 3 4" xfId="1483" xr:uid="{00000000-0005-0000-0000-0000A2750000}"/>
    <cellStyle name="Normal 2 9 2 3 4 2" xfId="3333" xr:uid="{00000000-0005-0000-0000-0000A3750000}"/>
    <cellStyle name="Normal 2 9 2 3 4 2 2" xfId="7054" xr:uid="{00000000-0005-0000-0000-0000A4750000}"/>
    <cellStyle name="Normal 2 9 2 3 4 2 2 2" xfId="21938" xr:uid="{00000000-0005-0000-0000-0000A5750000}"/>
    <cellStyle name="Normal 2 9 2 3 4 2 2 2 2" xfId="44581" xr:uid="{00000000-0005-0000-0000-0000A6750000}"/>
    <cellStyle name="Normal 2 9 2 3 4 2 2 3" xfId="14498" xr:uid="{00000000-0005-0000-0000-0000A7750000}"/>
    <cellStyle name="Normal 2 9 2 3 4 2 2 3 2" xfId="37141" xr:uid="{00000000-0005-0000-0000-0000A8750000}"/>
    <cellStyle name="Normal 2 9 2 3 4 2 2 4" xfId="29700" xr:uid="{00000000-0005-0000-0000-0000A9750000}"/>
    <cellStyle name="Normal 2 9 2 3 4 2 3" xfId="18220" xr:uid="{00000000-0005-0000-0000-0000AA750000}"/>
    <cellStyle name="Normal 2 9 2 3 4 2 3 2" xfId="40863" xr:uid="{00000000-0005-0000-0000-0000AB750000}"/>
    <cellStyle name="Normal 2 9 2 3 4 2 4" xfId="10780" xr:uid="{00000000-0005-0000-0000-0000AC750000}"/>
    <cellStyle name="Normal 2 9 2 3 4 2 4 2" xfId="33423" xr:uid="{00000000-0005-0000-0000-0000AD750000}"/>
    <cellStyle name="Normal 2 9 2 3 4 2 5" xfId="25982" xr:uid="{00000000-0005-0000-0000-0000AE750000}"/>
    <cellStyle name="Normal 2 9 2 3 4 3" xfId="5207" xr:uid="{00000000-0005-0000-0000-0000AF750000}"/>
    <cellStyle name="Normal 2 9 2 3 4 3 2" xfId="20091" xr:uid="{00000000-0005-0000-0000-0000B0750000}"/>
    <cellStyle name="Normal 2 9 2 3 4 3 2 2" xfId="42734" xr:uid="{00000000-0005-0000-0000-0000B1750000}"/>
    <cellStyle name="Normal 2 9 2 3 4 3 3" xfId="12651" xr:uid="{00000000-0005-0000-0000-0000B2750000}"/>
    <cellStyle name="Normal 2 9 2 3 4 3 3 2" xfId="35294" xr:uid="{00000000-0005-0000-0000-0000B3750000}"/>
    <cellStyle name="Normal 2 9 2 3 4 3 4" xfId="27853" xr:uid="{00000000-0005-0000-0000-0000B4750000}"/>
    <cellStyle name="Normal 2 9 2 3 4 4" xfId="16373" xr:uid="{00000000-0005-0000-0000-0000B5750000}"/>
    <cellStyle name="Normal 2 9 2 3 4 4 2" xfId="39016" xr:uid="{00000000-0005-0000-0000-0000B6750000}"/>
    <cellStyle name="Normal 2 9 2 3 4 5" xfId="8933" xr:uid="{00000000-0005-0000-0000-0000B7750000}"/>
    <cellStyle name="Normal 2 9 2 3 4 5 2" xfId="31576" xr:uid="{00000000-0005-0000-0000-0000B8750000}"/>
    <cellStyle name="Normal 2 9 2 3 4 6" xfId="24135" xr:uid="{00000000-0005-0000-0000-0000B9750000}"/>
    <cellStyle name="Normal 2 9 2 3 5" xfId="2408" xr:uid="{00000000-0005-0000-0000-0000BA750000}"/>
    <cellStyle name="Normal 2 9 2 3 5 2" xfId="6129" xr:uid="{00000000-0005-0000-0000-0000BB750000}"/>
    <cellStyle name="Normal 2 9 2 3 5 2 2" xfId="21013" xr:uid="{00000000-0005-0000-0000-0000BC750000}"/>
    <cellStyle name="Normal 2 9 2 3 5 2 2 2" xfId="43656" xr:uid="{00000000-0005-0000-0000-0000BD750000}"/>
    <cellStyle name="Normal 2 9 2 3 5 2 3" xfId="13573" xr:uid="{00000000-0005-0000-0000-0000BE750000}"/>
    <cellStyle name="Normal 2 9 2 3 5 2 3 2" xfId="36216" xr:uid="{00000000-0005-0000-0000-0000BF750000}"/>
    <cellStyle name="Normal 2 9 2 3 5 2 4" xfId="28775" xr:uid="{00000000-0005-0000-0000-0000C0750000}"/>
    <cellStyle name="Normal 2 9 2 3 5 3" xfId="17295" xr:uid="{00000000-0005-0000-0000-0000C1750000}"/>
    <cellStyle name="Normal 2 9 2 3 5 3 2" xfId="39938" xr:uid="{00000000-0005-0000-0000-0000C2750000}"/>
    <cellStyle name="Normal 2 9 2 3 5 4" xfId="9855" xr:uid="{00000000-0005-0000-0000-0000C3750000}"/>
    <cellStyle name="Normal 2 9 2 3 5 4 2" xfId="32498" xr:uid="{00000000-0005-0000-0000-0000C4750000}"/>
    <cellStyle name="Normal 2 9 2 3 5 5" xfId="25057" xr:uid="{00000000-0005-0000-0000-0000C5750000}"/>
    <cellStyle name="Normal 2 9 2 3 6" xfId="4282" xr:uid="{00000000-0005-0000-0000-0000C6750000}"/>
    <cellStyle name="Normal 2 9 2 3 6 2" xfId="19166" xr:uid="{00000000-0005-0000-0000-0000C7750000}"/>
    <cellStyle name="Normal 2 9 2 3 6 2 2" xfId="41809" xr:uid="{00000000-0005-0000-0000-0000C8750000}"/>
    <cellStyle name="Normal 2 9 2 3 6 3" xfId="11726" xr:uid="{00000000-0005-0000-0000-0000C9750000}"/>
    <cellStyle name="Normal 2 9 2 3 6 3 2" xfId="34369" xr:uid="{00000000-0005-0000-0000-0000CA750000}"/>
    <cellStyle name="Normal 2 9 2 3 6 4" xfId="26928" xr:uid="{00000000-0005-0000-0000-0000CB750000}"/>
    <cellStyle name="Normal 2 9 2 3 7" xfId="15448" xr:uid="{00000000-0005-0000-0000-0000CC750000}"/>
    <cellStyle name="Normal 2 9 2 3 7 2" xfId="38091" xr:uid="{00000000-0005-0000-0000-0000CD750000}"/>
    <cellStyle name="Normal 2 9 2 3 8" xfId="8008" xr:uid="{00000000-0005-0000-0000-0000CE750000}"/>
    <cellStyle name="Normal 2 9 2 3 8 2" xfId="30651" xr:uid="{00000000-0005-0000-0000-0000CF750000}"/>
    <cellStyle name="Normal 2 9 2 3 9" xfId="23211" xr:uid="{00000000-0005-0000-0000-0000D0750000}"/>
    <cellStyle name="Normal 2 9 2 4" xfId="658" xr:uid="{00000000-0005-0000-0000-0000D1750000}"/>
    <cellStyle name="Normal 2 9 2 4 2" xfId="1123" xr:uid="{00000000-0005-0000-0000-0000D2750000}"/>
    <cellStyle name="Normal 2 9 2 4 2 2" xfId="2051" xr:uid="{00000000-0005-0000-0000-0000D3750000}"/>
    <cellStyle name="Normal 2 9 2 4 2 2 2" xfId="3901" xr:uid="{00000000-0005-0000-0000-0000D4750000}"/>
    <cellStyle name="Normal 2 9 2 4 2 2 2 2" xfId="7622" xr:uid="{00000000-0005-0000-0000-0000D5750000}"/>
    <cellStyle name="Normal 2 9 2 4 2 2 2 2 2" xfId="22506" xr:uid="{00000000-0005-0000-0000-0000D6750000}"/>
    <cellStyle name="Normal 2 9 2 4 2 2 2 2 2 2" xfId="45149" xr:uid="{00000000-0005-0000-0000-0000D7750000}"/>
    <cellStyle name="Normal 2 9 2 4 2 2 2 2 3" xfId="15066" xr:uid="{00000000-0005-0000-0000-0000D8750000}"/>
    <cellStyle name="Normal 2 9 2 4 2 2 2 2 3 2" xfId="37709" xr:uid="{00000000-0005-0000-0000-0000D9750000}"/>
    <cellStyle name="Normal 2 9 2 4 2 2 2 2 4" xfId="30268" xr:uid="{00000000-0005-0000-0000-0000DA750000}"/>
    <cellStyle name="Normal 2 9 2 4 2 2 2 3" xfId="18788" xr:uid="{00000000-0005-0000-0000-0000DB750000}"/>
    <cellStyle name="Normal 2 9 2 4 2 2 2 3 2" xfId="41431" xr:uid="{00000000-0005-0000-0000-0000DC750000}"/>
    <cellStyle name="Normal 2 9 2 4 2 2 2 4" xfId="11348" xr:uid="{00000000-0005-0000-0000-0000DD750000}"/>
    <cellStyle name="Normal 2 9 2 4 2 2 2 4 2" xfId="33991" xr:uid="{00000000-0005-0000-0000-0000DE750000}"/>
    <cellStyle name="Normal 2 9 2 4 2 2 2 5" xfId="26550" xr:uid="{00000000-0005-0000-0000-0000DF750000}"/>
    <cellStyle name="Normal 2 9 2 4 2 2 3" xfId="5775" xr:uid="{00000000-0005-0000-0000-0000E0750000}"/>
    <cellStyle name="Normal 2 9 2 4 2 2 3 2" xfId="20659" xr:uid="{00000000-0005-0000-0000-0000E1750000}"/>
    <cellStyle name="Normal 2 9 2 4 2 2 3 2 2" xfId="43302" xr:uid="{00000000-0005-0000-0000-0000E2750000}"/>
    <cellStyle name="Normal 2 9 2 4 2 2 3 3" xfId="13219" xr:uid="{00000000-0005-0000-0000-0000E3750000}"/>
    <cellStyle name="Normal 2 9 2 4 2 2 3 3 2" xfId="35862" xr:uid="{00000000-0005-0000-0000-0000E4750000}"/>
    <cellStyle name="Normal 2 9 2 4 2 2 3 4" xfId="28421" xr:uid="{00000000-0005-0000-0000-0000E5750000}"/>
    <cellStyle name="Normal 2 9 2 4 2 2 4" xfId="16941" xr:uid="{00000000-0005-0000-0000-0000E6750000}"/>
    <cellStyle name="Normal 2 9 2 4 2 2 4 2" xfId="39584" xr:uid="{00000000-0005-0000-0000-0000E7750000}"/>
    <cellStyle name="Normal 2 9 2 4 2 2 5" xfId="9501" xr:uid="{00000000-0005-0000-0000-0000E8750000}"/>
    <cellStyle name="Normal 2 9 2 4 2 2 5 2" xfId="32144" xr:uid="{00000000-0005-0000-0000-0000E9750000}"/>
    <cellStyle name="Normal 2 9 2 4 2 2 6" xfId="24703" xr:uid="{00000000-0005-0000-0000-0000EA750000}"/>
    <cellStyle name="Normal 2 9 2 4 2 3" xfId="2976" xr:uid="{00000000-0005-0000-0000-0000EB750000}"/>
    <cellStyle name="Normal 2 9 2 4 2 3 2" xfId="6697" xr:uid="{00000000-0005-0000-0000-0000EC750000}"/>
    <cellStyle name="Normal 2 9 2 4 2 3 2 2" xfId="21581" xr:uid="{00000000-0005-0000-0000-0000ED750000}"/>
    <cellStyle name="Normal 2 9 2 4 2 3 2 2 2" xfId="44224" xr:uid="{00000000-0005-0000-0000-0000EE750000}"/>
    <cellStyle name="Normal 2 9 2 4 2 3 2 3" xfId="14141" xr:uid="{00000000-0005-0000-0000-0000EF750000}"/>
    <cellStyle name="Normal 2 9 2 4 2 3 2 3 2" xfId="36784" xr:uid="{00000000-0005-0000-0000-0000F0750000}"/>
    <cellStyle name="Normal 2 9 2 4 2 3 2 4" xfId="29343" xr:uid="{00000000-0005-0000-0000-0000F1750000}"/>
    <cellStyle name="Normal 2 9 2 4 2 3 3" xfId="17863" xr:uid="{00000000-0005-0000-0000-0000F2750000}"/>
    <cellStyle name="Normal 2 9 2 4 2 3 3 2" xfId="40506" xr:uid="{00000000-0005-0000-0000-0000F3750000}"/>
    <cellStyle name="Normal 2 9 2 4 2 3 4" xfId="10423" xr:uid="{00000000-0005-0000-0000-0000F4750000}"/>
    <cellStyle name="Normal 2 9 2 4 2 3 4 2" xfId="33066" xr:uid="{00000000-0005-0000-0000-0000F5750000}"/>
    <cellStyle name="Normal 2 9 2 4 2 3 5" xfId="25625" xr:uid="{00000000-0005-0000-0000-0000F6750000}"/>
    <cellStyle name="Normal 2 9 2 4 2 4" xfId="4850" xr:uid="{00000000-0005-0000-0000-0000F7750000}"/>
    <cellStyle name="Normal 2 9 2 4 2 4 2" xfId="19734" xr:uid="{00000000-0005-0000-0000-0000F8750000}"/>
    <cellStyle name="Normal 2 9 2 4 2 4 2 2" xfId="42377" xr:uid="{00000000-0005-0000-0000-0000F9750000}"/>
    <cellStyle name="Normal 2 9 2 4 2 4 3" xfId="12294" xr:uid="{00000000-0005-0000-0000-0000FA750000}"/>
    <cellStyle name="Normal 2 9 2 4 2 4 3 2" xfId="34937" xr:uid="{00000000-0005-0000-0000-0000FB750000}"/>
    <cellStyle name="Normal 2 9 2 4 2 4 4" xfId="27496" xr:uid="{00000000-0005-0000-0000-0000FC750000}"/>
    <cellStyle name="Normal 2 9 2 4 2 5" xfId="16016" xr:uid="{00000000-0005-0000-0000-0000FD750000}"/>
    <cellStyle name="Normal 2 9 2 4 2 5 2" xfId="38659" xr:uid="{00000000-0005-0000-0000-0000FE750000}"/>
    <cellStyle name="Normal 2 9 2 4 2 6" xfId="8576" xr:uid="{00000000-0005-0000-0000-0000FF750000}"/>
    <cellStyle name="Normal 2 9 2 4 2 6 2" xfId="31219" xr:uid="{00000000-0005-0000-0000-000000760000}"/>
    <cellStyle name="Normal 2 9 2 4 2 7" xfId="23778" xr:uid="{00000000-0005-0000-0000-000001760000}"/>
    <cellStyle name="Normal 2 9 2 4 3" xfId="1589" xr:uid="{00000000-0005-0000-0000-000002760000}"/>
    <cellStyle name="Normal 2 9 2 4 3 2" xfId="3439" xr:uid="{00000000-0005-0000-0000-000003760000}"/>
    <cellStyle name="Normal 2 9 2 4 3 2 2" xfId="7160" xr:uid="{00000000-0005-0000-0000-000004760000}"/>
    <cellStyle name="Normal 2 9 2 4 3 2 2 2" xfId="22044" xr:uid="{00000000-0005-0000-0000-000005760000}"/>
    <cellStyle name="Normal 2 9 2 4 3 2 2 2 2" xfId="44687" xr:uid="{00000000-0005-0000-0000-000006760000}"/>
    <cellStyle name="Normal 2 9 2 4 3 2 2 3" xfId="14604" xr:uid="{00000000-0005-0000-0000-000007760000}"/>
    <cellStyle name="Normal 2 9 2 4 3 2 2 3 2" xfId="37247" xr:uid="{00000000-0005-0000-0000-000008760000}"/>
    <cellStyle name="Normal 2 9 2 4 3 2 2 4" xfId="29806" xr:uid="{00000000-0005-0000-0000-000009760000}"/>
    <cellStyle name="Normal 2 9 2 4 3 2 3" xfId="18326" xr:uid="{00000000-0005-0000-0000-00000A760000}"/>
    <cellStyle name="Normal 2 9 2 4 3 2 3 2" xfId="40969" xr:uid="{00000000-0005-0000-0000-00000B760000}"/>
    <cellStyle name="Normal 2 9 2 4 3 2 4" xfId="10886" xr:uid="{00000000-0005-0000-0000-00000C760000}"/>
    <cellStyle name="Normal 2 9 2 4 3 2 4 2" xfId="33529" xr:uid="{00000000-0005-0000-0000-00000D760000}"/>
    <cellStyle name="Normal 2 9 2 4 3 2 5" xfId="26088" xr:uid="{00000000-0005-0000-0000-00000E760000}"/>
    <cellStyle name="Normal 2 9 2 4 3 3" xfId="5313" xr:uid="{00000000-0005-0000-0000-00000F760000}"/>
    <cellStyle name="Normal 2 9 2 4 3 3 2" xfId="20197" xr:uid="{00000000-0005-0000-0000-000010760000}"/>
    <cellStyle name="Normal 2 9 2 4 3 3 2 2" xfId="42840" xr:uid="{00000000-0005-0000-0000-000011760000}"/>
    <cellStyle name="Normal 2 9 2 4 3 3 3" xfId="12757" xr:uid="{00000000-0005-0000-0000-000012760000}"/>
    <cellStyle name="Normal 2 9 2 4 3 3 3 2" xfId="35400" xr:uid="{00000000-0005-0000-0000-000013760000}"/>
    <cellStyle name="Normal 2 9 2 4 3 3 4" xfId="27959" xr:uid="{00000000-0005-0000-0000-000014760000}"/>
    <cellStyle name="Normal 2 9 2 4 3 4" xfId="16479" xr:uid="{00000000-0005-0000-0000-000015760000}"/>
    <cellStyle name="Normal 2 9 2 4 3 4 2" xfId="39122" xr:uid="{00000000-0005-0000-0000-000016760000}"/>
    <cellStyle name="Normal 2 9 2 4 3 5" xfId="9039" xr:uid="{00000000-0005-0000-0000-000017760000}"/>
    <cellStyle name="Normal 2 9 2 4 3 5 2" xfId="31682" xr:uid="{00000000-0005-0000-0000-000018760000}"/>
    <cellStyle name="Normal 2 9 2 4 3 6" xfId="24241" xr:uid="{00000000-0005-0000-0000-000019760000}"/>
    <cellStyle name="Normal 2 9 2 4 4" xfId="2514" xr:uid="{00000000-0005-0000-0000-00001A760000}"/>
    <cellStyle name="Normal 2 9 2 4 4 2" xfId="6235" xr:uid="{00000000-0005-0000-0000-00001B760000}"/>
    <cellStyle name="Normal 2 9 2 4 4 2 2" xfId="21119" xr:uid="{00000000-0005-0000-0000-00001C760000}"/>
    <cellStyle name="Normal 2 9 2 4 4 2 2 2" xfId="43762" xr:uid="{00000000-0005-0000-0000-00001D760000}"/>
    <cellStyle name="Normal 2 9 2 4 4 2 3" xfId="13679" xr:uid="{00000000-0005-0000-0000-00001E760000}"/>
    <cellStyle name="Normal 2 9 2 4 4 2 3 2" xfId="36322" xr:uid="{00000000-0005-0000-0000-00001F760000}"/>
    <cellStyle name="Normal 2 9 2 4 4 2 4" xfId="28881" xr:uid="{00000000-0005-0000-0000-000020760000}"/>
    <cellStyle name="Normal 2 9 2 4 4 3" xfId="17401" xr:uid="{00000000-0005-0000-0000-000021760000}"/>
    <cellStyle name="Normal 2 9 2 4 4 3 2" xfId="40044" xr:uid="{00000000-0005-0000-0000-000022760000}"/>
    <cellStyle name="Normal 2 9 2 4 4 4" xfId="9961" xr:uid="{00000000-0005-0000-0000-000023760000}"/>
    <cellStyle name="Normal 2 9 2 4 4 4 2" xfId="32604" xr:uid="{00000000-0005-0000-0000-000024760000}"/>
    <cellStyle name="Normal 2 9 2 4 4 5" xfId="25163" xr:uid="{00000000-0005-0000-0000-000025760000}"/>
    <cellStyle name="Normal 2 9 2 4 5" xfId="4388" xr:uid="{00000000-0005-0000-0000-000026760000}"/>
    <cellStyle name="Normal 2 9 2 4 5 2" xfId="19272" xr:uid="{00000000-0005-0000-0000-000027760000}"/>
    <cellStyle name="Normal 2 9 2 4 5 2 2" xfId="41915" xr:uid="{00000000-0005-0000-0000-000028760000}"/>
    <cellStyle name="Normal 2 9 2 4 5 3" xfId="11832" xr:uid="{00000000-0005-0000-0000-000029760000}"/>
    <cellStyle name="Normal 2 9 2 4 5 3 2" xfId="34475" xr:uid="{00000000-0005-0000-0000-00002A760000}"/>
    <cellStyle name="Normal 2 9 2 4 5 4" xfId="27034" xr:uid="{00000000-0005-0000-0000-00002B760000}"/>
    <cellStyle name="Normal 2 9 2 4 6" xfId="15554" xr:uid="{00000000-0005-0000-0000-00002C760000}"/>
    <cellStyle name="Normal 2 9 2 4 6 2" xfId="38197" xr:uid="{00000000-0005-0000-0000-00002D760000}"/>
    <cellStyle name="Normal 2 9 2 4 7" xfId="8114" xr:uid="{00000000-0005-0000-0000-00002E760000}"/>
    <cellStyle name="Normal 2 9 2 4 7 2" xfId="30757" xr:uid="{00000000-0005-0000-0000-00002F760000}"/>
    <cellStyle name="Normal 2 9 2 4 8" xfId="23316" xr:uid="{00000000-0005-0000-0000-000030760000}"/>
    <cellStyle name="Normal 2 9 2 5" xfId="912" xr:uid="{00000000-0005-0000-0000-000031760000}"/>
    <cellStyle name="Normal 2 9 2 5 2" xfId="1840" xr:uid="{00000000-0005-0000-0000-000032760000}"/>
    <cellStyle name="Normal 2 9 2 5 2 2" xfId="3690" xr:uid="{00000000-0005-0000-0000-000033760000}"/>
    <cellStyle name="Normal 2 9 2 5 2 2 2" xfId="7411" xr:uid="{00000000-0005-0000-0000-000034760000}"/>
    <cellStyle name="Normal 2 9 2 5 2 2 2 2" xfId="22295" xr:uid="{00000000-0005-0000-0000-000035760000}"/>
    <cellStyle name="Normal 2 9 2 5 2 2 2 2 2" xfId="44938" xr:uid="{00000000-0005-0000-0000-000036760000}"/>
    <cellStyle name="Normal 2 9 2 5 2 2 2 3" xfId="14855" xr:uid="{00000000-0005-0000-0000-000037760000}"/>
    <cellStyle name="Normal 2 9 2 5 2 2 2 3 2" xfId="37498" xr:uid="{00000000-0005-0000-0000-000038760000}"/>
    <cellStyle name="Normal 2 9 2 5 2 2 2 4" xfId="30057" xr:uid="{00000000-0005-0000-0000-000039760000}"/>
    <cellStyle name="Normal 2 9 2 5 2 2 3" xfId="18577" xr:uid="{00000000-0005-0000-0000-00003A760000}"/>
    <cellStyle name="Normal 2 9 2 5 2 2 3 2" xfId="41220" xr:uid="{00000000-0005-0000-0000-00003B760000}"/>
    <cellStyle name="Normal 2 9 2 5 2 2 4" xfId="11137" xr:uid="{00000000-0005-0000-0000-00003C760000}"/>
    <cellStyle name="Normal 2 9 2 5 2 2 4 2" xfId="33780" xr:uid="{00000000-0005-0000-0000-00003D760000}"/>
    <cellStyle name="Normal 2 9 2 5 2 2 5" xfId="26339" xr:uid="{00000000-0005-0000-0000-00003E760000}"/>
    <cellStyle name="Normal 2 9 2 5 2 3" xfId="5564" xr:uid="{00000000-0005-0000-0000-00003F760000}"/>
    <cellStyle name="Normal 2 9 2 5 2 3 2" xfId="20448" xr:uid="{00000000-0005-0000-0000-000040760000}"/>
    <cellStyle name="Normal 2 9 2 5 2 3 2 2" xfId="43091" xr:uid="{00000000-0005-0000-0000-000041760000}"/>
    <cellStyle name="Normal 2 9 2 5 2 3 3" xfId="13008" xr:uid="{00000000-0005-0000-0000-000042760000}"/>
    <cellStyle name="Normal 2 9 2 5 2 3 3 2" xfId="35651" xr:uid="{00000000-0005-0000-0000-000043760000}"/>
    <cellStyle name="Normal 2 9 2 5 2 3 4" xfId="28210" xr:uid="{00000000-0005-0000-0000-000044760000}"/>
    <cellStyle name="Normal 2 9 2 5 2 4" xfId="16730" xr:uid="{00000000-0005-0000-0000-000045760000}"/>
    <cellStyle name="Normal 2 9 2 5 2 4 2" xfId="39373" xr:uid="{00000000-0005-0000-0000-000046760000}"/>
    <cellStyle name="Normal 2 9 2 5 2 5" xfId="9290" xr:uid="{00000000-0005-0000-0000-000047760000}"/>
    <cellStyle name="Normal 2 9 2 5 2 5 2" xfId="31933" xr:uid="{00000000-0005-0000-0000-000048760000}"/>
    <cellStyle name="Normal 2 9 2 5 2 6" xfId="24492" xr:uid="{00000000-0005-0000-0000-000049760000}"/>
    <cellStyle name="Normal 2 9 2 5 3" xfId="2765" xr:uid="{00000000-0005-0000-0000-00004A760000}"/>
    <cellStyle name="Normal 2 9 2 5 3 2" xfId="6486" xr:uid="{00000000-0005-0000-0000-00004B760000}"/>
    <cellStyle name="Normal 2 9 2 5 3 2 2" xfId="21370" xr:uid="{00000000-0005-0000-0000-00004C760000}"/>
    <cellStyle name="Normal 2 9 2 5 3 2 2 2" xfId="44013" xr:uid="{00000000-0005-0000-0000-00004D760000}"/>
    <cellStyle name="Normal 2 9 2 5 3 2 3" xfId="13930" xr:uid="{00000000-0005-0000-0000-00004E760000}"/>
    <cellStyle name="Normal 2 9 2 5 3 2 3 2" xfId="36573" xr:uid="{00000000-0005-0000-0000-00004F760000}"/>
    <cellStyle name="Normal 2 9 2 5 3 2 4" xfId="29132" xr:uid="{00000000-0005-0000-0000-000050760000}"/>
    <cellStyle name="Normal 2 9 2 5 3 3" xfId="17652" xr:uid="{00000000-0005-0000-0000-000051760000}"/>
    <cellStyle name="Normal 2 9 2 5 3 3 2" xfId="40295" xr:uid="{00000000-0005-0000-0000-000052760000}"/>
    <cellStyle name="Normal 2 9 2 5 3 4" xfId="10212" xr:uid="{00000000-0005-0000-0000-000053760000}"/>
    <cellStyle name="Normal 2 9 2 5 3 4 2" xfId="32855" xr:uid="{00000000-0005-0000-0000-000054760000}"/>
    <cellStyle name="Normal 2 9 2 5 3 5" xfId="25414" xr:uid="{00000000-0005-0000-0000-000055760000}"/>
    <cellStyle name="Normal 2 9 2 5 4" xfId="4639" xr:uid="{00000000-0005-0000-0000-000056760000}"/>
    <cellStyle name="Normal 2 9 2 5 4 2" xfId="19523" xr:uid="{00000000-0005-0000-0000-000057760000}"/>
    <cellStyle name="Normal 2 9 2 5 4 2 2" xfId="42166" xr:uid="{00000000-0005-0000-0000-000058760000}"/>
    <cellStyle name="Normal 2 9 2 5 4 3" xfId="12083" xr:uid="{00000000-0005-0000-0000-000059760000}"/>
    <cellStyle name="Normal 2 9 2 5 4 3 2" xfId="34726" xr:uid="{00000000-0005-0000-0000-00005A760000}"/>
    <cellStyle name="Normal 2 9 2 5 4 4" xfId="27285" xr:uid="{00000000-0005-0000-0000-00005B760000}"/>
    <cellStyle name="Normal 2 9 2 5 5" xfId="15805" xr:uid="{00000000-0005-0000-0000-00005C760000}"/>
    <cellStyle name="Normal 2 9 2 5 5 2" xfId="38448" xr:uid="{00000000-0005-0000-0000-00005D760000}"/>
    <cellStyle name="Normal 2 9 2 5 6" xfId="8365" xr:uid="{00000000-0005-0000-0000-00005E760000}"/>
    <cellStyle name="Normal 2 9 2 5 6 2" xfId="31008" xr:uid="{00000000-0005-0000-0000-00005F760000}"/>
    <cellStyle name="Normal 2 9 2 5 7" xfId="23567" xr:uid="{00000000-0005-0000-0000-000060760000}"/>
    <cellStyle name="Normal 2 9 2 6" xfId="1378" xr:uid="{00000000-0005-0000-0000-000061760000}"/>
    <cellStyle name="Normal 2 9 2 6 2" xfId="3228" xr:uid="{00000000-0005-0000-0000-000062760000}"/>
    <cellStyle name="Normal 2 9 2 6 2 2" xfId="6949" xr:uid="{00000000-0005-0000-0000-000063760000}"/>
    <cellStyle name="Normal 2 9 2 6 2 2 2" xfId="21833" xr:uid="{00000000-0005-0000-0000-000064760000}"/>
    <cellStyle name="Normal 2 9 2 6 2 2 2 2" xfId="44476" xr:uid="{00000000-0005-0000-0000-000065760000}"/>
    <cellStyle name="Normal 2 9 2 6 2 2 3" xfId="14393" xr:uid="{00000000-0005-0000-0000-000066760000}"/>
    <cellStyle name="Normal 2 9 2 6 2 2 3 2" xfId="37036" xr:uid="{00000000-0005-0000-0000-000067760000}"/>
    <cellStyle name="Normal 2 9 2 6 2 2 4" xfId="29595" xr:uid="{00000000-0005-0000-0000-000068760000}"/>
    <cellStyle name="Normal 2 9 2 6 2 3" xfId="18115" xr:uid="{00000000-0005-0000-0000-000069760000}"/>
    <cellStyle name="Normal 2 9 2 6 2 3 2" xfId="40758" xr:uid="{00000000-0005-0000-0000-00006A760000}"/>
    <cellStyle name="Normal 2 9 2 6 2 4" xfId="10675" xr:uid="{00000000-0005-0000-0000-00006B760000}"/>
    <cellStyle name="Normal 2 9 2 6 2 4 2" xfId="33318" xr:uid="{00000000-0005-0000-0000-00006C760000}"/>
    <cellStyle name="Normal 2 9 2 6 2 5" xfId="25877" xr:uid="{00000000-0005-0000-0000-00006D760000}"/>
    <cellStyle name="Normal 2 9 2 6 3" xfId="5102" xr:uid="{00000000-0005-0000-0000-00006E760000}"/>
    <cellStyle name="Normal 2 9 2 6 3 2" xfId="19986" xr:uid="{00000000-0005-0000-0000-00006F760000}"/>
    <cellStyle name="Normal 2 9 2 6 3 2 2" xfId="42629" xr:uid="{00000000-0005-0000-0000-000070760000}"/>
    <cellStyle name="Normal 2 9 2 6 3 3" xfId="12546" xr:uid="{00000000-0005-0000-0000-000071760000}"/>
    <cellStyle name="Normal 2 9 2 6 3 3 2" xfId="35189" xr:uid="{00000000-0005-0000-0000-000072760000}"/>
    <cellStyle name="Normal 2 9 2 6 3 4" xfId="27748" xr:uid="{00000000-0005-0000-0000-000073760000}"/>
    <cellStyle name="Normal 2 9 2 6 4" xfId="16268" xr:uid="{00000000-0005-0000-0000-000074760000}"/>
    <cellStyle name="Normal 2 9 2 6 4 2" xfId="38911" xr:uid="{00000000-0005-0000-0000-000075760000}"/>
    <cellStyle name="Normal 2 9 2 6 5" xfId="8828" xr:uid="{00000000-0005-0000-0000-000076760000}"/>
    <cellStyle name="Normal 2 9 2 6 5 2" xfId="31471" xr:uid="{00000000-0005-0000-0000-000077760000}"/>
    <cellStyle name="Normal 2 9 2 6 6" xfId="24030" xr:uid="{00000000-0005-0000-0000-000078760000}"/>
    <cellStyle name="Normal 2 9 2 7" xfId="2303" xr:uid="{00000000-0005-0000-0000-000079760000}"/>
    <cellStyle name="Normal 2 9 2 7 2" xfId="6024" xr:uid="{00000000-0005-0000-0000-00007A760000}"/>
    <cellStyle name="Normal 2 9 2 7 2 2" xfId="20908" xr:uid="{00000000-0005-0000-0000-00007B760000}"/>
    <cellStyle name="Normal 2 9 2 7 2 2 2" xfId="43551" xr:uid="{00000000-0005-0000-0000-00007C760000}"/>
    <cellStyle name="Normal 2 9 2 7 2 3" xfId="13468" xr:uid="{00000000-0005-0000-0000-00007D760000}"/>
    <cellStyle name="Normal 2 9 2 7 2 3 2" xfId="36111" xr:uid="{00000000-0005-0000-0000-00007E760000}"/>
    <cellStyle name="Normal 2 9 2 7 2 4" xfId="28670" xr:uid="{00000000-0005-0000-0000-00007F760000}"/>
    <cellStyle name="Normal 2 9 2 7 3" xfId="17190" xr:uid="{00000000-0005-0000-0000-000080760000}"/>
    <cellStyle name="Normal 2 9 2 7 3 2" xfId="39833" xr:uid="{00000000-0005-0000-0000-000081760000}"/>
    <cellStyle name="Normal 2 9 2 7 4" xfId="9750" xr:uid="{00000000-0005-0000-0000-000082760000}"/>
    <cellStyle name="Normal 2 9 2 7 4 2" xfId="32393" xr:uid="{00000000-0005-0000-0000-000083760000}"/>
    <cellStyle name="Normal 2 9 2 7 5" xfId="24952" xr:uid="{00000000-0005-0000-0000-000084760000}"/>
    <cellStyle name="Normal 2 9 2 8" xfId="4177" xr:uid="{00000000-0005-0000-0000-000085760000}"/>
    <cellStyle name="Normal 2 9 2 8 2" xfId="19061" xr:uid="{00000000-0005-0000-0000-000086760000}"/>
    <cellStyle name="Normal 2 9 2 8 2 2" xfId="41704" xr:uid="{00000000-0005-0000-0000-000087760000}"/>
    <cellStyle name="Normal 2 9 2 8 3" xfId="11621" xr:uid="{00000000-0005-0000-0000-000088760000}"/>
    <cellStyle name="Normal 2 9 2 8 3 2" xfId="34264" xr:uid="{00000000-0005-0000-0000-000089760000}"/>
    <cellStyle name="Normal 2 9 2 8 4" xfId="26823" xr:uid="{00000000-0005-0000-0000-00008A760000}"/>
    <cellStyle name="Normal 2 9 2 9" xfId="15343" xr:uid="{00000000-0005-0000-0000-00008B760000}"/>
    <cellStyle name="Normal 2 9 2 9 2" xfId="37986" xr:uid="{00000000-0005-0000-0000-00008C760000}"/>
    <cellStyle name="Normal 2 9 3" xfId="477" xr:uid="{00000000-0005-0000-0000-00008D760000}"/>
    <cellStyle name="Normal 2 9 3 10" xfId="23138" xr:uid="{00000000-0005-0000-0000-00008E760000}"/>
    <cellStyle name="Normal 2 9 3 2" xfId="583" xr:uid="{00000000-0005-0000-0000-00008F760000}"/>
    <cellStyle name="Normal 2 9 3 2 2" xfId="795" xr:uid="{00000000-0005-0000-0000-000090760000}"/>
    <cellStyle name="Normal 2 9 3 2 2 2" xfId="1260" xr:uid="{00000000-0005-0000-0000-000091760000}"/>
    <cellStyle name="Normal 2 9 3 2 2 2 2" xfId="2188" xr:uid="{00000000-0005-0000-0000-000092760000}"/>
    <cellStyle name="Normal 2 9 3 2 2 2 2 2" xfId="4038" xr:uid="{00000000-0005-0000-0000-000093760000}"/>
    <cellStyle name="Normal 2 9 3 2 2 2 2 2 2" xfId="7759" xr:uid="{00000000-0005-0000-0000-000094760000}"/>
    <cellStyle name="Normal 2 9 3 2 2 2 2 2 2 2" xfId="22643" xr:uid="{00000000-0005-0000-0000-000095760000}"/>
    <cellStyle name="Normal 2 9 3 2 2 2 2 2 2 2 2" xfId="45286" xr:uid="{00000000-0005-0000-0000-000096760000}"/>
    <cellStyle name="Normal 2 9 3 2 2 2 2 2 2 3" xfId="15203" xr:uid="{00000000-0005-0000-0000-000097760000}"/>
    <cellStyle name="Normal 2 9 3 2 2 2 2 2 2 3 2" xfId="37846" xr:uid="{00000000-0005-0000-0000-000098760000}"/>
    <cellStyle name="Normal 2 9 3 2 2 2 2 2 2 4" xfId="30405" xr:uid="{00000000-0005-0000-0000-000099760000}"/>
    <cellStyle name="Normal 2 9 3 2 2 2 2 2 3" xfId="18925" xr:uid="{00000000-0005-0000-0000-00009A760000}"/>
    <cellStyle name="Normal 2 9 3 2 2 2 2 2 3 2" xfId="41568" xr:uid="{00000000-0005-0000-0000-00009B760000}"/>
    <cellStyle name="Normal 2 9 3 2 2 2 2 2 4" xfId="11485" xr:uid="{00000000-0005-0000-0000-00009C760000}"/>
    <cellStyle name="Normal 2 9 3 2 2 2 2 2 4 2" xfId="34128" xr:uid="{00000000-0005-0000-0000-00009D760000}"/>
    <cellStyle name="Normal 2 9 3 2 2 2 2 2 5" xfId="26687" xr:uid="{00000000-0005-0000-0000-00009E760000}"/>
    <cellStyle name="Normal 2 9 3 2 2 2 2 3" xfId="5912" xr:uid="{00000000-0005-0000-0000-00009F760000}"/>
    <cellStyle name="Normal 2 9 3 2 2 2 2 3 2" xfId="20796" xr:uid="{00000000-0005-0000-0000-0000A0760000}"/>
    <cellStyle name="Normal 2 9 3 2 2 2 2 3 2 2" xfId="43439" xr:uid="{00000000-0005-0000-0000-0000A1760000}"/>
    <cellStyle name="Normal 2 9 3 2 2 2 2 3 3" xfId="13356" xr:uid="{00000000-0005-0000-0000-0000A2760000}"/>
    <cellStyle name="Normal 2 9 3 2 2 2 2 3 3 2" xfId="35999" xr:uid="{00000000-0005-0000-0000-0000A3760000}"/>
    <cellStyle name="Normal 2 9 3 2 2 2 2 3 4" xfId="28558" xr:uid="{00000000-0005-0000-0000-0000A4760000}"/>
    <cellStyle name="Normal 2 9 3 2 2 2 2 4" xfId="17078" xr:uid="{00000000-0005-0000-0000-0000A5760000}"/>
    <cellStyle name="Normal 2 9 3 2 2 2 2 4 2" xfId="39721" xr:uid="{00000000-0005-0000-0000-0000A6760000}"/>
    <cellStyle name="Normal 2 9 3 2 2 2 2 5" xfId="9638" xr:uid="{00000000-0005-0000-0000-0000A7760000}"/>
    <cellStyle name="Normal 2 9 3 2 2 2 2 5 2" xfId="32281" xr:uid="{00000000-0005-0000-0000-0000A8760000}"/>
    <cellStyle name="Normal 2 9 3 2 2 2 2 6" xfId="24840" xr:uid="{00000000-0005-0000-0000-0000A9760000}"/>
    <cellStyle name="Normal 2 9 3 2 2 2 3" xfId="3113" xr:uid="{00000000-0005-0000-0000-0000AA760000}"/>
    <cellStyle name="Normal 2 9 3 2 2 2 3 2" xfId="6834" xr:uid="{00000000-0005-0000-0000-0000AB760000}"/>
    <cellStyle name="Normal 2 9 3 2 2 2 3 2 2" xfId="21718" xr:uid="{00000000-0005-0000-0000-0000AC760000}"/>
    <cellStyle name="Normal 2 9 3 2 2 2 3 2 2 2" xfId="44361" xr:uid="{00000000-0005-0000-0000-0000AD760000}"/>
    <cellStyle name="Normal 2 9 3 2 2 2 3 2 3" xfId="14278" xr:uid="{00000000-0005-0000-0000-0000AE760000}"/>
    <cellStyle name="Normal 2 9 3 2 2 2 3 2 3 2" xfId="36921" xr:uid="{00000000-0005-0000-0000-0000AF760000}"/>
    <cellStyle name="Normal 2 9 3 2 2 2 3 2 4" xfId="29480" xr:uid="{00000000-0005-0000-0000-0000B0760000}"/>
    <cellStyle name="Normal 2 9 3 2 2 2 3 3" xfId="18000" xr:uid="{00000000-0005-0000-0000-0000B1760000}"/>
    <cellStyle name="Normal 2 9 3 2 2 2 3 3 2" xfId="40643" xr:uid="{00000000-0005-0000-0000-0000B2760000}"/>
    <cellStyle name="Normal 2 9 3 2 2 2 3 4" xfId="10560" xr:uid="{00000000-0005-0000-0000-0000B3760000}"/>
    <cellStyle name="Normal 2 9 3 2 2 2 3 4 2" xfId="33203" xr:uid="{00000000-0005-0000-0000-0000B4760000}"/>
    <cellStyle name="Normal 2 9 3 2 2 2 3 5" xfId="25762" xr:uid="{00000000-0005-0000-0000-0000B5760000}"/>
    <cellStyle name="Normal 2 9 3 2 2 2 4" xfId="4987" xr:uid="{00000000-0005-0000-0000-0000B6760000}"/>
    <cellStyle name="Normal 2 9 3 2 2 2 4 2" xfId="19871" xr:uid="{00000000-0005-0000-0000-0000B7760000}"/>
    <cellStyle name="Normal 2 9 3 2 2 2 4 2 2" xfId="42514" xr:uid="{00000000-0005-0000-0000-0000B8760000}"/>
    <cellStyle name="Normal 2 9 3 2 2 2 4 3" xfId="12431" xr:uid="{00000000-0005-0000-0000-0000B9760000}"/>
    <cellStyle name="Normal 2 9 3 2 2 2 4 3 2" xfId="35074" xr:uid="{00000000-0005-0000-0000-0000BA760000}"/>
    <cellStyle name="Normal 2 9 3 2 2 2 4 4" xfId="27633" xr:uid="{00000000-0005-0000-0000-0000BB760000}"/>
    <cellStyle name="Normal 2 9 3 2 2 2 5" xfId="16153" xr:uid="{00000000-0005-0000-0000-0000BC760000}"/>
    <cellStyle name="Normal 2 9 3 2 2 2 5 2" xfId="38796" xr:uid="{00000000-0005-0000-0000-0000BD760000}"/>
    <cellStyle name="Normal 2 9 3 2 2 2 6" xfId="8713" xr:uid="{00000000-0005-0000-0000-0000BE760000}"/>
    <cellStyle name="Normal 2 9 3 2 2 2 6 2" xfId="31356" xr:uid="{00000000-0005-0000-0000-0000BF760000}"/>
    <cellStyle name="Normal 2 9 3 2 2 2 7" xfId="23915" xr:uid="{00000000-0005-0000-0000-0000C0760000}"/>
    <cellStyle name="Normal 2 9 3 2 2 3" xfId="1726" xr:uid="{00000000-0005-0000-0000-0000C1760000}"/>
    <cellStyle name="Normal 2 9 3 2 2 3 2" xfId="3576" xr:uid="{00000000-0005-0000-0000-0000C2760000}"/>
    <cellStyle name="Normal 2 9 3 2 2 3 2 2" xfId="7297" xr:uid="{00000000-0005-0000-0000-0000C3760000}"/>
    <cellStyle name="Normal 2 9 3 2 2 3 2 2 2" xfId="22181" xr:uid="{00000000-0005-0000-0000-0000C4760000}"/>
    <cellStyle name="Normal 2 9 3 2 2 3 2 2 2 2" xfId="44824" xr:uid="{00000000-0005-0000-0000-0000C5760000}"/>
    <cellStyle name="Normal 2 9 3 2 2 3 2 2 3" xfId="14741" xr:uid="{00000000-0005-0000-0000-0000C6760000}"/>
    <cellStyle name="Normal 2 9 3 2 2 3 2 2 3 2" xfId="37384" xr:uid="{00000000-0005-0000-0000-0000C7760000}"/>
    <cellStyle name="Normal 2 9 3 2 2 3 2 2 4" xfId="29943" xr:uid="{00000000-0005-0000-0000-0000C8760000}"/>
    <cellStyle name="Normal 2 9 3 2 2 3 2 3" xfId="18463" xr:uid="{00000000-0005-0000-0000-0000C9760000}"/>
    <cellStyle name="Normal 2 9 3 2 2 3 2 3 2" xfId="41106" xr:uid="{00000000-0005-0000-0000-0000CA760000}"/>
    <cellStyle name="Normal 2 9 3 2 2 3 2 4" xfId="11023" xr:uid="{00000000-0005-0000-0000-0000CB760000}"/>
    <cellStyle name="Normal 2 9 3 2 2 3 2 4 2" xfId="33666" xr:uid="{00000000-0005-0000-0000-0000CC760000}"/>
    <cellStyle name="Normal 2 9 3 2 2 3 2 5" xfId="26225" xr:uid="{00000000-0005-0000-0000-0000CD760000}"/>
    <cellStyle name="Normal 2 9 3 2 2 3 3" xfId="5450" xr:uid="{00000000-0005-0000-0000-0000CE760000}"/>
    <cellStyle name="Normal 2 9 3 2 2 3 3 2" xfId="20334" xr:uid="{00000000-0005-0000-0000-0000CF760000}"/>
    <cellStyle name="Normal 2 9 3 2 2 3 3 2 2" xfId="42977" xr:uid="{00000000-0005-0000-0000-0000D0760000}"/>
    <cellStyle name="Normal 2 9 3 2 2 3 3 3" xfId="12894" xr:uid="{00000000-0005-0000-0000-0000D1760000}"/>
    <cellStyle name="Normal 2 9 3 2 2 3 3 3 2" xfId="35537" xr:uid="{00000000-0005-0000-0000-0000D2760000}"/>
    <cellStyle name="Normal 2 9 3 2 2 3 3 4" xfId="28096" xr:uid="{00000000-0005-0000-0000-0000D3760000}"/>
    <cellStyle name="Normal 2 9 3 2 2 3 4" xfId="16616" xr:uid="{00000000-0005-0000-0000-0000D4760000}"/>
    <cellStyle name="Normal 2 9 3 2 2 3 4 2" xfId="39259" xr:uid="{00000000-0005-0000-0000-0000D5760000}"/>
    <cellStyle name="Normal 2 9 3 2 2 3 5" xfId="9176" xr:uid="{00000000-0005-0000-0000-0000D6760000}"/>
    <cellStyle name="Normal 2 9 3 2 2 3 5 2" xfId="31819" xr:uid="{00000000-0005-0000-0000-0000D7760000}"/>
    <cellStyle name="Normal 2 9 3 2 2 3 6" xfId="24378" xr:uid="{00000000-0005-0000-0000-0000D8760000}"/>
    <cellStyle name="Normal 2 9 3 2 2 4" xfId="2651" xr:uid="{00000000-0005-0000-0000-0000D9760000}"/>
    <cellStyle name="Normal 2 9 3 2 2 4 2" xfId="6372" xr:uid="{00000000-0005-0000-0000-0000DA760000}"/>
    <cellStyle name="Normal 2 9 3 2 2 4 2 2" xfId="21256" xr:uid="{00000000-0005-0000-0000-0000DB760000}"/>
    <cellStyle name="Normal 2 9 3 2 2 4 2 2 2" xfId="43899" xr:uid="{00000000-0005-0000-0000-0000DC760000}"/>
    <cellStyle name="Normal 2 9 3 2 2 4 2 3" xfId="13816" xr:uid="{00000000-0005-0000-0000-0000DD760000}"/>
    <cellStyle name="Normal 2 9 3 2 2 4 2 3 2" xfId="36459" xr:uid="{00000000-0005-0000-0000-0000DE760000}"/>
    <cellStyle name="Normal 2 9 3 2 2 4 2 4" xfId="29018" xr:uid="{00000000-0005-0000-0000-0000DF760000}"/>
    <cellStyle name="Normal 2 9 3 2 2 4 3" xfId="17538" xr:uid="{00000000-0005-0000-0000-0000E0760000}"/>
    <cellStyle name="Normal 2 9 3 2 2 4 3 2" xfId="40181" xr:uid="{00000000-0005-0000-0000-0000E1760000}"/>
    <cellStyle name="Normal 2 9 3 2 2 4 4" xfId="10098" xr:uid="{00000000-0005-0000-0000-0000E2760000}"/>
    <cellStyle name="Normal 2 9 3 2 2 4 4 2" xfId="32741" xr:uid="{00000000-0005-0000-0000-0000E3760000}"/>
    <cellStyle name="Normal 2 9 3 2 2 4 5" xfId="25300" xr:uid="{00000000-0005-0000-0000-0000E4760000}"/>
    <cellStyle name="Normal 2 9 3 2 2 5" xfId="4525" xr:uid="{00000000-0005-0000-0000-0000E5760000}"/>
    <cellStyle name="Normal 2 9 3 2 2 5 2" xfId="19409" xr:uid="{00000000-0005-0000-0000-0000E6760000}"/>
    <cellStyle name="Normal 2 9 3 2 2 5 2 2" xfId="42052" xr:uid="{00000000-0005-0000-0000-0000E7760000}"/>
    <cellStyle name="Normal 2 9 3 2 2 5 3" xfId="11969" xr:uid="{00000000-0005-0000-0000-0000E8760000}"/>
    <cellStyle name="Normal 2 9 3 2 2 5 3 2" xfId="34612" xr:uid="{00000000-0005-0000-0000-0000E9760000}"/>
    <cellStyle name="Normal 2 9 3 2 2 5 4" xfId="27171" xr:uid="{00000000-0005-0000-0000-0000EA760000}"/>
    <cellStyle name="Normal 2 9 3 2 2 6" xfId="15691" xr:uid="{00000000-0005-0000-0000-0000EB760000}"/>
    <cellStyle name="Normal 2 9 3 2 2 6 2" xfId="38334" xr:uid="{00000000-0005-0000-0000-0000EC760000}"/>
    <cellStyle name="Normal 2 9 3 2 2 7" xfId="8251" xr:uid="{00000000-0005-0000-0000-0000ED760000}"/>
    <cellStyle name="Normal 2 9 3 2 2 7 2" xfId="30894" xr:uid="{00000000-0005-0000-0000-0000EE760000}"/>
    <cellStyle name="Normal 2 9 3 2 2 8" xfId="23453" xr:uid="{00000000-0005-0000-0000-0000EF760000}"/>
    <cellStyle name="Normal 2 9 3 2 3" xfId="1049" xr:uid="{00000000-0005-0000-0000-0000F0760000}"/>
    <cellStyle name="Normal 2 9 3 2 3 2" xfId="1977" xr:uid="{00000000-0005-0000-0000-0000F1760000}"/>
    <cellStyle name="Normal 2 9 3 2 3 2 2" xfId="3827" xr:uid="{00000000-0005-0000-0000-0000F2760000}"/>
    <cellStyle name="Normal 2 9 3 2 3 2 2 2" xfId="7548" xr:uid="{00000000-0005-0000-0000-0000F3760000}"/>
    <cellStyle name="Normal 2 9 3 2 3 2 2 2 2" xfId="22432" xr:uid="{00000000-0005-0000-0000-0000F4760000}"/>
    <cellStyle name="Normal 2 9 3 2 3 2 2 2 2 2" xfId="45075" xr:uid="{00000000-0005-0000-0000-0000F5760000}"/>
    <cellStyle name="Normal 2 9 3 2 3 2 2 2 3" xfId="14992" xr:uid="{00000000-0005-0000-0000-0000F6760000}"/>
    <cellStyle name="Normal 2 9 3 2 3 2 2 2 3 2" xfId="37635" xr:uid="{00000000-0005-0000-0000-0000F7760000}"/>
    <cellStyle name="Normal 2 9 3 2 3 2 2 2 4" xfId="30194" xr:uid="{00000000-0005-0000-0000-0000F8760000}"/>
    <cellStyle name="Normal 2 9 3 2 3 2 2 3" xfId="18714" xr:uid="{00000000-0005-0000-0000-0000F9760000}"/>
    <cellStyle name="Normal 2 9 3 2 3 2 2 3 2" xfId="41357" xr:uid="{00000000-0005-0000-0000-0000FA760000}"/>
    <cellStyle name="Normal 2 9 3 2 3 2 2 4" xfId="11274" xr:uid="{00000000-0005-0000-0000-0000FB760000}"/>
    <cellStyle name="Normal 2 9 3 2 3 2 2 4 2" xfId="33917" xr:uid="{00000000-0005-0000-0000-0000FC760000}"/>
    <cellStyle name="Normal 2 9 3 2 3 2 2 5" xfId="26476" xr:uid="{00000000-0005-0000-0000-0000FD760000}"/>
    <cellStyle name="Normal 2 9 3 2 3 2 3" xfId="5701" xr:uid="{00000000-0005-0000-0000-0000FE760000}"/>
    <cellStyle name="Normal 2 9 3 2 3 2 3 2" xfId="20585" xr:uid="{00000000-0005-0000-0000-0000FF760000}"/>
    <cellStyle name="Normal 2 9 3 2 3 2 3 2 2" xfId="43228" xr:uid="{00000000-0005-0000-0000-000000770000}"/>
    <cellStyle name="Normal 2 9 3 2 3 2 3 3" xfId="13145" xr:uid="{00000000-0005-0000-0000-000001770000}"/>
    <cellStyle name="Normal 2 9 3 2 3 2 3 3 2" xfId="35788" xr:uid="{00000000-0005-0000-0000-000002770000}"/>
    <cellStyle name="Normal 2 9 3 2 3 2 3 4" xfId="28347" xr:uid="{00000000-0005-0000-0000-000003770000}"/>
    <cellStyle name="Normal 2 9 3 2 3 2 4" xfId="16867" xr:uid="{00000000-0005-0000-0000-000004770000}"/>
    <cellStyle name="Normal 2 9 3 2 3 2 4 2" xfId="39510" xr:uid="{00000000-0005-0000-0000-000005770000}"/>
    <cellStyle name="Normal 2 9 3 2 3 2 5" xfId="9427" xr:uid="{00000000-0005-0000-0000-000006770000}"/>
    <cellStyle name="Normal 2 9 3 2 3 2 5 2" xfId="32070" xr:uid="{00000000-0005-0000-0000-000007770000}"/>
    <cellStyle name="Normal 2 9 3 2 3 2 6" xfId="24629" xr:uid="{00000000-0005-0000-0000-000008770000}"/>
    <cellStyle name="Normal 2 9 3 2 3 3" xfId="2902" xr:uid="{00000000-0005-0000-0000-000009770000}"/>
    <cellStyle name="Normal 2 9 3 2 3 3 2" xfId="6623" xr:uid="{00000000-0005-0000-0000-00000A770000}"/>
    <cellStyle name="Normal 2 9 3 2 3 3 2 2" xfId="21507" xr:uid="{00000000-0005-0000-0000-00000B770000}"/>
    <cellStyle name="Normal 2 9 3 2 3 3 2 2 2" xfId="44150" xr:uid="{00000000-0005-0000-0000-00000C770000}"/>
    <cellStyle name="Normal 2 9 3 2 3 3 2 3" xfId="14067" xr:uid="{00000000-0005-0000-0000-00000D770000}"/>
    <cellStyle name="Normal 2 9 3 2 3 3 2 3 2" xfId="36710" xr:uid="{00000000-0005-0000-0000-00000E770000}"/>
    <cellStyle name="Normal 2 9 3 2 3 3 2 4" xfId="29269" xr:uid="{00000000-0005-0000-0000-00000F770000}"/>
    <cellStyle name="Normal 2 9 3 2 3 3 3" xfId="17789" xr:uid="{00000000-0005-0000-0000-000010770000}"/>
    <cellStyle name="Normal 2 9 3 2 3 3 3 2" xfId="40432" xr:uid="{00000000-0005-0000-0000-000011770000}"/>
    <cellStyle name="Normal 2 9 3 2 3 3 4" xfId="10349" xr:uid="{00000000-0005-0000-0000-000012770000}"/>
    <cellStyle name="Normal 2 9 3 2 3 3 4 2" xfId="32992" xr:uid="{00000000-0005-0000-0000-000013770000}"/>
    <cellStyle name="Normal 2 9 3 2 3 3 5" xfId="25551" xr:uid="{00000000-0005-0000-0000-000014770000}"/>
    <cellStyle name="Normal 2 9 3 2 3 4" xfId="4776" xr:uid="{00000000-0005-0000-0000-000015770000}"/>
    <cellStyle name="Normal 2 9 3 2 3 4 2" xfId="19660" xr:uid="{00000000-0005-0000-0000-000016770000}"/>
    <cellStyle name="Normal 2 9 3 2 3 4 2 2" xfId="42303" xr:uid="{00000000-0005-0000-0000-000017770000}"/>
    <cellStyle name="Normal 2 9 3 2 3 4 3" xfId="12220" xr:uid="{00000000-0005-0000-0000-000018770000}"/>
    <cellStyle name="Normal 2 9 3 2 3 4 3 2" xfId="34863" xr:uid="{00000000-0005-0000-0000-000019770000}"/>
    <cellStyle name="Normal 2 9 3 2 3 4 4" xfId="27422" xr:uid="{00000000-0005-0000-0000-00001A770000}"/>
    <cellStyle name="Normal 2 9 3 2 3 5" xfId="15942" xr:uid="{00000000-0005-0000-0000-00001B770000}"/>
    <cellStyle name="Normal 2 9 3 2 3 5 2" xfId="38585" xr:uid="{00000000-0005-0000-0000-00001C770000}"/>
    <cellStyle name="Normal 2 9 3 2 3 6" xfId="8502" xr:uid="{00000000-0005-0000-0000-00001D770000}"/>
    <cellStyle name="Normal 2 9 3 2 3 6 2" xfId="31145" xr:uid="{00000000-0005-0000-0000-00001E770000}"/>
    <cellStyle name="Normal 2 9 3 2 3 7" xfId="23704" xr:uid="{00000000-0005-0000-0000-00001F770000}"/>
    <cellStyle name="Normal 2 9 3 2 4" xfId="1515" xr:uid="{00000000-0005-0000-0000-000020770000}"/>
    <cellStyle name="Normal 2 9 3 2 4 2" xfId="3365" xr:uid="{00000000-0005-0000-0000-000021770000}"/>
    <cellStyle name="Normal 2 9 3 2 4 2 2" xfId="7086" xr:uid="{00000000-0005-0000-0000-000022770000}"/>
    <cellStyle name="Normal 2 9 3 2 4 2 2 2" xfId="21970" xr:uid="{00000000-0005-0000-0000-000023770000}"/>
    <cellStyle name="Normal 2 9 3 2 4 2 2 2 2" xfId="44613" xr:uid="{00000000-0005-0000-0000-000024770000}"/>
    <cellStyle name="Normal 2 9 3 2 4 2 2 3" xfId="14530" xr:uid="{00000000-0005-0000-0000-000025770000}"/>
    <cellStyle name="Normal 2 9 3 2 4 2 2 3 2" xfId="37173" xr:uid="{00000000-0005-0000-0000-000026770000}"/>
    <cellStyle name="Normal 2 9 3 2 4 2 2 4" xfId="29732" xr:uid="{00000000-0005-0000-0000-000027770000}"/>
    <cellStyle name="Normal 2 9 3 2 4 2 3" xfId="18252" xr:uid="{00000000-0005-0000-0000-000028770000}"/>
    <cellStyle name="Normal 2 9 3 2 4 2 3 2" xfId="40895" xr:uid="{00000000-0005-0000-0000-000029770000}"/>
    <cellStyle name="Normal 2 9 3 2 4 2 4" xfId="10812" xr:uid="{00000000-0005-0000-0000-00002A770000}"/>
    <cellStyle name="Normal 2 9 3 2 4 2 4 2" xfId="33455" xr:uid="{00000000-0005-0000-0000-00002B770000}"/>
    <cellStyle name="Normal 2 9 3 2 4 2 5" xfId="26014" xr:uid="{00000000-0005-0000-0000-00002C770000}"/>
    <cellStyle name="Normal 2 9 3 2 4 3" xfId="5239" xr:uid="{00000000-0005-0000-0000-00002D770000}"/>
    <cellStyle name="Normal 2 9 3 2 4 3 2" xfId="20123" xr:uid="{00000000-0005-0000-0000-00002E770000}"/>
    <cellStyle name="Normal 2 9 3 2 4 3 2 2" xfId="42766" xr:uid="{00000000-0005-0000-0000-00002F770000}"/>
    <cellStyle name="Normal 2 9 3 2 4 3 3" xfId="12683" xr:uid="{00000000-0005-0000-0000-000030770000}"/>
    <cellStyle name="Normal 2 9 3 2 4 3 3 2" xfId="35326" xr:uid="{00000000-0005-0000-0000-000031770000}"/>
    <cellStyle name="Normal 2 9 3 2 4 3 4" xfId="27885" xr:uid="{00000000-0005-0000-0000-000032770000}"/>
    <cellStyle name="Normal 2 9 3 2 4 4" xfId="16405" xr:uid="{00000000-0005-0000-0000-000033770000}"/>
    <cellStyle name="Normal 2 9 3 2 4 4 2" xfId="39048" xr:uid="{00000000-0005-0000-0000-000034770000}"/>
    <cellStyle name="Normal 2 9 3 2 4 5" xfId="8965" xr:uid="{00000000-0005-0000-0000-000035770000}"/>
    <cellStyle name="Normal 2 9 3 2 4 5 2" xfId="31608" xr:uid="{00000000-0005-0000-0000-000036770000}"/>
    <cellStyle name="Normal 2 9 3 2 4 6" xfId="24167" xr:uid="{00000000-0005-0000-0000-000037770000}"/>
    <cellStyle name="Normal 2 9 3 2 5" xfId="2440" xr:uid="{00000000-0005-0000-0000-000038770000}"/>
    <cellStyle name="Normal 2 9 3 2 5 2" xfId="6161" xr:uid="{00000000-0005-0000-0000-000039770000}"/>
    <cellStyle name="Normal 2 9 3 2 5 2 2" xfId="21045" xr:uid="{00000000-0005-0000-0000-00003A770000}"/>
    <cellStyle name="Normal 2 9 3 2 5 2 2 2" xfId="43688" xr:uid="{00000000-0005-0000-0000-00003B770000}"/>
    <cellStyle name="Normal 2 9 3 2 5 2 3" xfId="13605" xr:uid="{00000000-0005-0000-0000-00003C770000}"/>
    <cellStyle name="Normal 2 9 3 2 5 2 3 2" xfId="36248" xr:uid="{00000000-0005-0000-0000-00003D770000}"/>
    <cellStyle name="Normal 2 9 3 2 5 2 4" xfId="28807" xr:uid="{00000000-0005-0000-0000-00003E770000}"/>
    <cellStyle name="Normal 2 9 3 2 5 3" xfId="17327" xr:uid="{00000000-0005-0000-0000-00003F770000}"/>
    <cellStyle name="Normal 2 9 3 2 5 3 2" xfId="39970" xr:uid="{00000000-0005-0000-0000-000040770000}"/>
    <cellStyle name="Normal 2 9 3 2 5 4" xfId="9887" xr:uid="{00000000-0005-0000-0000-000041770000}"/>
    <cellStyle name="Normal 2 9 3 2 5 4 2" xfId="32530" xr:uid="{00000000-0005-0000-0000-000042770000}"/>
    <cellStyle name="Normal 2 9 3 2 5 5" xfId="25089" xr:uid="{00000000-0005-0000-0000-000043770000}"/>
    <cellStyle name="Normal 2 9 3 2 6" xfId="4314" xr:uid="{00000000-0005-0000-0000-000044770000}"/>
    <cellStyle name="Normal 2 9 3 2 6 2" xfId="19198" xr:uid="{00000000-0005-0000-0000-000045770000}"/>
    <cellStyle name="Normal 2 9 3 2 6 2 2" xfId="41841" xr:uid="{00000000-0005-0000-0000-000046770000}"/>
    <cellStyle name="Normal 2 9 3 2 6 3" xfId="11758" xr:uid="{00000000-0005-0000-0000-000047770000}"/>
    <cellStyle name="Normal 2 9 3 2 6 3 2" xfId="34401" xr:uid="{00000000-0005-0000-0000-000048770000}"/>
    <cellStyle name="Normal 2 9 3 2 6 4" xfId="26960" xr:uid="{00000000-0005-0000-0000-000049770000}"/>
    <cellStyle name="Normal 2 9 3 2 7" xfId="15480" xr:uid="{00000000-0005-0000-0000-00004A770000}"/>
    <cellStyle name="Normal 2 9 3 2 7 2" xfId="38123" xr:uid="{00000000-0005-0000-0000-00004B770000}"/>
    <cellStyle name="Normal 2 9 3 2 8" xfId="8040" xr:uid="{00000000-0005-0000-0000-00004C770000}"/>
    <cellStyle name="Normal 2 9 3 2 8 2" xfId="30683" xr:uid="{00000000-0005-0000-0000-00004D770000}"/>
    <cellStyle name="Normal 2 9 3 2 9" xfId="23243" xr:uid="{00000000-0005-0000-0000-00004E770000}"/>
    <cellStyle name="Normal 2 9 3 3" xfId="690" xr:uid="{00000000-0005-0000-0000-00004F770000}"/>
    <cellStyle name="Normal 2 9 3 3 2" xfId="1155" xr:uid="{00000000-0005-0000-0000-000050770000}"/>
    <cellStyle name="Normal 2 9 3 3 2 2" xfId="2083" xr:uid="{00000000-0005-0000-0000-000051770000}"/>
    <cellStyle name="Normal 2 9 3 3 2 2 2" xfId="3933" xr:uid="{00000000-0005-0000-0000-000052770000}"/>
    <cellStyle name="Normal 2 9 3 3 2 2 2 2" xfId="7654" xr:uid="{00000000-0005-0000-0000-000053770000}"/>
    <cellStyle name="Normal 2 9 3 3 2 2 2 2 2" xfId="22538" xr:uid="{00000000-0005-0000-0000-000054770000}"/>
    <cellStyle name="Normal 2 9 3 3 2 2 2 2 2 2" xfId="45181" xr:uid="{00000000-0005-0000-0000-000055770000}"/>
    <cellStyle name="Normal 2 9 3 3 2 2 2 2 3" xfId="15098" xr:uid="{00000000-0005-0000-0000-000056770000}"/>
    <cellStyle name="Normal 2 9 3 3 2 2 2 2 3 2" xfId="37741" xr:uid="{00000000-0005-0000-0000-000057770000}"/>
    <cellStyle name="Normal 2 9 3 3 2 2 2 2 4" xfId="30300" xr:uid="{00000000-0005-0000-0000-000058770000}"/>
    <cellStyle name="Normal 2 9 3 3 2 2 2 3" xfId="18820" xr:uid="{00000000-0005-0000-0000-000059770000}"/>
    <cellStyle name="Normal 2 9 3 3 2 2 2 3 2" xfId="41463" xr:uid="{00000000-0005-0000-0000-00005A770000}"/>
    <cellStyle name="Normal 2 9 3 3 2 2 2 4" xfId="11380" xr:uid="{00000000-0005-0000-0000-00005B770000}"/>
    <cellStyle name="Normal 2 9 3 3 2 2 2 4 2" xfId="34023" xr:uid="{00000000-0005-0000-0000-00005C770000}"/>
    <cellStyle name="Normal 2 9 3 3 2 2 2 5" xfId="26582" xr:uid="{00000000-0005-0000-0000-00005D770000}"/>
    <cellStyle name="Normal 2 9 3 3 2 2 3" xfId="5807" xr:uid="{00000000-0005-0000-0000-00005E770000}"/>
    <cellStyle name="Normal 2 9 3 3 2 2 3 2" xfId="20691" xr:uid="{00000000-0005-0000-0000-00005F770000}"/>
    <cellStyle name="Normal 2 9 3 3 2 2 3 2 2" xfId="43334" xr:uid="{00000000-0005-0000-0000-000060770000}"/>
    <cellStyle name="Normal 2 9 3 3 2 2 3 3" xfId="13251" xr:uid="{00000000-0005-0000-0000-000061770000}"/>
    <cellStyle name="Normal 2 9 3 3 2 2 3 3 2" xfId="35894" xr:uid="{00000000-0005-0000-0000-000062770000}"/>
    <cellStyle name="Normal 2 9 3 3 2 2 3 4" xfId="28453" xr:uid="{00000000-0005-0000-0000-000063770000}"/>
    <cellStyle name="Normal 2 9 3 3 2 2 4" xfId="16973" xr:uid="{00000000-0005-0000-0000-000064770000}"/>
    <cellStyle name="Normal 2 9 3 3 2 2 4 2" xfId="39616" xr:uid="{00000000-0005-0000-0000-000065770000}"/>
    <cellStyle name="Normal 2 9 3 3 2 2 5" xfId="9533" xr:uid="{00000000-0005-0000-0000-000066770000}"/>
    <cellStyle name="Normal 2 9 3 3 2 2 5 2" xfId="32176" xr:uid="{00000000-0005-0000-0000-000067770000}"/>
    <cellStyle name="Normal 2 9 3 3 2 2 6" xfId="24735" xr:uid="{00000000-0005-0000-0000-000068770000}"/>
    <cellStyle name="Normal 2 9 3 3 2 3" xfId="3008" xr:uid="{00000000-0005-0000-0000-000069770000}"/>
    <cellStyle name="Normal 2 9 3 3 2 3 2" xfId="6729" xr:uid="{00000000-0005-0000-0000-00006A770000}"/>
    <cellStyle name="Normal 2 9 3 3 2 3 2 2" xfId="21613" xr:uid="{00000000-0005-0000-0000-00006B770000}"/>
    <cellStyle name="Normal 2 9 3 3 2 3 2 2 2" xfId="44256" xr:uid="{00000000-0005-0000-0000-00006C770000}"/>
    <cellStyle name="Normal 2 9 3 3 2 3 2 3" xfId="14173" xr:uid="{00000000-0005-0000-0000-00006D770000}"/>
    <cellStyle name="Normal 2 9 3 3 2 3 2 3 2" xfId="36816" xr:uid="{00000000-0005-0000-0000-00006E770000}"/>
    <cellStyle name="Normal 2 9 3 3 2 3 2 4" xfId="29375" xr:uid="{00000000-0005-0000-0000-00006F770000}"/>
    <cellStyle name="Normal 2 9 3 3 2 3 3" xfId="17895" xr:uid="{00000000-0005-0000-0000-000070770000}"/>
    <cellStyle name="Normal 2 9 3 3 2 3 3 2" xfId="40538" xr:uid="{00000000-0005-0000-0000-000071770000}"/>
    <cellStyle name="Normal 2 9 3 3 2 3 4" xfId="10455" xr:uid="{00000000-0005-0000-0000-000072770000}"/>
    <cellStyle name="Normal 2 9 3 3 2 3 4 2" xfId="33098" xr:uid="{00000000-0005-0000-0000-000073770000}"/>
    <cellStyle name="Normal 2 9 3 3 2 3 5" xfId="25657" xr:uid="{00000000-0005-0000-0000-000074770000}"/>
    <cellStyle name="Normal 2 9 3 3 2 4" xfId="4882" xr:uid="{00000000-0005-0000-0000-000075770000}"/>
    <cellStyle name="Normal 2 9 3 3 2 4 2" xfId="19766" xr:uid="{00000000-0005-0000-0000-000076770000}"/>
    <cellStyle name="Normal 2 9 3 3 2 4 2 2" xfId="42409" xr:uid="{00000000-0005-0000-0000-000077770000}"/>
    <cellStyle name="Normal 2 9 3 3 2 4 3" xfId="12326" xr:uid="{00000000-0005-0000-0000-000078770000}"/>
    <cellStyle name="Normal 2 9 3 3 2 4 3 2" xfId="34969" xr:uid="{00000000-0005-0000-0000-000079770000}"/>
    <cellStyle name="Normal 2 9 3 3 2 4 4" xfId="27528" xr:uid="{00000000-0005-0000-0000-00007A770000}"/>
    <cellStyle name="Normal 2 9 3 3 2 5" xfId="16048" xr:uid="{00000000-0005-0000-0000-00007B770000}"/>
    <cellStyle name="Normal 2 9 3 3 2 5 2" xfId="38691" xr:uid="{00000000-0005-0000-0000-00007C770000}"/>
    <cellStyle name="Normal 2 9 3 3 2 6" xfId="8608" xr:uid="{00000000-0005-0000-0000-00007D770000}"/>
    <cellStyle name="Normal 2 9 3 3 2 6 2" xfId="31251" xr:uid="{00000000-0005-0000-0000-00007E770000}"/>
    <cellStyle name="Normal 2 9 3 3 2 7" xfId="23810" xr:uid="{00000000-0005-0000-0000-00007F770000}"/>
    <cellStyle name="Normal 2 9 3 3 3" xfId="1621" xr:uid="{00000000-0005-0000-0000-000080770000}"/>
    <cellStyle name="Normal 2 9 3 3 3 2" xfId="3471" xr:uid="{00000000-0005-0000-0000-000081770000}"/>
    <cellStyle name="Normal 2 9 3 3 3 2 2" xfId="7192" xr:uid="{00000000-0005-0000-0000-000082770000}"/>
    <cellStyle name="Normal 2 9 3 3 3 2 2 2" xfId="22076" xr:uid="{00000000-0005-0000-0000-000083770000}"/>
    <cellStyle name="Normal 2 9 3 3 3 2 2 2 2" xfId="44719" xr:uid="{00000000-0005-0000-0000-000084770000}"/>
    <cellStyle name="Normal 2 9 3 3 3 2 2 3" xfId="14636" xr:uid="{00000000-0005-0000-0000-000085770000}"/>
    <cellStyle name="Normal 2 9 3 3 3 2 2 3 2" xfId="37279" xr:uid="{00000000-0005-0000-0000-000086770000}"/>
    <cellStyle name="Normal 2 9 3 3 3 2 2 4" xfId="29838" xr:uid="{00000000-0005-0000-0000-000087770000}"/>
    <cellStyle name="Normal 2 9 3 3 3 2 3" xfId="18358" xr:uid="{00000000-0005-0000-0000-000088770000}"/>
    <cellStyle name="Normal 2 9 3 3 3 2 3 2" xfId="41001" xr:uid="{00000000-0005-0000-0000-000089770000}"/>
    <cellStyle name="Normal 2 9 3 3 3 2 4" xfId="10918" xr:uid="{00000000-0005-0000-0000-00008A770000}"/>
    <cellStyle name="Normal 2 9 3 3 3 2 4 2" xfId="33561" xr:uid="{00000000-0005-0000-0000-00008B770000}"/>
    <cellStyle name="Normal 2 9 3 3 3 2 5" xfId="26120" xr:uid="{00000000-0005-0000-0000-00008C770000}"/>
    <cellStyle name="Normal 2 9 3 3 3 3" xfId="5345" xr:uid="{00000000-0005-0000-0000-00008D770000}"/>
    <cellStyle name="Normal 2 9 3 3 3 3 2" xfId="20229" xr:uid="{00000000-0005-0000-0000-00008E770000}"/>
    <cellStyle name="Normal 2 9 3 3 3 3 2 2" xfId="42872" xr:uid="{00000000-0005-0000-0000-00008F770000}"/>
    <cellStyle name="Normal 2 9 3 3 3 3 3" xfId="12789" xr:uid="{00000000-0005-0000-0000-000090770000}"/>
    <cellStyle name="Normal 2 9 3 3 3 3 3 2" xfId="35432" xr:uid="{00000000-0005-0000-0000-000091770000}"/>
    <cellStyle name="Normal 2 9 3 3 3 3 4" xfId="27991" xr:uid="{00000000-0005-0000-0000-000092770000}"/>
    <cellStyle name="Normal 2 9 3 3 3 4" xfId="16511" xr:uid="{00000000-0005-0000-0000-000093770000}"/>
    <cellStyle name="Normal 2 9 3 3 3 4 2" xfId="39154" xr:uid="{00000000-0005-0000-0000-000094770000}"/>
    <cellStyle name="Normal 2 9 3 3 3 5" xfId="9071" xr:uid="{00000000-0005-0000-0000-000095770000}"/>
    <cellStyle name="Normal 2 9 3 3 3 5 2" xfId="31714" xr:uid="{00000000-0005-0000-0000-000096770000}"/>
    <cellStyle name="Normal 2 9 3 3 3 6" xfId="24273" xr:uid="{00000000-0005-0000-0000-000097770000}"/>
    <cellStyle name="Normal 2 9 3 3 4" xfId="2546" xr:uid="{00000000-0005-0000-0000-000098770000}"/>
    <cellStyle name="Normal 2 9 3 3 4 2" xfId="6267" xr:uid="{00000000-0005-0000-0000-000099770000}"/>
    <cellStyle name="Normal 2 9 3 3 4 2 2" xfId="21151" xr:uid="{00000000-0005-0000-0000-00009A770000}"/>
    <cellStyle name="Normal 2 9 3 3 4 2 2 2" xfId="43794" xr:uid="{00000000-0005-0000-0000-00009B770000}"/>
    <cellStyle name="Normal 2 9 3 3 4 2 3" xfId="13711" xr:uid="{00000000-0005-0000-0000-00009C770000}"/>
    <cellStyle name="Normal 2 9 3 3 4 2 3 2" xfId="36354" xr:uid="{00000000-0005-0000-0000-00009D770000}"/>
    <cellStyle name="Normal 2 9 3 3 4 2 4" xfId="28913" xr:uid="{00000000-0005-0000-0000-00009E770000}"/>
    <cellStyle name="Normal 2 9 3 3 4 3" xfId="17433" xr:uid="{00000000-0005-0000-0000-00009F770000}"/>
    <cellStyle name="Normal 2 9 3 3 4 3 2" xfId="40076" xr:uid="{00000000-0005-0000-0000-0000A0770000}"/>
    <cellStyle name="Normal 2 9 3 3 4 4" xfId="9993" xr:uid="{00000000-0005-0000-0000-0000A1770000}"/>
    <cellStyle name="Normal 2 9 3 3 4 4 2" xfId="32636" xr:uid="{00000000-0005-0000-0000-0000A2770000}"/>
    <cellStyle name="Normal 2 9 3 3 4 5" xfId="25195" xr:uid="{00000000-0005-0000-0000-0000A3770000}"/>
    <cellStyle name="Normal 2 9 3 3 5" xfId="4420" xr:uid="{00000000-0005-0000-0000-0000A4770000}"/>
    <cellStyle name="Normal 2 9 3 3 5 2" xfId="19304" xr:uid="{00000000-0005-0000-0000-0000A5770000}"/>
    <cellStyle name="Normal 2 9 3 3 5 2 2" xfId="41947" xr:uid="{00000000-0005-0000-0000-0000A6770000}"/>
    <cellStyle name="Normal 2 9 3 3 5 3" xfId="11864" xr:uid="{00000000-0005-0000-0000-0000A7770000}"/>
    <cellStyle name="Normal 2 9 3 3 5 3 2" xfId="34507" xr:uid="{00000000-0005-0000-0000-0000A8770000}"/>
    <cellStyle name="Normal 2 9 3 3 5 4" xfId="27066" xr:uid="{00000000-0005-0000-0000-0000A9770000}"/>
    <cellStyle name="Normal 2 9 3 3 6" xfId="15586" xr:uid="{00000000-0005-0000-0000-0000AA770000}"/>
    <cellStyle name="Normal 2 9 3 3 6 2" xfId="38229" xr:uid="{00000000-0005-0000-0000-0000AB770000}"/>
    <cellStyle name="Normal 2 9 3 3 7" xfId="8146" xr:uid="{00000000-0005-0000-0000-0000AC770000}"/>
    <cellStyle name="Normal 2 9 3 3 7 2" xfId="30789" xr:uid="{00000000-0005-0000-0000-0000AD770000}"/>
    <cellStyle name="Normal 2 9 3 3 8" xfId="23348" xr:uid="{00000000-0005-0000-0000-0000AE770000}"/>
    <cellStyle name="Normal 2 9 3 4" xfId="944" xr:uid="{00000000-0005-0000-0000-0000AF770000}"/>
    <cellStyle name="Normal 2 9 3 4 2" xfId="1872" xr:uid="{00000000-0005-0000-0000-0000B0770000}"/>
    <cellStyle name="Normal 2 9 3 4 2 2" xfId="3722" xr:uid="{00000000-0005-0000-0000-0000B1770000}"/>
    <cellStyle name="Normal 2 9 3 4 2 2 2" xfId="7443" xr:uid="{00000000-0005-0000-0000-0000B2770000}"/>
    <cellStyle name="Normal 2 9 3 4 2 2 2 2" xfId="22327" xr:uid="{00000000-0005-0000-0000-0000B3770000}"/>
    <cellStyle name="Normal 2 9 3 4 2 2 2 2 2" xfId="44970" xr:uid="{00000000-0005-0000-0000-0000B4770000}"/>
    <cellStyle name="Normal 2 9 3 4 2 2 2 3" xfId="14887" xr:uid="{00000000-0005-0000-0000-0000B5770000}"/>
    <cellStyle name="Normal 2 9 3 4 2 2 2 3 2" xfId="37530" xr:uid="{00000000-0005-0000-0000-0000B6770000}"/>
    <cellStyle name="Normal 2 9 3 4 2 2 2 4" xfId="30089" xr:uid="{00000000-0005-0000-0000-0000B7770000}"/>
    <cellStyle name="Normal 2 9 3 4 2 2 3" xfId="18609" xr:uid="{00000000-0005-0000-0000-0000B8770000}"/>
    <cellStyle name="Normal 2 9 3 4 2 2 3 2" xfId="41252" xr:uid="{00000000-0005-0000-0000-0000B9770000}"/>
    <cellStyle name="Normal 2 9 3 4 2 2 4" xfId="11169" xr:uid="{00000000-0005-0000-0000-0000BA770000}"/>
    <cellStyle name="Normal 2 9 3 4 2 2 4 2" xfId="33812" xr:uid="{00000000-0005-0000-0000-0000BB770000}"/>
    <cellStyle name="Normal 2 9 3 4 2 2 5" xfId="26371" xr:uid="{00000000-0005-0000-0000-0000BC770000}"/>
    <cellStyle name="Normal 2 9 3 4 2 3" xfId="5596" xr:uid="{00000000-0005-0000-0000-0000BD770000}"/>
    <cellStyle name="Normal 2 9 3 4 2 3 2" xfId="20480" xr:uid="{00000000-0005-0000-0000-0000BE770000}"/>
    <cellStyle name="Normal 2 9 3 4 2 3 2 2" xfId="43123" xr:uid="{00000000-0005-0000-0000-0000BF770000}"/>
    <cellStyle name="Normal 2 9 3 4 2 3 3" xfId="13040" xr:uid="{00000000-0005-0000-0000-0000C0770000}"/>
    <cellStyle name="Normal 2 9 3 4 2 3 3 2" xfId="35683" xr:uid="{00000000-0005-0000-0000-0000C1770000}"/>
    <cellStyle name="Normal 2 9 3 4 2 3 4" xfId="28242" xr:uid="{00000000-0005-0000-0000-0000C2770000}"/>
    <cellStyle name="Normal 2 9 3 4 2 4" xfId="16762" xr:uid="{00000000-0005-0000-0000-0000C3770000}"/>
    <cellStyle name="Normal 2 9 3 4 2 4 2" xfId="39405" xr:uid="{00000000-0005-0000-0000-0000C4770000}"/>
    <cellStyle name="Normal 2 9 3 4 2 5" xfId="9322" xr:uid="{00000000-0005-0000-0000-0000C5770000}"/>
    <cellStyle name="Normal 2 9 3 4 2 5 2" xfId="31965" xr:uid="{00000000-0005-0000-0000-0000C6770000}"/>
    <cellStyle name="Normal 2 9 3 4 2 6" xfId="24524" xr:uid="{00000000-0005-0000-0000-0000C7770000}"/>
    <cellStyle name="Normal 2 9 3 4 3" xfId="2797" xr:uid="{00000000-0005-0000-0000-0000C8770000}"/>
    <cellStyle name="Normal 2 9 3 4 3 2" xfId="6518" xr:uid="{00000000-0005-0000-0000-0000C9770000}"/>
    <cellStyle name="Normal 2 9 3 4 3 2 2" xfId="21402" xr:uid="{00000000-0005-0000-0000-0000CA770000}"/>
    <cellStyle name="Normal 2 9 3 4 3 2 2 2" xfId="44045" xr:uid="{00000000-0005-0000-0000-0000CB770000}"/>
    <cellStyle name="Normal 2 9 3 4 3 2 3" xfId="13962" xr:uid="{00000000-0005-0000-0000-0000CC770000}"/>
    <cellStyle name="Normal 2 9 3 4 3 2 3 2" xfId="36605" xr:uid="{00000000-0005-0000-0000-0000CD770000}"/>
    <cellStyle name="Normal 2 9 3 4 3 2 4" xfId="29164" xr:uid="{00000000-0005-0000-0000-0000CE770000}"/>
    <cellStyle name="Normal 2 9 3 4 3 3" xfId="17684" xr:uid="{00000000-0005-0000-0000-0000CF770000}"/>
    <cellStyle name="Normal 2 9 3 4 3 3 2" xfId="40327" xr:uid="{00000000-0005-0000-0000-0000D0770000}"/>
    <cellStyle name="Normal 2 9 3 4 3 4" xfId="10244" xr:uid="{00000000-0005-0000-0000-0000D1770000}"/>
    <cellStyle name="Normal 2 9 3 4 3 4 2" xfId="32887" xr:uid="{00000000-0005-0000-0000-0000D2770000}"/>
    <cellStyle name="Normal 2 9 3 4 3 5" xfId="25446" xr:uid="{00000000-0005-0000-0000-0000D3770000}"/>
    <cellStyle name="Normal 2 9 3 4 4" xfId="4671" xr:uid="{00000000-0005-0000-0000-0000D4770000}"/>
    <cellStyle name="Normal 2 9 3 4 4 2" xfId="19555" xr:uid="{00000000-0005-0000-0000-0000D5770000}"/>
    <cellStyle name="Normal 2 9 3 4 4 2 2" xfId="42198" xr:uid="{00000000-0005-0000-0000-0000D6770000}"/>
    <cellStyle name="Normal 2 9 3 4 4 3" xfId="12115" xr:uid="{00000000-0005-0000-0000-0000D7770000}"/>
    <cellStyle name="Normal 2 9 3 4 4 3 2" xfId="34758" xr:uid="{00000000-0005-0000-0000-0000D8770000}"/>
    <cellStyle name="Normal 2 9 3 4 4 4" xfId="27317" xr:uid="{00000000-0005-0000-0000-0000D9770000}"/>
    <cellStyle name="Normal 2 9 3 4 5" xfId="15837" xr:uid="{00000000-0005-0000-0000-0000DA770000}"/>
    <cellStyle name="Normal 2 9 3 4 5 2" xfId="38480" xr:uid="{00000000-0005-0000-0000-0000DB770000}"/>
    <cellStyle name="Normal 2 9 3 4 6" xfId="8397" xr:uid="{00000000-0005-0000-0000-0000DC770000}"/>
    <cellStyle name="Normal 2 9 3 4 6 2" xfId="31040" xr:uid="{00000000-0005-0000-0000-0000DD770000}"/>
    <cellStyle name="Normal 2 9 3 4 7" xfId="23599" xr:uid="{00000000-0005-0000-0000-0000DE770000}"/>
    <cellStyle name="Normal 2 9 3 5" xfId="1410" xr:uid="{00000000-0005-0000-0000-0000DF770000}"/>
    <cellStyle name="Normal 2 9 3 5 2" xfId="3260" xr:uid="{00000000-0005-0000-0000-0000E0770000}"/>
    <cellStyle name="Normal 2 9 3 5 2 2" xfId="6981" xr:uid="{00000000-0005-0000-0000-0000E1770000}"/>
    <cellStyle name="Normal 2 9 3 5 2 2 2" xfId="21865" xr:uid="{00000000-0005-0000-0000-0000E2770000}"/>
    <cellStyle name="Normal 2 9 3 5 2 2 2 2" xfId="44508" xr:uid="{00000000-0005-0000-0000-0000E3770000}"/>
    <cellStyle name="Normal 2 9 3 5 2 2 3" xfId="14425" xr:uid="{00000000-0005-0000-0000-0000E4770000}"/>
    <cellStyle name="Normal 2 9 3 5 2 2 3 2" xfId="37068" xr:uid="{00000000-0005-0000-0000-0000E5770000}"/>
    <cellStyle name="Normal 2 9 3 5 2 2 4" xfId="29627" xr:uid="{00000000-0005-0000-0000-0000E6770000}"/>
    <cellStyle name="Normal 2 9 3 5 2 3" xfId="18147" xr:uid="{00000000-0005-0000-0000-0000E7770000}"/>
    <cellStyle name="Normal 2 9 3 5 2 3 2" xfId="40790" xr:uid="{00000000-0005-0000-0000-0000E8770000}"/>
    <cellStyle name="Normal 2 9 3 5 2 4" xfId="10707" xr:uid="{00000000-0005-0000-0000-0000E9770000}"/>
    <cellStyle name="Normal 2 9 3 5 2 4 2" xfId="33350" xr:uid="{00000000-0005-0000-0000-0000EA770000}"/>
    <cellStyle name="Normal 2 9 3 5 2 5" xfId="25909" xr:uid="{00000000-0005-0000-0000-0000EB770000}"/>
    <cellStyle name="Normal 2 9 3 5 3" xfId="5134" xr:uid="{00000000-0005-0000-0000-0000EC770000}"/>
    <cellStyle name="Normal 2 9 3 5 3 2" xfId="20018" xr:uid="{00000000-0005-0000-0000-0000ED770000}"/>
    <cellStyle name="Normal 2 9 3 5 3 2 2" xfId="42661" xr:uid="{00000000-0005-0000-0000-0000EE770000}"/>
    <cellStyle name="Normal 2 9 3 5 3 3" xfId="12578" xr:uid="{00000000-0005-0000-0000-0000EF770000}"/>
    <cellStyle name="Normal 2 9 3 5 3 3 2" xfId="35221" xr:uid="{00000000-0005-0000-0000-0000F0770000}"/>
    <cellStyle name="Normal 2 9 3 5 3 4" xfId="27780" xr:uid="{00000000-0005-0000-0000-0000F1770000}"/>
    <cellStyle name="Normal 2 9 3 5 4" xfId="16300" xr:uid="{00000000-0005-0000-0000-0000F2770000}"/>
    <cellStyle name="Normal 2 9 3 5 4 2" xfId="38943" xr:uid="{00000000-0005-0000-0000-0000F3770000}"/>
    <cellStyle name="Normal 2 9 3 5 5" xfId="8860" xr:uid="{00000000-0005-0000-0000-0000F4770000}"/>
    <cellStyle name="Normal 2 9 3 5 5 2" xfId="31503" xr:uid="{00000000-0005-0000-0000-0000F5770000}"/>
    <cellStyle name="Normal 2 9 3 5 6" xfId="24062" xr:uid="{00000000-0005-0000-0000-0000F6770000}"/>
    <cellStyle name="Normal 2 9 3 6" xfId="2335" xr:uid="{00000000-0005-0000-0000-0000F7770000}"/>
    <cellStyle name="Normal 2 9 3 6 2" xfId="6056" xr:uid="{00000000-0005-0000-0000-0000F8770000}"/>
    <cellStyle name="Normal 2 9 3 6 2 2" xfId="20940" xr:uid="{00000000-0005-0000-0000-0000F9770000}"/>
    <cellStyle name="Normal 2 9 3 6 2 2 2" xfId="43583" xr:uid="{00000000-0005-0000-0000-0000FA770000}"/>
    <cellStyle name="Normal 2 9 3 6 2 3" xfId="13500" xr:uid="{00000000-0005-0000-0000-0000FB770000}"/>
    <cellStyle name="Normal 2 9 3 6 2 3 2" xfId="36143" xr:uid="{00000000-0005-0000-0000-0000FC770000}"/>
    <cellStyle name="Normal 2 9 3 6 2 4" xfId="28702" xr:uid="{00000000-0005-0000-0000-0000FD770000}"/>
    <cellStyle name="Normal 2 9 3 6 3" xfId="17222" xr:uid="{00000000-0005-0000-0000-0000FE770000}"/>
    <cellStyle name="Normal 2 9 3 6 3 2" xfId="39865" xr:uid="{00000000-0005-0000-0000-0000FF770000}"/>
    <cellStyle name="Normal 2 9 3 6 4" xfId="9782" xr:uid="{00000000-0005-0000-0000-000000780000}"/>
    <cellStyle name="Normal 2 9 3 6 4 2" xfId="32425" xr:uid="{00000000-0005-0000-0000-000001780000}"/>
    <cellStyle name="Normal 2 9 3 6 5" xfId="24984" xr:uid="{00000000-0005-0000-0000-000002780000}"/>
    <cellStyle name="Normal 2 9 3 7" xfId="4209" xr:uid="{00000000-0005-0000-0000-000003780000}"/>
    <cellStyle name="Normal 2 9 3 7 2" xfId="19093" xr:uid="{00000000-0005-0000-0000-000004780000}"/>
    <cellStyle name="Normal 2 9 3 7 2 2" xfId="41736" xr:uid="{00000000-0005-0000-0000-000005780000}"/>
    <cellStyle name="Normal 2 9 3 7 3" xfId="11653" xr:uid="{00000000-0005-0000-0000-000006780000}"/>
    <cellStyle name="Normal 2 9 3 7 3 2" xfId="34296" xr:uid="{00000000-0005-0000-0000-000007780000}"/>
    <cellStyle name="Normal 2 9 3 7 4" xfId="26855" xr:uid="{00000000-0005-0000-0000-000008780000}"/>
    <cellStyle name="Normal 2 9 3 8" xfId="15375" xr:uid="{00000000-0005-0000-0000-000009780000}"/>
    <cellStyle name="Normal 2 9 3 8 2" xfId="38018" xr:uid="{00000000-0005-0000-0000-00000A780000}"/>
    <cellStyle name="Normal 2 9 3 9" xfId="7935" xr:uid="{00000000-0005-0000-0000-00000B780000}"/>
    <cellStyle name="Normal 2 9 3 9 2" xfId="30578" xr:uid="{00000000-0005-0000-0000-00000C780000}"/>
    <cellStyle name="Normal 2 9 4" xfId="531" xr:uid="{00000000-0005-0000-0000-00000D780000}"/>
    <cellStyle name="Normal 2 9 4 2" xfId="743" xr:uid="{00000000-0005-0000-0000-00000E780000}"/>
    <cellStyle name="Normal 2 9 4 2 2" xfId="1208" xr:uid="{00000000-0005-0000-0000-00000F780000}"/>
    <cellStyle name="Normal 2 9 4 2 2 2" xfId="2136" xr:uid="{00000000-0005-0000-0000-000010780000}"/>
    <cellStyle name="Normal 2 9 4 2 2 2 2" xfId="3986" xr:uid="{00000000-0005-0000-0000-000011780000}"/>
    <cellStyle name="Normal 2 9 4 2 2 2 2 2" xfId="7707" xr:uid="{00000000-0005-0000-0000-000012780000}"/>
    <cellStyle name="Normal 2 9 4 2 2 2 2 2 2" xfId="22591" xr:uid="{00000000-0005-0000-0000-000013780000}"/>
    <cellStyle name="Normal 2 9 4 2 2 2 2 2 2 2" xfId="45234" xr:uid="{00000000-0005-0000-0000-000014780000}"/>
    <cellStyle name="Normal 2 9 4 2 2 2 2 2 3" xfId="15151" xr:uid="{00000000-0005-0000-0000-000015780000}"/>
    <cellStyle name="Normal 2 9 4 2 2 2 2 2 3 2" xfId="37794" xr:uid="{00000000-0005-0000-0000-000016780000}"/>
    <cellStyle name="Normal 2 9 4 2 2 2 2 2 4" xfId="30353" xr:uid="{00000000-0005-0000-0000-000017780000}"/>
    <cellStyle name="Normal 2 9 4 2 2 2 2 3" xfId="18873" xr:uid="{00000000-0005-0000-0000-000018780000}"/>
    <cellStyle name="Normal 2 9 4 2 2 2 2 3 2" xfId="41516" xr:uid="{00000000-0005-0000-0000-000019780000}"/>
    <cellStyle name="Normal 2 9 4 2 2 2 2 4" xfId="11433" xr:uid="{00000000-0005-0000-0000-00001A780000}"/>
    <cellStyle name="Normal 2 9 4 2 2 2 2 4 2" xfId="34076" xr:uid="{00000000-0005-0000-0000-00001B780000}"/>
    <cellStyle name="Normal 2 9 4 2 2 2 2 5" xfId="26635" xr:uid="{00000000-0005-0000-0000-00001C780000}"/>
    <cellStyle name="Normal 2 9 4 2 2 2 3" xfId="5860" xr:uid="{00000000-0005-0000-0000-00001D780000}"/>
    <cellStyle name="Normal 2 9 4 2 2 2 3 2" xfId="20744" xr:uid="{00000000-0005-0000-0000-00001E780000}"/>
    <cellStyle name="Normal 2 9 4 2 2 2 3 2 2" xfId="43387" xr:uid="{00000000-0005-0000-0000-00001F780000}"/>
    <cellStyle name="Normal 2 9 4 2 2 2 3 3" xfId="13304" xr:uid="{00000000-0005-0000-0000-000020780000}"/>
    <cellStyle name="Normal 2 9 4 2 2 2 3 3 2" xfId="35947" xr:uid="{00000000-0005-0000-0000-000021780000}"/>
    <cellStyle name="Normal 2 9 4 2 2 2 3 4" xfId="28506" xr:uid="{00000000-0005-0000-0000-000022780000}"/>
    <cellStyle name="Normal 2 9 4 2 2 2 4" xfId="17026" xr:uid="{00000000-0005-0000-0000-000023780000}"/>
    <cellStyle name="Normal 2 9 4 2 2 2 4 2" xfId="39669" xr:uid="{00000000-0005-0000-0000-000024780000}"/>
    <cellStyle name="Normal 2 9 4 2 2 2 5" xfId="9586" xr:uid="{00000000-0005-0000-0000-000025780000}"/>
    <cellStyle name="Normal 2 9 4 2 2 2 5 2" xfId="32229" xr:uid="{00000000-0005-0000-0000-000026780000}"/>
    <cellStyle name="Normal 2 9 4 2 2 2 6" xfId="24788" xr:uid="{00000000-0005-0000-0000-000027780000}"/>
    <cellStyle name="Normal 2 9 4 2 2 3" xfId="3061" xr:uid="{00000000-0005-0000-0000-000028780000}"/>
    <cellStyle name="Normal 2 9 4 2 2 3 2" xfId="6782" xr:uid="{00000000-0005-0000-0000-000029780000}"/>
    <cellStyle name="Normal 2 9 4 2 2 3 2 2" xfId="21666" xr:uid="{00000000-0005-0000-0000-00002A780000}"/>
    <cellStyle name="Normal 2 9 4 2 2 3 2 2 2" xfId="44309" xr:uid="{00000000-0005-0000-0000-00002B780000}"/>
    <cellStyle name="Normal 2 9 4 2 2 3 2 3" xfId="14226" xr:uid="{00000000-0005-0000-0000-00002C780000}"/>
    <cellStyle name="Normal 2 9 4 2 2 3 2 3 2" xfId="36869" xr:uid="{00000000-0005-0000-0000-00002D780000}"/>
    <cellStyle name="Normal 2 9 4 2 2 3 2 4" xfId="29428" xr:uid="{00000000-0005-0000-0000-00002E780000}"/>
    <cellStyle name="Normal 2 9 4 2 2 3 3" xfId="17948" xr:uid="{00000000-0005-0000-0000-00002F780000}"/>
    <cellStyle name="Normal 2 9 4 2 2 3 3 2" xfId="40591" xr:uid="{00000000-0005-0000-0000-000030780000}"/>
    <cellStyle name="Normal 2 9 4 2 2 3 4" xfId="10508" xr:uid="{00000000-0005-0000-0000-000031780000}"/>
    <cellStyle name="Normal 2 9 4 2 2 3 4 2" xfId="33151" xr:uid="{00000000-0005-0000-0000-000032780000}"/>
    <cellStyle name="Normal 2 9 4 2 2 3 5" xfId="25710" xr:uid="{00000000-0005-0000-0000-000033780000}"/>
    <cellStyle name="Normal 2 9 4 2 2 4" xfId="4935" xr:uid="{00000000-0005-0000-0000-000034780000}"/>
    <cellStyle name="Normal 2 9 4 2 2 4 2" xfId="19819" xr:uid="{00000000-0005-0000-0000-000035780000}"/>
    <cellStyle name="Normal 2 9 4 2 2 4 2 2" xfId="42462" xr:uid="{00000000-0005-0000-0000-000036780000}"/>
    <cellStyle name="Normal 2 9 4 2 2 4 3" xfId="12379" xr:uid="{00000000-0005-0000-0000-000037780000}"/>
    <cellStyle name="Normal 2 9 4 2 2 4 3 2" xfId="35022" xr:uid="{00000000-0005-0000-0000-000038780000}"/>
    <cellStyle name="Normal 2 9 4 2 2 4 4" xfId="27581" xr:uid="{00000000-0005-0000-0000-000039780000}"/>
    <cellStyle name="Normal 2 9 4 2 2 5" xfId="16101" xr:uid="{00000000-0005-0000-0000-00003A780000}"/>
    <cellStyle name="Normal 2 9 4 2 2 5 2" xfId="38744" xr:uid="{00000000-0005-0000-0000-00003B780000}"/>
    <cellStyle name="Normal 2 9 4 2 2 6" xfId="8661" xr:uid="{00000000-0005-0000-0000-00003C780000}"/>
    <cellStyle name="Normal 2 9 4 2 2 6 2" xfId="31304" xr:uid="{00000000-0005-0000-0000-00003D780000}"/>
    <cellStyle name="Normal 2 9 4 2 2 7" xfId="23863" xr:uid="{00000000-0005-0000-0000-00003E780000}"/>
    <cellStyle name="Normal 2 9 4 2 3" xfId="1674" xr:uid="{00000000-0005-0000-0000-00003F780000}"/>
    <cellStyle name="Normal 2 9 4 2 3 2" xfId="3524" xr:uid="{00000000-0005-0000-0000-000040780000}"/>
    <cellStyle name="Normal 2 9 4 2 3 2 2" xfId="7245" xr:uid="{00000000-0005-0000-0000-000041780000}"/>
    <cellStyle name="Normal 2 9 4 2 3 2 2 2" xfId="22129" xr:uid="{00000000-0005-0000-0000-000042780000}"/>
    <cellStyle name="Normal 2 9 4 2 3 2 2 2 2" xfId="44772" xr:uid="{00000000-0005-0000-0000-000043780000}"/>
    <cellStyle name="Normal 2 9 4 2 3 2 2 3" xfId="14689" xr:uid="{00000000-0005-0000-0000-000044780000}"/>
    <cellStyle name="Normal 2 9 4 2 3 2 2 3 2" xfId="37332" xr:uid="{00000000-0005-0000-0000-000045780000}"/>
    <cellStyle name="Normal 2 9 4 2 3 2 2 4" xfId="29891" xr:uid="{00000000-0005-0000-0000-000046780000}"/>
    <cellStyle name="Normal 2 9 4 2 3 2 3" xfId="18411" xr:uid="{00000000-0005-0000-0000-000047780000}"/>
    <cellStyle name="Normal 2 9 4 2 3 2 3 2" xfId="41054" xr:uid="{00000000-0005-0000-0000-000048780000}"/>
    <cellStyle name="Normal 2 9 4 2 3 2 4" xfId="10971" xr:uid="{00000000-0005-0000-0000-000049780000}"/>
    <cellStyle name="Normal 2 9 4 2 3 2 4 2" xfId="33614" xr:uid="{00000000-0005-0000-0000-00004A780000}"/>
    <cellStyle name="Normal 2 9 4 2 3 2 5" xfId="26173" xr:uid="{00000000-0005-0000-0000-00004B780000}"/>
    <cellStyle name="Normal 2 9 4 2 3 3" xfId="5398" xr:uid="{00000000-0005-0000-0000-00004C780000}"/>
    <cellStyle name="Normal 2 9 4 2 3 3 2" xfId="20282" xr:uid="{00000000-0005-0000-0000-00004D780000}"/>
    <cellStyle name="Normal 2 9 4 2 3 3 2 2" xfId="42925" xr:uid="{00000000-0005-0000-0000-00004E780000}"/>
    <cellStyle name="Normal 2 9 4 2 3 3 3" xfId="12842" xr:uid="{00000000-0005-0000-0000-00004F780000}"/>
    <cellStyle name="Normal 2 9 4 2 3 3 3 2" xfId="35485" xr:uid="{00000000-0005-0000-0000-000050780000}"/>
    <cellStyle name="Normal 2 9 4 2 3 3 4" xfId="28044" xr:uid="{00000000-0005-0000-0000-000051780000}"/>
    <cellStyle name="Normal 2 9 4 2 3 4" xfId="16564" xr:uid="{00000000-0005-0000-0000-000052780000}"/>
    <cellStyle name="Normal 2 9 4 2 3 4 2" xfId="39207" xr:uid="{00000000-0005-0000-0000-000053780000}"/>
    <cellStyle name="Normal 2 9 4 2 3 5" xfId="9124" xr:uid="{00000000-0005-0000-0000-000054780000}"/>
    <cellStyle name="Normal 2 9 4 2 3 5 2" xfId="31767" xr:uid="{00000000-0005-0000-0000-000055780000}"/>
    <cellStyle name="Normal 2 9 4 2 3 6" xfId="24326" xr:uid="{00000000-0005-0000-0000-000056780000}"/>
    <cellStyle name="Normal 2 9 4 2 4" xfId="2599" xr:uid="{00000000-0005-0000-0000-000057780000}"/>
    <cellStyle name="Normal 2 9 4 2 4 2" xfId="6320" xr:uid="{00000000-0005-0000-0000-000058780000}"/>
    <cellStyle name="Normal 2 9 4 2 4 2 2" xfId="21204" xr:uid="{00000000-0005-0000-0000-000059780000}"/>
    <cellStyle name="Normal 2 9 4 2 4 2 2 2" xfId="43847" xr:uid="{00000000-0005-0000-0000-00005A780000}"/>
    <cellStyle name="Normal 2 9 4 2 4 2 3" xfId="13764" xr:uid="{00000000-0005-0000-0000-00005B780000}"/>
    <cellStyle name="Normal 2 9 4 2 4 2 3 2" xfId="36407" xr:uid="{00000000-0005-0000-0000-00005C780000}"/>
    <cellStyle name="Normal 2 9 4 2 4 2 4" xfId="28966" xr:uid="{00000000-0005-0000-0000-00005D780000}"/>
    <cellStyle name="Normal 2 9 4 2 4 3" xfId="17486" xr:uid="{00000000-0005-0000-0000-00005E780000}"/>
    <cellStyle name="Normal 2 9 4 2 4 3 2" xfId="40129" xr:uid="{00000000-0005-0000-0000-00005F780000}"/>
    <cellStyle name="Normal 2 9 4 2 4 4" xfId="10046" xr:uid="{00000000-0005-0000-0000-000060780000}"/>
    <cellStyle name="Normal 2 9 4 2 4 4 2" xfId="32689" xr:uid="{00000000-0005-0000-0000-000061780000}"/>
    <cellStyle name="Normal 2 9 4 2 4 5" xfId="25248" xr:uid="{00000000-0005-0000-0000-000062780000}"/>
    <cellStyle name="Normal 2 9 4 2 5" xfId="4473" xr:uid="{00000000-0005-0000-0000-000063780000}"/>
    <cellStyle name="Normal 2 9 4 2 5 2" xfId="19357" xr:uid="{00000000-0005-0000-0000-000064780000}"/>
    <cellStyle name="Normal 2 9 4 2 5 2 2" xfId="42000" xr:uid="{00000000-0005-0000-0000-000065780000}"/>
    <cellStyle name="Normal 2 9 4 2 5 3" xfId="11917" xr:uid="{00000000-0005-0000-0000-000066780000}"/>
    <cellStyle name="Normal 2 9 4 2 5 3 2" xfId="34560" xr:uid="{00000000-0005-0000-0000-000067780000}"/>
    <cellStyle name="Normal 2 9 4 2 5 4" xfId="27119" xr:uid="{00000000-0005-0000-0000-000068780000}"/>
    <cellStyle name="Normal 2 9 4 2 6" xfId="15639" xr:uid="{00000000-0005-0000-0000-000069780000}"/>
    <cellStyle name="Normal 2 9 4 2 6 2" xfId="38282" xr:uid="{00000000-0005-0000-0000-00006A780000}"/>
    <cellStyle name="Normal 2 9 4 2 7" xfId="8199" xr:uid="{00000000-0005-0000-0000-00006B780000}"/>
    <cellStyle name="Normal 2 9 4 2 7 2" xfId="30842" xr:uid="{00000000-0005-0000-0000-00006C780000}"/>
    <cellStyle name="Normal 2 9 4 2 8" xfId="23401" xr:uid="{00000000-0005-0000-0000-00006D780000}"/>
    <cellStyle name="Normal 2 9 4 3" xfId="997" xr:uid="{00000000-0005-0000-0000-00006E780000}"/>
    <cellStyle name="Normal 2 9 4 3 2" xfId="1925" xr:uid="{00000000-0005-0000-0000-00006F780000}"/>
    <cellStyle name="Normal 2 9 4 3 2 2" xfId="3775" xr:uid="{00000000-0005-0000-0000-000070780000}"/>
    <cellStyle name="Normal 2 9 4 3 2 2 2" xfId="7496" xr:uid="{00000000-0005-0000-0000-000071780000}"/>
    <cellStyle name="Normal 2 9 4 3 2 2 2 2" xfId="22380" xr:uid="{00000000-0005-0000-0000-000072780000}"/>
    <cellStyle name="Normal 2 9 4 3 2 2 2 2 2" xfId="45023" xr:uid="{00000000-0005-0000-0000-000073780000}"/>
    <cellStyle name="Normal 2 9 4 3 2 2 2 3" xfId="14940" xr:uid="{00000000-0005-0000-0000-000074780000}"/>
    <cellStyle name="Normal 2 9 4 3 2 2 2 3 2" xfId="37583" xr:uid="{00000000-0005-0000-0000-000075780000}"/>
    <cellStyle name="Normal 2 9 4 3 2 2 2 4" xfId="30142" xr:uid="{00000000-0005-0000-0000-000076780000}"/>
    <cellStyle name="Normal 2 9 4 3 2 2 3" xfId="18662" xr:uid="{00000000-0005-0000-0000-000077780000}"/>
    <cellStyle name="Normal 2 9 4 3 2 2 3 2" xfId="41305" xr:uid="{00000000-0005-0000-0000-000078780000}"/>
    <cellStyle name="Normal 2 9 4 3 2 2 4" xfId="11222" xr:uid="{00000000-0005-0000-0000-000079780000}"/>
    <cellStyle name="Normal 2 9 4 3 2 2 4 2" xfId="33865" xr:uid="{00000000-0005-0000-0000-00007A780000}"/>
    <cellStyle name="Normal 2 9 4 3 2 2 5" xfId="26424" xr:uid="{00000000-0005-0000-0000-00007B780000}"/>
    <cellStyle name="Normal 2 9 4 3 2 3" xfId="5649" xr:uid="{00000000-0005-0000-0000-00007C780000}"/>
    <cellStyle name="Normal 2 9 4 3 2 3 2" xfId="20533" xr:uid="{00000000-0005-0000-0000-00007D780000}"/>
    <cellStyle name="Normal 2 9 4 3 2 3 2 2" xfId="43176" xr:uid="{00000000-0005-0000-0000-00007E780000}"/>
    <cellStyle name="Normal 2 9 4 3 2 3 3" xfId="13093" xr:uid="{00000000-0005-0000-0000-00007F780000}"/>
    <cellStyle name="Normal 2 9 4 3 2 3 3 2" xfId="35736" xr:uid="{00000000-0005-0000-0000-000080780000}"/>
    <cellStyle name="Normal 2 9 4 3 2 3 4" xfId="28295" xr:uid="{00000000-0005-0000-0000-000081780000}"/>
    <cellStyle name="Normal 2 9 4 3 2 4" xfId="16815" xr:uid="{00000000-0005-0000-0000-000082780000}"/>
    <cellStyle name="Normal 2 9 4 3 2 4 2" xfId="39458" xr:uid="{00000000-0005-0000-0000-000083780000}"/>
    <cellStyle name="Normal 2 9 4 3 2 5" xfId="9375" xr:uid="{00000000-0005-0000-0000-000084780000}"/>
    <cellStyle name="Normal 2 9 4 3 2 5 2" xfId="32018" xr:uid="{00000000-0005-0000-0000-000085780000}"/>
    <cellStyle name="Normal 2 9 4 3 2 6" xfId="24577" xr:uid="{00000000-0005-0000-0000-000086780000}"/>
    <cellStyle name="Normal 2 9 4 3 3" xfId="2850" xr:uid="{00000000-0005-0000-0000-000087780000}"/>
    <cellStyle name="Normal 2 9 4 3 3 2" xfId="6571" xr:uid="{00000000-0005-0000-0000-000088780000}"/>
    <cellStyle name="Normal 2 9 4 3 3 2 2" xfId="21455" xr:uid="{00000000-0005-0000-0000-000089780000}"/>
    <cellStyle name="Normal 2 9 4 3 3 2 2 2" xfId="44098" xr:uid="{00000000-0005-0000-0000-00008A780000}"/>
    <cellStyle name="Normal 2 9 4 3 3 2 3" xfId="14015" xr:uid="{00000000-0005-0000-0000-00008B780000}"/>
    <cellStyle name="Normal 2 9 4 3 3 2 3 2" xfId="36658" xr:uid="{00000000-0005-0000-0000-00008C780000}"/>
    <cellStyle name="Normal 2 9 4 3 3 2 4" xfId="29217" xr:uid="{00000000-0005-0000-0000-00008D780000}"/>
    <cellStyle name="Normal 2 9 4 3 3 3" xfId="17737" xr:uid="{00000000-0005-0000-0000-00008E780000}"/>
    <cellStyle name="Normal 2 9 4 3 3 3 2" xfId="40380" xr:uid="{00000000-0005-0000-0000-00008F780000}"/>
    <cellStyle name="Normal 2 9 4 3 3 4" xfId="10297" xr:uid="{00000000-0005-0000-0000-000090780000}"/>
    <cellStyle name="Normal 2 9 4 3 3 4 2" xfId="32940" xr:uid="{00000000-0005-0000-0000-000091780000}"/>
    <cellStyle name="Normal 2 9 4 3 3 5" xfId="25499" xr:uid="{00000000-0005-0000-0000-000092780000}"/>
    <cellStyle name="Normal 2 9 4 3 4" xfId="4724" xr:uid="{00000000-0005-0000-0000-000093780000}"/>
    <cellStyle name="Normal 2 9 4 3 4 2" xfId="19608" xr:uid="{00000000-0005-0000-0000-000094780000}"/>
    <cellStyle name="Normal 2 9 4 3 4 2 2" xfId="42251" xr:uid="{00000000-0005-0000-0000-000095780000}"/>
    <cellStyle name="Normal 2 9 4 3 4 3" xfId="12168" xr:uid="{00000000-0005-0000-0000-000096780000}"/>
    <cellStyle name="Normal 2 9 4 3 4 3 2" xfId="34811" xr:uid="{00000000-0005-0000-0000-000097780000}"/>
    <cellStyle name="Normal 2 9 4 3 4 4" xfId="27370" xr:uid="{00000000-0005-0000-0000-000098780000}"/>
    <cellStyle name="Normal 2 9 4 3 5" xfId="15890" xr:uid="{00000000-0005-0000-0000-000099780000}"/>
    <cellStyle name="Normal 2 9 4 3 5 2" xfId="38533" xr:uid="{00000000-0005-0000-0000-00009A780000}"/>
    <cellStyle name="Normal 2 9 4 3 6" xfId="8450" xr:uid="{00000000-0005-0000-0000-00009B780000}"/>
    <cellStyle name="Normal 2 9 4 3 6 2" xfId="31093" xr:uid="{00000000-0005-0000-0000-00009C780000}"/>
    <cellStyle name="Normal 2 9 4 3 7" xfId="23652" xr:uid="{00000000-0005-0000-0000-00009D780000}"/>
    <cellStyle name="Normal 2 9 4 4" xfId="1463" xr:uid="{00000000-0005-0000-0000-00009E780000}"/>
    <cellStyle name="Normal 2 9 4 4 2" xfId="3313" xr:uid="{00000000-0005-0000-0000-00009F780000}"/>
    <cellStyle name="Normal 2 9 4 4 2 2" xfId="7034" xr:uid="{00000000-0005-0000-0000-0000A0780000}"/>
    <cellStyle name="Normal 2 9 4 4 2 2 2" xfId="21918" xr:uid="{00000000-0005-0000-0000-0000A1780000}"/>
    <cellStyle name="Normal 2 9 4 4 2 2 2 2" xfId="44561" xr:uid="{00000000-0005-0000-0000-0000A2780000}"/>
    <cellStyle name="Normal 2 9 4 4 2 2 3" xfId="14478" xr:uid="{00000000-0005-0000-0000-0000A3780000}"/>
    <cellStyle name="Normal 2 9 4 4 2 2 3 2" xfId="37121" xr:uid="{00000000-0005-0000-0000-0000A4780000}"/>
    <cellStyle name="Normal 2 9 4 4 2 2 4" xfId="29680" xr:uid="{00000000-0005-0000-0000-0000A5780000}"/>
    <cellStyle name="Normal 2 9 4 4 2 3" xfId="18200" xr:uid="{00000000-0005-0000-0000-0000A6780000}"/>
    <cellStyle name="Normal 2 9 4 4 2 3 2" xfId="40843" xr:uid="{00000000-0005-0000-0000-0000A7780000}"/>
    <cellStyle name="Normal 2 9 4 4 2 4" xfId="10760" xr:uid="{00000000-0005-0000-0000-0000A8780000}"/>
    <cellStyle name="Normal 2 9 4 4 2 4 2" xfId="33403" xr:uid="{00000000-0005-0000-0000-0000A9780000}"/>
    <cellStyle name="Normal 2 9 4 4 2 5" xfId="25962" xr:uid="{00000000-0005-0000-0000-0000AA780000}"/>
    <cellStyle name="Normal 2 9 4 4 3" xfId="5187" xr:uid="{00000000-0005-0000-0000-0000AB780000}"/>
    <cellStyle name="Normal 2 9 4 4 3 2" xfId="20071" xr:uid="{00000000-0005-0000-0000-0000AC780000}"/>
    <cellStyle name="Normal 2 9 4 4 3 2 2" xfId="42714" xr:uid="{00000000-0005-0000-0000-0000AD780000}"/>
    <cellStyle name="Normal 2 9 4 4 3 3" xfId="12631" xr:uid="{00000000-0005-0000-0000-0000AE780000}"/>
    <cellStyle name="Normal 2 9 4 4 3 3 2" xfId="35274" xr:uid="{00000000-0005-0000-0000-0000AF780000}"/>
    <cellStyle name="Normal 2 9 4 4 3 4" xfId="27833" xr:uid="{00000000-0005-0000-0000-0000B0780000}"/>
    <cellStyle name="Normal 2 9 4 4 4" xfId="16353" xr:uid="{00000000-0005-0000-0000-0000B1780000}"/>
    <cellStyle name="Normal 2 9 4 4 4 2" xfId="38996" xr:uid="{00000000-0005-0000-0000-0000B2780000}"/>
    <cellStyle name="Normal 2 9 4 4 5" xfId="8913" xr:uid="{00000000-0005-0000-0000-0000B3780000}"/>
    <cellStyle name="Normal 2 9 4 4 5 2" xfId="31556" xr:uid="{00000000-0005-0000-0000-0000B4780000}"/>
    <cellStyle name="Normal 2 9 4 4 6" xfId="24115" xr:uid="{00000000-0005-0000-0000-0000B5780000}"/>
    <cellStyle name="Normal 2 9 4 5" xfId="2388" xr:uid="{00000000-0005-0000-0000-0000B6780000}"/>
    <cellStyle name="Normal 2 9 4 5 2" xfId="6109" xr:uid="{00000000-0005-0000-0000-0000B7780000}"/>
    <cellStyle name="Normal 2 9 4 5 2 2" xfId="20993" xr:uid="{00000000-0005-0000-0000-0000B8780000}"/>
    <cellStyle name="Normal 2 9 4 5 2 2 2" xfId="43636" xr:uid="{00000000-0005-0000-0000-0000B9780000}"/>
    <cellStyle name="Normal 2 9 4 5 2 3" xfId="13553" xr:uid="{00000000-0005-0000-0000-0000BA780000}"/>
    <cellStyle name="Normal 2 9 4 5 2 3 2" xfId="36196" xr:uid="{00000000-0005-0000-0000-0000BB780000}"/>
    <cellStyle name="Normal 2 9 4 5 2 4" xfId="28755" xr:uid="{00000000-0005-0000-0000-0000BC780000}"/>
    <cellStyle name="Normal 2 9 4 5 3" xfId="17275" xr:uid="{00000000-0005-0000-0000-0000BD780000}"/>
    <cellStyle name="Normal 2 9 4 5 3 2" xfId="39918" xr:uid="{00000000-0005-0000-0000-0000BE780000}"/>
    <cellStyle name="Normal 2 9 4 5 4" xfId="9835" xr:uid="{00000000-0005-0000-0000-0000BF780000}"/>
    <cellStyle name="Normal 2 9 4 5 4 2" xfId="32478" xr:uid="{00000000-0005-0000-0000-0000C0780000}"/>
    <cellStyle name="Normal 2 9 4 5 5" xfId="25037" xr:uid="{00000000-0005-0000-0000-0000C1780000}"/>
    <cellStyle name="Normal 2 9 4 6" xfId="4262" xr:uid="{00000000-0005-0000-0000-0000C2780000}"/>
    <cellStyle name="Normal 2 9 4 6 2" xfId="19146" xr:uid="{00000000-0005-0000-0000-0000C3780000}"/>
    <cellStyle name="Normal 2 9 4 6 2 2" xfId="41789" xr:uid="{00000000-0005-0000-0000-0000C4780000}"/>
    <cellStyle name="Normal 2 9 4 6 3" xfId="11706" xr:uid="{00000000-0005-0000-0000-0000C5780000}"/>
    <cellStyle name="Normal 2 9 4 6 3 2" xfId="34349" xr:uid="{00000000-0005-0000-0000-0000C6780000}"/>
    <cellStyle name="Normal 2 9 4 6 4" xfId="26908" xr:uid="{00000000-0005-0000-0000-0000C7780000}"/>
    <cellStyle name="Normal 2 9 4 7" xfId="15428" xr:uid="{00000000-0005-0000-0000-0000C8780000}"/>
    <cellStyle name="Normal 2 9 4 7 2" xfId="38071" xr:uid="{00000000-0005-0000-0000-0000C9780000}"/>
    <cellStyle name="Normal 2 9 4 8" xfId="7988" xr:uid="{00000000-0005-0000-0000-0000CA780000}"/>
    <cellStyle name="Normal 2 9 4 8 2" xfId="30631" xr:uid="{00000000-0005-0000-0000-0000CB780000}"/>
    <cellStyle name="Normal 2 9 4 9" xfId="23191" xr:uid="{00000000-0005-0000-0000-0000CC780000}"/>
    <cellStyle name="Normal 2 9 5" xfId="637" xr:uid="{00000000-0005-0000-0000-0000CD780000}"/>
    <cellStyle name="Normal 2 9 5 2" xfId="1103" xr:uid="{00000000-0005-0000-0000-0000CE780000}"/>
    <cellStyle name="Normal 2 9 5 2 2" xfId="2031" xr:uid="{00000000-0005-0000-0000-0000CF780000}"/>
    <cellStyle name="Normal 2 9 5 2 2 2" xfId="3881" xr:uid="{00000000-0005-0000-0000-0000D0780000}"/>
    <cellStyle name="Normal 2 9 5 2 2 2 2" xfId="7602" xr:uid="{00000000-0005-0000-0000-0000D1780000}"/>
    <cellStyle name="Normal 2 9 5 2 2 2 2 2" xfId="22486" xr:uid="{00000000-0005-0000-0000-0000D2780000}"/>
    <cellStyle name="Normal 2 9 5 2 2 2 2 2 2" xfId="45129" xr:uid="{00000000-0005-0000-0000-0000D3780000}"/>
    <cellStyle name="Normal 2 9 5 2 2 2 2 3" xfId="15046" xr:uid="{00000000-0005-0000-0000-0000D4780000}"/>
    <cellStyle name="Normal 2 9 5 2 2 2 2 3 2" xfId="37689" xr:uid="{00000000-0005-0000-0000-0000D5780000}"/>
    <cellStyle name="Normal 2 9 5 2 2 2 2 4" xfId="30248" xr:uid="{00000000-0005-0000-0000-0000D6780000}"/>
    <cellStyle name="Normal 2 9 5 2 2 2 3" xfId="18768" xr:uid="{00000000-0005-0000-0000-0000D7780000}"/>
    <cellStyle name="Normal 2 9 5 2 2 2 3 2" xfId="41411" xr:uid="{00000000-0005-0000-0000-0000D8780000}"/>
    <cellStyle name="Normal 2 9 5 2 2 2 4" xfId="11328" xr:uid="{00000000-0005-0000-0000-0000D9780000}"/>
    <cellStyle name="Normal 2 9 5 2 2 2 4 2" xfId="33971" xr:uid="{00000000-0005-0000-0000-0000DA780000}"/>
    <cellStyle name="Normal 2 9 5 2 2 2 5" xfId="26530" xr:uid="{00000000-0005-0000-0000-0000DB780000}"/>
    <cellStyle name="Normal 2 9 5 2 2 3" xfId="5755" xr:uid="{00000000-0005-0000-0000-0000DC780000}"/>
    <cellStyle name="Normal 2 9 5 2 2 3 2" xfId="20639" xr:uid="{00000000-0005-0000-0000-0000DD780000}"/>
    <cellStyle name="Normal 2 9 5 2 2 3 2 2" xfId="43282" xr:uid="{00000000-0005-0000-0000-0000DE780000}"/>
    <cellStyle name="Normal 2 9 5 2 2 3 3" xfId="13199" xr:uid="{00000000-0005-0000-0000-0000DF780000}"/>
    <cellStyle name="Normal 2 9 5 2 2 3 3 2" xfId="35842" xr:uid="{00000000-0005-0000-0000-0000E0780000}"/>
    <cellStyle name="Normal 2 9 5 2 2 3 4" xfId="28401" xr:uid="{00000000-0005-0000-0000-0000E1780000}"/>
    <cellStyle name="Normal 2 9 5 2 2 4" xfId="16921" xr:uid="{00000000-0005-0000-0000-0000E2780000}"/>
    <cellStyle name="Normal 2 9 5 2 2 4 2" xfId="39564" xr:uid="{00000000-0005-0000-0000-0000E3780000}"/>
    <cellStyle name="Normal 2 9 5 2 2 5" xfId="9481" xr:uid="{00000000-0005-0000-0000-0000E4780000}"/>
    <cellStyle name="Normal 2 9 5 2 2 5 2" xfId="32124" xr:uid="{00000000-0005-0000-0000-0000E5780000}"/>
    <cellStyle name="Normal 2 9 5 2 2 6" xfId="24683" xr:uid="{00000000-0005-0000-0000-0000E6780000}"/>
    <cellStyle name="Normal 2 9 5 2 3" xfId="2956" xr:uid="{00000000-0005-0000-0000-0000E7780000}"/>
    <cellStyle name="Normal 2 9 5 2 3 2" xfId="6677" xr:uid="{00000000-0005-0000-0000-0000E8780000}"/>
    <cellStyle name="Normal 2 9 5 2 3 2 2" xfId="21561" xr:uid="{00000000-0005-0000-0000-0000E9780000}"/>
    <cellStyle name="Normal 2 9 5 2 3 2 2 2" xfId="44204" xr:uid="{00000000-0005-0000-0000-0000EA780000}"/>
    <cellStyle name="Normal 2 9 5 2 3 2 3" xfId="14121" xr:uid="{00000000-0005-0000-0000-0000EB780000}"/>
    <cellStyle name="Normal 2 9 5 2 3 2 3 2" xfId="36764" xr:uid="{00000000-0005-0000-0000-0000EC780000}"/>
    <cellStyle name="Normal 2 9 5 2 3 2 4" xfId="29323" xr:uid="{00000000-0005-0000-0000-0000ED780000}"/>
    <cellStyle name="Normal 2 9 5 2 3 3" xfId="17843" xr:uid="{00000000-0005-0000-0000-0000EE780000}"/>
    <cellStyle name="Normal 2 9 5 2 3 3 2" xfId="40486" xr:uid="{00000000-0005-0000-0000-0000EF780000}"/>
    <cellStyle name="Normal 2 9 5 2 3 4" xfId="10403" xr:uid="{00000000-0005-0000-0000-0000F0780000}"/>
    <cellStyle name="Normal 2 9 5 2 3 4 2" xfId="33046" xr:uid="{00000000-0005-0000-0000-0000F1780000}"/>
    <cellStyle name="Normal 2 9 5 2 3 5" xfId="25605" xr:uid="{00000000-0005-0000-0000-0000F2780000}"/>
    <cellStyle name="Normal 2 9 5 2 4" xfId="4830" xr:uid="{00000000-0005-0000-0000-0000F3780000}"/>
    <cellStyle name="Normal 2 9 5 2 4 2" xfId="19714" xr:uid="{00000000-0005-0000-0000-0000F4780000}"/>
    <cellStyle name="Normal 2 9 5 2 4 2 2" xfId="42357" xr:uid="{00000000-0005-0000-0000-0000F5780000}"/>
    <cellStyle name="Normal 2 9 5 2 4 3" xfId="12274" xr:uid="{00000000-0005-0000-0000-0000F6780000}"/>
    <cellStyle name="Normal 2 9 5 2 4 3 2" xfId="34917" xr:uid="{00000000-0005-0000-0000-0000F7780000}"/>
    <cellStyle name="Normal 2 9 5 2 4 4" xfId="27476" xr:uid="{00000000-0005-0000-0000-0000F8780000}"/>
    <cellStyle name="Normal 2 9 5 2 5" xfId="15996" xr:uid="{00000000-0005-0000-0000-0000F9780000}"/>
    <cellStyle name="Normal 2 9 5 2 5 2" xfId="38639" xr:uid="{00000000-0005-0000-0000-0000FA780000}"/>
    <cellStyle name="Normal 2 9 5 2 6" xfId="8556" xr:uid="{00000000-0005-0000-0000-0000FB780000}"/>
    <cellStyle name="Normal 2 9 5 2 6 2" xfId="31199" xr:uid="{00000000-0005-0000-0000-0000FC780000}"/>
    <cellStyle name="Normal 2 9 5 2 7" xfId="23758" xr:uid="{00000000-0005-0000-0000-0000FD780000}"/>
    <cellStyle name="Normal 2 9 5 3" xfId="1569" xr:uid="{00000000-0005-0000-0000-0000FE780000}"/>
    <cellStyle name="Normal 2 9 5 3 2" xfId="3419" xr:uid="{00000000-0005-0000-0000-0000FF780000}"/>
    <cellStyle name="Normal 2 9 5 3 2 2" xfId="7140" xr:uid="{00000000-0005-0000-0000-000000790000}"/>
    <cellStyle name="Normal 2 9 5 3 2 2 2" xfId="22024" xr:uid="{00000000-0005-0000-0000-000001790000}"/>
    <cellStyle name="Normal 2 9 5 3 2 2 2 2" xfId="44667" xr:uid="{00000000-0005-0000-0000-000002790000}"/>
    <cellStyle name="Normal 2 9 5 3 2 2 3" xfId="14584" xr:uid="{00000000-0005-0000-0000-000003790000}"/>
    <cellStyle name="Normal 2 9 5 3 2 2 3 2" xfId="37227" xr:uid="{00000000-0005-0000-0000-000004790000}"/>
    <cellStyle name="Normal 2 9 5 3 2 2 4" xfId="29786" xr:uid="{00000000-0005-0000-0000-000005790000}"/>
    <cellStyle name="Normal 2 9 5 3 2 3" xfId="18306" xr:uid="{00000000-0005-0000-0000-000006790000}"/>
    <cellStyle name="Normal 2 9 5 3 2 3 2" xfId="40949" xr:uid="{00000000-0005-0000-0000-000007790000}"/>
    <cellStyle name="Normal 2 9 5 3 2 4" xfId="10866" xr:uid="{00000000-0005-0000-0000-000008790000}"/>
    <cellStyle name="Normal 2 9 5 3 2 4 2" xfId="33509" xr:uid="{00000000-0005-0000-0000-000009790000}"/>
    <cellStyle name="Normal 2 9 5 3 2 5" xfId="26068" xr:uid="{00000000-0005-0000-0000-00000A790000}"/>
    <cellStyle name="Normal 2 9 5 3 3" xfId="5293" xr:uid="{00000000-0005-0000-0000-00000B790000}"/>
    <cellStyle name="Normal 2 9 5 3 3 2" xfId="20177" xr:uid="{00000000-0005-0000-0000-00000C790000}"/>
    <cellStyle name="Normal 2 9 5 3 3 2 2" xfId="42820" xr:uid="{00000000-0005-0000-0000-00000D790000}"/>
    <cellStyle name="Normal 2 9 5 3 3 3" xfId="12737" xr:uid="{00000000-0005-0000-0000-00000E790000}"/>
    <cellStyle name="Normal 2 9 5 3 3 3 2" xfId="35380" xr:uid="{00000000-0005-0000-0000-00000F790000}"/>
    <cellStyle name="Normal 2 9 5 3 3 4" xfId="27939" xr:uid="{00000000-0005-0000-0000-000010790000}"/>
    <cellStyle name="Normal 2 9 5 3 4" xfId="16459" xr:uid="{00000000-0005-0000-0000-000011790000}"/>
    <cellStyle name="Normal 2 9 5 3 4 2" xfId="39102" xr:uid="{00000000-0005-0000-0000-000012790000}"/>
    <cellStyle name="Normal 2 9 5 3 5" xfId="9019" xr:uid="{00000000-0005-0000-0000-000013790000}"/>
    <cellStyle name="Normal 2 9 5 3 5 2" xfId="31662" xr:uid="{00000000-0005-0000-0000-000014790000}"/>
    <cellStyle name="Normal 2 9 5 3 6" xfId="24221" xr:uid="{00000000-0005-0000-0000-000015790000}"/>
    <cellStyle name="Normal 2 9 5 4" xfId="2494" xr:uid="{00000000-0005-0000-0000-000016790000}"/>
    <cellStyle name="Normal 2 9 5 4 2" xfId="6215" xr:uid="{00000000-0005-0000-0000-000017790000}"/>
    <cellStyle name="Normal 2 9 5 4 2 2" xfId="21099" xr:uid="{00000000-0005-0000-0000-000018790000}"/>
    <cellStyle name="Normal 2 9 5 4 2 2 2" xfId="43742" xr:uid="{00000000-0005-0000-0000-000019790000}"/>
    <cellStyle name="Normal 2 9 5 4 2 3" xfId="13659" xr:uid="{00000000-0005-0000-0000-00001A790000}"/>
    <cellStyle name="Normal 2 9 5 4 2 3 2" xfId="36302" xr:uid="{00000000-0005-0000-0000-00001B790000}"/>
    <cellStyle name="Normal 2 9 5 4 2 4" xfId="28861" xr:uid="{00000000-0005-0000-0000-00001C790000}"/>
    <cellStyle name="Normal 2 9 5 4 3" xfId="17381" xr:uid="{00000000-0005-0000-0000-00001D790000}"/>
    <cellStyle name="Normal 2 9 5 4 3 2" xfId="40024" xr:uid="{00000000-0005-0000-0000-00001E790000}"/>
    <cellStyle name="Normal 2 9 5 4 4" xfId="9941" xr:uid="{00000000-0005-0000-0000-00001F790000}"/>
    <cellStyle name="Normal 2 9 5 4 4 2" xfId="32584" xr:uid="{00000000-0005-0000-0000-000020790000}"/>
    <cellStyle name="Normal 2 9 5 4 5" xfId="25143" xr:uid="{00000000-0005-0000-0000-000021790000}"/>
    <cellStyle name="Normal 2 9 5 5" xfId="4368" xr:uid="{00000000-0005-0000-0000-000022790000}"/>
    <cellStyle name="Normal 2 9 5 5 2" xfId="19252" xr:uid="{00000000-0005-0000-0000-000023790000}"/>
    <cellStyle name="Normal 2 9 5 5 2 2" xfId="41895" xr:uid="{00000000-0005-0000-0000-000024790000}"/>
    <cellStyle name="Normal 2 9 5 5 3" xfId="11812" xr:uid="{00000000-0005-0000-0000-000025790000}"/>
    <cellStyle name="Normal 2 9 5 5 3 2" xfId="34455" xr:uid="{00000000-0005-0000-0000-000026790000}"/>
    <cellStyle name="Normal 2 9 5 5 4" xfId="27014" xr:uid="{00000000-0005-0000-0000-000027790000}"/>
    <cellStyle name="Normal 2 9 5 6" xfId="15534" xr:uid="{00000000-0005-0000-0000-000028790000}"/>
    <cellStyle name="Normal 2 9 5 6 2" xfId="38177" xr:uid="{00000000-0005-0000-0000-000029790000}"/>
    <cellStyle name="Normal 2 9 5 7" xfId="8094" xr:uid="{00000000-0005-0000-0000-00002A790000}"/>
    <cellStyle name="Normal 2 9 5 7 2" xfId="30737" xr:uid="{00000000-0005-0000-0000-00002B790000}"/>
    <cellStyle name="Normal 2 9 5 8" xfId="23296" xr:uid="{00000000-0005-0000-0000-00002C790000}"/>
    <cellStyle name="Normal 2 9 6" xfId="892" xr:uid="{00000000-0005-0000-0000-00002D790000}"/>
    <cellStyle name="Normal 2 9 6 2" xfId="1820" xr:uid="{00000000-0005-0000-0000-00002E790000}"/>
    <cellStyle name="Normal 2 9 6 2 2" xfId="3670" xr:uid="{00000000-0005-0000-0000-00002F790000}"/>
    <cellStyle name="Normal 2 9 6 2 2 2" xfId="7391" xr:uid="{00000000-0005-0000-0000-000030790000}"/>
    <cellStyle name="Normal 2 9 6 2 2 2 2" xfId="22275" xr:uid="{00000000-0005-0000-0000-000031790000}"/>
    <cellStyle name="Normal 2 9 6 2 2 2 2 2" xfId="44918" xr:uid="{00000000-0005-0000-0000-000032790000}"/>
    <cellStyle name="Normal 2 9 6 2 2 2 3" xfId="14835" xr:uid="{00000000-0005-0000-0000-000033790000}"/>
    <cellStyle name="Normal 2 9 6 2 2 2 3 2" xfId="37478" xr:uid="{00000000-0005-0000-0000-000034790000}"/>
    <cellStyle name="Normal 2 9 6 2 2 2 4" xfId="30037" xr:uid="{00000000-0005-0000-0000-000035790000}"/>
    <cellStyle name="Normal 2 9 6 2 2 3" xfId="18557" xr:uid="{00000000-0005-0000-0000-000036790000}"/>
    <cellStyle name="Normal 2 9 6 2 2 3 2" xfId="41200" xr:uid="{00000000-0005-0000-0000-000037790000}"/>
    <cellStyle name="Normal 2 9 6 2 2 4" xfId="11117" xr:uid="{00000000-0005-0000-0000-000038790000}"/>
    <cellStyle name="Normal 2 9 6 2 2 4 2" xfId="33760" xr:uid="{00000000-0005-0000-0000-000039790000}"/>
    <cellStyle name="Normal 2 9 6 2 2 5" xfId="26319" xr:uid="{00000000-0005-0000-0000-00003A790000}"/>
    <cellStyle name="Normal 2 9 6 2 3" xfId="5544" xr:uid="{00000000-0005-0000-0000-00003B790000}"/>
    <cellStyle name="Normal 2 9 6 2 3 2" xfId="20428" xr:uid="{00000000-0005-0000-0000-00003C790000}"/>
    <cellStyle name="Normal 2 9 6 2 3 2 2" xfId="43071" xr:uid="{00000000-0005-0000-0000-00003D790000}"/>
    <cellStyle name="Normal 2 9 6 2 3 3" xfId="12988" xr:uid="{00000000-0005-0000-0000-00003E790000}"/>
    <cellStyle name="Normal 2 9 6 2 3 3 2" xfId="35631" xr:uid="{00000000-0005-0000-0000-00003F790000}"/>
    <cellStyle name="Normal 2 9 6 2 3 4" xfId="28190" xr:uid="{00000000-0005-0000-0000-000040790000}"/>
    <cellStyle name="Normal 2 9 6 2 4" xfId="16710" xr:uid="{00000000-0005-0000-0000-000041790000}"/>
    <cellStyle name="Normal 2 9 6 2 4 2" xfId="39353" xr:uid="{00000000-0005-0000-0000-000042790000}"/>
    <cellStyle name="Normal 2 9 6 2 5" xfId="9270" xr:uid="{00000000-0005-0000-0000-000043790000}"/>
    <cellStyle name="Normal 2 9 6 2 5 2" xfId="31913" xr:uid="{00000000-0005-0000-0000-000044790000}"/>
    <cellStyle name="Normal 2 9 6 2 6" xfId="24472" xr:uid="{00000000-0005-0000-0000-000045790000}"/>
    <cellStyle name="Normal 2 9 6 3" xfId="2745" xr:uid="{00000000-0005-0000-0000-000046790000}"/>
    <cellStyle name="Normal 2 9 6 3 2" xfId="6466" xr:uid="{00000000-0005-0000-0000-000047790000}"/>
    <cellStyle name="Normal 2 9 6 3 2 2" xfId="21350" xr:uid="{00000000-0005-0000-0000-000048790000}"/>
    <cellStyle name="Normal 2 9 6 3 2 2 2" xfId="43993" xr:uid="{00000000-0005-0000-0000-000049790000}"/>
    <cellStyle name="Normal 2 9 6 3 2 3" xfId="13910" xr:uid="{00000000-0005-0000-0000-00004A790000}"/>
    <cellStyle name="Normal 2 9 6 3 2 3 2" xfId="36553" xr:uid="{00000000-0005-0000-0000-00004B790000}"/>
    <cellStyle name="Normal 2 9 6 3 2 4" xfId="29112" xr:uid="{00000000-0005-0000-0000-00004C790000}"/>
    <cellStyle name="Normal 2 9 6 3 3" xfId="17632" xr:uid="{00000000-0005-0000-0000-00004D790000}"/>
    <cellStyle name="Normal 2 9 6 3 3 2" xfId="40275" xr:uid="{00000000-0005-0000-0000-00004E790000}"/>
    <cellStyle name="Normal 2 9 6 3 4" xfId="10192" xr:uid="{00000000-0005-0000-0000-00004F790000}"/>
    <cellStyle name="Normal 2 9 6 3 4 2" xfId="32835" xr:uid="{00000000-0005-0000-0000-000050790000}"/>
    <cellStyle name="Normal 2 9 6 3 5" xfId="25394" xr:uid="{00000000-0005-0000-0000-000051790000}"/>
    <cellStyle name="Normal 2 9 6 4" xfId="4619" xr:uid="{00000000-0005-0000-0000-000052790000}"/>
    <cellStyle name="Normal 2 9 6 4 2" xfId="19503" xr:uid="{00000000-0005-0000-0000-000053790000}"/>
    <cellStyle name="Normal 2 9 6 4 2 2" xfId="42146" xr:uid="{00000000-0005-0000-0000-000054790000}"/>
    <cellStyle name="Normal 2 9 6 4 3" xfId="12063" xr:uid="{00000000-0005-0000-0000-000055790000}"/>
    <cellStyle name="Normal 2 9 6 4 3 2" xfId="34706" xr:uid="{00000000-0005-0000-0000-000056790000}"/>
    <cellStyle name="Normal 2 9 6 4 4" xfId="27265" xr:uid="{00000000-0005-0000-0000-000057790000}"/>
    <cellStyle name="Normal 2 9 6 5" xfId="15785" xr:uid="{00000000-0005-0000-0000-000058790000}"/>
    <cellStyle name="Normal 2 9 6 5 2" xfId="38428" xr:uid="{00000000-0005-0000-0000-000059790000}"/>
    <cellStyle name="Normal 2 9 6 6" xfId="8345" xr:uid="{00000000-0005-0000-0000-00005A790000}"/>
    <cellStyle name="Normal 2 9 6 6 2" xfId="30988" xr:uid="{00000000-0005-0000-0000-00005B790000}"/>
    <cellStyle name="Normal 2 9 6 7" xfId="23547" xr:uid="{00000000-0005-0000-0000-00005C790000}"/>
    <cellStyle name="Normal 2 9 7" xfId="1358" xr:uid="{00000000-0005-0000-0000-00005D790000}"/>
    <cellStyle name="Normal 2 9 7 2" xfId="3208" xr:uid="{00000000-0005-0000-0000-00005E790000}"/>
    <cellStyle name="Normal 2 9 7 2 2" xfId="6929" xr:uid="{00000000-0005-0000-0000-00005F790000}"/>
    <cellStyle name="Normal 2 9 7 2 2 2" xfId="21813" xr:uid="{00000000-0005-0000-0000-000060790000}"/>
    <cellStyle name="Normal 2 9 7 2 2 2 2" xfId="44456" xr:uid="{00000000-0005-0000-0000-000061790000}"/>
    <cellStyle name="Normal 2 9 7 2 2 3" xfId="14373" xr:uid="{00000000-0005-0000-0000-000062790000}"/>
    <cellStyle name="Normal 2 9 7 2 2 3 2" xfId="37016" xr:uid="{00000000-0005-0000-0000-000063790000}"/>
    <cellStyle name="Normal 2 9 7 2 2 4" xfId="29575" xr:uid="{00000000-0005-0000-0000-000064790000}"/>
    <cellStyle name="Normal 2 9 7 2 3" xfId="18095" xr:uid="{00000000-0005-0000-0000-000065790000}"/>
    <cellStyle name="Normal 2 9 7 2 3 2" xfId="40738" xr:uid="{00000000-0005-0000-0000-000066790000}"/>
    <cellStyle name="Normal 2 9 7 2 4" xfId="10655" xr:uid="{00000000-0005-0000-0000-000067790000}"/>
    <cellStyle name="Normal 2 9 7 2 4 2" xfId="33298" xr:uid="{00000000-0005-0000-0000-000068790000}"/>
    <cellStyle name="Normal 2 9 7 2 5" xfId="25857" xr:uid="{00000000-0005-0000-0000-000069790000}"/>
    <cellStyle name="Normal 2 9 7 3" xfId="5082" xr:uid="{00000000-0005-0000-0000-00006A790000}"/>
    <cellStyle name="Normal 2 9 7 3 2" xfId="19966" xr:uid="{00000000-0005-0000-0000-00006B790000}"/>
    <cellStyle name="Normal 2 9 7 3 2 2" xfId="42609" xr:uid="{00000000-0005-0000-0000-00006C790000}"/>
    <cellStyle name="Normal 2 9 7 3 3" xfId="12526" xr:uid="{00000000-0005-0000-0000-00006D790000}"/>
    <cellStyle name="Normal 2 9 7 3 3 2" xfId="35169" xr:uid="{00000000-0005-0000-0000-00006E790000}"/>
    <cellStyle name="Normal 2 9 7 3 4" xfId="27728" xr:uid="{00000000-0005-0000-0000-00006F790000}"/>
    <cellStyle name="Normal 2 9 7 4" xfId="16248" xr:uid="{00000000-0005-0000-0000-000070790000}"/>
    <cellStyle name="Normal 2 9 7 4 2" xfId="38891" xr:uid="{00000000-0005-0000-0000-000071790000}"/>
    <cellStyle name="Normal 2 9 7 5" xfId="8808" xr:uid="{00000000-0005-0000-0000-000072790000}"/>
    <cellStyle name="Normal 2 9 7 5 2" xfId="31451" xr:uid="{00000000-0005-0000-0000-000073790000}"/>
    <cellStyle name="Normal 2 9 7 6" xfId="24010" xr:uid="{00000000-0005-0000-0000-000074790000}"/>
    <cellStyle name="Normal 2 9 8" xfId="2283" xr:uid="{00000000-0005-0000-0000-000075790000}"/>
    <cellStyle name="Normal 2 9 8 2" xfId="6004" xr:uid="{00000000-0005-0000-0000-000076790000}"/>
    <cellStyle name="Normal 2 9 8 2 2" xfId="20888" xr:uid="{00000000-0005-0000-0000-000077790000}"/>
    <cellStyle name="Normal 2 9 8 2 2 2" xfId="43531" xr:uid="{00000000-0005-0000-0000-000078790000}"/>
    <cellStyle name="Normal 2 9 8 2 3" xfId="13448" xr:uid="{00000000-0005-0000-0000-000079790000}"/>
    <cellStyle name="Normal 2 9 8 2 3 2" xfId="36091" xr:uid="{00000000-0005-0000-0000-00007A790000}"/>
    <cellStyle name="Normal 2 9 8 2 4" xfId="28650" xr:uid="{00000000-0005-0000-0000-00007B790000}"/>
    <cellStyle name="Normal 2 9 8 3" xfId="17170" xr:uid="{00000000-0005-0000-0000-00007C790000}"/>
    <cellStyle name="Normal 2 9 8 3 2" xfId="39813" xr:uid="{00000000-0005-0000-0000-00007D790000}"/>
    <cellStyle name="Normal 2 9 8 4" xfId="9730" xr:uid="{00000000-0005-0000-0000-00007E790000}"/>
    <cellStyle name="Normal 2 9 8 4 2" xfId="32373" xr:uid="{00000000-0005-0000-0000-00007F790000}"/>
    <cellStyle name="Normal 2 9 8 5" xfId="24932" xr:uid="{00000000-0005-0000-0000-000080790000}"/>
    <cellStyle name="Normal 2 9 9" xfId="4157" xr:uid="{00000000-0005-0000-0000-000081790000}"/>
    <cellStyle name="Normal 2 9 9 2" xfId="19041" xr:uid="{00000000-0005-0000-0000-000082790000}"/>
    <cellStyle name="Normal 2 9 9 2 2" xfId="41684" xr:uid="{00000000-0005-0000-0000-000083790000}"/>
    <cellStyle name="Normal 2 9 9 3" xfId="11601" xr:uid="{00000000-0005-0000-0000-000084790000}"/>
    <cellStyle name="Normal 2 9 9 3 2" xfId="34244" xr:uid="{00000000-0005-0000-0000-000085790000}"/>
    <cellStyle name="Normal 2 9 9 4" xfId="26803" xr:uid="{00000000-0005-0000-0000-000086790000}"/>
    <cellStyle name="Normal 2_CALCULOS" xfId="400" xr:uid="{00000000-0005-0000-0000-000087790000}"/>
    <cellStyle name="Normal 20" xfId="828" xr:uid="{00000000-0005-0000-0000-000088790000}"/>
    <cellStyle name="Normal 20 2" xfId="1293" xr:uid="{00000000-0005-0000-0000-000089790000}"/>
    <cellStyle name="Normal 20 2 2" xfId="2221" xr:uid="{00000000-0005-0000-0000-00008A790000}"/>
    <cellStyle name="Normal 20 2 2 2" xfId="4071" xr:uid="{00000000-0005-0000-0000-00008B790000}"/>
    <cellStyle name="Normal 20 2 2 2 2" xfId="7792" xr:uid="{00000000-0005-0000-0000-00008C790000}"/>
    <cellStyle name="Normal 20 2 2 2 2 2" xfId="22676" xr:uid="{00000000-0005-0000-0000-00008D790000}"/>
    <cellStyle name="Normal 20 2 2 2 2 2 2" xfId="45319" xr:uid="{00000000-0005-0000-0000-00008E790000}"/>
    <cellStyle name="Normal 20 2 2 2 2 3" xfId="15236" xr:uid="{00000000-0005-0000-0000-00008F790000}"/>
    <cellStyle name="Normal 20 2 2 2 2 3 2" xfId="37879" xr:uid="{00000000-0005-0000-0000-000090790000}"/>
    <cellStyle name="Normal 20 2 2 2 2 4" xfId="30438" xr:uid="{00000000-0005-0000-0000-000091790000}"/>
    <cellStyle name="Normal 20 2 2 2 3" xfId="18958" xr:uid="{00000000-0005-0000-0000-000092790000}"/>
    <cellStyle name="Normal 20 2 2 2 3 2" xfId="41601" xr:uid="{00000000-0005-0000-0000-000093790000}"/>
    <cellStyle name="Normal 20 2 2 2 4" xfId="11518" xr:uid="{00000000-0005-0000-0000-000094790000}"/>
    <cellStyle name="Normal 20 2 2 2 4 2" xfId="34161" xr:uid="{00000000-0005-0000-0000-000095790000}"/>
    <cellStyle name="Normal 20 2 2 2 5" xfId="26720" xr:uid="{00000000-0005-0000-0000-000096790000}"/>
    <cellStyle name="Normal 20 2 2 3" xfId="5945" xr:uid="{00000000-0005-0000-0000-000097790000}"/>
    <cellStyle name="Normal 20 2 2 3 2" xfId="20829" xr:uid="{00000000-0005-0000-0000-000098790000}"/>
    <cellStyle name="Normal 20 2 2 3 2 2" xfId="43472" xr:uid="{00000000-0005-0000-0000-000099790000}"/>
    <cellStyle name="Normal 20 2 2 3 3" xfId="13389" xr:uid="{00000000-0005-0000-0000-00009A790000}"/>
    <cellStyle name="Normal 20 2 2 3 3 2" xfId="36032" xr:uid="{00000000-0005-0000-0000-00009B790000}"/>
    <cellStyle name="Normal 20 2 2 3 4" xfId="28591" xr:uid="{00000000-0005-0000-0000-00009C790000}"/>
    <cellStyle name="Normal 20 2 2 4" xfId="17111" xr:uid="{00000000-0005-0000-0000-00009D790000}"/>
    <cellStyle name="Normal 20 2 2 4 2" xfId="39754" xr:uid="{00000000-0005-0000-0000-00009E790000}"/>
    <cellStyle name="Normal 20 2 2 5" xfId="9671" xr:uid="{00000000-0005-0000-0000-00009F790000}"/>
    <cellStyle name="Normal 20 2 2 5 2" xfId="32314" xr:uid="{00000000-0005-0000-0000-0000A0790000}"/>
    <cellStyle name="Normal 20 2 2 6" xfId="24873" xr:uid="{00000000-0005-0000-0000-0000A1790000}"/>
    <cellStyle name="Normal 20 2 3" xfId="3146" xr:uid="{00000000-0005-0000-0000-0000A2790000}"/>
    <cellStyle name="Normal 20 2 3 2" xfId="6867" xr:uid="{00000000-0005-0000-0000-0000A3790000}"/>
    <cellStyle name="Normal 20 2 3 2 2" xfId="21751" xr:uid="{00000000-0005-0000-0000-0000A4790000}"/>
    <cellStyle name="Normal 20 2 3 2 2 2" xfId="44394" xr:uid="{00000000-0005-0000-0000-0000A5790000}"/>
    <cellStyle name="Normal 20 2 3 2 3" xfId="14311" xr:uid="{00000000-0005-0000-0000-0000A6790000}"/>
    <cellStyle name="Normal 20 2 3 2 3 2" xfId="36954" xr:uid="{00000000-0005-0000-0000-0000A7790000}"/>
    <cellStyle name="Normal 20 2 3 2 4" xfId="29513" xr:uid="{00000000-0005-0000-0000-0000A8790000}"/>
    <cellStyle name="Normal 20 2 3 3" xfId="18033" xr:uid="{00000000-0005-0000-0000-0000A9790000}"/>
    <cellStyle name="Normal 20 2 3 3 2" xfId="40676" xr:uid="{00000000-0005-0000-0000-0000AA790000}"/>
    <cellStyle name="Normal 20 2 3 4" xfId="10593" xr:uid="{00000000-0005-0000-0000-0000AB790000}"/>
    <cellStyle name="Normal 20 2 3 4 2" xfId="33236" xr:uid="{00000000-0005-0000-0000-0000AC790000}"/>
    <cellStyle name="Normal 20 2 3 5" xfId="25795" xr:uid="{00000000-0005-0000-0000-0000AD790000}"/>
    <cellStyle name="Normal 20 2 4" xfId="5020" xr:uid="{00000000-0005-0000-0000-0000AE790000}"/>
    <cellStyle name="Normal 20 2 4 2" xfId="19904" xr:uid="{00000000-0005-0000-0000-0000AF790000}"/>
    <cellStyle name="Normal 20 2 4 2 2" xfId="42547" xr:uid="{00000000-0005-0000-0000-0000B0790000}"/>
    <cellStyle name="Normal 20 2 4 3" xfId="12464" xr:uid="{00000000-0005-0000-0000-0000B1790000}"/>
    <cellStyle name="Normal 20 2 4 3 2" xfId="35107" xr:uid="{00000000-0005-0000-0000-0000B2790000}"/>
    <cellStyle name="Normal 20 2 4 4" xfId="27666" xr:uid="{00000000-0005-0000-0000-0000B3790000}"/>
    <cellStyle name="Normal 20 2 5" xfId="16186" xr:uid="{00000000-0005-0000-0000-0000B4790000}"/>
    <cellStyle name="Normal 20 2 5 2" xfId="38829" xr:uid="{00000000-0005-0000-0000-0000B5790000}"/>
    <cellStyle name="Normal 20 2 6" xfId="8746" xr:uid="{00000000-0005-0000-0000-0000B6790000}"/>
    <cellStyle name="Normal 20 2 6 2" xfId="31389" xr:uid="{00000000-0005-0000-0000-0000B7790000}"/>
    <cellStyle name="Normal 20 2 7" xfId="23948" xr:uid="{00000000-0005-0000-0000-0000B8790000}"/>
    <cellStyle name="Normal 20 3" xfId="1759" xr:uid="{00000000-0005-0000-0000-0000B9790000}"/>
    <cellStyle name="Normal 20 3 2" xfId="3609" xr:uid="{00000000-0005-0000-0000-0000BA790000}"/>
    <cellStyle name="Normal 20 3 2 2" xfId="7330" xr:uid="{00000000-0005-0000-0000-0000BB790000}"/>
    <cellStyle name="Normal 20 3 2 2 2" xfId="22214" xr:uid="{00000000-0005-0000-0000-0000BC790000}"/>
    <cellStyle name="Normal 20 3 2 2 2 2" xfId="44857" xr:uid="{00000000-0005-0000-0000-0000BD790000}"/>
    <cellStyle name="Normal 20 3 2 2 3" xfId="14774" xr:uid="{00000000-0005-0000-0000-0000BE790000}"/>
    <cellStyle name="Normal 20 3 2 2 3 2" xfId="37417" xr:uid="{00000000-0005-0000-0000-0000BF790000}"/>
    <cellStyle name="Normal 20 3 2 2 4" xfId="29976" xr:uid="{00000000-0005-0000-0000-0000C0790000}"/>
    <cellStyle name="Normal 20 3 2 3" xfId="18496" xr:uid="{00000000-0005-0000-0000-0000C1790000}"/>
    <cellStyle name="Normal 20 3 2 3 2" xfId="41139" xr:uid="{00000000-0005-0000-0000-0000C2790000}"/>
    <cellStyle name="Normal 20 3 2 4" xfId="11056" xr:uid="{00000000-0005-0000-0000-0000C3790000}"/>
    <cellStyle name="Normal 20 3 2 4 2" xfId="33699" xr:uid="{00000000-0005-0000-0000-0000C4790000}"/>
    <cellStyle name="Normal 20 3 2 5" xfId="26258" xr:uid="{00000000-0005-0000-0000-0000C5790000}"/>
    <cellStyle name="Normal 20 3 3" xfId="5483" xr:uid="{00000000-0005-0000-0000-0000C6790000}"/>
    <cellStyle name="Normal 20 3 3 2" xfId="20367" xr:uid="{00000000-0005-0000-0000-0000C7790000}"/>
    <cellStyle name="Normal 20 3 3 2 2" xfId="43010" xr:uid="{00000000-0005-0000-0000-0000C8790000}"/>
    <cellStyle name="Normal 20 3 3 3" xfId="12927" xr:uid="{00000000-0005-0000-0000-0000C9790000}"/>
    <cellStyle name="Normal 20 3 3 3 2" xfId="35570" xr:uid="{00000000-0005-0000-0000-0000CA790000}"/>
    <cellStyle name="Normal 20 3 3 4" xfId="28129" xr:uid="{00000000-0005-0000-0000-0000CB790000}"/>
    <cellStyle name="Normal 20 3 4" xfId="16649" xr:uid="{00000000-0005-0000-0000-0000CC790000}"/>
    <cellStyle name="Normal 20 3 4 2" xfId="39292" xr:uid="{00000000-0005-0000-0000-0000CD790000}"/>
    <cellStyle name="Normal 20 3 5" xfId="9209" xr:uid="{00000000-0005-0000-0000-0000CE790000}"/>
    <cellStyle name="Normal 20 3 5 2" xfId="31852" xr:uid="{00000000-0005-0000-0000-0000CF790000}"/>
    <cellStyle name="Normal 20 3 6" xfId="24411" xr:uid="{00000000-0005-0000-0000-0000D0790000}"/>
    <cellStyle name="Normal 20 4" xfId="2684" xr:uid="{00000000-0005-0000-0000-0000D1790000}"/>
    <cellStyle name="Normal 20 4 2" xfId="6405" xr:uid="{00000000-0005-0000-0000-0000D2790000}"/>
    <cellStyle name="Normal 20 4 2 2" xfId="21289" xr:uid="{00000000-0005-0000-0000-0000D3790000}"/>
    <cellStyle name="Normal 20 4 2 2 2" xfId="43932" xr:uid="{00000000-0005-0000-0000-0000D4790000}"/>
    <cellStyle name="Normal 20 4 2 3" xfId="13849" xr:uid="{00000000-0005-0000-0000-0000D5790000}"/>
    <cellStyle name="Normal 20 4 2 3 2" xfId="36492" xr:uid="{00000000-0005-0000-0000-0000D6790000}"/>
    <cellStyle name="Normal 20 4 2 4" xfId="29051" xr:uid="{00000000-0005-0000-0000-0000D7790000}"/>
    <cellStyle name="Normal 20 4 3" xfId="17571" xr:uid="{00000000-0005-0000-0000-0000D8790000}"/>
    <cellStyle name="Normal 20 4 3 2" xfId="40214" xr:uid="{00000000-0005-0000-0000-0000D9790000}"/>
    <cellStyle name="Normal 20 4 4" xfId="10131" xr:uid="{00000000-0005-0000-0000-0000DA790000}"/>
    <cellStyle name="Normal 20 4 4 2" xfId="32774" xr:uid="{00000000-0005-0000-0000-0000DB790000}"/>
    <cellStyle name="Normal 20 4 5" xfId="25333" xr:uid="{00000000-0005-0000-0000-0000DC790000}"/>
    <cellStyle name="Normal 20 5" xfId="4558" xr:uid="{00000000-0005-0000-0000-0000DD790000}"/>
    <cellStyle name="Normal 20 5 2" xfId="19442" xr:uid="{00000000-0005-0000-0000-0000DE790000}"/>
    <cellStyle name="Normal 20 5 2 2" xfId="42085" xr:uid="{00000000-0005-0000-0000-0000DF790000}"/>
    <cellStyle name="Normal 20 5 3" xfId="12002" xr:uid="{00000000-0005-0000-0000-0000E0790000}"/>
    <cellStyle name="Normal 20 5 3 2" xfId="34645" xr:uid="{00000000-0005-0000-0000-0000E1790000}"/>
    <cellStyle name="Normal 20 5 4" xfId="27204" xr:uid="{00000000-0005-0000-0000-0000E2790000}"/>
    <cellStyle name="Normal 20 6" xfId="15724" xr:uid="{00000000-0005-0000-0000-0000E3790000}"/>
    <cellStyle name="Normal 20 6 2" xfId="38367" xr:uid="{00000000-0005-0000-0000-0000E4790000}"/>
    <cellStyle name="Normal 20 7" xfId="8284" xr:uid="{00000000-0005-0000-0000-0000E5790000}"/>
    <cellStyle name="Normal 20 7 2" xfId="30927" xr:uid="{00000000-0005-0000-0000-0000E6790000}"/>
    <cellStyle name="Normal 20 8" xfId="23486" xr:uid="{00000000-0005-0000-0000-0000E7790000}"/>
    <cellStyle name="Normal 21" xfId="829" xr:uid="{00000000-0005-0000-0000-0000E8790000}"/>
    <cellStyle name="Normal 21 2" xfId="1294" xr:uid="{00000000-0005-0000-0000-0000E9790000}"/>
    <cellStyle name="Normal 21 2 2" xfId="2222" xr:uid="{00000000-0005-0000-0000-0000EA790000}"/>
    <cellStyle name="Normal 21 2 2 2" xfId="4072" xr:uid="{00000000-0005-0000-0000-0000EB790000}"/>
    <cellStyle name="Normal 21 2 2 2 2" xfId="7793" xr:uid="{00000000-0005-0000-0000-0000EC790000}"/>
    <cellStyle name="Normal 21 2 2 2 2 2" xfId="22677" xr:uid="{00000000-0005-0000-0000-0000ED790000}"/>
    <cellStyle name="Normal 21 2 2 2 2 2 2" xfId="45320" xr:uid="{00000000-0005-0000-0000-0000EE790000}"/>
    <cellStyle name="Normal 21 2 2 2 2 3" xfId="15237" xr:uid="{00000000-0005-0000-0000-0000EF790000}"/>
    <cellStyle name="Normal 21 2 2 2 2 3 2" xfId="37880" xr:uid="{00000000-0005-0000-0000-0000F0790000}"/>
    <cellStyle name="Normal 21 2 2 2 2 4" xfId="30439" xr:uid="{00000000-0005-0000-0000-0000F1790000}"/>
    <cellStyle name="Normal 21 2 2 2 3" xfId="18959" xr:uid="{00000000-0005-0000-0000-0000F2790000}"/>
    <cellStyle name="Normal 21 2 2 2 3 2" xfId="41602" xr:uid="{00000000-0005-0000-0000-0000F3790000}"/>
    <cellStyle name="Normal 21 2 2 2 4" xfId="11519" xr:uid="{00000000-0005-0000-0000-0000F4790000}"/>
    <cellStyle name="Normal 21 2 2 2 4 2" xfId="34162" xr:uid="{00000000-0005-0000-0000-0000F5790000}"/>
    <cellStyle name="Normal 21 2 2 2 5" xfId="26721" xr:uid="{00000000-0005-0000-0000-0000F6790000}"/>
    <cellStyle name="Normal 21 2 2 3" xfId="5946" xr:uid="{00000000-0005-0000-0000-0000F7790000}"/>
    <cellStyle name="Normal 21 2 2 3 2" xfId="20830" xr:uid="{00000000-0005-0000-0000-0000F8790000}"/>
    <cellStyle name="Normal 21 2 2 3 2 2" xfId="43473" xr:uid="{00000000-0005-0000-0000-0000F9790000}"/>
    <cellStyle name="Normal 21 2 2 3 3" xfId="13390" xr:uid="{00000000-0005-0000-0000-0000FA790000}"/>
    <cellStyle name="Normal 21 2 2 3 3 2" xfId="36033" xr:uid="{00000000-0005-0000-0000-0000FB790000}"/>
    <cellStyle name="Normal 21 2 2 3 4" xfId="28592" xr:uid="{00000000-0005-0000-0000-0000FC790000}"/>
    <cellStyle name="Normal 21 2 2 4" xfId="17112" xr:uid="{00000000-0005-0000-0000-0000FD790000}"/>
    <cellStyle name="Normal 21 2 2 4 2" xfId="39755" xr:uid="{00000000-0005-0000-0000-0000FE790000}"/>
    <cellStyle name="Normal 21 2 2 5" xfId="9672" xr:uid="{00000000-0005-0000-0000-0000FF790000}"/>
    <cellStyle name="Normal 21 2 2 5 2" xfId="32315" xr:uid="{00000000-0005-0000-0000-0000007A0000}"/>
    <cellStyle name="Normal 21 2 2 6" xfId="24874" xr:uid="{00000000-0005-0000-0000-0000017A0000}"/>
    <cellStyle name="Normal 21 2 3" xfId="3147" xr:uid="{00000000-0005-0000-0000-0000027A0000}"/>
    <cellStyle name="Normal 21 2 3 2" xfId="6868" xr:uid="{00000000-0005-0000-0000-0000037A0000}"/>
    <cellStyle name="Normal 21 2 3 2 2" xfId="21752" xr:uid="{00000000-0005-0000-0000-0000047A0000}"/>
    <cellStyle name="Normal 21 2 3 2 2 2" xfId="44395" xr:uid="{00000000-0005-0000-0000-0000057A0000}"/>
    <cellStyle name="Normal 21 2 3 2 3" xfId="14312" xr:uid="{00000000-0005-0000-0000-0000067A0000}"/>
    <cellStyle name="Normal 21 2 3 2 3 2" xfId="36955" xr:uid="{00000000-0005-0000-0000-0000077A0000}"/>
    <cellStyle name="Normal 21 2 3 2 4" xfId="29514" xr:uid="{00000000-0005-0000-0000-0000087A0000}"/>
    <cellStyle name="Normal 21 2 3 3" xfId="18034" xr:uid="{00000000-0005-0000-0000-0000097A0000}"/>
    <cellStyle name="Normal 21 2 3 3 2" xfId="40677" xr:uid="{00000000-0005-0000-0000-00000A7A0000}"/>
    <cellStyle name="Normal 21 2 3 4" xfId="10594" xr:uid="{00000000-0005-0000-0000-00000B7A0000}"/>
    <cellStyle name="Normal 21 2 3 4 2" xfId="33237" xr:uid="{00000000-0005-0000-0000-00000C7A0000}"/>
    <cellStyle name="Normal 21 2 3 5" xfId="25796" xr:uid="{00000000-0005-0000-0000-00000D7A0000}"/>
    <cellStyle name="Normal 21 2 4" xfId="5021" xr:uid="{00000000-0005-0000-0000-00000E7A0000}"/>
    <cellStyle name="Normal 21 2 4 2" xfId="19905" xr:uid="{00000000-0005-0000-0000-00000F7A0000}"/>
    <cellStyle name="Normal 21 2 4 2 2" xfId="42548" xr:uid="{00000000-0005-0000-0000-0000107A0000}"/>
    <cellStyle name="Normal 21 2 4 3" xfId="12465" xr:uid="{00000000-0005-0000-0000-0000117A0000}"/>
    <cellStyle name="Normal 21 2 4 3 2" xfId="35108" xr:uid="{00000000-0005-0000-0000-0000127A0000}"/>
    <cellStyle name="Normal 21 2 4 4" xfId="27667" xr:uid="{00000000-0005-0000-0000-0000137A0000}"/>
    <cellStyle name="Normal 21 2 5" xfId="16187" xr:uid="{00000000-0005-0000-0000-0000147A0000}"/>
    <cellStyle name="Normal 21 2 5 2" xfId="38830" xr:uid="{00000000-0005-0000-0000-0000157A0000}"/>
    <cellStyle name="Normal 21 2 6" xfId="8747" xr:uid="{00000000-0005-0000-0000-0000167A0000}"/>
    <cellStyle name="Normal 21 2 6 2" xfId="31390" xr:uid="{00000000-0005-0000-0000-0000177A0000}"/>
    <cellStyle name="Normal 21 2 7" xfId="23949" xr:uid="{00000000-0005-0000-0000-0000187A0000}"/>
    <cellStyle name="Normal 21 3" xfId="1760" xr:uid="{00000000-0005-0000-0000-0000197A0000}"/>
    <cellStyle name="Normal 21 3 2" xfId="3610" xr:uid="{00000000-0005-0000-0000-00001A7A0000}"/>
    <cellStyle name="Normal 21 3 2 2" xfId="7331" xr:uid="{00000000-0005-0000-0000-00001B7A0000}"/>
    <cellStyle name="Normal 21 3 2 2 2" xfId="22215" xr:uid="{00000000-0005-0000-0000-00001C7A0000}"/>
    <cellStyle name="Normal 21 3 2 2 2 2" xfId="44858" xr:uid="{00000000-0005-0000-0000-00001D7A0000}"/>
    <cellStyle name="Normal 21 3 2 2 3" xfId="14775" xr:uid="{00000000-0005-0000-0000-00001E7A0000}"/>
    <cellStyle name="Normal 21 3 2 2 3 2" xfId="37418" xr:uid="{00000000-0005-0000-0000-00001F7A0000}"/>
    <cellStyle name="Normal 21 3 2 2 4" xfId="29977" xr:uid="{00000000-0005-0000-0000-0000207A0000}"/>
    <cellStyle name="Normal 21 3 2 3" xfId="18497" xr:uid="{00000000-0005-0000-0000-0000217A0000}"/>
    <cellStyle name="Normal 21 3 2 3 2" xfId="41140" xr:uid="{00000000-0005-0000-0000-0000227A0000}"/>
    <cellStyle name="Normal 21 3 2 4" xfId="11057" xr:uid="{00000000-0005-0000-0000-0000237A0000}"/>
    <cellStyle name="Normal 21 3 2 4 2" xfId="33700" xr:uid="{00000000-0005-0000-0000-0000247A0000}"/>
    <cellStyle name="Normal 21 3 2 5" xfId="26259" xr:uid="{00000000-0005-0000-0000-0000257A0000}"/>
    <cellStyle name="Normal 21 3 3" xfId="5484" xr:uid="{00000000-0005-0000-0000-0000267A0000}"/>
    <cellStyle name="Normal 21 3 3 2" xfId="20368" xr:uid="{00000000-0005-0000-0000-0000277A0000}"/>
    <cellStyle name="Normal 21 3 3 2 2" xfId="43011" xr:uid="{00000000-0005-0000-0000-0000287A0000}"/>
    <cellStyle name="Normal 21 3 3 3" xfId="12928" xr:uid="{00000000-0005-0000-0000-0000297A0000}"/>
    <cellStyle name="Normal 21 3 3 3 2" xfId="35571" xr:uid="{00000000-0005-0000-0000-00002A7A0000}"/>
    <cellStyle name="Normal 21 3 3 4" xfId="28130" xr:uid="{00000000-0005-0000-0000-00002B7A0000}"/>
    <cellStyle name="Normal 21 3 4" xfId="16650" xr:uid="{00000000-0005-0000-0000-00002C7A0000}"/>
    <cellStyle name="Normal 21 3 4 2" xfId="39293" xr:uid="{00000000-0005-0000-0000-00002D7A0000}"/>
    <cellStyle name="Normal 21 3 5" xfId="9210" xr:uid="{00000000-0005-0000-0000-00002E7A0000}"/>
    <cellStyle name="Normal 21 3 5 2" xfId="31853" xr:uid="{00000000-0005-0000-0000-00002F7A0000}"/>
    <cellStyle name="Normal 21 3 6" xfId="24412" xr:uid="{00000000-0005-0000-0000-0000307A0000}"/>
    <cellStyle name="Normal 21 4" xfId="2685" xr:uid="{00000000-0005-0000-0000-0000317A0000}"/>
    <cellStyle name="Normal 21 4 2" xfId="6406" xr:uid="{00000000-0005-0000-0000-0000327A0000}"/>
    <cellStyle name="Normal 21 4 2 2" xfId="21290" xr:uid="{00000000-0005-0000-0000-0000337A0000}"/>
    <cellStyle name="Normal 21 4 2 2 2" xfId="43933" xr:uid="{00000000-0005-0000-0000-0000347A0000}"/>
    <cellStyle name="Normal 21 4 2 3" xfId="13850" xr:uid="{00000000-0005-0000-0000-0000357A0000}"/>
    <cellStyle name="Normal 21 4 2 3 2" xfId="36493" xr:uid="{00000000-0005-0000-0000-0000367A0000}"/>
    <cellStyle name="Normal 21 4 2 4" xfId="29052" xr:uid="{00000000-0005-0000-0000-0000377A0000}"/>
    <cellStyle name="Normal 21 4 3" xfId="17572" xr:uid="{00000000-0005-0000-0000-0000387A0000}"/>
    <cellStyle name="Normal 21 4 3 2" xfId="40215" xr:uid="{00000000-0005-0000-0000-0000397A0000}"/>
    <cellStyle name="Normal 21 4 4" xfId="10132" xr:uid="{00000000-0005-0000-0000-00003A7A0000}"/>
    <cellStyle name="Normal 21 4 4 2" xfId="32775" xr:uid="{00000000-0005-0000-0000-00003B7A0000}"/>
    <cellStyle name="Normal 21 4 5" xfId="25334" xr:uid="{00000000-0005-0000-0000-00003C7A0000}"/>
    <cellStyle name="Normal 21 5" xfId="4559" xr:uid="{00000000-0005-0000-0000-00003D7A0000}"/>
    <cellStyle name="Normal 21 5 2" xfId="19443" xr:uid="{00000000-0005-0000-0000-00003E7A0000}"/>
    <cellStyle name="Normal 21 5 2 2" xfId="42086" xr:uid="{00000000-0005-0000-0000-00003F7A0000}"/>
    <cellStyle name="Normal 21 5 3" xfId="12003" xr:uid="{00000000-0005-0000-0000-0000407A0000}"/>
    <cellStyle name="Normal 21 5 3 2" xfId="34646" xr:uid="{00000000-0005-0000-0000-0000417A0000}"/>
    <cellStyle name="Normal 21 5 4" xfId="27205" xr:uid="{00000000-0005-0000-0000-0000427A0000}"/>
    <cellStyle name="Normal 21 6" xfId="15725" xr:uid="{00000000-0005-0000-0000-0000437A0000}"/>
    <cellStyle name="Normal 21 6 2" xfId="38368" xr:uid="{00000000-0005-0000-0000-0000447A0000}"/>
    <cellStyle name="Normal 21 7" xfId="8285" xr:uid="{00000000-0005-0000-0000-0000457A0000}"/>
    <cellStyle name="Normal 21 7 2" xfId="30928" xr:uid="{00000000-0005-0000-0000-0000467A0000}"/>
    <cellStyle name="Normal 21 8" xfId="23487" xr:uid="{00000000-0005-0000-0000-0000477A0000}"/>
    <cellStyle name="Normal 22" xfId="830" xr:uid="{00000000-0005-0000-0000-0000487A0000}"/>
    <cellStyle name="Normal 22 2" xfId="1295" xr:uid="{00000000-0005-0000-0000-0000497A0000}"/>
    <cellStyle name="Normal 22 2 2" xfId="2223" xr:uid="{00000000-0005-0000-0000-00004A7A0000}"/>
    <cellStyle name="Normal 22 2 2 2" xfId="4073" xr:uid="{00000000-0005-0000-0000-00004B7A0000}"/>
    <cellStyle name="Normal 22 2 2 2 2" xfId="7794" xr:uid="{00000000-0005-0000-0000-00004C7A0000}"/>
    <cellStyle name="Normal 22 2 2 2 2 2" xfId="22678" xr:uid="{00000000-0005-0000-0000-00004D7A0000}"/>
    <cellStyle name="Normal 22 2 2 2 2 2 2" xfId="45321" xr:uid="{00000000-0005-0000-0000-00004E7A0000}"/>
    <cellStyle name="Normal 22 2 2 2 2 3" xfId="15238" xr:uid="{00000000-0005-0000-0000-00004F7A0000}"/>
    <cellStyle name="Normal 22 2 2 2 2 3 2" xfId="37881" xr:uid="{00000000-0005-0000-0000-0000507A0000}"/>
    <cellStyle name="Normal 22 2 2 2 2 4" xfId="30440" xr:uid="{00000000-0005-0000-0000-0000517A0000}"/>
    <cellStyle name="Normal 22 2 2 2 3" xfId="18960" xr:uid="{00000000-0005-0000-0000-0000527A0000}"/>
    <cellStyle name="Normal 22 2 2 2 3 2" xfId="41603" xr:uid="{00000000-0005-0000-0000-0000537A0000}"/>
    <cellStyle name="Normal 22 2 2 2 4" xfId="11520" xr:uid="{00000000-0005-0000-0000-0000547A0000}"/>
    <cellStyle name="Normal 22 2 2 2 4 2" xfId="34163" xr:uid="{00000000-0005-0000-0000-0000557A0000}"/>
    <cellStyle name="Normal 22 2 2 2 5" xfId="26722" xr:uid="{00000000-0005-0000-0000-0000567A0000}"/>
    <cellStyle name="Normal 22 2 2 3" xfId="5947" xr:uid="{00000000-0005-0000-0000-0000577A0000}"/>
    <cellStyle name="Normal 22 2 2 3 2" xfId="20831" xr:uid="{00000000-0005-0000-0000-0000587A0000}"/>
    <cellStyle name="Normal 22 2 2 3 2 2" xfId="43474" xr:uid="{00000000-0005-0000-0000-0000597A0000}"/>
    <cellStyle name="Normal 22 2 2 3 3" xfId="13391" xr:uid="{00000000-0005-0000-0000-00005A7A0000}"/>
    <cellStyle name="Normal 22 2 2 3 3 2" xfId="36034" xr:uid="{00000000-0005-0000-0000-00005B7A0000}"/>
    <cellStyle name="Normal 22 2 2 3 4" xfId="28593" xr:uid="{00000000-0005-0000-0000-00005C7A0000}"/>
    <cellStyle name="Normal 22 2 2 4" xfId="17113" xr:uid="{00000000-0005-0000-0000-00005D7A0000}"/>
    <cellStyle name="Normal 22 2 2 4 2" xfId="39756" xr:uid="{00000000-0005-0000-0000-00005E7A0000}"/>
    <cellStyle name="Normal 22 2 2 5" xfId="9673" xr:uid="{00000000-0005-0000-0000-00005F7A0000}"/>
    <cellStyle name="Normal 22 2 2 5 2" xfId="32316" xr:uid="{00000000-0005-0000-0000-0000607A0000}"/>
    <cellStyle name="Normal 22 2 2 6" xfId="24875" xr:uid="{00000000-0005-0000-0000-0000617A0000}"/>
    <cellStyle name="Normal 22 2 3" xfId="3148" xr:uid="{00000000-0005-0000-0000-0000627A0000}"/>
    <cellStyle name="Normal 22 2 3 2" xfId="6869" xr:uid="{00000000-0005-0000-0000-0000637A0000}"/>
    <cellStyle name="Normal 22 2 3 2 2" xfId="21753" xr:uid="{00000000-0005-0000-0000-0000647A0000}"/>
    <cellStyle name="Normal 22 2 3 2 2 2" xfId="44396" xr:uid="{00000000-0005-0000-0000-0000657A0000}"/>
    <cellStyle name="Normal 22 2 3 2 3" xfId="14313" xr:uid="{00000000-0005-0000-0000-0000667A0000}"/>
    <cellStyle name="Normal 22 2 3 2 3 2" xfId="36956" xr:uid="{00000000-0005-0000-0000-0000677A0000}"/>
    <cellStyle name="Normal 22 2 3 2 4" xfId="29515" xr:uid="{00000000-0005-0000-0000-0000687A0000}"/>
    <cellStyle name="Normal 22 2 3 3" xfId="18035" xr:uid="{00000000-0005-0000-0000-0000697A0000}"/>
    <cellStyle name="Normal 22 2 3 3 2" xfId="40678" xr:uid="{00000000-0005-0000-0000-00006A7A0000}"/>
    <cellStyle name="Normal 22 2 3 4" xfId="10595" xr:uid="{00000000-0005-0000-0000-00006B7A0000}"/>
    <cellStyle name="Normal 22 2 3 4 2" xfId="33238" xr:uid="{00000000-0005-0000-0000-00006C7A0000}"/>
    <cellStyle name="Normal 22 2 3 5" xfId="25797" xr:uid="{00000000-0005-0000-0000-00006D7A0000}"/>
    <cellStyle name="Normal 22 2 4" xfId="5022" xr:uid="{00000000-0005-0000-0000-00006E7A0000}"/>
    <cellStyle name="Normal 22 2 4 2" xfId="19906" xr:uid="{00000000-0005-0000-0000-00006F7A0000}"/>
    <cellStyle name="Normal 22 2 4 2 2" xfId="42549" xr:uid="{00000000-0005-0000-0000-0000707A0000}"/>
    <cellStyle name="Normal 22 2 4 3" xfId="12466" xr:uid="{00000000-0005-0000-0000-0000717A0000}"/>
    <cellStyle name="Normal 22 2 4 3 2" xfId="35109" xr:uid="{00000000-0005-0000-0000-0000727A0000}"/>
    <cellStyle name="Normal 22 2 4 4" xfId="27668" xr:uid="{00000000-0005-0000-0000-0000737A0000}"/>
    <cellStyle name="Normal 22 2 5" xfId="16188" xr:uid="{00000000-0005-0000-0000-0000747A0000}"/>
    <cellStyle name="Normal 22 2 5 2" xfId="38831" xr:uid="{00000000-0005-0000-0000-0000757A0000}"/>
    <cellStyle name="Normal 22 2 6" xfId="8748" xr:uid="{00000000-0005-0000-0000-0000767A0000}"/>
    <cellStyle name="Normal 22 2 6 2" xfId="31391" xr:uid="{00000000-0005-0000-0000-0000777A0000}"/>
    <cellStyle name="Normal 22 2 7" xfId="23950" xr:uid="{00000000-0005-0000-0000-0000787A0000}"/>
    <cellStyle name="Normal 22 3" xfId="1761" xr:uid="{00000000-0005-0000-0000-0000797A0000}"/>
    <cellStyle name="Normal 22 3 2" xfId="3611" xr:uid="{00000000-0005-0000-0000-00007A7A0000}"/>
    <cellStyle name="Normal 22 3 2 2" xfId="7332" xr:uid="{00000000-0005-0000-0000-00007B7A0000}"/>
    <cellStyle name="Normal 22 3 2 2 2" xfId="22216" xr:uid="{00000000-0005-0000-0000-00007C7A0000}"/>
    <cellStyle name="Normal 22 3 2 2 2 2" xfId="44859" xr:uid="{00000000-0005-0000-0000-00007D7A0000}"/>
    <cellStyle name="Normal 22 3 2 2 3" xfId="14776" xr:uid="{00000000-0005-0000-0000-00007E7A0000}"/>
    <cellStyle name="Normal 22 3 2 2 3 2" xfId="37419" xr:uid="{00000000-0005-0000-0000-00007F7A0000}"/>
    <cellStyle name="Normal 22 3 2 2 4" xfId="29978" xr:uid="{00000000-0005-0000-0000-0000807A0000}"/>
    <cellStyle name="Normal 22 3 2 3" xfId="18498" xr:uid="{00000000-0005-0000-0000-0000817A0000}"/>
    <cellStyle name="Normal 22 3 2 3 2" xfId="41141" xr:uid="{00000000-0005-0000-0000-0000827A0000}"/>
    <cellStyle name="Normal 22 3 2 4" xfId="11058" xr:uid="{00000000-0005-0000-0000-0000837A0000}"/>
    <cellStyle name="Normal 22 3 2 4 2" xfId="33701" xr:uid="{00000000-0005-0000-0000-0000847A0000}"/>
    <cellStyle name="Normal 22 3 2 5" xfId="26260" xr:uid="{00000000-0005-0000-0000-0000857A0000}"/>
    <cellStyle name="Normal 22 3 3" xfId="5485" xr:uid="{00000000-0005-0000-0000-0000867A0000}"/>
    <cellStyle name="Normal 22 3 3 2" xfId="20369" xr:uid="{00000000-0005-0000-0000-0000877A0000}"/>
    <cellStyle name="Normal 22 3 3 2 2" xfId="43012" xr:uid="{00000000-0005-0000-0000-0000887A0000}"/>
    <cellStyle name="Normal 22 3 3 3" xfId="12929" xr:uid="{00000000-0005-0000-0000-0000897A0000}"/>
    <cellStyle name="Normal 22 3 3 3 2" xfId="35572" xr:uid="{00000000-0005-0000-0000-00008A7A0000}"/>
    <cellStyle name="Normal 22 3 3 4" xfId="28131" xr:uid="{00000000-0005-0000-0000-00008B7A0000}"/>
    <cellStyle name="Normal 22 3 4" xfId="16651" xr:uid="{00000000-0005-0000-0000-00008C7A0000}"/>
    <cellStyle name="Normal 22 3 4 2" xfId="39294" xr:uid="{00000000-0005-0000-0000-00008D7A0000}"/>
    <cellStyle name="Normal 22 3 5" xfId="9211" xr:uid="{00000000-0005-0000-0000-00008E7A0000}"/>
    <cellStyle name="Normal 22 3 5 2" xfId="31854" xr:uid="{00000000-0005-0000-0000-00008F7A0000}"/>
    <cellStyle name="Normal 22 3 6" xfId="24413" xr:uid="{00000000-0005-0000-0000-0000907A0000}"/>
    <cellStyle name="Normal 22 4" xfId="2686" xr:uid="{00000000-0005-0000-0000-0000917A0000}"/>
    <cellStyle name="Normal 22 4 2" xfId="6407" xr:uid="{00000000-0005-0000-0000-0000927A0000}"/>
    <cellStyle name="Normal 22 4 2 2" xfId="21291" xr:uid="{00000000-0005-0000-0000-0000937A0000}"/>
    <cellStyle name="Normal 22 4 2 2 2" xfId="43934" xr:uid="{00000000-0005-0000-0000-0000947A0000}"/>
    <cellStyle name="Normal 22 4 2 3" xfId="13851" xr:uid="{00000000-0005-0000-0000-0000957A0000}"/>
    <cellStyle name="Normal 22 4 2 3 2" xfId="36494" xr:uid="{00000000-0005-0000-0000-0000967A0000}"/>
    <cellStyle name="Normal 22 4 2 4" xfId="29053" xr:uid="{00000000-0005-0000-0000-0000977A0000}"/>
    <cellStyle name="Normal 22 4 3" xfId="17573" xr:uid="{00000000-0005-0000-0000-0000987A0000}"/>
    <cellStyle name="Normal 22 4 3 2" xfId="40216" xr:uid="{00000000-0005-0000-0000-0000997A0000}"/>
    <cellStyle name="Normal 22 4 4" xfId="10133" xr:uid="{00000000-0005-0000-0000-00009A7A0000}"/>
    <cellStyle name="Normal 22 4 4 2" xfId="32776" xr:uid="{00000000-0005-0000-0000-00009B7A0000}"/>
    <cellStyle name="Normal 22 4 5" xfId="25335" xr:uid="{00000000-0005-0000-0000-00009C7A0000}"/>
    <cellStyle name="Normal 22 5" xfId="4560" xr:uid="{00000000-0005-0000-0000-00009D7A0000}"/>
    <cellStyle name="Normal 22 5 2" xfId="19444" xr:uid="{00000000-0005-0000-0000-00009E7A0000}"/>
    <cellStyle name="Normal 22 5 2 2" xfId="42087" xr:uid="{00000000-0005-0000-0000-00009F7A0000}"/>
    <cellStyle name="Normal 22 5 3" xfId="12004" xr:uid="{00000000-0005-0000-0000-0000A07A0000}"/>
    <cellStyle name="Normal 22 5 3 2" xfId="34647" xr:uid="{00000000-0005-0000-0000-0000A17A0000}"/>
    <cellStyle name="Normal 22 5 4" xfId="27206" xr:uid="{00000000-0005-0000-0000-0000A27A0000}"/>
    <cellStyle name="Normal 22 6" xfId="15726" xr:uid="{00000000-0005-0000-0000-0000A37A0000}"/>
    <cellStyle name="Normal 22 6 2" xfId="38369" xr:uid="{00000000-0005-0000-0000-0000A47A0000}"/>
    <cellStyle name="Normal 22 7" xfId="8286" xr:uid="{00000000-0005-0000-0000-0000A57A0000}"/>
    <cellStyle name="Normal 22 7 2" xfId="30929" xr:uid="{00000000-0005-0000-0000-0000A67A0000}"/>
    <cellStyle name="Normal 22 8" xfId="23488" xr:uid="{00000000-0005-0000-0000-0000A77A0000}"/>
    <cellStyle name="Normal 23" xfId="831" xr:uid="{00000000-0005-0000-0000-0000A87A0000}"/>
    <cellStyle name="Normal 23 2" xfId="1296" xr:uid="{00000000-0005-0000-0000-0000A97A0000}"/>
    <cellStyle name="Normal 23 2 2" xfId="2224" xr:uid="{00000000-0005-0000-0000-0000AA7A0000}"/>
    <cellStyle name="Normal 23 2 2 2" xfId="4074" xr:uid="{00000000-0005-0000-0000-0000AB7A0000}"/>
    <cellStyle name="Normal 23 2 2 2 2" xfId="7795" xr:uid="{00000000-0005-0000-0000-0000AC7A0000}"/>
    <cellStyle name="Normal 23 2 2 2 2 2" xfId="22679" xr:uid="{00000000-0005-0000-0000-0000AD7A0000}"/>
    <cellStyle name="Normal 23 2 2 2 2 2 2" xfId="45322" xr:uid="{00000000-0005-0000-0000-0000AE7A0000}"/>
    <cellStyle name="Normal 23 2 2 2 2 3" xfId="15239" xr:uid="{00000000-0005-0000-0000-0000AF7A0000}"/>
    <cellStyle name="Normal 23 2 2 2 2 3 2" xfId="37882" xr:uid="{00000000-0005-0000-0000-0000B07A0000}"/>
    <cellStyle name="Normal 23 2 2 2 2 4" xfId="30441" xr:uid="{00000000-0005-0000-0000-0000B17A0000}"/>
    <cellStyle name="Normal 23 2 2 2 3" xfId="18961" xr:uid="{00000000-0005-0000-0000-0000B27A0000}"/>
    <cellStyle name="Normal 23 2 2 2 3 2" xfId="41604" xr:uid="{00000000-0005-0000-0000-0000B37A0000}"/>
    <cellStyle name="Normal 23 2 2 2 4" xfId="11521" xr:uid="{00000000-0005-0000-0000-0000B47A0000}"/>
    <cellStyle name="Normal 23 2 2 2 4 2" xfId="34164" xr:uid="{00000000-0005-0000-0000-0000B57A0000}"/>
    <cellStyle name="Normal 23 2 2 2 5" xfId="26723" xr:uid="{00000000-0005-0000-0000-0000B67A0000}"/>
    <cellStyle name="Normal 23 2 2 3" xfId="5948" xr:uid="{00000000-0005-0000-0000-0000B77A0000}"/>
    <cellStyle name="Normal 23 2 2 3 2" xfId="20832" xr:uid="{00000000-0005-0000-0000-0000B87A0000}"/>
    <cellStyle name="Normal 23 2 2 3 2 2" xfId="43475" xr:uid="{00000000-0005-0000-0000-0000B97A0000}"/>
    <cellStyle name="Normal 23 2 2 3 3" xfId="13392" xr:uid="{00000000-0005-0000-0000-0000BA7A0000}"/>
    <cellStyle name="Normal 23 2 2 3 3 2" xfId="36035" xr:uid="{00000000-0005-0000-0000-0000BB7A0000}"/>
    <cellStyle name="Normal 23 2 2 3 4" xfId="28594" xr:uid="{00000000-0005-0000-0000-0000BC7A0000}"/>
    <cellStyle name="Normal 23 2 2 4" xfId="17114" xr:uid="{00000000-0005-0000-0000-0000BD7A0000}"/>
    <cellStyle name="Normal 23 2 2 4 2" xfId="39757" xr:uid="{00000000-0005-0000-0000-0000BE7A0000}"/>
    <cellStyle name="Normal 23 2 2 5" xfId="9674" xr:uid="{00000000-0005-0000-0000-0000BF7A0000}"/>
    <cellStyle name="Normal 23 2 2 5 2" xfId="32317" xr:uid="{00000000-0005-0000-0000-0000C07A0000}"/>
    <cellStyle name="Normal 23 2 2 6" xfId="24876" xr:uid="{00000000-0005-0000-0000-0000C17A0000}"/>
    <cellStyle name="Normal 23 2 3" xfId="3149" xr:uid="{00000000-0005-0000-0000-0000C27A0000}"/>
    <cellStyle name="Normal 23 2 3 2" xfId="6870" xr:uid="{00000000-0005-0000-0000-0000C37A0000}"/>
    <cellStyle name="Normal 23 2 3 2 2" xfId="21754" xr:uid="{00000000-0005-0000-0000-0000C47A0000}"/>
    <cellStyle name="Normal 23 2 3 2 2 2" xfId="44397" xr:uid="{00000000-0005-0000-0000-0000C57A0000}"/>
    <cellStyle name="Normal 23 2 3 2 3" xfId="14314" xr:uid="{00000000-0005-0000-0000-0000C67A0000}"/>
    <cellStyle name="Normal 23 2 3 2 3 2" xfId="36957" xr:uid="{00000000-0005-0000-0000-0000C77A0000}"/>
    <cellStyle name="Normal 23 2 3 2 4" xfId="29516" xr:uid="{00000000-0005-0000-0000-0000C87A0000}"/>
    <cellStyle name="Normal 23 2 3 3" xfId="18036" xr:uid="{00000000-0005-0000-0000-0000C97A0000}"/>
    <cellStyle name="Normal 23 2 3 3 2" xfId="40679" xr:uid="{00000000-0005-0000-0000-0000CA7A0000}"/>
    <cellStyle name="Normal 23 2 3 4" xfId="10596" xr:uid="{00000000-0005-0000-0000-0000CB7A0000}"/>
    <cellStyle name="Normal 23 2 3 4 2" xfId="33239" xr:uid="{00000000-0005-0000-0000-0000CC7A0000}"/>
    <cellStyle name="Normal 23 2 3 5" xfId="25798" xr:uid="{00000000-0005-0000-0000-0000CD7A0000}"/>
    <cellStyle name="Normal 23 2 4" xfId="5023" xr:uid="{00000000-0005-0000-0000-0000CE7A0000}"/>
    <cellStyle name="Normal 23 2 4 2" xfId="19907" xr:uid="{00000000-0005-0000-0000-0000CF7A0000}"/>
    <cellStyle name="Normal 23 2 4 2 2" xfId="42550" xr:uid="{00000000-0005-0000-0000-0000D07A0000}"/>
    <cellStyle name="Normal 23 2 4 3" xfId="12467" xr:uid="{00000000-0005-0000-0000-0000D17A0000}"/>
    <cellStyle name="Normal 23 2 4 3 2" xfId="35110" xr:uid="{00000000-0005-0000-0000-0000D27A0000}"/>
    <cellStyle name="Normal 23 2 4 4" xfId="27669" xr:uid="{00000000-0005-0000-0000-0000D37A0000}"/>
    <cellStyle name="Normal 23 2 5" xfId="16189" xr:uid="{00000000-0005-0000-0000-0000D47A0000}"/>
    <cellStyle name="Normal 23 2 5 2" xfId="38832" xr:uid="{00000000-0005-0000-0000-0000D57A0000}"/>
    <cellStyle name="Normal 23 2 6" xfId="8749" xr:uid="{00000000-0005-0000-0000-0000D67A0000}"/>
    <cellStyle name="Normal 23 2 6 2" xfId="31392" xr:uid="{00000000-0005-0000-0000-0000D77A0000}"/>
    <cellStyle name="Normal 23 2 7" xfId="23951" xr:uid="{00000000-0005-0000-0000-0000D87A0000}"/>
    <cellStyle name="Normal 23 3" xfId="1762" xr:uid="{00000000-0005-0000-0000-0000D97A0000}"/>
    <cellStyle name="Normal 23 3 2" xfId="3612" xr:uid="{00000000-0005-0000-0000-0000DA7A0000}"/>
    <cellStyle name="Normal 23 3 2 2" xfId="7333" xr:uid="{00000000-0005-0000-0000-0000DB7A0000}"/>
    <cellStyle name="Normal 23 3 2 2 2" xfId="22217" xr:uid="{00000000-0005-0000-0000-0000DC7A0000}"/>
    <cellStyle name="Normal 23 3 2 2 2 2" xfId="44860" xr:uid="{00000000-0005-0000-0000-0000DD7A0000}"/>
    <cellStyle name="Normal 23 3 2 2 3" xfId="14777" xr:uid="{00000000-0005-0000-0000-0000DE7A0000}"/>
    <cellStyle name="Normal 23 3 2 2 3 2" xfId="37420" xr:uid="{00000000-0005-0000-0000-0000DF7A0000}"/>
    <cellStyle name="Normal 23 3 2 2 4" xfId="29979" xr:uid="{00000000-0005-0000-0000-0000E07A0000}"/>
    <cellStyle name="Normal 23 3 2 3" xfId="18499" xr:uid="{00000000-0005-0000-0000-0000E17A0000}"/>
    <cellStyle name="Normal 23 3 2 3 2" xfId="41142" xr:uid="{00000000-0005-0000-0000-0000E27A0000}"/>
    <cellStyle name="Normal 23 3 2 4" xfId="11059" xr:uid="{00000000-0005-0000-0000-0000E37A0000}"/>
    <cellStyle name="Normal 23 3 2 4 2" xfId="33702" xr:uid="{00000000-0005-0000-0000-0000E47A0000}"/>
    <cellStyle name="Normal 23 3 2 5" xfId="26261" xr:uid="{00000000-0005-0000-0000-0000E57A0000}"/>
    <cellStyle name="Normal 23 3 3" xfId="5486" xr:uid="{00000000-0005-0000-0000-0000E67A0000}"/>
    <cellStyle name="Normal 23 3 3 2" xfId="20370" xr:uid="{00000000-0005-0000-0000-0000E77A0000}"/>
    <cellStyle name="Normal 23 3 3 2 2" xfId="43013" xr:uid="{00000000-0005-0000-0000-0000E87A0000}"/>
    <cellStyle name="Normal 23 3 3 3" xfId="12930" xr:uid="{00000000-0005-0000-0000-0000E97A0000}"/>
    <cellStyle name="Normal 23 3 3 3 2" xfId="35573" xr:uid="{00000000-0005-0000-0000-0000EA7A0000}"/>
    <cellStyle name="Normal 23 3 3 4" xfId="28132" xr:uid="{00000000-0005-0000-0000-0000EB7A0000}"/>
    <cellStyle name="Normal 23 3 4" xfId="16652" xr:uid="{00000000-0005-0000-0000-0000EC7A0000}"/>
    <cellStyle name="Normal 23 3 4 2" xfId="39295" xr:uid="{00000000-0005-0000-0000-0000ED7A0000}"/>
    <cellStyle name="Normal 23 3 5" xfId="9212" xr:uid="{00000000-0005-0000-0000-0000EE7A0000}"/>
    <cellStyle name="Normal 23 3 5 2" xfId="31855" xr:uid="{00000000-0005-0000-0000-0000EF7A0000}"/>
    <cellStyle name="Normal 23 3 6" xfId="24414" xr:uid="{00000000-0005-0000-0000-0000F07A0000}"/>
    <cellStyle name="Normal 23 4" xfId="2687" xr:uid="{00000000-0005-0000-0000-0000F17A0000}"/>
    <cellStyle name="Normal 23 4 2" xfId="6408" xr:uid="{00000000-0005-0000-0000-0000F27A0000}"/>
    <cellStyle name="Normal 23 4 2 2" xfId="21292" xr:uid="{00000000-0005-0000-0000-0000F37A0000}"/>
    <cellStyle name="Normal 23 4 2 2 2" xfId="43935" xr:uid="{00000000-0005-0000-0000-0000F47A0000}"/>
    <cellStyle name="Normal 23 4 2 3" xfId="13852" xr:uid="{00000000-0005-0000-0000-0000F57A0000}"/>
    <cellStyle name="Normal 23 4 2 3 2" xfId="36495" xr:uid="{00000000-0005-0000-0000-0000F67A0000}"/>
    <cellStyle name="Normal 23 4 2 4" xfId="29054" xr:uid="{00000000-0005-0000-0000-0000F77A0000}"/>
    <cellStyle name="Normal 23 4 3" xfId="17574" xr:uid="{00000000-0005-0000-0000-0000F87A0000}"/>
    <cellStyle name="Normal 23 4 3 2" xfId="40217" xr:uid="{00000000-0005-0000-0000-0000F97A0000}"/>
    <cellStyle name="Normal 23 4 4" xfId="10134" xr:uid="{00000000-0005-0000-0000-0000FA7A0000}"/>
    <cellStyle name="Normal 23 4 4 2" xfId="32777" xr:uid="{00000000-0005-0000-0000-0000FB7A0000}"/>
    <cellStyle name="Normal 23 4 5" xfId="25336" xr:uid="{00000000-0005-0000-0000-0000FC7A0000}"/>
    <cellStyle name="Normal 23 5" xfId="4561" xr:uid="{00000000-0005-0000-0000-0000FD7A0000}"/>
    <cellStyle name="Normal 23 5 2" xfId="19445" xr:uid="{00000000-0005-0000-0000-0000FE7A0000}"/>
    <cellStyle name="Normal 23 5 2 2" xfId="42088" xr:uid="{00000000-0005-0000-0000-0000FF7A0000}"/>
    <cellStyle name="Normal 23 5 3" xfId="12005" xr:uid="{00000000-0005-0000-0000-0000007B0000}"/>
    <cellStyle name="Normal 23 5 3 2" xfId="34648" xr:uid="{00000000-0005-0000-0000-0000017B0000}"/>
    <cellStyle name="Normal 23 5 4" xfId="27207" xr:uid="{00000000-0005-0000-0000-0000027B0000}"/>
    <cellStyle name="Normal 23 6" xfId="15727" xr:uid="{00000000-0005-0000-0000-0000037B0000}"/>
    <cellStyle name="Normal 23 6 2" xfId="38370" xr:uid="{00000000-0005-0000-0000-0000047B0000}"/>
    <cellStyle name="Normal 23 7" xfId="8287" xr:uid="{00000000-0005-0000-0000-0000057B0000}"/>
    <cellStyle name="Normal 23 7 2" xfId="30930" xr:uid="{00000000-0005-0000-0000-0000067B0000}"/>
    <cellStyle name="Normal 23 8" xfId="23489" xr:uid="{00000000-0005-0000-0000-0000077B0000}"/>
    <cellStyle name="Normal 24" xfId="832" xr:uid="{00000000-0005-0000-0000-0000087B0000}"/>
    <cellStyle name="Normal 24 2" xfId="1297" xr:uid="{00000000-0005-0000-0000-0000097B0000}"/>
    <cellStyle name="Normal 24 2 2" xfId="2225" xr:uid="{00000000-0005-0000-0000-00000A7B0000}"/>
    <cellStyle name="Normal 24 2 2 2" xfId="4075" xr:uid="{00000000-0005-0000-0000-00000B7B0000}"/>
    <cellStyle name="Normal 24 2 2 2 2" xfId="7796" xr:uid="{00000000-0005-0000-0000-00000C7B0000}"/>
    <cellStyle name="Normal 24 2 2 2 2 2" xfId="22680" xr:uid="{00000000-0005-0000-0000-00000D7B0000}"/>
    <cellStyle name="Normal 24 2 2 2 2 2 2" xfId="45323" xr:uid="{00000000-0005-0000-0000-00000E7B0000}"/>
    <cellStyle name="Normal 24 2 2 2 2 3" xfId="15240" xr:uid="{00000000-0005-0000-0000-00000F7B0000}"/>
    <cellStyle name="Normal 24 2 2 2 2 3 2" xfId="37883" xr:uid="{00000000-0005-0000-0000-0000107B0000}"/>
    <cellStyle name="Normal 24 2 2 2 2 4" xfId="30442" xr:uid="{00000000-0005-0000-0000-0000117B0000}"/>
    <cellStyle name="Normal 24 2 2 2 3" xfId="18962" xr:uid="{00000000-0005-0000-0000-0000127B0000}"/>
    <cellStyle name="Normal 24 2 2 2 3 2" xfId="41605" xr:uid="{00000000-0005-0000-0000-0000137B0000}"/>
    <cellStyle name="Normal 24 2 2 2 4" xfId="11522" xr:uid="{00000000-0005-0000-0000-0000147B0000}"/>
    <cellStyle name="Normal 24 2 2 2 4 2" xfId="34165" xr:uid="{00000000-0005-0000-0000-0000157B0000}"/>
    <cellStyle name="Normal 24 2 2 2 5" xfId="26724" xr:uid="{00000000-0005-0000-0000-0000167B0000}"/>
    <cellStyle name="Normal 24 2 2 3" xfId="5949" xr:uid="{00000000-0005-0000-0000-0000177B0000}"/>
    <cellStyle name="Normal 24 2 2 3 2" xfId="20833" xr:uid="{00000000-0005-0000-0000-0000187B0000}"/>
    <cellStyle name="Normal 24 2 2 3 2 2" xfId="43476" xr:uid="{00000000-0005-0000-0000-0000197B0000}"/>
    <cellStyle name="Normal 24 2 2 3 3" xfId="13393" xr:uid="{00000000-0005-0000-0000-00001A7B0000}"/>
    <cellStyle name="Normal 24 2 2 3 3 2" xfId="36036" xr:uid="{00000000-0005-0000-0000-00001B7B0000}"/>
    <cellStyle name="Normal 24 2 2 3 4" xfId="28595" xr:uid="{00000000-0005-0000-0000-00001C7B0000}"/>
    <cellStyle name="Normal 24 2 2 4" xfId="17115" xr:uid="{00000000-0005-0000-0000-00001D7B0000}"/>
    <cellStyle name="Normal 24 2 2 4 2" xfId="39758" xr:uid="{00000000-0005-0000-0000-00001E7B0000}"/>
    <cellStyle name="Normal 24 2 2 5" xfId="9675" xr:uid="{00000000-0005-0000-0000-00001F7B0000}"/>
    <cellStyle name="Normal 24 2 2 5 2" xfId="32318" xr:uid="{00000000-0005-0000-0000-0000207B0000}"/>
    <cellStyle name="Normal 24 2 2 6" xfId="24877" xr:uid="{00000000-0005-0000-0000-0000217B0000}"/>
    <cellStyle name="Normal 24 2 3" xfId="3150" xr:uid="{00000000-0005-0000-0000-0000227B0000}"/>
    <cellStyle name="Normal 24 2 3 2" xfId="6871" xr:uid="{00000000-0005-0000-0000-0000237B0000}"/>
    <cellStyle name="Normal 24 2 3 2 2" xfId="21755" xr:uid="{00000000-0005-0000-0000-0000247B0000}"/>
    <cellStyle name="Normal 24 2 3 2 2 2" xfId="44398" xr:uid="{00000000-0005-0000-0000-0000257B0000}"/>
    <cellStyle name="Normal 24 2 3 2 3" xfId="14315" xr:uid="{00000000-0005-0000-0000-0000267B0000}"/>
    <cellStyle name="Normal 24 2 3 2 3 2" xfId="36958" xr:uid="{00000000-0005-0000-0000-0000277B0000}"/>
    <cellStyle name="Normal 24 2 3 2 4" xfId="29517" xr:uid="{00000000-0005-0000-0000-0000287B0000}"/>
    <cellStyle name="Normal 24 2 3 3" xfId="18037" xr:uid="{00000000-0005-0000-0000-0000297B0000}"/>
    <cellStyle name="Normal 24 2 3 3 2" xfId="40680" xr:uid="{00000000-0005-0000-0000-00002A7B0000}"/>
    <cellStyle name="Normal 24 2 3 4" xfId="10597" xr:uid="{00000000-0005-0000-0000-00002B7B0000}"/>
    <cellStyle name="Normal 24 2 3 4 2" xfId="33240" xr:uid="{00000000-0005-0000-0000-00002C7B0000}"/>
    <cellStyle name="Normal 24 2 3 5" xfId="25799" xr:uid="{00000000-0005-0000-0000-00002D7B0000}"/>
    <cellStyle name="Normal 24 2 4" xfId="5024" xr:uid="{00000000-0005-0000-0000-00002E7B0000}"/>
    <cellStyle name="Normal 24 2 4 2" xfId="19908" xr:uid="{00000000-0005-0000-0000-00002F7B0000}"/>
    <cellStyle name="Normal 24 2 4 2 2" xfId="42551" xr:uid="{00000000-0005-0000-0000-0000307B0000}"/>
    <cellStyle name="Normal 24 2 4 3" xfId="12468" xr:uid="{00000000-0005-0000-0000-0000317B0000}"/>
    <cellStyle name="Normal 24 2 4 3 2" xfId="35111" xr:uid="{00000000-0005-0000-0000-0000327B0000}"/>
    <cellStyle name="Normal 24 2 4 4" xfId="27670" xr:uid="{00000000-0005-0000-0000-0000337B0000}"/>
    <cellStyle name="Normal 24 2 5" xfId="16190" xr:uid="{00000000-0005-0000-0000-0000347B0000}"/>
    <cellStyle name="Normal 24 2 5 2" xfId="38833" xr:uid="{00000000-0005-0000-0000-0000357B0000}"/>
    <cellStyle name="Normal 24 2 6" xfId="8750" xr:uid="{00000000-0005-0000-0000-0000367B0000}"/>
    <cellStyle name="Normal 24 2 6 2" xfId="31393" xr:uid="{00000000-0005-0000-0000-0000377B0000}"/>
    <cellStyle name="Normal 24 2 7" xfId="23952" xr:uid="{00000000-0005-0000-0000-0000387B0000}"/>
    <cellStyle name="Normal 24 3" xfId="1763" xr:uid="{00000000-0005-0000-0000-0000397B0000}"/>
    <cellStyle name="Normal 24 3 2" xfId="3613" xr:uid="{00000000-0005-0000-0000-00003A7B0000}"/>
    <cellStyle name="Normal 24 3 2 2" xfId="7334" xr:uid="{00000000-0005-0000-0000-00003B7B0000}"/>
    <cellStyle name="Normal 24 3 2 2 2" xfId="22218" xr:uid="{00000000-0005-0000-0000-00003C7B0000}"/>
    <cellStyle name="Normal 24 3 2 2 2 2" xfId="44861" xr:uid="{00000000-0005-0000-0000-00003D7B0000}"/>
    <cellStyle name="Normal 24 3 2 2 3" xfId="14778" xr:uid="{00000000-0005-0000-0000-00003E7B0000}"/>
    <cellStyle name="Normal 24 3 2 2 3 2" xfId="37421" xr:uid="{00000000-0005-0000-0000-00003F7B0000}"/>
    <cellStyle name="Normal 24 3 2 2 4" xfId="29980" xr:uid="{00000000-0005-0000-0000-0000407B0000}"/>
    <cellStyle name="Normal 24 3 2 3" xfId="18500" xr:uid="{00000000-0005-0000-0000-0000417B0000}"/>
    <cellStyle name="Normal 24 3 2 3 2" xfId="41143" xr:uid="{00000000-0005-0000-0000-0000427B0000}"/>
    <cellStyle name="Normal 24 3 2 4" xfId="11060" xr:uid="{00000000-0005-0000-0000-0000437B0000}"/>
    <cellStyle name="Normal 24 3 2 4 2" xfId="33703" xr:uid="{00000000-0005-0000-0000-0000447B0000}"/>
    <cellStyle name="Normal 24 3 2 5" xfId="26262" xr:uid="{00000000-0005-0000-0000-0000457B0000}"/>
    <cellStyle name="Normal 24 3 3" xfId="5487" xr:uid="{00000000-0005-0000-0000-0000467B0000}"/>
    <cellStyle name="Normal 24 3 3 2" xfId="20371" xr:uid="{00000000-0005-0000-0000-0000477B0000}"/>
    <cellStyle name="Normal 24 3 3 2 2" xfId="43014" xr:uid="{00000000-0005-0000-0000-0000487B0000}"/>
    <cellStyle name="Normal 24 3 3 3" xfId="12931" xr:uid="{00000000-0005-0000-0000-0000497B0000}"/>
    <cellStyle name="Normal 24 3 3 3 2" xfId="35574" xr:uid="{00000000-0005-0000-0000-00004A7B0000}"/>
    <cellStyle name="Normal 24 3 3 4" xfId="28133" xr:uid="{00000000-0005-0000-0000-00004B7B0000}"/>
    <cellStyle name="Normal 24 3 4" xfId="16653" xr:uid="{00000000-0005-0000-0000-00004C7B0000}"/>
    <cellStyle name="Normal 24 3 4 2" xfId="39296" xr:uid="{00000000-0005-0000-0000-00004D7B0000}"/>
    <cellStyle name="Normal 24 3 5" xfId="9213" xr:uid="{00000000-0005-0000-0000-00004E7B0000}"/>
    <cellStyle name="Normal 24 3 5 2" xfId="31856" xr:uid="{00000000-0005-0000-0000-00004F7B0000}"/>
    <cellStyle name="Normal 24 3 6" xfId="24415" xr:uid="{00000000-0005-0000-0000-0000507B0000}"/>
    <cellStyle name="Normal 24 4" xfId="2688" xr:uid="{00000000-0005-0000-0000-0000517B0000}"/>
    <cellStyle name="Normal 24 4 2" xfId="6409" xr:uid="{00000000-0005-0000-0000-0000527B0000}"/>
    <cellStyle name="Normal 24 4 2 2" xfId="21293" xr:uid="{00000000-0005-0000-0000-0000537B0000}"/>
    <cellStyle name="Normal 24 4 2 2 2" xfId="43936" xr:uid="{00000000-0005-0000-0000-0000547B0000}"/>
    <cellStyle name="Normal 24 4 2 3" xfId="13853" xr:uid="{00000000-0005-0000-0000-0000557B0000}"/>
    <cellStyle name="Normal 24 4 2 3 2" xfId="36496" xr:uid="{00000000-0005-0000-0000-0000567B0000}"/>
    <cellStyle name="Normal 24 4 2 4" xfId="29055" xr:uid="{00000000-0005-0000-0000-0000577B0000}"/>
    <cellStyle name="Normal 24 4 3" xfId="17575" xr:uid="{00000000-0005-0000-0000-0000587B0000}"/>
    <cellStyle name="Normal 24 4 3 2" xfId="40218" xr:uid="{00000000-0005-0000-0000-0000597B0000}"/>
    <cellStyle name="Normal 24 4 4" xfId="10135" xr:uid="{00000000-0005-0000-0000-00005A7B0000}"/>
    <cellStyle name="Normal 24 4 4 2" xfId="32778" xr:uid="{00000000-0005-0000-0000-00005B7B0000}"/>
    <cellStyle name="Normal 24 4 5" xfId="25337" xr:uid="{00000000-0005-0000-0000-00005C7B0000}"/>
    <cellStyle name="Normal 24 5" xfId="4562" xr:uid="{00000000-0005-0000-0000-00005D7B0000}"/>
    <cellStyle name="Normal 24 5 2" xfId="19446" xr:uid="{00000000-0005-0000-0000-00005E7B0000}"/>
    <cellStyle name="Normal 24 5 2 2" xfId="42089" xr:uid="{00000000-0005-0000-0000-00005F7B0000}"/>
    <cellStyle name="Normal 24 5 3" xfId="12006" xr:uid="{00000000-0005-0000-0000-0000607B0000}"/>
    <cellStyle name="Normal 24 5 3 2" xfId="34649" xr:uid="{00000000-0005-0000-0000-0000617B0000}"/>
    <cellStyle name="Normal 24 5 4" xfId="27208" xr:uid="{00000000-0005-0000-0000-0000627B0000}"/>
    <cellStyle name="Normal 24 6" xfId="15728" xr:uid="{00000000-0005-0000-0000-0000637B0000}"/>
    <cellStyle name="Normal 24 6 2" xfId="38371" xr:uid="{00000000-0005-0000-0000-0000647B0000}"/>
    <cellStyle name="Normal 24 7" xfId="8288" xr:uid="{00000000-0005-0000-0000-0000657B0000}"/>
    <cellStyle name="Normal 24 7 2" xfId="30931" xr:uid="{00000000-0005-0000-0000-0000667B0000}"/>
    <cellStyle name="Normal 24 8" xfId="23490" xr:uid="{00000000-0005-0000-0000-0000677B0000}"/>
    <cellStyle name="Normal 25" xfId="833" xr:uid="{00000000-0005-0000-0000-0000687B0000}"/>
    <cellStyle name="Normal 25 2" xfId="1298" xr:uid="{00000000-0005-0000-0000-0000697B0000}"/>
    <cellStyle name="Normal 25 2 2" xfId="2226" xr:uid="{00000000-0005-0000-0000-00006A7B0000}"/>
    <cellStyle name="Normal 25 2 2 2" xfId="4076" xr:uid="{00000000-0005-0000-0000-00006B7B0000}"/>
    <cellStyle name="Normal 25 2 2 2 2" xfId="7797" xr:uid="{00000000-0005-0000-0000-00006C7B0000}"/>
    <cellStyle name="Normal 25 2 2 2 2 2" xfId="22681" xr:uid="{00000000-0005-0000-0000-00006D7B0000}"/>
    <cellStyle name="Normal 25 2 2 2 2 2 2" xfId="45324" xr:uid="{00000000-0005-0000-0000-00006E7B0000}"/>
    <cellStyle name="Normal 25 2 2 2 2 3" xfId="15241" xr:uid="{00000000-0005-0000-0000-00006F7B0000}"/>
    <cellStyle name="Normal 25 2 2 2 2 3 2" xfId="37884" xr:uid="{00000000-0005-0000-0000-0000707B0000}"/>
    <cellStyle name="Normal 25 2 2 2 2 4" xfId="30443" xr:uid="{00000000-0005-0000-0000-0000717B0000}"/>
    <cellStyle name="Normal 25 2 2 2 3" xfId="18963" xr:uid="{00000000-0005-0000-0000-0000727B0000}"/>
    <cellStyle name="Normal 25 2 2 2 3 2" xfId="41606" xr:uid="{00000000-0005-0000-0000-0000737B0000}"/>
    <cellStyle name="Normal 25 2 2 2 4" xfId="11523" xr:uid="{00000000-0005-0000-0000-0000747B0000}"/>
    <cellStyle name="Normal 25 2 2 2 4 2" xfId="34166" xr:uid="{00000000-0005-0000-0000-0000757B0000}"/>
    <cellStyle name="Normal 25 2 2 2 5" xfId="26725" xr:uid="{00000000-0005-0000-0000-0000767B0000}"/>
    <cellStyle name="Normal 25 2 2 3" xfId="5950" xr:uid="{00000000-0005-0000-0000-0000777B0000}"/>
    <cellStyle name="Normal 25 2 2 3 2" xfId="20834" xr:uid="{00000000-0005-0000-0000-0000787B0000}"/>
    <cellStyle name="Normal 25 2 2 3 2 2" xfId="43477" xr:uid="{00000000-0005-0000-0000-0000797B0000}"/>
    <cellStyle name="Normal 25 2 2 3 3" xfId="13394" xr:uid="{00000000-0005-0000-0000-00007A7B0000}"/>
    <cellStyle name="Normal 25 2 2 3 3 2" xfId="36037" xr:uid="{00000000-0005-0000-0000-00007B7B0000}"/>
    <cellStyle name="Normal 25 2 2 3 4" xfId="28596" xr:uid="{00000000-0005-0000-0000-00007C7B0000}"/>
    <cellStyle name="Normal 25 2 2 4" xfId="17116" xr:uid="{00000000-0005-0000-0000-00007D7B0000}"/>
    <cellStyle name="Normal 25 2 2 4 2" xfId="39759" xr:uid="{00000000-0005-0000-0000-00007E7B0000}"/>
    <cellStyle name="Normal 25 2 2 5" xfId="9676" xr:uid="{00000000-0005-0000-0000-00007F7B0000}"/>
    <cellStyle name="Normal 25 2 2 5 2" xfId="32319" xr:uid="{00000000-0005-0000-0000-0000807B0000}"/>
    <cellStyle name="Normal 25 2 2 6" xfId="24878" xr:uid="{00000000-0005-0000-0000-0000817B0000}"/>
    <cellStyle name="Normal 25 2 3" xfId="3151" xr:uid="{00000000-0005-0000-0000-0000827B0000}"/>
    <cellStyle name="Normal 25 2 3 2" xfId="6872" xr:uid="{00000000-0005-0000-0000-0000837B0000}"/>
    <cellStyle name="Normal 25 2 3 2 2" xfId="21756" xr:uid="{00000000-0005-0000-0000-0000847B0000}"/>
    <cellStyle name="Normal 25 2 3 2 2 2" xfId="44399" xr:uid="{00000000-0005-0000-0000-0000857B0000}"/>
    <cellStyle name="Normal 25 2 3 2 3" xfId="14316" xr:uid="{00000000-0005-0000-0000-0000867B0000}"/>
    <cellStyle name="Normal 25 2 3 2 3 2" xfId="36959" xr:uid="{00000000-0005-0000-0000-0000877B0000}"/>
    <cellStyle name="Normal 25 2 3 2 4" xfId="29518" xr:uid="{00000000-0005-0000-0000-0000887B0000}"/>
    <cellStyle name="Normal 25 2 3 3" xfId="18038" xr:uid="{00000000-0005-0000-0000-0000897B0000}"/>
    <cellStyle name="Normal 25 2 3 3 2" xfId="40681" xr:uid="{00000000-0005-0000-0000-00008A7B0000}"/>
    <cellStyle name="Normal 25 2 3 4" xfId="10598" xr:uid="{00000000-0005-0000-0000-00008B7B0000}"/>
    <cellStyle name="Normal 25 2 3 4 2" xfId="33241" xr:uid="{00000000-0005-0000-0000-00008C7B0000}"/>
    <cellStyle name="Normal 25 2 3 5" xfId="25800" xr:uid="{00000000-0005-0000-0000-00008D7B0000}"/>
    <cellStyle name="Normal 25 2 4" xfId="5025" xr:uid="{00000000-0005-0000-0000-00008E7B0000}"/>
    <cellStyle name="Normal 25 2 4 2" xfId="19909" xr:uid="{00000000-0005-0000-0000-00008F7B0000}"/>
    <cellStyle name="Normal 25 2 4 2 2" xfId="42552" xr:uid="{00000000-0005-0000-0000-0000907B0000}"/>
    <cellStyle name="Normal 25 2 4 3" xfId="12469" xr:uid="{00000000-0005-0000-0000-0000917B0000}"/>
    <cellStyle name="Normal 25 2 4 3 2" xfId="35112" xr:uid="{00000000-0005-0000-0000-0000927B0000}"/>
    <cellStyle name="Normal 25 2 4 4" xfId="27671" xr:uid="{00000000-0005-0000-0000-0000937B0000}"/>
    <cellStyle name="Normal 25 2 5" xfId="16191" xr:uid="{00000000-0005-0000-0000-0000947B0000}"/>
    <cellStyle name="Normal 25 2 5 2" xfId="38834" xr:uid="{00000000-0005-0000-0000-0000957B0000}"/>
    <cellStyle name="Normal 25 2 6" xfId="8751" xr:uid="{00000000-0005-0000-0000-0000967B0000}"/>
    <cellStyle name="Normal 25 2 6 2" xfId="31394" xr:uid="{00000000-0005-0000-0000-0000977B0000}"/>
    <cellStyle name="Normal 25 2 7" xfId="23953" xr:uid="{00000000-0005-0000-0000-0000987B0000}"/>
    <cellStyle name="Normal 25 3" xfId="1764" xr:uid="{00000000-0005-0000-0000-0000997B0000}"/>
    <cellStyle name="Normal 25 3 2" xfId="3614" xr:uid="{00000000-0005-0000-0000-00009A7B0000}"/>
    <cellStyle name="Normal 25 3 2 2" xfId="7335" xr:uid="{00000000-0005-0000-0000-00009B7B0000}"/>
    <cellStyle name="Normal 25 3 2 2 2" xfId="22219" xr:uid="{00000000-0005-0000-0000-00009C7B0000}"/>
    <cellStyle name="Normal 25 3 2 2 2 2" xfId="44862" xr:uid="{00000000-0005-0000-0000-00009D7B0000}"/>
    <cellStyle name="Normal 25 3 2 2 3" xfId="14779" xr:uid="{00000000-0005-0000-0000-00009E7B0000}"/>
    <cellStyle name="Normal 25 3 2 2 3 2" xfId="37422" xr:uid="{00000000-0005-0000-0000-00009F7B0000}"/>
    <cellStyle name="Normal 25 3 2 2 4" xfId="29981" xr:uid="{00000000-0005-0000-0000-0000A07B0000}"/>
    <cellStyle name="Normal 25 3 2 3" xfId="18501" xr:uid="{00000000-0005-0000-0000-0000A17B0000}"/>
    <cellStyle name="Normal 25 3 2 3 2" xfId="41144" xr:uid="{00000000-0005-0000-0000-0000A27B0000}"/>
    <cellStyle name="Normal 25 3 2 4" xfId="11061" xr:uid="{00000000-0005-0000-0000-0000A37B0000}"/>
    <cellStyle name="Normal 25 3 2 4 2" xfId="33704" xr:uid="{00000000-0005-0000-0000-0000A47B0000}"/>
    <cellStyle name="Normal 25 3 2 5" xfId="26263" xr:uid="{00000000-0005-0000-0000-0000A57B0000}"/>
    <cellStyle name="Normal 25 3 3" xfId="5488" xr:uid="{00000000-0005-0000-0000-0000A67B0000}"/>
    <cellStyle name="Normal 25 3 3 2" xfId="20372" xr:uid="{00000000-0005-0000-0000-0000A77B0000}"/>
    <cellStyle name="Normal 25 3 3 2 2" xfId="43015" xr:uid="{00000000-0005-0000-0000-0000A87B0000}"/>
    <cellStyle name="Normal 25 3 3 3" xfId="12932" xr:uid="{00000000-0005-0000-0000-0000A97B0000}"/>
    <cellStyle name="Normal 25 3 3 3 2" xfId="35575" xr:uid="{00000000-0005-0000-0000-0000AA7B0000}"/>
    <cellStyle name="Normal 25 3 3 4" xfId="28134" xr:uid="{00000000-0005-0000-0000-0000AB7B0000}"/>
    <cellStyle name="Normal 25 3 4" xfId="16654" xr:uid="{00000000-0005-0000-0000-0000AC7B0000}"/>
    <cellStyle name="Normal 25 3 4 2" xfId="39297" xr:uid="{00000000-0005-0000-0000-0000AD7B0000}"/>
    <cellStyle name="Normal 25 3 5" xfId="9214" xr:uid="{00000000-0005-0000-0000-0000AE7B0000}"/>
    <cellStyle name="Normal 25 3 5 2" xfId="31857" xr:uid="{00000000-0005-0000-0000-0000AF7B0000}"/>
    <cellStyle name="Normal 25 3 6" xfId="24416" xr:uid="{00000000-0005-0000-0000-0000B07B0000}"/>
    <cellStyle name="Normal 25 4" xfId="2689" xr:uid="{00000000-0005-0000-0000-0000B17B0000}"/>
    <cellStyle name="Normal 25 4 2" xfId="6410" xr:uid="{00000000-0005-0000-0000-0000B27B0000}"/>
    <cellStyle name="Normal 25 4 2 2" xfId="21294" xr:uid="{00000000-0005-0000-0000-0000B37B0000}"/>
    <cellStyle name="Normal 25 4 2 2 2" xfId="43937" xr:uid="{00000000-0005-0000-0000-0000B47B0000}"/>
    <cellStyle name="Normal 25 4 2 3" xfId="13854" xr:uid="{00000000-0005-0000-0000-0000B57B0000}"/>
    <cellStyle name="Normal 25 4 2 3 2" xfId="36497" xr:uid="{00000000-0005-0000-0000-0000B67B0000}"/>
    <cellStyle name="Normal 25 4 2 4" xfId="29056" xr:uid="{00000000-0005-0000-0000-0000B77B0000}"/>
    <cellStyle name="Normal 25 4 3" xfId="17576" xr:uid="{00000000-0005-0000-0000-0000B87B0000}"/>
    <cellStyle name="Normal 25 4 3 2" xfId="40219" xr:uid="{00000000-0005-0000-0000-0000B97B0000}"/>
    <cellStyle name="Normal 25 4 4" xfId="10136" xr:uid="{00000000-0005-0000-0000-0000BA7B0000}"/>
    <cellStyle name="Normal 25 4 4 2" xfId="32779" xr:uid="{00000000-0005-0000-0000-0000BB7B0000}"/>
    <cellStyle name="Normal 25 4 5" xfId="25338" xr:uid="{00000000-0005-0000-0000-0000BC7B0000}"/>
    <cellStyle name="Normal 25 5" xfId="4563" xr:uid="{00000000-0005-0000-0000-0000BD7B0000}"/>
    <cellStyle name="Normal 25 5 2" xfId="19447" xr:uid="{00000000-0005-0000-0000-0000BE7B0000}"/>
    <cellStyle name="Normal 25 5 2 2" xfId="42090" xr:uid="{00000000-0005-0000-0000-0000BF7B0000}"/>
    <cellStyle name="Normal 25 5 3" xfId="12007" xr:uid="{00000000-0005-0000-0000-0000C07B0000}"/>
    <cellStyle name="Normal 25 5 3 2" xfId="34650" xr:uid="{00000000-0005-0000-0000-0000C17B0000}"/>
    <cellStyle name="Normal 25 5 4" xfId="27209" xr:uid="{00000000-0005-0000-0000-0000C27B0000}"/>
    <cellStyle name="Normal 25 6" xfId="15729" xr:uid="{00000000-0005-0000-0000-0000C37B0000}"/>
    <cellStyle name="Normal 25 6 2" xfId="38372" xr:uid="{00000000-0005-0000-0000-0000C47B0000}"/>
    <cellStyle name="Normal 25 7" xfId="8289" xr:uid="{00000000-0005-0000-0000-0000C57B0000}"/>
    <cellStyle name="Normal 25 7 2" xfId="30932" xr:uid="{00000000-0005-0000-0000-0000C67B0000}"/>
    <cellStyle name="Normal 25 8" xfId="23491" xr:uid="{00000000-0005-0000-0000-0000C77B0000}"/>
    <cellStyle name="Normal 26" xfId="834" xr:uid="{00000000-0005-0000-0000-0000C87B0000}"/>
    <cellStyle name="Normal 26 2" xfId="1299" xr:uid="{00000000-0005-0000-0000-0000C97B0000}"/>
    <cellStyle name="Normal 26 2 2" xfId="2227" xr:uid="{00000000-0005-0000-0000-0000CA7B0000}"/>
    <cellStyle name="Normal 26 2 2 2" xfId="4077" xr:uid="{00000000-0005-0000-0000-0000CB7B0000}"/>
    <cellStyle name="Normal 26 2 2 2 2" xfId="7798" xr:uid="{00000000-0005-0000-0000-0000CC7B0000}"/>
    <cellStyle name="Normal 26 2 2 2 2 2" xfId="22682" xr:uid="{00000000-0005-0000-0000-0000CD7B0000}"/>
    <cellStyle name="Normal 26 2 2 2 2 2 2" xfId="45325" xr:uid="{00000000-0005-0000-0000-0000CE7B0000}"/>
    <cellStyle name="Normal 26 2 2 2 2 3" xfId="15242" xr:uid="{00000000-0005-0000-0000-0000CF7B0000}"/>
    <cellStyle name="Normal 26 2 2 2 2 3 2" xfId="37885" xr:uid="{00000000-0005-0000-0000-0000D07B0000}"/>
    <cellStyle name="Normal 26 2 2 2 2 4" xfId="30444" xr:uid="{00000000-0005-0000-0000-0000D17B0000}"/>
    <cellStyle name="Normal 26 2 2 2 3" xfId="18964" xr:uid="{00000000-0005-0000-0000-0000D27B0000}"/>
    <cellStyle name="Normal 26 2 2 2 3 2" xfId="41607" xr:uid="{00000000-0005-0000-0000-0000D37B0000}"/>
    <cellStyle name="Normal 26 2 2 2 4" xfId="11524" xr:uid="{00000000-0005-0000-0000-0000D47B0000}"/>
    <cellStyle name="Normal 26 2 2 2 4 2" xfId="34167" xr:uid="{00000000-0005-0000-0000-0000D57B0000}"/>
    <cellStyle name="Normal 26 2 2 2 5" xfId="26726" xr:uid="{00000000-0005-0000-0000-0000D67B0000}"/>
    <cellStyle name="Normal 26 2 2 3" xfId="5951" xr:uid="{00000000-0005-0000-0000-0000D77B0000}"/>
    <cellStyle name="Normal 26 2 2 3 2" xfId="20835" xr:uid="{00000000-0005-0000-0000-0000D87B0000}"/>
    <cellStyle name="Normal 26 2 2 3 2 2" xfId="43478" xr:uid="{00000000-0005-0000-0000-0000D97B0000}"/>
    <cellStyle name="Normal 26 2 2 3 3" xfId="13395" xr:uid="{00000000-0005-0000-0000-0000DA7B0000}"/>
    <cellStyle name="Normal 26 2 2 3 3 2" xfId="36038" xr:uid="{00000000-0005-0000-0000-0000DB7B0000}"/>
    <cellStyle name="Normal 26 2 2 3 4" xfId="28597" xr:uid="{00000000-0005-0000-0000-0000DC7B0000}"/>
    <cellStyle name="Normal 26 2 2 4" xfId="17117" xr:uid="{00000000-0005-0000-0000-0000DD7B0000}"/>
    <cellStyle name="Normal 26 2 2 4 2" xfId="39760" xr:uid="{00000000-0005-0000-0000-0000DE7B0000}"/>
    <cellStyle name="Normal 26 2 2 5" xfId="9677" xr:uid="{00000000-0005-0000-0000-0000DF7B0000}"/>
    <cellStyle name="Normal 26 2 2 5 2" xfId="32320" xr:uid="{00000000-0005-0000-0000-0000E07B0000}"/>
    <cellStyle name="Normal 26 2 2 6" xfId="24879" xr:uid="{00000000-0005-0000-0000-0000E17B0000}"/>
    <cellStyle name="Normal 26 2 3" xfId="3152" xr:uid="{00000000-0005-0000-0000-0000E27B0000}"/>
    <cellStyle name="Normal 26 2 3 2" xfId="6873" xr:uid="{00000000-0005-0000-0000-0000E37B0000}"/>
    <cellStyle name="Normal 26 2 3 2 2" xfId="21757" xr:uid="{00000000-0005-0000-0000-0000E47B0000}"/>
    <cellStyle name="Normal 26 2 3 2 2 2" xfId="44400" xr:uid="{00000000-0005-0000-0000-0000E57B0000}"/>
    <cellStyle name="Normal 26 2 3 2 3" xfId="14317" xr:uid="{00000000-0005-0000-0000-0000E67B0000}"/>
    <cellStyle name="Normal 26 2 3 2 3 2" xfId="36960" xr:uid="{00000000-0005-0000-0000-0000E77B0000}"/>
    <cellStyle name="Normal 26 2 3 2 4" xfId="29519" xr:uid="{00000000-0005-0000-0000-0000E87B0000}"/>
    <cellStyle name="Normal 26 2 3 3" xfId="18039" xr:uid="{00000000-0005-0000-0000-0000E97B0000}"/>
    <cellStyle name="Normal 26 2 3 3 2" xfId="40682" xr:uid="{00000000-0005-0000-0000-0000EA7B0000}"/>
    <cellStyle name="Normal 26 2 3 4" xfId="10599" xr:uid="{00000000-0005-0000-0000-0000EB7B0000}"/>
    <cellStyle name="Normal 26 2 3 4 2" xfId="33242" xr:uid="{00000000-0005-0000-0000-0000EC7B0000}"/>
    <cellStyle name="Normal 26 2 3 5" xfId="25801" xr:uid="{00000000-0005-0000-0000-0000ED7B0000}"/>
    <cellStyle name="Normal 26 2 4" xfId="5026" xr:uid="{00000000-0005-0000-0000-0000EE7B0000}"/>
    <cellStyle name="Normal 26 2 4 2" xfId="19910" xr:uid="{00000000-0005-0000-0000-0000EF7B0000}"/>
    <cellStyle name="Normal 26 2 4 2 2" xfId="42553" xr:uid="{00000000-0005-0000-0000-0000F07B0000}"/>
    <cellStyle name="Normal 26 2 4 3" xfId="12470" xr:uid="{00000000-0005-0000-0000-0000F17B0000}"/>
    <cellStyle name="Normal 26 2 4 3 2" xfId="35113" xr:uid="{00000000-0005-0000-0000-0000F27B0000}"/>
    <cellStyle name="Normal 26 2 4 4" xfId="27672" xr:uid="{00000000-0005-0000-0000-0000F37B0000}"/>
    <cellStyle name="Normal 26 2 5" xfId="16192" xr:uid="{00000000-0005-0000-0000-0000F47B0000}"/>
    <cellStyle name="Normal 26 2 5 2" xfId="38835" xr:uid="{00000000-0005-0000-0000-0000F57B0000}"/>
    <cellStyle name="Normal 26 2 6" xfId="8752" xr:uid="{00000000-0005-0000-0000-0000F67B0000}"/>
    <cellStyle name="Normal 26 2 6 2" xfId="31395" xr:uid="{00000000-0005-0000-0000-0000F77B0000}"/>
    <cellStyle name="Normal 26 2 7" xfId="23954" xr:uid="{00000000-0005-0000-0000-0000F87B0000}"/>
    <cellStyle name="Normal 26 3" xfId="1765" xr:uid="{00000000-0005-0000-0000-0000F97B0000}"/>
    <cellStyle name="Normal 26 3 2" xfId="3615" xr:uid="{00000000-0005-0000-0000-0000FA7B0000}"/>
    <cellStyle name="Normal 26 3 2 2" xfId="7336" xr:uid="{00000000-0005-0000-0000-0000FB7B0000}"/>
    <cellStyle name="Normal 26 3 2 2 2" xfId="22220" xr:uid="{00000000-0005-0000-0000-0000FC7B0000}"/>
    <cellStyle name="Normal 26 3 2 2 2 2" xfId="44863" xr:uid="{00000000-0005-0000-0000-0000FD7B0000}"/>
    <cellStyle name="Normal 26 3 2 2 3" xfId="14780" xr:uid="{00000000-0005-0000-0000-0000FE7B0000}"/>
    <cellStyle name="Normal 26 3 2 2 3 2" xfId="37423" xr:uid="{00000000-0005-0000-0000-0000FF7B0000}"/>
    <cellStyle name="Normal 26 3 2 2 4" xfId="29982" xr:uid="{00000000-0005-0000-0000-0000007C0000}"/>
    <cellStyle name="Normal 26 3 2 3" xfId="18502" xr:uid="{00000000-0005-0000-0000-0000017C0000}"/>
    <cellStyle name="Normal 26 3 2 3 2" xfId="41145" xr:uid="{00000000-0005-0000-0000-0000027C0000}"/>
    <cellStyle name="Normal 26 3 2 4" xfId="11062" xr:uid="{00000000-0005-0000-0000-0000037C0000}"/>
    <cellStyle name="Normal 26 3 2 4 2" xfId="33705" xr:uid="{00000000-0005-0000-0000-0000047C0000}"/>
    <cellStyle name="Normal 26 3 2 5" xfId="26264" xr:uid="{00000000-0005-0000-0000-0000057C0000}"/>
    <cellStyle name="Normal 26 3 3" xfId="5489" xr:uid="{00000000-0005-0000-0000-0000067C0000}"/>
    <cellStyle name="Normal 26 3 3 2" xfId="20373" xr:uid="{00000000-0005-0000-0000-0000077C0000}"/>
    <cellStyle name="Normal 26 3 3 2 2" xfId="43016" xr:uid="{00000000-0005-0000-0000-0000087C0000}"/>
    <cellStyle name="Normal 26 3 3 3" xfId="12933" xr:uid="{00000000-0005-0000-0000-0000097C0000}"/>
    <cellStyle name="Normal 26 3 3 3 2" xfId="35576" xr:uid="{00000000-0005-0000-0000-00000A7C0000}"/>
    <cellStyle name="Normal 26 3 3 4" xfId="28135" xr:uid="{00000000-0005-0000-0000-00000B7C0000}"/>
    <cellStyle name="Normal 26 3 4" xfId="16655" xr:uid="{00000000-0005-0000-0000-00000C7C0000}"/>
    <cellStyle name="Normal 26 3 4 2" xfId="39298" xr:uid="{00000000-0005-0000-0000-00000D7C0000}"/>
    <cellStyle name="Normal 26 3 5" xfId="9215" xr:uid="{00000000-0005-0000-0000-00000E7C0000}"/>
    <cellStyle name="Normal 26 3 5 2" xfId="31858" xr:uid="{00000000-0005-0000-0000-00000F7C0000}"/>
    <cellStyle name="Normal 26 3 6" xfId="24417" xr:uid="{00000000-0005-0000-0000-0000107C0000}"/>
    <cellStyle name="Normal 26 4" xfId="2690" xr:uid="{00000000-0005-0000-0000-0000117C0000}"/>
    <cellStyle name="Normal 26 4 2" xfId="6411" xr:uid="{00000000-0005-0000-0000-0000127C0000}"/>
    <cellStyle name="Normal 26 4 2 2" xfId="21295" xr:uid="{00000000-0005-0000-0000-0000137C0000}"/>
    <cellStyle name="Normal 26 4 2 2 2" xfId="43938" xr:uid="{00000000-0005-0000-0000-0000147C0000}"/>
    <cellStyle name="Normal 26 4 2 3" xfId="13855" xr:uid="{00000000-0005-0000-0000-0000157C0000}"/>
    <cellStyle name="Normal 26 4 2 3 2" xfId="36498" xr:uid="{00000000-0005-0000-0000-0000167C0000}"/>
    <cellStyle name="Normal 26 4 2 4" xfId="29057" xr:uid="{00000000-0005-0000-0000-0000177C0000}"/>
    <cellStyle name="Normal 26 4 3" xfId="17577" xr:uid="{00000000-0005-0000-0000-0000187C0000}"/>
    <cellStyle name="Normal 26 4 3 2" xfId="40220" xr:uid="{00000000-0005-0000-0000-0000197C0000}"/>
    <cellStyle name="Normal 26 4 4" xfId="10137" xr:uid="{00000000-0005-0000-0000-00001A7C0000}"/>
    <cellStyle name="Normal 26 4 4 2" xfId="32780" xr:uid="{00000000-0005-0000-0000-00001B7C0000}"/>
    <cellStyle name="Normal 26 4 5" xfId="25339" xr:uid="{00000000-0005-0000-0000-00001C7C0000}"/>
    <cellStyle name="Normal 26 5" xfId="4564" xr:uid="{00000000-0005-0000-0000-00001D7C0000}"/>
    <cellStyle name="Normal 26 5 2" xfId="19448" xr:uid="{00000000-0005-0000-0000-00001E7C0000}"/>
    <cellStyle name="Normal 26 5 2 2" xfId="42091" xr:uid="{00000000-0005-0000-0000-00001F7C0000}"/>
    <cellStyle name="Normal 26 5 3" xfId="12008" xr:uid="{00000000-0005-0000-0000-0000207C0000}"/>
    <cellStyle name="Normal 26 5 3 2" xfId="34651" xr:uid="{00000000-0005-0000-0000-0000217C0000}"/>
    <cellStyle name="Normal 26 5 4" xfId="27210" xr:uid="{00000000-0005-0000-0000-0000227C0000}"/>
    <cellStyle name="Normal 26 6" xfId="15730" xr:uid="{00000000-0005-0000-0000-0000237C0000}"/>
    <cellStyle name="Normal 26 6 2" xfId="38373" xr:uid="{00000000-0005-0000-0000-0000247C0000}"/>
    <cellStyle name="Normal 26 7" xfId="8290" xr:uid="{00000000-0005-0000-0000-0000257C0000}"/>
    <cellStyle name="Normal 26 7 2" xfId="30933" xr:uid="{00000000-0005-0000-0000-0000267C0000}"/>
    <cellStyle name="Normal 26 8" xfId="23492" xr:uid="{00000000-0005-0000-0000-0000277C0000}"/>
    <cellStyle name="Normal 27" xfId="835" xr:uid="{00000000-0005-0000-0000-0000287C0000}"/>
    <cellStyle name="Normal 27 2" xfId="1300" xr:uid="{00000000-0005-0000-0000-0000297C0000}"/>
    <cellStyle name="Normal 27 2 2" xfId="2228" xr:uid="{00000000-0005-0000-0000-00002A7C0000}"/>
    <cellStyle name="Normal 27 2 2 2" xfId="4078" xr:uid="{00000000-0005-0000-0000-00002B7C0000}"/>
    <cellStyle name="Normal 27 2 2 2 2" xfId="7799" xr:uid="{00000000-0005-0000-0000-00002C7C0000}"/>
    <cellStyle name="Normal 27 2 2 2 2 2" xfId="22683" xr:uid="{00000000-0005-0000-0000-00002D7C0000}"/>
    <cellStyle name="Normal 27 2 2 2 2 2 2" xfId="45326" xr:uid="{00000000-0005-0000-0000-00002E7C0000}"/>
    <cellStyle name="Normal 27 2 2 2 2 3" xfId="15243" xr:uid="{00000000-0005-0000-0000-00002F7C0000}"/>
    <cellStyle name="Normal 27 2 2 2 2 3 2" xfId="37886" xr:uid="{00000000-0005-0000-0000-0000307C0000}"/>
    <cellStyle name="Normal 27 2 2 2 2 4" xfId="30445" xr:uid="{00000000-0005-0000-0000-0000317C0000}"/>
    <cellStyle name="Normal 27 2 2 2 3" xfId="18965" xr:uid="{00000000-0005-0000-0000-0000327C0000}"/>
    <cellStyle name="Normal 27 2 2 2 3 2" xfId="41608" xr:uid="{00000000-0005-0000-0000-0000337C0000}"/>
    <cellStyle name="Normal 27 2 2 2 4" xfId="11525" xr:uid="{00000000-0005-0000-0000-0000347C0000}"/>
    <cellStyle name="Normal 27 2 2 2 4 2" xfId="34168" xr:uid="{00000000-0005-0000-0000-0000357C0000}"/>
    <cellStyle name="Normal 27 2 2 2 5" xfId="26727" xr:uid="{00000000-0005-0000-0000-0000367C0000}"/>
    <cellStyle name="Normal 27 2 2 3" xfId="5952" xr:uid="{00000000-0005-0000-0000-0000377C0000}"/>
    <cellStyle name="Normal 27 2 2 3 2" xfId="20836" xr:uid="{00000000-0005-0000-0000-0000387C0000}"/>
    <cellStyle name="Normal 27 2 2 3 2 2" xfId="43479" xr:uid="{00000000-0005-0000-0000-0000397C0000}"/>
    <cellStyle name="Normal 27 2 2 3 3" xfId="13396" xr:uid="{00000000-0005-0000-0000-00003A7C0000}"/>
    <cellStyle name="Normal 27 2 2 3 3 2" xfId="36039" xr:uid="{00000000-0005-0000-0000-00003B7C0000}"/>
    <cellStyle name="Normal 27 2 2 3 4" xfId="28598" xr:uid="{00000000-0005-0000-0000-00003C7C0000}"/>
    <cellStyle name="Normal 27 2 2 4" xfId="17118" xr:uid="{00000000-0005-0000-0000-00003D7C0000}"/>
    <cellStyle name="Normal 27 2 2 4 2" xfId="39761" xr:uid="{00000000-0005-0000-0000-00003E7C0000}"/>
    <cellStyle name="Normal 27 2 2 5" xfId="9678" xr:uid="{00000000-0005-0000-0000-00003F7C0000}"/>
    <cellStyle name="Normal 27 2 2 5 2" xfId="32321" xr:uid="{00000000-0005-0000-0000-0000407C0000}"/>
    <cellStyle name="Normal 27 2 2 6" xfId="24880" xr:uid="{00000000-0005-0000-0000-0000417C0000}"/>
    <cellStyle name="Normal 27 2 3" xfId="3153" xr:uid="{00000000-0005-0000-0000-0000427C0000}"/>
    <cellStyle name="Normal 27 2 3 2" xfId="6874" xr:uid="{00000000-0005-0000-0000-0000437C0000}"/>
    <cellStyle name="Normal 27 2 3 2 2" xfId="21758" xr:uid="{00000000-0005-0000-0000-0000447C0000}"/>
    <cellStyle name="Normal 27 2 3 2 2 2" xfId="44401" xr:uid="{00000000-0005-0000-0000-0000457C0000}"/>
    <cellStyle name="Normal 27 2 3 2 3" xfId="14318" xr:uid="{00000000-0005-0000-0000-0000467C0000}"/>
    <cellStyle name="Normal 27 2 3 2 3 2" xfId="36961" xr:uid="{00000000-0005-0000-0000-0000477C0000}"/>
    <cellStyle name="Normal 27 2 3 2 4" xfId="29520" xr:uid="{00000000-0005-0000-0000-0000487C0000}"/>
    <cellStyle name="Normal 27 2 3 3" xfId="18040" xr:uid="{00000000-0005-0000-0000-0000497C0000}"/>
    <cellStyle name="Normal 27 2 3 3 2" xfId="40683" xr:uid="{00000000-0005-0000-0000-00004A7C0000}"/>
    <cellStyle name="Normal 27 2 3 4" xfId="10600" xr:uid="{00000000-0005-0000-0000-00004B7C0000}"/>
    <cellStyle name="Normal 27 2 3 4 2" xfId="33243" xr:uid="{00000000-0005-0000-0000-00004C7C0000}"/>
    <cellStyle name="Normal 27 2 3 5" xfId="25802" xr:uid="{00000000-0005-0000-0000-00004D7C0000}"/>
    <cellStyle name="Normal 27 2 4" xfId="5027" xr:uid="{00000000-0005-0000-0000-00004E7C0000}"/>
    <cellStyle name="Normal 27 2 4 2" xfId="19911" xr:uid="{00000000-0005-0000-0000-00004F7C0000}"/>
    <cellStyle name="Normal 27 2 4 2 2" xfId="42554" xr:uid="{00000000-0005-0000-0000-0000507C0000}"/>
    <cellStyle name="Normal 27 2 4 3" xfId="12471" xr:uid="{00000000-0005-0000-0000-0000517C0000}"/>
    <cellStyle name="Normal 27 2 4 3 2" xfId="35114" xr:uid="{00000000-0005-0000-0000-0000527C0000}"/>
    <cellStyle name="Normal 27 2 4 4" xfId="27673" xr:uid="{00000000-0005-0000-0000-0000537C0000}"/>
    <cellStyle name="Normal 27 2 5" xfId="16193" xr:uid="{00000000-0005-0000-0000-0000547C0000}"/>
    <cellStyle name="Normal 27 2 5 2" xfId="38836" xr:uid="{00000000-0005-0000-0000-0000557C0000}"/>
    <cellStyle name="Normal 27 2 6" xfId="8753" xr:uid="{00000000-0005-0000-0000-0000567C0000}"/>
    <cellStyle name="Normal 27 2 6 2" xfId="31396" xr:uid="{00000000-0005-0000-0000-0000577C0000}"/>
    <cellStyle name="Normal 27 2 7" xfId="23955" xr:uid="{00000000-0005-0000-0000-0000587C0000}"/>
    <cellStyle name="Normal 27 3" xfId="1766" xr:uid="{00000000-0005-0000-0000-0000597C0000}"/>
    <cellStyle name="Normal 27 3 2" xfId="3616" xr:uid="{00000000-0005-0000-0000-00005A7C0000}"/>
    <cellStyle name="Normal 27 3 2 2" xfId="7337" xr:uid="{00000000-0005-0000-0000-00005B7C0000}"/>
    <cellStyle name="Normal 27 3 2 2 2" xfId="22221" xr:uid="{00000000-0005-0000-0000-00005C7C0000}"/>
    <cellStyle name="Normal 27 3 2 2 2 2" xfId="44864" xr:uid="{00000000-0005-0000-0000-00005D7C0000}"/>
    <cellStyle name="Normal 27 3 2 2 3" xfId="14781" xr:uid="{00000000-0005-0000-0000-00005E7C0000}"/>
    <cellStyle name="Normal 27 3 2 2 3 2" xfId="37424" xr:uid="{00000000-0005-0000-0000-00005F7C0000}"/>
    <cellStyle name="Normal 27 3 2 2 4" xfId="29983" xr:uid="{00000000-0005-0000-0000-0000607C0000}"/>
    <cellStyle name="Normal 27 3 2 3" xfId="18503" xr:uid="{00000000-0005-0000-0000-0000617C0000}"/>
    <cellStyle name="Normal 27 3 2 3 2" xfId="41146" xr:uid="{00000000-0005-0000-0000-0000627C0000}"/>
    <cellStyle name="Normal 27 3 2 4" xfId="11063" xr:uid="{00000000-0005-0000-0000-0000637C0000}"/>
    <cellStyle name="Normal 27 3 2 4 2" xfId="33706" xr:uid="{00000000-0005-0000-0000-0000647C0000}"/>
    <cellStyle name="Normal 27 3 2 5" xfId="26265" xr:uid="{00000000-0005-0000-0000-0000657C0000}"/>
    <cellStyle name="Normal 27 3 3" xfId="5490" xr:uid="{00000000-0005-0000-0000-0000667C0000}"/>
    <cellStyle name="Normal 27 3 3 2" xfId="20374" xr:uid="{00000000-0005-0000-0000-0000677C0000}"/>
    <cellStyle name="Normal 27 3 3 2 2" xfId="43017" xr:uid="{00000000-0005-0000-0000-0000687C0000}"/>
    <cellStyle name="Normal 27 3 3 3" xfId="12934" xr:uid="{00000000-0005-0000-0000-0000697C0000}"/>
    <cellStyle name="Normal 27 3 3 3 2" xfId="35577" xr:uid="{00000000-0005-0000-0000-00006A7C0000}"/>
    <cellStyle name="Normal 27 3 3 4" xfId="28136" xr:uid="{00000000-0005-0000-0000-00006B7C0000}"/>
    <cellStyle name="Normal 27 3 4" xfId="16656" xr:uid="{00000000-0005-0000-0000-00006C7C0000}"/>
    <cellStyle name="Normal 27 3 4 2" xfId="39299" xr:uid="{00000000-0005-0000-0000-00006D7C0000}"/>
    <cellStyle name="Normal 27 3 5" xfId="9216" xr:uid="{00000000-0005-0000-0000-00006E7C0000}"/>
    <cellStyle name="Normal 27 3 5 2" xfId="31859" xr:uid="{00000000-0005-0000-0000-00006F7C0000}"/>
    <cellStyle name="Normal 27 3 6" xfId="24418" xr:uid="{00000000-0005-0000-0000-0000707C0000}"/>
    <cellStyle name="Normal 27 4" xfId="2691" xr:uid="{00000000-0005-0000-0000-0000717C0000}"/>
    <cellStyle name="Normal 27 4 2" xfId="6412" xr:uid="{00000000-0005-0000-0000-0000727C0000}"/>
    <cellStyle name="Normal 27 4 2 2" xfId="21296" xr:uid="{00000000-0005-0000-0000-0000737C0000}"/>
    <cellStyle name="Normal 27 4 2 2 2" xfId="43939" xr:uid="{00000000-0005-0000-0000-0000747C0000}"/>
    <cellStyle name="Normal 27 4 2 3" xfId="13856" xr:uid="{00000000-0005-0000-0000-0000757C0000}"/>
    <cellStyle name="Normal 27 4 2 3 2" xfId="36499" xr:uid="{00000000-0005-0000-0000-0000767C0000}"/>
    <cellStyle name="Normal 27 4 2 4" xfId="29058" xr:uid="{00000000-0005-0000-0000-0000777C0000}"/>
    <cellStyle name="Normal 27 4 3" xfId="17578" xr:uid="{00000000-0005-0000-0000-0000787C0000}"/>
    <cellStyle name="Normal 27 4 3 2" xfId="40221" xr:uid="{00000000-0005-0000-0000-0000797C0000}"/>
    <cellStyle name="Normal 27 4 4" xfId="10138" xr:uid="{00000000-0005-0000-0000-00007A7C0000}"/>
    <cellStyle name="Normal 27 4 4 2" xfId="32781" xr:uid="{00000000-0005-0000-0000-00007B7C0000}"/>
    <cellStyle name="Normal 27 4 5" xfId="25340" xr:uid="{00000000-0005-0000-0000-00007C7C0000}"/>
    <cellStyle name="Normal 27 5" xfId="4565" xr:uid="{00000000-0005-0000-0000-00007D7C0000}"/>
    <cellStyle name="Normal 27 5 2" xfId="19449" xr:uid="{00000000-0005-0000-0000-00007E7C0000}"/>
    <cellStyle name="Normal 27 5 2 2" xfId="42092" xr:uid="{00000000-0005-0000-0000-00007F7C0000}"/>
    <cellStyle name="Normal 27 5 3" xfId="12009" xr:uid="{00000000-0005-0000-0000-0000807C0000}"/>
    <cellStyle name="Normal 27 5 3 2" xfId="34652" xr:uid="{00000000-0005-0000-0000-0000817C0000}"/>
    <cellStyle name="Normal 27 5 4" xfId="27211" xr:uid="{00000000-0005-0000-0000-0000827C0000}"/>
    <cellStyle name="Normal 27 6" xfId="15731" xr:uid="{00000000-0005-0000-0000-0000837C0000}"/>
    <cellStyle name="Normal 27 6 2" xfId="38374" xr:uid="{00000000-0005-0000-0000-0000847C0000}"/>
    <cellStyle name="Normal 27 7" xfId="8291" xr:uid="{00000000-0005-0000-0000-0000857C0000}"/>
    <cellStyle name="Normal 27 7 2" xfId="30934" xr:uid="{00000000-0005-0000-0000-0000867C0000}"/>
    <cellStyle name="Normal 27 8" xfId="23493" xr:uid="{00000000-0005-0000-0000-0000877C0000}"/>
    <cellStyle name="Normal 28" xfId="836" xr:uid="{00000000-0005-0000-0000-0000887C0000}"/>
    <cellStyle name="Normal 28 2" xfId="1301" xr:uid="{00000000-0005-0000-0000-0000897C0000}"/>
    <cellStyle name="Normal 28 2 2" xfId="2229" xr:uid="{00000000-0005-0000-0000-00008A7C0000}"/>
    <cellStyle name="Normal 28 2 2 2" xfId="4079" xr:uid="{00000000-0005-0000-0000-00008B7C0000}"/>
    <cellStyle name="Normal 28 2 2 2 2" xfId="7800" xr:uid="{00000000-0005-0000-0000-00008C7C0000}"/>
    <cellStyle name="Normal 28 2 2 2 2 2" xfId="22684" xr:uid="{00000000-0005-0000-0000-00008D7C0000}"/>
    <cellStyle name="Normal 28 2 2 2 2 2 2" xfId="45327" xr:uid="{00000000-0005-0000-0000-00008E7C0000}"/>
    <cellStyle name="Normal 28 2 2 2 2 3" xfId="15244" xr:uid="{00000000-0005-0000-0000-00008F7C0000}"/>
    <cellStyle name="Normal 28 2 2 2 2 3 2" xfId="37887" xr:uid="{00000000-0005-0000-0000-0000907C0000}"/>
    <cellStyle name="Normal 28 2 2 2 2 4" xfId="30446" xr:uid="{00000000-0005-0000-0000-0000917C0000}"/>
    <cellStyle name="Normal 28 2 2 2 3" xfId="18966" xr:uid="{00000000-0005-0000-0000-0000927C0000}"/>
    <cellStyle name="Normal 28 2 2 2 3 2" xfId="41609" xr:uid="{00000000-0005-0000-0000-0000937C0000}"/>
    <cellStyle name="Normal 28 2 2 2 4" xfId="11526" xr:uid="{00000000-0005-0000-0000-0000947C0000}"/>
    <cellStyle name="Normal 28 2 2 2 4 2" xfId="34169" xr:uid="{00000000-0005-0000-0000-0000957C0000}"/>
    <cellStyle name="Normal 28 2 2 2 5" xfId="26728" xr:uid="{00000000-0005-0000-0000-0000967C0000}"/>
    <cellStyle name="Normal 28 2 2 3" xfId="5953" xr:uid="{00000000-0005-0000-0000-0000977C0000}"/>
    <cellStyle name="Normal 28 2 2 3 2" xfId="20837" xr:uid="{00000000-0005-0000-0000-0000987C0000}"/>
    <cellStyle name="Normal 28 2 2 3 2 2" xfId="43480" xr:uid="{00000000-0005-0000-0000-0000997C0000}"/>
    <cellStyle name="Normal 28 2 2 3 3" xfId="13397" xr:uid="{00000000-0005-0000-0000-00009A7C0000}"/>
    <cellStyle name="Normal 28 2 2 3 3 2" xfId="36040" xr:uid="{00000000-0005-0000-0000-00009B7C0000}"/>
    <cellStyle name="Normal 28 2 2 3 4" xfId="28599" xr:uid="{00000000-0005-0000-0000-00009C7C0000}"/>
    <cellStyle name="Normal 28 2 2 4" xfId="17119" xr:uid="{00000000-0005-0000-0000-00009D7C0000}"/>
    <cellStyle name="Normal 28 2 2 4 2" xfId="39762" xr:uid="{00000000-0005-0000-0000-00009E7C0000}"/>
    <cellStyle name="Normal 28 2 2 5" xfId="9679" xr:uid="{00000000-0005-0000-0000-00009F7C0000}"/>
    <cellStyle name="Normal 28 2 2 5 2" xfId="32322" xr:uid="{00000000-0005-0000-0000-0000A07C0000}"/>
    <cellStyle name="Normal 28 2 2 6" xfId="24881" xr:uid="{00000000-0005-0000-0000-0000A17C0000}"/>
    <cellStyle name="Normal 28 2 3" xfId="3154" xr:uid="{00000000-0005-0000-0000-0000A27C0000}"/>
    <cellStyle name="Normal 28 2 3 2" xfId="6875" xr:uid="{00000000-0005-0000-0000-0000A37C0000}"/>
    <cellStyle name="Normal 28 2 3 2 2" xfId="21759" xr:uid="{00000000-0005-0000-0000-0000A47C0000}"/>
    <cellStyle name="Normal 28 2 3 2 2 2" xfId="44402" xr:uid="{00000000-0005-0000-0000-0000A57C0000}"/>
    <cellStyle name="Normal 28 2 3 2 3" xfId="14319" xr:uid="{00000000-0005-0000-0000-0000A67C0000}"/>
    <cellStyle name="Normal 28 2 3 2 3 2" xfId="36962" xr:uid="{00000000-0005-0000-0000-0000A77C0000}"/>
    <cellStyle name="Normal 28 2 3 2 4" xfId="29521" xr:uid="{00000000-0005-0000-0000-0000A87C0000}"/>
    <cellStyle name="Normal 28 2 3 3" xfId="18041" xr:uid="{00000000-0005-0000-0000-0000A97C0000}"/>
    <cellStyle name="Normal 28 2 3 3 2" xfId="40684" xr:uid="{00000000-0005-0000-0000-0000AA7C0000}"/>
    <cellStyle name="Normal 28 2 3 4" xfId="10601" xr:uid="{00000000-0005-0000-0000-0000AB7C0000}"/>
    <cellStyle name="Normal 28 2 3 4 2" xfId="33244" xr:uid="{00000000-0005-0000-0000-0000AC7C0000}"/>
    <cellStyle name="Normal 28 2 3 5" xfId="25803" xr:uid="{00000000-0005-0000-0000-0000AD7C0000}"/>
    <cellStyle name="Normal 28 2 4" xfId="5028" xr:uid="{00000000-0005-0000-0000-0000AE7C0000}"/>
    <cellStyle name="Normal 28 2 4 2" xfId="19912" xr:uid="{00000000-0005-0000-0000-0000AF7C0000}"/>
    <cellStyle name="Normal 28 2 4 2 2" xfId="42555" xr:uid="{00000000-0005-0000-0000-0000B07C0000}"/>
    <cellStyle name="Normal 28 2 4 3" xfId="12472" xr:uid="{00000000-0005-0000-0000-0000B17C0000}"/>
    <cellStyle name="Normal 28 2 4 3 2" xfId="35115" xr:uid="{00000000-0005-0000-0000-0000B27C0000}"/>
    <cellStyle name="Normal 28 2 4 4" xfId="27674" xr:uid="{00000000-0005-0000-0000-0000B37C0000}"/>
    <cellStyle name="Normal 28 2 5" xfId="16194" xr:uid="{00000000-0005-0000-0000-0000B47C0000}"/>
    <cellStyle name="Normal 28 2 5 2" xfId="38837" xr:uid="{00000000-0005-0000-0000-0000B57C0000}"/>
    <cellStyle name="Normal 28 2 6" xfId="8754" xr:uid="{00000000-0005-0000-0000-0000B67C0000}"/>
    <cellStyle name="Normal 28 2 6 2" xfId="31397" xr:uid="{00000000-0005-0000-0000-0000B77C0000}"/>
    <cellStyle name="Normal 28 2 7" xfId="23956" xr:uid="{00000000-0005-0000-0000-0000B87C0000}"/>
    <cellStyle name="Normal 28 3" xfId="1767" xr:uid="{00000000-0005-0000-0000-0000B97C0000}"/>
    <cellStyle name="Normal 28 3 2" xfId="3617" xr:uid="{00000000-0005-0000-0000-0000BA7C0000}"/>
    <cellStyle name="Normal 28 3 2 2" xfId="7338" xr:uid="{00000000-0005-0000-0000-0000BB7C0000}"/>
    <cellStyle name="Normal 28 3 2 2 2" xfId="22222" xr:uid="{00000000-0005-0000-0000-0000BC7C0000}"/>
    <cellStyle name="Normal 28 3 2 2 2 2" xfId="44865" xr:uid="{00000000-0005-0000-0000-0000BD7C0000}"/>
    <cellStyle name="Normal 28 3 2 2 3" xfId="14782" xr:uid="{00000000-0005-0000-0000-0000BE7C0000}"/>
    <cellStyle name="Normal 28 3 2 2 3 2" xfId="37425" xr:uid="{00000000-0005-0000-0000-0000BF7C0000}"/>
    <cellStyle name="Normal 28 3 2 2 4" xfId="29984" xr:uid="{00000000-0005-0000-0000-0000C07C0000}"/>
    <cellStyle name="Normal 28 3 2 3" xfId="18504" xr:uid="{00000000-0005-0000-0000-0000C17C0000}"/>
    <cellStyle name="Normal 28 3 2 3 2" xfId="41147" xr:uid="{00000000-0005-0000-0000-0000C27C0000}"/>
    <cellStyle name="Normal 28 3 2 4" xfId="11064" xr:uid="{00000000-0005-0000-0000-0000C37C0000}"/>
    <cellStyle name="Normal 28 3 2 4 2" xfId="33707" xr:uid="{00000000-0005-0000-0000-0000C47C0000}"/>
    <cellStyle name="Normal 28 3 2 5" xfId="26266" xr:uid="{00000000-0005-0000-0000-0000C57C0000}"/>
    <cellStyle name="Normal 28 3 3" xfId="5491" xr:uid="{00000000-0005-0000-0000-0000C67C0000}"/>
    <cellStyle name="Normal 28 3 3 2" xfId="20375" xr:uid="{00000000-0005-0000-0000-0000C77C0000}"/>
    <cellStyle name="Normal 28 3 3 2 2" xfId="43018" xr:uid="{00000000-0005-0000-0000-0000C87C0000}"/>
    <cellStyle name="Normal 28 3 3 3" xfId="12935" xr:uid="{00000000-0005-0000-0000-0000C97C0000}"/>
    <cellStyle name="Normal 28 3 3 3 2" xfId="35578" xr:uid="{00000000-0005-0000-0000-0000CA7C0000}"/>
    <cellStyle name="Normal 28 3 3 4" xfId="28137" xr:uid="{00000000-0005-0000-0000-0000CB7C0000}"/>
    <cellStyle name="Normal 28 3 4" xfId="16657" xr:uid="{00000000-0005-0000-0000-0000CC7C0000}"/>
    <cellStyle name="Normal 28 3 4 2" xfId="39300" xr:uid="{00000000-0005-0000-0000-0000CD7C0000}"/>
    <cellStyle name="Normal 28 3 5" xfId="9217" xr:uid="{00000000-0005-0000-0000-0000CE7C0000}"/>
    <cellStyle name="Normal 28 3 5 2" xfId="31860" xr:uid="{00000000-0005-0000-0000-0000CF7C0000}"/>
    <cellStyle name="Normal 28 3 6" xfId="24419" xr:uid="{00000000-0005-0000-0000-0000D07C0000}"/>
    <cellStyle name="Normal 28 4" xfId="2692" xr:uid="{00000000-0005-0000-0000-0000D17C0000}"/>
    <cellStyle name="Normal 28 4 2" xfId="6413" xr:uid="{00000000-0005-0000-0000-0000D27C0000}"/>
    <cellStyle name="Normal 28 4 2 2" xfId="21297" xr:uid="{00000000-0005-0000-0000-0000D37C0000}"/>
    <cellStyle name="Normal 28 4 2 2 2" xfId="43940" xr:uid="{00000000-0005-0000-0000-0000D47C0000}"/>
    <cellStyle name="Normal 28 4 2 3" xfId="13857" xr:uid="{00000000-0005-0000-0000-0000D57C0000}"/>
    <cellStyle name="Normal 28 4 2 3 2" xfId="36500" xr:uid="{00000000-0005-0000-0000-0000D67C0000}"/>
    <cellStyle name="Normal 28 4 2 4" xfId="29059" xr:uid="{00000000-0005-0000-0000-0000D77C0000}"/>
    <cellStyle name="Normal 28 4 3" xfId="17579" xr:uid="{00000000-0005-0000-0000-0000D87C0000}"/>
    <cellStyle name="Normal 28 4 3 2" xfId="40222" xr:uid="{00000000-0005-0000-0000-0000D97C0000}"/>
    <cellStyle name="Normal 28 4 4" xfId="10139" xr:uid="{00000000-0005-0000-0000-0000DA7C0000}"/>
    <cellStyle name="Normal 28 4 4 2" xfId="32782" xr:uid="{00000000-0005-0000-0000-0000DB7C0000}"/>
    <cellStyle name="Normal 28 4 5" xfId="25341" xr:uid="{00000000-0005-0000-0000-0000DC7C0000}"/>
    <cellStyle name="Normal 28 5" xfId="4566" xr:uid="{00000000-0005-0000-0000-0000DD7C0000}"/>
    <cellStyle name="Normal 28 5 2" xfId="19450" xr:uid="{00000000-0005-0000-0000-0000DE7C0000}"/>
    <cellStyle name="Normal 28 5 2 2" xfId="42093" xr:uid="{00000000-0005-0000-0000-0000DF7C0000}"/>
    <cellStyle name="Normal 28 5 3" xfId="12010" xr:uid="{00000000-0005-0000-0000-0000E07C0000}"/>
    <cellStyle name="Normal 28 5 3 2" xfId="34653" xr:uid="{00000000-0005-0000-0000-0000E17C0000}"/>
    <cellStyle name="Normal 28 5 4" xfId="27212" xr:uid="{00000000-0005-0000-0000-0000E27C0000}"/>
    <cellStyle name="Normal 28 6" xfId="15732" xr:uid="{00000000-0005-0000-0000-0000E37C0000}"/>
    <cellStyle name="Normal 28 6 2" xfId="38375" xr:uid="{00000000-0005-0000-0000-0000E47C0000}"/>
    <cellStyle name="Normal 28 7" xfId="8292" xr:uid="{00000000-0005-0000-0000-0000E57C0000}"/>
    <cellStyle name="Normal 28 7 2" xfId="30935" xr:uid="{00000000-0005-0000-0000-0000E67C0000}"/>
    <cellStyle name="Normal 28 8" xfId="23494" xr:uid="{00000000-0005-0000-0000-0000E77C0000}"/>
    <cellStyle name="Normal 29" xfId="837" xr:uid="{00000000-0005-0000-0000-0000E87C0000}"/>
    <cellStyle name="Normal 29 2" xfId="1302" xr:uid="{00000000-0005-0000-0000-0000E97C0000}"/>
    <cellStyle name="Normal 29 2 2" xfId="2230" xr:uid="{00000000-0005-0000-0000-0000EA7C0000}"/>
    <cellStyle name="Normal 29 2 2 2" xfId="4080" xr:uid="{00000000-0005-0000-0000-0000EB7C0000}"/>
    <cellStyle name="Normal 29 2 2 2 2" xfId="7801" xr:uid="{00000000-0005-0000-0000-0000EC7C0000}"/>
    <cellStyle name="Normal 29 2 2 2 2 2" xfId="22685" xr:uid="{00000000-0005-0000-0000-0000ED7C0000}"/>
    <cellStyle name="Normal 29 2 2 2 2 2 2" xfId="45328" xr:uid="{00000000-0005-0000-0000-0000EE7C0000}"/>
    <cellStyle name="Normal 29 2 2 2 2 3" xfId="15245" xr:uid="{00000000-0005-0000-0000-0000EF7C0000}"/>
    <cellStyle name="Normal 29 2 2 2 2 3 2" xfId="37888" xr:uid="{00000000-0005-0000-0000-0000F07C0000}"/>
    <cellStyle name="Normal 29 2 2 2 2 4" xfId="30447" xr:uid="{00000000-0005-0000-0000-0000F17C0000}"/>
    <cellStyle name="Normal 29 2 2 2 3" xfId="18967" xr:uid="{00000000-0005-0000-0000-0000F27C0000}"/>
    <cellStyle name="Normal 29 2 2 2 3 2" xfId="41610" xr:uid="{00000000-0005-0000-0000-0000F37C0000}"/>
    <cellStyle name="Normal 29 2 2 2 4" xfId="11527" xr:uid="{00000000-0005-0000-0000-0000F47C0000}"/>
    <cellStyle name="Normal 29 2 2 2 4 2" xfId="34170" xr:uid="{00000000-0005-0000-0000-0000F57C0000}"/>
    <cellStyle name="Normal 29 2 2 2 5" xfId="26729" xr:uid="{00000000-0005-0000-0000-0000F67C0000}"/>
    <cellStyle name="Normal 29 2 2 3" xfId="5954" xr:uid="{00000000-0005-0000-0000-0000F77C0000}"/>
    <cellStyle name="Normal 29 2 2 3 2" xfId="20838" xr:uid="{00000000-0005-0000-0000-0000F87C0000}"/>
    <cellStyle name="Normal 29 2 2 3 2 2" xfId="43481" xr:uid="{00000000-0005-0000-0000-0000F97C0000}"/>
    <cellStyle name="Normal 29 2 2 3 3" xfId="13398" xr:uid="{00000000-0005-0000-0000-0000FA7C0000}"/>
    <cellStyle name="Normal 29 2 2 3 3 2" xfId="36041" xr:uid="{00000000-0005-0000-0000-0000FB7C0000}"/>
    <cellStyle name="Normal 29 2 2 3 4" xfId="28600" xr:uid="{00000000-0005-0000-0000-0000FC7C0000}"/>
    <cellStyle name="Normal 29 2 2 4" xfId="17120" xr:uid="{00000000-0005-0000-0000-0000FD7C0000}"/>
    <cellStyle name="Normal 29 2 2 4 2" xfId="39763" xr:uid="{00000000-0005-0000-0000-0000FE7C0000}"/>
    <cellStyle name="Normal 29 2 2 5" xfId="9680" xr:uid="{00000000-0005-0000-0000-0000FF7C0000}"/>
    <cellStyle name="Normal 29 2 2 5 2" xfId="32323" xr:uid="{00000000-0005-0000-0000-0000007D0000}"/>
    <cellStyle name="Normal 29 2 2 6" xfId="24882" xr:uid="{00000000-0005-0000-0000-0000017D0000}"/>
    <cellStyle name="Normal 29 2 3" xfId="3155" xr:uid="{00000000-0005-0000-0000-0000027D0000}"/>
    <cellStyle name="Normal 29 2 3 2" xfId="6876" xr:uid="{00000000-0005-0000-0000-0000037D0000}"/>
    <cellStyle name="Normal 29 2 3 2 2" xfId="21760" xr:uid="{00000000-0005-0000-0000-0000047D0000}"/>
    <cellStyle name="Normal 29 2 3 2 2 2" xfId="44403" xr:uid="{00000000-0005-0000-0000-0000057D0000}"/>
    <cellStyle name="Normal 29 2 3 2 3" xfId="14320" xr:uid="{00000000-0005-0000-0000-0000067D0000}"/>
    <cellStyle name="Normal 29 2 3 2 3 2" xfId="36963" xr:uid="{00000000-0005-0000-0000-0000077D0000}"/>
    <cellStyle name="Normal 29 2 3 2 4" xfId="29522" xr:uid="{00000000-0005-0000-0000-0000087D0000}"/>
    <cellStyle name="Normal 29 2 3 3" xfId="18042" xr:uid="{00000000-0005-0000-0000-0000097D0000}"/>
    <cellStyle name="Normal 29 2 3 3 2" xfId="40685" xr:uid="{00000000-0005-0000-0000-00000A7D0000}"/>
    <cellStyle name="Normal 29 2 3 4" xfId="10602" xr:uid="{00000000-0005-0000-0000-00000B7D0000}"/>
    <cellStyle name="Normal 29 2 3 4 2" xfId="33245" xr:uid="{00000000-0005-0000-0000-00000C7D0000}"/>
    <cellStyle name="Normal 29 2 3 5" xfId="25804" xr:uid="{00000000-0005-0000-0000-00000D7D0000}"/>
    <cellStyle name="Normal 29 2 4" xfId="5029" xr:uid="{00000000-0005-0000-0000-00000E7D0000}"/>
    <cellStyle name="Normal 29 2 4 2" xfId="19913" xr:uid="{00000000-0005-0000-0000-00000F7D0000}"/>
    <cellStyle name="Normal 29 2 4 2 2" xfId="42556" xr:uid="{00000000-0005-0000-0000-0000107D0000}"/>
    <cellStyle name="Normal 29 2 4 3" xfId="12473" xr:uid="{00000000-0005-0000-0000-0000117D0000}"/>
    <cellStyle name="Normal 29 2 4 3 2" xfId="35116" xr:uid="{00000000-0005-0000-0000-0000127D0000}"/>
    <cellStyle name="Normal 29 2 4 4" xfId="27675" xr:uid="{00000000-0005-0000-0000-0000137D0000}"/>
    <cellStyle name="Normal 29 2 5" xfId="16195" xr:uid="{00000000-0005-0000-0000-0000147D0000}"/>
    <cellStyle name="Normal 29 2 5 2" xfId="38838" xr:uid="{00000000-0005-0000-0000-0000157D0000}"/>
    <cellStyle name="Normal 29 2 6" xfId="8755" xr:uid="{00000000-0005-0000-0000-0000167D0000}"/>
    <cellStyle name="Normal 29 2 6 2" xfId="31398" xr:uid="{00000000-0005-0000-0000-0000177D0000}"/>
    <cellStyle name="Normal 29 2 7" xfId="23957" xr:uid="{00000000-0005-0000-0000-0000187D0000}"/>
    <cellStyle name="Normal 29 3" xfId="1768" xr:uid="{00000000-0005-0000-0000-0000197D0000}"/>
    <cellStyle name="Normal 29 3 2" xfId="3618" xr:uid="{00000000-0005-0000-0000-00001A7D0000}"/>
    <cellStyle name="Normal 29 3 2 2" xfId="7339" xr:uid="{00000000-0005-0000-0000-00001B7D0000}"/>
    <cellStyle name="Normal 29 3 2 2 2" xfId="22223" xr:uid="{00000000-0005-0000-0000-00001C7D0000}"/>
    <cellStyle name="Normal 29 3 2 2 2 2" xfId="44866" xr:uid="{00000000-0005-0000-0000-00001D7D0000}"/>
    <cellStyle name="Normal 29 3 2 2 3" xfId="14783" xr:uid="{00000000-0005-0000-0000-00001E7D0000}"/>
    <cellStyle name="Normal 29 3 2 2 3 2" xfId="37426" xr:uid="{00000000-0005-0000-0000-00001F7D0000}"/>
    <cellStyle name="Normal 29 3 2 2 4" xfId="29985" xr:uid="{00000000-0005-0000-0000-0000207D0000}"/>
    <cellStyle name="Normal 29 3 2 3" xfId="18505" xr:uid="{00000000-0005-0000-0000-0000217D0000}"/>
    <cellStyle name="Normal 29 3 2 3 2" xfId="41148" xr:uid="{00000000-0005-0000-0000-0000227D0000}"/>
    <cellStyle name="Normal 29 3 2 4" xfId="11065" xr:uid="{00000000-0005-0000-0000-0000237D0000}"/>
    <cellStyle name="Normal 29 3 2 4 2" xfId="33708" xr:uid="{00000000-0005-0000-0000-0000247D0000}"/>
    <cellStyle name="Normal 29 3 2 5" xfId="26267" xr:uid="{00000000-0005-0000-0000-0000257D0000}"/>
    <cellStyle name="Normal 29 3 3" xfId="5492" xr:uid="{00000000-0005-0000-0000-0000267D0000}"/>
    <cellStyle name="Normal 29 3 3 2" xfId="20376" xr:uid="{00000000-0005-0000-0000-0000277D0000}"/>
    <cellStyle name="Normal 29 3 3 2 2" xfId="43019" xr:uid="{00000000-0005-0000-0000-0000287D0000}"/>
    <cellStyle name="Normal 29 3 3 3" xfId="12936" xr:uid="{00000000-0005-0000-0000-0000297D0000}"/>
    <cellStyle name="Normal 29 3 3 3 2" xfId="35579" xr:uid="{00000000-0005-0000-0000-00002A7D0000}"/>
    <cellStyle name="Normal 29 3 3 4" xfId="28138" xr:uid="{00000000-0005-0000-0000-00002B7D0000}"/>
    <cellStyle name="Normal 29 3 4" xfId="16658" xr:uid="{00000000-0005-0000-0000-00002C7D0000}"/>
    <cellStyle name="Normal 29 3 4 2" xfId="39301" xr:uid="{00000000-0005-0000-0000-00002D7D0000}"/>
    <cellStyle name="Normal 29 3 5" xfId="9218" xr:uid="{00000000-0005-0000-0000-00002E7D0000}"/>
    <cellStyle name="Normal 29 3 5 2" xfId="31861" xr:uid="{00000000-0005-0000-0000-00002F7D0000}"/>
    <cellStyle name="Normal 29 3 6" xfId="24420" xr:uid="{00000000-0005-0000-0000-0000307D0000}"/>
    <cellStyle name="Normal 29 4" xfId="2693" xr:uid="{00000000-0005-0000-0000-0000317D0000}"/>
    <cellStyle name="Normal 29 4 2" xfId="6414" xr:uid="{00000000-0005-0000-0000-0000327D0000}"/>
    <cellStyle name="Normal 29 4 2 2" xfId="21298" xr:uid="{00000000-0005-0000-0000-0000337D0000}"/>
    <cellStyle name="Normal 29 4 2 2 2" xfId="43941" xr:uid="{00000000-0005-0000-0000-0000347D0000}"/>
    <cellStyle name="Normal 29 4 2 3" xfId="13858" xr:uid="{00000000-0005-0000-0000-0000357D0000}"/>
    <cellStyle name="Normal 29 4 2 3 2" xfId="36501" xr:uid="{00000000-0005-0000-0000-0000367D0000}"/>
    <cellStyle name="Normal 29 4 2 4" xfId="29060" xr:uid="{00000000-0005-0000-0000-0000377D0000}"/>
    <cellStyle name="Normal 29 4 3" xfId="17580" xr:uid="{00000000-0005-0000-0000-0000387D0000}"/>
    <cellStyle name="Normal 29 4 3 2" xfId="40223" xr:uid="{00000000-0005-0000-0000-0000397D0000}"/>
    <cellStyle name="Normal 29 4 4" xfId="10140" xr:uid="{00000000-0005-0000-0000-00003A7D0000}"/>
    <cellStyle name="Normal 29 4 4 2" xfId="32783" xr:uid="{00000000-0005-0000-0000-00003B7D0000}"/>
    <cellStyle name="Normal 29 4 5" xfId="25342" xr:uid="{00000000-0005-0000-0000-00003C7D0000}"/>
    <cellStyle name="Normal 29 5" xfId="4567" xr:uid="{00000000-0005-0000-0000-00003D7D0000}"/>
    <cellStyle name="Normal 29 5 2" xfId="19451" xr:uid="{00000000-0005-0000-0000-00003E7D0000}"/>
    <cellStyle name="Normal 29 5 2 2" xfId="42094" xr:uid="{00000000-0005-0000-0000-00003F7D0000}"/>
    <cellStyle name="Normal 29 5 3" xfId="12011" xr:uid="{00000000-0005-0000-0000-0000407D0000}"/>
    <cellStyle name="Normal 29 5 3 2" xfId="34654" xr:uid="{00000000-0005-0000-0000-0000417D0000}"/>
    <cellStyle name="Normal 29 5 4" xfId="27213" xr:uid="{00000000-0005-0000-0000-0000427D0000}"/>
    <cellStyle name="Normal 29 6" xfId="15733" xr:uid="{00000000-0005-0000-0000-0000437D0000}"/>
    <cellStyle name="Normal 29 6 2" xfId="38376" xr:uid="{00000000-0005-0000-0000-0000447D0000}"/>
    <cellStyle name="Normal 29 7" xfId="8293" xr:uid="{00000000-0005-0000-0000-0000457D0000}"/>
    <cellStyle name="Normal 29 7 2" xfId="30936" xr:uid="{00000000-0005-0000-0000-0000467D0000}"/>
    <cellStyle name="Normal 29 8" xfId="23495" xr:uid="{00000000-0005-0000-0000-0000477D0000}"/>
    <cellStyle name="Normal 3" xfId="60" xr:uid="{00000000-0005-0000-0000-0000487D0000}"/>
    <cellStyle name="Normal 3 2" xfId="61" xr:uid="{00000000-0005-0000-0000-0000497D0000}"/>
    <cellStyle name="Normal 3 2 2" xfId="114" xr:uid="{00000000-0005-0000-0000-00004A7D0000}"/>
    <cellStyle name="Normal 3 2 2 2" xfId="196" xr:uid="{00000000-0005-0000-0000-00004B7D0000}"/>
    <cellStyle name="Normal 3 2 2 2 2" xfId="357" xr:uid="{00000000-0005-0000-0000-00004C7D0000}"/>
    <cellStyle name="Normal 3 2 2 2 2 2" xfId="23055" xr:uid="{00000000-0005-0000-0000-00004D7D0000}"/>
    <cellStyle name="Normal 3 2 2 2 3" xfId="22899" xr:uid="{00000000-0005-0000-0000-00004E7D0000}"/>
    <cellStyle name="Normal 3 2 2 3" xfId="279" xr:uid="{00000000-0005-0000-0000-00004F7D0000}"/>
    <cellStyle name="Normal 3 2 2 3 2" xfId="22977" xr:uid="{00000000-0005-0000-0000-0000507D0000}"/>
    <cellStyle name="Normal 3 2 2 4" xfId="22821" xr:uid="{00000000-0005-0000-0000-0000517D0000}"/>
    <cellStyle name="Normal 3 2 3" xfId="156" xr:uid="{00000000-0005-0000-0000-0000527D0000}"/>
    <cellStyle name="Normal 3 2 3 2" xfId="318" xr:uid="{00000000-0005-0000-0000-0000537D0000}"/>
    <cellStyle name="Normal 3 2 3 2 2" xfId="23016" xr:uid="{00000000-0005-0000-0000-0000547D0000}"/>
    <cellStyle name="Normal 3 2 3 3" xfId="22860" xr:uid="{00000000-0005-0000-0000-0000557D0000}"/>
    <cellStyle name="Normal 3 2 4" xfId="239" xr:uid="{00000000-0005-0000-0000-0000567D0000}"/>
    <cellStyle name="Normal 3 2 4 2" xfId="22938" xr:uid="{00000000-0005-0000-0000-0000577D0000}"/>
    <cellStyle name="Normal 3 2 5" xfId="389" xr:uid="{00000000-0005-0000-0000-0000587D0000}"/>
    <cellStyle name="Normal 3 2 6" xfId="22781" xr:uid="{00000000-0005-0000-0000-0000597D0000}"/>
    <cellStyle name="Normal 3 3" xfId="113" xr:uid="{00000000-0005-0000-0000-00005A7D0000}"/>
    <cellStyle name="Normal 3 3 2" xfId="195" xr:uid="{00000000-0005-0000-0000-00005B7D0000}"/>
    <cellStyle name="Normal 3 3 2 2" xfId="356" xr:uid="{00000000-0005-0000-0000-00005C7D0000}"/>
    <cellStyle name="Normal 3 3 2 2 2" xfId="23054" xr:uid="{00000000-0005-0000-0000-00005D7D0000}"/>
    <cellStyle name="Normal 3 3 2 3" xfId="22898" xr:uid="{00000000-0005-0000-0000-00005E7D0000}"/>
    <cellStyle name="Normal 3 3 3" xfId="278" xr:uid="{00000000-0005-0000-0000-00005F7D0000}"/>
    <cellStyle name="Normal 3 3 3 2" xfId="22976" xr:uid="{00000000-0005-0000-0000-0000607D0000}"/>
    <cellStyle name="Normal 3 3 4" xfId="393" xr:uid="{00000000-0005-0000-0000-0000617D0000}"/>
    <cellStyle name="Normal 3 3 5" xfId="22820" xr:uid="{00000000-0005-0000-0000-0000627D0000}"/>
    <cellStyle name="Normal 3 4" xfId="155" xr:uid="{00000000-0005-0000-0000-0000637D0000}"/>
    <cellStyle name="Normal 3 4 2" xfId="317" xr:uid="{00000000-0005-0000-0000-0000647D0000}"/>
    <cellStyle name="Normal 3 4 2 2" xfId="23015" xr:uid="{00000000-0005-0000-0000-0000657D0000}"/>
    <cellStyle name="Normal 3 4 3" xfId="387" xr:uid="{00000000-0005-0000-0000-0000667D0000}"/>
    <cellStyle name="Normal 3 4 4" xfId="22859" xr:uid="{00000000-0005-0000-0000-0000677D0000}"/>
    <cellStyle name="Normal 3 5" xfId="238" xr:uid="{00000000-0005-0000-0000-0000687D0000}"/>
    <cellStyle name="Normal 3 5 2" xfId="22937" xr:uid="{00000000-0005-0000-0000-0000697D0000}"/>
    <cellStyle name="Normal 3 6" xfId="401" xr:uid="{00000000-0005-0000-0000-00006A7D0000}"/>
    <cellStyle name="Normal 3 7" xfId="22780" xr:uid="{00000000-0005-0000-0000-00006B7D0000}"/>
    <cellStyle name="Normal 30" xfId="838" xr:uid="{00000000-0005-0000-0000-00006C7D0000}"/>
    <cellStyle name="Normal 30 2" xfId="1303" xr:uid="{00000000-0005-0000-0000-00006D7D0000}"/>
    <cellStyle name="Normal 30 2 2" xfId="2231" xr:uid="{00000000-0005-0000-0000-00006E7D0000}"/>
    <cellStyle name="Normal 30 2 2 2" xfId="4081" xr:uid="{00000000-0005-0000-0000-00006F7D0000}"/>
    <cellStyle name="Normal 30 2 2 2 2" xfId="7802" xr:uid="{00000000-0005-0000-0000-0000707D0000}"/>
    <cellStyle name="Normal 30 2 2 2 2 2" xfId="22686" xr:uid="{00000000-0005-0000-0000-0000717D0000}"/>
    <cellStyle name="Normal 30 2 2 2 2 2 2" xfId="45329" xr:uid="{00000000-0005-0000-0000-0000727D0000}"/>
    <cellStyle name="Normal 30 2 2 2 2 3" xfId="15246" xr:uid="{00000000-0005-0000-0000-0000737D0000}"/>
    <cellStyle name="Normal 30 2 2 2 2 3 2" xfId="37889" xr:uid="{00000000-0005-0000-0000-0000747D0000}"/>
    <cellStyle name="Normal 30 2 2 2 2 4" xfId="30448" xr:uid="{00000000-0005-0000-0000-0000757D0000}"/>
    <cellStyle name="Normal 30 2 2 2 3" xfId="18968" xr:uid="{00000000-0005-0000-0000-0000767D0000}"/>
    <cellStyle name="Normal 30 2 2 2 3 2" xfId="41611" xr:uid="{00000000-0005-0000-0000-0000777D0000}"/>
    <cellStyle name="Normal 30 2 2 2 4" xfId="11528" xr:uid="{00000000-0005-0000-0000-0000787D0000}"/>
    <cellStyle name="Normal 30 2 2 2 4 2" xfId="34171" xr:uid="{00000000-0005-0000-0000-0000797D0000}"/>
    <cellStyle name="Normal 30 2 2 2 5" xfId="26730" xr:uid="{00000000-0005-0000-0000-00007A7D0000}"/>
    <cellStyle name="Normal 30 2 2 3" xfId="5955" xr:uid="{00000000-0005-0000-0000-00007B7D0000}"/>
    <cellStyle name="Normal 30 2 2 3 2" xfId="20839" xr:uid="{00000000-0005-0000-0000-00007C7D0000}"/>
    <cellStyle name="Normal 30 2 2 3 2 2" xfId="43482" xr:uid="{00000000-0005-0000-0000-00007D7D0000}"/>
    <cellStyle name="Normal 30 2 2 3 3" xfId="13399" xr:uid="{00000000-0005-0000-0000-00007E7D0000}"/>
    <cellStyle name="Normal 30 2 2 3 3 2" xfId="36042" xr:uid="{00000000-0005-0000-0000-00007F7D0000}"/>
    <cellStyle name="Normal 30 2 2 3 4" xfId="28601" xr:uid="{00000000-0005-0000-0000-0000807D0000}"/>
    <cellStyle name="Normal 30 2 2 4" xfId="17121" xr:uid="{00000000-0005-0000-0000-0000817D0000}"/>
    <cellStyle name="Normal 30 2 2 4 2" xfId="39764" xr:uid="{00000000-0005-0000-0000-0000827D0000}"/>
    <cellStyle name="Normal 30 2 2 5" xfId="9681" xr:uid="{00000000-0005-0000-0000-0000837D0000}"/>
    <cellStyle name="Normal 30 2 2 5 2" xfId="32324" xr:uid="{00000000-0005-0000-0000-0000847D0000}"/>
    <cellStyle name="Normal 30 2 2 6" xfId="24883" xr:uid="{00000000-0005-0000-0000-0000857D0000}"/>
    <cellStyle name="Normal 30 2 3" xfId="3156" xr:uid="{00000000-0005-0000-0000-0000867D0000}"/>
    <cellStyle name="Normal 30 2 3 2" xfId="6877" xr:uid="{00000000-0005-0000-0000-0000877D0000}"/>
    <cellStyle name="Normal 30 2 3 2 2" xfId="21761" xr:uid="{00000000-0005-0000-0000-0000887D0000}"/>
    <cellStyle name="Normal 30 2 3 2 2 2" xfId="44404" xr:uid="{00000000-0005-0000-0000-0000897D0000}"/>
    <cellStyle name="Normal 30 2 3 2 3" xfId="14321" xr:uid="{00000000-0005-0000-0000-00008A7D0000}"/>
    <cellStyle name="Normal 30 2 3 2 3 2" xfId="36964" xr:uid="{00000000-0005-0000-0000-00008B7D0000}"/>
    <cellStyle name="Normal 30 2 3 2 4" xfId="29523" xr:uid="{00000000-0005-0000-0000-00008C7D0000}"/>
    <cellStyle name="Normal 30 2 3 3" xfId="18043" xr:uid="{00000000-0005-0000-0000-00008D7D0000}"/>
    <cellStyle name="Normal 30 2 3 3 2" xfId="40686" xr:uid="{00000000-0005-0000-0000-00008E7D0000}"/>
    <cellStyle name="Normal 30 2 3 4" xfId="10603" xr:uid="{00000000-0005-0000-0000-00008F7D0000}"/>
    <cellStyle name="Normal 30 2 3 4 2" xfId="33246" xr:uid="{00000000-0005-0000-0000-0000907D0000}"/>
    <cellStyle name="Normal 30 2 3 5" xfId="25805" xr:uid="{00000000-0005-0000-0000-0000917D0000}"/>
    <cellStyle name="Normal 30 2 4" xfId="5030" xr:uid="{00000000-0005-0000-0000-0000927D0000}"/>
    <cellStyle name="Normal 30 2 4 2" xfId="19914" xr:uid="{00000000-0005-0000-0000-0000937D0000}"/>
    <cellStyle name="Normal 30 2 4 2 2" xfId="42557" xr:uid="{00000000-0005-0000-0000-0000947D0000}"/>
    <cellStyle name="Normal 30 2 4 3" xfId="12474" xr:uid="{00000000-0005-0000-0000-0000957D0000}"/>
    <cellStyle name="Normal 30 2 4 3 2" xfId="35117" xr:uid="{00000000-0005-0000-0000-0000967D0000}"/>
    <cellStyle name="Normal 30 2 4 4" xfId="27676" xr:uid="{00000000-0005-0000-0000-0000977D0000}"/>
    <cellStyle name="Normal 30 2 5" xfId="16196" xr:uid="{00000000-0005-0000-0000-0000987D0000}"/>
    <cellStyle name="Normal 30 2 5 2" xfId="38839" xr:uid="{00000000-0005-0000-0000-0000997D0000}"/>
    <cellStyle name="Normal 30 2 6" xfId="8756" xr:uid="{00000000-0005-0000-0000-00009A7D0000}"/>
    <cellStyle name="Normal 30 2 6 2" xfId="31399" xr:uid="{00000000-0005-0000-0000-00009B7D0000}"/>
    <cellStyle name="Normal 30 2 7" xfId="23958" xr:uid="{00000000-0005-0000-0000-00009C7D0000}"/>
    <cellStyle name="Normal 30 3" xfId="1769" xr:uid="{00000000-0005-0000-0000-00009D7D0000}"/>
    <cellStyle name="Normal 30 3 2" xfId="3619" xr:uid="{00000000-0005-0000-0000-00009E7D0000}"/>
    <cellStyle name="Normal 30 3 2 2" xfId="7340" xr:uid="{00000000-0005-0000-0000-00009F7D0000}"/>
    <cellStyle name="Normal 30 3 2 2 2" xfId="22224" xr:uid="{00000000-0005-0000-0000-0000A07D0000}"/>
    <cellStyle name="Normal 30 3 2 2 2 2" xfId="44867" xr:uid="{00000000-0005-0000-0000-0000A17D0000}"/>
    <cellStyle name="Normal 30 3 2 2 3" xfId="14784" xr:uid="{00000000-0005-0000-0000-0000A27D0000}"/>
    <cellStyle name="Normal 30 3 2 2 3 2" xfId="37427" xr:uid="{00000000-0005-0000-0000-0000A37D0000}"/>
    <cellStyle name="Normal 30 3 2 2 4" xfId="29986" xr:uid="{00000000-0005-0000-0000-0000A47D0000}"/>
    <cellStyle name="Normal 30 3 2 3" xfId="18506" xr:uid="{00000000-0005-0000-0000-0000A57D0000}"/>
    <cellStyle name="Normal 30 3 2 3 2" xfId="41149" xr:uid="{00000000-0005-0000-0000-0000A67D0000}"/>
    <cellStyle name="Normal 30 3 2 4" xfId="11066" xr:uid="{00000000-0005-0000-0000-0000A77D0000}"/>
    <cellStyle name="Normal 30 3 2 4 2" xfId="33709" xr:uid="{00000000-0005-0000-0000-0000A87D0000}"/>
    <cellStyle name="Normal 30 3 2 5" xfId="26268" xr:uid="{00000000-0005-0000-0000-0000A97D0000}"/>
    <cellStyle name="Normal 30 3 3" xfId="5493" xr:uid="{00000000-0005-0000-0000-0000AA7D0000}"/>
    <cellStyle name="Normal 30 3 3 2" xfId="20377" xr:uid="{00000000-0005-0000-0000-0000AB7D0000}"/>
    <cellStyle name="Normal 30 3 3 2 2" xfId="43020" xr:uid="{00000000-0005-0000-0000-0000AC7D0000}"/>
    <cellStyle name="Normal 30 3 3 3" xfId="12937" xr:uid="{00000000-0005-0000-0000-0000AD7D0000}"/>
    <cellStyle name="Normal 30 3 3 3 2" xfId="35580" xr:uid="{00000000-0005-0000-0000-0000AE7D0000}"/>
    <cellStyle name="Normal 30 3 3 4" xfId="28139" xr:uid="{00000000-0005-0000-0000-0000AF7D0000}"/>
    <cellStyle name="Normal 30 3 4" xfId="16659" xr:uid="{00000000-0005-0000-0000-0000B07D0000}"/>
    <cellStyle name="Normal 30 3 4 2" xfId="39302" xr:uid="{00000000-0005-0000-0000-0000B17D0000}"/>
    <cellStyle name="Normal 30 3 5" xfId="9219" xr:uid="{00000000-0005-0000-0000-0000B27D0000}"/>
    <cellStyle name="Normal 30 3 5 2" xfId="31862" xr:uid="{00000000-0005-0000-0000-0000B37D0000}"/>
    <cellStyle name="Normal 30 3 6" xfId="24421" xr:uid="{00000000-0005-0000-0000-0000B47D0000}"/>
    <cellStyle name="Normal 30 4" xfId="2694" xr:uid="{00000000-0005-0000-0000-0000B57D0000}"/>
    <cellStyle name="Normal 30 4 2" xfId="6415" xr:uid="{00000000-0005-0000-0000-0000B67D0000}"/>
    <cellStyle name="Normal 30 4 2 2" xfId="21299" xr:uid="{00000000-0005-0000-0000-0000B77D0000}"/>
    <cellStyle name="Normal 30 4 2 2 2" xfId="43942" xr:uid="{00000000-0005-0000-0000-0000B87D0000}"/>
    <cellStyle name="Normal 30 4 2 3" xfId="13859" xr:uid="{00000000-0005-0000-0000-0000B97D0000}"/>
    <cellStyle name="Normal 30 4 2 3 2" xfId="36502" xr:uid="{00000000-0005-0000-0000-0000BA7D0000}"/>
    <cellStyle name="Normal 30 4 2 4" xfId="29061" xr:uid="{00000000-0005-0000-0000-0000BB7D0000}"/>
    <cellStyle name="Normal 30 4 3" xfId="17581" xr:uid="{00000000-0005-0000-0000-0000BC7D0000}"/>
    <cellStyle name="Normal 30 4 3 2" xfId="40224" xr:uid="{00000000-0005-0000-0000-0000BD7D0000}"/>
    <cellStyle name="Normal 30 4 4" xfId="10141" xr:uid="{00000000-0005-0000-0000-0000BE7D0000}"/>
    <cellStyle name="Normal 30 4 4 2" xfId="32784" xr:uid="{00000000-0005-0000-0000-0000BF7D0000}"/>
    <cellStyle name="Normal 30 4 5" xfId="25343" xr:uid="{00000000-0005-0000-0000-0000C07D0000}"/>
    <cellStyle name="Normal 30 5" xfId="4568" xr:uid="{00000000-0005-0000-0000-0000C17D0000}"/>
    <cellStyle name="Normal 30 5 2" xfId="19452" xr:uid="{00000000-0005-0000-0000-0000C27D0000}"/>
    <cellStyle name="Normal 30 5 2 2" xfId="42095" xr:uid="{00000000-0005-0000-0000-0000C37D0000}"/>
    <cellStyle name="Normal 30 5 3" xfId="12012" xr:uid="{00000000-0005-0000-0000-0000C47D0000}"/>
    <cellStyle name="Normal 30 5 3 2" xfId="34655" xr:uid="{00000000-0005-0000-0000-0000C57D0000}"/>
    <cellStyle name="Normal 30 5 4" xfId="27214" xr:uid="{00000000-0005-0000-0000-0000C67D0000}"/>
    <cellStyle name="Normal 30 6" xfId="15734" xr:uid="{00000000-0005-0000-0000-0000C77D0000}"/>
    <cellStyle name="Normal 30 6 2" xfId="38377" xr:uid="{00000000-0005-0000-0000-0000C87D0000}"/>
    <cellStyle name="Normal 30 7" xfId="8294" xr:uid="{00000000-0005-0000-0000-0000C97D0000}"/>
    <cellStyle name="Normal 30 7 2" xfId="30937" xr:uid="{00000000-0005-0000-0000-0000CA7D0000}"/>
    <cellStyle name="Normal 30 8" xfId="23496" xr:uid="{00000000-0005-0000-0000-0000CB7D0000}"/>
    <cellStyle name="Normal 31" xfId="839" xr:uid="{00000000-0005-0000-0000-0000CC7D0000}"/>
    <cellStyle name="Normal 31 2" xfId="1304" xr:uid="{00000000-0005-0000-0000-0000CD7D0000}"/>
    <cellStyle name="Normal 31 2 2" xfId="2232" xr:uid="{00000000-0005-0000-0000-0000CE7D0000}"/>
    <cellStyle name="Normal 31 2 2 2" xfId="4082" xr:uid="{00000000-0005-0000-0000-0000CF7D0000}"/>
    <cellStyle name="Normal 31 2 2 2 2" xfId="7803" xr:uid="{00000000-0005-0000-0000-0000D07D0000}"/>
    <cellStyle name="Normal 31 2 2 2 2 2" xfId="22687" xr:uid="{00000000-0005-0000-0000-0000D17D0000}"/>
    <cellStyle name="Normal 31 2 2 2 2 2 2" xfId="45330" xr:uid="{00000000-0005-0000-0000-0000D27D0000}"/>
    <cellStyle name="Normal 31 2 2 2 2 3" xfId="15247" xr:uid="{00000000-0005-0000-0000-0000D37D0000}"/>
    <cellStyle name="Normal 31 2 2 2 2 3 2" xfId="37890" xr:uid="{00000000-0005-0000-0000-0000D47D0000}"/>
    <cellStyle name="Normal 31 2 2 2 2 4" xfId="30449" xr:uid="{00000000-0005-0000-0000-0000D57D0000}"/>
    <cellStyle name="Normal 31 2 2 2 3" xfId="18969" xr:uid="{00000000-0005-0000-0000-0000D67D0000}"/>
    <cellStyle name="Normal 31 2 2 2 3 2" xfId="41612" xr:uid="{00000000-0005-0000-0000-0000D77D0000}"/>
    <cellStyle name="Normal 31 2 2 2 4" xfId="11529" xr:uid="{00000000-0005-0000-0000-0000D87D0000}"/>
    <cellStyle name="Normal 31 2 2 2 4 2" xfId="34172" xr:uid="{00000000-0005-0000-0000-0000D97D0000}"/>
    <cellStyle name="Normal 31 2 2 2 5" xfId="26731" xr:uid="{00000000-0005-0000-0000-0000DA7D0000}"/>
    <cellStyle name="Normal 31 2 2 3" xfId="5956" xr:uid="{00000000-0005-0000-0000-0000DB7D0000}"/>
    <cellStyle name="Normal 31 2 2 3 2" xfId="20840" xr:uid="{00000000-0005-0000-0000-0000DC7D0000}"/>
    <cellStyle name="Normal 31 2 2 3 2 2" xfId="43483" xr:uid="{00000000-0005-0000-0000-0000DD7D0000}"/>
    <cellStyle name="Normal 31 2 2 3 3" xfId="13400" xr:uid="{00000000-0005-0000-0000-0000DE7D0000}"/>
    <cellStyle name="Normal 31 2 2 3 3 2" xfId="36043" xr:uid="{00000000-0005-0000-0000-0000DF7D0000}"/>
    <cellStyle name="Normal 31 2 2 3 4" xfId="28602" xr:uid="{00000000-0005-0000-0000-0000E07D0000}"/>
    <cellStyle name="Normal 31 2 2 4" xfId="17122" xr:uid="{00000000-0005-0000-0000-0000E17D0000}"/>
    <cellStyle name="Normal 31 2 2 4 2" xfId="39765" xr:uid="{00000000-0005-0000-0000-0000E27D0000}"/>
    <cellStyle name="Normal 31 2 2 5" xfId="9682" xr:uid="{00000000-0005-0000-0000-0000E37D0000}"/>
    <cellStyle name="Normal 31 2 2 5 2" xfId="32325" xr:uid="{00000000-0005-0000-0000-0000E47D0000}"/>
    <cellStyle name="Normal 31 2 2 6" xfId="24884" xr:uid="{00000000-0005-0000-0000-0000E57D0000}"/>
    <cellStyle name="Normal 31 2 3" xfId="3157" xr:uid="{00000000-0005-0000-0000-0000E67D0000}"/>
    <cellStyle name="Normal 31 2 3 2" xfId="6878" xr:uid="{00000000-0005-0000-0000-0000E77D0000}"/>
    <cellStyle name="Normal 31 2 3 2 2" xfId="21762" xr:uid="{00000000-0005-0000-0000-0000E87D0000}"/>
    <cellStyle name="Normal 31 2 3 2 2 2" xfId="44405" xr:uid="{00000000-0005-0000-0000-0000E97D0000}"/>
    <cellStyle name="Normal 31 2 3 2 3" xfId="14322" xr:uid="{00000000-0005-0000-0000-0000EA7D0000}"/>
    <cellStyle name="Normal 31 2 3 2 3 2" xfId="36965" xr:uid="{00000000-0005-0000-0000-0000EB7D0000}"/>
    <cellStyle name="Normal 31 2 3 2 4" xfId="29524" xr:uid="{00000000-0005-0000-0000-0000EC7D0000}"/>
    <cellStyle name="Normal 31 2 3 3" xfId="18044" xr:uid="{00000000-0005-0000-0000-0000ED7D0000}"/>
    <cellStyle name="Normal 31 2 3 3 2" xfId="40687" xr:uid="{00000000-0005-0000-0000-0000EE7D0000}"/>
    <cellStyle name="Normal 31 2 3 4" xfId="10604" xr:uid="{00000000-0005-0000-0000-0000EF7D0000}"/>
    <cellStyle name="Normal 31 2 3 4 2" xfId="33247" xr:uid="{00000000-0005-0000-0000-0000F07D0000}"/>
    <cellStyle name="Normal 31 2 3 5" xfId="25806" xr:uid="{00000000-0005-0000-0000-0000F17D0000}"/>
    <cellStyle name="Normal 31 2 4" xfId="5031" xr:uid="{00000000-0005-0000-0000-0000F27D0000}"/>
    <cellStyle name="Normal 31 2 4 2" xfId="19915" xr:uid="{00000000-0005-0000-0000-0000F37D0000}"/>
    <cellStyle name="Normal 31 2 4 2 2" xfId="42558" xr:uid="{00000000-0005-0000-0000-0000F47D0000}"/>
    <cellStyle name="Normal 31 2 4 3" xfId="12475" xr:uid="{00000000-0005-0000-0000-0000F57D0000}"/>
    <cellStyle name="Normal 31 2 4 3 2" xfId="35118" xr:uid="{00000000-0005-0000-0000-0000F67D0000}"/>
    <cellStyle name="Normal 31 2 4 4" xfId="27677" xr:uid="{00000000-0005-0000-0000-0000F77D0000}"/>
    <cellStyle name="Normal 31 2 5" xfId="16197" xr:uid="{00000000-0005-0000-0000-0000F87D0000}"/>
    <cellStyle name="Normal 31 2 5 2" xfId="38840" xr:uid="{00000000-0005-0000-0000-0000F97D0000}"/>
    <cellStyle name="Normal 31 2 6" xfId="8757" xr:uid="{00000000-0005-0000-0000-0000FA7D0000}"/>
    <cellStyle name="Normal 31 2 6 2" xfId="31400" xr:uid="{00000000-0005-0000-0000-0000FB7D0000}"/>
    <cellStyle name="Normal 31 2 7" xfId="23959" xr:uid="{00000000-0005-0000-0000-0000FC7D0000}"/>
    <cellStyle name="Normal 31 3" xfId="1770" xr:uid="{00000000-0005-0000-0000-0000FD7D0000}"/>
    <cellStyle name="Normal 31 3 2" xfId="3620" xr:uid="{00000000-0005-0000-0000-0000FE7D0000}"/>
    <cellStyle name="Normal 31 3 2 2" xfId="7341" xr:uid="{00000000-0005-0000-0000-0000FF7D0000}"/>
    <cellStyle name="Normal 31 3 2 2 2" xfId="22225" xr:uid="{00000000-0005-0000-0000-0000007E0000}"/>
    <cellStyle name="Normal 31 3 2 2 2 2" xfId="44868" xr:uid="{00000000-0005-0000-0000-0000017E0000}"/>
    <cellStyle name="Normal 31 3 2 2 3" xfId="14785" xr:uid="{00000000-0005-0000-0000-0000027E0000}"/>
    <cellStyle name="Normal 31 3 2 2 3 2" xfId="37428" xr:uid="{00000000-0005-0000-0000-0000037E0000}"/>
    <cellStyle name="Normal 31 3 2 2 4" xfId="29987" xr:uid="{00000000-0005-0000-0000-0000047E0000}"/>
    <cellStyle name="Normal 31 3 2 3" xfId="18507" xr:uid="{00000000-0005-0000-0000-0000057E0000}"/>
    <cellStyle name="Normal 31 3 2 3 2" xfId="41150" xr:uid="{00000000-0005-0000-0000-0000067E0000}"/>
    <cellStyle name="Normal 31 3 2 4" xfId="11067" xr:uid="{00000000-0005-0000-0000-0000077E0000}"/>
    <cellStyle name="Normal 31 3 2 4 2" xfId="33710" xr:uid="{00000000-0005-0000-0000-0000087E0000}"/>
    <cellStyle name="Normal 31 3 2 5" xfId="26269" xr:uid="{00000000-0005-0000-0000-0000097E0000}"/>
    <cellStyle name="Normal 31 3 3" xfId="5494" xr:uid="{00000000-0005-0000-0000-00000A7E0000}"/>
    <cellStyle name="Normal 31 3 3 2" xfId="20378" xr:uid="{00000000-0005-0000-0000-00000B7E0000}"/>
    <cellStyle name="Normal 31 3 3 2 2" xfId="43021" xr:uid="{00000000-0005-0000-0000-00000C7E0000}"/>
    <cellStyle name="Normal 31 3 3 3" xfId="12938" xr:uid="{00000000-0005-0000-0000-00000D7E0000}"/>
    <cellStyle name="Normal 31 3 3 3 2" xfId="35581" xr:uid="{00000000-0005-0000-0000-00000E7E0000}"/>
    <cellStyle name="Normal 31 3 3 4" xfId="28140" xr:uid="{00000000-0005-0000-0000-00000F7E0000}"/>
    <cellStyle name="Normal 31 3 4" xfId="16660" xr:uid="{00000000-0005-0000-0000-0000107E0000}"/>
    <cellStyle name="Normal 31 3 4 2" xfId="39303" xr:uid="{00000000-0005-0000-0000-0000117E0000}"/>
    <cellStyle name="Normal 31 3 5" xfId="9220" xr:uid="{00000000-0005-0000-0000-0000127E0000}"/>
    <cellStyle name="Normal 31 3 5 2" xfId="31863" xr:uid="{00000000-0005-0000-0000-0000137E0000}"/>
    <cellStyle name="Normal 31 3 6" xfId="24422" xr:uid="{00000000-0005-0000-0000-0000147E0000}"/>
    <cellStyle name="Normal 31 4" xfId="2695" xr:uid="{00000000-0005-0000-0000-0000157E0000}"/>
    <cellStyle name="Normal 31 4 2" xfId="6416" xr:uid="{00000000-0005-0000-0000-0000167E0000}"/>
    <cellStyle name="Normal 31 4 2 2" xfId="21300" xr:uid="{00000000-0005-0000-0000-0000177E0000}"/>
    <cellStyle name="Normal 31 4 2 2 2" xfId="43943" xr:uid="{00000000-0005-0000-0000-0000187E0000}"/>
    <cellStyle name="Normal 31 4 2 3" xfId="13860" xr:uid="{00000000-0005-0000-0000-0000197E0000}"/>
    <cellStyle name="Normal 31 4 2 3 2" xfId="36503" xr:uid="{00000000-0005-0000-0000-00001A7E0000}"/>
    <cellStyle name="Normal 31 4 2 4" xfId="29062" xr:uid="{00000000-0005-0000-0000-00001B7E0000}"/>
    <cellStyle name="Normal 31 4 3" xfId="17582" xr:uid="{00000000-0005-0000-0000-00001C7E0000}"/>
    <cellStyle name="Normal 31 4 3 2" xfId="40225" xr:uid="{00000000-0005-0000-0000-00001D7E0000}"/>
    <cellStyle name="Normal 31 4 4" xfId="10142" xr:uid="{00000000-0005-0000-0000-00001E7E0000}"/>
    <cellStyle name="Normal 31 4 4 2" xfId="32785" xr:uid="{00000000-0005-0000-0000-00001F7E0000}"/>
    <cellStyle name="Normal 31 4 5" xfId="25344" xr:uid="{00000000-0005-0000-0000-0000207E0000}"/>
    <cellStyle name="Normal 31 5" xfId="4569" xr:uid="{00000000-0005-0000-0000-0000217E0000}"/>
    <cellStyle name="Normal 31 5 2" xfId="19453" xr:uid="{00000000-0005-0000-0000-0000227E0000}"/>
    <cellStyle name="Normal 31 5 2 2" xfId="42096" xr:uid="{00000000-0005-0000-0000-0000237E0000}"/>
    <cellStyle name="Normal 31 5 3" xfId="12013" xr:uid="{00000000-0005-0000-0000-0000247E0000}"/>
    <cellStyle name="Normal 31 5 3 2" xfId="34656" xr:uid="{00000000-0005-0000-0000-0000257E0000}"/>
    <cellStyle name="Normal 31 5 4" xfId="27215" xr:uid="{00000000-0005-0000-0000-0000267E0000}"/>
    <cellStyle name="Normal 31 6" xfId="15735" xr:uid="{00000000-0005-0000-0000-0000277E0000}"/>
    <cellStyle name="Normal 31 6 2" xfId="38378" xr:uid="{00000000-0005-0000-0000-0000287E0000}"/>
    <cellStyle name="Normal 31 7" xfId="8295" xr:uid="{00000000-0005-0000-0000-0000297E0000}"/>
    <cellStyle name="Normal 31 7 2" xfId="30938" xr:uid="{00000000-0005-0000-0000-00002A7E0000}"/>
    <cellStyle name="Normal 31 8" xfId="23497" xr:uid="{00000000-0005-0000-0000-00002B7E0000}"/>
    <cellStyle name="Normal 32" xfId="840" xr:uid="{00000000-0005-0000-0000-00002C7E0000}"/>
    <cellStyle name="Normal 32 2" xfId="1305" xr:uid="{00000000-0005-0000-0000-00002D7E0000}"/>
    <cellStyle name="Normal 32 2 2" xfId="2233" xr:uid="{00000000-0005-0000-0000-00002E7E0000}"/>
    <cellStyle name="Normal 32 2 2 2" xfId="4083" xr:uid="{00000000-0005-0000-0000-00002F7E0000}"/>
    <cellStyle name="Normal 32 2 2 2 2" xfId="7804" xr:uid="{00000000-0005-0000-0000-0000307E0000}"/>
    <cellStyle name="Normal 32 2 2 2 2 2" xfId="22688" xr:uid="{00000000-0005-0000-0000-0000317E0000}"/>
    <cellStyle name="Normal 32 2 2 2 2 2 2" xfId="45331" xr:uid="{00000000-0005-0000-0000-0000327E0000}"/>
    <cellStyle name="Normal 32 2 2 2 2 3" xfId="15248" xr:uid="{00000000-0005-0000-0000-0000337E0000}"/>
    <cellStyle name="Normal 32 2 2 2 2 3 2" xfId="37891" xr:uid="{00000000-0005-0000-0000-0000347E0000}"/>
    <cellStyle name="Normal 32 2 2 2 2 4" xfId="30450" xr:uid="{00000000-0005-0000-0000-0000357E0000}"/>
    <cellStyle name="Normal 32 2 2 2 3" xfId="18970" xr:uid="{00000000-0005-0000-0000-0000367E0000}"/>
    <cellStyle name="Normal 32 2 2 2 3 2" xfId="41613" xr:uid="{00000000-0005-0000-0000-0000377E0000}"/>
    <cellStyle name="Normal 32 2 2 2 4" xfId="11530" xr:uid="{00000000-0005-0000-0000-0000387E0000}"/>
    <cellStyle name="Normal 32 2 2 2 4 2" xfId="34173" xr:uid="{00000000-0005-0000-0000-0000397E0000}"/>
    <cellStyle name="Normal 32 2 2 2 5" xfId="26732" xr:uid="{00000000-0005-0000-0000-00003A7E0000}"/>
    <cellStyle name="Normal 32 2 2 3" xfId="5957" xr:uid="{00000000-0005-0000-0000-00003B7E0000}"/>
    <cellStyle name="Normal 32 2 2 3 2" xfId="20841" xr:uid="{00000000-0005-0000-0000-00003C7E0000}"/>
    <cellStyle name="Normal 32 2 2 3 2 2" xfId="43484" xr:uid="{00000000-0005-0000-0000-00003D7E0000}"/>
    <cellStyle name="Normal 32 2 2 3 3" xfId="13401" xr:uid="{00000000-0005-0000-0000-00003E7E0000}"/>
    <cellStyle name="Normal 32 2 2 3 3 2" xfId="36044" xr:uid="{00000000-0005-0000-0000-00003F7E0000}"/>
    <cellStyle name="Normal 32 2 2 3 4" xfId="28603" xr:uid="{00000000-0005-0000-0000-0000407E0000}"/>
    <cellStyle name="Normal 32 2 2 4" xfId="17123" xr:uid="{00000000-0005-0000-0000-0000417E0000}"/>
    <cellStyle name="Normal 32 2 2 4 2" xfId="39766" xr:uid="{00000000-0005-0000-0000-0000427E0000}"/>
    <cellStyle name="Normal 32 2 2 5" xfId="9683" xr:uid="{00000000-0005-0000-0000-0000437E0000}"/>
    <cellStyle name="Normal 32 2 2 5 2" xfId="32326" xr:uid="{00000000-0005-0000-0000-0000447E0000}"/>
    <cellStyle name="Normal 32 2 2 6" xfId="24885" xr:uid="{00000000-0005-0000-0000-0000457E0000}"/>
    <cellStyle name="Normal 32 2 3" xfId="3158" xr:uid="{00000000-0005-0000-0000-0000467E0000}"/>
    <cellStyle name="Normal 32 2 3 2" xfId="6879" xr:uid="{00000000-0005-0000-0000-0000477E0000}"/>
    <cellStyle name="Normal 32 2 3 2 2" xfId="21763" xr:uid="{00000000-0005-0000-0000-0000487E0000}"/>
    <cellStyle name="Normal 32 2 3 2 2 2" xfId="44406" xr:uid="{00000000-0005-0000-0000-0000497E0000}"/>
    <cellStyle name="Normal 32 2 3 2 3" xfId="14323" xr:uid="{00000000-0005-0000-0000-00004A7E0000}"/>
    <cellStyle name="Normal 32 2 3 2 3 2" xfId="36966" xr:uid="{00000000-0005-0000-0000-00004B7E0000}"/>
    <cellStyle name="Normal 32 2 3 2 4" xfId="29525" xr:uid="{00000000-0005-0000-0000-00004C7E0000}"/>
    <cellStyle name="Normal 32 2 3 3" xfId="18045" xr:uid="{00000000-0005-0000-0000-00004D7E0000}"/>
    <cellStyle name="Normal 32 2 3 3 2" xfId="40688" xr:uid="{00000000-0005-0000-0000-00004E7E0000}"/>
    <cellStyle name="Normal 32 2 3 4" xfId="10605" xr:uid="{00000000-0005-0000-0000-00004F7E0000}"/>
    <cellStyle name="Normal 32 2 3 4 2" xfId="33248" xr:uid="{00000000-0005-0000-0000-0000507E0000}"/>
    <cellStyle name="Normal 32 2 3 5" xfId="25807" xr:uid="{00000000-0005-0000-0000-0000517E0000}"/>
    <cellStyle name="Normal 32 2 4" xfId="5032" xr:uid="{00000000-0005-0000-0000-0000527E0000}"/>
    <cellStyle name="Normal 32 2 4 2" xfId="19916" xr:uid="{00000000-0005-0000-0000-0000537E0000}"/>
    <cellStyle name="Normal 32 2 4 2 2" xfId="42559" xr:uid="{00000000-0005-0000-0000-0000547E0000}"/>
    <cellStyle name="Normal 32 2 4 3" xfId="12476" xr:uid="{00000000-0005-0000-0000-0000557E0000}"/>
    <cellStyle name="Normal 32 2 4 3 2" xfId="35119" xr:uid="{00000000-0005-0000-0000-0000567E0000}"/>
    <cellStyle name="Normal 32 2 4 4" xfId="27678" xr:uid="{00000000-0005-0000-0000-0000577E0000}"/>
    <cellStyle name="Normal 32 2 5" xfId="16198" xr:uid="{00000000-0005-0000-0000-0000587E0000}"/>
    <cellStyle name="Normal 32 2 5 2" xfId="38841" xr:uid="{00000000-0005-0000-0000-0000597E0000}"/>
    <cellStyle name="Normal 32 2 6" xfId="8758" xr:uid="{00000000-0005-0000-0000-00005A7E0000}"/>
    <cellStyle name="Normal 32 2 6 2" xfId="31401" xr:uid="{00000000-0005-0000-0000-00005B7E0000}"/>
    <cellStyle name="Normal 32 2 7" xfId="23960" xr:uid="{00000000-0005-0000-0000-00005C7E0000}"/>
    <cellStyle name="Normal 32 3" xfId="1771" xr:uid="{00000000-0005-0000-0000-00005D7E0000}"/>
    <cellStyle name="Normal 32 3 2" xfId="3621" xr:uid="{00000000-0005-0000-0000-00005E7E0000}"/>
    <cellStyle name="Normal 32 3 2 2" xfId="7342" xr:uid="{00000000-0005-0000-0000-00005F7E0000}"/>
    <cellStyle name="Normal 32 3 2 2 2" xfId="22226" xr:uid="{00000000-0005-0000-0000-0000607E0000}"/>
    <cellStyle name="Normal 32 3 2 2 2 2" xfId="44869" xr:uid="{00000000-0005-0000-0000-0000617E0000}"/>
    <cellStyle name="Normal 32 3 2 2 3" xfId="14786" xr:uid="{00000000-0005-0000-0000-0000627E0000}"/>
    <cellStyle name="Normal 32 3 2 2 3 2" xfId="37429" xr:uid="{00000000-0005-0000-0000-0000637E0000}"/>
    <cellStyle name="Normal 32 3 2 2 4" xfId="29988" xr:uid="{00000000-0005-0000-0000-0000647E0000}"/>
    <cellStyle name="Normal 32 3 2 3" xfId="18508" xr:uid="{00000000-0005-0000-0000-0000657E0000}"/>
    <cellStyle name="Normal 32 3 2 3 2" xfId="41151" xr:uid="{00000000-0005-0000-0000-0000667E0000}"/>
    <cellStyle name="Normal 32 3 2 4" xfId="11068" xr:uid="{00000000-0005-0000-0000-0000677E0000}"/>
    <cellStyle name="Normal 32 3 2 4 2" xfId="33711" xr:uid="{00000000-0005-0000-0000-0000687E0000}"/>
    <cellStyle name="Normal 32 3 2 5" xfId="26270" xr:uid="{00000000-0005-0000-0000-0000697E0000}"/>
    <cellStyle name="Normal 32 3 3" xfId="5495" xr:uid="{00000000-0005-0000-0000-00006A7E0000}"/>
    <cellStyle name="Normal 32 3 3 2" xfId="20379" xr:uid="{00000000-0005-0000-0000-00006B7E0000}"/>
    <cellStyle name="Normal 32 3 3 2 2" xfId="43022" xr:uid="{00000000-0005-0000-0000-00006C7E0000}"/>
    <cellStyle name="Normal 32 3 3 3" xfId="12939" xr:uid="{00000000-0005-0000-0000-00006D7E0000}"/>
    <cellStyle name="Normal 32 3 3 3 2" xfId="35582" xr:uid="{00000000-0005-0000-0000-00006E7E0000}"/>
    <cellStyle name="Normal 32 3 3 4" xfId="28141" xr:uid="{00000000-0005-0000-0000-00006F7E0000}"/>
    <cellStyle name="Normal 32 3 4" xfId="16661" xr:uid="{00000000-0005-0000-0000-0000707E0000}"/>
    <cellStyle name="Normal 32 3 4 2" xfId="39304" xr:uid="{00000000-0005-0000-0000-0000717E0000}"/>
    <cellStyle name="Normal 32 3 5" xfId="9221" xr:uid="{00000000-0005-0000-0000-0000727E0000}"/>
    <cellStyle name="Normal 32 3 5 2" xfId="31864" xr:uid="{00000000-0005-0000-0000-0000737E0000}"/>
    <cellStyle name="Normal 32 3 6" xfId="24423" xr:uid="{00000000-0005-0000-0000-0000747E0000}"/>
    <cellStyle name="Normal 32 4" xfId="2696" xr:uid="{00000000-0005-0000-0000-0000757E0000}"/>
    <cellStyle name="Normal 32 4 2" xfId="6417" xr:uid="{00000000-0005-0000-0000-0000767E0000}"/>
    <cellStyle name="Normal 32 4 2 2" xfId="21301" xr:uid="{00000000-0005-0000-0000-0000777E0000}"/>
    <cellStyle name="Normal 32 4 2 2 2" xfId="43944" xr:uid="{00000000-0005-0000-0000-0000787E0000}"/>
    <cellStyle name="Normal 32 4 2 3" xfId="13861" xr:uid="{00000000-0005-0000-0000-0000797E0000}"/>
    <cellStyle name="Normal 32 4 2 3 2" xfId="36504" xr:uid="{00000000-0005-0000-0000-00007A7E0000}"/>
    <cellStyle name="Normal 32 4 2 4" xfId="29063" xr:uid="{00000000-0005-0000-0000-00007B7E0000}"/>
    <cellStyle name="Normal 32 4 3" xfId="17583" xr:uid="{00000000-0005-0000-0000-00007C7E0000}"/>
    <cellStyle name="Normal 32 4 3 2" xfId="40226" xr:uid="{00000000-0005-0000-0000-00007D7E0000}"/>
    <cellStyle name="Normal 32 4 4" xfId="10143" xr:uid="{00000000-0005-0000-0000-00007E7E0000}"/>
    <cellStyle name="Normal 32 4 4 2" xfId="32786" xr:uid="{00000000-0005-0000-0000-00007F7E0000}"/>
    <cellStyle name="Normal 32 4 5" xfId="25345" xr:uid="{00000000-0005-0000-0000-0000807E0000}"/>
    <cellStyle name="Normal 32 5" xfId="4570" xr:uid="{00000000-0005-0000-0000-0000817E0000}"/>
    <cellStyle name="Normal 32 5 2" xfId="19454" xr:uid="{00000000-0005-0000-0000-0000827E0000}"/>
    <cellStyle name="Normal 32 5 2 2" xfId="42097" xr:uid="{00000000-0005-0000-0000-0000837E0000}"/>
    <cellStyle name="Normal 32 5 3" xfId="12014" xr:uid="{00000000-0005-0000-0000-0000847E0000}"/>
    <cellStyle name="Normal 32 5 3 2" xfId="34657" xr:uid="{00000000-0005-0000-0000-0000857E0000}"/>
    <cellStyle name="Normal 32 5 4" xfId="27216" xr:uid="{00000000-0005-0000-0000-0000867E0000}"/>
    <cellStyle name="Normal 32 6" xfId="15736" xr:uid="{00000000-0005-0000-0000-0000877E0000}"/>
    <cellStyle name="Normal 32 6 2" xfId="38379" xr:uid="{00000000-0005-0000-0000-0000887E0000}"/>
    <cellStyle name="Normal 32 7" xfId="8296" xr:uid="{00000000-0005-0000-0000-0000897E0000}"/>
    <cellStyle name="Normal 32 7 2" xfId="30939" xr:uid="{00000000-0005-0000-0000-00008A7E0000}"/>
    <cellStyle name="Normal 32 8" xfId="23498" xr:uid="{00000000-0005-0000-0000-00008B7E0000}"/>
    <cellStyle name="Normal 33" xfId="841" xr:uid="{00000000-0005-0000-0000-00008C7E0000}"/>
    <cellStyle name="Normal 33 2" xfId="1306" xr:uid="{00000000-0005-0000-0000-00008D7E0000}"/>
    <cellStyle name="Normal 33 2 2" xfId="2234" xr:uid="{00000000-0005-0000-0000-00008E7E0000}"/>
    <cellStyle name="Normal 33 2 2 2" xfId="4084" xr:uid="{00000000-0005-0000-0000-00008F7E0000}"/>
    <cellStyle name="Normal 33 2 2 2 2" xfId="7805" xr:uid="{00000000-0005-0000-0000-0000907E0000}"/>
    <cellStyle name="Normal 33 2 2 2 2 2" xfId="22689" xr:uid="{00000000-0005-0000-0000-0000917E0000}"/>
    <cellStyle name="Normal 33 2 2 2 2 2 2" xfId="45332" xr:uid="{00000000-0005-0000-0000-0000927E0000}"/>
    <cellStyle name="Normal 33 2 2 2 2 3" xfId="15249" xr:uid="{00000000-0005-0000-0000-0000937E0000}"/>
    <cellStyle name="Normal 33 2 2 2 2 3 2" xfId="37892" xr:uid="{00000000-0005-0000-0000-0000947E0000}"/>
    <cellStyle name="Normal 33 2 2 2 2 4" xfId="30451" xr:uid="{00000000-0005-0000-0000-0000957E0000}"/>
    <cellStyle name="Normal 33 2 2 2 3" xfId="18971" xr:uid="{00000000-0005-0000-0000-0000967E0000}"/>
    <cellStyle name="Normal 33 2 2 2 3 2" xfId="41614" xr:uid="{00000000-0005-0000-0000-0000977E0000}"/>
    <cellStyle name="Normal 33 2 2 2 4" xfId="11531" xr:uid="{00000000-0005-0000-0000-0000987E0000}"/>
    <cellStyle name="Normal 33 2 2 2 4 2" xfId="34174" xr:uid="{00000000-0005-0000-0000-0000997E0000}"/>
    <cellStyle name="Normal 33 2 2 2 5" xfId="26733" xr:uid="{00000000-0005-0000-0000-00009A7E0000}"/>
    <cellStyle name="Normal 33 2 2 3" xfId="5958" xr:uid="{00000000-0005-0000-0000-00009B7E0000}"/>
    <cellStyle name="Normal 33 2 2 3 2" xfId="20842" xr:uid="{00000000-0005-0000-0000-00009C7E0000}"/>
    <cellStyle name="Normal 33 2 2 3 2 2" xfId="43485" xr:uid="{00000000-0005-0000-0000-00009D7E0000}"/>
    <cellStyle name="Normal 33 2 2 3 3" xfId="13402" xr:uid="{00000000-0005-0000-0000-00009E7E0000}"/>
    <cellStyle name="Normal 33 2 2 3 3 2" xfId="36045" xr:uid="{00000000-0005-0000-0000-00009F7E0000}"/>
    <cellStyle name="Normal 33 2 2 3 4" xfId="28604" xr:uid="{00000000-0005-0000-0000-0000A07E0000}"/>
    <cellStyle name="Normal 33 2 2 4" xfId="17124" xr:uid="{00000000-0005-0000-0000-0000A17E0000}"/>
    <cellStyle name="Normal 33 2 2 4 2" xfId="39767" xr:uid="{00000000-0005-0000-0000-0000A27E0000}"/>
    <cellStyle name="Normal 33 2 2 5" xfId="9684" xr:uid="{00000000-0005-0000-0000-0000A37E0000}"/>
    <cellStyle name="Normal 33 2 2 5 2" xfId="32327" xr:uid="{00000000-0005-0000-0000-0000A47E0000}"/>
    <cellStyle name="Normal 33 2 2 6" xfId="24886" xr:uid="{00000000-0005-0000-0000-0000A57E0000}"/>
    <cellStyle name="Normal 33 2 3" xfId="3159" xr:uid="{00000000-0005-0000-0000-0000A67E0000}"/>
    <cellStyle name="Normal 33 2 3 2" xfId="6880" xr:uid="{00000000-0005-0000-0000-0000A77E0000}"/>
    <cellStyle name="Normal 33 2 3 2 2" xfId="21764" xr:uid="{00000000-0005-0000-0000-0000A87E0000}"/>
    <cellStyle name="Normal 33 2 3 2 2 2" xfId="44407" xr:uid="{00000000-0005-0000-0000-0000A97E0000}"/>
    <cellStyle name="Normal 33 2 3 2 3" xfId="14324" xr:uid="{00000000-0005-0000-0000-0000AA7E0000}"/>
    <cellStyle name="Normal 33 2 3 2 3 2" xfId="36967" xr:uid="{00000000-0005-0000-0000-0000AB7E0000}"/>
    <cellStyle name="Normal 33 2 3 2 4" xfId="29526" xr:uid="{00000000-0005-0000-0000-0000AC7E0000}"/>
    <cellStyle name="Normal 33 2 3 3" xfId="18046" xr:uid="{00000000-0005-0000-0000-0000AD7E0000}"/>
    <cellStyle name="Normal 33 2 3 3 2" xfId="40689" xr:uid="{00000000-0005-0000-0000-0000AE7E0000}"/>
    <cellStyle name="Normal 33 2 3 4" xfId="10606" xr:uid="{00000000-0005-0000-0000-0000AF7E0000}"/>
    <cellStyle name="Normal 33 2 3 4 2" xfId="33249" xr:uid="{00000000-0005-0000-0000-0000B07E0000}"/>
    <cellStyle name="Normal 33 2 3 5" xfId="25808" xr:uid="{00000000-0005-0000-0000-0000B17E0000}"/>
    <cellStyle name="Normal 33 2 4" xfId="5033" xr:uid="{00000000-0005-0000-0000-0000B27E0000}"/>
    <cellStyle name="Normal 33 2 4 2" xfId="19917" xr:uid="{00000000-0005-0000-0000-0000B37E0000}"/>
    <cellStyle name="Normal 33 2 4 2 2" xfId="42560" xr:uid="{00000000-0005-0000-0000-0000B47E0000}"/>
    <cellStyle name="Normal 33 2 4 3" xfId="12477" xr:uid="{00000000-0005-0000-0000-0000B57E0000}"/>
    <cellStyle name="Normal 33 2 4 3 2" xfId="35120" xr:uid="{00000000-0005-0000-0000-0000B67E0000}"/>
    <cellStyle name="Normal 33 2 4 4" xfId="27679" xr:uid="{00000000-0005-0000-0000-0000B77E0000}"/>
    <cellStyle name="Normal 33 2 5" xfId="16199" xr:uid="{00000000-0005-0000-0000-0000B87E0000}"/>
    <cellStyle name="Normal 33 2 5 2" xfId="38842" xr:uid="{00000000-0005-0000-0000-0000B97E0000}"/>
    <cellStyle name="Normal 33 2 6" xfId="8759" xr:uid="{00000000-0005-0000-0000-0000BA7E0000}"/>
    <cellStyle name="Normal 33 2 6 2" xfId="31402" xr:uid="{00000000-0005-0000-0000-0000BB7E0000}"/>
    <cellStyle name="Normal 33 2 7" xfId="23961" xr:uid="{00000000-0005-0000-0000-0000BC7E0000}"/>
    <cellStyle name="Normal 33 3" xfId="1772" xr:uid="{00000000-0005-0000-0000-0000BD7E0000}"/>
    <cellStyle name="Normal 33 3 2" xfId="3622" xr:uid="{00000000-0005-0000-0000-0000BE7E0000}"/>
    <cellStyle name="Normal 33 3 2 2" xfId="7343" xr:uid="{00000000-0005-0000-0000-0000BF7E0000}"/>
    <cellStyle name="Normal 33 3 2 2 2" xfId="22227" xr:uid="{00000000-0005-0000-0000-0000C07E0000}"/>
    <cellStyle name="Normal 33 3 2 2 2 2" xfId="44870" xr:uid="{00000000-0005-0000-0000-0000C17E0000}"/>
    <cellStyle name="Normal 33 3 2 2 3" xfId="14787" xr:uid="{00000000-0005-0000-0000-0000C27E0000}"/>
    <cellStyle name="Normal 33 3 2 2 3 2" xfId="37430" xr:uid="{00000000-0005-0000-0000-0000C37E0000}"/>
    <cellStyle name="Normal 33 3 2 2 4" xfId="29989" xr:uid="{00000000-0005-0000-0000-0000C47E0000}"/>
    <cellStyle name="Normal 33 3 2 3" xfId="18509" xr:uid="{00000000-0005-0000-0000-0000C57E0000}"/>
    <cellStyle name="Normal 33 3 2 3 2" xfId="41152" xr:uid="{00000000-0005-0000-0000-0000C67E0000}"/>
    <cellStyle name="Normal 33 3 2 4" xfId="11069" xr:uid="{00000000-0005-0000-0000-0000C77E0000}"/>
    <cellStyle name="Normal 33 3 2 4 2" xfId="33712" xr:uid="{00000000-0005-0000-0000-0000C87E0000}"/>
    <cellStyle name="Normal 33 3 2 5" xfId="26271" xr:uid="{00000000-0005-0000-0000-0000C97E0000}"/>
    <cellStyle name="Normal 33 3 3" xfId="5496" xr:uid="{00000000-0005-0000-0000-0000CA7E0000}"/>
    <cellStyle name="Normal 33 3 3 2" xfId="20380" xr:uid="{00000000-0005-0000-0000-0000CB7E0000}"/>
    <cellStyle name="Normal 33 3 3 2 2" xfId="43023" xr:uid="{00000000-0005-0000-0000-0000CC7E0000}"/>
    <cellStyle name="Normal 33 3 3 3" xfId="12940" xr:uid="{00000000-0005-0000-0000-0000CD7E0000}"/>
    <cellStyle name="Normal 33 3 3 3 2" xfId="35583" xr:uid="{00000000-0005-0000-0000-0000CE7E0000}"/>
    <cellStyle name="Normal 33 3 3 4" xfId="28142" xr:uid="{00000000-0005-0000-0000-0000CF7E0000}"/>
    <cellStyle name="Normal 33 3 4" xfId="16662" xr:uid="{00000000-0005-0000-0000-0000D07E0000}"/>
    <cellStyle name="Normal 33 3 4 2" xfId="39305" xr:uid="{00000000-0005-0000-0000-0000D17E0000}"/>
    <cellStyle name="Normal 33 3 5" xfId="9222" xr:uid="{00000000-0005-0000-0000-0000D27E0000}"/>
    <cellStyle name="Normal 33 3 5 2" xfId="31865" xr:uid="{00000000-0005-0000-0000-0000D37E0000}"/>
    <cellStyle name="Normal 33 3 6" xfId="24424" xr:uid="{00000000-0005-0000-0000-0000D47E0000}"/>
    <cellStyle name="Normal 33 4" xfId="2697" xr:uid="{00000000-0005-0000-0000-0000D57E0000}"/>
    <cellStyle name="Normal 33 4 2" xfId="6418" xr:uid="{00000000-0005-0000-0000-0000D67E0000}"/>
    <cellStyle name="Normal 33 4 2 2" xfId="21302" xr:uid="{00000000-0005-0000-0000-0000D77E0000}"/>
    <cellStyle name="Normal 33 4 2 2 2" xfId="43945" xr:uid="{00000000-0005-0000-0000-0000D87E0000}"/>
    <cellStyle name="Normal 33 4 2 3" xfId="13862" xr:uid="{00000000-0005-0000-0000-0000D97E0000}"/>
    <cellStyle name="Normal 33 4 2 3 2" xfId="36505" xr:uid="{00000000-0005-0000-0000-0000DA7E0000}"/>
    <cellStyle name="Normal 33 4 2 4" xfId="29064" xr:uid="{00000000-0005-0000-0000-0000DB7E0000}"/>
    <cellStyle name="Normal 33 4 3" xfId="17584" xr:uid="{00000000-0005-0000-0000-0000DC7E0000}"/>
    <cellStyle name="Normal 33 4 3 2" xfId="40227" xr:uid="{00000000-0005-0000-0000-0000DD7E0000}"/>
    <cellStyle name="Normal 33 4 4" xfId="10144" xr:uid="{00000000-0005-0000-0000-0000DE7E0000}"/>
    <cellStyle name="Normal 33 4 4 2" xfId="32787" xr:uid="{00000000-0005-0000-0000-0000DF7E0000}"/>
    <cellStyle name="Normal 33 4 5" xfId="25346" xr:uid="{00000000-0005-0000-0000-0000E07E0000}"/>
    <cellStyle name="Normal 33 5" xfId="4571" xr:uid="{00000000-0005-0000-0000-0000E17E0000}"/>
    <cellStyle name="Normal 33 5 2" xfId="19455" xr:uid="{00000000-0005-0000-0000-0000E27E0000}"/>
    <cellStyle name="Normal 33 5 2 2" xfId="42098" xr:uid="{00000000-0005-0000-0000-0000E37E0000}"/>
    <cellStyle name="Normal 33 5 3" xfId="12015" xr:uid="{00000000-0005-0000-0000-0000E47E0000}"/>
    <cellStyle name="Normal 33 5 3 2" xfId="34658" xr:uid="{00000000-0005-0000-0000-0000E57E0000}"/>
    <cellStyle name="Normal 33 5 4" xfId="27217" xr:uid="{00000000-0005-0000-0000-0000E67E0000}"/>
    <cellStyle name="Normal 33 6" xfId="15737" xr:uid="{00000000-0005-0000-0000-0000E77E0000}"/>
    <cellStyle name="Normal 33 6 2" xfId="38380" xr:uid="{00000000-0005-0000-0000-0000E87E0000}"/>
    <cellStyle name="Normal 33 7" xfId="8297" xr:uid="{00000000-0005-0000-0000-0000E97E0000}"/>
    <cellStyle name="Normal 33 7 2" xfId="30940" xr:uid="{00000000-0005-0000-0000-0000EA7E0000}"/>
    <cellStyle name="Normal 33 8" xfId="23499" xr:uid="{00000000-0005-0000-0000-0000EB7E0000}"/>
    <cellStyle name="Normal 34" xfId="842" xr:uid="{00000000-0005-0000-0000-0000EC7E0000}"/>
    <cellStyle name="Normal 34 2" xfId="1307" xr:uid="{00000000-0005-0000-0000-0000ED7E0000}"/>
    <cellStyle name="Normal 34 2 2" xfId="2235" xr:uid="{00000000-0005-0000-0000-0000EE7E0000}"/>
    <cellStyle name="Normal 34 2 2 2" xfId="4085" xr:uid="{00000000-0005-0000-0000-0000EF7E0000}"/>
    <cellStyle name="Normal 34 2 2 2 2" xfId="7806" xr:uid="{00000000-0005-0000-0000-0000F07E0000}"/>
    <cellStyle name="Normal 34 2 2 2 2 2" xfId="22690" xr:uid="{00000000-0005-0000-0000-0000F17E0000}"/>
    <cellStyle name="Normal 34 2 2 2 2 2 2" xfId="45333" xr:uid="{00000000-0005-0000-0000-0000F27E0000}"/>
    <cellStyle name="Normal 34 2 2 2 2 3" xfId="15250" xr:uid="{00000000-0005-0000-0000-0000F37E0000}"/>
    <cellStyle name="Normal 34 2 2 2 2 3 2" xfId="37893" xr:uid="{00000000-0005-0000-0000-0000F47E0000}"/>
    <cellStyle name="Normal 34 2 2 2 2 4" xfId="30452" xr:uid="{00000000-0005-0000-0000-0000F57E0000}"/>
    <cellStyle name="Normal 34 2 2 2 3" xfId="18972" xr:uid="{00000000-0005-0000-0000-0000F67E0000}"/>
    <cellStyle name="Normal 34 2 2 2 3 2" xfId="41615" xr:uid="{00000000-0005-0000-0000-0000F77E0000}"/>
    <cellStyle name="Normal 34 2 2 2 4" xfId="11532" xr:uid="{00000000-0005-0000-0000-0000F87E0000}"/>
    <cellStyle name="Normal 34 2 2 2 4 2" xfId="34175" xr:uid="{00000000-0005-0000-0000-0000F97E0000}"/>
    <cellStyle name="Normal 34 2 2 2 5" xfId="26734" xr:uid="{00000000-0005-0000-0000-0000FA7E0000}"/>
    <cellStyle name="Normal 34 2 2 3" xfId="5959" xr:uid="{00000000-0005-0000-0000-0000FB7E0000}"/>
    <cellStyle name="Normal 34 2 2 3 2" xfId="20843" xr:uid="{00000000-0005-0000-0000-0000FC7E0000}"/>
    <cellStyle name="Normal 34 2 2 3 2 2" xfId="43486" xr:uid="{00000000-0005-0000-0000-0000FD7E0000}"/>
    <cellStyle name="Normal 34 2 2 3 3" xfId="13403" xr:uid="{00000000-0005-0000-0000-0000FE7E0000}"/>
    <cellStyle name="Normal 34 2 2 3 3 2" xfId="36046" xr:uid="{00000000-0005-0000-0000-0000FF7E0000}"/>
    <cellStyle name="Normal 34 2 2 3 4" xfId="28605" xr:uid="{00000000-0005-0000-0000-0000007F0000}"/>
    <cellStyle name="Normal 34 2 2 4" xfId="17125" xr:uid="{00000000-0005-0000-0000-0000017F0000}"/>
    <cellStyle name="Normal 34 2 2 4 2" xfId="39768" xr:uid="{00000000-0005-0000-0000-0000027F0000}"/>
    <cellStyle name="Normal 34 2 2 5" xfId="9685" xr:uid="{00000000-0005-0000-0000-0000037F0000}"/>
    <cellStyle name="Normal 34 2 2 5 2" xfId="32328" xr:uid="{00000000-0005-0000-0000-0000047F0000}"/>
    <cellStyle name="Normal 34 2 2 6" xfId="24887" xr:uid="{00000000-0005-0000-0000-0000057F0000}"/>
    <cellStyle name="Normal 34 2 3" xfId="3160" xr:uid="{00000000-0005-0000-0000-0000067F0000}"/>
    <cellStyle name="Normal 34 2 3 2" xfId="6881" xr:uid="{00000000-0005-0000-0000-0000077F0000}"/>
    <cellStyle name="Normal 34 2 3 2 2" xfId="21765" xr:uid="{00000000-0005-0000-0000-0000087F0000}"/>
    <cellStyle name="Normal 34 2 3 2 2 2" xfId="44408" xr:uid="{00000000-0005-0000-0000-0000097F0000}"/>
    <cellStyle name="Normal 34 2 3 2 3" xfId="14325" xr:uid="{00000000-0005-0000-0000-00000A7F0000}"/>
    <cellStyle name="Normal 34 2 3 2 3 2" xfId="36968" xr:uid="{00000000-0005-0000-0000-00000B7F0000}"/>
    <cellStyle name="Normal 34 2 3 2 4" xfId="29527" xr:uid="{00000000-0005-0000-0000-00000C7F0000}"/>
    <cellStyle name="Normal 34 2 3 3" xfId="18047" xr:uid="{00000000-0005-0000-0000-00000D7F0000}"/>
    <cellStyle name="Normal 34 2 3 3 2" xfId="40690" xr:uid="{00000000-0005-0000-0000-00000E7F0000}"/>
    <cellStyle name="Normal 34 2 3 4" xfId="10607" xr:uid="{00000000-0005-0000-0000-00000F7F0000}"/>
    <cellStyle name="Normal 34 2 3 4 2" xfId="33250" xr:uid="{00000000-0005-0000-0000-0000107F0000}"/>
    <cellStyle name="Normal 34 2 3 5" xfId="25809" xr:uid="{00000000-0005-0000-0000-0000117F0000}"/>
    <cellStyle name="Normal 34 2 4" xfId="5034" xr:uid="{00000000-0005-0000-0000-0000127F0000}"/>
    <cellStyle name="Normal 34 2 4 2" xfId="19918" xr:uid="{00000000-0005-0000-0000-0000137F0000}"/>
    <cellStyle name="Normal 34 2 4 2 2" xfId="42561" xr:uid="{00000000-0005-0000-0000-0000147F0000}"/>
    <cellStyle name="Normal 34 2 4 3" xfId="12478" xr:uid="{00000000-0005-0000-0000-0000157F0000}"/>
    <cellStyle name="Normal 34 2 4 3 2" xfId="35121" xr:uid="{00000000-0005-0000-0000-0000167F0000}"/>
    <cellStyle name="Normal 34 2 4 4" xfId="27680" xr:uid="{00000000-0005-0000-0000-0000177F0000}"/>
    <cellStyle name="Normal 34 2 5" xfId="16200" xr:uid="{00000000-0005-0000-0000-0000187F0000}"/>
    <cellStyle name="Normal 34 2 5 2" xfId="38843" xr:uid="{00000000-0005-0000-0000-0000197F0000}"/>
    <cellStyle name="Normal 34 2 6" xfId="8760" xr:uid="{00000000-0005-0000-0000-00001A7F0000}"/>
    <cellStyle name="Normal 34 2 6 2" xfId="31403" xr:uid="{00000000-0005-0000-0000-00001B7F0000}"/>
    <cellStyle name="Normal 34 2 7" xfId="23962" xr:uid="{00000000-0005-0000-0000-00001C7F0000}"/>
    <cellStyle name="Normal 34 3" xfId="1773" xr:uid="{00000000-0005-0000-0000-00001D7F0000}"/>
    <cellStyle name="Normal 34 3 2" xfId="3623" xr:uid="{00000000-0005-0000-0000-00001E7F0000}"/>
    <cellStyle name="Normal 34 3 2 2" xfId="7344" xr:uid="{00000000-0005-0000-0000-00001F7F0000}"/>
    <cellStyle name="Normal 34 3 2 2 2" xfId="22228" xr:uid="{00000000-0005-0000-0000-0000207F0000}"/>
    <cellStyle name="Normal 34 3 2 2 2 2" xfId="44871" xr:uid="{00000000-0005-0000-0000-0000217F0000}"/>
    <cellStyle name="Normal 34 3 2 2 3" xfId="14788" xr:uid="{00000000-0005-0000-0000-0000227F0000}"/>
    <cellStyle name="Normal 34 3 2 2 3 2" xfId="37431" xr:uid="{00000000-0005-0000-0000-0000237F0000}"/>
    <cellStyle name="Normal 34 3 2 2 4" xfId="29990" xr:uid="{00000000-0005-0000-0000-0000247F0000}"/>
    <cellStyle name="Normal 34 3 2 3" xfId="18510" xr:uid="{00000000-0005-0000-0000-0000257F0000}"/>
    <cellStyle name="Normal 34 3 2 3 2" xfId="41153" xr:uid="{00000000-0005-0000-0000-0000267F0000}"/>
    <cellStyle name="Normal 34 3 2 4" xfId="11070" xr:uid="{00000000-0005-0000-0000-0000277F0000}"/>
    <cellStyle name="Normal 34 3 2 4 2" xfId="33713" xr:uid="{00000000-0005-0000-0000-0000287F0000}"/>
    <cellStyle name="Normal 34 3 2 5" xfId="26272" xr:uid="{00000000-0005-0000-0000-0000297F0000}"/>
    <cellStyle name="Normal 34 3 3" xfId="5497" xr:uid="{00000000-0005-0000-0000-00002A7F0000}"/>
    <cellStyle name="Normal 34 3 3 2" xfId="20381" xr:uid="{00000000-0005-0000-0000-00002B7F0000}"/>
    <cellStyle name="Normal 34 3 3 2 2" xfId="43024" xr:uid="{00000000-0005-0000-0000-00002C7F0000}"/>
    <cellStyle name="Normal 34 3 3 3" xfId="12941" xr:uid="{00000000-0005-0000-0000-00002D7F0000}"/>
    <cellStyle name="Normal 34 3 3 3 2" xfId="35584" xr:uid="{00000000-0005-0000-0000-00002E7F0000}"/>
    <cellStyle name="Normal 34 3 3 4" xfId="28143" xr:uid="{00000000-0005-0000-0000-00002F7F0000}"/>
    <cellStyle name="Normal 34 3 4" xfId="16663" xr:uid="{00000000-0005-0000-0000-0000307F0000}"/>
    <cellStyle name="Normal 34 3 4 2" xfId="39306" xr:uid="{00000000-0005-0000-0000-0000317F0000}"/>
    <cellStyle name="Normal 34 3 5" xfId="9223" xr:uid="{00000000-0005-0000-0000-0000327F0000}"/>
    <cellStyle name="Normal 34 3 5 2" xfId="31866" xr:uid="{00000000-0005-0000-0000-0000337F0000}"/>
    <cellStyle name="Normal 34 3 6" xfId="24425" xr:uid="{00000000-0005-0000-0000-0000347F0000}"/>
    <cellStyle name="Normal 34 4" xfId="2698" xr:uid="{00000000-0005-0000-0000-0000357F0000}"/>
    <cellStyle name="Normal 34 4 2" xfId="6419" xr:uid="{00000000-0005-0000-0000-0000367F0000}"/>
    <cellStyle name="Normal 34 4 2 2" xfId="21303" xr:uid="{00000000-0005-0000-0000-0000377F0000}"/>
    <cellStyle name="Normal 34 4 2 2 2" xfId="43946" xr:uid="{00000000-0005-0000-0000-0000387F0000}"/>
    <cellStyle name="Normal 34 4 2 3" xfId="13863" xr:uid="{00000000-0005-0000-0000-0000397F0000}"/>
    <cellStyle name="Normal 34 4 2 3 2" xfId="36506" xr:uid="{00000000-0005-0000-0000-00003A7F0000}"/>
    <cellStyle name="Normal 34 4 2 4" xfId="29065" xr:uid="{00000000-0005-0000-0000-00003B7F0000}"/>
    <cellStyle name="Normal 34 4 3" xfId="17585" xr:uid="{00000000-0005-0000-0000-00003C7F0000}"/>
    <cellStyle name="Normal 34 4 3 2" xfId="40228" xr:uid="{00000000-0005-0000-0000-00003D7F0000}"/>
    <cellStyle name="Normal 34 4 4" xfId="10145" xr:uid="{00000000-0005-0000-0000-00003E7F0000}"/>
    <cellStyle name="Normal 34 4 4 2" xfId="32788" xr:uid="{00000000-0005-0000-0000-00003F7F0000}"/>
    <cellStyle name="Normal 34 4 5" xfId="25347" xr:uid="{00000000-0005-0000-0000-0000407F0000}"/>
    <cellStyle name="Normal 34 5" xfId="4572" xr:uid="{00000000-0005-0000-0000-0000417F0000}"/>
    <cellStyle name="Normal 34 5 2" xfId="19456" xr:uid="{00000000-0005-0000-0000-0000427F0000}"/>
    <cellStyle name="Normal 34 5 2 2" xfId="42099" xr:uid="{00000000-0005-0000-0000-0000437F0000}"/>
    <cellStyle name="Normal 34 5 3" xfId="12016" xr:uid="{00000000-0005-0000-0000-0000447F0000}"/>
    <cellStyle name="Normal 34 5 3 2" xfId="34659" xr:uid="{00000000-0005-0000-0000-0000457F0000}"/>
    <cellStyle name="Normal 34 5 4" xfId="27218" xr:uid="{00000000-0005-0000-0000-0000467F0000}"/>
    <cellStyle name="Normal 34 6" xfId="15738" xr:uid="{00000000-0005-0000-0000-0000477F0000}"/>
    <cellStyle name="Normal 34 6 2" xfId="38381" xr:uid="{00000000-0005-0000-0000-0000487F0000}"/>
    <cellStyle name="Normal 34 7" xfId="8298" xr:uid="{00000000-0005-0000-0000-0000497F0000}"/>
    <cellStyle name="Normal 34 7 2" xfId="30941" xr:uid="{00000000-0005-0000-0000-00004A7F0000}"/>
    <cellStyle name="Normal 34 8" xfId="23500" xr:uid="{00000000-0005-0000-0000-00004B7F0000}"/>
    <cellStyle name="Normal 35" xfId="843" xr:uid="{00000000-0005-0000-0000-00004C7F0000}"/>
    <cellStyle name="Normal 35 2" xfId="1308" xr:uid="{00000000-0005-0000-0000-00004D7F0000}"/>
    <cellStyle name="Normal 35 2 2" xfId="2236" xr:uid="{00000000-0005-0000-0000-00004E7F0000}"/>
    <cellStyle name="Normal 35 2 2 2" xfId="4086" xr:uid="{00000000-0005-0000-0000-00004F7F0000}"/>
    <cellStyle name="Normal 35 2 2 2 2" xfId="7807" xr:uid="{00000000-0005-0000-0000-0000507F0000}"/>
    <cellStyle name="Normal 35 2 2 2 2 2" xfId="22691" xr:uid="{00000000-0005-0000-0000-0000517F0000}"/>
    <cellStyle name="Normal 35 2 2 2 2 2 2" xfId="45334" xr:uid="{00000000-0005-0000-0000-0000527F0000}"/>
    <cellStyle name="Normal 35 2 2 2 2 3" xfId="15251" xr:uid="{00000000-0005-0000-0000-0000537F0000}"/>
    <cellStyle name="Normal 35 2 2 2 2 3 2" xfId="37894" xr:uid="{00000000-0005-0000-0000-0000547F0000}"/>
    <cellStyle name="Normal 35 2 2 2 2 4" xfId="30453" xr:uid="{00000000-0005-0000-0000-0000557F0000}"/>
    <cellStyle name="Normal 35 2 2 2 3" xfId="18973" xr:uid="{00000000-0005-0000-0000-0000567F0000}"/>
    <cellStyle name="Normal 35 2 2 2 3 2" xfId="41616" xr:uid="{00000000-0005-0000-0000-0000577F0000}"/>
    <cellStyle name="Normal 35 2 2 2 4" xfId="11533" xr:uid="{00000000-0005-0000-0000-0000587F0000}"/>
    <cellStyle name="Normal 35 2 2 2 4 2" xfId="34176" xr:uid="{00000000-0005-0000-0000-0000597F0000}"/>
    <cellStyle name="Normal 35 2 2 2 5" xfId="26735" xr:uid="{00000000-0005-0000-0000-00005A7F0000}"/>
    <cellStyle name="Normal 35 2 2 3" xfId="5960" xr:uid="{00000000-0005-0000-0000-00005B7F0000}"/>
    <cellStyle name="Normal 35 2 2 3 2" xfId="20844" xr:uid="{00000000-0005-0000-0000-00005C7F0000}"/>
    <cellStyle name="Normal 35 2 2 3 2 2" xfId="43487" xr:uid="{00000000-0005-0000-0000-00005D7F0000}"/>
    <cellStyle name="Normal 35 2 2 3 3" xfId="13404" xr:uid="{00000000-0005-0000-0000-00005E7F0000}"/>
    <cellStyle name="Normal 35 2 2 3 3 2" xfId="36047" xr:uid="{00000000-0005-0000-0000-00005F7F0000}"/>
    <cellStyle name="Normal 35 2 2 3 4" xfId="28606" xr:uid="{00000000-0005-0000-0000-0000607F0000}"/>
    <cellStyle name="Normal 35 2 2 4" xfId="17126" xr:uid="{00000000-0005-0000-0000-0000617F0000}"/>
    <cellStyle name="Normal 35 2 2 4 2" xfId="39769" xr:uid="{00000000-0005-0000-0000-0000627F0000}"/>
    <cellStyle name="Normal 35 2 2 5" xfId="9686" xr:uid="{00000000-0005-0000-0000-0000637F0000}"/>
    <cellStyle name="Normal 35 2 2 5 2" xfId="32329" xr:uid="{00000000-0005-0000-0000-0000647F0000}"/>
    <cellStyle name="Normal 35 2 2 6" xfId="24888" xr:uid="{00000000-0005-0000-0000-0000657F0000}"/>
    <cellStyle name="Normal 35 2 3" xfId="3161" xr:uid="{00000000-0005-0000-0000-0000667F0000}"/>
    <cellStyle name="Normal 35 2 3 2" xfId="6882" xr:uid="{00000000-0005-0000-0000-0000677F0000}"/>
    <cellStyle name="Normal 35 2 3 2 2" xfId="21766" xr:uid="{00000000-0005-0000-0000-0000687F0000}"/>
    <cellStyle name="Normal 35 2 3 2 2 2" xfId="44409" xr:uid="{00000000-0005-0000-0000-0000697F0000}"/>
    <cellStyle name="Normal 35 2 3 2 3" xfId="14326" xr:uid="{00000000-0005-0000-0000-00006A7F0000}"/>
    <cellStyle name="Normal 35 2 3 2 3 2" xfId="36969" xr:uid="{00000000-0005-0000-0000-00006B7F0000}"/>
    <cellStyle name="Normal 35 2 3 2 4" xfId="29528" xr:uid="{00000000-0005-0000-0000-00006C7F0000}"/>
    <cellStyle name="Normal 35 2 3 3" xfId="18048" xr:uid="{00000000-0005-0000-0000-00006D7F0000}"/>
    <cellStyle name="Normal 35 2 3 3 2" xfId="40691" xr:uid="{00000000-0005-0000-0000-00006E7F0000}"/>
    <cellStyle name="Normal 35 2 3 4" xfId="10608" xr:uid="{00000000-0005-0000-0000-00006F7F0000}"/>
    <cellStyle name="Normal 35 2 3 4 2" xfId="33251" xr:uid="{00000000-0005-0000-0000-0000707F0000}"/>
    <cellStyle name="Normal 35 2 3 5" xfId="25810" xr:uid="{00000000-0005-0000-0000-0000717F0000}"/>
    <cellStyle name="Normal 35 2 4" xfId="5035" xr:uid="{00000000-0005-0000-0000-0000727F0000}"/>
    <cellStyle name="Normal 35 2 4 2" xfId="19919" xr:uid="{00000000-0005-0000-0000-0000737F0000}"/>
    <cellStyle name="Normal 35 2 4 2 2" xfId="42562" xr:uid="{00000000-0005-0000-0000-0000747F0000}"/>
    <cellStyle name="Normal 35 2 4 3" xfId="12479" xr:uid="{00000000-0005-0000-0000-0000757F0000}"/>
    <cellStyle name="Normal 35 2 4 3 2" xfId="35122" xr:uid="{00000000-0005-0000-0000-0000767F0000}"/>
    <cellStyle name="Normal 35 2 4 4" xfId="27681" xr:uid="{00000000-0005-0000-0000-0000777F0000}"/>
    <cellStyle name="Normal 35 2 5" xfId="16201" xr:uid="{00000000-0005-0000-0000-0000787F0000}"/>
    <cellStyle name="Normal 35 2 5 2" xfId="38844" xr:uid="{00000000-0005-0000-0000-0000797F0000}"/>
    <cellStyle name="Normal 35 2 6" xfId="8761" xr:uid="{00000000-0005-0000-0000-00007A7F0000}"/>
    <cellStyle name="Normal 35 2 6 2" xfId="31404" xr:uid="{00000000-0005-0000-0000-00007B7F0000}"/>
    <cellStyle name="Normal 35 2 7" xfId="23963" xr:uid="{00000000-0005-0000-0000-00007C7F0000}"/>
    <cellStyle name="Normal 35 3" xfId="1774" xr:uid="{00000000-0005-0000-0000-00007D7F0000}"/>
    <cellStyle name="Normal 35 3 2" xfId="3624" xr:uid="{00000000-0005-0000-0000-00007E7F0000}"/>
    <cellStyle name="Normal 35 3 2 2" xfId="7345" xr:uid="{00000000-0005-0000-0000-00007F7F0000}"/>
    <cellStyle name="Normal 35 3 2 2 2" xfId="22229" xr:uid="{00000000-0005-0000-0000-0000807F0000}"/>
    <cellStyle name="Normal 35 3 2 2 2 2" xfId="44872" xr:uid="{00000000-0005-0000-0000-0000817F0000}"/>
    <cellStyle name="Normal 35 3 2 2 3" xfId="14789" xr:uid="{00000000-0005-0000-0000-0000827F0000}"/>
    <cellStyle name="Normal 35 3 2 2 3 2" xfId="37432" xr:uid="{00000000-0005-0000-0000-0000837F0000}"/>
    <cellStyle name="Normal 35 3 2 2 4" xfId="29991" xr:uid="{00000000-0005-0000-0000-0000847F0000}"/>
    <cellStyle name="Normal 35 3 2 3" xfId="18511" xr:uid="{00000000-0005-0000-0000-0000857F0000}"/>
    <cellStyle name="Normal 35 3 2 3 2" xfId="41154" xr:uid="{00000000-0005-0000-0000-0000867F0000}"/>
    <cellStyle name="Normal 35 3 2 4" xfId="11071" xr:uid="{00000000-0005-0000-0000-0000877F0000}"/>
    <cellStyle name="Normal 35 3 2 4 2" xfId="33714" xr:uid="{00000000-0005-0000-0000-0000887F0000}"/>
    <cellStyle name="Normal 35 3 2 5" xfId="26273" xr:uid="{00000000-0005-0000-0000-0000897F0000}"/>
    <cellStyle name="Normal 35 3 3" xfId="5498" xr:uid="{00000000-0005-0000-0000-00008A7F0000}"/>
    <cellStyle name="Normal 35 3 3 2" xfId="20382" xr:uid="{00000000-0005-0000-0000-00008B7F0000}"/>
    <cellStyle name="Normal 35 3 3 2 2" xfId="43025" xr:uid="{00000000-0005-0000-0000-00008C7F0000}"/>
    <cellStyle name="Normal 35 3 3 3" xfId="12942" xr:uid="{00000000-0005-0000-0000-00008D7F0000}"/>
    <cellStyle name="Normal 35 3 3 3 2" xfId="35585" xr:uid="{00000000-0005-0000-0000-00008E7F0000}"/>
    <cellStyle name="Normal 35 3 3 4" xfId="28144" xr:uid="{00000000-0005-0000-0000-00008F7F0000}"/>
    <cellStyle name="Normal 35 3 4" xfId="16664" xr:uid="{00000000-0005-0000-0000-0000907F0000}"/>
    <cellStyle name="Normal 35 3 4 2" xfId="39307" xr:uid="{00000000-0005-0000-0000-0000917F0000}"/>
    <cellStyle name="Normal 35 3 5" xfId="9224" xr:uid="{00000000-0005-0000-0000-0000927F0000}"/>
    <cellStyle name="Normal 35 3 5 2" xfId="31867" xr:uid="{00000000-0005-0000-0000-0000937F0000}"/>
    <cellStyle name="Normal 35 3 6" xfId="24426" xr:uid="{00000000-0005-0000-0000-0000947F0000}"/>
    <cellStyle name="Normal 35 4" xfId="2699" xr:uid="{00000000-0005-0000-0000-0000957F0000}"/>
    <cellStyle name="Normal 35 4 2" xfId="6420" xr:uid="{00000000-0005-0000-0000-0000967F0000}"/>
    <cellStyle name="Normal 35 4 2 2" xfId="21304" xr:uid="{00000000-0005-0000-0000-0000977F0000}"/>
    <cellStyle name="Normal 35 4 2 2 2" xfId="43947" xr:uid="{00000000-0005-0000-0000-0000987F0000}"/>
    <cellStyle name="Normal 35 4 2 3" xfId="13864" xr:uid="{00000000-0005-0000-0000-0000997F0000}"/>
    <cellStyle name="Normal 35 4 2 3 2" xfId="36507" xr:uid="{00000000-0005-0000-0000-00009A7F0000}"/>
    <cellStyle name="Normal 35 4 2 4" xfId="29066" xr:uid="{00000000-0005-0000-0000-00009B7F0000}"/>
    <cellStyle name="Normal 35 4 3" xfId="17586" xr:uid="{00000000-0005-0000-0000-00009C7F0000}"/>
    <cellStyle name="Normal 35 4 3 2" xfId="40229" xr:uid="{00000000-0005-0000-0000-00009D7F0000}"/>
    <cellStyle name="Normal 35 4 4" xfId="10146" xr:uid="{00000000-0005-0000-0000-00009E7F0000}"/>
    <cellStyle name="Normal 35 4 4 2" xfId="32789" xr:uid="{00000000-0005-0000-0000-00009F7F0000}"/>
    <cellStyle name="Normal 35 4 5" xfId="25348" xr:uid="{00000000-0005-0000-0000-0000A07F0000}"/>
    <cellStyle name="Normal 35 5" xfId="4573" xr:uid="{00000000-0005-0000-0000-0000A17F0000}"/>
    <cellStyle name="Normal 35 5 2" xfId="19457" xr:uid="{00000000-0005-0000-0000-0000A27F0000}"/>
    <cellStyle name="Normal 35 5 2 2" xfId="42100" xr:uid="{00000000-0005-0000-0000-0000A37F0000}"/>
    <cellStyle name="Normal 35 5 3" xfId="12017" xr:uid="{00000000-0005-0000-0000-0000A47F0000}"/>
    <cellStyle name="Normal 35 5 3 2" xfId="34660" xr:uid="{00000000-0005-0000-0000-0000A57F0000}"/>
    <cellStyle name="Normal 35 5 4" xfId="27219" xr:uid="{00000000-0005-0000-0000-0000A67F0000}"/>
    <cellStyle name="Normal 35 6" xfId="15739" xr:uid="{00000000-0005-0000-0000-0000A77F0000}"/>
    <cellStyle name="Normal 35 6 2" xfId="38382" xr:uid="{00000000-0005-0000-0000-0000A87F0000}"/>
    <cellStyle name="Normal 35 7" xfId="8299" xr:uid="{00000000-0005-0000-0000-0000A97F0000}"/>
    <cellStyle name="Normal 35 7 2" xfId="30942" xr:uid="{00000000-0005-0000-0000-0000AA7F0000}"/>
    <cellStyle name="Normal 35 8" xfId="23501" xr:uid="{00000000-0005-0000-0000-0000AB7F0000}"/>
    <cellStyle name="Normal 36" xfId="844" xr:uid="{00000000-0005-0000-0000-0000AC7F0000}"/>
    <cellStyle name="Normal 36 2" xfId="1309" xr:uid="{00000000-0005-0000-0000-0000AD7F0000}"/>
    <cellStyle name="Normal 36 2 2" xfId="2237" xr:uid="{00000000-0005-0000-0000-0000AE7F0000}"/>
    <cellStyle name="Normal 36 2 2 2" xfId="4087" xr:uid="{00000000-0005-0000-0000-0000AF7F0000}"/>
    <cellStyle name="Normal 36 2 2 2 2" xfId="7808" xr:uid="{00000000-0005-0000-0000-0000B07F0000}"/>
    <cellStyle name="Normal 36 2 2 2 2 2" xfId="22692" xr:uid="{00000000-0005-0000-0000-0000B17F0000}"/>
    <cellStyle name="Normal 36 2 2 2 2 2 2" xfId="45335" xr:uid="{00000000-0005-0000-0000-0000B27F0000}"/>
    <cellStyle name="Normal 36 2 2 2 2 3" xfId="15252" xr:uid="{00000000-0005-0000-0000-0000B37F0000}"/>
    <cellStyle name="Normal 36 2 2 2 2 3 2" xfId="37895" xr:uid="{00000000-0005-0000-0000-0000B47F0000}"/>
    <cellStyle name="Normal 36 2 2 2 2 4" xfId="30454" xr:uid="{00000000-0005-0000-0000-0000B57F0000}"/>
    <cellStyle name="Normal 36 2 2 2 3" xfId="18974" xr:uid="{00000000-0005-0000-0000-0000B67F0000}"/>
    <cellStyle name="Normal 36 2 2 2 3 2" xfId="41617" xr:uid="{00000000-0005-0000-0000-0000B77F0000}"/>
    <cellStyle name="Normal 36 2 2 2 4" xfId="11534" xr:uid="{00000000-0005-0000-0000-0000B87F0000}"/>
    <cellStyle name="Normal 36 2 2 2 4 2" xfId="34177" xr:uid="{00000000-0005-0000-0000-0000B97F0000}"/>
    <cellStyle name="Normal 36 2 2 2 5" xfId="26736" xr:uid="{00000000-0005-0000-0000-0000BA7F0000}"/>
    <cellStyle name="Normal 36 2 2 3" xfId="5961" xr:uid="{00000000-0005-0000-0000-0000BB7F0000}"/>
    <cellStyle name="Normal 36 2 2 3 2" xfId="20845" xr:uid="{00000000-0005-0000-0000-0000BC7F0000}"/>
    <cellStyle name="Normal 36 2 2 3 2 2" xfId="43488" xr:uid="{00000000-0005-0000-0000-0000BD7F0000}"/>
    <cellStyle name="Normal 36 2 2 3 3" xfId="13405" xr:uid="{00000000-0005-0000-0000-0000BE7F0000}"/>
    <cellStyle name="Normal 36 2 2 3 3 2" xfId="36048" xr:uid="{00000000-0005-0000-0000-0000BF7F0000}"/>
    <cellStyle name="Normal 36 2 2 3 4" xfId="28607" xr:uid="{00000000-0005-0000-0000-0000C07F0000}"/>
    <cellStyle name="Normal 36 2 2 4" xfId="17127" xr:uid="{00000000-0005-0000-0000-0000C17F0000}"/>
    <cellStyle name="Normal 36 2 2 4 2" xfId="39770" xr:uid="{00000000-0005-0000-0000-0000C27F0000}"/>
    <cellStyle name="Normal 36 2 2 5" xfId="9687" xr:uid="{00000000-0005-0000-0000-0000C37F0000}"/>
    <cellStyle name="Normal 36 2 2 5 2" xfId="32330" xr:uid="{00000000-0005-0000-0000-0000C47F0000}"/>
    <cellStyle name="Normal 36 2 2 6" xfId="24889" xr:uid="{00000000-0005-0000-0000-0000C57F0000}"/>
    <cellStyle name="Normal 36 2 3" xfId="3162" xr:uid="{00000000-0005-0000-0000-0000C67F0000}"/>
    <cellStyle name="Normal 36 2 3 2" xfId="6883" xr:uid="{00000000-0005-0000-0000-0000C77F0000}"/>
    <cellStyle name="Normal 36 2 3 2 2" xfId="21767" xr:uid="{00000000-0005-0000-0000-0000C87F0000}"/>
    <cellStyle name="Normal 36 2 3 2 2 2" xfId="44410" xr:uid="{00000000-0005-0000-0000-0000C97F0000}"/>
    <cellStyle name="Normal 36 2 3 2 3" xfId="14327" xr:uid="{00000000-0005-0000-0000-0000CA7F0000}"/>
    <cellStyle name="Normal 36 2 3 2 3 2" xfId="36970" xr:uid="{00000000-0005-0000-0000-0000CB7F0000}"/>
    <cellStyle name="Normal 36 2 3 2 4" xfId="29529" xr:uid="{00000000-0005-0000-0000-0000CC7F0000}"/>
    <cellStyle name="Normal 36 2 3 3" xfId="18049" xr:uid="{00000000-0005-0000-0000-0000CD7F0000}"/>
    <cellStyle name="Normal 36 2 3 3 2" xfId="40692" xr:uid="{00000000-0005-0000-0000-0000CE7F0000}"/>
    <cellStyle name="Normal 36 2 3 4" xfId="10609" xr:uid="{00000000-0005-0000-0000-0000CF7F0000}"/>
    <cellStyle name="Normal 36 2 3 4 2" xfId="33252" xr:uid="{00000000-0005-0000-0000-0000D07F0000}"/>
    <cellStyle name="Normal 36 2 3 5" xfId="25811" xr:uid="{00000000-0005-0000-0000-0000D17F0000}"/>
    <cellStyle name="Normal 36 2 4" xfId="5036" xr:uid="{00000000-0005-0000-0000-0000D27F0000}"/>
    <cellStyle name="Normal 36 2 4 2" xfId="19920" xr:uid="{00000000-0005-0000-0000-0000D37F0000}"/>
    <cellStyle name="Normal 36 2 4 2 2" xfId="42563" xr:uid="{00000000-0005-0000-0000-0000D47F0000}"/>
    <cellStyle name="Normal 36 2 4 3" xfId="12480" xr:uid="{00000000-0005-0000-0000-0000D57F0000}"/>
    <cellStyle name="Normal 36 2 4 3 2" xfId="35123" xr:uid="{00000000-0005-0000-0000-0000D67F0000}"/>
    <cellStyle name="Normal 36 2 4 4" xfId="27682" xr:uid="{00000000-0005-0000-0000-0000D77F0000}"/>
    <cellStyle name="Normal 36 2 5" xfId="16202" xr:uid="{00000000-0005-0000-0000-0000D87F0000}"/>
    <cellStyle name="Normal 36 2 5 2" xfId="38845" xr:uid="{00000000-0005-0000-0000-0000D97F0000}"/>
    <cellStyle name="Normal 36 2 6" xfId="8762" xr:uid="{00000000-0005-0000-0000-0000DA7F0000}"/>
    <cellStyle name="Normal 36 2 6 2" xfId="31405" xr:uid="{00000000-0005-0000-0000-0000DB7F0000}"/>
    <cellStyle name="Normal 36 2 7" xfId="23964" xr:uid="{00000000-0005-0000-0000-0000DC7F0000}"/>
    <cellStyle name="Normal 36 3" xfId="1775" xr:uid="{00000000-0005-0000-0000-0000DD7F0000}"/>
    <cellStyle name="Normal 36 3 2" xfId="3625" xr:uid="{00000000-0005-0000-0000-0000DE7F0000}"/>
    <cellStyle name="Normal 36 3 2 2" xfId="7346" xr:uid="{00000000-0005-0000-0000-0000DF7F0000}"/>
    <cellStyle name="Normal 36 3 2 2 2" xfId="22230" xr:uid="{00000000-0005-0000-0000-0000E07F0000}"/>
    <cellStyle name="Normal 36 3 2 2 2 2" xfId="44873" xr:uid="{00000000-0005-0000-0000-0000E17F0000}"/>
    <cellStyle name="Normal 36 3 2 2 3" xfId="14790" xr:uid="{00000000-0005-0000-0000-0000E27F0000}"/>
    <cellStyle name="Normal 36 3 2 2 3 2" xfId="37433" xr:uid="{00000000-0005-0000-0000-0000E37F0000}"/>
    <cellStyle name="Normal 36 3 2 2 4" xfId="29992" xr:uid="{00000000-0005-0000-0000-0000E47F0000}"/>
    <cellStyle name="Normal 36 3 2 3" xfId="18512" xr:uid="{00000000-0005-0000-0000-0000E57F0000}"/>
    <cellStyle name="Normal 36 3 2 3 2" xfId="41155" xr:uid="{00000000-0005-0000-0000-0000E67F0000}"/>
    <cellStyle name="Normal 36 3 2 4" xfId="11072" xr:uid="{00000000-0005-0000-0000-0000E77F0000}"/>
    <cellStyle name="Normal 36 3 2 4 2" xfId="33715" xr:uid="{00000000-0005-0000-0000-0000E87F0000}"/>
    <cellStyle name="Normal 36 3 2 5" xfId="26274" xr:uid="{00000000-0005-0000-0000-0000E97F0000}"/>
    <cellStyle name="Normal 36 3 3" xfId="5499" xr:uid="{00000000-0005-0000-0000-0000EA7F0000}"/>
    <cellStyle name="Normal 36 3 3 2" xfId="20383" xr:uid="{00000000-0005-0000-0000-0000EB7F0000}"/>
    <cellStyle name="Normal 36 3 3 2 2" xfId="43026" xr:uid="{00000000-0005-0000-0000-0000EC7F0000}"/>
    <cellStyle name="Normal 36 3 3 3" xfId="12943" xr:uid="{00000000-0005-0000-0000-0000ED7F0000}"/>
    <cellStyle name="Normal 36 3 3 3 2" xfId="35586" xr:uid="{00000000-0005-0000-0000-0000EE7F0000}"/>
    <cellStyle name="Normal 36 3 3 4" xfId="28145" xr:uid="{00000000-0005-0000-0000-0000EF7F0000}"/>
    <cellStyle name="Normal 36 3 4" xfId="16665" xr:uid="{00000000-0005-0000-0000-0000F07F0000}"/>
    <cellStyle name="Normal 36 3 4 2" xfId="39308" xr:uid="{00000000-0005-0000-0000-0000F17F0000}"/>
    <cellStyle name="Normal 36 3 5" xfId="9225" xr:uid="{00000000-0005-0000-0000-0000F27F0000}"/>
    <cellStyle name="Normal 36 3 5 2" xfId="31868" xr:uid="{00000000-0005-0000-0000-0000F37F0000}"/>
    <cellStyle name="Normal 36 3 6" xfId="24427" xr:uid="{00000000-0005-0000-0000-0000F47F0000}"/>
    <cellStyle name="Normal 36 4" xfId="2700" xr:uid="{00000000-0005-0000-0000-0000F57F0000}"/>
    <cellStyle name="Normal 36 4 2" xfId="6421" xr:uid="{00000000-0005-0000-0000-0000F67F0000}"/>
    <cellStyle name="Normal 36 4 2 2" xfId="21305" xr:uid="{00000000-0005-0000-0000-0000F77F0000}"/>
    <cellStyle name="Normal 36 4 2 2 2" xfId="43948" xr:uid="{00000000-0005-0000-0000-0000F87F0000}"/>
    <cellStyle name="Normal 36 4 2 3" xfId="13865" xr:uid="{00000000-0005-0000-0000-0000F97F0000}"/>
    <cellStyle name="Normal 36 4 2 3 2" xfId="36508" xr:uid="{00000000-0005-0000-0000-0000FA7F0000}"/>
    <cellStyle name="Normal 36 4 2 4" xfId="29067" xr:uid="{00000000-0005-0000-0000-0000FB7F0000}"/>
    <cellStyle name="Normal 36 4 3" xfId="17587" xr:uid="{00000000-0005-0000-0000-0000FC7F0000}"/>
    <cellStyle name="Normal 36 4 3 2" xfId="40230" xr:uid="{00000000-0005-0000-0000-0000FD7F0000}"/>
    <cellStyle name="Normal 36 4 4" xfId="10147" xr:uid="{00000000-0005-0000-0000-0000FE7F0000}"/>
    <cellStyle name="Normal 36 4 4 2" xfId="32790" xr:uid="{00000000-0005-0000-0000-0000FF7F0000}"/>
    <cellStyle name="Normal 36 4 5" xfId="25349" xr:uid="{00000000-0005-0000-0000-000000800000}"/>
    <cellStyle name="Normal 36 5" xfId="4574" xr:uid="{00000000-0005-0000-0000-000001800000}"/>
    <cellStyle name="Normal 36 5 2" xfId="19458" xr:uid="{00000000-0005-0000-0000-000002800000}"/>
    <cellStyle name="Normal 36 5 2 2" xfId="42101" xr:uid="{00000000-0005-0000-0000-000003800000}"/>
    <cellStyle name="Normal 36 5 3" xfId="12018" xr:uid="{00000000-0005-0000-0000-000004800000}"/>
    <cellStyle name="Normal 36 5 3 2" xfId="34661" xr:uid="{00000000-0005-0000-0000-000005800000}"/>
    <cellStyle name="Normal 36 5 4" xfId="27220" xr:uid="{00000000-0005-0000-0000-000006800000}"/>
    <cellStyle name="Normal 36 6" xfId="15740" xr:uid="{00000000-0005-0000-0000-000007800000}"/>
    <cellStyle name="Normal 36 6 2" xfId="38383" xr:uid="{00000000-0005-0000-0000-000008800000}"/>
    <cellStyle name="Normal 36 7" xfId="8300" xr:uid="{00000000-0005-0000-0000-000009800000}"/>
    <cellStyle name="Normal 36 7 2" xfId="30943" xr:uid="{00000000-0005-0000-0000-00000A800000}"/>
    <cellStyle name="Normal 36 8" xfId="23502" xr:uid="{00000000-0005-0000-0000-00000B800000}"/>
    <cellStyle name="Normal 37" xfId="845" xr:uid="{00000000-0005-0000-0000-00000C800000}"/>
    <cellStyle name="Normal 37 2" xfId="1310" xr:uid="{00000000-0005-0000-0000-00000D800000}"/>
    <cellStyle name="Normal 37 2 2" xfId="2238" xr:uid="{00000000-0005-0000-0000-00000E800000}"/>
    <cellStyle name="Normal 37 2 2 2" xfId="4088" xr:uid="{00000000-0005-0000-0000-00000F800000}"/>
    <cellStyle name="Normal 37 2 2 2 2" xfId="7809" xr:uid="{00000000-0005-0000-0000-000010800000}"/>
    <cellStyle name="Normal 37 2 2 2 2 2" xfId="22693" xr:uid="{00000000-0005-0000-0000-000011800000}"/>
    <cellStyle name="Normal 37 2 2 2 2 2 2" xfId="45336" xr:uid="{00000000-0005-0000-0000-000012800000}"/>
    <cellStyle name="Normal 37 2 2 2 2 3" xfId="15253" xr:uid="{00000000-0005-0000-0000-000013800000}"/>
    <cellStyle name="Normal 37 2 2 2 2 3 2" xfId="37896" xr:uid="{00000000-0005-0000-0000-000014800000}"/>
    <cellStyle name="Normal 37 2 2 2 2 4" xfId="30455" xr:uid="{00000000-0005-0000-0000-000015800000}"/>
    <cellStyle name="Normal 37 2 2 2 3" xfId="18975" xr:uid="{00000000-0005-0000-0000-000016800000}"/>
    <cellStyle name="Normal 37 2 2 2 3 2" xfId="41618" xr:uid="{00000000-0005-0000-0000-000017800000}"/>
    <cellStyle name="Normal 37 2 2 2 4" xfId="11535" xr:uid="{00000000-0005-0000-0000-000018800000}"/>
    <cellStyle name="Normal 37 2 2 2 4 2" xfId="34178" xr:uid="{00000000-0005-0000-0000-000019800000}"/>
    <cellStyle name="Normal 37 2 2 2 5" xfId="26737" xr:uid="{00000000-0005-0000-0000-00001A800000}"/>
    <cellStyle name="Normal 37 2 2 3" xfId="5962" xr:uid="{00000000-0005-0000-0000-00001B800000}"/>
    <cellStyle name="Normal 37 2 2 3 2" xfId="20846" xr:uid="{00000000-0005-0000-0000-00001C800000}"/>
    <cellStyle name="Normal 37 2 2 3 2 2" xfId="43489" xr:uid="{00000000-0005-0000-0000-00001D800000}"/>
    <cellStyle name="Normal 37 2 2 3 3" xfId="13406" xr:uid="{00000000-0005-0000-0000-00001E800000}"/>
    <cellStyle name="Normal 37 2 2 3 3 2" xfId="36049" xr:uid="{00000000-0005-0000-0000-00001F800000}"/>
    <cellStyle name="Normal 37 2 2 3 4" xfId="28608" xr:uid="{00000000-0005-0000-0000-000020800000}"/>
    <cellStyle name="Normal 37 2 2 4" xfId="17128" xr:uid="{00000000-0005-0000-0000-000021800000}"/>
    <cellStyle name="Normal 37 2 2 4 2" xfId="39771" xr:uid="{00000000-0005-0000-0000-000022800000}"/>
    <cellStyle name="Normal 37 2 2 5" xfId="9688" xr:uid="{00000000-0005-0000-0000-000023800000}"/>
    <cellStyle name="Normal 37 2 2 5 2" xfId="32331" xr:uid="{00000000-0005-0000-0000-000024800000}"/>
    <cellStyle name="Normal 37 2 2 6" xfId="24890" xr:uid="{00000000-0005-0000-0000-000025800000}"/>
    <cellStyle name="Normal 37 2 3" xfId="3163" xr:uid="{00000000-0005-0000-0000-000026800000}"/>
    <cellStyle name="Normal 37 2 3 2" xfId="6884" xr:uid="{00000000-0005-0000-0000-000027800000}"/>
    <cellStyle name="Normal 37 2 3 2 2" xfId="21768" xr:uid="{00000000-0005-0000-0000-000028800000}"/>
    <cellStyle name="Normal 37 2 3 2 2 2" xfId="44411" xr:uid="{00000000-0005-0000-0000-000029800000}"/>
    <cellStyle name="Normal 37 2 3 2 3" xfId="14328" xr:uid="{00000000-0005-0000-0000-00002A800000}"/>
    <cellStyle name="Normal 37 2 3 2 3 2" xfId="36971" xr:uid="{00000000-0005-0000-0000-00002B800000}"/>
    <cellStyle name="Normal 37 2 3 2 4" xfId="29530" xr:uid="{00000000-0005-0000-0000-00002C800000}"/>
    <cellStyle name="Normal 37 2 3 3" xfId="18050" xr:uid="{00000000-0005-0000-0000-00002D800000}"/>
    <cellStyle name="Normal 37 2 3 3 2" xfId="40693" xr:uid="{00000000-0005-0000-0000-00002E800000}"/>
    <cellStyle name="Normal 37 2 3 4" xfId="10610" xr:uid="{00000000-0005-0000-0000-00002F800000}"/>
    <cellStyle name="Normal 37 2 3 4 2" xfId="33253" xr:uid="{00000000-0005-0000-0000-000030800000}"/>
    <cellStyle name="Normal 37 2 3 5" xfId="25812" xr:uid="{00000000-0005-0000-0000-000031800000}"/>
    <cellStyle name="Normal 37 2 4" xfId="5037" xr:uid="{00000000-0005-0000-0000-000032800000}"/>
    <cellStyle name="Normal 37 2 4 2" xfId="19921" xr:uid="{00000000-0005-0000-0000-000033800000}"/>
    <cellStyle name="Normal 37 2 4 2 2" xfId="42564" xr:uid="{00000000-0005-0000-0000-000034800000}"/>
    <cellStyle name="Normal 37 2 4 3" xfId="12481" xr:uid="{00000000-0005-0000-0000-000035800000}"/>
    <cellStyle name="Normal 37 2 4 3 2" xfId="35124" xr:uid="{00000000-0005-0000-0000-000036800000}"/>
    <cellStyle name="Normal 37 2 4 4" xfId="27683" xr:uid="{00000000-0005-0000-0000-000037800000}"/>
    <cellStyle name="Normal 37 2 5" xfId="16203" xr:uid="{00000000-0005-0000-0000-000038800000}"/>
    <cellStyle name="Normal 37 2 5 2" xfId="38846" xr:uid="{00000000-0005-0000-0000-000039800000}"/>
    <cellStyle name="Normal 37 2 6" xfId="8763" xr:uid="{00000000-0005-0000-0000-00003A800000}"/>
    <cellStyle name="Normal 37 2 6 2" xfId="31406" xr:uid="{00000000-0005-0000-0000-00003B800000}"/>
    <cellStyle name="Normal 37 2 7" xfId="23965" xr:uid="{00000000-0005-0000-0000-00003C800000}"/>
    <cellStyle name="Normal 37 3" xfId="1776" xr:uid="{00000000-0005-0000-0000-00003D800000}"/>
    <cellStyle name="Normal 37 3 2" xfId="3626" xr:uid="{00000000-0005-0000-0000-00003E800000}"/>
    <cellStyle name="Normal 37 3 2 2" xfId="7347" xr:uid="{00000000-0005-0000-0000-00003F800000}"/>
    <cellStyle name="Normal 37 3 2 2 2" xfId="22231" xr:uid="{00000000-0005-0000-0000-000040800000}"/>
    <cellStyle name="Normal 37 3 2 2 2 2" xfId="44874" xr:uid="{00000000-0005-0000-0000-000041800000}"/>
    <cellStyle name="Normal 37 3 2 2 3" xfId="14791" xr:uid="{00000000-0005-0000-0000-000042800000}"/>
    <cellStyle name="Normal 37 3 2 2 3 2" xfId="37434" xr:uid="{00000000-0005-0000-0000-000043800000}"/>
    <cellStyle name="Normal 37 3 2 2 4" xfId="29993" xr:uid="{00000000-0005-0000-0000-000044800000}"/>
    <cellStyle name="Normal 37 3 2 3" xfId="18513" xr:uid="{00000000-0005-0000-0000-000045800000}"/>
    <cellStyle name="Normal 37 3 2 3 2" xfId="41156" xr:uid="{00000000-0005-0000-0000-000046800000}"/>
    <cellStyle name="Normal 37 3 2 4" xfId="11073" xr:uid="{00000000-0005-0000-0000-000047800000}"/>
    <cellStyle name="Normal 37 3 2 4 2" xfId="33716" xr:uid="{00000000-0005-0000-0000-000048800000}"/>
    <cellStyle name="Normal 37 3 2 5" xfId="26275" xr:uid="{00000000-0005-0000-0000-000049800000}"/>
    <cellStyle name="Normal 37 3 3" xfId="5500" xr:uid="{00000000-0005-0000-0000-00004A800000}"/>
    <cellStyle name="Normal 37 3 3 2" xfId="20384" xr:uid="{00000000-0005-0000-0000-00004B800000}"/>
    <cellStyle name="Normal 37 3 3 2 2" xfId="43027" xr:uid="{00000000-0005-0000-0000-00004C800000}"/>
    <cellStyle name="Normal 37 3 3 3" xfId="12944" xr:uid="{00000000-0005-0000-0000-00004D800000}"/>
    <cellStyle name="Normal 37 3 3 3 2" xfId="35587" xr:uid="{00000000-0005-0000-0000-00004E800000}"/>
    <cellStyle name="Normal 37 3 3 4" xfId="28146" xr:uid="{00000000-0005-0000-0000-00004F800000}"/>
    <cellStyle name="Normal 37 3 4" xfId="16666" xr:uid="{00000000-0005-0000-0000-000050800000}"/>
    <cellStyle name="Normal 37 3 4 2" xfId="39309" xr:uid="{00000000-0005-0000-0000-000051800000}"/>
    <cellStyle name="Normal 37 3 5" xfId="9226" xr:uid="{00000000-0005-0000-0000-000052800000}"/>
    <cellStyle name="Normal 37 3 5 2" xfId="31869" xr:uid="{00000000-0005-0000-0000-000053800000}"/>
    <cellStyle name="Normal 37 3 6" xfId="24428" xr:uid="{00000000-0005-0000-0000-000054800000}"/>
    <cellStyle name="Normal 37 4" xfId="2701" xr:uid="{00000000-0005-0000-0000-000055800000}"/>
    <cellStyle name="Normal 37 4 2" xfId="6422" xr:uid="{00000000-0005-0000-0000-000056800000}"/>
    <cellStyle name="Normal 37 4 2 2" xfId="21306" xr:uid="{00000000-0005-0000-0000-000057800000}"/>
    <cellStyle name="Normal 37 4 2 2 2" xfId="43949" xr:uid="{00000000-0005-0000-0000-000058800000}"/>
    <cellStyle name="Normal 37 4 2 3" xfId="13866" xr:uid="{00000000-0005-0000-0000-000059800000}"/>
    <cellStyle name="Normal 37 4 2 3 2" xfId="36509" xr:uid="{00000000-0005-0000-0000-00005A800000}"/>
    <cellStyle name="Normal 37 4 2 4" xfId="29068" xr:uid="{00000000-0005-0000-0000-00005B800000}"/>
    <cellStyle name="Normal 37 4 3" xfId="17588" xr:uid="{00000000-0005-0000-0000-00005C800000}"/>
    <cellStyle name="Normal 37 4 3 2" xfId="40231" xr:uid="{00000000-0005-0000-0000-00005D800000}"/>
    <cellStyle name="Normal 37 4 4" xfId="10148" xr:uid="{00000000-0005-0000-0000-00005E800000}"/>
    <cellStyle name="Normal 37 4 4 2" xfId="32791" xr:uid="{00000000-0005-0000-0000-00005F800000}"/>
    <cellStyle name="Normal 37 4 5" xfId="25350" xr:uid="{00000000-0005-0000-0000-000060800000}"/>
    <cellStyle name="Normal 37 5" xfId="4575" xr:uid="{00000000-0005-0000-0000-000061800000}"/>
    <cellStyle name="Normal 37 5 2" xfId="19459" xr:uid="{00000000-0005-0000-0000-000062800000}"/>
    <cellStyle name="Normal 37 5 2 2" xfId="42102" xr:uid="{00000000-0005-0000-0000-000063800000}"/>
    <cellStyle name="Normal 37 5 3" xfId="12019" xr:uid="{00000000-0005-0000-0000-000064800000}"/>
    <cellStyle name="Normal 37 5 3 2" xfId="34662" xr:uid="{00000000-0005-0000-0000-000065800000}"/>
    <cellStyle name="Normal 37 5 4" xfId="27221" xr:uid="{00000000-0005-0000-0000-000066800000}"/>
    <cellStyle name="Normal 37 6" xfId="15741" xr:uid="{00000000-0005-0000-0000-000067800000}"/>
    <cellStyle name="Normal 37 6 2" xfId="38384" xr:uid="{00000000-0005-0000-0000-000068800000}"/>
    <cellStyle name="Normal 37 7" xfId="8301" xr:uid="{00000000-0005-0000-0000-000069800000}"/>
    <cellStyle name="Normal 37 7 2" xfId="30944" xr:uid="{00000000-0005-0000-0000-00006A800000}"/>
    <cellStyle name="Normal 37 8" xfId="23503" xr:uid="{00000000-0005-0000-0000-00006B800000}"/>
    <cellStyle name="Normal 38" xfId="846" xr:uid="{00000000-0005-0000-0000-00006C800000}"/>
    <cellStyle name="Normal 38 2" xfId="1311" xr:uid="{00000000-0005-0000-0000-00006D800000}"/>
    <cellStyle name="Normal 38 2 2" xfId="2239" xr:uid="{00000000-0005-0000-0000-00006E800000}"/>
    <cellStyle name="Normal 38 2 2 2" xfId="4089" xr:uid="{00000000-0005-0000-0000-00006F800000}"/>
    <cellStyle name="Normal 38 2 2 2 2" xfId="7810" xr:uid="{00000000-0005-0000-0000-000070800000}"/>
    <cellStyle name="Normal 38 2 2 2 2 2" xfId="22694" xr:uid="{00000000-0005-0000-0000-000071800000}"/>
    <cellStyle name="Normal 38 2 2 2 2 2 2" xfId="45337" xr:uid="{00000000-0005-0000-0000-000072800000}"/>
    <cellStyle name="Normal 38 2 2 2 2 3" xfId="15254" xr:uid="{00000000-0005-0000-0000-000073800000}"/>
    <cellStyle name="Normal 38 2 2 2 2 3 2" xfId="37897" xr:uid="{00000000-0005-0000-0000-000074800000}"/>
    <cellStyle name="Normal 38 2 2 2 2 4" xfId="30456" xr:uid="{00000000-0005-0000-0000-000075800000}"/>
    <cellStyle name="Normal 38 2 2 2 3" xfId="18976" xr:uid="{00000000-0005-0000-0000-000076800000}"/>
    <cellStyle name="Normal 38 2 2 2 3 2" xfId="41619" xr:uid="{00000000-0005-0000-0000-000077800000}"/>
    <cellStyle name="Normal 38 2 2 2 4" xfId="11536" xr:uid="{00000000-0005-0000-0000-000078800000}"/>
    <cellStyle name="Normal 38 2 2 2 4 2" xfId="34179" xr:uid="{00000000-0005-0000-0000-000079800000}"/>
    <cellStyle name="Normal 38 2 2 2 5" xfId="26738" xr:uid="{00000000-0005-0000-0000-00007A800000}"/>
    <cellStyle name="Normal 38 2 2 3" xfId="5963" xr:uid="{00000000-0005-0000-0000-00007B800000}"/>
    <cellStyle name="Normal 38 2 2 3 2" xfId="20847" xr:uid="{00000000-0005-0000-0000-00007C800000}"/>
    <cellStyle name="Normal 38 2 2 3 2 2" xfId="43490" xr:uid="{00000000-0005-0000-0000-00007D800000}"/>
    <cellStyle name="Normal 38 2 2 3 3" xfId="13407" xr:uid="{00000000-0005-0000-0000-00007E800000}"/>
    <cellStyle name="Normal 38 2 2 3 3 2" xfId="36050" xr:uid="{00000000-0005-0000-0000-00007F800000}"/>
    <cellStyle name="Normal 38 2 2 3 4" xfId="28609" xr:uid="{00000000-0005-0000-0000-000080800000}"/>
    <cellStyle name="Normal 38 2 2 4" xfId="17129" xr:uid="{00000000-0005-0000-0000-000081800000}"/>
    <cellStyle name="Normal 38 2 2 4 2" xfId="39772" xr:uid="{00000000-0005-0000-0000-000082800000}"/>
    <cellStyle name="Normal 38 2 2 5" xfId="9689" xr:uid="{00000000-0005-0000-0000-000083800000}"/>
    <cellStyle name="Normal 38 2 2 5 2" xfId="32332" xr:uid="{00000000-0005-0000-0000-000084800000}"/>
    <cellStyle name="Normal 38 2 2 6" xfId="24891" xr:uid="{00000000-0005-0000-0000-000085800000}"/>
    <cellStyle name="Normal 38 2 3" xfId="3164" xr:uid="{00000000-0005-0000-0000-000086800000}"/>
    <cellStyle name="Normal 38 2 3 2" xfId="6885" xr:uid="{00000000-0005-0000-0000-000087800000}"/>
    <cellStyle name="Normal 38 2 3 2 2" xfId="21769" xr:uid="{00000000-0005-0000-0000-000088800000}"/>
    <cellStyle name="Normal 38 2 3 2 2 2" xfId="44412" xr:uid="{00000000-0005-0000-0000-000089800000}"/>
    <cellStyle name="Normal 38 2 3 2 3" xfId="14329" xr:uid="{00000000-0005-0000-0000-00008A800000}"/>
    <cellStyle name="Normal 38 2 3 2 3 2" xfId="36972" xr:uid="{00000000-0005-0000-0000-00008B800000}"/>
    <cellStyle name="Normal 38 2 3 2 4" xfId="29531" xr:uid="{00000000-0005-0000-0000-00008C800000}"/>
    <cellStyle name="Normal 38 2 3 3" xfId="18051" xr:uid="{00000000-0005-0000-0000-00008D800000}"/>
    <cellStyle name="Normal 38 2 3 3 2" xfId="40694" xr:uid="{00000000-0005-0000-0000-00008E800000}"/>
    <cellStyle name="Normal 38 2 3 4" xfId="10611" xr:uid="{00000000-0005-0000-0000-00008F800000}"/>
    <cellStyle name="Normal 38 2 3 4 2" xfId="33254" xr:uid="{00000000-0005-0000-0000-000090800000}"/>
    <cellStyle name="Normal 38 2 3 5" xfId="25813" xr:uid="{00000000-0005-0000-0000-000091800000}"/>
    <cellStyle name="Normal 38 2 4" xfId="5038" xr:uid="{00000000-0005-0000-0000-000092800000}"/>
    <cellStyle name="Normal 38 2 4 2" xfId="19922" xr:uid="{00000000-0005-0000-0000-000093800000}"/>
    <cellStyle name="Normal 38 2 4 2 2" xfId="42565" xr:uid="{00000000-0005-0000-0000-000094800000}"/>
    <cellStyle name="Normal 38 2 4 3" xfId="12482" xr:uid="{00000000-0005-0000-0000-000095800000}"/>
    <cellStyle name="Normal 38 2 4 3 2" xfId="35125" xr:uid="{00000000-0005-0000-0000-000096800000}"/>
    <cellStyle name="Normal 38 2 4 4" xfId="27684" xr:uid="{00000000-0005-0000-0000-000097800000}"/>
    <cellStyle name="Normal 38 2 5" xfId="16204" xr:uid="{00000000-0005-0000-0000-000098800000}"/>
    <cellStyle name="Normal 38 2 5 2" xfId="38847" xr:uid="{00000000-0005-0000-0000-000099800000}"/>
    <cellStyle name="Normal 38 2 6" xfId="8764" xr:uid="{00000000-0005-0000-0000-00009A800000}"/>
    <cellStyle name="Normal 38 2 6 2" xfId="31407" xr:uid="{00000000-0005-0000-0000-00009B800000}"/>
    <cellStyle name="Normal 38 2 7" xfId="23966" xr:uid="{00000000-0005-0000-0000-00009C800000}"/>
    <cellStyle name="Normal 38 3" xfId="1777" xr:uid="{00000000-0005-0000-0000-00009D800000}"/>
    <cellStyle name="Normal 38 3 2" xfId="3627" xr:uid="{00000000-0005-0000-0000-00009E800000}"/>
    <cellStyle name="Normal 38 3 2 2" xfId="7348" xr:uid="{00000000-0005-0000-0000-00009F800000}"/>
    <cellStyle name="Normal 38 3 2 2 2" xfId="22232" xr:uid="{00000000-0005-0000-0000-0000A0800000}"/>
    <cellStyle name="Normal 38 3 2 2 2 2" xfId="44875" xr:uid="{00000000-0005-0000-0000-0000A1800000}"/>
    <cellStyle name="Normal 38 3 2 2 3" xfId="14792" xr:uid="{00000000-0005-0000-0000-0000A2800000}"/>
    <cellStyle name="Normal 38 3 2 2 3 2" xfId="37435" xr:uid="{00000000-0005-0000-0000-0000A3800000}"/>
    <cellStyle name="Normal 38 3 2 2 4" xfId="29994" xr:uid="{00000000-0005-0000-0000-0000A4800000}"/>
    <cellStyle name="Normal 38 3 2 3" xfId="18514" xr:uid="{00000000-0005-0000-0000-0000A5800000}"/>
    <cellStyle name="Normal 38 3 2 3 2" xfId="41157" xr:uid="{00000000-0005-0000-0000-0000A6800000}"/>
    <cellStyle name="Normal 38 3 2 4" xfId="11074" xr:uid="{00000000-0005-0000-0000-0000A7800000}"/>
    <cellStyle name="Normal 38 3 2 4 2" xfId="33717" xr:uid="{00000000-0005-0000-0000-0000A8800000}"/>
    <cellStyle name="Normal 38 3 2 5" xfId="26276" xr:uid="{00000000-0005-0000-0000-0000A9800000}"/>
    <cellStyle name="Normal 38 3 3" xfId="5501" xr:uid="{00000000-0005-0000-0000-0000AA800000}"/>
    <cellStyle name="Normal 38 3 3 2" xfId="20385" xr:uid="{00000000-0005-0000-0000-0000AB800000}"/>
    <cellStyle name="Normal 38 3 3 2 2" xfId="43028" xr:uid="{00000000-0005-0000-0000-0000AC800000}"/>
    <cellStyle name="Normal 38 3 3 3" xfId="12945" xr:uid="{00000000-0005-0000-0000-0000AD800000}"/>
    <cellStyle name="Normal 38 3 3 3 2" xfId="35588" xr:uid="{00000000-0005-0000-0000-0000AE800000}"/>
    <cellStyle name="Normal 38 3 3 4" xfId="28147" xr:uid="{00000000-0005-0000-0000-0000AF800000}"/>
    <cellStyle name="Normal 38 3 4" xfId="16667" xr:uid="{00000000-0005-0000-0000-0000B0800000}"/>
    <cellStyle name="Normal 38 3 4 2" xfId="39310" xr:uid="{00000000-0005-0000-0000-0000B1800000}"/>
    <cellStyle name="Normal 38 3 5" xfId="9227" xr:uid="{00000000-0005-0000-0000-0000B2800000}"/>
    <cellStyle name="Normal 38 3 5 2" xfId="31870" xr:uid="{00000000-0005-0000-0000-0000B3800000}"/>
    <cellStyle name="Normal 38 3 6" xfId="24429" xr:uid="{00000000-0005-0000-0000-0000B4800000}"/>
    <cellStyle name="Normal 38 4" xfId="2702" xr:uid="{00000000-0005-0000-0000-0000B5800000}"/>
    <cellStyle name="Normal 38 4 2" xfId="6423" xr:uid="{00000000-0005-0000-0000-0000B6800000}"/>
    <cellStyle name="Normal 38 4 2 2" xfId="21307" xr:uid="{00000000-0005-0000-0000-0000B7800000}"/>
    <cellStyle name="Normal 38 4 2 2 2" xfId="43950" xr:uid="{00000000-0005-0000-0000-0000B8800000}"/>
    <cellStyle name="Normal 38 4 2 3" xfId="13867" xr:uid="{00000000-0005-0000-0000-0000B9800000}"/>
    <cellStyle name="Normal 38 4 2 3 2" xfId="36510" xr:uid="{00000000-0005-0000-0000-0000BA800000}"/>
    <cellStyle name="Normal 38 4 2 4" xfId="29069" xr:uid="{00000000-0005-0000-0000-0000BB800000}"/>
    <cellStyle name="Normal 38 4 3" xfId="17589" xr:uid="{00000000-0005-0000-0000-0000BC800000}"/>
    <cellStyle name="Normal 38 4 3 2" xfId="40232" xr:uid="{00000000-0005-0000-0000-0000BD800000}"/>
    <cellStyle name="Normal 38 4 4" xfId="10149" xr:uid="{00000000-0005-0000-0000-0000BE800000}"/>
    <cellStyle name="Normal 38 4 4 2" xfId="32792" xr:uid="{00000000-0005-0000-0000-0000BF800000}"/>
    <cellStyle name="Normal 38 4 5" xfId="25351" xr:uid="{00000000-0005-0000-0000-0000C0800000}"/>
    <cellStyle name="Normal 38 5" xfId="4576" xr:uid="{00000000-0005-0000-0000-0000C1800000}"/>
    <cellStyle name="Normal 38 5 2" xfId="19460" xr:uid="{00000000-0005-0000-0000-0000C2800000}"/>
    <cellStyle name="Normal 38 5 2 2" xfId="42103" xr:uid="{00000000-0005-0000-0000-0000C3800000}"/>
    <cellStyle name="Normal 38 5 3" xfId="12020" xr:uid="{00000000-0005-0000-0000-0000C4800000}"/>
    <cellStyle name="Normal 38 5 3 2" xfId="34663" xr:uid="{00000000-0005-0000-0000-0000C5800000}"/>
    <cellStyle name="Normal 38 5 4" xfId="27222" xr:uid="{00000000-0005-0000-0000-0000C6800000}"/>
    <cellStyle name="Normal 38 6" xfId="15742" xr:uid="{00000000-0005-0000-0000-0000C7800000}"/>
    <cellStyle name="Normal 38 6 2" xfId="38385" xr:uid="{00000000-0005-0000-0000-0000C8800000}"/>
    <cellStyle name="Normal 38 7" xfId="8302" xr:uid="{00000000-0005-0000-0000-0000C9800000}"/>
    <cellStyle name="Normal 38 7 2" xfId="30945" xr:uid="{00000000-0005-0000-0000-0000CA800000}"/>
    <cellStyle name="Normal 38 8" xfId="23504" xr:uid="{00000000-0005-0000-0000-0000CB800000}"/>
    <cellStyle name="Normal 39" xfId="847" xr:uid="{00000000-0005-0000-0000-0000CC800000}"/>
    <cellStyle name="Normal 39 2" xfId="1312" xr:uid="{00000000-0005-0000-0000-0000CD800000}"/>
    <cellStyle name="Normal 39 2 2" xfId="2240" xr:uid="{00000000-0005-0000-0000-0000CE800000}"/>
    <cellStyle name="Normal 39 2 2 2" xfId="4090" xr:uid="{00000000-0005-0000-0000-0000CF800000}"/>
    <cellStyle name="Normal 39 2 2 2 2" xfId="7811" xr:uid="{00000000-0005-0000-0000-0000D0800000}"/>
    <cellStyle name="Normal 39 2 2 2 2 2" xfId="22695" xr:uid="{00000000-0005-0000-0000-0000D1800000}"/>
    <cellStyle name="Normal 39 2 2 2 2 2 2" xfId="45338" xr:uid="{00000000-0005-0000-0000-0000D2800000}"/>
    <cellStyle name="Normal 39 2 2 2 2 3" xfId="15255" xr:uid="{00000000-0005-0000-0000-0000D3800000}"/>
    <cellStyle name="Normal 39 2 2 2 2 3 2" xfId="37898" xr:uid="{00000000-0005-0000-0000-0000D4800000}"/>
    <cellStyle name="Normal 39 2 2 2 2 4" xfId="30457" xr:uid="{00000000-0005-0000-0000-0000D5800000}"/>
    <cellStyle name="Normal 39 2 2 2 3" xfId="18977" xr:uid="{00000000-0005-0000-0000-0000D6800000}"/>
    <cellStyle name="Normal 39 2 2 2 3 2" xfId="41620" xr:uid="{00000000-0005-0000-0000-0000D7800000}"/>
    <cellStyle name="Normal 39 2 2 2 4" xfId="11537" xr:uid="{00000000-0005-0000-0000-0000D8800000}"/>
    <cellStyle name="Normal 39 2 2 2 4 2" xfId="34180" xr:uid="{00000000-0005-0000-0000-0000D9800000}"/>
    <cellStyle name="Normal 39 2 2 2 5" xfId="26739" xr:uid="{00000000-0005-0000-0000-0000DA800000}"/>
    <cellStyle name="Normal 39 2 2 3" xfId="5964" xr:uid="{00000000-0005-0000-0000-0000DB800000}"/>
    <cellStyle name="Normal 39 2 2 3 2" xfId="20848" xr:uid="{00000000-0005-0000-0000-0000DC800000}"/>
    <cellStyle name="Normal 39 2 2 3 2 2" xfId="43491" xr:uid="{00000000-0005-0000-0000-0000DD800000}"/>
    <cellStyle name="Normal 39 2 2 3 3" xfId="13408" xr:uid="{00000000-0005-0000-0000-0000DE800000}"/>
    <cellStyle name="Normal 39 2 2 3 3 2" xfId="36051" xr:uid="{00000000-0005-0000-0000-0000DF800000}"/>
    <cellStyle name="Normal 39 2 2 3 4" xfId="28610" xr:uid="{00000000-0005-0000-0000-0000E0800000}"/>
    <cellStyle name="Normal 39 2 2 4" xfId="17130" xr:uid="{00000000-0005-0000-0000-0000E1800000}"/>
    <cellStyle name="Normal 39 2 2 4 2" xfId="39773" xr:uid="{00000000-0005-0000-0000-0000E2800000}"/>
    <cellStyle name="Normal 39 2 2 5" xfId="9690" xr:uid="{00000000-0005-0000-0000-0000E3800000}"/>
    <cellStyle name="Normal 39 2 2 5 2" xfId="32333" xr:uid="{00000000-0005-0000-0000-0000E4800000}"/>
    <cellStyle name="Normal 39 2 2 6" xfId="24892" xr:uid="{00000000-0005-0000-0000-0000E5800000}"/>
    <cellStyle name="Normal 39 2 3" xfId="3165" xr:uid="{00000000-0005-0000-0000-0000E6800000}"/>
    <cellStyle name="Normal 39 2 3 2" xfId="6886" xr:uid="{00000000-0005-0000-0000-0000E7800000}"/>
    <cellStyle name="Normal 39 2 3 2 2" xfId="21770" xr:uid="{00000000-0005-0000-0000-0000E8800000}"/>
    <cellStyle name="Normal 39 2 3 2 2 2" xfId="44413" xr:uid="{00000000-0005-0000-0000-0000E9800000}"/>
    <cellStyle name="Normal 39 2 3 2 3" xfId="14330" xr:uid="{00000000-0005-0000-0000-0000EA800000}"/>
    <cellStyle name="Normal 39 2 3 2 3 2" xfId="36973" xr:uid="{00000000-0005-0000-0000-0000EB800000}"/>
    <cellStyle name="Normal 39 2 3 2 4" xfId="29532" xr:uid="{00000000-0005-0000-0000-0000EC800000}"/>
    <cellStyle name="Normal 39 2 3 3" xfId="18052" xr:uid="{00000000-0005-0000-0000-0000ED800000}"/>
    <cellStyle name="Normal 39 2 3 3 2" xfId="40695" xr:uid="{00000000-0005-0000-0000-0000EE800000}"/>
    <cellStyle name="Normal 39 2 3 4" xfId="10612" xr:uid="{00000000-0005-0000-0000-0000EF800000}"/>
    <cellStyle name="Normal 39 2 3 4 2" xfId="33255" xr:uid="{00000000-0005-0000-0000-0000F0800000}"/>
    <cellStyle name="Normal 39 2 3 5" xfId="25814" xr:uid="{00000000-0005-0000-0000-0000F1800000}"/>
    <cellStyle name="Normal 39 2 4" xfId="5039" xr:uid="{00000000-0005-0000-0000-0000F2800000}"/>
    <cellStyle name="Normal 39 2 4 2" xfId="19923" xr:uid="{00000000-0005-0000-0000-0000F3800000}"/>
    <cellStyle name="Normal 39 2 4 2 2" xfId="42566" xr:uid="{00000000-0005-0000-0000-0000F4800000}"/>
    <cellStyle name="Normal 39 2 4 3" xfId="12483" xr:uid="{00000000-0005-0000-0000-0000F5800000}"/>
    <cellStyle name="Normal 39 2 4 3 2" xfId="35126" xr:uid="{00000000-0005-0000-0000-0000F6800000}"/>
    <cellStyle name="Normal 39 2 4 4" xfId="27685" xr:uid="{00000000-0005-0000-0000-0000F7800000}"/>
    <cellStyle name="Normal 39 2 5" xfId="16205" xr:uid="{00000000-0005-0000-0000-0000F8800000}"/>
    <cellStyle name="Normal 39 2 5 2" xfId="38848" xr:uid="{00000000-0005-0000-0000-0000F9800000}"/>
    <cellStyle name="Normal 39 2 6" xfId="8765" xr:uid="{00000000-0005-0000-0000-0000FA800000}"/>
    <cellStyle name="Normal 39 2 6 2" xfId="31408" xr:uid="{00000000-0005-0000-0000-0000FB800000}"/>
    <cellStyle name="Normal 39 2 7" xfId="23967" xr:uid="{00000000-0005-0000-0000-0000FC800000}"/>
    <cellStyle name="Normal 39 3" xfId="1778" xr:uid="{00000000-0005-0000-0000-0000FD800000}"/>
    <cellStyle name="Normal 39 3 2" xfId="3628" xr:uid="{00000000-0005-0000-0000-0000FE800000}"/>
    <cellStyle name="Normal 39 3 2 2" xfId="7349" xr:uid="{00000000-0005-0000-0000-0000FF800000}"/>
    <cellStyle name="Normal 39 3 2 2 2" xfId="22233" xr:uid="{00000000-0005-0000-0000-000000810000}"/>
    <cellStyle name="Normal 39 3 2 2 2 2" xfId="44876" xr:uid="{00000000-0005-0000-0000-000001810000}"/>
    <cellStyle name="Normal 39 3 2 2 3" xfId="14793" xr:uid="{00000000-0005-0000-0000-000002810000}"/>
    <cellStyle name="Normal 39 3 2 2 3 2" xfId="37436" xr:uid="{00000000-0005-0000-0000-000003810000}"/>
    <cellStyle name="Normal 39 3 2 2 4" xfId="29995" xr:uid="{00000000-0005-0000-0000-000004810000}"/>
    <cellStyle name="Normal 39 3 2 3" xfId="18515" xr:uid="{00000000-0005-0000-0000-000005810000}"/>
    <cellStyle name="Normal 39 3 2 3 2" xfId="41158" xr:uid="{00000000-0005-0000-0000-000006810000}"/>
    <cellStyle name="Normal 39 3 2 4" xfId="11075" xr:uid="{00000000-0005-0000-0000-000007810000}"/>
    <cellStyle name="Normal 39 3 2 4 2" xfId="33718" xr:uid="{00000000-0005-0000-0000-000008810000}"/>
    <cellStyle name="Normal 39 3 2 5" xfId="26277" xr:uid="{00000000-0005-0000-0000-000009810000}"/>
    <cellStyle name="Normal 39 3 3" xfId="5502" xr:uid="{00000000-0005-0000-0000-00000A810000}"/>
    <cellStyle name="Normal 39 3 3 2" xfId="20386" xr:uid="{00000000-0005-0000-0000-00000B810000}"/>
    <cellStyle name="Normal 39 3 3 2 2" xfId="43029" xr:uid="{00000000-0005-0000-0000-00000C810000}"/>
    <cellStyle name="Normal 39 3 3 3" xfId="12946" xr:uid="{00000000-0005-0000-0000-00000D810000}"/>
    <cellStyle name="Normal 39 3 3 3 2" xfId="35589" xr:uid="{00000000-0005-0000-0000-00000E810000}"/>
    <cellStyle name="Normal 39 3 3 4" xfId="28148" xr:uid="{00000000-0005-0000-0000-00000F810000}"/>
    <cellStyle name="Normal 39 3 4" xfId="16668" xr:uid="{00000000-0005-0000-0000-000010810000}"/>
    <cellStyle name="Normal 39 3 4 2" xfId="39311" xr:uid="{00000000-0005-0000-0000-000011810000}"/>
    <cellStyle name="Normal 39 3 5" xfId="9228" xr:uid="{00000000-0005-0000-0000-000012810000}"/>
    <cellStyle name="Normal 39 3 5 2" xfId="31871" xr:uid="{00000000-0005-0000-0000-000013810000}"/>
    <cellStyle name="Normal 39 3 6" xfId="24430" xr:uid="{00000000-0005-0000-0000-000014810000}"/>
    <cellStyle name="Normal 39 4" xfId="2703" xr:uid="{00000000-0005-0000-0000-000015810000}"/>
    <cellStyle name="Normal 39 4 2" xfId="6424" xr:uid="{00000000-0005-0000-0000-000016810000}"/>
    <cellStyle name="Normal 39 4 2 2" xfId="21308" xr:uid="{00000000-0005-0000-0000-000017810000}"/>
    <cellStyle name="Normal 39 4 2 2 2" xfId="43951" xr:uid="{00000000-0005-0000-0000-000018810000}"/>
    <cellStyle name="Normal 39 4 2 3" xfId="13868" xr:uid="{00000000-0005-0000-0000-000019810000}"/>
    <cellStyle name="Normal 39 4 2 3 2" xfId="36511" xr:uid="{00000000-0005-0000-0000-00001A810000}"/>
    <cellStyle name="Normal 39 4 2 4" xfId="29070" xr:uid="{00000000-0005-0000-0000-00001B810000}"/>
    <cellStyle name="Normal 39 4 3" xfId="17590" xr:uid="{00000000-0005-0000-0000-00001C810000}"/>
    <cellStyle name="Normal 39 4 3 2" xfId="40233" xr:uid="{00000000-0005-0000-0000-00001D810000}"/>
    <cellStyle name="Normal 39 4 4" xfId="10150" xr:uid="{00000000-0005-0000-0000-00001E810000}"/>
    <cellStyle name="Normal 39 4 4 2" xfId="32793" xr:uid="{00000000-0005-0000-0000-00001F810000}"/>
    <cellStyle name="Normal 39 4 5" xfId="25352" xr:uid="{00000000-0005-0000-0000-000020810000}"/>
    <cellStyle name="Normal 39 5" xfId="4577" xr:uid="{00000000-0005-0000-0000-000021810000}"/>
    <cellStyle name="Normal 39 5 2" xfId="19461" xr:uid="{00000000-0005-0000-0000-000022810000}"/>
    <cellStyle name="Normal 39 5 2 2" xfId="42104" xr:uid="{00000000-0005-0000-0000-000023810000}"/>
    <cellStyle name="Normal 39 5 3" xfId="12021" xr:uid="{00000000-0005-0000-0000-000024810000}"/>
    <cellStyle name="Normal 39 5 3 2" xfId="34664" xr:uid="{00000000-0005-0000-0000-000025810000}"/>
    <cellStyle name="Normal 39 5 4" xfId="27223" xr:uid="{00000000-0005-0000-0000-000026810000}"/>
    <cellStyle name="Normal 39 6" xfId="15743" xr:uid="{00000000-0005-0000-0000-000027810000}"/>
    <cellStyle name="Normal 39 6 2" xfId="38386" xr:uid="{00000000-0005-0000-0000-000028810000}"/>
    <cellStyle name="Normal 39 7" xfId="8303" xr:uid="{00000000-0005-0000-0000-000029810000}"/>
    <cellStyle name="Normal 39 7 2" xfId="30946" xr:uid="{00000000-0005-0000-0000-00002A810000}"/>
    <cellStyle name="Normal 39 8" xfId="23505" xr:uid="{00000000-0005-0000-0000-00002B810000}"/>
    <cellStyle name="Normal 4" xfId="62" xr:uid="{00000000-0005-0000-0000-00002C810000}"/>
    <cellStyle name="Normal 4 2" xfId="63" xr:uid="{00000000-0005-0000-0000-00002D810000}"/>
    <cellStyle name="Normal 4 2 2" xfId="116" xr:uid="{00000000-0005-0000-0000-00002E810000}"/>
    <cellStyle name="Normal 4 2 2 2" xfId="198" xr:uid="{00000000-0005-0000-0000-00002F810000}"/>
    <cellStyle name="Normal 4 2 2 2 2" xfId="359" xr:uid="{00000000-0005-0000-0000-000030810000}"/>
    <cellStyle name="Normal 4 2 2 2 2 2" xfId="23057" xr:uid="{00000000-0005-0000-0000-000031810000}"/>
    <cellStyle name="Normal 4 2 2 2 3" xfId="22901" xr:uid="{00000000-0005-0000-0000-000032810000}"/>
    <cellStyle name="Normal 4 2 2 3" xfId="281" xr:uid="{00000000-0005-0000-0000-000033810000}"/>
    <cellStyle name="Normal 4 2 2 3 2" xfId="22979" xr:uid="{00000000-0005-0000-0000-000034810000}"/>
    <cellStyle name="Normal 4 2 2 4" xfId="22823" xr:uid="{00000000-0005-0000-0000-000035810000}"/>
    <cellStyle name="Normal 4 2 3" xfId="158" xr:uid="{00000000-0005-0000-0000-000036810000}"/>
    <cellStyle name="Normal 4 2 3 2" xfId="320" xr:uid="{00000000-0005-0000-0000-000037810000}"/>
    <cellStyle name="Normal 4 2 3 2 2" xfId="23018" xr:uid="{00000000-0005-0000-0000-000038810000}"/>
    <cellStyle name="Normal 4 2 3 3" xfId="22862" xr:uid="{00000000-0005-0000-0000-000039810000}"/>
    <cellStyle name="Normal 4 2 4" xfId="241" xr:uid="{00000000-0005-0000-0000-00003A810000}"/>
    <cellStyle name="Normal 4 2 4 2" xfId="22940" xr:uid="{00000000-0005-0000-0000-00003B810000}"/>
    <cellStyle name="Normal 4 2 5" xfId="394" xr:uid="{00000000-0005-0000-0000-00003C810000}"/>
    <cellStyle name="Normal 4 2 6" xfId="22783" xr:uid="{00000000-0005-0000-0000-00003D810000}"/>
    <cellStyle name="Normal 4 3" xfId="115" xr:uid="{00000000-0005-0000-0000-00003E810000}"/>
    <cellStyle name="Normal 4 3 2" xfId="197" xr:uid="{00000000-0005-0000-0000-00003F810000}"/>
    <cellStyle name="Normal 4 3 2 2" xfId="358" xr:uid="{00000000-0005-0000-0000-000040810000}"/>
    <cellStyle name="Normal 4 3 2 2 2" xfId="23056" xr:uid="{00000000-0005-0000-0000-000041810000}"/>
    <cellStyle name="Normal 4 3 2 3" xfId="22900" xr:uid="{00000000-0005-0000-0000-000042810000}"/>
    <cellStyle name="Normal 4 3 3" xfId="280" xr:uid="{00000000-0005-0000-0000-000043810000}"/>
    <cellStyle name="Normal 4 3 3 2" xfId="22978" xr:uid="{00000000-0005-0000-0000-000044810000}"/>
    <cellStyle name="Normal 4 3 4" xfId="398" xr:uid="{00000000-0005-0000-0000-000045810000}"/>
    <cellStyle name="Normal 4 3 5" xfId="22822" xr:uid="{00000000-0005-0000-0000-000046810000}"/>
    <cellStyle name="Normal 4 4" xfId="157" xr:uid="{00000000-0005-0000-0000-000047810000}"/>
    <cellStyle name="Normal 4 4 2" xfId="319" xr:uid="{00000000-0005-0000-0000-000048810000}"/>
    <cellStyle name="Normal 4 4 2 2" xfId="23017" xr:uid="{00000000-0005-0000-0000-000049810000}"/>
    <cellStyle name="Normal 4 4 3" xfId="22861" xr:uid="{00000000-0005-0000-0000-00004A810000}"/>
    <cellStyle name="Normal 4 5" xfId="240" xr:uid="{00000000-0005-0000-0000-00004B810000}"/>
    <cellStyle name="Normal 4 5 2" xfId="22939" xr:uid="{00000000-0005-0000-0000-00004C810000}"/>
    <cellStyle name="Normal 4 6" xfId="404" xr:uid="{00000000-0005-0000-0000-00004D810000}"/>
    <cellStyle name="Normal 4 7" xfId="22782" xr:uid="{00000000-0005-0000-0000-00004E810000}"/>
    <cellStyle name="Normal 40" xfId="848" xr:uid="{00000000-0005-0000-0000-00004F810000}"/>
    <cellStyle name="Normal 40 2" xfId="1313" xr:uid="{00000000-0005-0000-0000-000050810000}"/>
    <cellStyle name="Normal 40 2 2" xfId="2241" xr:uid="{00000000-0005-0000-0000-000051810000}"/>
    <cellStyle name="Normal 40 2 2 2" xfId="4091" xr:uid="{00000000-0005-0000-0000-000052810000}"/>
    <cellStyle name="Normal 40 2 2 2 2" xfId="7812" xr:uid="{00000000-0005-0000-0000-000053810000}"/>
    <cellStyle name="Normal 40 2 2 2 2 2" xfId="22696" xr:uid="{00000000-0005-0000-0000-000054810000}"/>
    <cellStyle name="Normal 40 2 2 2 2 2 2" xfId="45339" xr:uid="{00000000-0005-0000-0000-000055810000}"/>
    <cellStyle name="Normal 40 2 2 2 2 3" xfId="15256" xr:uid="{00000000-0005-0000-0000-000056810000}"/>
    <cellStyle name="Normal 40 2 2 2 2 3 2" xfId="37899" xr:uid="{00000000-0005-0000-0000-000057810000}"/>
    <cellStyle name="Normal 40 2 2 2 2 4" xfId="30458" xr:uid="{00000000-0005-0000-0000-000058810000}"/>
    <cellStyle name="Normal 40 2 2 2 3" xfId="18978" xr:uid="{00000000-0005-0000-0000-000059810000}"/>
    <cellStyle name="Normal 40 2 2 2 3 2" xfId="41621" xr:uid="{00000000-0005-0000-0000-00005A810000}"/>
    <cellStyle name="Normal 40 2 2 2 4" xfId="11538" xr:uid="{00000000-0005-0000-0000-00005B810000}"/>
    <cellStyle name="Normal 40 2 2 2 4 2" xfId="34181" xr:uid="{00000000-0005-0000-0000-00005C810000}"/>
    <cellStyle name="Normal 40 2 2 2 5" xfId="26740" xr:uid="{00000000-0005-0000-0000-00005D810000}"/>
    <cellStyle name="Normal 40 2 2 3" xfId="5965" xr:uid="{00000000-0005-0000-0000-00005E810000}"/>
    <cellStyle name="Normal 40 2 2 3 2" xfId="20849" xr:uid="{00000000-0005-0000-0000-00005F810000}"/>
    <cellStyle name="Normal 40 2 2 3 2 2" xfId="43492" xr:uid="{00000000-0005-0000-0000-000060810000}"/>
    <cellStyle name="Normal 40 2 2 3 3" xfId="13409" xr:uid="{00000000-0005-0000-0000-000061810000}"/>
    <cellStyle name="Normal 40 2 2 3 3 2" xfId="36052" xr:uid="{00000000-0005-0000-0000-000062810000}"/>
    <cellStyle name="Normal 40 2 2 3 4" xfId="28611" xr:uid="{00000000-0005-0000-0000-000063810000}"/>
    <cellStyle name="Normal 40 2 2 4" xfId="17131" xr:uid="{00000000-0005-0000-0000-000064810000}"/>
    <cellStyle name="Normal 40 2 2 4 2" xfId="39774" xr:uid="{00000000-0005-0000-0000-000065810000}"/>
    <cellStyle name="Normal 40 2 2 5" xfId="9691" xr:uid="{00000000-0005-0000-0000-000066810000}"/>
    <cellStyle name="Normal 40 2 2 5 2" xfId="32334" xr:uid="{00000000-0005-0000-0000-000067810000}"/>
    <cellStyle name="Normal 40 2 2 6" xfId="24893" xr:uid="{00000000-0005-0000-0000-000068810000}"/>
    <cellStyle name="Normal 40 2 3" xfId="3166" xr:uid="{00000000-0005-0000-0000-000069810000}"/>
    <cellStyle name="Normal 40 2 3 2" xfId="6887" xr:uid="{00000000-0005-0000-0000-00006A810000}"/>
    <cellStyle name="Normal 40 2 3 2 2" xfId="21771" xr:uid="{00000000-0005-0000-0000-00006B810000}"/>
    <cellStyle name="Normal 40 2 3 2 2 2" xfId="44414" xr:uid="{00000000-0005-0000-0000-00006C810000}"/>
    <cellStyle name="Normal 40 2 3 2 3" xfId="14331" xr:uid="{00000000-0005-0000-0000-00006D810000}"/>
    <cellStyle name="Normal 40 2 3 2 3 2" xfId="36974" xr:uid="{00000000-0005-0000-0000-00006E810000}"/>
    <cellStyle name="Normal 40 2 3 2 4" xfId="29533" xr:uid="{00000000-0005-0000-0000-00006F810000}"/>
    <cellStyle name="Normal 40 2 3 3" xfId="18053" xr:uid="{00000000-0005-0000-0000-000070810000}"/>
    <cellStyle name="Normal 40 2 3 3 2" xfId="40696" xr:uid="{00000000-0005-0000-0000-000071810000}"/>
    <cellStyle name="Normal 40 2 3 4" xfId="10613" xr:uid="{00000000-0005-0000-0000-000072810000}"/>
    <cellStyle name="Normal 40 2 3 4 2" xfId="33256" xr:uid="{00000000-0005-0000-0000-000073810000}"/>
    <cellStyle name="Normal 40 2 3 5" xfId="25815" xr:uid="{00000000-0005-0000-0000-000074810000}"/>
    <cellStyle name="Normal 40 2 4" xfId="5040" xr:uid="{00000000-0005-0000-0000-000075810000}"/>
    <cellStyle name="Normal 40 2 4 2" xfId="19924" xr:uid="{00000000-0005-0000-0000-000076810000}"/>
    <cellStyle name="Normal 40 2 4 2 2" xfId="42567" xr:uid="{00000000-0005-0000-0000-000077810000}"/>
    <cellStyle name="Normal 40 2 4 3" xfId="12484" xr:uid="{00000000-0005-0000-0000-000078810000}"/>
    <cellStyle name="Normal 40 2 4 3 2" xfId="35127" xr:uid="{00000000-0005-0000-0000-000079810000}"/>
    <cellStyle name="Normal 40 2 4 4" xfId="27686" xr:uid="{00000000-0005-0000-0000-00007A810000}"/>
    <cellStyle name="Normal 40 2 5" xfId="16206" xr:uid="{00000000-0005-0000-0000-00007B810000}"/>
    <cellStyle name="Normal 40 2 5 2" xfId="38849" xr:uid="{00000000-0005-0000-0000-00007C810000}"/>
    <cellStyle name="Normal 40 2 6" xfId="8766" xr:uid="{00000000-0005-0000-0000-00007D810000}"/>
    <cellStyle name="Normal 40 2 6 2" xfId="31409" xr:uid="{00000000-0005-0000-0000-00007E810000}"/>
    <cellStyle name="Normal 40 2 7" xfId="23968" xr:uid="{00000000-0005-0000-0000-00007F810000}"/>
    <cellStyle name="Normal 40 3" xfId="1779" xr:uid="{00000000-0005-0000-0000-000080810000}"/>
    <cellStyle name="Normal 40 3 2" xfId="3629" xr:uid="{00000000-0005-0000-0000-000081810000}"/>
    <cellStyle name="Normal 40 3 2 2" xfId="7350" xr:uid="{00000000-0005-0000-0000-000082810000}"/>
    <cellStyle name="Normal 40 3 2 2 2" xfId="22234" xr:uid="{00000000-0005-0000-0000-000083810000}"/>
    <cellStyle name="Normal 40 3 2 2 2 2" xfId="44877" xr:uid="{00000000-0005-0000-0000-000084810000}"/>
    <cellStyle name="Normal 40 3 2 2 3" xfId="14794" xr:uid="{00000000-0005-0000-0000-000085810000}"/>
    <cellStyle name="Normal 40 3 2 2 3 2" xfId="37437" xr:uid="{00000000-0005-0000-0000-000086810000}"/>
    <cellStyle name="Normal 40 3 2 2 4" xfId="29996" xr:uid="{00000000-0005-0000-0000-000087810000}"/>
    <cellStyle name="Normal 40 3 2 3" xfId="18516" xr:uid="{00000000-0005-0000-0000-000088810000}"/>
    <cellStyle name="Normal 40 3 2 3 2" xfId="41159" xr:uid="{00000000-0005-0000-0000-000089810000}"/>
    <cellStyle name="Normal 40 3 2 4" xfId="11076" xr:uid="{00000000-0005-0000-0000-00008A810000}"/>
    <cellStyle name="Normal 40 3 2 4 2" xfId="33719" xr:uid="{00000000-0005-0000-0000-00008B810000}"/>
    <cellStyle name="Normal 40 3 2 5" xfId="26278" xr:uid="{00000000-0005-0000-0000-00008C810000}"/>
    <cellStyle name="Normal 40 3 3" xfId="5503" xr:uid="{00000000-0005-0000-0000-00008D810000}"/>
    <cellStyle name="Normal 40 3 3 2" xfId="20387" xr:uid="{00000000-0005-0000-0000-00008E810000}"/>
    <cellStyle name="Normal 40 3 3 2 2" xfId="43030" xr:uid="{00000000-0005-0000-0000-00008F810000}"/>
    <cellStyle name="Normal 40 3 3 3" xfId="12947" xr:uid="{00000000-0005-0000-0000-000090810000}"/>
    <cellStyle name="Normal 40 3 3 3 2" xfId="35590" xr:uid="{00000000-0005-0000-0000-000091810000}"/>
    <cellStyle name="Normal 40 3 3 4" xfId="28149" xr:uid="{00000000-0005-0000-0000-000092810000}"/>
    <cellStyle name="Normal 40 3 4" xfId="16669" xr:uid="{00000000-0005-0000-0000-000093810000}"/>
    <cellStyle name="Normal 40 3 4 2" xfId="39312" xr:uid="{00000000-0005-0000-0000-000094810000}"/>
    <cellStyle name="Normal 40 3 5" xfId="9229" xr:uid="{00000000-0005-0000-0000-000095810000}"/>
    <cellStyle name="Normal 40 3 5 2" xfId="31872" xr:uid="{00000000-0005-0000-0000-000096810000}"/>
    <cellStyle name="Normal 40 3 6" xfId="24431" xr:uid="{00000000-0005-0000-0000-000097810000}"/>
    <cellStyle name="Normal 40 4" xfId="2704" xr:uid="{00000000-0005-0000-0000-000098810000}"/>
    <cellStyle name="Normal 40 4 2" xfId="6425" xr:uid="{00000000-0005-0000-0000-000099810000}"/>
    <cellStyle name="Normal 40 4 2 2" xfId="21309" xr:uid="{00000000-0005-0000-0000-00009A810000}"/>
    <cellStyle name="Normal 40 4 2 2 2" xfId="43952" xr:uid="{00000000-0005-0000-0000-00009B810000}"/>
    <cellStyle name="Normal 40 4 2 3" xfId="13869" xr:uid="{00000000-0005-0000-0000-00009C810000}"/>
    <cellStyle name="Normal 40 4 2 3 2" xfId="36512" xr:uid="{00000000-0005-0000-0000-00009D810000}"/>
    <cellStyle name="Normal 40 4 2 4" xfId="29071" xr:uid="{00000000-0005-0000-0000-00009E810000}"/>
    <cellStyle name="Normal 40 4 3" xfId="17591" xr:uid="{00000000-0005-0000-0000-00009F810000}"/>
    <cellStyle name="Normal 40 4 3 2" xfId="40234" xr:uid="{00000000-0005-0000-0000-0000A0810000}"/>
    <cellStyle name="Normal 40 4 4" xfId="10151" xr:uid="{00000000-0005-0000-0000-0000A1810000}"/>
    <cellStyle name="Normal 40 4 4 2" xfId="32794" xr:uid="{00000000-0005-0000-0000-0000A2810000}"/>
    <cellStyle name="Normal 40 4 5" xfId="25353" xr:uid="{00000000-0005-0000-0000-0000A3810000}"/>
    <cellStyle name="Normal 40 5" xfId="4578" xr:uid="{00000000-0005-0000-0000-0000A4810000}"/>
    <cellStyle name="Normal 40 5 2" xfId="19462" xr:uid="{00000000-0005-0000-0000-0000A5810000}"/>
    <cellStyle name="Normal 40 5 2 2" xfId="42105" xr:uid="{00000000-0005-0000-0000-0000A6810000}"/>
    <cellStyle name="Normal 40 5 3" xfId="12022" xr:uid="{00000000-0005-0000-0000-0000A7810000}"/>
    <cellStyle name="Normal 40 5 3 2" xfId="34665" xr:uid="{00000000-0005-0000-0000-0000A8810000}"/>
    <cellStyle name="Normal 40 5 4" xfId="27224" xr:uid="{00000000-0005-0000-0000-0000A9810000}"/>
    <cellStyle name="Normal 40 6" xfId="15744" xr:uid="{00000000-0005-0000-0000-0000AA810000}"/>
    <cellStyle name="Normal 40 6 2" xfId="38387" xr:uid="{00000000-0005-0000-0000-0000AB810000}"/>
    <cellStyle name="Normal 40 7" xfId="8304" xr:uid="{00000000-0005-0000-0000-0000AC810000}"/>
    <cellStyle name="Normal 40 7 2" xfId="30947" xr:uid="{00000000-0005-0000-0000-0000AD810000}"/>
    <cellStyle name="Normal 40 8" xfId="23506" xr:uid="{00000000-0005-0000-0000-0000AE810000}"/>
    <cellStyle name="Normal 41" xfId="849" xr:uid="{00000000-0005-0000-0000-0000AF810000}"/>
    <cellStyle name="Normal 41 2" xfId="1314" xr:uid="{00000000-0005-0000-0000-0000B0810000}"/>
    <cellStyle name="Normal 41 2 2" xfId="2242" xr:uid="{00000000-0005-0000-0000-0000B1810000}"/>
    <cellStyle name="Normal 41 2 2 2" xfId="4092" xr:uid="{00000000-0005-0000-0000-0000B2810000}"/>
    <cellStyle name="Normal 41 2 2 2 2" xfId="7813" xr:uid="{00000000-0005-0000-0000-0000B3810000}"/>
    <cellStyle name="Normal 41 2 2 2 2 2" xfId="22697" xr:uid="{00000000-0005-0000-0000-0000B4810000}"/>
    <cellStyle name="Normal 41 2 2 2 2 2 2" xfId="45340" xr:uid="{00000000-0005-0000-0000-0000B5810000}"/>
    <cellStyle name="Normal 41 2 2 2 2 3" xfId="15257" xr:uid="{00000000-0005-0000-0000-0000B6810000}"/>
    <cellStyle name="Normal 41 2 2 2 2 3 2" xfId="37900" xr:uid="{00000000-0005-0000-0000-0000B7810000}"/>
    <cellStyle name="Normal 41 2 2 2 2 4" xfId="30459" xr:uid="{00000000-0005-0000-0000-0000B8810000}"/>
    <cellStyle name="Normal 41 2 2 2 3" xfId="18979" xr:uid="{00000000-0005-0000-0000-0000B9810000}"/>
    <cellStyle name="Normal 41 2 2 2 3 2" xfId="41622" xr:uid="{00000000-0005-0000-0000-0000BA810000}"/>
    <cellStyle name="Normal 41 2 2 2 4" xfId="11539" xr:uid="{00000000-0005-0000-0000-0000BB810000}"/>
    <cellStyle name="Normal 41 2 2 2 4 2" xfId="34182" xr:uid="{00000000-0005-0000-0000-0000BC810000}"/>
    <cellStyle name="Normal 41 2 2 2 5" xfId="26741" xr:uid="{00000000-0005-0000-0000-0000BD810000}"/>
    <cellStyle name="Normal 41 2 2 3" xfId="5966" xr:uid="{00000000-0005-0000-0000-0000BE810000}"/>
    <cellStyle name="Normal 41 2 2 3 2" xfId="20850" xr:uid="{00000000-0005-0000-0000-0000BF810000}"/>
    <cellStyle name="Normal 41 2 2 3 2 2" xfId="43493" xr:uid="{00000000-0005-0000-0000-0000C0810000}"/>
    <cellStyle name="Normal 41 2 2 3 3" xfId="13410" xr:uid="{00000000-0005-0000-0000-0000C1810000}"/>
    <cellStyle name="Normal 41 2 2 3 3 2" xfId="36053" xr:uid="{00000000-0005-0000-0000-0000C2810000}"/>
    <cellStyle name="Normal 41 2 2 3 4" xfId="28612" xr:uid="{00000000-0005-0000-0000-0000C3810000}"/>
    <cellStyle name="Normal 41 2 2 4" xfId="17132" xr:uid="{00000000-0005-0000-0000-0000C4810000}"/>
    <cellStyle name="Normal 41 2 2 4 2" xfId="39775" xr:uid="{00000000-0005-0000-0000-0000C5810000}"/>
    <cellStyle name="Normal 41 2 2 5" xfId="9692" xr:uid="{00000000-0005-0000-0000-0000C6810000}"/>
    <cellStyle name="Normal 41 2 2 5 2" xfId="32335" xr:uid="{00000000-0005-0000-0000-0000C7810000}"/>
    <cellStyle name="Normal 41 2 2 6" xfId="24894" xr:uid="{00000000-0005-0000-0000-0000C8810000}"/>
    <cellStyle name="Normal 41 2 3" xfId="3167" xr:uid="{00000000-0005-0000-0000-0000C9810000}"/>
    <cellStyle name="Normal 41 2 3 2" xfId="6888" xr:uid="{00000000-0005-0000-0000-0000CA810000}"/>
    <cellStyle name="Normal 41 2 3 2 2" xfId="21772" xr:uid="{00000000-0005-0000-0000-0000CB810000}"/>
    <cellStyle name="Normal 41 2 3 2 2 2" xfId="44415" xr:uid="{00000000-0005-0000-0000-0000CC810000}"/>
    <cellStyle name="Normal 41 2 3 2 3" xfId="14332" xr:uid="{00000000-0005-0000-0000-0000CD810000}"/>
    <cellStyle name="Normal 41 2 3 2 3 2" xfId="36975" xr:uid="{00000000-0005-0000-0000-0000CE810000}"/>
    <cellStyle name="Normal 41 2 3 2 4" xfId="29534" xr:uid="{00000000-0005-0000-0000-0000CF810000}"/>
    <cellStyle name="Normal 41 2 3 3" xfId="18054" xr:uid="{00000000-0005-0000-0000-0000D0810000}"/>
    <cellStyle name="Normal 41 2 3 3 2" xfId="40697" xr:uid="{00000000-0005-0000-0000-0000D1810000}"/>
    <cellStyle name="Normal 41 2 3 4" xfId="10614" xr:uid="{00000000-0005-0000-0000-0000D2810000}"/>
    <cellStyle name="Normal 41 2 3 4 2" xfId="33257" xr:uid="{00000000-0005-0000-0000-0000D3810000}"/>
    <cellStyle name="Normal 41 2 3 5" xfId="25816" xr:uid="{00000000-0005-0000-0000-0000D4810000}"/>
    <cellStyle name="Normal 41 2 4" xfId="5041" xr:uid="{00000000-0005-0000-0000-0000D5810000}"/>
    <cellStyle name="Normal 41 2 4 2" xfId="19925" xr:uid="{00000000-0005-0000-0000-0000D6810000}"/>
    <cellStyle name="Normal 41 2 4 2 2" xfId="42568" xr:uid="{00000000-0005-0000-0000-0000D7810000}"/>
    <cellStyle name="Normal 41 2 4 3" xfId="12485" xr:uid="{00000000-0005-0000-0000-0000D8810000}"/>
    <cellStyle name="Normal 41 2 4 3 2" xfId="35128" xr:uid="{00000000-0005-0000-0000-0000D9810000}"/>
    <cellStyle name="Normal 41 2 4 4" xfId="27687" xr:uid="{00000000-0005-0000-0000-0000DA810000}"/>
    <cellStyle name="Normal 41 2 5" xfId="16207" xr:uid="{00000000-0005-0000-0000-0000DB810000}"/>
    <cellStyle name="Normal 41 2 5 2" xfId="38850" xr:uid="{00000000-0005-0000-0000-0000DC810000}"/>
    <cellStyle name="Normal 41 2 6" xfId="8767" xr:uid="{00000000-0005-0000-0000-0000DD810000}"/>
    <cellStyle name="Normal 41 2 6 2" xfId="31410" xr:uid="{00000000-0005-0000-0000-0000DE810000}"/>
    <cellStyle name="Normal 41 2 7" xfId="23969" xr:uid="{00000000-0005-0000-0000-0000DF810000}"/>
    <cellStyle name="Normal 41 3" xfId="1780" xr:uid="{00000000-0005-0000-0000-0000E0810000}"/>
    <cellStyle name="Normal 41 3 2" xfId="3630" xr:uid="{00000000-0005-0000-0000-0000E1810000}"/>
    <cellStyle name="Normal 41 3 2 2" xfId="7351" xr:uid="{00000000-0005-0000-0000-0000E2810000}"/>
    <cellStyle name="Normal 41 3 2 2 2" xfId="22235" xr:uid="{00000000-0005-0000-0000-0000E3810000}"/>
    <cellStyle name="Normal 41 3 2 2 2 2" xfId="44878" xr:uid="{00000000-0005-0000-0000-0000E4810000}"/>
    <cellStyle name="Normal 41 3 2 2 3" xfId="14795" xr:uid="{00000000-0005-0000-0000-0000E5810000}"/>
    <cellStyle name="Normal 41 3 2 2 3 2" xfId="37438" xr:uid="{00000000-0005-0000-0000-0000E6810000}"/>
    <cellStyle name="Normal 41 3 2 2 4" xfId="29997" xr:uid="{00000000-0005-0000-0000-0000E7810000}"/>
    <cellStyle name="Normal 41 3 2 3" xfId="18517" xr:uid="{00000000-0005-0000-0000-0000E8810000}"/>
    <cellStyle name="Normal 41 3 2 3 2" xfId="41160" xr:uid="{00000000-0005-0000-0000-0000E9810000}"/>
    <cellStyle name="Normal 41 3 2 4" xfId="11077" xr:uid="{00000000-0005-0000-0000-0000EA810000}"/>
    <cellStyle name="Normal 41 3 2 4 2" xfId="33720" xr:uid="{00000000-0005-0000-0000-0000EB810000}"/>
    <cellStyle name="Normal 41 3 2 5" xfId="26279" xr:uid="{00000000-0005-0000-0000-0000EC810000}"/>
    <cellStyle name="Normal 41 3 3" xfId="5504" xr:uid="{00000000-0005-0000-0000-0000ED810000}"/>
    <cellStyle name="Normal 41 3 3 2" xfId="20388" xr:uid="{00000000-0005-0000-0000-0000EE810000}"/>
    <cellStyle name="Normal 41 3 3 2 2" xfId="43031" xr:uid="{00000000-0005-0000-0000-0000EF810000}"/>
    <cellStyle name="Normal 41 3 3 3" xfId="12948" xr:uid="{00000000-0005-0000-0000-0000F0810000}"/>
    <cellStyle name="Normal 41 3 3 3 2" xfId="35591" xr:uid="{00000000-0005-0000-0000-0000F1810000}"/>
    <cellStyle name="Normal 41 3 3 4" xfId="28150" xr:uid="{00000000-0005-0000-0000-0000F2810000}"/>
    <cellStyle name="Normal 41 3 4" xfId="16670" xr:uid="{00000000-0005-0000-0000-0000F3810000}"/>
    <cellStyle name="Normal 41 3 4 2" xfId="39313" xr:uid="{00000000-0005-0000-0000-0000F4810000}"/>
    <cellStyle name="Normal 41 3 5" xfId="9230" xr:uid="{00000000-0005-0000-0000-0000F5810000}"/>
    <cellStyle name="Normal 41 3 5 2" xfId="31873" xr:uid="{00000000-0005-0000-0000-0000F6810000}"/>
    <cellStyle name="Normal 41 3 6" xfId="24432" xr:uid="{00000000-0005-0000-0000-0000F7810000}"/>
    <cellStyle name="Normal 41 4" xfId="2705" xr:uid="{00000000-0005-0000-0000-0000F8810000}"/>
    <cellStyle name="Normal 41 4 2" xfId="6426" xr:uid="{00000000-0005-0000-0000-0000F9810000}"/>
    <cellStyle name="Normal 41 4 2 2" xfId="21310" xr:uid="{00000000-0005-0000-0000-0000FA810000}"/>
    <cellStyle name="Normal 41 4 2 2 2" xfId="43953" xr:uid="{00000000-0005-0000-0000-0000FB810000}"/>
    <cellStyle name="Normal 41 4 2 3" xfId="13870" xr:uid="{00000000-0005-0000-0000-0000FC810000}"/>
    <cellStyle name="Normal 41 4 2 3 2" xfId="36513" xr:uid="{00000000-0005-0000-0000-0000FD810000}"/>
    <cellStyle name="Normal 41 4 2 4" xfId="29072" xr:uid="{00000000-0005-0000-0000-0000FE810000}"/>
    <cellStyle name="Normal 41 4 3" xfId="17592" xr:uid="{00000000-0005-0000-0000-0000FF810000}"/>
    <cellStyle name="Normal 41 4 3 2" xfId="40235" xr:uid="{00000000-0005-0000-0000-000000820000}"/>
    <cellStyle name="Normal 41 4 4" xfId="10152" xr:uid="{00000000-0005-0000-0000-000001820000}"/>
    <cellStyle name="Normal 41 4 4 2" xfId="32795" xr:uid="{00000000-0005-0000-0000-000002820000}"/>
    <cellStyle name="Normal 41 4 5" xfId="25354" xr:uid="{00000000-0005-0000-0000-000003820000}"/>
    <cellStyle name="Normal 41 5" xfId="4579" xr:uid="{00000000-0005-0000-0000-000004820000}"/>
    <cellStyle name="Normal 41 5 2" xfId="19463" xr:uid="{00000000-0005-0000-0000-000005820000}"/>
    <cellStyle name="Normal 41 5 2 2" xfId="42106" xr:uid="{00000000-0005-0000-0000-000006820000}"/>
    <cellStyle name="Normal 41 5 3" xfId="12023" xr:uid="{00000000-0005-0000-0000-000007820000}"/>
    <cellStyle name="Normal 41 5 3 2" xfId="34666" xr:uid="{00000000-0005-0000-0000-000008820000}"/>
    <cellStyle name="Normal 41 5 4" xfId="27225" xr:uid="{00000000-0005-0000-0000-000009820000}"/>
    <cellStyle name="Normal 41 6" xfId="15745" xr:uid="{00000000-0005-0000-0000-00000A820000}"/>
    <cellStyle name="Normal 41 6 2" xfId="38388" xr:uid="{00000000-0005-0000-0000-00000B820000}"/>
    <cellStyle name="Normal 41 7" xfId="8305" xr:uid="{00000000-0005-0000-0000-00000C820000}"/>
    <cellStyle name="Normal 41 7 2" xfId="30948" xr:uid="{00000000-0005-0000-0000-00000D820000}"/>
    <cellStyle name="Normal 41 8" xfId="23507" xr:uid="{00000000-0005-0000-0000-00000E820000}"/>
    <cellStyle name="Normal 42" xfId="850" xr:uid="{00000000-0005-0000-0000-00000F820000}"/>
    <cellStyle name="Normal 42 2" xfId="1315" xr:uid="{00000000-0005-0000-0000-000010820000}"/>
    <cellStyle name="Normal 42 2 2" xfId="2243" xr:uid="{00000000-0005-0000-0000-000011820000}"/>
    <cellStyle name="Normal 42 2 2 2" xfId="4093" xr:uid="{00000000-0005-0000-0000-000012820000}"/>
    <cellStyle name="Normal 42 2 2 2 2" xfId="7814" xr:uid="{00000000-0005-0000-0000-000013820000}"/>
    <cellStyle name="Normal 42 2 2 2 2 2" xfId="22698" xr:uid="{00000000-0005-0000-0000-000014820000}"/>
    <cellStyle name="Normal 42 2 2 2 2 2 2" xfId="45341" xr:uid="{00000000-0005-0000-0000-000015820000}"/>
    <cellStyle name="Normal 42 2 2 2 2 3" xfId="15258" xr:uid="{00000000-0005-0000-0000-000016820000}"/>
    <cellStyle name="Normal 42 2 2 2 2 3 2" xfId="37901" xr:uid="{00000000-0005-0000-0000-000017820000}"/>
    <cellStyle name="Normal 42 2 2 2 2 4" xfId="30460" xr:uid="{00000000-0005-0000-0000-000018820000}"/>
    <cellStyle name="Normal 42 2 2 2 3" xfId="18980" xr:uid="{00000000-0005-0000-0000-000019820000}"/>
    <cellStyle name="Normal 42 2 2 2 3 2" xfId="41623" xr:uid="{00000000-0005-0000-0000-00001A820000}"/>
    <cellStyle name="Normal 42 2 2 2 4" xfId="11540" xr:uid="{00000000-0005-0000-0000-00001B820000}"/>
    <cellStyle name="Normal 42 2 2 2 4 2" xfId="34183" xr:uid="{00000000-0005-0000-0000-00001C820000}"/>
    <cellStyle name="Normal 42 2 2 2 5" xfId="26742" xr:uid="{00000000-0005-0000-0000-00001D820000}"/>
    <cellStyle name="Normal 42 2 2 3" xfId="5967" xr:uid="{00000000-0005-0000-0000-00001E820000}"/>
    <cellStyle name="Normal 42 2 2 3 2" xfId="20851" xr:uid="{00000000-0005-0000-0000-00001F820000}"/>
    <cellStyle name="Normal 42 2 2 3 2 2" xfId="43494" xr:uid="{00000000-0005-0000-0000-000020820000}"/>
    <cellStyle name="Normal 42 2 2 3 3" xfId="13411" xr:uid="{00000000-0005-0000-0000-000021820000}"/>
    <cellStyle name="Normal 42 2 2 3 3 2" xfId="36054" xr:uid="{00000000-0005-0000-0000-000022820000}"/>
    <cellStyle name="Normal 42 2 2 3 4" xfId="28613" xr:uid="{00000000-0005-0000-0000-000023820000}"/>
    <cellStyle name="Normal 42 2 2 4" xfId="17133" xr:uid="{00000000-0005-0000-0000-000024820000}"/>
    <cellStyle name="Normal 42 2 2 4 2" xfId="39776" xr:uid="{00000000-0005-0000-0000-000025820000}"/>
    <cellStyle name="Normal 42 2 2 5" xfId="9693" xr:uid="{00000000-0005-0000-0000-000026820000}"/>
    <cellStyle name="Normal 42 2 2 5 2" xfId="32336" xr:uid="{00000000-0005-0000-0000-000027820000}"/>
    <cellStyle name="Normal 42 2 2 6" xfId="24895" xr:uid="{00000000-0005-0000-0000-000028820000}"/>
    <cellStyle name="Normal 42 2 3" xfId="3168" xr:uid="{00000000-0005-0000-0000-000029820000}"/>
    <cellStyle name="Normal 42 2 3 2" xfId="6889" xr:uid="{00000000-0005-0000-0000-00002A820000}"/>
    <cellStyle name="Normal 42 2 3 2 2" xfId="21773" xr:uid="{00000000-0005-0000-0000-00002B820000}"/>
    <cellStyle name="Normal 42 2 3 2 2 2" xfId="44416" xr:uid="{00000000-0005-0000-0000-00002C820000}"/>
    <cellStyle name="Normal 42 2 3 2 3" xfId="14333" xr:uid="{00000000-0005-0000-0000-00002D820000}"/>
    <cellStyle name="Normal 42 2 3 2 3 2" xfId="36976" xr:uid="{00000000-0005-0000-0000-00002E820000}"/>
    <cellStyle name="Normal 42 2 3 2 4" xfId="29535" xr:uid="{00000000-0005-0000-0000-00002F820000}"/>
    <cellStyle name="Normal 42 2 3 3" xfId="18055" xr:uid="{00000000-0005-0000-0000-000030820000}"/>
    <cellStyle name="Normal 42 2 3 3 2" xfId="40698" xr:uid="{00000000-0005-0000-0000-000031820000}"/>
    <cellStyle name="Normal 42 2 3 4" xfId="10615" xr:uid="{00000000-0005-0000-0000-000032820000}"/>
    <cellStyle name="Normal 42 2 3 4 2" xfId="33258" xr:uid="{00000000-0005-0000-0000-000033820000}"/>
    <cellStyle name="Normal 42 2 3 5" xfId="25817" xr:uid="{00000000-0005-0000-0000-000034820000}"/>
    <cellStyle name="Normal 42 2 4" xfId="5042" xr:uid="{00000000-0005-0000-0000-000035820000}"/>
    <cellStyle name="Normal 42 2 4 2" xfId="19926" xr:uid="{00000000-0005-0000-0000-000036820000}"/>
    <cellStyle name="Normal 42 2 4 2 2" xfId="42569" xr:uid="{00000000-0005-0000-0000-000037820000}"/>
    <cellStyle name="Normal 42 2 4 3" xfId="12486" xr:uid="{00000000-0005-0000-0000-000038820000}"/>
    <cellStyle name="Normal 42 2 4 3 2" xfId="35129" xr:uid="{00000000-0005-0000-0000-000039820000}"/>
    <cellStyle name="Normal 42 2 4 4" xfId="27688" xr:uid="{00000000-0005-0000-0000-00003A820000}"/>
    <cellStyle name="Normal 42 2 5" xfId="16208" xr:uid="{00000000-0005-0000-0000-00003B820000}"/>
    <cellStyle name="Normal 42 2 5 2" xfId="38851" xr:uid="{00000000-0005-0000-0000-00003C820000}"/>
    <cellStyle name="Normal 42 2 6" xfId="8768" xr:uid="{00000000-0005-0000-0000-00003D820000}"/>
    <cellStyle name="Normal 42 2 6 2" xfId="31411" xr:uid="{00000000-0005-0000-0000-00003E820000}"/>
    <cellStyle name="Normal 42 2 7" xfId="23970" xr:uid="{00000000-0005-0000-0000-00003F820000}"/>
    <cellStyle name="Normal 42 3" xfId="1781" xr:uid="{00000000-0005-0000-0000-000040820000}"/>
    <cellStyle name="Normal 42 3 2" xfId="3631" xr:uid="{00000000-0005-0000-0000-000041820000}"/>
    <cellStyle name="Normal 42 3 2 2" xfId="7352" xr:uid="{00000000-0005-0000-0000-000042820000}"/>
    <cellStyle name="Normal 42 3 2 2 2" xfId="22236" xr:uid="{00000000-0005-0000-0000-000043820000}"/>
    <cellStyle name="Normal 42 3 2 2 2 2" xfId="44879" xr:uid="{00000000-0005-0000-0000-000044820000}"/>
    <cellStyle name="Normal 42 3 2 2 3" xfId="14796" xr:uid="{00000000-0005-0000-0000-000045820000}"/>
    <cellStyle name="Normal 42 3 2 2 3 2" xfId="37439" xr:uid="{00000000-0005-0000-0000-000046820000}"/>
    <cellStyle name="Normal 42 3 2 2 4" xfId="29998" xr:uid="{00000000-0005-0000-0000-000047820000}"/>
    <cellStyle name="Normal 42 3 2 3" xfId="18518" xr:uid="{00000000-0005-0000-0000-000048820000}"/>
    <cellStyle name="Normal 42 3 2 3 2" xfId="41161" xr:uid="{00000000-0005-0000-0000-000049820000}"/>
    <cellStyle name="Normal 42 3 2 4" xfId="11078" xr:uid="{00000000-0005-0000-0000-00004A820000}"/>
    <cellStyle name="Normal 42 3 2 4 2" xfId="33721" xr:uid="{00000000-0005-0000-0000-00004B820000}"/>
    <cellStyle name="Normal 42 3 2 5" xfId="26280" xr:uid="{00000000-0005-0000-0000-00004C820000}"/>
    <cellStyle name="Normal 42 3 3" xfId="5505" xr:uid="{00000000-0005-0000-0000-00004D820000}"/>
    <cellStyle name="Normal 42 3 3 2" xfId="20389" xr:uid="{00000000-0005-0000-0000-00004E820000}"/>
    <cellStyle name="Normal 42 3 3 2 2" xfId="43032" xr:uid="{00000000-0005-0000-0000-00004F820000}"/>
    <cellStyle name="Normal 42 3 3 3" xfId="12949" xr:uid="{00000000-0005-0000-0000-000050820000}"/>
    <cellStyle name="Normal 42 3 3 3 2" xfId="35592" xr:uid="{00000000-0005-0000-0000-000051820000}"/>
    <cellStyle name="Normal 42 3 3 4" xfId="28151" xr:uid="{00000000-0005-0000-0000-000052820000}"/>
    <cellStyle name="Normal 42 3 4" xfId="16671" xr:uid="{00000000-0005-0000-0000-000053820000}"/>
    <cellStyle name="Normal 42 3 4 2" xfId="39314" xr:uid="{00000000-0005-0000-0000-000054820000}"/>
    <cellStyle name="Normal 42 3 5" xfId="9231" xr:uid="{00000000-0005-0000-0000-000055820000}"/>
    <cellStyle name="Normal 42 3 5 2" xfId="31874" xr:uid="{00000000-0005-0000-0000-000056820000}"/>
    <cellStyle name="Normal 42 3 6" xfId="24433" xr:uid="{00000000-0005-0000-0000-000057820000}"/>
    <cellStyle name="Normal 42 4" xfId="2706" xr:uid="{00000000-0005-0000-0000-000058820000}"/>
    <cellStyle name="Normal 42 4 2" xfId="6427" xr:uid="{00000000-0005-0000-0000-000059820000}"/>
    <cellStyle name="Normal 42 4 2 2" xfId="21311" xr:uid="{00000000-0005-0000-0000-00005A820000}"/>
    <cellStyle name="Normal 42 4 2 2 2" xfId="43954" xr:uid="{00000000-0005-0000-0000-00005B820000}"/>
    <cellStyle name="Normal 42 4 2 3" xfId="13871" xr:uid="{00000000-0005-0000-0000-00005C820000}"/>
    <cellStyle name="Normal 42 4 2 3 2" xfId="36514" xr:uid="{00000000-0005-0000-0000-00005D820000}"/>
    <cellStyle name="Normal 42 4 2 4" xfId="29073" xr:uid="{00000000-0005-0000-0000-00005E820000}"/>
    <cellStyle name="Normal 42 4 3" xfId="17593" xr:uid="{00000000-0005-0000-0000-00005F820000}"/>
    <cellStyle name="Normal 42 4 3 2" xfId="40236" xr:uid="{00000000-0005-0000-0000-000060820000}"/>
    <cellStyle name="Normal 42 4 4" xfId="10153" xr:uid="{00000000-0005-0000-0000-000061820000}"/>
    <cellStyle name="Normal 42 4 4 2" xfId="32796" xr:uid="{00000000-0005-0000-0000-000062820000}"/>
    <cellStyle name="Normal 42 4 5" xfId="25355" xr:uid="{00000000-0005-0000-0000-000063820000}"/>
    <cellStyle name="Normal 42 5" xfId="4580" xr:uid="{00000000-0005-0000-0000-000064820000}"/>
    <cellStyle name="Normal 42 5 2" xfId="19464" xr:uid="{00000000-0005-0000-0000-000065820000}"/>
    <cellStyle name="Normal 42 5 2 2" xfId="42107" xr:uid="{00000000-0005-0000-0000-000066820000}"/>
    <cellStyle name="Normal 42 5 3" xfId="12024" xr:uid="{00000000-0005-0000-0000-000067820000}"/>
    <cellStyle name="Normal 42 5 3 2" xfId="34667" xr:uid="{00000000-0005-0000-0000-000068820000}"/>
    <cellStyle name="Normal 42 5 4" xfId="27226" xr:uid="{00000000-0005-0000-0000-000069820000}"/>
    <cellStyle name="Normal 42 6" xfId="15746" xr:uid="{00000000-0005-0000-0000-00006A820000}"/>
    <cellStyle name="Normal 42 6 2" xfId="38389" xr:uid="{00000000-0005-0000-0000-00006B820000}"/>
    <cellStyle name="Normal 42 7" xfId="8306" xr:uid="{00000000-0005-0000-0000-00006C820000}"/>
    <cellStyle name="Normal 42 7 2" xfId="30949" xr:uid="{00000000-0005-0000-0000-00006D820000}"/>
    <cellStyle name="Normal 42 8" xfId="23508" xr:uid="{00000000-0005-0000-0000-00006E820000}"/>
    <cellStyle name="Normal 43" xfId="851" xr:uid="{00000000-0005-0000-0000-00006F820000}"/>
    <cellStyle name="Normal 43 2" xfId="1316" xr:uid="{00000000-0005-0000-0000-000070820000}"/>
    <cellStyle name="Normal 43 2 2" xfId="2244" xr:uid="{00000000-0005-0000-0000-000071820000}"/>
    <cellStyle name="Normal 43 2 2 2" xfId="4094" xr:uid="{00000000-0005-0000-0000-000072820000}"/>
    <cellStyle name="Normal 43 2 2 2 2" xfId="7815" xr:uid="{00000000-0005-0000-0000-000073820000}"/>
    <cellStyle name="Normal 43 2 2 2 2 2" xfId="22699" xr:uid="{00000000-0005-0000-0000-000074820000}"/>
    <cellStyle name="Normal 43 2 2 2 2 2 2" xfId="45342" xr:uid="{00000000-0005-0000-0000-000075820000}"/>
    <cellStyle name="Normal 43 2 2 2 2 3" xfId="15259" xr:uid="{00000000-0005-0000-0000-000076820000}"/>
    <cellStyle name="Normal 43 2 2 2 2 3 2" xfId="37902" xr:uid="{00000000-0005-0000-0000-000077820000}"/>
    <cellStyle name="Normal 43 2 2 2 2 4" xfId="30461" xr:uid="{00000000-0005-0000-0000-000078820000}"/>
    <cellStyle name="Normal 43 2 2 2 3" xfId="18981" xr:uid="{00000000-0005-0000-0000-000079820000}"/>
    <cellStyle name="Normal 43 2 2 2 3 2" xfId="41624" xr:uid="{00000000-0005-0000-0000-00007A820000}"/>
    <cellStyle name="Normal 43 2 2 2 4" xfId="11541" xr:uid="{00000000-0005-0000-0000-00007B820000}"/>
    <cellStyle name="Normal 43 2 2 2 4 2" xfId="34184" xr:uid="{00000000-0005-0000-0000-00007C820000}"/>
    <cellStyle name="Normal 43 2 2 2 5" xfId="26743" xr:uid="{00000000-0005-0000-0000-00007D820000}"/>
    <cellStyle name="Normal 43 2 2 3" xfId="5968" xr:uid="{00000000-0005-0000-0000-00007E820000}"/>
    <cellStyle name="Normal 43 2 2 3 2" xfId="20852" xr:uid="{00000000-0005-0000-0000-00007F820000}"/>
    <cellStyle name="Normal 43 2 2 3 2 2" xfId="43495" xr:uid="{00000000-0005-0000-0000-000080820000}"/>
    <cellStyle name="Normal 43 2 2 3 3" xfId="13412" xr:uid="{00000000-0005-0000-0000-000081820000}"/>
    <cellStyle name="Normal 43 2 2 3 3 2" xfId="36055" xr:uid="{00000000-0005-0000-0000-000082820000}"/>
    <cellStyle name="Normal 43 2 2 3 4" xfId="28614" xr:uid="{00000000-0005-0000-0000-000083820000}"/>
    <cellStyle name="Normal 43 2 2 4" xfId="17134" xr:uid="{00000000-0005-0000-0000-000084820000}"/>
    <cellStyle name="Normal 43 2 2 4 2" xfId="39777" xr:uid="{00000000-0005-0000-0000-000085820000}"/>
    <cellStyle name="Normal 43 2 2 5" xfId="9694" xr:uid="{00000000-0005-0000-0000-000086820000}"/>
    <cellStyle name="Normal 43 2 2 5 2" xfId="32337" xr:uid="{00000000-0005-0000-0000-000087820000}"/>
    <cellStyle name="Normal 43 2 2 6" xfId="24896" xr:uid="{00000000-0005-0000-0000-000088820000}"/>
    <cellStyle name="Normal 43 2 3" xfId="3169" xr:uid="{00000000-0005-0000-0000-000089820000}"/>
    <cellStyle name="Normal 43 2 3 2" xfId="6890" xr:uid="{00000000-0005-0000-0000-00008A820000}"/>
    <cellStyle name="Normal 43 2 3 2 2" xfId="21774" xr:uid="{00000000-0005-0000-0000-00008B820000}"/>
    <cellStyle name="Normal 43 2 3 2 2 2" xfId="44417" xr:uid="{00000000-0005-0000-0000-00008C820000}"/>
    <cellStyle name="Normal 43 2 3 2 3" xfId="14334" xr:uid="{00000000-0005-0000-0000-00008D820000}"/>
    <cellStyle name="Normal 43 2 3 2 3 2" xfId="36977" xr:uid="{00000000-0005-0000-0000-00008E820000}"/>
    <cellStyle name="Normal 43 2 3 2 4" xfId="29536" xr:uid="{00000000-0005-0000-0000-00008F820000}"/>
    <cellStyle name="Normal 43 2 3 3" xfId="18056" xr:uid="{00000000-0005-0000-0000-000090820000}"/>
    <cellStyle name="Normal 43 2 3 3 2" xfId="40699" xr:uid="{00000000-0005-0000-0000-000091820000}"/>
    <cellStyle name="Normal 43 2 3 4" xfId="10616" xr:uid="{00000000-0005-0000-0000-000092820000}"/>
    <cellStyle name="Normal 43 2 3 4 2" xfId="33259" xr:uid="{00000000-0005-0000-0000-000093820000}"/>
    <cellStyle name="Normal 43 2 3 5" xfId="25818" xr:uid="{00000000-0005-0000-0000-000094820000}"/>
    <cellStyle name="Normal 43 2 4" xfId="5043" xr:uid="{00000000-0005-0000-0000-000095820000}"/>
    <cellStyle name="Normal 43 2 4 2" xfId="19927" xr:uid="{00000000-0005-0000-0000-000096820000}"/>
    <cellStyle name="Normal 43 2 4 2 2" xfId="42570" xr:uid="{00000000-0005-0000-0000-000097820000}"/>
    <cellStyle name="Normal 43 2 4 3" xfId="12487" xr:uid="{00000000-0005-0000-0000-000098820000}"/>
    <cellStyle name="Normal 43 2 4 3 2" xfId="35130" xr:uid="{00000000-0005-0000-0000-000099820000}"/>
    <cellStyle name="Normal 43 2 4 4" xfId="27689" xr:uid="{00000000-0005-0000-0000-00009A820000}"/>
    <cellStyle name="Normal 43 2 5" xfId="16209" xr:uid="{00000000-0005-0000-0000-00009B820000}"/>
    <cellStyle name="Normal 43 2 5 2" xfId="38852" xr:uid="{00000000-0005-0000-0000-00009C820000}"/>
    <cellStyle name="Normal 43 2 6" xfId="8769" xr:uid="{00000000-0005-0000-0000-00009D820000}"/>
    <cellStyle name="Normal 43 2 6 2" xfId="31412" xr:uid="{00000000-0005-0000-0000-00009E820000}"/>
    <cellStyle name="Normal 43 2 7" xfId="23971" xr:uid="{00000000-0005-0000-0000-00009F820000}"/>
    <cellStyle name="Normal 43 3" xfId="1782" xr:uid="{00000000-0005-0000-0000-0000A0820000}"/>
    <cellStyle name="Normal 43 3 2" xfId="3632" xr:uid="{00000000-0005-0000-0000-0000A1820000}"/>
    <cellStyle name="Normal 43 3 2 2" xfId="7353" xr:uid="{00000000-0005-0000-0000-0000A2820000}"/>
    <cellStyle name="Normal 43 3 2 2 2" xfId="22237" xr:uid="{00000000-0005-0000-0000-0000A3820000}"/>
    <cellStyle name="Normal 43 3 2 2 2 2" xfId="44880" xr:uid="{00000000-0005-0000-0000-0000A4820000}"/>
    <cellStyle name="Normal 43 3 2 2 3" xfId="14797" xr:uid="{00000000-0005-0000-0000-0000A5820000}"/>
    <cellStyle name="Normal 43 3 2 2 3 2" xfId="37440" xr:uid="{00000000-0005-0000-0000-0000A6820000}"/>
    <cellStyle name="Normal 43 3 2 2 4" xfId="29999" xr:uid="{00000000-0005-0000-0000-0000A7820000}"/>
    <cellStyle name="Normal 43 3 2 3" xfId="18519" xr:uid="{00000000-0005-0000-0000-0000A8820000}"/>
    <cellStyle name="Normal 43 3 2 3 2" xfId="41162" xr:uid="{00000000-0005-0000-0000-0000A9820000}"/>
    <cellStyle name="Normal 43 3 2 4" xfId="11079" xr:uid="{00000000-0005-0000-0000-0000AA820000}"/>
    <cellStyle name="Normal 43 3 2 4 2" xfId="33722" xr:uid="{00000000-0005-0000-0000-0000AB820000}"/>
    <cellStyle name="Normal 43 3 2 5" xfId="26281" xr:uid="{00000000-0005-0000-0000-0000AC820000}"/>
    <cellStyle name="Normal 43 3 3" xfId="5506" xr:uid="{00000000-0005-0000-0000-0000AD820000}"/>
    <cellStyle name="Normal 43 3 3 2" xfId="20390" xr:uid="{00000000-0005-0000-0000-0000AE820000}"/>
    <cellStyle name="Normal 43 3 3 2 2" xfId="43033" xr:uid="{00000000-0005-0000-0000-0000AF820000}"/>
    <cellStyle name="Normal 43 3 3 3" xfId="12950" xr:uid="{00000000-0005-0000-0000-0000B0820000}"/>
    <cellStyle name="Normal 43 3 3 3 2" xfId="35593" xr:uid="{00000000-0005-0000-0000-0000B1820000}"/>
    <cellStyle name="Normal 43 3 3 4" xfId="28152" xr:uid="{00000000-0005-0000-0000-0000B2820000}"/>
    <cellStyle name="Normal 43 3 4" xfId="16672" xr:uid="{00000000-0005-0000-0000-0000B3820000}"/>
    <cellStyle name="Normal 43 3 4 2" xfId="39315" xr:uid="{00000000-0005-0000-0000-0000B4820000}"/>
    <cellStyle name="Normal 43 3 5" xfId="9232" xr:uid="{00000000-0005-0000-0000-0000B5820000}"/>
    <cellStyle name="Normal 43 3 5 2" xfId="31875" xr:uid="{00000000-0005-0000-0000-0000B6820000}"/>
    <cellStyle name="Normal 43 3 6" xfId="24434" xr:uid="{00000000-0005-0000-0000-0000B7820000}"/>
    <cellStyle name="Normal 43 4" xfId="2707" xr:uid="{00000000-0005-0000-0000-0000B8820000}"/>
    <cellStyle name="Normal 43 4 2" xfId="6428" xr:uid="{00000000-0005-0000-0000-0000B9820000}"/>
    <cellStyle name="Normal 43 4 2 2" xfId="21312" xr:uid="{00000000-0005-0000-0000-0000BA820000}"/>
    <cellStyle name="Normal 43 4 2 2 2" xfId="43955" xr:uid="{00000000-0005-0000-0000-0000BB820000}"/>
    <cellStyle name="Normal 43 4 2 3" xfId="13872" xr:uid="{00000000-0005-0000-0000-0000BC820000}"/>
    <cellStyle name="Normal 43 4 2 3 2" xfId="36515" xr:uid="{00000000-0005-0000-0000-0000BD820000}"/>
    <cellStyle name="Normal 43 4 2 4" xfId="29074" xr:uid="{00000000-0005-0000-0000-0000BE820000}"/>
    <cellStyle name="Normal 43 4 3" xfId="17594" xr:uid="{00000000-0005-0000-0000-0000BF820000}"/>
    <cellStyle name="Normal 43 4 3 2" xfId="40237" xr:uid="{00000000-0005-0000-0000-0000C0820000}"/>
    <cellStyle name="Normal 43 4 4" xfId="10154" xr:uid="{00000000-0005-0000-0000-0000C1820000}"/>
    <cellStyle name="Normal 43 4 4 2" xfId="32797" xr:uid="{00000000-0005-0000-0000-0000C2820000}"/>
    <cellStyle name="Normal 43 4 5" xfId="25356" xr:uid="{00000000-0005-0000-0000-0000C3820000}"/>
    <cellStyle name="Normal 43 5" xfId="4581" xr:uid="{00000000-0005-0000-0000-0000C4820000}"/>
    <cellStyle name="Normal 43 5 2" xfId="19465" xr:uid="{00000000-0005-0000-0000-0000C5820000}"/>
    <cellStyle name="Normal 43 5 2 2" xfId="42108" xr:uid="{00000000-0005-0000-0000-0000C6820000}"/>
    <cellStyle name="Normal 43 5 3" xfId="12025" xr:uid="{00000000-0005-0000-0000-0000C7820000}"/>
    <cellStyle name="Normal 43 5 3 2" xfId="34668" xr:uid="{00000000-0005-0000-0000-0000C8820000}"/>
    <cellStyle name="Normal 43 5 4" xfId="27227" xr:uid="{00000000-0005-0000-0000-0000C9820000}"/>
    <cellStyle name="Normal 43 6" xfId="15747" xr:uid="{00000000-0005-0000-0000-0000CA820000}"/>
    <cellStyle name="Normal 43 6 2" xfId="38390" xr:uid="{00000000-0005-0000-0000-0000CB820000}"/>
    <cellStyle name="Normal 43 7" xfId="8307" xr:uid="{00000000-0005-0000-0000-0000CC820000}"/>
    <cellStyle name="Normal 43 7 2" xfId="30950" xr:uid="{00000000-0005-0000-0000-0000CD820000}"/>
    <cellStyle name="Normal 43 8" xfId="23509" xr:uid="{00000000-0005-0000-0000-0000CE820000}"/>
    <cellStyle name="Normal 44" xfId="852" xr:uid="{00000000-0005-0000-0000-0000CF820000}"/>
    <cellStyle name="Normal 44 2" xfId="1317" xr:uid="{00000000-0005-0000-0000-0000D0820000}"/>
    <cellStyle name="Normal 44 2 2" xfId="2245" xr:uid="{00000000-0005-0000-0000-0000D1820000}"/>
    <cellStyle name="Normal 44 2 2 2" xfId="4095" xr:uid="{00000000-0005-0000-0000-0000D2820000}"/>
    <cellStyle name="Normal 44 2 2 2 2" xfId="7816" xr:uid="{00000000-0005-0000-0000-0000D3820000}"/>
    <cellStyle name="Normal 44 2 2 2 2 2" xfId="22700" xr:uid="{00000000-0005-0000-0000-0000D4820000}"/>
    <cellStyle name="Normal 44 2 2 2 2 2 2" xfId="45343" xr:uid="{00000000-0005-0000-0000-0000D5820000}"/>
    <cellStyle name="Normal 44 2 2 2 2 3" xfId="15260" xr:uid="{00000000-0005-0000-0000-0000D6820000}"/>
    <cellStyle name="Normal 44 2 2 2 2 3 2" xfId="37903" xr:uid="{00000000-0005-0000-0000-0000D7820000}"/>
    <cellStyle name="Normal 44 2 2 2 2 4" xfId="30462" xr:uid="{00000000-0005-0000-0000-0000D8820000}"/>
    <cellStyle name="Normal 44 2 2 2 3" xfId="18982" xr:uid="{00000000-0005-0000-0000-0000D9820000}"/>
    <cellStyle name="Normal 44 2 2 2 3 2" xfId="41625" xr:uid="{00000000-0005-0000-0000-0000DA820000}"/>
    <cellStyle name="Normal 44 2 2 2 4" xfId="11542" xr:uid="{00000000-0005-0000-0000-0000DB820000}"/>
    <cellStyle name="Normal 44 2 2 2 4 2" xfId="34185" xr:uid="{00000000-0005-0000-0000-0000DC820000}"/>
    <cellStyle name="Normal 44 2 2 2 5" xfId="26744" xr:uid="{00000000-0005-0000-0000-0000DD820000}"/>
    <cellStyle name="Normal 44 2 2 3" xfId="5969" xr:uid="{00000000-0005-0000-0000-0000DE820000}"/>
    <cellStyle name="Normal 44 2 2 3 2" xfId="20853" xr:uid="{00000000-0005-0000-0000-0000DF820000}"/>
    <cellStyle name="Normal 44 2 2 3 2 2" xfId="43496" xr:uid="{00000000-0005-0000-0000-0000E0820000}"/>
    <cellStyle name="Normal 44 2 2 3 3" xfId="13413" xr:uid="{00000000-0005-0000-0000-0000E1820000}"/>
    <cellStyle name="Normal 44 2 2 3 3 2" xfId="36056" xr:uid="{00000000-0005-0000-0000-0000E2820000}"/>
    <cellStyle name="Normal 44 2 2 3 4" xfId="28615" xr:uid="{00000000-0005-0000-0000-0000E3820000}"/>
    <cellStyle name="Normal 44 2 2 4" xfId="17135" xr:uid="{00000000-0005-0000-0000-0000E4820000}"/>
    <cellStyle name="Normal 44 2 2 4 2" xfId="39778" xr:uid="{00000000-0005-0000-0000-0000E5820000}"/>
    <cellStyle name="Normal 44 2 2 5" xfId="9695" xr:uid="{00000000-0005-0000-0000-0000E6820000}"/>
    <cellStyle name="Normal 44 2 2 5 2" xfId="32338" xr:uid="{00000000-0005-0000-0000-0000E7820000}"/>
    <cellStyle name="Normal 44 2 2 6" xfId="24897" xr:uid="{00000000-0005-0000-0000-0000E8820000}"/>
    <cellStyle name="Normal 44 2 3" xfId="3170" xr:uid="{00000000-0005-0000-0000-0000E9820000}"/>
    <cellStyle name="Normal 44 2 3 2" xfId="6891" xr:uid="{00000000-0005-0000-0000-0000EA820000}"/>
    <cellStyle name="Normal 44 2 3 2 2" xfId="21775" xr:uid="{00000000-0005-0000-0000-0000EB820000}"/>
    <cellStyle name="Normal 44 2 3 2 2 2" xfId="44418" xr:uid="{00000000-0005-0000-0000-0000EC820000}"/>
    <cellStyle name="Normal 44 2 3 2 3" xfId="14335" xr:uid="{00000000-0005-0000-0000-0000ED820000}"/>
    <cellStyle name="Normal 44 2 3 2 3 2" xfId="36978" xr:uid="{00000000-0005-0000-0000-0000EE820000}"/>
    <cellStyle name="Normal 44 2 3 2 4" xfId="29537" xr:uid="{00000000-0005-0000-0000-0000EF820000}"/>
    <cellStyle name="Normal 44 2 3 3" xfId="18057" xr:uid="{00000000-0005-0000-0000-0000F0820000}"/>
    <cellStyle name="Normal 44 2 3 3 2" xfId="40700" xr:uid="{00000000-0005-0000-0000-0000F1820000}"/>
    <cellStyle name="Normal 44 2 3 4" xfId="10617" xr:uid="{00000000-0005-0000-0000-0000F2820000}"/>
    <cellStyle name="Normal 44 2 3 4 2" xfId="33260" xr:uid="{00000000-0005-0000-0000-0000F3820000}"/>
    <cellStyle name="Normal 44 2 3 5" xfId="25819" xr:uid="{00000000-0005-0000-0000-0000F4820000}"/>
    <cellStyle name="Normal 44 2 4" xfId="5044" xr:uid="{00000000-0005-0000-0000-0000F5820000}"/>
    <cellStyle name="Normal 44 2 4 2" xfId="19928" xr:uid="{00000000-0005-0000-0000-0000F6820000}"/>
    <cellStyle name="Normal 44 2 4 2 2" xfId="42571" xr:uid="{00000000-0005-0000-0000-0000F7820000}"/>
    <cellStyle name="Normal 44 2 4 3" xfId="12488" xr:uid="{00000000-0005-0000-0000-0000F8820000}"/>
    <cellStyle name="Normal 44 2 4 3 2" xfId="35131" xr:uid="{00000000-0005-0000-0000-0000F9820000}"/>
    <cellStyle name="Normal 44 2 4 4" xfId="27690" xr:uid="{00000000-0005-0000-0000-0000FA820000}"/>
    <cellStyle name="Normal 44 2 5" xfId="16210" xr:uid="{00000000-0005-0000-0000-0000FB820000}"/>
    <cellStyle name="Normal 44 2 5 2" xfId="38853" xr:uid="{00000000-0005-0000-0000-0000FC820000}"/>
    <cellStyle name="Normal 44 2 6" xfId="8770" xr:uid="{00000000-0005-0000-0000-0000FD820000}"/>
    <cellStyle name="Normal 44 2 6 2" xfId="31413" xr:uid="{00000000-0005-0000-0000-0000FE820000}"/>
    <cellStyle name="Normal 44 2 7" xfId="23972" xr:uid="{00000000-0005-0000-0000-0000FF820000}"/>
    <cellStyle name="Normal 44 3" xfId="1783" xr:uid="{00000000-0005-0000-0000-000000830000}"/>
    <cellStyle name="Normal 44 3 2" xfId="3633" xr:uid="{00000000-0005-0000-0000-000001830000}"/>
    <cellStyle name="Normal 44 3 2 2" xfId="7354" xr:uid="{00000000-0005-0000-0000-000002830000}"/>
    <cellStyle name="Normal 44 3 2 2 2" xfId="22238" xr:uid="{00000000-0005-0000-0000-000003830000}"/>
    <cellStyle name="Normal 44 3 2 2 2 2" xfId="44881" xr:uid="{00000000-0005-0000-0000-000004830000}"/>
    <cellStyle name="Normal 44 3 2 2 3" xfId="14798" xr:uid="{00000000-0005-0000-0000-000005830000}"/>
    <cellStyle name="Normal 44 3 2 2 3 2" xfId="37441" xr:uid="{00000000-0005-0000-0000-000006830000}"/>
    <cellStyle name="Normal 44 3 2 2 4" xfId="30000" xr:uid="{00000000-0005-0000-0000-000007830000}"/>
    <cellStyle name="Normal 44 3 2 3" xfId="18520" xr:uid="{00000000-0005-0000-0000-000008830000}"/>
    <cellStyle name="Normal 44 3 2 3 2" xfId="41163" xr:uid="{00000000-0005-0000-0000-000009830000}"/>
    <cellStyle name="Normal 44 3 2 4" xfId="11080" xr:uid="{00000000-0005-0000-0000-00000A830000}"/>
    <cellStyle name="Normal 44 3 2 4 2" xfId="33723" xr:uid="{00000000-0005-0000-0000-00000B830000}"/>
    <cellStyle name="Normal 44 3 2 5" xfId="26282" xr:uid="{00000000-0005-0000-0000-00000C830000}"/>
    <cellStyle name="Normal 44 3 3" xfId="5507" xr:uid="{00000000-0005-0000-0000-00000D830000}"/>
    <cellStyle name="Normal 44 3 3 2" xfId="20391" xr:uid="{00000000-0005-0000-0000-00000E830000}"/>
    <cellStyle name="Normal 44 3 3 2 2" xfId="43034" xr:uid="{00000000-0005-0000-0000-00000F830000}"/>
    <cellStyle name="Normal 44 3 3 3" xfId="12951" xr:uid="{00000000-0005-0000-0000-000010830000}"/>
    <cellStyle name="Normal 44 3 3 3 2" xfId="35594" xr:uid="{00000000-0005-0000-0000-000011830000}"/>
    <cellStyle name="Normal 44 3 3 4" xfId="28153" xr:uid="{00000000-0005-0000-0000-000012830000}"/>
    <cellStyle name="Normal 44 3 4" xfId="16673" xr:uid="{00000000-0005-0000-0000-000013830000}"/>
    <cellStyle name="Normal 44 3 4 2" xfId="39316" xr:uid="{00000000-0005-0000-0000-000014830000}"/>
    <cellStyle name="Normal 44 3 5" xfId="9233" xr:uid="{00000000-0005-0000-0000-000015830000}"/>
    <cellStyle name="Normal 44 3 5 2" xfId="31876" xr:uid="{00000000-0005-0000-0000-000016830000}"/>
    <cellStyle name="Normal 44 3 6" xfId="24435" xr:uid="{00000000-0005-0000-0000-000017830000}"/>
    <cellStyle name="Normal 44 4" xfId="2708" xr:uid="{00000000-0005-0000-0000-000018830000}"/>
    <cellStyle name="Normal 44 4 2" xfId="6429" xr:uid="{00000000-0005-0000-0000-000019830000}"/>
    <cellStyle name="Normal 44 4 2 2" xfId="21313" xr:uid="{00000000-0005-0000-0000-00001A830000}"/>
    <cellStyle name="Normal 44 4 2 2 2" xfId="43956" xr:uid="{00000000-0005-0000-0000-00001B830000}"/>
    <cellStyle name="Normal 44 4 2 3" xfId="13873" xr:uid="{00000000-0005-0000-0000-00001C830000}"/>
    <cellStyle name="Normal 44 4 2 3 2" xfId="36516" xr:uid="{00000000-0005-0000-0000-00001D830000}"/>
    <cellStyle name="Normal 44 4 2 4" xfId="29075" xr:uid="{00000000-0005-0000-0000-00001E830000}"/>
    <cellStyle name="Normal 44 4 3" xfId="17595" xr:uid="{00000000-0005-0000-0000-00001F830000}"/>
    <cellStyle name="Normal 44 4 3 2" xfId="40238" xr:uid="{00000000-0005-0000-0000-000020830000}"/>
    <cellStyle name="Normal 44 4 4" xfId="10155" xr:uid="{00000000-0005-0000-0000-000021830000}"/>
    <cellStyle name="Normal 44 4 4 2" xfId="32798" xr:uid="{00000000-0005-0000-0000-000022830000}"/>
    <cellStyle name="Normal 44 4 5" xfId="25357" xr:uid="{00000000-0005-0000-0000-000023830000}"/>
    <cellStyle name="Normal 44 5" xfId="4582" xr:uid="{00000000-0005-0000-0000-000024830000}"/>
    <cellStyle name="Normal 44 5 2" xfId="19466" xr:uid="{00000000-0005-0000-0000-000025830000}"/>
    <cellStyle name="Normal 44 5 2 2" xfId="42109" xr:uid="{00000000-0005-0000-0000-000026830000}"/>
    <cellStyle name="Normal 44 5 3" xfId="12026" xr:uid="{00000000-0005-0000-0000-000027830000}"/>
    <cellStyle name="Normal 44 5 3 2" xfId="34669" xr:uid="{00000000-0005-0000-0000-000028830000}"/>
    <cellStyle name="Normal 44 5 4" xfId="27228" xr:uid="{00000000-0005-0000-0000-000029830000}"/>
    <cellStyle name="Normal 44 6" xfId="15748" xr:uid="{00000000-0005-0000-0000-00002A830000}"/>
    <cellStyle name="Normal 44 6 2" xfId="38391" xr:uid="{00000000-0005-0000-0000-00002B830000}"/>
    <cellStyle name="Normal 44 7" xfId="8308" xr:uid="{00000000-0005-0000-0000-00002C830000}"/>
    <cellStyle name="Normal 44 7 2" xfId="30951" xr:uid="{00000000-0005-0000-0000-00002D830000}"/>
    <cellStyle name="Normal 44 8" xfId="23510" xr:uid="{00000000-0005-0000-0000-00002E830000}"/>
    <cellStyle name="Normal 45" xfId="853" xr:uid="{00000000-0005-0000-0000-00002F830000}"/>
    <cellStyle name="Normal 45 2" xfId="1318" xr:uid="{00000000-0005-0000-0000-000030830000}"/>
    <cellStyle name="Normal 45 2 2" xfId="2246" xr:uid="{00000000-0005-0000-0000-000031830000}"/>
    <cellStyle name="Normal 45 2 2 2" xfId="4096" xr:uid="{00000000-0005-0000-0000-000032830000}"/>
    <cellStyle name="Normal 45 2 2 2 2" xfId="7817" xr:uid="{00000000-0005-0000-0000-000033830000}"/>
    <cellStyle name="Normal 45 2 2 2 2 2" xfId="22701" xr:uid="{00000000-0005-0000-0000-000034830000}"/>
    <cellStyle name="Normal 45 2 2 2 2 2 2" xfId="45344" xr:uid="{00000000-0005-0000-0000-000035830000}"/>
    <cellStyle name="Normal 45 2 2 2 2 3" xfId="15261" xr:uid="{00000000-0005-0000-0000-000036830000}"/>
    <cellStyle name="Normal 45 2 2 2 2 3 2" xfId="37904" xr:uid="{00000000-0005-0000-0000-000037830000}"/>
    <cellStyle name="Normal 45 2 2 2 2 4" xfId="30463" xr:uid="{00000000-0005-0000-0000-000038830000}"/>
    <cellStyle name="Normal 45 2 2 2 3" xfId="18983" xr:uid="{00000000-0005-0000-0000-000039830000}"/>
    <cellStyle name="Normal 45 2 2 2 3 2" xfId="41626" xr:uid="{00000000-0005-0000-0000-00003A830000}"/>
    <cellStyle name="Normal 45 2 2 2 4" xfId="11543" xr:uid="{00000000-0005-0000-0000-00003B830000}"/>
    <cellStyle name="Normal 45 2 2 2 4 2" xfId="34186" xr:uid="{00000000-0005-0000-0000-00003C830000}"/>
    <cellStyle name="Normal 45 2 2 2 5" xfId="26745" xr:uid="{00000000-0005-0000-0000-00003D830000}"/>
    <cellStyle name="Normal 45 2 2 3" xfId="5970" xr:uid="{00000000-0005-0000-0000-00003E830000}"/>
    <cellStyle name="Normal 45 2 2 3 2" xfId="20854" xr:uid="{00000000-0005-0000-0000-00003F830000}"/>
    <cellStyle name="Normal 45 2 2 3 2 2" xfId="43497" xr:uid="{00000000-0005-0000-0000-000040830000}"/>
    <cellStyle name="Normal 45 2 2 3 3" xfId="13414" xr:uid="{00000000-0005-0000-0000-000041830000}"/>
    <cellStyle name="Normal 45 2 2 3 3 2" xfId="36057" xr:uid="{00000000-0005-0000-0000-000042830000}"/>
    <cellStyle name="Normal 45 2 2 3 4" xfId="28616" xr:uid="{00000000-0005-0000-0000-000043830000}"/>
    <cellStyle name="Normal 45 2 2 4" xfId="17136" xr:uid="{00000000-0005-0000-0000-000044830000}"/>
    <cellStyle name="Normal 45 2 2 4 2" xfId="39779" xr:uid="{00000000-0005-0000-0000-000045830000}"/>
    <cellStyle name="Normal 45 2 2 5" xfId="9696" xr:uid="{00000000-0005-0000-0000-000046830000}"/>
    <cellStyle name="Normal 45 2 2 5 2" xfId="32339" xr:uid="{00000000-0005-0000-0000-000047830000}"/>
    <cellStyle name="Normal 45 2 2 6" xfId="24898" xr:uid="{00000000-0005-0000-0000-000048830000}"/>
    <cellStyle name="Normal 45 2 3" xfId="3171" xr:uid="{00000000-0005-0000-0000-000049830000}"/>
    <cellStyle name="Normal 45 2 3 2" xfId="6892" xr:uid="{00000000-0005-0000-0000-00004A830000}"/>
    <cellStyle name="Normal 45 2 3 2 2" xfId="21776" xr:uid="{00000000-0005-0000-0000-00004B830000}"/>
    <cellStyle name="Normal 45 2 3 2 2 2" xfId="44419" xr:uid="{00000000-0005-0000-0000-00004C830000}"/>
    <cellStyle name="Normal 45 2 3 2 3" xfId="14336" xr:uid="{00000000-0005-0000-0000-00004D830000}"/>
    <cellStyle name="Normal 45 2 3 2 3 2" xfId="36979" xr:uid="{00000000-0005-0000-0000-00004E830000}"/>
    <cellStyle name="Normal 45 2 3 2 4" xfId="29538" xr:uid="{00000000-0005-0000-0000-00004F830000}"/>
    <cellStyle name="Normal 45 2 3 3" xfId="18058" xr:uid="{00000000-0005-0000-0000-000050830000}"/>
    <cellStyle name="Normal 45 2 3 3 2" xfId="40701" xr:uid="{00000000-0005-0000-0000-000051830000}"/>
    <cellStyle name="Normal 45 2 3 4" xfId="10618" xr:uid="{00000000-0005-0000-0000-000052830000}"/>
    <cellStyle name="Normal 45 2 3 4 2" xfId="33261" xr:uid="{00000000-0005-0000-0000-000053830000}"/>
    <cellStyle name="Normal 45 2 3 5" xfId="25820" xr:uid="{00000000-0005-0000-0000-000054830000}"/>
    <cellStyle name="Normal 45 2 4" xfId="5045" xr:uid="{00000000-0005-0000-0000-000055830000}"/>
    <cellStyle name="Normal 45 2 4 2" xfId="19929" xr:uid="{00000000-0005-0000-0000-000056830000}"/>
    <cellStyle name="Normal 45 2 4 2 2" xfId="42572" xr:uid="{00000000-0005-0000-0000-000057830000}"/>
    <cellStyle name="Normal 45 2 4 3" xfId="12489" xr:uid="{00000000-0005-0000-0000-000058830000}"/>
    <cellStyle name="Normal 45 2 4 3 2" xfId="35132" xr:uid="{00000000-0005-0000-0000-000059830000}"/>
    <cellStyle name="Normal 45 2 4 4" xfId="27691" xr:uid="{00000000-0005-0000-0000-00005A830000}"/>
    <cellStyle name="Normal 45 2 5" xfId="16211" xr:uid="{00000000-0005-0000-0000-00005B830000}"/>
    <cellStyle name="Normal 45 2 5 2" xfId="38854" xr:uid="{00000000-0005-0000-0000-00005C830000}"/>
    <cellStyle name="Normal 45 2 6" xfId="8771" xr:uid="{00000000-0005-0000-0000-00005D830000}"/>
    <cellStyle name="Normal 45 2 6 2" xfId="31414" xr:uid="{00000000-0005-0000-0000-00005E830000}"/>
    <cellStyle name="Normal 45 2 7" xfId="23973" xr:uid="{00000000-0005-0000-0000-00005F830000}"/>
    <cellStyle name="Normal 45 3" xfId="1784" xr:uid="{00000000-0005-0000-0000-000060830000}"/>
    <cellStyle name="Normal 45 3 2" xfId="3634" xr:uid="{00000000-0005-0000-0000-000061830000}"/>
    <cellStyle name="Normal 45 3 2 2" xfId="7355" xr:uid="{00000000-0005-0000-0000-000062830000}"/>
    <cellStyle name="Normal 45 3 2 2 2" xfId="22239" xr:uid="{00000000-0005-0000-0000-000063830000}"/>
    <cellStyle name="Normal 45 3 2 2 2 2" xfId="44882" xr:uid="{00000000-0005-0000-0000-000064830000}"/>
    <cellStyle name="Normal 45 3 2 2 3" xfId="14799" xr:uid="{00000000-0005-0000-0000-000065830000}"/>
    <cellStyle name="Normal 45 3 2 2 3 2" xfId="37442" xr:uid="{00000000-0005-0000-0000-000066830000}"/>
    <cellStyle name="Normal 45 3 2 2 4" xfId="30001" xr:uid="{00000000-0005-0000-0000-000067830000}"/>
    <cellStyle name="Normal 45 3 2 3" xfId="18521" xr:uid="{00000000-0005-0000-0000-000068830000}"/>
    <cellStyle name="Normal 45 3 2 3 2" xfId="41164" xr:uid="{00000000-0005-0000-0000-000069830000}"/>
    <cellStyle name="Normal 45 3 2 4" xfId="11081" xr:uid="{00000000-0005-0000-0000-00006A830000}"/>
    <cellStyle name="Normal 45 3 2 4 2" xfId="33724" xr:uid="{00000000-0005-0000-0000-00006B830000}"/>
    <cellStyle name="Normal 45 3 2 5" xfId="26283" xr:uid="{00000000-0005-0000-0000-00006C830000}"/>
    <cellStyle name="Normal 45 3 3" xfId="5508" xr:uid="{00000000-0005-0000-0000-00006D830000}"/>
    <cellStyle name="Normal 45 3 3 2" xfId="20392" xr:uid="{00000000-0005-0000-0000-00006E830000}"/>
    <cellStyle name="Normal 45 3 3 2 2" xfId="43035" xr:uid="{00000000-0005-0000-0000-00006F830000}"/>
    <cellStyle name="Normal 45 3 3 3" xfId="12952" xr:uid="{00000000-0005-0000-0000-000070830000}"/>
    <cellStyle name="Normal 45 3 3 3 2" xfId="35595" xr:uid="{00000000-0005-0000-0000-000071830000}"/>
    <cellStyle name="Normal 45 3 3 4" xfId="28154" xr:uid="{00000000-0005-0000-0000-000072830000}"/>
    <cellStyle name="Normal 45 3 4" xfId="16674" xr:uid="{00000000-0005-0000-0000-000073830000}"/>
    <cellStyle name="Normal 45 3 4 2" xfId="39317" xr:uid="{00000000-0005-0000-0000-000074830000}"/>
    <cellStyle name="Normal 45 3 5" xfId="9234" xr:uid="{00000000-0005-0000-0000-000075830000}"/>
    <cellStyle name="Normal 45 3 5 2" xfId="31877" xr:uid="{00000000-0005-0000-0000-000076830000}"/>
    <cellStyle name="Normal 45 3 6" xfId="24436" xr:uid="{00000000-0005-0000-0000-000077830000}"/>
    <cellStyle name="Normal 45 4" xfId="2709" xr:uid="{00000000-0005-0000-0000-000078830000}"/>
    <cellStyle name="Normal 45 4 2" xfId="6430" xr:uid="{00000000-0005-0000-0000-000079830000}"/>
    <cellStyle name="Normal 45 4 2 2" xfId="21314" xr:uid="{00000000-0005-0000-0000-00007A830000}"/>
    <cellStyle name="Normal 45 4 2 2 2" xfId="43957" xr:uid="{00000000-0005-0000-0000-00007B830000}"/>
    <cellStyle name="Normal 45 4 2 3" xfId="13874" xr:uid="{00000000-0005-0000-0000-00007C830000}"/>
    <cellStyle name="Normal 45 4 2 3 2" xfId="36517" xr:uid="{00000000-0005-0000-0000-00007D830000}"/>
    <cellStyle name="Normal 45 4 2 4" xfId="29076" xr:uid="{00000000-0005-0000-0000-00007E830000}"/>
    <cellStyle name="Normal 45 4 3" xfId="17596" xr:uid="{00000000-0005-0000-0000-00007F830000}"/>
    <cellStyle name="Normal 45 4 3 2" xfId="40239" xr:uid="{00000000-0005-0000-0000-000080830000}"/>
    <cellStyle name="Normal 45 4 4" xfId="10156" xr:uid="{00000000-0005-0000-0000-000081830000}"/>
    <cellStyle name="Normal 45 4 4 2" xfId="32799" xr:uid="{00000000-0005-0000-0000-000082830000}"/>
    <cellStyle name="Normal 45 4 5" xfId="25358" xr:uid="{00000000-0005-0000-0000-000083830000}"/>
    <cellStyle name="Normal 45 5" xfId="4583" xr:uid="{00000000-0005-0000-0000-000084830000}"/>
    <cellStyle name="Normal 45 5 2" xfId="19467" xr:uid="{00000000-0005-0000-0000-000085830000}"/>
    <cellStyle name="Normal 45 5 2 2" xfId="42110" xr:uid="{00000000-0005-0000-0000-000086830000}"/>
    <cellStyle name="Normal 45 5 3" xfId="12027" xr:uid="{00000000-0005-0000-0000-000087830000}"/>
    <cellStyle name="Normal 45 5 3 2" xfId="34670" xr:uid="{00000000-0005-0000-0000-000088830000}"/>
    <cellStyle name="Normal 45 5 4" xfId="27229" xr:uid="{00000000-0005-0000-0000-000089830000}"/>
    <cellStyle name="Normal 45 6" xfId="15749" xr:uid="{00000000-0005-0000-0000-00008A830000}"/>
    <cellStyle name="Normal 45 6 2" xfId="38392" xr:uid="{00000000-0005-0000-0000-00008B830000}"/>
    <cellStyle name="Normal 45 7" xfId="8309" xr:uid="{00000000-0005-0000-0000-00008C830000}"/>
    <cellStyle name="Normal 45 7 2" xfId="30952" xr:uid="{00000000-0005-0000-0000-00008D830000}"/>
    <cellStyle name="Normal 45 8" xfId="23511" xr:uid="{00000000-0005-0000-0000-00008E830000}"/>
    <cellStyle name="Normal 46" xfId="854" xr:uid="{00000000-0005-0000-0000-00008F830000}"/>
    <cellStyle name="Normal 46 2" xfId="1319" xr:uid="{00000000-0005-0000-0000-000090830000}"/>
    <cellStyle name="Normal 46 2 2" xfId="2247" xr:uid="{00000000-0005-0000-0000-000091830000}"/>
    <cellStyle name="Normal 46 2 2 2" xfId="4097" xr:uid="{00000000-0005-0000-0000-000092830000}"/>
    <cellStyle name="Normal 46 2 2 2 2" xfId="7818" xr:uid="{00000000-0005-0000-0000-000093830000}"/>
    <cellStyle name="Normal 46 2 2 2 2 2" xfId="22702" xr:uid="{00000000-0005-0000-0000-000094830000}"/>
    <cellStyle name="Normal 46 2 2 2 2 2 2" xfId="45345" xr:uid="{00000000-0005-0000-0000-000095830000}"/>
    <cellStyle name="Normal 46 2 2 2 2 3" xfId="15262" xr:uid="{00000000-0005-0000-0000-000096830000}"/>
    <cellStyle name="Normal 46 2 2 2 2 3 2" xfId="37905" xr:uid="{00000000-0005-0000-0000-000097830000}"/>
    <cellStyle name="Normal 46 2 2 2 2 4" xfId="30464" xr:uid="{00000000-0005-0000-0000-000098830000}"/>
    <cellStyle name="Normal 46 2 2 2 3" xfId="18984" xr:uid="{00000000-0005-0000-0000-000099830000}"/>
    <cellStyle name="Normal 46 2 2 2 3 2" xfId="41627" xr:uid="{00000000-0005-0000-0000-00009A830000}"/>
    <cellStyle name="Normal 46 2 2 2 4" xfId="11544" xr:uid="{00000000-0005-0000-0000-00009B830000}"/>
    <cellStyle name="Normal 46 2 2 2 4 2" xfId="34187" xr:uid="{00000000-0005-0000-0000-00009C830000}"/>
    <cellStyle name="Normal 46 2 2 2 5" xfId="26746" xr:uid="{00000000-0005-0000-0000-00009D830000}"/>
    <cellStyle name="Normal 46 2 2 3" xfId="5971" xr:uid="{00000000-0005-0000-0000-00009E830000}"/>
    <cellStyle name="Normal 46 2 2 3 2" xfId="20855" xr:uid="{00000000-0005-0000-0000-00009F830000}"/>
    <cellStyle name="Normal 46 2 2 3 2 2" xfId="43498" xr:uid="{00000000-0005-0000-0000-0000A0830000}"/>
    <cellStyle name="Normal 46 2 2 3 3" xfId="13415" xr:uid="{00000000-0005-0000-0000-0000A1830000}"/>
    <cellStyle name="Normal 46 2 2 3 3 2" xfId="36058" xr:uid="{00000000-0005-0000-0000-0000A2830000}"/>
    <cellStyle name="Normal 46 2 2 3 4" xfId="28617" xr:uid="{00000000-0005-0000-0000-0000A3830000}"/>
    <cellStyle name="Normal 46 2 2 4" xfId="17137" xr:uid="{00000000-0005-0000-0000-0000A4830000}"/>
    <cellStyle name="Normal 46 2 2 4 2" xfId="39780" xr:uid="{00000000-0005-0000-0000-0000A5830000}"/>
    <cellStyle name="Normal 46 2 2 5" xfId="9697" xr:uid="{00000000-0005-0000-0000-0000A6830000}"/>
    <cellStyle name="Normal 46 2 2 5 2" xfId="32340" xr:uid="{00000000-0005-0000-0000-0000A7830000}"/>
    <cellStyle name="Normal 46 2 2 6" xfId="24899" xr:uid="{00000000-0005-0000-0000-0000A8830000}"/>
    <cellStyle name="Normal 46 2 3" xfId="3172" xr:uid="{00000000-0005-0000-0000-0000A9830000}"/>
    <cellStyle name="Normal 46 2 3 2" xfId="6893" xr:uid="{00000000-0005-0000-0000-0000AA830000}"/>
    <cellStyle name="Normal 46 2 3 2 2" xfId="21777" xr:uid="{00000000-0005-0000-0000-0000AB830000}"/>
    <cellStyle name="Normal 46 2 3 2 2 2" xfId="44420" xr:uid="{00000000-0005-0000-0000-0000AC830000}"/>
    <cellStyle name="Normal 46 2 3 2 3" xfId="14337" xr:uid="{00000000-0005-0000-0000-0000AD830000}"/>
    <cellStyle name="Normal 46 2 3 2 3 2" xfId="36980" xr:uid="{00000000-0005-0000-0000-0000AE830000}"/>
    <cellStyle name="Normal 46 2 3 2 4" xfId="29539" xr:uid="{00000000-0005-0000-0000-0000AF830000}"/>
    <cellStyle name="Normal 46 2 3 3" xfId="18059" xr:uid="{00000000-0005-0000-0000-0000B0830000}"/>
    <cellStyle name="Normal 46 2 3 3 2" xfId="40702" xr:uid="{00000000-0005-0000-0000-0000B1830000}"/>
    <cellStyle name="Normal 46 2 3 4" xfId="10619" xr:uid="{00000000-0005-0000-0000-0000B2830000}"/>
    <cellStyle name="Normal 46 2 3 4 2" xfId="33262" xr:uid="{00000000-0005-0000-0000-0000B3830000}"/>
    <cellStyle name="Normal 46 2 3 5" xfId="25821" xr:uid="{00000000-0005-0000-0000-0000B4830000}"/>
    <cellStyle name="Normal 46 2 4" xfId="5046" xr:uid="{00000000-0005-0000-0000-0000B5830000}"/>
    <cellStyle name="Normal 46 2 4 2" xfId="19930" xr:uid="{00000000-0005-0000-0000-0000B6830000}"/>
    <cellStyle name="Normal 46 2 4 2 2" xfId="42573" xr:uid="{00000000-0005-0000-0000-0000B7830000}"/>
    <cellStyle name="Normal 46 2 4 3" xfId="12490" xr:uid="{00000000-0005-0000-0000-0000B8830000}"/>
    <cellStyle name="Normal 46 2 4 3 2" xfId="35133" xr:uid="{00000000-0005-0000-0000-0000B9830000}"/>
    <cellStyle name="Normal 46 2 4 4" xfId="27692" xr:uid="{00000000-0005-0000-0000-0000BA830000}"/>
    <cellStyle name="Normal 46 2 5" xfId="16212" xr:uid="{00000000-0005-0000-0000-0000BB830000}"/>
    <cellStyle name="Normal 46 2 5 2" xfId="38855" xr:uid="{00000000-0005-0000-0000-0000BC830000}"/>
    <cellStyle name="Normal 46 2 6" xfId="8772" xr:uid="{00000000-0005-0000-0000-0000BD830000}"/>
    <cellStyle name="Normal 46 2 6 2" xfId="31415" xr:uid="{00000000-0005-0000-0000-0000BE830000}"/>
    <cellStyle name="Normal 46 2 7" xfId="23974" xr:uid="{00000000-0005-0000-0000-0000BF830000}"/>
    <cellStyle name="Normal 46 3" xfId="1785" xr:uid="{00000000-0005-0000-0000-0000C0830000}"/>
    <cellStyle name="Normal 46 3 2" xfId="3635" xr:uid="{00000000-0005-0000-0000-0000C1830000}"/>
    <cellStyle name="Normal 46 3 2 2" xfId="7356" xr:uid="{00000000-0005-0000-0000-0000C2830000}"/>
    <cellStyle name="Normal 46 3 2 2 2" xfId="22240" xr:uid="{00000000-0005-0000-0000-0000C3830000}"/>
    <cellStyle name="Normal 46 3 2 2 2 2" xfId="44883" xr:uid="{00000000-0005-0000-0000-0000C4830000}"/>
    <cellStyle name="Normal 46 3 2 2 3" xfId="14800" xr:uid="{00000000-0005-0000-0000-0000C5830000}"/>
    <cellStyle name="Normal 46 3 2 2 3 2" xfId="37443" xr:uid="{00000000-0005-0000-0000-0000C6830000}"/>
    <cellStyle name="Normal 46 3 2 2 4" xfId="30002" xr:uid="{00000000-0005-0000-0000-0000C7830000}"/>
    <cellStyle name="Normal 46 3 2 3" xfId="18522" xr:uid="{00000000-0005-0000-0000-0000C8830000}"/>
    <cellStyle name="Normal 46 3 2 3 2" xfId="41165" xr:uid="{00000000-0005-0000-0000-0000C9830000}"/>
    <cellStyle name="Normal 46 3 2 4" xfId="11082" xr:uid="{00000000-0005-0000-0000-0000CA830000}"/>
    <cellStyle name="Normal 46 3 2 4 2" xfId="33725" xr:uid="{00000000-0005-0000-0000-0000CB830000}"/>
    <cellStyle name="Normal 46 3 2 5" xfId="26284" xr:uid="{00000000-0005-0000-0000-0000CC830000}"/>
    <cellStyle name="Normal 46 3 3" xfId="5509" xr:uid="{00000000-0005-0000-0000-0000CD830000}"/>
    <cellStyle name="Normal 46 3 3 2" xfId="20393" xr:uid="{00000000-0005-0000-0000-0000CE830000}"/>
    <cellStyle name="Normal 46 3 3 2 2" xfId="43036" xr:uid="{00000000-0005-0000-0000-0000CF830000}"/>
    <cellStyle name="Normal 46 3 3 3" xfId="12953" xr:uid="{00000000-0005-0000-0000-0000D0830000}"/>
    <cellStyle name="Normal 46 3 3 3 2" xfId="35596" xr:uid="{00000000-0005-0000-0000-0000D1830000}"/>
    <cellStyle name="Normal 46 3 3 4" xfId="28155" xr:uid="{00000000-0005-0000-0000-0000D2830000}"/>
    <cellStyle name="Normal 46 3 4" xfId="16675" xr:uid="{00000000-0005-0000-0000-0000D3830000}"/>
    <cellStyle name="Normal 46 3 4 2" xfId="39318" xr:uid="{00000000-0005-0000-0000-0000D4830000}"/>
    <cellStyle name="Normal 46 3 5" xfId="9235" xr:uid="{00000000-0005-0000-0000-0000D5830000}"/>
    <cellStyle name="Normal 46 3 5 2" xfId="31878" xr:uid="{00000000-0005-0000-0000-0000D6830000}"/>
    <cellStyle name="Normal 46 3 6" xfId="24437" xr:uid="{00000000-0005-0000-0000-0000D7830000}"/>
    <cellStyle name="Normal 46 4" xfId="2710" xr:uid="{00000000-0005-0000-0000-0000D8830000}"/>
    <cellStyle name="Normal 46 4 2" xfId="6431" xr:uid="{00000000-0005-0000-0000-0000D9830000}"/>
    <cellStyle name="Normal 46 4 2 2" xfId="21315" xr:uid="{00000000-0005-0000-0000-0000DA830000}"/>
    <cellStyle name="Normal 46 4 2 2 2" xfId="43958" xr:uid="{00000000-0005-0000-0000-0000DB830000}"/>
    <cellStyle name="Normal 46 4 2 3" xfId="13875" xr:uid="{00000000-0005-0000-0000-0000DC830000}"/>
    <cellStyle name="Normal 46 4 2 3 2" xfId="36518" xr:uid="{00000000-0005-0000-0000-0000DD830000}"/>
    <cellStyle name="Normal 46 4 2 4" xfId="29077" xr:uid="{00000000-0005-0000-0000-0000DE830000}"/>
    <cellStyle name="Normal 46 4 3" xfId="17597" xr:uid="{00000000-0005-0000-0000-0000DF830000}"/>
    <cellStyle name="Normal 46 4 3 2" xfId="40240" xr:uid="{00000000-0005-0000-0000-0000E0830000}"/>
    <cellStyle name="Normal 46 4 4" xfId="10157" xr:uid="{00000000-0005-0000-0000-0000E1830000}"/>
    <cellStyle name="Normal 46 4 4 2" xfId="32800" xr:uid="{00000000-0005-0000-0000-0000E2830000}"/>
    <cellStyle name="Normal 46 4 5" xfId="25359" xr:uid="{00000000-0005-0000-0000-0000E3830000}"/>
    <cellStyle name="Normal 46 5" xfId="4584" xr:uid="{00000000-0005-0000-0000-0000E4830000}"/>
    <cellStyle name="Normal 46 5 2" xfId="19468" xr:uid="{00000000-0005-0000-0000-0000E5830000}"/>
    <cellStyle name="Normal 46 5 2 2" xfId="42111" xr:uid="{00000000-0005-0000-0000-0000E6830000}"/>
    <cellStyle name="Normal 46 5 3" xfId="12028" xr:uid="{00000000-0005-0000-0000-0000E7830000}"/>
    <cellStyle name="Normal 46 5 3 2" xfId="34671" xr:uid="{00000000-0005-0000-0000-0000E8830000}"/>
    <cellStyle name="Normal 46 5 4" xfId="27230" xr:uid="{00000000-0005-0000-0000-0000E9830000}"/>
    <cellStyle name="Normal 46 6" xfId="15750" xr:uid="{00000000-0005-0000-0000-0000EA830000}"/>
    <cellStyle name="Normal 46 6 2" xfId="38393" xr:uid="{00000000-0005-0000-0000-0000EB830000}"/>
    <cellStyle name="Normal 46 7" xfId="8310" xr:uid="{00000000-0005-0000-0000-0000EC830000}"/>
    <cellStyle name="Normal 46 7 2" xfId="30953" xr:uid="{00000000-0005-0000-0000-0000ED830000}"/>
    <cellStyle name="Normal 46 8" xfId="23512" xr:uid="{00000000-0005-0000-0000-0000EE830000}"/>
    <cellStyle name="Normal 47" xfId="855" xr:uid="{00000000-0005-0000-0000-0000EF830000}"/>
    <cellStyle name="Normal 47 2" xfId="1320" xr:uid="{00000000-0005-0000-0000-0000F0830000}"/>
    <cellStyle name="Normal 47 2 2" xfId="2248" xr:uid="{00000000-0005-0000-0000-0000F1830000}"/>
    <cellStyle name="Normal 47 2 2 2" xfId="4098" xr:uid="{00000000-0005-0000-0000-0000F2830000}"/>
    <cellStyle name="Normal 47 2 2 2 2" xfId="7819" xr:uid="{00000000-0005-0000-0000-0000F3830000}"/>
    <cellStyle name="Normal 47 2 2 2 2 2" xfId="22703" xr:uid="{00000000-0005-0000-0000-0000F4830000}"/>
    <cellStyle name="Normal 47 2 2 2 2 2 2" xfId="45346" xr:uid="{00000000-0005-0000-0000-0000F5830000}"/>
    <cellStyle name="Normal 47 2 2 2 2 3" xfId="15263" xr:uid="{00000000-0005-0000-0000-0000F6830000}"/>
    <cellStyle name="Normal 47 2 2 2 2 3 2" xfId="37906" xr:uid="{00000000-0005-0000-0000-0000F7830000}"/>
    <cellStyle name="Normal 47 2 2 2 2 4" xfId="30465" xr:uid="{00000000-0005-0000-0000-0000F8830000}"/>
    <cellStyle name="Normal 47 2 2 2 3" xfId="18985" xr:uid="{00000000-0005-0000-0000-0000F9830000}"/>
    <cellStyle name="Normal 47 2 2 2 3 2" xfId="41628" xr:uid="{00000000-0005-0000-0000-0000FA830000}"/>
    <cellStyle name="Normal 47 2 2 2 4" xfId="11545" xr:uid="{00000000-0005-0000-0000-0000FB830000}"/>
    <cellStyle name="Normal 47 2 2 2 4 2" xfId="34188" xr:uid="{00000000-0005-0000-0000-0000FC830000}"/>
    <cellStyle name="Normal 47 2 2 2 5" xfId="26747" xr:uid="{00000000-0005-0000-0000-0000FD830000}"/>
    <cellStyle name="Normal 47 2 2 3" xfId="5972" xr:uid="{00000000-0005-0000-0000-0000FE830000}"/>
    <cellStyle name="Normal 47 2 2 3 2" xfId="20856" xr:uid="{00000000-0005-0000-0000-0000FF830000}"/>
    <cellStyle name="Normal 47 2 2 3 2 2" xfId="43499" xr:uid="{00000000-0005-0000-0000-000000840000}"/>
    <cellStyle name="Normal 47 2 2 3 3" xfId="13416" xr:uid="{00000000-0005-0000-0000-000001840000}"/>
    <cellStyle name="Normal 47 2 2 3 3 2" xfId="36059" xr:uid="{00000000-0005-0000-0000-000002840000}"/>
    <cellStyle name="Normal 47 2 2 3 4" xfId="28618" xr:uid="{00000000-0005-0000-0000-000003840000}"/>
    <cellStyle name="Normal 47 2 2 4" xfId="17138" xr:uid="{00000000-0005-0000-0000-000004840000}"/>
    <cellStyle name="Normal 47 2 2 4 2" xfId="39781" xr:uid="{00000000-0005-0000-0000-000005840000}"/>
    <cellStyle name="Normal 47 2 2 5" xfId="9698" xr:uid="{00000000-0005-0000-0000-000006840000}"/>
    <cellStyle name="Normal 47 2 2 5 2" xfId="32341" xr:uid="{00000000-0005-0000-0000-000007840000}"/>
    <cellStyle name="Normal 47 2 2 6" xfId="24900" xr:uid="{00000000-0005-0000-0000-000008840000}"/>
    <cellStyle name="Normal 47 2 3" xfId="3173" xr:uid="{00000000-0005-0000-0000-000009840000}"/>
    <cellStyle name="Normal 47 2 3 2" xfId="6894" xr:uid="{00000000-0005-0000-0000-00000A840000}"/>
    <cellStyle name="Normal 47 2 3 2 2" xfId="21778" xr:uid="{00000000-0005-0000-0000-00000B840000}"/>
    <cellStyle name="Normal 47 2 3 2 2 2" xfId="44421" xr:uid="{00000000-0005-0000-0000-00000C840000}"/>
    <cellStyle name="Normal 47 2 3 2 3" xfId="14338" xr:uid="{00000000-0005-0000-0000-00000D840000}"/>
    <cellStyle name="Normal 47 2 3 2 3 2" xfId="36981" xr:uid="{00000000-0005-0000-0000-00000E840000}"/>
    <cellStyle name="Normal 47 2 3 2 4" xfId="29540" xr:uid="{00000000-0005-0000-0000-00000F840000}"/>
    <cellStyle name="Normal 47 2 3 3" xfId="18060" xr:uid="{00000000-0005-0000-0000-000010840000}"/>
    <cellStyle name="Normal 47 2 3 3 2" xfId="40703" xr:uid="{00000000-0005-0000-0000-000011840000}"/>
    <cellStyle name="Normal 47 2 3 4" xfId="10620" xr:uid="{00000000-0005-0000-0000-000012840000}"/>
    <cellStyle name="Normal 47 2 3 4 2" xfId="33263" xr:uid="{00000000-0005-0000-0000-000013840000}"/>
    <cellStyle name="Normal 47 2 3 5" xfId="25822" xr:uid="{00000000-0005-0000-0000-000014840000}"/>
    <cellStyle name="Normal 47 2 4" xfId="5047" xr:uid="{00000000-0005-0000-0000-000015840000}"/>
    <cellStyle name="Normal 47 2 4 2" xfId="19931" xr:uid="{00000000-0005-0000-0000-000016840000}"/>
    <cellStyle name="Normal 47 2 4 2 2" xfId="42574" xr:uid="{00000000-0005-0000-0000-000017840000}"/>
    <cellStyle name="Normal 47 2 4 3" xfId="12491" xr:uid="{00000000-0005-0000-0000-000018840000}"/>
    <cellStyle name="Normal 47 2 4 3 2" xfId="35134" xr:uid="{00000000-0005-0000-0000-000019840000}"/>
    <cellStyle name="Normal 47 2 4 4" xfId="27693" xr:uid="{00000000-0005-0000-0000-00001A840000}"/>
    <cellStyle name="Normal 47 2 5" xfId="16213" xr:uid="{00000000-0005-0000-0000-00001B840000}"/>
    <cellStyle name="Normal 47 2 5 2" xfId="38856" xr:uid="{00000000-0005-0000-0000-00001C840000}"/>
    <cellStyle name="Normal 47 2 6" xfId="8773" xr:uid="{00000000-0005-0000-0000-00001D840000}"/>
    <cellStyle name="Normal 47 2 6 2" xfId="31416" xr:uid="{00000000-0005-0000-0000-00001E840000}"/>
    <cellStyle name="Normal 47 2 7" xfId="23975" xr:uid="{00000000-0005-0000-0000-00001F840000}"/>
    <cellStyle name="Normal 47 3" xfId="1786" xr:uid="{00000000-0005-0000-0000-000020840000}"/>
    <cellStyle name="Normal 47 3 2" xfId="3636" xr:uid="{00000000-0005-0000-0000-000021840000}"/>
    <cellStyle name="Normal 47 3 2 2" xfId="7357" xr:uid="{00000000-0005-0000-0000-000022840000}"/>
    <cellStyle name="Normal 47 3 2 2 2" xfId="22241" xr:uid="{00000000-0005-0000-0000-000023840000}"/>
    <cellStyle name="Normal 47 3 2 2 2 2" xfId="44884" xr:uid="{00000000-0005-0000-0000-000024840000}"/>
    <cellStyle name="Normal 47 3 2 2 3" xfId="14801" xr:uid="{00000000-0005-0000-0000-000025840000}"/>
    <cellStyle name="Normal 47 3 2 2 3 2" xfId="37444" xr:uid="{00000000-0005-0000-0000-000026840000}"/>
    <cellStyle name="Normal 47 3 2 2 4" xfId="30003" xr:uid="{00000000-0005-0000-0000-000027840000}"/>
    <cellStyle name="Normal 47 3 2 3" xfId="18523" xr:uid="{00000000-0005-0000-0000-000028840000}"/>
    <cellStyle name="Normal 47 3 2 3 2" xfId="41166" xr:uid="{00000000-0005-0000-0000-000029840000}"/>
    <cellStyle name="Normal 47 3 2 4" xfId="11083" xr:uid="{00000000-0005-0000-0000-00002A840000}"/>
    <cellStyle name="Normal 47 3 2 4 2" xfId="33726" xr:uid="{00000000-0005-0000-0000-00002B840000}"/>
    <cellStyle name="Normal 47 3 2 5" xfId="26285" xr:uid="{00000000-0005-0000-0000-00002C840000}"/>
    <cellStyle name="Normal 47 3 3" xfId="5510" xr:uid="{00000000-0005-0000-0000-00002D840000}"/>
    <cellStyle name="Normal 47 3 3 2" xfId="20394" xr:uid="{00000000-0005-0000-0000-00002E840000}"/>
    <cellStyle name="Normal 47 3 3 2 2" xfId="43037" xr:uid="{00000000-0005-0000-0000-00002F840000}"/>
    <cellStyle name="Normal 47 3 3 3" xfId="12954" xr:uid="{00000000-0005-0000-0000-000030840000}"/>
    <cellStyle name="Normal 47 3 3 3 2" xfId="35597" xr:uid="{00000000-0005-0000-0000-000031840000}"/>
    <cellStyle name="Normal 47 3 3 4" xfId="28156" xr:uid="{00000000-0005-0000-0000-000032840000}"/>
    <cellStyle name="Normal 47 3 4" xfId="16676" xr:uid="{00000000-0005-0000-0000-000033840000}"/>
    <cellStyle name="Normal 47 3 4 2" xfId="39319" xr:uid="{00000000-0005-0000-0000-000034840000}"/>
    <cellStyle name="Normal 47 3 5" xfId="9236" xr:uid="{00000000-0005-0000-0000-000035840000}"/>
    <cellStyle name="Normal 47 3 5 2" xfId="31879" xr:uid="{00000000-0005-0000-0000-000036840000}"/>
    <cellStyle name="Normal 47 3 6" xfId="24438" xr:uid="{00000000-0005-0000-0000-000037840000}"/>
    <cellStyle name="Normal 47 4" xfId="2711" xr:uid="{00000000-0005-0000-0000-000038840000}"/>
    <cellStyle name="Normal 47 4 2" xfId="6432" xr:uid="{00000000-0005-0000-0000-000039840000}"/>
    <cellStyle name="Normal 47 4 2 2" xfId="21316" xr:uid="{00000000-0005-0000-0000-00003A840000}"/>
    <cellStyle name="Normal 47 4 2 2 2" xfId="43959" xr:uid="{00000000-0005-0000-0000-00003B840000}"/>
    <cellStyle name="Normal 47 4 2 3" xfId="13876" xr:uid="{00000000-0005-0000-0000-00003C840000}"/>
    <cellStyle name="Normal 47 4 2 3 2" xfId="36519" xr:uid="{00000000-0005-0000-0000-00003D840000}"/>
    <cellStyle name="Normal 47 4 2 4" xfId="29078" xr:uid="{00000000-0005-0000-0000-00003E840000}"/>
    <cellStyle name="Normal 47 4 3" xfId="17598" xr:uid="{00000000-0005-0000-0000-00003F840000}"/>
    <cellStyle name="Normal 47 4 3 2" xfId="40241" xr:uid="{00000000-0005-0000-0000-000040840000}"/>
    <cellStyle name="Normal 47 4 4" xfId="10158" xr:uid="{00000000-0005-0000-0000-000041840000}"/>
    <cellStyle name="Normal 47 4 4 2" xfId="32801" xr:uid="{00000000-0005-0000-0000-000042840000}"/>
    <cellStyle name="Normal 47 4 5" xfId="25360" xr:uid="{00000000-0005-0000-0000-000043840000}"/>
    <cellStyle name="Normal 47 5" xfId="4585" xr:uid="{00000000-0005-0000-0000-000044840000}"/>
    <cellStyle name="Normal 47 5 2" xfId="19469" xr:uid="{00000000-0005-0000-0000-000045840000}"/>
    <cellStyle name="Normal 47 5 2 2" xfId="42112" xr:uid="{00000000-0005-0000-0000-000046840000}"/>
    <cellStyle name="Normal 47 5 3" xfId="12029" xr:uid="{00000000-0005-0000-0000-000047840000}"/>
    <cellStyle name="Normal 47 5 3 2" xfId="34672" xr:uid="{00000000-0005-0000-0000-000048840000}"/>
    <cellStyle name="Normal 47 5 4" xfId="27231" xr:uid="{00000000-0005-0000-0000-000049840000}"/>
    <cellStyle name="Normal 47 6" xfId="15751" xr:uid="{00000000-0005-0000-0000-00004A840000}"/>
    <cellStyle name="Normal 47 6 2" xfId="38394" xr:uid="{00000000-0005-0000-0000-00004B840000}"/>
    <cellStyle name="Normal 47 7" xfId="8311" xr:uid="{00000000-0005-0000-0000-00004C840000}"/>
    <cellStyle name="Normal 47 7 2" xfId="30954" xr:uid="{00000000-0005-0000-0000-00004D840000}"/>
    <cellStyle name="Normal 47 8" xfId="23513" xr:uid="{00000000-0005-0000-0000-00004E840000}"/>
    <cellStyle name="Normal 48" xfId="856" xr:uid="{00000000-0005-0000-0000-00004F840000}"/>
    <cellStyle name="Normal 48 2" xfId="1321" xr:uid="{00000000-0005-0000-0000-000050840000}"/>
    <cellStyle name="Normal 48 2 2" xfId="2249" xr:uid="{00000000-0005-0000-0000-000051840000}"/>
    <cellStyle name="Normal 48 2 2 2" xfId="4099" xr:uid="{00000000-0005-0000-0000-000052840000}"/>
    <cellStyle name="Normal 48 2 2 2 2" xfId="7820" xr:uid="{00000000-0005-0000-0000-000053840000}"/>
    <cellStyle name="Normal 48 2 2 2 2 2" xfId="22704" xr:uid="{00000000-0005-0000-0000-000054840000}"/>
    <cellStyle name="Normal 48 2 2 2 2 2 2" xfId="45347" xr:uid="{00000000-0005-0000-0000-000055840000}"/>
    <cellStyle name="Normal 48 2 2 2 2 3" xfId="15264" xr:uid="{00000000-0005-0000-0000-000056840000}"/>
    <cellStyle name="Normal 48 2 2 2 2 3 2" xfId="37907" xr:uid="{00000000-0005-0000-0000-000057840000}"/>
    <cellStyle name="Normal 48 2 2 2 2 4" xfId="30466" xr:uid="{00000000-0005-0000-0000-000058840000}"/>
    <cellStyle name="Normal 48 2 2 2 3" xfId="18986" xr:uid="{00000000-0005-0000-0000-000059840000}"/>
    <cellStyle name="Normal 48 2 2 2 3 2" xfId="41629" xr:uid="{00000000-0005-0000-0000-00005A840000}"/>
    <cellStyle name="Normal 48 2 2 2 4" xfId="11546" xr:uid="{00000000-0005-0000-0000-00005B840000}"/>
    <cellStyle name="Normal 48 2 2 2 4 2" xfId="34189" xr:uid="{00000000-0005-0000-0000-00005C840000}"/>
    <cellStyle name="Normal 48 2 2 2 5" xfId="26748" xr:uid="{00000000-0005-0000-0000-00005D840000}"/>
    <cellStyle name="Normal 48 2 2 3" xfId="5973" xr:uid="{00000000-0005-0000-0000-00005E840000}"/>
    <cellStyle name="Normal 48 2 2 3 2" xfId="20857" xr:uid="{00000000-0005-0000-0000-00005F840000}"/>
    <cellStyle name="Normal 48 2 2 3 2 2" xfId="43500" xr:uid="{00000000-0005-0000-0000-000060840000}"/>
    <cellStyle name="Normal 48 2 2 3 3" xfId="13417" xr:uid="{00000000-0005-0000-0000-000061840000}"/>
    <cellStyle name="Normal 48 2 2 3 3 2" xfId="36060" xr:uid="{00000000-0005-0000-0000-000062840000}"/>
    <cellStyle name="Normal 48 2 2 3 4" xfId="28619" xr:uid="{00000000-0005-0000-0000-000063840000}"/>
    <cellStyle name="Normal 48 2 2 4" xfId="17139" xr:uid="{00000000-0005-0000-0000-000064840000}"/>
    <cellStyle name="Normal 48 2 2 4 2" xfId="39782" xr:uid="{00000000-0005-0000-0000-000065840000}"/>
    <cellStyle name="Normal 48 2 2 5" xfId="9699" xr:uid="{00000000-0005-0000-0000-000066840000}"/>
    <cellStyle name="Normal 48 2 2 5 2" xfId="32342" xr:uid="{00000000-0005-0000-0000-000067840000}"/>
    <cellStyle name="Normal 48 2 2 6" xfId="24901" xr:uid="{00000000-0005-0000-0000-000068840000}"/>
    <cellStyle name="Normal 48 2 3" xfId="3174" xr:uid="{00000000-0005-0000-0000-000069840000}"/>
    <cellStyle name="Normal 48 2 3 2" xfId="6895" xr:uid="{00000000-0005-0000-0000-00006A840000}"/>
    <cellStyle name="Normal 48 2 3 2 2" xfId="21779" xr:uid="{00000000-0005-0000-0000-00006B840000}"/>
    <cellStyle name="Normal 48 2 3 2 2 2" xfId="44422" xr:uid="{00000000-0005-0000-0000-00006C840000}"/>
    <cellStyle name="Normal 48 2 3 2 3" xfId="14339" xr:uid="{00000000-0005-0000-0000-00006D840000}"/>
    <cellStyle name="Normal 48 2 3 2 3 2" xfId="36982" xr:uid="{00000000-0005-0000-0000-00006E840000}"/>
    <cellStyle name="Normal 48 2 3 2 4" xfId="29541" xr:uid="{00000000-0005-0000-0000-00006F840000}"/>
    <cellStyle name="Normal 48 2 3 3" xfId="18061" xr:uid="{00000000-0005-0000-0000-000070840000}"/>
    <cellStyle name="Normal 48 2 3 3 2" xfId="40704" xr:uid="{00000000-0005-0000-0000-000071840000}"/>
    <cellStyle name="Normal 48 2 3 4" xfId="10621" xr:uid="{00000000-0005-0000-0000-000072840000}"/>
    <cellStyle name="Normal 48 2 3 4 2" xfId="33264" xr:uid="{00000000-0005-0000-0000-000073840000}"/>
    <cellStyle name="Normal 48 2 3 5" xfId="25823" xr:uid="{00000000-0005-0000-0000-000074840000}"/>
    <cellStyle name="Normal 48 2 4" xfId="5048" xr:uid="{00000000-0005-0000-0000-000075840000}"/>
    <cellStyle name="Normal 48 2 4 2" xfId="19932" xr:uid="{00000000-0005-0000-0000-000076840000}"/>
    <cellStyle name="Normal 48 2 4 2 2" xfId="42575" xr:uid="{00000000-0005-0000-0000-000077840000}"/>
    <cellStyle name="Normal 48 2 4 3" xfId="12492" xr:uid="{00000000-0005-0000-0000-000078840000}"/>
    <cellStyle name="Normal 48 2 4 3 2" xfId="35135" xr:uid="{00000000-0005-0000-0000-000079840000}"/>
    <cellStyle name="Normal 48 2 4 4" xfId="27694" xr:uid="{00000000-0005-0000-0000-00007A840000}"/>
    <cellStyle name="Normal 48 2 5" xfId="16214" xr:uid="{00000000-0005-0000-0000-00007B840000}"/>
    <cellStyle name="Normal 48 2 5 2" xfId="38857" xr:uid="{00000000-0005-0000-0000-00007C840000}"/>
    <cellStyle name="Normal 48 2 6" xfId="8774" xr:uid="{00000000-0005-0000-0000-00007D840000}"/>
    <cellStyle name="Normal 48 2 6 2" xfId="31417" xr:uid="{00000000-0005-0000-0000-00007E840000}"/>
    <cellStyle name="Normal 48 2 7" xfId="23976" xr:uid="{00000000-0005-0000-0000-00007F840000}"/>
    <cellStyle name="Normal 48 3" xfId="1787" xr:uid="{00000000-0005-0000-0000-000080840000}"/>
    <cellStyle name="Normal 48 3 2" xfId="3637" xr:uid="{00000000-0005-0000-0000-000081840000}"/>
    <cellStyle name="Normal 48 3 2 2" xfId="7358" xr:uid="{00000000-0005-0000-0000-000082840000}"/>
    <cellStyle name="Normal 48 3 2 2 2" xfId="22242" xr:uid="{00000000-0005-0000-0000-000083840000}"/>
    <cellStyle name="Normal 48 3 2 2 2 2" xfId="44885" xr:uid="{00000000-0005-0000-0000-000084840000}"/>
    <cellStyle name="Normal 48 3 2 2 3" xfId="14802" xr:uid="{00000000-0005-0000-0000-000085840000}"/>
    <cellStyle name="Normal 48 3 2 2 3 2" xfId="37445" xr:uid="{00000000-0005-0000-0000-000086840000}"/>
    <cellStyle name="Normal 48 3 2 2 4" xfId="30004" xr:uid="{00000000-0005-0000-0000-000087840000}"/>
    <cellStyle name="Normal 48 3 2 3" xfId="18524" xr:uid="{00000000-0005-0000-0000-000088840000}"/>
    <cellStyle name="Normal 48 3 2 3 2" xfId="41167" xr:uid="{00000000-0005-0000-0000-000089840000}"/>
    <cellStyle name="Normal 48 3 2 4" xfId="11084" xr:uid="{00000000-0005-0000-0000-00008A840000}"/>
    <cellStyle name="Normal 48 3 2 4 2" xfId="33727" xr:uid="{00000000-0005-0000-0000-00008B840000}"/>
    <cellStyle name="Normal 48 3 2 5" xfId="26286" xr:uid="{00000000-0005-0000-0000-00008C840000}"/>
    <cellStyle name="Normal 48 3 3" xfId="5511" xr:uid="{00000000-0005-0000-0000-00008D840000}"/>
    <cellStyle name="Normal 48 3 3 2" xfId="20395" xr:uid="{00000000-0005-0000-0000-00008E840000}"/>
    <cellStyle name="Normal 48 3 3 2 2" xfId="43038" xr:uid="{00000000-0005-0000-0000-00008F840000}"/>
    <cellStyle name="Normal 48 3 3 3" xfId="12955" xr:uid="{00000000-0005-0000-0000-000090840000}"/>
    <cellStyle name="Normal 48 3 3 3 2" xfId="35598" xr:uid="{00000000-0005-0000-0000-000091840000}"/>
    <cellStyle name="Normal 48 3 3 4" xfId="28157" xr:uid="{00000000-0005-0000-0000-000092840000}"/>
    <cellStyle name="Normal 48 3 4" xfId="16677" xr:uid="{00000000-0005-0000-0000-000093840000}"/>
    <cellStyle name="Normal 48 3 4 2" xfId="39320" xr:uid="{00000000-0005-0000-0000-000094840000}"/>
    <cellStyle name="Normal 48 3 5" xfId="9237" xr:uid="{00000000-0005-0000-0000-000095840000}"/>
    <cellStyle name="Normal 48 3 5 2" xfId="31880" xr:uid="{00000000-0005-0000-0000-000096840000}"/>
    <cellStyle name="Normal 48 3 6" xfId="24439" xr:uid="{00000000-0005-0000-0000-000097840000}"/>
    <cellStyle name="Normal 48 4" xfId="2712" xr:uid="{00000000-0005-0000-0000-000098840000}"/>
    <cellStyle name="Normal 48 4 2" xfId="6433" xr:uid="{00000000-0005-0000-0000-000099840000}"/>
    <cellStyle name="Normal 48 4 2 2" xfId="21317" xr:uid="{00000000-0005-0000-0000-00009A840000}"/>
    <cellStyle name="Normal 48 4 2 2 2" xfId="43960" xr:uid="{00000000-0005-0000-0000-00009B840000}"/>
    <cellStyle name="Normal 48 4 2 3" xfId="13877" xr:uid="{00000000-0005-0000-0000-00009C840000}"/>
    <cellStyle name="Normal 48 4 2 3 2" xfId="36520" xr:uid="{00000000-0005-0000-0000-00009D840000}"/>
    <cellStyle name="Normal 48 4 2 4" xfId="29079" xr:uid="{00000000-0005-0000-0000-00009E840000}"/>
    <cellStyle name="Normal 48 4 3" xfId="17599" xr:uid="{00000000-0005-0000-0000-00009F840000}"/>
    <cellStyle name="Normal 48 4 3 2" xfId="40242" xr:uid="{00000000-0005-0000-0000-0000A0840000}"/>
    <cellStyle name="Normal 48 4 4" xfId="10159" xr:uid="{00000000-0005-0000-0000-0000A1840000}"/>
    <cellStyle name="Normal 48 4 4 2" xfId="32802" xr:uid="{00000000-0005-0000-0000-0000A2840000}"/>
    <cellStyle name="Normal 48 4 5" xfId="25361" xr:uid="{00000000-0005-0000-0000-0000A3840000}"/>
    <cellStyle name="Normal 48 5" xfId="4586" xr:uid="{00000000-0005-0000-0000-0000A4840000}"/>
    <cellStyle name="Normal 48 5 2" xfId="19470" xr:uid="{00000000-0005-0000-0000-0000A5840000}"/>
    <cellStyle name="Normal 48 5 2 2" xfId="42113" xr:uid="{00000000-0005-0000-0000-0000A6840000}"/>
    <cellStyle name="Normal 48 5 3" xfId="12030" xr:uid="{00000000-0005-0000-0000-0000A7840000}"/>
    <cellStyle name="Normal 48 5 3 2" xfId="34673" xr:uid="{00000000-0005-0000-0000-0000A8840000}"/>
    <cellStyle name="Normal 48 5 4" xfId="27232" xr:uid="{00000000-0005-0000-0000-0000A9840000}"/>
    <cellStyle name="Normal 48 6" xfId="15752" xr:uid="{00000000-0005-0000-0000-0000AA840000}"/>
    <cellStyle name="Normal 48 6 2" xfId="38395" xr:uid="{00000000-0005-0000-0000-0000AB840000}"/>
    <cellStyle name="Normal 48 7" xfId="8312" xr:uid="{00000000-0005-0000-0000-0000AC840000}"/>
    <cellStyle name="Normal 48 7 2" xfId="30955" xr:uid="{00000000-0005-0000-0000-0000AD840000}"/>
    <cellStyle name="Normal 48 8" xfId="23514" xr:uid="{00000000-0005-0000-0000-0000AE840000}"/>
    <cellStyle name="Normal 49" xfId="857" xr:uid="{00000000-0005-0000-0000-0000AF840000}"/>
    <cellStyle name="Normal 49 2" xfId="1322" xr:uid="{00000000-0005-0000-0000-0000B0840000}"/>
    <cellStyle name="Normal 49 2 2" xfId="2250" xr:uid="{00000000-0005-0000-0000-0000B1840000}"/>
    <cellStyle name="Normal 49 2 2 2" xfId="4100" xr:uid="{00000000-0005-0000-0000-0000B2840000}"/>
    <cellStyle name="Normal 49 2 2 2 2" xfId="7821" xr:uid="{00000000-0005-0000-0000-0000B3840000}"/>
    <cellStyle name="Normal 49 2 2 2 2 2" xfId="22705" xr:uid="{00000000-0005-0000-0000-0000B4840000}"/>
    <cellStyle name="Normal 49 2 2 2 2 2 2" xfId="45348" xr:uid="{00000000-0005-0000-0000-0000B5840000}"/>
    <cellStyle name="Normal 49 2 2 2 2 3" xfId="15265" xr:uid="{00000000-0005-0000-0000-0000B6840000}"/>
    <cellStyle name="Normal 49 2 2 2 2 3 2" xfId="37908" xr:uid="{00000000-0005-0000-0000-0000B7840000}"/>
    <cellStyle name="Normal 49 2 2 2 2 4" xfId="30467" xr:uid="{00000000-0005-0000-0000-0000B8840000}"/>
    <cellStyle name="Normal 49 2 2 2 3" xfId="18987" xr:uid="{00000000-0005-0000-0000-0000B9840000}"/>
    <cellStyle name="Normal 49 2 2 2 3 2" xfId="41630" xr:uid="{00000000-0005-0000-0000-0000BA840000}"/>
    <cellStyle name="Normal 49 2 2 2 4" xfId="11547" xr:uid="{00000000-0005-0000-0000-0000BB840000}"/>
    <cellStyle name="Normal 49 2 2 2 4 2" xfId="34190" xr:uid="{00000000-0005-0000-0000-0000BC840000}"/>
    <cellStyle name="Normal 49 2 2 2 5" xfId="26749" xr:uid="{00000000-0005-0000-0000-0000BD840000}"/>
    <cellStyle name="Normal 49 2 2 3" xfId="5974" xr:uid="{00000000-0005-0000-0000-0000BE840000}"/>
    <cellStyle name="Normal 49 2 2 3 2" xfId="20858" xr:uid="{00000000-0005-0000-0000-0000BF840000}"/>
    <cellStyle name="Normal 49 2 2 3 2 2" xfId="43501" xr:uid="{00000000-0005-0000-0000-0000C0840000}"/>
    <cellStyle name="Normal 49 2 2 3 3" xfId="13418" xr:uid="{00000000-0005-0000-0000-0000C1840000}"/>
    <cellStyle name="Normal 49 2 2 3 3 2" xfId="36061" xr:uid="{00000000-0005-0000-0000-0000C2840000}"/>
    <cellStyle name="Normal 49 2 2 3 4" xfId="28620" xr:uid="{00000000-0005-0000-0000-0000C3840000}"/>
    <cellStyle name="Normal 49 2 2 4" xfId="17140" xr:uid="{00000000-0005-0000-0000-0000C4840000}"/>
    <cellStyle name="Normal 49 2 2 4 2" xfId="39783" xr:uid="{00000000-0005-0000-0000-0000C5840000}"/>
    <cellStyle name="Normal 49 2 2 5" xfId="9700" xr:uid="{00000000-0005-0000-0000-0000C6840000}"/>
    <cellStyle name="Normal 49 2 2 5 2" xfId="32343" xr:uid="{00000000-0005-0000-0000-0000C7840000}"/>
    <cellStyle name="Normal 49 2 2 6" xfId="24902" xr:uid="{00000000-0005-0000-0000-0000C8840000}"/>
    <cellStyle name="Normal 49 2 3" xfId="3175" xr:uid="{00000000-0005-0000-0000-0000C9840000}"/>
    <cellStyle name="Normal 49 2 3 2" xfId="6896" xr:uid="{00000000-0005-0000-0000-0000CA840000}"/>
    <cellStyle name="Normal 49 2 3 2 2" xfId="21780" xr:uid="{00000000-0005-0000-0000-0000CB840000}"/>
    <cellStyle name="Normal 49 2 3 2 2 2" xfId="44423" xr:uid="{00000000-0005-0000-0000-0000CC840000}"/>
    <cellStyle name="Normal 49 2 3 2 3" xfId="14340" xr:uid="{00000000-0005-0000-0000-0000CD840000}"/>
    <cellStyle name="Normal 49 2 3 2 3 2" xfId="36983" xr:uid="{00000000-0005-0000-0000-0000CE840000}"/>
    <cellStyle name="Normal 49 2 3 2 4" xfId="29542" xr:uid="{00000000-0005-0000-0000-0000CF840000}"/>
    <cellStyle name="Normal 49 2 3 3" xfId="18062" xr:uid="{00000000-0005-0000-0000-0000D0840000}"/>
    <cellStyle name="Normal 49 2 3 3 2" xfId="40705" xr:uid="{00000000-0005-0000-0000-0000D1840000}"/>
    <cellStyle name="Normal 49 2 3 4" xfId="10622" xr:uid="{00000000-0005-0000-0000-0000D2840000}"/>
    <cellStyle name="Normal 49 2 3 4 2" xfId="33265" xr:uid="{00000000-0005-0000-0000-0000D3840000}"/>
    <cellStyle name="Normal 49 2 3 5" xfId="25824" xr:uid="{00000000-0005-0000-0000-0000D4840000}"/>
    <cellStyle name="Normal 49 2 4" xfId="5049" xr:uid="{00000000-0005-0000-0000-0000D5840000}"/>
    <cellStyle name="Normal 49 2 4 2" xfId="19933" xr:uid="{00000000-0005-0000-0000-0000D6840000}"/>
    <cellStyle name="Normal 49 2 4 2 2" xfId="42576" xr:uid="{00000000-0005-0000-0000-0000D7840000}"/>
    <cellStyle name="Normal 49 2 4 3" xfId="12493" xr:uid="{00000000-0005-0000-0000-0000D8840000}"/>
    <cellStyle name="Normal 49 2 4 3 2" xfId="35136" xr:uid="{00000000-0005-0000-0000-0000D9840000}"/>
    <cellStyle name="Normal 49 2 4 4" xfId="27695" xr:uid="{00000000-0005-0000-0000-0000DA840000}"/>
    <cellStyle name="Normal 49 2 5" xfId="16215" xr:uid="{00000000-0005-0000-0000-0000DB840000}"/>
    <cellStyle name="Normal 49 2 5 2" xfId="38858" xr:uid="{00000000-0005-0000-0000-0000DC840000}"/>
    <cellStyle name="Normal 49 2 6" xfId="8775" xr:uid="{00000000-0005-0000-0000-0000DD840000}"/>
    <cellStyle name="Normal 49 2 6 2" xfId="31418" xr:uid="{00000000-0005-0000-0000-0000DE840000}"/>
    <cellStyle name="Normal 49 2 7" xfId="23977" xr:uid="{00000000-0005-0000-0000-0000DF840000}"/>
    <cellStyle name="Normal 49 3" xfId="1788" xr:uid="{00000000-0005-0000-0000-0000E0840000}"/>
    <cellStyle name="Normal 49 3 2" xfId="3638" xr:uid="{00000000-0005-0000-0000-0000E1840000}"/>
    <cellStyle name="Normal 49 3 2 2" xfId="7359" xr:uid="{00000000-0005-0000-0000-0000E2840000}"/>
    <cellStyle name="Normal 49 3 2 2 2" xfId="22243" xr:uid="{00000000-0005-0000-0000-0000E3840000}"/>
    <cellStyle name="Normal 49 3 2 2 2 2" xfId="44886" xr:uid="{00000000-0005-0000-0000-0000E4840000}"/>
    <cellStyle name="Normal 49 3 2 2 3" xfId="14803" xr:uid="{00000000-0005-0000-0000-0000E5840000}"/>
    <cellStyle name="Normal 49 3 2 2 3 2" xfId="37446" xr:uid="{00000000-0005-0000-0000-0000E6840000}"/>
    <cellStyle name="Normal 49 3 2 2 4" xfId="30005" xr:uid="{00000000-0005-0000-0000-0000E7840000}"/>
    <cellStyle name="Normal 49 3 2 3" xfId="18525" xr:uid="{00000000-0005-0000-0000-0000E8840000}"/>
    <cellStyle name="Normal 49 3 2 3 2" xfId="41168" xr:uid="{00000000-0005-0000-0000-0000E9840000}"/>
    <cellStyle name="Normal 49 3 2 4" xfId="11085" xr:uid="{00000000-0005-0000-0000-0000EA840000}"/>
    <cellStyle name="Normal 49 3 2 4 2" xfId="33728" xr:uid="{00000000-0005-0000-0000-0000EB840000}"/>
    <cellStyle name="Normal 49 3 2 5" xfId="26287" xr:uid="{00000000-0005-0000-0000-0000EC840000}"/>
    <cellStyle name="Normal 49 3 3" xfId="5512" xr:uid="{00000000-0005-0000-0000-0000ED840000}"/>
    <cellStyle name="Normal 49 3 3 2" xfId="20396" xr:uid="{00000000-0005-0000-0000-0000EE840000}"/>
    <cellStyle name="Normal 49 3 3 2 2" xfId="43039" xr:uid="{00000000-0005-0000-0000-0000EF840000}"/>
    <cellStyle name="Normal 49 3 3 3" xfId="12956" xr:uid="{00000000-0005-0000-0000-0000F0840000}"/>
    <cellStyle name="Normal 49 3 3 3 2" xfId="35599" xr:uid="{00000000-0005-0000-0000-0000F1840000}"/>
    <cellStyle name="Normal 49 3 3 4" xfId="28158" xr:uid="{00000000-0005-0000-0000-0000F2840000}"/>
    <cellStyle name="Normal 49 3 4" xfId="16678" xr:uid="{00000000-0005-0000-0000-0000F3840000}"/>
    <cellStyle name="Normal 49 3 4 2" xfId="39321" xr:uid="{00000000-0005-0000-0000-0000F4840000}"/>
    <cellStyle name="Normal 49 3 5" xfId="9238" xr:uid="{00000000-0005-0000-0000-0000F5840000}"/>
    <cellStyle name="Normal 49 3 5 2" xfId="31881" xr:uid="{00000000-0005-0000-0000-0000F6840000}"/>
    <cellStyle name="Normal 49 3 6" xfId="24440" xr:uid="{00000000-0005-0000-0000-0000F7840000}"/>
    <cellStyle name="Normal 49 4" xfId="2713" xr:uid="{00000000-0005-0000-0000-0000F8840000}"/>
    <cellStyle name="Normal 49 4 2" xfId="6434" xr:uid="{00000000-0005-0000-0000-0000F9840000}"/>
    <cellStyle name="Normal 49 4 2 2" xfId="21318" xr:uid="{00000000-0005-0000-0000-0000FA840000}"/>
    <cellStyle name="Normal 49 4 2 2 2" xfId="43961" xr:uid="{00000000-0005-0000-0000-0000FB840000}"/>
    <cellStyle name="Normal 49 4 2 3" xfId="13878" xr:uid="{00000000-0005-0000-0000-0000FC840000}"/>
    <cellStyle name="Normal 49 4 2 3 2" xfId="36521" xr:uid="{00000000-0005-0000-0000-0000FD840000}"/>
    <cellStyle name="Normal 49 4 2 4" xfId="29080" xr:uid="{00000000-0005-0000-0000-0000FE840000}"/>
    <cellStyle name="Normal 49 4 3" xfId="17600" xr:uid="{00000000-0005-0000-0000-0000FF840000}"/>
    <cellStyle name="Normal 49 4 3 2" xfId="40243" xr:uid="{00000000-0005-0000-0000-000000850000}"/>
    <cellStyle name="Normal 49 4 4" xfId="10160" xr:uid="{00000000-0005-0000-0000-000001850000}"/>
    <cellStyle name="Normal 49 4 4 2" xfId="32803" xr:uid="{00000000-0005-0000-0000-000002850000}"/>
    <cellStyle name="Normal 49 4 5" xfId="25362" xr:uid="{00000000-0005-0000-0000-000003850000}"/>
    <cellStyle name="Normal 49 5" xfId="4587" xr:uid="{00000000-0005-0000-0000-000004850000}"/>
    <cellStyle name="Normal 49 5 2" xfId="19471" xr:uid="{00000000-0005-0000-0000-000005850000}"/>
    <cellStyle name="Normal 49 5 2 2" xfId="42114" xr:uid="{00000000-0005-0000-0000-000006850000}"/>
    <cellStyle name="Normal 49 5 3" xfId="12031" xr:uid="{00000000-0005-0000-0000-000007850000}"/>
    <cellStyle name="Normal 49 5 3 2" xfId="34674" xr:uid="{00000000-0005-0000-0000-000008850000}"/>
    <cellStyle name="Normal 49 5 4" xfId="27233" xr:uid="{00000000-0005-0000-0000-000009850000}"/>
    <cellStyle name="Normal 49 6" xfId="15753" xr:uid="{00000000-0005-0000-0000-00000A850000}"/>
    <cellStyle name="Normal 49 6 2" xfId="38396" xr:uid="{00000000-0005-0000-0000-00000B850000}"/>
    <cellStyle name="Normal 49 7" xfId="8313" xr:uid="{00000000-0005-0000-0000-00000C850000}"/>
    <cellStyle name="Normal 49 7 2" xfId="30956" xr:uid="{00000000-0005-0000-0000-00000D850000}"/>
    <cellStyle name="Normal 49 8" xfId="23515" xr:uid="{00000000-0005-0000-0000-00000E850000}"/>
    <cellStyle name="Normal 5" xfId="64" xr:uid="{00000000-0005-0000-0000-00000F850000}"/>
    <cellStyle name="Normal 5 2" xfId="65" xr:uid="{00000000-0005-0000-0000-000010850000}"/>
    <cellStyle name="Normal 5 2 2" xfId="118" xr:uid="{00000000-0005-0000-0000-000011850000}"/>
    <cellStyle name="Normal 5 2 2 2" xfId="200" xr:uid="{00000000-0005-0000-0000-000012850000}"/>
    <cellStyle name="Normal 5 2 2 2 2" xfId="361" xr:uid="{00000000-0005-0000-0000-000013850000}"/>
    <cellStyle name="Normal 5 2 2 2 2 2" xfId="23059" xr:uid="{00000000-0005-0000-0000-000014850000}"/>
    <cellStyle name="Normal 5 2 2 2 3" xfId="22903" xr:uid="{00000000-0005-0000-0000-000015850000}"/>
    <cellStyle name="Normal 5 2 2 3" xfId="283" xr:uid="{00000000-0005-0000-0000-000016850000}"/>
    <cellStyle name="Normal 5 2 2 3 2" xfId="22981" xr:uid="{00000000-0005-0000-0000-000017850000}"/>
    <cellStyle name="Normal 5 2 2 4" xfId="22825" xr:uid="{00000000-0005-0000-0000-000018850000}"/>
    <cellStyle name="Normal 5 2 3" xfId="160" xr:uid="{00000000-0005-0000-0000-000019850000}"/>
    <cellStyle name="Normal 5 2 3 2" xfId="322" xr:uid="{00000000-0005-0000-0000-00001A850000}"/>
    <cellStyle name="Normal 5 2 3 2 2" xfId="23020" xr:uid="{00000000-0005-0000-0000-00001B850000}"/>
    <cellStyle name="Normal 5 2 3 3" xfId="22864" xr:uid="{00000000-0005-0000-0000-00001C850000}"/>
    <cellStyle name="Normal 5 2 4" xfId="243" xr:uid="{00000000-0005-0000-0000-00001D850000}"/>
    <cellStyle name="Normal 5 2 4 2" xfId="22942" xr:uid="{00000000-0005-0000-0000-00001E850000}"/>
    <cellStyle name="Normal 5 2 5" xfId="22785" xr:uid="{00000000-0005-0000-0000-00001F850000}"/>
    <cellStyle name="Normal 5 3" xfId="117" xr:uid="{00000000-0005-0000-0000-000020850000}"/>
    <cellStyle name="Normal 5 3 2" xfId="199" xr:uid="{00000000-0005-0000-0000-000021850000}"/>
    <cellStyle name="Normal 5 3 2 2" xfId="360" xr:uid="{00000000-0005-0000-0000-000022850000}"/>
    <cellStyle name="Normal 5 3 2 2 2" xfId="23058" xr:uid="{00000000-0005-0000-0000-000023850000}"/>
    <cellStyle name="Normal 5 3 2 3" xfId="22902" xr:uid="{00000000-0005-0000-0000-000024850000}"/>
    <cellStyle name="Normal 5 3 3" xfId="282" xr:uid="{00000000-0005-0000-0000-000025850000}"/>
    <cellStyle name="Normal 5 3 3 2" xfId="22980" xr:uid="{00000000-0005-0000-0000-000026850000}"/>
    <cellStyle name="Normal 5 3 4" xfId="22824" xr:uid="{00000000-0005-0000-0000-000027850000}"/>
    <cellStyle name="Normal 5 4" xfId="159" xr:uid="{00000000-0005-0000-0000-000028850000}"/>
    <cellStyle name="Normal 5 4 2" xfId="321" xr:uid="{00000000-0005-0000-0000-000029850000}"/>
    <cellStyle name="Normal 5 4 2 2" xfId="23019" xr:uid="{00000000-0005-0000-0000-00002A850000}"/>
    <cellStyle name="Normal 5 4 3" xfId="22863" xr:uid="{00000000-0005-0000-0000-00002B850000}"/>
    <cellStyle name="Normal 5 5" xfId="242" xr:uid="{00000000-0005-0000-0000-00002C850000}"/>
    <cellStyle name="Normal 5 5 2" xfId="22941" xr:uid="{00000000-0005-0000-0000-00002D850000}"/>
    <cellStyle name="Normal 5 6" xfId="407" xr:uid="{00000000-0005-0000-0000-00002E850000}"/>
    <cellStyle name="Normal 5 7" xfId="22784" xr:uid="{00000000-0005-0000-0000-00002F850000}"/>
    <cellStyle name="Normal 50" xfId="858" xr:uid="{00000000-0005-0000-0000-000030850000}"/>
    <cellStyle name="Normal 50 2" xfId="1323" xr:uid="{00000000-0005-0000-0000-000031850000}"/>
    <cellStyle name="Normal 50 2 2" xfId="2251" xr:uid="{00000000-0005-0000-0000-000032850000}"/>
    <cellStyle name="Normal 50 2 2 2" xfId="4101" xr:uid="{00000000-0005-0000-0000-000033850000}"/>
    <cellStyle name="Normal 50 2 2 2 2" xfId="7822" xr:uid="{00000000-0005-0000-0000-000034850000}"/>
    <cellStyle name="Normal 50 2 2 2 2 2" xfId="22706" xr:uid="{00000000-0005-0000-0000-000035850000}"/>
    <cellStyle name="Normal 50 2 2 2 2 2 2" xfId="45349" xr:uid="{00000000-0005-0000-0000-000036850000}"/>
    <cellStyle name="Normal 50 2 2 2 2 3" xfId="15266" xr:uid="{00000000-0005-0000-0000-000037850000}"/>
    <cellStyle name="Normal 50 2 2 2 2 3 2" xfId="37909" xr:uid="{00000000-0005-0000-0000-000038850000}"/>
    <cellStyle name="Normal 50 2 2 2 2 4" xfId="30468" xr:uid="{00000000-0005-0000-0000-000039850000}"/>
    <cellStyle name="Normal 50 2 2 2 3" xfId="18988" xr:uid="{00000000-0005-0000-0000-00003A850000}"/>
    <cellStyle name="Normal 50 2 2 2 3 2" xfId="41631" xr:uid="{00000000-0005-0000-0000-00003B850000}"/>
    <cellStyle name="Normal 50 2 2 2 4" xfId="11548" xr:uid="{00000000-0005-0000-0000-00003C850000}"/>
    <cellStyle name="Normal 50 2 2 2 4 2" xfId="34191" xr:uid="{00000000-0005-0000-0000-00003D850000}"/>
    <cellStyle name="Normal 50 2 2 2 5" xfId="26750" xr:uid="{00000000-0005-0000-0000-00003E850000}"/>
    <cellStyle name="Normal 50 2 2 3" xfId="5975" xr:uid="{00000000-0005-0000-0000-00003F850000}"/>
    <cellStyle name="Normal 50 2 2 3 2" xfId="20859" xr:uid="{00000000-0005-0000-0000-000040850000}"/>
    <cellStyle name="Normal 50 2 2 3 2 2" xfId="43502" xr:uid="{00000000-0005-0000-0000-000041850000}"/>
    <cellStyle name="Normal 50 2 2 3 3" xfId="13419" xr:uid="{00000000-0005-0000-0000-000042850000}"/>
    <cellStyle name="Normal 50 2 2 3 3 2" xfId="36062" xr:uid="{00000000-0005-0000-0000-000043850000}"/>
    <cellStyle name="Normal 50 2 2 3 4" xfId="28621" xr:uid="{00000000-0005-0000-0000-000044850000}"/>
    <cellStyle name="Normal 50 2 2 4" xfId="17141" xr:uid="{00000000-0005-0000-0000-000045850000}"/>
    <cellStyle name="Normal 50 2 2 4 2" xfId="39784" xr:uid="{00000000-0005-0000-0000-000046850000}"/>
    <cellStyle name="Normal 50 2 2 5" xfId="9701" xr:uid="{00000000-0005-0000-0000-000047850000}"/>
    <cellStyle name="Normal 50 2 2 5 2" xfId="32344" xr:uid="{00000000-0005-0000-0000-000048850000}"/>
    <cellStyle name="Normal 50 2 2 6" xfId="24903" xr:uid="{00000000-0005-0000-0000-000049850000}"/>
    <cellStyle name="Normal 50 2 3" xfId="3176" xr:uid="{00000000-0005-0000-0000-00004A850000}"/>
    <cellStyle name="Normal 50 2 3 2" xfId="6897" xr:uid="{00000000-0005-0000-0000-00004B850000}"/>
    <cellStyle name="Normal 50 2 3 2 2" xfId="21781" xr:uid="{00000000-0005-0000-0000-00004C850000}"/>
    <cellStyle name="Normal 50 2 3 2 2 2" xfId="44424" xr:uid="{00000000-0005-0000-0000-00004D850000}"/>
    <cellStyle name="Normal 50 2 3 2 3" xfId="14341" xr:uid="{00000000-0005-0000-0000-00004E850000}"/>
    <cellStyle name="Normal 50 2 3 2 3 2" xfId="36984" xr:uid="{00000000-0005-0000-0000-00004F850000}"/>
    <cellStyle name="Normal 50 2 3 2 4" xfId="29543" xr:uid="{00000000-0005-0000-0000-000050850000}"/>
    <cellStyle name="Normal 50 2 3 3" xfId="18063" xr:uid="{00000000-0005-0000-0000-000051850000}"/>
    <cellStyle name="Normal 50 2 3 3 2" xfId="40706" xr:uid="{00000000-0005-0000-0000-000052850000}"/>
    <cellStyle name="Normal 50 2 3 4" xfId="10623" xr:uid="{00000000-0005-0000-0000-000053850000}"/>
    <cellStyle name="Normal 50 2 3 4 2" xfId="33266" xr:uid="{00000000-0005-0000-0000-000054850000}"/>
    <cellStyle name="Normal 50 2 3 5" xfId="25825" xr:uid="{00000000-0005-0000-0000-000055850000}"/>
    <cellStyle name="Normal 50 2 4" xfId="5050" xr:uid="{00000000-0005-0000-0000-000056850000}"/>
    <cellStyle name="Normal 50 2 4 2" xfId="19934" xr:uid="{00000000-0005-0000-0000-000057850000}"/>
    <cellStyle name="Normal 50 2 4 2 2" xfId="42577" xr:uid="{00000000-0005-0000-0000-000058850000}"/>
    <cellStyle name="Normal 50 2 4 3" xfId="12494" xr:uid="{00000000-0005-0000-0000-000059850000}"/>
    <cellStyle name="Normal 50 2 4 3 2" xfId="35137" xr:uid="{00000000-0005-0000-0000-00005A850000}"/>
    <cellStyle name="Normal 50 2 4 4" xfId="27696" xr:uid="{00000000-0005-0000-0000-00005B850000}"/>
    <cellStyle name="Normal 50 2 5" xfId="16216" xr:uid="{00000000-0005-0000-0000-00005C850000}"/>
    <cellStyle name="Normal 50 2 5 2" xfId="38859" xr:uid="{00000000-0005-0000-0000-00005D850000}"/>
    <cellStyle name="Normal 50 2 6" xfId="8776" xr:uid="{00000000-0005-0000-0000-00005E850000}"/>
    <cellStyle name="Normal 50 2 6 2" xfId="31419" xr:uid="{00000000-0005-0000-0000-00005F850000}"/>
    <cellStyle name="Normal 50 2 7" xfId="23978" xr:uid="{00000000-0005-0000-0000-000060850000}"/>
    <cellStyle name="Normal 50 3" xfId="1789" xr:uid="{00000000-0005-0000-0000-000061850000}"/>
    <cellStyle name="Normal 50 3 2" xfId="3639" xr:uid="{00000000-0005-0000-0000-000062850000}"/>
    <cellStyle name="Normal 50 3 2 2" xfId="7360" xr:uid="{00000000-0005-0000-0000-000063850000}"/>
    <cellStyle name="Normal 50 3 2 2 2" xfId="22244" xr:uid="{00000000-0005-0000-0000-000064850000}"/>
    <cellStyle name="Normal 50 3 2 2 2 2" xfId="44887" xr:uid="{00000000-0005-0000-0000-000065850000}"/>
    <cellStyle name="Normal 50 3 2 2 3" xfId="14804" xr:uid="{00000000-0005-0000-0000-000066850000}"/>
    <cellStyle name="Normal 50 3 2 2 3 2" xfId="37447" xr:uid="{00000000-0005-0000-0000-000067850000}"/>
    <cellStyle name="Normal 50 3 2 2 4" xfId="30006" xr:uid="{00000000-0005-0000-0000-000068850000}"/>
    <cellStyle name="Normal 50 3 2 3" xfId="18526" xr:uid="{00000000-0005-0000-0000-000069850000}"/>
    <cellStyle name="Normal 50 3 2 3 2" xfId="41169" xr:uid="{00000000-0005-0000-0000-00006A850000}"/>
    <cellStyle name="Normal 50 3 2 4" xfId="11086" xr:uid="{00000000-0005-0000-0000-00006B850000}"/>
    <cellStyle name="Normal 50 3 2 4 2" xfId="33729" xr:uid="{00000000-0005-0000-0000-00006C850000}"/>
    <cellStyle name="Normal 50 3 2 5" xfId="26288" xr:uid="{00000000-0005-0000-0000-00006D850000}"/>
    <cellStyle name="Normal 50 3 3" xfId="5513" xr:uid="{00000000-0005-0000-0000-00006E850000}"/>
    <cellStyle name="Normal 50 3 3 2" xfId="20397" xr:uid="{00000000-0005-0000-0000-00006F850000}"/>
    <cellStyle name="Normal 50 3 3 2 2" xfId="43040" xr:uid="{00000000-0005-0000-0000-000070850000}"/>
    <cellStyle name="Normal 50 3 3 3" xfId="12957" xr:uid="{00000000-0005-0000-0000-000071850000}"/>
    <cellStyle name="Normal 50 3 3 3 2" xfId="35600" xr:uid="{00000000-0005-0000-0000-000072850000}"/>
    <cellStyle name="Normal 50 3 3 4" xfId="28159" xr:uid="{00000000-0005-0000-0000-000073850000}"/>
    <cellStyle name="Normal 50 3 4" xfId="16679" xr:uid="{00000000-0005-0000-0000-000074850000}"/>
    <cellStyle name="Normal 50 3 4 2" xfId="39322" xr:uid="{00000000-0005-0000-0000-000075850000}"/>
    <cellStyle name="Normal 50 3 5" xfId="9239" xr:uid="{00000000-0005-0000-0000-000076850000}"/>
    <cellStyle name="Normal 50 3 5 2" xfId="31882" xr:uid="{00000000-0005-0000-0000-000077850000}"/>
    <cellStyle name="Normal 50 3 6" xfId="24441" xr:uid="{00000000-0005-0000-0000-000078850000}"/>
    <cellStyle name="Normal 50 4" xfId="2714" xr:uid="{00000000-0005-0000-0000-000079850000}"/>
    <cellStyle name="Normal 50 4 2" xfId="6435" xr:uid="{00000000-0005-0000-0000-00007A850000}"/>
    <cellStyle name="Normal 50 4 2 2" xfId="21319" xr:uid="{00000000-0005-0000-0000-00007B850000}"/>
    <cellStyle name="Normal 50 4 2 2 2" xfId="43962" xr:uid="{00000000-0005-0000-0000-00007C850000}"/>
    <cellStyle name="Normal 50 4 2 3" xfId="13879" xr:uid="{00000000-0005-0000-0000-00007D850000}"/>
    <cellStyle name="Normal 50 4 2 3 2" xfId="36522" xr:uid="{00000000-0005-0000-0000-00007E850000}"/>
    <cellStyle name="Normal 50 4 2 4" xfId="29081" xr:uid="{00000000-0005-0000-0000-00007F850000}"/>
    <cellStyle name="Normal 50 4 3" xfId="17601" xr:uid="{00000000-0005-0000-0000-000080850000}"/>
    <cellStyle name="Normal 50 4 3 2" xfId="40244" xr:uid="{00000000-0005-0000-0000-000081850000}"/>
    <cellStyle name="Normal 50 4 4" xfId="10161" xr:uid="{00000000-0005-0000-0000-000082850000}"/>
    <cellStyle name="Normal 50 4 4 2" xfId="32804" xr:uid="{00000000-0005-0000-0000-000083850000}"/>
    <cellStyle name="Normal 50 4 5" xfId="25363" xr:uid="{00000000-0005-0000-0000-000084850000}"/>
    <cellStyle name="Normal 50 5" xfId="4588" xr:uid="{00000000-0005-0000-0000-000085850000}"/>
    <cellStyle name="Normal 50 5 2" xfId="19472" xr:uid="{00000000-0005-0000-0000-000086850000}"/>
    <cellStyle name="Normal 50 5 2 2" xfId="42115" xr:uid="{00000000-0005-0000-0000-000087850000}"/>
    <cellStyle name="Normal 50 5 3" xfId="12032" xr:uid="{00000000-0005-0000-0000-000088850000}"/>
    <cellStyle name="Normal 50 5 3 2" xfId="34675" xr:uid="{00000000-0005-0000-0000-000089850000}"/>
    <cellStyle name="Normal 50 5 4" xfId="27234" xr:uid="{00000000-0005-0000-0000-00008A850000}"/>
    <cellStyle name="Normal 50 6" xfId="15754" xr:uid="{00000000-0005-0000-0000-00008B850000}"/>
    <cellStyle name="Normal 50 6 2" xfId="38397" xr:uid="{00000000-0005-0000-0000-00008C850000}"/>
    <cellStyle name="Normal 50 7" xfId="8314" xr:uid="{00000000-0005-0000-0000-00008D850000}"/>
    <cellStyle name="Normal 50 7 2" xfId="30957" xr:uid="{00000000-0005-0000-0000-00008E850000}"/>
    <cellStyle name="Normal 50 8" xfId="23516" xr:uid="{00000000-0005-0000-0000-00008F850000}"/>
    <cellStyle name="Normal 51" xfId="859" xr:uid="{00000000-0005-0000-0000-000090850000}"/>
    <cellStyle name="Normal 51 2" xfId="1324" xr:uid="{00000000-0005-0000-0000-000091850000}"/>
    <cellStyle name="Normal 51 2 2" xfId="2252" xr:uid="{00000000-0005-0000-0000-000092850000}"/>
    <cellStyle name="Normal 51 2 2 2" xfId="4102" xr:uid="{00000000-0005-0000-0000-000093850000}"/>
    <cellStyle name="Normal 51 2 2 2 2" xfId="7823" xr:uid="{00000000-0005-0000-0000-000094850000}"/>
    <cellStyle name="Normal 51 2 2 2 2 2" xfId="22707" xr:uid="{00000000-0005-0000-0000-000095850000}"/>
    <cellStyle name="Normal 51 2 2 2 2 2 2" xfId="45350" xr:uid="{00000000-0005-0000-0000-000096850000}"/>
    <cellStyle name="Normal 51 2 2 2 2 3" xfId="15267" xr:uid="{00000000-0005-0000-0000-000097850000}"/>
    <cellStyle name="Normal 51 2 2 2 2 3 2" xfId="37910" xr:uid="{00000000-0005-0000-0000-000098850000}"/>
    <cellStyle name="Normal 51 2 2 2 2 4" xfId="30469" xr:uid="{00000000-0005-0000-0000-000099850000}"/>
    <cellStyle name="Normal 51 2 2 2 3" xfId="18989" xr:uid="{00000000-0005-0000-0000-00009A850000}"/>
    <cellStyle name="Normal 51 2 2 2 3 2" xfId="41632" xr:uid="{00000000-0005-0000-0000-00009B850000}"/>
    <cellStyle name="Normal 51 2 2 2 4" xfId="11549" xr:uid="{00000000-0005-0000-0000-00009C850000}"/>
    <cellStyle name="Normal 51 2 2 2 4 2" xfId="34192" xr:uid="{00000000-0005-0000-0000-00009D850000}"/>
    <cellStyle name="Normal 51 2 2 2 5" xfId="26751" xr:uid="{00000000-0005-0000-0000-00009E850000}"/>
    <cellStyle name="Normal 51 2 2 3" xfId="5976" xr:uid="{00000000-0005-0000-0000-00009F850000}"/>
    <cellStyle name="Normal 51 2 2 3 2" xfId="20860" xr:uid="{00000000-0005-0000-0000-0000A0850000}"/>
    <cellStyle name="Normal 51 2 2 3 2 2" xfId="43503" xr:uid="{00000000-0005-0000-0000-0000A1850000}"/>
    <cellStyle name="Normal 51 2 2 3 3" xfId="13420" xr:uid="{00000000-0005-0000-0000-0000A2850000}"/>
    <cellStyle name="Normal 51 2 2 3 3 2" xfId="36063" xr:uid="{00000000-0005-0000-0000-0000A3850000}"/>
    <cellStyle name="Normal 51 2 2 3 4" xfId="28622" xr:uid="{00000000-0005-0000-0000-0000A4850000}"/>
    <cellStyle name="Normal 51 2 2 4" xfId="17142" xr:uid="{00000000-0005-0000-0000-0000A5850000}"/>
    <cellStyle name="Normal 51 2 2 4 2" xfId="39785" xr:uid="{00000000-0005-0000-0000-0000A6850000}"/>
    <cellStyle name="Normal 51 2 2 5" xfId="9702" xr:uid="{00000000-0005-0000-0000-0000A7850000}"/>
    <cellStyle name="Normal 51 2 2 5 2" xfId="32345" xr:uid="{00000000-0005-0000-0000-0000A8850000}"/>
    <cellStyle name="Normal 51 2 2 6" xfId="24904" xr:uid="{00000000-0005-0000-0000-0000A9850000}"/>
    <cellStyle name="Normal 51 2 3" xfId="3177" xr:uid="{00000000-0005-0000-0000-0000AA850000}"/>
    <cellStyle name="Normal 51 2 3 2" xfId="6898" xr:uid="{00000000-0005-0000-0000-0000AB850000}"/>
    <cellStyle name="Normal 51 2 3 2 2" xfId="21782" xr:uid="{00000000-0005-0000-0000-0000AC850000}"/>
    <cellStyle name="Normal 51 2 3 2 2 2" xfId="44425" xr:uid="{00000000-0005-0000-0000-0000AD850000}"/>
    <cellStyle name="Normal 51 2 3 2 3" xfId="14342" xr:uid="{00000000-0005-0000-0000-0000AE850000}"/>
    <cellStyle name="Normal 51 2 3 2 3 2" xfId="36985" xr:uid="{00000000-0005-0000-0000-0000AF850000}"/>
    <cellStyle name="Normal 51 2 3 2 4" xfId="29544" xr:uid="{00000000-0005-0000-0000-0000B0850000}"/>
    <cellStyle name="Normal 51 2 3 3" xfId="18064" xr:uid="{00000000-0005-0000-0000-0000B1850000}"/>
    <cellStyle name="Normal 51 2 3 3 2" xfId="40707" xr:uid="{00000000-0005-0000-0000-0000B2850000}"/>
    <cellStyle name="Normal 51 2 3 4" xfId="10624" xr:uid="{00000000-0005-0000-0000-0000B3850000}"/>
    <cellStyle name="Normal 51 2 3 4 2" xfId="33267" xr:uid="{00000000-0005-0000-0000-0000B4850000}"/>
    <cellStyle name="Normal 51 2 3 5" xfId="25826" xr:uid="{00000000-0005-0000-0000-0000B5850000}"/>
    <cellStyle name="Normal 51 2 4" xfId="5051" xr:uid="{00000000-0005-0000-0000-0000B6850000}"/>
    <cellStyle name="Normal 51 2 4 2" xfId="19935" xr:uid="{00000000-0005-0000-0000-0000B7850000}"/>
    <cellStyle name="Normal 51 2 4 2 2" xfId="42578" xr:uid="{00000000-0005-0000-0000-0000B8850000}"/>
    <cellStyle name="Normal 51 2 4 3" xfId="12495" xr:uid="{00000000-0005-0000-0000-0000B9850000}"/>
    <cellStyle name="Normal 51 2 4 3 2" xfId="35138" xr:uid="{00000000-0005-0000-0000-0000BA850000}"/>
    <cellStyle name="Normal 51 2 4 4" xfId="27697" xr:uid="{00000000-0005-0000-0000-0000BB850000}"/>
    <cellStyle name="Normal 51 2 5" xfId="16217" xr:uid="{00000000-0005-0000-0000-0000BC850000}"/>
    <cellStyle name="Normal 51 2 5 2" xfId="38860" xr:uid="{00000000-0005-0000-0000-0000BD850000}"/>
    <cellStyle name="Normal 51 2 6" xfId="8777" xr:uid="{00000000-0005-0000-0000-0000BE850000}"/>
    <cellStyle name="Normal 51 2 6 2" xfId="31420" xr:uid="{00000000-0005-0000-0000-0000BF850000}"/>
    <cellStyle name="Normal 51 2 7" xfId="23979" xr:uid="{00000000-0005-0000-0000-0000C0850000}"/>
    <cellStyle name="Normal 51 3" xfId="1790" xr:uid="{00000000-0005-0000-0000-0000C1850000}"/>
    <cellStyle name="Normal 51 3 2" xfId="3640" xr:uid="{00000000-0005-0000-0000-0000C2850000}"/>
    <cellStyle name="Normal 51 3 2 2" xfId="7361" xr:uid="{00000000-0005-0000-0000-0000C3850000}"/>
    <cellStyle name="Normal 51 3 2 2 2" xfId="22245" xr:uid="{00000000-0005-0000-0000-0000C4850000}"/>
    <cellStyle name="Normal 51 3 2 2 2 2" xfId="44888" xr:uid="{00000000-0005-0000-0000-0000C5850000}"/>
    <cellStyle name="Normal 51 3 2 2 3" xfId="14805" xr:uid="{00000000-0005-0000-0000-0000C6850000}"/>
    <cellStyle name="Normal 51 3 2 2 3 2" xfId="37448" xr:uid="{00000000-0005-0000-0000-0000C7850000}"/>
    <cellStyle name="Normal 51 3 2 2 4" xfId="30007" xr:uid="{00000000-0005-0000-0000-0000C8850000}"/>
    <cellStyle name="Normal 51 3 2 3" xfId="18527" xr:uid="{00000000-0005-0000-0000-0000C9850000}"/>
    <cellStyle name="Normal 51 3 2 3 2" xfId="41170" xr:uid="{00000000-0005-0000-0000-0000CA850000}"/>
    <cellStyle name="Normal 51 3 2 4" xfId="11087" xr:uid="{00000000-0005-0000-0000-0000CB850000}"/>
    <cellStyle name="Normal 51 3 2 4 2" xfId="33730" xr:uid="{00000000-0005-0000-0000-0000CC850000}"/>
    <cellStyle name="Normal 51 3 2 5" xfId="26289" xr:uid="{00000000-0005-0000-0000-0000CD850000}"/>
    <cellStyle name="Normal 51 3 3" xfId="5514" xr:uid="{00000000-0005-0000-0000-0000CE850000}"/>
    <cellStyle name="Normal 51 3 3 2" xfId="20398" xr:uid="{00000000-0005-0000-0000-0000CF850000}"/>
    <cellStyle name="Normal 51 3 3 2 2" xfId="43041" xr:uid="{00000000-0005-0000-0000-0000D0850000}"/>
    <cellStyle name="Normal 51 3 3 3" xfId="12958" xr:uid="{00000000-0005-0000-0000-0000D1850000}"/>
    <cellStyle name="Normal 51 3 3 3 2" xfId="35601" xr:uid="{00000000-0005-0000-0000-0000D2850000}"/>
    <cellStyle name="Normal 51 3 3 4" xfId="28160" xr:uid="{00000000-0005-0000-0000-0000D3850000}"/>
    <cellStyle name="Normal 51 3 4" xfId="16680" xr:uid="{00000000-0005-0000-0000-0000D4850000}"/>
    <cellStyle name="Normal 51 3 4 2" xfId="39323" xr:uid="{00000000-0005-0000-0000-0000D5850000}"/>
    <cellStyle name="Normal 51 3 5" xfId="9240" xr:uid="{00000000-0005-0000-0000-0000D6850000}"/>
    <cellStyle name="Normal 51 3 5 2" xfId="31883" xr:uid="{00000000-0005-0000-0000-0000D7850000}"/>
    <cellStyle name="Normal 51 3 6" xfId="24442" xr:uid="{00000000-0005-0000-0000-0000D8850000}"/>
    <cellStyle name="Normal 51 4" xfId="2715" xr:uid="{00000000-0005-0000-0000-0000D9850000}"/>
    <cellStyle name="Normal 51 4 2" xfId="6436" xr:uid="{00000000-0005-0000-0000-0000DA850000}"/>
    <cellStyle name="Normal 51 4 2 2" xfId="21320" xr:uid="{00000000-0005-0000-0000-0000DB850000}"/>
    <cellStyle name="Normal 51 4 2 2 2" xfId="43963" xr:uid="{00000000-0005-0000-0000-0000DC850000}"/>
    <cellStyle name="Normal 51 4 2 3" xfId="13880" xr:uid="{00000000-0005-0000-0000-0000DD850000}"/>
    <cellStyle name="Normal 51 4 2 3 2" xfId="36523" xr:uid="{00000000-0005-0000-0000-0000DE850000}"/>
    <cellStyle name="Normal 51 4 2 4" xfId="29082" xr:uid="{00000000-0005-0000-0000-0000DF850000}"/>
    <cellStyle name="Normal 51 4 3" xfId="17602" xr:uid="{00000000-0005-0000-0000-0000E0850000}"/>
    <cellStyle name="Normal 51 4 3 2" xfId="40245" xr:uid="{00000000-0005-0000-0000-0000E1850000}"/>
    <cellStyle name="Normal 51 4 4" xfId="10162" xr:uid="{00000000-0005-0000-0000-0000E2850000}"/>
    <cellStyle name="Normal 51 4 4 2" xfId="32805" xr:uid="{00000000-0005-0000-0000-0000E3850000}"/>
    <cellStyle name="Normal 51 4 5" xfId="25364" xr:uid="{00000000-0005-0000-0000-0000E4850000}"/>
    <cellStyle name="Normal 51 5" xfId="4589" xr:uid="{00000000-0005-0000-0000-0000E5850000}"/>
    <cellStyle name="Normal 51 5 2" xfId="19473" xr:uid="{00000000-0005-0000-0000-0000E6850000}"/>
    <cellStyle name="Normal 51 5 2 2" xfId="42116" xr:uid="{00000000-0005-0000-0000-0000E7850000}"/>
    <cellStyle name="Normal 51 5 3" xfId="12033" xr:uid="{00000000-0005-0000-0000-0000E8850000}"/>
    <cellStyle name="Normal 51 5 3 2" xfId="34676" xr:uid="{00000000-0005-0000-0000-0000E9850000}"/>
    <cellStyle name="Normal 51 5 4" xfId="27235" xr:uid="{00000000-0005-0000-0000-0000EA850000}"/>
    <cellStyle name="Normal 51 6" xfId="15755" xr:uid="{00000000-0005-0000-0000-0000EB850000}"/>
    <cellStyle name="Normal 51 6 2" xfId="38398" xr:uid="{00000000-0005-0000-0000-0000EC850000}"/>
    <cellStyle name="Normal 51 7" xfId="8315" xr:uid="{00000000-0005-0000-0000-0000ED850000}"/>
    <cellStyle name="Normal 51 7 2" xfId="30958" xr:uid="{00000000-0005-0000-0000-0000EE850000}"/>
    <cellStyle name="Normal 51 8" xfId="23517" xr:uid="{00000000-0005-0000-0000-0000EF850000}"/>
    <cellStyle name="Normal 52" xfId="860" xr:uid="{00000000-0005-0000-0000-0000F0850000}"/>
    <cellStyle name="Normal 52 2" xfId="1325" xr:uid="{00000000-0005-0000-0000-0000F1850000}"/>
    <cellStyle name="Normal 52 2 2" xfId="2253" xr:uid="{00000000-0005-0000-0000-0000F2850000}"/>
    <cellStyle name="Normal 52 2 2 2" xfId="4103" xr:uid="{00000000-0005-0000-0000-0000F3850000}"/>
    <cellStyle name="Normal 52 2 2 2 2" xfId="7824" xr:uid="{00000000-0005-0000-0000-0000F4850000}"/>
    <cellStyle name="Normal 52 2 2 2 2 2" xfId="22708" xr:uid="{00000000-0005-0000-0000-0000F5850000}"/>
    <cellStyle name="Normal 52 2 2 2 2 2 2" xfId="45351" xr:uid="{00000000-0005-0000-0000-0000F6850000}"/>
    <cellStyle name="Normal 52 2 2 2 2 3" xfId="15268" xr:uid="{00000000-0005-0000-0000-0000F7850000}"/>
    <cellStyle name="Normal 52 2 2 2 2 3 2" xfId="37911" xr:uid="{00000000-0005-0000-0000-0000F8850000}"/>
    <cellStyle name="Normal 52 2 2 2 2 4" xfId="30470" xr:uid="{00000000-0005-0000-0000-0000F9850000}"/>
    <cellStyle name="Normal 52 2 2 2 3" xfId="18990" xr:uid="{00000000-0005-0000-0000-0000FA850000}"/>
    <cellStyle name="Normal 52 2 2 2 3 2" xfId="41633" xr:uid="{00000000-0005-0000-0000-0000FB850000}"/>
    <cellStyle name="Normal 52 2 2 2 4" xfId="11550" xr:uid="{00000000-0005-0000-0000-0000FC850000}"/>
    <cellStyle name="Normal 52 2 2 2 4 2" xfId="34193" xr:uid="{00000000-0005-0000-0000-0000FD850000}"/>
    <cellStyle name="Normal 52 2 2 2 5" xfId="26752" xr:uid="{00000000-0005-0000-0000-0000FE850000}"/>
    <cellStyle name="Normal 52 2 2 3" xfId="5977" xr:uid="{00000000-0005-0000-0000-0000FF850000}"/>
    <cellStyle name="Normal 52 2 2 3 2" xfId="20861" xr:uid="{00000000-0005-0000-0000-000000860000}"/>
    <cellStyle name="Normal 52 2 2 3 2 2" xfId="43504" xr:uid="{00000000-0005-0000-0000-000001860000}"/>
    <cellStyle name="Normal 52 2 2 3 3" xfId="13421" xr:uid="{00000000-0005-0000-0000-000002860000}"/>
    <cellStyle name="Normal 52 2 2 3 3 2" xfId="36064" xr:uid="{00000000-0005-0000-0000-000003860000}"/>
    <cellStyle name="Normal 52 2 2 3 4" xfId="28623" xr:uid="{00000000-0005-0000-0000-000004860000}"/>
    <cellStyle name="Normal 52 2 2 4" xfId="17143" xr:uid="{00000000-0005-0000-0000-000005860000}"/>
    <cellStyle name="Normal 52 2 2 4 2" xfId="39786" xr:uid="{00000000-0005-0000-0000-000006860000}"/>
    <cellStyle name="Normal 52 2 2 5" xfId="9703" xr:uid="{00000000-0005-0000-0000-000007860000}"/>
    <cellStyle name="Normal 52 2 2 5 2" xfId="32346" xr:uid="{00000000-0005-0000-0000-000008860000}"/>
    <cellStyle name="Normal 52 2 2 6" xfId="24905" xr:uid="{00000000-0005-0000-0000-000009860000}"/>
    <cellStyle name="Normal 52 2 3" xfId="3178" xr:uid="{00000000-0005-0000-0000-00000A860000}"/>
    <cellStyle name="Normal 52 2 3 2" xfId="6899" xr:uid="{00000000-0005-0000-0000-00000B860000}"/>
    <cellStyle name="Normal 52 2 3 2 2" xfId="21783" xr:uid="{00000000-0005-0000-0000-00000C860000}"/>
    <cellStyle name="Normal 52 2 3 2 2 2" xfId="44426" xr:uid="{00000000-0005-0000-0000-00000D860000}"/>
    <cellStyle name="Normal 52 2 3 2 3" xfId="14343" xr:uid="{00000000-0005-0000-0000-00000E860000}"/>
    <cellStyle name="Normal 52 2 3 2 3 2" xfId="36986" xr:uid="{00000000-0005-0000-0000-00000F860000}"/>
    <cellStyle name="Normal 52 2 3 2 4" xfId="29545" xr:uid="{00000000-0005-0000-0000-000010860000}"/>
    <cellStyle name="Normal 52 2 3 3" xfId="18065" xr:uid="{00000000-0005-0000-0000-000011860000}"/>
    <cellStyle name="Normal 52 2 3 3 2" xfId="40708" xr:uid="{00000000-0005-0000-0000-000012860000}"/>
    <cellStyle name="Normal 52 2 3 4" xfId="10625" xr:uid="{00000000-0005-0000-0000-000013860000}"/>
    <cellStyle name="Normal 52 2 3 4 2" xfId="33268" xr:uid="{00000000-0005-0000-0000-000014860000}"/>
    <cellStyle name="Normal 52 2 3 5" xfId="25827" xr:uid="{00000000-0005-0000-0000-000015860000}"/>
    <cellStyle name="Normal 52 2 4" xfId="5052" xr:uid="{00000000-0005-0000-0000-000016860000}"/>
    <cellStyle name="Normal 52 2 4 2" xfId="19936" xr:uid="{00000000-0005-0000-0000-000017860000}"/>
    <cellStyle name="Normal 52 2 4 2 2" xfId="42579" xr:uid="{00000000-0005-0000-0000-000018860000}"/>
    <cellStyle name="Normal 52 2 4 3" xfId="12496" xr:uid="{00000000-0005-0000-0000-000019860000}"/>
    <cellStyle name="Normal 52 2 4 3 2" xfId="35139" xr:uid="{00000000-0005-0000-0000-00001A860000}"/>
    <cellStyle name="Normal 52 2 4 4" xfId="27698" xr:uid="{00000000-0005-0000-0000-00001B860000}"/>
    <cellStyle name="Normal 52 2 5" xfId="16218" xr:uid="{00000000-0005-0000-0000-00001C860000}"/>
    <cellStyle name="Normal 52 2 5 2" xfId="38861" xr:uid="{00000000-0005-0000-0000-00001D860000}"/>
    <cellStyle name="Normal 52 2 6" xfId="8778" xr:uid="{00000000-0005-0000-0000-00001E860000}"/>
    <cellStyle name="Normal 52 2 6 2" xfId="31421" xr:uid="{00000000-0005-0000-0000-00001F860000}"/>
    <cellStyle name="Normal 52 2 7" xfId="23980" xr:uid="{00000000-0005-0000-0000-000020860000}"/>
    <cellStyle name="Normal 52 3" xfId="1791" xr:uid="{00000000-0005-0000-0000-000021860000}"/>
    <cellStyle name="Normal 52 3 2" xfId="3641" xr:uid="{00000000-0005-0000-0000-000022860000}"/>
    <cellStyle name="Normal 52 3 2 2" xfId="7362" xr:uid="{00000000-0005-0000-0000-000023860000}"/>
    <cellStyle name="Normal 52 3 2 2 2" xfId="22246" xr:uid="{00000000-0005-0000-0000-000024860000}"/>
    <cellStyle name="Normal 52 3 2 2 2 2" xfId="44889" xr:uid="{00000000-0005-0000-0000-000025860000}"/>
    <cellStyle name="Normal 52 3 2 2 3" xfId="14806" xr:uid="{00000000-0005-0000-0000-000026860000}"/>
    <cellStyle name="Normal 52 3 2 2 3 2" xfId="37449" xr:uid="{00000000-0005-0000-0000-000027860000}"/>
    <cellStyle name="Normal 52 3 2 2 4" xfId="30008" xr:uid="{00000000-0005-0000-0000-000028860000}"/>
    <cellStyle name="Normal 52 3 2 3" xfId="18528" xr:uid="{00000000-0005-0000-0000-000029860000}"/>
    <cellStyle name="Normal 52 3 2 3 2" xfId="41171" xr:uid="{00000000-0005-0000-0000-00002A860000}"/>
    <cellStyle name="Normal 52 3 2 4" xfId="11088" xr:uid="{00000000-0005-0000-0000-00002B860000}"/>
    <cellStyle name="Normal 52 3 2 4 2" xfId="33731" xr:uid="{00000000-0005-0000-0000-00002C860000}"/>
    <cellStyle name="Normal 52 3 2 5" xfId="26290" xr:uid="{00000000-0005-0000-0000-00002D860000}"/>
    <cellStyle name="Normal 52 3 3" xfId="5515" xr:uid="{00000000-0005-0000-0000-00002E860000}"/>
    <cellStyle name="Normal 52 3 3 2" xfId="20399" xr:uid="{00000000-0005-0000-0000-00002F860000}"/>
    <cellStyle name="Normal 52 3 3 2 2" xfId="43042" xr:uid="{00000000-0005-0000-0000-000030860000}"/>
    <cellStyle name="Normal 52 3 3 3" xfId="12959" xr:uid="{00000000-0005-0000-0000-000031860000}"/>
    <cellStyle name="Normal 52 3 3 3 2" xfId="35602" xr:uid="{00000000-0005-0000-0000-000032860000}"/>
    <cellStyle name="Normal 52 3 3 4" xfId="28161" xr:uid="{00000000-0005-0000-0000-000033860000}"/>
    <cellStyle name="Normal 52 3 4" xfId="16681" xr:uid="{00000000-0005-0000-0000-000034860000}"/>
    <cellStyle name="Normal 52 3 4 2" xfId="39324" xr:uid="{00000000-0005-0000-0000-000035860000}"/>
    <cellStyle name="Normal 52 3 5" xfId="9241" xr:uid="{00000000-0005-0000-0000-000036860000}"/>
    <cellStyle name="Normal 52 3 5 2" xfId="31884" xr:uid="{00000000-0005-0000-0000-000037860000}"/>
    <cellStyle name="Normal 52 3 6" xfId="24443" xr:uid="{00000000-0005-0000-0000-000038860000}"/>
    <cellStyle name="Normal 52 4" xfId="2716" xr:uid="{00000000-0005-0000-0000-000039860000}"/>
    <cellStyle name="Normal 52 4 2" xfId="6437" xr:uid="{00000000-0005-0000-0000-00003A860000}"/>
    <cellStyle name="Normal 52 4 2 2" xfId="21321" xr:uid="{00000000-0005-0000-0000-00003B860000}"/>
    <cellStyle name="Normal 52 4 2 2 2" xfId="43964" xr:uid="{00000000-0005-0000-0000-00003C860000}"/>
    <cellStyle name="Normal 52 4 2 3" xfId="13881" xr:uid="{00000000-0005-0000-0000-00003D860000}"/>
    <cellStyle name="Normal 52 4 2 3 2" xfId="36524" xr:uid="{00000000-0005-0000-0000-00003E860000}"/>
    <cellStyle name="Normal 52 4 2 4" xfId="29083" xr:uid="{00000000-0005-0000-0000-00003F860000}"/>
    <cellStyle name="Normal 52 4 3" xfId="17603" xr:uid="{00000000-0005-0000-0000-000040860000}"/>
    <cellStyle name="Normal 52 4 3 2" xfId="40246" xr:uid="{00000000-0005-0000-0000-000041860000}"/>
    <cellStyle name="Normal 52 4 4" xfId="10163" xr:uid="{00000000-0005-0000-0000-000042860000}"/>
    <cellStyle name="Normal 52 4 4 2" xfId="32806" xr:uid="{00000000-0005-0000-0000-000043860000}"/>
    <cellStyle name="Normal 52 4 5" xfId="25365" xr:uid="{00000000-0005-0000-0000-000044860000}"/>
    <cellStyle name="Normal 52 5" xfId="4590" xr:uid="{00000000-0005-0000-0000-000045860000}"/>
    <cellStyle name="Normal 52 5 2" xfId="19474" xr:uid="{00000000-0005-0000-0000-000046860000}"/>
    <cellStyle name="Normal 52 5 2 2" xfId="42117" xr:uid="{00000000-0005-0000-0000-000047860000}"/>
    <cellStyle name="Normal 52 5 3" xfId="12034" xr:uid="{00000000-0005-0000-0000-000048860000}"/>
    <cellStyle name="Normal 52 5 3 2" xfId="34677" xr:uid="{00000000-0005-0000-0000-000049860000}"/>
    <cellStyle name="Normal 52 5 4" xfId="27236" xr:uid="{00000000-0005-0000-0000-00004A860000}"/>
    <cellStyle name="Normal 52 6" xfId="15756" xr:uid="{00000000-0005-0000-0000-00004B860000}"/>
    <cellStyle name="Normal 52 6 2" xfId="38399" xr:uid="{00000000-0005-0000-0000-00004C860000}"/>
    <cellStyle name="Normal 52 7" xfId="8316" xr:uid="{00000000-0005-0000-0000-00004D860000}"/>
    <cellStyle name="Normal 52 7 2" xfId="30959" xr:uid="{00000000-0005-0000-0000-00004E860000}"/>
    <cellStyle name="Normal 52 8" xfId="23518" xr:uid="{00000000-0005-0000-0000-00004F860000}"/>
    <cellStyle name="Normal 53" xfId="861" xr:uid="{00000000-0005-0000-0000-000050860000}"/>
    <cellStyle name="Normal 53 2" xfId="1326" xr:uid="{00000000-0005-0000-0000-000051860000}"/>
    <cellStyle name="Normal 53 2 2" xfId="2254" xr:uid="{00000000-0005-0000-0000-000052860000}"/>
    <cellStyle name="Normal 53 2 2 2" xfId="4104" xr:uid="{00000000-0005-0000-0000-000053860000}"/>
    <cellStyle name="Normal 53 2 2 2 2" xfId="7825" xr:uid="{00000000-0005-0000-0000-000054860000}"/>
    <cellStyle name="Normal 53 2 2 2 2 2" xfId="22709" xr:uid="{00000000-0005-0000-0000-000055860000}"/>
    <cellStyle name="Normal 53 2 2 2 2 2 2" xfId="45352" xr:uid="{00000000-0005-0000-0000-000056860000}"/>
    <cellStyle name="Normal 53 2 2 2 2 3" xfId="15269" xr:uid="{00000000-0005-0000-0000-000057860000}"/>
    <cellStyle name="Normal 53 2 2 2 2 3 2" xfId="37912" xr:uid="{00000000-0005-0000-0000-000058860000}"/>
    <cellStyle name="Normal 53 2 2 2 2 4" xfId="30471" xr:uid="{00000000-0005-0000-0000-000059860000}"/>
    <cellStyle name="Normal 53 2 2 2 3" xfId="18991" xr:uid="{00000000-0005-0000-0000-00005A860000}"/>
    <cellStyle name="Normal 53 2 2 2 3 2" xfId="41634" xr:uid="{00000000-0005-0000-0000-00005B860000}"/>
    <cellStyle name="Normal 53 2 2 2 4" xfId="11551" xr:uid="{00000000-0005-0000-0000-00005C860000}"/>
    <cellStyle name="Normal 53 2 2 2 4 2" xfId="34194" xr:uid="{00000000-0005-0000-0000-00005D860000}"/>
    <cellStyle name="Normal 53 2 2 2 5" xfId="26753" xr:uid="{00000000-0005-0000-0000-00005E860000}"/>
    <cellStyle name="Normal 53 2 2 3" xfId="5978" xr:uid="{00000000-0005-0000-0000-00005F860000}"/>
    <cellStyle name="Normal 53 2 2 3 2" xfId="20862" xr:uid="{00000000-0005-0000-0000-000060860000}"/>
    <cellStyle name="Normal 53 2 2 3 2 2" xfId="43505" xr:uid="{00000000-0005-0000-0000-000061860000}"/>
    <cellStyle name="Normal 53 2 2 3 3" xfId="13422" xr:uid="{00000000-0005-0000-0000-000062860000}"/>
    <cellStyle name="Normal 53 2 2 3 3 2" xfId="36065" xr:uid="{00000000-0005-0000-0000-000063860000}"/>
    <cellStyle name="Normal 53 2 2 3 4" xfId="28624" xr:uid="{00000000-0005-0000-0000-000064860000}"/>
    <cellStyle name="Normal 53 2 2 4" xfId="17144" xr:uid="{00000000-0005-0000-0000-000065860000}"/>
    <cellStyle name="Normal 53 2 2 4 2" xfId="39787" xr:uid="{00000000-0005-0000-0000-000066860000}"/>
    <cellStyle name="Normal 53 2 2 5" xfId="9704" xr:uid="{00000000-0005-0000-0000-000067860000}"/>
    <cellStyle name="Normal 53 2 2 5 2" xfId="32347" xr:uid="{00000000-0005-0000-0000-000068860000}"/>
    <cellStyle name="Normal 53 2 2 6" xfId="24906" xr:uid="{00000000-0005-0000-0000-000069860000}"/>
    <cellStyle name="Normal 53 2 3" xfId="3179" xr:uid="{00000000-0005-0000-0000-00006A860000}"/>
    <cellStyle name="Normal 53 2 3 2" xfId="6900" xr:uid="{00000000-0005-0000-0000-00006B860000}"/>
    <cellStyle name="Normal 53 2 3 2 2" xfId="21784" xr:uid="{00000000-0005-0000-0000-00006C860000}"/>
    <cellStyle name="Normal 53 2 3 2 2 2" xfId="44427" xr:uid="{00000000-0005-0000-0000-00006D860000}"/>
    <cellStyle name="Normal 53 2 3 2 3" xfId="14344" xr:uid="{00000000-0005-0000-0000-00006E860000}"/>
    <cellStyle name="Normal 53 2 3 2 3 2" xfId="36987" xr:uid="{00000000-0005-0000-0000-00006F860000}"/>
    <cellStyle name="Normal 53 2 3 2 4" xfId="29546" xr:uid="{00000000-0005-0000-0000-000070860000}"/>
    <cellStyle name="Normal 53 2 3 3" xfId="18066" xr:uid="{00000000-0005-0000-0000-000071860000}"/>
    <cellStyle name="Normal 53 2 3 3 2" xfId="40709" xr:uid="{00000000-0005-0000-0000-000072860000}"/>
    <cellStyle name="Normal 53 2 3 4" xfId="10626" xr:uid="{00000000-0005-0000-0000-000073860000}"/>
    <cellStyle name="Normal 53 2 3 4 2" xfId="33269" xr:uid="{00000000-0005-0000-0000-000074860000}"/>
    <cellStyle name="Normal 53 2 3 5" xfId="25828" xr:uid="{00000000-0005-0000-0000-000075860000}"/>
    <cellStyle name="Normal 53 2 4" xfId="5053" xr:uid="{00000000-0005-0000-0000-000076860000}"/>
    <cellStyle name="Normal 53 2 4 2" xfId="19937" xr:uid="{00000000-0005-0000-0000-000077860000}"/>
    <cellStyle name="Normal 53 2 4 2 2" xfId="42580" xr:uid="{00000000-0005-0000-0000-000078860000}"/>
    <cellStyle name="Normal 53 2 4 3" xfId="12497" xr:uid="{00000000-0005-0000-0000-000079860000}"/>
    <cellStyle name="Normal 53 2 4 3 2" xfId="35140" xr:uid="{00000000-0005-0000-0000-00007A860000}"/>
    <cellStyle name="Normal 53 2 4 4" xfId="27699" xr:uid="{00000000-0005-0000-0000-00007B860000}"/>
    <cellStyle name="Normal 53 2 5" xfId="16219" xr:uid="{00000000-0005-0000-0000-00007C860000}"/>
    <cellStyle name="Normal 53 2 5 2" xfId="38862" xr:uid="{00000000-0005-0000-0000-00007D860000}"/>
    <cellStyle name="Normal 53 2 6" xfId="8779" xr:uid="{00000000-0005-0000-0000-00007E860000}"/>
    <cellStyle name="Normal 53 2 6 2" xfId="31422" xr:uid="{00000000-0005-0000-0000-00007F860000}"/>
    <cellStyle name="Normal 53 2 7" xfId="23981" xr:uid="{00000000-0005-0000-0000-000080860000}"/>
    <cellStyle name="Normal 53 3" xfId="1792" xr:uid="{00000000-0005-0000-0000-000081860000}"/>
    <cellStyle name="Normal 53 3 2" xfId="3642" xr:uid="{00000000-0005-0000-0000-000082860000}"/>
    <cellStyle name="Normal 53 3 2 2" xfId="7363" xr:uid="{00000000-0005-0000-0000-000083860000}"/>
    <cellStyle name="Normal 53 3 2 2 2" xfId="22247" xr:uid="{00000000-0005-0000-0000-000084860000}"/>
    <cellStyle name="Normal 53 3 2 2 2 2" xfId="44890" xr:uid="{00000000-0005-0000-0000-000085860000}"/>
    <cellStyle name="Normal 53 3 2 2 3" xfId="14807" xr:uid="{00000000-0005-0000-0000-000086860000}"/>
    <cellStyle name="Normal 53 3 2 2 3 2" xfId="37450" xr:uid="{00000000-0005-0000-0000-000087860000}"/>
    <cellStyle name="Normal 53 3 2 2 4" xfId="30009" xr:uid="{00000000-0005-0000-0000-000088860000}"/>
    <cellStyle name="Normal 53 3 2 3" xfId="18529" xr:uid="{00000000-0005-0000-0000-000089860000}"/>
    <cellStyle name="Normal 53 3 2 3 2" xfId="41172" xr:uid="{00000000-0005-0000-0000-00008A860000}"/>
    <cellStyle name="Normal 53 3 2 4" xfId="11089" xr:uid="{00000000-0005-0000-0000-00008B860000}"/>
    <cellStyle name="Normal 53 3 2 4 2" xfId="33732" xr:uid="{00000000-0005-0000-0000-00008C860000}"/>
    <cellStyle name="Normal 53 3 2 5" xfId="26291" xr:uid="{00000000-0005-0000-0000-00008D860000}"/>
    <cellStyle name="Normal 53 3 3" xfId="5516" xr:uid="{00000000-0005-0000-0000-00008E860000}"/>
    <cellStyle name="Normal 53 3 3 2" xfId="20400" xr:uid="{00000000-0005-0000-0000-00008F860000}"/>
    <cellStyle name="Normal 53 3 3 2 2" xfId="43043" xr:uid="{00000000-0005-0000-0000-000090860000}"/>
    <cellStyle name="Normal 53 3 3 3" xfId="12960" xr:uid="{00000000-0005-0000-0000-000091860000}"/>
    <cellStyle name="Normal 53 3 3 3 2" xfId="35603" xr:uid="{00000000-0005-0000-0000-000092860000}"/>
    <cellStyle name="Normal 53 3 3 4" xfId="28162" xr:uid="{00000000-0005-0000-0000-000093860000}"/>
    <cellStyle name="Normal 53 3 4" xfId="16682" xr:uid="{00000000-0005-0000-0000-000094860000}"/>
    <cellStyle name="Normal 53 3 4 2" xfId="39325" xr:uid="{00000000-0005-0000-0000-000095860000}"/>
    <cellStyle name="Normal 53 3 5" xfId="9242" xr:uid="{00000000-0005-0000-0000-000096860000}"/>
    <cellStyle name="Normal 53 3 5 2" xfId="31885" xr:uid="{00000000-0005-0000-0000-000097860000}"/>
    <cellStyle name="Normal 53 3 6" xfId="24444" xr:uid="{00000000-0005-0000-0000-000098860000}"/>
    <cellStyle name="Normal 53 4" xfId="2717" xr:uid="{00000000-0005-0000-0000-000099860000}"/>
    <cellStyle name="Normal 53 4 2" xfId="6438" xr:uid="{00000000-0005-0000-0000-00009A860000}"/>
    <cellStyle name="Normal 53 4 2 2" xfId="21322" xr:uid="{00000000-0005-0000-0000-00009B860000}"/>
    <cellStyle name="Normal 53 4 2 2 2" xfId="43965" xr:uid="{00000000-0005-0000-0000-00009C860000}"/>
    <cellStyle name="Normal 53 4 2 3" xfId="13882" xr:uid="{00000000-0005-0000-0000-00009D860000}"/>
    <cellStyle name="Normal 53 4 2 3 2" xfId="36525" xr:uid="{00000000-0005-0000-0000-00009E860000}"/>
    <cellStyle name="Normal 53 4 2 4" xfId="29084" xr:uid="{00000000-0005-0000-0000-00009F860000}"/>
    <cellStyle name="Normal 53 4 3" xfId="17604" xr:uid="{00000000-0005-0000-0000-0000A0860000}"/>
    <cellStyle name="Normal 53 4 3 2" xfId="40247" xr:uid="{00000000-0005-0000-0000-0000A1860000}"/>
    <cellStyle name="Normal 53 4 4" xfId="10164" xr:uid="{00000000-0005-0000-0000-0000A2860000}"/>
    <cellStyle name="Normal 53 4 4 2" xfId="32807" xr:uid="{00000000-0005-0000-0000-0000A3860000}"/>
    <cellStyle name="Normal 53 4 5" xfId="25366" xr:uid="{00000000-0005-0000-0000-0000A4860000}"/>
    <cellStyle name="Normal 53 5" xfId="4591" xr:uid="{00000000-0005-0000-0000-0000A5860000}"/>
    <cellStyle name="Normal 53 5 2" xfId="19475" xr:uid="{00000000-0005-0000-0000-0000A6860000}"/>
    <cellStyle name="Normal 53 5 2 2" xfId="42118" xr:uid="{00000000-0005-0000-0000-0000A7860000}"/>
    <cellStyle name="Normal 53 5 3" xfId="12035" xr:uid="{00000000-0005-0000-0000-0000A8860000}"/>
    <cellStyle name="Normal 53 5 3 2" xfId="34678" xr:uid="{00000000-0005-0000-0000-0000A9860000}"/>
    <cellStyle name="Normal 53 5 4" xfId="27237" xr:uid="{00000000-0005-0000-0000-0000AA860000}"/>
    <cellStyle name="Normal 53 6" xfId="15757" xr:uid="{00000000-0005-0000-0000-0000AB860000}"/>
    <cellStyle name="Normal 53 6 2" xfId="38400" xr:uid="{00000000-0005-0000-0000-0000AC860000}"/>
    <cellStyle name="Normal 53 7" xfId="8317" xr:uid="{00000000-0005-0000-0000-0000AD860000}"/>
    <cellStyle name="Normal 53 7 2" xfId="30960" xr:uid="{00000000-0005-0000-0000-0000AE860000}"/>
    <cellStyle name="Normal 53 8" xfId="23519" xr:uid="{00000000-0005-0000-0000-0000AF860000}"/>
    <cellStyle name="Normal 54" xfId="862" xr:uid="{00000000-0005-0000-0000-0000B0860000}"/>
    <cellStyle name="Normal 54 2" xfId="1327" xr:uid="{00000000-0005-0000-0000-0000B1860000}"/>
    <cellStyle name="Normal 54 2 2" xfId="2255" xr:uid="{00000000-0005-0000-0000-0000B2860000}"/>
    <cellStyle name="Normal 54 2 2 2" xfId="4105" xr:uid="{00000000-0005-0000-0000-0000B3860000}"/>
    <cellStyle name="Normal 54 2 2 2 2" xfId="7826" xr:uid="{00000000-0005-0000-0000-0000B4860000}"/>
    <cellStyle name="Normal 54 2 2 2 2 2" xfId="22710" xr:uid="{00000000-0005-0000-0000-0000B5860000}"/>
    <cellStyle name="Normal 54 2 2 2 2 2 2" xfId="45353" xr:uid="{00000000-0005-0000-0000-0000B6860000}"/>
    <cellStyle name="Normal 54 2 2 2 2 3" xfId="15270" xr:uid="{00000000-0005-0000-0000-0000B7860000}"/>
    <cellStyle name="Normal 54 2 2 2 2 3 2" xfId="37913" xr:uid="{00000000-0005-0000-0000-0000B8860000}"/>
    <cellStyle name="Normal 54 2 2 2 2 4" xfId="30472" xr:uid="{00000000-0005-0000-0000-0000B9860000}"/>
    <cellStyle name="Normal 54 2 2 2 3" xfId="18992" xr:uid="{00000000-0005-0000-0000-0000BA860000}"/>
    <cellStyle name="Normal 54 2 2 2 3 2" xfId="41635" xr:uid="{00000000-0005-0000-0000-0000BB860000}"/>
    <cellStyle name="Normal 54 2 2 2 4" xfId="11552" xr:uid="{00000000-0005-0000-0000-0000BC860000}"/>
    <cellStyle name="Normal 54 2 2 2 4 2" xfId="34195" xr:uid="{00000000-0005-0000-0000-0000BD860000}"/>
    <cellStyle name="Normal 54 2 2 2 5" xfId="26754" xr:uid="{00000000-0005-0000-0000-0000BE860000}"/>
    <cellStyle name="Normal 54 2 2 3" xfId="5979" xr:uid="{00000000-0005-0000-0000-0000BF860000}"/>
    <cellStyle name="Normal 54 2 2 3 2" xfId="20863" xr:uid="{00000000-0005-0000-0000-0000C0860000}"/>
    <cellStyle name="Normal 54 2 2 3 2 2" xfId="43506" xr:uid="{00000000-0005-0000-0000-0000C1860000}"/>
    <cellStyle name="Normal 54 2 2 3 3" xfId="13423" xr:uid="{00000000-0005-0000-0000-0000C2860000}"/>
    <cellStyle name="Normal 54 2 2 3 3 2" xfId="36066" xr:uid="{00000000-0005-0000-0000-0000C3860000}"/>
    <cellStyle name="Normal 54 2 2 3 4" xfId="28625" xr:uid="{00000000-0005-0000-0000-0000C4860000}"/>
    <cellStyle name="Normal 54 2 2 4" xfId="17145" xr:uid="{00000000-0005-0000-0000-0000C5860000}"/>
    <cellStyle name="Normal 54 2 2 4 2" xfId="39788" xr:uid="{00000000-0005-0000-0000-0000C6860000}"/>
    <cellStyle name="Normal 54 2 2 5" xfId="9705" xr:uid="{00000000-0005-0000-0000-0000C7860000}"/>
    <cellStyle name="Normal 54 2 2 5 2" xfId="32348" xr:uid="{00000000-0005-0000-0000-0000C8860000}"/>
    <cellStyle name="Normal 54 2 2 6" xfId="24907" xr:uid="{00000000-0005-0000-0000-0000C9860000}"/>
    <cellStyle name="Normal 54 2 3" xfId="3180" xr:uid="{00000000-0005-0000-0000-0000CA860000}"/>
    <cellStyle name="Normal 54 2 3 2" xfId="6901" xr:uid="{00000000-0005-0000-0000-0000CB860000}"/>
    <cellStyle name="Normal 54 2 3 2 2" xfId="21785" xr:uid="{00000000-0005-0000-0000-0000CC860000}"/>
    <cellStyle name="Normal 54 2 3 2 2 2" xfId="44428" xr:uid="{00000000-0005-0000-0000-0000CD860000}"/>
    <cellStyle name="Normal 54 2 3 2 3" xfId="14345" xr:uid="{00000000-0005-0000-0000-0000CE860000}"/>
    <cellStyle name="Normal 54 2 3 2 3 2" xfId="36988" xr:uid="{00000000-0005-0000-0000-0000CF860000}"/>
    <cellStyle name="Normal 54 2 3 2 4" xfId="29547" xr:uid="{00000000-0005-0000-0000-0000D0860000}"/>
    <cellStyle name="Normal 54 2 3 3" xfId="18067" xr:uid="{00000000-0005-0000-0000-0000D1860000}"/>
    <cellStyle name="Normal 54 2 3 3 2" xfId="40710" xr:uid="{00000000-0005-0000-0000-0000D2860000}"/>
    <cellStyle name="Normal 54 2 3 4" xfId="10627" xr:uid="{00000000-0005-0000-0000-0000D3860000}"/>
    <cellStyle name="Normal 54 2 3 4 2" xfId="33270" xr:uid="{00000000-0005-0000-0000-0000D4860000}"/>
    <cellStyle name="Normal 54 2 3 5" xfId="25829" xr:uid="{00000000-0005-0000-0000-0000D5860000}"/>
    <cellStyle name="Normal 54 2 4" xfId="5054" xr:uid="{00000000-0005-0000-0000-0000D6860000}"/>
    <cellStyle name="Normal 54 2 4 2" xfId="19938" xr:uid="{00000000-0005-0000-0000-0000D7860000}"/>
    <cellStyle name="Normal 54 2 4 2 2" xfId="42581" xr:uid="{00000000-0005-0000-0000-0000D8860000}"/>
    <cellStyle name="Normal 54 2 4 3" xfId="12498" xr:uid="{00000000-0005-0000-0000-0000D9860000}"/>
    <cellStyle name="Normal 54 2 4 3 2" xfId="35141" xr:uid="{00000000-0005-0000-0000-0000DA860000}"/>
    <cellStyle name="Normal 54 2 4 4" xfId="27700" xr:uid="{00000000-0005-0000-0000-0000DB860000}"/>
    <cellStyle name="Normal 54 2 5" xfId="16220" xr:uid="{00000000-0005-0000-0000-0000DC860000}"/>
    <cellStyle name="Normal 54 2 5 2" xfId="38863" xr:uid="{00000000-0005-0000-0000-0000DD860000}"/>
    <cellStyle name="Normal 54 2 6" xfId="8780" xr:uid="{00000000-0005-0000-0000-0000DE860000}"/>
    <cellStyle name="Normal 54 2 6 2" xfId="31423" xr:uid="{00000000-0005-0000-0000-0000DF860000}"/>
    <cellStyle name="Normal 54 2 7" xfId="23982" xr:uid="{00000000-0005-0000-0000-0000E0860000}"/>
    <cellStyle name="Normal 54 3" xfId="1793" xr:uid="{00000000-0005-0000-0000-0000E1860000}"/>
    <cellStyle name="Normal 54 3 2" xfId="3643" xr:uid="{00000000-0005-0000-0000-0000E2860000}"/>
    <cellStyle name="Normal 54 3 2 2" xfId="7364" xr:uid="{00000000-0005-0000-0000-0000E3860000}"/>
    <cellStyle name="Normal 54 3 2 2 2" xfId="22248" xr:uid="{00000000-0005-0000-0000-0000E4860000}"/>
    <cellStyle name="Normal 54 3 2 2 2 2" xfId="44891" xr:uid="{00000000-0005-0000-0000-0000E5860000}"/>
    <cellStyle name="Normal 54 3 2 2 3" xfId="14808" xr:uid="{00000000-0005-0000-0000-0000E6860000}"/>
    <cellStyle name="Normal 54 3 2 2 3 2" xfId="37451" xr:uid="{00000000-0005-0000-0000-0000E7860000}"/>
    <cellStyle name="Normal 54 3 2 2 4" xfId="30010" xr:uid="{00000000-0005-0000-0000-0000E8860000}"/>
    <cellStyle name="Normal 54 3 2 3" xfId="18530" xr:uid="{00000000-0005-0000-0000-0000E9860000}"/>
    <cellStyle name="Normal 54 3 2 3 2" xfId="41173" xr:uid="{00000000-0005-0000-0000-0000EA860000}"/>
    <cellStyle name="Normal 54 3 2 4" xfId="11090" xr:uid="{00000000-0005-0000-0000-0000EB860000}"/>
    <cellStyle name="Normal 54 3 2 4 2" xfId="33733" xr:uid="{00000000-0005-0000-0000-0000EC860000}"/>
    <cellStyle name="Normal 54 3 2 5" xfId="26292" xr:uid="{00000000-0005-0000-0000-0000ED860000}"/>
    <cellStyle name="Normal 54 3 3" xfId="5517" xr:uid="{00000000-0005-0000-0000-0000EE860000}"/>
    <cellStyle name="Normal 54 3 3 2" xfId="20401" xr:uid="{00000000-0005-0000-0000-0000EF860000}"/>
    <cellStyle name="Normal 54 3 3 2 2" xfId="43044" xr:uid="{00000000-0005-0000-0000-0000F0860000}"/>
    <cellStyle name="Normal 54 3 3 3" xfId="12961" xr:uid="{00000000-0005-0000-0000-0000F1860000}"/>
    <cellStyle name="Normal 54 3 3 3 2" xfId="35604" xr:uid="{00000000-0005-0000-0000-0000F2860000}"/>
    <cellStyle name="Normal 54 3 3 4" xfId="28163" xr:uid="{00000000-0005-0000-0000-0000F3860000}"/>
    <cellStyle name="Normal 54 3 4" xfId="16683" xr:uid="{00000000-0005-0000-0000-0000F4860000}"/>
    <cellStyle name="Normal 54 3 4 2" xfId="39326" xr:uid="{00000000-0005-0000-0000-0000F5860000}"/>
    <cellStyle name="Normal 54 3 5" xfId="9243" xr:uid="{00000000-0005-0000-0000-0000F6860000}"/>
    <cellStyle name="Normal 54 3 5 2" xfId="31886" xr:uid="{00000000-0005-0000-0000-0000F7860000}"/>
    <cellStyle name="Normal 54 3 6" xfId="24445" xr:uid="{00000000-0005-0000-0000-0000F8860000}"/>
    <cellStyle name="Normal 54 4" xfId="2718" xr:uid="{00000000-0005-0000-0000-0000F9860000}"/>
    <cellStyle name="Normal 54 4 2" xfId="6439" xr:uid="{00000000-0005-0000-0000-0000FA860000}"/>
    <cellStyle name="Normal 54 4 2 2" xfId="21323" xr:uid="{00000000-0005-0000-0000-0000FB860000}"/>
    <cellStyle name="Normal 54 4 2 2 2" xfId="43966" xr:uid="{00000000-0005-0000-0000-0000FC860000}"/>
    <cellStyle name="Normal 54 4 2 3" xfId="13883" xr:uid="{00000000-0005-0000-0000-0000FD860000}"/>
    <cellStyle name="Normal 54 4 2 3 2" xfId="36526" xr:uid="{00000000-0005-0000-0000-0000FE860000}"/>
    <cellStyle name="Normal 54 4 2 4" xfId="29085" xr:uid="{00000000-0005-0000-0000-0000FF860000}"/>
    <cellStyle name="Normal 54 4 3" xfId="17605" xr:uid="{00000000-0005-0000-0000-000000870000}"/>
    <cellStyle name="Normal 54 4 3 2" xfId="40248" xr:uid="{00000000-0005-0000-0000-000001870000}"/>
    <cellStyle name="Normal 54 4 4" xfId="10165" xr:uid="{00000000-0005-0000-0000-000002870000}"/>
    <cellStyle name="Normal 54 4 4 2" xfId="32808" xr:uid="{00000000-0005-0000-0000-000003870000}"/>
    <cellStyle name="Normal 54 4 5" xfId="25367" xr:uid="{00000000-0005-0000-0000-000004870000}"/>
    <cellStyle name="Normal 54 5" xfId="4592" xr:uid="{00000000-0005-0000-0000-000005870000}"/>
    <cellStyle name="Normal 54 5 2" xfId="19476" xr:uid="{00000000-0005-0000-0000-000006870000}"/>
    <cellStyle name="Normal 54 5 2 2" xfId="42119" xr:uid="{00000000-0005-0000-0000-000007870000}"/>
    <cellStyle name="Normal 54 5 3" xfId="12036" xr:uid="{00000000-0005-0000-0000-000008870000}"/>
    <cellStyle name="Normal 54 5 3 2" xfId="34679" xr:uid="{00000000-0005-0000-0000-000009870000}"/>
    <cellStyle name="Normal 54 5 4" xfId="27238" xr:uid="{00000000-0005-0000-0000-00000A870000}"/>
    <cellStyle name="Normal 54 6" xfId="15758" xr:uid="{00000000-0005-0000-0000-00000B870000}"/>
    <cellStyle name="Normal 54 6 2" xfId="38401" xr:uid="{00000000-0005-0000-0000-00000C870000}"/>
    <cellStyle name="Normal 54 7" xfId="8318" xr:uid="{00000000-0005-0000-0000-00000D870000}"/>
    <cellStyle name="Normal 54 7 2" xfId="30961" xr:uid="{00000000-0005-0000-0000-00000E870000}"/>
    <cellStyle name="Normal 54 8" xfId="23520" xr:uid="{00000000-0005-0000-0000-00000F870000}"/>
    <cellStyle name="Normal 55" xfId="863" xr:uid="{00000000-0005-0000-0000-000010870000}"/>
    <cellStyle name="Normal 55 2" xfId="1328" xr:uid="{00000000-0005-0000-0000-000011870000}"/>
    <cellStyle name="Normal 55 2 2" xfId="2256" xr:uid="{00000000-0005-0000-0000-000012870000}"/>
    <cellStyle name="Normal 55 2 2 2" xfId="4106" xr:uid="{00000000-0005-0000-0000-000013870000}"/>
    <cellStyle name="Normal 55 2 2 2 2" xfId="7827" xr:uid="{00000000-0005-0000-0000-000014870000}"/>
    <cellStyle name="Normal 55 2 2 2 2 2" xfId="22711" xr:uid="{00000000-0005-0000-0000-000015870000}"/>
    <cellStyle name="Normal 55 2 2 2 2 2 2" xfId="45354" xr:uid="{00000000-0005-0000-0000-000016870000}"/>
    <cellStyle name="Normal 55 2 2 2 2 3" xfId="15271" xr:uid="{00000000-0005-0000-0000-000017870000}"/>
    <cellStyle name="Normal 55 2 2 2 2 3 2" xfId="37914" xr:uid="{00000000-0005-0000-0000-000018870000}"/>
    <cellStyle name="Normal 55 2 2 2 2 4" xfId="30473" xr:uid="{00000000-0005-0000-0000-000019870000}"/>
    <cellStyle name="Normal 55 2 2 2 3" xfId="18993" xr:uid="{00000000-0005-0000-0000-00001A870000}"/>
    <cellStyle name="Normal 55 2 2 2 3 2" xfId="41636" xr:uid="{00000000-0005-0000-0000-00001B870000}"/>
    <cellStyle name="Normal 55 2 2 2 4" xfId="11553" xr:uid="{00000000-0005-0000-0000-00001C870000}"/>
    <cellStyle name="Normal 55 2 2 2 4 2" xfId="34196" xr:uid="{00000000-0005-0000-0000-00001D870000}"/>
    <cellStyle name="Normal 55 2 2 2 5" xfId="26755" xr:uid="{00000000-0005-0000-0000-00001E870000}"/>
    <cellStyle name="Normal 55 2 2 3" xfId="5980" xr:uid="{00000000-0005-0000-0000-00001F870000}"/>
    <cellStyle name="Normal 55 2 2 3 2" xfId="20864" xr:uid="{00000000-0005-0000-0000-000020870000}"/>
    <cellStyle name="Normal 55 2 2 3 2 2" xfId="43507" xr:uid="{00000000-0005-0000-0000-000021870000}"/>
    <cellStyle name="Normal 55 2 2 3 3" xfId="13424" xr:uid="{00000000-0005-0000-0000-000022870000}"/>
    <cellStyle name="Normal 55 2 2 3 3 2" xfId="36067" xr:uid="{00000000-0005-0000-0000-000023870000}"/>
    <cellStyle name="Normal 55 2 2 3 4" xfId="28626" xr:uid="{00000000-0005-0000-0000-000024870000}"/>
    <cellStyle name="Normal 55 2 2 4" xfId="17146" xr:uid="{00000000-0005-0000-0000-000025870000}"/>
    <cellStyle name="Normal 55 2 2 4 2" xfId="39789" xr:uid="{00000000-0005-0000-0000-000026870000}"/>
    <cellStyle name="Normal 55 2 2 5" xfId="9706" xr:uid="{00000000-0005-0000-0000-000027870000}"/>
    <cellStyle name="Normal 55 2 2 5 2" xfId="32349" xr:uid="{00000000-0005-0000-0000-000028870000}"/>
    <cellStyle name="Normal 55 2 2 6" xfId="24908" xr:uid="{00000000-0005-0000-0000-000029870000}"/>
    <cellStyle name="Normal 55 2 3" xfId="3181" xr:uid="{00000000-0005-0000-0000-00002A870000}"/>
    <cellStyle name="Normal 55 2 3 2" xfId="6902" xr:uid="{00000000-0005-0000-0000-00002B870000}"/>
    <cellStyle name="Normal 55 2 3 2 2" xfId="21786" xr:uid="{00000000-0005-0000-0000-00002C870000}"/>
    <cellStyle name="Normal 55 2 3 2 2 2" xfId="44429" xr:uid="{00000000-0005-0000-0000-00002D870000}"/>
    <cellStyle name="Normal 55 2 3 2 3" xfId="14346" xr:uid="{00000000-0005-0000-0000-00002E870000}"/>
    <cellStyle name="Normal 55 2 3 2 3 2" xfId="36989" xr:uid="{00000000-0005-0000-0000-00002F870000}"/>
    <cellStyle name="Normal 55 2 3 2 4" xfId="29548" xr:uid="{00000000-0005-0000-0000-000030870000}"/>
    <cellStyle name="Normal 55 2 3 3" xfId="18068" xr:uid="{00000000-0005-0000-0000-000031870000}"/>
    <cellStyle name="Normal 55 2 3 3 2" xfId="40711" xr:uid="{00000000-0005-0000-0000-000032870000}"/>
    <cellStyle name="Normal 55 2 3 4" xfId="10628" xr:uid="{00000000-0005-0000-0000-000033870000}"/>
    <cellStyle name="Normal 55 2 3 4 2" xfId="33271" xr:uid="{00000000-0005-0000-0000-000034870000}"/>
    <cellStyle name="Normal 55 2 3 5" xfId="25830" xr:uid="{00000000-0005-0000-0000-000035870000}"/>
    <cellStyle name="Normal 55 2 4" xfId="5055" xr:uid="{00000000-0005-0000-0000-000036870000}"/>
    <cellStyle name="Normal 55 2 4 2" xfId="19939" xr:uid="{00000000-0005-0000-0000-000037870000}"/>
    <cellStyle name="Normal 55 2 4 2 2" xfId="42582" xr:uid="{00000000-0005-0000-0000-000038870000}"/>
    <cellStyle name="Normal 55 2 4 3" xfId="12499" xr:uid="{00000000-0005-0000-0000-000039870000}"/>
    <cellStyle name="Normal 55 2 4 3 2" xfId="35142" xr:uid="{00000000-0005-0000-0000-00003A870000}"/>
    <cellStyle name="Normal 55 2 4 4" xfId="27701" xr:uid="{00000000-0005-0000-0000-00003B870000}"/>
    <cellStyle name="Normal 55 2 5" xfId="16221" xr:uid="{00000000-0005-0000-0000-00003C870000}"/>
    <cellStyle name="Normal 55 2 5 2" xfId="38864" xr:uid="{00000000-0005-0000-0000-00003D870000}"/>
    <cellStyle name="Normal 55 2 6" xfId="8781" xr:uid="{00000000-0005-0000-0000-00003E870000}"/>
    <cellStyle name="Normal 55 2 6 2" xfId="31424" xr:uid="{00000000-0005-0000-0000-00003F870000}"/>
    <cellStyle name="Normal 55 2 7" xfId="23983" xr:uid="{00000000-0005-0000-0000-000040870000}"/>
    <cellStyle name="Normal 55 3" xfId="1794" xr:uid="{00000000-0005-0000-0000-000041870000}"/>
    <cellStyle name="Normal 55 3 2" xfId="3644" xr:uid="{00000000-0005-0000-0000-000042870000}"/>
    <cellStyle name="Normal 55 3 2 2" xfId="7365" xr:uid="{00000000-0005-0000-0000-000043870000}"/>
    <cellStyle name="Normal 55 3 2 2 2" xfId="22249" xr:uid="{00000000-0005-0000-0000-000044870000}"/>
    <cellStyle name="Normal 55 3 2 2 2 2" xfId="44892" xr:uid="{00000000-0005-0000-0000-000045870000}"/>
    <cellStyle name="Normal 55 3 2 2 3" xfId="14809" xr:uid="{00000000-0005-0000-0000-000046870000}"/>
    <cellStyle name="Normal 55 3 2 2 3 2" xfId="37452" xr:uid="{00000000-0005-0000-0000-000047870000}"/>
    <cellStyle name="Normal 55 3 2 2 4" xfId="30011" xr:uid="{00000000-0005-0000-0000-000048870000}"/>
    <cellStyle name="Normal 55 3 2 3" xfId="18531" xr:uid="{00000000-0005-0000-0000-000049870000}"/>
    <cellStyle name="Normal 55 3 2 3 2" xfId="41174" xr:uid="{00000000-0005-0000-0000-00004A870000}"/>
    <cellStyle name="Normal 55 3 2 4" xfId="11091" xr:uid="{00000000-0005-0000-0000-00004B870000}"/>
    <cellStyle name="Normal 55 3 2 4 2" xfId="33734" xr:uid="{00000000-0005-0000-0000-00004C870000}"/>
    <cellStyle name="Normal 55 3 2 5" xfId="26293" xr:uid="{00000000-0005-0000-0000-00004D870000}"/>
    <cellStyle name="Normal 55 3 3" xfId="5518" xr:uid="{00000000-0005-0000-0000-00004E870000}"/>
    <cellStyle name="Normal 55 3 3 2" xfId="20402" xr:uid="{00000000-0005-0000-0000-00004F870000}"/>
    <cellStyle name="Normal 55 3 3 2 2" xfId="43045" xr:uid="{00000000-0005-0000-0000-000050870000}"/>
    <cellStyle name="Normal 55 3 3 3" xfId="12962" xr:uid="{00000000-0005-0000-0000-000051870000}"/>
    <cellStyle name="Normal 55 3 3 3 2" xfId="35605" xr:uid="{00000000-0005-0000-0000-000052870000}"/>
    <cellStyle name="Normal 55 3 3 4" xfId="28164" xr:uid="{00000000-0005-0000-0000-000053870000}"/>
    <cellStyle name="Normal 55 3 4" xfId="16684" xr:uid="{00000000-0005-0000-0000-000054870000}"/>
    <cellStyle name="Normal 55 3 4 2" xfId="39327" xr:uid="{00000000-0005-0000-0000-000055870000}"/>
    <cellStyle name="Normal 55 3 5" xfId="9244" xr:uid="{00000000-0005-0000-0000-000056870000}"/>
    <cellStyle name="Normal 55 3 5 2" xfId="31887" xr:uid="{00000000-0005-0000-0000-000057870000}"/>
    <cellStyle name="Normal 55 3 6" xfId="24446" xr:uid="{00000000-0005-0000-0000-000058870000}"/>
    <cellStyle name="Normal 55 4" xfId="2719" xr:uid="{00000000-0005-0000-0000-000059870000}"/>
    <cellStyle name="Normal 55 4 2" xfId="6440" xr:uid="{00000000-0005-0000-0000-00005A870000}"/>
    <cellStyle name="Normal 55 4 2 2" xfId="21324" xr:uid="{00000000-0005-0000-0000-00005B870000}"/>
    <cellStyle name="Normal 55 4 2 2 2" xfId="43967" xr:uid="{00000000-0005-0000-0000-00005C870000}"/>
    <cellStyle name="Normal 55 4 2 3" xfId="13884" xr:uid="{00000000-0005-0000-0000-00005D870000}"/>
    <cellStyle name="Normal 55 4 2 3 2" xfId="36527" xr:uid="{00000000-0005-0000-0000-00005E870000}"/>
    <cellStyle name="Normal 55 4 2 4" xfId="29086" xr:uid="{00000000-0005-0000-0000-00005F870000}"/>
    <cellStyle name="Normal 55 4 3" xfId="17606" xr:uid="{00000000-0005-0000-0000-000060870000}"/>
    <cellStyle name="Normal 55 4 3 2" xfId="40249" xr:uid="{00000000-0005-0000-0000-000061870000}"/>
    <cellStyle name="Normal 55 4 4" xfId="10166" xr:uid="{00000000-0005-0000-0000-000062870000}"/>
    <cellStyle name="Normal 55 4 4 2" xfId="32809" xr:uid="{00000000-0005-0000-0000-000063870000}"/>
    <cellStyle name="Normal 55 4 5" xfId="25368" xr:uid="{00000000-0005-0000-0000-000064870000}"/>
    <cellStyle name="Normal 55 5" xfId="4593" xr:uid="{00000000-0005-0000-0000-000065870000}"/>
    <cellStyle name="Normal 55 5 2" xfId="19477" xr:uid="{00000000-0005-0000-0000-000066870000}"/>
    <cellStyle name="Normal 55 5 2 2" xfId="42120" xr:uid="{00000000-0005-0000-0000-000067870000}"/>
    <cellStyle name="Normal 55 5 3" xfId="12037" xr:uid="{00000000-0005-0000-0000-000068870000}"/>
    <cellStyle name="Normal 55 5 3 2" xfId="34680" xr:uid="{00000000-0005-0000-0000-000069870000}"/>
    <cellStyle name="Normal 55 5 4" xfId="27239" xr:uid="{00000000-0005-0000-0000-00006A870000}"/>
    <cellStyle name="Normal 55 6" xfId="15759" xr:uid="{00000000-0005-0000-0000-00006B870000}"/>
    <cellStyle name="Normal 55 6 2" xfId="38402" xr:uid="{00000000-0005-0000-0000-00006C870000}"/>
    <cellStyle name="Normal 55 7" xfId="8319" xr:uid="{00000000-0005-0000-0000-00006D870000}"/>
    <cellStyle name="Normal 55 7 2" xfId="30962" xr:uid="{00000000-0005-0000-0000-00006E870000}"/>
    <cellStyle name="Normal 55 8" xfId="23521" xr:uid="{00000000-0005-0000-0000-00006F870000}"/>
    <cellStyle name="Normal 56" xfId="864" xr:uid="{00000000-0005-0000-0000-000070870000}"/>
    <cellStyle name="Normal 56 2" xfId="1329" xr:uid="{00000000-0005-0000-0000-000071870000}"/>
    <cellStyle name="Normal 56 2 2" xfId="2257" xr:uid="{00000000-0005-0000-0000-000072870000}"/>
    <cellStyle name="Normal 56 2 2 2" xfId="4107" xr:uid="{00000000-0005-0000-0000-000073870000}"/>
    <cellStyle name="Normal 56 2 2 2 2" xfId="7828" xr:uid="{00000000-0005-0000-0000-000074870000}"/>
    <cellStyle name="Normal 56 2 2 2 2 2" xfId="22712" xr:uid="{00000000-0005-0000-0000-000075870000}"/>
    <cellStyle name="Normal 56 2 2 2 2 2 2" xfId="45355" xr:uid="{00000000-0005-0000-0000-000076870000}"/>
    <cellStyle name="Normal 56 2 2 2 2 3" xfId="15272" xr:uid="{00000000-0005-0000-0000-000077870000}"/>
    <cellStyle name="Normal 56 2 2 2 2 3 2" xfId="37915" xr:uid="{00000000-0005-0000-0000-000078870000}"/>
    <cellStyle name="Normal 56 2 2 2 2 4" xfId="30474" xr:uid="{00000000-0005-0000-0000-000079870000}"/>
    <cellStyle name="Normal 56 2 2 2 3" xfId="18994" xr:uid="{00000000-0005-0000-0000-00007A870000}"/>
    <cellStyle name="Normal 56 2 2 2 3 2" xfId="41637" xr:uid="{00000000-0005-0000-0000-00007B870000}"/>
    <cellStyle name="Normal 56 2 2 2 4" xfId="11554" xr:uid="{00000000-0005-0000-0000-00007C870000}"/>
    <cellStyle name="Normal 56 2 2 2 4 2" xfId="34197" xr:uid="{00000000-0005-0000-0000-00007D870000}"/>
    <cellStyle name="Normal 56 2 2 2 5" xfId="26756" xr:uid="{00000000-0005-0000-0000-00007E870000}"/>
    <cellStyle name="Normal 56 2 2 3" xfId="5981" xr:uid="{00000000-0005-0000-0000-00007F870000}"/>
    <cellStyle name="Normal 56 2 2 3 2" xfId="20865" xr:uid="{00000000-0005-0000-0000-000080870000}"/>
    <cellStyle name="Normal 56 2 2 3 2 2" xfId="43508" xr:uid="{00000000-0005-0000-0000-000081870000}"/>
    <cellStyle name="Normal 56 2 2 3 3" xfId="13425" xr:uid="{00000000-0005-0000-0000-000082870000}"/>
    <cellStyle name="Normal 56 2 2 3 3 2" xfId="36068" xr:uid="{00000000-0005-0000-0000-000083870000}"/>
    <cellStyle name="Normal 56 2 2 3 4" xfId="28627" xr:uid="{00000000-0005-0000-0000-000084870000}"/>
    <cellStyle name="Normal 56 2 2 4" xfId="17147" xr:uid="{00000000-0005-0000-0000-000085870000}"/>
    <cellStyle name="Normal 56 2 2 4 2" xfId="39790" xr:uid="{00000000-0005-0000-0000-000086870000}"/>
    <cellStyle name="Normal 56 2 2 5" xfId="9707" xr:uid="{00000000-0005-0000-0000-000087870000}"/>
    <cellStyle name="Normal 56 2 2 5 2" xfId="32350" xr:uid="{00000000-0005-0000-0000-000088870000}"/>
    <cellStyle name="Normal 56 2 2 6" xfId="24909" xr:uid="{00000000-0005-0000-0000-000089870000}"/>
    <cellStyle name="Normal 56 2 3" xfId="3182" xr:uid="{00000000-0005-0000-0000-00008A870000}"/>
    <cellStyle name="Normal 56 2 3 2" xfId="6903" xr:uid="{00000000-0005-0000-0000-00008B870000}"/>
    <cellStyle name="Normal 56 2 3 2 2" xfId="21787" xr:uid="{00000000-0005-0000-0000-00008C870000}"/>
    <cellStyle name="Normal 56 2 3 2 2 2" xfId="44430" xr:uid="{00000000-0005-0000-0000-00008D870000}"/>
    <cellStyle name="Normal 56 2 3 2 3" xfId="14347" xr:uid="{00000000-0005-0000-0000-00008E870000}"/>
    <cellStyle name="Normal 56 2 3 2 3 2" xfId="36990" xr:uid="{00000000-0005-0000-0000-00008F870000}"/>
    <cellStyle name="Normal 56 2 3 2 4" xfId="29549" xr:uid="{00000000-0005-0000-0000-000090870000}"/>
    <cellStyle name="Normal 56 2 3 3" xfId="18069" xr:uid="{00000000-0005-0000-0000-000091870000}"/>
    <cellStyle name="Normal 56 2 3 3 2" xfId="40712" xr:uid="{00000000-0005-0000-0000-000092870000}"/>
    <cellStyle name="Normal 56 2 3 4" xfId="10629" xr:uid="{00000000-0005-0000-0000-000093870000}"/>
    <cellStyle name="Normal 56 2 3 4 2" xfId="33272" xr:uid="{00000000-0005-0000-0000-000094870000}"/>
    <cellStyle name="Normal 56 2 3 5" xfId="25831" xr:uid="{00000000-0005-0000-0000-000095870000}"/>
    <cellStyle name="Normal 56 2 4" xfId="5056" xr:uid="{00000000-0005-0000-0000-000096870000}"/>
    <cellStyle name="Normal 56 2 4 2" xfId="19940" xr:uid="{00000000-0005-0000-0000-000097870000}"/>
    <cellStyle name="Normal 56 2 4 2 2" xfId="42583" xr:uid="{00000000-0005-0000-0000-000098870000}"/>
    <cellStyle name="Normal 56 2 4 3" xfId="12500" xr:uid="{00000000-0005-0000-0000-000099870000}"/>
    <cellStyle name="Normal 56 2 4 3 2" xfId="35143" xr:uid="{00000000-0005-0000-0000-00009A870000}"/>
    <cellStyle name="Normal 56 2 4 4" xfId="27702" xr:uid="{00000000-0005-0000-0000-00009B870000}"/>
    <cellStyle name="Normal 56 2 5" xfId="16222" xr:uid="{00000000-0005-0000-0000-00009C870000}"/>
    <cellStyle name="Normal 56 2 5 2" xfId="38865" xr:uid="{00000000-0005-0000-0000-00009D870000}"/>
    <cellStyle name="Normal 56 2 6" xfId="8782" xr:uid="{00000000-0005-0000-0000-00009E870000}"/>
    <cellStyle name="Normal 56 2 6 2" xfId="31425" xr:uid="{00000000-0005-0000-0000-00009F870000}"/>
    <cellStyle name="Normal 56 2 7" xfId="23984" xr:uid="{00000000-0005-0000-0000-0000A0870000}"/>
    <cellStyle name="Normal 56 3" xfId="1795" xr:uid="{00000000-0005-0000-0000-0000A1870000}"/>
    <cellStyle name="Normal 56 3 2" xfId="3645" xr:uid="{00000000-0005-0000-0000-0000A2870000}"/>
    <cellStyle name="Normal 56 3 2 2" xfId="7366" xr:uid="{00000000-0005-0000-0000-0000A3870000}"/>
    <cellStyle name="Normal 56 3 2 2 2" xfId="22250" xr:uid="{00000000-0005-0000-0000-0000A4870000}"/>
    <cellStyle name="Normal 56 3 2 2 2 2" xfId="44893" xr:uid="{00000000-0005-0000-0000-0000A5870000}"/>
    <cellStyle name="Normal 56 3 2 2 3" xfId="14810" xr:uid="{00000000-0005-0000-0000-0000A6870000}"/>
    <cellStyle name="Normal 56 3 2 2 3 2" xfId="37453" xr:uid="{00000000-0005-0000-0000-0000A7870000}"/>
    <cellStyle name="Normal 56 3 2 2 4" xfId="30012" xr:uid="{00000000-0005-0000-0000-0000A8870000}"/>
    <cellStyle name="Normal 56 3 2 3" xfId="18532" xr:uid="{00000000-0005-0000-0000-0000A9870000}"/>
    <cellStyle name="Normal 56 3 2 3 2" xfId="41175" xr:uid="{00000000-0005-0000-0000-0000AA870000}"/>
    <cellStyle name="Normal 56 3 2 4" xfId="11092" xr:uid="{00000000-0005-0000-0000-0000AB870000}"/>
    <cellStyle name="Normal 56 3 2 4 2" xfId="33735" xr:uid="{00000000-0005-0000-0000-0000AC870000}"/>
    <cellStyle name="Normal 56 3 2 5" xfId="26294" xr:uid="{00000000-0005-0000-0000-0000AD870000}"/>
    <cellStyle name="Normal 56 3 3" xfId="5519" xr:uid="{00000000-0005-0000-0000-0000AE870000}"/>
    <cellStyle name="Normal 56 3 3 2" xfId="20403" xr:uid="{00000000-0005-0000-0000-0000AF870000}"/>
    <cellStyle name="Normal 56 3 3 2 2" xfId="43046" xr:uid="{00000000-0005-0000-0000-0000B0870000}"/>
    <cellStyle name="Normal 56 3 3 3" xfId="12963" xr:uid="{00000000-0005-0000-0000-0000B1870000}"/>
    <cellStyle name="Normal 56 3 3 3 2" xfId="35606" xr:uid="{00000000-0005-0000-0000-0000B2870000}"/>
    <cellStyle name="Normal 56 3 3 4" xfId="28165" xr:uid="{00000000-0005-0000-0000-0000B3870000}"/>
    <cellStyle name="Normal 56 3 4" xfId="16685" xr:uid="{00000000-0005-0000-0000-0000B4870000}"/>
    <cellStyle name="Normal 56 3 4 2" xfId="39328" xr:uid="{00000000-0005-0000-0000-0000B5870000}"/>
    <cellStyle name="Normal 56 3 5" xfId="9245" xr:uid="{00000000-0005-0000-0000-0000B6870000}"/>
    <cellStyle name="Normal 56 3 5 2" xfId="31888" xr:uid="{00000000-0005-0000-0000-0000B7870000}"/>
    <cellStyle name="Normal 56 3 6" xfId="24447" xr:uid="{00000000-0005-0000-0000-0000B8870000}"/>
    <cellStyle name="Normal 56 4" xfId="2720" xr:uid="{00000000-0005-0000-0000-0000B9870000}"/>
    <cellStyle name="Normal 56 4 2" xfId="6441" xr:uid="{00000000-0005-0000-0000-0000BA870000}"/>
    <cellStyle name="Normal 56 4 2 2" xfId="21325" xr:uid="{00000000-0005-0000-0000-0000BB870000}"/>
    <cellStyle name="Normal 56 4 2 2 2" xfId="43968" xr:uid="{00000000-0005-0000-0000-0000BC870000}"/>
    <cellStyle name="Normal 56 4 2 3" xfId="13885" xr:uid="{00000000-0005-0000-0000-0000BD870000}"/>
    <cellStyle name="Normal 56 4 2 3 2" xfId="36528" xr:uid="{00000000-0005-0000-0000-0000BE870000}"/>
    <cellStyle name="Normal 56 4 2 4" xfId="29087" xr:uid="{00000000-0005-0000-0000-0000BF870000}"/>
    <cellStyle name="Normal 56 4 3" xfId="17607" xr:uid="{00000000-0005-0000-0000-0000C0870000}"/>
    <cellStyle name="Normal 56 4 3 2" xfId="40250" xr:uid="{00000000-0005-0000-0000-0000C1870000}"/>
    <cellStyle name="Normal 56 4 4" xfId="10167" xr:uid="{00000000-0005-0000-0000-0000C2870000}"/>
    <cellStyle name="Normal 56 4 4 2" xfId="32810" xr:uid="{00000000-0005-0000-0000-0000C3870000}"/>
    <cellStyle name="Normal 56 4 5" xfId="25369" xr:uid="{00000000-0005-0000-0000-0000C4870000}"/>
    <cellStyle name="Normal 56 5" xfId="4594" xr:uid="{00000000-0005-0000-0000-0000C5870000}"/>
    <cellStyle name="Normal 56 5 2" xfId="19478" xr:uid="{00000000-0005-0000-0000-0000C6870000}"/>
    <cellStyle name="Normal 56 5 2 2" xfId="42121" xr:uid="{00000000-0005-0000-0000-0000C7870000}"/>
    <cellStyle name="Normal 56 5 3" xfId="12038" xr:uid="{00000000-0005-0000-0000-0000C8870000}"/>
    <cellStyle name="Normal 56 5 3 2" xfId="34681" xr:uid="{00000000-0005-0000-0000-0000C9870000}"/>
    <cellStyle name="Normal 56 5 4" xfId="27240" xr:uid="{00000000-0005-0000-0000-0000CA870000}"/>
    <cellStyle name="Normal 56 6" xfId="15760" xr:uid="{00000000-0005-0000-0000-0000CB870000}"/>
    <cellStyle name="Normal 56 6 2" xfId="38403" xr:uid="{00000000-0005-0000-0000-0000CC870000}"/>
    <cellStyle name="Normal 56 7" xfId="8320" xr:uid="{00000000-0005-0000-0000-0000CD870000}"/>
    <cellStyle name="Normal 56 7 2" xfId="30963" xr:uid="{00000000-0005-0000-0000-0000CE870000}"/>
    <cellStyle name="Normal 56 8" xfId="23522" xr:uid="{00000000-0005-0000-0000-0000CF870000}"/>
    <cellStyle name="Normal 57" xfId="865" xr:uid="{00000000-0005-0000-0000-0000D0870000}"/>
    <cellStyle name="Normal 57 2" xfId="1330" xr:uid="{00000000-0005-0000-0000-0000D1870000}"/>
    <cellStyle name="Normal 57 2 2" xfId="2258" xr:uid="{00000000-0005-0000-0000-0000D2870000}"/>
    <cellStyle name="Normal 57 2 2 2" xfId="4108" xr:uid="{00000000-0005-0000-0000-0000D3870000}"/>
    <cellStyle name="Normal 57 2 2 2 2" xfId="7829" xr:uid="{00000000-0005-0000-0000-0000D4870000}"/>
    <cellStyle name="Normal 57 2 2 2 2 2" xfId="22713" xr:uid="{00000000-0005-0000-0000-0000D5870000}"/>
    <cellStyle name="Normal 57 2 2 2 2 2 2" xfId="45356" xr:uid="{00000000-0005-0000-0000-0000D6870000}"/>
    <cellStyle name="Normal 57 2 2 2 2 3" xfId="15273" xr:uid="{00000000-0005-0000-0000-0000D7870000}"/>
    <cellStyle name="Normal 57 2 2 2 2 3 2" xfId="37916" xr:uid="{00000000-0005-0000-0000-0000D8870000}"/>
    <cellStyle name="Normal 57 2 2 2 2 4" xfId="30475" xr:uid="{00000000-0005-0000-0000-0000D9870000}"/>
    <cellStyle name="Normal 57 2 2 2 3" xfId="18995" xr:uid="{00000000-0005-0000-0000-0000DA870000}"/>
    <cellStyle name="Normal 57 2 2 2 3 2" xfId="41638" xr:uid="{00000000-0005-0000-0000-0000DB870000}"/>
    <cellStyle name="Normal 57 2 2 2 4" xfId="11555" xr:uid="{00000000-0005-0000-0000-0000DC870000}"/>
    <cellStyle name="Normal 57 2 2 2 4 2" xfId="34198" xr:uid="{00000000-0005-0000-0000-0000DD870000}"/>
    <cellStyle name="Normal 57 2 2 2 5" xfId="26757" xr:uid="{00000000-0005-0000-0000-0000DE870000}"/>
    <cellStyle name="Normal 57 2 2 3" xfId="5982" xr:uid="{00000000-0005-0000-0000-0000DF870000}"/>
    <cellStyle name="Normal 57 2 2 3 2" xfId="20866" xr:uid="{00000000-0005-0000-0000-0000E0870000}"/>
    <cellStyle name="Normal 57 2 2 3 2 2" xfId="43509" xr:uid="{00000000-0005-0000-0000-0000E1870000}"/>
    <cellStyle name="Normal 57 2 2 3 3" xfId="13426" xr:uid="{00000000-0005-0000-0000-0000E2870000}"/>
    <cellStyle name="Normal 57 2 2 3 3 2" xfId="36069" xr:uid="{00000000-0005-0000-0000-0000E3870000}"/>
    <cellStyle name="Normal 57 2 2 3 4" xfId="28628" xr:uid="{00000000-0005-0000-0000-0000E4870000}"/>
    <cellStyle name="Normal 57 2 2 4" xfId="17148" xr:uid="{00000000-0005-0000-0000-0000E5870000}"/>
    <cellStyle name="Normal 57 2 2 4 2" xfId="39791" xr:uid="{00000000-0005-0000-0000-0000E6870000}"/>
    <cellStyle name="Normal 57 2 2 5" xfId="9708" xr:uid="{00000000-0005-0000-0000-0000E7870000}"/>
    <cellStyle name="Normal 57 2 2 5 2" xfId="32351" xr:uid="{00000000-0005-0000-0000-0000E8870000}"/>
    <cellStyle name="Normal 57 2 2 6" xfId="24910" xr:uid="{00000000-0005-0000-0000-0000E9870000}"/>
    <cellStyle name="Normal 57 2 3" xfId="3183" xr:uid="{00000000-0005-0000-0000-0000EA870000}"/>
    <cellStyle name="Normal 57 2 3 2" xfId="6904" xr:uid="{00000000-0005-0000-0000-0000EB870000}"/>
    <cellStyle name="Normal 57 2 3 2 2" xfId="21788" xr:uid="{00000000-0005-0000-0000-0000EC870000}"/>
    <cellStyle name="Normal 57 2 3 2 2 2" xfId="44431" xr:uid="{00000000-0005-0000-0000-0000ED870000}"/>
    <cellStyle name="Normal 57 2 3 2 3" xfId="14348" xr:uid="{00000000-0005-0000-0000-0000EE870000}"/>
    <cellStyle name="Normal 57 2 3 2 3 2" xfId="36991" xr:uid="{00000000-0005-0000-0000-0000EF870000}"/>
    <cellStyle name="Normal 57 2 3 2 4" xfId="29550" xr:uid="{00000000-0005-0000-0000-0000F0870000}"/>
    <cellStyle name="Normal 57 2 3 3" xfId="18070" xr:uid="{00000000-0005-0000-0000-0000F1870000}"/>
    <cellStyle name="Normal 57 2 3 3 2" xfId="40713" xr:uid="{00000000-0005-0000-0000-0000F2870000}"/>
    <cellStyle name="Normal 57 2 3 4" xfId="10630" xr:uid="{00000000-0005-0000-0000-0000F3870000}"/>
    <cellStyle name="Normal 57 2 3 4 2" xfId="33273" xr:uid="{00000000-0005-0000-0000-0000F4870000}"/>
    <cellStyle name="Normal 57 2 3 5" xfId="25832" xr:uid="{00000000-0005-0000-0000-0000F5870000}"/>
    <cellStyle name="Normal 57 2 4" xfId="5057" xr:uid="{00000000-0005-0000-0000-0000F6870000}"/>
    <cellStyle name="Normal 57 2 4 2" xfId="19941" xr:uid="{00000000-0005-0000-0000-0000F7870000}"/>
    <cellStyle name="Normal 57 2 4 2 2" xfId="42584" xr:uid="{00000000-0005-0000-0000-0000F8870000}"/>
    <cellStyle name="Normal 57 2 4 3" xfId="12501" xr:uid="{00000000-0005-0000-0000-0000F9870000}"/>
    <cellStyle name="Normal 57 2 4 3 2" xfId="35144" xr:uid="{00000000-0005-0000-0000-0000FA870000}"/>
    <cellStyle name="Normal 57 2 4 4" xfId="27703" xr:uid="{00000000-0005-0000-0000-0000FB870000}"/>
    <cellStyle name="Normal 57 2 5" xfId="16223" xr:uid="{00000000-0005-0000-0000-0000FC870000}"/>
    <cellStyle name="Normal 57 2 5 2" xfId="38866" xr:uid="{00000000-0005-0000-0000-0000FD870000}"/>
    <cellStyle name="Normal 57 2 6" xfId="8783" xr:uid="{00000000-0005-0000-0000-0000FE870000}"/>
    <cellStyle name="Normal 57 2 6 2" xfId="31426" xr:uid="{00000000-0005-0000-0000-0000FF870000}"/>
    <cellStyle name="Normal 57 2 7" xfId="23985" xr:uid="{00000000-0005-0000-0000-000000880000}"/>
    <cellStyle name="Normal 57 3" xfId="1796" xr:uid="{00000000-0005-0000-0000-000001880000}"/>
    <cellStyle name="Normal 57 3 2" xfId="3646" xr:uid="{00000000-0005-0000-0000-000002880000}"/>
    <cellStyle name="Normal 57 3 2 2" xfId="7367" xr:uid="{00000000-0005-0000-0000-000003880000}"/>
    <cellStyle name="Normal 57 3 2 2 2" xfId="22251" xr:uid="{00000000-0005-0000-0000-000004880000}"/>
    <cellStyle name="Normal 57 3 2 2 2 2" xfId="44894" xr:uid="{00000000-0005-0000-0000-000005880000}"/>
    <cellStyle name="Normal 57 3 2 2 3" xfId="14811" xr:uid="{00000000-0005-0000-0000-000006880000}"/>
    <cellStyle name="Normal 57 3 2 2 3 2" xfId="37454" xr:uid="{00000000-0005-0000-0000-000007880000}"/>
    <cellStyle name="Normal 57 3 2 2 4" xfId="30013" xr:uid="{00000000-0005-0000-0000-000008880000}"/>
    <cellStyle name="Normal 57 3 2 3" xfId="18533" xr:uid="{00000000-0005-0000-0000-000009880000}"/>
    <cellStyle name="Normal 57 3 2 3 2" xfId="41176" xr:uid="{00000000-0005-0000-0000-00000A880000}"/>
    <cellStyle name="Normal 57 3 2 4" xfId="11093" xr:uid="{00000000-0005-0000-0000-00000B880000}"/>
    <cellStyle name="Normal 57 3 2 4 2" xfId="33736" xr:uid="{00000000-0005-0000-0000-00000C880000}"/>
    <cellStyle name="Normal 57 3 2 5" xfId="26295" xr:uid="{00000000-0005-0000-0000-00000D880000}"/>
    <cellStyle name="Normal 57 3 3" xfId="5520" xr:uid="{00000000-0005-0000-0000-00000E880000}"/>
    <cellStyle name="Normal 57 3 3 2" xfId="20404" xr:uid="{00000000-0005-0000-0000-00000F880000}"/>
    <cellStyle name="Normal 57 3 3 2 2" xfId="43047" xr:uid="{00000000-0005-0000-0000-000010880000}"/>
    <cellStyle name="Normal 57 3 3 3" xfId="12964" xr:uid="{00000000-0005-0000-0000-000011880000}"/>
    <cellStyle name="Normal 57 3 3 3 2" xfId="35607" xr:uid="{00000000-0005-0000-0000-000012880000}"/>
    <cellStyle name="Normal 57 3 3 4" xfId="28166" xr:uid="{00000000-0005-0000-0000-000013880000}"/>
    <cellStyle name="Normal 57 3 4" xfId="16686" xr:uid="{00000000-0005-0000-0000-000014880000}"/>
    <cellStyle name="Normal 57 3 4 2" xfId="39329" xr:uid="{00000000-0005-0000-0000-000015880000}"/>
    <cellStyle name="Normal 57 3 5" xfId="9246" xr:uid="{00000000-0005-0000-0000-000016880000}"/>
    <cellStyle name="Normal 57 3 5 2" xfId="31889" xr:uid="{00000000-0005-0000-0000-000017880000}"/>
    <cellStyle name="Normal 57 3 6" xfId="24448" xr:uid="{00000000-0005-0000-0000-000018880000}"/>
    <cellStyle name="Normal 57 4" xfId="2721" xr:uid="{00000000-0005-0000-0000-000019880000}"/>
    <cellStyle name="Normal 57 4 2" xfId="6442" xr:uid="{00000000-0005-0000-0000-00001A880000}"/>
    <cellStyle name="Normal 57 4 2 2" xfId="21326" xr:uid="{00000000-0005-0000-0000-00001B880000}"/>
    <cellStyle name="Normal 57 4 2 2 2" xfId="43969" xr:uid="{00000000-0005-0000-0000-00001C880000}"/>
    <cellStyle name="Normal 57 4 2 3" xfId="13886" xr:uid="{00000000-0005-0000-0000-00001D880000}"/>
    <cellStyle name="Normal 57 4 2 3 2" xfId="36529" xr:uid="{00000000-0005-0000-0000-00001E880000}"/>
    <cellStyle name="Normal 57 4 2 4" xfId="29088" xr:uid="{00000000-0005-0000-0000-00001F880000}"/>
    <cellStyle name="Normal 57 4 3" xfId="17608" xr:uid="{00000000-0005-0000-0000-000020880000}"/>
    <cellStyle name="Normal 57 4 3 2" xfId="40251" xr:uid="{00000000-0005-0000-0000-000021880000}"/>
    <cellStyle name="Normal 57 4 4" xfId="10168" xr:uid="{00000000-0005-0000-0000-000022880000}"/>
    <cellStyle name="Normal 57 4 4 2" xfId="32811" xr:uid="{00000000-0005-0000-0000-000023880000}"/>
    <cellStyle name="Normal 57 4 5" xfId="25370" xr:uid="{00000000-0005-0000-0000-000024880000}"/>
    <cellStyle name="Normal 57 5" xfId="4595" xr:uid="{00000000-0005-0000-0000-000025880000}"/>
    <cellStyle name="Normal 57 5 2" xfId="19479" xr:uid="{00000000-0005-0000-0000-000026880000}"/>
    <cellStyle name="Normal 57 5 2 2" xfId="42122" xr:uid="{00000000-0005-0000-0000-000027880000}"/>
    <cellStyle name="Normal 57 5 3" xfId="12039" xr:uid="{00000000-0005-0000-0000-000028880000}"/>
    <cellStyle name="Normal 57 5 3 2" xfId="34682" xr:uid="{00000000-0005-0000-0000-000029880000}"/>
    <cellStyle name="Normal 57 5 4" xfId="27241" xr:uid="{00000000-0005-0000-0000-00002A880000}"/>
    <cellStyle name="Normal 57 6" xfId="15761" xr:uid="{00000000-0005-0000-0000-00002B880000}"/>
    <cellStyle name="Normal 57 6 2" xfId="38404" xr:uid="{00000000-0005-0000-0000-00002C880000}"/>
    <cellStyle name="Normal 57 7" xfId="8321" xr:uid="{00000000-0005-0000-0000-00002D880000}"/>
    <cellStyle name="Normal 57 7 2" xfId="30964" xr:uid="{00000000-0005-0000-0000-00002E880000}"/>
    <cellStyle name="Normal 57 8" xfId="23523" xr:uid="{00000000-0005-0000-0000-00002F880000}"/>
    <cellStyle name="Normal 58" xfId="866" xr:uid="{00000000-0005-0000-0000-000030880000}"/>
    <cellStyle name="Normal 58 2" xfId="1797" xr:uid="{00000000-0005-0000-0000-000031880000}"/>
    <cellStyle name="Normal 58 2 2" xfId="3647" xr:uid="{00000000-0005-0000-0000-000032880000}"/>
    <cellStyle name="Normal 58 2 2 2" xfId="7368" xr:uid="{00000000-0005-0000-0000-000033880000}"/>
    <cellStyle name="Normal 58 2 2 2 2" xfId="22252" xr:uid="{00000000-0005-0000-0000-000034880000}"/>
    <cellStyle name="Normal 58 2 2 2 2 2" xfId="44895" xr:uid="{00000000-0005-0000-0000-000035880000}"/>
    <cellStyle name="Normal 58 2 2 2 3" xfId="14812" xr:uid="{00000000-0005-0000-0000-000036880000}"/>
    <cellStyle name="Normal 58 2 2 2 3 2" xfId="37455" xr:uid="{00000000-0005-0000-0000-000037880000}"/>
    <cellStyle name="Normal 58 2 2 2 4" xfId="30014" xr:uid="{00000000-0005-0000-0000-000038880000}"/>
    <cellStyle name="Normal 58 2 2 3" xfId="18534" xr:uid="{00000000-0005-0000-0000-000039880000}"/>
    <cellStyle name="Normal 58 2 2 3 2" xfId="41177" xr:uid="{00000000-0005-0000-0000-00003A880000}"/>
    <cellStyle name="Normal 58 2 2 4" xfId="11094" xr:uid="{00000000-0005-0000-0000-00003B880000}"/>
    <cellStyle name="Normal 58 2 2 4 2" xfId="33737" xr:uid="{00000000-0005-0000-0000-00003C880000}"/>
    <cellStyle name="Normal 58 2 2 5" xfId="26296" xr:uid="{00000000-0005-0000-0000-00003D880000}"/>
    <cellStyle name="Normal 58 2 3" xfId="5521" xr:uid="{00000000-0005-0000-0000-00003E880000}"/>
    <cellStyle name="Normal 58 2 3 2" xfId="20405" xr:uid="{00000000-0005-0000-0000-00003F880000}"/>
    <cellStyle name="Normal 58 2 3 2 2" xfId="43048" xr:uid="{00000000-0005-0000-0000-000040880000}"/>
    <cellStyle name="Normal 58 2 3 3" xfId="12965" xr:uid="{00000000-0005-0000-0000-000041880000}"/>
    <cellStyle name="Normal 58 2 3 3 2" xfId="35608" xr:uid="{00000000-0005-0000-0000-000042880000}"/>
    <cellStyle name="Normal 58 2 3 4" xfId="28167" xr:uid="{00000000-0005-0000-0000-000043880000}"/>
    <cellStyle name="Normal 58 2 4" xfId="16687" xr:uid="{00000000-0005-0000-0000-000044880000}"/>
    <cellStyle name="Normal 58 2 4 2" xfId="39330" xr:uid="{00000000-0005-0000-0000-000045880000}"/>
    <cellStyle name="Normal 58 2 5" xfId="9247" xr:uid="{00000000-0005-0000-0000-000046880000}"/>
    <cellStyle name="Normal 58 2 5 2" xfId="31890" xr:uid="{00000000-0005-0000-0000-000047880000}"/>
    <cellStyle name="Normal 58 2 6" xfId="24449" xr:uid="{00000000-0005-0000-0000-000048880000}"/>
    <cellStyle name="Normal 58 3" xfId="2722" xr:uid="{00000000-0005-0000-0000-000049880000}"/>
    <cellStyle name="Normal 58 3 2" xfId="6443" xr:uid="{00000000-0005-0000-0000-00004A880000}"/>
    <cellStyle name="Normal 58 3 2 2" xfId="21327" xr:uid="{00000000-0005-0000-0000-00004B880000}"/>
    <cellStyle name="Normal 58 3 2 2 2" xfId="43970" xr:uid="{00000000-0005-0000-0000-00004C880000}"/>
    <cellStyle name="Normal 58 3 2 3" xfId="13887" xr:uid="{00000000-0005-0000-0000-00004D880000}"/>
    <cellStyle name="Normal 58 3 2 3 2" xfId="36530" xr:uid="{00000000-0005-0000-0000-00004E880000}"/>
    <cellStyle name="Normal 58 3 2 4" xfId="29089" xr:uid="{00000000-0005-0000-0000-00004F880000}"/>
    <cellStyle name="Normal 58 3 3" xfId="17609" xr:uid="{00000000-0005-0000-0000-000050880000}"/>
    <cellStyle name="Normal 58 3 3 2" xfId="40252" xr:uid="{00000000-0005-0000-0000-000051880000}"/>
    <cellStyle name="Normal 58 3 4" xfId="10169" xr:uid="{00000000-0005-0000-0000-000052880000}"/>
    <cellStyle name="Normal 58 3 4 2" xfId="32812" xr:uid="{00000000-0005-0000-0000-000053880000}"/>
    <cellStyle name="Normal 58 3 5" xfId="25371" xr:uid="{00000000-0005-0000-0000-000054880000}"/>
    <cellStyle name="Normal 58 4" xfId="4596" xr:uid="{00000000-0005-0000-0000-000055880000}"/>
    <cellStyle name="Normal 58 4 2" xfId="19480" xr:uid="{00000000-0005-0000-0000-000056880000}"/>
    <cellStyle name="Normal 58 4 2 2" xfId="42123" xr:uid="{00000000-0005-0000-0000-000057880000}"/>
    <cellStyle name="Normal 58 4 3" xfId="12040" xr:uid="{00000000-0005-0000-0000-000058880000}"/>
    <cellStyle name="Normal 58 4 3 2" xfId="34683" xr:uid="{00000000-0005-0000-0000-000059880000}"/>
    <cellStyle name="Normal 58 4 4" xfId="27242" xr:uid="{00000000-0005-0000-0000-00005A880000}"/>
    <cellStyle name="Normal 58 5" xfId="15762" xr:uid="{00000000-0005-0000-0000-00005B880000}"/>
    <cellStyle name="Normal 58 5 2" xfId="38405" xr:uid="{00000000-0005-0000-0000-00005C880000}"/>
    <cellStyle name="Normal 58 6" xfId="8322" xr:uid="{00000000-0005-0000-0000-00005D880000}"/>
    <cellStyle name="Normal 58 6 2" xfId="30965" xr:uid="{00000000-0005-0000-0000-00005E880000}"/>
    <cellStyle name="Normal 58 7" xfId="23524" xr:uid="{00000000-0005-0000-0000-00005F880000}"/>
    <cellStyle name="Normal 59" xfId="867" xr:uid="{00000000-0005-0000-0000-000060880000}"/>
    <cellStyle name="Normal 59 2" xfId="1798" xr:uid="{00000000-0005-0000-0000-000061880000}"/>
    <cellStyle name="Normal 59 2 2" xfId="3648" xr:uid="{00000000-0005-0000-0000-000062880000}"/>
    <cellStyle name="Normal 59 2 2 2" xfId="7369" xr:uid="{00000000-0005-0000-0000-000063880000}"/>
    <cellStyle name="Normal 59 2 2 2 2" xfId="22253" xr:uid="{00000000-0005-0000-0000-000064880000}"/>
    <cellStyle name="Normal 59 2 2 2 2 2" xfId="44896" xr:uid="{00000000-0005-0000-0000-000065880000}"/>
    <cellStyle name="Normal 59 2 2 2 3" xfId="14813" xr:uid="{00000000-0005-0000-0000-000066880000}"/>
    <cellStyle name="Normal 59 2 2 2 3 2" xfId="37456" xr:uid="{00000000-0005-0000-0000-000067880000}"/>
    <cellStyle name="Normal 59 2 2 2 4" xfId="30015" xr:uid="{00000000-0005-0000-0000-000068880000}"/>
    <cellStyle name="Normal 59 2 2 3" xfId="18535" xr:uid="{00000000-0005-0000-0000-000069880000}"/>
    <cellStyle name="Normal 59 2 2 3 2" xfId="41178" xr:uid="{00000000-0005-0000-0000-00006A880000}"/>
    <cellStyle name="Normal 59 2 2 4" xfId="11095" xr:uid="{00000000-0005-0000-0000-00006B880000}"/>
    <cellStyle name="Normal 59 2 2 4 2" xfId="33738" xr:uid="{00000000-0005-0000-0000-00006C880000}"/>
    <cellStyle name="Normal 59 2 2 5" xfId="26297" xr:uid="{00000000-0005-0000-0000-00006D880000}"/>
    <cellStyle name="Normal 59 2 3" xfId="5522" xr:uid="{00000000-0005-0000-0000-00006E880000}"/>
    <cellStyle name="Normal 59 2 3 2" xfId="20406" xr:uid="{00000000-0005-0000-0000-00006F880000}"/>
    <cellStyle name="Normal 59 2 3 2 2" xfId="43049" xr:uid="{00000000-0005-0000-0000-000070880000}"/>
    <cellStyle name="Normal 59 2 3 3" xfId="12966" xr:uid="{00000000-0005-0000-0000-000071880000}"/>
    <cellStyle name="Normal 59 2 3 3 2" xfId="35609" xr:uid="{00000000-0005-0000-0000-000072880000}"/>
    <cellStyle name="Normal 59 2 3 4" xfId="28168" xr:uid="{00000000-0005-0000-0000-000073880000}"/>
    <cellStyle name="Normal 59 2 4" xfId="16688" xr:uid="{00000000-0005-0000-0000-000074880000}"/>
    <cellStyle name="Normal 59 2 4 2" xfId="39331" xr:uid="{00000000-0005-0000-0000-000075880000}"/>
    <cellStyle name="Normal 59 2 5" xfId="9248" xr:uid="{00000000-0005-0000-0000-000076880000}"/>
    <cellStyle name="Normal 59 2 5 2" xfId="31891" xr:uid="{00000000-0005-0000-0000-000077880000}"/>
    <cellStyle name="Normal 59 2 6" xfId="24450" xr:uid="{00000000-0005-0000-0000-000078880000}"/>
    <cellStyle name="Normal 59 3" xfId="2723" xr:uid="{00000000-0005-0000-0000-000079880000}"/>
    <cellStyle name="Normal 59 3 2" xfId="6444" xr:uid="{00000000-0005-0000-0000-00007A880000}"/>
    <cellStyle name="Normal 59 3 2 2" xfId="21328" xr:uid="{00000000-0005-0000-0000-00007B880000}"/>
    <cellStyle name="Normal 59 3 2 2 2" xfId="43971" xr:uid="{00000000-0005-0000-0000-00007C880000}"/>
    <cellStyle name="Normal 59 3 2 3" xfId="13888" xr:uid="{00000000-0005-0000-0000-00007D880000}"/>
    <cellStyle name="Normal 59 3 2 3 2" xfId="36531" xr:uid="{00000000-0005-0000-0000-00007E880000}"/>
    <cellStyle name="Normal 59 3 2 4" xfId="29090" xr:uid="{00000000-0005-0000-0000-00007F880000}"/>
    <cellStyle name="Normal 59 3 3" xfId="17610" xr:uid="{00000000-0005-0000-0000-000080880000}"/>
    <cellStyle name="Normal 59 3 3 2" xfId="40253" xr:uid="{00000000-0005-0000-0000-000081880000}"/>
    <cellStyle name="Normal 59 3 4" xfId="10170" xr:uid="{00000000-0005-0000-0000-000082880000}"/>
    <cellStyle name="Normal 59 3 4 2" xfId="32813" xr:uid="{00000000-0005-0000-0000-000083880000}"/>
    <cellStyle name="Normal 59 3 5" xfId="25372" xr:uid="{00000000-0005-0000-0000-000084880000}"/>
    <cellStyle name="Normal 59 4" xfId="4597" xr:uid="{00000000-0005-0000-0000-000085880000}"/>
    <cellStyle name="Normal 59 4 2" xfId="19481" xr:uid="{00000000-0005-0000-0000-000086880000}"/>
    <cellStyle name="Normal 59 4 2 2" xfId="42124" xr:uid="{00000000-0005-0000-0000-000087880000}"/>
    <cellStyle name="Normal 59 4 3" xfId="12041" xr:uid="{00000000-0005-0000-0000-000088880000}"/>
    <cellStyle name="Normal 59 4 3 2" xfId="34684" xr:uid="{00000000-0005-0000-0000-000089880000}"/>
    <cellStyle name="Normal 59 4 4" xfId="27243" xr:uid="{00000000-0005-0000-0000-00008A880000}"/>
    <cellStyle name="Normal 59 5" xfId="15763" xr:uid="{00000000-0005-0000-0000-00008B880000}"/>
    <cellStyle name="Normal 59 5 2" xfId="38406" xr:uid="{00000000-0005-0000-0000-00008C880000}"/>
    <cellStyle name="Normal 59 6" xfId="8323" xr:uid="{00000000-0005-0000-0000-00008D880000}"/>
    <cellStyle name="Normal 59 6 2" xfId="30966" xr:uid="{00000000-0005-0000-0000-00008E880000}"/>
    <cellStyle name="Normal 59 7" xfId="23525" xr:uid="{00000000-0005-0000-0000-00008F880000}"/>
    <cellStyle name="Normal 6" xfId="66" xr:uid="{00000000-0005-0000-0000-000090880000}"/>
    <cellStyle name="Normal 6 2" xfId="67" xr:uid="{00000000-0005-0000-0000-000091880000}"/>
    <cellStyle name="Normal 6 2 2" xfId="120" xr:uid="{00000000-0005-0000-0000-000092880000}"/>
    <cellStyle name="Normal 6 2 2 2" xfId="202" xr:uid="{00000000-0005-0000-0000-000093880000}"/>
    <cellStyle name="Normal 6 2 2 2 2" xfId="363" xr:uid="{00000000-0005-0000-0000-000094880000}"/>
    <cellStyle name="Normal 6 2 2 2 2 2" xfId="23061" xr:uid="{00000000-0005-0000-0000-000095880000}"/>
    <cellStyle name="Normal 6 2 2 2 3" xfId="22905" xr:uid="{00000000-0005-0000-0000-000096880000}"/>
    <cellStyle name="Normal 6 2 2 3" xfId="285" xr:uid="{00000000-0005-0000-0000-000097880000}"/>
    <cellStyle name="Normal 6 2 2 3 2" xfId="22983" xr:uid="{00000000-0005-0000-0000-000098880000}"/>
    <cellStyle name="Normal 6 2 2 4" xfId="22827" xr:uid="{00000000-0005-0000-0000-000099880000}"/>
    <cellStyle name="Normal 6 2 3" xfId="162" xr:uid="{00000000-0005-0000-0000-00009A880000}"/>
    <cellStyle name="Normal 6 2 3 2" xfId="324" xr:uid="{00000000-0005-0000-0000-00009B880000}"/>
    <cellStyle name="Normal 6 2 3 2 2" xfId="23022" xr:uid="{00000000-0005-0000-0000-00009C880000}"/>
    <cellStyle name="Normal 6 2 3 3" xfId="22866" xr:uid="{00000000-0005-0000-0000-00009D880000}"/>
    <cellStyle name="Normal 6 2 4" xfId="245" xr:uid="{00000000-0005-0000-0000-00009E880000}"/>
    <cellStyle name="Normal 6 2 4 2" xfId="22944" xr:uid="{00000000-0005-0000-0000-00009F880000}"/>
    <cellStyle name="Normal 6 2 5" xfId="22787" xr:uid="{00000000-0005-0000-0000-0000A0880000}"/>
    <cellStyle name="Normal 6 3" xfId="119" xr:uid="{00000000-0005-0000-0000-0000A1880000}"/>
    <cellStyle name="Normal 6 3 2" xfId="201" xr:uid="{00000000-0005-0000-0000-0000A2880000}"/>
    <cellStyle name="Normal 6 3 2 2" xfId="362" xr:uid="{00000000-0005-0000-0000-0000A3880000}"/>
    <cellStyle name="Normal 6 3 2 2 2" xfId="23060" xr:uid="{00000000-0005-0000-0000-0000A4880000}"/>
    <cellStyle name="Normal 6 3 2 3" xfId="22904" xr:uid="{00000000-0005-0000-0000-0000A5880000}"/>
    <cellStyle name="Normal 6 3 3" xfId="284" xr:uid="{00000000-0005-0000-0000-0000A6880000}"/>
    <cellStyle name="Normal 6 3 3 2" xfId="22982" xr:uid="{00000000-0005-0000-0000-0000A7880000}"/>
    <cellStyle name="Normal 6 3 4" xfId="22826" xr:uid="{00000000-0005-0000-0000-0000A8880000}"/>
    <cellStyle name="Normal 6 4" xfId="161" xr:uid="{00000000-0005-0000-0000-0000A9880000}"/>
    <cellStyle name="Normal 6 4 2" xfId="323" xr:uid="{00000000-0005-0000-0000-0000AA880000}"/>
    <cellStyle name="Normal 6 4 2 2" xfId="23021" xr:uid="{00000000-0005-0000-0000-0000AB880000}"/>
    <cellStyle name="Normal 6 4 3" xfId="22865" xr:uid="{00000000-0005-0000-0000-0000AC880000}"/>
    <cellStyle name="Normal 6 5" xfId="244" xr:uid="{00000000-0005-0000-0000-0000AD880000}"/>
    <cellStyle name="Normal 6 5 2" xfId="22943" xr:uid="{00000000-0005-0000-0000-0000AE880000}"/>
    <cellStyle name="Normal 6 6" xfId="410" xr:uid="{00000000-0005-0000-0000-0000AF880000}"/>
    <cellStyle name="Normal 6 7" xfId="22786" xr:uid="{00000000-0005-0000-0000-0000B0880000}"/>
    <cellStyle name="Normal 60" xfId="881" xr:uid="{00000000-0005-0000-0000-0000B1880000}"/>
    <cellStyle name="Normal 61" xfId="868" xr:uid="{00000000-0005-0000-0000-0000B2880000}"/>
    <cellStyle name="Normal 61 2" xfId="1799" xr:uid="{00000000-0005-0000-0000-0000B3880000}"/>
    <cellStyle name="Normal 61 2 2" xfId="3649" xr:uid="{00000000-0005-0000-0000-0000B4880000}"/>
    <cellStyle name="Normal 61 2 2 2" xfId="7370" xr:uid="{00000000-0005-0000-0000-0000B5880000}"/>
    <cellStyle name="Normal 61 2 2 2 2" xfId="22254" xr:uid="{00000000-0005-0000-0000-0000B6880000}"/>
    <cellStyle name="Normal 61 2 2 2 2 2" xfId="44897" xr:uid="{00000000-0005-0000-0000-0000B7880000}"/>
    <cellStyle name="Normal 61 2 2 2 3" xfId="14814" xr:uid="{00000000-0005-0000-0000-0000B8880000}"/>
    <cellStyle name="Normal 61 2 2 2 3 2" xfId="37457" xr:uid="{00000000-0005-0000-0000-0000B9880000}"/>
    <cellStyle name="Normal 61 2 2 2 4" xfId="30016" xr:uid="{00000000-0005-0000-0000-0000BA880000}"/>
    <cellStyle name="Normal 61 2 2 3" xfId="18536" xr:uid="{00000000-0005-0000-0000-0000BB880000}"/>
    <cellStyle name="Normal 61 2 2 3 2" xfId="41179" xr:uid="{00000000-0005-0000-0000-0000BC880000}"/>
    <cellStyle name="Normal 61 2 2 4" xfId="11096" xr:uid="{00000000-0005-0000-0000-0000BD880000}"/>
    <cellStyle name="Normal 61 2 2 4 2" xfId="33739" xr:uid="{00000000-0005-0000-0000-0000BE880000}"/>
    <cellStyle name="Normal 61 2 2 5" xfId="26298" xr:uid="{00000000-0005-0000-0000-0000BF880000}"/>
    <cellStyle name="Normal 61 2 3" xfId="5523" xr:uid="{00000000-0005-0000-0000-0000C0880000}"/>
    <cellStyle name="Normal 61 2 3 2" xfId="20407" xr:uid="{00000000-0005-0000-0000-0000C1880000}"/>
    <cellStyle name="Normal 61 2 3 2 2" xfId="43050" xr:uid="{00000000-0005-0000-0000-0000C2880000}"/>
    <cellStyle name="Normal 61 2 3 3" xfId="12967" xr:uid="{00000000-0005-0000-0000-0000C3880000}"/>
    <cellStyle name="Normal 61 2 3 3 2" xfId="35610" xr:uid="{00000000-0005-0000-0000-0000C4880000}"/>
    <cellStyle name="Normal 61 2 3 4" xfId="28169" xr:uid="{00000000-0005-0000-0000-0000C5880000}"/>
    <cellStyle name="Normal 61 2 4" xfId="16689" xr:uid="{00000000-0005-0000-0000-0000C6880000}"/>
    <cellStyle name="Normal 61 2 4 2" xfId="39332" xr:uid="{00000000-0005-0000-0000-0000C7880000}"/>
    <cellStyle name="Normal 61 2 5" xfId="9249" xr:uid="{00000000-0005-0000-0000-0000C8880000}"/>
    <cellStyle name="Normal 61 2 5 2" xfId="31892" xr:uid="{00000000-0005-0000-0000-0000C9880000}"/>
    <cellStyle name="Normal 61 2 6" xfId="24451" xr:uid="{00000000-0005-0000-0000-0000CA880000}"/>
    <cellStyle name="Normal 61 3" xfId="2724" xr:uid="{00000000-0005-0000-0000-0000CB880000}"/>
    <cellStyle name="Normal 61 3 2" xfId="6445" xr:uid="{00000000-0005-0000-0000-0000CC880000}"/>
    <cellStyle name="Normal 61 3 2 2" xfId="21329" xr:uid="{00000000-0005-0000-0000-0000CD880000}"/>
    <cellStyle name="Normal 61 3 2 2 2" xfId="43972" xr:uid="{00000000-0005-0000-0000-0000CE880000}"/>
    <cellStyle name="Normal 61 3 2 3" xfId="13889" xr:uid="{00000000-0005-0000-0000-0000CF880000}"/>
    <cellStyle name="Normal 61 3 2 3 2" xfId="36532" xr:uid="{00000000-0005-0000-0000-0000D0880000}"/>
    <cellStyle name="Normal 61 3 2 4" xfId="29091" xr:uid="{00000000-0005-0000-0000-0000D1880000}"/>
    <cellStyle name="Normal 61 3 3" xfId="17611" xr:uid="{00000000-0005-0000-0000-0000D2880000}"/>
    <cellStyle name="Normal 61 3 3 2" xfId="40254" xr:uid="{00000000-0005-0000-0000-0000D3880000}"/>
    <cellStyle name="Normal 61 3 4" xfId="10171" xr:uid="{00000000-0005-0000-0000-0000D4880000}"/>
    <cellStyle name="Normal 61 3 4 2" xfId="32814" xr:uid="{00000000-0005-0000-0000-0000D5880000}"/>
    <cellStyle name="Normal 61 3 5" xfId="25373" xr:uid="{00000000-0005-0000-0000-0000D6880000}"/>
    <cellStyle name="Normal 61 4" xfId="4598" xr:uid="{00000000-0005-0000-0000-0000D7880000}"/>
    <cellStyle name="Normal 61 4 2" xfId="19482" xr:uid="{00000000-0005-0000-0000-0000D8880000}"/>
    <cellStyle name="Normal 61 4 2 2" xfId="42125" xr:uid="{00000000-0005-0000-0000-0000D9880000}"/>
    <cellStyle name="Normal 61 4 3" xfId="12042" xr:uid="{00000000-0005-0000-0000-0000DA880000}"/>
    <cellStyle name="Normal 61 4 3 2" xfId="34685" xr:uid="{00000000-0005-0000-0000-0000DB880000}"/>
    <cellStyle name="Normal 61 4 4" xfId="27244" xr:uid="{00000000-0005-0000-0000-0000DC880000}"/>
    <cellStyle name="Normal 61 5" xfId="15764" xr:uid="{00000000-0005-0000-0000-0000DD880000}"/>
    <cellStyle name="Normal 61 5 2" xfId="38407" xr:uid="{00000000-0005-0000-0000-0000DE880000}"/>
    <cellStyle name="Normal 61 6" xfId="8324" xr:uid="{00000000-0005-0000-0000-0000DF880000}"/>
    <cellStyle name="Normal 61 6 2" xfId="30967" xr:uid="{00000000-0005-0000-0000-0000E0880000}"/>
    <cellStyle name="Normal 61 7" xfId="23526" xr:uid="{00000000-0005-0000-0000-0000E1880000}"/>
    <cellStyle name="Normal 62" xfId="1331" xr:uid="{00000000-0005-0000-0000-0000E2880000}"/>
    <cellStyle name="Normal 62 2" xfId="3184" xr:uid="{00000000-0005-0000-0000-0000E3880000}"/>
    <cellStyle name="Normal 62 2 2" xfId="6905" xr:uid="{00000000-0005-0000-0000-0000E4880000}"/>
    <cellStyle name="Normal 62 2 2 2" xfId="21789" xr:uid="{00000000-0005-0000-0000-0000E5880000}"/>
    <cellStyle name="Normal 62 2 2 2 2" xfId="44432" xr:uid="{00000000-0005-0000-0000-0000E6880000}"/>
    <cellStyle name="Normal 62 2 2 3" xfId="14349" xr:uid="{00000000-0005-0000-0000-0000E7880000}"/>
    <cellStyle name="Normal 62 2 2 3 2" xfId="36992" xr:uid="{00000000-0005-0000-0000-0000E8880000}"/>
    <cellStyle name="Normal 62 2 2 4" xfId="29551" xr:uid="{00000000-0005-0000-0000-0000E9880000}"/>
    <cellStyle name="Normal 62 2 3" xfId="18071" xr:uid="{00000000-0005-0000-0000-0000EA880000}"/>
    <cellStyle name="Normal 62 2 3 2" xfId="40714" xr:uid="{00000000-0005-0000-0000-0000EB880000}"/>
    <cellStyle name="Normal 62 2 4" xfId="10631" xr:uid="{00000000-0005-0000-0000-0000EC880000}"/>
    <cellStyle name="Normal 62 2 4 2" xfId="33274" xr:uid="{00000000-0005-0000-0000-0000ED880000}"/>
    <cellStyle name="Normal 62 2 5" xfId="25833" xr:uid="{00000000-0005-0000-0000-0000EE880000}"/>
    <cellStyle name="Normal 62 3" xfId="5058" xr:uid="{00000000-0005-0000-0000-0000EF880000}"/>
    <cellStyle name="Normal 62 3 2" xfId="19942" xr:uid="{00000000-0005-0000-0000-0000F0880000}"/>
    <cellStyle name="Normal 62 3 2 2" xfId="42585" xr:uid="{00000000-0005-0000-0000-0000F1880000}"/>
    <cellStyle name="Normal 62 3 3" xfId="12502" xr:uid="{00000000-0005-0000-0000-0000F2880000}"/>
    <cellStyle name="Normal 62 3 3 2" xfId="35145" xr:uid="{00000000-0005-0000-0000-0000F3880000}"/>
    <cellStyle name="Normal 62 3 4" xfId="27704" xr:uid="{00000000-0005-0000-0000-0000F4880000}"/>
    <cellStyle name="Normal 62 4" xfId="16224" xr:uid="{00000000-0005-0000-0000-0000F5880000}"/>
    <cellStyle name="Normal 62 4 2" xfId="38867" xr:uid="{00000000-0005-0000-0000-0000F6880000}"/>
    <cellStyle name="Normal 62 5" xfId="8784" xr:uid="{00000000-0005-0000-0000-0000F7880000}"/>
    <cellStyle name="Normal 62 5 2" xfId="31427" xr:uid="{00000000-0005-0000-0000-0000F8880000}"/>
    <cellStyle name="Normal 62 6" xfId="23986" xr:uid="{00000000-0005-0000-0000-0000F9880000}"/>
    <cellStyle name="Normal 63" xfId="1332" xr:uid="{00000000-0005-0000-0000-0000FA880000}"/>
    <cellStyle name="Normal 63 2" xfId="3185" xr:uid="{00000000-0005-0000-0000-0000FB880000}"/>
    <cellStyle name="Normal 63 2 2" xfId="6906" xr:uid="{00000000-0005-0000-0000-0000FC880000}"/>
    <cellStyle name="Normal 63 2 2 2" xfId="21790" xr:uid="{00000000-0005-0000-0000-0000FD880000}"/>
    <cellStyle name="Normal 63 2 2 2 2" xfId="44433" xr:uid="{00000000-0005-0000-0000-0000FE880000}"/>
    <cellStyle name="Normal 63 2 2 3" xfId="14350" xr:uid="{00000000-0005-0000-0000-0000FF880000}"/>
    <cellStyle name="Normal 63 2 2 3 2" xfId="36993" xr:uid="{00000000-0005-0000-0000-000000890000}"/>
    <cellStyle name="Normal 63 2 2 4" xfId="29552" xr:uid="{00000000-0005-0000-0000-000001890000}"/>
    <cellStyle name="Normal 63 2 3" xfId="18072" xr:uid="{00000000-0005-0000-0000-000002890000}"/>
    <cellStyle name="Normal 63 2 3 2" xfId="40715" xr:uid="{00000000-0005-0000-0000-000003890000}"/>
    <cellStyle name="Normal 63 2 4" xfId="10632" xr:uid="{00000000-0005-0000-0000-000004890000}"/>
    <cellStyle name="Normal 63 2 4 2" xfId="33275" xr:uid="{00000000-0005-0000-0000-000005890000}"/>
    <cellStyle name="Normal 63 2 5" xfId="25834" xr:uid="{00000000-0005-0000-0000-000006890000}"/>
    <cellStyle name="Normal 63 3" xfId="5059" xr:uid="{00000000-0005-0000-0000-000007890000}"/>
    <cellStyle name="Normal 63 3 2" xfId="19943" xr:uid="{00000000-0005-0000-0000-000008890000}"/>
    <cellStyle name="Normal 63 3 2 2" xfId="42586" xr:uid="{00000000-0005-0000-0000-000009890000}"/>
    <cellStyle name="Normal 63 3 3" xfId="12503" xr:uid="{00000000-0005-0000-0000-00000A890000}"/>
    <cellStyle name="Normal 63 3 3 2" xfId="35146" xr:uid="{00000000-0005-0000-0000-00000B890000}"/>
    <cellStyle name="Normal 63 3 4" xfId="27705" xr:uid="{00000000-0005-0000-0000-00000C890000}"/>
    <cellStyle name="Normal 63 4" xfId="16225" xr:uid="{00000000-0005-0000-0000-00000D890000}"/>
    <cellStyle name="Normal 63 4 2" xfId="38868" xr:uid="{00000000-0005-0000-0000-00000E890000}"/>
    <cellStyle name="Normal 63 5" xfId="8785" xr:uid="{00000000-0005-0000-0000-00000F890000}"/>
    <cellStyle name="Normal 63 5 2" xfId="31428" xr:uid="{00000000-0005-0000-0000-000010890000}"/>
    <cellStyle name="Normal 63 6" xfId="23987" xr:uid="{00000000-0005-0000-0000-000011890000}"/>
    <cellStyle name="Normal 64" xfId="1333" xr:uid="{00000000-0005-0000-0000-000012890000}"/>
    <cellStyle name="Normal 64 2" xfId="3186" xr:uid="{00000000-0005-0000-0000-000013890000}"/>
    <cellStyle name="Normal 64 2 2" xfId="6907" xr:uid="{00000000-0005-0000-0000-000014890000}"/>
    <cellStyle name="Normal 64 2 2 2" xfId="21791" xr:uid="{00000000-0005-0000-0000-000015890000}"/>
    <cellStyle name="Normal 64 2 2 2 2" xfId="44434" xr:uid="{00000000-0005-0000-0000-000016890000}"/>
    <cellStyle name="Normal 64 2 2 3" xfId="14351" xr:uid="{00000000-0005-0000-0000-000017890000}"/>
    <cellStyle name="Normal 64 2 2 3 2" xfId="36994" xr:uid="{00000000-0005-0000-0000-000018890000}"/>
    <cellStyle name="Normal 64 2 2 4" xfId="29553" xr:uid="{00000000-0005-0000-0000-000019890000}"/>
    <cellStyle name="Normal 64 2 3" xfId="18073" xr:uid="{00000000-0005-0000-0000-00001A890000}"/>
    <cellStyle name="Normal 64 2 3 2" xfId="40716" xr:uid="{00000000-0005-0000-0000-00001B890000}"/>
    <cellStyle name="Normal 64 2 4" xfId="10633" xr:uid="{00000000-0005-0000-0000-00001C890000}"/>
    <cellStyle name="Normal 64 2 4 2" xfId="33276" xr:uid="{00000000-0005-0000-0000-00001D890000}"/>
    <cellStyle name="Normal 64 2 5" xfId="25835" xr:uid="{00000000-0005-0000-0000-00001E890000}"/>
    <cellStyle name="Normal 64 3" xfId="5060" xr:uid="{00000000-0005-0000-0000-00001F890000}"/>
    <cellStyle name="Normal 64 3 2" xfId="19944" xr:uid="{00000000-0005-0000-0000-000020890000}"/>
    <cellStyle name="Normal 64 3 2 2" xfId="42587" xr:uid="{00000000-0005-0000-0000-000021890000}"/>
    <cellStyle name="Normal 64 3 3" xfId="12504" xr:uid="{00000000-0005-0000-0000-000022890000}"/>
    <cellStyle name="Normal 64 3 3 2" xfId="35147" xr:uid="{00000000-0005-0000-0000-000023890000}"/>
    <cellStyle name="Normal 64 3 4" xfId="27706" xr:uid="{00000000-0005-0000-0000-000024890000}"/>
    <cellStyle name="Normal 64 4" xfId="16226" xr:uid="{00000000-0005-0000-0000-000025890000}"/>
    <cellStyle name="Normal 64 4 2" xfId="38869" xr:uid="{00000000-0005-0000-0000-000026890000}"/>
    <cellStyle name="Normal 64 5" xfId="8786" xr:uid="{00000000-0005-0000-0000-000027890000}"/>
    <cellStyle name="Normal 64 5 2" xfId="31429" xr:uid="{00000000-0005-0000-0000-000028890000}"/>
    <cellStyle name="Normal 64 6" xfId="23988" xr:uid="{00000000-0005-0000-0000-000029890000}"/>
    <cellStyle name="Normal 65" xfId="1347" xr:uid="{00000000-0005-0000-0000-00002A890000}"/>
    <cellStyle name="Normal 66" xfId="1334" xr:uid="{00000000-0005-0000-0000-00002B890000}"/>
    <cellStyle name="Normal 66 2" xfId="3187" xr:uid="{00000000-0005-0000-0000-00002C890000}"/>
    <cellStyle name="Normal 66 2 2" xfId="6908" xr:uid="{00000000-0005-0000-0000-00002D890000}"/>
    <cellStyle name="Normal 66 2 2 2" xfId="21792" xr:uid="{00000000-0005-0000-0000-00002E890000}"/>
    <cellStyle name="Normal 66 2 2 2 2" xfId="44435" xr:uid="{00000000-0005-0000-0000-00002F890000}"/>
    <cellStyle name="Normal 66 2 2 3" xfId="14352" xr:uid="{00000000-0005-0000-0000-000030890000}"/>
    <cellStyle name="Normal 66 2 2 3 2" xfId="36995" xr:uid="{00000000-0005-0000-0000-000031890000}"/>
    <cellStyle name="Normal 66 2 2 4" xfId="29554" xr:uid="{00000000-0005-0000-0000-000032890000}"/>
    <cellStyle name="Normal 66 2 3" xfId="18074" xr:uid="{00000000-0005-0000-0000-000033890000}"/>
    <cellStyle name="Normal 66 2 3 2" xfId="40717" xr:uid="{00000000-0005-0000-0000-000034890000}"/>
    <cellStyle name="Normal 66 2 4" xfId="10634" xr:uid="{00000000-0005-0000-0000-000035890000}"/>
    <cellStyle name="Normal 66 2 4 2" xfId="33277" xr:uid="{00000000-0005-0000-0000-000036890000}"/>
    <cellStyle name="Normal 66 2 5" xfId="25836" xr:uid="{00000000-0005-0000-0000-000037890000}"/>
    <cellStyle name="Normal 66 3" xfId="5061" xr:uid="{00000000-0005-0000-0000-000038890000}"/>
    <cellStyle name="Normal 66 3 2" xfId="19945" xr:uid="{00000000-0005-0000-0000-000039890000}"/>
    <cellStyle name="Normal 66 3 2 2" xfId="42588" xr:uid="{00000000-0005-0000-0000-00003A890000}"/>
    <cellStyle name="Normal 66 3 3" xfId="12505" xr:uid="{00000000-0005-0000-0000-00003B890000}"/>
    <cellStyle name="Normal 66 3 3 2" xfId="35148" xr:uid="{00000000-0005-0000-0000-00003C890000}"/>
    <cellStyle name="Normal 66 3 4" xfId="27707" xr:uid="{00000000-0005-0000-0000-00003D890000}"/>
    <cellStyle name="Normal 66 4" xfId="16227" xr:uid="{00000000-0005-0000-0000-00003E890000}"/>
    <cellStyle name="Normal 66 4 2" xfId="38870" xr:uid="{00000000-0005-0000-0000-00003F890000}"/>
    <cellStyle name="Normal 66 5" xfId="8787" xr:uid="{00000000-0005-0000-0000-000040890000}"/>
    <cellStyle name="Normal 66 5 2" xfId="31430" xr:uid="{00000000-0005-0000-0000-000041890000}"/>
    <cellStyle name="Normal 66 6" xfId="23989" xr:uid="{00000000-0005-0000-0000-000042890000}"/>
    <cellStyle name="Normal 67" xfId="2272" xr:uid="{00000000-0005-0000-0000-000043890000}"/>
    <cellStyle name="Normal 68" xfId="2259" xr:uid="{00000000-0005-0000-0000-000044890000}"/>
    <cellStyle name="Normal 68 2" xfId="5983" xr:uid="{00000000-0005-0000-0000-000045890000}"/>
    <cellStyle name="Normal 68 2 2" xfId="20867" xr:uid="{00000000-0005-0000-0000-000046890000}"/>
    <cellStyle name="Normal 68 2 2 2" xfId="43510" xr:uid="{00000000-0005-0000-0000-000047890000}"/>
    <cellStyle name="Normal 68 2 3" xfId="13427" xr:uid="{00000000-0005-0000-0000-000048890000}"/>
    <cellStyle name="Normal 68 2 3 2" xfId="36070" xr:uid="{00000000-0005-0000-0000-000049890000}"/>
    <cellStyle name="Normal 68 2 4" xfId="28629" xr:uid="{00000000-0005-0000-0000-00004A890000}"/>
    <cellStyle name="Normal 68 3" xfId="17149" xr:uid="{00000000-0005-0000-0000-00004B890000}"/>
    <cellStyle name="Normal 68 3 2" xfId="39792" xr:uid="{00000000-0005-0000-0000-00004C890000}"/>
    <cellStyle name="Normal 68 4" xfId="9709" xr:uid="{00000000-0005-0000-0000-00004D890000}"/>
    <cellStyle name="Normal 68 4 2" xfId="32352" xr:uid="{00000000-0005-0000-0000-00004E890000}"/>
    <cellStyle name="Normal 68 5" xfId="24911" xr:uid="{00000000-0005-0000-0000-00004F890000}"/>
    <cellStyle name="Normal 69" xfId="4109" xr:uid="{00000000-0005-0000-0000-000050890000}"/>
    <cellStyle name="Normal 69 2" xfId="7830" xr:uid="{00000000-0005-0000-0000-000051890000}"/>
    <cellStyle name="Normal 69 2 2" xfId="22714" xr:uid="{00000000-0005-0000-0000-000052890000}"/>
    <cellStyle name="Normal 69 2 2 2" xfId="45357" xr:uid="{00000000-0005-0000-0000-000053890000}"/>
    <cellStyle name="Normal 69 2 3" xfId="15274" xr:uid="{00000000-0005-0000-0000-000054890000}"/>
    <cellStyle name="Normal 69 2 3 2" xfId="37917" xr:uid="{00000000-0005-0000-0000-000055890000}"/>
    <cellStyle name="Normal 69 2 4" xfId="30476" xr:uid="{00000000-0005-0000-0000-000056890000}"/>
    <cellStyle name="Normal 69 3" xfId="18996" xr:uid="{00000000-0005-0000-0000-000057890000}"/>
    <cellStyle name="Normal 69 3 2" xfId="41639" xr:uid="{00000000-0005-0000-0000-000058890000}"/>
    <cellStyle name="Normal 69 4" xfId="11556" xr:uid="{00000000-0005-0000-0000-000059890000}"/>
    <cellStyle name="Normal 69 4 2" xfId="34199" xr:uid="{00000000-0005-0000-0000-00005A890000}"/>
    <cellStyle name="Normal 69 5" xfId="26758" xr:uid="{00000000-0005-0000-0000-00005B890000}"/>
    <cellStyle name="Normal 7" xfId="68" xr:uid="{00000000-0005-0000-0000-00005C890000}"/>
    <cellStyle name="Normal 7 10" xfId="427" xr:uid="{00000000-0005-0000-0000-00005D890000}"/>
    <cellStyle name="Normal 7 10 2" xfId="15330" xr:uid="{00000000-0005-0000-0000-00005E890000}"/>
    <cellStyle name="Normal 7 10 2 2" xfId="37973" xr:uid="{00000000-0005-0000-0000-00005F890000}"/>
    <cellStyle name="Normal 7 10 3" xfId="23093" xr:uid="{00000000-0005-0000-0000-000060890000}"/>
    <cellStyle name="Normal 7 11" xfId="7890" xr:uid="{00000000-0005-0000-0000-000061890000}"/>
    <cellStyle name="Normal 7 11 2" xfId="30533" xr:uid="{00000000-0005-0000-0000-000062890000}"/>
    <cellStyle name="Normal 7 12" xfId="22788" xr:uid="{00000000-0005-0000-0000-000063890000}"/>
    <cellStyle name="Normal 7 2" xfId="121" xr:uid="{00000000-0005-0000-0000-000064890000}"/>
    <cellStyle name="Normal 7 2 10" xfId="7910" xr:uid="{00000000-0005-0000-0000-000065890000}"/>
    <cellStyle name="Normal 7 2 10 2" xfId="30553" xr:uid="{00000000-0005-0000-0000-000066890000}"/>
    <cellStyle name="Normal 7 2 11" xfId="22828" xr:uid="{00000000-0005-0000-0000-000067890000}"/>
    <cellStyle name="Normal 7 2 2" xfId="203" xr:uid="{00000000-0005-0000-0000-000068890000}"/>
    <cellStyle name="Normal 7 2 2 10" xfId="22906" xr:uid="{00000000-0005-0000-0000-000069890000}"/>
    <cellStyle name="Normal 7 2 2 2" xfId="364" xr:uid="{00000000-0005-0000-0000-00006A890000}"/>
    <cellStyle name="Normal 7 2 2 2 2" xfId="822" xr:uid="{00000000-0005-0000-0000-00006B890000}"/>
    <cellStyle name="Normal 7 2 2 2 2 2" xfId="1287" xr:uid="{00000000-0005-0000-0000-00006C890000}"/>
    <cellStyle name="Normal 7 2 2 2 2 2 2" xfId="2215" xr:uid="{00000000-0005-0000-0000-00006D890000}"/>
    <cellStyle name="Normal 7 2 2 2 2 2 2 2" xfId="4065" xr:uid="{00000000-0005-0000-0000-00006E890000}"/>
    <cellStyle name="Normal 7 2 2 2 2 2 2 2 2" xfId="7786" xr:uid="{00000000-0005-0000-0000-00006F890000}"/>
    <cellStyle name="Normal 7 2 2 2 2 2 2 2 2 2" xfId="22670" xr:uid="{00000000-0005-0000-0000-000070890000}"/>
    <cellStyle name="Normal 7 2 2 2 2 2 2 2 2 2 2" xfId="45313" xr:uid="{00000000-0005-0000-0000-000071890000}"/>
    <cellStyle name="Normal 7 2 2 2 2 2 2 2 2 3" xfId="15230" xr:uid="{00000000-0005-0000-0000-000072890000}"/>
    <cellStyle name="Normal 7 2 2 2 2 2 2 2 2 3 2" xfId="37873" xr:uid="{00000000-0005-0000-0000-000073890000}"/>
    <cellStyle name="Normal 7 2 2 2 2 2 2 2 2 4" xfId="30432" xr:uid="{00000000-0005-0000-0000-000074890000}"/>
    <cellStyle name="Normal 7 2 2 2 2 2 2 2 3" xfId="18952" xr:uid="{00000000-0005-0000-0000-000075890000}"/>
    <cellStyle name="Normal 7 2 2 2 2 2 2 2 3 2" xfId="41595" xr:uid="{00000000-0005-0000-0000-000076890000}"/>
    <cellStyle name="Normal 7 2 2 2 2 2 2 2 4" xfId="11512" xr:uid="{00000000-0005-0000-0000-000077890000}"/>
    <cellStyle name="Normal 7 2 2 2 2 2 2 2 4 2" xfId="34155" xr:uid="{00000000-0005-0000-0000-000078890000}"/>
    <cellStyle name="Normal 7 2 2 2 2 2 2 2 5" xfId="26714" xr:uid="{00000000-0005-0000-0000-000079890000}"/>
    <cellStyle name="Normal 7 2 2 2 2 2 2 3" xfId="5939" xr:uid="{00000000-0005-0000-0000-00007A890000}"/>
    <cellStyle name="Normal 7 2 2 2 2 2 2 3 2" xfId="20823" xr:uid="{00000000-0005-0000-0000-00007B890000}"/>
    <cellStyle name="Normal 7 2 2 2 2 2 2 3 2 2" xfId="43466" xr:uid="{00000000-0005-0000-0000-00007C890000}"/>
    <cellStyle name="Normal 7 2 2 2 2 2 2 3 3" xfId="13383" xr:uid="{00000000-0005-0000-0000-00007D890000}"/>
    <cellStyle name="Normal 7 2 2 2 2 2 2 3 3 2" xfId="36026" xr:uid="{00000000-0005-0000-0000-00007E890000}"/>
    <cellStyle name="Normal 7 2 2 2 2 2 2 3 4" xfId="28585" xr:uid="{00000000-0005-0000-0000-00007F890000}"/>
    <cellStyle name="Normal 7 2 2 2 2 2 2 4" xfId="17105" xr:uid="{00000000-0005-0000-0000-000080890000}"/>
    <cellStyle name="Normal 7 2 2 2 2 2 2 4 2" xfId="39748" xr:uid="{00000000-0005-0000-0000-000081890000}"/>
    <cellStyle name="Normal 7 2 2 2 2 2 2 5" xfId="9665" xr:uid="{00000000-0005-0000-0000-000082890000}"/>
    <cellStyle name="Normal 7 2 2 2 2 2 2 5 2" xfId="32308" xr:uid="{00000000-0005-0000-0000-000083890000}"/>
    <cellStyle name="Normal 7 2 2 2 2 2 2 6" xfId="24867" xr:uid="{00000000-0005-0000-0000-000084890000}"/>
    <cellStyle name="Normal 7 2 2 2 2 2 3" xfId="3140" xr:uid="{00000000-0005-0000-0000-000085890000}"/>
    <cellStyle name="Normal 7 2 2 2 2 2 3 2" xfId="6861" xr:uid="{00000000-0005-0000-0000-000086890000}"/>
    <cellStyle name="Normal 7 2 2 2 2 2 3 2 2" xfId="21745" xr:uid="{00000000-0005-0000-0000-000087890000}"/>
    <cellStyle name="Normal 7 2 2 2 2 2 3 2 2 2" xfId="44388" xr:uid="{00000000-0005-0000-0000-000088890000}"/>
    <cellStyle name="Normal 7 2 2 2 2 2 3 2 3" xfId="14305" xr:uid="{00000000-0005-0000-0000-000089890000}"/>
    <cellStyle name="Normal 7 2 2 2 2 2 3 2 3 2" xfId="36948" xr:uid="{00000000-0005-0000-0000-00008A890000}"/>
    <cellStyle name="Normal 7 2 2 2 2 2 3 2 4" xfId="29507" xr:uid="{00000000-0005-0000-0000-00008B890000}"/>
    <cellStyle name="Normal 7 2 2 2 2 2 3 3" xfId="18027" xr:uid="{00000000-0005-0000-0000-00008C890000}"/>
    <cellStyle name="Normal 7 2 2 2 2 2 3 3 2" xfId="40670" xr:uid="{00000000-0005-0000-0000-00008D890000}"/>
    <cellStyle name="Normal 7 2 2 2 2 2 3 4" xfId="10587" xr:uid="{00000000-0005-0000-0000-00008E890000}"/>
    <cellStyle name="Normal 7 2 2 2 2 2 3 4 2" xfId="33230" xr:uid="{00000000-0005-0000-0000-00008F890000}"/>
    <cellStyle name="Normal 7 2 2 2 2 2 3 5" xfId="25789" xr:uid="{00000000-0005-0000-0000-000090890000}"/>
    <cellStyle name="Normal 7 2 2 2 2 2 4" xfId="5014" xr:uid="{00000000-0005-0000-0000-000091890000}"/>
    <cellStyle name="Normal 7 2 2 2 2 2 4 2" xfId="19898" xr:uid="{00000000-0005-0000-0000-000092890000}"/>
    <cellStyle name="Normal 7 2 2 2 2 2 4 2 2" xfId="42541" xr:uid="{00000000-0005-0000-0000-000093890000}"/>
    <cellStyle name="Normal 7 2 2 2 2 2 4 3" xfId="12458" xr:uid="{00000000-0005-0000-0000-000094890000}"/>
    <cellStyle name="Normal 7 2 2 2 2 2 4 3 2" xfId="35101" xr:uid="{00000000-0005-0000-0000-000095890000}"/>
    <cellStyle name="Normal 7 2 2 2 2 2 4 4" xfId="27660" xr:uid="{00000000-0005-0000-0000-000096890000}"/>
    <cellStyle name="Normal 7 2 2 2 2 2 5" xfId="16180" xr:uid="{00000000-0005-0000-0000-000097890000}"/>
    <cellStyle name="Normal 7 2 2 2 2 2 5 2" xfId="38823" xr:uid="{00000000-0005-0000-0000-000098890000}"/>
    <cellStyle name="Normal 7 2 2 2 2 2 6" xfId="8740" xr:uid="{00000000-0005-0000-0000-000099890000}"/>
    <cellStyle name="Normal 7 2 2 2 2 2 6 2" xfId="31383" xr:uid="{00000000-0005-0000-0000-00009A890000}"/>
    <cellStyle name="Normal 7 2 2 2 2 2 7" xfId="23942" xr:uid="{00000000-0005-0000-0000-00009B890000}"/>
    <cellStyle name="Normal 7 2 2 2 2 3" xfId="1753" xr:uid="{00000000-0005-0000-0000-00009C890000}"/>
    <cellStyle name="Normal 7 2 2 2 2 3 2" xfId="3603" xr:uid="{00000000-0005-0000-0000-00009D890000}"/>
    <cellStyle name="Normal 7 2 2 2 2 3 2 2" xfId="7324" xr:uid="{00000000-0005-0000-0000-00009E890000}"/>
    <cellStyle name="Normal 7 2 2 2 2 3 2 2 2" xfId="22208" xr:uid="{00000000-0005-0000-0000-00009F890000}"/>
    <cellStyle name="Normal 7 2 2 2 2 3 2 2 2 2" xfId="44851" xr:uid="{00000000-0005-0000-0000-0000A0890000}"/>
    <cellStyle name="Normal 7 2 2 2 2 3 2 2 3" xfId="14768" xr:uid="{00000000-0005-0000-0000-0000A1890000}"/>
    <cellStyle name="Normal 7 2 2 2 2 3 2 2 3 2" xfId="37411" xr:uid="{00000000-0005-0000-0000-0000A2890000}"/>
    <cellStyle name="Normal 7 2 2 2 2 3 2 2 4" xfId="29970" xr:uid="{00000000-0005-0000-0000-0000A3890000}"/>
    <cellStyle name="Normal 7 2 2 2 2 3 2 3" xfId="18490" xr:uid="{00000000-0005-0000-0000-0000A4890000}"/>
    <cellStyle name="Normal 7 2 2 2 2 3 2 3 2" xfId="41133" xr:uid="{00000000-0005-0000-0000-0000A5890000}"/>
    <cellStyle name="Normal 7 2 2 2 2 3 2 4" xfId="11050" xr:uid="{00000000-0005-0000-0000-0000A6890000}"/>
    <cellStyle name="Normal 7 2 2 2 2 3 2 4 2" xfId="33693" xr:uid="{00000000-0005-0000-0000-0000A7890000}"/>
    <cellStyle name="Normal 7 2 2 2 2 3 2 5" xfId="26252" xr:uid="{00000000-0005-0000-0000-0000A8890000}"/>
    <cellStyle name="Normal 7 2 2 2 2 3 3" xfId="5477" xr:uid="{00000000-0005-0000-0000-0000A9890000}"/>
    <cellStyle name="Normal 7 2 2 2 2 3 3 2" xfId="20361" xr:uid="{00000000-0005-0000-0000-0000AA890000}"/>
    <cellStyle name="Normal 7 2 2 2 2 3 3 2 2" xfId="43004" xr:uid="{00000000-0005-0000-0000-0000AB890000}"/>
    <cellStyle name="Normal 7 2 2 2 2 3 3 3" xfId="12921" xr:uid="{00000000-0005-0000-0000-0000AC890000}"/>
    <cellStyle name="Normal 7 2 2 2 2 3 3 3 2" xfId="35564" xr:uid="{00000000-0005-0000-0000-0000AD890000}"/>
    <cellStyle name="Normal 7 2 2 2 2 3 3 4" xfId="28123" xr:uid="{00000000-0005-0000-0000-0000AE890000}"/>
    <cellStyle name="Normal 7 2 2 2 2 3 4" xfId="16643" xr:uid="{00000000-0005-0000-0000-0000AF890000}"/>
    <cellStyle name="Normal 7 2 2 2 2 3 4 2" xfId="39286" xr:uid="{00000000-0005-0000-0000-0000B0890000}"/>
    <cellStyle name="Normal 7 2 2 2 2 3 5" xfId="9203" xr:uid="{00000000-0005-0000-0000-0000B1890000}"/>
    <cellStyle name="Normal 7 2 2 2 2 3 5 2" xfId="31846" xr:uid="{00000000-0005-0000-0000-0000B2890000}"/>
    <cellStyle name="Normal 7 2 2 2 2 3 6" xfId="24405" xr:uid="{00000000-0005-0000-0000-0000B3890000}"/>
    <cellStyle name="Normal 7 2 2 2 2 4" xfId="2678" xr:uid="{00000000-0005-0000-0000-0000B4890000}"/>
    <cellStyle name="Normal 7 2 2 2 2 4 2" xfId="6399" xr:uid="{00000000-0005-0000-0000-0000B5890000}"/>
    <cellStyle name="Normal 7 2 2 2 2 4 2 2" xfId="21283" xr:uid="{00000000-0005-0000-0000-0000B6890000}"/>
    <cellStyle name="Normal 7 2 2 2 2 4 2 2 2" xfId="43926" xr:uid="{00000000-0005-0000-0000-0000B7890000}"/>
    <cellStyle name="Normal 7 2 2 2 2 4 2 3" xfId="13843" xr:uid="{00000000-0005-0000-0000-0000B8890000}"/>
    <cellStyle name="Normal 7 2 2 2 2 4 2 3 2" xfId="36486" xr:uid="{00000000-0005-0000-0000-0000B9890000}"/>
    <cellStyle name="Normal 7 2 2 2 2 4 2 4" xfId="29045" xr:uid="{00000000-0005-0000-0000-0000BA890000}"/>
    <cellStyle name="Normal 7 2 2 2 2 4 3" xfId="17565" xr:uid="{00000000-0005-0000-0000-0000BB890000}"/>
    <cellStyle name="Normal 7 2 2 2 2 4 3 2" xfId="40208" xr:uid="{00000000-0005-0000-0000-0000BC890000}"/>
    <cellStyle name="Normal 7 2 2 2 2 4 4" xfId="10125" xr:uid="{00000000-0005-0000-0000-0000BD890000}"/>
    <cellStyle name="Normal 7 2 2 2 2 4 4 2" xfId="32768" xr:uid="{00000000-0005-0000-0000-0000BE890000}"/>
    <cellStyle name="Normal 7 2 2 2 2 4 5" xfId="25327" xr:uid="{00000000-0005-0000-0000-0000BF890000}"/>
    <cellStyle name="Normal 7 2 2 2 2 5" xfId="4552" xr:uid="{00000000-0005-0000-0000-0000C0890000}"/>
    <cellStyle name="Normal 7 2 2 2 2 5 2" xfId="19436" xr:uid="{00000000-0005-0000-0000-0000C1890000}"/>
    <cellStyle name="Normal 7 2 2 2 2 5 2 2" xfId="42079" xr:uid="{00000000-0005-0000-0000-0000C2890000}"/>
    <cellStyle name="Normal 7 2 2 2 2 5 3" xfId="11996" xr:uid="{00000000-0005-0000-0000-0000C3890000}"/>
    <cellStyle name="Normal 7 2 2 2 2 5 3 2" xfId="34639" xr:uid="{00000000-0005-0000-0000-0000C4890000}"/>
    <cellStyle name="Normal 7 2 2 2 2 5 4" xfId="27198" xr:uid="{00000000-0005-0000-0000-0000C5890000}"/>
    <cellStyle name="Normal 7 2 2 2 2 6" xfId="15718" xr:uid="{00000000-0005-0000-0000-0000C6890000}"/>
    <cellStyle name="Normal 7 2 2 2 2 6 2" xfId="38361" xr:uid="{00000000-0005-0000-0000-0000C7890000}"/>
    <cellStyle name="Normal 7 2 2 2 2 7" xfId="8278" xr:uid="{00000000-0005-0000-0000-0000C8890000}"/>
    <cellStyle name="Normal 7 2 2 2 2 7 2" xfId="30921" xr:uid="{00000000-0005-0000-0000-0000C9890000}"/>
    <cellStyle name="Normal 7 2 2 2 2 8" xfId="23480" xr:uid="{00000000-0005-0000-0000-0000CA890000}"/>
    <cellStyle name="Normal 7 2 2 2 3" xfId="1076" xr:uid="{00000000-0005-0000-0000-0000CB890000}"/>
    <cellStyle name="Normal 7 2 2 2 3 2" xfId="2004" xr:uid="{00000000-0005-0000-0000-0000CC890000}"/>
    <cellStyle name="Normal 7 2 2 2 3 2 2" xfId="3854" xr:uid="{00000000-0005-0000-0000-0000CD890000}"/>
    <cellStyle name="Normal 7 2 2 2 3 2 2 2" xfId="7575" xr:uid="{00000000-0005-0000-0000-0000CE890000}"/>
    <cellStyle name="Normal 7 2 2 2 3 2 2 2 2" xfId="22459" xr:uid="{00000000-0005-0000-0000-0000CF890000}"/>
    <cellStyle name="Normal 7 2 2 2 3 2 2 2 2 2" xfId="45102" xr:uid="{00000000-0005-0000-0000-0000D0890000}"/>
    <cellStyle name="Normal 7 2 2 2 3 2 2 2 3" xfId="15019" xr:uid="{00000000-0005-0000-0000-0000D1890000}"/>
    <cellStyle name="Normal 7 2 2 2 3 2 2 2 3 2" xfId="37662" xr:uid="{00000000-0005-0000-0000-0000D2890000}"/>
    <cellStyle name="Normal 7 2 2 2 3 2 2 2 4" xfId="30221" xr:uid="{00000000-0005-0000-0000-0000D3890000}"/>
    <cellStyle name="Normal 7 2 2 2 3 2 2 3" xfId="18741" xr:uid="{00000000-0005-0000-0000-0000D4890000}"/>
    <cellStyle name="Normal 7 2 2 2 3 2 2 3 2" xfId="41384" xr:uid="{00000000-0005-0000-0000-0000D5890000}"/>
    <cellStyle name="Normal 7 2 2 2 3 2 2 4" xfId="11301" xr:uid="{00000000-0005-0000-0000-0000D6890000}"/>
    <cellStyle name="Normal 7 2 2 2 3 2 2 4 2" xfId="33944" xr:uid="{00000000-0005-0000-0000-0000D7890000}"/>
    <cellStyle name="Normal 7 2 2 2 3 2 2 5" xfId="26503" xr:uid="{00000000-0005-0000-0000-0000D8890000}"/>
    <cellStyle name="Normal 7 2 2 2 3 2 3" xfId="5728" xr:uid="{00000000-0005-0000-0000-0000D9890000}"/>
    <cellStyle name="Normal 7 2 2 2 3 2 3 2" xfId="20612" xr:uid="{00000000-0005-0000-0000-0000DA890000}"/>
    <cellStyle name="Normal 7 2 2 2 3 2 3 2 2" xfId="43255" xr:uid="{00000000-0005-0000-0000-0000DB890000}"/>
    <cellStyle name="Normal 7 2 2 2 3 2 3 3" xfId="13172" xr:uid="{00000000-0005-0000-0000-0000DC890000}"/>
    <cellStyle name="Normal 7 2 2 2 3 2 3 3 2" xfId="35815" xr:uid="{00000000-0005-0000-0000-0000DD890000}"/>
    <cellStyle name="Normal 7 2 2 2 3 2 3 4" xfId="28374" xr:uid="{00000000-0005-0000-0000-0000DE890000}"/>
    <cellStyle name="Normal 7 2 2 2 3 2 4" xfId="16894" xr:uid="{00000000-0005-0000-0000-0000DF890000}"/>
    <cellStyle name="Normal 7 2 2 2 3 2 4 2" xfId="39537" xr:uid="{00000000-0005-0000-0000-0000E0890000}"/>
    <cellStyle name="Normal 7 2 2 2 3 2 5" xfId="9454" xr:uid="{00000000-0005-0000-0000-0000E1890000}"/>
    <cellStyle name="Normal 7 2 2 2 3 2 5 2" xfId="32097" xr:uid="{00000000-0005-0000-0000-0000E2890000}"/>
    <cellStyle name="Normal 7 2 2 2 3 2 6" xfId="24656" xr:uid="{00000000-0005-0000-0000-0000E3890000}"/>
    <cellStyle name="Normal 7 2 2 2 3 3" xfId="2929" xr:uid="{00000000-0005-0000-0000-0000E4890000}"/>
    <cellStyle name="Normal 7 2 2 2 3 3 2" xfId="6650" xr:uid="{00000000-0005-0000-0000-0000E5890000}"/>
    <cellStyle name="Normal 7 2 2 2 3 3 2 2" xfId="21534" xr:uid="{00000000-0005-0000-0000-0000E6890000}"/>
    <cellStyle name="Normal 7 2 2 2 3 3 2 2 2" xfId="44177" xr:uid="{00000000-0005-0000-0000-0000E7890000}"/>
    <cellStyle name="Normal 7 2 2 2 3 3 2 3" xfId="14094" xr:uid="{00000000-0005-0000-0000-0000E8890000}"/>
    <cellStyle name="Normal 7 2 2 2 3 3 2 3 2" xfId="36737" xr:uid="{00000000-0005-0000-0000-0000E9890000}"/>
    <cellStyle name="Normal 7 2 2 2 3 3 2 4" xfId="29296" xr:uid="{00000000-0005-0000-0000-0000EA890000}"/>
    <cellStyle name="Normal 7 2 2 2 3 3 3" xfId="17816" xr:uid="{00000000-0005-0000-0000-0000EB890000}"/>
    <cellStyle name="Normal 7 2 2 2 3 3 3 2" xfId="40459" xr:uid="{00000000-0005-0000-0000-0000EC890000}"/>
    <cellStyle name="Normal 7 2 2 2 3 3 4" xfId="10376" xr:uid="{00000000-0005-0000-0000-0000ED890000}"/>
    <cellStyle name="Normal 7 2 2 2 3 3 4 2" xfId="33019" xr:uid="{00000000-0005-0000-0000-0000EE890000}"/>
    <cellStyle name="Normal 7 2 2 2 3 3 5" xfId="25578" xr:uid="{00000000-0005-0000-0000-0000EF890000}"/>
    <cellStyle name="Normal 7 2 2 2 3 4" xfId="4803" xr:uid="{00000000-0005-0000-0000-0000F0890000}"/>
    <cellStyle name="Normal 7 2 2 2 3 4 2" xfId="19687" xr:uid="{00000000-0005-0000-0000-0000F1890000}"/>
    <cellStyle name="Normal 7 2 2 2 3 4 2 2" xfId="42330" xr:uid="{00000000-0005-0000-0000-0000F2890000}"/>
    <cellStyle name="Normal 7 2 2 2 3 4 3" xfId="12247" xr:uid="{00000000-0005-0000-0000-0000F3890000}"/>
    <cellStyle name="Normal 7 2 2 2 3 4 3 2" xfId="34890" xr:uid="{00000000-0005-0000-0000-0000F4890000}"/>
    <cellStyle name="Normal 7 2 2 2 3 4 4" xfId="27449" xr:uid="{00000000-0005-0000-0000-0000F5890000}"/>
    <cellStyle name="Normal 7 2 2 2 3 5" xfId="15969" xr:uid="{00000000-0005-0000-0000-0000F6890000}"/>
    <cellStyle name="Normal 7 2 2 2 3 5 2" xfId="38612" xr:uid="{00000000-0005-0000-0000-0000F7890000}"/>
    <cellStyle name="Normal 7 2 2 2 3 6" xfId="8529" xr:uid="{00000000-0005-0000-0000-0000F8890000}"/>
    <cellStyle name="Normal 7 2 2 2 3 6 2" xfId="31172" xr:uid="{00000000-0005-0000-0000-0000F9890000}"/>
    <cellStyle name="Normal 7 2 2 2 3 7" xfId="23731" xr:uid="{00000000-0005-0000-0000-0000FA890000}"/>
    <cellStyle name="Normal 7 2 2 2 4" xfId="1542" xr:uid="{00000000-0005-0000-0000-0000FB890000}"/>
    <cellStyle name="Normal 7 2 2 2 4 2" xfId="3392" xr:uid="{00000000-0005-0000-0000-0000FC890000}"/>
    <cellStyle name="Normal 7 2 2 2 4 2 2" xfId="7113" xr:uid="{00000000-0005-0000-0000-0000FD890000}"/>
    <cellStyle name="Normal 7 2 2 2 4 2 2 2" xfId="21997" xr:uid="{00000000-0005-0000-0000-0000FE890000}"/>
    <cellStyle name="Normal 7 2 2 2 4 2 2 2 2" xfId="44640" xr:uid="{00000000-0005-0000-0000-0000FF890000}"/>
    <cellStyle name="Normal 7 2 2 2 4 2 2 3" xfId="14557" xr:uid="{00000000-0005-0000-0000-0000008A0000}"/>
    <cellStyle name="Normal 7 2 2 2 4 2 2 3 2" xfId="37200" xr:uid="{00000000-0005-0000-0000-0000018A0000}"/>
    <cellStyle name="Normal 7 2 2 2 4 2 2 4" xfId="29759" xr:uid="{00000000-0005-0000-0000-0000028A0000}"/>
    <cellStyle name="Normal 7 2 2 2 4 2 3" xfId="18279" xr:uid="{00000000-0005-0000-0000-0000038A0000}"/>
    <cellStyle name="Normal 7 2 2 2 4 2 3 2" xfId="40922" xr:uid="{00000000-0005-0000-0000-0000048A0000}"/>
    <cellStyle name="Normal 7 2 2 2 4 2 4" xfId="10839" xr:uid="{00000000-0005-0000-0000-0000058A0000}"/>
    <cellStyle name="Normal 7 2 2 2 4 2 4 2" xfId="33482" xr:uid="{00000000-0005-0000-0000-0000068A0000}"/>
    <cellStyle name="Normal 7 2 2 2 4 2 5" xfId="26041" xr:uid="{00000000-0005-0000-0000-0000078A0000}"/>
    <cellStyle name="Normal 7 2 2 2 4 3" xfId="5266" xr:uid="{00000000-0005-0000-0000-0000088A0000}"/>
    <cellStyle name="Normal 7 2 2 2 4 3 2" xfId="20150" xr:uid="{00000000-0005-0000-0000-0000098A0000}"/>
    <cellStyle name="Normal 7 2 2 2 4 3 2 2" xfId="42793" xr:uid="{00000000-0005-0000-0000-00000A8A0000}"/>
    <cellStyle name="Normal 7 2 2 2 4 3 3" xfId="12710" xr:uid="{00000000-0005-0000-0000-00000B8A0000}"/>
    <cellStyle name="Normal 7 2 2 2 4 3 3 2" xfId="35353" xr:uid="{00000000-0005-0000-0000-00000C8A0000}"/>
    <cellStyle name="Normal 7 2 2 2 4 3 4" xfId="27912" xr:uid="{00000000-0005-0000-0000-00000D8A0000}"/>
    <cellStyle name="Normal 7 2 2 2 4 4" xfId="16432" xr:uid="{00000000-0005-0000-0000-00000E8A0000}"/>
    <cellStyle name="Normal 7 2 2 2 4 4 2" xfId="39075" xr:uid="{00000000-0005-0000-0000-00000F8A0000}"/>
    <cellStyle name="Normal 7 2 2 2 4 5" xfId="8992" xr:uid="{00000000-0005-0000-0000-0000108A0000}"/>
    <cellStyle name="Normal 7 2 2 2 4 5 2" xfId="31635" xr:uid="{00000000-0005-0000-0000-0000118A0000}"/>
    <cellStyle name="Normal 7 2 2 2 4 6" xfId="24194" xr:uid="{00000000-0005-0000-0000-0000128A0000}"/>
    <cellStyle name="Normal 7 2 2 2 5" xfId="2467" xr:uid="{00000000-0005-0000-0000-0000138A0000}"/>
    <cellStyle name="Normal 7 2 2 2 5 2" xfId="6188" xr:uid="{00000000-0005-0000-0000-0000148A0000}"/>
    <cellStyle name="Normal 7 2 2 2 5 2 2" xfId="21072" xr:uid="{00000000-0005-0000-0000-0000158A0000}"/>
    <cellStyle name="Normal 7 2 2 2 5 2 2 2" xfId="43715" xr:uid="{00000000-0005-0000-0000-0000168A0000}"/>
    <cellStyle name="Normal 7 2 2 2 5 2 3" xfId="13632" xr:uid="{00000000-0005-0000-0000-0000178A0000}"/>
    <cellStyle name="Normal 7 2 2 2 5 2 3 2" xfId="36275" xr:uid="{00000000-0005-0000-0000-0000188A0000}"/>
    <cellStyle name="Normal 7 2 2 2 5 2 4" xfId="28834" xr:uid="{00000000-0005-0000-0000-0000198A0000}"/>
    <cellStyle name="Normal 7 2 2 2 5 3" xfId="17354" xr:uid="{00000000-0005-0000-0000-00001A8A0000}"/>
    <cellStyle name="Normal 7 2 2 2 5 3 2" xfId="39997" xr:uid="{00000000-0005-0000-0000-00001B8A0000}"/>
    <cellStyle name="Normal 7 2 2 2 5 4" xfId="9914" xr:uid="{00000000-0005-0000-0000-00001C8A0000}"/>
    <cellStyle name="Normal 7 2 2 2 5 4 2" xfId="32557" xr:uid="{00000000-0005-0000-0000-00001D8A0000}"/>
    <cellStyle name="Normal 7 2 2 2 5 5" xfId="25116" xr:uid="{00000000-0005-0000-0000-00001E8A0000}"/>
    <cellStyle name="Normal 7 2 2 2 6" xfId="4341" xr:uid="{00000000-0005-0000-0000-00001F8A0000}"/>
    <cellStyle name="Normal 7 2 2 2 6 2" xfId="19225" xr:uid="{00000000-0005-0000-0000-0000208A0000}"/>
    <cellStyle name="Normal 7 2 2 2 6 2 2" xfId="41868" xr:uid="{00000000-0005-0000-0000-0000218A0000}"/>
    <cellStyle name="Normal 7 2 2 2 6 3" xfId="11785" xr:uid="{00000000-0005-0000-0000-0000228A0000}"/>
    <cellStyle name="Normal 7 2 2 2 6 3 2" xfId="34428" xr:uid="{00000000-0005-0000-0000-0000238A0000}"/>
    <cellStyle name="Normal 7 2 2 2 6 4" xfId="26987" xr:uid="{00000000-0005-0000-0000-0000248A0000}"/>
    <cellStyle name="Normal 7 2 2 2 7" xfId="610" xr:uid="{00000000-0005-0000-0000-0000258A0000}"/>
    <cellStyle name="Normal 7 2 2 2 7 2" xfId="15507" xr:uid="{00000000-0005-0000-0000-0000268A0000}"/>
    <cellStyle name="Normal 7 2 2 2 7 2 2" xfId="38150" xr:uid="{00000000-0005-0000-0000-0000278A0000}"/>
    <cellStyle name="Normal 7 2 2 2 7 3" xfId="23270" xr:uid="{00000000-0005-0000-0000-0000288A0000}"/>
    <cellStyle name="Normal 7 2 2 2 8" xfId="8067" xr:uid="{00000000-0005-0000-0000-0000298A0000}"/>
    <cellStyle name="Normal 7 2 2 2 8 2" xfId="30710" xr:uid="{00000000-0005-0000-0000-00002A8A0000}"/>
    <cellStyle name="Normal 7 2 2 2 9" xfId="23062" xr:uid="{00000000-0005-0000-0000-00002B8A0000}"/>
    <cellStyle name="Normal 7 2 2 3" xfId="717" xr:uid="{00000000-0005-0000-0000-00002C8A0000}"/>
    <cellStyle name="Normal 7 2 2 3 2" xfId="1182" xr:uid="{00000000-0005-0000-0000-00002D8A0000}"/>
    <cellStyle name="Normal 7 2 2 3 2 2" xfId="2110" xr:uid="{00000000-0005-0000-0000-00002E8A0000}"/>
    <cellStyle name="Normal 7 2 2 3 2 2 2" xfId="3960" xr:uid="{00000000-0005-0000-0000-00002F8A0000}"/>
    <cellStyle name="Normal 7 2 2 3 2 2 2 2" xfId="7681" xr:uid="{00000000-0005-0000-0000-0000308A0000}"/>
    <cellStyle name="Normal 7 2 2 3 2 2 2 2 2" xfId="22565" xr:uid="{00000000-0005-0000-0000-0000318A0000}"/>
    <cellStyle name="Normal 7 2 2 3 2 2 2 2 2 2" xfId="45208" xr:uid="{00000000-0005-0000-0000-0000328A0000}"/>
    <cellStyle name="Normal 7 2 2 3 2 2 2 2 3" xfId="15125" xr:uid="{00000000-0005-0000-0000-0000338A0000}"/>
    <cellStyle name="Normal 7 2 2 3 2 2 2 2 3 2" xfId="37768" xr:uid="{00000000-0005-0000-0000-0000348A0000}"/>
    <cellStyle name="Normal 7 2 2 3 2 2 2 2 4" xfId="30327" xr:uid="{00000000-0005-0000-0000-0000358A0000}"/>
    <cellStyle name="Normal 7 2 2 3 2 2 2 3" xfId="18847" xr:uid="{00000000-0005-0000-0000-0000368A0000}"/>
    <cellStyle name="Normal 7 2 2 3 2 2 2 3 2" xfId="41490" xr:uid="{00000000-0005-0000-0000-0000378A0000}"/>
    <cellStyle name="Normal 7 2 2 3 2 2 2 4" xfId="11407" xr:uid="{00000000-0005-0000-0000-0000388A0000}"/>
    <cellStyle name="Normal 7 2 2 3 2 2 2 4 2" xfId="34050" xr:uid="{00000000-0005-0000-0000-0000398A0000}"/>
    <cellStyle name="Normal 7 2 2 3 2 2 2 5" xfId="26609" xr:uid="{00000000-0005-0000-0000-00003A8A0000}"/>
    <cellStyle name="Normal 7 2 2 3 2 2 3" xfId="5834" xr:uid="{00000000-0005-0000-0000-00003B8A0000}"/>
    <cellStyle name="Normal 7 2 2 3 2 2 3 2" xfId="20718" xr:uid="{00000000-0005-0000-0000-00003C8A0000}"/>
    <cellStyle name="Normal 7 2 2 3 2 2 3 2 2" xfId="43361" xr:uid="{00000000-0005-0000-0000-00003D8A0000}"/>
    <cellStyle name="Normal 7 2 2 3 2 2 3 3" xfId="13278" xr:uid="{00000000-0005-0000-0000-00003E8A0000}"/>
    <cellStyle name="Normal 7 2 2 3 2 2 3 3 2" xfId="35921" xr:uid="{00000000-0005-0000-0000-00003F8A0000}"/>
    <cellStyle name="Normal 7 2 2 3 2 2 3 4" xfId="28480" xr:uid="{00000000-0005-0000-0000-0000408A0000}"/>
    <cellStyle name="Normal 7 2 2 3 2 2 4" xfId="17000" xr:uid="{00000000-0005-0000-0000-0000418A0000}"/>
    <cellStyle name="Normal 7 2 2 3 2 2 4 2" xfId="39643" xr:uid="{00000000-0005-0000-0000-0000428A0000}"/>
    <cellStyle name="Normal 7 2 2 3 2 2 5" xfId="9560" xr:uid="{00000000-0005-0000-0000-0000438A0000}"/>
    <cellStyle name="Normal 7 2 2 3 2 2 5 2" xfId="32203" xr:uid="{00000000-0005-0000-0000-0000448A0000}"/>
    <cellStyle name="Normal 7 2 2 3 2 2 6" xfId="24762" xr:uid="{00000000-0005-0000-0000-0000458A0000}"/>
    <cellStyle name="Normal 7 2 2 3 2 3" xfId="3035" xr:uid="{00000000-0005-0000-0000-0000468A0000}"/>
    <cellStyle name="Normal 7 2 2 3 2 3 2" xfId="6756" xr:uid="{00000000-0005-0000-0000-0000478A0000}"/>
    <cellStyle name="Normal 7 2 2 3 2 3 2 2" xfId="21640" xr:uid="{00000000-0005-0000-0000-0000488A0000}"/>
    <cellStyle name="Normal 7 2 2 3 2 3 2 2 2" xfId="44283" xr:uid="{00000000-0005-0000-0000-0000498A0000}"/>
    <cellStyle name="Normal 7 2 2 3 2 3 2 3" xfId="14200" xr:uid="{00000000-0005-0000-0000-00004A8A0000}"/>
    <cellStyle name="Normal 7 2 2 3 2 3 2 3 2" xfId="36843" xr:uid="{00000000-0005-0000-0000-00004B8A0000}"/>
    <cellStyle name="Normal 7 2 2 3 2 3 2 4" xfId="29402" xr:uid="{00000000-0005-0000-0000-00004C8A0000}"/>
    <cellStyle name="Normal 7 2 2 3 2 3 3" xfId="17922" xr:uid="{00000000-0005-0000-0000-00004D8A0000}"/>
    <cellStyle name="Normal 7 2 2 3 2 3 3 2" xfId="40565" xr:uid="{00000000-0005-0000-0000-00004E8A0000}"/>
    <cellStyle name="Normal 7 2 2 3 2 3 4" xfId="10482" xr:uid="{00000000-0005-0000-0000-00004F8A0000}"/>
    <cellStyle name="Normal 7 2 2 3 2 3 4 2" xfId="33125" xr:uid="{00000000-0005-0000-0000-0000508A0000}"/>
    <cellStyle name="Normal 7 2 2 3 2 3 5" xfId="25684" xr:uid="{00000000-0005-0000-0000-0000518A0000}"/>
    <cellStyle name="Normal 7 2 2 3 2 4" xfId="4909" xr:uid="{00000000-0005-0000-0000-0000528A0000}"/>
    <cellStyle name="Normal 7 2 2 3 2 4 2" xfId="19793" xr:uid="{00000000-0005-0000-0000-0000538A0000}"/>
    <cellStyle name="Normal 7 2 2 3 2 4 2 2" xfId="42436" xr:uid="{00000000-0005-0000-0000-0000548A0000}"/>
    <cellStyle name="Normal 7 2 2 3 2 4 3" xfId="12353" xr:uid="{00000000-0005-0000-0000-0000558A0000}"/>
    <cellStyle name="Normal 7 2 2 3 2 4 3 2" xfId="34996" xr:uid="{00000000-0005-0000-0000-0000568A0000}"/>
    <cellStyle name="Normal 7 2 2 3 2 4 4" xfId="27555" xr:uid="{00000000-0005-0000-0000-0000578A0000}"/>
    <cellStyle name="Normal 7 2 2 3 2 5" xfId="16075" xr:uid="{00000000-0005-0000-0000-0000588A0000}"/>
    <cellStyle name="Normal 7 2 2 3 2 5 2" xfId="38718" xr:uid="{00000000-0005-0000-0000-0000598A0000}"/>
    <cellStyle name="Normal 7 2 2 3 2 6" xfId="8635" xr:uid="{00000000-0005-0000-0000-00005A8A0000}"/>
    <cellStyle name="Normal 7 2 2 3 2 6 2" xfId="31278" xr:uid="{00000000-0005-0000-0000-00005B8A0000}"/>
    <cellStyle name="Normal 7 2 2 3 2 7" xfId="23837" xr:uid="{00000000-0005-0000-0000-00005C8A0000}"/>
    <cellStyle name="Normal 7 2 2 3 3" xfId="1648" xr:uid="{00000000-0005-0000-0000-00005D8A0000}"/>
    <cellStyle name="Normal 7 2 2 3 3 2" xfId="3498" xr:uid="{00000000-0005-0000-0000-00005E8A0000}"/>
    <cellStyle name="Normal 7 2 2 3 3 2 2" xfId="7219" xr:uid="{00000000-0005-0000-0000-00005F8A0000}"/>
    <cellStyle name="Normal 7 2 2 3 3 2 2 2" xfId="22103" xr:uid="{00000000-0005-0000-0000-0000608A0000}"/>
    <cellStyle name="Normal 7 2 2 3 3 2 2 2 2" xfId="44746" xr:uid="{00000000-0005-0000-0000-0000618A0000}"/>
    <cellStyle name="Normal 7 2 2 3 3 2 2 3" xfId="14663" xr:uid="{00000000-0005-0000-0000-0000628A0000}"/>
    <cellStyle name="Normal 7 2 2 3 3 2 2 3 2" xfId="37306" xr:uid="{00000000-0005-0000-0000-0000638A0000}"/>
    <cellStyle name="Normal 7 2 2 3 3 2 2 4" xfId="29865" xr:uid="{00000000-0005-0000-0000-0000648A0000}"/>
    <cellStyle name="Normal 7 2 2 3 3 2 3" xfId="18385" xr:uid="{00000000-0005-0000-0000-0000658A0000}"/>
    <cellStyle name="Normal 7 2 2 3 3 2 3 2" xfId="41028" xr:uid="{00000000-0005-0000-0000-0000668A0000}"/>
    <cellStyle name="Normal 7 2 2 3 3 2 4" xfId="10945" xr:uid="{00000000-0005-0000-0000-0000678A0000}"/>
    <cellStyle name="Normal 7 2 2 3 3 2 4 2" xfId="33588" xr:uid="{00000000-0005-0000-0000-0000688A0000}"/>
    <cellStyle name="Normal 7 2 2 3 3 2 5" xfId="26147" xr:uid="{00000000-0005-0000-0000-0000698A0000}"/>
    <cellStyle name="Normal 7 2 2 3 3 3" xfId="5372" xr:uid="{00000000-0005-0000-0000-00006A8A0000}"/>
    <cellStyle name="Normal 7 2 2 3 3 3 2" xfId="20256" xr:uid="{00000000-0005-0000-0000-00006B8A0000}"/>
    <cellStyle name="Normal 7 2 2 3 3 3 2 2" xfId="42899" xr:uid="{00000000-0005-0000-0000-00006C8A0000}"/>
    <cellStyle name="Normal 7 2 2 3 3 3 3" xfId="12816" xr:uid="{00000000-0005-0000-0000-00006D8A0000}"/>
    <cellStyle name="Normal 7 2 2 3 3 3 3 2" xfId="35459" xr:uid="{00000000-0005-0000-0000-00006E8A0000}"/>
    <cellStyle name="Normal 7 2 2 3 3 3 4" xfId="28018" xr:uid="{00000000-0005-0000-0000-00006F8A0000}"/>
    <cellStyle name="Normal 7 2 2 3 3 4" xfId="16538" xr:uid="{00000000-0005-0000-0000-0000708A0000}"/>
    <cellStyle name="Normal 7 2 2 3 3 4 2" xfId="39181" xr:uid="{00000000-0005-0000-0000-0000718A0000}"/>
    <cellStyle name="Normal 7 2 2 3 3 5" xfId="9098" xr:uid="{00000000-0005-0000-0000-0000728A0000}"/>
    <cellStyle name="Normal 7 2 2 3 3 5 2" xfId="31741" xr:uid="{00000000-0005-0000-0000-0000738A0000}"/>
    <cellStyle name="Normal 7 2 2 3 3 6" xfId="24300" xr:uid="{00000000-0005-0000-0000-0000748A0000}"/>
    <cellStyle name="Normal 7 2 2 3 4" xfId="2573" xr:uid="{00000000-0005-0000-0000-0000758A0000}"/>
    <cellStyle name="Normal 7 2 2 3 4 2" xfId="6294" xr:uid="{00000000-0005-0000-0000-0000768A0000}"/>
    <cellStyle name="Normal 7 2 2 3 4 2 2" xfId="21178" xr:uid="{00000000-0005-0000-0000-0000778A0000}"/>
    <cellStyle name="Normal 7 2 2 3 4 2 2 2" xfId="43821" xr:uid="{00000000-0005-0000-0000-0000788A0000}"/>
    <cellStyle name="Normal 7 2 2 3 4 2 3" xfId="13738" xr:uid="{00000000-0005-0000-0000-0000798A0000}"/>
    <cellStyle name="Normal 7 2 2 3 4 2 3 2" xfId="36381" xr:uid="{00000000-0005-0000-0000-00007A8A0000}"/>
    <cellStyle name="Normal 7 2 2 3 4 2 4" xfId="28940" xr:uid="{00000000-0005-0000-0000-00007B8A0000}"/>
    <cellStyle name="Normal 7 2 2 3 4 3" xfId="17460" xr:uid="{00000000-0005-0000-0000-00007C8A0000}"/>
    <cellStyle name="Normal 7 2 2 3 4 3 2" xfId="40103" xr:uid="{00000000-0005-0000-0000-00007D8A0000}"/>
    <cellStyle name="Normal 7 2 2 3 4 4" xfId="10020" xr:uid="{00000000-0005-0000-0000-00007E8A0000}"/>
    <cellStyle name="Normal 7 2 2 3 4 4 2" xfId="32663" xr:uid="{00000000-0005-0000-0000-00007F8A0000}"/>
    <cellStyle name="Normal 7 2 2 3 4 5" xfId="25222" xr:uid="{00000000-0005-0000-0000-0000808A0000}"/>
    <cellStyle name="Normal 7 2 2 3 5" xfId="4447" xr:uid="{00000000-0005-0000-0000-0000818A0000}"/>
    <cellStyle name="Normal 7 2 2 3 5 2" xfId="19331" xr:uid="{00000000-0005-0000-0000-0000828A0000}"/>
    <cellStyle name="Normal 7 2 2 3 5 2 2" xfId="41974" xr:uid="{00000000-0005-0000-0000-0000838A0000}"/>
    <cellStyle name="Normal 7 2 2 3 5 3" xfId="11891" xr:uid="{00000000-0005-0000-0000-0000848A0000}"/>
    <cellStyle name="Normal 7 2 2 3 5 3 2" xfId="34534" xr:uid="{00000000-0005-0000-0000-0000858A0000}"/>
    <cellStyle name="Normal 7 2 2 3 5 4" xfId="27093" xr:uid="{00000000-0005-0000-0000-0000868A0000}"/>
    <cellStyle name="Normal 7 2 2 3 6" xfId="15613" xr:uid="{00000000-0005-0000-0000-0000878A0000}"/>
    <cellStyle name="Normal 7 2 2 3 6 2" xfId="38256" xr:uid="{00000000-0005-0000-0000-0000888A0000}"/>
    <cellStyle name="Normal 7 2 2 3 7" xfId="8173" xr:uid="{00000000-0005-0000-0000-0000898A0000}"/>
    <cellStyle name="Normal 7 2 2 3 7 2" xfId="30816" xr:uid="{00000000-0005-0000-0000-00008A8A0000}"/>
    <cellStyle name="Normal 7 2 2 3 8" xfId="23375" xr:uid="{00000000-0005-0000-0000-00008B8A0000}"/>
    <cellStyle name="Normal 7 2 2 4" xfId="971" xr:uid="{00000000-0005-0000-0000-00008C8A0000}"/>
    <cellStyle name="Normal 7 2 2 4 2" xfId="1899" xr:uid="{00000000-0005-0000-0000-00008D8A0000}"/>
    <cellStyle name="Normal 7 2 2 4 2 2" xfId="3749" xr:uid="{00000000-0005-0000-0000-00008E8A0000}"/>
    <cellStyle name="Normal 7 2 2 4 2 2 2" xfId="7470" xr:uid="{00000000-0005-0000-0000-00008F8A0000}"/>
    <cellStyle name="Normal 7 2 2 4 2 2 2 2" xfId="22354" xr:uid="{00000000-0005-0000-0000-0000908A0000}"/>
    <cellStyle name="Normal 7 2 2 4 2 2 2 2 2" xfId="44997" xr:uid="{00000000-0005-0000-0000-0000918A0000}"/>
    <cellStyle name="Normal 7 2 2 4 2 2 2 3" xfId="14914" xr:uid="{00000000-0005-0000-0000-0000928A0000}"/>
    <cellStyle name="Normal 7 2 2 4 2 2 2 3 2" xfId="37557" xr:uid="{00000000-0005-0000-0000-0000938A0000}"/>
    <cellStyle name="Normal 7 2 2 4 2 2 2 4" xfId="30116" xr:uid="{00000000-0005-0000-0000-0000948A0000}"/>
    <cellStyle name="Normal 7 2 2 4 2 2 3" xfId="18636" xr:uid="{00000000-0005-0000-0000-0000958A0000}"/>
    <cellStyle name="Normal 7 2 2 4 2 2 3 2" xfId="41279" xr:uid="{00000000-0005-0000-0000-0000968A0000}"/>
    <cellStyle name="Normal 7 2 2 4 2 2 4" xfId="11196" xr:uid="{00000000-0005-0000-0000-0000978A0000}"/>
    <cellStyle name="Normal 7 2 2 4 2 2 4 2" xfId="33839" xr:uid="{00000000-0005-0000-0000-0000988A0000}"/>
    <cellStyle name="Normal 7 2 2 4 2 2 5" xfId="26398" xr:uid="{00000000-0005-0000-0000-0000998A0000}"/>
    <cellStyle name="Normal 7 2 2 4 2 3" xfId="5623" xr:uid="{00000000-0005-0000-0000-00009A8A0000}"/>
    <cellStyle name="Normal 7 2 2 4 2 3 2" xfId="20507" xr:uid="{00000000-0005-0000-0000-00009B8A0000}"/>
    <cellStyle name="Normal 7 2 2 4 2 3 2 2" xfId="43150" xr:uid="{00000000-0005-0000-0000-00009C8A0000}"/>
    <cellStyle name="Normal 7 2 2 4 2 3 3" xfId="13067" xr:uid="{00000000-0005-0000-0000-00009D8A0000}"/>
    <cellStyle name="Normal 7 2 2 4 2 3 3 2" xfId="35710" xr:uid="{00000000-0005-0000-0000-00009E8A0000}"/>
    <cellStyle name="Normal 7 2 2 4 2 3 4" xfId="28269" xr:uid="{00000000-0005-0000-0000-00009F8A0000}"/>
    <cellStyle name="Normal 7 2 2 4 2 4" xfId="16789" xr:uid="{00000000-0005-0000-0000-0000A08A0000}"/>
    <cellStyle name="Normal 7 2 2 4 2 4 2" xfId="39432" xr:uid="{00000000-0005-0000-0000-0000A18A0000}"/>
    <cellStyle name="Normal 7 2 2 4 2 5" xfId="9349" xr:uid="{00000000-0005-0000-0000-0000A28A0000}"/>
    <cellStyle name="Normal 7 2 2 4 2 5 2" xfId="31992" xr:uid="{00000000-0005-0000-0000-0000A38A0000}"/>
    <cellStyle name="Normal 7 2 2 4 2 6" xfId="24551" xr:uid="{00000000-0005-0000-0000-0000A48A0000}"/>
    <cellStyle name="Normal 7 2 2 4 3" xfId="2824" xr:uid="{00000000-0005-0000-0000-0000A58A0000}"/>
    <cellStyle name="Normal 7 2 2 4 3 2" xfId="6545" xr:uid="{00000000-0005-0000-0000-0000A68A0000}"/>
    <cellStyle name="Normal 7 2 2 4 3 2 2" xfId="21429" xr:uid="{00000000-0005-0000-0000-0000A78A0000}"/>
    <cellStyle name="Normal 7 2 2 4 3 2 2 2" xfId="44072" xr:uid="{00000000-0005-0000-0000-0000A88A0000}"/>
    <cellStyle name="Normal 7 2 2 4 3 2 3" xfId="13989" xr:uid="{00000000-0005-0000-0000-0000A98A0000}"/>
    <cellStyle name="Normal 7 2 2 4 3 2 3 2" xfId="36632" xr:uid="{00000000-0005-0000-0000-0000AA8A0000}"/>
    <cellStyle name="Normal 7 2 2 4 3 2 4" xfId="29191" xr:uid="{00000000-0005-0000-0000-0000AB8A0000}"/>
    <cellStyle name="Normal 7 2 2 4 3 3" xfId="17711" xr:uid="{00000000-0005-0000-0000-0000AC8A0000}"/>
    <cellStyle name="Normal 7 2 2 4 3 3 2" xfId="40354" xr:uid="{00000000-0005-0000-0000-0000AD8A0000}"/>
    <cellStyle name="Normal 7 2 2 4 3 4" xfId="10271" xr:uid="{00000000-0005-0000-0000-0000AE8A0000}"/>
    <cellStyle name="Normal 7 2 2 4 3 4 2" xfId="32914" xr:uid="{00000000-0005-0000-0000-0000AF8A0000}"/>
    <cellStyle name="Normal 7 2 2 4 3 5" xfId="25473" xr:uid="{00000000-0005-0000-0000-0000B08A0000}"/>
    <cellStyle name="Normal 7 2 2 4 4" xfId="4698" xr:uid="{00000000-0005-0000-0000-0000B18A0000}"/>
    <cellStyle name="Normal 7 2 2 4 4 2" xfId="19582" xr:uid="{00000000-0005-0000-0000-0000B28A0000}"/>
    <cellStyle name="Normal 7 2 2 4 4 2 2" xfId="42225" xr:uid="{00000000-0005-0000-0000-0000B38A0000}"/>
    <cellStyle name="Normal 7 2 2 4 4 3" xfId="12142" xr:uid="{00000000-0005-0000-0000-0000B48A0000}"/>
    <cellStyle name="Normal 7 2 2 4 4 3 2" xfId="34785" xr:uid="{00000000-0005-0000-0000-0000B58A0000}"/>
    <cellStyle name="Normal 7 2 2 4 4 4" xfId="27344" xr:uid="{00000000-0005-0000-0000-0000B68A0000}"/>
    <cellStyle name="Normal 7 2 2 4 5" xfId="15864" xr:uid="{00000000-0005-0000-0000-0000B78A0000}"/>
    <cellStyle name="Normal 7 2 2 4 5 2" xfId="38507" xr:uid="{00000000-0005-0000-0000-0000B88A0000}"/>
    <cellStyle name="Normal 7 2 2 4 6" xfId="8424" xr:uid="{00000000-0005-0000-0000-0000B98A0000}"/>
    <cellStyle name="Normal 7 2 2 4 6 2" xfId="31067" xr:uid="{00000000-0005-0000-0000-0000BA8A0000}"/>
    <cellStyle name="Normal 7 2 2 4 7" xfId="23626" xr:uid="{00000000-0005-0000-0000-0000BB8A0000}"/>
    <cellStyle name="Normal 7 2 2 5" xfId="1437" xr:uid="{00000000-0005-0000-0000-0000BC8A0000}"/>
    <cellStyle name="Normal 7 2 2 5 2" xfId="3287" xr:uid="{00000000-0005-0000-0000-0000BD8A0000}"/>
    <cellStyle name="Normal 7 2 2 5 2 2" xfId="7008" xr:uid="{00000000-0005-0000-0000-0000BE8A0000}"/>
    <cellStyle name="Normal 7 2 2 5 2 2 2" xfId="21892" xr:uid="{00000000-0005-0000-0000-0000BF8A0000}"/>
    <cellStyle name="Normal 7 2 2 5 2 2 2 2" xfId="44535" xr:uid="{00000000-0005-0000-0000-0000C08A0000}"/>
    <cellStyle name="Normal 7 2 2 5 2 2 3" xfId="14452" xr:uid="{00000000-0005-0000-0000-0000C18A0000}"/>
    <cellStyle name="Normal 7 2 2 5 2 2 3 2" xfId="37095" xr:uid="{00000000-0005-0000-0000-0000C28A0000}"/>
    <cellStyle name="Normal 7 2 2 5 2 2 4" xfId="29654" xr:uid="{00000000-0005-0000-0000-0000C38A0000}"/>
    <cellStyle name="Normal 7 2 2 5 2 3" xfId="18174" xr:uid="{00000000-0005-0000-0000-0000C48A0000}"/>
    <cellStyle name="Normal 7 2 2 5 2 3 2" xfId="40817" xr:uid="{00000000-0005-0000-0000-0000C58A0000}"/>
    <cellStyle name="Normal 7 2 2 5 2 4" xfId="10734" xr:uid="{00000000-0005-0000-0000-0000C68A0000}"/>
    <cellStyle name="Normal 7 2 2 5 2 4 2" xfId="33377" xr:uid="{00000000-0005-0000-0000-0000C78A0000}"/>
    <cellStyle name="Normal 7 2 2 5 2 5" xfId="25936" xr:uid="{00000000-0005-0000-0000-0000C88A0000}"/>
    <cellStyle name="Normal 7 2 2 5 3" xfId="5161" xr:uid="{00000000-0005-0000-0000-0000C98A0000}"/>
    <cellStyle name="Normal 7 2 2 5 3 2" xfId="20045" xr:uid="{00000000-0005-0000-0000-0000CA8A0000}"/>
    <cellStyle name="Normal 7 2 2 5 3 2 2" xfId="42688" xr:uid="{00000000-0005-0000-0000-0000CB8A0000}"/>
    <cellStyle name="Normal 7 2 2 5 3 3" xfId="12605" xr:uid="{00000000-0005-0000-0000-0000CC8A0000}"/>
    <cellStyle name="Normal 7 2 2 5 3 3 2" xfId="35248" xr:uid="{00000000-0005-0000-0000-0000CD8A0000}"/>
    <cellStyle name="Normal 7 2 2 5 3 4" xfId="27807" xr:uid="{00000000-0005-0000-0000-0000CE8A0000}"/>
    <cellStyle name="Normal 7 2 2 5 4" xfId="16327" xr:uid="{00000000-0005-0000-0000-0000CF8A0000}"/>
    <cellStyle name="Normal 7 2 2 5 4 2" xfId="38970" xr:uid="{00000000-0005-0000-0000-0000D08A0000}"/>
    <cellStyle name="Normal 7 2 2 5 5" xfId="8887" xr:uid="{00000000-0005-0000-0000-0000D18A0000}"/>
    <cellStyle name="Normal 7 2 2 5 5 2" xfId="31530" xr:uid="{00000000-0005-0000-0000-0000D28A0000}"/>
    <cellStyle name="Normal 7 2 2 5 6" xfId="24089" xr:uid="{00000000-0005-0000-0000-0000D38A0000}"/>
    <cellStyle name="Normal 7 2 2 6" xfId="2362" xr:uid="{00000000-0005-0000-0000-0000D48A0000}"/>
    <cellStyle name="Normal 7 2 2 6 2" xfId="6083" xr:uid="{00000000-0005-0000-0000-0000D58A0000}"/>
    <cellStyle name="Normal 7 2 2 6 2 2" xfId="20967" xr:uid="{00000000-0005-0000-0000-0000D68A0000}"/>
    <cellStyle name="Normal 7 2 2 6 2 2 2" xfId="43610" xr:uid="{00000000-0005-0000-0000-0000D78A0000}"/>
    <cellStyle name="Normal 7 2 2 6 2 3" xfId="13527" xr:uid="{00000000-0005-0000-0000-0000D88A0000}"/>
    <cellStyle name="Normal 7 2 2 6 2 3 2" xfId="36170" xr:uid="{00000000-0005-0000-0000-0000D98A0000}"/>
    <cellStyle name="Normal 7 2 2 6 2 4" xfId="28729" xr:uid="{00000000-0005-0000-0000-0000DA8A0000}"/>
    <cellStyle name="Normal 7 2 2 6 3" xfId="17249" xr:uid="{00000000-0005-0000-0000-0000DB8A0000}"/>
    <cellStyle name="Normal 7 2 2 6 3 2" xfId="39892" xr:uid="{00000000-0005-0000-0000-0000DC8A0000}"/>
    <cellStyle name="Normal 7 2 2 6 4" xfId="9809" xr:uid="{00000000-0005-0000-0000-0000DD8A0000}"/>
    <cellStyle name="Normal 7 2 2 6 4 2" xfId="32452" xr:uid="{00000000-0005-0000-0000-0000DE8A0000}"/>
    <cellStyle name="Normal 7 2 2 6 5" xfId="25011" xr:uid="{00000000-0005-0000-0000-0000DF8A0000}"/>
    <cellStyle name="Normal 7 2 2 7" xfId="4236" xr:uid="{00000000-0005-0000-0000-0000E08A0000}"/>
    <cellStyle name="Normal 7 2 2 7 2" xfId="19120" xr:uid="{00000000-0005-0000-0000-0000E18A0000}"/>
    <cellStyle name="Normal 7 2 2 7 2 2" xfId="41763" xr:uid="{00000000-0005-0000-0000-0000E28A0000}"/>
    <cellStyle name="Normal 7 2 2 7 3" xfId="11680" xr:uid="{00000000-0005-0000-0000-0000E38A0000}"/>
    <cellStyle name="Normal 7 2 2 7 3 2" xfId="34323" xr:uid="{00000000-0005-0000-0000-0000E48A0000}"/>
    <cellStyle name="Normal 7 2 2 7 4" xfId="26882" xr:uid="{00000000-0005-0000-0000-0000E58A0000}"/>
    <cellStyle name="Normal 7 2 2 8" xfId="504" xr:uid="{00000000-0005-0000-0000-0000E68A0000}"/>
    <cellStyle name="Normal 7 2 2 8 2" xfId="15402" xr:uid="{00000000-0005-0000-0000-0000E78A0000}"/>
    <cellStyle name="Normal 7 2 2 8 2 2" xfId="38045" xr:uid="{00000000-0005-0000-0000-0000E88A0000}"/>
    <cellStyle name="Normal 7 2 2 8 3" xfId="23165" xr:uid="{00000000-0005-0000-0000-0000E98A0000}"/>
    <cellStyle name="Normal 7 2 2 9" xfId="7962" xr:uid="{00000000-0005-0000-0000-0000EA8A0000}"/>
    <cellStyle name="Normal 7 2 2 9 2" xfId="30605" xr:uid="{00000000-0005-0000-0000-0000EB8A0000}"/>
    <cellStyle name="Normal 7 2 3" xfId="286" xr:uid="{00000000-0005-0000-0000-0000EC8A0000}"/>
    <cellStyle name="Normal 7 2 3 2" xfId="770" xr:uid="{00000000-0005-0000-0000-0000ED8A0000}"/>
    <cellStyle name="Normal 7 2 3 2 2" xfId="1235" xr:uid="{00000000-0005-0000-0000-0000EE8A0000}"/>
    <cellStyle name="Normal 7 2 3 2 2 2" xfId="2163" xr:uid="{00000000-0005-0000-0000-0000EF8A0000}"/>
    <cellStyle name="Normal 7 2 3 2 2 2 2" xfId="4013" xr:uid="{00000000-0005-0000-0000-0000F08A0000}"/>
    <cellStyle name="Normal 7 2 3 2 2 2 2 2" xfId="7734" xr:uid="{00000000-0005-0000-0000-0000F18A0000}"/>
    <cellStyle name="Normal 7 2 3 2 2 2 2 2 2" xfId="22618" xr:uid="{00000000-0005-0000-0000-0000F28A0000}"/>
    <cellStyle name="Normal 7 2 3 2 2 2 2 2 2 2" xfId="45261" xr:uid="{00000000-0005-0000-0000-0000F38A0000}"/>
    <cellStyle name="Normal 7 2 3 2 2 2 2 2 3" xfId="15178" xr:uid="{00000000-0005-0000-0000-0000F48A0000}"/>
    <cellStyle name="Normal 7 2 3 2 2 2 2 2 3 2" xfId="37821" xr:uid="{00000000-0005-0000-0000-0000F58A0000}"/>
    <cellStyle name="Normal 7 2 3 2 2 2 2 2 4" xfId="30380" xr:uid="{00000000-0005-0000-0000-0000F68A0000}"/>
    <cellStyle name="Normal 7 2 3 2 2 2 2 3" xfId="18900" xr:uid="{00000000-0005-0000-0000-0000F78A0000}"/>
    <cellStyle name="Normal 7 2 3 2 2 2 2 3 2" xfId="41543" xr:uid="{00000000-0005-0000-0000-0000F88A0000}"/>
    <cellStyle name="Normal 7 2 3 2 2 2 2 4" xfId="11460" xr:uid="{00000000-0005-0000-0000-0000F98A0000}"/>
    <cellStyle name="Normal 7 2 3 2 2 2 2 4 2" xfId="34103" xr:uid="{00000000-0005-0000-0000-0000FA8A0000}"/>
    <cellStyle name="Normal 7 2 3 2 2 2 2 5" xfId="26662" xr:uid="{00000000-0005-0000-0000-0000FB8A0000}"/>
    <cellStyle name="Normal 7 2 3 2 2 2 3" xfId="5887" xr:uid="{00000000-0005-0000-0000-0000FC8A0000}"/>
    <cellStyle name="Normal 7 2 3 2 2 2 3 2" xfId="20771" xr:uid="{00000000-0005-0000-0000-0000FD8A0000}"/>
    <cellStyle name="Normal 7 2 3 2 2 2 3 2 2" xfId="43414" xr:uid="{00000000-0005-0000-0000-0000FE8A0000}"/>
    <cellStyle name="Normal 7 2 3 2 2 2 3 3" xfId="13331" xr:uid="{00000000-0005-0000-0000-0000FF8A0000}"/>
    <cellStyle name="Normal 7 2 3 2 2 2 3 3 2" xfId="35974" xr:uid="{00000000-0005-0000-0000-0000008B0000}"/>
    <cellStyle name="Normal 7 2 3 2 2 2 3 4" xfId="28533" xr:uid="{00000000-0005-0000-0000-0000018B0000}"/>
    <cellStyle name="Normal 7 2 3 2 2 2 4" xfId="17053" xr:uid="{00000000-0005-0000-0000-0000028B0000}"/>
    <cellStyle name="Normal 7 2 3 2 2 2 4 2" xfId="39696" xr:uid="{00000000-0005-0000-0000-0000038B0000}"/>
    <cellStyle name="Normal 7 2 3 2 2 2 5" xfId="9613" xr:uid="{00000000-0005-0000-0000-0000048B0000}"/>
    <cellStyle name="Normal 7 2 3 2 2 2 5 2" xfId="32256" xr:uid="{00000000-0005-0000-0000-0000058B0000}"/>
    <cellStyle name="Normal 7 2 3 2 2 2 6" xfId="24815" xr:uid="{00000000-0005-0000-0000-0000068B0000}"/>
    <cellStyle name="Normal 7 2 3 2 2 3" xfId="3088" xr:uid="{00000000-0005-0000-0000-0000078B0000}"/>
    <cellStyle name="Normal 7 2 3 2 2 3 2" xfId="6809" xr:uid="{00000000-0005-0000-0000-0000088B0000}"/>
    <cellStyle name="Normal 7 2 3 2 2 3 2 2" xfId="21693" xr:uid="{00000000-0005-0000-0000-0000098B0000}"/>
    <cellStyle name="Normal 7 2 3 2 2 3 2 2 2" xfId="44336" xr:uid="{00000000-0005-0000-0000-00000A8B0000}"/>
    <cellStyle name="Normal 7 2 3 2 2 3 2 3" xfId="14253" xr:uid="{00000000-0005-0000-0000-00000B8B0000}"/>
    <cellStyle name="Normal 7 2 3 2 2 3 2 3 2" xfId="36896" xr:uid="{00000000-0005-0000-0000-00000C8B0000}"/>
    <cellStyle name="Normal 7 2 3 2 2 3 2 4" xfId="29455" xr:uid="{00000000-0005-0000-0000-00000D8B0000}"/>
    <cellStyle name="Normal 7 2 3 2 2 3 3" xfId="17975" xr:uid="{00000000-0005-0000-0000-00000E8B0000}"/>
    <cellStyle name="Normal 7 2 3 2 2 3 3 2" xfId="40618" xr:uid="{00000000-0005-0000-0000-00000F8B0000}"/>
    <cellStyle name="Normal 7 2 3 2 2 3 4" xfId="10535" xr:uid="{00000000-0005-0000-0000-0000108B0000}"/>
    <cellStyle name="Normal 7 2 3 2 2 3 4 2" xfId="33178" xr:uid="{00000000-0005-0000-0000-0000118B0000}"/>
    <cellStyle name="Normal 7 2 3 2 2 3 5" xfId="25737" xr:uid="{00000000-0005-0000-0000-0000128B0000}"/>
    <cellStyle name="Normal 7 2 3 2 2 4" xfId="4962" xr:uid="{00000000-0005-0000-0000-0000138B0000}"/>
    <cellStyle name="Normal 7 2 3 2 2 4 2" xfId="19846" xr:uid="{00000000-0005-0000-0000-0000148B0000}"/>
    <cellStyle name="Normal 7 2 3 2 2 4 2 2" xfId="42489" xr:uid="{00000000-0005-0000-0000-0000158B0000}"/>
    <cellStyle name="Normal 7 2 3 2 2 4 3" xfId="12406" xr:uid="{00000000-0005-0000-0000-0000168B0000}"/>
    <cellStyle name="Normal 7 2 3 2 2 4 3 2" xfId="35049" xr:uid="{00000000-0005-0000-0000-0000178B0000}"/>
    <cellStyle name="Normal 7 2 3 2 2 4 4" xfId="27608" xr:uid="{00000000-0005-0000-0000-0000188B0000}"/>
    <cellStyle name="Normal 7 2 3 2 2 5" xfId="16128" xr:uid="{00000000-0005-0000-0000-0000198B0000}"/>
    <cellStyle name="Normal 7 2 3 2 2 5 2" xfId="38771" xr:uid="{00000000-0005-0000-0000-00001A8B0000}"/>
    <cellStyle name="Normal 7 2 3 2 2 6" xfId="8688" xr:uid="{00000000-0005-0000-0000-00001B8B0000}"/>
    <cellStyle name="Normal 7 2 3 2 2 6 2" xfId="31331" xr:uid="{00000000-0005-0000-0000-00001C8B0000}"/>
    <cellStyle name="Normal 7 2 3 2 2 7" xfId="23890" xr:uid="{00000000-0005-0000-0000-00001D8B0000}"/>
    <cellStyle name="Normal 7 2 3 2 3" xfId="1701" xr:uid="{00000000-0005-0000-0000-00001E8B0000}"/>
    <cellStyle name="Normal 7 2 3 2 3 2" xfId="3551" xr:uid="{00000000-0005-0000-0000-00001F8B0000}"/>
    <cellStyle name="Normal 7 2 3 2 3 2 2" xfId="7272" xr:uid="{00000000-0005-0000-0000-0000208B0000}"/>
    <cellStyle name="Normal 7 2 3 2 3 2 2 2" xfId="22156" xr:uid="{00000000-0005-0000-0000-0000218B0000}"/>
    <cellStyle name="Normal 7 2 3 2 3 2 2 2 2" xfId="44799" xr:uid="{00000000-0005-0000-0000-0000228B0000}"/>
    <cellStyle name="Normal 7 2 3 2 3 2 2 3" xfId="14716" xr:uid="{00000000-0005-0000-0000-0000238B0000}"/>
    <cellStyle name="Normal 7 2 3 2 3 2 2 3 2" xfId="37359" xr:uid="{00000000-0005-0000-0000-0000248B0000}"/>
    <cellStyle name="Normal 7 2 3 2 3 2 2 4" xfId="29918" xr:uid="{00000000-0005-0000-0000-0000258B0000}"/>
    <cellStyle name="Normal 7 2 3 2 3 2 3" xfId="18438" xr:uid="{00000000-0005-0000-0000-0000268B0000}"/>
    <cellStyle name="Normal 7 2 3 2 3 2 3 2" xfId="41081" xr:uid="{00000000-0005-0000-0000-0000278B0000}"/>
    <cellStyle name="Normal 7 2 3 2 3 2 4" xfId="10998" xr:uid="{00000000-0005-0000-0000-0000288B0000}"/>
    <cellStyle name="Normal 7 2 3 2 3 2 4 2" xfId="33641" xr:uid="{00000000-0005-0000-0000-0000298B0000}"/>
    <cellStyle name="Normal 7 2 3 2 3 2 5" xfId="26200" xr:uid="{00000000-0005-0000-0000-00002A8B0000}"/>
    <cellStyle name="Normal 7 2 3 2 3 3" xfId="5425" xr:uid="{00000000-0005-0000-0000-00002B8B0000}"/>
    <cellStyle name="Normal 7 2 3 2 3 3 2" xfId="20309" xr:uid="{00000000-0005-0000-0000-00002C8B0000}"/>
    <cellStyle name="Normal 7 2 3 2 3 3 2 2" xfId="42952" xr:uid="{00000000-0005-0000-0000-00002D8B0000}"/>
    <cellStyle name="Normal 7 2 3 2 3 3 3" xfId="12869" xr:uid="{00000000-0005-0000-0000-00002E8B0000}"/>
    <cellStyle name="Normal 7 2 3 2 3 3 3 2" xfId="35512" xr:uid="{00000000-0005-0000-0000-00002F8B0000}"/>
    <cellStyle name="Normal 7 2 3 2 3 3 4" xfId="28071" xr:uid="{00000000-0005-0000-0000-0000308B0000}"/>
    <cellStyle name="Normal 7 2 3 2 3 4" xfId="16591" xr:uid="{00000000-0005-0000-0000-0000318B0000}"/>
    <cellStyle name="Normal 7 2 3 2 3 4 2" xfId="39234" xr:uid="{00000000-0005-0000-0000-0000328B0000}"/>
    <cellStyle name="Normal 7 2 3 2 3 5" xfId="9151" xr:uid="{00000000-0005-0000-0000-0000338B0000}"/>
    <cellStyle name="Normal 7 2 3 2 3 5 2" xfId="31794" xr:uid="{00000000-0005-0000-0000-0000348B0000}"/>
    <cellStyle name="Normal 7 2 3 2 3 6" xfId="24353" xr:uid="{00000000-0005-0000-0000-0000358B0000}"/>
    <cellStyle name="Normal 7 2 3 2 4" xfId="2626" xr:uid="{00000000-0005-0000-0000-0000368B0000}"/>
    <cellStyle name="Normal 7 2 3 2 4 2" xfId="6347" xr:uid="{00000000-0005-0000-0000-0000378B0000}"/>
    <cellStyle name="Normal 7 2 3 2 4 2 2" xfId="21231" xr:uid="{00000000-0005-0000-0000-0000388B0000}"/>
    <cellStyle name="Normal 7 2 3 2 4 2 2 2" xfId="43874" xr:uid="{00000000-0005-0000-0000-0000398B0000}"/>
    <cellStyle name="Normal 7 2 3 2 4 2 3" xfId="13791" xr:uid="{00000000-0005-0000-0000-00003A8B0000}"/>
    <cellStyle name="Normal 7 2 3 2 4 2 3 2" xfId="36434" xr:uid="{00000000-0005-0000-0000-00003B8B0000}"/>
    <cellStyle name="Normal 7 2 3 2 4 2 4" xfId="28993" xr:uid="{00000000-0005-0000-0000-00003C8B0000}"/>
    <cellStyle name="Normal 7 2 3 2 4 3" xfId="17513" xr:uid="{00000000-0005-0000-0000-00003D8B0000}"/>
    <cellStyle name="Normal 7 2 3 2 4 3 2" xfId="40156" xr:uid="{00000000-0005-0000-0000-00003E8B0000}"/>
    <cellStyle name="Normal 7 2 3 2 4 4" xfId="10073" xr:uid="{00000000-0005-0000-0000-00003F8B0000}"/>
    <cellStyle name="Normal 7 2 3 2 4 4 2" xfId="32716" xr:uid="{00000000-0005-0000-0000-0000408B0000}"/>
    <cellStyle name="Normal 7 2 3 2 4 5" xfId="25275" xr:uid="{00000000-0005-0000-0000-0000418B0000}"/>
    <cellStyle name="Normal 7 2 3 2 5" xfId="4500" xr:uid="{00000000-0005-0000-0000-0000428B0000}"/>
    <cellStyle name="Normal 7 2 3 2 5 2" xfId="19384" xr:uid="{00000000-0005-0000-0000-0000438B0000}"/>
    <cellStyle name="Normal 7 2 3 2 5 2 2" xfId="42027" xr:uid="{00000000-0005-0000-0000-0000448B0000}"/>
    <cellStyle name="Normal 7 2 3 2 5 3" xfId="11944" xr:uid="{00000000-0005-0000-0000-0000458B0000}"/>
    <cellStyle name="Normal 7 2 3 2 5 3 2" xfId="34587" xr:uid="{00000000-0005-0000-0000-0000468B0000}"/>
    <cellStyle name="Normal 7 2 3 2 5 4" xfId="27146" xr:uid="{00000000-0005-0000-0000-0000478B0000}"/>
    <cellStyle name="Normal 7 2 3 2 6" xfId="15666" xr:uid="{00000000-0005-0000-0000-0000488B0000}"/>
    <cellStyle name="Normal 7 2 3 2 6 2" xfId="38309" xr:uid="{00000000-0005-0000-0000-0000498B0000}"/>
    <cellStyle name="Normal 7 2 3 2 7" xfId="8226" xr:uid="{00000000-0005-0000-0000-00004A8B0000}"/>
    <cellStyle name="Normal 7 2 3 2 7 2" xfId="30869" xr:uid="{00000000-0005-0000-0000-00004B8B0000}"/>
    <cellStyle name="Normal 7 2 3 2 8" xfId="23428" xr:uid="{00000000-0005-0000-0000-00004C8B0000}"/>
    <cellStyle name="Normal 7 2 3 3" xfId="1024" xr:uid="{00000000-0005-0000-0000-00004D8B0000}"/>
    <cellStyle name="Normal 7 2 3 3 2" xfId="1952" xr:uid="{00000000-0005-0000-0000-00004E8B0000}"/>
    <cellStyle name="Normal 7 2 3 3 2 2" xfId="3802" xr:uid="{00000000-0005-0000-0000-00004F8B0000}"/>
    <cellStyle name="Normal 7 2 3 3 2 2 2" xfId="7523" xr:uid="{00000000-0005-0000-0000-0000508B0000}"/>
    <cellStyle name="Normal 7 2 3 3 2 2 2 2" xfId="22407" xr:uid="{00000000-0005-0000-0000-0000518B0000}"/>
    <cellStyle name="Normal 7 2 3 3 2 2 2 2 2" xfId="45050" xr:uid="{00000000-0005-0000-0000-0000528B0000}"/>
    <cellStyle name="Normal 7 2 3 3 2 2 2 3" xfId="14967" xr:uid="{00000000-0005-0000-0000-0000538B0000}"/>
    <cellStyle name="Normal 7 2 3 3 2 2 2 3 2" xfId="37610" xr:uid="{00000000-0005-0000-0000-0000548B0000}"/>
    <cellStyle name="Normal 7 2 3 3 2 2 2 4" xfId="30169" xr:uid="{00000000-0005-0000-0000-0000558B0000}"/>
    <cellStyle name="Normal 7 2 3 3 2 2 3" xfId="18689" xr:uid="{00000000-0005-0000-0000-0000568B0000}"/>
    <cellStyle name="Normal 7 2 3 3 2 2 3 2" xfId="41332" xr:uid="{00000000-0005-0000-0000-0000578B0000}"/>
    <cellStyle name="Normal 7 2 3 3 2 2 4" xfId="11249" xr:uid="{00000000-0005-0000-0000-0000588B0000}"/>
    <cellStyle name="Normal 7 2 3 3 2 2 4 2" xfId="33892" xr:uid="{00000000-0005-0000-0000-0000598B0000}"/>
    <cellStyle name="Normal 7 2 3 3 2 2 5" xfId="26451" xr:uid="{00000000-0005-0000-0000-00005A8B0000}"/>
    <cellStyle name="Normal 7 2 3 3 2 3" xfId="5676" xr:uid="{00000000-0005-0000-0000-00005B8B0000}"/>
    <cellStyle name="Normal 7 2 3 3 2 3 2" xfId="20560" xr:uid="{00000000-0005-0000-0000-00005C8B0000}"/>
    <cellStyle name="Normal 7 2 3 3 2 3 2 2" xfId="43203" xr:uid="{00000000-0005-0000-0000-00005D8B0000}"/>
    <cellStyle name="Normal 7 2 3 3 2 3 3" xfId="13120" xr:uid="{00000000-0005-0000-0000-00005E8B0000}"/>
    <cellStyle name="Normal 7 2 3 3 2 3 3 2" xfId="35763" xr:uid="{00000000-0005-0000-0000-00005F8B0000}"/>
    <cellStyle name="Normal 7 2 3 3 2 3 4" xfId="28322" xr:uid="{00000000-0005-0000-0000-0000608B0000}"/>
    <cellStyle name="Normal 7 2 3 3 2 4" xfId="16842" xr:uid="{00000000-0005-0000-0000-0000618B0000}"/>
    <cellStyle name="Normal 7 2 3 3 2 4 2" xfId="39485" xr:uid="{00000000-0005-0000-0000-0000628B0000}"/>
    <cellStyle name="Normal 7 2 3 3 2 5" xfId="9402" xr:uid="{00000000-0005-0000-0000-0000638B0000}"/>
    <cellStyle name="Normal 7 2 3 3 2 5 2" xfId="32045" xr:uid="{00000000-0005-0000-0000-0000648B0000}"/>
    <cellStyle name="Normal 7 2 3 3 2 6" xfId="24604" xr:uid="{00000000-0005-0000-0000-0000658B0000}"/>
    <cellStyle name="Normal 7 2 3 3 3" xfId="2877" xr:uid="{00000000-0005-0000-0000-0000668B0000}"/>
    <cellStyle name="Normal 7 2 3 3 3 2" xfId="6598" xr:uid="{00000000-0005-0000-0000-0000678B0000}"/>
    <cellStyle name="Normal 7 2 3 3 3 2 2" xfId="21482" xr:uid="{00000000-0005-0000-0000-0000688B0000}"/>
    <cellStyle name="Normal 7 2 3 3 3 2 2 2" xfId="44125" xr:uid="{00000000-0005-0000-0000-0000698B0000}"/>
    <cellStyle name="Normal 7 2 3 3 3 2 3" xfId="14042" xr:uid="{00000000-0005-0000-0000-00006A8B0000}"/>
    <cellStyle name="Normal 7 2 3 3 3 2 3 2" xfId="36685" xr:uid="{00000000-0005-0000-0000-00006B8B0000}"/>
    <cellStyle name="Normal 7 2 3 3 3 2 4" xfId="29244" xr:uid="{00000000-0005-0000-0000-00006C8B0000}"/>
    <cellStyle name="Normal 7 2 3 3 3 3" xfId="17764" xr:uid="{00000000-0005-0000-0000-00006D8B0000}"/>
    <cellStyle name="Normal 7 2 3 3 3 3 2" xfId="40407" xr:uid="{00000000-0005-0000-0000-00006E8B0000}"/>
    <cellStyle name="Normal 7 2 3 3 3 4" xfId="10324" xr:uid="{00000000-0005-0000-0000-00006F8B0000}"/>
    <cellStyle name="Normal 7 2 3 3 3 4 2" xfId="32967" xr:uid="{00000000-0005-0000-0000-0000708B0000}"/>
    <cellStyle name="Normal 7 2 3 3 3 5" xfId="25526" xr:uid="{00000000-0005-0000-0000-0000718B0000}"/>
    <cellStyle name="Normal 7 2 3 3 4" xfId="4751" xr:uid="{00000000-0005-0000-0000-0000728B0000}"/>
    <cellStyle name="Normal 7 2 3 3 4 2" xfId="19635" xr:uid="{00000000-0005-0000-0000-0000738B0000}"/>
    <cellStyle name="Normal 7 2 3 3 4 2 2" xfId="42278" xr:uid="{00000000-0005-0000-0000-0000748B0000}"/>
    <cellStyle name="Normal 7 2 3 3 4 3" xfId="12195" xr:uid="{00000000-0005-0000-0000-0000758B0000}"/>
    <cellStyle name="Normal 7 2 3 3 4 3 2" xfId="34838" xr:uid="{00000000-0005-0000-0000-0000768B0000}"/>
    <cellStyle name="Normal 7 2 3 3 4 4" xfId="27397" xr:uid="{00000000-0005-0000-0000-0000778B0000}"/>
    <cellStyle name="Normal 7 2 3 3 5" xfId="15917" xr:uid="{00000000-0005-0000-0000-0000788B0000}"/>
    <cellStyle name="Normal 7 2 3 3 5 2" xfId="38560" xr:uid="{00000000-0005-0000-0000-0000798B0000}"/>
    <cellStyle name="Normal 7 2 3 3 6" xfId="8477" xr:uid="{00000000-0005-0000-0000-00007A8B0000}"/>
    <cellStyle name="Normal 7 2 3 3 6 2" xfId="31120" xr:uid="{00000000-0005-0000-0000-00007B8B0000}"/>
    <cellStyle name="Normal 7 2 3 3 7" xfId="23679" xr:uid="{00000000-0005-0000-0000-00007C8B0000}"/>
    <cellStyle name="Normal 7 2 3 4" xfId="1490" xr:uid="{00000000-0005-0000-0000-00007D8B0000}"/>
    <cellStyle name="Normal 7 2 3 4 2" xfId="3340" xr:uid="{00000000-0005-0000-0000-00007E8B0000}"/>
    <cellStyle name="Normal 7 2 3 4 2 2" xfId="7061" xr:uid="{00000000-0005-0000-0000-00007F8B0000}"/>
    <cellStyle name="Normal 7 2 3 4 2 2 2" xfId="21945" xr:uid="{00000000-0005-0000-0000-0000808B0000}"/>
    <cellStyle name="Normal 7 2 3 4 2 2 2 2" xfId="44588" xr:uid="{00000000-0005-0000-0000-0000818B0000}"/>
    <cellStyle name="Normal 7 2 3 4 2 2 3" xfId="14505" xr:uid="{00000000-0005-0000-0000-0000828B0000}"/>
    <cellStyle name="Normal 7 2 3 4 2 2 3 2" xfId="37148" xr:uid="{00000000-0005-0000-0000-0000838B0000}"/>
    <cellStyle name="Normal 7 2 3 4 2 2 4" xfId="29707" xr:uid="{00000000-0005-0000-0000-0000848B0000}"/>
    <cellStyle name="Normal 7 2 3 4 2 3" xfId="18227" xr:uid="{00000000-0005-0000-0000-0000858B0000}"/>
    <cellStyle name="Normal 7 2 3 4 2 3 2" xfId="40870" xr:uid="{00000000-0005-0000-0000-0000868B0000}"/>
    <cellStyle name="Normal 7 2 3 4 2 4" xfId="10787" xr:uid="{00000000-0005-0000-0000-0000878B0000}"/>
    <cellStyle name="Normal 7 2 3 4 2 4 2" xfId="33430" xr:uid="{00000000-0005-0000-0000-0000888B0000}"/>
    <cellStyle name="Normal 7 2 3 4 2 5" xfId="25989" xr:uid="{00000000-0005-0000-0000-0000898B0000}"/>
    <cellStyle name="Normal 7 2 3 4 3" xfId="5214" xr:uid="{00000000-0005-0000-0000-00008A8B0000}"/>
    <cellStyle name="Normal 7 2 3 4 3 2" xfId="20098" xr:uid="{00000000-0005-0000-0000-00008B8B0000}"/>
    <cellStyle name="Normal 7 2 3 4 3 2 2" xfId="42741" xr:uid="{00000000-0005-0000-0000-00008C8B0000}"/>
    <cellStyle name="Normal 7 2 3 4 3 3" xfId="12658" xr:uid="{00000000-0005-0000-0000-00008D8B0000}"/>
    <cellStyle name="Normal 7 2 3 4 3 3 2" xfId="35301" xr:uid="{00000000-0005-0000-0000-00008E8B0000}"/>
    <cellStyle name="Normal 7 2 3 4 3 4" xfId="27860" xr:uid="{00000000-0005-0000-0000-00008F8B0000}"/>
    <cellStyle name="Normal 7 2 3 4 4" xfId="16380" xr:uid="{00000000-0005-0000-0000-0000908B0000}"/>
    <cellStyle name="Normal 7 2 3 4 4 2" xfId="39023" xr:uid="{00000000-0005-0000-0000-0000918B0000}"/>
    <cellStyle name="Normal 7 2 3 4 5" xfId="8940" xr:uid="{00000000-0005-0000-0000-0000928B0000}"/>
    <cellStyle name="Normal 7 2 3 4 5 2" xfId="31583" xr:uid="{00000000-0005-0000-0000-0000938B0000}"/>
    <cellStyle name="Normal 7 2 3 4 6" xfId="24142" xr:uid="{00000000-0005-0000-0000-0000948B0000}"/>
    <cellStyle name="Normal 7 2 3 5" xfId="2415" xr:uid="{00000000-0005-0000-0000-0000958B0000}"/>
    <cellStyle name="Normal 7 2 3 5 2" xfId="6136" xr:uid="{00000000-0005-0000-0000-0000968B0000}"/>
    <cellStyle name="Normal 7 2 3 5 2 2" xfId="21020" xr:uid="{00000000-0005-0000-0000-0000978B0000}"/>
    <cellStyle name="Normal 7 2 3 5 2 2 2" xfId="43663" xr:uid="{00000000-0005-0000-0000-0000988B0000}"/>
    <cellStyle name="Normal 7 2 3 5 2 3" xfId="13580" xr:uid="{00000000-0005-0000-0000-0000998B0000}"/>
    <cellStyle name="Normal 7 2 3 5 2 3 2" xfId="36223" xr:uid="{00000000-0005-0000-0000-00009A8B0000}"/>
    <cellStyle name="Normal 7 2 3 5 2 4" xfId="28782" xr:uid="{00000000-0005-0000-0000-00009B8B0000}"/>
    <cellStyle name="Normal 7 2 3 5 3" xfId="17302" xr:uid="{00000000-0005-0000-0000-00009C8B0000}"/>
    <cellStyle name="Normal 7 2 3 5 3 2" xfId="39945" xr:uid="{00000000-0005-0000-0000-00009D8B0000}"/>
    <cellStyle name="Normal 7 2 3 5 4" xfId="9862" xr:uid="{00000000-0005-0000-0000-00009E8B0000}"/>
    <cellStyle name="Normal 7 2 3 5 4 2" xfId="32505" xr:uid="{00000000-0005-0000-0000-00009F8B0000}"/>
    <cellStyle name="Normal 7 2 3 5 5" xfId="25064" xr:uid="{00000000-0005-0000-0000-0000A08B0000}"/>
    <cellStyle name="Normal 7 2 3 6" xfId="4289" xr:uid="{00000000-0005-0000-0000-0000A18B0000}"/>
    <cellStyle name="Normal 7 2 3 6 2" xfId="19173" xr:uid="{00000000-0005-0000-0000-0000A28B0000}"/>
    <cellStyle name="Normal 7 2 3 6 2 2" xfId="41816" xr:uid="{00000000-0005-0000-0000-0000A38B0000}"/>
    <cellStyle name="Normal 7 2 3 6 3" xfId="11733" xr:uid="{00000000-0005-0000-0000-0000A48B0000}"/>
    <cellStyle name="Normal 7 2 3 6 3 2" xfId="34376" xr:uid="{00000000-0005-0000-0000-0000A58B0000}"/>
    <cellStyle name="Normal 7 2 3 6 4" xfId="26935" xr:uid="{00000000-0005-0000-0000-0000A68B0000}"/>
    <cellStyle name="Normal 7 2 3 7" xfId="558" xr:uid="{00000000-0005-0000-0000-0000A78B0000}"/>
    <cellStyle name="Normal 7 2 3 7 2" xfId="15455" xr:uid="{00000000-0005-0000-0000-0000A88B0000}"/>
    <cellStyle name="Normal 7 2 3 7 2 2" xfId="38098" xr:uid="{00000000-0005-0000-0000-0000A98B0000}"/>
    <cellStyle name="Normal 7 2 3 7 3" xfId="23218" xr:uid="{00000000-0005-0000-0000-0000AA8B0000}"/>
    <cellStyle name="Normal 7 2 3 8" xfId="8015" xr:uid="{00000000-0005-0000-0000-0000AB8B0000}"/>
    <cellStyle name="Normal 7 2 3 8 2" xfId="30658" xr:uid="{00000000-0005-0000-0000-0000AC8B0000}"/>
    <cellStyle name="Normal 7 2 3 9" xfId="22984" xr:uid="{00000000-0005-0000-0000-0000AD8B0000}"/>
    <cellStyle name="Normal 7 2 4" xfId="665" xr:uid="{00000000-0005-0000-0000-0000AE8B0000}"/>
    <cellStyle name="Normal 7 2 4 2" xfId="1130" xr:uid="{00000000-0005-0000-0000-0000AF8B0000}"/>
    <cellStyle name="Normal 7 2 4 2 2" xfId="2058" xr:uid="{00000000-0005-0000-0000-0000B08B0000}"/>
    <cellStyle name="Normal 7 2 4 2 2 2" xfId="3908" xr:uid="{00000000-0005-0000-0000-0000B18B0000}"/>
    <cellStyle name="Normal 7 2 4 2 2 2 2" xfId="7629" xr:uid="{00000000-0005-0000-0000-0000B28B0000}"/>
    <cellStyle name="Normal 7 2 4 2 2 2 2 2" xfId="22513" xr:uid="{00000000-0005-0000-0000-0000B38B0000}"/>
    <cellStyle name="Normal 7 2 4 2 2 2 2 2 2" xfId="45156" xr:uid="{00000000-0005-0000-0000-0000B48B0000}"/>
    <cellStyle name="Normal 7 2 4 2 2 2 2 3" xfId="15073" xr:uid="{00000000-0005-0000-0000-0000B58B0000}"/>
    <cellStyle name="Normal 7 2 4 2 2 2 2 3 2" xfId="37716" xr:uid="{00000000-0005-0000-0000-0000B68B0000}"/>
    <cellStyle name="Normal 7 2 4 2 2 2 2 4" xfId="30275" xr:uid="{00000000-0005-0000-0000-0000B78B0000}"/>
    <cellStyle name="Normal 7 2 4 2 2 2 3" xfId="18795" xr:uid="{00000000-0005-0000-0000-0000B88B0000}"/>
    <cellStyle name="Normal 7 2 4 2 2 2 3 2" xfId="41438" xr:uid="{00000000-0005-0000-0000-0000B98B0000}"/>
    <cellStyle name="Normal 7 2 4 2 2 2 4" xfId="11355" xr:uid="{00000000-0005-0000-0000-0000BA8B0000}"/>
    <cellStyle name="Normal 7 2 4 2 2 2 4 2" xfId="33998" xr:uid="{00000000-0005-0000-0000-0000BB8B0000}"/>
    <cellStyle name="Normal 7 2 4 2 2 2 5" xfId="26557" xr:uid="{00000000-0005-0000-0000-0000BC8B0000}"/>
    <cellStyle name="Normal 7 2 4 2 2 3" xfId="5782" xr:uid="{00000000-0005-0000-0000-0000BD8B0000}"/>
    <cellStyle name="Normal 7 2 4 2 2 3 2" xfId="20666" xr:uid="{00000000-0005-0000-0000-0000BE8B0000}"/>
    <cellStyle name="Normal 7 2 4 2 2 3 2 2" xfId="43309" xr:uid="{00000000-0005-0000-0000-0000BF8B0000}"/>
    <cellStyle name="Normal 7 2 4 2 2 3 3" xfId="13226" xr:uid="{00000000-0005-0000-0000-0000C08B0000}"/>
    <cellStyle name="Normal 7 2 4 2 2 3 3 2" xfId="35869" xr:uid="{00000000-0005-0000-0000-0000C18B0000}"/>
    <cellStyle name="Normal 7 2 4 2 2 3 4" xfId="28428" xr:uid="{00000000-0005-0000-0000-0000C28B0000}"/>
    <cellStyle name="Normal 7 2 4 2 2 4" xfId="16948" xr:uid="{00000000-0005-0000-0000-0000C38B0000}"/>
    <cellStyle name="Normal 7 2 4 2 2 4 2" xfId="39591" xr:uid="{00000000-0005-0000-0000-0000C48B0000}"/>
    <cellStyle name="Normal 7 2 4 2 2 5" xfId="9508" xr:uid="{00000000-0005-0000-0000-0000C58B0000}"/>
    <cellStyle name="Normal 7 2 4 2 2 5 2" xfId="32151" xr:uid="{00000000-0005-0000-0000-0000C68B0000}"/>
    <cellStyle name="Normal 7 2 4 2 2 6" xfId="24710" xr:uid="{00000000-0005-0000-0000-0000C78B0000}"/>
    <cellStyle name="Normal 7 2 4 2 3" xfId="2983" xr:uid="{00000000-0005-0000-0000-0000C88B0000}"/>
    <cellStyle name="Normal 7 2 4 2 3 2" xfId="6704" xr:uid="{00000000-0005-0000-0000-0000C98B0000}"/>
    <cellStyle name="Normal 7 2 4 2 3 2 2" xfId="21588" xr:uid="{00000000-0005-0000-0000-0000CA8B0000}"/>
    <cellStyle name="Normal 7 2 4 2 3 2 2 2" xfId="44231" xr:uid="{00000000-0005-0000-0000-0000CB8B0000}"/>
    <cellStyle name="Normal 7 2 4 2 3 2 3" xfId="14148" xr:uid="{00000000-0005-0000-0000-0000CC8B0000}"/>
    <cellStyle name="Normal 7 2 4 2 3 2 3 2" xfId="36791" xr:uid="{00000000-0005-0000-0000-0000CD8B0000}"/>
    <cellStyle name="Normal 7 2 4 2 3 2 4" xfId="29350" xr:uid="{00000000-0005-0000-0000-0000CE8B0000}"/>
    <cellStyle name="Normal 7 2 4 2 3 3" xfId="17870" xr:uid="{00000000-0005-0000-0000-0000CF8B0000}"/>
    <cellStyle name="Normal 7 2 4 2 3 3 2" xfId="40513" xr:uid="{00000000-0005-0000-0000-0000D08B0000}"/>
    <cellStyle name="Normal 7 2 4 2 3 4" xfId="10430" xr:uid="{00000000-0005-0000-0000-0000D18B0000}"/>
    <cellStyle name="Normal 7 2 4 2 3 4 2" xfId="33073" xr:uid="{00000000-0005-0000-0000-0000D28B0000}"/>
    <cellStyle name="Normal 7 2 4 2 3 5" xfId="25632" xr:uid="{00000000-0005-0000-0000-0000D38B0000}"/>
    <cellStyle name="Normal 7 2 4 2 4" xfId="4857" xr:uid="{00000000-0005-0000-0000-0000D48B0000}"/>
    <cellStyle name="Normal 7 2 4 2 4 2" xfId="19741" xr:uid="{00000000-0005-0000-0000-0000D58B0000}"/>
    <cellStyle name="Normal 7 2 4 2 4 2 2" xfId="42384" xr:uid="{00000000-0005-0000-0000-0000D68B0000}"/>
    <cellStyle name="Normal 7 2 4 2 4 3" xfId="12301" xr:uid="{00000000-0005-0000-0000-0000D78B0000}"/>
    <cellStyle name="Normal 7 2 4 2 4 3 2" xfId="34944" xr:uid="{00000000-0005-0000-0000-0000D88B0000}"/>
    <cellStyle name="Normal 7 2 4 2 4 4" xfId="27503" xr:uid="{00000000-0005-0000-0000-0000D98B0000}"/>
    <cellStyle name="Normal 7 2 4 2 5" xfId="16023" xr:uid="{00000000-0005-0000-0000-0000DA8B0000}"/>
    <cellStyle name="Normal 7 2 4 2 5 2" xfId="38666" xr:uid="{00000000-0005-0000-0000-0000DB8B0000}"/>
    <cellStyle name="Normal 7 2 4 2 6" xfId="8583" xr:uid="{00000000-0005-0000-0000-0000DC8B0000}"/>
    <cellStyle name="Normal 7 2 4 2 6 2" xfId="31226" xr:uid="{00000000-0005-0000-0000-0000DD8B0000}"/>
    <cellStyle name="Normal 7 2 4 2 7" xfId="23785" xr:uid="{00000000-0005-0000-0000-0000DE8B0000}"/>
    <cellStyle name="Normal 7 2 4 3" xfId="1596" xr:uid="{00000000-0005-0000-0000-0000DF8B0000}"/>
    <cellStyle name="Normal 7 2 4 3 2" xfId="3446" xr:uid="{00000000-0005-0000-0000-0000E08B0000}"/>
    <cellStyle name="Normal 7 2 4 3 2 2" xfId="7167" xr:uid="{00000000-0005-0000-0000-0000E18B0000}"/>
    <cellStyle name="Normal 7 2 4 3 2 2 2" xfId="22051" xr:uid="{00000000-0005-0000-0000-0000E28B0000}"/>
    <cellStyle name="Normal 7 2 4 3 2 2 2 2" xfId="44694" xr:uid="{00000000-0005-0000-0000-0000E38B0000}"/>
    <cellStyle name="Normal 7 2 4 3 2 2 3" xfId="14611" xr:uid="{00000000-0005-0000-0000-0000E48B0000}"/>
    <cellStyle name="Normal 7 2 4 3 2 2 3 2" xfId="37254" xr:uid="{00000000-0005-0000-0000-0000E58B0000}"/>
    <cellStyle name="Normal 7 2 4 3 2 2 4" xfId="29813" xr:uid="{00000000-0005-0000-0000-0000E68B0000}"/>
    <cellStyle name="Normal 7 2 4 3 2 3" xfId="18333" xr:uid="{00000000-0005-0000-0000-0000E78B0000}"/>
    <cellStyle name="Normal 7 2 4 3 2 3 2" xfId="40976" xr:uid="{00000000-0005-0000-0000-0000E88B0000}"/>
    <cellStyle name="Normal 7 2 4 3 2 4" xfId="10893" xr:uid="{00000000-0005-0000-0000-0000E98B0000}"/>
    <cellStyle name="Normal 7 2 4 3 2 4 2" xfId="33536" xr:uid="{00000000-0005-0000-0000-0000EA8B0000}"/>
    <cellStyle name="Normal 7 2 4 3 2 5" xfId="26095" xr:uid="{00000000-0005-0000-0000-0000EB8B0000}"/>
    <cellStyle name="Normal 7 2 4 3 3" xfId="5320" xr:uid="{00000000-0005-0000-0000-0000EC8B0000}"/>
    <cellStyle name="Normal 7 2 4 3 3 2" xfId="20204" xr:uid="{00000000-0005-0000-0000-0000ED8B0000}"/>
    <cellStyle name="Normal 7 2 4 3 3 2 2" xfId="42847" xr:uid="{00000000-0005-0000-0000-0000EE8B0000}"/>
    <cellStyle name="Normal 7 2 4 3 3 3" xfId="12764" xr:uid="{00000000-0005-0000-0000-0000EF8B0000}"/>
    <cellStyle name="Normal 7 2 4 3 3 3 2" xfId="35407" xr:uid="{00000000-0005-0000-0000-0000F08B0000}"/>
    <cellStyle name="Normal 7 2 4 3 3 4" xfId="27966" xr:uid="{00000000-0005-0000-0000-0000F18B0000}"/>
    <cellStyle name="Normal 7 2 4 3 4" xfId="16486" xr:uid="{00000000-0005-0000-0000-0000F28B0000}"/>
    <cellStyle name="Normal 7 2 4 3 4 2" xfId="39129" xr:uid="{00000000-0005-0000-0000-0000F38B0000}"/>
    <cellStyle name="Normal 7 2 4 3 5" xfId="9046" xr:uid="{00000000-0005-0000-0000-0000F48B0000}"/>
    <cellStyle name="Normal 7 2 4 3 5 2" xfId="31689" xr:uid="{00000000-0005-0000-0000-0000F58B0000}"/>
    <cellStyle name="Normal 7 2 4 3 6" xfId="24248" xr:uid="{00000000-0005-0000-0000-0000F68B0000}"/>
    <cellStyle name="Normal 7 2 4 4" xfId="2521" xr:uid="{00000000-0005-0000-0000-0000F78B0000}"/>
    <cellStyle name="Normal 7 2 4 4 2" xfId="6242" xr:uid="{00000000-0005-0000-0000-0000F88B0000}"/>
    <cellStyle name="Normal 7 2 4 4 2 2" xfId="21126" xr:uid="{00000000-0005-0000-0000-0000F98B0000}"/>
    <cellStyle name="Normal 7 2 4 4 2 2 2" xfId="43769" xr:uid="{00000000-0005-0000-0000-0000FA8B0000}"/>
    <cellStyle name="Normal 7 2 4 4 2 3" xfId="13686" xr:uid="{00000000-0005-0000-0000-0000FB8B0000}"/>
    <cellStyle name="Normal 7 2 4 4 2 3 2" xfId="36329" xr:uid="{00000000-0005-0000-0000-0000FC8B0000}"/>
    <cellStyle name="Normal 7 2 4 4 2 4" xfId="28888" xr:uid="{00000000-0005-0000-0000-0000FD8B0000}"/>
    <cellStyle name="Normal 7 2 4 4 3" xfId="17408" xr:uid="{00000000-0005-0000-0000-0000FE8B0000}"/>
    <cellStyle name="Normal 7 2 4 4 3 2" xfId="40051" xr:uid="{00000000-0005-0000-0000-0000FF8B0000}"/>
    <cellStyle name="Normal 7 2 4 4 4" xfId="9968" xr:uid="{00000000-0005-0000-0000-0000008C0000}"/>
    <cellStyle name="Normal 7 2 4 4 4 2" xfId="32611" xr:uid="{00000000-0005-0000-0000-0000018C0000}"/>
    <cellStyle name="Normal 7 2 4 4 5" xfId="25170" xr:uid="{00000000-0005-0000-0000-0000028C0000}"/>
    <cellStyle name="Normal 7 2 4 5" xfId="4395" xr:uid="{00000000-0005-0000-0000-0000038C0000}"/>
    <cellStyle name="Normal 7 2 4 5 2" xfId="19279" xr:uid="{00000000-0005-0000-0000-0000048C0000}"/>
    <cellStyle name="Normal 7 2 4 5 2 2" xfId="41922" xr:uid="{00000000-0005-0000-0000-0000058C0000}"/>
    <cellStyle name="Normal 7 2 4 5 3" xfId="11839" xr:uid="{00000000-0005-0000-0000-0000068C0000}"/>
    <cellStyle name="Normal 7 2 4 5 3 2" xfId="34482" xr:uid="{00000000-0005-0000-0000-0000078C0000}"/>
    <cellStyle name="Normal 7 2 4 5 4" xfId="27041" xr:uid="{00000000-0005-0000-0000-0000088C0000}"/>
    <cellStyle name="Normal 7 2 4 6" xfId="15561" xr:uid="{00000000-0005-0000-0000-0000098C0000}"/>
    <cellStyle name="Normal 7 2 4 6 2" xfId="38204" xr:uid="{00000000-0005-0000-0000-00000A8C0000}"/>
    <cellStyle name="Normal 7 2 4 7" xfId="8121" xr:uid="{00000000-0005-0000-0000-00000B8C0000}"/>
    <cellStyle name="Normal 7 2 4 7 2" xfId="30764" xr:uid="{00000000-0005-0000-0000-00000C8C0000}"/>
    <cellStyle name="Normal 7 2 4 8" xfId="23323" xr:uid="{00000000-0005-0000-0000-00000D8C0000}"/>
    <cellStyle name="Normal 7 2 5" xfId="919" xr:uid="{00000000-0005-0000-0000-00000E8C0000}"/>
    <cellStyle name="Normal 7 2 5 2" xfId="1847" xr:uid="{00000000-0005-0000-0000-00000F8C0000}"/>
    <cellStyle name="Normal 7 2 5 2 2" xfId="3697" xr:uid="{00000000-0005-0000-0000-0000108C0000}"/>
    <cellStyle name="Normal 7 2 5 2 2 2" xfId="7418" xr:uid="{00000000-0005-0000-0000-0000118C0000}"/>
    <cellStyle name="Normal 7 2 5 2 2 2 2" xfId="22302" xr:uid="{00000000-0005-0000-0000-0000128C0000}"/>
    <cellStyle name="Normal 7 2 5 2 2 2 2 2" xfId="44945" xr:uid="{00000000-0005-0000-0000-0000138C0000}"/>
    <cellStyle name="Normal 7 2 5 2 2 2 3" xfId="14862" xr:uid="{00000000-0005-0000-0000-0000148C0000}"/>
    <cellStyle name="Normal 7 2 5 2 2 2 3 2" xfId="37505" xr:uid="{00000000-0005-0000-0000-0000158C0000}"/>
    <cellStyle name="Normal 7 2 5 2 2 2 4" xfId="30064" xr:uid="{00000000-0005-0000-0000-0000168C0000}"/>
    <cellStyle name="Normal 7 2 5 2 2 3" xfId="18584" xr:uid="{00000000-0005-0000-0000-0000178C0000}"/>
    <cellStyle name="Normal 7 2 5 2 2 3 2" xfId="41227" xr:uid="{00000000-0005-0000-0000-0000188C0000}"/>
    <cellStyle name="Normal 7 2 5 2 2 4" xfId="11144" xr:uid="{00000000-0005-0000-0000-0000198C0000}"/>
    <cellStyle name="Normal 7 2 5 2 2 4 2" xfId="33787" xr:uid="{00000000-0005-0000-0000-00001A8C0000}"/>
    <cellStyle name="Normal 7 2 5 2 2 5" xfId="26346" xr:uid="{00000000-0005-0000-0000-00001B8C0000}"/>
    <cellStyle name="Normal 7 2 5 2 3" xfId="5571" xr:uid="{00000000-0005-0000-0000-00001C8C0000}"/>
    <cellStyle name="Normal 7 2 5 2 3 2" xfId="20455" xr:uid="{00000000-0005-0000-0000-00001D8C0000}"/>
    <cellStyle name="Normal 7 2 5 2 3 2 2" xfId="43098" xr:uid="{00000000-0005-0000-0000-00001E8C0000}"/>
    <cellStyle name="Normal 7 2 5 2 3 3" xfId="13015" xr:uid="{00000000-0005-0000-0000-00001F8C0000}"/>
    <cellStyle name="Normal 7 2 5 2 3 3 2" xfId="35658" xr:uid="{00000000-0005-0000-0000-0000208C0000}"/>
    <cellStyle name="Normal 7 2 5 2 3 4" xfId="28217" xr:uid="{00000000-0005-0000-0000-0000218C0000}"/>
    <cellStyle name="Normal 7 2 5 2 4" xfId="16737" xr:uid="{00000000-0005-0000-0000-0000228C0000}"/>
    <cellStyle name="Normal 7 2 5 2 4 2" xfId="39380" xr:uid="{00000000-0005-0000-0000-0000238C0000}"/>
    <cellStyle name="Normal 7 2 5 2 5" xfId="9297" xr:uid="{00000000-0005-0000-0000-0000248C0000}"/>
    <cellStyle name="Normal 7 2 5 2 5 2" xfId="31940" xr:uid="{00000000-0005-0000-0000-0000258C0000}"/>
    <cellStyle name="Normal 7 2 5 2 6" xfId="24499" xr:uid="{00000000-0005-0000-0000-0000268C0000}"/>
    <cellStyle name="Normal 7 2 5 3" xfId="2772" xr:uid="{00000000-0005-0000-0000-0000278C0000}"/>
    <cellStyle name="Normal 7 2 5 3 2" xfId="6493" xr:uid="{00000000-0005-0000-0000-0000288C0000}"/>
    <cellStyle name="Normal 7 2 5 3 2 2" xfId="21377" xr:uid="{00000000-0005-0000-0000-0000298C0000}"/>
    <cellStyle name="Normal 7 2 5 3 2 2 2" xfId="44020" xr:uid="{00000000-0005-0000-0000-00002A8C0000}"/>
    <cellStyle name="Normal 7 2 5 3 2 3" xfId="13937" xr:uid="{00000000-0005-0000-0000-00002B8C0000}"/>
    <cellStyle name="Normal 7 2 5 3 2 3 2" xfId="36580" xr:uid="{00000000-0005-0000-0000-00002C8C0000}"/>
    <cellStyle name="Normal 7 2 5 3 2 4" xfId="29139" xr:uid="{00000000-0005-0000-0000-00002D8C0000}"/>
    <cellStyle name="Normal 7 2 5 3 3" xfId="17659" xr:uid="{00000000-0005-0000-0000-00002E8C0000}"/>
    <cellStyle name="Normal 7 2 5 3 3 2" xfId="40302" xr:uid="{00000000-0005-0000-0000-00002F8C0000}"/>
    <cellStyle name="Normal 7 2 5 3 4" xfId="10219" xr:uid="{00000000-0005-0000-0000-0000308C0000}"/>
    <cellStyle name="Normal 7 2 5 3 4 2" xfId="32862" xr:uid="{00000000-0005-0000-0000-0000318C0000}"/>
    <cellStyle name="Normal 7 2 5 3 5" xfId="25421" xr:uid="{00000000-0005-0000-0000-0000328C0000}"/>
    <cellStyle name="Normal 7 2 5 4" xfId="4646" xr:uid="{00000000-0005-0000-0000-0000338C0000}"/>
    <cellStyle name="Normal 7 2 5 4 2" xfId="19530" xr:uid="{00000000-0005-0000-0000-0000348C0000}"/>
    <cellStyle name="Normal 7 2 5 4 2 2" xfId="42173" xr:uid="{00000000-0005-0000-0000-0000358C0000}"/>
    <cellStyle name="Normal 7 2 5 4 3" xfId="12090" xr:uid="{00000000-0005-0000-0000-0000368C0000}"/>
    <cellStyle name="Normal 7 2 5 4 3 2" xfId="34733" xr:uid="{00000000-0005-0000-0000-0000378C0000}"/>
    <cellStyle name="Normal 7 2 5 4 4" xfId="27292" xr:uid="{00000000-0005-0000-0000-0000388C0000}"/>
    <cellStyle name="Normal 7 2 5 5" xfId="15812" xr:uid="{00000000-0005-0000-0000-0000398C0000}"/>
    <cellStyle name="Normal 7 2 5 5 2" xfId="38455" xr:uid="{00000000-0005-0000-0000-00003A8C0000}"/>
    <cellStyle name="Normal 7 2 5 6" xfId="8372" xr:uid="{00000000-0005-0000-0000-00003B8C0000}"/>
    <cellStyle name="Normal 7 2 5 6 2" xfId="31015" xr:uid="{00000000-0005-0000-0000-00003C8C0000}"/>
    <cellStyle name="Normal 7 2 5 7" xfId="23574" xr:uid="{00000000-0005-0000-0000-00003D8C0000}"/>
    <cellStyle name="Normal 7 2 6" xfId="1385" xr:uid="{00000000-0005-0000-0000-00003E8C0000}"/>
    <cellStyle name="Normal 7 2 6 2" xfId="3235" xr:uid="{00000000-0005-0000-0000-00003F8C0000}"/>
    <cellStyle name="Normal 7 2 6 2 2" xfId="6956" xr:uid="{00000000-0005-0000-0000-0000408C0000}"/>
    <cellStyle name="Normal 7 2 6 2 2 2" xfId="21840" xr:uid="{00000000-0005-0000-0000-0000418C0000}"/>
    <cellStyle name="Normal 7 2 6 2 2 2 2" xfId="44483" xr:uid="{00000000-0005-0000-0000-0000428C0000}"/>
    <cellStyle name="Normal 7 2 6 2 2 3" xfId="14400" xr:uid="{00000000-0005-0000-0000-0000438C0000}"/>
    <cellStyle name="Normal 7 2 6 2 2 3 2" xfId="37043" xr:uid="{00000000-0005-0000-0000-0000448C0000}"/>
    <cellStyle name="Normal 7 2 6 2 2 4" xfId="29602" xr:uid="{00000000-0005-0000-0000-0000458C0000}"/>
    <cellStyle name="Normal 7 2 6 2 3" xfId="18122" xr:uid="{00000000-0005-0000-0000-0000468C0000}"/>
    <cellStyle name="Normal 7 2 6 2 3 2" xfId="40765" xr:uid="{00000000-0005-0000-0000-0000478C0000}"/>
    <cellStyle name="Normal 7 2 6 2 4" xfId="10682" xr:uid="{00000000-0005-0000-0000-0000488C0000}"/>
    <cellStyle name="Normal 7 2 6 2 4 2" xfId="33325" xr:uid="{00000000-0005-0000-0000-0000498C0000}"/>
    <cellStyle name="Normal 7 2 6 2 5" xfId="25884" xr:uid="{00000000-0005-0000-0000-00004A8C0000}"/>
    <cellStyle name="Normal 7 2 6 3" xfId="5109" xr:uid="{00000000-0005-0000-0000-00004B8C0000}"/>
    <cellStyle name="Normal 7 2 6 3 2" xfId="19993" xr:uid="{00000000-0005-0000-0000-00004C8C0000}"/>
    <cellStyle name="Normal 7 2 6 3 2 2" xfId="42636" xr:uid="{00000000-0005-0000-0000-00004D8C0000}"/>
    <cellStyle name="Normal 7 2 6 3 3" xfId="12553" xr:uid="{00000000-0005-0000-0000-00004E8C0000}"/>
    <cellStyle name="Normal 7 2 6 3 3 2" xfId="35196" xr:uid="{00000000-0005-0000-0000-00004F8C0000}"/>
    <cellStyle name="Normal 7 2 6 3 4" xfId="27755" xr:uid="{00000000-0005-0000-0000-0000508C0000}"/>
    <cellStyle name="Normal 7 2 6 4" xfId="16275" xr:uid="{00000000-0005-0000-0000-0000518C0000}"/>
    <cellStyle name="Normal 7 2 6 4 2" xfId="38918" xr:uid="{00000000-0005-0000-0000-0000528C0000}"/>
    <cellStyle name="Normal 7 2 6 5" xfId="8835" xr:uid="{00000000-0005-0000-0000-0000538C0000}"/>
    <cellStyle name="Normal 7 2 6 5 2" xfId="31478" xr:uid="{00000000-0005-0000-0000-0000548C0000}"/>
    <cellStyle name="Normal 7 2 6 6" xfId="24037" xr:uid="{00000000-0005-0000-0000-0000558C0000}"/>
    <cellStyle name="Normal 7 2 7" xfId="2310" xr:uid="{00000000-0005-0000-0000-0000568C0000}"/>
    <cellStyle name="Normal 7 2 7 2" xfId="6031" xr:uid="{00000000-0005-0000-0000-0000578C0000}"/>
    <cellStyle name="Normal 7 2 7 2 2" xfId="20915" xr:uid="{00000000-0005-0000-0000-0000588C0000}"/>
    <cellStyle name="Normal 7 2 7 2 2 2" xfId="43558" xr:uid="{00000000-0005-0000-0000-0000598C0000}"/>
    <cellStyle name="Normal 7 2 7 2 3" xfId="13475" xr:uid="{00000000-0005-0000-0000-00005A8C0000}"/>
    <cellStyle name="Normal 7 2 7 2 3 2" xfId="36118" xr:uid="{00000000-0005-0000-0000-00005B8C0000}"/>
    <cellStyle name="Normal 7 2 7 2 4" xfId="28677" xr:uid="{00000000-0005-0000-0000-00005C8C0000}"/>
    <cellStyle name="Normal 7 2 7 3" xfId="17197" xr:uid="{00000000-0005-0000-0000-00005D8C0000}"/>
    <cellStyle name="Normal 7 2 7 3 2" xfId="39840" xr:uid="{00000000-0005-0000-0000-00005E8C0000}"/>
    <cellStyle name="Normal 7 2 7 4" xfId="9757" xr:uid="{00000000-0005-0000-0000-00005F8C0000}"/>
    <cellStyle name="Normal 7 2 7 4 2" xfId="32400" xr:uid="{00000000-0005-0000-0000-0000608C0000}"/>
    <cellStyle name="Normal 7 2 7 5" xfId="24959" xr:uid="{00000000-0005-0000-0000-0000618C0000}"/>
    <cellStyle name="Normal 7 2 8" xfId="4184" xr:uid="{00000000-0005-0000-0000-0000628C0000}"/>
    <cellStyle name="Normal 7 2 8 2" xfId="19068" xr:uid="{00000000-0005-0000-0000-0000638C0000}"/>
    <cellStyle name="Normal 7 2 8 2 2" xfId="41711" xr:uid="{00000000-0005-0000-0000-0000648C0000}"/>
    <cellStyle name="Normal 7 2 8 3" xfId="11628" xr:uid="{00000000-0005-0000-0000-0000658C0000}"/>
    <cellStyle name="Normal 7 2 8 3 2" xfId="34271" xr:uid="{00000000-0005-0000-0000-0000668C0000}"/>
    <cellStyle name="Normal 7 2 8 4" xfId="26830" xr:uid="{00000000-0005-0000-0000-0000678C0000}"/>
    <cellStyle name="Normal 7 2 9" xfId="451" xr:uid="{00000000-0005-0000-0000-0000688C0000}"/>
    <cellStyle name="Normal 7 2 9 2" xfId="15350" xr:uid="{00000000-0005-0000-0000-0000698C0000}"/>
    <cellStyle name="Normal 7 2 9 2 2" xfId="37993" xr:uid="{00000000-0005-0000-0000-00006A8C0000}"/>
    <cellStyle name="Normal 7 2 9 3" xfId="23113" xr:uid="{00000000-0005-0000-0000-00006B8C0000}"/>
    <cellStyle name="Normal 7 3" xfId="163" xr:uid="{00000000-0005-0000-0000-00006C8C0000}"/>
    <cellStyle name="Normal 7 3 10" xfId="22867" xr:uid="{00000000-0005-0000-0000-00006D8C0000}"/>
    <cellStyle name="Normal 7 3 2" xfId="325" xr:uid="{00000000-0005-0000-0000-00006E8C0000}"/>
    <cellStyle name="Normal 7 3 2 2" xfId="802" xr:uid="{00000000-0005-0000-0000-00006F8C0000}"/>
    <cellStyle name="Normal 7 3 2 2 2" xfId="1267" xr:uid="{00000000-0005-0000-0000-0000708C0000}"/>
    <cellStyle name="Normal 7 3 2 2 2 2" xfId="2195" xr:uid="{00000000-0005-0000-0000-0000718C0000}"/>
    <cellStyle name="Normal 7 3 2 2 2 2 2" xfId="4045" xr:uid="{00000000-0005-0000-0000-0000728C0000}"/>
    <cellStyle name="Normal 7 3 2 2 2 2 2 2" xfId="7766" xr:uid="{00000000-0005-0000-0000-0000738C0000}"/>
    <cellStyle name="Normal 7 3 2 2 2 2 2 2 2" xfId="22650" xr:uid="{00000000-0005-0000-0000-0000748C0000}"/>
    <cellStyle name="Normal 7 3 2 2 2 2 2 2 2 2" xfId="45293" xr:uid="{00000000-0005-0000-0000-0000758C0000}"/>
    <cellStyle name="Normal 7 3 2 2 2 2 2 2 3" xfId="15210" xr:uid="{00000000-0005-0000-0000-0000768C0000}"/>
    <cellStyle name="Normal 7 3 2 2 2 2 2 2 3 2" xfId="37853" xr:uid="{00000000-0005-0000-0000-0000778C0000}"/>
    <cellStyle name="Normal 7 3 2 2 2 2 2 2 4" xfId="30412" xr:uid="{00000000-0005-0000-0000-0000788C0000}"/>
    <cellStyle name="Normal 7 3 2 2 2 2 2 3" xfId="18932" xr:uid="{00000000-0005-0000-0000-0000798C0000}"/>
    <cellStyle name="Normal 7 3 2 2 2 2 2 3 2" xfId="41575" xr:uid="{00000000-0005-0000-0000-00007A8C0000}"/>
    <cellStyle name="Normal 7 3 2 2 2 2 2 4" xfId="11492" xr:uid="{00000000-0005-0000-0000-00007B8C0000}"/>
    <cellStyle name="Normal 7 3 2 2 2 2 2 4 2" xfId="34135" xr:uid="{00000000-0005-0000-0000-00007C8C0000}"/>
    <cellStyle name="Normal 7 3 2 2 2 2 2 5" xfId="26694" xr:uid="{00000000-0005-0000-0000-00007D8C0000}"/>
    <cellStyle name="Normal 7 3 2 2 2 2 3" xfId="5919" xr:uid="{00000000-0005-0000-0000-00007E8C0000}"/>
    <cellStyle name="Normal 7 3 2 2 2 2 3 2" xfId="20803" xr:uid="{00000000-0005-0000-0000-00007F8C0000}"/>
    <cellStyle name="Normal 7 3 2 2 2 2 3 2 2" xfId="43446" xr:uid="{00000000-0005-0000-0000-0000808C0000}"/>
    <cellStyle name="Normal 7 3 2 2 2 2 3 3" xfId="13363" xr:uid="{00000000-0005-0000-0000-0000818C0000}"/>
    <cellStyle name="Normal 7 3 2 2 2 2 3 3 2" xfId="36006" xr:uid="{00000000-0005-0000-0000-0000828C0000}"/>
    <cellStyle name="Normal 7 3 2 2 2 2 3 4" xfId="28565" xr:uid="{00000000-0005-0000-0000-0000838C0000}"/>
    <cellStyle name="Normal 7 3 2 2 2 2 4" xfId="17085" xr:uid="{00000000-0005-0000-0000-0000848C0000}"/>
    <cellStyle name="Normal 7 3 2 2 2 2 4 2" xfId="39728" xr:uid="{00000000-0005-0000-0000-0000858C0000}"/>
    <cellStyle name="Normal 7 3 2 2 2 2 5" xfId="9645" xr:uid="{00000000-0005-0000-0000-0000868C0000}"/>
    <cellStyle name="Normal 7 3 2 2 2 2 5 2" xfId="32288" xr:uid="{00000000-0005-0000-0000-0000878C0000}"/>
    <cellStyle name="Normal 7 3 2 2 2 2 6" xfId="24847" xr:uid="{00000000-0005-0000-0000-0000888C0000}"/>
    <cellStyle name="Normal 7 3 2 2 2 3" xfId="3120" xr:uid="{00000000-0005-0000-0000-0000898C0000}"/>
    <cellStyle name="Normal 7 3 2 2 2 3 2" xfId="6841" xr:uid="{00000000-0005-0000-0000-00008A8C0000}"/>
    <cellStyle name="Normal 7 3 2 2 2 3 2 2" xfId="21725" xr:uid="{00000000-0005-0000-0000-00008B8C0000}"/>
    <cellStyle name="Normal 7 3 2 2 2 3 2 2 2" xfId="44368" xr:uid="{00000000-0005-0000-0000-00008C8C0000}"/>
    <cellStyle name="Normal 7 3 2 2 2 3 2 3" xfId="14285" xr:uid="{00000000-0005-0000-0000-00008D8C0000}"/>
    <cellStyle name="Normal 7 3 2 2 2 3 2 3 2" xfId="36928" xr:uid="{00000000-0005-0000-0000-00008E8C0000}"/>
    <cellStyle name="Normal 7 3 2 2 2 3 2 4" xfId="29487" xr:uid="{00000000-0005-0000-0000-00008F8C0000}"/>
    <cellStyle name="Normal 7 3 2 2 2 3 3" xfId="18007" xr:uid="{00000000-0005-0000-0000-0000908C0000}"/>
    <cellStyle name="Normal 7 3 2 2 2 3 3 2" xfId="40650" xr:uid="{00000000-0005-0000-0000-0000918C0000}"/>
    <cellStyle name="Normal 7 3 2 2 2 3 4" xfId="10567" xr:uid="{00000000-0005-0000-0000-0000928C0000}"/>
    <cellStyle name="Normal 7 3 2 2 2 3 4 2" xfId="33210" xr:uid="{00000000-0005-0000-0000-0000938C0000}"/>
    <cellStyle name="Normal 7 3 2 2 2 3 5" xfId="25769" xr:uid="{00000000-0005-0000-0000-0000948C0000}"/>
    <cellStyle name="Normal 7 3 2 2 2 4" xfId="4994" xr:uid="{00000000-0005-0000-0000-0000958C0000}"/>
    <cellStyle name="Normal 7 3 2 2 2 4 2" xfId="19878" xr:uid="{00000000-0005-0000-0000-0000968C0000}"/>
    <cellStyle name="Normal 7 3 2 2 2 4 2 2" xfId="42521" xr:uid="{00000000-0005-0000-0000-0000978C0000}"/>
    <cellStyle name="Normal 7 3 2 2 2 4 3" xfId="12438" xr:uid="{00000000-0005-0000-0000-0000988C0000}"/>
    <cellStyle name="Normal 7 3 2 2 2 4 3 2" xfId="35081" xr:uid="{00000000-0005-0000-0000-0000998C0000}"/>
    <cellStyle name="Normal 7 3 2 2 2 4 4" xfId="27640" xr:uid="{00000000-0005-0000-0000-00009A8C0000}"/>
    <cellStyle name="Normal 7 3 2 2 2 5" xfId="16160" xr:uid="{00000000-0005-0000-0000-00009B8C0000}"/>
    <cellStyle name="Normal 7 3 2 2 2 5 2" xfId="38803" xr:uid="{00000000-0005-0000-0000-00009C8C0000}"/>
    <cellStyle name="Normal 7 3 2 2 2 6" xfId="8720" xr:uid="{00000000-0005-0000-0000-00009D8C0000}"/>
    <cellStyle name="Normal 7 3 2 2 2 6 2" xfId="31363" xr:uid="{00000000-0005-0000-0000-00009E8C0000}"/>
    <cellStyle name="Normal 7 3 2 2 2 7" xfId="23922" xr:uid="{00000000-0005-0000-0000-00009F8C0000}"/>
    <cellStyle name="Normal 7 3 2 2 3" xfId="1733" xr:uid="{00000000-0005-0000-0000-0000A08C0000}"/>
    <cellStyle name="Normal 7 3 2 2 3 2" xfId="3583" xr:uid="{00000000-0005-0000-0000-0000A18C0000}"/>
    <cellStyle name="Normal 7 3 2 2 3 2 2" xfId="7304" xr:uid="{00000000-0005-0000-0000-0000A28C0000}"/>
    <cellStyle name="Normal 7 3 2 2 3 2 2 2" xfId="22188" xr:uid="{00000000-0005-0000-0000-0000A38C0000}"/>
    <cellStyle name="Normal 7 3 2 2 3 2 2 2 2" xfId="44831" xr:uid="{00000000-0005-0000-0000-0000A48C0000}"/>
    <cellStyle name="Normal 7 3 2 2 3 2 2 3" xfId="14748" xr:uid="{00000000-0005-0000-0000-0000A58C0000}"/>
    <cellStyle name="Normal 7 3 2 2 3 2 2 3 2" xfId="37391" xr:uid="{00000000-0005-0000-0000-0000A68C0000}"/>
    <cellStyle name="Normal 7 3 2 2 3 2 2 4" xfId="29950" xr:uid="{00000000-0005-0000-0000-0000A78C0000}"/>
    <cellStyle name="Normal 7 3 2 2 3 2 3" xfId="18470" xr:uid="{00000000-0005-0000-0000-0000A88C0000}"/>
    <cellStyle name="Normal 7 3 2 2 3 2 3 2" xfId="41113" xr:uid="{00000000-0005-0000-0000-0000A98C0000}"/>
    <cellStyle name="Normal 7 3 2 2 3 2 4" xfId="11030" xr:uid="{00000000-0005-0000-0000-0000AA8C0000}"/>
    <cellStyle name="Normal 7 3 2 2 3 2 4 2" xfId="33673" xr:uid="{00000000-0005-0000-0000-0000AB8C0000}"/>
    <cellStyle name="Normal 7 3 2 2 3 2 5" xfId="26232" xr:uid="{00000000-0005-0000-0000-0000AC8C0000}"/>
    <cellStyle name="Normal 7 3 2 2 3 3" xfId="5457" xr:uid="{00000000-0005-0000-0000-0000AD8C0000}"/>
    <cellStyle name="Normal 7 3 2 2 3 3 2" xfId="20341" xr:uid="{00000000-0005-0000-0000-0000AE8C0000}"/>
    <cellStyle name="Normal 7 3 2 2 3 3 2 2" xfId="42984" xr:uid="{00000000-0005-0000-0000-0000AF8C0000}"/>
    <cellStyle name="Normal 7 3 2 2 3 3 3" xfId="12901" xr:uid="{00000000-0005-0000-0000-0000B08C0000}"/>
    <cellStyle name="Normal 7 3 2 2 3 3 3 2" xfId="35544" xr:uid="{00000000-0005-0000-0000-0000B18C0000}"/>
    <cellStyle name="Normal 7 3 2 2 3 3 4" xfId="28103" xr:uid="{00000000-0005-0000-0000-0000B28C0000}"/>
    <cellStyle name="Normal 7 3 2 2 3 4" xfId="16623" xr:uid="{00000000-0005-0000-0000-0000B38C0000}"/>
    <cellStyle name="Normal 7 3 2 2 3 4 2" xfId="39266" xr:uid="{00000000-0005-0000-0000-0000B48C0000}"/>
    <cellStyle name="Normal 7 3 2 2 3 5" xfId="9183" xr:uid="{00000000-0005-0000-0000-0000B58C0000}"/>
    <cellStyle name="Normal 7 3 2 2 3 5 2" xfId="31826" xr:uid="{00000000-0005-0000-0000-0000B68C0000}"/>
    <cellStyle name="Normal 7 3 2 2 3 6" xfId="24385" xr:uid="{00000000-0005-0000-0000-0000B78C0000}"/>
    <cellStyle name="Normal 7 3 2 2 4" xfId="2658" xr:uid="{00000000-0005-0000-0000-0000B88C0000}"/>
    <cellStyle name="Normal 7 3 2 2 4 2" xfId="6379" xr:uid="{00000000-0005-0000-0000-0000B98C0000}"/>
    <cellStyle name="Normal 7 3 2 2 4 2 2" xfId="21263" xr:uid="{00000000-0005-0000-0000-0000BA8C0000}"/>
    <cellStyle name="Normal 7 3 2 2 4 2 2 2" xfId="43906" xr:uid="{00000000-0005-0000-0000-0000BB8C0000}"/>
    <cellStyle name="Normal 7 3 2 2 4 2 3" xfId="13823" xr:uid="{00000000-0005-0000-0000-0000BC8C0000}"/>
    <cellStyle name="Normal 7 3 2 2 4 2 3 2" xfId="36466" xr:uid="{00000000-0005-0000-0000-0000BD8C0000}"/>
    <cellStyle name="Normal 7 3 2 2 4 2 4" xfId="29025" xr:uid="{00000000-0005-0000-0000-0000BE8C0000}"/>
    <cellStyle name="Normal 7 3 2 2 4 3" xfId="17545" xr:uid="{00000000-0005-0000-0000-0000BF8C0000}"/>
    <cellStyle name="Normal 7 3 2 2 4 3 2" xfId="40188" xr:uid="{00000000-0005-0000-0000-0000C08C0000}"/>
    <cellStyle name="Normal 7 3 2 2 4 4" xfId="10105" xr:uid="{00000000-0005-0000-0000-0000C18C0000}"/>
    <cellStyle name="Normal 7 3 2 2 4 4 2" xfId="32748" xr:uid="{00000000-0005-0000-0000-0000C28C0000}"/>
    <cellStyle name="Normal 7 3 2 2 4 5" xfId="25307" xr:uid="{00000000-0005-0000-0000-0000C38C0000}"/>
    <cellStyle name="Normal 7 3 2 2 5" xfId="4532" xr:uid="{00000000-0005-0000-0000-0000C48C0000}"/>
    <cellStyle name="Normal 7 3 2 2 5 2" xfId="19416" xr:uid="{00000000-0005-0000-0000-0000C58C0000}"/>
    <cellStyle name="Normal 7 3 2 2 5 2 2" xfId="42059" xr:uid="{00000000-0005-0000-0000-0000C68C0000}"/>
    <cellStyle name="Normal 7 3 2 2 5 3" xfId="11976" xr:uid="{00000000-0005-0000-0000-0000C78C0000}"/>
    <cellStyle name="Normal 7 3 2 2 5 3 2" xfId="34619" xr:uid="{00000000-0005-0000-0000-0000C88C0000}"/>
    <cellStyle name="Normal 7 3 2 2 5 4" xfId="27178" xr:uid="{00000000-0005-0000-0000-0000C98C0000}"/>
    <cellStyle name="Normal 7 3 2 2 6" xfId="15698" xr:uid="{00000000-0005-0000-0000-0000CA8C0000}"/>
    <cellStyle name="Normal 7 3 2 2 6 2" xfId="38341" xr:uid="{00000000-0005-0000-0000-0000CB8C0000}"/>
    <cellStyle name="Normal 7 3 2 2 7" xfId="8258" xr:uid="{00000000-0005-0000-0000-0000CC8C0000}"/>
    <cellStyle name="Normal 7 3 2 2 7 2" xfId="30901" xr:uid="{00000000-0005-0000-0000-0000CD8C0000}"/>
    <cellStyle name="Normal 7 3 2 2 8" xfId="23460" xr:uid="{00000000-0005-0000-0000-0000CE8C0000}"/>
    <cellStyle name="Normal 7 3 2 3" xfId="1056" xr:uid="{00000000-0005-0000-0000-0000CF8C0000}"/>
    <cellStyle name="Normal 7 3 2 3 2" xfId="1984" xr:uid="{00000000-0005-0000-0000-0000D08C0000}"/>
    <cellStyle name="Normal 7 3 2 3 2 2" xfId="3834" xr:uid="{00000000-0005-0000-0000-0000D18C0000}"/>
    <cellStyle name="Normal 7 3 2 3 2 2 2" xfId="7555" xr:uid="{00000000-0005-0000-0000-0000D28C0000}"/>
    <cellStyle name="Normal 7 3 2 3 2 2 2 2" xfId="22439" xr:uid="{00000000-0005-0000-0000-0000D38C0000}"/>
    <cellStyle name="Normal 7 3 2 3 2 2 2 2 2" xfId="45082" xr:uid="{00000000-0005-0000-0000-0000D48C0000}"/>
    <cellStyle name="Normal 7 3 2 3 2 2 2 3" xfId="14999" xr:uid="{00000000-0005-0000-0000-0000D58C0000}"/>
    <cellStyle name="Normal 7 3 2 3 2 2 2 3 2" xfId="37642" xr:uid="{00000000-0005-0000-0000-0000D68C0000}"/>
    <cellStyle name="Normal 7 3 2 3 2 2 2 4" xfId="30201" xr:uid="{00000000-0005-0000-0000-0000D78C0000}"/>
    <cellStyle name="Normal 7 3 2 3 2 2 3" xfId="18721" xr:uid="{00000000-0005-0000-0000-0000D88C0000}"/>
    <cellStyle name="Normal 7 3 2 3 2 2 3 2" xfId="41364" xr:uid="{00000000-0005-0000-0000-0000D98C0000}"/>
    <cellStyle name="Normal 7 3 2 3 2 2 4" xfId="11281" xr:uid="{00000000-0005-0000-0000-0000DA8C0000}"/>
    <cellStyle name="Normal 7 3 2 3 2 2 4 2" xfId="33924" xr:uid="{00000000-0005-0000-0000-0000DB8C0000}"/>
    <cellStyle name="Normal 7 3 2 3 2 2 5" xfId="26483" xr:uid="{00000000-0005-0000-0000-0000DC8C0000}"/>
    <cellStyle name="Normal 7 3 2 3 2 3" xfId="5708" xr:uid="{00000000-0005-0000-0000-0000DD8C0000}"/>
    <cellStyle name="Normal 7 3 2 3 2 3 2" xfId="20592" xr:uid="{00000000-0005-0000-0000-0000DE8C0000}"/>
    <cellStyle name="Normal 7 3 2 3 2 3 2 2" xfId="43235" xr:uid="{00000000-0005-0000-0000-0000DF8C0000}"/>
    <cellStyle name="Normal 7 3 2 3 2 3 3" xfId="13152" xr:uid="{00000000-0005-0000-0000-0000E08C0000}"/>
    <cellStyle name="Normal 7 3 2 3 2 3 3 2" xfId="35795" xr:uid="{00000000-0005-0000-0000-0000E18C0000}"/>
    <cellStyle name="Normal 7 3 2 3 2 3 4" xfId="28354" xr:uid="{00000000-0005-0000-0000-0000E28C0000}"/>
    <cellStyle name="Normal 7 3 2 3 2 4" xfId="16874" xr:uid="{00000000-0005-0000-0000-0000E38C0000}"/>
    <cellStyle name="Normal 7 3 2 3 2 4 2" xfId="39517" xr:uid="{00000000-0005-0000-0000-0000E48C0000}"/>
    <cellStyle name="Normal 7 3 2 3 2 5" xfId="9434" xr:uid="{00000000-0005-0000-0000-0000E58C0000}"/>
    <cellStyle name="Normal 7 3 2 3 2 5 2" xfId="32077" xr:uid="{00000000-0005-0000-0000-0000E68C0000}"/>
    <cellStyle name="Normal 7 3 2 3 2 6" xfId="24636" xr:uid="{00000000-0005-0000-0000-0000E78C0000}"/>
    <cellStyle name="Normal 7 3 2 3 3" xfId="2909" xr:uid="{00000000-0005-0000-0000-0000E88C0000}"/>
    <cellStyle name="Normal 7 3 2 3 3 2" xfId="6630" xr:uid="{00000000-0005-0000-0000-0000E98C0000}"/>
    <cellStyle name="Normal 7 3 2 3 3 2 2" xfId="21514" xr:uid="{00000000-0005-0000-0000-0000EA8C0000}"/>
    <cellStyle name="Normal 7 3 2 3 3 2 2 2" xfId="44157" xr:uid="{00000000-0005-0000-0000-0000EB8C0000}"/>
    <cellStyle name="Normal 7 3 2 3 3 2 3" xfId="14074" xr:uid="{00000000-0005-0000-0000-0000EC8C0000}"/>
    <cellStyle name="Normal 7 3 2 3 3 2 3 2" xfId="36717" xr:uid="{00000000-0005-0000-0000-0000ED8C0000}"/>
    <cellStyle name="Normal 7 3 2 3 3 2 4" xfId="29276" xr:uid="{00000000-0005-0000-0000-0000EE8C0000}"/>
    <cellStyle name="Normal 7 3 2 3 3 3" xfId="17796" xr:uid="{00000000-0005-0000-0000-0000EF8C0000}"/>
    <cellStyle name="Normal 7 3 2 3 3 3 2" xfId="40439" xr:uid="{00000000-0005-0000-0000-0000F08C0000}"/>
    <cellStyle name="Normal 7 3 2 3 3 4" xfId="10356" xr:uid="{00000000-0005-0000-0000-0000F18C0000}"/>
    <cellStyle name="Normal 7 3 2 3 3 4 2" xfId="32999" xr:uid="{00000000-0005-0000-0000-0000F28C0000}"/>
    <cellStyle name="Normal 7 3 2 3 3 5" xfId="25558" xr:uid="{00000000-0005-0000-0000-0000F38C0000}"/>
    <cellStyle name="Normal 7 3 2 3 4" xfId="4783" xr:uid="{00000000-0005-0000-0000-0000F48C0000}"/>
    <cellStyle name="Normal 7 3 2 3 4 2" xfId="19667" xr:uid="{00000000-0005-0000-0000-0000F58C0000}"/>
    <cellStyle name="Normal 7 3 2 3 4 2 2" xfId="42310" xr:uid="{00000000-0005-0000-0000-0000F68C0000}"/>
    <cellStyle name="Normal 7 3 2 3 4 3" xfId="12227" xr:uid="{00000000-0005-0000-0000-0000F78C0000}"/>
    <cellStyle name="Normal 7 3 2 3 4 3 2" xfId="34870" xr:uid="{00000000-0005-0000-0000-0000F88C0000}"/>
    <cellStyle name="Normal 7 3 2 3 4 4" xfId="27429" xr:uid="{00000000-0005-0000-0000-0000F98C0000}"/>
    <cellStyle name="Normal 7 3 2 3 5" xfId="15949" xr:uid="{00000000-0005-0000-0000-0000FA8C0000}"/>
    <cellStyle name="Normal 7 3 2 3 5 2" xfId="38592" xr:uid="{00000000-0005-0000-0000-0000FB8C0000}"/>
    <cellStyle name="Normal 7 3 2 3 6" xfId="8509" xr:uid="{00000000-0005-0000-0000-0000FC8C0000}"/>
    <cellStyle name="Normal 7 3 2 3 6 2" xfId="31152" xr:uid="{00000000-0005-0000-0000-0000FD8C0000}"/>
    <cellStyle name="Normal 7 3 2 3 7" xfId="23711" xr:uid="{00000000-0005-0000-0000-0000FE8C0000}"/>
    <cellStyle name="Normal 7 3 2 4" xfId="1522" xr:uid="{00000000-0005-0000-0000-0000FF8C0000}"/>
    <cellStyle name="Normal 7 3 2 4 2" xfId="3372" xr:uid="{00000000-0005-0000-0000-0000008D0000}"/>
    <cellStyle name="Normal 7 3 2 4 2 2" xfId="7093" xr:uid="{00000000-0005-0000-0000-0000018D0000}"/>
    <cellStyle name="Normal 7 3 2 4 2 2 2" xfId="21977" xr:uid="{00000000-0005-0000-0000-0000028D0000}"/>
    <cellStyle name="Normal 7 3 2 4 2 2 2 2" xfId="44620" xr:uid="{00000000-0005-0000-0000-0000038D0000}"/>
    <cellStyle name="Normal 7 3 2 4 2 2 3" xfId="14537" xr:uid="{00000000-0005-0000-0000-0000048D0000}"/>
    <cellStyle name="Normal 7 3 2 4 2 2 3 2" xfId="37180" xr:uid="{00000000-0005-0000-0000-0000058D0000}"/>
    <cellStyle name="Normal 7 3 2 4 2 2 4" xfId="29739" xr:uid="{00000000-0005-0000-0000-0000068D0000}"/>
    <cellStyle name="Normal 7 3 2 4 2 3" xfId="18259" xr:uid="{00000000-0005-0000-0000-0000078D0000}"/>
    <cellStyle name="Normal 7 3 2 4 2 3 2" xfId="40902" xr:uid="{00000000-0005-0000-0000-0000088D0000}"/>
    <cellStyle name="Normal 7 3 2 4 2 4" xfId="10819" xr:uid="{00000000-0005-0000-0000-0000098D0000}"/>
    <cellStyle name="Normal 7 3 2 4 2 4 2" xfId="33462" xr:uid="{00000000-0005-0000-0000-00000A8D0000}"/>
    <cellStyle name="Normal 7 3 2 4 2 5" xfId="26021" xr:uid="{00000000-0005-0000-0000-00000B8D0000}"/>
    <cellStyle name="Normal 7 3 2 4 3" xfId="5246" xr:uid="{00000000-0005-0000-0000-00000C8D0000}"/>
    <cellStyle name="Normal 7 3 2 4 3 2" xfId="20130" xr:uid="{00000000-0005-0000-0000-00000D8D0000}"/>
    <cellStyle name="Normal 7 3 2 4 3 2 2" xfId="42773" xr:uid="{00000000-0005-0000-0000-00000E8D0000}"/>
    <cellStyle name="Normal 7 3 2 4 3 3" xfId="12690" xr:uid="{00000000-0005-0000-0000-00000F8D0000}"/>
    <cellStyle name="Normal 7 3 2 4 3 3 2" xfId="35333" xr:uid="{00000000-0005-0000-0000-0000108D0000}"/>
    <cellStyle name="Normal 7 3 2 4 3 4" xfId="27892" xr:uid="{00000000-0005-0000-0000-0000118D0000}"/>
    <cellStyle name="Normal 7 3 2 4 4" xfId="16412" xr:uid="{00000000-0005-0000-0000-0000128D0000}"/>
    <cellStyle name="Normal 7 3 2 4 4 2" xfId="39055" xr:uid="{00000000-0005-0000-0000-0000138D0000}"/>
    <cellStyle name="Normal 7 3 2 4 5" xfId="8972" xr:uid="{00000000-0005-0000-0000-0000148D0000}"/>
    <cellStyle name="Normal 7 3 2 4 5 2" xfId="31615" xr:uid="{00000000-0005-0000-0000-0000158D0000}"/>
    <cellStyle name="Normal 7 3 2 4 6" xfId="24174" xr:uid="{00000000-0005-0000-0000-0000168D0000}"/>
    <cellStyle name="Normal 7 3 2 5" xfId="2447" xr:uid="{00000000-0005-0000-0000-0000178D0000}"/>
    <cellStyle name="Normal 7 3 2 5 2" xfId="6168" xr:uid="{00000000-0005-0000-0000-0000188D0000}"/>
    <cellStyle name="Normal 7 3 2 5 2 2" xfId="21052" xr:uid="{00000000-0005-0000-0000-0000198D0000}"/>
    <cellStyle name="Normal 7 3 2 5 2 2 2" xfId="43695" xr:uid="{00000000-0005-0000-0000-00001A8D0000}"/>
    <cellStyle name="Normal 7 3 2 5 2 3" xfId="13612" xr:uid="{00000000-0005-0000-0000-00001B8D0000}"/>
    <cellStyle name="Normal 7 3 2 5 2 3 2" xfId="36255" xr:uid="{00000000-0005-0000-0000-00001C8D0000}"/>
    <cellStyle name="Normal 7 3 2 5 2 4" xfId="28814" xr:uid="{00000000-0005-0000-0000-00001D8D0000}"/>
    <cellStyle name="Normal 7 3 2 5 3" xfId="17334" xr:uid="{00000000-0005-0000-0000-00001E8D0000}"/>
    <cellStyle name="Normal 7 3 2 5 3 2" xfId="39977" xr:uid="{00000000-0005-0000-0000-00001F8D0000}"/>
    <cellStyle name="Normal 7 3 2 5 4" xfId="9894" xr:uid="{00000000-0005-0000-0000-0000208D0000}"/>
    <cellStyle name="Normal 7 3 2 5 4 2" xfId="32537" xr:uid="{00000000-0005-0000-0000-0000218D0000}"/>
    <cellStyle name="Normal 7 3 2 5 5" xfId="25096" xr:uid="{00000000-0005-0000-0000-0000228D0000}"/>
    <cellStyle name="Normal 7 3 2 6" xfId="4321" xr:uid="{00000000-0005-0000-0000-0000238D0000}"/>
    <cellStyle name="Normal 7 3 2 6 2" xfId="19205" xr:uid="{00000000-0005-0000-0000-0000248D0000}"/>
    <cellStyle name="Normal 7 3 2 6 2 2" xfId="41848" xr:uid="{00000000-0005-0000-0000-0000258D0000}"/>
    <cellStyle name="Normal 7 3 2 6 3" xfId="11765" xr:uid="{00000000-0005-0000-0000-0000268D0000}"/>
    <cellStyle name="Normal 7 3 2 6 3 2" xfId="34408" xr:uid="{00000000-0005-0000-0000-0000278D0000}"/>
    <cellStyle name="Normal 7 3 2 6 4" xfId="26967" xr:uid="{00000000-0005-0000-0000-0000288D0000}"/>
    <cellStyle name="Normal 7 3 2 7" xfId="590" xr:uid="{00000000-0005-0000-0000-0000298D0000}"/>
    <cellStyle name="Normal 7 3 2 7 2" xfId="15487" xr:uid="{00000000-0005-0000-0000-00002A8D0000}"/>
    <cellStyle name="Normal 7 3 2 7 2 2" xfId="38130" xr:uid="{00000000-0005-0000-0000-00002B8D0000}"/>
    <cellStyle name="Normal 7 3 2 7 3" xfId="23250" xr:uid="{00000000-0005-0000-0000-00002C8D0000}"/>
    <cellStyle name="Normal 7 3 2 8" xfId="8047" xr:uid="{00000000-0005-0000-0000-00002D8D0000}"/>
    <cellStyle name="Normal 7 3 2 8 2" xfId="30690" xr:uid="{00000000-0005-0000-0000-00002E8D0000}"/>
    <cellStyle name="Normal 7 3 2 9" xfId="23023" xr:uid="{00000000-0005-0000-0000-00002F8D0000}"/>
    <cellStyle name="Normal 7 3 3" xfId="697" xr:uid="{00000000-0005-0000-0000-0000308D0000}"/>
    <cellStyle name="Normal 7 3 3 2" xfId="1162" xr:uid="{00000000-0005-0000-0000-0000318D0000}"/>
    <cellStyle name="Normal 7 3 3 2 2" xfId="2090" xr:uid="{00000000-0005-0000-0000-0000328D0000}"/>
    <cellStyle name="Normal 7 3 3 2 2 2" xfId="3940" xr:uid="{00000000-0005-0000-0000-0000338D0000}"/>
    <cellStyle name="Normal 7 3 3 2 2 2 2" xfId="7661" xr:uid="{00000000-0005-0000-0000-0000348D0000}"/>
    <cellStyle name="Normal 7 3 3 2 2 2 2 2" xfId="22545" xr:uid="{00000000-0005-0000-0000-0000358D0000}"/>
    <cellStyle name="Normal 7 3 3 2 2 2 2 2 2" xfId="45188" xr:uid="{00000000-0005-0000-0000-0000368D0000}"/>
    <cellStyle name="Normal 7 3 3 2 2 2 2 3" xfId="15105" xr:uid="{00000000-0005-0000-0000-0000378D0000}"/>
    <cellStyle name="Normal 7 3 3 2 2 2 2 3 2" xfId="37748" xr:uid="{00000000-0005-0000-0000-0000388D0000}"/>
    <cellStyle name="Normal 7 3 3 2 2 2 2 4" xfId="30307" xr:uid="{00000000-0005-0000-0000-0000398D0000}"/>
    <cellStyle name="Normal 7 3 3 2 2 2 3" xfId="18827" xr:uid="{00000000-0005-0000-0000-00003A8D0000}"/>
    <cellStyle name="Normal 7 3 3 2 2 2 3 2" xfId="41470" xr:uid="{00000000-0005-0000-0000-00003B8D0000}"/>
    <cellStyle name="Normal 7 3 3 2 2 2 4" xfId="11387" xr:uid="{00000000-0005-0000-0000-00003C8D0000}"/>
    <cellStyle name="Normal 7 3 3 2 2 2 4 2" xfId="34030" xr:uid="{00000000-0005-0000-0000-00003D8D0000}"/>
    <cellStyle name="Normal 7 3 3 2 2 2 5" xfId="26589" xr:uid="{00000000-0005-0000-0000-00003E8D0000}"/>
    <cellStyle name="Normal 7 3 3 2 2 3" xfId="5814" xr:uid="{00000000-0005-0000-0000-00003F8D0000}"/>
    <cellStyle name="Normal 7 3 3 2 2 3 2" xfId="20698" xr:uid="{00000000-0005-0000-0000-0000408D0000}"/>
    <cellStyle name="Normal 7 3 3 2 2 3 2 2" xfId="43341" xr:uid="{00000000-0005-0000-0000-0000418D0000}"/>
    <cellStyle name="Normal 7 3 3 2 2 3 3" xfId="13258" xr:uid="{00000000-0005-0000-0000-0000428D0000}"/>
    <cellStyle name="Normal 7 3 3 2 2 3 3 2" xfId="35901" xr:uid="{00000000-0005-0000-0000-0000438D0000}"/>
    <cellStyle name="Normal 7 3 3 2 2 3 4" xfId="28460" xr:uid="{00000000-0005-0000-0000-0000448D0000}"/>
    <cellStyle name="Normal 7 3 3 2 2 4" xfId="16980" xr:uid="{00000000-0005-0000-0000-0000458D0000}"/>
    <cellStyle name="Normal 7 3 3 2 2 4 2" xfId="39623" xr:uid="{00000000-0005-0000-0000-0000468D0000}"/>
    <cellStyle name="Normal 7 3 3 2 2 5" xfId="9540" xr:uid="{00000000-0005-0000-0000-0000478D0000}"/>
    <cellStyle name="Normal 7 3 3 2 2 5 2" xfId="32183" xr:uid="{00000000-0005-0000-0000-0000488D0000}"/>
    <cellStyle name="Normal 7 3 3 2 2 6" xfId="24742" xr:uid="{00000000-0005-0000-0000-0000498D0000}"/>
    <cellStyle name="Normal 7 3 3 2 3" xfId="3015" xr:uid="{00000000-0005-0000-0000-00004A8D0000}"/>
    <cellStyle name="Normal 7 3 3 2 3 2" xfId="6736" xr:uid="{00000000-0005-0000-0000-00004B8D0000}"/>
    <cellStyle name="Normal 7 3 3 2 3 2 2" xfId="21620" xr:uid="{00000000-0005-0000-0000-00004C8D0000}"/>
    <cellStyle name="Normal 7 3 3 2 3 2 2 2" xfId="44263" xr:uid="{00000000-0005-0000-0000-00004D8D0000}"/>
    <cellStyle name="Normal 7 3 3 2 3 2 3" xfId="14180" xr:uid="{00000000-0005-0000-0000-00004E8D0000}"/>
    <cellStyle name="Normal 7 3 3 2 3 2 3 2" xfId="36823" xr:uid="{00000000-0005-0000-0000-00004F8D0000}"/>
    <cellStyle name="Normal 7 3 3 2 3 2 4" xfId="29382" xr:uid="{00000000-0005-0000-0000-0000508D0000}"/>
    <cellStyle name="Normal 7 3 3 2 3 3" xfId="17902" xr:uid="{00000000-0005-0000-0000-0000518D0000}"/>
    <cellStyle name="Normal 7 3 3 2 3 3 2" xfId="40545" xr:uid="{00000000-0005-0000-0000-0000528D0000}"/>
    <cellStyle name="Normal 7 3 3 2 3 4" xfId="10462" xr:uid="{00000000-0005-0000-0000-0000538D0000}"/>
    <cellStyle name="Normal 7 3 3 2 3 4 2" xfId="33105" xr:uid="{00000000-0005-0000-0000-0000548D0000}"/>
    <cellStyle name="Normal 7 3 3 2 3 5" xfId="25664" xr:uid="{00000000-0005-0000-0000-0000558D0000}"/>
    <cellStyle name="Normal 7 3 3 2 4" xfId="4889" xr:uid="{00000000-0005-0000-0000-0000568D0000}"/>
    <cellStyle name="Normal 7 3 3 2 4 2" xfId="19773" xr:uid="{00000000-0005-0000-0000-0000578D0000}"/>
    <cellStyle name="Normal 7 3 3 2 4 2 2" xfId="42416" xr:uid="{00000000-0005-0000-0000-0000588D0000}"/>
    <cellStyle name="Normal 7 3 3 2 4 3" xfId="12333" xr:uid="{00000000-0005-0000-0000-0000598D0000}"/>
    <cellStyle name="Normal 7 3 3 2 4 3 2" xfId="34976" xr:uid="{00000000-0005-0000-0000-00005A8D0000}"/>
    <cellStyle name="Normal 7 3 3 2 4 4" xfId="27535" xr:uid="{00000000-0005-0000-0000-00005B8D0000}"/>
    <cellStyle name="Normal 7 3 3 2 5" xfId="16055" xr:uid="{00000000-0005-0000-0000-00005C8D0000}"/>
    <cellStyle name="Normal 7 3 3 2 5 2" xfId="38698" xr:uid="{00000000-0005-0000-0000-00005D8D0000}"/>
    <cellStyle name="Normal 7 3 3 2 6" xfId="8615" xr:uid="{00000000-0005-0000-0000-00005E8D0000}"/>
    <cellStyle name="Normal 7 3 3 2 6 2" xfId="31258" xr:uid="{00000000-0005-0000-0000-00005F8D0000}"/>
    <cellStyle name="Normal 7 3 3 2 7" xfId="23817" xr:uid="{00000000-0005-0000-0000-0000608D0000}"/>
    <cellStyle name="Normal 7 3 3 3" xfId="1628" xr:uid="{00000000-0005-0000-0000-0000618D0000}"/>
    <cellStyle name="Normal 7 3 3 3 2" xfId="3478" xr:uid="{00000000-0005-0000-0000-0000628D0000}"/>
    <cellStyle name="Normal 7 3 3 3 2 2" xfId="7199" xr:uid="{00000000-0005-0000-0000-0000638D0000}"/>
    <cellStyle name="Normal 7 3 3 3 2 2 2" xfId="22083" xr:uid="{00000000-0005-0000-0000-0000648D0000}"/>
    <cellStyle name="Normal 7 3 3 3 2 2 2 2" xfId="44726" xr:uid="{00000000-0005-0000-0000-0000658D0000}"/>
    <cellStyle name="Normal 7 3 3 3 2 2 3" xfId="14643" xr:uid="{00000000-0005-0000-0000-0000668D0000}"/>
    <cellStyle name="Normal 7 3 3 3 2 2 3 2" xfId="37286" xr:uid="{00000000-0005-0000-0000-0000678D0000}"/>
    <cellStyle name="Normal 7 3 3 3 2 2 4" xfId="29845" xr:uid="{00000000-0005-0000-0000-0000688D0000}"/>
    <cellStyle name="Normal 7 3 3 3 2 3" xfId="18365" xr:uid="{00000000-0005-0000-0000-0000698D0000}"/>
    <cellStyle name="Normal 7 3 3 3 2 3 2" xfId="41008" xr:uid="{00000000-0005-0000-0000-00006A8D0000}"/>
    <cellStyle name="Normal 7 3 3 3 2 4" xfId="10925" xr:uid="{00000000-0005-0000-0000-00006B8D0000}"/>
    <cellStyle name="Normal 7 3 3 3 2 4 2" xfId="33568" xr:uid="{00000000-0005-0000-0000-00006C8D0000}"/>
    <cellStyle name="Normal 7 3 3 3 2 5" xfId="26127" xr:uid="{00000000-0005-0000-0000-00006D8D0000}"/>
    <cellStyle name="Normal 7 3 3 3 3" xfId="5352" xr:uid="{00000000-0005-0000-0000-00006E8D0000}"/>
    <cellStyle name="Normal 7 3 3 3 3 2" xfId="20236" xr:uid="{00000000-0005-0000-0000-00006F8D0000}"/>
    <cellStyle name="Normal 7 3 3 3 3 2 2" xfId="42879" xr:uid="{00000000-0005-0000-0000-0000708D0000}"/>
    <cellStyle name="Normal 7 3 3 3 3 3" xfId="12796" xr:uid="{00000000-0005-0000-0000-0000718D0000}"/>
    <cellStyle name="Normal 7 3 3 3 3 3 2" xfId="35439" xr:uid="{00000000-0005-0000-0000-0000728D0000}"/>
    <cellStyle name="Normal 7 3 3 3 3 4" xfId="27998" xr:uid="{00000000-0005-0000-0000-0000738D0000}"/>
    <cellStyle name="Normal 7 3 3 3 4" xfId="16518" xr:uid="{00000000-0005-0000-0000-0000748D0000}"/>
    <cellStyle name="Normal 7 3 3 3 4 2" xfId="39161" xr:uid="{00000000-0005-0000-0000-0000758D0000}"/>
    <cellStyle name="Normal 7 3 3 3 5" xfId="9078" xr:uid="{00000000-0005-0000-0000-0000768D0000}"/>
    <cellStyle name="Normal 7 3 3 3 5 2" xfId="31721" xr:uid="{00000000-0005-0000-0000-0000778D0000}"/>
    <cellStyle name="Normal 7 3 3 3 6" xfId="24280" xr:uid="{00000000-0005-0000-0000-0000788D0000}"/>
    <cellStyle name="Normal 7 3 3 4" xfId="2553" xr:uid="{00000000-0005-0000-0000-0000798D0000}"/>
    <cellStyle name="Normal 7 3 3 4 2" xfId="6274" xr:uid="{00000000-0005-0000-0000-00007A8D0000}"/>
    <cellStyle name="Normal 7 3 3 4 2 2" xfId="21158" xr:uid="{00000000-0005-0000-0000-00007B8D0000}"/>
    <cellStyle name="Normal 7 3 3 4 2 2 2" xfId="43801" xr:uid="{00000000-0005-0000-0000-00007C8D0000}"/>
    <cellStyle name="Normal 7 3 3 4 2 3" xfId="13718" xr:uid="{00000000-0005-0000-0000-00007D8D0000}"/>
    <cellStyle name="Normal 7 3 3 4 2 3 2" xfId="36361" xr:uid="{00000000-0005-0000-0000-00007E8D0000}"/>
    <cellStyle name="Normal 7 3 3 4 2 4" xfId="28920" xr:uid="{00000000-0005-0000-0000-00007F8D0000}"/>
    <cellStyle name="Normal 7 3 3 4 3" xfId="17440" xr:uid="{00000000-0005-0000-0000-0000808D0000}"/>
    <cellStyle name="Normal 7 3 3 4 3 2" xfId="40083" xr:uid="{00000000-0005-0000-0000-0000818D0000}"/>
    <cellStyle name="Normal 7 3 3 4 4" xfId="10000" xr:uid="{00000000-0005-0000-0000-0000828D0000}"/>
    <cellStyle name="Normal 7 3 3 4 4 2" xfId="32643" xr:uid="{00000000-0005-0000-0000-0000838D0000}"/>
    <cellStyle name="Normal 7 3 3 4 5" xfId="25202" xr:uid="{00000000-0005-0000-0000-0000848D0000}"/>
    <cellStyle name="Normal 7 3 3 5" xfId="4427" xr:uid="{00000000-0005-0000-0000-0000858D0000}"/>
    <cellStyle name="Normal 7 3 3 5 2" xfId="19311" xr:uid="{00000000-0005-0000-0000-0000868D0000}"/>
    <cellStyle name="Normal 7 3 3 5 2 2" xfId="41954" xr:uid="{00000000-0005-0000-0000-0000878D0000}"/>
    <cellStyle name="Normal 7 3 3 5 3" xfId="11871" xr:uid="{00000000-0005-0000-0000-0000888D0000}"/>
    <cellStyle name="Normal 7 3 3 5 3 2" xfId="34514" xr:uid="{00000000-0005-0000-0000-0000898D0000}"/>
    <cellStyle name="Normal 7 3 3 5 4" xfId="27073" xr:uid="{00000000-0005-0000-0000-00008A8D0000}"/>
    <cellStyle name="Normal 7 3 3 6" xfId="15593" xr:uid="{00000000-0005-0000-0000-00008B8D0000}"/>
    <cellStyle name="Normal 7 3 3 6 2" xfId="38236" xr:uid="{00000000-0005-0000-0000-00008C8D0000}"/>
    <cellStyle name="Normal 7 3 3 7" xfId="8153" xr:uid="{00000000-0005-0000-0000-00008D8D0000}"/>
    <cellStyle name="Normal 7 3 3 7 2" xfId="30796" xr:uid="{00000000-0005-0000-0000-00008E8D0000}"/>
    <cellStyle name="Normal 7 3 3 8" xfId="23355" xr:uid="{00000000-0005-0000-0000-00008F8D0000}"/>
    <cellStyle name="Normal 7 3 4" xfId="951" xr:uid="{00000000-0005-0000-0000-0000908D0000}"/>
    <cellStyle name="Normal 7 3 4 2" xfId="1879" xr:uid="{00000000-0005-0000-0000-0000918D0000}"/>
    <cellStyle name="Normal 7 3 4 2 2" xfId="3729" xr:uid="{00000000-0005-0000-0000-0000928D0000}"/>
    <cellStyle name="Normal 7 3 4 2 2 2" xfId="7450" xr:uid="{00000000-0005-0000-0000-0000938D0000}"/>
    <cellStyle name="Normal 7 3 4 2 2 2 2" xfId="22334" xr:uid="{00000000-0005-0000-0000-0000948D0000}"/>
    <cellStyle name="Normal 7 3 4 2 2 2 2 2" xfId="44977" xr:uid="{00000000-0005-0000-0000-0000958D0000}"/>
    <cellStyle name="Normal 7 3 4 2 2 2 3" xfId="14894" xr:uid="{00000000-0005-0000-0000-0000968D0000}"/>
    <cellStyle name="Normal 7 3 4 2 2 2 3 2" xfId="37537" xr:uid="{00000000-0005-0000-0000-0000978D0000}"/>
    <cellStyle name="Normal 7 3 4 2 2 2 4" xfId="30096" xr:uid="{00000000-0005-0000-0000-0000988D0000}"/>
    <cellStyle name="Normal 7 3 4 2 2 3" xfId="18616" xr:uid="{00000000-0005-0000-0000-0000998D0000}"/>
    <cellStyle name="Normal 7 3 4 2 2 3 2" xfId="41259" xr:uid="{00000000-0005-0000-0000-00009A8D0000}"/>
    <cellStyle name="Normal 7 3 4 2 2 4" xfId="11176" xr:uid="{00000000-0005-0000-0000-00009B8D0000}"/>
    <cellStyle name="Normal 7 3 4 2 2 4 2" xfId="33819" xr:uid="{00000000-0005-0000-0000-00009C8D0000}"/>
    <cellStyle name="Normal 7 3 4 2 2 5" xfId="26378" xr:uid="{00000000-0005-0000-0000-00009D8D0000}"/>
    <cellStyle name="Normal 7 3 4 2 3" xfId="5603" xr:uid="{00000000-0005-0000-0000-00009E8D0000}"/>
    <cellStyle name="Normal 7 3 4 2 3 2" xfId="20487" xr:uid="{00000000-0005-0000-0000-00009F8D0000}"/>
    <cellStyle name="Normal 7 3 4 2 3 2 2" xfId="43130" xr:uid="{00000000-0005-0000-0000-0000A08D0000}"/>
    <cellStyle name="Normal 7 3 4 2 3 3" xfId="13047" xr:uid="{00000000-0005-0000-0000-0000A18D0000}"/>
    <cellStyle name="Normal 7 3 4 2 3 3 2" xfId="35690" xr:uid="{00000000-0005-0000-0000-0000A28D0000}"/>
    <cellStyle name="Normal 7 3 4 2 3 4" xfId="28249" xr:uid="{00000000-0005-0000-0000-0000A38D0000}"/>
    <cellStyle name="Normal 7 3 4 2 4" xfId="16769" xr:uid="{00000000-0005-0000-0000-0000A48D0000}"/>
    <cellStyle name="Normal 7 3 4 2 4 2" xfId="39412" xr:uid="{00000000-0005-0000-0000-0000A58D0000}"/>
    <cellStyle name="Normal 7 3 4 2 5" xfId="9329" xr:uid="{00000000-0005-0000-0000-0000A68D0000}"/>
    <cellStyle name="Normal 7 3 4 2 5 2" xfId="31972" xr:uid="{00000000-0005-0000-0000-0000A78D0000}"/>
    <cellStyle name="Normal 7 3 4 2 6" xfId="24531" xr:uid="{00000000-0005-0000-0000-0000A88D0000}"/>
    <cellStyle name="Normal 7 3 4 3" xfId="2804" xr:uid="{00000000-0005-0000-0000-0000A98D0000}"/>
    <cellStyle name="Normal 7 3 4 3 2" xfId="6525" xr:uid="{00000000-0005-0000-0000-0000AA8D0000}"/>
    <cellStyle name="Normal 7 3 4 3 2 2" xfId="21409" xr:uid="{00000000-0005-0000-0000-0000AB8D0000}"/>
    <cellStyle name="Normal 7 3 4 3 2 2 2" xfId="44052" xr:uid="{00000000-0005-0000-0000-0000AC8D0000}"/>
    <cellStyle name="Normal 7 3 4 3 2 3" xfId="13969" xr:uid="{00000000-0005-0000-0000-0000AD8D0000}"/>
    <cellStyle name="Normal 7 3 4 3 2 3 2" xfId="36612" xr:uid="{00000000-0005-0000-0000-0000AE8D0000}"/>
    <cellStyle name="Normal 7 3 4 3 2 4" xfId="29171" xr:uid="{00000000-0005-0000-0000-0000AF8D0000}"/>
    <cellStyle name="Normal 7 3 4 3 3" xfId="17691" xr:uid="{00000000-0005-0000-0000-0000B08D0000}"/>
    <cellStyle name="Normal 7 3 4 3 3 2" xfId="40334" xr:uid="{00000000-0005-0000-0000-0000B18D0000}"/>
    <cellStyle name="Normal 7 3 4 3 4" xfId="10251" xr:uid="{00000000-0005-0000-0000-0000B28D0000}"/>
    <cellStyle name="Normal 7 3 4 3 4 2" xfId="32894" xr:uid="{00000000-0005-0000-0000-0000B38D0000}"/>
    <cellStyle name="Normal 7 3 4 3 5" xfId="25453" xr:uid="{00000000-0005-0000-0000-0000B48D0000}"/>
    <cellStyle name="Normal 7 3 4 4" xfId="4678" xr:uid="{00000000-0005-0000-0000-0000B58D0000}"/>
    <cellStyle name="Normal 7 3 4 4 2" xfId="19562" xr:uid="{00000000-0005-0000-0000-0000B68D0000}"/>
    <cellStyle name="Normal 7 3 4 4 2 2" xfId="42205" xr:uid="{00000000-0005-0000-0000-0000B78D0000}"/>
    <cellStyle name="Normal 7 3 4 4 3" xfId="12122" xr:uid="{00000000-0005-0000-0000-0000B88D0000}"/>
    <cellStyle name="Normal 7 3 4 4 3 2" xfId="34765" xr:uid="{00000000-0005-0000-0000-0000B98D0000}"/>
    <cellStyle name="Normal 7 3 4 4 4" xfId="27324" xr:uid="{00000000-0005-0000-0000-0000BA8D0000}"/>
    <cellStyle name="Normal 7 3 4 5" xfId="15844" xr:uid="{00000000-0005-0000-0000-0000BB8D0000}"/>
    <cellStyle name="Normal 7 3 4 5 2" xfId="38487" xr:uid="{00000000-0005-0000-0000-0000BC8D0000}"/>
    <cellStyle name="Normal 7 3 4 6" xfId="8404" xr:uid="{00000000-0005-0000-0000-0000BD8D0000}"/>
    <cellStyle name="Normal 7 3 4 6 2" xfId="31047" xr:uid="{00000000-0005-0000-0000-0000BE8D0000}"/>
    <cellStyle name="Normal 7 3 4 7" xfId="23606" xr:uid="{00000000-0005-0000-0000-0000BF8D0000}"/>
    <cellStyle name="Normal 7 3 5" xfId="1417" xr:uid="{00000000-0005-0000-0000-0000C08D0000}"/>
    <cellStyle name="Normal 7 3 5 2" xfId="3267" xr:uid="{00000000-0005-0000-0000-0000C18D0000}"/>
    <cellStyle name="Normal 7 3 5 2 2" xfId="6988" xr:uid="{00000000-0005-0000-0000-0000C28D0000}"/>
    <cellStyle name="Normal 7 3 5 2 2 2" xfId="21872" xr:uid="{00000000-0005-0000-0000-0000C38D0000}"/>
    <cellStyle name="Normal 7 3 5 2 2 2 2" xfId="44515" xr:uid="{00000000-0005-0000-0000-0000C48D0000}"/>
    <cellStyle name="Normal 7 3 5 2 2 3" xfId="14432" xr:uid="{00000000-0005-0000-0000-0000C58D0000}"/>
    <cellStyle name="Normal 7 3 5 2 2 3 2" xfId="37075" xr:uid="{00000000-0005-0000-0000-0000C68D0000}"/>
    <cellStyle name="Normal 7 3 5 2 2 4" xfId="29634" xr:uid="{00000000-0005-0000-0000-0000C78D0000}"/>
    <cellStyle name="Normal 7 3 5 2 3" xfId="18154" xr:uid="{00000000-0005-0000-0000-0000C88D0000}"/>
    <cellStyle name="Normal 7 3 5 2 3 2" xfId="40797" xr:uid="{00000000-0005-0000-0000-0000C98D0000}"/>
    <cellStyle name="Normal 7 3 5 2 4" xfId="10714" xr:uid="{00000000-0005-0000-0000-0000CA8D0000}"/>
    <cellStyle name="Normal 7 3 5 2 4 2" xfId="33357" xr:uid="{00000000-0005-0000-0000-0000CB8D0000}"/>
    <cellStyle name="Normal 7 3 5 2 5" xfId="25916" xr:uid="{00000000-0005-0000-0000-0000CC8D0000}"/>
    <cellStyle name="Normal 7 3 5 3" xfId="5141" xr:uid="{00000000-0005-0000-0000-0000CD8D0000}"/>
    <cellStyle name="Normal 7 3 5 3 2" xfId="20025" xr:uid="{00000000-0005-0000-0000-0000CE8D0000}"/>
    <cellStyle name="Normal 7 3 5 3 2 2" xfId="42668" xr:uid="{00000000-0005-0000-0000-0000CF8D0000}"/>
    <cellStyle name="Normal 7 3 5 3 3" xfId="12585" xr:uid="{00000000-0005-0000-0000-0000D08D0000}"/>
    <cellStyle name="Normal 7 3 5 3 3 2" xfId="35228" xr:uid="{00000000-0005-0000-0000-0000D18D0000}"/>
    <cellStyle name="Normal 7 3 5 3 4" xfId="27787" xr:uid="{00000000-0005-0000-0000-0000D28D0000}"/>
    <cellStyle name="Normal 7 3 5 4" xfId="16307" xr:uid="{00000000-0005-0000-0000-0000D38D0000}"/>
    <cellStyle name="Normal 7 3 5 4 2" xfId="38950" xr:uid="{00000000-0005-0000-0000-0000D48D0000}"/>
    <cellStyle name="Normal 7 3 5 5" xfId="8867" xr:uid="{00000000-0005-0000-0000-0000D58D0000}"/>
    <cellStyle name="Normal 7 3 5 5 2" xfId="31510" xr:uid="{00000000-0005-0000-0000-0000D68D0000}"/>
    <cellStyle name="Normal 7 3 5 6" xfId="24069" xr:uid="{00000000-0005-0000-0000-0000D78D0000}"/>
    <cellStyle name="Normal 7 3 6" xfId="2342" xr:uid="{00000000-0005-0000-0000-0000D88D0000}"/>
    <cellStyle name="Normal 7 3 6 2" xfId="6063" xr:uid="{00000000-0005-0000-0000-0000D98D0000}"/>
    <cellStyle name="Normal 7 3 6 2 2" xfId="20947" xr:uid="{00000000-0005-0000-0000-0000DA8D0000}"/>
    <cellStyle name="Normal 7 3 6 2 2 2" xfId="43590" xr:uid="{00000000-0005-0000-0000-0000DB8D0000}"/>
    <cellStyle name="Normal 7 3 6 2 3" xfId="13507" xr:uid="{00000000-0005-0000-0000-0000DC8D0000}"/>
    <cellStyle name="Normal 7 3 6 2 3 2" xfId="36150" xr:uid="{00000000-0005-0000-0000-0000DD8D0000}"/>
    <cellStyle name="Normal 7 3 6 2 4" xfId="28709" xr:uid="{00000000-0005-0000-0000-0000DE8D0000}"/>
    <cellStyle name="Normal 7 3 6 3" xfId="17229" xr:uid="{00000000-0005-0000-0000-0000DF8D0000}"/>
    <cellStyle name="Normal 7 3 6 3 2" xfId="39872" xr:uid="{00000000-0005-0000-0000-0000E08D0000}"/>
    <cellStyle name="Normal 7 3 6 4" xfId="9789" xr:uid="{00000000-0005-0000-0000-0000E18D0000}"/>
    <cellStyle name="Normal 7 3 6 4 2" xfId="32432" xr:uid="{00000000-0005-0000-0000-0000E28D0000}"/>
    <cellStyle name="Normal 7 3 6 5" xfId="24991" xr:uid="{00000000-0005-0000-0000-0000E38D0000}"/>
    <cellStyle name="Normal 7 3 7" xfId="4216" xr:uid="{00000000-0005-0000-0000-0000E48D0000}"/>
    <cellStyle name="Normal 7 3 7 2" xfId="19100" xr:uid="{00000000-0005-0000-0000-0000E58D0000}"/>
    <cellStyle name="Normal 7 3 7 2 2" xfId="41743" xr:uid="{00000000-0005-0000-0000-0000E68D0000}"/>
    <cellStyle name="Normal 7 3 7 3" xfId="11660" xr:uid="{00000000-0005-0000-0000-0000E78D0000}"/>
    <cellStyle name="Normal 7 3 7 3 2" xfId="34303" xr:uid="{00000000-0005-0000-0000-0000E88D0000}"/>
    <cellStyle name="Normal 7 3 7 4" xfId="26862" xr:uid="{00000000-0005-0000-0000-0000E98D0000}"/>
    <cellStyle name="Normal 7 3 8" xfId="484" xr:uid="{00000000-0005-0000-0000-0000EA8D0000}"/>
    <cellStyle name="Normal 7 3 8 2" xfId="15382" xr:uid="{00000000-0005-0000-0000-0000EB8D0000}"/>
    <cellStyle name="Normal 7 3 8 2 2" xfId="38025" xr:uid="{00000000-0005-0000-0000-0000EC8D0000}"/>
    <cellStyle name="Normal 7 3 8 3" xfId="23145" xr:uid="{00000000-0005-0000-0000-0000ED8D0000}"/>
    <cellStyle name="Normal 7 3 9" xfId="7942" xr:uid="{00000000-0005-0000-0000-0000EE8D0000}"/>
    <cellStyle name="Normal 7 3 9 2" xfId="30585" xr:uid="{00000000-0005-0000-0000-0000EF8D0000}"/>
    <cellStyle name="Normal 7 4" xfId="246" xr:uid="{00000000-0005-0000-0000-0000F08D0000}"/>
    <cellStyle name="Normal 7 4 2" xfId="750" xr:uid="{00000000-0005-0000-0000-0000F18D0000}"/>
    <cellStyle name="Normal 7 4 2 2" xfId="1215" xr:uid="{00000000-0005-0000-0000-0000F28D0000}"/>
    <cellStyle name="Normal 7 4 2 2 2" xfId="2143" xr:uid="{00000000-0005-0000-0000-0000F38D0000}"/>
    <cellStyle name="Normal 7 4 2 2 2 2" xfId="3993" xr:uid="{00000000-0005-0000-0000-0000F48D0000}"/>
    <cellStyle name="Normal 7 4 2 2 2 2 2" xfId="7714" xr:uid="{00000000-0005-0000-0000-0000F58D0000}"/>
    <cellStyle name="Normal 7 4 2 2 2 2 2 2" xfId="22598" xr:uid="{00000000-0005-0000-0000-0000F68D0000}"/>
    <cellStyle name="Normal 7 4 2 2 2 2 2 2 2" xfId="45241" xr:uid="{00000000-0005-0000-0000-0000F78D0000}"/>
    <cellStyle name="Normal 7 4 2 2 2 2 2 3" xfId="15158" xr:uid="{00000000-0005-0000-0000-0000F88D0000}"/>
    <cellStyle name="Normal 7 4 2 2 2 2 2 3 2" xfId="37801" xr:uid="{00000000-0005-0000-0000-0000F98D0000}"/>
    <cellStyle name="Normal 7 4 2 2 2 2 2 4" xfId="30360" xr:uid="{00000000-0005-0000-0000-0000FA8D0000}"/>
    <cellStyle name="Normal 7 4 2 2 2 2 3" xfId="18880" xr:uid="{00000000-0005-0000-0000-0000FB8D0000}"/>
    <cellStyle name="Normal 7 4 2 2 2 2 3 2" xfId="41523" xr:uid="{00000000-0005-0000-0000-0000FC8D0000}"/>
    <cellStyle name="Normal 7 4 2 2 2 2 4" xfId="11440" xr:uid="{00000000-0005-0000-0000-0000FD8D0000}"/>
    <cellStyle name="Normal 7 4 2 2 2 2 4 2" xfId="34083" xr:uid="{00000000-0005-0000-0000-0000FE8D0000}"/>
    <cellStyle name="Normal 7 4 2 2 2 2 5" xfId="26642" xr:uid="{00000000-0005-0000-0000-0000FF8D0000}"/>
    <cellStyle name="Normal 7 4 2 2 2 3" xfId="5867" xr:uid="{00000000-0005-0000-0000-0000008E0000}"/>
    <cellStyle name="Normal 7 4 2 2 2 3 2" xfId="20751" xr:uid="{00000000-0005-0000-0000-0000018E0000}"/>
    <cellStyle name="Normal 7 4 2 2 2 3 2 2" xfId="43394" xr:uid="{00000000-0005-0000-0000-0000028E0000}"/>
    <cellStyle name="Normal 7 4 2 2 2 3 3" xfId="13311" xr:uid="{00000000-0005-0000-0000-0000038E0000}"/>
    <cellStyle name="Normal 7 4 2 2 2 3 3 2" xfId="35954" xr:uid="{00000000-0005-0000-0000-0000048E0000}"/>
    <cellStyle name="Normal 7 4 2 2 2 3 4" xfId="28513" xr:uid="{00000000-0005-0000-0000-0000058E0000}"/>
    <cellStyle name="Normal 7 4 2 2 2 4" xfId="17033" xr:uid="{00000000-0005-0000-0000-0000068E0000}"/>
    <cellStyle name="Normal 7 4 2 2 2 4 2" xfId="39676" xr:uid="{00000000-0005-0000-0000-0000078E0000}"/>
    <cellStyle name="Normal 7 4 2 2 2 5" xfId="9593" xr:uid="{00000000-0005-0000-0000-0000088E0000}"/>
    <cellStyle name="Normal 7 4 2 2 2 5 2" xfId="32236" xr:uid="{00000000-0005-0000-0000-0000098E0000}"/>
    <cellStyle name="Normal 7 4 2 2 2 6" xfId="24795" xr:uid="{00000000-0005-0000-0000-00000A8E0000}"/>
    <cellStyle name="Normal 7 4 2 2 3" xfId="3068" xr:uid="{00000000-0005-0000-0000-00000B8E0000}"/>
    <cellStyle name="Normal 7 4 2 2 3 2" xfId="6789" xr:uid="{00000000-0005-0000-0000-00000C8E0000}"/>
    <cellStyle name="Normal 7 4 2 2 3 2 2" xfId="21673" xr:uid="{00000000-0005-0000-0000-00000D8E0000}"/>
    <cellStyle name="Normal 7 4 2 2 3 2 2 2" xfId="44316" xr:uid="{00000000-0005-0000-0000-00000E8E0000}"/>
    <cellStyle name="Normal 7 4 2 2 3 2 3" xfId="14233" xr:uid="{00000000-0005-0000-0000-00000F8E0000}"/>
    <cellStyle name="Normal 7 4 2 2 3 2 3 2" xfId="36876" xr:uid="{00000000-0005-0000-0000-0000108E0000}"/>
    <cellStyle name="Normal 7 4 2 2 3 2 4" xfId="29435" xr:uid="{00000000-0005-0000-0000-0000118E0000}"/>
    <cellStyle name="Normal 7 4 2 2 3 3" xfId="17955" xr:uid="{00000000-0005-0000-0000-0000128E0000}"/>
    <cellStyle name="Normal 7 4 2 2 3 3 2" xfId="40598" xr:uid="{00000000-0005-0000-0000-0000138E0000}"/>
    <cellStyle name="Normal 7 4 2 2 3 4" xfId="10515" xr:uid="{00000000-0005-0000-0000-0000148E0000}"/>
    <cellStyle name="Normal 7 4 2 2 3 4 2" xfId="33158" xr:uid="{00000000-0005-0000-0000-0000158E0000}"/>
    <cellStyle name="Normal 7 4 2 2 3 5" xfId="25717" xr:uid="{00000000-0005-0000-0000-0000168E0000}"/>
    <cellStyle name="Normal 7 4 2 2 4" xfId="4942" xr:uid="{00000000-0005-0000-0000-0000178E0000}"/>
    <cellStyle name="Normal 7 4 2 2 4 2" xfId="19826" xr:uid="{00000000-0005-0000-0000-0000188E0000}"/>
    <cellStyle name="Normal 7 4 2 2 4 2 2" xfId="42469" xr:uid="{00000000-0005-0000-0000-0000198E0000}"/>
    <cellStyle name="Normal 7 4 2 2 4 3" xfId="12386" xr:uid="{00000000-0005-0000-0000-00001A8E0000}"/>
    <cellStyle name="Normal 7 4 2 2 4 3 2" xfId="35029" xr:uid="{00000000-0005-0000-0000-00001B8E0000}"/>
    <cellStyle name="Normal 7 4 2 2 4 4" xfId="27588" xr:uid="{00000000-0005-0000-0000-00001C8E0000}"/>
    <cellStyle name="Normal 7 4 2 2 5" xfId="16108" xr:uid="{00000000-0005-0000-0000-00001D8E0000}"/>
    <cellStyle name="Normal 7 4 2 2 5 2" xfId="38751" xr:uid="{00000000-0005-0000-0000-00001E8E0000}"/>
    <cellStyle name="Normal 7 4 2 2 6" xfId="8668" xr:uid="{00000000-0005-0000-0000-00001F8E0000}"/>
    <cellStyle name="Normal 7 4 2 2 6 2" xfId="31311" xr:uid="{00000000-0005-0000-0000-0000208E0000}"/>
    <cellStyle name="Normal 7 4 2 2 7" xfId="23870" xr:uid="{00000000-0005-0000-0000-0000218E0000}"/>
    <cellStyle name="Normal 7 4 2 3" xfId="1681" xr:uid="{00000000-0005-0000-0000-0000228E0000}"/>
    <cellStyle name="Normal 7 4 2 3 2" xfId="3531" xr:uid="{00000000-0005-0000-0000-0000238E0000}"/>
    <cellStyle name="Normal 7 4 2 3 2 2" xfId="7252" xr:uid="{00000000-0005-0000-0000-0000248E0000}"/>
    <cellStyle name="Normal 7 4 2 3 2 2 2" xfId="22136" xr:uid="{00000000-0005-0000-0000-0000258E0000}"/>
    <cellStyle name="Normal 7 4 2 3 2 2 2 2" xfId="44779" xr:uid="{00000000-0005-0000-0000-0000268E0000}"/>
    <cellStyle name="Normal 7 4 2 3 2 2 3" xfId="14696" xr:uid="{00000000-0005-0000-0000-0000278E0000}"/>
    <cellStyle name="Normal 7 4 2 3 2 2 3 2" xfId="37339" xr:uid="{00000000-0005-0000-0000-0000288E0000}"/>
    <cellStyle name="Normal 7 4 2 3 2 2 4" xfId="29898" xr:uid="{00000000-0005-0000-0000-0000298E0000}"/>
    <cellStyle name="Normal 7 4 2 3 2 3" xfId="18418" xr:uid="{00000000-0005-0000-0000-00002A8E0000}"/>
    <cellStyle name="Normal 7 4 2 3 2 3 2" xfId="41061" xr:uid="{00000000-0005-0000-0000-00002B8E0000}"/>
    <cellStyle name="Normal 7 4 2 3 2 4" xfId="10978" xr:uid="{00000000-0005-0000-0000-00002C8E0000}"/>
    <cellStyle name="Normal 7 4 2 3 2 4 2" xfId="33621" xr:uid="{00000000-0005-0000-0000-00002D8E0000}"/>
    <cellStyle name="Normal 7 4 2 3 2 5" xfId="26180" xr:uid="{00000000-0005-0000-0000-00002E8E0000}"/>
    <cellStyle name="Normal 7 4 2 3 3" xfId="5405" xr:uid="{00000000-0005-0000-0000-00002F8E0000}"/>
    <cellStyle name="Normal 7 4 2 3 3 2" xfId="20289" xr:uid="{00000000-0005-0000-0000-0000308E0000}"/>
    <cellStyle name="Normal 7 4 2 3 3 2 2" xfId="42932" xr:uid="{00000000-0005-0000-0000-0000318E0000}"/>
    <cellStyle name="Normal 7 4 2 3 3 3" xfId="12849" xr:uid="{00000000-0005-0000-0000-0000328E0000}"/>
    <cellStyle name="Normal 7 4 2 3 3 3 2" xfId="35492" xr:uid="{00000000-0005-0000-0000-0000338E0000}"/>
    <cellStyle name="Normal 7 4 2 3 3 4" xfId="28051" xr:uid="{00000000-0005-0000-0000-0000348E0000}"/>
    <cellStyle name="Normal 7 4 2 3 4" xfId="16571" xr:uid="{00000000-0005-0000-0000-0000358E0000}"/>
    <cellStyle name="Normal 7 4 2 3 4 2" xfId="39214" xr:uid="{00000000-0005-0000-0000-0000368E0000}"/>
    <cellStyle name="Normal 7 4 2 3 5" xfId="9131" xr:uid="{00000000-0005-0000-0000-0000378E0000}"/>
    <cellStyle name="Normal 7 4 2 3 5 2" xfId="31774" xr:uid="{00000000-0005-0000-0000-0000388E0000}"/>
    <cellStyle name="Normal 7 4 2 3 6" xfId="24333" xr:uid="{00000000-0005-0000-0000-0000398E0000}"/>
    <cellStyle name="Normal 7 4 2 4" xfId="2606" xr:uid="{00000000-0005-0000-0000-00003A8E0000}"/>
    <cellStyle name="Normal 7 4 2 4 2" xfId="6327" xr:uid="{00000000-0005-0000-0000-00003B8E0000}"/>
    <cellStyle name="Normal 7 4 2 4 2 2" xfId="21211" xr:uid="{00000000-0005-0000-0000-00003C8E0000}"/>
    <cellStyle name="Normal 7 4 2 4 2 2 2" xfId="43854" xr:uid="{00000000-0005-0000-0000-00003D8E0000}"/>
    <cellStyle name="Normal 7 4 2 4 2 3" xfId="13771" xr:uid="{00000000-0005-0000-0000-00003E8E0000}"/>
    <cellStyle name="Normal 7 4 2 4 2 3 2" xfId="36414" xr:uid="{00000000-0005-0000-0000-00003F8E0000}"/>
    <cellStyle name="Normal 7 4 2 4 2 4" xfId="28973" xr:uid="{00000000-0005-0000-0000-0000408E0000}"/>
    <cellStyle name="Normal 7 4 2 4 3" xfId="17493" xr:uid="{00000000-0005-0000-0000-0000418E0000}"/>
    <cellStyle name="Normal 7 4 2 4 3 2" xfId="40136" xr:uid="{00000000-0005-0000-0000-0000428E0000}"/>
    <cellStyle name="Normal 7 4 2 4 4" xfId="10053" xr:uid="{00000000-0005-0000-0000-0000438E0000}"/>
    <cellStyle name="Normal 7 4 2 4 4 2" xfId="32696" xr:uid="{00000000-0005-0000-0000-0000448E0000}"/>
    <cellStyle name="Normal 7 4 2 4 5" xfId="25255" xr:uid="{00000000-0005-0000-0000-0000458E0000}"/>
    <cellStyle name="Normal 7 4 2 5" xfId="4480" xr:uid="{00000000-0005-0000-0000-0000468E0000}"/>
    <cellStyle name="Normal 7 4 2 5 2" xfId="19364" xr:uid="{00000000-0005-0000-0000-0000478E0000}"/>
    <cellStyle name="Normal 7 4 2 5 2 2" xfId="42007" xr:uid="{00000000-0005-0000-0000-0000488E0000}"/>
    <cellStyle name="Normal 7 4 2 5 3" xfId="11924" xr:uid="{00000000-0005-0000-0000-0000498E0000}"/>
    <cellStyle name="Normal 7 4 2 5 3 2" xfId="34567" xr:uid="{00000000-0005-0000-0000-00004A8E0000}"/>
    <cellStyle name="Normal 7 4 2 5 4" xfId="27126" xr:uid="{00000000-0005-0000-0000-00004B8E0000}"/>
    <cellStyle name="Normal 7 4 2 6" xfId="15646" xr:uid="{00000000-0005-0000-0000-00004C8E0000}"/>
    <cellStyle name="Normal 7 4 2 6 2" xfId="38289" xr:uid="{00000000-0005-0000-0000-00004D8E0000}"/>
    <cellStyle name="Normal 7 4 2 7" xfId="8206" xr:uid="{00000000-0005-0000-0000-00004E8E0000}"/>
    <cellStyle name="Normal 7 4 2 7 2" xfId="30849" xr:uid="{00000000-0005-0000-0000-00004F8E0000}"/>
    <cellStyle name="Normal 7 4 2 8" xfId="23408" xr:uid="{00000000-0005-0000-0000-0000508E0000}"/>
    <cellStyle name="Normal 7 4 3" xfId="1004" xr:uid="{00000000-0005-0000-0000-0000518E0000}"/>
    <cellStyle name="Normal 7 4 3 2" xfId="1932" xr:uid="{00000000-0005-0000-0000-0000528E0000}"/>
    <cellStyle name="Normal 7 4 3 2 2" xfId="3782" xr:uid="{00000000-0005-0000-0000-0000538E0000}"/>
    <cellStyle name="Normal 7 4 3 2 2 2" xfId="7503" xr:uid="{00000000-0005-0000-0000-0000548E0000}"/>
    <cellStyle name="Normal 7 4 3 2 2 2 2" xfId="22387" xr:uid="{00000000-0005-0000-0000-0000558E0000}"/>
    <cellStyle name="Normal 7 4 3 2 2 2 2 2" xfId="45030" xr:uid="{00000000-0005-0000-0000-0000568E0000}"/>
    <cellStyle name="Normal 7 4 3 2 2 2 3" xfId="14947" xr:uid="{00000000-0005-0000-0000-0000578E0000}"/>
    <cellStyle name="Normal 7 4 3 2 2 2 3 2" xfId="37590" xr:uid="{00000000-0005-0000-0000-0000588E0000}"/>
    <cellStyle name="Normal 7 4 3 2 2 2 4" xfId="30149" xr:uid="{00000000-0005-0000-0000-0000598E0000}"/>
    <cellStyle name="Normal 7 4 3 2 2 3" xfId="18669" xr:uid="{00000000-0005-0000-0000-00005A8E0000}"/>
    <cellStyle name="Normal 7 4 3 2 2 3 2" xfId="41312" xr:uid="{00000000-0005-0000-0000-00005B8E0000}"/>
    <cellStyle name="Normal 7 4 3 2 2 4" xfId="11229" xr:uid="{00000000-0005-0000-0000-00005C8E0000}"/>
    <cellStyle name="Normal 7 4 3 2 2 4 2" xfId="33872" xr:uid="{00000000-0005-0000-0000-00005D8E0000}"/>
    <cellStyle name="Normal 7 4 3 2 2 5" xfId="26431" xr:uid="{00000000-0005-0000-0000-00005E8E0000}"/>
    <cellStyle name="Normal 7 4 3 2 3" xfId="5656" xr:uid="{00000000-0005-0000-0000-00005F8E0000}"/>
    <cellStyle name="Normal 7 4 3 2 3 2" xfId="20540" xr:uid="{00000000-0005-0000-0000-0000608E0000}"/>
    <cellStyle name="Normal 7 4 3 2 3 2 2" xfId="43183" xr:uid="{00000000-0005-0000-0000-0000618E0000}"/>
    <cellStyle name="Normal 7 4 3 2 3 3" xfId="13100" xr:uid="{00000000-0005-0000-0000-0000628E0000}"/>
    <cellStyle name="Normal 7 4 3 2 3 3 2" xfId="35743" xr:uid="{00000000-0005-0000-0000-0000638E0000}"/>
    <cellStyle name="Normal 7 4 3 2 3 4" xfId="28302" xr:uid="{00000000-0005-0000-0000-0000648E0000}"/>
    <cellStyle name="Normal 7 4 3 2 4" xfId="16822" xr:uid="{00000000-0005-0000-0000-0000658E0000}"/>
    <cellStyle name="Normal 7 4 3 2 4 2" xfId="39465" xr:uid="{00000000-0005-0000-0000-0000668E0000}"/>
    <cellStyle name="Normal 7 4 3 2 5" xfId="9382" xr:uid="{00000000-0005-0000-0000-0000678E0000}"/>
    <cellStyle name="Normal 7 4 3 2 5 2" xfId="32025" xr:uid="{00000000-0005-0000-0000-0000688E0000}"/>
    <cellStyle name="Normal 7 4 3 2 6" xfId="24584" xr:uid="{00000000-0005-0000-0000-0000698E0000}"/>
    <cellStyle name="Normal 7 4 3 3" xfId="2857" xr:uid="{00000000-0005-0000-0000-00006A8E0000}"/>
    <cellStyle name="Normal 7 4 3 3 2" xfId="6578" xr:uid="{00000000-0005-0000-0000-00006B8E0000}"/>
    <cellStyle name="Normal 7 4 3 3 2 2" xfId="21462" xr:uid="{00000000-0005-0000-0000-00006C8E0000}"/>
    <cellStyle name="Normal 7 4 3 3 2 2 2" xfId="44105" xr:uid="{00000000-0005-0000-0000-00006D8E0000}"/>
    <cellStyle name="Normal 7 4 3 3 2 3" xfId="14022" xr:uid="{00000000-0005-0000-0000-00006E8E0000}"/>
    <cellStyle name="Normal 7 4 3 3 2 3 2" xfId="36665" xr:uid="{00000000-0005-0000-0000-00006F8E0000}"/>
    <cellStyle name="Normal 7 4 3 3 2 4" xfId="29224" xr:uid="{00000000-0005-0000-0000-0000708E0000}"/>
    <cellStyle name="Normal 7 4 3 3 3" xfId="17744" xr:uid="{00000000-0005-0000-0000-0000718E0000}"/>
    <cellStyle name="Normal 7 4 3 3 3 2" xfId="40387" xr:uid="{00000000-0005-0000-0000-0000728E0000}"/>
    <cellStyle name="Normal 7 4 3 3 4" xfId="10304" xr:uid="{00000000-0005-0000-0000-0000738E0000}"/>
    <cellStyle name="Normal 7 4 3 3 4 2" xfId="32947" xr:uid="{00000000-0005-0000-0000-0000748E0000}"/>
    <cellStyle name="Normal 7 4 3 3 5" xfId="25506" xr:uid="{00000000-0005-0000-0000-0000758E0000}"/>
    <cellStyle name="Normal 7 4 3 4" xfId="4731" xr:uid="{00000000-0005-0000-0000-0000768E0000}"/>
    <cellStyle name="Normal 7 4 3 4 2" xfId="19615" xr:uid="{00000000-0005-0000-0000-0000778E0000}"/>
    <cellStyle name="Normal 7 4 3 4 2 2" xfId="42258" xr:uid="{00000000-0005-0000-0000-0000788E0000}"/>
    <cellStyle name="Normal 7 4 3 4 3" xfId="12175" xr:uid="{00000000-0005-0000-0000-0000798E0000}"/>
    <cellStyle name="Normal 7 4 3 4 3 2" xfId="34818" xr:uid="{00000000-0005-0000-0000-00007A8E0000}"/>
    <cellStyle name="Normal 7 4 3 4 4" xfId="27377" xr:uid="{00000000-0005-0000-0000-00007B8E0000}"/>
    <cellStyle name="Normal 7 4 3 5" xfId="15897" xr:uid="{00000000-0005-0000-0000-00007C8E0000}"/>
    <cellStyle name="Normal 7 4 3 5 2" xfId="38540" xr:uid="{00000000-0005-0000-0000-00007D8E0000}"/>
    <cellStyle name="Normal 7 4 3 6" xfId="8457" xr:uid="{00000000-0005-0000-0000-00007E8E0000}"/>
    <cellStyle name="Normal 7 4 3 6 2" xfId="31100" xr:uid="{00000000-0005-0000-0000-00007F8E0000}"/>
    <cellStyle name="Normal 7 4 3 7" xfId="23659" xr:uid="{00000000-0005-0000-0000-0000808E0000}"/>
    <cellStyle name="Normal 7 4 4" xfId="1470" xr:uid="{00000000-0005-0000-0000-0000818E0000}"/>
    <cellStyle name="Normal 7 4 4 2" xfId="3320" xr:uid="{00000000-0005-0000-0000-0000828E0000}"/>
    <cellStyle name="Normal 7 4 4 2 2" xfId="7041" xr:uid="{00000000-0005-0000-0000-0000838E0000}"/>
    <cellStyle name="Normal 7 4 4 2 2 2" xfId="21925" xr:uid="{00000000-0005-0000-0000-0000848E0000}"/>
    <cellStyle name="Normal 7 4 4 2 2 2 2" xfId="44568" xr:uid="{00000000-0005-0000-0000-0000858E0000}"/>
    <cellStyle name="Normal 7 4 4 2 2 3" xfId="14485" xr:uid="{00000000-0005-0000-0000-0000868E0000}"/>
    <cellStyle name="Normal 7 4 4 2 2 3 2" xfId="37128" xr:uid="{00000000-0005-0000-0000-0000878E0000}"/>
    <cellStyle name="Normal 7 4 4 2 2 4" xfId="29687" xr:uid="{00000000-0005-0000-0000-0000888E0000}"/>
    <cellStyle name="Normal 7 4 4 2 3" xfId="18207" xr:uid="{00000000-0005-0000-0000-0000898E0000}"/>
    <cellStyle name="Normal 7 4 4 2 3 2" xfId="40850" xr:uid="{00000000-0005-0000-0000-00008A8E0000}"/>
    <cellStyle name="Normal 7 4 4 2 4" xfId="10767" xr:uid="{00000000-0005-0000-0000-00008B8E0000}"/>
    <cellStyle name="Normal 7 4 4 2 4 2" xfId="33410" xr:uid="{00000000-0005-0000-0000-00008C8E0000}"/>
    <cellStyle name="Normal 7 4 4 2 5" xfId="25969" xr:uid="{00000000-0005-0000-0000-00008D8E0000}"/>
    <cellStyle name="Normal 7 4 4 3" xfId="5194" xr:uid="{00000000-0005-0000-0000-00008E8E0000}"/>
    <cellStyle name="Normal 7 4 4 3 2" xfId="20078" xr:uid="{00000000-0005-0000-0000-00008F8E0000}"/>
    <cellStyle name="Normal 7 4 4 3 2 2" xfId="42721" xr:uid="{00000000-0005-0000-0000-0000908E0000}"/>
    <cellStyle name="Normal 7 4 4 3 3" xfId="12638" xr:uid="{00000000-0005-0000-0000-0000918E0000}"/>
    <cellStyle name="Normal 7 4 4 3 3 2" xfId="35281" xr:uid="{00000000-0005-0000-0000-0000928E0000}"/>
    <cellStyle name="Normal 7 4 4 3 4" xfId="27840" xr:uid="{00000000-0005-0000-0000-0000938E0000}"/>
    <cellStyle name="Normal 7 4 4 4" xfId="16360" xr:uid="{00000000-0005-0000-0000-0000948E0000}"/>
    <cellStyle name="Normal 7 4 4 4 2" xfId="39003" xr:uid="{00000000-0005-0000-0000-0000958E0000}"/>
    <cellStyle name="Normal 7 4 4 5" xfId="8920" xr:uid="{00000000-0005-0000-0000-0000968E0000}"/>
    <cellStyle name="Normal 7 4 4 5 2" xfId="31563" xr:uid="{00000000-0005-0000-0000-0000978E0000}"/>
    <cellStyle name="Normal 7 4 4 6" xfId="24122" xr:uid="{00000000-0005-0000-0000-0000988E0000}"/>
    <cellStyle name="Normal 7 4 5" xfId="2395" xr:uid="{00000000-0005-0000-0000-0000998E0000}"/>
    <cellStyle name="Normal 7 4 5 2" xfId="6116" xr:uid="{00000000-0005-0000-0000-00009A8E0000}"/>
    <cellStyle name="Normal 7 4 5 2 2" xfId="21000" xr:uid="{00000000-0005-0000-0000-00009B8E0000}"/>
    <cellStyle name="Normal 7 4 5 2 2 2" xfId="43643" xr:uid="{00000000-0005-0000-0000-00009C8E0000}"/>
    <cellStyle name="Normal 7 4 5 2 3" xfId="13560" xr:uid="{00000000-0005-0000-0000-00009D8E0000}"/>
    <cellStyle name="Normal 7 4 5 2 3 2" xfId="36203" xr:uid="{00000000-0005-0000-0000-00009E8E0000}"/>
    <cellStyle name="Normal 7 4 5 2 4" xfId="28762" xr:uid="{00000000-0005-0000-0000-00009F8E0000}"/>
    <cellStyle name="Normal 7 4 5 3" xfId="17282" xr:uid="{00000000-0005-0000-0000-0000A08E0000}"/>
    <cellStyle name="Normal 7 4 5 3 2" xfId="39925" xr:uid="{00000000-0005-0000-0000-0000A18E0000}"/>
    <cellStyle name="Normal 7 4 5 4" xfId="9842" xr:uid="{00000000-0005-0000-0000-0000A28E0000}"/>
    <cellStyle name="Normal 7 4 5 4 2" xfId="32485" xr:uid="{00000000-0005-0000-0000-0000A38E0000}"/>
    <cellStyle name="Normal 7 4 5 5" xfId="25044" xr:uid="{00000000-0005-0000-0000-0000A48E0000}"/>
    <cellStyle name="Normal 7 4 6" xfId="4269" xr:uid="{00000000-0005-0000-0000-0000A58E0000}"/>
    <cellStyle name="Normal 7 4 6 2" xfId="19153" xr:uid="{00000000-0005-0000-0000-0000A68E0000}"/>
    <cellStyle name="Normal 7 4 6 2 2" xfId="41796" xr:uid="{00000000-0005-0000-0000-0000A78E0000}"/>
    <cellStyle name="Normal 7 4 6 3" xfId="11713" xr:uid="{00000000-0005-0000-0000-0000A88E0000}"/>
    <cellStyle name="Normal 7 4 6 3 2" xfId="34356" xr:uid="{00000000-0005-0000-0000-0000A98E0000}"/>
    <cellStyle name="Normal 7 4 6 4" xfId="26915" xr:uid="{00000000-0005-0000-0000-0000AA8E0000}"/>
    <cellStyle name="Normal 7 4 7" xfId="538" xr:uid="{00000000-0005-0000-0000-0000AB8E0000}"/>
    <cellStyle name="Normal 7 4 7 2" xfId="15435" xr:uid="{00000000-0005-0000-0000-0000AC8E0000}"/>
    <cellStyle name="Normal 7 4 7 2 2" xfId="38078" xr:uid="{00000000-0005-0000-0000-0000AD8E0000}"/>
    <cellStyle name="Normal 7 4 7 3" xfId="23198" xr:uid="{00000000-0005-0000-0000-0000AE8E0000}"/>
    <cellStyle name="Normal 7 4 8" xfId="7995" xr:uid="{00000000-0005-0000-0000-0000AF8E0000}"/>
    <cellStyle name="Normal 7 4 8 2" xfId="30638" xr:uid="{00000000-0005-0000-0000-0000B08E0000}"/>
    <cellStyle name="Normal 7 4 9" xfId="22945" xr:uid="{00000000-0005-0000-0000-0000B18E0000}"/>
    <cellStyle name="Normal 7 5" xfId="645" xr:uid="{00000000-0005-0000-0000-0000B28E0000}"/>
    <cellStyle name="Normal 7 5 2" xfId="1110" xr:uid="{00000000-0005-0000-0000-0000B38E0000}"/>
    <cellStyle name="Normal 7 5 2 2" xfId="2038" xr:uid="{00000000-0005-0000-0000-0000B48E0000}"/>
    <cellStyle name="Normal 7 5 2 2 2" xfId="3888" xr:uid="{00000000-0005-0000-0000-0000B58E0000}"/>
    <cellStyle name="Normal 7 5 2 2 2 2" xfId="7609" xr:uid="{00000000-0005-0000-0000-0000B68E0000}"/>
    <cellStyle name="Normal 7 5 2 2 2 2 2" xfId="22493" xr:uid="{00000000-0005-0000-0000-0000B78E0000}"/>
    <cellStyle name="Normal 7 5 2 2 2 2 2 2" xfId="45136" xr:uid="{00000000-0005-0000-0000-0000B88E0000}"/>
    <cellStyle name="Normal 7 5 2 2 2 2 3" xfId="15053" xr:uid="{00000000-0005-0000-0000-0000B98E0000}"/>
    <cellStyle name="Normal 7 5 2 2 2 2 3 2" xfId="37696" xr:uid="{00000000-0005-0000-0000-0000BA8E0000}"/>
    <cellStyle name="Normal 7 5 2 2 2 2 4" xfId="30255" xr:uid="{00000000-0005-0000-0000-0000BB8E0000}"/>
    <cellStyle name="Normal 7 5 2 2 2 3" xfId="18775" xr:uid="{00000000-0005-0000-0000-0000BC8E0000}"/>
    <cellStyle name="Normal 7 5 2 2 2 3 2" xfId="41418" xr:uid="{00000000-0005-0000-0000-0000BD8E0000}"/>
    <cellStyle name="Normal 7 5 2 2 2 4" xfId="11335" xr:uid="{00000000-0005-0000-0000-0000BE8E0000}"/>
    <cellStyle name="Normal 7 5 2 2 2 4 2" xfId="33978" xr:uid="{00000000-0005-0000-0000-0000BF8E0000}"/>
    <cellStyle name="Normal 7 5 2 2 2 5" xfId="26537" xr:uid="{00000000-0005-0000-0000-0000C08E0000}"/>
    <cellStyle name="Normal 7 5 2 2 3" xfId="5762" xr:uid="{00000000-0005-0000-0000-0000C18E0000}"/>
    <cellStyle name="Normal 7 5 2 2 3 2" xfId="20646" xr:uid="{00000000-0005-0000-0000-0000C28E0000}"/>
    <cellStyle name="Normal 7 5 2 2 3 2 2" xfId="43289" xr:uid="{00000000-0005-0000-0000-0000C38E0000}"/>
    <cellStyle name="Normal 7 5 2 2 3 3" xfId="13206" xr:uid="{00000000-0005-0000-0000-0000C48E0000}"/>
    <cellStyle name="Normal 7 5 2 2 3 3 2" xfId="35849" xr:uid="{00000000-0005-0000-0000-0000C58E0000}"/>
    <cellStyle name="Normal 7 5 2 2 3 4" xfId="28408" xr:uid="{00000000-0005-0000-0000-0000C68E0000}"/>
    <cellStyle name="Normal 7 5 2 2 4" xfId="16928" xr:uid="{00000000-0005-0000-0000-0000C78E0000}"/>
    <cellStyle name="Normal 7 5 2 2 4 2" xfId="39571" xr:uid="{00000000-0005-0000-0000-0000C88E0000}"/>
    <cellStyle name="Normal 7 5 2 2 5" xfId="9488" xr:uid="{00000000-0005-0000-0000-0000C98E0000}"/>
    <cellStyle name="Normal 7 5 2 2 5 2" xfId="32131" xr:uid="{00000000-0005-0000-0000-0000CA8E0000}"/>
    <cellStyle name="Normal 7 5 2 2 6" xfId="24690" xr:uid="{00000000-0005-0000-0000-0000CB8E0000}"/>
    <cellStyle name="Normal 7 5 2 3" xfId="2963" xr:uid="{00000000-0005-0000-0000-0000CC8E0000}"/>
    <cellStyle name="Normal 7 5 2 3 2" xfId="6684" xr:uid="{00000000-0005-0000-0000-0000CD8E0000}"/>
    <cellStyle name="Normal 7 5 2 3 2 2" xfId="21568" xr:uid="{00000000-0005-0000-0000-0000CE8E0000}"/>
    <cellStyle name="Normal 7 5 2 3 2 2 2" xfId="44211" xr:uid="{00000000-0005-0000-0000-0000CF8E0000}"/>
    <cellStyle name="Normal 7 5 2 3 2 3" xfId="14128" xr:uid="{00000000-0005-0000-0000-0000D08E0000}"/>
    <cellStyle name="Normal 7 5 2 3 2 3 2" xfId="36771" xr:uid="{00000000-0005-0000-0000-0000D18E0000}"/>
    <cellStyle name="Normal 7 5 2 3 2 4" xfId="29330" xr:uid="{00000000-0005-0000-0000-0000D28E0000}"/>
    <cellStyle name="Normal 7 5 2 3 3" xfId="17850" xr:uid="{00000000-0005-0000-0000-0000D38E0000}"/>
    <cellStyle name="Normal 7 5 2 3 3 2" xfId="40493" xr:uid="{00000000-0005-0000-0000-0000D48E0000}"/>
    <cellStyle name="Normal 7 5 2 3 4" xfId="10410" xr:uid="{00000000-0005-0000-0000-0000D58E0000}"/>
    <cellStyle name="Normal 7 5 2 3 4 2" xfId="33053" xr:uid="{00000000-0005-0000-0000-0000D68E0000}"/>
    <cellStyle name="Normal 7 5 2 3 5" xfId="25612" xr:uid="{00000000-0005-0000-0000-0000D78E0000}"/>
    <cellStyle name="Normal 7 5 2 4" xfId="4837" xr:uid="{00000000-0005-0000-0000-0000D88E0000}"/>
    <cellStyle name="Normal 7 5 2 4 2" xfId="19721" xr:uid="{00000000-0005-0000-0000-0000D98E0000}"/>
    <cellStyle name="Normal 7 5 2 4 2 2" xfId="42364" xr:uid="{00000000-0005-0000-0000-0000DA8E0000}"/>
    <cellStyle name="Normal 7 5 2 4 3" xfId="12281" xr:uid="{00000000-0005-0000-0000-0000DB8E0000}"/>
    <cellStyle name="Normal 7 5 2 4 3 2" xfId="34924" xr:uid="{00000000-0005-0000-0000-0000DC8E0000}"/>
    <cellStyle name="Normal 7 5 2 4 4" xfId="27483" xr:uid="{00000000-0005-0000-0000-0000DD8E0000}"/>
    <cellStyle name="Normal 7 5 2 5" xfId="16003" xr:uid="{00000000-0005-0000-0000-0000DE8E0000}"/>
    <cellStyle name="Normal 7 5 2 5 2" xfId="38646" xr:uid="{00000000-0005-0000-0000-0000DF8E0000}"/>
    <cellStyle name="Normal 7 5 2 6" xfId="8563" xr:uid="{00000000-0005-0000-0000-0000E08E0000}"/>
    <cellStyle name="Normal 7 5 2 6 2" xfId="31206" xr:uid="{00000000-0005-0000-0000-0000E18E0000}"/>
    <cellStyle name="Normal 7 5 2 7" xfId="23765" xr:uid="{00000000-0005-0000-0000-0000E28E0000}"/>
    <cellStyle name="Normal 7 5 3" xfId="1576" xr:uid="{00000000-0005-0000-0000-0000E38E0000}"/>
    <cellStyle name="Normal 7 5 3 2" xfId="3426" xr:uid="{00000000-0005-0000-0000-0000E48E0000}"/>
    <cellStyle name="Normal 7 5 3 2 2" xfId="7147" xr:uid="{00000000-0005-0000-0000-0000E58E0000}"/>
    <cellStyle name="Normal 7 5 3 2 2 2" xfId="22031" xr:uid="{00000000-0005-0000-0000-0000E68E0000}"/>
    <cellStyle name="Normal 7 5 3 2 2 2 2" xfId="44674" xr:uid="{00000000-0005-0000-0000-0000E78E0000}"/>
    <cellStyle name="Normal 7 5 3 2 2 3" xfId="14591" xr:uid="{00000000-0005-0000-0000-0000E88E0000}"/>
    <cellStyle name="Normal 7 5 3 2 2 3 2" xfId="37234" xr:uid="{00000000-0005-0000-0000-0000E98E0000}"/>
    <cellStyle name="Normal 7 5 3 2 2 4" xfId="29793" xr:uid="{00000000-0005-0000-0000-0000EA8E0000}"/>
    <cellStyle name="Normal 7 5 3 2 3" xfId="18313" xr:uid="{00000000-0005-0000-0000-0000EB8E0000}"/>
    <cellStyle name="Normal 7 5 3 2 3 2" xfId="40956" xr:uid="{00000000-0005-0000-0000-0000EC8E0000}"/>
    <cellStyle name="Normal 7 5 3 2 4" xfId="10873" xr:uid="{00000000-0005-0000-0000-0000ED8E0000}"/>
    <cellStyle name="Normal 7 5 3 2 4 2" xfId="33516" xr:uid="{00000000-0005-0000-0000-0000EE8E0000}"/>
    <cellStyle name="Normal 7 5 3 2 5" xfId="26075" xr:uid="{00000000-0005-0000-0000-0000EF8E0000}"/>
    <cellStyle name="Normal 7 5 3 3" xfId="5300" xr:uid="{00000000-0005-0000-0000-0000F08E0000}"/>
    <cellStyle name="Normal 7 5 3 3 2" xfId="20184" xr:uid="{00000000-0005-0000-0000-0000F18E0000}"/>
    <cellStyle name="Normal 7 5 3 3 2 2" xfId="42827" xr:uid="{00000000-0005-0000-0000-0000F28E0000}"/>
    <cellStyle name="Normal 7 5 3 3 3" xfId="12744" xr:uid="{00000000-0005-0000-0000-0000F38E0000}"/>
    <cellStyle name="Normal 7 5 3 3 3 2" xfId="35387" xr:uid="{00000000-0005-0000-0000-0000F48E0000}"/>
    <cellStyle name="Normal 7 5 3 3 4" xfId="27946" xr:uid="{00000000-0005-0000-0000-0000F58E0000}"/>
    <cellStyle name="Normal 7 5 3 4" xfId="16466" xr:uid="{00000000-0005-0000-0000-0000F68E0000}"/>
    <cellStyle name="Normal 7 5 3 4 2" xfId="39109" xr:uid="{00000000-0005-0000-0000-0000F78E0000}"/>
    <cellStyle name="Normal 7 5 3 5" xfId="9026" xr:uid="{00000000-0005-0000-0000-0000F88E0000}"/>
    <cellStyle name="Normal 7 5 3 5 2" xfId="31669" xr:uid="{00000000-0005-0000-0000-0000F98E0000}"/>
    <cellStyle name="Normal 7 5 3 6" xfId="24228" xr:uid="{00000000-0005-0000-0000-0000FA8E0000}"/>
    <cellStyle name="Normal 7 5 4" xfId="2501" xr:uid="{00000000-0005-0000-0000-0000FB8E0000}"/>
    <cellStyle name="Normal 7 5 4 2" xfId="6222" xr:uid="{00000000-0005-0000-0000-0000FC8E0000}"/>
    <cellStyle name="Normal 7 5 4 2 2" xfId="21106" xr:uid="{00000000-0005-0000-0000-0000FD8E0000}"/>
    <cellStyle name="Normal 7 5 4 2 2 2" xfId="43749" xr:uid="{00000000-0005-0000-0000-0000FE8E0000}"/>
    <cellStyle name="Normal 7 5 4 2 3" xfId="13666" xr:uid="{00000000-0005-0000-0000-0000FF8E0000}"/>
    <cellStyle name="Normal 7 5 4 2 3 2" xfId="36309" xr:uid="{00000000-0005-0000-0000-0000008F0000}"/>
    <cellStyle name="Normal 7 5 4 2 4" xfId="28868" xr:uid="{00000000-0005-0000-0000-0000018F0000}"/>
    <cellStyle name="Normal 7 5 4 3" xfId="17388" xr:uid="{00000000-0005-0000-0000-0000028F0000}"/>
    <cellStyle name="Normal 7 5 4 3 2" xfId="40031" xr:uid="{00000000-0005-0000-0000-0000038F0000}"/>
    <cellStyle name="Normal 7 5 4 4" xfId="9948" xr:uid="{00000000-0005-0000-0000-0000048F0000}"/>
    <cellStyle name="Normal 7 5 4 4 2" xfId="32591" xr:uid="{00000000-0005-0000-0000-0000058F0000}"/>
    <cellStyle name="Normal 7 5 4 5" xfId="25150" xr:uid="{00000000-0005-0000-0000-0000068F0000}"/>
    <cellStyle name="Normal 7 5 5" xfId="4375" xr:uid="{00000000-0005-0000-0000-0000078F0000}"/>
    <cellStyle name="Normal 7 5 5 2" xfId="19259" xr:uid="{00000000-0005-0000-0000-0000088F0000}"/>
    <cellStyle name="Normal 7 5 5 2 2" xfId="41902" xr:uid="{00000000-0005-0000-0000-0000098F0000}"/>
    <cellStyle name="Normal 7 5 5 3" xfId="11819" xr:uid="{00000000-0005-0000-0000-00000A8F0000}"/>
    <cellStyle name="Normal 7 5 5 3 2" xfId="34462" xr:uid="{00000000-0005-0000-0000-00000B8F0000}"/>
    <cellStyle name="Normal 7 5 5 4" xfId="27021" xr:uid="{00000000-0005-0000-0000-00000C8F0000}"/>
    <cellStyle name="Normal 7 5 6" xfId="15541" xr:uid="{00000000-0005-0000-0000-00000D8F0000}"/>
    <cellStyle name="Normal 7 5 6 2" xfId="38184" xr:uid="{00000000-0005-0000-0000-00000E8F0000}"/>
    <cellStyle name="Normal 7 5 7" xfId="8101" xr:uid="{00000000-0005-0000-0000-00000F8F0000}"/>
    <cellStyle name="Normal 7 5 7 2" xfId="30744" xr:uid="{00000000-0005-0000-0000-0000108F0000}"/>
    <cellStyle name="Normal 7 5 8" xfId="23303" xr:uid="{00000000-0005-0000-0000-0000118F0000}"/>
    <cellStyle name="Normal 7 6" xfId="899" xr:uid="{00000000-0005-0000-0000-0000128F0000}"/>
    <cellStyle name="Normal 7 6 2" xfId="1827" xr:uid="{00000000-0005-0000-0000-0000138F0000}"/>
    <cellStyle name="Normal 7 6 2 2" xfId="3677" xr:uid="{00000000-0005-0000-0000-0000148F0000}"/>
    <cellStyle name="Normal 7 6 2 2 2" xfId="7398" xr:uid="{00000000-0005-0000-0000-0000158F0000}"/>
    <cellStyle name="Normal 7 6 2 2 2 2" xfId="22282" xr:uid="{00000000-0005-0000-0000-0000168F0000}"/>
    <cellStyle name="Normal 7 6 2 2 2 2 2" xfId="44925" xr:uid="{00000000-0005-0000-0000-0000178F0000}"/>
    <cellStyle name="Normal 7 6 2 2 2 3" xfId="14842" xr:uid="{00000000-0005-0000-0000-0000188F0000}"/>
    <cellStyle name="Normal 7 6 2 2 2 3 2" xfId="37485" xr:uid="{00000000-0005-0000-0000-0000198F0000}"/>
    <cellStyle name="Normal 7 6 2 2 2 4" xfId="30044" xr:uid="{00000000-0005-0000-0000-00001A8F0000}"/>
    <cellStyle name="Normal 7 6 2 2 3" xfId="18564" xr:uid="{00000000-0005-0000-0000-00001B8F0000}"/>
    <cellStyle name="Normal 7 6 2 2 3 2" xfId="41207" xr:uid="{00000000-0005-0000-0000-00001C8F0000}"/>
    <cellStyle name="Normal 7 6 2 2 4" xfId="11124" xr:uid="{00000000-0005-0000-0000-00001D8F0000}"/>
    <cellStyle name="Normal 7 6 2 2 4 2" xfId="33767" xr:uid="{00000000-0005-0000-0000-00001E8F0000}"/>
    <cellStyle name="Normal 7 6 2 2 5" xfId="26326" xr:uid="{00000000-0005-0000-0000-00001F8F0000}"/>
    <cellStyle name="Normal 7 6 2 3" xfId="5551" xr:uid="{00000000-0005-0000-0000-0000208F0000}"/>
    <cellStyle name="Normal 7 6 2 3 2" xfId="20435" xr:uid="{00000000-0005-0000-0000-0000218F0000}"/>
    <cellStyle name="Normal 7 6 2 3 2 2" xfId="43078" xr:uid="{00000000-0005-0000-0000-0000228F0000}"/>
    <cellStyle name="Normal 7 6 2 3 3" xfId="12995" xr:uid="{00000000-0005-0000-0000-0000238F0000}"/>
    <cellStyle name="Normal 7 6 2 3 3 2" xfId="35638" xr:uid="{00000000-0005-0000-0000-0000248F0000}"/>
    <cellStyle name="Normal 7 6 2 3 4" xfId="28197" xr:uid="{00000000-0005-0000-0000-0000258F0000}"/>
    <cellStyle name="Normal 7 6 2 4" xfId="16717" xr:uid="{00000000-0005-0000-0000-0000268F0000}"/>
    <cellStyle name="Normal 7 6 2 4 2" xfId="39360" xr:uid="{00000000-0005-0000-0000-0000278F0000}"/>
    <cellStyle name="Normal 7 6 2 5" xfId="9277" xr:uid="{00000000-0005-0000-0000-0000288F0000}"/>
    <cellStyle name="Normal 7 6 2 5 2" xfId="31920" xr:uid="{00000000-0005-0000-0000-0000298F0000}"/>
    <cellStyle name="Normal 7 6 2 6" xfId="24479" xr:uid="{00000000-0005-0000-0000-00002A8F0000}"/>
    <cellStyle name="Normal 7 6 3" xfId="2752" xr:uid="{00000000-0005-0000-0000-00002B8F0000}"/>
    <cellStyle name="Normal 7 6 3 2" xfId="6473" xr:uid="{00000000-0005-0000-0000-00002C8F0000}"/>
    <cellStyle name="Normal 7 6 3 2 2" xfId="21357" xr:uid="{00000000-0005-0000-0000-00002D8F0000}"/>
    <cellStyle name="Normal 7 6 3 2 2 2" xfId="44000" xr:uid="{00000000-0005-0000-0000-00002E8F0000}"/>
    <cellStyle name="Normal 7 6 3 2 3" xfId="13917" xr:uid="{00000000-0005-0000-0000-00002F8F0000}"/>
    <cellStyle name="Normal 7 6 3 2 3 2" xfId="36560" xr:uid="{00000000-0005-0000-0000-0000308F0000}"/>
    <cellStyle name="Normal 7 6 3 2 4" xfId="29119" xr:uid="{00000000-0005-0000-0000-0000318F0000}"/>
    <cellStyle name="Normal 7 6 3 3" xfId="17639" xr:uid="{00000000-0005-0000-0000-0000328F0000}"/>
    <cellStyle name="Normal 7 6 3 3 2" xfId="40282" xr:uid="{00000000-0005-0000-0000-0000338F0000}"/>
    <cellStyle name="Normal 7 6 3 4" xfId="10199" xr:uid="{00000000-0005-0000-0000-0000348F0000}"/>
    <cellStyle name="Normal 7 6 3 4 2" xfId="32842" xr:uid="{00000000-0005-0000-0000-0000358F0000}"/>
    <cellStyle name="Normal 7 6 3 5" xfId="25401" xr:uid="{00000000-0005-0000-0000-0000368F0000}"/>
    <cellStyle name="Normal 7 6 4" xfId="4626" xr:uid="{00000000-0005-0000-0000-0000378F0000}"/>
    <cellStyle name="Normal 7 6 4 2" xfId="19510" xr:uid="{00000000-0005-0000-0000-0000388F0000}"/>
    <cellStyle name="Normal 7 6 4 2 2" xfId="42153" xr:uid="{00000000-0005-0000-0000-0000398F0000}"/>
    <cellStyle name="Normal 7 6 4 3" xfId="12070" xr:uid="{00000000-0005-0000-0000-00003A8F0000}"/>
    <cellStyle name="Normal 7 6 4 3 2" xfId="34713" xr:uid="{00000000-0005-0000-0000-00003B8F0000}"/>
    <cellStyle name="Normal 7 6 4 4" xfId="27272" xr:uid="{00000000-0005-0000-0000-00003C8F0000}"/>
    <cellStyle name="Normal 7 6 5" xfId="15792" xr:uid="{00000000-0005-0000-0000-00003D8F0000}"/>
    <cellStyle name="Normal 7 6 5 2" xfId="38435" xr:uid="{00000000-0005-0000-0000-00003E8F0000}"/>
    <cellStyle name="Normal 7 6 6" xfId="8352" xr:uid="{00000000-0005-0000-0000-00003F8F0000}"/>
    <cellStyle name="Normal 7 6 6 2" xfId="30995" xr:uid="{00000000-0005-0000-0000-0000408F0000}"/>
    <cellStyle name="Normal 7 6 7" xfId="23554" xr:uid="{00000000-0005-0000-0000-0000418F0000}"/>
    <cellStyle name="Normal 7 7" xfId="1365" xr:uid="{00000000-0005-0000-0000-0000428F0000}"/>
    <cellStyle name="Normal 7 7 2" xfId="3215" xr:uid="{00000000-0005-0000-0000-0000438F0000}"/>
    <cellStyle name="Normal 7 7 2 2" xfId="6936" xr:uid="{00000000-0005-0000-0000-0000448F0000}"/>
    <cellStyle name="Normal 7 7 2 2 2" xfId="21820" xr:uid="{00000000-0005-0000-0000-0000458F0000}"/>
    <cellStyle name="Normal 7 7 2 2 2 2" xfId="44463" xr:uid="{00000000-0005-0000-0000-0000468F0000}"/>
    <cellStyle name="Normal 7 7 2 2 3" xfId="14380" xr:uid="{00000000-0005-0000-0000-0000478F0000}"/>
    <cellStyle name="Normal 7 7 2 2 3 2" xfId="37023" xr:uid="{00000000-0005-0000-0000-0000488F0000}"/>
    <cellStyle name="Normal 7 7 2 2 4" xfId="29582" xr:uid="{00000000-0005-0000-0000-0000498F0000}"/>
    <cellStyle name="Normal 7 7 2 3" xfId="18102" xr:uid="{00000000-0005-0000-0000-00004A8F0000}"/>
    <cellStyle name="Normal 7 7 2 3 2" xfId="40745" xr:uid="{00000000-0005-0000-0000-00004B8F0000}"/>
    <cellStyle name="Normal 7 7 2 4" xfId="10662" xr:uid="{00000000-0005-0000-0000-00004C8F0000}"/>
    <cellStyle name="Normal 7 7 2 4 2" xfId="33305" xr:uid="{00000000-0005-0000-0000-00004D8F0000}"/>
    <cellStyle name="Normal 7 7 2 5" xfId="25864" xr:uid="{00000000-0005-0000-0000-00004E8F0000}"/>
    <cellStyle name="Normal 7 7 3" xfId="5089" xr:uid="{00000000-0005-0000-0000-00004F8F0000}"/>
    <cellStyle name="Normal 7 7 3 2" xfId="19973" xr:uid="{00000000-0005-0000-0000-0000508F0000}"/>
    <cellStyle name="Normal 7 7 3 2 2" xfId="42616" xr:uid="{00000000-0005-0000-0000-0000518F0000}"/>
    <cellStyle name="Normal 7 7 3 3" xfId="12533" xr:uid="{00000000-0005-0000-0000-0000528F0000}"/>
    <cellStyle name="Normal 7 7 3 3 2" xfId="35176" xr:uid="{00000000-0005-0000-0000-0000538F0000}"/>
    <cellStyle name="Normal 7 7 3 4" xfId="27735" xr:uid="{00000000-0005-0000-0000-0000548F0000}"/>
    <cellStyle name="Normal 7 7 4" xfId="16255" xr:uid="{00000000-0005-0000-0000-0000558F0000}"/>
    <cellStyle name="Normal 7 7 4 2" xfId="38898" xr:uid="{00000000-0005-0000-0000-0000568F0000}"/>
    <cellStyle name="Normal 7 7 5" xfId="8815" xr:uid="{00000000-0005-0000-0000-0000578F0000}"/>
    <cellStyle name="Normal 7 7 5 2" xfId="31458" xr:uid="{00000000-0005-0000-0000-0000588F0000}"/>
    <cellStyle name="Normal 7 7 6" xfId="24017" xr:uid="{00000000-0005-0000-0000-0000598F0000}"/>
    <cellStyle name="Normal 7 8" xfId="2290" xr:uid="{00000000-0005-0000-0000-00005A8F0000}"/>
    <cellStyle name="Normal 7 8 2" xfId="6011" xr:uid="{00000000-0005-0000-0000-00005B8F0000}"/>
    <cellStyle name="Normal 7 8 2 2" xfId="20895" xr:uid="{00000000-0005-0000-0000-00005C8F0000}"/>
    <cellStyle name="Normal 7 8 2 2 2" xfId="43538" xr:uid="{00000000-0005-0000-0000-00005D8F0000}"/>
    <cellStyle name="Normal 7 8 2 3" xfId="13455" xr:uid="{00000000-0005-0000-0000-00005E8F0000}"/>
    <cellStyle name="Normal 7 8 2 3 2" xfId="36098" xr:uid="{00000000-0005-0000-0000-00005F8F0000}"/>
    <cellStyle name="Normal 7 8 2 4" xfId="28657" xr:uid="{00000000-0005-0000-0000-0000608F0000}"/>
    <cellStyle name="Normal 7 8 3" xfId="17177" xr:uid="{00000000-0005-0000-0000-0000618F0000}"/>
    <cellStyle name="Normal 7 8 3 2" xfId="39820" xr:uid="{00000000-0005-0000-0000-0000628F0000}"/>
    <cellStyle name="Normal 7 8 4" xfId="9737" xr:uid="{00000000-0005-0000-0000-0000638F0000}"/>
    <cellStyle name="Normal 7 8 4 2" xfId="32380" xr:uid="{00000000-0005-0000-0000-0000648F0000}"/>
    <cellStyle name="Normal 7 8 5" xfId="24939" xr:uid="{00000000-0005-0000-0000-0000658F0000}"/>
    <cellStyle name="Normal 7 9" xfId="4164" xr:uid="{00000000-0005-0000-0000-0000668F0000}"/>
    <cellStyle name="Normal 7 9 2" xfId="19048" xr:uid="{00000000-0005-0000-0000-0000678F0000}"/>
    <cellStyle name="Normal 7 9 2 2" xfId="41691" xr:uid="{00000000-0005-0000-0000-0000688F0000}"/>
    <cellStyle name="Normal 7 9 3" xfId="11608" xr:uid="{00000000-0005-0000-0000-0000698F0000}"/>
    <cellStyle name="Normal 7 9 3 2" xfId="34251" xr:uid="{00000000-0005-0000-0000-00006A8F0000}"/>
    <cellStyle name="Normal 7 9 4" xfId="26810" xr:uid="{00000000-0005-0000-0000-00006B8F0000}"/>
    <cellStyle name="Normal 70" xfId="4110" xr:uid="{00000000-0005-0000-0000-00006C8F0000}"/>
    <cellStyle name="Normal 70 2" xfId="7831" xr:uid="{00000000-0005-0000-0000-00006D8F0000}"/>
    <cellStyle name="Normal 70 2 2" xfId="22715" xr:uid="{00000000-0005-0000-0000-00006E8F0000}"/>
    <cellStyle name="Normal 70 2 2 2" xfId="45358" xr:uid="{00000000-0005-0000-0000-00006F8F0000}"/>
    <cellStyle name="Normal 70 2 3" xfId="15275" xr:uid="{00000000-0005-0000-0000-0000708F0000}"/>
    <cellStyle name="Normal 70 2 3 2" xfId="37918" xr:uid="{00000000-0005-0000-0000-0000718F0000}"/>
    <cellStyle name="Normal 70 2 4" xfId="30477" xr:uid="{00000000-0005-0000-0000-0000728F0000}"/>
    <cellStyle name="Normal 70 3" xfId="18997" xr:uid="{00000000-0005-0000-0000-0000738F0000}"/>
    <cellStyle name="Normal 70 3 2" xfId="41640" xr:uid="{00000000-0005-0000-0000-0000748F0000}"/>
    <cellStyle name="Normal 70 4" xfId="11557" xr:uid="{00000000-0005-0000-0000-0000758F0000}"/>
    <cellStyle name="Normal 70 4 2" xfId="34200" xr:uid="{00000000-0005-0000-0000-0000768F0000}"/>
    <cellStyle name="Normal 70 5" xfId="26759" xr:uid="{00000000-0005-0000-0000-0000778F0000}"/>
    <cellStyle name="Normal 71" xfId="4111" xr:uid="{00000000-0005-0000-0000-0000788F0000}"/>
    <cellStyle name="Normal 71 2" xfId="7832" xr:uid="{00000000-0005-0000-0000-0000798F0000}"/>
    <cellStyle name="Normal 71 2 2" xfId="22716" xr:uid="{00000000-0005-0000-0000-00007A8F0000}"/>
    <cellStyle name="Normal 71 2 2 2" xfId="45359" xr:uid="{00000000-0005-0000-0000-00007B8F0000}"/>
    <cellStyle name="Normal 71 2 3" xfId="15276" xr:uid="{00000000-0005-0000-0000-00007C8F0000}"/>
    <cellStyle name="Normal 71 2 3 2" xfId="37919" xr:uid="{00000000-0005-0000-0000-00007D8F0000}"/>
    <cellStyle name="Normal 71 2 4" xfId="30478" xr:uid="{00000000-0005-0000-0000-00007E8F0000}"/>
    <cellStyle name="Normal 71 3" xfId="18998" xr:uid="{00000000-0005-0000-0000-00007F8F0000}"/>
    <cellStyle name="Normal 71 3 2" xfId="41641" xr:uid="{00000000-0005-0000-0000-0000808F0000}"/>
    <cellStyle name="Normal 71 4" xfId="11558" xr:uid="{00000000-0005-0000-0000-0000818F0000}"/>
    <cellStyle name="Normal 71 4 2" xfId="34201" xr:uid="{00000000-0005-0000-0000-0000828F0000}"/>
    <cellStyle name="Normal 71 5" xfId="26760" xr:uid="{00000000-0005-0000-0000-0000838F0000}"/>
    <cellStyle name="Normal 72" xfId="4112" xr:uid="{00000000-0005-0000-0000-0000848F0000}"/>
    <cellStyle name="Normal 72 2" xfId="7833" xr:uid="{00000000-0005-0000-0000-0000858F0000}"/>
    <cellStyle name="Normal 72 2 2" xfId="22717" xr:uid="{00000000-0005-0000-0000-0000868F0000}"/>
    <cellStyle name="Normal 72 2 2 2" xfId="45360" xr:uid="{00000000-0005-0000-0000-0000878F0000}"/>
    <cellStyle name="Normal 72 2 3" xfId="15277" xr:uid="{00000000-0005-0000-0000-0000888F0000}"/>
    <cellStyle name="Normal 72 2 3 2" xfId="37920" xr:uid="{00000000-0005-0000-0000-0000898F0000}"/>
    <cellStyle name="Normal 72 2 4" xfId="30479" xr:uid="{00000000-0005-0000-0000-00008A8F0000}"/>
    <cellStyle name="Normal 72 3" xfId="18999" xr:uid="{00000000-0005-0000-0000-00008B8F0000}"/>
    <cellStyle name="Normal 72 3 2" xfId="41642" xr:uid="{00000000-0005-0000-0000-00008C8F0000}"/>
    <cellStyle name="Normal 72 4" xfId="11559" xr:uid="{00000000-0005-0000-0000-00008D8F0000}"/>
    <cellStyle name="Normal 72 4 2" xfId="34202" xr:uid="{00000000-0005-0000-0000-00008E8F0000}"/>
    <cellStyle name="Normal 72 5" xfId="26761" xr:uid="{00000000-0005-0000-0000-00008F8F0000}"/>
    <cellStyle name="Normal 73" xfId="4113" xr:uid="{00000000-0005-0000-0000-0000908F0000}"/>
    <cellStyle name="Normal 73 2" xfId="7834" xr:uid="{00000000-0005-0000-0000-0000918F0000}"/>
    <cellStyle name="Normal 73 2 2" xfId="22718" xr:uid="{00000000-0005-0000-0000-0000928F0000}"/>
    <cellStyle name="Normal 73 2 2 2" xfId="45361" xr:uid="{00000000-0005-0000-0000-0000938F0000}"/>
    <cellStyle name="Normal 73 2 3" xfId="15278" xr:uid="{00000000-0005-0000-0000-0000948F0000}"/>
    <cellStyle name="Normal 73 2 3 2" xfId="37921" xr:uid="{00000000-0005-0000-0000-0000958F0000}"/>
    <cellStyle name="Normal 73 2 4" xfId="30480" xr:uid="{00000000-0005-0000-0000-0000968F0000}"/>
    <cellStyle name="Normal 73 3" xfId="19000" xr:uid="{00000000-0005-0000-0000-0000978F0000}"/>
    <cellStyle name="Normal 73 3 2" xfId="41643" xr:uid="{00000000-0005-0000-0000-0000988F0000}"/>
    <cellStyle name="Normal 73 4" xfId="11560" xr:uid="{00000000-0005-0000-0000-0000998F0000}"/>
    <cellStyle name="Normal 73 4 2" xfId="34203" xr:uid="{00000000-0005-0000-0000-00009A8F0000}"/>
    <cellStyle name="Normal 73 5" xfId="26762" xr:uid="{00000000-0005-0000-0000-00009B8F0000}"/>
    <cellStyle name="Normal 74" xfId="4114" xr:uid="{00000000-0005-0000-0000-00009C8F0000}"/>
    <cellStyle name="Normal 74 2" xfId="7835" xr:uid="{00000000-0005-0000-0000-00009D8F0000}"/>
    <cellStyle name="Normal 74 2 2" xfId="22719" xr:uid="{00000000-0005-0000-0000-00009E8F0000}"/>
    <cellStyle name="Normal 74 2 2 2" xfId="45362" xr:uid="{00000000-0005-0000-0000-00009F8F0000}"/>
    <cellStyle name="Normal 74 2 3" xfId="15279" xr:uid="{00000000-0005-0000-0000-0000A08F0000}"/>
    <cellStyle name="Normal 74 2 3 2" xfId="37922" xr:uid="{00000000-0005-0000-0000-0000A18F0000}"/>
    <cellStyle name="Normal 74 2 4" xfId="30481" xr:uid="{00000000-0005-0000-0000-0000A28F0000}"/>
    <cellStyle name="Normal 74 3" xfId="19001" xr:uid="{00000000-0005-0000-0000-0000A38F0000}"/>
    <cellStyle name="Normal 74 3 2" xfId="41644" xr:uid="{00000000-0005-0000-0000-0000A48F0000}"/>
    <cellStyle name="Normal 74 4" xfId="11561" xr:uid="{00000000-0005-0000-0000-0000A58F0000}"/>
    <cellStyle name="Normal 74 4 2" xfId="34204" xr:uid="{00000000-0005-0000-0000-0000A68F0000}"/>
    <cellStyle name="Normal 74 5" xfId="26763" xr:uid="{00000000-0005-0000-0000-0000A78F0000}"/>
    <cellStyle name="Normal 75" xfId="4115" xr:uid="{00000000-0005-0000-0000-0000A88F0000}"/>
    <cellStyle name="Normal 75 2" xfId="7836" xr:uid="{00000000-0005-0000-0000-0000A98F0000}"/>
    <cellStyle name="Normal 75 2 2" xfId="22720" xr:uid="{00000000-0005-0000-0000-0000AA8F0000}"/>
    <cellStyle name="Normal 75 2 2 2" xfId="45363" xr:uid="{00000000-0005-0000-0000-0000AB8F0000}"/>
    <cellStyle name="Normal 75 2 3" xfId="15280" xr:uid="{00000000-0005-0000-0000-0000AC8F0000}"/>
    <cellStyle name="Normal 75 2 3 2" xfId="37923" xr:uid="{00000000-0005-0000-0000-0000AD8F0000}"/>
    <cellStyle name="Normal 75 2 4" xfId="30482" xr:uid="{00000000-0005-0000-0000-0000AE8F0000}"/>
    <cellStyle name="Normal 75 3" xfId="19002" xr:uid="{00000000-0005-0000-0000-0000AF8F0000}"/>
    <cellStyle name="Normal 75 3 2" xfId="41645" xr:uid="{00000000-0005-0000-0000-0000B08F0000}"/>
    <cellStyle name="Normal 75 4" xfId="11562" xr:uid="{00000000-0005-0000-0000-0000B18F0000}"/>
    <cellStyle name="Normal 75 4 2" xfId="34205" xr:uid="{00000000-0005-0000-0000-0000B28F0000}"/>
    <cellStyle name="Normal 75 5" xfId="26764" xr:uid="{00000000-0005-0000-0000-0000B38F0000}"/>
    <cellStyle name="Normal 76" xfId="4116" xr:uid="{00000000-0005-0000-0000-0000B48F0000}"/>
    <cellStyle name="Normal 76 2" xfId="7837" xr:uid="{00000000-0005-0000-0000-0000B58F0000}"/>
    <cellStyle name="Normal 76 2 2" xfId="22721" xr:uid="{00000000-0005-0000-0000-0000B68F0000}"/>
    <cellStyle name="Normal 76 2 2 2" xfId="45364" xr:uid="{00000000-0005-0000-0000-0000B78F0000}"/>
    <cellStyle name="Normal 76 2 3" xfId="15281" xr:uid="{00000000-0005-0000-0000-0000B88F0000}"/>
    <cellStyle name="Normal 76 2 3 2" xfId="37924" xr:uid="{00000000-0005-0000-0000-0000B98F0000}"/>
    <cellStyle name="Normal 76 2 4" xfId="30483" xr:uid="{00000000-0005-0000-0000-0000BA8F0000}"/>
    <cellStyle name="Normal 76 3" xfId="19003" xr:uid="{00000000-0005-0000-0000-0000BB8F0000}"/>
    <cellStyle name="Normal 76 3 2" xfId="41646" xr:uid="{00000000-0005-0000-0000-0000BC8F0000}"/>
    <cellStyle name="Normal 76 4" xfId="11563" xr:uid="{00000000-0005-0000-0000-0000BD8F0000}"/>
    <cellStyle name="Normal 76 4 2" xfId="34206" xr:uid="{00000000-0005-0000-0000-0000BE8F0000}"/>
    <cellStyle name="Normal 76 5" xfId="26765" xr:uid="{00000000-0005-0000-0000-0000BF8F0000}"/>
    <cellStyle name="Normal 77" xfId="4117" xr:uid="{00000000-0005-0000-0000-0000C08F0000}"/>
    <cellStyle name="Normal 77 2" xfId="7838" xr:uid="{00000000-0005-0000-0000-0000C18F0000}"/>
    <cellStyle name="Normal 77 2 2" xfId="22722" xr:uid="{00000000-0005-0000-0000-0000C28F0000}"/>
    <cellStyle name="Normal 77 2 2 2" xfId="45365" xr:uid="{00000000-0005-0000-0000-0000C38F0000}"/>
    <cellStyle name="Normal 77 2 3" xfId="15282" xr:uid="{00000000-0005-0000-0000-0000C48F0000}"/>
    <cellStyle name="Normal 77 2 3 2" xfId="37925" xr:uid="{00000000-0005-0000-0000-0000C58F0000}"/>
    <cellStyle name="Normal 77 2 4" xfId="30484" xr:uid="{00000000-0005-0000-0000-0000C68F0000}"/>
    <cellStyle name="Normal 77 3" xfId="19004" xr:uid="{00000000-0005-0000-0000-0000C78F0000}"/>
    <cellStyle name="Normal 77 3 2" xfId="41647" xr:uid="{00000000-0005-0000-0000-0000C88F0000}"/>
    <cellStyle name="Normal 77 4" xfId="11564" xr:uid="{00000000-0005-0000-0000-0000C98F0000}"/>
    <cellStyle name="Normal 77 4 2" xfId="34207" xr:uid="{00000000-0005-0000-0000-0000CA8F0000}"/>
    <cellStyle name="Normal 77 5" xfId="26766" xr:uid="{00000000-0005-0000-0000-0000CB8F0000}"/>
    <cellStyle name="Normal 78" xfId="4118" xr:uid="{00000000-0005-0000-0000-0000CC8F0000}"/>
    <cellStyle name="Normal 78 2" xfId="7839" xr:uid="{00000000-0005-0000-0000-0000CD8F0000}"/>
    <cellStyle name="Normal 78 2 2" xfId="22723" xr:uid="{00000000-0005-0000-0000-0000CE8F0000}"/>
    <cellStyle name="Normal 78 2 2 2" xfId="45366" xr:uid="{00000000-0005-0000-0000-0000CF8F0000}"/>
    <cellStyle name="Normal 78 2 3" xfId="15283" xr:uid="{00000000-0005-0000-0000-0000D08F0000}"/>
    <cellStyle name="Normal 78 2 3 2" xfId="37926" xr:uid="{00000000-0005-0000-0000-0000D18F0000}"/>
    <cellStyle name="Normal 78 2 4" xfId="30485" xr:uid="{00000000-0005-0000-0000-0000D28F0000}"/>
    <cellStyle name="Normal 78 3" xfId="19005" xr:uid="{00000000-0005-0000-0000-0000D38F0000}"/>
    <cellStyle name="Normal 78 3 2" xfId="41648" xr:uid="{00000000-0005-0000-0000-0000D48F0000}"/>
    <cellStyle name="Normal 78 4" xfId="11565" xr:uid="{00000000-0005-0000-0000-0000D58F0000}"/>
    <cellStyle name="Normal 78 4 2" xfId="34208" xr:uid="{00000000-0005-0000-0000-0000D68F0000}"/>
    <cellStyle name="Normal 78 5" xfId="26767" xr:uid="{00000000-0005-0000-0000-0000D78F0000}"/>
    <cellStyle name="Normal 79" xfId="4119" xr:uid="{00000000-0005-0000-0000-0000D88F0000}"/>
    <cellStyle name="Normal 79 2" xfId="7840" xr:uid="{00000000-0005-0000-0000-0000D98F0000}"/>
    <cellStyle name="Normal 79 2 2" xfId="22724" xr:uid="{00000000-0005-0000-0000-0000DA8F0000}"/>
    <cellStyle name="Normal 79 2 2 2" xfId="45367" xr:uid="{00000000-0005-0000-0000-0000DB8F0000}"/>
    <cellStyle name="Normal 79 2 3" xfId="15284" xr:uid="{00000000-0005-0000-0000-0000DC8F0000}"/>
    <cellStyle name="Normal 79 2 3 2" xfId="37927" xr:uid="{00000000-0005-0000-0000-0000DD8F0000}"/>
    <cellStyle name="Normal 79 2 4" xfId="30486" xr:uid="{00000000-0005-0000-0000-0000DE8F0000}"/>
    <cellStyle name="Normal 79 3" xfId="19006" xr:uid="{00000000-0005-0000-0000-0000DF8F0000}"/>
    <cellStyle name="Normal 79 3 2" xfId="41649" xr:uid="{00000000-0005-0000-0000-0000E08F0000}"/>
    <cellStyle name="Normal 79 4" xfId="11566" xr:uid="{00000000-0005-0000-0000-0000E18F0000}"/>
    <cellStyle name="Normal 79 4 2" xfId="34209" xr:uid="{00000000-0005-0000-0000-0000E28F0000}"/>
    <cellStyle name="Normal 79 5" xfId="26768" xr:uid="{00000000-0005-0000-0000-0000E38F0000}"/>
    <cellStyle name="Normal 8" xfId="69" xr:uid="{00000000-0005-0000-0000-0000E48F0000}"/>
    <cellStyle name="Normal 8 10" xfId="1350" xr:uid="{00000000-0005-0000-0000-0000E58F0000}"/>
    <cellStyle name="Normal 8 10 2" xfId="3200" xr:uid="{00000000-0005-0000-0000-0000E68F0000}"/>
    <cellStyle name="Normal 8 10 2 2" xfId="6921" xr:uid="{00000000-0005-0000-0000-0000E78F0000}"/>
    <cellStyle name="Normal 8 10 2 2 2" xfId="21805" xr:uid="{00000000-0005-0000-0000-0000E88F0000}"/>
    <cellStyle name="Normal 8 10 2 2 2 2" xfId="44448" xr:uid="{00000000-0005-0000-0000-0000E98F0000}"/>
    <cellStyle name="Normal 8 10 2 2 3" xfId="14365" xr:uid="{00000000-0005-0000-0000-0000EA8F0000}"/>
    <cellStyle name="Normal 8 10 2 2 3 2" xfId="37008" xr:uid="{00000000-0005-0000-0000-0000EB8F0000}"/>
    <cellStyle name="Normal 8 10 2 2 4" xfId="29567" xr:uid="{00000000-0005-0000-0000-0000EC8F0000}"/>
    <cellStyle name="Normal 8 10 2 3" xfId="18087" xr:uid="{00000000-0005-0000-0000-0000ED8F0000}"/>
    <cellStyle name="Normal 8 10 2 3 2" xfId="40730" xr:uid="{00000000-0005-0000-0000-0000EE8F0000}"/>
    <cellStyle name="Normal 8 10 2 4" xfId="10647" xr:uid="{00000000-0005-0000-0000-0000EF8F0000}"/>
    <cellStyle name="Normal 8 10 2 4 2" xfId="33290" xr:uid="{00000000-0005-0000-0000-0000F08F0000}"/>
    <cellStyle name="Normal 8 10 2 5" xfId="25849" xr:uid="{00000000-0005-0000-0000-0000F18F0000}"/>
    <cellStyle name="Normal 8 10 3" xfId="5074" xr:uid="{00000000-0005-0000-0000-0000F28F0000}"/>
    <cellStyle name="Normal 8 10 3 2" xfId="19958" xr:uid="{00000000-0005-0000-0000-0000F38F0000}"/>
    <cellStyle name="Normal 8 10 3 2 2" xfId="42601" xr:uid="{00000000-0005-0000-0000-0000F48F0000}"/>
    <cellStyle name="Normal 8 10 3 3" xfId="12518" xr:uid="{00000000-0005-0000-0000-0000F58F0000}"/>
    <cellStyle name="Normal 8 10 3 3 2" xfId="35161" xr:uid="{00000000-0005-0000-0000-0000F68F0000}"/>
    <cellStyle name="Normal 8 10 3 4" xfId="27720" xr:uid="{00000000-0005-0000-0000-0000F78F0000}"/>
    <cellStyle name="Normal 8 10 4" xfId="16240" xr:uid="{00000000-0005-0000-0000-0000F88F0000}"/>
    <cellStyle name="Normal 8 10 4 2" xfId="38883" xr:uid="{00000000-0005-0000-0000-0000F98F0000}"/>
    <cellStyle name="Normal 8 10 5" xfId="8800" xr:uid="{00000000-0005-0000-0000-0000FA8F0000}"/>
    <cellStyle name="Normal 8 10 5 2" xfId="31443" xr:uid="{00000000-0005-0000-0000-0000FB8F0000}"/>
    <cellStyle name="Normal 8 10 6" xfId="24002" xr:uid="{00000000-0005-0000-0000-0000FC8F0000}"/>
    <cellStyle name="Normal 8 11" xfId="2275" xr:uid="{00000000-0005-0000-0000-0000FD8F0000}"/>
    <cellStyle name="Normal 8 11 2" xfId="5996" xr:uid="{00000000-0005-0000-0000-0000FE8F0000}"/>
    <cellStyle name="Normal 8 11 2 2" xfId="20880" xr:uid="{00000000-0005-0000-0000-0000FF8F0000}"/>
    <cellStyle name="Normal 8 11 2 2 2" xfId="43523" xr:uid="{00000000-0005-0000-0000-000000900000}"/>
    <cellStyle name="Normal 8 11 2 3" xfId="13440" xr:uid="{00000000-0005-0000-0000-000001900000}"/>
    <cellStyle name="Normal 8 11 2 3 2" xfId="36083" xr:uid="{00000000-0005-0000-0000-000002900000}"/>
    <cellStyle name="Normal 8 11 2 4" xfId="28642" xr:uid="{00000000-0005-0000-0000-000003900000}"/>
    <cellStyle name="Normal 8 11 3" xfId="17162" xr:uid="{00000000-0005-0000-0000-000004900000}"/>
    <cellStyle name="Normal 8 11 3 2" xfId="39805" xr:uid="{00000000-0005-0000-0000-000005900000}"/>
    <cellStyle name="Normal 8 11 4" xfId="9722" xr:uid="{00000000-0005-0000-0000-000006900000}"/>
    <cellStyle name="Normal 8 11 4 2" xfId="32365" xr:uid="{00000000-0005-0000-0000-000007900000}"/>
    <cellStyle name="Normal 8 11 5" xfId="24924" xr:uid="{00000000-0005-0000-0000-000008900000}"/>
    <cellStyle name="Normal 8 12" xfId="4149" xr:uid="{00000000-0005-0000-0000-000009900000}"/>
    <cellStyle name="Normal 8 12 2" xfId="19033" xr:uid="{00000000-0005-0000-0000-00000A900000}"/>
    <cellStyle name="Normal 8 12 2 2" xfId="41676" xr:uid="{00000000-0005-0000-0000-00000B900000}"/>
    <cellStyle name="Normal 8 12 3" xfId="11593" xr:uid="{00000000-0005-0000-0000-00000C900000}"/>
    <cellStyle name="Normal 8 12 3 2" xfId="34236" xr:uid="{00000000-0005-0000-0000-00000D900000}"/>
    <cellStyle name="Normal 8 12 4" xfId="26795" xr:uid="{00000000-0005-0000-0000-00000E900000}"/>
    <cellStyle name="Normal 8 13" xfId="384" xr:uid="{00000000-0005-0000-0000-00000F900000}"/>
    <cellStyle name="Normal 8 13 2" xfId="15315" xr:uid="{00000000-0005-0000-0000-000010900000}"/>
    <cellStyle name="Normal 8 13 2 2" xfId="37958" xr:uid="{00000000-0005-0000-0000-000011900000}"/>
    <cellStyle name="Normal 8 13 3" xfId="23078" xr:uid="{00000000-0005-0000-0000-000012900000}"/>
    <cellStyle name="Normal 8 14" xfId="7875" xr:uid="{00000000-0005-0000-0000-000013900000}"/>
    <cellStyle name="Normal 8 14 2" xfId="30518" xr:uid="{00000000-0005-0000-0000-000014900000}"/>
    <cellStyle name="Normal 8 2" xfId="388" xr:uid="{00000000-0005-0000-0000-000015900000}"/>
    <cellStyle name="Normal 8 2 10" xfId="15316" xr:uid="{00000000-0005-0000-0000-000016900000}"/>
    <cellStyle name="Normal 8 2 10 2" xfId="37959" xr:uid="{00000000-0005-0000-0000-000017900000}"/>
    <cellStyle name="Normal 8 2 11" xfId="7876" xr:uid="{00000000-0005-0000-0000-000018900000}"/>
    <cellStyle name="Normal 8 2 11 2" xfId="30519" xr:uid="{00000000-0005-0000-0000-000019900000}"/>
    <cellStyle name="Normal 8 2 12" xfId="23079" xr:uid="{00000000-0005-0000-0000-00001A900000}"/>
    <cellStyle name="Normal 8 2 2" xfId="437" xr:uid="{00000000-0005-0000-0000-00001B900000}"/>
    <cellStyle name="Normal 8 2 2 10" xfId="7896" xr:uid="{00000000-0005-0000-0000-00001C900000}"/>
    <cellStyle name="Normal 8 2 2 10 2" xfId="30539" xr:uid="{00000000-0005-0000-0000-00001D900000}"/>
    <cellStyle name="Normal 8 2 2 11" xfId="23099" xr:uid="{00000000-0005-0000-0000-00001E900000}"/>
    <cellStyle name="Normal 8 2 2 2" xfId="490" xr:uid="{00000000-0005-0000-0000-00001F900000}"/>
    <cellStyle name="Normal 8 2 2 2 10" xfId="23151" xr:uid="{00000000-0005-0000-0000-000020900000}"/>
    <cellStyle name="Normal 8 2 2 2 2" xfId="596" xr:uid="{00000000-0005-0000-0000-000021900000}"/>
    <cellStyle name="Normal 8 2 2 2 2 2" xfId="808" xr:uid="{00000000-0005-0000-0000-000022900000}"/>
    <cellStyle name="Normal 8 2 2 2 2 2 2" xfId="1273" xr:uid="{00000000-0005-0000-0000-000023900000}"/>
    <cellStyle name="Normal 8 2 2 2 2 2 2 2" xfId="2201" xr:uid="{00000000-0005-0000-0000-000024900000}"/>
    <cellStyle name="Normal 8 2 2 2 2 2 2 2 2" xfId="4051" xr:uid="{00000000-0005-0000-0000-000025900000}"/>
    <cellStyle name="Normal 8 2 2 2 2 2 2 2 2 2" xfId="7772" xr:uid="{00000000-0005-0000-0000-000026900000}"/>
    <cellStyle name="Normal 8 2 2 2 2 2 2 2 2 2 2" xfId="22656" xr:uid="{00000000-0005-0000-0000-000027900000}"/>
    <cellStyle name="Normal 8 2 2 2 2 2 2 2 2 2 2 2" xfId="45299" xr:uid="{00000000-0005-0000-0000-000028900000}"/>
    <cellStyle name="Normal 8 2 2 2 2 2 2 2 2 2 3" xfId="15216" xr:uid="{00000000-0005-0000-0000-000029900000}"/>
    <cellStyle name="Normal 8 2 2 2 2 2 2 2 2 2 3 2" xfId="37859" xr:uid="{00000000-0005-0000-0000-00002A900000}"/>
    <cellStyle name="Normal 8 2 2 2 2 2 2 2 2 2 4" xfId="30418" xr:uid="{00000000-0005-0000-0000-00002B900000}"/>
    <cellStyle name="Normal 8 2 2 2 2 2 2 2 2 3" xfId="18938" xr:uid="{00000000-0005-0000-0000-00002C900000}"/>
    <cellStyle name="Normal 8 2 2 2 2 2 2 2 2 3 2" xfId="41581" xr:uid="{00000000-0005-0000-0000-00002D900000}"/>
    <cellStyle name="Normal 8 2 2 2 2 2 2 2 2 4" xfId="11498" xr:uid="{00000000-0005-0000-0000-00002E900000}"/>
    <cellStyle name="Normal 8 2 2 2 2 2 2 2 2 4 2" xfId="34141" xr:uid="{00000000-0005-0000-0000-00002F900000}"/>
    <cellStyle name="Normal 8 2 2 2 2 2 2 2 2 5" xfId="26700" xr:uid="{00000000-0005-0000-0000-000030900000}"/>
    <cellStyle name="Normal 8 2 2 2 2 2 2 2 3" xfId="5925" xr:uid="{00000000-0005-0000-0000-000031900000}"/>
    <cellStyle name="Normal 8 2 2 2 2 2 2 2 3 2" xfId="20809" xr:uid="{00000000-0005-0000-0000-000032900000}"/>
    <cellStyle name="Normal 8 2 2 2 2 2 2 2 3 2 2" xfId="43452" xr:uid="{00000000-0005-0000-0000-000033900000}"/>
    <cellStyle name="Normal 8 2 2 2 2 2 2 2 3 3" xfId="13369" xr:uid="{00000000-0005-0000-0000-000034900000}"/>
    <cellStyle name="Normal 8 2 2 2 2 2 2 2 3 3 2" xfId="36012" xr:uid="{00000000-0005-0000-0000-000035900000}"/>
    <cellStyle name="Normal 8 2 2 2 2 2 2 2 3 4" xfId="28571" xr:uid="{00000000-0005-0000-0000-000036900000}"/>
    <cellStyle name="Normal 8 2 2 2 2 2 2 2 4" xfId="17091" xr:uid="{00000000-0005-0000-0000-000037900000}"/>
    <cellStyle name="Normal 8 2 2 2 2 2 2 2 4 2" xfId="39734" xr:uid="{00000000-0005-0000-0000-000038900000}"/>
    <cellStyle name="Normal 8 2 2 2 2 2 2 2 5" xfId="9651" xr:uid="{00000000-0005-0000-0000-000039900000}"/>
    <cellStyle name="Normal 8 2 2 2 2 2 2 2 5 2" xfId="32294" xr:uid="{00000000-0005-0000-0000-00003A900000}"/>
    <cellStyle name="Normal 8 2 2 2 2 2 2 2 6" xfId="24853" xr:uid="{00000000-0005-0000-0000-00003B900000}"/>
    <cellStyle name="Normal 8 2 2 2 2 2 2 3" xfId="3126" xr:uid="{00000000-0005-0000-0000-00003C900000}"/>
    <cellStyle name="Normal 8 2 2 2 2 2 2 3 2" xfId="6847" xr:uid="{00000000-0005-0000-0000-00003D900000}"/>
    <cellStyle name="Normal 8 2 2 2 2 2 2 3 2 2" xfId="21731" xr:uid="{00000000-0005-0000-0000-00003E900000}"/>
    <cellStyle name="Normal 8 2 2 2 2 2 2 3 2 2 2" xfId="44374" xr:uid="{00000000-0005-0000-0000-00003F900000}"/>
    <cellStyle name="Normal 8 2 2 2 2 2 2 3 2 3" xfId="14291" xr:uid="{00000000-0005-0000-0000-000040900000}"/>
    <cellStyle name="Normal 8 2 2 2 2 2 2 3 2 3 2" xfId="36934" xr:uid="{00000000-0005-0000-0000-000041900000}"/>
    <cellStyle name="Normal 8 2 2 2 2 2 2 3 2 4" xfId="29493" xr:uid="{00000000-0005-0000-0000-000042900000}"/>
    <cellStyle name="Normal 8 2 2 2 2 2 2 3 3" xfId="18013" xr:uid="{00000000-0005-0000-0000-000043900000}"/>
    <cellStyle name="Normal 8 2 2 2 2 2 2 3 3 2" xfId="40656" xr:uid="{00000000-0005-0000-0000-000044900000}"/>
    <cellStyle name="Normal 8 2 2 2 2 2 2 3 4" xfId="10573" xr:uid="{00000000-0005-0000-0000-000045900000}"/>
    <cellStyle name="Normal 8 2 2 2 2 2 2 3 4 2" xfId="33216" xr:uid="{00000000-0005-0000-0000-000046900000}"/>
    <cellStyle name="Normal 8 2 2 2 2 2 2 3 5" xfId="25775" xr:uid="{00000000-0005-0000-0000-000047900000}"/>
    <cellStyle name="Normal 8 2 2 2 2 2 2 4" xfId="5000" xr:uid="{00000000-0005-0000-0000-000048900000}"/>
    <cellStyle name="Normal 8 2 2 2 2 2 2 4 2" xfId="19884" xr:uid="{00000000-0005-0000-0000-000049900000}"/>
    <cellStyle name="Normal 8 2 2 2 2 2 2 4 2 2" xfId="42527" xr:uid="{00000000-0005-0000-0000-00004A900000}"/>
    <cellStyle name="Normal 8 2 2 2 2 2 2 4 3" xfId="12444" xr:uid="{00000000-0005-0000-0000-00004B900000}"/>
    <cellStyle name="Normal 8 2 2 2 2 2 2 4 3 2" xfId="35087" xr:uid="{00000000-0005-0000-0000-00004C900000}"/>
    <cellStyle name="Normal 8 2 2 2 2 2 2 4 4" xfId="27646" xr:uid="{00000000-0005-0000-0000-00004D900000}"/>
    <cellStyle name="Normal 8 2 2 2 2 2 2 5" xfId="16166" xr:uid="{00000000-0005-0000-0000-00004E900000}"/>
    <cellStyle name="Normal 8 2 2 2 2 2 2 5 2" xfId="38809" xr:uid="{00000000-0005-0000-0000-00004F900000}"/>
    <cellStyle name="Normal 8 2 2 2 2 2 2 6" xfId="8726" xr:uid="{00000000-0005-0000-0000-000050900000}"/>
    <cellStyle name="Normal 8 2 2 2 2 2 2 6 2" xfId="31369" xr:uid="{00000000-0005-0000-0000-000051900000}"/>
    <cellStyle name="Normal 8 2 2 2 2 2 2 7" xfId="23928" xr:uid="{00000000-0005-0000-0000-000052900000}"/>
    <cellStyle name="Normal 8 2 2 2 2 2 3" xfId="1739" xr:uid="{00000000-0005-0000-0000-000053900000}"/>
    <cellStyle name="Normal 8 2 2 2 2 2 3 2" xfId="3589" xr:uid="{00000000-0005-0000-0000-000054900000}"/>
    <cellStyle name="Normal 8 2 2 2 2 2 3 2 2" xfId="7310" xr:uid="{00000000-0005-0000-0000-000055900000}"/>
    <cellStyle name="Normal 8 2 2 2 2 2 3 2 2 2" xfId="22194" xr:uid="{00000000-0005-0000-0000-000056900000}"/>
    <cellStyle name="Normal 8 2 2 2 2 2 3 2 2 2 2" xfId="44837" xr:uid="{00000000-0005-0000-0000-000057900000}"/>
    <cellStyle name="Normal 8 2 2 2 2 2 3 2 2 3" xfId="14754" xr:uid="{00000000-0005-0000-0000-000058900000}"/>
    <cellStyle name="Normal 8 2 2 2 2 2 3 2 2 3 2" xfId="37397" xr:uid="{00000000-0005-0000-0000-000059900000}"/>
    <cellStyle name="Normal 8 2 2 2 2 2 3 2 2 4" xfId="29956" xr:uid="{00000000-0005-0000-0000-00005A900000}"/>
    <cellStyle name="Normal 8 2 2 2 2 2 3 2 3" xfId="18476" xr:uid="{00000000-0005-0000-0000-00005B900000}"/>
    <cellStyle name="Normal 8 2 2 2 2 2 3 2 3 2" xfId="41119" xr:uid="{00000000-0005-0000-0000-00005C900000}"/>
    <cellStyle name="Normal 8 2 2 2 2 2 3 2 4" xfId="11036" xr:uid="{00000000-0005-0000-0000-00005D900000}"/>
    <cellStyle name="Normal 8 2 2 2 2 2 3 2 4 2" xfId="33679" xr:uid="{00000000-0005-0000-0000-00005E900000}"/>
    <cellStyle name="Normal 8 2 2 2 2 2 3 2 5" xfId="26238" xr:uid="{00000000-0005-0000-0000-00005F900000}"/>
    <cellStyle name="Normal 8 2 2 2 2 2 3 3" xfId="5463" xr:uid="{00000000-0005-0000-0000-000060900000}"/>
    <cellStyle name="Normal 8 2 2 2 2 2 3 3 2" xfId="20347" xr:uid="{00000000-0005-0000-0000-000061900000}"/>
    <cellStyle name="Normal 8 2 2 2 2 2 3 3 2 2" xfId="42990" xr:uid="{00000000-0005-0000-0000-000062900000}"/>
    <cellStyle name="Normal 8 2 2 2 2 2 3 3 3" xfId="12907" xr:uid="{00000000-0005-0000-0000-000063900000}"/>
    <cellStyle name="Normal 8 2 2 2 2 2 3 3 3 2" xfId="35550" xr:uid="{00000000-0005-0000-0000-000064900000}"/>
    <cellStyle name="Normal 8 2 2 2 2 2 3 3 4" xfId="28109" xr:uid="{00000000-0005-0000-0000-000065900000}"/>
    <cellStyle name="Normal 8 2 2 2 2 2 3 4" xfId="16629" xr:uid="{00000000-0005-0000-0000-000066900000}"/>
    <cellStyle name="Normal 8 2 2 2 2 2 3 4 2" xfId="39272" xr:uid="{00000000-0005-0000-0000-000067900000}"/>
    <cellStyle name="Normal 8 2 2 2 2 2 3 5" xfId="9189" xr:uid="{00000000-0005-0000-0000-000068900000}"/>
    <cellStyle name="Normal 8 2 2 2 2 2 3 5 2" xfId="31832" xr:uid="{00000000-0005-0000-0000-000069900000}"/>
    <cellStyle name="Normal 8 2 2 2 2 2 3 6" xfId="24391" xr:uid="{00000000-0005-0000-0000-00006A900000}"/>
    <cellStyle name="Normal 8 2 2 2 2 2 4" xfId="2664" xr:uid="{00000000-0005-0000-0000-00006B900000}"/>
    <cellStyle name="Normal 8 2 2 2 2 2 4 2" xfId="6385" xr:uid="{00000000-0005-0000-0000-00006C900000}"/>
    <cellStyle name="Normal 8 2 2 2 2 2 4 2 2" xfId="21269" xr:uid="{00000000-0005-0000-0000-00006D900000}"/>
    <cellStyle name="Normal 8 2 2 2 2 2 4 2 2 2" xfId="43912" xr:uid="{00000000-0005-0000-0000-00006E900000}"/>
    <cellStyle name="Normal 8 2 2 2 2 2 4 2 3" xfId="13829" xr:uid="{00000000-0005-0000-0000-00006F900000}"/>
    <cellStyle name="Normal 8 2 2 2 2 2 4 2 3 2" xfId="36472" xr:uid="{00000000-0005-0000-0000-000070900000}"/>
    <cellStyle name="Normal 8 2 2 2 2 2 4 2 4" xfId="29031" xr:uid="{00000000-0005-0000-0000-000071900000}"/>
    <cellStyle name="Normal 8 2 2 2 2 2 4 3" xfId="17551" xr:uid="{00000000-0005-0000-0000-000072900000}"/>
    <cellStyle name="Normal 8 2 2 2 2 2 4 3 2" xfId="40194" xr:uid="{00000000-0005-0000-0000-000073900000}"/>
    <cellStyle name="Normal 8 2 2 2 2 2 4 4" xfId="10111" xr:uid="{00000000-0005-0000-0000-000074900000}"/>
    <cellStyle name="Normal 8 2 2 2 2 2 4 4 2" xfId="32754" xr:uid="{00000000-0005-0000-0000-000075900000}"/>
    <cellStyle name="Normal 8 2 2 2 2 2 4 5" xfId="25313" xr:uid="{00000000-0005-0000-0000-000076900000}"/>
    <cellStyle name="Normal 8 2 2 2 2 2 5" xfId="4538" xr:uid="{00000000-0005-0000-0000-000077900000}"/>
    <cellStyle name="Normal 8 2 2 2 2 2 5 2" xfId="19422" xr:uid="{00000000-0005-0000-0000-000078900000}"/>
    <cellStyle name="Normal 8 2 2 2 2 2 5 2 2" xfId="42065" xr:uid="{00000000-0005-0000-0000-000079900000}"/>
    <cellStyle name="Normal 8 2 2 2 2 2 5 3" xfId="11982" xr:uid="{00000000-0005-0000-0000-00007A900000}"/>
    <cellStyle name="Normal 8 2 2 2 2 2 5 3 2" xfId="34625" xr:uid="{00000000-0005-0000-0000-00007B900000}"/>
    <cellStyle name="Normal 8 2 2 2 2 2 5 4" xfId="27184" xr:uid="{00000000-0005-0000-0000-00007C900000}"/>
    <cellStyle name="Normal 8 2 2 2 2 2 6" xfId="15704" xr:uid="{00000000-0005-0000-0000-00007D900000}"/>
    <cellStyle name="Normal 8 2 2 2 2 2 6 2" xfId="38347" xr:uid="{00000000-0005-0000-0000-00007E900000}"/>
    <cellStyle name="Normal 8 2 2 2 2 2 7" xfId="8264" xr:uid="{00000000-0005-0000-0000-00007F900000}"/>
    <cellStyle name="Normal 8 2 2 2 2 2 7 2" xfId="30907" xr:uid="{00000000-0005-0000-0000-000080900000}"/>
    <cellStyle name="Normal 8 2 2 2 2 2 8" xfId="23466" xr:uid="{00000000-0005-0000-0000-000081900000}"/>
    <cellStyle name="Normal 8 2 2 2 2 3" xfId="1062" xr:uid="{00000000-0005-0000-0000-000082900000}"/>
    <cellStyle name="Normal 8 2 2 2 2 3 2" xfId="1990" xr:uid="{00000000-0005-0000-0000-000083900000}"/>
    <cellStyle name="Normal 8 2 2 2 2 3 2 2" xfId="3840" xr:uid="{00000000-0005-0000-0000-000084900000}"/>
    <cellStyle name="Normal 8 2 2 2 2 3 2 2 2" xfId="7561" xr:uid="{00000000-0005-0000-0000-000085900000}"/>
    <cellStyle name="Normal 8 2 2 2 2 3 2 2 2 2" xfId="22445" xr:uid="{00000000-0005-0000-0000-000086900000}"/>
    <cellStyle name="Normal 8 2 2 2 2 3 2 2 2 2 2" xfId="45088" xr:uid="{00000000-0005-0000-0000-000087900000}"/>
    <cellStyle name="Normal 8 2 2 2 2 3 2 2 2 3" xfId="15005" xr:uid="{00000000-0005-0000-0000-000088900000}"/>
    <cellStyle name="Normal 8 2 2 2 2 3 2 2 2 3 2" xfId="37648" xr:uid="{00000000-0005-0000-0000-000089900000}"/>
    <cellStyle name="Normal 8 2 2 2 2 3 2 2 2 4" xfId="30207" xr:uid="{00000000-0005-0000-0000-00008A900000}"/>
    <cellStyle name="Normal 8 2 2 2 2 3 2 2 3" xfId="18727" xr:uid="{00000000-0005-0000-0000-00008B900000}"/>
    <cellStyle name="Normal 8 2 2 2 2 3 2 2 3 2" xfId="41370" xr:uid="{00000000-0005-0000-0000-00008C900000}"/>
    <cellStyle name="Normal 8 2 2 2 2 3 2 2 4" xfId="11287" xr:uid="{00000000-0005-0000-0000-00008D900000}"/>
    <cellStyle name="Normal 8 2 2 2 2 3 2 2 4 2" xfId="33930" xr:uid="{00000000-0005-0000-0000-00008E900000}"/>
    <cellStyle name="Normal 8 2 2 2 2 3 2 2 5" xfId="26489" xr:uid="{00000000-0005-0000-0000-00008F900000}"/>
    <cellStyle name="Normal 8 2 2 2 2 3 2 3" xfId="5714" xr:uid="{00000000-0005-0000-0000-000090900000}"/>
    <cellStyle name="Normal 8 2 2 2 2 3 2 3 2" xfId="20598" xr:uid="{00000000-0005-0000-0000-000091900000}"/>
    <cellStyle name="Normal 8 2 2 2 2 3 2 3 2 2" xfId="43241" xr:uid="{00000000-0005-0000-0000-000092900000}"/>
    <cellStyle name="Normal 8 2 2 2 2 3 2 3 3" xfId="13158" xr:uid="{00000000-0005-0000-0000-000093900000}"/>
    <cellStyle name="Normal 8 2 2 2 2 3 2 3 3 2" xfId="35801" xr:uid="{00000000-0005-0000-0000-000094900000}"/>
    <cellStyle name="Normal 8 2 2 2 2 3 2 3 4" xfId="28360" xr:uid="{00000000-0005-0000-0000-000095900000}"/>
    <cellStyle name="Normal 8 2 2 2 2 3 2 4" xfId="16880" xr:uid="{00000000-0005-0000-0000-000096900000}"/>
    <cellStyle name="Normal 8 2 2 2 2 3 2 4 2" xfId="39523" xr:uid="{00000000-0005-0000-0000-000097900000}"/>
    <cellStyle name="Normal 8 2 2 2 2 3 2 5" xfId="9440" xr:uid="{00000000-0005-0000-0000-000098900000}"/>
    <cellStyle name="Normal 8 2 2 2 2 3 2 5 2" xfId="32083" xr:uid="{00000000-0005-0000-0000-000099900000}"/>
    <cellStyle name="Normal 8 2 2 2 2 3 2 6" xfId="24642" xr:uid="{00000000-0005-0000-0000-00009A900000}"/>
    <cellStyle name="Normal 8 2 2 2 2 3 3" xfId="2915" xr:uid="{00000000-0005-0000-0000-00009B900000}"/>
    <cellStyle name="Normal 8 2 2 2 2 3 3 2" xfId="6636" xr:uid="{00000000-0005-0000-0000-00009C900000}"/>
    <cellStyle name="Normal 8 2 2 2 2 3 3 2 2" xfId="21520" xr:uid="{00000000-0005-0000-0000-00009D900000}"/>
    <cellStyle name="Normal 8 2 2 2 2 3 3 2 2 2" xfId="44163" xr:uid="{00000000-0005-0000-0000-00009E900000}"/>
    <cellStyle name="Normal 8 2 2 2 2 3 3 2 3" xfId="14080" xr:uid="{00000000-0005-0000-0000-00009F900000}"/>
    <cellStyle name="Normal 8 2 2 2 2 3 3 2 3 2" xfId="36723" xr:uid="{00000000-0005-0000-0000-0000A0900000}"/>
    <cellStyle name="Normal 8 2 2 2 2 3 3 2 4" xfId="29282" xr:uid="{00000000-0005-0000-0000-0000A1900000}"/>
    <cellStyle name="Normal 8 2 2 2 2 3 3 3" xfId="17802" xr:uid="{00000000-0005-0000-0000-0000A2900000}"/>
    <cellStyle name="Normal 8 2 2 2 2 3 3 3 2" xfId="40445" xr:uid="{00000000-0005-0000-0000-0000A3900000}"/>
    <cellStyle name="Normal 8 2 2 2 2 3 3 4" xfId="10362" xr:uid="{00000000-0005-0000-0000-0000A4900000}"/>
    <cellStyle name="Normal 8 2 2 2 2 3 3 4 2" xfId="33005" xr:uid="{00000000-0005-0000-0000-0000A5900000}"/>
    <cellStyle name="Normal 8 2 2 2 2 3 3 5" xfId="25564" xr:uid="{00000000-0005-0000-0000-0000A6900000}"/>
    <cellStyle name="Normal 8 2 2 2 2 3 4" xfId="4789" xr:uid="{00000000-0005-0000-0000-0000A7900000}"/>
    <cellStyle name="Normal 8 2 2 2 2 3 4 2" xfId="19673" xr:uid="{00000000-0005-0000-0000-0000A8900000}"/>
    <cellStyle name="Normal 8 2 2 2 2 3 4 2 2" xfId="42316" xr:uid="{00000000-0005-0000-0000-0000A9900000}"/>
    <cellStyle name="Normal 8 2 2 2 2 3 4 3" xfId="12233" xr:uid="{00000000-0005-0000-0000-0000AA900000}"/>
    <cellStyle name="Normal 8 2 2 2 2 3 4 3 2" xfId="34876" xr:uid="{00000000-0005-0000-0000-0000AB900000}"/>
    <cellStyle name="Normal 8 2 2 2 2 3 4 4" xfId="27435" xr:uid="{00000000-0005-0000-0000-0000AC900000}"/>
    <cellStyle name="Normal 8 2 2 2 2 3 5" xfId="15955" xr:uid="{00000000-0005-0000-0000-0000AD900000}"/>
    <cellStyle name="Normal 8 2 2 2 2 3 5 2" xfId="38598" xr:uid="{00000000-0005-0000-0000-0000AE900000}"/>
    <cellStyle name="Normal 8 2 2 2 2 3 6" xfId="8515" xr:uid="{00000000-0005-0000-0000-0000AF900000}"/>
    <cellStyle name="Normal 8 2 2 2 2 3 6 2" xfId="31158" xr:uid="{00000000-0005-0000-0000-0000B0900000}"/>
    <cellStyle name="Normal 8 2 2 2 2 3 7" xfId="23717" xr:uid="{00000000-0005-0000-0000-0000B1900000}"/>
    <cellStyle name="Normal 8 2 2 2 2 4" xfId="1528" xr:uid="{00000000-0005-0000-0000-0000B2900000}"/>
    <cellStyle name="Normal 8 2 2 2 2 4 2" xfId="3378" xr:uid="{00000000-0005-0000-0000-0000B3900000}"/>
    <cellStyle name="Normal 8 2 2 2 2 4 2 2" xfId="7099" xr:uid="{00000000-0005-0000-0000-0000B4900000}"/>
    <cellStyle name="Normal 8 2 2 2 2 4 2 2 2" xfId="21983" xr:uid="{00000000-0005-0000-0000-0000B5900000}"/>
    <cellStyle name="Normal 8 2 2 2 2 4 2 2 2 2" xfId="44626" xr:uid="{00000000-0005-0000-0000-0000B6900000}"/>
    <cellStyle name="Normal 8 2 2 2 2 4 2 2 3" xfId="14543" xr:uid="{00000000-0005-0000-0000-0000B7900000}"/>
    <cellStyle name="Normal 8 2 2 2 2 4 2 2 3 2" xfId="37186" xr:uid="{00000000-0005-0000-0000-0000B8900000}"/>
    <cellStyle name="Normal 8 2 2 2 2 4 2 2 4" xfId="29745" xr:uid="{00000000-0005-0000-0000-0000B9900000}"/>
    <cellStyle name="Normal 8 2 2 2 2 4 2 3" xfId="18265" xr:uid="{00000000-0005-0000-0000-0000BA900000}"/>
    <cellStyle name="Normal 8 2 2 2 2 4 2 3 2" xfId="40908" xr:uid="{00000000-0005-0000-0000-0000BB900000}"/>
    <cellStyle name="Normal 8 2 2 2 2 4 2 4" xfId="10825" xr:uid="{00000000-0005-0000-0000-0000BC900000}"/>
    <cellStyle name="Normal 8 2 2 2 2 4 2 4 2" xfId="33468" xr:uid="{00000000-0005-0000-0000-0000BD900000}"/>
    <cellStyle name="Normal 8 2 2 2 2 4 2 5" xfId="26027" xr:uid="{00000000-0005-0000-0000-0000BE900000}"/>
    <cellStyle name="Normal 8 2 2 2 2 4 3" xfId="5252" xr:uid="{00000000-0005-0000-0000-0000BF900000}"/>
    <cellStyle name="Normal 8 2 2 2 2 4 3 2" xfId="20136" xr:uid="{00000000-0005-0000-0000-0000C0900000}"/>
    <cellStyle name="Normal 8 2 2 2 2 4 3 2 2" xfId="42779" xr:uid="{00000000-0005-0000-0000-0000C1900000}"/>
    <cellStyle name="Normal 8 2 2 2 2 4 3 3" xfId="12696" xr:uid="{00000000-0005-0000-0000-0000C2900000}"/>
    <cellStyle name="Normal 8 2 2 2 2 4 3 3 2" xfId="35339" xr:uid="{00000000-0005-0000-0000-0000C3900000}"/>
    <cellStyle name="Normal 8 2 2 2 2 4 3 4" xfId="27898" xr:uid="{00000000-0005-0000-0000-0000C4900000}"/>
    <cellStyle name="Normal 8 2 2 2 2 4 4" xfId="16418" xr:uid="{00000000-0005-0000-0000-0000C5900000}"/>
    <cellStyle name="Normal 8 2 2 2 2 4 4 2" xfId="39061" xr:uid="{00000000-0005-0000-0000-0000C6900000}"/>
    <cellStyle name="Normal 8 2 2 2 2 4 5" xfId="8978" xr:uid="{00000000-0005-0000-0000-0000C7900000}"/>
    <cellStyle name="Normal 8 2 2 2 2 4 5 2" xfId="31621" xr:uid="{00000000-0005-0000-0000-0000C8900000}"/>
    <cellStyle name="Normal 8 2 2 2 2 4 6" xfId="24180" xr:uid="{00000000-0005-0000-0000-0000C9900000}"/>
    <cellStyle name="Normal 8 2 2 2 2 5" xfId="2453" xr:uid="{00000000-0005-0000-0000-0000CA900000}"/>
    <cellStyle name="Normal 8 2 2 2 2 5 2" xfId="6174" xr:uid="{00000000-0005-0000-0000-0000CB900000}"/>
    <cellStyle name="Normal 8 2 2 2 2 5 2 2" xfId="21058" xr:uid="{00000000-0005-0000-0000-0000CC900000}"/>
    <cellStyle name="Normal 8 2 2 2 2 5 2 2 2" xfId="43701" xr:uid="{00000000-0005-0000-0000-0000CD900000}"/>
    <cellStyle name="Normal 8 2 2 2 2 5 2 3" xfId="13618" xr:uid="{00000000-0005-0000-0000-0000CE900000}"/>
    <cellStyle name="Normal 8 2 2 2 2 5 2 3 2" xfId="36261" xr:uid="{00000000-0005-0000-0000-0000CF900000}"/>
    <cellStyle name="Normal 8 2 2 2 2 5 2 4" xfId="28820" xr:uid="{00000000-0005-0000-0000-0000D0900000}"/>
    <cellStyle name="Normal 8 2 2 2 2 5 3" xfId="17340" xr:uid="{00000000-0005-0000-0000-0000D1900000}"/>
    <cellStyle name="Normal 8 2 2 2 2 5 3 2" xfId="39983" xr:uid="{00000000-0005-0000-0000-0000D2900000}"/>
    <cellStyle name="Normal 8 2 2 2 2 5 4" xfId="9900" xr:uid="{00000000-0005-0000-0000-0000D3900000}"/>
    <cellStyle name="Normal 8 2 2 2 2 5 4 2" xfId="32543" xr:uid="{00000000-0005-0000-0000-0000D4900000}"/>
    <cellStyle name="Normal 8 2 2 2 2 5 5" xfId="25102" xr:uid="{00000000-0005-0000-0000-0000D5900000}"/>
    <cellStyle name="Normal 8 2 2 2 2 6" xfId="4327" xr:uid="{00000000-0005-0000-0000-0000D6900000}"/>
    <cellStyle name="Normal 8 2 2 2 2 6 2" xfId="19211" xr:uid="{00000000-0005-0000-0000-0000D7900000}"/>
    <cellStyle name="Normal 8 2 2 2 2 6 2 2" xfId="41854" xr:uid="{00000000-0005-0000-0000-0000D8900000}"/>
    <cellStyle name="Normal 8 2 2 2 2 6 3" xfId="11771" xr:uid="{00000000-0005-0000-0000-0000D9900000}"/>
    <cellStyle name="Normal 8 2 2 2 2 6 3 2" xfId="34414" xr:uid="{00000000-0005-0000-0000-0000DA900000}"/>
    <cellStyle name="Normal 8 2 2 2 2 6 4" xfId="26973" xr:uid="{00000000-0005-0000-0000-0000DB900000}"/>
    <cellStyle name="Normal 8 2 2 2 2 7" xfId="15493" xr:uid="{00000000-0005-0000-0000-0000DC900000}"/>
    <cellStyle name="Normal 8 2 2 2 2 7 2" xfId="38136" xr:uid="{00000000-0005-0000-0000-0000DD900000}"/>
    <cellStyle name="Normal 8 2 2 2 2 8" xfId="8053" xr:uid="{00000000-0005-0000-0000-0000DE900000}"/>
    <cellStyle name="Normal 8 2 2 2 2 8 2" xfId="30696" xr:uid="{00000000-0005-0000-0000-0000DF900000}"/>
    <cellStyle name="Normal 8 2 2 2 2 9" xfId="23256" xr:uid="{00000000-0005-0000-0000-0000E0900000}"/>
    <cellStyle name="Normal 8 2 2 2 3" xfId="703" xr:uid="{00000000-0005-0000-0000-0000E1900000}"/>
    <cellStyle name="Normal 8 2 2 2 3 2" xfId="1168" xr:uid="{00000000-0005-0000-0000-0000E2900000}"/>
    <cellStyle name="Normal 8 2 2 2 3 2 2" xfId="2096" xr:uid="{00000000-0005-0000-0000-0000E3900000}"/>
    <cellStyle name="Normal 8 2 2 2 3 2 2 2" xfId="3946" xr:uid="{00000000-0005-0000-0000-0000E4900000}"/>
    <cellStyle name="Normal 8 2 2 2 3 2 2 2 2" xfId="7667" xr:uid="{00000000-0005-0000-0000-0000E5900000}"/>
    <cellStyle name="Normal 8 2 2 2 3 2 2 2 2 2" xfId="22551" xr:uid="{00000000-0005-0000-0000-0000E6900000}"/>
    <cellStyle name="Normal 8 2 2 2 3 2 2 2 2 2 2" xfId="45194" xr:uid="{00000000-0005-0000-0000-0000E7900000}"/>
    <cellStyle name="Normal 8 2 2 2 3 2 2 2 2 3" xfId="15111" xr:uid="{00000000-0005-0000-0000-0000E8900000}"/>
    <cellStyle name="Normal 8 2 2 2 3 2 2 2 2 3 2" xfId="37754" xr:uid="{00000000-0005-0000-0000-0000E9900000}"/>
    <cellStyle name="Normal 8 2 2 2 3 2 2 2 2 4" xfId="30313" xr:uid="{00000000-0005-0000-0000-0000EA900000}"/>
    <cellStyle name="Normal 8 2 2 2 3 2 2 2 3" xfId="18833" xr:uid="{00000000-0005-0000-0000-0000EB900000}"/>
    <cellStyle name="Normal 8 2 2 2 3 2 2 2 3 2" xfId="41476" xr:uid="{00000000-0005-0000-0000-0000EC900000}"/>
    <cellStyle name="Normal 8 2 2 2 3 2 2 2 4" xfId="11393" xr:uid="{00000000-0005-0000-0000-0000ED900000}"/>
    <cellStyle name="Normal 8 2 2 2 3 2 2 2 4 2" xfId="34036" xr:uid="{00000000-0005-0000-0000-0000EE900000}"/>
    <cellStyle name="Normal 8 2 2 2 3 2 2 2 5" xfId="26595" xr:uid="{00000000-0005-0000-0000-0000EF900000}"/>
    <cellStyle name="Normal 8 2 2 2 3 2 2 3" xfId="5820" xr:uid="{00000000-0005-0000-0000-0000F0900000}"/>
    <cellStyle name="Normal 8 2 2 2 3 2 2 3 2" xfId="20704" xr:uid="{00000000-0005-0000-0000-0000F1900000}"/>
    <cellStyle name="Normal 8 2 2 2 3 2 2 3 2 2" xfId="43347" xr:uid="{00000000-0005-0000-0000-0000F2900000}"/>
    <cellStyle name="Normal 8 2 2 2 3 2 2 3 3" xfId="13264" xr:uid="{00000000-0005-0000-0000-0000F3900000}"/>
    <cellStyle name="Normal 8 2 2 2 3 2 2 3 3 2" xfId="35907" xr:uid="{00000000-0005-0000-0000-0000F4900000}"/>
    <cellStyle name="Normal 8 2 2 2 3 2 2 3 4" xfId="28466" xr:uid="{00000000-0005-0000-0000-0000F5900000}"/>
    <cellStyle name="Normal 8 2 2 2 3 2 2 4" xfId="16986" xr:uid="{00000000-0005-0000-0000-0000F6900000}"/>
    <cellStyle name="Normal 8 2 2 2 3 2 2 4 2" xfId="39629" xr:uid="{00000000-0005-0000-0000-0000F7900000}"/>
    <cellStyle name="Normal 8 2 2 2 3 2 2 5" xfId="9546" xr:uid="{00000000-0005-0000-0000-0000F8900000}"/>
    <cellStyle name="Normal 8 2 2 2 3 2 2 5 2" xfId="32189" xr:uid="{00000000-0005-0000-0000-0000F9900000}"/>
    <cellStyle name="Normal 8 2 2 2 3 2 2 6" xfId="24748" xr:uid="{00000000-0005-0000-0000-0000FA900000}"/>
    <cellStyle name="Normal 8 2 2 2 3 2 3" xfId="3021" xr:uid="{00000000-0005-0000-0000-0000FB900000}"/>
    <cellStyle name="Normal 8 2 2 2 3 2 3 2" xfId="6742" xr:uid="{00000000-0005-0000-0000-0000FC900000}"/>
    <cellStyle name="Normal 8 2 2 2 3 2 3 2 2" xfId="21626" xr:uid="{00000000-0005-0000-0000-0000FD900000}"/>
    <cellStyle name="Normal 8 2 2 2 3 2 3 2 2 2" xfId="44269" xr:uid="{00000000-0005-0000-0000-0000FE900000}"/>
    <cellStyle name="Normal 8 2 2 2 3 2 3 2 3" xfId="14186" xr:uid="{00000000-0005-0000-0000-0000FF900000}"/>
    <cellStyle name="Normal 8 2 2 2 3 2 3 2 3 2" xfId="36829" xr:uid="{00000000-0005-0000-0000-000000910000}"/>
    <cellStyle name="Normal 8 2 2 2 3 2 3 2 4" xfId="29388" xr:uid="{00000000-0005-0000-0000-000001910000}"/>
    <cellStyle name="Normal 8 2 2 2 3 2 3 3" xfId="17908" xr:uid="{00000000-0005-0000-0000-000002910000}"/>
    <cellStyle name="Normal 8 2 2 2 3 2 3 3 2" xfId="40551" xr:uid="{00000000-0005-0000-0000-000003910000}"/>
    <cellStyle name="Normal 8 2 2 2 3 2 3 4" xfId="10468" xr:uid="{00000000-0005-0000-0000-000004910000}"/>
    <cellStyle name="Normal 8 2 2 2 3 2 3 4 2" xfId="33111" xr:uid="{00000000-0005-0000-0000-000005910000}"/>
    <cellStyle name="Normal 8 2 2 2 3 2 3 5" xfId="25670" xr:uid="{00000000-0005-0000-0000-000006910000}"/>
    <cellStyle name="Normal 8 2 2 2 3 2 4" xfId="4895" xr:uid="{00000000-0005-0000-0000-000007910000}"/>
    <cellStyle name="Normal 8 2 2 2 3 2 4 2" xfId="19779" xr:uid="{00000000-0005-0000-0000-000008910000}"/>
    <cellStyle name="Normal 8 2 2 2 3 2 4 2 2" xfId="42422" xr:uid="{00000000-0005-0000-0000-000009910000}"/>
    <cellStyle name="Normal 8 2 2 2 3 2 4 3" xfId="12339" xr:uid="{00000000-0005-0000-0000-00000A910000}"/>
    <cellStyle name="Normal 8 2 2 2 3 2 4 3 2" xfId="34982" xr:uid="{00000000-0005-0000-0000-00000B910000}"/>
    <cellStyle name="Normal 8 2 2 2 3 2 4 4" xfId="27541" xr:uid="{00000000-0005-0000-0000-00000C910000}"/>
    <cellStyle name="Normal 8 2 2 2 3 2 5" xfId="16061" xr:uid="{00000000-0005-0000-0000-00000D910000}"/>
    <cellStyle name="Normal 8 2 2 2 3 2 5 2" xfId="38704" xr:uid="{00000000-0005-0000-0000-00000E910000}"/>
    <cellStyle name="Normal 8 2 2 2 3 2 6" xfId="8621" xr:uid="{00000000-0005-0000-0000-00000F910000}"/>
    <cellStyle name="Normal 8 2 2 2 3 2 6 2" xfId="31264" xr:uid="{00000000-0005-0000-0000-000010910000}"/>
    <cellStyle name="Normal 8 2 2 2 3 2 7" xfId="23823" xr:uid="{00000000-0005-0000-0000-000011910000}"/>
    <cellStyle name="Normal 8 2 2 2 3 3" xfId="1634" xr:uid="{00000000-0005-0000-0000-000012910000}"/>
    <cellStyle name="Normal 8 2 2 2 3 3 2" xfId="3484" xr:uid="{00000000-0005-0000-0000-000013910000}"/>
    <cellStyle name="Normal 8 2 2 2 3 3 2 2" xfId="7205" xr:uid="{00000000-0005-0000-0000-000014910000}"/>
    <cellStyle name="Normal 8 2 2 2 3 3 2 2 2" xfId="22089" xr:uid="{00000000-0005-0000-0000-000015910000}"/>
    <cellStyle name="Normal 8 2 2 2 3 3 2 2 2 2" xfId="44732" xr:uid="{00000000-0005-0000-0000-000016910000}"/>
    <cellStyle name="Normal 8 2 2 2 3 3 2 2 3" xfId="14649" xr:uid="{00000000-0005-0000-0000-000017910000}"/>
    <cellStyle name="Normal 8 2 2 2 3 3 2 2 3 2" xfId="37292" xr:uid="{00000000-0005-0000-0000-000018910000}"/>
    <cellStyle name="Normal 8 2 2 2 3 3 2 2 4" xfId="29851" xr:uid="{00000000-0005-0000-0000-000019910000}"/>
    <cellStyle name="Normal 8 2 2 2 3 3 2 3" xfId="18371" xr:uid="{00000000-0005-0000-0000-00001A910000}"/>
    <cellStyle name="Normal 8 2 2 2 3 3 2 3 2" xfId="41014" xr:uid="{00000000-0005-0000-0000-00001B910000}"/>
    <cellStyle name="Normal 8 2 2 2 3 3 2 4" xfId="10931" xr:uid="{00000000-0005-0000-0000-00001C910000}"/>
    <cellStyle name="Normal 8 2 2 2 3 3 2 4 2" xfId="33574" xr:uid="{00000000-0005-0000-0000-00001D910000}"/>
    <cellStyle name="Normal 8 2 2 2 3 3 2 5" xfId="26133" xr:uid="{00000000-0005-0000-0000-00001E910000}"/>
    <cellStyle name="Normal 8 2 2 2 3 3 3" xfId="5358" xr:uid="{00000000-0005-0000-0000-00001F910000}"/>
    <cellStyle name="Normal 8 2 2 2 3 3 3 2" xfId="20242" xr:uid="{00000000-0005-0000-0000-000020910000}"/>
    <cellStyle name="Normal 8 2 2 2 3 3 3 2 2" xfId="42885" xr:uid="{00000000-0005-0000-0000-000021910000}"/>
    <cellStyle name="Normal 8 2 2 2 3 3 3 3" xfId="12802" xr:uid="{00000000-0005-0000-0000-000022910000}"/>
    <cellStyle name="Normal 8 2 2 2 3 3 3 3 2" xfId="35445" xr:uid="{00000000-0005-0000-0000-000023910000}"/>
    <cellStyle name="Normal 8 2 2 2 3 3 3 4" xfId="28004" xr:uid="{00000000-0005-0000-0000-000024910000}"/>
    <cellStyle name="Normal 8 2 2 2 3 3 4" xfId="16524" xr:uid="{00000000-0005-0000-0000-000025910000}"/>
    <cellStyle name="Normal 8 2 2 2 3 3 4 2" xfId="39167" xr:uid="{00000000-0005-0000-0000-000026910000}"/>
    <cellStyle name="Normal 8 2 2 2 3 3 5" xfId="9084" xr:uid="{00000000-0005-0000-0000-000027910000}"/>
    <cellStyle name="Normal 8 2 2 2 3 3 5 2" xfId="31727" xr:uid="{00000000-0005-0000-0000-000028910000}"/>
    <cellStyle name="Normal 8 2 2 2 3 3 6" xfId="24286" xr:uid="{00000000-0005-0000-0000-000029910000}"/>
    <cellStyle name="Normal 8 2 2 2 3 4" xfId="2559" xr:uid="{00000000-0005-0000-0000-00002A910000}"/>
    <cellStyle name="Normal 8 2 2 2 3 4 2" xfId="6280" xr:uid="{00000000-0005-0000-0000-00002B910000}"/>
    <cellStyle name="Normal 8 2 2 2 3 4 2 2" xfId="21164" xr:uid="{00000000-0005-0000-0000-00002C910000}"/>
    <cellStyle name="Normal 8 2 2 2 3 4 2 2 2" xfId="43807" xr:uid="{00000000-0005-0000-0000-00002D910000}"/>
    <cellStyle name="Normal 8 2 2 2 3 4 2 3" xfId="13724" xr:uid="{00000000-0005-0000-0000-00002E910000}"/>
    <cellStyle name="Normal 8 2 2 2 3 4 2 3 2" xfId="36367" xr:uid="{00000000-0005-0000-0000-00002F910000}"/>
    <cellStyle name="Normal 8 2 2 2 3 4 2 4" xfId="28926" xr:uid="{00000000-0005-0000-0000-000030910000}"/>
    <cellStyle name="Normal 8 2 2 2 3 4 3" xfId="17446" xr:uid="{00000000-0005-0000-0000-000031910000}"/>
    <cellStyle name="Normal 8 2 2 2 3 4 3 2" xfId="40089" xr:uid="{00000000-0005-0000-0000-000032910000}"/>
    <cellStyle name="Normal 8 2 2 2 3 4 4" xfId="10006" xr:uid="{00000000-0005-0000-0000-000033910000}"/>
    <cellStyle name="Normal 8 2 2 2 3 4 4 2" xfId="32649" xr:uid="{00000000-0005-0000-0000-000034910000}"/>
    <cellStyle name="Normal 8 2 2 2 3 4 5" xfId="25208" xr:uid="{00000000-0005-0000-0000-000035910000}"/>
    <cellStyle name="Normal 8 2 2 2 3 5" xfId="4433" xr:uid="{00000000-0005-0000-0000-000036910000}"/>
    <cellStyle name="Normal 8 2 2 2 3 5 2" xfId="19317" xr:uid="{00000000-0005-0000-0000-000037910000}"/>
    <cellStyle name="Normal 8 2 2 2 3 5 2 2" xfId="41960" xr:uid="{00000000-0005-0000-0000-000038910000}"/>
    <cellStyle name="Normal 8 2 2 2 3 5 3" xfId="11877" xr:uid="{00000000-0005-0000-0000-000039910000}"/>
    <cellStyle name="Normal 8 2 2 2 3 5 3 2" xfId="34520" xr:uid="{00000000-0005-0000-0000-00003A910000}"/>
    <cellStyle name="Normal 8 2 2 2 3 5 4" xfId="27079" xr:uid="{00000000-0005-0000-0000-00003B910000}"/>
    <cellStyle name="Normal 8 2 2 2 3 6" xfId="15599" xr:uid="{00000000-0005-0000-0000-00003C910000}"/>
    <cellStyle name="Normal 8 2 2 2 3 6 2" xfId="38242" xr:uid="{00000000-0005-0000-0000-00003D910000}"/>
    <cellStyle name="Normal 8 2 2 2 3 7" xfId="8159" xr:uid="{00000000-0005-0000-0000-00003E910000}"/>
    <cellStyle name="Normal 8 2 2 2 3 7 2" xfId="30802" xr:uid="{00000000-0005-0000-0000-00003F910000}"/>
    <cellStyle name="Normal 8 2 2 2 3 8" xfId="23361" xr:uid="{00000000-0005-0000-0000-000040910000}"/>
    <cellStyle name="Normal 8 2 2 2 4" xfId="957" xr:uid="{00000000-0005-0000-0000-000041910000}"/>
    <cellStyle name="Normal 8 2 2 2 4 2" xfId="1885" xr:uid="{00000000-0005-0000-0000-000042910000}"/>
    <cellStyle name="Normal 8 2 2 2 4 2 2" xfId="3735" xr:uid="{00000000-0005-0000-0000-000043910000}"/>
    <cellStyle name="Normal 8 2 2 2 4 2 2 2" xfId="7456" xr:uid="{00000000-0005-0000-0000-000044910000}"/>
    <cellStyle name="Normal 8 2 2 2 4 2 2 2 2" xfId="22340" xr:uid="{00000000-0005-0000-0000-000045910000}"/>
    <cellStyle name="Normal 8 2 2 2 4 2 2 2 2 2" xfId="44983" xr:uid="{00000000-0005-0000-0000-000046910000}"/>
    <cellStyle name="Normal 8 2 2 2 4 2 2 2 3" xfId="14900" xr:uid="{00000000-0005-0000-0000-000047910000}"/>
    <cellStyle name="Normal 8 2 2 2 4 2 2 2 3 2" xfId="37543" xr:uid="{00000000-0005-0000-0000-000048910000}"/>
    <cellStyle name="Normal 8 2 2 2 4 2 2 2 4" xfId="30102" xr:uid="{00000000-0005-0000-0000-000049910000}"/>
    <cellStyle name="Normal 8 2 2 2 4 2 2 3" xfId="18622" xr:uid="{00000000-0005-0000-0000-00004A910000}"/>
    <cellStyle name="Normal 8 2 2 2 4 2 2 3 2" xfId="41265" xr:uid="{00000000-0005-0000-0000-00004B910000}"/>
    <cellStyle name="Normal 8 2 2 2 4 2 2 4" xfId="11182" xr:uid="{00000000-0005-0000-0000-00004C910000}"/>
    <cellStyle name="Normal 8 2 2 2 4 2 2 4 2" xfId="33825" xr:uid="{00000000-0005-0000-0000-00004D910000}"/>
    <cellStyle name="Normal 8 2 2 2 4 2 2 5" xfId="26384" xr:uid="{00000000-0005-0000-0000-00004E910000}"/>
    <cellStyle name="Normal 8 2 2 2 4 2 3" xfId="5609" xr:uid="{00000000-0005-0000-0000-00004F910000}"/>
    <cellStyle name="Normal 8 2 2 2 4 2 3 2" xfId="20493" xr:uid="{00000000-0005-0000-0000-000050910000}"/>
    <cellStyle name="Normal 8 2 2 2 4 2 3 2 2" xfId="43136" xr:uid="{00000000-0005-0000-0000-000051910000}"/>
    <cellStyle name="Normal 8 2 2 2 4 2 3 3" xfId="13053" xr:uid="{00000000-0005-0000-0000-000052910000}"/>
    <cellStyle name="Normal 8 2 2 2 4 2 3 3 2" xfId="35696" xr:uid="{00000000-0005-0000-0000-000053910000}"/>
    <cellStyle name="Normal 8 2 2 2 4 2 3 4" xfId="28255" xr:uid="{00000000-0005-0000-0000-000054910000}"/>
    <cellStyle name="Normal 8 2 2 2 4 2 4" xfId="16775" xr:uid="{00000000-0005-0000-0000-000055910000}"/>
    <cellStyle name="Normal 8 2 2 2 4 2 4 2" xfId="39418" xr:uid="{00000000-0005-0000-0000-000056910000}"/>
    <cellStyle name="Normal 8 2 2 2 4 2 5" xfId="9335" xr:uid="{00000000-0005-0000-0000-000057910000}"/>
    <cellStyle name="Normal 8 2 2 2 4 2 5 2" xfId="31978" xr:uid="{00000000-0005-0000-0000-000058910000}"/>
    <cellStyle name="Normal 8 2 2 2 4 2 6" xfId="24537" xr:uid="{00000000-0005-0000-0000-000059910000}"/>
    <cellStyle name="Normal 8 2 2 2 4 3" xfId="2810" xr:uid="{00000000-0005-0000-0000-00005A910000}"/>
    <cellStyle name="Normal 8 2 2 2 4 3 2" xfId="6531" xr:uid="{00000000-0005-0000-0000-00005B910000}"/>
    <cellStyle name="Normal 8 2 2 2 4 3 2 2" xfId="21415" xr:uid="{00000000-0005-0000-0000-00005C910000}"/>
    <cellStyle name="Normal 8 2 2 2 4 3 2 2 2" xfId="44058" xr:uid="{00000000-0005-0000-0000-00005D910000}"/>
    <cellStyle name="Normal 8 2 2 2 4 3 2 3" xfId="13975" xr:uid="{00000000-0005-0000-0000-00005E910000}"/>
    <cellStyle name="Normal 8 2 2 2 4 3 2 3 2" xfId="36618" xr:uid="{00000000-0005-0000-0000-00005F910000}"/>
    <cellStyle name="Normal 8 2 2 2 4 3 2 4" xfId="29177" xr:uid="{00000000-0005-0000-0000-000060910000}"/>
    <cellStyle name="Normal 8 2 2 2 4 3 3" xfId="17697" xr:uid="{00000000-0005-0000-0000-000061910000}"/>
    <cellStyle name="Normal 8 2 2 2 4 3 3 2" xfId="40340" xr:uid="{00000000-0005-0000-0000-000062910000}"/>
    <cellStyle name="Normal 8 2 2 2 4 3 4" xfId="10257" xr:uid="{00000000-0005-0000-0000-000063910000}"/>
    <cellStyle name="Normal 8 2 2 2 4 3 4 2" xfId="32900" xr:uid="{00000000-0005-0000-0000-000064910000}"/>
    <cellStyle name="Normal 8 2 2 2 4 3 5" xfId="25459" xr:uid="{00000000-0005-0000-0000-000065910000}"/>
    <cellStyle name="Normal 8 2 2 2 4 4" xfId="4684" xr:uid="{00000000-0005-0000-0000-000066910000}"/>
    <cellStyle name="Normal 8 2 2 2 4 4 2" xfId="19568" xr:uid="{00000000-0005-0000-0000-000067910000}"/>
    <cellStyle name="Normal 8 2 2 2 4 4 2 2" xfId="42211" xr:uid="{00000000-0005-0000-0000-000068910000}"/>
    <cellStyle name="Normal 8 2 2 2 4 4 3" xfId="12128" xr:uid="{00000000-0005-0000-0000-000069910000}"/>
    <cellStyle name="Normal 8 2 2 2 4 4 3 2" xfId="34771" xr:uid="{00000000-0005-0000-0000-00006A910000}"/>
    <cellStyle name="Normal 8 2 2 2 4 4 4" xfId="27330" xr:uid="{00000000-0005-0000-0000-00006B910000}"/>
    <cellStyle name="Normal 8 2 2 2 4 5" xfId="15850" xr:uid="{00000000-0005-0000-0000-00006C910000}"/>
    <cellStyle name="Normal 8 2 2 2 4 5 2" xfId="38493" xr:uid="{00000000-0005-0000-0000-00006D910000}"/>
    <cellStyle name="Normal 8 2 2 2 4 6" xfId="8410" xr:uid="{00000000-0005-0000-0000-00006E910000}"/>
    <cellStyle name="Normal 8 2 2 2 4 6 2" xfId="31053" xr:uid="{00000000-0005-0000-0000-00006F910000}"/>
    <cellStyle name="Normal 8 2 2 2 4 7" xfId="23612" xr:uid="{00000000-0005-0000-0000-000070910000}"/>
    <cellStyle name="Normal 8 2 2 2 5" xfId="1423" xr:uid="{00000000-0005-0000-0000-000071910000}"/>
    <cellStyle name="Normal 8 2 2 2 5 2" xfId="3273" xr:uid="{00000000-0005-0000-0000-000072910000}"/>
    <cellStyle name="Normal 8 2 2 2 5 2 2" xfId="6994" xr:uid="{00000000-0005-0000-0000-000073910000}"/>
    <cellStyle name="Normal 8 2 2 2 5 2 2 2" xfId="21878" xr:uid="{00000000-0005-0000-0000-000074910000}"/>
    <cellStyle name="Normal 8 2 2 2 5 2 2 2 2" xfId="44521" xr:uid="{00000000-0005-0000-0000-000075910000}"/>
    <cellStyle name="Normal 8 2 2 2 5 2 2 3" xfId="14438" xr:uid="{00000000-0005-0000-0000-000076910000}"/>
    <cellStyle name="Normal 8 2 2 2 5 2 2 3 2" xfId="37081" xr:uid="{00000000-0005-0000-0000-000077910000}"/>
    <cellStyle name="Normal 8 2 2 2 5 2 2 4" xfId="29640" xr:uid="{00000000-0005-0000-0000-000078910000}"/>
    <cellStyle name="Normal 8 2 2 2 5 2 3" xfId="18160" xr:uid="{00000000-0005-0000-0000-000079910000}"/>
    <cellStyle name="Normal 8 2 2 2 5 2 3 2" xfId="40803" xr:uid="{00000000-0005-0000-0000-00007A910000}"/>
    <cellStyle name="Normal 8 2 2 2 5 2 4" xfId="10720" xr:uid="{00000000-0005-0000-0000-00007B910000}"/>
    <cellStyle name="Normal 8 2 2 2 5 2 4 2" xfId="33363" xr:uid="{00000000-0005-0000-0000-00007C910000}"/>
    <cellStyle name="Normal 8 2 2 2 5 2 5" xfId="25922" xr:uid="{00000000-0005-0000-0000-00007D910000}"/>
    <cellStyle name="Normal 8 2 2 2 5 3" xfId="5147" xr:uid="{00000000-0005-0000-0000-00007E910000}"/>
    <cellStyle name="Normal 8 2 2 2 5 3 2" xfId="20031" xr:uid="{00000000-0005-0000-0000-00007F910000}"/>
    <cellStyle name="Normal 8 2 2 2 5 3 2 2" xfId="42674" xr:uid="{00000000-0005-0000-0000-000080910000}"/>
    <cellStyle name="Normal 8 2 2 2 5 3 3" xfId="12591" xr:uid="{00000000-0005-0000-0000-000081910000}"/>
    <cellStyle name="Normal 8 2 2 2 5 3 3 2" xfId="35234" xr:uid="{00000000-0005-0000-0000-000082910000}"/>
    <cellStyle name="Normal 8 2 2 2 5 3 4" xfId="27793" xr:uid="{00000000-0005-0000-0000-000083910000}"/>
    <cellStyle name="Normal 8 2 2 2 5 4" xfId="16313" xr:uid="{00000000-0005-0000-0000-000084910000}"/>
    <cellStyle name="Normal 8 2 2 2 5 4 2" xfId="38956" xr:uid="{00000000-0005-0000-0000-000085910000}"/>
    <cellStyle name="Normal 8 2 2 2 5 5" xfId="8873" xr:uid="{00000000-0005-0000-0000-000086910000}"/>
    <cellStyle name="Normal 8 2 2 2 5 5 2" xfId="31516" xr:uid="{00000000-0005-0000-0000-000087910000}"/>
    <cellStyle name="Normal 8 2 2 2 5 6" xfId="24075" xr:uid="{00000000-0005-0000-0000-000088910000}"/>
    <cellStyle name="Normal 8 2 2 2 6" xfId="2348" xr:uid="{00000000-0005-0000-0000-000089910000}"/>
    <cellStyle name="Normal 8 2 2 2 6 2" xfId="6069" xr:uid="{00000000-0005-0000-0000-00008A910000}"/>
    <cellStyle name="Normal 8 2 2 2 6 2 2" xfId="20953" xr:uid="{00000000-0005-0000-0000-00008B910000}"/>
    <cellStyle name="Normal 8 2 2 2 6 2 2 2" xfId="43596" xr:uid="{00000000-0005-0000-0000-00008C910000}"/>
    <cellStyle name="Normal 8 2 2 2 6 2 3" xfId="13513" xr:uid="{00000000-0005-0000-0000-00008D910000}"/>
    <cellStyle name="Normal 8 2 2 2 6 2 3 2" xfId="36156" xr:uid="{00000000-0005-0000-0000-00008E910000}"/>
    <cellStyle name="Normal 8 2 2 2 6 2 4" xfId="28715" xr:uid="{00000000-0005-0000-0000-00008F910000}"/>
    <cellStyle name="Normal 8 2 2 2 6 3" xfId="17235" xr:uid="{00000000-0005-0000-0000-000090910000}"/>
    <cellStyle name="Normal 8 2 2 2 6 3 2" xfId="39878" xr:uid="{00000000-0005-0000-0000-000091910000}"/>
    <cellStyle name="Normal 8 2 2 2 6 4" xfId="9795" xr:uid="{00000000-0005-0000-0000-000092910000}"/>
    <cellStyle name="Normal 8 2 2 2 6 4 2" xfId="32438" xr:uid="{00000000-0005-0000-0000-000093910000}"/>
    <cellStyle name="Normal 8 2 2 2 6 5" xfId="24997" xr:uid="{00000000-0005-0000-0000-000094910000}"/>
    <cellStyle name="Normal 8 2 2 2 7" xfId="4222" xr:uid="{00000000-0005-0000-0000-000095910000}"/>
    <cellStyle name="Normal 8 2 2 2 7 2" xfId="19106" xr:uid="{00000000-0005-0000-0000-000096910000}"/>
    <cellStyle name="Normal 8 2 2 2 7 2 2" xfId="41749" xr:uid="{00000000-0005-0000-0000-000097910000}"/>
    <cellStyle name="Normal 8 2 2 2 7 3" xfId="11666" xr:uid="{00000000-0005-0000-0000-000098910000}"/>
    <cellStyle name="Normal 8 2 2 2 7 3 2" xfId="34309" xr:uid="{00000000-0005-0000-0000-000099910000}"/>
    <cellStyle name="Normal 8 2 2 2 7 4" xfId="26868" xr:uid="{00000000-0005-0000-0000-00009A910000}"/>
    <cellStyle name="Normal 8 2 2 2 8" xfId="15388" xr:uid="{00000000-0005-0000-0000-00009B910000}"/>
    <cellStyle name="Normal 8 2 2 2 8 2" xfId="38031" xr:uid="{00000000-0005-0000-0000-00009C910000}"/>
    <cellStyle name="Normal 8 2 2 2 9" xfId="7948" xr:uid="{00000000-0005-0000-0000-00009D910000}"/>
    <cellStyle name="Normal 8 2 2 2 9 2" xfId="30591" xr:uid="{00000000-0005-0000-0000-00009E910000}"/>
    <cellStyle name="Normal 8 2 2 3" xfId="544" xr:uid="{00000000-0005-0000-0000-00009F910000}"/>
    <cellStyle name="Normal 8 2 2 3 2" xfId="756" xr:uid="{00000000-0005-0000-0000-0000A0910000}"/>
    <cellStyle name="Normal 8 2 2 3 2 2" xfId="1221" xr:uid="{00000000-0005-0000-0000-0000A1910000}"/>
    <cellStyle name="Normal 8 2 2 3 2 2 2" xfId="2149" xr:uid="{00000000-0005-0000-0000-0000A2910000}"/>
    <cellStyle name="Normal 8 2 2 3 2 2 2 2" xfId="3999" xr:uid="{00000000-0005-0000-0000-0000A3910000}"/>
    <cellStyle name="Normal 8 2 2 3 2 2 2 2 2" xfId="7720" xr:uid="{00000000-0005-0000-0000-0000A4910000}"/>
    <cellStyle name="Normal 8 2 2 3 2 2 2 2 2 2" xfId="22604" xr:uid="{00000000-0005-0000-0000-0000A5910000}"/>
    <cellStyle name="Normal 8 2 2 3 2 2 2 2 2 2 2" xfId="45247" xr:uid="{00000000-0005-0000-0000-0000A6910000}"/>
    <cellStyle name="Normal 8 2 2 3 2 2 2 2 2 3" xfId="15164" xr:uid="{00000000-0005-0000-0000-0000A7910000}"/>
    <cellStyle name="Normal 8 2 2 3 2 2 2 2 2 3 2" xfId="37807" xr:uid="{00000000-0005-0000-0000-0000A8910000}"/>
    <cellStyle name="Normal 8 2 2 3 2 2 2 2 2 4" xfId="30366" xr:uid="{00000000-0005-0000-0000-0000A9910000}"/>
    <cellStyle name="Normal 8 2 2 3 2 2 2 2 3" xfId="18886" xr:uid="{00000000-0005-0000-0000-0000AA910000}"/>
    <cellStyle name="Normal 8 2 2 3 2 2 2 2 3 2" xfId="41529" xr:uid="{00000000-0005-0000-0000-0000AB910000}"/>
    <cellStyle name="Normal 8 2 2 3 2 2 2 2 4" xfId="11446" xr:uid="{00000000-0005-0000-0000-0000AC910000}"/>
    <cellStyle name="Normal 8 2 2 3 2 2 2 2 4 2" xfId="34089" xr:uid="{00000000-0005-0000-0000-0000AD910000}"/>
    <cellStyle name="Normal 8 2 2 3 2 2 2 2 5" xfId="26648" xr:uid="{00000000-0005-0000-0000-0000AE910000}"/>
    <cellStyle name="Normal 8 2 2 3 2 2 2 3" xfId="5873" xr:uid="{00000000-0005-0000-0000-0000AF910000}"/>
    <cellStyle name="Normal 8 2 2 3 2 2 2 3 2" xfId="20757" xr:uid="{00000000-0005-0000-0000-0000B0910000}"/>
    <cellStyle name="Normal 8 2 2 3 2 2 2 3 2 2" xfId="43400" xr:uid="{00000000-0005-0000-0000-0000B1910000}"/>
    <cellStyle name="Normal 8 2 2 3 2 2 2 3 3" xfId="13317" xr:uid="{00000000-0005-0000-0000-0000B2910000}"/>
    <cellStyle name="Normal 8 2 2 3 2 2 2 3 3 2" xfId="35960" xr:uid="{00000000-0005-0000-0000-0000B3910000}"/>
    <cellStyle name="Normal 8 2 2 3 2 2 2 3 4" xfId="28519" xr:uid="{00000000-0005-0000-0000-0000B4910000}"/>
    <cellStyle name="Normal 8 2 2 3 2 2 2 4" xfId="17039" xr:uid="{00000000-0005-0000-0000-0000B5910000}"/>
    <cellStyle name="Normal 8 2 2 3 2 2 2 4 2" xfId="39682" xr:uid="{00000000-0005-0000-0000-0000B6910000}"/>
    <cellStyle name="Normal 8 2 2 3 2 2 2 5" xfId="9599" xr:uid="{00000000-0005-0000-0000-0000B7910000}"/>
    <cellStyle name="Normal 8 2 2 3 2 2 2 5 2" xfId="32242" xr:uid="{00000000-0005-0000-0000-0000B8910000}"/>
    <cellStyle name="Normal 8 2 2 3 2 2 2 6" xfId="24801" xr:uid="{00000000-0005-0000-0000-0000B9910000}"/>
    <cellStyle name="Normal 8 2 2 3 2 2 3" xfId="3074" xr:uid="{00000000-0005-0000-0000-0000BA910000}"/>
    <cellStyle name="Normal 8 2 2 3 2 2 3 2" xfId="6795" xr:uid="{00000000-0005-0000-0000-0000BB910000}"/>
    <cellStyle name="Normal 8 2 2 3 2 2 3 2 2" xfId="21679" xr:uid="{00000000-0005-0000-0000-0000BC910000}"/>
    <cellStyle name="Normal 8 2 2 3 2 2 3 2 2 2" xfId="44322" xr:uid="{00000000-0005-0000-0000-0000BD910000}"/>
    <cellStyle name="Normal 8 2 2 3 2 2 3 2 3" xfId="14239" xr:uid="{00000000-0005-0000-0000-0000BE910000}"/>
    <cellStyle name="Normal 8 2 2 3 2 2 3 2 3 2" xfId="36882" xr:uid="{00000000-0005-0000-0000-0000BF910000}"/>
    <cellStyle name="Normal 8 2 2 3 2 2 3 2 4" xfId="29441" xr:uid="{00000000-0005-0000-0000-0000C0910000}"/>
    <cellStyle name="Normal 8 2 2 3 2 2 3 3" xfId="17961" xr:uid="{00000000-0005-0000-0000-0000C1910000}"/>
    <cellStyle name="Normal 8 2 2 3 2 2 3 3 2" xfId="40604" xr:uid="{00000000-0005-0000-0000-0000C2910000}"/>
    <cellStyle name="Normal 8 2 2 3 2 2 3 4" xfId="10521" xr:uid="{00000000-0005-0000-0000-0000C3910000}"/>
    <cellStyle name="Normal 8 2 2 3 2 2 3 4 2" xfId="33164" xr:uid="{00000000-0005-0000-0000-0000C4910000}"/>
    <cellStyle name="Normal 8 2 2 3 2 2 3 5" xfId="25723" xr:uid="{00000000-0005-0000-0000-0000C5910000}"/>
    <cellStyle name="Normal 8 2 2 3 2 2 4" xfId="4948" xr:uid="{00000000-0005-0000-0000-0000C6910000}"/>
    <cellStyle name="Normal 8 2 2 3 2 2 4 2" xfId="19832" xr:uid="{00000000-0005-0000-0000-0000C7910000}"/>
    <cellStyle name="Normal 8 2 2 3 2 2 4 2 2" xfId="42475" xr:uid="{00000000-0005-0000-0000-0000C8910000}"/>
    <cellStyle name="Normal 8 2 2 3 2 2 4 3" xfId="12392" xr:uid="{00000000-0005-0000-0000-0000C9910000}"/>
    <cellStyle name="Normal 8 2 2 3 2 2 4 3 2" xfId="35035" xr:uid="{00000000-0005-0000-0000-0000CA910000}"/>
    <cellStyle name="Normal 8 2 2 3 2 2 4 4" xfId="27594" xr:uid="{00000000-0005-0000-0000-0000CB910000}"/>
    <cellStyle name="Normal 8 2 2 3 2 2 5" xfId="16114" xr:uid="{00000000-0005-0000-0000-0000CC910000}"/>
    <cellStyle name="Normal 8 2 2 3 2 2 5 2" xfId="38757" xr:uid="{00000000-0005-0000-0000-0000CD910000}"/>
    <cellStyle name="Normal 8 2 2 3 2 2 6" xfId="8674" xr:uid="{00000000-0005-0000-0000-0000CE910000}"/>
    <cellStyle name="Normal 8 2 2 3 2 2 6 2" xfId="31317" xr:uid="{00000000-0005-0000-0000-0000CF910000}"/>
    <cellStyle name="Normal 8 2 2 3 2 2 7" xfId="23876" xr:uid="{00000000-0005-0000-0000-0000D0910000}"/>
    <cellStyle name="Normal 8 2 2 3 2 3" xfId="1687" xr:uid="{00000000-0005-0000-0000-0000D1910000}"/>
    <cellStyle name="Normal 8 2 2 3 2 3 2" xfId="3537" xr:uid="{00000000-0005-0000-0000-0000D2910000}"/>
    <cellStyle name="Normal 8 2 2 3 2 3 2 2" xfId="7258" xr:uid="{00000000-0005-0000-0000-0000D3910000}"/>
    <cellStyle name="Normal 8 2 2 3 2 3 2 2 2" xfId="22142" xr:uid="{00000000-0005-0000-0000-0000D4910000}"/>
    <cellStyle name="Normal 8 2 2 3 2 3 2 2 2 2" xfId="44785" xr:uid="{00000000-0005-0000-0000-0000D5910000}"/>
    <cellStyle name="Normal 8 2 2 3 2 3 2 2 3" xfId="14702" xr:uid="{00000000-0005-0000-0000-0000D6910000}"/>
    <cellStyle name="Normal 8 2 2 3 2 3 2 2 3 2" xfId="37345" xr:uid="{00000000-0005-0000-0000-0000D7910000}"/>
    <cellStyle name="Normal 8 2 2 3 2 3 2 2 4" xfId="29904" xr:uid="{00000000-0005-0000-0000-0000D8910000}"/>
    <cellStyle name="Normal 8 2 2 3 2 3 2 3" xfId="18424" xr:uid="{00000000-0005-0000-0000-0000D9910000}"/>
    <cellStyle name="Normal 8 2 2 3 2 3 2 3 2" xfId="41067" xr:uid="{00000000-0005-0000-0000-0000DA910000}"/>
    <cellStyle name="Normal 8 2 2 3 2 3 2 4" xfId="10984" xr:uid="{00000000-0005-0000-0000-0000DB910000}"/>
    <cellStyle name="Normal 8 2 2 3 2 3 2 4 2" xfId="33627" xr:uid="{00000000-0005-0000-0000-0000DC910000}"/>
    <cellStyle name="Normal 8 2 2 3 2 3 2 5" xfId="26186" xr:uid="{00000000-0005-0000-0000-0000DD910000}"/>
    <cellStyle name="Normal 8 2 2 3 2 3 3" xfId="5411" xr:uid="{00000000-0005-0000-0000-0000DE910000}"/>
    <cellStyle name="Normal 8 2 2 3 2 3 3 2" xfId="20295" xr:uid="{00000000-0005-0000-0000-0000DF910000}"/>
    <cellStyle name="Normal 8 2 2 3 2 3 3 2 2" xfId="42938" xr:uid="{00000000-0005-0000-0000-0000E0910000}"/>
    <cellStyle name="Normal 8 2 2 3 2 3 3 3" xfId="12855" xr:uid="{00000000-0005-0000-0000-0000E1910000}"/>
    <cellStyle name="Normal 8 2 2 3 2 3 3 3 2" xfId="35498" xr:uid="{00000000-0005-0000-0000-0000E2910000}"/>
    <cellStyle name="Normal 8 2 2 3 2 3 3 4" xfId="28057" xr:uid="{00000000-0005-0000-0000-0000E3910000}"/>
    <cellStyle name="Normal 8 2 2 3 2 3 4" xfId="16577" xr:uid="{00000000-0005-0000-0000-0000E4910000}"/>
    <cellStyle name="Normal 8 2 2 3 2 3 4 2" xfId="39220" xr:uid="{00000000-0005-0000-0000-0000E5910000}"/>
    <cellStyle name="Normal 8 2 2 3 2 3 5" xfId="9137" xr:uid="{00000000-0005-0000-0000-0000E6910000}"/>
    <cellStyle name="Normal 8 2 2 3 2 3 5 2" xfId="31780" xr:uid="{00000000-0005-0000-0000-0000E7910000}"/>
    <cellStyle name="Normal 8 2 2 3 2 3 6" xfId="24339" xr:uid="{00000000-0005-0000-0000-0000E8910000}"/>
    <cellStyle name="Normal 8 2 2 3 2 4" xfId="2612" xr:uid="{00000000-0005-0000-0000-0000E9910000}"/>
    <cellStyle name="Normal 8 2 2 3 2 4 2" xfId="6333" xr:uid="{00000000-0005-0000-0000-0000EA910000}"/>
    <cellStyle name="Normal 8 2 2 3 2 4 2 2" xfId="21217" xr:uid="{00000000-0005-0000-0000-0000EB910000}"/>
    <cellStyle name="Normal 8 2 2 3 2 4 2 2 2" xfId="43860" xr:uid="{00000000-0005-0000-0000-0000EC910000}"/>
    <cellStyle name="Normal 8 2 2 3 2 4 2 3" xfId="13777" xr:uid="{00000000-0005-0000-0000-0000ED910000}"/>
    <cellStyle name="Normal 8 2 2 3 2 4 2 3 2" xfId="36420" xr:uid="{00000000-0005-0000-0000-0000EE910000}"/>
    <cellStyle name="Normal 8 2 2 3 2 4 2 4" xfId="28979" xr:uid="{00000000-0005-0000-0000-0000EF910000}"/>
    <cellStyle name="Normal 8 2 2 3 2 4 3" xfId="17499" xr:uid="{00000000-0005-0000-0000-0000F0910000}"/>
    <cellStyle name="Normal 8 2 2 3 2 4 3 2" xfId="40142" xr:uid="{00000000-0005-0000-0000-0000F1910000}"/>
    <cellStyle name="Normal 8 2 2 3 2 4 4" xfId="10059" xr:uid="{00000000-0005-0000-0000-0000F2910000}"/>
    <cellStyle name="Normal 8 2 2 3 2 4 4 2" xfId="32702" xr:uid="{00000000-0005-0000-0000-0000F3910000}"/>
    <cellStyle name="Normal 8 2 2 3 2 4 5" xfId="25261" xr:uid="{00000000-0005-0000-0000-0000F4910000}"/>
    <cellStyle name="Normal 8 2 2 3 2 5" xfId="4486" xr:uid="{00000000-0005-0000-0000-0000F5910000}"/>
    <cellStyle name="Normal 8 2 2 3 2 5 2" xfId="19370" xr:uid="{00000000-0005-0000-0000-0000F6910000}"/>
    <cellStyle name="Normal 8 2 2 3 2 5 2 2" xfId="42013" xr:uid="{00000000-0005-0000-0000-0000F7910000}"/>
    <cellStyle name="Normal 8 2 2 3 2 5 3" xfId="11930" xr:uid="{00000000-0005-0000-0000-0000F8910000}"/>
    <cellStyle name="Normal 8 2 2 3 2 5 3 2" xfId="34573" xr:uid="{00000000-0005-0000-0000-0000F9910000}"/>
    <cellStyle name="Normal 8 2 2 3 2 5 4" xfId="27132" xr:uid="{00000000-0005-0000-0000-0000FA910000}"/>
    <cellStyle name="Normal 8 2 2 3 2 6" xfId="15652" xr:uid="{00000000-0005-0000-0000-0000FB910000}"/>
    <cellStyle name="Normal 8 2 2 3 2 6 2" xfId="38295" xr:uid="{00000000-0005-0000-0000-0000FC910000}"/>
    <cellStyle name="Normal 8 2 2 3 2 7" xfId="8212" xr:uid="{00000000-0005-0000-0000-0000FD910000}"/>
    <cellStyle name="Normal 8 2 2 3 2 7 2" xfId="30855" xr:uid="{00000000-0005-0000-0000-0000FE910000}"/>
    <cellStyle name="Normal 8 2 2 3 2 8" xfId="23414" xr:uid="{00000000-0005-0000-0000-0000FF910000}"/>
    <cellStyle name="Normal 8 2 2 3 3" xfId="1010" xr:uid="{00000000-0005-0000-0000-000000920000}"/>
    <cellStyle name="Normal 8 2 2 3 3 2" xfId="1938" xr:uid="{00000000-0005-0000-0000-000001920000}"/>
    <cellStyle name="Normal 8 2 2 3 3 2 2" xfId="3788" xr:uid="{00000000-0005-0000-0000-000002920000}"/>
    <cellStyle name="Normal 8 2 2 3 3 2 2 2" xfId="7509" xr:uid="{00000000-0005-0000-0000-000003920000}"/>
    <cellStyle name="Normal 8 2 2 3 3 2 2 2 2" xfId="22393" xr:uid="{00000000-0005-0000-0000-000004920000}"/>
    <cellStyle name="Normal 8 2 2 3 3 2 2 2 2 2" xfId="45036" xr:uid="{00000000-0005-0000-0000-000005920000}"/>
    <cellStyle name="Normal 8 2 2 3 3 2 2 2 3" xfId="14953" xr:uid="{00000000-0005-0000-0000-000006920000}"/>
    <cellStyle name="Normal 8 2 2 3 3 2 2 2 3 2" xfId="37596" xr:uid="{00000000-0005-0000-0000-000007920000}"/>
    <cellStyle name="Normal 8 2 2 3 3 2 2 2 4" xfId="30155" xr:uid="{00000000-0005-0000-0000-000008920000}"/>
    <cellStyle name="Normal 8 2 2 3 3 2 2 3" xfId="18675" xr:uid="{00000000-0005-0000-0000-000009920000}"/>
    <cellStyle name="Normal 8 2 2 3 3 2 2 3 2" xfId="41318" xr:uid="{00000000-0005-0000-0000-00000A920000}"/>
    <cellStyle name="Normal 8 2 2 3 3 2 2 4" xfId="11235" xr:uid="{00000000-0005-0000-0000-00000B920000}"/>
    <cellStyle name="Normal 8 2 2 3 3 2 2 4 2" xfId="33878" xr:uid="{00000000-0005-0000-0000-00000C920000}"/>
    <cellStyle name="Normal 8 2 2 3 3 2 2 5" xfId="26437" xr:uid="{00000000-0005-0000-0000-00000D920000}"/>
    <cellStyle name="Normal 8 2 2 3 3 2 3" xfId="5662" xr:uid="{00000000-0005-0000-0000-00000E920000}"/>
    <cellStyle name="Normal 8 2 2 3 3 2 3 2" xfId="20546" xr:uid="{00000000-0005-0000-0000-00000F920000}"/>
    <cellStyle name="Normal 8 2 2 3 3 2 3 2 2" xfId="43189" xr:uid="{00000000-0005-0000-0000-000010920000}"/>
    <cellStyle name="Normal 8 2 2 3 3 2 3 3" xfId="13106" xr:uid="{00000000-0005-0000-0000-000011920000}"/>
    <cellStyle name="Normal 8 2 2 3 3 2 3 3 2" xfId="35749" xr:uid="{00000000-0005-0000-0000-000012920000}"/>
    <cellStyle name="Normal 8 2 2 3 3 2 3 4" xfId="28308" xr:uid="{00000000-0005-0000-0000-000013920000}"/>
    <cellStyle name="Normal 8 2 2 3 3 2 4" xfId="16828" xr:uid="{00000000-0005-0000-0000-000014920000}"/>
    <cellStyle name="Normal 8 2 2 3 3 2 4 2" xfId="39471" xr:uid="{00000000-0005-0000-0000-000015920000}"/>
    <cellStyle name="Normal 8 2 2 3 3 2 5" xfId="9388" xr:uid="{00000000-0005-0000-0000-000016920000}"/>
    <cellStyle name="Normal 8 2 2 3 3 2 5 2" xfId="32031" xr:uid="{00000000-0005-0000-0000-000017920000}"/>
    <cellStyle name="Normal 8 2 2 3 3 2 6" xfId="24590" xr:uid="{00000000-0005-0000-0000-000018920000}"/>
    <cellStyle name="Normal 8 2 2 3 3 3" xfId="2863" xr:uid="{00000000-0005-0000-0000-000019920000}"/>
    <cellStyle name="Normal 8 2 2 3 3 3 2" xfId="6584" xr:uid="{00000000-0005-0000-0000-00001A920000}"/>
    <cellStyle name="Normal 8 2 2 3 3 3 2 2" xfId="21468" xr:uid="{00000000-0005-0000-0000-00001B920000}"/>
    <cellStyle name="Normal 8 2 2 3 3 3 2 2 2" xfId="44111" xr:uid="{00000000-0005-0000-0000-00001C920000}"/>
    <cellStyle name="Normal 8 2 2 3 3 3 2 3" xfId="14028" xr:uid="{00000000-0005-0000-0000-00001D920000}"/>
    <cellStyle name="Normal 8 2 2 3 3 3 2 3 2" xfId="36671" xr:uid="{00000000-0005-0000-0000-00001E920000}"/>
    <cellStyle name="Normal 8 2 2 3 3 3 2 4" xfId="29230" xr:uid="{00000000-0005-0000-0000-00001F920000}"/>
    <cellStyle name="Normal 8 2 2 3 3 3 3" xfId="17750" xr:uid="{00000000-0005-0000-0000-000020920000}"/>
    <cellStyle name="Normal 8 2 2 3 3 3 3 2" xfId="40393" xr:uid="{00000000-0005-0000-0000-000021920000}"/>
    <cellStyle name="Normal 8 2 2 3 3 3 4" xfId="10310" xr:uid="{00000000-0005-0000-0000-000022920000}"/>
    <cellStyle name="Normal 8 2 2 3 3 3 4 2" xfId="32953" xr:uid="{00000000-0005-0000-0000-000023920000}"/>
    <cellStyle name="Normal 8 2 2 3 3 3 5" xfId="25512" xr:uid="{00000000-0005-0000-0000-000024920000}"/>
    <cellStyle name="Normal 8 2 2 3 3 4" xfId="4737" xr:uid="{00000000-0005-0000-0000-000025920000}"/>
    <cellStyle name="Normal 8 2 2 3 3 4 2" xfId="19621" xr:uid="{00000000-0005-0000-0000-000026920000}"/>
    <cellStyle name="Normal 8 2 2 3 3 4 2 2" xfId="42264" xr:uid="{00000000-0005-0000-0000-000027920000}"/>
    <cellStyle name="Normal 8 2 2 3 3 4 3" xfId="12181" xr:uid="{00000000-0005-0000-0000-000028920000}"/>
    <cellStyle name="Normal 8 2 2 3 3 4 3 2" xfId="34824" xr:uid="{00000000-0005-0000-0000-000029920000}"/>
    <cellStyle name="Normal 8 2 2 3 3 4 4" xfId="27383" xr:uid="{00000000-0005-0000-0000-00002A920000}"/>
    <cellStyle name="Normal 8 2 2 3 3 5" xfId="15903" xr:uid="{00000000-0005-0000-0000-00002B920000}"/>
    <cellStyle name="Normal 8 2 2 3 3 5 2" xfId="38546" xr:uid="{00000000-0005-0000-0000-00002C920000}"/>
    <cellStyle name="Normal 8 2 2 3 3 6" xfId="8463" xr:uid="{00000000-0005-0000-0000-00002D920000}"/>
    <cellStyle name="Normal 8 2 2 3 3 6 2" xfId="31106" xr:uid="{00000000-0005-0000-0000-00002E920000}"/>
    <cellStyle name="Normal 8 2 2 3 3 7" xfId="23665" xr:uid="{00000000-0005-0000-0000-00002F920000}"/>
    <cellStyle name="Normal 8 2 2 3 4" xfId="1476" xr:uid="{00000000-0005-0000-0000-000030920000}"/>
    <cellStyle name="Normal 8 2 2 3 4 2" xfId="3326" xr:uid="{00000000-0005-0000-0000-000031920000}"/>
    <cellStyle name="Normal 8 2 2 3 4 2 2" xfId="7047" xr:uid="{00000000-0005-0000-0000-000032920000}"/>
    <cellStyle name="Normal 8 2 2 3 4 2 2 2" xfId="21931" xr:uid="{00000000-0005-0000-0000-000033920000}"/>
    <cellStyle name="Normal 8 2 2 3 4 2 2 2 2" xfId="44574" xr:uid="{00000000-0005-0000-0000-000034920000}"/>
    <cellStyle name="Normal 8 2 2 3 4 2 2 3" xfId="14491" xr:uid="{00000000-0005-0000-0000-000035920000}"/>
    <cellStyle name="Normal 8 2 2 3 4 2 2 3 2" xfId="37134" xr:uid="{00000000-0005-0000-0000-000036920000}"/>
    <cellStyle name="Normal 8 2 2 3 4 2 2 4" xfId="29693" xr:uid="{00000000-0005-0000-0000-000037920000}"/>
    <cellStyle name="Normal 8 2 2 3 4 2 3" xfId="18213" xr:uid="{00000000-0005-0000-0000-000038920000}"/>
    <cellStyle name="Normal 8 2 2 3 4 2 3 2" xfId="40856" xr:uid="{00000000-0005-0000-0000-000039920000}"/>
    <cellStyle name="Normal 8 2 2 3 4 2 4" xfId="10773" xr:uid="{00000000-0005-0000-0000-00003A920000}"/>
    <cellStyle name="Normal 8 2 2 3 4 2 4 2" xfId="33416" xr:uid="{00000000-0005-0000-0000-00003B920000}"/>
    <cellStyle name="Normal 8 2 2 3 4 2 5" xfId="25975" xr:uid="{00000000-0005-0000-0000-00003C920000}"/>
    <cellStyle name="Normal 8 2 2 3 4 3" xfId="5200" xr:uid="{00000000-0005-0000-0000-00003D920000}"/>
    <cellStyle name="Normal 8 2 2 3 4 3 2" xfId="20084" xr:uid="{00000000-0005-0000-0000-00003E920000}"/>
    <cellStyle name="Normal 8 2 2 3 4 3 2 2" xfId="42727" xr:uid="{00000000-0005-0000-0000-00003F920000}"/>
    <cellStyle name="Normal 8 2 2 3 4 3 3" xfId="12644" xr:uid="{00000000-0005-0000-0000-000040920000}"/>
    <cellStyle name="Normal 8 2 2 3 4 3 3 2" xfId="35287" xr:uid="{00000000-0005-0000-0000-000041920000}"/>
    <cellStyle name="Normal 8 2 2 3 4 3 4" xfId="27846" xr:uid="{00000000-0005-0000-0000-000042920000}"/>
    <cellStyle name="Normal 8 2 2 3 4 4" xfId="16366" xr:uid="{00000000-0005-0000-0000-000043920000}"/>
    <cellStyle name="Normal 8 2 2 3 4 4 2" xfId="39009" xr:uid="{00000000-0005-0000-0000-000044920000}"/>
    <cellStyle name="Normal 8 2 2 3 4 5" xfId="8926" xr:uid="{00000000-0005-0000-0000-000045920000}"/>
    <cellStyle name="Normal 8 2 2 3 4 5 2" xfId="31569" xr:uid="{00000000-0005-0000-0000-000046920000}"/>
    <cellStyle name="Normal 8 2 2 3 4 6" xfId="24128" xr:uid="{00000000-0005-0000-0000-000047920000}"/>
    <cellStyle name="Normal 8 2 2 3 5" xfId="2401" xr:uid="{00000000-0005-0000-0000-000048920000}"/>
    <cellStyle name="Normal 8 2 2 3 5 2" xfId="6122" xr:uid="{00000000-0005-0000-0000-000049920000}"/>
    <cellStyle name="Normal 8 2 2 3 5 2 2" xfId="21006" xr:uid="{00000000-0005-0000-0000-00004A920000}"/>
    <cellStyle name="Normal 8 2 2 3 5 2 2 2" xfId="43649" xr:uid="{00000000-0005-0000-0000-00004B920000}"/>
    <cellStyle name="Normal 8 2 2 3 5 2 3" xfId="13566" xr:uid="{00000000-0005-0000-0000-00004C920000}"/>
    <cellStyle name="Normal 8 2 2 3 5 2 3 2" xfId="36209" xr:uid="{00000000-0005-0000-0000-00004D920000}"/>
    <cellStyle name="Normal 8 2 2 3 5 2 4" xfId="28768" xr:uid="{00000000-0005-0000-0000-00004E920000}"/>
    <cellStyle name="Normal 8 2 2 3 5 3" xfId="17288" xr:uid="{00000000-0005-0000-0000-00004F920000}"/>
    <cellStyle name="Normal 8 2 2 3 5 3 2" xfId="39931" xr:uid="{00000000-0005-0000-0000-000050920000}"/>
    <cellStyle name="Normal 8 2 2 3 5 4" xfId="9848" xr:uid="{00000000-0005-0000-0000-000051920000}"/>
    <cellStyle name="Normal 8 2 2 3 5 4 2" xfId="32491" xr:uid="{00000000-0005-0000-0000-000052920000}"/>
    <cellStyle name="Normal 8 2 2 3 5 5" xfId="25050" xr:uid="{00000000-0005-0000-0000-000053920000}"/>
    <cellStyle name="Normal 8 2 2 3 6" xfId="4275" xr:uid="{00000000-0005-0000-0000-000054920000}"/>
    <cellStyle name="Normal 8 2 2 3 6 2" xfId="19159" xr:uid="{00000000-0005-0000-0000-000055920000}"/>
    <cellStyle name="Normal 8 2 2 3 6 2 2" xfId="41802" xr:uid="{00000000-0005-0000-0000-000056920000}"/>
    <cellStyle name="Normal 8 2 2 3 6 3" xfId="11719" xr:uid="{00000000-0005-0000-0000-000057920000}"/>
    <cellStyle name="Normal 8 2 2 3 6 3 2" xfId="34362" xr:uid="{00000000-0005-0000-0000-000058920000}"/>
    <cellStyle name="Normal 8 2 2 3 6 4" xfId="26921" xr:uid="{00000000-0005-0000-0000-000059920000}"/>
    <cellStyle name="Normal 8 2 2 3 7" xfId="15441" xr:uid="{00000000-0005-0000-0000-00005A920000}"/>
    <cellStyle name="Normal 8 2 2 3 7 2" xfId="38084" xr:uid="{00000000-0005-0000-0000-00005B920000}"/>
    <cellStyle name="Normal 8 2 2 3 8" xfId="8001" xr:uid="{00000000-0005-0000-0000-00005C920000}"/>
    <cellStyle name="Normal 8 2 2 3 8 2" xfId="30644" xr:uid="{00000000-0005-0000-0000-00005D920000}"/>
    <cellStyle name="Normal 8 2 2 3 9" xfId="23204" xr:uid="{00000000-0005-0000-0000-00005E920000}"/>
    <cellStyle name="Normal 8 2 2 4" xfId="651" xr:uid="{00000000-0005-0000-0000-00005F920000}"/>
    <cellStyle name="Normal 8 2 2 4 2" xfId="1116" xr:uid="{00000000-0005-0000-0000-000060920000}"/>
    <cellStyle name="Normal 8 2 2 4 2 2" xfId="2044" xr:uid="{00000000-0005-0000-0000-000061920000}"/>
    <cellStyle name="Normal 8 2 2 4 2 2 2" xfId="3894" xr:uid="{00000000-0005-0000-0000-000062920000}"/>
    <cellStyle name="Normal 8 2 2 4 2 2 2 2" xfId="7615" xr:uid="{00000000-0005-0000-0000-000063920000}"/>
    <cellStyle name="Normal 8 2 2 4 2 2 2 2 2" xfId="22499" xr:uid="{00000000-0005-0000-0000-000064920000}"/>
    <cellStyle name="Normal 8 2 2 4 2 2 2 2 2 2" xfId="45142" xr:uid="{00000000-0005-0000-0000-000065920000}"/>
    <cellStyle name="Normal 8 2 2 4 2 2 2 2 3" xfId="15059" xr:uid="{00000000-0005-0000-0000-000066920000}"/>
    <cellStyle name="Normal 8 2 2 4 2 2 2 2 3 2" xfId="37702" xr:uid="{00000000-0005-0000-0000-000067920000}"/>
    <cellStyle name="Normal 8 2 2 4 2 2 2 2 4" xfId="30261" xr:uid="{00000000-0005-0000-0000-000068920000}"/>
    <cellStyle name="Normal 8 2 2 4 2 2 2 3" xfId="18781" xr:uid="{00000000-0005-0000-0000-000069920000}"/>
    <cellStyle name="Normal 8 2 2 4 2 2 2 3 2" xfId="41424" xr:uid="{00000000-0005-0000-0000-00006A920000}"/>
    <cellStyle name="Normal 8 2 2 4 2 2 2 4" xfId="11341" xr:uid="{00000000-0005-0000-0000-00006B920000}"/>
    <cellStyle name="Normal 8 2 2 4 2 2 2 4 2" xfId="33984" xr:uid="{00000000-0005-0000-0000-00006C920000}"/>
    <cellStyle name="Normal 8 2 2 4 2 2 2 5" xfId="26543" xr:uid="{00000000-0005-0000-0000-00006D920000}"/>
    <cellStyle name="Normal 8 2 2 4 2 2 3" xfId="5768" xr:uid="{00000000-0005-0000-0000-00006E920000}"/>
    <cellStyle name="Normal 8 2 2 4 2 2 3 2" xfId="20652" xr:uid="{00000000-0005-0000-0000-00006F920000}"/>
    <cellStyle name="Normal 8 2 2 4 2 2 3 2 2" xfId="43295" xr:uid="{00000000-0005-0000-0000-000070920000}"/>
    <cellStyle name="Normal 8 2 2 4 2 2 3 3" xfId="13212" xr:uid="{00000000-0005-0000-0000-000071920000}"/>
    <cellStyle name="Normal 8 2 2 4 2 2 3 3 2" xfId="35855" xr:uid="{00000000-0005-0000-0000-000072920000}"/>
    <cellStyle name="Normal 8 2 2 4 2 2 3 4" xfId="28414" xr:uid="{00000000-0005-0000-0000-000073920000}"/>
    <cellStyle name="Normal 8 2 2 4 2 2 4" xfId="16934" xr:uid="{00000000-0005-0000-0000-000074920000}"/>
    <cellStyle name="Normal 8 2 2 4 2 2 4 2" xfId="39577" xr:uid="{00000000-0005-0000-0000-000075920000}"/>
    <cellStyle name="Normal 8 2 2 4 2 2 5" xfId="9494" xr:uid="{00000000-0005-0000-0000-000076920000}"/>
    <cellStyle name="Normal 8 2 2 4 2 2 5 2" xfId="32137" xr:uid="{00000000-0005-0000-0000-000077920000}"/>
    <cellStyle name="Normal 8 2 2 4 2 2 6" xfId="24696" xr:uid="{00000000-0005-0000-0000-000078920000}"/>
    <cellStyle name="Normal 8 2 2 4 2 3" xfId="2969" xr:uid="{00000000-0005-0000-0000-000079920000}"/>
    <cellStyle name="Normal 8 2 2 4 2 3 2" xfId="6690" xr:uid="{00000000-0005-0000-0000-00007A920000}"/>
    <cellStyle name="Normal 8 2 2 4 2 3 2 2" xfId="21574" xr:uid="{00000000-0005-0000-0000-00007B920000}"/>
    <cellStyle name="Normal 8 2 2 4 2 3 2 2 2" xfId="44217" xr:uid="{00000000-0005-0000-0000-00007C920000}"/>
    <cellStyle name="Normal 8 2 2 4 2 3 2 3" xfId="14134" xr:uid="{00000000-0005-0000-0000-00007D920000}"/>
    <cellStyle name="Normal 8 2 2 4 2 3 2 3 2" xfId="36777" xr:uid="{00000000-0005-0000-0000-00007E920000}"/>
    <cellStyle name="Normal 8 2 2 4 2 3 2 4" xfId="29336" xr:uid="{00000000-0005-0000-0000-00007F920000}"/>
    <cellStyle name="Normal 8 2 2 4 2 3 3" xfId="17856" xr:uid="{00000000-0005-0000-0000-000080920000}"/>
    <cellStyle name="Normal 8 2 2 4 2 3 3 2" xfId="40499" xr:uid="{00000000-0005-0000-0000-000081920000}"/>
    <cellStyle name="Normal 8 2 2 4 2 3 4" xfId="10416" xr:uid="{00000000-0005-0000-0000-000082920000}"/>
    <cellStyle name="Normal 8 2 2 4 2 3 4 2" xfId="33059" xr:uid="{00000000-0005-0000-0000-000083920000}"/>
    <cellStyle name="Normal 8 2 2 4 2 3 5" xfId="25618" xr:uid="{00000000-0005-0000-0000-000084920000}"/>
    <cellStyle name="Normal 8 2 2 4 2 4" xfId="4843" xr:uid="{00000000-0005-0000-0000-000085920000}"/>
    <cellStyle name="Normal 8 2 2 4 2 4 2" xfId="19727" xr:uid="{00000000-0005-0000-0000-000086920000}"/>
    <cellStyle name="Normal 8 2 2 4 2 4 2 2" xfId="42370" xr:uid="{00000000-0005-0000-0000-000087920000}"/>
    <cellStyle name="Normal 8 2 2 4 2 4 3" xfId="12287" xr:uid="{00000000-0005-0000-0000-000088920000}"/>
    <cellStyle name="Normal 8 2 2 4 2 4 3 2" xfId="34930" xr:uid="{00000000-0005-0000-0000-000089920000}"/>
    <cellStyle name="Normal 8 2 2 4 2 4 4" xfId="27489" xr:uid="{00000000-0005-0000-0000-00008A920000}"/>
    <cellStyle name="Normal 8 2 2 4 2 5" xfId="16009" xr:uid="{00000000-0005-0000-0000-00008B920000}"/>
    <cellStyle name="Normal 8 2 2 4 2 5 2" xfId="38652" xr:uid="{00000000-0005-0000-0000-00008C920000}"/>
    <cellStyle name="Normal 8 2 2 4 2 6" xfId="8569" xr:uid="{00000000-0005-0000-0000-00008D920000}"/>
    <cellStyle name="Normal 8 2 2 4 2 6 2" xfId="31212" xr:uid="{00000000-0005-0000-0000-00008E920000}"/>
    <cellStyle name="Normal 8 2 2 4 2 7" xfId="23771" xr:uid="{00000000-0005-0000-0000-00008F920000}"/>
    <cellStyle name="Normal 8 2 2 4 3" xfId="1582" xr:uid="{00000000-0005-0000-0000-000090920000}"/>
    <cellStyle name="Normal 8 2 2 4 3 2" xfId="3432" xr:uid="{00000000-0005-0000-0000-000091920000}"/>
    <cellStyle name="Normal 8 2 2 4 3 2 2" xfId="7153" xr:uid="{00000000-0005-0000-0000-000092920000}"/>
    <cellStyle name="Normal 8 2 2 4 3 2 2 2" xfId="22037" xr:uid="{00000000-0005-0000-0000-000093920000}"/>
    <cellStyle name="Normal 8 2 2 4 3 2 2 2 2" xfId="44680" xr:uid="{00000000-0005-0000-0000-000094920000}"/>
    <cellStyle name="Normal 8 2 2 4 3 2 2 3" xfId="14597" xr:uid="{00000000-0005-0000-0000-000095920000}"/>
    <cellStyle name="Normal 8 2 2 4 3 2 2 3 2" xfId="37240" xr:uid="{00000000-0005-0000-0000-000096920000}"/>
    <cellStyle name="Normal 8 2 2 4 3 2 2 4" xfId="29799" xr:uid="{00000000-0005-0000-0000-000097920000}"/>
    <cellStyle name="Normal 8 2 2 4 3 2 3" xfId="18319" xr:uid="{00000000-0005-0000-0000-000098920000}"/>
    <cellStyle name="Normal 8 2 2 4 3 2 3 2" xfId="40962" xr:uid="{00000000-0005-0000-0000-000099920000}"/>
    <cellStyle name="Normal 8 2 2 4 3 2 4" xfId="10879" xr:uid="{00000000-0005-0000-0000-00009A920000}"/>
    <cellStyle name="Normal 8 2 2 4 3 2 4 2" xfId="33522" xr:uid="{00000000-0005-0000-0000-00009B920000}"/>
    <cellStyle name="Normal 8 2 2 4 3 2 5" xfId="26081" xr:uid="{00000000-0005-0000-0000-00009C920000}"/>
    <cellStyle name="Normal 8 2 2 4 3 3" xfId="5306" xr:uid="{00000000-0005-0000-0000-00009D920000}"/>
    <cellStyle name="Normal 8 2 2 4 3 3 2" xfId="20190" xr:uid="{00000000-0005-0000-0000-00009E920000}"/>
    <cellStyle name="Normal 8 2 2 4 3 3 2 2" xfId="42833" xr:uid="{00000000-0005-0000-0000-00009F920000}"/>
    <cellStyle name="Normal 8 2 2 4 3 3 3" xfId="12750" xr:uid="{00000000-0005-0000-0000-0000A0920000}"/>
    <cellStyle name="Normal 8 2 2 4 3 3 3 2" xfId="35393" xr:uid="{00000000-0005-0000-0000-0000A1920000}"/>
    <cellStyle name="Normal 8 2 2 4 3 3 4" xfId="27952" xr:uid="{00000000-0005-0000-0000-0000A2920000}"/>
    <cellStyle name="Normal 8 2 2 4 3 4" xfId="16472" xr:uid="{00000000-0005-0000-0000-0000A3920000}"/>
    <cellStyle name="Normal 8 2 2 4 3 4 2" xfId="39115" xr:uid="{00000000-0005-0000-0000-0000A4920000}"/>
    <cellStyle name="Normal 8 2 2 4 3 5" xfId="9032" xr:uid="{00000000-0005-0000-0000-0000A5920000}"/>
    <cellStyle name="Normal 8 2 2 4 3 5 2" xfId="31675" xr:uid="{00000000-0005-0000-0000-0000A6920000}"/>
    <cellStyle name="Normal 8 2 2 4 3 6" xfId="24234" xr:uid="{00000000-0005-0000-0000-0000A7920000}"/>
    <cellStyle name="Normal 8 2 2 4 4" xfId="2507" xr:uid="{00000000-0005-0000-0000-0000A8920000}"/>
    <cellStyle name="Normal 8 2 2 4 4 2" xfId="6228" xr:uid="{00000000-0005-0000-0000-0000A9920000}"/>
    <cellStyle name="Normal 8 2 2 4 4 2 2" xfId="21112" xr:uid="{00000000-0005-0000-0000-0000AA920000}"/>
    <cellStyle name="Normal 8 2 2 4 4 2 2 2" xfId="43755" xr:uid="{00000000-0005-0000-0000-0000AB920000}"/>
    <cellStyle name="Normal 8 2 2 4 4 2 3" xfId="13672" xr:uid="{00000000-0005-0000-0000-0000AC920000}"/>
    <cellStyle name="Normal 8 2 2 4 4 2 3 2" xfId="36315" xr:uid="{00000000-0005-0000-0000-0000AD920000}"/>
    <cellStyle name="Normal 8 2 2 4 4 2 4" xfId="28874" xr:uid="{00000000-0005-0000-0000-0000AE920000}"/>
    <cellStyle name="Normal 8 2 2 4 4 3" xfId="17394" xr:uid="{00000000-0005-0000-0000-0000AF920000}"/>
    <cellStyle name="Normal 8 2 2 4 4 3 2" xfId="40037" xr:uid="{00000000-0005-0000-0000-0000B0920000}"/>
    <cellStyle name="Normal 8 2 2 4 4 4" xfId="9954" xr:uid="{00000000-0005-0000-0000-0000B1920000}"/>
    <cellStyle name="Normal 8 2 2 4 4 4 2" xfId="32597" xr:uid="{00000000-0005-0000-0000-0000B2920000}"/>
    <cellStyle name="Normal 8 2 2 4 4 5" xfId="25156" xr:uid="{00000000-0005-0000-0000-0000B3920000}"/>
    <cellStyle name="Normal 8 2 2 4 5" xfId="4381" xr:uid="{00000000-0005-0000-0000-0000B4920000}"/>
    <cellStyle name="Normal 8 2 2 4 5 2" xfId="19265" xr:uid="{00000000-0005-0000-0000-0000B5920000}"/>
    <cellStyle name="Normal 8 2 2 4 5 2 2" xfId="41908" xr:uid="{00000000-0005-0000-0000-0000B6920000}"/>
    <cellStyle name="Normal 8 2 2 4 5 3" xfId="11825" xr:uid="{00000000-0005-0000-0000-0000B7920000}"/>
    <cellStyle name="Normal 8 2 2 4 5 3 2" xfId="34468" xr:uid="{00000000-0005-0000-0000-0000B8920000}"/>
    <cellStyle name="Normal 8 2 2 4 5 4" xfId="27027" xr:uid="{00000000-0005-0000-0000-0000B9920000}"/>
    <cellStyle name="Normal 8 2 2 4 6" xfId="15547" xr:uid="{00000000-0005-0000-0000-0000BA920000}"/>
    <cellStyle name="Normal 8 2 2 4 6 2" xfId="38190" xr:uid="{00000000-0005-0000-0000-0000BB920000}"/>
    <cellStyle name="Normal 8 2 2 4 7" xfId="8107" xr:uid="{00000000-0005-0000-0000-0000BC920000}"/>
    <cellStyle name="Normal 8 2 2 4 7 2" xfId="30750" xr:uid="{00000000-0005-0000-0000-0000BD920000}"/>
    <cellStyle name="Normal 8 2 2 4 8" xfId="23309" xr:uid="{00000000-0005-0000-0000-0000BE920000}"/>
    <cellStyle name="Normal 8 2 2 5" xfId="905" xr:uid="{00000000-0005-0000-0000-0000BF920000}"/>
    <cellStyle name="Normal 8 2 2 5 2" xfId="1833" xr:uid="{00000000-0005-0000-0000-0000C0920000}"/>
    <cellStyle name="Normal 8 2 2 5 2 2" xfId="3683" xr:uid="{00000000-0005-0000-0000-0000C1920000}"/>
    <cellStyle name="Normal 8 2 2 5 2 2 2" xfId="7404" xr:uid="{00000000-0005-0000-0000-0000C2920000}"/>
    <cellStyle name="Normal 8 2 2 5 2 2 2 2" xfId="22288" xr:uid="{00000000-0005-0000-0000-0000C3920000}"/>
    <cellStyle name="Normal 8 2 2 5 2 2 2 2 2" xfId="44931" xr:uid="{00000000-0005-0000-0000-0000C4920000}"/>
    <cellStyle name="Normal 8 2 2 5 2 2 2 3" xfId="14848" xr:uid="{00000000-0005-0000-0000-0000C5920000}"/>
    <cellStyle name="Normal 8 2 2 5 2 2 2 3 2" xfId="37491" xr:uid="{00000000-0005-0000-0000-0000C6920000}"/>
    <cellStyle name="Normal 8 2 2 5 2 2 2 4" xfId="30050" xr:uid="{00000000-0005-0000-0000-0000C7920000}"/>
    <cellStyle name="Normal 8 2 2 5 2 2 3" xfId="18570" xr:uid="{00000000-0005-0000-0000-0000C8920000}"/>
    <cellStyle name="Normal 8 2 2 5 2 2 3 2" xfId="41213" xr:uid="{00000000-0005-0000-0000-0000C9920000}"/>
    <cellStyle name="Normal 8 2 2 5 2 2 4" xfId="11130" xr:uid="{00000000-0005-0000-0000-0000CA920000}"/>
    <cellStyle name="Normal 8 2 2 5 2 2 4 2" xfId="33773" xr:uid="{00000000-0005-0000-0000-0000CB920000}"/>
    <cellStyle name="Normal 8 2 2 5 2 2 5" xfId="26332" xr:uid="{00000000-0005-0000-0000-0000CC920000}"/>
    <cellStyle name="Normal 8 2 2 5 2 3" xfId="5557" xr:uid="{00000000-0005-0000-0000-0000CD920000}"/>
    <cellStyle name="Normal 8 2 2 5 2 3 2" xfId="20441" xr:uid="{00000000-0005-0000-0000-0000CE920000}"/>
    <cellStyle name="Normal 8 2 2 5 2 3 2 2" xfId="43084" xr:uid="{00000000-0005-0000-0000-0000CF920000}"/>
    <cellStyle name="Normal 8 2 2 5 2 3 3" xfId="13001" xr:uid="{00000000-0005-0000-0000-0000D0920000}"/>
    <cellStyle name="Normal 8 2 2 5 2 3 3 2" xfId="35644" xr:uid="{00000000-0005-0000-0000-0000D1920000}"/>
    <cellStyle name="Normal 8 2 2 5 2 3 4" xfId="28203" xr:uid="{00000000-0005-0000-0000-0000D2920000}"/>
    <cellStyle name="Normal 8 2 2 5 2 4" xfId="16723" xr:uid="{00000000-0005-0000-0000-0000D3920000}"/>
    <cellStyle name="Normal 8 2 2 5 2 4 2" xfId="39366" xr:uid="{00000000-0005-0000-0000-0000D4920000}"/>
    <cellStyle name="Normal 8 2 2 5 2 5" xfId="9283" xr:uid="{00000000-0005-0000-0000-0000D5920000}"/>
    <cellStyle name="Normal 8 2 2 5 2 5 2" xfId="31926" xr:uid="{00000000-0005-0000-0000-0000D6920000}"/>
    <cellStyle name="Normal 8 2 2 5 2 6" xfId="24485" xr:uid="{00000000-0005-0000-0000-0000D7920000}"/>
    <cellStyle name="Normal 8 2 2 5 3" xfId="2758" xr:uid="{00000000-0005-0000-0000-0000D8920000}"/>
    <cellStyle name="Normal 8 2 2 5 3 2" xfId="6479" xr:uid="{00000000-0005-0000-0000-0000D9920000}"/>
    <cellStyle name="Normal 8 2 2 5 3 2 2" xfId="21363" xr:uid="{00000000-0005-0000-0000-0000DA920000}"/>
    <cellStyle name="Normal 8 2 2 5 3 2 2 2" xfId="44006" xr:uid="{00000000-0005-0000-0000-0000DB920000}"/>
    <cellStyle name="Normal 8 2 2 5 3 2 3" xfId="13923" xr:uid="{00000000-0005-0000-0000-0000DC920000}"/>
    <cellStyle name="Normal 8 2 2 5 3 2 3 2" xfId="36566" xr:uid="{00000000-0005-0000-0000-0000DD920000}"/>
    <cellStyle name="Normal 8 2 2 5 3 2 4" xfId="29125" xr:uid="{00000000-0005-0000-0000-0000DE920000}"/>
    <cellStyle name="Normal 8 2 2 5 3 3" xfId="17645" xr:uid="{00000000-0005-0000-0000-0000DF920000}"/>
    <cellStyle name="Normal 8 2 2 5 3 3 2" xfId="40288" xr:uid="{00000000-0005-0000-0000-0000E0920000}"/>
    <cellStyle name="Normal 8 2 2 5 3 4" xfId="10205" xr:uid="{00000000-0005-0000-0000-0000E1920000}"/>
    <cellStyle name="Normal 8 2 2 5 3 4 2" xfId="32848" xr:uid="{00000000-0005-0000-0000-0000E2920000}"/>
    <cellStyle name="Normal 8 2 2 5 3 5" xfId="25407" xr:uid="{00000000-0005-0000-0000-0000E3920000}"/>
    <cellStyle name="Normal 8 2 2 5 4" xfId="4632" xr:uid="{00000000-0005-0000-0000-0000E4920000}"/>
    <cellStyle name="Normal 8 2 2 5 4 2" xfId="19516" xr:uid="{00000000-0005-0000-0000-0000E5920000}"/>
    <cellStyle name="Normal 8 2 2 5 4 2 2" xfId="42159" xr:uid="{00000000-0005-0000-0000-0000E6920000}"/>
    <cellStyle name="Normal 8 2 2 5 4 3" xfId="12076" xr:uid="{00000000-0005-0000-0000-0000E7920000}"/>
    <cellStyle name="Normal 8 2 2 5 4 3 2" xfId="34719" xr:uid="{00000000-0005-0000-0000-0000E8920000}"/>
    <cellStyle name="Normal 8 2 2 5 4 4" xfId="27278" xr:uid="{00000000-0005-0000-0000-0000E9920000}"/>
    <cellStyle name="Normal 8 2 2 5 5" xfId="15798" xr:uid="{00000000-0005-0000-0000-0000EA920000}"/>
    <cellStyle name="Normal 8 2 2 5 5 2" xfId="38441" xr:uid="{00000000-0005-0000-0000-0000EB920000}"/>
    <cellStyle name="Normal 8 2 2 5 6" xfId="8358" xr:uid="{00000000-0005-0000-0000-0000EC920000}"/>
    <cellStyle name="Normal 8 2 2 5 6 2" xfId="31001" xr:uid="{00000000-0005-0000-0000-0000ED920000}"/>
    <cellStyle name="Normal 8 2 2 5 7" xfId="23560" xr:uid="{00000000-0005-0000-0000-0000EE920000}"/>
    <cellStyle name="Normal 8 2 2 6" xfId="1371" xr:uid="{00000000-0005-0000-0000-0000EF920000}"/>
    <cellStyle name="Normal 8 2 2 6 2" xfId="3221" xr:uid="{00000000-0005-0000-0000-0000F0920000}"/>
    <cellStyle name="Normal 8 2 2 6 2 2" xfId="6942" xr:uid="{00000000-0005-0000-0000-0000F1920000}"/>
    <cellStyle name="Normal 8 2 2 6 2 2 2" xfId="21826" xr:uid="{00000000-0005-0000-0000-0000F2920000}"/>
    <cellStyle name="Normal 8 2 2 6 2 2 2 2" xfId="44469" xr:uid="{00000000-0005-0000-0000-0000F3920000}"/>
    <cellStyle name="Normal 8 2 2 6 2 2 3" xfId="14386" xr:uid="{00000000-0005-0000-0000-0000F4920000}"/>
    <cellStyle name="Normal 8 2 2 6 2 2 3 2" xfId="37029" xr:uid="{00000000-0005-0000-0000-0000F5920000}"/>
    <cellStyle name="Normal 8 2 2 6 2 2 4" xfId="29588" xr:uid="{00000000-0005-0000-0000-0000F6920000}"/>
    <cellStyle name="Normal 8 2 2 6 2 3" xfId="18108" xr:uid="{00000000-0005-0000-0000-0000F7920000}"/>
    <cellStyle name="Normal 8 2 2 6 2 3 2" xfId="40751" xr:uid="{00000000-0005-0000-0000-0000F8920000}"/>
    <cellStyle name="Normal 8 2 2 6 2 4" xfId="10668" xr:uid="{00000000-0005-0000-0000-0000F9920000}"/>
    <cellStyle name="Normal 8 2 2 6 2 4 2" xfId="33311" xr:uid="{00000000-0005-0000-0000-0000FA920000}"/>
    <cellStyle name="Normal 8 2 2 6 2 5" xfId="25870" xr:uid="{00000000-0005-0000-0000-0000FB920000}"/>
    <cellStyle name="Normal 8 2 2 6 3" xfId="5095" xr:uid="{00000000-0005-0000-0000-0000FC920000}"/>
    <cellStyle name="Normal 8 2 2 6 3 2" xfId="19979" xr:uid="{00000000-0005-0000-0000-0000FD920000}"/>
    <cellStyle name="Normal 8 2 2 6 3 2 2" xfId="42622" xr:uid="{00000000-0005-0000-0000-0000FE920000}"/>
    <cellStyle name="Normal 8 2 2 6 3 3" xfId="12539" xr:uid="{00000000-0005-0000-0000-0000FF920000}"/>
    <cellStyle name="Normal 8 2 2 6 3 3 2" xfId="35182" xr:uid="{00000000-0005-0000-0000-000000930000}"/>
    <cellStyle name="Normal 8 2 2 6 3 4" xfId="27741" xr:uid="{00000000-0005-0000-0000-000001930000}"/>
    <cellStyle name="Normal 8 2 2 6 4" xfId="16261" xr:uid="{00000000-0005-0000-0000-000002930000}"/>
    <cellStyle name="Normal 8 2 2 6 4 2" xfId="38904" xr:uid="{00000000-0005-0000-0000-000003930000}"/>
    <cellStyle name="Normal 8 2 2 6 5" xfId="8821" xr:uid="{00000000-0005-0000-0000-000004930000}"/>
    <cellStyle name="Normal 8 2 2 6 5 2" xfId="31464" xr:uid="{00000000-0005-0000-0000-000005930000}"/>
    <cellStyle name="Normal 8 2 2 6 6" xfId="24023" xr:uid="{00000000-0005-0000-0000-000006930000}"/>
    <cellStyle name="Normal 8 2 2 7" xfId="2296" xr:uid="{00000000-0005-0000-0000-000007930000}"/>
    <cellStyle name="Normal 8 2 2 7 2" xfId="6017" xr:uid="{00000000-0005-0000-0000-000008930000}"/>
    <cellStyle name="Normal 8 2 2 7 2 2" xfId="20901" xr:uid="{00000000-0005-0000-0000-000009930000}"/>
    <cellStyle name="Normal 8 2 2 7 2 2 2" xfId="43544" xr:uid="{00000000-0005-0000-0000-00000A930000}"/>
    <cellStyle name="Normal 8 2 2 7 2 3" xfId="13461" xr:uid="{00000000-0005-0000-0000-00000B930000}"/>
    <cellStyle name="Normal 8 2 2 7 2 3 2" xfId="36104" xr:uid="{00000000-0005-0000-0000-00000C930000}"/>
    <cellStyle name="Normal 8 2 2 7 2 4" xfId="28663" xr:uid="{00000000-0005-0000-0000-00000D930000}"/>
    <cellStyle name="Normal 8 2 2 7 3" xfId="17183" xr:uid="{00000000-0005-0000-0000-00000E930000}"/>
    <cellStyle name="Normal 8 2 2 7 3 2" xfId="39826" xr:uid="{00000000-0005-0000-0000-00000F930000}"/>
    <cellStyle name="Normal 8 2 2 7 4" xfId="9743" xr:uid="{00000000-0005-0000-0000-000010930000}"/>
    <cellStyle name="Normal 8 2 2 7 4 2" xfId="32386" xr:uid="{00000000-0005-0000-0000-000011930000}"/>
    <cellStyle name="Normal 8 2 2 7 5" xfId="24945" xr:uid="{00000000-0005-0000-0000-000012930000}"/>
    <cellStyle name="Normal 8 2 2 8" xfId="4170" xr:uid="{00000000-0005-0000-0000-000013930000}"/>
    <cellStyle name="Normal 8 2 2 8 2" xfId="19054" xr:uid="{00000000-0005-0000-0000-000014930000}"/>
    <cellStyle name="Normal 8 2 2 8 2 2" xfId="41697" xr:uid="{00000000-0005-0000-0000-000015930000}"/>
    <cellStyle name="Normal 8 2 2 8 3" xfId="11614" xr:uid="{00000000-0005-0000-0000-000016930000}"/>
    <cellStyle name="Normal 8 2 2 8 3 2" xfId="34257" xr:uid="{00000000-0005-0000-0000-000017930000}"/>
    <cellStyle name="Normal 8 2 2 8 4" xfId="26816" xr:uid="{00000000-0005-0000-0000-000018930000}"/>
    <cellStyle name="Normal 8 2 2 9" xfId="15336" xr:uid="{00000000-0005-0000-0000-000019930000}"/>
    <cellStyle name="Normal 8 2 2 9 2" xfId="37979" xr:uid="{00000000-0005-0000-0000-00001A930000}"/>
    <cellStyle name="Normal 8 2 3" xfId="470" xr:uid="{00000000-0005-0000-0000-00001B930000}"/>
    <cellStyle name="Normal 8 2 3 10" xfId="23131" xr:uid="{00000000-0005-0000-0000-00001C930000}"/>
    <cellStyle name="Normal 8 2 3 2" xfId="576" xr:uid="{00000000-0005-0000-0000-00001D930000}"/>
    <cellStyle name="Normal 8 2 3 2 2" xfId="788" xr:uid="{00000000-0005-0000-0000-00001E930000}"/>
    <cellStyle name="Normal 8 2 3 2 2 2" xfId="1253" xr:uid="{00000000-0005-0000-0000-00001F930000}"/>
    <cellStyle name="Normal 8 2 3 2 2 2 2" xfId="2181" xr:uid="{00000000-0005-0000-0000-000020930000}"/>
    <cellStyle name="Normal 8 2 3 2 2 2 2 2" xfId="4031" xr:uid="{00000000-0005-0000-0000-000021930000}"/>
    <cellStyle name="Normal 8 2 3 2 2 2 2 2 2" xfId="7752" xr:uid="{00000000-0005-0000-0000-000022930000}"/>
    <cellStyle name="Normal 8 2 3 2 2 2 2 2 2 2" xfId="22636" xr:uid="{00000000-0005-0000-0000-000023930000}"/>
    <cellStyle name="Normal 8 2 3 2 2 2 2 2 2 2 2" xfId="45279" xr:uid="{00000000-0005-0000-0000-000024930000}"/>
    <cellStyle name="Normal 8 2 3 2 2 2 2 2 2 3" xfId="15196" xr:uid="{00000000-0005-0000-0000-000025930000}"/>
    <cellStyle name="Normal 8 2 3 2 2 2 2 2 2 3 2" xfId="37839" xr:uid="{00000000-0005-0000-0000-000026930000}"/>
    <cellStyle name="Normal 8 2 3 2 2 2 2 2 2 4" xfId="30398" xr:uid="{00000000-0005-0000-0000-000027930000}"/>
    <cellStyle name="Normal 8 2 3 2 2 2 2 2 3" xfId="18918" xr:uid="{00000000-0005-0000-0000-000028930000}"/>
    <cellStyle name="Normal 8 2 3 2 2 2 2 2 3 2" xfId="41561" xr:uid="{00000000-0005-0000-0000-000029930000}"/>
    <cellStyle name="Normal 8 2 3 2 2 2 2 2 4" xfId="11478" xr:uid="{00000000-0005-0000-0000-00002A930000}"/>
    <cellStyle name="Normal 8 2 3 2 2 2 2 2 4 2" xfId="34121" xr:uid="{00000000-0005-0000-0000-00002B930000}"/>
    <cellStyle name="Normal 8 2 3 2 2 2 2 2 5" xfId="26680" xr:uid="{00000000-0005-0000-0000-00002C930000}"/>
    <cellStyle name="Normal 8 2 3 2 2 2 2 3" xfId="5905" xr:uid="{00000000-0005-0000-0000-00002D930000}"/>
    <cellStyle name="Normal 8 2 3 2 2 2 2 3 2" xfId="20789" xr:uid="{00000000-0005-0000-0000-00002E930000}"/>
    <cellStyle name="Normal 8 2 3 2 2 2 2 3 2 2" xfId="43432" xr:uid="{00000000-0005-0000-0000-00002F930000}"/>
    <cellStyle name="Normal 8 2 3 2 2 2 2 3 3" xfId="13349" xr:uid="{00000000-0005-0000-0000-000030930000}"/>
    <cellStyle name="Normal 8 2 3 2 2 2 2 3 3 2" xfId="35992" xr:uid="{00000000-0005-0000-0000-000031930000}"/>
    <cellStyle name="Normal 8 2 3 2 2 2 2 3 4" xfId="28551" xr:uid="{00000000-0005-0000-0000-000032930000}"/>
    <cellStyle name="Normal 8 2 3 2 2 2 2 4" xfId="17071" xr:uid="{00000000-0005-0000-0000-000033930000}"/>
    <cellStyle name="Normal 8 2 3 2 2 2 2 4 2" xfId="39714" xr:uid="{00000000-0005-0000-0000-000034930000}"/>
    <cellStyle name="Normal 8 2 3 2 2 2 2 5" xfId="9631" xr:uid="{00000000-0005-0000-0000-000035930000}"/>
    <cellStyle name="Normal 8 2 3 2 2 2 2 5 2" xfId="32274" xr:uid="{00000000-0005-0000-0000-000036930000}"/>
    <cellStyle name="Normal 8 2 3 2 2 2 2 6" xfId="24833" xr:uid="{00000000-0005-0000-0000-000037930000}"/>
    <cellStyle name="Normal 8 2 3 2 2 2 3" xfId="3106" xr:uid="{00000000-0005-0000-0000-000038930000}"/>
    <cellStyle name="Normal 8 2 3 2 2 2 3 2" xfId="6827" xr:uid="{00000000-0005-0000-0000-000039930000}"/>
    <cellStyle name="Normal 8 2 3 2 2 2 3 2 2" xfId="21711" xr:uid="{00000000-0005-0000-0000-00003A930000}"/>
    <cellStyle name="Normal 8 2 3 2 2 2 3 2 2 2" xfId="44354" xr:uid="{00000000-0005-0000-0000-00003B930000}"/>
    <cellStyle name="Normal 8 2 3 2 2 2 3 2 3" xfId="14271" xr:uid="{00000000-0005-0000-0000-00003C930000}"/>
    <cellStyle name="Normal 8 2 3 2 2 2 3 2 3 2" xfId="36914" xr:uid="{00000000-0005-0000-0000-00003D930000}"/>
    <cellStyle name="Normal 8 2 3 2 2 2 3 2 4" xfId="29473" xr:uid="{00000000-0005-0000-0000-00003E930000}"/>
    <cellStyle name="Normal 8 2 3 2 2 2 3 3" xfId="17993" xr:uid="{00000000-0005-0000-0000-00003F930000}"/>
    <cellStyle name="Normal 8 2 3 2 2 2 3 3 2" xfId="40636" xr:uid="{00000000-0005-0000-0000-000040930000}"/>
    <cellStyle name="Normal 8 2 3 2 2 2 3 4" xfId="10553" xr:uid="{00000000-0005-0000-0000-000041930000}"/>
    <cellStyle name="Normal 8 2 3 2 2 2 3 4 2" xfId="33196" xr:uid="{00000000-0005-0000-0000-000042930000}"/>
    <cellStyle name="Normal 8 2 3 2 2 2 3 5" xfId="25755" xr:uid="{00000000-0005-0000-0000-000043930000}"/>
    <cellStyle name="Normal 8 2 3 2 2 2 4" xfId="4980" xr:uid="{00000000-0005-0000-0000-000044930000}"/>
    <cellStyle name="Normal 8 2 3 2 2 2 4 2" xfId="19864" xr:uid="{00000000-0005-0000-0000-000045930000}"/>
    <cellStyle name="Normal 8 2 3 2 2 2 4 2 2" xfId="42507" xr:uid="{00000000-0005-0000-0000-000046930000}"/>
    <cellStyle name="Normal 8 2 3 2 2 2 4 3" xfId="12424" xr:uid="{00000000-0005-0000-0000-000047930000}"/>
    <cellStyle name="Normal 8 2 3 2 2 2 4 3 2" xfId="35067" xr:uid="{00000000-0005-0000-0000-000048930000}"/>
    <cellStyle name="Normal 8 2 3 2 2 2 4 4" xfId="27626" xr:uid="{00000000-0005-0000-0000-000049930000}"/>
    <cellStyle name="Normal 8 2 3 2 2 2 5" xfId="16146" xr:uid="{00000000-0005-0000-0000-00004A930000}"/>
    <cellStyle name="Normal 8 2 3 2 2 2 5 2" xfId="38789" xr:uid="{00000000-0005-0000-0000-00004B930000}"/>
    <cellStyle name="Normal 8 2 3 2 2 2 6" xfId="8706" xr:uid="{00000000-0005-0000-0000-00004C930000}"/>
    <cellStyle name="Normal 8 2 3 2 2 2 6 2" xfId="31349" xr:uid="{00000000-0005-0000-0000-00004D930000}"/>
    <cellStyle name="Normal 8 2 3 2 2 2 7" xfId="23908" xr:uid="{00000000-0005-0000-0000-00004E930000}"/>
    <cellStyle name="Normal 8 2 3 2 2 3" xfId="1719" xr:uid="{00000000-0005-0000-0000-00004F930000}"/>
    <cellStyle name="Normal 8 2 3 2 2 3 2" xfId="3569" xr:uid="{00000000-0005-0000-0000-000050930000}"/>
    <cellStyle name="Normal 8 2 3 2 2 3 2 2" xfId="7290" xr:uid="{00000000-0005-0000-0000-000051930000}"/>
    <cellStyle name="Normal 8 2 3 2 2 3 2 2 2" xfId="22174" xr:uid="{00000000-0005-0000-0000-000052930000}"/>
    <cellStyle name="Normal 8 2 3 2 2 3 2 2 2 2" xfId="44817" xr:uid="{00000000-0005-0000-0000-000053930000}"/>
    <cellStyle name="Normal 8 2 3 2 2 3 2 2 3" xfId="14734" xr:uid="{00000000-0005-0000-0000-000054930000}"/>
    <cellStyle name="Normal 8 2 3 2 2 3 2 2 3 2" xfId="37377" xr:uid="{00000000-0005-0000-0000-000055930000}"/>
    <cellStyle name="Normal 8 2 3 2 2 3 2 2 4" xfId="29936" xr:uid="{00000000-0005-0000-0000-000056930000}"/>
    <cellStyle name="Normal 8 2 3 2 2 3 2 3" xfId="18456" xr:uid="{00000000-0005-0000-0000-000057930000}"/>
    <cellStyle name="Normal 8 2 3 2 2 3 2 3 2" xfId="41099" xr:uid="{00000000-0005-0000-0000-000058930000}"/>
    <cellStyle name="Normal 8 2 3 2 2 3 2 4" xfId="11016" xr:uid="{00000000-0005-0000-0000-000059930000}"/>
    <cellStyle name="Normal 8 2 3 2 2 3 2 4 2" xfId="33659" xr:uid="{00000000-0005-0000-0000-00005A930000}"/>
    <cellStyle name="Normal 8 2 3 2 2 3 2 5" xfId="26218" xr:uid="{00000000-0005-0000-0000-00005B930000}"/>
    <cellStyle name="Normal 8 2 3 2 2 3 3" xfId="5443" xr:uid="{00000000-0005-0000-0000-00005C930000}"/>
    <cellStyle name="Normal 8 2 3 2 2 3 3 2" xfId="20327" xr:uid="{00000000-0005-0000-0000-00005D930000}"/>
    <cellStyle name="Normal 8 2 3 2 2 3 3 2 2" xfId="42970" xr:uid="{00000000-0005-0000-0000-00005E930000}"/>
    <cellStyle name="Normal 8 2 3 2 2 3 3 3" xfId="12887" xr:uid="{00000000-0005-0000-0000-00005F930000}"/>
    <cellStyle name="Normal 8 2 3 2 2 3 3 3 2" xfId="35530" xr:uid="{00000000-0005-0000-0000-000060930000}"/>
    <cellStyle name="Normal 8 2 3 2 2 3 3 4" xfId="28089" xr:uid="{00000000-0005-0000-0000-000061930000}"/>
    <cellStyle name="Normal 8 2 3 2 2 3 4" xfId="16609" xr:uid="{00000000-0005-0000-0000-000062930000}"/>
    <cellStyle name="Normal 8 2 3 2 2 3 4 2" xfId="39252" xr:uid="{00000000-0005-0000-0000-000063930000}"/>
    <cellStyle name="Normal 8 2 3 2 2 3 5" xfId="9169" xr:uid="{00000000-0005-0000-0000-000064930000}"/>
    <cellStyle name="Normal 8 2 3 2 2 3 5 2" xfId="31812" xr:uid="{00000000-0005-0000-0000-000065930000}"/>
    <cellStyle name="Normal 8 2 3 2 2 3 6" xfId="24371" xr:uid="{00000000-0005-0000-0000-000066930000}"/>
    <cellStyle name="Normal 8 2 3 2 2 4" xfId="2644" xr:uid="{00000000-0005-0000-0000-000067930000}"/>
    <cellStyle name="Normal 8 2 3 2 2 4 2" xfId="6365" xr:uid="{00000000-0005-0000-0000-000068930000}"/>
    <cellStyle name="Normal 8 2 3 2 2 4 2 2" xfId="21249" xr:uid="{00000000-0005-0000-0000-000069930000}"/>
    <cellStyle name="Normal 8 2 3 2 2 4 2 2 2" xfId="43892" xr:uid="{00000000-0005-0000-0000-00006A930000}"/>
    <cellStyle name="Normal 8 2 3 2 2 4 2 3" xfId="13809" xr:uid="{00000000-0005-0000-0000-00006B930000}"/>
    <cellStyle name="Normal 8 2 3 2 2 4 2 3 2" xfId="36452" xr:uid="{00000000-0005-0000-0000-00006C930000}"/>
    <cellStyle name="Normal 8 2 3 2 2 4 2 4" xfId="29011" xr:uid="{00000000-0005-0000-0000-00006D930000}"/>
    <cellStyle name="Normal 8 2 3 2 2 4 3" xfId="17531" xr:uid="{00000000-0005-0000-0000-00006E930000}"/>
    <cellStyle name="Normal 8 2 3 2 2 4 3 2" xfId="40174" xr:uid="{00000000-0005-0000-0000-00006F930000}"/>
    <cellStyle name="Normal 8 2 3 2 2 4 4" xfId="10091" xr:uid="{00000000-0005-0000-0000-000070930000}"/>
    <cellStyle name="Normal 8 2 3 2 2 4 4 2" xfId="32734" xr:uid="{00000000-0005-0000-0000-000071930000}"/>
    <cellStyle name="Normal 8 2 3 2 2 4 5" xfId="25293" xr:uid="{00000000-0005-0000-0000-000072930000}"/>
    <cellStyle name="Normal 8 2 3 2 2 5" xfId="4518" xr:uid="{00000000-0005-0000-0000-000073930000}"/>
    <cellStyle name="Normal 8 2 3 2 2 5 2" xfId="19402" xr:uid="{00000000-0005-0000-0000-000074930000}"/>
    <cellStyle name="Normal 8 2 3 2 2 5 2 2" xfId="42045" xr:uid="{00000000-0005-0000-0000-000075930000}"/>
    <cellStyle name="Normal 8 2 3 2 2 5 3" xfId="11962" xr:uid="{00000000-0005-0000-0000-000076930000}"/>
    <cellStyle name="Normal 8 2 3 2 2 5 3 2" xfId="34605" xr:uid="{00000000-0005-0000-0000-000077930000}"/>
    <cellStyle name="Normal 8 2 3 2 2 5 4" xfId="27164" xr:uid="{00000000-0005-0000-0000-000078930000}"/>
    <cellStyle name="Normal 8 2 3 2 2 6" xfId="15684" xr:uid="{00000000-0005-0000-0000-000079930000}"/>
    <cellStyle name="Normal 8 2 3 2 2 6 2" xfId="38327" xr:uid="{00000000-0005-0000-0000-00007A930000}"/>
    <cellStyle name="Normal 8 2 3 2 2 7" xfId="8244" xr:uid="{00000000-0005-0000-0000-00007B930000}"/>
    <cellStyle name="Normal 8 2 3 2 2 7 2" xfId="30887" xr:uid="{00000000-0005-0000-0000-00007C930000}"/>
    <cellStyle name="Normal 8 2 3 2 2 8" xfId="23446" xr:uid="{00000000-0005-0000-0000-00007D930000}"/>
    <cellStyle name="Normal 8 2 3 2 3" xfId="1042" xr:uid="{00000000-0005-0000-0000-00007E930000}"/>
    <cellStyle name="Normal 8 2 3 2 3 2" xfId="1970" xr:uid="{00000000-0005-0000-0000-00007F930000}"/>
    <cellStyle name="Normal 8 2 3 2 3 2 2" xfId="3820" xr:uid="{00000000-0005-0000-0000-000080930000}"/>
    <cellStyle name="Normal 8 2 3 2 3 2 2 2" xfId="7541" xr:uid="{00000000-0005-0000-0000-000081930000}"/>
    <cellStyle name="Normal 8 2 3 2 3 2 2 2 2" xfId="22425" xr:uid="{00000000-0005-0000-0000-000082930000}"/>
    <cellStyle name="Normal 8 2 3 2 3 2 2 2 2 2" xfId="45068" xr:uid="{00000000-0005-0000-0000-000083930000}"/>
    <cellStyle name="Normal 8 2 3 2 3 2 2 2 3" xfId="14985" xr:uid="{00000000-0005-0000-0000-000084930000}"/>
    <cellStyle name="Normal 8 2 3 2 3 2 2 2 3 2" xfId="37628" xr:uid="{00000000-0005-0000-0000-000085930000}"/>
    <cellStyle name="Normal 8 2 3 2 3 2 2 2 4" xfId="30187" xr:uid="{00000000-0005-0000-0000-000086930000}"/>
    <cellStyle name="Normal 8 2 3 2 3 2 2 3" xfId="18707" xr:uid="{00000000-0005-0000-0000-000087930000}"/>
    <cellStyle name="Normal 8 2 3 2 3 2 2 3 2" xfId="41350" xr:uid="{00000000-0005-0000-0000-000088930000}"/>
    <cellStyle name="Normal 8 2 3 2 3 2 2 4" xfId="11267" xr:uid="{00000000-0005-0000-0000-000089930000}"/>
    <cellStyle name="Normal 8 2 3 2 3 2 2 4 2" xfId="33910" xr:uid="{00000000-0005-0000-0000-00008A930000}"/>
    <cellStyle name="Normal 8 2 3 2 3 2 2 5" xfId="26469" xr:uid="{00000000-0005-0000-0000-00008B930000}"/>
    <cellStyle name="Normal 8 2 3 2 3 2 3" xfId="5694" xr:uid="{00000000-0005-0000-0000-00008C930000}"/>
    <cellStyle name="Normal 8 2 3 2 3 2 3 2" xfId="20578" xr:uid="{00000000-0005-0000-0000-00008D930000}"/>
    <cellStyle name="Normal 8 2 3 2 3 2 3 2 2" xfId="43221" xr:uid="{00000000-0005-0000-0000-00008E930000}"/>
    <cellStyle name="Normal 8 2 3 2 3 2 3 3" xfId="13138" xr:uid="{00000000-0005-0000-0000-00008F930000}"/>
    <cellStyle name="Normal 8 2 3 2 3 2 3 3 2" xfId="35781" xr:uid="{00000000-0005-0000-0000-000090930000}"/>
    <cellStyle name="Normal 8 2 3 2 3 2 3 4" xfId="28340" xr:uid="{00000000-0005-0000-0000-000091930000}"/>
    <cellStyle name="Normal 8 2 3 2 3 2 4" xfId="16860" xr:uid="{00000000-0005-0000-0000-000092930000}"/>
    <cellStyle name="Normal 8 2 3 2 3 2 4 2" xfId="39503" xr:uid="{00000000-0005-0000-0000-000093930000}"/>
    <cellStyle name="Normal 8 2 3 2 3 2 5" xfId="9420" xr:uid="{00000000-0005-0000-0000-000094930000}"/>
    <cellStyle name="Normal 8 2 3 2 3 2 5 2" xfId="32063" xr:uid="{00000000-0005-0000-0000-000095930000}"/>
    <cellStyle name="Normal 8 2 3 2 3 2 6" xfId="24622" xr:uid="{00000000-0005-0000-0000-000096930000}"/>
    <cellStyle name="Normal 8 2 3 2 3 3" xfId="2895" xr:uid="{00000000-0005-0000-0000-000097930000}"/>
    <cellStyle name="Normal 8 2 3 2 3 3 2" xfId="6616" xr:uid="{00000000-0005-0000-0000-000098930000}"/>
    <cellStyle name="Normal 8 2 3 2 3 3 2 2" xfId="21500" xr:uid="{00000000-0005-0000-0000-000099930000}"/>
    <cellStyle name="Normal 8 2 3 2 3 3 2 2 2" xfId="44143" xr:uid="{00000000-0005-0000-0000-00009A930000}"/>
    <cellStyle name="Normal 8 2 3 2 3 3 2 3" xfId="14060" xr:uid="{00000000-0005-0000-0000-00009B930000}"/>
    <cellStyle name="Normal 8 2 3 2 3 3 2 3 2" xfId="36703" xr:uid="{00000000-0005-0000-0000-00009C930000}"/>
    <cellStyle name="Normal 8 2 3 2 3 3 2 4" xfId="29262" xr:uid="{00000000-0005-0000-0000-00009D930000}"/>
    <cellStyle name="Normal 8 2 3 2 3 3 3" xfId="17782" xr:uid="{00000000-0005-0000-0000-00009E930000}"/>
    <cellStyle name="Normal 8 2 3 2 3 3 3 2" xfId="40425" xr:uid="{00000000-0005-0000-0000-00009F930000}"/>
    <cellStyle name="Normal 8 2 3 2 3 3 4" xfId="10342" xr:uid="{00000000-0005-0000-0000-0000A0930000}"/>
    <cellStyle name="Normal 8 2 3 2 3 3 4 2" xfId="32985" xr:uid="{00000000-0005-0000-0000-0000A1930000}"/>
    <cellStyle name="Normal 8 2 3 2 3 3 5" xfId="25544" xr:uid="{00000000-0005-0000-0000-0000A2930000}"/>
    <cellStyle name="Normal 8 2 3 2 3 4" xfId="4769" xr:uid="{00000000-0005-0000-0000-0000A3930000}"/>
    <cellStyle name="Normal 8 2 3 2 3 4 2" xfId="19653" xr:uid="{00000000-0005-0000-0000-0000A4930000}"/>
    <cellStyle name="Normal 8 2 3 2 3 4 2 2" xfId="42296" xr:uid="{00000000-0005-0000-0000-0000A5930000}"/>
    <cellStyle name="Normal 8 2 3 2 3 4 3" xfId="12213" xr:uid="{00000000-0005-0000-0000-0000A6930000}"/>
    <cellStyle name="Normal 8 2 3 2 3 4 3 2" xfId="34856" xr:uid="{00000000-0005-0000-0000-0000A7930000}"/>
    <cellStyle name="Normal 8 2 3 2 3 4 4" xfId="27415" xr:uid="{00000000-0005-0000-0000-0000A8930000}"/>
    <cellStyle name="Normal 8 2 3 2 3 5" xfId="15935" xr:uid="{00000000-0005-0000-0000-0000A9930000}"/>
    <cellStyle name="Normal 8 2 3 2 3 5 2" xfId="38578" xr:uid="{00000000-0005-0000-0000-0000AA930000}"/>
    <cellStyle name="Normal 8 2 3 2 3 6" xfId="8495" xr:uid="{00000000-0005-0000-0000-0000AB930000}"/>
    <cellStyle name="Normal 8 2 3 2 3 6 2" xfId="31138" xr:uid="{00000000-0005-0000-0000-0000AC930000}"/>
    <cellStyle name="Normal 8 2 3 2 3 7" xfId="23697" xr:uid="{00000000-0005-0000-0000-0000AD930000}"/>
    <cellStyle name="Normal 8 2 3 2 4" xfId="1508" xr:uid="{00000000-0005-0000-0000-0000AE930000}"/>
    <cellStyle name="Normal 8 2 3 2 4 2" xfId="3358" xr:uid="{00000000-0005-0000-0000-0000AF930000}"/>
    <cellStyle name="Normal 8 2 3 2 4 2 2" xfId="7079" xr:uid="{00000000-0005-0000-0000-0000B0930000}"/>
    <cellStyle name="Normal 8 2 3 2 4 2 2 2" xfId="21963" xr:uid="{00000000-0005-0000-0000-0000B1930000}"/>
    <cellStyle name="Normal 8 2 3 2 4 2 2 2 2" xfId="44606" xr:uid="{00000000-0005-0000-0000-0000B2930000}"/>
    <cellStyle name="Normal 8 2 3 2 4 2 2 3" xfId="14523" xr:uid="{00000000-0005-0000-0000-0000B3930000}"/>
    <cellStyle name="Normal 8 2 3 2 4 2 2 3 2" xfId="37166" xr:uid="{00000000-0005-0000-0000-0000B4930000}"/>
    <cellStyle name="Normal 8 2 3 2 4 2 2 4" xfId="29725" xr:uid="{00000000-0005-0000-0000-0000B5930000}"/>
    <cellStyle name="Normal 8 2 3 2 4 2 3" xfId="18245" xr:uid="{00000000-0005-0000-0000-0000B6930000}"/>
    <cellStyle name="Normal 8 2 3 2 4 2 3 2" xfId="40888" xr:uid="{00000000-0005-0000-0000-0000B7930000}"/>
    <cellStyle name="Normal 8 2 3 2 4 2 4" xfId="10805" xr:uid="{00000000-0005-0000-0000-0000B8930000}"/>
    <cellStyle name="Normal 8 2 3 2 4 2 4 2" xfId="33448" xr:uid="{00000000-0005-0000-0000-0000B9930000}"/>
    <cellStyle name="Normal 8 2 3 2 4 2 5" xfId="26007" xr:uid="{00000000-0005-0000-0000-0000BA930000}"/>
    <cellStyle name="Normal 8 2 3 2 4 3" xfId="5232" xr:uid="{00000000-0005-0000-0000-0000BB930000}"/>
    <cellStyle name="Normal 8 2 3 2 4 3 2" xfId="20116" xr:uid="{00000000-0005-0000-0000-0000BC930000}"/>
    <cellStyle name="Normal 8 2 3 2 4 3 2 2" xfId="42759" xr:uid="{00000000-0005-0000-0000-0000BD930000}"/>
    <cellStyle name="Normal 8 2 3 2 4 3 3" xfId="12676" xr:uid="{00000000-0005-0000-0000-0000BE930000}"/>
    <cellStyle name="Normal 8 2 3 2 4 3 3 2" xfId="35319" xr:uid="{00000000-0005-0000-0000-0000BF930000}"/>
    <cellStyle name="Normal 8 2 3 2 4 3 4" xfId="27878" xr:uid="{00000000-0005-0000-0000-0000C0930000}"/>
    <cellStyle name="Normal 8 2 3 2 4 4" xfId="16398" xr:uid="{00000000-0005-0000-0000-0000C1930000}"/>
    <cellStyle name="Normal 8 2 3 2 4 4 2" xfId="39041" xr:uid="{00000000-0005-0000-0000-0000C2930000}"/>
    <cellStyle name="Normal 8 2 3 2 4 5" xfId="8958" xr:uid="{00000000-0005-0000-0000-0000C3930000}"/>
    <cellStyle name="Normal 8 2 3 2 4 5 2" xfId="31601" xr:uid="{00000000-0005-0000-0000-0000C4930000}"/>
    <cellStyle name="Normal 8 2 3 2 4 6" xfId="24160" xr:uid="{00000000-0005-0000-0000-0000C5930000}"/>
    <cellStyle name="Normal 8 2 3 2 5" xfId="2433" xr:uid="{00000000-0005-0000-0000-0000C6930000}"/>
    <cellStyle name="Normal 8 2 3 2 5 2" xfId="6154" xr:uid="{00000000-0005-0000-0000-0000C7930000}"/>
    <cellStyle name="Normal 8 2 3 2 5 2 2" xfId="21038" xr:uid="{00000000-0005-0000-0000-0000C8930000}"/>
    <cellStyle name="Normal 8 2 3 2 5 2 2 2" xfId="43681" xr:uid="{00000000-0005-0000-0000-0000C9930000}"/>
    <cellStyle name="Normal 8 2 3 2 5 2 3" xfId="13598" xr:uid="{00000000-0005-0000-0000-0000CA930000}"/>
    <cellStyle name="Normal 8 2 3 2 5 2 3 2" xfId="36241" xr:uid="{00000000-0005-0000-0000-0000CB930000}"/>
    <cellStyle name="Normal 8 2 3 2 5 2 4" xfId="28800" xr:uid="{00000000-0005-0000-0000-0000CC930000}"/>
    <cellStyle name="Normal 8 2 3 2 5 3" xfId="17320" xr:uid="{00000000-0005-0000-0000-0000CD930000}"/>
    <cellStyle name="Normal 8 2 3 2 5 3 2" xfId="39963" xr:uid="{00000000-0005-0000-0000-0000CE930000}"/>
    <cellStyle name="Normal 8 2 3 2 5 4" xfId="9880" xr:uid="{00000000-0005-0000-0000-0000CF930000}"/>
    <cellStyle name="Normal 8 2 3 2 5 4 2" xfId="32523" xr:uid="{00000000-0005-0000-0000-0000D0930000}"/>
    <cellStyle name="Normal 8 2 3 2 5 5" xfId="25082" xr:uid="{00000000-0005-0000-0000-0000D1930000}"/>
    <cellStyle name="Normal 8 2 3 2 6" xfId="4307" xr:uid="{00000000-0005-0000-0000-0000D2930000}"/>
    <cellStyle name="Normal 8 2 3 2 6 2" xfId="19191" xr:uid="{00000000-0005-0000-0000-0000D3930000}"/>
    <cellStyle name="Normal 8 2 3 2 6 2 2" xfId="41834" xr:uid="{00000000-0005-0000-0000-0000D4930000}"/>
    <cellStyle name="Normal 8 2 3 2 6 3" xfId="11751" xr:uid="{00000000-0005-0000-0000-0000D5930000}"/>
    <cellStyle name="Normal 8 2 3 2 6 3 2" xfId="34394" xr:uid="{00000000-0005-0000-0000-0000D6930000}"/>
    <cellStyle name="Normal 8 2 3 2 6 4" xfId="26953" xr:uid="{00000000-0005-0000-0000-0000D7930000}"/>
    <cellStyle name="Normal 8 2 3 2 7" xfId="15473" xr:uid="{00000000-0005-0000-0000-0000D8930000}"/>
    <cellStyle name="Normal 8 2 3 2 7 2" xfId="38116" xr:uid="{00000000-0005-0000-0000-0000D9930000}"/>
    <cellStyle name="Normal 8 2 3 2 8" xfId="8033" xr:uid="{00000000-0005-0000-0000-0000DA930000}"/>
    <cellStyle name="Normal 8 2 3 2 8 2" xfId="30676" xr:uid="{00000000-0005-0000-0000-0000DB930000}"/>
    <cellStyle name="Normal 8 2 3 2 9" xfId="23236" xr:uid="{00000000-0005-0000-0000-0000DC930000}"/>
    <cellStyle name="Normal 8 2 3 3" xfId="683" xr:uid="{00000000-0005-0000-0000-0000DD930000}"/>
    <cellStyle name="Normal 8 2 3 3 2" xfId="1148" xr:uid="{00000000-0005-0000-0000-0000DE930000}"/>
    <cellStyle name="Normal 8 2 3 3 2 2" xfId="2076" xr:uid="{00000000-0005-0000-0000-0000DF930000}"/>
    <cellStyle name="Normal 8 2 3 3 2 2 2" xfId="3926" xr:uid="{00000000-0005-0000-0000-0000E0930000}"/>
    <cellStyle name="Normal 8 2 3 3 2 2 2 2" xfId="7647" xr:uid="{00000000-0005-0000-0000-0000E1930000}"/>
    <cellStyle name="Normal 8 2 3 3 2 2 2 2 2" xfId="22531" xr:uid="{00000000-0005-0000-0000-0000E2930000}"/>
    <cellStyle name="Normal 8 2 3 3 2 2 2 2 2 2" xfId="45174" xr:uid="{00000000-0005-0000-0000-0000E3930000}"/>
    <cellStyle name="Normal 8 2 3 3 2 2 2 2 3" xfId="15091" xr:uid="{00000000-0005-0000-0000-0000E4930000}"/>
    <cellStyle name="Normal 8 2 3 3 2 2 2 2 3 2" xfId="37734" xr:uid="{00000000-0005-0000-0000-0000E5930000}"/>
    <cellStyle name="Normal 8 2 3 3 2 2 2 2 4" xfId="30293" xr:uid="{00000000-0005-0000-0000-0000E6930000}"/>
    <cellStyle name="Normal 8 2 3 3 2 2 2 3" xfId="18813" xr:uid="{00000000-0005-0000-0000-0000E7930000}"/>
    <cellStyle name="Normal 8 2 3 3 2 2 2 3 2" xfId="41456" xr:uid="{00000000-0005-0000-0000-0000E8930000}"/>
    <cellStyle name="Normal 8 2 3 3 2 2 2 4" xfId="11373" xr:uid="{00000000-0005-0000-0000-0000E9930000}"/>
    <cellStyle name="Normal 8 2 3 3 2 2 2 4 2" xfId="34016" xr:uid="{00000000-0005-0000-0000-0000EA930000}"/>
    <cellStyle name="Normal 8 2 3 3 2 2 2 5" xfId="26575" xr:uid="{00000000-0005-0000-0000-0000EB930000}"/>
    <cellStyle name="Normal 8 2 3 3 2 2 3" xfId="5800" xr:uid="{00000000-0005-0000-0000-0000EC930000}"/>
    <cellStyle name="Normal 8 2 3 3 2 2 3 2" xfId="20684" xr:uid="{00000000-0005-0000-0000-0000ED930000}"/>
    <cellStyle name="Normal 8 2 3 3 2 2 3 2 2" xfId="43327" xr:uid="{00000000-0005-0000-0000-0000EE930000}"/>
    <cellStyle name="Normal 8 2 3 3 2 2 3 3" xfId="13244" xr:uid="{00000000-0005-0000-0000-0000EF930000}"/>
    <cellStyle name="Normal 8 2 3 3 2 2 3 3 2" xfId="35887" xr:uid="{00000000-0005-0000-0000-0000F0930000}"/>
    <cellStyle name="Normal 8 2 3 3 2 2 3 4" xfId="28446" xr:uid="{00000000-0005-0000-0000-0000F1930000}"/>
    <cellStyle name="Normal 8 2 3 3 2 2 4" xfId="16966" xr:uid="{00000000-0005-0000-0000-0000F2930000}"/>
    <cellStyle name="Normal 8 2 3 3 2 2 4 2" xfId="39609" xr:uid="{00000000-0005-0000-0000-0000F3930000}"/>
    <cellStyle name="Normal 8 2 3 3 2 2 5" xfId="9526" xr:uid="{00000000-0005-0000-0000-0000F4930000}"/>
    <cellStyle name="Normal 8 2 3 3 2 2 5 2" xfId="32169" xr:uid="{00000000-0005-0000-0000-0000F5930000}"/>
    <cellStyle name="Normal 8 2 3 3 2 2 6" xfId="24728" xr:uid="{00000000-0005-0000-0000-0000F6930000}"/>
    <cellStyle name="Normal 8 2 3 3 2 3" xfId="3001" xr:uid="{00000000-0005-0000-0000-0000F7930000}"/>
    <cellStyle name="Normal 8 2 3 3 2 3 2" xfId="6722" xr:uid="{00000000-0005-0000-0000-0000F8930000}"/>
    <cellStyle name="Normal 8 2 3 3 2 3 2 2" xfId="21606" xr:uid="{00000000-0005-0000-0000-0000F9930000}"/>
    <cellStyle name="Normal 8 2 3 3 2 3 2 2 2" xfId="44249" xr:uid="{00000000-0005-0000-0000-0000FA930000}"/>
    <cellStyle name="Normal 8 2 3 3 2 3 2 3" xfId="14166" xr:uid="{00000000-0005-0000-0000-0000FB930000}"/>
    <cellStyle name="Normal 8 2 3 3 2 3 2 3 2" xfId="36809" xr:uid="{00000000-0005-0000-0000-0000FC930000}"/>
    <cellStyle name="Normal 8 2 3 3 2 3 2 4" xfId="29368" xr:uid="{00000000-0005-0000-0000-0000FD930000}"/>
    <cellStyle name="Normal 8 2 3 3 2 3 3" xfId="17888" xr:uid="{00000000-0005-0000-0000-0000FE930000}"/>
    <cellStyle name="Normal 8 2 3 3 2 3 3 2" xfId="40531" xr:uid="{00000000-0005-0000-0000-0000FF930000}"/>
    <cellStyle name="Normal 8 2 3 3 2 3 4" xfId="10448" xr:uid="{00000000-0005-0000-0000-000000940000}"/>
    <cellStyle name="Normal 8 2 3 3 2 3 4 2" xfId="33091" xr:uid="{00000000-0005-0000-0000-000001940000}"/>
    <cellStyle name="Normal 8 2 3 3 2 3 5" xfId="25650" xr:uid="{00000000-0005-0000-0000-000002940000}"/>
    <cellStyle name="Normal 8 2 3 3 2 4" xfId="4875" xr:uid="{00000000-0005-0000-0000-000003940000}"/>
    <cellStyle name="Normal 8 2 3 3 2 4 2" xfId="19759" xr:uid="{00000000-0005-0000-0000-000004940000}"/>
    <cellStyle name="Normal 8 2 3 3 2 4 2 2" xfId="42402" xr:uid="{00000000-0005-0000-0000-000005940000}"/>
    <cellStyle name="Normal 8 2 3 3 2 4 3" xfId="12319" xr:uid="{00000000-0005-0000-0000-000006940000}"/>
    <cellStyle name="Normal 8 2 3 3 2 4 3 2" xfId="34962" xr:uid="{00000000-0005-0000-0000-000007940000}"/>
    <cellStyle name="Normal 8 2 3 3 2 4 4" xfId="27521" xr:uid="{00000000-0005-0000-0000-000008940000}"/>
    <cellStyle name="Normal 8 2 3 3 2 5" xfId="16041" xr:uid="{00000000-0005-0000-0000-000009940000}"/>
    <cellStyle name="Normal 8 2 3 3 2 5 2" xfId="38684" xr:uid="{00000000-0005-0000-0000-00000A940000}"/>
    <cellStyle name="Normal 8 2 3 3 2 6" xfId="8601" xr:uid="{00000000-0005-0000-0000-00000B940000}"/>
    <cellStyle name="Normal 8 2 3 3 2 6 2" xfId="31244" xr:uid="{00000000-0005-0000-0000-00000C940000}"/>
    <cellStyle name="Normal 8 2 3 3 2 7" xfId="23803" xr:uid="{00000000-0005-0000-0000-00000D940000}"/>
    <cellStyle name="Normal 8 2 3 3 3" xfId="1614" xr:uid="{00000000-0005-0000-0000-00000E940000}"/>
    <cellStyle name="Normal 8 2 3 3 3 2" xfId="3464" xr:uid="{00000000-0005-0000-0000-00000F940000}"/>
    <cellStyle name="Normal 8 2 3 3 3 2 2" xfId="7185" xr:uid="{00000000-0005-0000-0000-000010940000}"/>
    <cellStyle name="Normal 8 2 3 3 3 2 2 2" xfId="22069" xr:uid="{00000000-0005-0000-0000-000011940000}"/>
    <cellStyle name="Normal 8 2 3 3 3 2 2 2 2" xfId="44712" xr:uid="{00000000-0005-0000-0000-000012940000}"/>
    <cellStyle name="Normal 8 2 3 3 3 2 2 3" xfId="14629" xr:uid="{00000000-0005-0000-0000-000013940000}"/>
    <cellStyle name="Normal 8 2 3 3 3 2 2 3 2" xfId="37272" xr:uid="{00000000-0005-0000-0000-000014940000}"/>
    <cellStyle name="Normal 8 2 3 3 3 2 2 4" xfId="29831" xr:uid="{00000000-0005-0000-0000-000015940000}"/>
    <cellStyle name="Normal 8 2 3 3 3 2 3" xfId="18351" xr:uid="{00000000-0005-0000-0000-000016940000}"/>
    <cellStyle name="Normal 8 2 3 3 3 2 3 2" xfId="40994" xr:uid="{00000000-0005-0000-0000-000017940000}"/>
    <cellStyle name="Normal 8 2 3 3 3 2 4" xfId="10911" xr:uid="{00000000-0005-0000-0000-000018940000}"/>
    <cellStyle name="Normal 8 2 3 3 3 2 4 2" xfId="33554" xr:uid="{00000000-0005-0000-0000-000019940000}"/>
    <cellStyle name="Normal 8 2 3 3 3 2 5" xfId="26113" xr:uid="{00000000-0005-0000-0000-00001A940000}"/>
    <cellStyle name="Normal 8 2 3 3 3 3" xfId="5338" xr:uid="{00000000-0005-0000-0000-00001B940000}"/>
    <cellStyle name="Normal 8 2 3 3 3 3 2" xfId="20222" xr:uid="{00000000-0005-0000-0000-00001C940000}"/>
    <cellStyle name="Normal 8 2 3 3 3 3 2 2" xfId="42865" xr:uid="{00000000-0005-0000-0000-00001D940000}"/>
    <cellStyle name="Normal 8 2 3 3 3 3 3" xfId="12782" xr:uid="{00000000-0005-0000-0000-00001E940000}"/>
    <cellStyle name="Normal 8 2 3 3 3 3 3 2" xfId="35425" xr:uid="{00000000-0005-0000-0000-00001F940000}"/>
    <cellStyle name="Normal 8 2 3 3 3 3 4" xfId="27984" xr:uid="{00000000-0005-0000-0000-000020940000}"/>
    <cellStyle name="Normal 8 2 3 3 3 4" xfId="16504" xr:uid="{00000000-0005-0000-0000-000021940000}"/>
    <cellStyle name="Normal 8 2 3 3 3 4 2" xfId="39147" xr:uid="{00000000-0005-0000-0000-000022940000}"/>
    <cellStyle name="Normal 8 2 3 3 3 5" xfId="9064" xr:uid="{00000000-0005-0000-0000-000023940000}"/>
    <cellStyle name="Normal 8 2 3 3 3 5 2" xfId="31707" xr:uid="{00000000-0005-0000-0000-000024940000}"/>
    <cellStyle name="Normal 8 2 3 3 3 6" xfId="24266" xr:uid="{00000000-0005-0000-0000-000025940000}"/>
    <cellStyle name="Normal 8 2 3 3 4" xfId="2539" xr:uid="{00000000-0005-0000-0000-000026940000}"/>
    <cellStyle name="Normal 8 2 3 3 4 2" xfId="6260" xr:uid="{00000000-0005-0000-0000-000027940000}"/>
    <cellStyle name="Normal 8 2 3 3 4 2 2" xfId="21144" xr:uid="{00000000-0005-0000-0000-000028940000}"/>
    <cellStyle name="Normal 8 2 3 3 4 2 2 2" xfId="43787" xr:uid="{00000000-0005-0000-0000-000029940000}"/>
    <cellStyle name="Normal 8 2 3 3 4 2 3" xfId="13704" xr:uid="{00000000-0005-0000-0000-00002A940000}"/>
    <cellStyle name="Normal 8 2 3 3 4 2 3 2" xfId="36347" xr:uid="{00000000-0005-0000-0000-00002B940000}"/>
    <cellStyle name="Normal 8 2 3 3 4 2 4" xfId="28906" xr:uid="{00000000-0005-0000-0000-00002C940000}"/>
    <cellStyle name="Normal 8 2 3 3 4 3" xfId="17426" xr:uid="{00000000-0005-0000-0000-00002D940000}"/>
    <cellStyle name="Normal 8 2 3 3 4 3 2" xfId="40069" xr:uid="{00000000-0005-0000-0000-00002E940000}"/>
    <cellStyle name="Normal 8 2 3 3 4 4" xfId="9986" xr:uid="{00000000-0005-0000-0000-00002F940000}"/>
    <cellStyle name="Normal 8 2 3 3 4 4 2" xfId="32629" xr:uid="{00000000-0005-0000-0000-000030940000}"/>
    <cellStyle name="Normal 8 2 3 3 4 5" xfId="25188" xr:uid="{00000000-0005-0000-0000-000031940000}"/>
    <cellStyle name="Normal 8 2 3 3 5" xfId="4413" xr:uid="{00000000-0005-0000-0000-000032940000}"/>
    <cellStyle name="Normal 8 2 3 3 5 2" xfId="19297" xr:uid="{00000000-0005-0000-0000-000033940000}"/>
    <cellStyle name="Normal 8 2 3 3 5 2 2" xfId="41940" xr:uid="{00000000-0005-0000-0000-000034940000}"/>
    <cellStyle name="Normal 8 2 3 3 5 3" xfId="11857" xr:uid="{00000000-0005-0000-0000-000035940000}"/>
    <cellStyle name="Normal 8 2 3 3 5 3 2" xfId="34500" xr:uid="{00000000-0005-0000-0000-000036940000}"/>
    <cellStyle name="Normal 8 2 3 3 5 4" xfId="27059" xr:uid="{00000000-0005-0000-0000-000037940000}"/>
    <cellStyle name="Normal 8 2 3 3 6" xfId="15579" xr:uid="{00000000-0005-0000-0000-000038940000}"/>
    <cellStyle name="Normal 8 2 3 3 6 2" xfId="38222" xr:uid="{00000000-0005-0000-0000-000039940000}"/>
    <cellStyle name="Normal 8 2 3 3 7" xfId="8139" xr:uid="{00000000-0005-0000-0000-00003A940000}"/>
    <cellStyle name="Normal 8 2 3 3 7 2" xfId="30782" xr:uid="{00000000-0005-0000-0000-00003B940000}"/>
    <cellStyle name="Normal 8 2 3 3 8" xfId="23341" xr:uid="{00000000-0005-0000-0000-00003C940000}"/>
    <cellStyle name="Normal 8 2 3 4" xfId="937" xr:uid="{00000000-0005-0000-0000-00003D940000}"/>
    <cellStyle name="Normal 8 2 3 4 2" xfId="1865" xr:uid="{00000000-0005-0000-0000-00003E940000}"/>
    <cellStyle name="Normal 8 2 3 4 2 2" xfId="3715" xr:uid="{00000000-0005-0000-0000-00003F940000}"/>
    <cellStyle name="Normal 8 2 3 4 2 2 2" xfId="7436" xr:uid="{00000000-0005-0000-0000-000040940000}"/>
    <cellStyle name="Normal 8 2 3 4 2 2 2 2" xfId="22320" xr:uid="{00000000-0005-0000-0000-000041940000}"/>
    <cellStyle name="Normal 8 2 3 4 2 2 2 2 2" xfId="44963" xr:uid="{00000000-0005-0000-0000-000042940000}"/>
    <cellStyle name="Normal 8 2 3 4 2 2 2 3" xfId="14880" xr:uid="{00000000-0005-0000-0000-000043940000}"/>
    <cellStyle name="Normal 8 2 3 4 2 2 2 3 2" xfId="37523" xr:uid="{00000000-0005-0000-0000-000044940000}"/>
    <cellStyle name="Normal 8 2 3 4 2 2 2 4" xfId="30082" xr:uid="{00000000-0005-0000-0000-000045940000}"/>
    <cellStyle name="Normal 8 2 3 4 2 2 3" xfId="18602" xr:uid="{00000000-0005-0000-0000-000046940000}"/>
    <cellStyle name="Normal 8 2 3 4 2 2 3 2" xfId="41245" xr:uid="{00000000-0005-0000-0000-000047940000}"/>
    <cellStyle name="Normal 8 2 3 4 2 2 4" xfId="11162" xr:uid="{00000000-0005-0000-0000-000048940000}"/>
    <cellStyle name="Normal 8 2 3 4 2 2 4 2" xfId="33805" xr:uid="{00000000-0005-0000-0000-000049940000}"/>
    <cellStyle name="Normal 8 2 3 4 2 2 5" xfId="26364" xr:uid="{00000000-0005-0000-0000-00004A940000}"/>
    <cellStyle name="Normal 8 2 3 4 2 3" xfId="5589" xr:uid="{00000000-0005-0000-0000-00004B940000}"/>
    <cellStyle name="Normal 8 2 3 4 2 3 2" xfId="20473" xr:uid="{00000000-0005-0000-0000-00004C940000}"/>
    <cellStyle name="Normal 8 2 3 4 2 3 2 2" xfId="43116" xr:uid="{00000000-0005-0000-0000-00004D940000}"/>
    <cellStyle name="Normal 8 2 3 4 2 3 3" xfId="13033" xr:uid="{00000000-0005-0000-0000-00004E940000}"/>
    <cellStyle name="Normal 8 2 3 4 2 3 3 2" xfId="35676" xr:uid="{00000000-0005-0000-0000-00004F940000}"/>
    <cellStyle name="Normal 8 2 3 4 2 3 4" xfId="28235" xr:uid="{00000000-0005-0000-0000-000050940000}"/>
    <cellStyle name="Normal 8 2 3 4 2 4" xfId="16755" xr:uid="{00000000-0005-0000-0000-000051940000}"/>
    <cellStyle name="Normal 8 2 3 4 2 4 2" xfId="39398" xr:uid="{00000000-0005-0000-0000-000052940000}"/>
    <cellStyle name="Normal 8 2 3 4 2 5" xfId="9315" xr:uid="{00000000-0005-0000-0000-000053940000}"/>
    <cellStyle name="Normal 8 2 3 4 2 5 2" xfId="31958" xr:uid="{00000000-0005-0000-0000-000054940000}"/>
    <cellStyle name="Normal 8 2 3 4 2 6" xfId="24517" xr:uid="{00000000-0005-0000-0000-000055940000}"/>
    <cellStyle name="Normal 8 2 3 4 3" xfId="2790" xr:uid="{00000000-0005-0000-0000-000056940000}"/>
    <cellStyle name="Normal 8 2 3 4 3 2" xfId="6511" xr:uid="{00000000-0005-0000-0000-000057940000}"/>
    <cellStyle name="Normal 8 2 3 4 3 2 2" xfId="21395" xr:uid="{00000000-0005-0000-0000-000058940000}"/>
    <cellStyle name="Normal 8 2 3 4 3 2 2 2" xfId="44038" xr:uid="{00000000-0005-0000-0000-000059940000}"/>
    <cellStyle name="Normal 8 2 3 4 3 2 3" xfId="13955" xr:uid="{00000000-0005-0000-0000-00005A940000}"/>
    <cellStyle name="Normal 8 2 3 4 3 2 3 2" xfId="36598" xr:uid="{00000000-0005-0000-0000-00005B940000}"/>
    <cellStyle name="Normal 8 2 3 4 3 2 4" xfId="29157" xr:uid="{00000000-0005-0000-0000-00005C940000}"/>
    <cellStyle name="Normal 8 2 3 4 3 3" xfId="17677" xr:uid="{00000000-0005-0000-0000-00005D940000}"/>
    <cellStyle name="Normal 8 2 3 4 3 3 2" xfId="40320" xr:uid="{00000000-0005-0000-0000-00005E940000}"/>
    <cellStyle name="Normal 8 2 3 4 3 4" xfId="10237" xr:uid="{00000000-0005-0000-0000-00005F940000}"/>
    <cellStyle name="Normal 8 2 3 4 3 4 2" xfId="32880" xr:uid="{00000000-0005-0000-0000-000060940000}"/>
    <cellStyle name="Normal 8 2 3 4 3 5" xfId="25439" xr:uid="{00000000-0005-0000-0000-000061940000}"/>
    <cellStyle name="Normal 8 2 3 4 4" xfId="4664" xr:uid="{00000000-0005-0000-0000-000062940000}"/>
    <cellStyle name="Normal 8 2 3 4 4 2" xfId="19548" xr:uid="{00000000-0005-0000-0000-000063940000}"/>
    <cellStyle name="Normal 8 2 3 4 4 2 2" xfId="42191" xr:uid="{00000000-0005-0000-0000-000064940000}"/>
    <cellStyle name="Normal 8 2 3 4 4 3" xfId="12108" xr:uid="{00000000-0005-0000-0000-000065940000}"/>
    <cellStyle name="Normal 8 2 3 4 4 3 2" xfId="34751" xr:uid="{00000000-0005-0000-0000-000066940000}"/>
    <cellStyle name="Normal 8 2 3 4 4 4" xfId="27310" xr:uid="{00000000-0005-0000-0000-000067940000}"/>
    <cellStyle name="Normal 8 2 3 4 5" xfId="15830" xr:uid="{00000000-0005-0000-0000-000068940000}"/>
    <cellStyle name="Normal 8 2 3 4 5 2" xfId="38473" xr:uid="{00000000-0005-0000-0000-000069940000}"/>
    <cellStyle name="Normal 8 2 3 4 6" xfId="8390" xr:uid="{00000000-0005-0000-0000-00006A940000}"/>
    <cellStyle name="Normal 8 2 3 4 6 2" xfId="31033" xr:uid="{00000000-0005-0000-0000-00006B940000}"/>
    <cellStyle name="Normal 8 2 3 4 7" xfId="23592" xr:uid="{00000000-0005-0000-0000-00006C940000}"/>
    <cellStyle name="Normal 8 2 3 5" xfId="1403" xr:uid="{00000000-0005-0000-0000-00006D940000}"/>
    <cellStyle name="Normal 8 2 3 5 2" xfId="3253" xr:uid="{00000000-0005-0000-0000-00006E940000}"/>
    <cellStyle name="Normal 8 2 3 5 2 2" xfId="6974" xr:uid="{00000000-0005-0000-0000-00006F940000}"/>
    <cellStyle name="Normal 8 2 3 5 2 2 2" xfId="21858" xr:uid="{00000000-0005-0000-0000-000070940000}"/>
    <cellStyle name="Normal 8 2 3 5 2 2 2 2" xfId="44501" xr:uid="{00000000-0005-0000-0000-000071940000}"/>
    <cellStyle name="Normal 8 2 3 5 2 2 3" xfId="14418" xr:uid="{00000000-0005-0000-0000-000072940000}"/>
    <cellStyle name="Normal 8 2 3 5 2 2 3 2" xfId="37061" xr:uid="{00000000-0005-0000-0000-000073940000}"/>
    <cellStyle name="Normal 8 2 3 5 2 2 4" xfId="29620" xr:uid="{00000000-0005-0000-0000-000074940000}"/>
    <cellStyle name="Normal 8 2 3 5 2 3" xfId="18140" xr:uid="{00000000-0005-0000-0000-000075940000}"/>
    <cellStyle name="Normal 8 2 3 5 2 3 2" xfId="40783" xr:uid="{00000000-0005-0000-0000-000076940000}"/>
    <cellStyle name="Normal 8 2 3 5 2 4" xfId="10700" xr:uid="{00000000-0005-0000-0000-000077940000}"/>
    <cellStyle name="Normal 8 2 3 5 2 4 2" xfId="33343" xr:uid="{00000000-0005-0000-0000-000078940000}"/>
    <cellStyle name="Normal 8 2 3 5 2 5" xfId="25902" xr:uid="{00000000-0005-0000-0000-000079940000}"/>
    <cellStyle name="Normal 8 2 3 5 3" xfId="5127" xr:uid="{00000000-0005-0000-0000-00007A940000}"/>
    <cellStyle name="Normal 8 2 3 5 3 2" xfId="20011" xr:uid="{00000000-0005-0000-0000-00007B940000}"/>
    <cellStyle name="Normal 8 2 3 5 3 2 2" xfId="42654" xr:uid="{00000000-0005-0000-0000-00007C940000}"/>
    <cellStyle name="Normal 8 2 3 5 3 3" xfId="12571" xr:uid="{00000000-0005-0000-0000-00007D940000}"/>
    <cellStyle name="Normal 8 2 3 5 3 3 2" xfId="35214" xr:uid="{00000000-0005-0000-0000-00007E940000}"/>
    <cellStyle name="Normal 8 2 3 5 3 4" xfId="27773" xr:uid="{00000000-0005-0000-0000-00007F940000}"/>
    <cellStyle name="Normal 8 2 3 5 4" xfId="16293" xr:uid="{00000000-0005-0000-0000-000080940000}"/>
    <cellStyle name="Normal 8 2 3 5 4 2" xfId="38936" xr:uid="{00000000-0005-0000-0000-000081940000}"/>
    <cellStyle name="Normal 8 2 3 5 5" xfId="8853" xr:uid="{00000000-0005-0000-0000-000082940000}"/>
    <cellStyle name="Normal 8 2 3 5 5 2" xfId="31496" xr:uid="{00000000-0005-0000-0000-000083940000}"/>
    <cellStyle name="Normal 8 2 3 5 6" xfId="24055" xr:uid="{00000000-0005-0000-0000-000084940000}"/>
    <cellStyle name="Normal 8 2 3 6" xfId="2328" xr:uid="{00000000-0005-0000-0000-000085940000}"/>
    <cellStyle name="Normal 8 2 3 6 2" xfId="6049" xr:uid="{00000000-0005-0000-0000-000086940000}"/>
    <cellStyle name="Normal 8 2 3 6 2 2" xfId="20933" xr:uid="{00000000-0005-0000-0000-000087940000}"/>
    <cellStyle name="Normal 8 2 3 6 2 2 2" xfId="43576" xr:uid="{00000000-0005-0000-0000-000088940000}"/>
    <cellStyle name="Normal 8 2 3 6 2 3" xfId="13493" xr:uid="{00000000-0005-0000-0000-000089940000}"/>
    <cellStyle name="Normal 8 2 3 6 2 3 2" xfId="36136" xr:uid="{00000000-0005-0000-0000-00008A940000}"/>
    <cellStyle name="Normal 8 2 3 6 2 4" xfId="28695" xr:uid="{00000000-0005-0000-0000-00008B940000}"/>
    <cellStyle name="Normal 8 2 3 6 3" xfId="17215" xr:uid="{00000000-0005-0000-0000-00008C940000}"/>
    <cellStyle name="Normal 8 2 3 6 3 2" xfId="39858" xr:uid="{00000000-0005-0000-0000-00008D940000}"/>
    <cellStyle name="Normal 8 2 3 6 4" xfId="9775" xr:uid="{00000000-0005-0000-0000-00008E940000}"/>
    <cellStyle name="Normal 8 2 3 6 4 2" xfId="32418" xr:uid="{00000000-0005-0000-0000-00008F940000}"/>
    <cellStyle name="Normal 8 2 3 6 5" xfId="24977" xr:uid="{00000000-0005-0000-0000-000090940000}"/>
    <cellStyle name="Normal 8 2 3 7" xfId="4202" xr:uid="{00000000-0005-0000-0000-000091940000}"/>
    <cellStyle name="Normal 8 2 3 7 2" xfId="19086" xr:uid="{00000000-0005-0000-0000-000092940000}"/>
    <cellStyle name="Normal 8 2 3 7 2 2" xfId="41729" xr:uid="{00000000-0005-0000-0000-000093940000}"/>
    <cellStyle name="Normal 8 2 3 7 3" xfId="11646" xr:uid="{00000000-0005-0000-0000-000094940000}"/>
    <cellStyle name="Normal 8 2 3 7 3 2" xfId="34289" xr:uid="{00000000-0005-0000-0000-000095940000}"/>
    <cellStyle name="Normal 8 2 3 7 4" xfId="26848" xr:uid="{00000000-0005-0000-0000-000096940000}"/>
    <cellStyle name="Normal 8 2 3 8" xfId="15368" xr:uid="{00000000-0005-0000-0000-000097940000}"/>
    <cellStyle name="Normal 8 2 3 8 2" xfId="38011" xr:uid="{00000000-0005-0000-0000-000098940000}"/>
    <cellStyle name="Normal 8 2 3 9" xfId="7928" xr:uid="{00000000-0005-0000-0000-000099940000}"/>
    <cellStyle name="Normal 8 2 3 9 2" xfId="30571" xr:uid="{00000000-0005-0000-0000-00009A940000}"/>
    <cellStyle name="Normal 8 2 4" xfId="524" xr:uid="{00000000-0005-0000-0000-00009B940000}"/>
    <cellStyle name="Normal 8 2 4 2" xfId="736" xr:uid="{00000000-0005-0000-0000-00009C940000}"/>
    <cellStyle name="Normal 8 2 4 2 2" xfId="1201" xr:uid="{00000000-0005-0000-0000-00009D940000}"/>
    <cellStyle name="Normal 8 2 4 2 2 2" xfId="2129" xr:uid="{00000000-0005-0000-0000-00009E940000}"/>
    <cellStyle name="Normal 8 2 4 2 2 2 2" xfId="3979" xr:uid="{00000000-0005-0000-0000-00009F940000}"/>
    <cellStyle name="Normal 8 2 4 2 2 2 2 2" xfId="7700" xr:uid="{00000000-0005-0000-0000-0000A0940000}"/>
    <cellStyle name="Normal 8 2 4 2 2 2 2 2 2" xfId="22584" xr:uid="{00000000-0005-0000-0000-0000A1940000}"/>
    <cellStyle name="Normal 8 2 4 2 2 2 2 2 2 2" xfId="45227" xr:uid="{00000000-0005-0000-0000-0000A2940000}"/>
    <cellStyle name="Normal 8 2 4 2 2 2 2 2 3" xfId="15144" xr:uid="{00000000-0005-0000-0000-0000A3940000}"/>
    <cellStyle name="Normal 8 2 4 2 2 2 2 2 3 2" xfId="37787" xr:uid="{00000000-0005-0000-0000-0000A4940000}"/>
    <cellStyle name="Normal 8 2 4 2 2 2 2 2 4" xfId="30346" xr:uid="{00000000-0005-0000-0000-0000A5940000}"/>
    <cellStyle name="Normal 8 2 4 2 2 2 2 3" xfId="18866" xr:uid="{00000000-0005-0000-0000-0000A6940000}"/>
    <cellStyle name="Normal 8 2 4 2 2 2 2 3 2" xfId="41509" xr:uid="{00000000-0005-0000-0000-0000A7940000}"/>
    <cellStyle name="Normal 8 2 4 2 2 2 2 4" xfId="11426" xr:uid="{00000000-0005-0000-0000-0000A8940000}"/>
    <cellStyle name="Normal 8 2 4 2 2 2 2 4 2" xfId="34069" xr:uid="{00000000-0005-0000-0000-0000A9940000}"/>
    <cellStyle name="Normal 8 2 4 2 2 2 2 5" xfId="26628" xr:uid="{00000000-0005-0000-0000-0000AA940000}"/>
    <cellStyle name="Normal 8 2 4 2 2 2 3" xfId="5853" xr:uid="{00000000-0005-0000-0000-0000AB940000}"/>
    <cellStyle name="Normal 8 2 4 2 2 2 3 2" xfId="20737" xr:uid="{00000000-0005-0000-0000-0000AC940000}"/>
    <cellStyle name="Normal 8 2 4 2 2 2 3 2 2" xfId="43380" xr:uid="{00000000-0005-0000-0000-0000AD940000}"/>
    <cellStyle name="Normal 8 2 4 2 2 2 3 3" xfId="13297" xr:uid="{00000000-0005-0000-0000-0000AE940000}"/>
    <cellStyle name="Normal 8 2 4 2 2 2 3 3 2" xfId="35940" xr:uid="{00000000-0005-0000-0000-0000AF940000}"/>
    <cellStyle name="Normal 8 2 4 2 2 2 3 4" xfId="28499" xr:uid="{00000000-0005-0000-0000-0000B0940000}"/>
    <cellStyle name="Normal 8 2 4 2 2 2 4" xfId="17019" xr:uid="{00000000-0005-0000-0000-0000B1940000}"/>
    <cellStyle name="Normal 8 2 4 2 2 2 4 2" xfId="39662" xr:uid="{00000000-0005-0000-0000-0000B2940000}"/>
    <cellStyle name="Normal 8 2 4 2 2 2 5" xfId="9579" xr:uid="{00000000-0005-0000-0000-0000B3940000}"/>
    <cellStyle name="Normal 8 2 4 2 2 2 5 2" xfId="32222" xr:uid="{00000000-0005-0000-0000-0000B4940000}"/>
    <cellStyle name="Normal 8 2 4 2 2 2 6" xfId="24781" xr:uid="{00000000-0005-0000-0000-0000B5940000}"/>
    <cellStyle name="Normal 8 2 4 2 2 3" xfId="3054" xr:uid="{00000000-0005-0000-0000-0000B6940000}"/>
    <cellStyle name="Normal 8 2 4 2 2 3 2" xfId="6775" xr:uid="{00000000-0005-0000-0000-0000B7940000}"/>
    <cellStyle name="Normal 8 2 4 2 2 3 2 2" xfId="21659" xr:uid="{00000000-0005-0000-0000-0000B8940000}"/>
    <cellStyle name="Normal 8 2 4 2 2 3 2 2 2" xfId="44302" xr:uid="{00000000-0005-0000-0000-0000B9940000}"/>
    <cellStyle name="Normal 8 2 4 2 2 3 2 3" xfId="14219" xr:uid="{00000000-0005-0000-0000-0000BA940000}"/>
    <cellStyle name="Normal 8 2 4 2 2 3 2 3 2" xfId="36862" xr:uid="{00000000-0005-0000-0000-0000BB940000}"/>
    <cellStyle name="Normal 8 2 4 2 2 3 2 4" xfId="29421" xr:uid="{00000000-0005-0000-0000-0000BC940000}"/>
    <cellStyle name="Normal 8 2 4 2 2 3 3" xfId="17941" xr:uid="{00000000-0005-0000-0000-0000BD940000}"/>
    <cellStyle name="Normal 8 2 4 2 2 3 3 2" xfId="40584" xr:uid="{00000000-0005-0000-0000-0000BE940000}"/>
    <cellStyle name="Normal 8 2 4 2 2 3 4" xfId="10501" xr:uid="{00000000-0005-0000-0000-0000BF940000}"/>
    <cellStyle name="Normal 8 2 4 2 2 3 4 2" xfId="33144" xr:uid="{00000000-0005-0000-0000-0000C0940000}"/>
    <cellStyle name="Normal 8 2 4 2 2 3 5" xfId="25703" xr:uid="{00000000-0005-0000-0000-0000C1940000}"/>
    <cellStyle name="Normal 8 2 4 2 2 4" xfId="4928" xr:uid="{00000000-0005-0000-0000-0000C2940000}"/>
    <cellStyle name="Normal 8 2 4 2 2 4 2" xfId="19812" xr:uid="{00000000-0005-0000-0000-0000C3940000}"/>
    <cellStyle name="Normal 8 2 4 2 2 4 2 2" xfId="42455" xr:uid="{00000000-0005-0000-0000-0000C4940000}"/>
    <cellStyle name="Normal 8 2 4 2 2 4 3" xfId="12372" xr:uid="{00000000-0005-0000-0000-0000C5940000}"/>
    <cellStyle name="Normal 8 2 4 2 2 4 3 2" xfId="35015" xr:uid="{00000000-0005-0000-0000-0000C6940000}"/>
    <cellStyle name="Normal 8 2 4 2 2 4 4" xfId="27574" xr:uid="{00000000-0005-0000-0000-0000C7940000}"/>
    <cellStyle name="Normal 8 2 4 2 2 5" xfId="16094" xr:uid="{00000000-0005-0000-0000-0000C8940000}"/>
    <cellStyle name="Normal 8 2 4 2 2 5 2" xfId="38737" xr:uid="{00000000-0005-0000-0000-0000C9940000}"/>
    <cellStyle name="Normal 8 2 4 2 2 6" xfId="8654" xr:uid="{00000000-0005-0000-0000-0000CA940000}"/>
    <cellStyle name="Normal 8 2 4 2 2 6 2" xfId="31297" xr:uid="{00000000-0005-0000-0000-0000CB940000}"/>
    <cellStyle name="Normal 8 2 4 2 2 7" xfId="23856" xr:uid="{00000000-0005-0000-0000-0000CC940000}"/>
    <cellStyle name="Normal 8 2 4 2 3" xfId="1667" xr:uid="{00000000-0005-0000-0000-0000CD940000}"/>
    <cellStyle name="Normal 8 2 4 2 3 2" xfId="3517" xr:uid="{00000000-0005-0000-0000-0000CE940000}"/>
    <cellStyle name="Normal 8 2 4 2 3 2 2" xfId="7238" xr:uid="{00000000-0005-0000-0000-0000CF940000}"/>
    <cellStyle name="Normal 8 2 4 2 3 2 2 2" xfId="22122" xr:uid="{00000000-0005-0000-0000-0000D0940000}"/>
    <cellStyle name="Normal 8 2 4 2 3 2 2 2 2" xfId="44765" xr:uid="{00000000-0005-0000-0000-0000D1940000}"/>
    <cellStyle name="Normal 8 2 4 2 3 2 2 3" xfId="14682" xr:uid="{00000000-0005-0000-0000-0000D2940000}"/>
    <cellStyle name="Normal 8 2 4 2 3 2 2 3 2" xfId="37325" xr:uid="{00000000-0005-0000-0000-0000D3940000}"/>
    <cellStyle name="Normal 8 2 4 2 3 2 2 4" xfId="29884" xr:uid="{00000000-0005-0000-0000-0000D4940000}"/>
    <cellStyle name="Normal 8 2 4 2 3 2 3" xfId="18404" xr:uid="{00000000-0005-0000-0000-0000D5940000}"/>
    <cellStyle name="Normal 8 2 4 2 3 2 3 2" xfId="41047" xr:uid="{00000000-0005-0000-0000-0000D6940000}"/>
    <cellStyle name="Normal 8 2 4 2 3 2 4" xfId="10964" xr:uid="{00000000-0005-0000-0000-0000D7940000}"/>
    <cellStyle name="Normal 8 2 4 2 3 2 4 2" xfId="33607" xr:uid="{00000000-0005-0000-0000-0000D8940000}"/>
    <cellStyle name="Normal 8 2 4 2 3 2 5" xfId="26166" xr:uid="{00000000-0005-0000-0000-0000D9940000}"/>
    <cellStyle name="Normal 8 2 4 2 3 3" xfId="5391" xr:uid="{00000000-0005-0000-0000-0000DA940000}"/>
    <cellStyle name="Normal 8 2 4 2 3 3 2" xfId="20275" xr:uid="{00000000-0005-0000-0000-0000DB940000}"/>
    <cellStyle name="Normal 8 2 4 2 3 3 2 2" xfId="42918" xr:uid="{00000000-0005-0000-0000-0000DC940000}"/>
    <cellStyle name="Normal 8 2 4 2 3 3 3" xfId="12835" xr:uid="{00000000-0005-0000-0000-0000DD940000}"/>
    <cellStyle name="Normal 8 2 4 2 3 3 3 2" xfId="35478" xr:uid="{00000000-0005-0000-0000-0000DE940000}"/>
    <cellStyle name="Normal 8 2 4 2 3 3 4" xfId="28037" xr:uid="{00000000-0005-0000-0000-0000DF940000}"/>
    <cellStyle name="Normal 8 2 4 2 3 4" xfId="16557" xr:uid="{00000000-0005-0000-0000-0000E0940000}"/>
    <cellStyle name="Normal 8 2 4 2 3 4 2" xfId="39200" xr:uid="{00000000-0005-0000-0000-0000E1940000}"/>
    <cellStyle name="Normal 8 2 4 2 3 5" xfId="9117" xr:uid="{00000000-0005-0000-0000-0000E2940000}"/>
    <cellStyle name="Normal 8 2 4 2 3 5 2" xfId="31760" xr:uid="{00000000-0005-0000-0000-0000E3940000}"/>
    <cellStyle name="Normal 8 2 4 2 3 6" xfId="24319" xr:uid="{00000000-0005-0000-0000-0000E4940000}"/>
    <cellStyle name="Normal 8 2 4 2 4" xfId="2592" xr:uid="{00000000-0005-0000-0000-0000E5940000}"/>
    <cellStyle name="Normal 8 2 4 2 4 2" xfId="6313" xr:uid="{00000000-0005-0000-0000-0000E6940000}"/>
    <cellStyle name="Normal 8 2 4 2 4 2 2" xfId="21197" xr:uid="{00000000-0005-0000-0000-0000E7940000}"/>
    <cellStyle name="Normal 8 2 4 2 4 2 2 2" xfId="43840" xr:uid="{00000000-0005-0000-0000-0000E8940000}"/>
    <cellStyle name="Normal 8 2 4 2 4 2 3" xfId="13757" xr:uid="{00000000-0005-0000-0000-0000E9940000}"/>
    <cellStyle name="Normal 8 2 4 2 4 2 3 2" xfId="36400" xr:uid="{00000000-0005-0000-0000-0000EA940000}"/>
    <cellStyle name="Normal 8 2 4 2 4 2 4" xfId="28959" xr:uid="{00000000-0005-0000-0000-0000EB940000}"/>
    <cellStyle name="Normal 8 2 4 2 4 3" xfId="17479" xr:uid="{00000000-0005-0000-0000-0000EC940000}"/>
    <cellStyle name="Normal 8 2 4 2 4 3 2" xfId="40122" xr:uid="{00000000-0005-0000-0000-0000ED940000}"/>
    <cellStyle name="Normal 8 2 4 2 4 4" xfId="10039" xr:uid="{00000000-0005-0000-0000-0000EE940000}"/>
    <cellStyle name="Normal 8 2 4 2 4 4 2" xfId="32682" xr:uid="{00000000-0005-0000-0000-0000EF940000}"/>
    <cellStyle name="Normal 8 2 4 2 4 5" xfId="25241" xr:uid="{00000000-0005-0000-0000-0000F0940000}"/>
    <cellStyle name="Normal 8 2 4 2 5" xfId="4466" xr:uid="{00000000-0005-0000-0000-0000F1940000}"/>
    <cellStyle name="Normal 8 2 4 2 5 2" xfId="19350" xr:uid="{00000000-0005-0000-0000-0000F2940000}"/>
    <cellStyle name="Normal 8 2 4 2 5 2 2" xfId="41993" xr:uid="{00000000-0005-0000-0000-0000F3940000}"/>
    <cellStyle name="Normal 8 2 4 2 5 3" xfId="11910" xr:uid="{00000000-0005-0000-0000-0000F4940000}"/>
    <cellStyle name="Normal 8 2 4 2 5 3 2" xfId="34553" xr:uid="{00000000-0005-0000-0000-0000F5940000}"/>
    <cellStyle name="Normal 8 2 4 2 5 4" xfId="27112" xr:uid="{00000000-0005-0000-0000-0000F6940000}"/>
    <cellStyle name="Normal 8 2 4 2 6" xfId="15632" xr:uid="{00000000-0005-0000-0000-0000F7940000}"/>
    <cellStyle name="Normal 8 2 4 2 6 2" xfId="38275" xr:uid="{00000000-0005-0000-0000-0000F8940000}"/>
    <cellStyle name="Normal 8 2 4 2 7" xfId="8192" xr:uid="{00000000-0005-0000-0000-0000F9940000}"/>
    <cellStyle name="Normal 8 2 4 2 7 2" xfId="30835" xr:uid="{00000000-0005-0000-0000-0000FA940000}"/>
    <cellStyle name="Normal 8 2 4 2 8" xfId="23394" xr:uid="{00000000-0005-0000-0000-0000FB940000}"/>
    <cellStyle name="Normal 8 2 4 3" xfId="990" xr:uid="{00000000-0005-0000-0000-0000FC940000}"/>
    <cellStyle name="Normal 8 2 4 3 2" xfId="1918" xr:uid="{00000000-0005-0000-0000-0000FD940000}"/>
    <cellStyle name="Normal 8 2 4 3 2 2" xfId="3768" xr:uid="{00000000-0005-0000-0000-0000FE940000}"/>
    <cellStyle name="Normal 8 2 4 3 2 2 2" xfId="7489" xr:uid="{00000000-0005-0000-0000-0000FF940000}"/>
    <cellStyle name="Normal 8 2 4 3 2 2 2 2" xfId="22373" xr:uid="{00000000-0005-0000-0000-000000950000}"/>
    <cellStyle name="Normal 8 2 4 3 2 2 2 2 2" xfId="45016" xr:uid="{00000000-0005-0000-0000-000001950000}"/>
    <cellStyle name="Normal 8 2 4 3 2 2 2 3" xfId="14933" xr:uid="{00000000-0005-0000-0000-000002950000}"/>
    <cellStyle name="Normal 8 2 4 3 2 2 2 3 2" xfId="37576" xr:uid="{00000000-0005-0000-0000-000003950000}"/>
    <cellStyle name="Normal 8 2 4 3 2 2 2 4" xfId="30135" xr:uid="{00000000-0005-0000-0000-000004950000}"/>
    <cellStyle name="Normal 8 2 4 3 2 2 3" xfId="18655" xr:uid="{00000000-0005-0000-0000-000005950000}"/>
    <cellStyle name="Normal 8 2 4 3 2 2 3 2" xfId="41298" xr:uid="{00000000-0005-0000-0000-000006950000}"/>
    <cellStyle name="Normal 8 2 4 3 2 2 4" xfId="11215" xr:uid="{00000000-0005-0000-0000-000007950000}"/>
    <cellStyle name="Normal 8 2 4 3 2 2 4 2" xfId="33858" xr:uid="{00000000-0005-0000-0000-000008950000}"/>
    <cellStyle name="Normal 8 2 4 3 2 2 5" xfId="26417" xr:uid="{00000000-0005-0000-0000-000009950000}"/>
    <cellStyle name="Normal 8 2 4 3 2 3" xfId="5642" xr:uid="{00000000-0005-0000-0000-00000A950000}"/>
    <cellStyle name="Normal 8 2 4 3 2 3 2" xfId="20526" xr:uid="{00000000-0005-0000-0000-00000B950000}"/>
    <cellStyle name="Normal 8 2 4 3 2 3 2 2" xfId="43169" xr:uid="{00000000-0005-0000-0000-00000C950000}"/>
    <cellStyle name="Normal 8 2 4 3 2 3 3" xfId="13086" xr:uid="{00000000-0005-0000-0000-00000D950000}"/>
    <cellStyle name="Normal 8 2 4 3 2 3 3 2" xfId="35729" xr:uid="{00000000-0005-0000-0000-00000E950000}"/>
    <cellStyle name="Normal 8 2 4 3 2 3 4" xfId="28288" xr:uid="{00000000-0005-0000-0000-00000F950000}"/>
    <cellStyle name="Normal 8 2 4 3 2 4" xfId="16808" xr:uid="{00000000-0005-0000-0000-000010950000}"/>
    <cellStyle name="Normal 8 2 4 3 2 4 2" xfId="39451" xr:uid="{00000000-0005-0000-0000-000011950000}"/>
    <cellStyle name="Normal 8 2 4 3 2 5" xfId="9368" xr:uid="{00000000-0005-0000-0000-000012950000}"/>
    <cellStyle name="Normal 8 2 4 3 2 5 2" xfId="32011" xr:uid="{00000000-0005-0000-0000-000013950000}"/>
    <cellStyle name="Normal 8 2 4 3 2 6" xfId="24570" xr:uid="{00000000-0005-0000-0000-000014950000}"/>
    <cellStyle name="Normal 8 2 4 3 3" xfId="2843" xr:uid="{00000000-0005-0000-0000-000015950000}"/>
    <cellStyle name="Normal 8 2 4 3 3 2" xfId="6564" xr:uid="{00000000-0005-0000-0000-000016950000}"/>
    <cellStyle name="Normal 8 2 4 3 3 2 2" xfId="21448" xr:uid="{00000000-0005-0000-0000-000017950000}"/>
    <cellStyle name="Normal 8 2 4 3 3 2 2 2" xfId="44091" xr:uid="{00000000-0005-0000-0000-000018950000}"/>
    <cellStyle name="Normal 8 2 4 3 3 2 3" xfId="14008" xr:uid="{00000000-0005-0000-0000-000019950000}"/>
    <cellStyle name="Normal 8 2 4 3 3 2 3 2" xfId="36651" xr:uid="{00000000-0005-0000-0000-00001A950000}"/>
    <cellStyle name="Normal 8 2 4 3 3 2 4" xfId="29210" xr:uid="{00000000-0005-0000-0000-00001B950000}"/>
    <cellStyle name="Normal 8 2 4 3 3 3" xfId="17730" xr:uid="{00000000-0005-0000-0000-00001C950000}"/>
    <cellStyle name="Normal 8 2 4 3 3 3 2" xfId="40373" xr:uid="{00000000-0005-0000-0000-00001D950000}"/>
    <cellStyle name="Normal 8 2 4 3 3 4" xfId="10290" xr:uid="{00000000-0005-0000-0000-00001E950000}"/>
    <cellStyle name="Normal 8 2 4 3 3 4 2" xfId="32933" xr:uid="{00000000-0005-0000-0000-00001F950000}"/>
    <cellStyle name="Normal 8 2 4 3 3 5" xfId="25492" xr:uid="{00000000-0005-0000-0000-000020950000}"/>
    <cellStyle name="Normal 8 2 4 3 4" xfId="4717" xr:uid="{00000000-0005-0000-0000-000021950000}"/>
    <cellStyle name="Normal 8 2 4 3 4 2" xfId="19601" xr:uid="{00000000-0005-0000-0000-000022950000}"/>
    <cellStyle name="Normal 8 2 4 3 4 2 2" xfId="42244" xr:uid="{00000000-0005-0000-0000-000023950000}"/>
    <cellStyle name="Normal 8 2 4 3 4 3" xfId="12161" xr:uid="{00000000-0005-0000-0000-000024950000}"/>
    <cellStyle name="Normal 8 2 4 3 4 3 2" xfId="34804" xr:uid="{00000000-0005-0000-0000-000025950000}"/>
    <cellStyle name="Normal 8 2 4 3 4 4" xfId="27363" xr:uid="{00000000-0005-0000-0000-000026950000}"/>
    <cellStyle name="Normal 8 2 4 3 5" xfId="15883" xr:uid="{00000000-0005-0000-0000-000027950000}"/>
    <cellStyle name="Normal 8 2 4 3 5 2" xfId="38526" xr:uid="{00000000-0005-0000-0000-000028950000}"/>
    <cellStyle name="Normal 8 2 4 3 6" xfId="8443" xr:uid="{00000000-0005-0000-0000-000029950000}"/>
    <cellStyle name="Normal 8 2 4 3 6 2" xfId="31086" xr:uid="{00000000-0005-0000-0000-00002A950000}"/>
    <cellStyle name="Normal 8 2 4 3 7" xfId="23645" xr:uid="{00000000-0005-0000-0000-00002B950000}"/>
    <cellStyle name="Normal 8 2 4 4" xfId="1456" xr:uid="{00000000-0005-0000-0000-00002C950000}"/>
    <cellStyle name="Normal 8 2 4 4 2" xfId="3306" xr:uid="{00000000-0005-0000-0000-00002D950000}"/>
    <cellStyle name="Normal 8 2 4 4 2 2" xfId="7027" xr:uid="{00000000-0005-0000-0000-00002E950000}"/>
    <cellStyle name="Normal 8 2 4 4 2 2 2" xfId="21911" xr:uid="{00000000-0005-0000-0000-00002F950000}"/>
    <cellStyle name="Normal 8 2 4 4 2 2 2 2" xfId="44554" xr:uid="{00000000-0005-0000-0000-000030950000}"/>
    <cellStyle name="Normal 8 2 4 4 2 2 3" xfId="14471" xr:uid="{00000000-0005-0000-0000-000031950000}"/>
    <cellStyle name="Normal 8 2 4 4 2 2 3 2" xfId="37114" xr:uid="{00000000-0005-0000-0000-000032950000}"/>
    <cellStyle name="Normal 8 2 4 4 2 2 4" xfId="29673" xr:uid="{00000000-0005-0000-0000-000033950000}"/>
    <cellStyle name="Normal 8 2 4 4 2 3" xfId="18193" xr:uid="{00000000-0005-0000-0000-000034950000}"/>
    <cellStyle name="Normal 8 2 4 4 2 3 2" xfId="40836" xr:uid="{00000000-0005-0000-0000-000035950000}"/>
    <cellStyle name="Normal 8 2 4 4 2 4" xfId="10753" xr:uid="{00000000-0005-0000-0000-000036950000}"/>
    <cellStyle name="Normal 8 2 4 4 2 4 2" xfId="33396" xr:uid="{00000000-0005-0000-0000-000037950000}"/>
    <cellStyle name="Normal 8 2 4 4 2 5" xfId="25955" xr:uid="{00000000-0005-0000-0000-000038950000}"/>
    <cellStyle name="Normal 8 2 4 4 3" xfId="5180" xr:uid="{00000000-0005-0000-0000-000039950000}"/>
    <cellStyle name="Normal 8 2 4 4 3 2" xfId="20064" xr:uid="{00000000-0005-0000-0000-00003A950000}"/>
    <cellStyle name="Normal 8 2 4 4 3 2 2" xfId="42707" xr:uid="{00000000-0005-0000-0000-00003B950000}"/>
    <cellStyle name="Normal 8 2 4 4 3 3" xfId="12624" xr:uid="{00000000-0005-0000-0000-00003C950000}"/>
    <cellStyle name="Normal 8 2 4 4 3 3 2" xfId="35267" xr:uid="{00000000-0005-0000-0000-00003D950000}"/>
    <cellStyle name="Normal 8 2 4 4 3 4" xfId="27826" xr:uid="{00000000-0005-0000-0000-00003E950000}"/>
    <cellStyle name="Normal 8 2 4 4 4" xfId="16346" xr:uid="{00000000-0005-0000-0000-00003F950000}"/>
    <cellStyle name="Normal 8 2 4 4 4 2" xfId="38989" xr:uid="{00000000-0005-0000-0000-000040950000}"/>
    <cellStyle name="Normal 8 2 4 4 5" xfId="8906" xr:uid="{00000000-0005-0000-0000-000041950000}"/>
    <cellStyle name="Normal 8 2 4 4 5 2" xfId="31549" xr:uid="{00000000-0005-0000-0000-000042950000}"/>
    <cellStyle name="Normal 8 2 4 4 6" xfId="24108" xr:uid="{00000000-0005-0000-0000-000043950000}"/>
    <cellStyle name="Normal 8 2 4 5" xfId="2381" xr:uid="{00000000-0005-0000-0000-000044950000}"/>
    <cellStyle name="Normal 8 2 4 5 2" xfId="6102" xr:uid="{00000000-0005-0000-0000-000045950000}"/>
    <cellStyle name="Normal 8 2 4 5 2 2" xfId="20986" xr:uid="{00000000-0005-0000-0000-000046950000}"/>
    <cellStyle name="Normal 8 2 4 5 2 2 2" xfId="43629" xr:uid="{00000000-0005-0000-0000-000047950000}"/>
    <cellStyle name="Normal 8 2 4 5 2 3" xfId="13546" xr:uid="{00000000-0005-0000-0000-000048950000}"/>
    <cellStyle name="Normal 8 2 4 5 2 3 2" xfId="36189" xr:uid="{00000000-0005-0000-0000-000049950000}"/>
    <cellStyle name="Normal 8 2 4 5 2 4" xfId="28748" xr:uid="{00000000-0005-0000-0000-00004A950000}"/>
    <cellStyle name="Normal 8 2 4 5 3" xfId="17268" xr:uid="{00000000-0005-0000-0000-00004B950000}"/>
    <cellStyle name="Normal 8 2 4 5 3 2" xfId="39911" xr:uid="{00000000-0005-0000-0000-00004C950000}"/>
    <cellStyle name="Normal 8 2 4 5 4" xfId="9828" xr:uid="{00000000-0005-0000-0000-00004D950000}"/>
    <cellStyle name="Normal 8 2 4 5 4 2" xfId="32471" xr:uid="{00000000-0005-0000-0000-00004E950000}"/>
    <cellStyle name="Normal 8 2 4 5 5" xfId="25030" xr:uid="{00000000-0005-0000-0000-00004F950000}"/>
    <cellStyle name="Normal 8 2 4 6" xfId="4255" xr:uid="{00000000-0005-0000-0000-000050950000}"/>
    <cellStyle name="Normal 8 2 4 6 2" xfId="19139" xr:uid="{00000000-0005-0000-0000-000051950000}"/>
    <cellStyle name="Normal 8 2 4 6 2 2" xfId="41782" xr:uid="{00000000-0005-0000-0000-000052950000}"/>
    <cellStyle name="Normal 8 2 4 6 3" xfId="11699" xr:uid="{00000000-0005-0000-0000-000053950000}"/>
    <cellStyle name="Normal 8 2 4 6 3 2" xfId="34342" xr:uid="{00000000-0005-0000-0000-000054950000}"/>
    <cellStyle name="Normal 8 2 4 6 4" xfId="26901" xr:uid="{00000000-0005-0000-0000-000055950000}"/>
    <cellStyle name="Normal 8 2 4 7" xfId="15421" xr:uid="{00000000-0005-0000-0000-000056950000}"/>
    <cellStyle name="Normal 8 2 4 7 2" xfId="38064" xr:uid="{00000000-0005-0000-0000-000057950000}"/>
    <cellStyle name="Normal 8 2 4 8" xfId="7981" xr:uid="{00000000-0005-0000-0000-000058950000}"/>
    <cellStyle name="Normal 8 2 4 8 2" xfId="30624" xr:uid="{00000000-0005-0000-0000-000059950000}"/>
    <cellStyle name="Normal 8 2 4 9" xfId="23184" xr:uid="{00000000-0005-0000-0000-00005A950000}"/>
    <cellStyle name="Normal 8 2 5" xfId="630" xr:uid="{00000000-0005-0000-0000-00005B950000}"/>
    <cellStyle name="Normal 8 2 5 2" xfId="1096" xr:uid="{00000000-0005-0000-0000-00005C950000}"/>
    <cellStyle name="Normal 8 2 5 2 2" xfId="2024" xr:uid="{00000000-0005-0000-0000-00005D950000}"/>
    <cellStyle name="Normal 8 2 5 2 2 2" xfId="3874" xr:uid="{00000000-0005-0000-0000-00005E950000}"/>
    <cellStyle name="Normal 8 2 5 2 2 2 2" xfId="7595" xr:uid="{00000000-0005-0000-0000-00005F950000}"/>
    <cellStyle name="Normal 8 2 5 2 2 2 2 2" xfId="22479" xr:uid="{00000000-0005-0000-0000-000060950000}"/>
    <cellStyle name="Normal 8 2 5 2 2 2 2 2 2" xfId="45122" xr:uid="{00000000-0005-0000-0000-000061950000}"/>
    <cellStyle name="Normal 8 2 5 2 2 2 2 3" xfId="15039" xr:uid="{00000000-0005-0000-0000-000062950000}"/>
    <cellStyle name="Normal 8 2 5 2 2 2 2 3 2" xfId="37682" xr:uid="{00000000-0005-0000-0000-000063950000}"/>
    <cellStyle name="Normal 8 2 5 2 2 2 2 4" xfId="30241" xr:uid="{00000000-0005-0000-0000-000064950000}"/>
    <cellStyle name="Normal 8 2 5 2 2 2 3" xfId="18761" xr:uid="{00000000-0005-0000-0000-000065950000}"/>
    <cellStyle name="Normal 8 2 5 2 2 2 3 2" xfId="41404" xr:uid="{00000000-0005-0000-0000-000066950000}"/>
    <cellStyle name="Normal 8 2 5 2 2 2 4" xfId="11321" xr:uid="{00000000-0005-0000-0000-000067950000}"/>
    <cellStyle name="Normal 8 2 5 2 2 2 4 2" xfId="33964" xr:uid="{00000000-0005-0000-0000-000068950000}"/>
    <cellStyle name="Normal 8 2 5 2 2 2 5" xfId="26523" xr:uid="{00000000-0005-0000-0000-000069950000}"/>
    <cellStyle name="Normal 8 2 5 2 2 3" xfId="5748" xr:uid="{00000000-0005-0000-0000-00006A950000}"/>
    <cellStyle name="Normal 8 2 5 2 2 3 2" xfId="20632" xr:uid="{00000000-0005-0000-0000-00006B950000}"/>
    <cellStyle name="Normal 8 2 5 2 2 3 2 2" xfId="43275" xr:uid="{00000000-0005-0000-0000-00006C950000}"/>
    <cellStyle name="Normal 8 2 5 2 2 3 3" xfId="13192" xr:uid="{00000000-0005-0000-0000-00006D950000}"/>
    <cellStyle name="Normal 8 2 5 2 2 3 3 2" xfId="35835" xr:uid="{00000000-0005-0000-0000-00006E950000}"/>
    <cellStyle name="Normal 8 2 5 2 2 3 4" xfId="28394" xr:uid="{00000000-0005-0000-0000-00006F950000}"/>
    <cellStyle name="Normal 8 2 5 2 2 4" xfId="16914" xr:uid="{00000000-0005-0000-0000-000070950000}"/>
    <cellStyle name="Normal 8 2 5 2 2 4 2" xfId="39557" xr:uid="{00000000-0005-0000-0000-000071950000}"/>
    <cellStyle name="Normal 8 2 5 2 2 5" xfId="9474" xr:uid="{00000000-0005-0000-0000-000072950000}"/>
    <cellStyle name="Normal 8 2 5 2 2 5 2" xfId="32117" xr:uid="{00000000-0005-0000-0000-000073950000}"/>
    <cellStyle name="Normal 8 2 5 2 2 6" xfId="24676" xr:uid="{00000000-0005-0000-0000-000074950000}"/>
    <cellStyle name="Normal 8 2 5 2 3" xfId="2949" xr:uid="{00000000-0005-0000-0000-000075950000}"/>
    <cellStyle name="Normal 8 2 5 2 3 2" xfId="6670" xr:uid="{00000000-0005-0000-0000-000076950000}"/>
    <cellStyle name="Normal 8 2 5 2 3 2 2" xfId="21554" xr:uid="{00000000-0005-0000-0000-000077950000}"/>
    <cellStyle name="Normal 8 2 5 2 3 2 2 2" xfId="44197" xr:uid="{00000000-0005-0000-0000-000078950000}"/>
    <cellStyle name="Normal 8 2 5 2 3 2 3" xfId="14114" xr:uid="{00000000-0005-0000-0000-000079950000}"/>
    <cellStyle name="Normal 8 2 5 2 3 2 3 2" xfId="36757" xr:uid="{00000000-0005-0000-0000-00007A950000}"/>
    <cellStyle name="Normal 8 2 5 2 3 2 4" xfId="29316" xr:uid="{00000000-0005-0000-0000-00007B950000}"/>
    <cellStyle name="Normal 8 2 5 2 3 3" xfId="17836" xr:uid="{00000000-0005-0000-0000-00007C950000}"/>
    <cellStyle name="Normal 8 2 5 2 3 3 2" xfId="40479" xr:uid="{00000000-0005-0000-0000-00007D950000}"/>
    <cellStyle name="Normal 8 2 5 2 3 4" xfId="10396" xr:uid="{00000000-0005-0000-0000-00007E950000}"/>
    <cellStyle name="Normal 8 2 5 2 3 4 2" xfId="33039" xr:uid="{00000000-0005-0000-0000-00007F950000}"/>
    <cellStyle name="Normal 8 2 5 2 3 5" xfId="25598" xr:uid="{00000000-0005-0000-0000-000080950000}"/>
    <cellStyle name="Normal 8 2 5 2 4" xfId="4823" xr:uid="{00000000-0005-0000-0000-000081950000}"/>
    <cellStyle name="Normal 8 2 5 2 4 2" xfId="19707" xr:uid="{00000000-0005-0000-0000-000082950000}"/>
    <cellStyle name="Normal 8 2 5 2 4 2 2" xfId="42350" xr:uid="{00000000-0005-0000-0000-000083950000}"/>
    <cellStyle name="Normal 8 2 5 2 4 3" xfId="12267" xr:uid="{00000000-0005-0000-0000-000084950000}"/>
    <cellStyle name="Normal 8 2 5 2 4 3 2" xfId="34910" xr:uid="{00000000-0005-0000-0000-000085950000}"/>
    <cellStyle name="Normal 8 2 5 2 4 4" xfId="27469" xr:uid="{00000000-0005-0000-0000-000086950000}"/>
    <cellStyle name="Normal 8 2 5 2 5" xfId="15989" xr:uid="{00000000-0005-0000-0000-000087950000}"/>
    <cellStyle name="Normal 8 2 5 2 5 2" xfId="38632" xr:uid="{00000000-0005-0000-0000-000088950000}"/>
    <cellStyle name="Normal 8 2 5 2 6" xfId="8549" xr:uid="{00000000-0005-0000-0000-000089950000}"/>
    <cellStyle name="Normal 8 2 5 2 6 2" xfId="31192" xr:uid="{00000000-0005-0000-0000-00008A950000}"/>
    <cellStyle name="Normal 8 2 5 2 7" xfId="23751" xr:uid="{00000000-0005-0000-0000-00008B950000}"/>
    <cellStyle name="Normal 8 2 5 3" xfId="1562" xr:uid="{00000000-0005-0000-0000-00008C950000}"/>
    <cellStyle name="Normal 8 2 5 3 2" xfId="3412" xr:uid="{00000000-0005-0000-0000-00008D950000}"/>
    <cellStyle name="Normal 8 2 5 3 2 2" xfId="7133" xr:uid="{00000000-0005-0000-0000-00008E950000}"/>
    <cellStyle name="Normal 8 2 5 3 2 2 2" xfId="22017" xr:uid="{00000000-0005-0000-0000-00008F950000}"/>
    <cellStyle name="Normal 8 2 5 3 2 2 2 2" xfId="44660" xr:uid="{00000000-0005-0000-0000-000090950000}"/>
    <cellStyle name="Normal 8 2 5 3 2 2 3" xfId="14577" xr:uid="{00000000-0005-0000-0000-000091950000}"/>
    <cellStyle name="Normal 8 2 5 3 2 2 3 2" xfId="37220" xr:uid="{00000000-0005-0000-0000-000092950000}"/>
    <cellStyle name="Normal 8 2 5 3 2 2 4" xfId="29779" xr:uid="{00000000-0005-0000-0000-000093950000}"/>
    <cellStyle name="Normal 8 2 5 3 2 3" xfId="18299" xr:uid="{00000000-0005-0000-0000-000094950000}"/>
    <cellStyle name="Normal 8 2 5 3 2 3 2" xfId="40942" xr:uid="{00000000-0005-0000-0000-000095950000}"/>
    <cellStyle name="Normal 8 2 5 3 2 4" xfId="10859" xr:uid="{00000000-0005-0000-0000-000096950000}"/>
    <cellStyle name="Normal 8 2 5 3 2 4 2" xfId="33502" xr:uid="{00000000-0005-0000-0000-000097950000}"/>
    <cellStyle name="Normal 8 2 5 3 2 5" xfId="26061" xr:uid="{00000000-0005-0000-0000-000098950000}"/>
    <cellStyle name="Normal 8 2 5 3 3" xfId="5286" xr:uid="{00000000-0005-0000-0000-000099950000}"/>
    <cellStyle name="Normal 8 2 5 3 3 2" xfId="20170" xr:uid="{00000000-0005-0000-0000-00009A950000}"/>
    <cellStyle name="Normal 8 2 5 3 3 2 2" xfId="42813" xr:uid="{00000000-0005-0000-0000-00009B950000}"/>
    <cellStyle name="Normal 8 2 5 3 3 3" xfId="12730" xr:uid="{00000000-0005-0000-0000-00009C950000}"/>
    <cellStyle name="Normal 8 2 5 3 3 3 2" xfId="35373" xr:uid="{00000000-0005-0000-0000-00009D950000}"/>
    <cellStyle name="Normal 8 2 5 3 3 4" xfId="27932" xr:uid="{00000000-0005-0000-0000-00009E950000}"/>
    <cellStyle name="Normal 8 2 5 3 4" xfId="16452" xr:uid="{00000000-0005-0000-0000-00009F950000}"/>
    <cellStyle name="Normal 8 2 5 3 4 2" xfId="39095" xr:uid="{00000000-0005-0000-0000-0000A0950000}"/>
    <cellStyle name="Normal 8 2 5 3 5" xfId="9012" xr:uid="{00000000-0005-0000-0000-0000A1950000}"/>
    <cellStyle name="Normal 8 2 5 3 5 2" xfId="31655" xr:uid="{00000000-0005-0000-0000-0000A2950000}"/>
    <cellStyle name="Normal 8 2 5 3 6" xfId="24214" xr:uid="{00000000-0005-0000-0000-0000A3950000}"/>
    <cellStyle name="Normal 8 2 5 4" xfId="2487" xr:uid="{00000000-0005-0000-0000-0000A4950000}"/>
    <cellStyle name="Normal 8 2 5 4 2" xfId="6208" xr:uid="{00000000-0005-0000-0000-0000A5950000}"/>
    <cellStyle name="Normal 8 2 5 4 2 2" xfId="21092" xr:uid="{00000000-0005-0000-0000-0000A6950000}"/>
    <cellStyle name="Normal 8 2 5 4 2 2 2" xfId="43735" xr:uid="{00000000-0005-0000-0000-0000A7950000}"/>
    <cellStyle name="Normal 8 2 5 4 2 3" xfId="13652" xr:uid="{00000000-0005-0000-0000-0000A8950000}"/>
    <cellStyle name="Normal 8 2 5 4 2 3 2" xfId="36295" xr:uid="{00000000-0005-0000-0000-0000A9950000}"/>
    <cellStyle name="Normal 8 2 5 4 2 4" xfId="28854" xr:uid="{00000000-0005-0000-0000-0000AA950000}"/>
    <cellStyle name="Normal 8 2 5 4 3" xfId="17374" xr:uid="{00000000-0005-0000-0000-0000AB950000}"/>
    <cellStyle name="Normal 8 2 5 4 3 2" xfId="40017" xr:uid="{00000000-0005-0000-0000-0000AC950000}"/>
    <cellStyle name="Normal 8 2 5 4 4" xfId="9934" xr:uid="{00000000-0005-0000-0000-0000AD950000}"/>
    <cellStyle name="Normal 8 2 5 4 4 2" xfId="32577" xr:uid="{00000000-0005-0000-0000-0000AE950000}"/>
    <cellStyle name="Normal 8 2 5 4 5" xfId="25136" xr:uid="{00000000-0005-0000-0000-0000AF950000}"/>
    <cellStyle name="Normal 8 2 5 5" xfId="4361" xr:uid="{00000000-0005-0000-0000-0000B0950000}"/>
    <cellStyle name="Normal 8 2 5 5 2" xfId="19245" xr:uid="{00000000-0005-0000-0000-0000B1950000}"/>
    <cellStyle name="Normal 8 2 5 5 2 2" xfId="41888" xr:uid="{00000000-0005-0000-0000-0000B2950000}"/>
    <cellStyle name="Normal 8 2 5 5 3" xfId="11805" xr:uid="{00000000-0005-0000-0000-0000B3950000}"/>
    <cellStyle name="Normal 8 2 5 5 3 2" xfId="34448" xr:uid="{00000000-0005-0000-0000-0000B4950000}"/>
    <cellStyle name="Normal 8 2 5 5 4" xfId="27007" xr:uid="{00000000-0005-0000-0000-0000B5950000}"/>
    <cellStyle name="Normal 8 2 5 6" xfId="15527" xr:uid="{00000000-0005-0000-0000-0000B6950000}"/>
    <cellStyle name="Normal 8 2 5 6 2" xfId="38170" xr:uid="{00000000-0005-0000-0000-0000B7950000}"/>
    <cellStyle name="Normal 8 2 5 7" xfId="8087" xr:uid="{00000000-0005-0000-0000-0000B8950000}"/>
    <cellStyle name="Normal 8 2 5 7 2" xfId="30730" xr:uid="{00000000-0005-0000-0000-0000B9950000}"/>
    <cellStyle name="Normal 8 2 5 8" xfId="23289" xr:uid="{00000000-0005-0000-0000-0000BA950000}"/>
    <cellStyle name="Normal 8 2 6" xfId="885" xr:uid="{00000000-0005-0000-0000-0000BB950000}"/>
    <cellStyle name="Normal 8 2 6 2" xfId="1813" xr:uid="{00000000-0005-0000-0000-0000BC950000}"/>
    <cellStyle name="Normal 8 2 6 2 2" xfId="3663" xr:uid="{00000000-0005-0000-0000-0000BD950000}"/>
    <cellStyle name="Normal 8 2 6 2 2 2" xfId="7384" xr:uid="{00000000-0005-0000-0000-0000BE950000}"/>
    <cellStyle name="Normal 8 2 6 2 2 2 2" xfId="22268" xr:uid="{00000000-0005-0000-0000-0000BF950000}"/>
    <cellStyle name="Normal 8 2 6 2 2 2 2 2" xfId="44911" xr:uid="{00000000-0005-0000-0000-0000C0950000}"/>
    <cellStyle name="Normal 8 2 6 2 2 2 3" xfId="14828" xr:uid="{00000000-0005-0000-0000-0000C1950000}"/>
    <cellStyle name="Normal 8 2 6 2 2 2 3 2" xfId="37471" xr:uid="{00000000-0005-0000-0000-0000C2950000}"/>
    <cellStyle name="Normal 8 2 6 2 2 2 4" xfId="30030" xr:uid="{00000000-0005-0000-0000-0000C3950000}"/>
    <cellStyle name="Normal 8 2 6 2 2 3" xfId="18550" xr:uid="{00000000-0005-0000-0000-0000C4950000}"/>
    <cellStyle name="Normal 8 2 6 2 2 3 2" xfId="41193" xr:uid="{00000000-0005-0000-0000-0000C5950000}"/>
    <cellStyle name="Normal 8 2 6 2 2 4" xfId="11110" xr:uid="{00000000-0005-0000-0000-0000C6950000}"/>
    <cellStyle name="Normal 8 2 6 2 2 4 2" xfId="33753" xr:uid="{00000000-0005-0000-0000-0000C7950000}"/>
    <cellStyle name="Normal 8 2 6 2 2 5" xfId="26312" xr:uid="{00000000-0005-0000-0000-0000C8950000}"/>
    <cellStyle name="Normal 8 2 6 2 3" xfId="5537" xr:uid="{00000000-0005-0000-0000-0000C9950000}"/>
    <cellStyle name="Normal 8 2 6 2 3 2" xfId="20421" xr:uid="{00000000-0005-0000-0000-0000CA950000}"/>
    <cellStyle name="Normal 8 2 6 2 3 2 2" xfId="43064" xr:uid="{00000000-0005-0000-0000-0000CB950000}"/>
    <cellStyle name="Normal 8 2 6 2 3 3" xfId="12981" xr:uid="{00000000-0005-0000-0000-0000CC950000}"/>
    <cellStyle name="Normal 8 2 6 2 3 3 2" xfId="35624" xr:uid="{00000000-0005-0000-0000-0000CD950000}"/>
    <cellStyle name="Normal 8 2 6 2 3 4" xfId="28183" xr:uid="{00000000-0005-0000-0000-0000CE950000}"/>
    <cellStyle name="Normal 8 2 6 2 4" xfId="16703" xr:uid="{00000000-0005-0000-0000-0000CF950000}"/>
    <cellStyle name="Normal 8 2 6 2 4 2" xfId="39346" xr:uid="{00000000-0005-0000-0000-0000D0950000}"/>
    <cellStyle name="Normal 8 2 6 2 5" xfId="9263" xr:uid="{00000000-0005-0000-0000-0000D1950000}"/>
    <cellStyle name="Normal 8 2 6 2 5 2" xfId="31906" xr:uid="{00000000-0005-0000-0000-0000D2950000}"/>
    <cellStyle name="Normal 8 2 6 2 6" xfId="24465" xr:uid="{00000000-0005-0000-0000-0000D3950000}"/>
    <cellStyle name="Normal 8 2 6 3" xfId="2738" xr:uid="{00000000-0005-0000-0000-0000D4950000}"/>
    <cellStyle name="Normal 8 2 6 3 2" xfId="6459" xr:uid="{00000000-0005-0000-0000-0000D5950000}"/>
    <cellStyle name="Normal 8 2 6 3 2 2" xfId="21343" xr:uid="{00000000-0005-0000-0000-0000D6950000}"/>
    <cellStyle name="Normal 8 2 6 3 2 2 2" xfId="43986" xr:uid="{00000000-0005-0000-0000-0000D7950000}"/>
    <cellStyle name="Normal 8 2 6 3 2 3" xfId="13903" xr:uid="{00000000-0005-0000-0000-0000D8950000}"/>
    <cellStyle name="Normal 8 2 6 3 2 3 2" xfId="36546" xr:uid="{00000000-0005-0000-0000-0000D9950000}"/>
    <cellStyle name="Normal 8 2 6 3 2 4" xfId="29105" xr:uid="{00000000-0005-0000-0000-0000DA950000}"/>
    <cellStyle name="Normal 8 2 6 3 3" xfId="17625" xr:uid="{00000000-0005-0000-0000-0000DB950000}"/>
    <cellStyle name="Normal 8 2 6 3 3 2" xfId="40268" xr:uid="{00000000-0005-0000-0000-0000DC950000}"/>
    <cellStyle name="Normal 8 2 6 3 4" xfId="10185" xr:uid="{00000000-0005-0000-0000-0000DD950000}"/>
    <cellStyle name="Normal 8 2 6 3 4 2" xfId="32828" xr:uid="{00000000-0005-0000-0000-0000DE950000}"/>
    <cellStyle name="Normal 8 2 6 3 5" xfId="25387" xr:uid="{00000000-0005-0000-0000-0000DF950000}"/>
    <cellStyle name="Normal 8 2 6 4" xfId="4612" xr:uid="{00000000-0005-0000-0000-0000E0950000}"/>
    <cellStyle name="Normal 8 2 6 4 2" xfId="19496" xr:uid="{00000000-0005-0000-0000-0000E1950000}"/>
    <cellStyle name="Normal 8 2 6 4 2 2" xfId="42139" xr:uid="{00000000-0005-0000-0000-0000E2950000}"/>
    <cellStyle name="Normal 8 2 6 4 3" xfId="12056" xr:uid="{00000000-0005-0000-0000-0000E3950000}"/>
    <cellStyle name="Normal 8 2 6 4 3 2" xfId="34699" xr:uid="{00000000-0005-0000-0000-0000E4950000}"/>
    <cellStyle name="Normal 8 2 6 4 4" xfId="27258" xr:uid="{00000000-0005-0000-0000-0000E5950000}"/>
    <cellStyle name="Normal 8 2 6 5" xfId="15778" xr:uid="{00000000-0005-0000-0000-0000E6950000}"/>
    <cellStyle name="Normal 8 2 6 5 2" xfId="38421" xr:uid="{00000000-0005-0000-0000-0000E7950000}"/>
    <cellStyle name="Normal 8 2 6 6" xfId="8338" xr:uid="{00000000-0005-0000-0000-0000E8950000}"/>
    <cellStyle name="Normal 8 2 6 6 2" xfId="30981" xr:uid="{00000000-0005-0000-0000-0000E9950000}"/>
    <cellStyle name="Normal 8 2 6 7" xfId="23540" xr:uid="{00000000-0005-0000-0000-0000EA950000}"/>
    <cellStyle name="Normal 8 2 7" xfId="1351" xr:uid="{00000000-0005-0000-0000-0000EB950000}"/>
    <cellStyle name="Normal 8 2 7 2" xfId="3201" xr:uid="{00000000-0005-0000-0000-0000EC950000}"/>
    <cellStyle name="Normal 8 2 7 2 2" xfId="6922" xr:uid="{00000000-0005-0000-0000-0000ED950000}"/>
    <cellStyle name="Normal 8 2 7 2 2 2" xfId="21806" xr:uid="{00000000-0005-0000-0000-0000EE950000}"/>
    <cellStyle name="Normal 8 2 7 2 2 2 2" xfId="44449" xr:uid="{00000000-0005-0000-0000-0000EF950000}"/>
    <cellStyle name="Normal 8 2 7 2 2 3" xfId="14366" xr:uid="{00000000-0005-0000-0000-0000F0950000}"/>
    <cellStyle name="Normal 8 2 7 2 2 3 2" xfId="37009" xr:uid="{00000000-0005-0000-0000-0000F1950000}"/>
    <cellStyle name="Normal 8 2 7 2 2 4" xfId="29568" xr:uid="{00000000-0005-0000-0000-0000F2950000}"/>
    <cellStyle name="Normal 8 2 7 2 3" xfId="18088" xr:uid="{00000000-0005-0000-0000-0000F3950000}"/>
    <cellStyle name="Normal 8 2 7 2 3 2" xfId="40731" xr:uid="{00000000-0005-0000-0000-0000F4950000}"/>
    <cellStyle name="Normal 8 2 7 2 4" xfId="10648" xr:uid="{00000000-0005-0000-0000-0000F5950000}"/>
    <cellStyle name="Normal 8 2 7 2 4 2" xfId="33291" xr:uid="{00000000-0005-0000-0000-0000F6950000}"/>
    <cellStyle name="Normal 8 2 7 2 5" xfId="25850" xr:uid="{00000000-0005-0000-0000-0000F7950000}"/>
    <cellStyle name="Normal 8 2 7 3" xfId="5075" xr:uid="{00000000-0005-0000-0000-0000F8950000}"/>
    <cellStyle name="Normal 8 2 7 3 2" xfId="19959" xr:uid="{00000000-0005-0000-0000-0000F9950000}"/>
    <cellStyle name="Normal 8 2 7 3 2 2" xfId="42602" xr:uid="{00000000-0005-0000-0000-0000FA950000}"/>
    <cellStyle name="Normal 8 2 7 3 3" xfId="12519" xr:uid="{00000000-0005-0000-0000-0000FB950000}"/>
    <cellStyle name="Normal 8 2 7 3 3 2" xfId="35162" xr:uid="{00000000-0005-0000-0000-0000FC950000}"/>
    <cellStyle name="Normal 8 2 7 3 4" xfId="27721" xr:uid="{00000000-0005-0000-0000-0000FD950000}"/>
    <cellStyle name="Normal 8 2 7 4" xfId="16241" xr:uid="{00000000-0005-0000-0000-0000FE950000}"/>
    <cellStyle name="Normal 8 2 7 4 2" xfId="38884" xr:uid="{00000000-0005-0000-0000-0000FF950000}"/>
    <cellStyle name="Normal 8 2 7 5" xfId="8801" xr:uid="{00000000-0005-0000-0000-000000960000}"/>
    <cellStyle name="Normal 8 2 7 5 2" xfId="31444" xr:uid="{00000000-0005-0000-0000-000001960000}"/>
    <cellStyle name="Normal 8 2 7 6" xfId="24003" xr:uid="{00000000-0005-0000-0000-000002960000}"/>
    <cellStyle name="Normal 8 2 8" xfId="2276" xr:uid="{00000000-0005-0000-0000-000003960000}"/>
    <cellStyle name="Normal 8 2 8 2" xfId="5997" xr:uid="{00000000-0005-0000-0000-000004960000}"/>
    <cellStyle name="Normal 8 2 8 2 2" xfId="20881" xr:uid="{00000000-0005-0000-0000-000005960000}"/>
    <cellStyle name="Normal 8 2 8 2 2 2" xfId="43524" xr:uid="{00000000-0005-0000-0000-000006960000}"/>
    <cellStyle name="Normal 8 2 8 2 3" xfId="13441" xr:uid="{00000000-0005-0000-0000-000007960000}"/>
    <cellStyle name="Normal 8 2 8 2 3 2" xfId="36084" xr:uid="{00000000-0005-0000-0000-000008960000}"/>
    <cellStyle name="Normal 8 2 8 2 4" xfId="28643" xr:uid="{00000000-0005-0000-0000-000009960000}"/>
    <cellStyle name="Normal 8 2 8 3" xfId="17163" xr:uid="{00000000-0005-0000-0000-00000A960000}"/>
    <cellStyle name="Normal 8 2 8 3 2" xfId="39806" xr:uid="{00000000-0005-0000-0000-00000B960000}"/>
    <cellStyle name="Normal 8 2 8 4" xfId="9723" xr:uid="{00000000-0005-0000-0000-00000C960000}"/>
    <cellStyle name="Normal 8 2 8 4 2" xfId="32366" xr:uid="{00000000-0005-0000-0000-00000D960000}"/>
    <cellStyle name="Normal 8 2 8 5" xfId="24925" xr:uid="{00000000-0005-0000-0000-00000E960000}"/>
    <cellStyle name="Normal 8 2 9" xfId="4150" xr:uid="{00000000-0005-0000-0000-00000F960000}"/>
    <cellStyle name="Normal 8 2 9 2" xfId="19034" xr:uid="{00000000-0005-0000-0000-000010960000}"/>
    <cellStyle name="Normal 8 2 9 2 2" xfId="41677" xr:uid="{00000000-0005-0000-0000-000011960000}"/>
    <cellStyle name="Normal 8 2 9 3" xfId="11594" xr:uid="{00000000-0005-0000-0000-000012960000}"/>
    <cellStyle name="Normal 8 2 9 3 2" xfId="34237" xr:uid="{00000000-0005-0000-0000-000013960000}"/>
    <cellStyle name="Normal 8 2 9 4" xfId="26796" xr:uid="{00000000-0005-0000-0000-000014960000}"/>
    <cellStyle name="Normal 8 3" xfId="392" xr:uid="{00000000-0005-0000-0000-000015960000}"/>
    <cellStyle name="Normal 8 3 10" xfId="15318" xr:uid="{00000000-0005-0000-0000-000016960000}"/>
    <cellStyle name="Normal 8 3 10 2" xfId="37961" xr:uid="{00000000-0005-0000-0000-000017960000}"/>
    <cellStyle name="Normal 8 3 11" xfId="7878" xr:uid="{00000000-0005-0000-0000-000018960000}"/>
    <cellStyle name="Normal 8 3 11 2" xfId="30521" xr:uid="{00000000-0005-0000-0000-000019960000}"/>
    <cellStyle name="Normal 8 3 12" xfId="23081" xr:uid="{00000000-0005-0000-0000-00001A960000}"/>
    <cellStyle name="Normal 8 3 2" xfId="439" xr:uid="{00000000-0005-0000-0000-00001B960000}"/>
    <cellStyle name="Normal 8 3 2 10" xfId="7898" xr:uid="{00000000-0005-0000-0000-00001C960000}"/>
    <cellStyle name="Normal 8 3 2 10 2" xfId="30541" xr:uid="{00000000-0005-0000-0000-00001D960000}"/>
    <cellStyle name="Normal 8 3 2 11" xfId="23101" xr:uid="{00000000-0005-0000-0000-00001E960000}"/>
    <cellStyle name="Normal 8 3 2 2" xfId="492" xr:uid="{00000000-0005-0000-0000-00001F960000}"/>
    <cellStyle name="Normal 8 3 2 2 10" xfId="23153" xr:uid="{00000000-0005-0000-0000-000020960000}"/>
    <cellStyle name="Normal 8 3 2 2 2" xfId="598" xr:uid="{00000000-0005-0000-0000-000021960000}"/>
    <cellStyle name="Normal 8 3 2 2 2 2" xfId="810" xr:uid="{00000000-0005-0000-0000-000022960000}"/>
    <cellStyle name="Normal 8 3 2 2 2 2 2" xfId="1275" xr:uid="{00000000-0005-0000-0000-000023960000}"/>
    <cellStyle name="Normal 8 3 2 2 2 2 2 2" xfId="2203" xr:uid="{00000000-0005-0000-0000-000024960000}"/>
    <cellStyle name="Normal 8 3 2 2 2 2 2 2 2" xfId="4053" xr:uid="{00000000-0005-0000-0000-000025960000}"/>
    <cellStyle name="Normal 8 3 2 2 2 2 2 2 2 2" xfId="7774" xr:uid="{00000000-0005-0000-0000-000026960000}"/>
    <cellStyle name="Normal 8 3 2 2 2 2 2 2 2 2 2" xfId="22658" xr:uid="{00000000-0005-0000-0000-000027960000}"/>
    <cellStyle name="Normal 8 3 2 2 2 2 2 2 2 2 2 2" xfId="45301" xr:uid="{00000000-0005-0000-0000-000028960000}"/>
    <cellStyle name="Normal 8 3 2 2 2 2 2 2 2 2 3" xfId="15218" xr:uid="{00000000-0005-0000-0000-000029960000}"/>
    <cellStyle name="Normal 8 3 2 2 2 2 2 2 2 2 3 2" xfId="37861" xr:uid="{00000000-0005-0000-0000-00002A960000}"/>
    <cellStyle name="Normal 8 3 2 2 2 2 2 2 2 2 4" xfId="30420" xr:uid="{00000000-0005-0000-0000-00002B960000}"/>
    <cellStyle name="Normal 8 3 2 2 2 2 2 2 2 3" xfId="18940" xr:uid="{00000000-0005-0000-0000-00002C960000}"/>
    <cellStyle name="Normal 8 3 2 2 2 2 2 2 2 3 2" xfId="41583" xr:uid="{00000000-0005-0000-0000-00002D960000}"/>
    <cellStyle name="Normal 8 3 2 2 2 2 2 2 2 4" xfId="11500" xr:uid="{00000000-0005-0000-0000-00002E960000}"/>
    <cellStyle name="Normal 8 3 2 2 2 2 2 2 2 4 2" xfId="34143" xr:uid="{00000000-0005-0000-0000-00002F960000}"/>
    <cellStyle name="Normal 8 3 2 2 2 2 2 2 2 5" xfId="26702" xr:uid="{00000000-0005-0000-0000-000030960000}"/>
    <cellStyle name="Normal 8 3 2 2 2 2 2 2 3" xfId="5927" xr:uid="{00000000-0005-0000-0000-000031960000}"/>
    <cellStyle name="Normal 8 3 2 2 2 2 2 2 3 2" xfId="20811" xr:uid="{00000000-0005-0000-0000-000032960000}"/>
    <cellStyle name="Normal 8 3 2 2 2 2 2 2 3 2 2" xfId="43454" xr:uid="{00000000-0005-0000-0000-000033960000}"/>
    <cellStyle name="Normal 8 3 2 2 2 2 2 2 3 3" xfId="13371" xr:uid="{00000000-0005-0000-0000-000034960000}"/>
    <cellStyle name="Normal 8 3 2 2 2 2 2 2 3 3 2" xfId="36014" xr:uid="{00000000-0005-0000-0000-000035960000}"/>
    <cellStyle name="Normal 8 3 2 2 2 2 2 2 3 4" xfId="28573" xr:uid="{00000000-0005-0000-0000-000036960000}"/>
    <cellStyle name="Normal 8 3 2 2 2 2 2 2 4" xfId="17093" xr:uid="{00000000-0005-0000-0000-000037960000}"/>
    <cellStyle name="Normal 8 3 2 2 2 2 2 2 4 2" xfId="39736" xr:uid="{00000000-0005-0000-0000-000038960000}"/>
    <cellStyle name="Normal 8 3 2 2 2 2 2 2 5" xfId="9653" xr:uid="{00000000-0005-0000-0000-000039960000}"/>
    <cellStyle name="Normal 8 3 2 2 2 2 2 2 5 2" xfId="32296" xr:uid="{00000000-0005-0000-0000-00003A960000}"/>
    <cellStyle name="Normal 8 3 2 2 2 2 2 2 6" xfId="24855" xr:uid="{00000000-0005-0000-0000-00003B960000}"/>
    <cellStyle name="Normal 8 3 2 2 2 2 2 3" xfId="3128" xr:uid="{00000000-0005-0000-0000-00003C960000}"/>
    <cellStyle name="Normal 8 3 2 2 2 2 2 3 2" xfId="6849" xr:uid="{00000000-0005-0000-0000-00003D960000}"/>
    <cellStyle name="Normal 8 3 2 2 2 2 2 3 2 2" xfId="21733" xr:uid="{00000000-0005-0000-0000-00003E960000}"/>
    <cellStyle name="Normal 8 3 2 2 2 2 2 3 2 2 2" xfId="44376" xr:uid="{00000000-0005-0000-0000-00003F960000}"/>
    <cellStyle name="Normal 8 3 2 2 2 2 2 3 2 3" xfId="14293" xr:uid="{00000000-0005-0000-0000-000040960000}"/>
    <cellStyle name="Normal 8 3 2 2 2 2 2 3 2 3 2" xfId="36936" xr:uid="{00000000-0005-0000-0000-000041960000}"/>
    <cellStyle name="Normal 8 3 2 2 2 2 2 3 2 4" xfId="29495" xr:uid="{00000000-0005-0000-0000-000042960000}"/>
    <cellStyle name="Normal 8 3 2 2 2 2 2 3 3" xfId="18015" xr:uid="{00000000-0005-0000-0000-000043960000}"/>
    <cellStyle name="Normal 8 3 2 2 2 2 2 3 3 2" xfId="40658" xr:uid="{00000000-0005-0000-0000-000044960000}"/>
    <cellStyle name="Normal 8 3 2 2 2 2 2 3 4" xfId="10575" xr:uid="{00000000-0005-0000-0000-000045960000}"/>
    <cellStyle name="Normal 8 3 2 2 2 2 2 3 4 2" xfId="33218" xr:uid="{00000000-0005-0000-0000-000046960000}"/>
    <cellStyle name="Normal 8 3 2 2 2 2 2 3 5" xfId="25777" xr:uid="{00000000-0005-0000-0000-000047960000}"/>
    <cellStyle name="Normal 8 3 2 2 2 2 2 4" xfId="5002" xr:uid="{00000000-0005-0000-0000-000048960000}"/>
    <cellStyle name="Normal 8 3 2 2 2 2 2 4 2" xfId="19886" xr:uid="{00000000-0005-0000-0000-000049960000}"/>
    <cellStyle name="Normal 8 3 2 2 2 2 2 4 2 2" xfId="42529" xr:uid="{00000000-0005-0000-0000-00004A960000}"/>
    <cellStyle name="Normal 8 3 2 2 2 2 2 4 3" xfId="12446" xr:uid="{00000000-0005-0000-0000-00004B960000}"/>
    <cellStyle name="Normal 8 3 2 2 2 2 2 4 3 2" xfId="35089" xr:uid="{00000000-0005-0000-0000-00004C960000}"/>
    <cellStyle name="Normal 8 3 2 2 2 2 2 4 4" xfId="27648" xr:uid="{00000000-0005-0000-0000-00004D960000}"/>
    <cellStyle name="Normal 8 3 2 2 2 2 2 5" xfId="16168" xr:uid="{00000000-0005-0000-0000-00004E960000}"/>
    <cellStyle name="Normal 8 3 2 2 2 2 2 5 2" xfId="38811" xr:uid="{00000000-0005-0000-0000-00004F960000}"/>
    <cellStyle name="Normal 8 3 2 2 2 2 2 6" xfId="8728" xr:uid="{00000000-0005-0000-0000-000050960000}"/>
    <cellStyle name="Normal 8 3 2 2 2 2 2 6 2" xfId="31371" xr:uid="{00000000-0005-0000-0000-000051960000}"/>
    <cellStyle name="Normal 8 3 2 2 2 2 2 7" xfId="23930" xr:uid="{00000000-0005-0000-0000-000052960000}"/>
    <cellStyle name="Normal 8 3 2 2 2 2 3" xfId="1741" xr:uid="{00000000-0005-0000-0000-000053960000}"/>
    <cellStyle name="Normal 8 3 2 2 2 2 3 2" xfId="3591" xr:uid="{00000000-0005-0000-0000-000054960000}"/>
    <cellStyle name="Normal 8 3 2 2 2 2 3 2 2" xfId="7312" xr:uid="{00000000-0005-0000-0000-000055960000}"/>
    <cellStyle name="Normal 8 3 2 2 2 2 3 2 2 2" xfId="22196" xr:uid="{00000000-0005-0000-0000-000056960000}"/>
    <cellStyle name="Normal 8 3 2 2 2 2 3 2 2 2 2" xfId="44839" xr:uid="{00000000-0005-0000-0000-000057960000}"/>
    <cellStyle name="Normal 8 3 2 2 2 2 3 2 2 3" xfId="14756" xr:uid="{00000000-0005-0000-0000-000058960000}"/>
    <cellStyle name="Normal 8 3 2 2 2 2 3 2 2 3 2" xfId="37399" xr:uid="{00000000-0005-0000-0000-000059960000}"/>
    <cellStyle name="Normal 8 3 2 2 2 2 3 2 2 4" xfId="29958" xr:uid="{00000000-0005-0000-0000-00005A960000}"/>
    <cellStyle name="Normal 8 3 2 2 2 2 3 2 3" xfId="18478" xr:uid="{00000000-0005-0000-0000-00005B960000}"/>
    <cellStyle name="Normal 8 3 2 2 2 2 3 2 3 2" xfId="41121" xr:uid="{00000000-0005-0000-0000-00005C960000}"/>
    <cellStyle name="Normal 8 3 2 2 2 2 3 2 4" xfId="11038" xr:uid="{00000000-0005-0000-0000-00005D960000}"/>
    <cellStyle name="Normal 8 3 2 2 2 2 3 2 4 2" xfId="33681" xr:uid="{00000000-0005-0000-0000-00005E960000}"/>
    <cellStyle name="Normal 8 3 2 2 2 2 3 2 5" xfId="26240" xr:uid="{00000000-0005-0000-0000-00005F960000}"/>
    <cellStyle name="Normal 8 3 2 2 2 2 3 3" xfId="5465" xr:uid="{00000000-0005-0000-0000-000060960000}"/>
    <cellStyle name="Normal 8 3 2 2 2 2 3 3 2" xfId="20349" xr:uid="{00000000-0005-0000-0000-000061960000}"/>
    <cellStyle name="Normal 8 3 2 2 2 2 3 3 2 2" xfId="42992" xr:uid="{00000000-0005-0000-0000-000062960000}"/>
    <cellStyle name="Normal 8 3 2 2 2 2 3 3 3" xfId="12909" xr:uid="{00000000-0005-0000-0000-000063960000}"/>
    <cellStyle name="Normal 8 3 2 2 2 2 3 3 3 2" xfId="35552" xr:uid="{00000000-0005-0000-0000-000064960000}"/>
    <cellStyle name="Normal 8 3 2 2 2 2 3 3 4" xfId="28111" xr:uid="{00000000-0005-0000-0000-000065960000}"/>
    <cellStyle name="Normal 8 3 2 2 2 2 3 4" xfId="16631" xr:uid="{00000000-0005-0000-0000-000066960000}"/>
    <cellStyle name="Normal 8 3 2 2 2 2 3 4 2" xfId="39274" xr:uid="{00000000-0005-0000-0000-000067960000}"/>
    <cellStyle name="Normal 8 3 2 2 2 2 3 5" xfId="9191" xr:uid="{00000000-0005-0000-0000-000068960000}"/>
    <cellStyle name="Normal 8 3 2 2 2 2 3 5 2" xfId="31834" xr:uid="{00000000-0005-0000-0000-000069960000}"/>
    <cellStyle name="Normal 8 3 2 2 2 2 3 6" xfId="24393" xr:uid="{00000000-0005-0000-0000-00006A960000}"/>
    <cellStyle name="Normal 8 3 2 2 2 2 4" xfId="2666" xr:uid="{00000000-0005-0000-0000-00006B960000}"/>
    <cellStyle name="Normal 8 3 2 2 2 2 4 2" xfId="6387" xr:uid="{00000000-0005-0000-0000-00006C960000}"/>
    <cellStyle name="Normal 8 3 2 2 2 2 4 2 2" xfId="21271" xr:uid="{00000000-0005-0000-0000-00006D960000}"/>
    <cellStyle name="Normal 8 3 2 2 2 2 4 2 2 2" xfId="43914" xr:uid="{00000000-0005-0000-0000-00006E960000}"/>
    <cellStyle name="Normal 8 3 2 2 2 2 4 2 3" xfId="13831" xr:uid="{00000000-0005-0000-0000-00006F960000}"/>
    <cellStyle name="Normal 8 3 2 2 2 2 4 2 3 2" xfId="36474" xr:uid="{00000000-0005-0000-0000-000070960000}"/>
    <cellStyle name="Normal 8 3 2 2 2 2 4 2 4" xfId="29033" xr:uid="{00000000-0005-0000-0000-000071960000}"/>
    <cellStyle name="Normal 8 3 2 2 2 2 4 3" xfId="17553" xr:uid="{00000000-0005-0000-0000-000072960000}"/>
    <cellStyle name="Normal 8 3 2 2 2 2 4 3 2" xfId="40196" xr:uid="{00000000-0005-0000-0000-000073960000}"/>
    <cellStyle name="Normal 8 3 2 2 2 2 4 4" xfId="10113" xr:uid="{00000000-0005-0000-0000-000074960000}"/>
    <cellStyle name="Normal 8 3 2 2 2 2 4 4 2" xfId="32756" xr:uid="{00000000-0005-0000-0000-000075960000}"/>
    <cellStyle name="Normal 8 3 2 2 2 2 4 5" xfId="25315" xr:uid="{00000000-0005-0000-0000-000076960000}"/>
    <cellStyle name="Normal 8 3 2 2 2 2 5" xfId="4540" xr:uid="{00000000-0005-0000-0000-000077960000}"/>
    <cellStyle name="Normal 8 3 2 2 2 2 5 2" xfId="19424" xr:uid="{00000000-0005-0000-0000-000078960000}"/>
    <cellStyle name="Normal 8 3 2 2 2 2 5 2 2" xfId="42067" xr:uid="{00000000-0005-0000-0000-000079960000}"/>
    <cellStyle name="Normal 8 3 2 2 2 2 5 3" xfId="11984" xr:uid="{00000000-0005-0000-0000-00007A960000}"/>
    <cellStyle name="Normal 8 3 2 2 2 2 5 3 2" xfId="34627" xr:uid="{00000000-0005-0000-0000-00007B960000}"/>
    <cellStyle name="Normal 8 3 2 2 2 2 5 4" xfId="27186" xr:uid="{00000000-0005-0000-0000-00007C960000}"/>
    <cellStyle name="Normal 8 3 2 2 2 2 6" xfId="15706" xr:uid="{00000000-0005-0000-0000-00007D960000}"/>
    <cellStyle name="Normal 8 3 2 2 2 2 6 2" xfId="38349" xr:uid="{00000000-0005-0000-0000-00007E960000}"/>
    <cellStyle name="Normal 8 3 2 2 2 2 7" xfId="8266" xr:uid="{00000000-0005-0000-0000-00007F960000}"/>
    <cellStyle name="Normal 8 3 2 2 2 2 7 2" xfId="30909" xr:uid="{00000000-0005-0000-0000-000080960000}"/>
    <cellStyle name="Normal 8 3 2 2 2 2 8" xfId="23468" xr:uid="{00000000-0005-0000-0000-000081960000}"/>
    <cellStyle name="Normal 8 3 2 2 2 3" xfId="1064" xr:uid="{00000000-0005-0000-0000-000082960000}"/>
    <cellStyle name="Normal 8 3 2 2 2 3 2" xfId="1992" xr:uid="{00000000-0005-0000-0000-000083960000}"/>
    <cellStyle name="Normal 8 3 2 2 2 3 2 2" xfId="3842" xr:uid="{00000000-0005-0000-0000-000084960000}"/>
    <cellStyle name="Normal 8 3 2 2 2 3 2 2 2" xfId="7563" xr:uid="{00000000-0005-0000-0000-000085960000}"/>
    <cellStyle name="Normal 8 3 2 2 2 3 2 2 2 2" xfId="22447" xr:uid="{00000000-0005-0000-0000-000086960000}"/>
    <cellStyle name="Normal 8 3 2 2 2 3 2 2 2 2 2" xfId="45090" xr:uid="{00000000-0005-0000-0000-000087960000}"/>
    <cellStyle name="Normal 8 3 2 2 2 3 2 2 2 3" xfId="15007" xr:uid="{00000000-0005-0000-0000-000088960000}"/>
    <cellStyle name="Normal 8 3 2 2 2 3 2 2 2 3 2" xfId="37650" xr:uid="{00000000-0005-0000-0000-000089960000}"/>
    <cellStyle name="Normal 8 3 2 2 2 3 2 2 2 4" xfId="30209" xr:uid="{00000000-0005-0000-0000-00008A960000}"/>
    <cellStyle name="Normal 8 3 2 2 2 3 2 2 3" xfId="18729" xr:uid="{00000000-0005-0000-0000-00008B960000}"/>
    <cellStyle name="Normal 8 3 2 2 2 3 2 2 3 2" xfId="41372" xr:uid="{00000000-0005-0000-0000-00008C960000}"/>
    <cellStyle name="Normal 8 3 2 2 2 3 2 2 4" xfId="11289" xr:uid="{00000000-0005-0000-0000-00008D960000}"/>
    <cellStyle name="Normal 8 3 2 2 2 3 2 2 4 2" xfId="33932" xr:uid="{00000000-0005-0000-0000-00008E960000}"/>
    <cellStyle name="Normal 8 3 2 2 2 3 2 2 5" xfId="26491" xr:uid="{00000000-0005-0000-0000-00008F960000}"/>
    <cellStyle name="Normal 8 3 2 2 2 3 2 3" xfId="5716" xr:uid="{00000000-0005-0000-0000-000090960000}"/>
    <cellStyle name="Normal 8 3 2 2 2 3 2 3 2" xfId="20600" xr:uid="{00000000-0005-0000-0000-000091960000}"/>
    <cellStyle name="Normal 8 3 2 2 2 3 2 3 2 2" xfId="43243" xr:uid="{00000000-0005-0000-0000-000092960000}"/>
    <cellStyle name="Normal 8 3 2 2 2 3 2 3 3" xfId="13160" xr:uid="{00000000-0005-0000-0000-000093960000}"/>
    <cellStyle name="Normal 8 3 2 2 2 3 2 3 3 2" xfId="35803" xr:uid="{00000000-0005-0000-0000-000094960000}"/>
    <cellStyle name="Normal 8 3 2 2 2 3 2 3 4" xfId="28362" xr:uid="{00000000-0005-0000-0000-000095960000}"/>
    <cellStyle name="Normal 8 3 2 2 2 3 2 4" xfId="16882" xr:uid="{00000000-0005-0000-0000-000096960000}"/>
    <cellStyle name="Normal 8 3 2 2 2 3 2 4 2" xfId="39525" xr:uid="{00000000-0005-0000-0000-000097960000}"/>
    <cellStyle name="Normal 8 3 2 2 2 3 2 5" xfId="9442" xr:uid="{00000000-0005-0000-0000-000098960000}"/>
    <cellStyle name="Normal 8 3 2 2 2 3 2 5 2" xfId="32085" xr:uid="{00000000-0005-0000-0000-000099960000}"/>
    <cellStyle name="Normal 8 3 2 2 2 3 2 6" xfId="24644" xr:uid="{00000000-0005-0000-0000-00009A960000}"/>
    <cellStyle name="Normal 8 3 2 2 2 3 3" xfId="2917" xr:uid="{00000000-0005-0000-0000-00009B960000}"/>
    <cellStyle name="Normal 8 3 2 2 2 3 3 2" xfId="6638" xr:uid="{00000000-0005-0000-0000-00009C960000}"/>
    <cellStyle name="Normal 8 3 2 2 2 3 3 2 2" xfId="21522" xr:uid="{00000000-0005-0000-0000-00009D960000}"/>
    <cellStyle name="Normal 8 3 2 2 2 3 3 2 2 2" xfId="44165" xr:uid="{00000000-0005-0000-0000-00009E960000}"/>
    <cellStyle name="Normal 8 3 2 2 2 3 3 2 3" xfId="14082" xr:uid="{00000000-0005-0000-0000-00009F960000}"/>
    <cellStyle name="Normal 8 3 2 2 2 3 3 2 3 2" xfId="36725" xr:uid="{00000000-0005-0000-0000-0000A0960000}"/>
    <cellStyle name="Normal 8 3 2 2 2 3 3 2 4" xfId="29284" xr:uid="{00000000-0005-0000-0000-0000A1960000}"/>
    <cellStyle name="Normal 8 3 2 2 2 3 3 3" xfId="17804" xr:uid="{00000000-0005-0000-0000-0000A2960000}"/>
    <cellStyle name="Normal 8 3 2 2 2 3 3 3 2" xfId="40447" xr:uid="{00000000-0005-0000-0000-0000A3960000}"/>
    <cellStyle name="Normal 8 3 2 2 2 3 3 4" xfId="10364" xr:uid="{00000000-0005-0000-0000-0000A4960000}"/>
    <cellStyle name="Normal 8 3 2 2 2 3 3 4 2" xfId="33007" xr:uid="{00000000-0005-0000-0000-0000A5960000}"/>
    <cellStyle name="Normal 8 3 2 2 2 3 3 5" xfId="25566" xr:uid="{00000000-0005-0000-0000-0000A6960000}"/>
    <cellStyle name="Normal 8 3 2 2 2 3 4" xfId="4791" xr:uid="{00000000-0005-0000-0000-0000A7960000}"/>
    <cellStyle name="Normal 8 3 2 2 2 3 4 2" xfId="19675" xr:uid="{00000000-0005-0000-0000-0000A8960000}"/>
    <cellStyle name="Normal 8 3 2 2 2 3 4 2 2" xfId="42318" xr:uid="{00000000-0005-0000-0000-0000A9960000}"/>
    <cellStyle name="Normal 8 3 2 2 2 3 4 3" xfId="12235" xr:uid="{00000000-0005-0000-0000-0000AA960000}"/>
    <cellStyle name="Normal 8 3 2 2 2 3 4 3 2" xfId="34878" xr:uid="{00000000-0005-0000-0000-0000AB960000}"/>
    <cellStyle name="Normal 8 3 2 2 2 3 4 4" xfId="27437" xr:uid="{00000000-0005-0000-0000-0000AC960000}"/>
    <cellStyle name="Normal 8 3 2 2 2 3 5" xfId="15957" xr:uid="{00000000-0005-0000-0000-0000AD960000}"/>
    <cellStyle name="Normal 8 3 2 2 2 3 5 2" xfId="38600" xr:uid="{00000000-0005-0000-0000-0000AE960000}"/>
    <cellStyle name="Normal 8 3 2 2 2 3 6" xfId="8517" xr:uid="{00000000-0005-0000-0000-0000AF960000}"/>
    <cellStyle name="Normal 8 3 2 2 2 3 6 2" xfId="31160" xr:uid="{00000000-0005-0000-0000-0000B0960000}"/>
    <cellStyle name="Normal 8 3 2 2 2 3 7" xfId="23719" xr:uid="{00000000-0005-0000-0000-0000B1960000}"/>
    <cellStyle name="Normal 8 3 2 2 2 4" xfId="1530" xr:uid="{00000000-0005-0000-0000-0000B2960000}"/>
    <cellStyle name="Normal 8 3 2 2 2 4 2" xfId="3380" xr:uid="{00000000-0005-0000-0000-0000B3960000}"/>
    <cellStyle name="Normal 8 3 2 2 2 4 2 2" xfId="7101" xr:uid="{00000000-0005-0000-0000-0000B4960000}"/>
    <cellStyle name="Normal 8 3 2 2 2 4 2 2 2" xfId="21985" xr:uid="{00000000-0005-0000-0000-0000B5960000}"/>
    <cellStyle name="Normal 8 3 2 2 2 4 2 2 2 2" xfId="44628" xr:uid="{00000000-0005-0000-0000-0000B6960000}"/>
    <cellStyle name="Normal 8 3 2 2 2 4 2 2 3" xfId="14545" xr:uid="{00000000-0005-0000-0000-0000B7960000}"/>
    <cellStyle name="Normal 8 3 2 2 2 4 2 2 3 2" xfId="37188" xr:uid="{00000000-0005-0000-0000-0000B8960000}"/>
    <cellStyle name="Normal 8 3 2 2 2 4 2 2 4" xfId="29747" xr:uid="{00000000-0005-0000-0000-0000B9960000}"/>
    <cellStyle name="Normal 8 3 2 2 2 4 2 3" xfId="18267" xr:uid="{00000000-0005-0000-0000-0000BA960000}"/>
    <cellStyle name="Normal 8 3 2 2 2 4 2 3 2" xfId="40910" xr:uid="{00000000-0005-0000-0000-0000BB960000}"/>
    <cellStyle name="Normal 8 3 2 2 2 4 2 4" xfId="10827" xr:uid="{00000000-0005-0000-0000-0000BC960000}"/>
    <cellStyle name="Normal 8 3 2 2 2 4 2 4 2" xfId="33470" xr:uid="{00000000-0005-0000-0000-0000BD960000}"/>
    <cellStyle name="Normal 8 3 2 2 2 4 2 5" xfId="26029" xr:uid="{00000000-0005-0000-0000-0000BE960000}"/>
    <cellStyle name="Normal 8 3 2 2 2 4 3" xfId="5254" xr:uid="{00000000-0005-0000-0000-0000BF960000}"/>
    <cellStyle name="Normal 8 3 2 2 2 4 3 2" xfId="20138" xr:uid="{00000000-0005-0000-0000-0000C0960000}"/>
    <cellStyle name="Normal 8 3 2 2 2 4 3 2 2" xfId="42781" xr:uid="{00000000-0005-0000-0000-0000C1960000}"/>
    <cellStyle name="Normal 8 3 2 2 2 4 3 3" xfId="12698" xr:uid="{00000000-0005-0000-0000-0000C2960000}"/>
    <cellStyle name="Normal 8 3 2 2 2 4 3 3 2" xfId="35341" xr:uid="{00000000-0005-0000-0000-0000C3960000}"/>
    <cellStyle name="Normal 8 3 2 2 2 4 3 4" xfId="27900" xr:uid="{00000000-0005-0000-0000-0000C4960000}"/>
    <cellStyle name="Normal 8 3 2 2 2 4 4" xfId="16420" xr:uid="{00000000-0005-0000-0000-0000C5960000}"/>
    <cellStyle name="Normal 8 3 2 2 2 4 4 2" xfId="39063" xr:uid="{00000000-0005-0000-0000-0000C6960000}"/>
    <cellStyle name="Normal 8 3 2 2 2 4 5" xfId="8980" xr:uid="{00000000-0005-0000-0000-0000C7960000}"/>
    <cellStyle name="Normal 8 3 2 2 2 4 5 2" xfId="31623" xr:uid="{00000000-0005-0000-0000-0000C8960000}"/>
    <cellStyle name="Normal 8 3 2 2 2 4 6" xfId="24182" xr:uid="{00000000-0005-0000-0000-0000C9960000}"/>
    <cellStyle name="Normal 8 3 2 2 2 5" xfId="2455" xr:uid="{00000000-0005-0000-0000-0000CA960000}"/>
    <cellStyle name="Normal 8 3 2 2 2 5 2" xfId="6176" xr:uid="{00000000-0005-0000-0000-0000CB960000}"/>
    <cellStyle name="Normal 8 3 2 2 2 5 2 2" xfId="21060" xr:uid="{00000000-0005-0000-0000-0000CC960000}"/>
    <cellStyle name="Normal 8 3 2 2 2 5 2 2 2" xfId="43703" xr:uid="{00000000-0005-0000-0000-0000CD960000}"/>
    <cellStyle name="Normal 8 3 2 2 2 5 2 3" xfId="13620" xr:uid="{00000000-0005-0000-0000-0000CE960000}"/>
    <cellStyle name="Normal 8 3 2 2 2 5 2 3 2" xfId="36263" xr:uid="{00000000-0005-0000-0000-0000CF960000}"/>
    <cellStyle name="Normal 8 3 2 2 2 5 2 4" xfId="28822" xr:uid="{00000000-0005-0000-0000-0000D0960000}"/>
    <cellStyle name="Normal 8 3 2 2 2 5 3" xfId="17342" xr:uid="{00000000-0005-0000-0000-0000D1960000}"/>
    <cellStyle name="Normal 8 3 2 2 2 5 3 2" xfId="39985" xr:uid="{00000000-0005-0000-0000-0000D2960000}"/>
    <cellStyle name="Normal 8 3 2 2 2 5 4" xfId="9902" xr:uid="{00000000-0005-0000-0000-0000D3960000}"/>
    <cellStyle name="Normal 8 3 2 2 2 5 4 2" xfId="32545" xr:uid="{00000000-0005-0000-0000-0000D4960000}"/>
    <cellStyle name="Normal 8 3 2 2 2 5 5" xfId="25104" xr:uid="{00000000-0005-0000-0000-0000D5960000}"/>
    <cellStyle name="Normal 8 3 2 2 2 6" xfId="4329" xr:uid="{00000000-0005-0000-0000-0000D6960000}"/>
    <cellStyle name="Normal 8 3 2 2 2 6 2" xfId="19213" xr:uid="{00000000-0005-0000-0000-0000D7960000}"/>
    <cellStyle name="Normal 8 3 2 2 2 6 2 2" xfId="41856" xr:uid="{00000000-0005-0000-0000-0000D8960000}"/>
    <cellStyle name="Normal 8 3 2 2 2 6 3" xfId="11773" xr:uid="{00000000-0005-0000-0000-0000D9960000}"/>
    <cellStyle name="Normal 8 3 2 2 2 6 3 2" xfId="34416" xr:uid="{00000000-0005-0000-0000-0000DA960000}"/>
    <cellStyle name="Normal 8 3 2 2 2 6 4" xfId="26975" xr:uid="{00000000-0005-0000-0000-0000DB960000}"/>
    <cellStyle name="Normal 8 3 2 2 2 7" xfId="15495" xr:uid="{00000000-0005-0000-0000-0000DC960000}"/>
    <cellStyle name="Normal 8 3 2 2 2 7 2" xfId="38138" xr:uid="{00000000-0005-0000-0000-0000DD960000}"/>
    <cellStyle name="Normal 8 3 2 2 2 8" xfId="8055" xr:uid="{00000000-0005-0000-0000-0000DE960000}"/>
    <cellStyle name="Normal 8 3 2 2 2 8 2" xfId="30698" xr:uid="{00000000-0005-0000-0000-0000DF960000}"/>
    <cellStyle name="Normal 8 3 2 2 2 9" xfId="23258" xr:uid="{00000000-0005-0000-0000-0000E0960000}"/>
    <cellStyle name="Normal 8 3 2 2 3" xfId="705" xr:uid="{00000000-0005-0000-0000-0000E1960000}"/>
    <cellStyle name="Normal 8 3 2 2 3 2" xfId="1170" xr:uid="{00000000-0005-0000-0000-0000E2960000}"/>
    <cellStyle name="Normal 8 3 2 2 3 2 2" xfId="2098" xr:uid="{00000000-0005-0000-0000-0000E3960000}"/>
    <cellStyle name="Normal 8 3 2 2 3 2 2 2" xfId="3948" xr:uid="{00000000-0005-0000-0000-0000E4960000}"/>
    <cellStyle name="Normal 8 3 2 2 3 2 2 2 2" xfId="7669" xr:uid="{00000000-0005-0000-0000-0000E5960000}"/>
    <cellStyle name="Normal 8 3 2 2 3 2 2 2 2 2" xfId="22553" xr:uid="{00000000-0005-0000-0000-0000E6960000}"/>
    <cellStyle name="Normal 8 3 2 2 3 2 2 2 2 2 2" xfId="45196" xr:uid="{00000000-0005-0000-0000-0000E7960000}"/>
    <cellStyle name="Normal 8 3 2 2 3 2 2 2 2 3" xfId="15113" xr:uid="{00000000-0005-0000-0000-0000E8960000}"/>
    <cellStyle name="Normal 8 3 2 2 3 2 2 2 2 3 2" xfId="37756" xr:uid="{00000000-0005-0000-0000-0000E9960000}"/>
    <cellStyle name="Normal 8 3 2 2 3 2 2 2 2 4" xfId="30315" xr:uid="{00000000-0005-0000-0000-0000EA960000}"/>
    <cellStyle name="Normal 8 3 2 2 3 2 2 2 3" xfId="18835" xr:uid="{00000000-0005-0000-0000-0000EB960000}"/>
    <cellStyle name="Normal 8 3 2 2 3 2 2 2 3 2" xfId="41478" xr:uid="{00000000-0005-0000-0000-0000EC960000}"/>
    <cellStyle name="Normal 8 3 2 2 3 2 2 2 4" xfId="11395" xr:uid="{00000000-0005-0000-0000-0000ED960000}"/>
    <cellStyle name="Normal 8 3 2 2 3 2 2 2 4 2" xfId="34038" xr:uid="{00000000-0005-0000-0000-0000EE960000}"/>
    <cellStyle name="Normal 8 3 2 2 3 2 2 2 5" xfId="26597" xr:uid="{00000000-0005-0000-0000-0000EF960000}"/>
    <cellStyle name="Normal 8 3 2 2 3 2 2 3" xfId="5822" xr:uid="{00000000-0005-0000-0000-0000F0960000}"/>
    <cellStyle name="Normal 8 3 2 2 3 2 2 3 2" xfId="20706" xr:uid="{00000000-0005-0000-0000-0000F1960000}"/>
    <cellStyle name="Normal 8 3 2 2 3 2 2 3 2 2" xfId="43349" xr:uid="{00000000-0005-0000-0000-0000F2960000}"/>
    <cellStyle name="Normal 8 3 2 2 3 2 2 3 3" xfId="13266" xr:uid="{00000000-0005-0000-0000-0000F3960000}"/>
    <cellStyle name="Normal 8 3 2 2 3 2 2 3 3 2" xfId="35909" xr:uid="{00000000-0005-0000-0000-0000F4960000}"/>
    <cellStyle name="Normal 8 3 2 2 3 2 2 3 4" xfId="28468" xr:uid="{00000000-0005-0000-0000-0000F5960000}"/>
    <cellStyle name="Normal 8 3 2 2 3 2 2 4" xfId="16988" xr:uid="{00000000-0005-0000-0000-0000F6960000}"/>
    <cellStyle name="Normal 8 3 2 2 3 2 2 4 2" xfId="39631" xr:uid="{00000000-0005-0000-0000-0000F7960000}"/>
    <cellStyle name="Normal 8 3 2 2 3 2 2 5" xfId="9548" xr:uid="{00000000-0005-0000-0000-0000F8960000}"/>
    <cellStyle name="Normal 8 3 2 2 3 2 2 5 2" xfId="32191" xr:uid="{00000000-0005-0000-0000-0000F9960000}"/>
    <cellStyle name="Normal 8 3 2 2 3 2 2 6" xfId="24750" xr:uid="{00000000-0005-0000-0000-0000FA960000}"/>
    <cellStyle name="Normal 8 3 2 2 3 2 3" xfId="3023" xr:uid="{00000000-0005-0000-0000-0000FB960000}"/>
    <cellStyle name="Normal 8 3 2 2 3 2 3 2" xfId="6744" xr:uid="{00000000-0005-0000-0000-0000FC960000}"/>
    <cellStyle name="Normal 8 3 2 2 3 2 3 2 2" xfId="21628" xr:uid="{00000000-0005-0000-0000-0000FD960000}"/>
    <cellStyle name="Normal 8 3 2 2 3 2 3 2 2 2" xfId="44271" xr:uid="{00000000-0005-0000-0000-0000FE960000}"/>
    <cellStyle name="Normal 8 3 2 2 3 2 3 2 3" xfId="14188" xr:uid="{00000000-0005-0000-0000-0000FF960000}"/>
    <cellStyle name="Normal 8 3 2 2 3 2 3 2 3 2" xfId="36831" xr:uid="{00000000-0005-0000-0000-000000970000}"/>
    <cellStyle name="Normal 8 3 2 2 3 2 3 2 4" xfId="29390" xr:uid="{00000000-0005-0000-0000-000001970000}"/>
    <cellStyle name="Normal 8 3 2 2 3 2 3 3" xfId="17910" xr:uid="{00000000-0005-0000-0000-000002970000}"/>
    <cellStyle name="Normal 8 3 2 2 3 2 3 3 2" xfId="40553" xr:uid="{00000000-0005-0000-0000-000003970000}"/>
    <cellStyle name="Normal 8 3 2 2 3 2 3 4" xfId="10470" xr:uid="{00000000-0005-0000-0000-000004970000}"/>
    <cellStyle name="Normal 8 3 2 2 3 2 3 4 2" xfId="33113" xr:uid="{00000000-0005-0000-0000-000005970000}"/>
    <cellStyle name="Normal 8 3 2 2 3 2 3 5" xfId="25672" xr:uid="{00000000-0005-0000-0000-000006970000}"/>
    <cellStyle name="Normal 8 3 2 2 3 2 4" xfId="4897" xr:uid="{00000000-0005-0000-0000-000007970000}"/>
    <cellStyle name="Normal 8 3 2 2 3 2 4 2" xfId="19781" xr:uid="{00000000-0005-0000-0000-000008970000}"/>
    <cellStyle name="Normal 8 3 2 2 3 2 4 2 2" xfId="42424" xr:uid="{00000000-0005-0000-0000-000009970000}"/>
    <cellStyle name="Normal 8 3 2 2 3 2 4 3" xfId="12341" xr:uid="{00000000-0005-0000-0000-00000A970000}"/>
    <cellStyle name="Normal 8 3 2 2 3 2 4 3 2" xfId="34984" xr:uid="{00000000-0005-0000-0000-00000B970000}"/>
    <cellStyle name="Normal 8 3 2 2 3 2 4 4" xfId="27543" xr:uid="{00000000-0005-0000-0000-00000C970000}"/>
    <cellStyle name="Normal 8 3 2 2 3 2 5" xfId="16063" xr:uid="{00000000-0005-0000-0000-00000D970000}"/>
    <cellStyle name="Normal 8 3 2 2 3 2 5 2" xfId="38706" xr:uid="{00000000-0005-0000-0000-00000E970000}"/>
    <cellStyle name="Normal 8 3 2 2 3 2 6" xfId="8623" xr:uid="{00000000-0005-0000-0000-00000F970000}"/>
    <cellStyle name="Normal 8 3 2 2 3 2 6 2" xfId="31266" xr:uid="{00000000-0005-0000-0000-000010970000}"/>
    <cellStyle name="Normal 8 3 2 2 3 2 7" xfId="23825" xr:uid="{00000000-0005-0000-0000-000011970000}"/>
    <cellStyle name="Normal 8 3 2 2 3 3" xfId="1636" xr:uid="{00000000-0005-0000-0000-000012970000}"/>
    <cellStyle name="Normal 8 3 2 2 3 3 2" xfId="3486" xr:uid="{00000000-0005-0000-0000-000013970000}"/>
    <cellStyle name="Normal 8 3 2 2 3 3 2 2" xfId="7207" xr:uid="{00000000-0005-0000-0000-000014970000}"/>
    <cellStyle name="Normal 8 3 2 2 3 3 2 2 2" xfId="22091" xr:uid="{00000000-0005-0000-0000-000015970000}"/>
    <cellStyle name="Normal 8 3 2 2 3 3 2 2 2 2" xfId="44734" xr:uid="{00000000-0005-0000-0000-000016970000}"/>
    <cellStyle name="Normal 8 3 2 2 3 3 2 2 3" xfId="14651" xr:uid="{00000000-0005-0000-0000-000017970000}"/>
    <cellStyle name="Normal 8 3 2 2 3 3 2 2 3 2" xfId="37294" xr:uid="{00000000-0005-0000-0000-000018970000}"/>
    <cellStyle name="Normal 8 3 2 2 3 3 2 2 4" xfId="29853" xr:uid="{00000000-0005-0000-0000-000019970000}"/>
    <cellStyle name="Normal 8 3 2 2 3 3 2 3" xfId="18373" xr:uid="{00000000-0005-0000-0000-00001A970000}"/>
    <cellStyle name="Normal 8 3 2 2 3 3 2 3 2" xfId="41016" xr:uid="{00000000-0005-0000-0000-00001B970000}"/>
    <cellStyle name="Normal 8 3 2 2 3 3 2 4" xfId="10933" xr:uid="{00000000-0005-0000-0000-00001C970000}"/>
    <cellStyle name="Normal 8 3 2 2 3 3 2 4 2" xfId="33576" xr:uid="{00000000-0005-0000-0000-00001D970000}"/>
    <cellStyle name="Normal 8 3 2 2 3 3 2 5" xfId="26135" xr:uid="{00000000-0005-0000-0000-00001E970000}"/>
    <cellStyle name="Normal 8 3 2 2 3 3 3" xfId="5360" xr:uid="{00000000-0005-0000-0000-00001F970000}"/>
    <cellStyle name="Normal 8 3 2 2 3 3 3 2" xfId="20244" xr:uid="{00000000-0005-0000-0000-000020970000}"/>
    <cellStyle name="Normal 8 3 2 2 3 3 3 2 2" xfId="42887" xr:uid="{00000000-0005-0000-0000-000021970000}"/>
    <cellStyle name="Normal 8 3 2 2 3 3 3 3" xfId="12804" xr:uid="{00000000-0005-0000-0000-000022970000}"/>
    <cellStyle name="Normal 8 3 2 2 3 3 3 3 2" xfId="35447" xr:uid="{00000000-0005-0000-0000-000023970000}"/>
    <cellStyle name="Normal 8 3 2 2 3 3 3 4" xfId="28006" xr:uid="{00000000-0005-0000-0000-000024970000}"/>
    <cellStyle name="Normal 8 3 2 2 3 3 4" xfId="16526" xr:uid="{00000000-0005-0000-0000-000025970000}"/>
    <cellStyle name="Normal 8 3 2 2 3 3 4 2" xfId="39169" xr:uid="{00000000-0005-0000-0000-000026970000}"/>
    <cellStyle name="Normal 8 3 2 2 3 3 5" xfId="9086" xr:uid="{00000000-0005-0000-0000-000027970000}"/>
    <cellStyle name="Normal 8 3 2 2 3 3 5 2" xfId="31729" xr:uid="{00000000-0005-0000-0000-000028970000}"/>
    <cellStyle name="Normal 8 3 2 2 3 3 6" xfId="24288" xr:uid="{00000000-0005-0000-0000-000029970000}"/>
    <cellStyle name="Normal 8 3 2 2 3 4" xfId="2561" xr:uid="{00000000-0005-0000-0000-00002A970000}"/>
    <cellStyle name="Normal 8 3 2 2 3 4 2" xfId="6282" xr:uid="{00000000-0005-0000-0000-00002B970000}"/>
    <cellStyle name="Normal 8 3 2 2 3 4 2 2" xfId="21166" xr:uid="{00000000-0005-0000-0000-00002C970000}"/>
    <cellStyle name="Normal 8 3 2 2 3 4 2 2 2" xfId="43809" xr:uid="{00000000-0005-0000-0000-00002D970000}"/>
    <cellStyle name="Normal 8 3 2 2 3 4 2 3" xfId="13726" xr:uid="{00000000-0005-0000-0000-00002E970000}"/>
    <cellStyle name="Normal 8 3 2 2 3 4 2 3 2" xfId="36369" xr:uid="{00000000-0005-0000-0000-00002F970000}"/>
    <cellStyle name="Normal 8 3 2 2 3 4 2 4" xfId="28928" xr:uid="{00000000-0005-0000-0000-000030970000}"/>
    <cellStyle name="Normal 8 3 2 2 3 4 3" xfId="17448" xr:uid="{00000000-0005-0000-0000-000031970000}"/>
    <cellStyle name="Normal 8 3 2 2 3 4 3 2" xfId="40091" xr:uid="{00000000-0005-0000-0000-000032970000}"/>
    <cellStyle name="Normal 8 3 2 2 3 4 4" xfId="10008" xr:uid="{00000000-0005-0000-0000-000033970000}"/>
    <cellStyle name="Normal 8 3 2 2 3 4 4 2" xfId="32651" xr:uid="{00000000-0005-0000-0000-000034970000}"/>
    <cellStyle name="Normal 8 3 2 2 3 4 5" xfId="25210" xr:uid="{00000000-0005-0000-0000-000035970000}"/>
    <cellStyle name="Normal 8 3 2 2 3 5" xfId="4435" xr:uid="{00000000-0005-0000-0000-000036970000}"/>
    <cellStyle name="Normal 8 3 2 2 3 5 2" xfId="19319" xr:uid="{00000000-0005-0000-0000-000037970000}"/>
    <cellStyle name="Normal 8 3 2 2 3 5 2 2" xfId="41962" xr:uid="{00000000-0005-0000-0000-000038970000}"/>
    <cellStyle name="Normal 8 3 2 2 3 5 3" xfId="11879" xr:uid="{00000000-0005-0000-0000-000039970000}"/>
    <cellStyle name="Normal 8 3 2 2 3 5 3 2" xfId="34522" xr:uid="{00000000-0005-0000-0000-00003A970000}"/>
    <cellStyle name="Normal 8 3 2 2 3 5 4" xfId="27081" xr:uid="{00000000-0005-0000-0000-00003B970000}"/>
    <cellStyle name="Normal 8 3 2 2 3 6" xfId="15601" xr:uid="{00000000-0005-0000-0000-00003C970000}"/>
    <cellStyle name="Normal 8 3 2 2 3 6 2" xfId="38244" xr:uid="{00000000-0005-0000-0000-00003D970000}"/>
    <cellStyle name="Normal 8 3 2 2 3 7" xfId="8161" xr:uid="{00000000-0005-0000-0000-00003E970000}"/>
    <cellStyle name="Normal 8 3 2 2 3 7 2" xfId="30804" xr:uid="{00000000-0005-0000-0000-00003F970000}"/>
    <cellStyle name="Normal 8 3 2 2 3 8" xfId="23363" xr:uid="{00000000-0005-0000-0000-000040970000}"/>
    <cellStyle name="Normal 8 3 2 2 4" xfId="959" xr:uid="{00000000-0005-0000-0000-000041970000}"/>
    <cellStyle name="Normal 8 3 2 2 4 2" xfId="1887" xr:uid="{00000000-0005-0000-0000-000042970000}"/>
    <cellStyle name="Normal 8 3 2 2 4 2 2" xfId="3737" xr:uid="{00000000-0005-0000-0000-000043970000}"/>
    <cellStyle name="Normal 8 3 2 2 4 2 2 2" xfId="7458" xr:uid="{00000000-0005-0000-0000-000044970000}"/>
    <cellStyle name="Normal 8 3 2 2 4 2 2 2 2" xfId="22342" xr:uid="{00000000-0005-0000-0000-000045970000}"/>
    <cellStyle name="Normal 8 3 2 2 4 2 2 2 2 2" xfId="44985" xr:uid="{00000000-0005-0000-0000-000046970000}"/>
    <cellStyle name="Normal 8 3 2 2 4 2 2 2 3" xfId="14902" xr:uid="{00000000-0005-0000-0000-000047970000}"/>
    <cellStyle name="Normal 8 3 2 2 4 2 2 2 3 2" xfId="37545" xr:uid="{00000000-0005-0000-0000-000048970000}"/>
    <cellStyle name="Normal 8 3 2 2 4 2 2 2 4" xfId="30104" xr:uid="{00000000-0005-0000-0000-000049970000}"/>
    <cellStyle name="Normal 8 3 2 2 4 2 2 3" xfId="18624" xr:uid="{00000000-0005-0000-0000-00004A970000}"/>
    <cellStyle name="Normal 8 3 2 2 4 2 2 3 2" xfId="41267" xr:uid="{00000000-0005-0000-0000-00004B970000}"/>
    <cellStyle name="Normal 8 3 2 2 4 2 2 4" xfId="11184" xr:uid="{00000000-0005-0000-0000-00004C970000}"/>
    <cellStyle name="Normal 8 3 2 2 4 2 2 4 2" xfId="33827" xr:uid="{00000000-0005-0000-0000-00004D970000}"/>
    <cellStyle name="Normal 8 3 2 2 4 2 2 5" xfId="26386" xr:uid="{00000000-0005-0000-0000-00004E970000}"/>
    <cellStyle name="Normal 8 3 2 2 4 2 3" xfId="5611" xr:uid="{00000000-0005-0000-0000-00004F970000}"/>
    <cellStyle name="Normal 8 3 2 2 4 2 3 2" xfId="20495" xr:uid="{00000000-0005-0000-0000-000050970000}"/>
    <cellStyle name="Normal 8 3 2 2 4 2 3 2 2" xfId="43138" xr:uid="{00000000-0005-0000-0000-000051970000}"/>
    <cellStyle name="Normal 8 3 2 2 4 2 3 3" xfId="13055" xr:uid="{00000000-0005-0000-0000-000052970000}"/>
    <cellStyle name="Normal 8 3 2 2 4 2 3 3 2" xfId="35698" xr:uid="{00000000-0005-0000-0000-000053970000}"/>
    <cellStyle name="Normal 8 3 2 2 4 2 3 4" xfId="28257" xr:uid="{00000000-0005-0000-0000-000054970000}"/>
    <cellStyle name="Normal 8 3 2 2 4 2 4" xfId="16777" xr:uid="{00000000-0005-0000-0000-000055970000}"/>
    <cellStyle name="Normal 8 3 2 2 4 2 4 2" xfId="39420" xr:uid="{00000000-0005-0000-0000-000056970000}"/>
    <cellStyle name="Normal 8 3 2 2 4 2 5" xfId="9337" xr:uid="{00000000-0005-0000-0000-000057970000}"/>
    <cellStyle name="Normal 8 3 2 2 4 2 5 2" xfId="31980" xr:uid="{00000000-0005-0000-0000-000058970000}"/>
    <cellStyle name="Normal 8 3 2 2 4 2 6" xfId="24539" xr:uid="{00000000-0005-0000-0000-000059970000}"/>
    <cellStyle name="Normal 8 3 2 2 4 3" xfId="2812" xr:uid="{00000000-0005-0000-0000-00005A970000}"/>
    <cellStyle name="Normal 8 3 2 2 4 3 2" xfId="6533" xr:uid="{00000000-0005-0000-0000-00005B970000}"/>
    <cellStyle name="Normal 8 3 2 2 4 3 2 2" xfId="21417" xr:uid="{00000000-0005-0000-0000-00005C970000}"/>
    <cellStyle name="Normal 8 3 2 2 4 3 2 2 2" xfId="44060" xr:uid="{00000000-0005-0000-0000-00005D970000}"/>
    <cellStyle name="Normal 8 3 2 2 4 3 2 3" xfId="13977" xr:uid="{00000000-0005-0000-0000-00005E970000}"/>
    <cellStyle name="Normal 8 3 2 2 4 3 2 3 2" xfId="36620" xr:uid="{00000000-0005-0000-0000-00005F970000}"/>
    <cellStyle name="Normal 8 3 2 2 4 3 2 4" xfId="29179" xr:uid="{00000000-0005-0000-0000-000060970000}"/>
    <cellStyle name="Normal 8 3 2 2 4 3 3" xfId="17699" xr:uid="{00000000-0005-0000-0000-000061970000}"/>
    <cellStyle name="Normal 8 3 2 2 4 3 3 2" xfId="40342" xr:uid="{00000000-0005-0000-0000-000062970000}"/>
    <cellStyle name="Normal 8 3 2 2 4 3 4" xfId="10259" xr:uid="{00000000-0005-0000-0000-000063970000}"/>
    <cellStyle name="Normal 8 3 2 2 4 3 4 2" xfId="32902" xr:uid="{00000000-0005-0000-0000-000064970000}"/>
    <cellStyle name="Normal 8 3 2 2 4 3 5" xfId="25461" xr:uid="{00000000-0005-0000-0000-000065970000}"/>
    <cellStyle name="Normal 8 3 2 2 4 4" xfId="4686" xr:uid="{00000000-0005-0000-0000-000066970000}"/>
    <cellStyle name="Normal 8 3 2 2 4 4 2" xfId="19570" xr:uid="{00000000-0005-0000-0000-000067970000}"/>
    <cellStyle name="Normal 8 3 2 2 4 4 2 2" xfId="42213" xr:uid="{00000000-0005-0000-0000-000068970000}"/>
    <cellStyle name="Normal 8 3 2 2 4 4 3" xfId="12130" xr:uid="{00000000-0005-0000-0000-000069970000}"/>
    <cellStyle name="Normal 8 3 2 2 4 4 3 2" xfId="34773" xr:uid="{00000000-0005-0000-0000-00006A970000}"/>
    <cellStyle name="Normal 8 3 2 2 4 4 4" xfId="27332" xr:uid="{00000000-0005-0000-0000-00006B970000}"/>
    <cellStyle name="Normal 8 3 2 2 4 5" xfId="15852" xr:uid="{00000000-0005-0000-0000-00006C970000}"/>
    <cellStyle name="Normal 8 3 2 2 4 5 2" xfId="38495" xr:uid="{00000000-0005-0000-0000-00006D970000}"/>
    <cellStyle name="Normal 8 3 2 2 4 6" xfId="8412" xr:uid="{00000000-0005-0000-0000-00006E970000}"/>
    <cellStyle name="Normal 8 3 2 2 4 6 2" xfId="31055" xr:uid="{00000000-0005-0000-0000-00006F970000}"/>
    <cellStyle name="Normal 8 3 2 2 4 7" xfId="23614" xr:uid="{00000000-0005-0000-0000-000070970000}"/>
    <cellStyle name="Normal 8 3 2 2 5" xfId="1425" xr:uid="{00000000-0005-0000-0000-000071970000}"/>
    <cellStyle name="Normal 8 3 2 2 5 2" xfId="3275" xr:uid="{00000000-0005-0000-0000-000072970000}"/>
    <cellStyle name="Normal 8 3 2 2 5 2 2" xfId="6996" xr:uid="{00000000-0005-0000-0000-000073970000}"/>
    <cellStyle name="Normal 8 3 2 2 5 2 2 2" xfId="21880" xr:uid="{00000000-0005-0000-0000-000074970000}"/>
    <cellStyle name="Normal 8 3 2 2 5 2 2 2 2" xfId="44523" xr:uid="{00000000-0005-0000-0000-000075970000}"/>
    <cellStyle name="Normal 8 3 2 2 5 2 2 3" xfId="14440" xr:uid="{00000000-0005-0000-0000-000076970000}"/>
    <cellStyle name="Normal 8 3 2 2 5 2 2 3 2" xfId="37083" xr:uid="{00000000-0005-0000-0000-000077970000}"/>
    <cellStyle name="Normal 8 3 2 2 5 2 2 4" xfId="29642" xr:uid="{00000000-0005-0000-0000-000078970000}"/>
    <cellStyle name="Normal 8 3 2 2 5 2 3" xfId="18162" xr:uid="{00000000-0005-0000-0000-000079970000}"/>
    <cellStyle name="Normal 8 3 2 2 5 2 3 2" xfId="40805" xr:uid="{00000000-0005-0000-0000-00007A970000}"/>
    <cellStyle name="Normal 8 3 2 2 5 2 4" xfId="10722" xr:uid="{00000000-0005-0000-0000-00007B970000}"/>
    <cellStyle name="Normal 8 3 2 2 5 2 4 2" xfId="33365" xr:uid="{00000000-0005-0000-0000-00007C970000}"/>
    <cellStyle name="Normal 8 3 2 2 5 2 5" xfId="25924" xr:uid="{00000000-0005-0000-0000-00007D970000}"/>
    <cellStyle name="Normal 8 3 2 2 5 3" xfId="5149" xr:uid="{00000000-0005-0000-0000-00007E970000}"/>
    <cellStyle name="Normal 8 3 2 2 5 3 2" xfId="20033" xr:uid="{00000000-0005-0000-0000-00007F970000}"/>
    <cellStyle name="Normal 8 3 2 2 5 3 2 2" xfId="42676" xr:uid="{00000000-0005-0000-0000-000080970000}"/>
    <cellStyle name="Normal 8 3 2 2 5 3 3" xfId="12593" xr:uid="{00000000-0005-0000-0000-000081970000}"/>
    <cellStyle name="Normal 8 3 2 2 5 3 3 2" xfId="35236" xr:uid="{00000000-0005-0000-0000-000082970000}"/>
    <cellStyle name="Normal 8 3 2 2 5 3 4" xfId="27795" xr:uid="{00000000-0005-0000-0000-000083970000}"/>
    <cellStyle name="Normal 8 3 2 2 5 4" xfId="16315" xr:uid="{00000000-0005-0000-0000-000084970000}"/>
    <cellStyle name="Normal 8 3 2 2 5 4 2" xfId="38958" xr:uid="{00000000-0005-0000-0000-000085970000}"/>
    <cellStyle name="Normal 8 3 2 2 5 5" xfId="8875" xr:uid="{00000000-0005-0000-0000-000086970000}"/>
    <cellStyle name="Normal 8 3 2 2 5 5 2" xfId="31518" xr:uid="{00000000-0005-0000-0000-000087970000}"/>
    <cellStyle name="Normal 8 3 2 2 5 6" xfId="24077" xr:uid="{00000000-0005-0000-0000-000088970000}"/>
    <cellStyle name="Normal 8 3 2 2 6" xfId="2350" xr:uid="{00000000-0005-0000-0000-000089970000}"/>
    <cellStyle name="Normal 8 3 2 2 6 2" xfId="6071" xr:uid="{00000000-0005-0000-0000-00008A970000}"/>
    <cellStyle name="Normal 8 3 2 2 6 2 2" xfId="20955" xr:uid="{00000000-0005-0000-0000-00008B970000}"/>
    <cellStyle name="Normal 8 3 2 2 6 2 2 2" xfId="43598" xr:uid="{00000000-0005-0000-0000-00008C970000}"/>
    <cellStyle name="Normal 8 3 2 2 6 2 3" xfId="13515" xr:uid="{00000000-0005-0000-0000-00008D970000}"/>
    <cellStyle name="Normal 8 3 2 2 6 2 3 2" xfId="36158" xr:uid="{00000000-0005-0000-0000-00008E970000}"/>
    <cellStyle name="Normal 8 3 2 2 6 2 4" xfId="28717" xr:uid="{00000000-0005-0000-0000-00008F970000}"/>
    <cellStyle name="Normal 8 3 2 2 6 3" xfId="17237" xr:uid="{00000000-0005-0000-0000-000090970000}"/>
    <cellStyle name="Normal 8 3 2 2 6 3 2" xfId="39880" xr:uid="{00000000-0005-0000-0000-000091970000}"/>
    <cellStyle name="Normal 8 3 2 2 6 4" xfId="9797" xr:uid="{00000000-0005-0000-0000-000092970000}"/>
    <cellStyle name="Normal 8 3 2 2 6 4 2" xfId="32440" xr:uid="{00000000-0005-0000-0000-000093970000}"/>
    <cellStyle name="Normal 8 3 2 2 6 5" xfId="24999" xr:uid="{00000000-0005-0000-0000-000094970000}"/>
    <cellStyle name="Normal 8 3 2 2 7" xfId="4224" xr:uid="{00000000-0005-0000-0000-000095970000}"/>
    <cellStyle name="Normal 8 3 2 2 7 2" xfId="19108" xr:uid="{00000000-0005-0000-0000-000096970000}"/>
    <cellStyle name="Normal 8 3 2 2 7 2 2" xfId="41751" xr:uid="{00000000-0005-0000-0000-000097970000}"/>
    <cellStyle name="Normal 8 3 2 2 7 3" xfId="11668" xr:uid="{00000000-0005-0000-0000-000098970000}"/>
    <cellStyle name="Normal 8 3 2 2 7 3 2" xfId="34311" xr:uid="{00000000-0005-0000-0000-000099970000}"/>
    <cellStyle name="Normal 8 3 2 2 7 4" xfId="26870" xr:uid="{00000000-0005-0000-0000-00009A970000}"/>
    <cellStyle name="Normal 8 3 2 2 8" xfId="15390" xr:uid="{00000000-0005-0000-0000-00009B970000}"/>
    <cellStyle name="Normal 8 3 2 2 8 2" xfId="38033" xr:uid="{00000000-0005-0000-0000-00009C970000}"/>
    <cellStyle name="Normal 8 3 2 2 9" xfId="7950" xr:uid="{00000000-0005-0000-0000-00009D970000}"/>
    <cellStyle name="Normal 8 3 2 2 9 2" xfId="30593" xr:uid="{00000000-0005-0000-0000-00009E970000}"/>
    <cellStyle name="Normal 8 3 2 3" xfId="546" xr:uid="{00000000-0005-0000-0000-00009F970000}"/>
    <cellStyle name="Normal 8 3 2 3 2" xfId="758" xr:uid="{00000000-0005-0000-0000-0000A0970000}"/>
    <cellStyle name="Normal 8 3 2 3 2 2" xfId="1223" xr:uid="{00000000-0005-0000-0000-0000A1970000}"/>
    <cellStyle name="Normal 8 3 2 3 2 2 2" xfId="2151" xr:uid="{00000000-0005-0000-0000-0000A2970000}"/>
    <cellStyle name="Normal 8 3 2 3 2 2 2 2" xfId="4001" xr:uid="{00000000-0005-0000-0000-0000A3970000}"/>
    <cellStyle name="Normal 8 3 2 3 2 2 2 2 2" xfId="7722" xr:uid="{00000000-0005-0000-0000-0000A4970000}"/>
    <cellStyle name="Normal 8 3 2 3 2 2 2 2 2 2" xfId="22606" xr:uid="{00000000-0005-0000-0000-0000A5970000}"/>
    <cellStyle name="Normal 8 3 2 3 2 2 2 2 2 2 2" xfId="45249" xr:uid="{00000000-0005-0000-0000-0000A6970000}"/>
    <cellStyle name="Normal 8 3 2 3 2 2 2 2 2 3" xfId="15166" xr:uid="{00000000-0005-0000-0000-0000A7970000}"/>
    <cellStyle name="Normal 8 3 2 3 2 2 2 2 2 3 2" xfId="37809" xr:uid="{00000000-0005-0000-0000-0000A8970000}"/>
    <cellStyle name="Normal 8 3 2 3 2 2 2 2 2 4" xfId="30368" xr:uid="{00000000-0005-0000-0000-0000A9970000}"/>
    <cellStyle name="Normal 8 3 2 3 2 2 2 2 3" xfId="18888" xr:uid="{00000000-0005-0000-0000-0000AA970000}"/>
    <cellStyle name="Normal 8 3 2 3 2 2 2 2 3 2" xfId="41531" xr:uid="{00000000-0005-0000-0000-0000AB970000}"/>
    <cellStyle name="Normal 8 3 2 3 2 2 2 2 4" xfId="11448" xr:uid="{00000000-0005-0000-0000-0000AC970000}"/>
    <cellStyle name="Normal 8 3 2 3 2 2 2 2 4 2" xfId="34091" xr:uid="{00000000-0005-0000-0000-0000AD970000}"/>
    <cellStyle name="Normal 8 3 2 3 2 2 2 2 5" xfId="26650" xr:uid="{00000000-0005-0000-0000-0000AE970000}"/>
    <cellStyle name="Normal 8 3 2 3 2 2 2 3" xfId="5875" xr:uid="{00000000-0005-0000-0000-0000AF970000}"/>
    <cellStyle name="Normal 8 3 2 3 2 2 2 3 2" xfId="20759" xr:uid="{00000000-0005-0000-0000-0000B0970000}"/>
    <cellStyle name="Normal 8 3 2 3 2 2 2 3 2 2" xfId="43402" xr:uid="{00000000-0005-0000-0000-0000B1970000}"/>
    <cellStyle name="Normal 8 3 2 3 2 2 2 3 3" xfId="13319" xr:uid="{00000000-0005-0000-0000-0000B2970000}"/>
    <cellStyle name="Normal 8 3 2 3 2 2 2 3 3 2" xfId="35962" xr:uid="{00000000-0005-0000-0000-0000B3970000}"/>
    <cellStyle name="Normal 8 3 2 3 2 2 2 3 4" xfId="28521" xr:uid="{00000000-0005-0000-0000-0000B4970000}"/>
    <cellStyle name="Normal 8 3 2 3 2 2 2 4" xfId="17041" xr:uid="{00000000-0005-0000-0000-0000B5970000}"/>
    <cellStyle name="Normal 8 3 2 3 2 2 2 4 2" xfId="39684" xr:uid="{00000000-0005-0000-0000-0000B6970000}"/>
    <cellStyle name="Normal 8 3 2 3 2 2 2 5" xfId="9601" xr:uid="{00000000-0005-0000-0000-0000B7970000}"/>
    <cellStyle name="Normal 8 3 2 3 2 2 2 5 2" xfId="32244" xr:uid="{00000000-0005-0000-0000-0000B8970000}"/>
    <cellStyle name="Normal 8 3 2 3 2 2 2 6" xfId="24803" xr:uid="{00000000-0005-0000-0000-0000B9970000}"/>
    <cellStyle name="Normal 8 3 2 3 2 2 3" xfId="3076" xr:uid="{00000000-0005-0000-0000-0000BA970000}"/>
    <cellStyle name="Normal 8 3 2 3 2 2 3 2" xfId="6797" xr:uid="{00000000-0005-0000-0000-0000BB970000}"/>
    <cellStyle name="Normal 8 3 2 3 2 2 3 2 2" xfId="21681" xr:uid="{00000000-0005-0000-0000-0000BC970000}"/>
    <cellStyle name="Normal 8 3 2 3 2 2 3 2 2 2" xfId="44324" xr:uid="{00000000-0005-0000-0000-0000BD970000}"/>
    <cellStyle name="Normal 8 3 2 3 2 2 3 2 3" xfId="14241" xr:uid="{00000000-0005-0000-0000-0000BE970000}"/>
    <cellStyle name="Normal 8 3 2 3 2 2 3 2 3 2" xfId="36884" xr:uid="{00000000-0005-0000-0000-0000BF970000}"/>
    <cellStyle name="Normal 8 3 2 3 2 2 3 2 4" xfId="29443" xr:uid="{00000000-0005-0000-0000-0000C0970000}"/>
    <cellStyle name="Normal 8 3 2 3 2 2 3 3" xfId="17963" xr:uid="{00000000-0005-0000-0000-0000C1970000}"/>
    <cellStyle name="Normal 8 3 2 3 2 2 3 3 2" xfId="40606" xr:uid="{00000000-0005-0000-0000-0000C2970000}"/>
    <cellStyle name="Normal 8 3 2 3 2 2 3 4" xfId="10523" xr:uid="{00000000-0005-0000-0000-0000C3970000}"/>
    <cellStyle name="Normal 8 3 2 3 2 2 3 4 2" xfId="33166" xr:uid="{00000000-0005-0000-0000-0000C4970000}"/>
    <cellStyle name="Normal 8 3 2 3 2 2 3 5" xfId="25725" xr:uid="{00000000-0005-0000-0000-0000C5970000}"/>
    <cellStyle name="Normal 8 3 2 3 2 2 4" xfId="4950" xr:uid="{00000000-0005-0000-0000-0000C6970000}"/>
    <cellStyle name="Normal 8 3 2 3 2 2 4 2" xfId="19834" xr:uid="{00000000-0005-0000-0000-0000C7970000}"/>
    <cellStyle name="Normal 8 3 2 3 2 2 4 2 2" xfId="42477" xr:uid="{00000000-0005-0000-0000-0000C8970000}"/>
    <cellStyle name="Normal 8 3 2 3 2 2 4 3" xfId="12394" xr:uid="{00000000-0005-0000-0000-0000C9970000}"/>
    <cellStyle name="Normal 8 3 2 3 2 2 4 3 2" xfId="35037" xr:uid="{00000000-0005-0000-0000-0000CA970000}"/>
    <cellStyle name="Normal 8 3 2 3 2 2 4 4" xfId="27596" xr:uid="{00000000-0005-0000-0000-0000CB970000}"/>
    <cellStyle name="Normal 8 3 2 3 2 2 5" xfId="16116" xr:uid="{00000000-0005-0000-0000-0000CC970000}"/>
    <cellStyle name="Normal 8 3 2 3 2 2 5 2" xfId="38759" xr:uid="{00000000-0005-0000-0000-0000CD970000}"/>
    <cellStyle name="Normal 8 3 2 3 2 2 6" xfId="8676" xr:uid="{00000000-0005-0000-0000-0000CE970000}"/>
    <cellStyle name="Normal 8 3 2 3 2 2 6 2" xfId="31319" xr:uid="{00000000-0005-0000-0000-0000CF970000}"/>
    <cellStyle name="Normal 8 3 2 3 2 2 7" xfId="23878" xr:uid="{00000000-0005-0000-0000-0000D0970000}"/>
    <cellStyle name="Normal 8 3 2 3 2 3" xfId="1689" xr:uid="{00000000-0005-0000-0000-0000D1970000}"/>
    <cellStyle name="Normal 8 3 2 3 2 3 2" xfId="3539" xr:uid="{00000000-0005-0000-0000-0000D2970000}"/>
    <cellStyle name="Normal 8 3 2 3 2 3 2 2" xfId="7260" xr:uid="{00000000-0005-0000-0000-0000D3970000}"/>
    <cellStyle name="Normal 8 3 2 3 2 3 2 2 2" xfId="22144" xr:uid="{00000000-0005-0000-0000-0000D4970000}"/>
    <cellStyle name="Normal 8 3 2 3 2 3 2 2 2 2" xfId="44787" xr:uid="{00000000-0005-0000-0000-0000D5970000}"/>
    <cellStyle name="Normal 8 3 2 3 2 3 2 2 3" xfId="14704" xr:uid="{00000000-0005-0000-0000-0000D6970000}"/>
    <cellStyle name="Normal 8 3 2 3 2 3 2 2 3 2" xfId="37347" xr:uid="{00000000-0005-0000-0000-0000D7970000}"/>
    <cellStyle name="Normal 8 3 2 3 2 3 2 2 4" xfId="29906" xr:uid="{00000000-0005-0000-0000-0000D8970000}"/>
    <cellStyle name="Normal 8 3 2 3 2 3 2 3" xfId="18426" xr:uid="{00000000-0005-0000-0000-0000D9970000}"/>
    <cellStyle name="Normal 8 3 2 3 2 3 2 3 2" xfId="41069" xr:uid="{00000000-0005-0000-0000-0000DA970000}"/>
    <cellStyle name="Normal 8 3 2 3 2 3 2 4" xfId="10986" xr:uid="{00000000-0005-0000-0000-0000DB970000}"/>
    <cellStyle name="Normal 8 3 2 3 2 3 2 4 2" xfId="33629" xr:uid="{00000000-0005-0000-0000-0000DC970000}"/>
    <cellStyle name="Normal 8 3 2 3 2 3 2 5" xfId="26188" xr:uid="{00000000-0005-0000-0000-0000DD970000}"/>
    <cellStyle name="Normal 8 3 2 3 2 3 3" xfId="5413" xr:uid="{00000000-0005-0000-0000-0000DE970000}"/>
    <cellStyle name="Normal 8 3 2 3 2 3 3 2" xfId="20297" xr:uid="{00000000-0005-0000-0000-0000DF970000}"/>
    <cellStyle name="Normal 8 3 2 3 2 3 3 2 2" xfId="42940" xr:uid="{00000000-0005-0000-0000-0000E0970000}"/>
    <cellStyle name="Normal 8 3 2 3 2 3 3 3" xfId="12857" xr:uid="{00000000-0005-0000-0000-0000E1970000}"/>
    <cellStyle name="Normal 8 3 2 3 2 3 3 3 2" xfId="35500" xr:uid="{00000000-0005-0000-0000-0000E2970000}"/>
    <cellStyle name="Normal 8 3 2 3 2 3 3 4" xfId="28059" xr:uid="{00000000-0005-0000-0000-0000E3970000}"/>
    <cellStyle name="Normal 8 3 2 3 2 3 4" xfId="16579" xr:uid="{00000000-0005-0000-0000-0000E4970000}"/>
    <cellStyle name="Normal 8 3 2 3 2 3 4 2" xfId="39222" xr:uid="{00000000-0005-0000-0000-0000E5970000}"/>
    <cellStyle name="Normal 8 3 2 3 2 3 5" xfId="9139" xr:uid="{00000000-0005-0000-0000-0000E6970000}"/>
    <cellStyle name="Normal 8 3 2 3 2 3 5 2" xfId="31782" xr:uid="{00000000-0005-0000-0000-0000E7970000}"/>
    <cellStyle name="Normal 8 3 2 3 2 3 6" xfId="24341" xr:uid="{00000000-0005-0000-0000-0000E8970000}"/>
    <cellStyle name="Normal 8 3 2 3 2 4" xfId="2614" xr:uid="{00000000-0005-0000-0000-0000E9970000}"/>
    <cellStyle name="Normal 8 3 2 3 2 4 2" xfId="6335" xr:uid="{00000000-0005-0000-0000-0000EA970000}"/>
    <cellStyle name="Normal 8 3 2 3 2 4 2 2" xfId="21219" xr:uid="{00000000-0005-0000-0000-0000EB970000}"/>
    <cellStyle name="Normal 8 3 2 3 2 4 2 2 2" xfId="43862" xr:uid="{00000000-0005-0000-0000-0000EC970000}"/>
    <cellStyle name="Normal 8 3 2 3 2 4 2 3" xfId="13779" xr:uid="{00000000-0005-0000-0000-0000ED970000}"/>
    <cellStyle name="Normal 8 3 2 3 2 4 2 3 2" xfId="36422" xr:uid="{00000000-0005-0000-0000-0000EE970000}"/>
    <cellStyle name="Normal 8 3 2 3 2 4 2 4" xfId="28981" xr:uid="{00000000-0005-0000-0000-0000EF970000}"/>
    <cellStyle name="Normal 8 3 2 3 2 4 3" xfId="17501" xr:uid="{00000000-0005-0000-0000-0000F0970000}"/>
    <cellStyle name="Normal 8 3 2 3 2 4 3 2" xfId="40144" xr:uid="{00000000-0005-0000-0000-0000F1970000}"/>
    <cellStyle name="Normal 8 3 2 3 2 4 4" xfId="10061" xr:uid="{00000000-0005-0000-0000-0000F2970000}"/>
    <cellStyle name="Normal 8 3 2 3 2 4 4 2" xfId="32704" xr:uid="{00000000-0005-0000-0000-0000F3970000}"/>
    <cellStyle name="Normal 8 3 2 3 2 4 5" xfId="25263" xr:uid="{00000000-0005-0000-0000-0000F4970000}"/>
    <cellStyle name="Normal 8 3 2 3 2 5" xfId="4488" xr:uid="{00000000-0005-0000-0000-0000F5970000}"/>
    <cellStyle name="Normal 8 3 2 3 2 5 2" xfId="19372" xr:uid="{00000000-0005-0000-0000-0000F6970000}"/>
    <cellStyle name="Normal 8 3 2 3 2 5 2 2" xfId="42015" xr:uid="{00000000-0005-0000-0000-0000F7970000}"/>
    <cellStyle name="Normal 8 3 2 3 2 5 3" xfId="11932" xr:uid="{00000000-0005-0000-0000-0000F8970000}"/>
    <cellStyle name="Normal 8 3 2 3 2 5 3 2" xfId="34575" xr:uid="{00000000-0005-0000-0000-0000F9970000}"/>
    <cellStyle name="Normal 8 3 2 3 2 5 4" xfId="27134" xr:uid="{00000000-0005-0000-0000-0000FA970000}"/>
    <cellStyle name="Normal 8 3 2 3 2 6" xfId="15654" xr:uid="{00000000-0005-0000-0000-0000FB970000}"/>
    <cellStyle name="Normal 8 3 2 3 2 6 2" xfId="38297" xr:uid="{00000000-0005-0000-0000-0000FC970000}"/>
    <cellStyle name="Normal 8 3 2 3 2 7" xfId="8214" xr:uid="{00000000-0005-0000-0000-0000FD970000}"/>
    <cellStyle name="Normal 8 3 2 3 2 7 2" xfId="30857" xr:uid="{00000000-0005-0000-0000-0000FE970000}"/>
    <cellStyle name="Normal 8 3 2 3 2 8" xfId="23416" xr:uid="{00000000-0005-0000-0000-0000FF970000}"/>
    <cellStyle name="Normal 8 3 2 3 3" xfId="1012" xr:uid="{00000000-0005-0000-0000-000000980000}"/>
    <cellStyle name="Normal 8 3 2 3 3 2" xfId="1940" xr:uid="{00000000-0005-0000-0000-000001980000}"/>
    <cellStyle name="Normal 8 3 2 3 3 2 2" xfId="3790" xr:uid="{00000000-0005-0000-0000-000002980000}"/>
    <cellStyle name="Normal 8 3 2 3 3 2 2 2" xfId="7511" xr:uid="{00000000-0005-0000-0000-000003980000}"/>
    <cellStyle name="Normal 8 3 2 3 3 2 2 2 2" xfId="22395" xr:uid="{00000000-0005-0000-0000-000004980000}"/>
    <cellStyle name="Normal 8 3 2 3 3 2 2 2 2 2" xfId="45038" xr:uid="{00000000-0005-0000-0000-000005980000}"/>
    <cellStyle name="Normal 8 3 2 3 3 2 2 2 3" xfId="14955" xr:uid="{00000000-0005-0000-0000-000006980000}"/>
    <cellStyle name="Normal 8 3 2 3 3 2 2 2 3 2" xfId="37598" xr:uid="{00000000-0005-0000-0000-000007980000}"/>
    <cellStyle name="Normal 8 3 2 3 3 2 2 2 4" xfId="30157" xr:uid="{00000000-0005-0000-0000-000008980000}"/>
    <cellStyle name="Normal 8 3 2 3 3 2 2 3" xfId="18677" xr:uid="{00000000-0005-0000-0000-000009980000}"/>
    <cellStyle name="Normal 8 3 2 3 3 2 2 3 2" xfId="41320" xr:uid="{00000000-0005-0000-0000-00000A980000}"/>
    <cellStyle name="Normal 8 3 2 3 3 2 2 4" xfId="11237" xr:uid="{00000000-0005-0000-0000-00000B980000}"/>
    <cellStyle name="Normal 8 3 2 3 3 2 2 4 2" xfId="33880" xr:uid="{00000000-0005-0000-0000-00000C980000}"/>
    <cellStyle name="Normal 8 3 2 3 3 2 2 5" xfId="26439" xr:uid="{00000000-0005-0000-0000-00000D980000}"/>
    <cellStyle name="Normal 8 3 2 3 3 2 3" xfId="5664" xr:uid="{00000000-0005-0000-0000-00000E980000}"/>
    <cellStyle name="Normal 8 3 2 3 3 2 3 2" xfId="20548" xr:uid="{00000000-0005-0000-0000-00000F980000}"/>
    <cellStyle name="Normal 8 3 2 3 3 2 3 2 2" xfId="43191" xr:uid="{00000000-0005-0000-0000-000010980000}"/>
    <cellStyle name="Normal 8 3 2 3 3 2 3 3" xfId="13108" xr:uid="{00000000-0005-0000-0000-000011980000}"/>
    <cellStyle name="Normal 8 3 2 3 3 2 3 3 2" xfId="35751" xr:uid="{00000000-0005-0000-0000-000012980000}"/>
    <cellStyle name="Normal 8 3 2 3 3 2 3 4" xfId="28310" xr:uid="{00000000-0005-0000-0000-000013980000}"/>
    <cellStyle name="Normal 8 3 2 3 3 2 4" xfId="16830" xr:uid="{00000000-0005-0000-0000-000014980000}"/>
    <cellStyle name="Normal 8 3 2 3 3 2 4 2" xfId="39473" xr:uid="{00000000-0005-0000-0000-000015980000}"/>
    <cellStyle name="Normal 8 3 2 3 3 2 5" xfId="9390" xr:uid="{00000000-0005-0000-0000-000016980000}"/>
    <cellStyle name="Normal 8 3 2 3 3 2 5 2" xfId="32033" xr:uid="{00000000-0005-0000-0000-000017980000}"/>
    <cellStyle name="Normal 8 3 2 3 3 2 6" xfId="24592" xr:uid="{00000000-0005-0000-0000-000018980000}"/>
    <cellStyle name="Normal 8 3 2 3 3 3" xfId="2865" xr:uid="{00000000-0005-0000-0000-000019980000}"/>
    <cellStyle name="Normal 8 3 2 3 3 3 2" xfId="6586" xr:uid="{00000000-0005-0000-0000-00001A980000}"/>
    <cellStyle name="Normal 8 3 2 3 3 3 2 2" xfId="21470" xr:uid="{00000000-0005-0000-0000-00001B980000}"/>
    <cellStyle name="Normal 8 3 2 3 3 3 2 2 2" xfId="44113" xr:uid="{00000000-0005-0000-0000-00001C980000}"/>
    <cellStyle name="Normal 8 3 2 3 3 3 2 3" xfId="14030" xr:uid="{00000000-0005-0000-0000-00001D980000}"/>
    <cellStyle name="Normal 8 3 2 3 3 3 2 3 2" xfId="36673" xr:uid="{00000000-0005-0000-0000-00001E980000}"/>
    <cellStyle name="Normal 8 3 2 3 3 3 2 4" xfId="29232" xr:uid="{00000000-0005-0000-0000-00001F980000}"/>
    <cellStyle name="Normal 8 3 2 3 3 3 3" xfId="17752" xr:uid="{00000000-0005-0000-0000-000020980000}"/>
    <cellStyle name="Normal 8 3 2 3 3 3 3 2" xfId="40395" xr:uid="{00000000-0005-0000-0000-000021980000}"/>
    <cellStyle name="Normal 8 3 2 3 3 3 4" xfId="10312" xr:uid="{00000000-0005-0000-0000-000022980000}"/>
    <cellStyle name="Normal 8 3 2 3 3 3 4 2" xfId="32955" xr:uid="{00000000-0005-0000-0000-000023980000}"/>
    <cellStyle name="Normal 8 3 2 3 3 3 5" xfId="25514" xr:uid="{00000000-0005-0000-0000-000024980000}"/>
    <cellStyle name="Normal 8 3 2 3 3 4" xfId="4739" xr:uid="{00000000-0005-0000-0000-000025980000}"/>
    <cellStyle name="Normal 8 3 2 3 3 4 2" xfId="19623" xr:uid="{00000000-0005-0000-0000-000026980000}"/>
    <cellStyle name="Normal 8 3 2 3 3 4 2 2" xfId="42266" xr:uid="{00000000-0005-0000-0000-000027980000}"/>
    <cellStyle name="Normal 8 3 2 3 3 4 3" xfId="12183" xr:uid="{00000000-0005-0000-0000-000028980000}"/>
    <cellStyle name="Normal 8 3 2 3 3 4 3 2" xfId="34826" xr:uid="{00000000-0005-0000-0000-000029980000}"/>
    <cellStyle name="Normal 8 3 2 3 3 4 4" xfId="27385" xr:uid="{00000000-0005-0000-0000-00002A980000}"/>
    <cellStyle name="Normal 8 3 2 3 3 5" xfId="15905" xr:uid="{00000000-0005-0000-0000-00002B980000}"/>
    <cellStyle name="Normal 8 3 2 3 3 5 2" xfId="38548" xr:uid="{00000000-0005-0000-0000-00002C980000}"/>
    <cellStyle name="Normal 8 3 2 3 3 6" xfId="8465" xr:uid="{00000000-0005-0000-0000-00002D980000}"/>
    <cellStyle name="Normal 8 3 2 3 3 6 2" xfId="31108" xr:uid="{00000000-0005-0000-0000-00002E980000}"/>
    <cellStyle name="Normal 8 3 2 3 3 7" xfId="23667" xr:uid="{00000000-0005-0000-0000-00002F980000}"/>
    <cellStyle name="Normal 8 3 2 3 4" xfId="1478" xr:uid="{00000000-0005-0000-0000-000030980000}"/>
    <cellStyle name="Normal 8 3 2 3 4 2" xfId="3328" xr:uid="{00000000-0005-0000-0000-000031980000}"/>
    <cellStyle name="Normal 8 3 2 3 4 2 2" xfId="7049" xr:uid="{00000000-0005-0000-0000-000032980000}"/>
    <cellStyle name="Normal 8 3 2 3 4 2 2 2" xfId="21933" xr:uid="{00000000-0005-0000-0000-000033980000}"/>
    <cellStyle name="Normal 8 3 2 3 4 2 2 2 2" xfId="44576" xr:uid="{00000000-0005-0000-0000-000034980000}"/>
    <cellStyle name="Normal 8 3 2 3 4 2 2 3" xfId="14493" xr:uid="{00000000-0005-0000-0000-000035980000}"/>
    <cellStyle name="Normal 8 3 2 3 4 2 2 3 2" xfId="37136" xr:uid="{00000000-0005-0000-0000-000036980000}"/>
    <cellStyle name="Normal 8 3 2 3 4 2 2 4" xfId="29695" xr:uid="{00000000-0005-0000-0000-000037980000}"/>
    <cellStyle name="Normal 8 3 2 3 4 2 3" xfId="18215" xr:uid="{00000000-0005-0000-0000-000038980000}"/>
    <cellStyle name="Normal 8 3 2 3 4 2 3 2" xfId="40858" xr:uid="{00000000-0005-0000-0000-000039980000}"/>
    <cellStyle name="Normal 8 3 2 3 4 2 4" xfId="10775" xr:uid="{00000000-0005-0000-0000-00003A980000}"/>
    <cellStyle name="Normal 8 3 2 3 4 2 4 2" xfId="33418" xr:uid="{00000000-0005-0000-0000-00003B980000}"/>
    <cellStyle name="Normal 8 3 2 3 4 2 5" xfId="25977" xr:uid="{00000000-0005-0000-0000-00003C980000}"/>
    <cellStyle name="Normal 8 3 2 3 4 3" xfId="5202" xr:uid="{00000000-0005-0000-0000-00003D980000}"/>
    <cellStyle name="Normal 8 3 2 3 4 3 2" xfId="20086" xr:uid="{00000000-0005-0000-0000-00003E980000}"/>
    <cellStyle name="Normal 8 3 2 3 4 3 2 2" xfId="42729" xr:uid="{00000000-0005-0000-0000-00003F980000}"/>
    <cellStyle name="Normal 8 3 2 3 4 3 3" xfId="12646" xr:uid="{00000000-0005-0000-0000-000040980000}"/>
    <cellStyle name="Normal 8 3 2 3 4 3 3 2" xfId="35289" xr:uid="{00000000-0005-0000-0000-000041980000}"/>
    <cellStyle name="Normal 8 3 2 3 4 3 4" xfId="27848" xr:uid="{00000000-0005-0000-0000-000042980000}"/>
    <cellStyle name="Normal 8 3 2 3 4 4" xfId="16368" xr:uid="{00000000-0005-0000-0000-000043980000}"/>
    <cellStyle name="Normal 8 3 2 3 4 4 2" xfId="39011" xr:uid="{00000000-0005-0000-0000-000044980000}"/>
    <cellStyle name="Normal 8 3 2 3 4 5" xfId="8928" xr:uid="{00000000-0005-0000-0000-000045980000}"/>
    <cellStyle name="Normal 8 3 2 3 4 5 2" xfId="31571" xr:uid="{00000000-0005-0000-0000-000046980000}"/>
    <cellStyle name="Normal 8 3 2 3 4 6" xfId="24130" xr:uid="{00000000-0005-0000-0000-000047980000}"/>
    <cellStyle name="Normal 8 3 2 3 5" xfId="2403" xr:uid="{00000000-0005-0000-0000-000048980000}"/>
    <cellStyle name="Normal 8 3 2 3 5 2" xfId="6124" xr:uid="{00000000-0005-0000-0000-000049980000}"/>
    <cellStyle name="Normal 8 3 2 3 5 2 2" xfId="21008" xr:uid="{00000000-0005-0000-0000-00004A980000}"/>
    <cellStyle name="Normal 8 3 2 3 5 2 2 2" xfId="43651" xr:uid="{00000000-0005-0000-0000-00004B980000}"/>
    <cellStyle name="Normal 8 3 2 3 5 2 3" xfId="13568" xr:uid="{00000000-0005-0000-0000-00004C980000}"/>
    <cellStyle name="Normal 8 3 2 3 5 2 3 2" xfId="36211" xr:uid="{00000000-0005-0000-0000-00004D980000}"/>
    <cellStyle name="Normal 8 3 2 3 5 2 4" xfId="28770" xr:uid="{00000000-0005-0000-0000-00004E980000}"/>
    <cellStyle name="Normal 8 3 2 3 5 3" xfId="17290" xr:uid="{00000000-0005-0000-0000-00004F980000}"/>
    <cellStyle name="Normal 8 3 2 3 5 3 2" xfId="39933" xr:uid="{00000000-0005-0000-0000-000050980000}"/>
    <cellStyle name="Normal 8 3 2 3 5 4" xfId="9850" xr:uid="{00000000-0005-0000-0000-000051980000}"/>
    <cellStyle name="Normal 8 3 2 3 5 4 2" xfId="32493" xr:uid="{00000000-0005-0000-0000-000052980000}"/>
    <cellStyle name="Normal 8 3 2 3 5 5" xfId="25052" xr:uid="{00000000-0005-0000-0000-000053980000}"/>
    <cellStyle name="Normal 8 3 2 3 6" xfId="4277" xr:uid="{00000000-0005-0000-0000-000054980000}"/>
    <cellStyle name="Normal 8 3 2 3 6 2" xfId="19161" xr:uid="{00000000-0005-0000-0000-000055980000}"/>
    <cellStyle name="Normal 8 3 2 3 6 2 2" xfId="41804" xr:uid="{00000000-0005-0000-0000-000056980000}"/>
    <cellStyle name="Normal 8 3 2 3 6 3" xfId="11721" xr:uid="{00000000-0005-0000-0000-000057980000}"/>
    <cellStyle name="Normal 8 3 2 3 6 3 2" xfId="34364" xr:uid="{00000000-0005-0000-0000-000058980000}"/>
    <cellStyle name="Normal 8 3 2 3 6 4" xfId="26923" xr:uid="{00000000-0005-0000-0000-000059980000}"/>
    <cellStyle name="Normal 8 3 2 3 7" xfId="15443" xr:uid="{00000000-0005-0000-0000-00005A980000}"/>
    <cellStyle name="Normal 8 3 2 3 7 2" xfId="38086" xr:uid="{00000000-0005-0000-0000-00005B980000}"/>
    <cellStyle name="Normal 8 3 2 3 8" xfId="8003" xr:uid="{00000000-0005-0000-0000-00005C980000}"/>
    <cellStyle name="Normal 8 3 2 3 8 2" xfId="30646" xr:uid="{00000000-0005-0000-0000-00005D980000}"/>
    <cellStyle name="Normal 8 3 2 3 9" xfId="23206" xr:uid="{00000000-0005-0000-0000-00005E980000}"/>
    <cellStyle name="Normal 8 3 2 4" xfId="653" xr:uid="{00000000-0005-0000-0000-00005F980000}"/>
    <cellStyle name="Normal 8 3 2 4 2" xfId="1118" xr:uid="{00000000-0005-0000-0000-000060980000}"/>
    <cellStyle name="Normal 8 3 2 4 2 2" xfId="2046" xr:uid="{00000000-0005-0000-0000-000061980000}"/>
    <cellStyle name="Normal 8 3 2 4 2 2 2" xfId="3896" xr:uid="{00000000-0005-0000-0000-000062980000}"/>
    <cellStyle name="Normal 8 3 2 4 2 2 2 2" xfId="7617" xr:uid="{00000000-0005-0000-0000-000063980000}"/>
    <cellStyle name="Normal 8 3 2 4 2 2 2 2 2" xfId="22501" xr:uid="{00000000-0005-0000-0000-000064980000}"/>
    <cellStyle name="Normal 8 3 2 4 2 2 2 2 2 2" xfId="45144" xr:uid="{00000000-0005-0000-0000-000065980000}"/>
    <cellStyle name="Normal 8 3 2 4 2 2 2 2 3" xfId="15061" xr:uid="{00000000-0005-0000-0000-000066980000}"/>
    <cellStyle name="Normal 8 3 2 4 2 2 2 2 3 2" xfId="37704" xr:uid="{00000000-0005-0000-0000-000067980000}"/>
    <cellStyle name="Normal 8 3 2 4 2 2 2 2 4" xfId="30263" xr:uid="{00000000-0005-0000-0000-000068980000}"/>
    <cellStyle name="Normal 8 3 2 4 2 2 2 3" xfId="18783" xr:uid="{00000000-0005-0000-0000-000069980000}"/>
    <cellStyle name="Normal 8 3 2 4 2 2 2 3 2" xfId="41426" xr:uid="{00000000-0005-0000-0000-00006A980000}"/>
    <cellStyle name="Normal 8 3 2 4 2 2 2 4" xfId="11343" xr:uid="{00000000-0005-0000-0000-00006B980000}"/>
    <cellStyle name="Normal 8 3 2 4 2 2 2 4 2" xfId="33986" xr:uid="{00000000-0005-0000-0000-00006C980000}"/>
    <cellStyle name="Normal 8 3 2 4 2 2 2 5" xfId="26545" xr:uid="{00000000-0005-0000-0000-00006D980000}"/>
    <cellStyle name="Normal 8 3 2 4 2 2 3" xfId="5770" xr:uid="{00000000-0005-0000-0000-00006E980000}"/>
    <cellStyle name="Normal 8 3 2 4 2 2 3 2" xfId="20654" xr:uid="{00000000-0005-0000-0000-00006F980000}"/>
    <cellStyle name="Normal 8 3 2 4 2 2 3 2 2" xfId="43297" xr:uid="{00000000-0005-0000-0000-000070980000}"/>
    <cellStyle name="Normal 8 3 2 4 2 2 3 3" xfId="13214" xr:uid="{00000000-0005-0000-0000-000071980000}"/>
    <cellStyle name="Normal 8 3 2 4 2 2 3 3 2" xfId="35857" xr:uid="{00000000-0005-0000-0000-000072980000}"/>
    <cellStyle name="Normal 8 3 2 4 2 2 3 4" xfId="28416" xr:uid="{00000000-0005-0000-0000-000073980000}"/>
    <cellStyle name="Normal 8 3 2 4 2 2 4" xfId="16936" xr:uid="{00000000-0005-0000-0000-000074980000}"/>
    <cellStyle name="Normal 8 3 2 4 2 2 4 2" xfId="39579" xr:uid="{00000000-0005-0000-0000-000075980000}"/>
    <cellStyle name="Normal 8 3 2 4 2 2 5" xfId="9496" xr:uid="{00000000-0005-0000-0000-000076980000}"/>
    <cellStyle name="Normal 8 3 2 4 2 2 5 2" xfId="32139" xr:uid="{00000000-0005-0000-0000-000077980000}"/>
    <cellStyle name="Normal 8 3 2 4 2 2 6" xfId="24698" xr:uid="{00000000-0005-0000-0000-000078980000}"/>
    <cellStyle name="Normal 8 3 2 4 2 3" xfId="2971" xr:uid="{00000000-0005-0000-0000-000079980000}"/>
    <cellStyle name="Normal 8 3 2 4 2 3 2" xfId="6692" xr:uid="{00000000-0005-0000-0000-00007A980000}"/>
    <cellStyle name="Normal 8 3 2 4 2 3 2 2" xfId="21576" xr:uid="{00000000-0005-0000-0000-00007B980000}"/>
    <cellStyle name="Normal 8 3 2 4 2 3 2 2 2" xfId="44219" xr:uid="{00000000-0005-0000-0000-00007C980000}"/>
    <cellStyle name="Normal 8 3 2 4 2 3 2 3" xfId="14136" xr:uid="{00000000-0005-0000-0000-00007D980000}"/>
    <cellStyle name="Normal 8 3 2 4 2 3 2 3 2" xfId="36779" xr:uid="{00000000-0005-0000-0000-00007E980000}"/>
    <cellStyle name="Normal 8 3 2 4 2 3 2 4" xfId="29338" xr:uid="{00000000-0005-0000-0000-00007F980000}"/>
    <cellStyle name="Normal 8 3 2 4 2 3 3" xfId="17858" xr:uid="{00000000-0005-0000-0000-000080980000}"/>
    <cellStyle name="Normal 8 3 2 4 2 3 3 2" xfId="40501" xr:uid="{00000000-0005-0000-0000-000081980000}"/>
    <cellStyle name="Normal 8 3 2 4 2 3 4" xfId="10418" xr:uid="{00000000-0005-0000-0000-000082980000}"/>
    <cellStyle name="Normal 8 3 2 4 2 3 4 2" xfId="33061" xr:uid="{00000000-0005-0000-0000-000083980000}"/>
    <cellStyle name="Normal 8 3 2 4 2 3 5" xfId="25620" xr:uid="{00000000-0005-0000-0000-000084980000}"/>
    <cellStyle name="Normal 8 3 2 4 2 4" xfId="4845" xr:uid="{00000000-0005-0000-0000-000085980000}"/>
    <cellStyle name="Normal 8 3 2 4 2 4 2" xfId="19729" xr:uid="{00000000-0005-0000-0000-000086980000}"/>
    <cellStyle name="Normal 8 3 2 4 2 4 2 2" xfId="42372" xr:uid="{00000000-0005-0000-0000-000087980000}"/>
    <cellStyle name="Normal 8 3 2 4 2 4 3" xfId="12289" xr:uid="{00000000-0005-0000-0000-000088980000}"/>
    <cellStyle name="Normal 8 3 2 4 2 4 3 2" xfId="34932" xr:uid="{00000000-0005-0000-0000-000089980000}"/>
    <cellStyle name="Normal 8 3 2 4 2 4 4" xfId="27491" xr:uid="{00000000-0005-0000-0000-00008A980000}"/>
    <cellStyle name="Normal 8 3 2 4 2 5" xfId="16011" xr:uid="{00000000-0005-0000-0000-00008B980000}"/>
    <cellStyle name="Normal 8 3 2 4 2 5 2" xfId="38654" xr:uid="{00000000-0005-0000-0000-00008C980000}"/>
    <cellStyle name="Normal 8 3 2 4 2 6" xfId="8571" xr:uid="{00000000-0005-0000-0000-00008D980000}"/>
    <cellStyle name="Normal 8 3 2 4 2 6 2" xfId="31214" xr:uid="{00000000-0005-0000-0000-00008E980000}"/>
    <cellStyle name="Normal 8 3 2 4 2 7" xfId="23773" xr:uid="{00000000-0005-0000-0000-00008F980000}"/>
    <cellStyle name="Normal 8 3 2 4 3" xfId="1584" xr:uid="{00000000-0005-0000-0000-000090980000}"/>
    <cellStyle name="Normal 8 3 2 4 3 2" xfId="3434" xr:uid="{00000000-0005-0000-0000-000091980000}"/>
    <cellStyle name="Normal 8 3 2 4 3 2 2" xfId="7155" xr:uid="{00000000-0005-0000-0000-000092980000}"/>
    <cellStyle name="Normal 8 3 2 4 3 2 2 2" xfId="22039" xr:uid="{00000000-0005-0000-0000-000093980000}"/>
    <cellStyle name="Normal 8 3 2 4 3 2 2 2 2" xfId="44682" xr:uid="{00000000-0005-0000-0000-000094980000}"/>
    <cellStyle name="Normal 8 3 2 4 3 2 2 3" xfId="14599" xr:uid="{00000000-0005-0000-0000-000095980000}"/>
    <cellStyle name="Normal 8 3 2 4 3 2 2 3 2" xfId="37242" xr:uid="{00000000-0005-0000-0000-000096980000}"/>
    <cellStyle name="Normal 8 3 2 4 3 2 2 4" xfId="29801" xr:uid="{00000000-0005-0000-0000-000097980000}"/>
    <cellStyle name="Normal 8 3 2 4 3 2 3" xfId="18321" xr:uid="{00000000-0005-0000-0000-000098980000}"/>
    <cellStyle name="Normal 8 3 2 4 3 2 3 2" xfId="40964" xr:uid="{00000000-0005-0000-0000-000099980000}"/>
    <cellStyle name="Normal 8 3 2 4 3 2 4" xfId="10881" xr:uid="{00000000-0005-0000-0000-00009A980000}"/>
    <cellStyle name="Normal 8 3 2 4 3 2 4 2" xfId="33524" xr:uid="{00000000-0005-0000-0000-00009B980000}"/>
    <cellStyle name="Normal 8 3 2 4 3 2 5" xfId="26083" xr:uid="{00000000-0005-0000-0000-00009C980000}"/>
    <cellStyle name="Normal 8 3 2 4 3 3" xfId="5308" xr:uid="{00000000-0005-0000-0000-00009D980000}"/>
    <cellStyle name="Normal 8 3 2 4 3 3 2" xfId="20192" xr:uid="{00000000-0005-0000-0000-00009E980000}"/>
    <cellStyle name="Normal 8 3 2 4 3 3 2 2" xfId="42835" xr:uid="{00000000-0005-0000-0000-00009F980000}"/>
    <cellStyle name="Normal 8 3 2 4 3 3 3" xfId="12752" xr:uid="{00000000-0005-0000-0000-0000A0980000}"/>
    <cellStyle name="Normal 8 3 2 4 3 3 3 2" xfId="35395" xr:uid="{00000000-0005-0000-0000-0000A1980000}"/>
    <cellStyle name="Normal 8 3 2 4 3 3 4" xfId="27954" xr:uid="{00000000-0005-0000-0000-0000A2980000}"/>
    <cellStyle name="Normal 8 3 2 4 3 4" xfId="16474" xr:uid="{00000000-0005-0000-0000-0000A3980000}"/>
    <cellStyle name="Normal 8 3 2 4 3 4 2" xfId="39117" xr:uid="{00000000-0005-0000-0000-0000A4980000}"/>
    <cellStyle name="Normal 8 3 2 4 3 5" xfId="9034" xr:uid="{00000000-0005-0000-0000-0000A5980000}"/>
    <cellStyle name="Normal 8 3 2 4 3 5 2" xfId="31677" xr:uid="{00000000-0005-0000-0000-0000A6980000}"/>
    <cellStyle name="Normal 8 3 2 4 3 6" xfId="24236" xr:uid="{00000000-0005-0000-0000-0000A7980000}"/>
    <cellStyle name="Normal 8 3 2 4 4" xfId="2509" xr:uid="{00000000-0005-0000-0000-0000A8980000}"/>
    <cellStyle name="Normal 8 3 2 4 4 2" xfId="6230" xr:uid="{00000000-0005-0000-0000-0000A9980000}"/>
    <cellStyle name="Normal 8 3 2 4 4 2 2" xfId="21114" xr:uid="{00000000-0005-0000-0000-0000AA980000}"/>
    <cellStyle name="Normal 8 3 2 4 4 2 2 2" xfId="43757" xr:uid="{00000000-0005-0000-0000-0000AB980000}"/>
    <cellStyle name="Normal 8 3 2 4 4 2 3" xfId="13674" xr:uid="{00000000-0005-0000-0000-0000AC980000}"/>
    <cellStyle name="Normal 8 3 2 4 4 2 3 2" xfId="36317" xr:uid="{00000000-0005-0000-0000-0000AD980000}"/>
    <cellStyle name="Normal 8 3 2 4 4 2 4" xfId="28876" xr:uid="{00000000-0005-0000-0000-0000AE980000}"/>
    <cellStyle name="Normal 8 3 2 4 4 3" xfId="17396" xr:uid="{00000000-0005-0000-0000-0000AF980000}"/>
    <cellStyle name="Normal 8 3 2 4 4 3 2" xfId="40039" xr:uid="{00000000-0005-0000-0000-0000B0980000}"/>
    <cellStyle name="Normal 8 3 2 4 4 4" xfId="9956" xr:uid="{00000000-0005-0000-0000-0000B1980000}"/>
    <cellStyle name="Normal 8 3 2 4 4 4 2" xfId="32599" xr:uid="{00000000-0005-0000-0000-0000B2980000}"/>
    <cellStyle name="Normal 8 3 2 4 4 5" xfId="25158" xr:uid="{00000000-0005-0000-0000-0000B3980000}"/>
    <cellStyle name="Normal 8 3 2 4 5" xfId="4383" xr:uid="{00000000-0005-0000-0000-0000B4980000}"/>
    <cellStyle name="Normal 8 3 2 4 5 2" xfId="19267" xr:uid="{00000000-0005-0000-0000-0000B5980000}"/>
    <cellStyle name="Normal 8 3 2 4 5 2 2" xfId="41910" xr:uid="{00000000-0005-0000-0000-0000B6980000}"/>
    <cellStyle name="Normal 8 3 2 4 5 3" xfId="11827" xr:uid="{00000000-0005-0000-0000-0000B7980000}"/>
    <cellStyle name="Normal 8 3 2 4 5 3 2" xfId="34470" xr:uid="{00000000-0005-0000-0000-0000B8980000}"/>
    <cellStyle name="Normal 8 3 2 4 5 4" xfId="27029" xr:uid="{00000000-0005-0000-0000-0000B9980000}"/>
    <cellStyle name="Normal 8 3 2 4 6" xfId="15549" xr:uid="{00000000-0005-0000-0000-0000BA980000}"/>
    <cellStyle name="Normal 8 3 2 4 6 2" xfId="38192" xr:uid="{00000000-0005-0000-0000-0000BB980000}"/>
    <cellStyle name="Normal 8 3 2 4 7" xfId="8109" xr:uid="{00000000-0005-0000-0000-0000BC980000}"/>
    <cellStyle name="Normal 8 3 2 4 7 2" xfId="30752" xr:uid="{00000000-0005-0000-0000-0000BD980000}"/>
    <cellStyle name="Normal 8 3 2 4 8" xfId="23311" xr:uid="{00000000-0005-0000-0000-0000BE980000}"/>
    <cellStyle name="Normal 8 3 2 5" xfId="907" xr:uid="{00000000-0005-0000-0000-0000BF980000}"/>
    <cellStyle name="Normal 8 3 2 5 2" xfId="1835" xr:uid="{00000000-0005-0000-0000-0000C0980000}"/>
    <cellStyle name="Normal 8 3 2 5 2 2" xfId="3685" xr:uid="{00000000-0005-0000-0000-0000C1980000}"/>
    <cellStyle name="Normal 8 3 2 5 2 2 2" xfId="7406" xr:uid="{00000000-0005-0000-0000-0000C2980000}"/>
    <cellStyle name="Normal 8 3 2 5 2 2 2 2" xfId="22290" xr:uid="{00000000-0005-0000-0000-0000C3980000}"/>
    <cellStyle name="Normal 8 3 2 5 2 2 2 2 2" xfId="44933" xr:uid="{00000000-0005-0000-0000-0000C4980000}"/>
    <cellStyle name="Normal 8 3 2 5 2 2 2 3" xfId="14850" xr:uid="{00000000-0005-0000-0000-0000C5980000}"/>
    <cellStyle name="Normal 8 3 2 5 2 2 2 3 2" xfId="37493" xr:uid="{00000000-0005-0000-0000-0000C6980000}"/>
    <cellStyle name="Normal 8 3 2 5 2 2 2 4" xfId="30052" xr:uid="{00000000-0005-0000-0000-0000C7980000}"/>
    <cellStyle name="Normal 8 3 2 5 2 2 3" xfId="18572" xr:uid="{00000000-0005-0000-0000-0000C8980000}"/>
    <cellStyle name="Normal 8 3 2 5 2 2 3 2" xfId="41215" xr:uid="{00000000-0005-0000-0000-0000C9980000}"/>
    <cellStyle name="Normal 8 3 2 5 2 2 4" xfId="11132" xr:uid="{00000000-0005-0000-0000-0000CA980000}"/>
    <cellStyle name="Normal 8 3 2 5 2 2 4 2" xfId="33775" xr:uid="{00000000-0005-0000-0000-0000CB980000}"/>
    <cellStyle name="Normal 8 3 2 5 2 2 5" xfId="26334" xr:uid="{00000000-0005-0000-0000-0000CC980000}"/>
    <cellStyle name="Normal 8 3 2 5 2 3" xfId="5559" xr:uid="{00000000-0005-0000-0000-0000CD980000}"/>
    <cellStyle name="Normal 8 3 2 5 2 3 2" xfId="20443" xr:uid="{00000000-0005-0000-0000-0000CE980000}"/>
    <cellStyle name="Normal 8 3 2 5 2 3 2 2" xfId="43086" xr:uid="{00000000-0005-0000-0000-0000CF980000}"/>
    <cellStyle name="Normal 8 3 2 5 2 3 3" xfId="13003" xr:uid="{00000000-0005-0000-0000-0000D0980000}"/>
    <cellStyle name="Normal 8 3 2 5 2 3 3 2" xfId="35646" xr:uid="{00000000-0005-0000-0000-0000D1980000}"/>
    <cellStyle name="Normal 8 3 2 5 2 3 4" xfId="28205" xr:uid="{00000000-0005-0000-0000-0000D2980000}"/>
    <cellStyle name="Normal 8 3 2 5 2 4" xfId="16725" xr:uid="{00000000-0005-0000-0000-0000D3980000}"/>
    <cellStyle name="Normal 8 3 2 5 2 4 2" xfId="39368" xr:uid="{00000000-0005-0000-0000-0000D4980000}"/>
    <cellStyle name="Normal 8 3 2 5 2 5" xfId="9285" xr:uid="{00000000-0005-0000-0000-0000D5980000}"/>
    <cellStyle name="Normal 8 3 2 5 2 5 2" xfId="31928" xr:uid="{00000000-0005-0000-0000-0000D6980000}"/>
    <cellStyle name="Normal 8 3 2 5 2 6" xfId="24487" xr:uid="{00000000-0005-0000-0000-0000D7980000}"/>
    <cellStyle name="Normal 8 3 2 5 3" xfId="2760" xr:uid="{00000000-0005-0000-0000-0000D8980000}"/>
    <cellStyle name="Normal 8 3 2 5 3 2" xfId="6481" xr:uid="{00000000-0005-0000-0000-0000D9980000}"/>
    <cellStyle name="Normal 8 3 2 5 3 2 2" xfId="21365" xr:uid="{00000000-0005-0000-0000-0000DA980000}"/>
    <cellStyle name="Normal 8 3 2 5 3 2 2 2" xfId="44008" xr:uid="{00000000-0005-0000-0000-0000DB980000}"/>
    <cellStyle name="Normal 8 3 2 5 3 2 3" xfId="13925" xr:uid="{00000000-0005-0000-0000-0000DC980000}"/>
    <cellStyle name="Normal 8 3 2 5 3 2 3 2" xfId="36568" xr:uid="{00000000-0005-0000-0000-0000DD980000}"/>
    <cellStyle name="Normal 8 3 2 5 3 2 4" xfId="29127" xr:uid="{00000000-0005-0000-0000-0000DE980000}"/>
    <cellStyle name="Normal 8 3 2 5 3 3" xfId="17647" xr:uid="{00000000-0005-0000-0000-0000DF980000}"/>
    <cellStyle name="Normal 8 3 2 5 3 3 2" xfId="40290" xr:uid="{00000000-0005-0000-0000-0000E0980000}"/>
    <cellStyle name="Normal 8 3 2 5 3 4" xfId="10207" xr:uid="{00000000-0005-0000-0000-0000E1980000}"/>
    <cellStyle name="Normal 8 3 2 5 3 4 2" xfId="32850" xr:uid="{00000000-0005-0000-0000-0000E2980000}"/>
    <cellStyle name="Normal 8 3 2 5 3 5" xfId="25409" xr:uid="{00000000-0005-0000-0000-0000E3980000}"/>
    <cellStyle name="Normal 8 3 2 5 4" xfId="4634" xr:uid="{00000000-0005-0000-0000-0000E4980000}"/>
    <cellStyle name="Normal 8 3 2 5 4 2" xfId="19518" xr:uid="{00000000-0005-0000-0000-0000E5980000}"/>
    <cellStyle name="Normal 8 3 2 5 4 2 2" xfId="42161" xr:uid="{00000000-0005-0000-0000-0000E6980000}"/>
    <cellStyle name="Normal 8 3 2 5 4 3" xfId="12078" xr:uid="{00000000-0005-0000-0000-0000E7980000}"/>
    <cellStyle name="Normal 8 3 2 5 4 3 2" xfId="34721" xr:uid="{00000000-0005-0000-0000-0000E8980000}"/>
    <cellStyle name="Normal 8 3 2 5 4 4" xfId="27280" xr:uid="{00000000-0005-0000-0000-0000E9980000}"/>
    <cellStyle name="Normal 8 3 2 5 5" xfId="15800" xr:uid="{00000000-0005-0000-0000-0000EA980000}"/>
    <cellStyle name="Normal 8 3 2 5 5 2" xfId="38443" xr:uid="{00000000-0005-0000-0000-0000EB980000}"/>
    <cellStyle name="Normal 8 3 2 5 6" xfId="8360" xr:uid="{00000000-0005-0000-0000-0000EC980000}"/>
    <cellStyle name="Normal 8 3 2 5 6 2" xfId="31003" xr:uid="{00000000-0005-0000-0000-0000ED980000}"/>
    <cellStyle name="Normal 8 3 2 5 7" xfId="23562" xr:uid="{00000000-0005-0000-0000-0000EE980000}"/>
    <cellStyle name="Normal 8 3 2 6" xfId="1373" xr:uid="{00000000-0005-0000-0000-0000EF980000}"/>
    <cellStyle name="Normal 8 3 2 6 2" xfId="3223" xr:uid="{00000000-0005-0000-0000-0000F0980000}"/>
    <cellStyle name="Normal 8 3 2 6 2 2" xfId="6944" xr:uid="{00000000-0005-0000-0000-0000F1980000}"/>
    <cellStyle name="Normal 8 3 2 6 2 2 2" xfId="21828" xr:uid="{00000000-0005-0000-0000-0000F2980000}"/>
    <cellStyle name="Normal 8 3 2 6 2 2 2 2" xfId="44471" xr:uid="{00000000-0005-0000-0000-0000F3980000}"/>
    <cellStyle name="Normal 8 3 2 6 2 2 3" xfId="14388" xr:uid="{00000000-0005-0000-0000-0000F4980000}"/>
    <cellStyle name="Normal 8 3 2 6 2 2 3 2" xfId="37031" xr:uid="{00000000-0005-0000-0000-0000F5980000}"/>
    <cellStyle name="Normal 8 3 2 6 2 2 4" xfId="29590" xr:uid="{00000000-0005-0000-0000-0000F6980000}"/>
    <cellStyle name="Normal 8 3 2 6 2 3" xfId="18110" xr:uid="{00000000-0005-0000-0000-0000F7980000}"/>
    <cellStyle name="Normal 8 3 2 6 2 3 2" xfId="40753" xr:uid="{00000000-0005-0000-0000-0000F8980000}"/>
    <cellStyle name="Normal 8 3 2 6 2 4" xfId="10670" xr:uid="{00000000-0005-0000-0000-0000F9980000}"/>
    <cellStyle name="Normal 8 3 2 6 2 4 2" xfId="33313" xr:uid="{00000000-0005-0000-0000-0000FA980000}"/>
    <cellStyle name="Normal 8 3 2 6 2 5" xfId="25872" xr:uid="{00000000-0005-0000-0000-0000FB980000}"/>
    <cellStyle name="Normal 8 3 2 6 3" xfId="5097" xr:uid="{00000000-0005-0000-0000-0000FC980000}"/>
    <cellStyle name="Normal 8 3 2 6 3 2" xfId="19981" xr:uid="{00000000-0005-0000-0000-0000FD980000}"/>
    <cellStyle name="Normal 8 3 2 6 3 2 2" xfId="42624" xr:uid="{00000000-0005-0000-0000-0000FE980000}"/>
    <cellStyle name="Normal 8 3 2 6 3 3" xfId="12541" xr:uid="{00000000-0005-0000-0000-0000FF980000}"/>
    <cellStyle name="Normal 8 3 2 6 3 3 2" xfId="35184" xr:uid="{00000000-0005-0000-0000-000000990000}"/>
    <cellStyle name="Normal 8 3 2 6 3 4" xfId="27743" xr:uid="{00000000-0005-0000-0000-000001990000}"/>
    <cellStyle name="Normal 8 3 2 6 4" xfId="16263" xr:uid="{00000000-0005-0000-0000-000002990000}"/>
    <cellStyle name="Normal 8 3 2 6 4 2" xfId="38906" xr:uid="{00000000-0005-0000-0000-000003990000}"/>
    <cellStyle name="Normal 8 3 2 6 5" xfId="8823" xr:uid="{00000000-0005-0000-0000-000004990000}"/>
    <cellStyle name="Normal 8 3 2 6 5 2" xfId="31466" xr:uid="{00000000-0005-0000-0000-000005990000}"/>
    <cellStyle name="Normal 8 3 2 6 6" xfId="24025" xr:uid="{00000000-0005-0000-0000-000006990000}"/>
    <cellStyle name="Normal 8 3 2 7" xfId="2298" xr:uid="{00000000-0005-0000-0000-000007990000}"/>
    <cellStyle name="Normal 8 3 2 7 2" xfId="6019" xr:uid="{00000000-0005-0000-0000-000008990000}"/>
    <cellStyle name="Normal 8 3 2 7 2 2" xfId="20903" xr:uid="{00000000-0005-0000-0000-000009990000}"/>
    <cellStyle name="Normal 8 3 2 7 2 2 2" xfId="43546" xr:uid="{00000000-0005-0000-0000-00000A990000}"/>
    <cellStyle name="Normal 8 3 2 7 2 3" xfId="13463" xr:uid="{00000000-0005-0000-0000-00000B990000}"/>
    <cellStyle name="Normal 8 3 2 7 2 3 2" xfId="36106" xr:uid="{00000000-0005-0000-0000-00000C990000}"/>
    <cellStyle name="Normal 8 3 2 7 2 4" xfId="28665" xr:uid="{00000000-0005-0000-0000-00000D990000}"/>
    <cellStyle name="Normal 8 3 2 7 3" xfId="17185" xr:uid="{00000000-0005-0000-0000-00000E990000}"/>
    <cellStyle name="Normal 8 3 2 7 3 2" xfId="39828" xr:uid="{00000000-0005-0000-0000-00000F990000}"/>
    <cellStyle name="Normal 8 3 2 7 4" xfId="9745" xr:uid="{00000000-0005-0000-0000-000010990000}"/>
    <cellStyle name="Normal 8 3 2 7 4 2" xfId="32388" xr:uid="{00000000-0005-0000-0000-000011990000}"/>
    <cellStyle name="Normal 8 3 2 7 5" xfId="24947" xr:uid="{00000000-0005-0000-0000-000012990000}"/>
    <cellStyle name="Normal 8 3 2 8" xfId="4172" xr:uid="{00000000-0005-0000-0000-000013990000}"/>
    <cellStyle name="Normal 8 3 2 8 2" xfId="19056" xr:uid="{00000000-0005-0000-0000-000014990000}"/>
    <cellStyle name="Normal 8 3 2 8 2 2" xfId="41699" xr:uid="{00000000-0005-0000-0000-000015990000}"/>
    <cellStyle name="Normal 8 3 2 8 3" xfId="11616" xr:uid="{00000000-0005-0000-0000-000016990000}"/>
    <cellStyle name="Normal 8 3 2 8 3 2" xfId="34259" xr:uid="{00000000-0005-0000-0000-000017990000}"/>
    <cellStyle name="Normal 8 3 2 8 4" xfId="26818" xr:uid="{00000000-0005-0000-0000-000018990000}"/>
    <cellStyle name="Normal 8 3 2 9" xfId="15338" xr:uid="{00000000-0005-0000-0000-000019990000}"/>
    <cellStyle name="Normal 8 3 2 9 2" xfId="37981" xr:uid="{00000000-0005-0000-0000-00001A990000}"/>
    <cellStyle name="Normal 8 3 3" xfId="472" xr:uid="{00000000-0005-0000-0000-00001B990000}"/>
    <cellStyle name="Normal 8 3 3 10" xfId="23133" xr:uid="{00000000-0005-0000-0000-00001C990000}"/>
    <cellStyle name="Normal 8 3 3 2" xfId="578" xr:uid="{00000000-0005-0000-0000-00001D990000}"/>
    <cellStyle name="Normal 8 3 3 2 2" xfId="790" xr:uid="{00000000-0005-0000-0000-00001E990000}"/>
    <cellStyle name="Normal 8 3 3 2 2 2" xfId="1255" xr:uid="{00000000-0005-0000-0000-00001F990000}"/>
    <cellStyle name="Normal 8 3 3 2 2 2 2" xfId="2183" xr:uid="{00000000-0005-0000-0000-000020990000}"/>
    <cellStyle name="Normal 8 3 3 2 2 2 2 2" xfId="4033" xr:uid="{00000000-0005-0000-0000-000021990000}"/>
    <cellStyle name="Normal 8 3 3 2 2 2 2 2 2" xfId="7754" xr:uid="{00000000-0005-0000-0000-000022990000}"/>
    <cellStyle name="Normal 8 3 3 2 2 2 2 2 2 2" xfId="22638" xr:uid="{00000000-0005-0000-0000-000023990000}"/>
    <cellStyle name="Normal 8 3 3 2 2 2 2 2 2 2 2" xfId="45281" xr:uid="{00000000-0005-0000-0000-000024990000}"/>
    <cellStyle name="Normal 8 3 3 2 2 2 2 2 2 3" xfId="15198" xr:uid="{00000000-0005-0000-0000-000025990000}"/>
    <cellStyle name="Normal 8 3 3 2 2 2 2 2 2 3 2" xfId="37841" xr:uid="{00000000-0005-0000-0000-000026990000}"/>
    <cellStyle name="Normal 8 3 3 2 2 2 2 2 2 4" xfId="30400" xr:uid="{00000000-0005-0000-0000-000027990000}"/>
    <cellStyle name="Normal 8 3 3 2 2 2 2 2 3" xfId="18920" xr:uid="{00000000-0005-0000-0000-000028990000}"/>
    <cellStyle name="Normal 8 3 3 2 2 2 2 2 3 2" xfId="41563" xr:uid="{00000000-0005-0000-0000-000029990000}"/>
    <cellStyle name="Normal 8 3 3 2 2 2 2 2 4" xfId="11480" xr:uid="{00000000-0005-0000-0000-00002A990000}"/>
    <cellStyle name="Normal 8 3 3 2 2 2 2 2 4 2" xfId="34123" xr:uid="{00000000-0005-0000-0000-00002B990000}"/>
    <cellStyle name="Normal 8 3 3 2 2 2 2 2 5" xfId="26682" xr:uid="{00000000-0005-0000-0000-00002C990000}"/>
    <cellStyle name="Normal 8 3 3 2 2 2 2 3" xfId="5907" xr:uid="{00000000-0005-0000-0000-00002D990000}"/>
    <cellStyle name="Normal 8 3 3 2 2 2 2 3 2" xfId="20791" xr:uid="{00000000-0005-0000-0000-00002E990000}"/>
    <cellStyle name="Normal 8 3 3 2 2 2 2 3 2 2" xfId="43434" xr:uid="{00000000-0005-0000-0000-00002F990000}"/>
    <cellStyle name="Normal 8 3 3 2 2 2 2 3 3" xfId="13351" xr:uid="{00000000-0005-0000-0000-000030990000}"/>
    <cellStyle name="Normal 8 3 3 2 2 2 2 3 3 2" xfId="35994" xr:uid="{00000000-0005-0000-0000-000031990000}"/>
    <cellStyle name="Normal 8 3 3 2 2 2 2 3 4" xfId="28553" xr:uid="{00000000-0005-0000-0000-000032990000}"/>
    <cellStyle name="Normal 8 3 3 2 2 2 2 4" xfId="17073" xr:uid="{00000000-0005-0000-0000-000033990000}"/>
    <cellStyle name="Normal 8 3 3 2 2 2 2 4 2" xfId="39716" xr:uid="{00000000-0005-0000-0000-000034990000}"/>
    <cellStyle name="Normal 8 3 3 2 2 2 2 5" xfId="9633" xr:uid="{00000000-0005-0000-0000-000035990000}"/>
    <cellStyle name="Normal 8 3 3 2 2 2 2 5 2" xfId="32276" xr:uid="{00000000-0005-0000-0000-000036990000}"/>
    <cellStyle name="Normal 8 3 3 2 2 2 2 6" xfId="24835" xr:uid="{00000000-0005-0000-0000-000037990000}"/>
    <cellStyle name="Normal 8 3 3 2 2 2 3" xfId="3108" xr:uid="{00000000-0005-0000-0000-000038990000}"/>
    <cellStyle name="Normal 8 3 3 2 2 2 3 2" xfId="6829" xr:uid="{00000000-0005-0000-0000-000039990000}"/>
    <cellStyle name="Normal 8 3 3 2 2 2 3 2 2" xfId="21713" xr:uid="{00000000-0005-0000-0000-00003A990000}"/>
    <cellStyle name="Normal 8 3 3 2 2 2 3 2 2 2" xfId="44356" xr:uid="{00000000-0005-0000-0000-00003B990000}"/>
    <cellStyle name="Normal 8 3 3 2 2 2 3 2 3" xfId="14273" xr:uid="{00000000-0005-0000-0000-00003C990000}"/>
    <cellStyle name="Normal 8 3 3 2 2 2 3 2 3 2" xfId="36916" xr:uid="{00000000-0005-0000-0000-00003D990000}"/>
    <cellStyle name="Normal 8 3 3 2 2 2 3 2 4" xfId="29475" xr:uid="{00000000-0005-0000-0000-00003E990000}"/>
    <cellStyle name="Normal 8 3 3 2 2 2 3 3" xfId="17995" xr:uid="{00000000-0005-0000-0000-00003F990000}"/>
    <cellStyle name="Normal 8 3 3 2 2 2 3 3 2" xfId="40638" xr:uid="{00000000-0005-0000-0000-000040990000}"/>
    <cellStyle name="Normal 8 3 3 2 2 2 3 4" xfId="10555" xr:uid="{00000000-0005-0000-0000-000041990000}"/>
    <cellStyle name="Normal 8 3 3 2 2 2 3 4 2" xfId="33198" xr:uid="{00000000-0005-0000-0000-000042990000}"/>
    <cellStyle name="Normal 8 3 3 2 2 2 3 5" xfId="25757" xr:uid="{00000000-0005-0000-0000-000043990000}"/>
    <cellStyle name="Normal 8 3 3 2 2 2 4" xfId="4982" xr:uid="{00000000-0005-0000-0000-000044990000}"/>
    <cellStyle name="Normal 8 3 3 2 2 2 4 2" xfId="19866" xr:uid="{00000000-0005-0000-0000-000045990000}"/>
    <cellStyle name="Normal 8 3 3 2 2 2 4 2 2" xfId="42509" xr:uid="{00000000-0005-0000-0000-000046990000}"/>
    <cellStyle name="Normal 8 3 3 2 2 2 4 3" xfId="12426" xr:uid="{00000000-0005-0000-0000-000047990000}"/>
    <cellStyle name="Normal 8 3 3 2 2 2 4 3 2" xfId="35069" xr:uid="{00000000-0005-0000-0000-000048990000}"/>
    <cellStyle name="Normal 8 3 3 2 2 2 4 4" xfId="27628" xr:uid="{00000000-0005-0000-0000-000049990000}"/>
    <cellStyle name="Normal 8 3 3 2 2 2 5" xfId="16148" xr:uid="{00000000-0005-0000-0000-00004A990000}"/>
    <cellStyle name="Normal 8 3 3 2 2 2 5 2" xfId="38791" xr:uid="{00000000-0005-0000-0000-00004B990000}"/>
    <cellStyle name="Normal 8 3 3 2 2 2 6" xfId="8708" xr:uid="{00000000-0005-0000-0000-00004C990000}"/>
    <cellStyle name="Normal 8 3 3 2 2 2 6 2" xfId="31351" xr:uid="{00000000-0005-0000-0000-00004D990000}"/>
    <cellStyle name="Normal 8 3 3 2 2 2 7" xfId="23910" xr:uid="{00000000-0005-0000-0000-00004E990000}"/>
    <cellStyle name="Normal 8 3 3 2 2 3" xfId="1721" xr:uid="{00000000-0005-0000-0000-00004F990000}"/>
    <cellStyle name="Normal 8 3 3 2 2 3 2" xfId="3571" xr:uid="{00000000-0005-0000-0000-000050990000}"/>
    <cellStyle name="Normal 8 3 3 2 2 3 2 2" xfId="7292" xr:uid="{00000000-0005-0000-0000-000051990000}"/>
    <cellStyle name="Normal 8 3 3 2 2 3 2 2 2" xfId="22176" xr:uid="{00000000-0005-0000-0000-000052990000}"/>
    <cellStyle name="Normal 8 3 3 2 2 3 2 2 2 2" xfId="44819" xr:uid="{00000000-0005-0000-0000-000053990000}"/>
    <cellStyle name="Normal 8 3 3 2 2 3 2 2 3" xfId="14736" xr:uid="{00000000-0005-0000-0000-000054990000}"/>
    <cellStyle name="Normal 8 3 3 2 2 3 2 2 3 2" xfId="37379" xr:uid="{00000000-0005-0000-0000-000055990000}"/>
    <cellStyle name="Normal 8 3 3 2 2 3 2 2 4" xfId="29938" xr:uid="{00000000-0005-0000-0000-000056990000}"/>
    <cellStyle name="Normal 8 3 3 2 2 3 2 3" xfId="18458" xr:uid="{00000000-0005-0000-0000-000057990000}"/>
    <cellStyle name="Normal 8 3 3 2 2 3 2 3 2" xfId="41101" xr:uid="{00000000-0005-0000-0000-000058990000}"/>
    <cellStyle name="Normal 8 3 3 2 2 3 2 4" xfId="11018" xr:uid="{00000000-0005-0000-0000-000059990000}"/>
    <cellStyle name="Normal 8 3 3 2 2 3 2 4 2" xfId="33661" xr:uid="{00000000-0005-0000-0000-00005A990000}"/>
    <cellStyle name="Normal 8 3 3 2 2 3 2 5" xfId="26220" xr:uid="{00000000-0005-0000-0000-00005B990000}"/>
    <cellStyle name="Normal 8 3 3 2 2 3 3" xfId="5445" xr:uid="{00000000-0005-0000-0000-00005C990000}"/>
    <cellStyle name="Normal 8 3 3 2 2 3 3 2" xfId="20329" xr:uid="{00000000-0005-0000-0000-00005D990000}"/>
    <cellStyle name="Normal 8 3 3 2 2 3 3 2 2" xfId="42972" xr:uid="{00000000-0005-0000-0000-00005E990000}"/>
    <cellStyle name="Normal 8 3 3 2 2 3 3 3" xfId="12889" xr:uid="{00000000-0005-0000-0000-00005F990000}"/>
    <cellStyle name="Normal 8 3 3 2 2 3 3 3 2" xfId="35532" xr:uid="{00000000-0005-0000-0000-000060990000}"/>
    <cellStyle name="Normal 8 3 3 2 2 3 3 4" xfId="28091" xr:uid="{00000000-0005-0000-0000-000061990000}"/>
    <cellStyle name="Normal 8 3 3 2 2 3 4" xfId="16611" xr:uid="{00000000-0005-0000-0000-000062990000}"/>
    <cellStyle name="Normal 8 3 3 2 2 3 4 2" xfId="39254" xr:uid="{00000000-0005-0000-0000-000063990000}"/>
    <cellStyle name="Normal 8 3 3 2 2 3 5" xfId="9171" xr:uid="{00000000-0005-0000-0000-000064990000}"/>
    <cellStyle name="Normal 8 3 3 2 2 3 5 2" xfId="31814" xr:uid="{00000000-0005-0000-0000-000065990000}"/>
    <cellStyle name="Normal 8 3 3 2 2 3 6" xfId="24373" xr:uid="{00000000-0005-0000-0000-000066990000}"/>
    <cellStyle name="Normal 8 3 3 2 2 4" xfId="2646" xr:uid="{00000000-0005-0000-0000-000067990000}"/>
    <cellStyle name="Normal 8 3 3 2 2 4 2" xfId="6367" xr:uid="{00000000-0005-0000-0000-000068990000}"/>
    <cellStyle name="Normal 8 3 3 2 2 4 2 2" xfId="21251" xr:uid="{00000000-0005-0000-0000-000069990000}"/>
    <cellStyle name="Normal 8 3 3 2 2 4 2 2 2" xfId="43894" xr:uid="{00000000-0005-0000-0000-00006A990000}"/>
    <cellStyle name="Normal 8 3 3 2 2 4 2 3" xfId="13811" xr:uid="{00000000-0005-0000-0000-00006B990000}"/>
    <cellStyle name="Normal 8 3 3 2 2 4 2 3 2" xfId="36454" xr:uid="{00000000-0005-0000-0000-00006C990000}"/>
    <cellStyle name="Normal 8 3 3 2 2 4 2 4" xfId="29013" xr:uid="{00000000-0005-0000-0000-00006D990000}"/>
    <cellStyle name="Normal 8 3 3 2 2 4 3" xfId="17533" xr:uid="{00000000-0005-0000-0000-00006E990000}"/>
    <cellStyle name="Normal 8 3 3 2 2 4 3 2" xfId="40176" xr:uid="{00000000-0005-0000-0000-00006F990000}"/>
    <cellStyle name="Normal 8 3 3 2 2 4 4" xfId="10093" xr:uid="{00000000-0005-0000-0000-000070990000}"/>
    <cellStyle name="Normal 8 3 3 2 2 4 4 2" xfId="32736" xr:uid="{00000000-0005-0000-0000-000071990000}"/>
    <cellStyle name="Normal 8 3 3 2 2 4 5" xfId="25295" xr:uid="{00000000-0005-0000-0000-000072990000}"/>
    <cellStyle name="Normal 8 3 3 2 2 5" xfId="4520" xr:uid="{00000000-0005-0000-0000-000073990000}"/>
    <cellStyle name="Normal 8 3 3 2 2 5 2" xfId="19404" xr:uid="{00000000-0005-0000-0000-000074990000}"/>
    <cellStyle name="Normal 8 3 3 2 2 5 2 2" xfId="42047" xr:uid="{00000000-0005-0000-0000-000075990000}"/>
    <cellStyle name="Normal 8 3 3 2 2 5 3" xfId="11964" xr:uid="{00000000-0005-0000-0000-000076990000}"/>
    <cellStyle name="Normal 8 3 3 2 2 5 3 2" xfId="34607" xr:uid="{00000000-0005-0000-0000-000077990000}"/>
    <cellStyle name="Normal 8 3 3 2 2 5 4" xfId="27166" xr:uid="{00000000-0005-0000-0000-000078990000}"/>
    <cellStyle name="Normal 8 3 3 2 2 6" xfId="15686" xr:uid="{00000000-0005-0000-0000-000079990000}"/>
    <cellStyle name="Normal 8 3 3 2 2 6 2" xfId="38329" xr:uid="{00000000-0005-0000-0000-00007A990000}"/>
    <cellStyle name="Normal 8 3 3 2 2 7" xfId="8246" xr:uid="{00000000-0005-0000-0000-00007B990000}"/>
    <cellStyle name="Normal 8 3 3 2 2 7 2" xfId="30889" xr:uid="{00000000-0005-0000-0000-00007C990000}"/>
    <cellStyle name="Normal 8 3 3 2 2 8" xfId="23448" xr:uid="{00000000-0005-0000-0000-00007D990000}"/>
    <cellStyle name="Normal 8 3 3 2 3" xfId="1044" xr:uid="{00000000-0005-0000-0000-00007E990000}"/>
    <cellStyle name="Normal 8 3 3 2 3 2" xfId="1972" xr:uid="{00000000-0005-0000-0000-00007F990000}"/>
    <cellStyle name="Normal 8 3 3 2 3 2 2" xfId="3822" xr:uid="{00000000-0005-0000-0000-000080990000}"/>
    <cellStyle name="Normal 8 3 3 2 3 2 2 2" xfId="7543" xr:uid="{00000000-0005-0000-0000-000081990000}"/>
    <cellStyle name="Normal 8 3 3 2 3 2 2 2 2" xfId="22427" xr:uid="{00000000-0005-0000-0000-000082990000}"/>
    <cellStyle name="Normal 8 3 3 2 3 2 2 2 2 2" xfId="45070" xr:uid="{00000000-0005-0000-0000-000083990000}"/>
    <cellStyle name="Normal 8 3 3 2 3 2 2 2 3" xfId="14987" xr:uid="{00000000-0005-0000-0000-000084990000}"/>
    <cellStyle name="Normal 8 3 3 2 3 2 2 2 3 2" xfId="37630" xr:uid="{00000000-0005-0000-0000-000085990000}"/>
    <cellStyle name="Normal 8 3 3 2 3 2 2 2 4" xfId="30189" xr:uid="{00000000-0005-0000-0000-000086990000}"/>
    <cellStyle name="Normal 8 3 3 2 3 2 2 3" xfId="18709" xr:uid="{00000000-0005-0000-0000-000087990000}"/>
    <cellStyle name="Normal 8 3 3 2 3 2 2 3 2" xfId="41352" xr:uid="{00000000-0005-0000-0000-000088990000}"/>
    <cellStyle name="Normal 8 3 3 2 3 2 2 4" xfId="11269" xr:uid="{00000000-0005-0000-0000-000089990000}"/>
    <cellStyle name="Normal 8 3 3 2 3 2 2 4 2" xfId="33912" xr:uid="{00000000-0005-0000-0000-00008A990000}"/>
    <cellStyle name="Normal 8 3 3 2 3 2 2 5" xfId="26471" xr:uid="{00000000-0005-0000-0000-00008B990000}"/>
    <cellStyle name="Normal 8 3 3 2 3 2 3" xfId="5696" xr:uid="{00000000-0005-0000-0000-00008C990000}"/>
    <cellStyle name="Normal 8 3 3 2 3 2 3 2" xfId="20580" xr:uid="{00000000-0005-0000-0000-00008D990000}"/>
    <cellStyle name="Normal 8 3 3 2 3 2 3 2 2" xfId="43223" xr:uid="{00000000-0005-0000-0000-00008E990000}"/>
    <cellStyle name="Normal 8 3 3 2 3 2 3 3" xfId="13140" xr:uid="{00000000-0005-0000-0000-00008F990000}"/>
    <cellStyle name="Normal 8 3 3 2 3 2 3 3 2" xfId="35783" xr:uid="{00000000-0005-0000-0000-000090990000}"/>
    <cellStyle name="Normal 8 3 3 2 3 2 3 4" xfId="28342" xr:uid="{00000000-0005-0000-0000-000091990000}"/>
    <cellStyle name="Normal 8 3 3 2 3 2 4" xfId="16862" xr:uid="{00000000-0005-0000-0000-000092990000}"/>
    <cellStyle name="Normal 8 3 3 2 3 2 4 2" xfId="39505" xr:uid="{00000000-0005-0000-0000-000093990000}"/>
    <cellStyle name="Normal 8 3 3 2 3 2 5" xfId="9422" xr:uid="{00000000-0005-0000-0000-000094990000}"/>
    <cellStyle name="Normal 8 3 3 2 3 2 5 2" xfId="32065" xr:uid="{00000000-0005-0000-0000-000095990000}"/>
    <cellStyle name="Normal 8 3 3 2 3 2 6" xfId="24624" xr:uid="{00000000-0005-0000-0000-000096990000}"/>
    <cellStyle name="Normal 8 3 3 2 3 3" xfId="2897" xr:uid="{00000000-0005-0000-0000-000097990000}"/>
    <cellStyle name="Normal 8 3 3 2 3 3 2" xfId="6618" xr:uid="{00000000-0005-0000-0000-000098990000}"/>
    <cellStyle name="Normal 8 3 3 2 3 3 2 2" xfId="21502" xr:uid="{00000000-0005-0000-0000-000099990000}"/>
    <cellStyle name="Normal 8 3 3 2 3 3 2 2 2" xfId="44145" xr:uid="{00000000-0005-0000-0000-00009A990000}"/>
    <cellStyle name="Normal 8 3 3 2 3 3 2 3" xfId="14062" xr:uid="{00000000-0005-0000-0000-00009B990000}"/>
    <cellStyle name="Normal 8 3 3 2 3 3 2 3 2" xfId="36705" xr:uid="{00000000-0005-0000-0000-00009C990000}"/>
    <cellStyle name="Normal 8 3 3 2 3 3 2 4" xfId="29264" xr:uid="{00000000-0005-0000-0000-00009D990000}"/>
    <cellStyle name="Normal 8 3 3 2 3 3 3" xfId="17784" xr:uid="{00000000-0005-0000-0000-00009E990000}"/>
    <cellStyle name="Normal 8 3 3 2 3 3 3 2" xfId="40427" xr:uid="{00000000-0005-0000-0000-00009F990000}"/>
    <cellStyle name="Normal 8 3 3 2 3 3 4" xfId="10344" xr:uid="{00000000-0005-0000-0000-0000A0990000}"/>
    <cellStyle name="Normal 8 3 3 2 3 3 4 2" xfId="32987" xr:uid="{00000000-0005-0000-0000-0000A1990000}"/>
    <cellStyle name="Normal 8 3 3 2 3 3 5" xfId="25546" xr:uid="{00000000-0005-0000-0000-0000A2990000}"/>
    <cellStyle name="Normal 8 3 3 2 3 4" xfId="4771" xr:uid="{00000000-0005-0000-0000-0000A3990000}"/>
    <cellStyle name="Normal 8 3 3 2 3 4 2" xfId="19655" xr:uid="{00000000-0005-0000-0000-0000A4990000}"/>
    <cellStyle name="Normal 8 3 3 2 3 4 2 2" xfId="42298" xr:uid="{00000000-0005-0000-0000-0000A5990000}"/>
    <cellStyle name="Normal 8 3 3 2 3 4 3" xfId="12215" xr:uid="{00000000-0005-0000-0000-0000A6990000}"/>
    <cellStyle name="Normal 8 3 3 2 3 4 3 2" xfId="34858" xr:uid="{00000000-0005-0000-0000-0000A7990000}"/>
    <cellStyle name="Normal 8 3 3 2 3 4 4" xfId="27417" xr:uid="{00000000-0005-0000-0000-0000A8990000}"/>
    <cellStyle name="Normal 8 3 3 2 3 5" xfId="15937" xr:uid="{00000000-0005-0000-0000-0000A9990000}"/>
    <cellStyle name="Normal 8 3 3 2 3 5 2" xfId="38580" xr:uid="{00000000-0005-0000-0000-0000AA990000}"/>
    <cellStyle name="Normal 8 3 3 2 3 6" xfId="8497" xr:uid="{00000000-0005-0000-0000-0000AB990000}"/>
    <cellStyle name="Normal 8 3 3 2 3 6 2" xfId="31140" xr:uid="{00000000-0005-0000-0000-0000AC990000}"/>
    <cellStyle name="Normal 8 3 3 2 3 7" xfId="23699" xr:uid="{00000000-0005-0000-0000-0000AD990000}"/>
    <cellStyle name="Normal 8 3 3 2 4" xfId="1510" xr:uid="{00000000-0005-0000-0000-0000AE990000}"/>
    <cellStyle name="Normal 8 3 3 2 4 2" xfId="3360" xr:uid="{00000000-0005-0000-0000-0000AF990000}"/>
    <cellStyle name="Normal 8 3 3 2 4 2 2" xfId="7081" xr:uid="{00000000-0005-0000-0000-0000B0990000}"/>
    <cellStyle name="Normal 8 3 3 2 4 2 2 2" xfId="21965" xr:uid="{00000000-0005-0000-0000-0000B1990000}"/>
    <cellStyle name="Normal 8 3 3 2 4 2 2 2 2" xfId="44608" xr:uid="{00000000-0005-0000-0000-0000B2990000}"/>
    <cellStyle name="Normal 8 3 3 2 4 2 2 3" xfId="14525" xr:uid="{00000000-0005-0000-0000-0000B3990000}"/>
    <cellStyle name="Normal 8 3 3 2 4 2 2 3 2" xfId="37168" xr:uid="{00000000-0005-0000-0000-0000B4990000}"/>
    <cellStyle name="Normal 8 3 3 2 4 2 2 4" xfId="29727" xr:uid="{00000000-0005-0000-0000-0000B5990000}"/>
    <cellStyle name="Normal 8 3 3 2 4 2 3" xfId="18247" xr:uid="{00000000-0005-0000-0000-0000B6990000}"/>
    <cellStyle name="Normal 8 3 3 2 4 2 3 2" xfId="40890" xr:uid="{00000000-0005-0000-0000-0000B7990000}"/>
    <cellStyle name="Normal 8 3 3 2 4 2 4" xfId="10807" xr:uid="{00000000-0005-0000-0000-0000B8990000}"/>
    <cellStyle name="Normal 8 3 3 2 4 2 4 2" xfId="33450" xr:uid="{00000000-0005-0000-0000-0000B9990000}"/>
    <cellStyle name="Normal 8 3 3 2 4 2 5" xfId="26009" xr:uid="{00000000-0005-0000-0000-0000BA990000}"/>
    <cellStyle name="Normal 8 3 3 2 4 3" xfId="5234" xr:uid="{00000000-0005-0000-0000-0000BB990000}"/>
    <cellStyle name="Normal 8 3 3 2 4 3 2" xfId="20118" xr:uid="{00000000-0005-0000-0000-0000BC990000}"/>
    <cellStyle name="Normal 8 3 3 2 4 3 2 2" xfId="42761" xr:uid="{00000000-0005-0000-0000-0000BD990000}"/>
    <cellStyle name="Normal 8 3 3 2 4 3 3" xfId="12678" xr:uid="{00000000-0005-0000-0000-0000BE990000}"/>
    <cellStyle name="Normal 8 3 3 2 4 3 3 2" xfId="35321" xr:uid="{00000000-0005-0000-0000-0000BF990000}"/>
    <cellStyle name="Normal 8 3 3 2 4 3 4" xfId="27880" xr:uid="{00000000-0005-0000-0000-0000C0990000}"/>
    <cellStyle name="Normal 8 3 3 2 4 4" xfId="16400" xr:uid="{00000000-0005-0000-0000-0000C1990000}"/>
    <cellStyle name="Normal 8 3 3 2 4 4 2" xfId="39043" xr:uid="{00000000-0005-0000-0000-0000C2990000}"/>
    <cellStyle name="Normal 8 3 3 2 4 5" xfId="8960" xr:uid="{00000000-0005-0000-0000-0000C3990000}"/>
    <cellStyle name="Normal 8 3 3 2 4 5 2" xfId="31603" xr:uid="{00000000-0005-0000-0000-0000C4990000}"/>
    <cellStyle name="Normal 8 3 3 2 4 6" xfId="24162" xr:uid="{00000000-0005-0000-0000-0000C5990000}"/>
    <cellStyle name="Normal 8 3 3 2 5" xfId="2435" xr:uid="{00000000-0005-0000-0000-0000C6990000}"/>
    <cellStyle name="Normal 8 3 3 2 5 2" xfId="6156" xr:uid="{00000000-0005-0000-0000-0000C7990000}"/>
    <cellStyle name="Normal 8 3 3 2 5 2 2" xfId="21040" xr:uid="{00000000-0005-0000-0000-0000C8990000}"/>
    <cellStyle name="Normal 8 3 3 2 5 2 2 2" xfId="43683" xr:uid="{00000000-0005-0000-0000-0000C9990000}"/>
    <cellStyle name="Normal 8 3 3 2 5 2 3" xfId="13600" xr:uid="{00000000-0005-0000-0000-0000CA990000}"/>
    <cellStyle name="Normal 8 3 3 2 5 2 3 2" xfId="36243" xr:uid="{00000000-0005-0000-0000-0000CB990000}"/>
    <cellStyle name="Normal 8 3 3 2 5 2 4" xfId="28802" xr:uid="{00000000-0005-0000-0000-0000CC990000}"/>
    <cellStyle name="Normal 8 3 3 2 5 3" xfId="17322" xr:uid="{00000000-0005-0000-0000-0000CD990000}"/>
    <cellStyle name="Normal 8 3 3 2 5 3 2" xfId="39965" xr:uid="{00000000-0005-0000-0000-0000CE990000}"/>
    <cellStyle name="Normal 8 3 3 2 5 4" xfId="9882" xr:uid="{00000000-0005-0000-0000-0000CF990000}"/>
    <cellStyle name="Normal 8 3 3 2 5 4 2" xfId="32525" xr:uid="{00000000-0005-0000-0000-0000D0990000}"/>
    <cellStyle name="Normal 8 3 3 2 5 5" xfId="25084" xr:uid="{00000000-0005-0000-0000-0000D1990000}"/>
    <cellStyle name="Normal 8 3 3 2 6" xfId="4309" xr:uid="{00000000-0005-0000-0000-0000D2990000}"/>
    <cellStyle name="Normal 8 3 3 2 6 2" xfId="19193" xr:uid="{00000000-0005-0000-0000-0000D3990000}"/>
    <cellStyle name="Normal 8 3 3 2 6 2 2" xfId="41836" xr:uid="{00000000-0005-0000-0000-0000D4990000}"/>
    <cellStyle name="Normal 8 3 3 2 6 3" xfId="11753" xr:uid="{00000000-0005-0000-0000-0000D5990000}"/>
    <cellStyle name="Normal 8 3 3 2 6 3 2" xfId="34396" xr:uid="{00000000-0005-0000-0000-0000D6990000}"/>
    <cellStyle name="Normal 8 3 3 2 6 4" xfId="26955" xr:uid="{00000000-0005-0000-0000-0000D7990000}"/>
    <cellStyle name="Normal 8 3 3 2 7" xfId="15475" xr:uid="{00000000-0005-0000-0000-0000D8990000}"/>
    <cellStyle name="Normal 8 3 3 2 7 2" xfId="38118" xr:uid="{00000000-0005-0000-0000-0000D9990000}"/>
    <cellStyle name="Normal 8 3 3 2 8" xfId="8035" xr:uid="{00000000-0005-0000-0000-0000DA990000}"/>
    <cellStyle name="Normal 8 3 3 2 8 2" xfId="30678" xr:uid="{00000000-0005-0000-0000-0000DB990000}"/>
    <cellStyle name="Normal 8 3 3 2 9" xfId="23238" xr:uid="{00000000-0005-0000-0000-0000DC990000}"/>
    <cellStyle name="Normal 8 3 3 3" xfId="685" xr:uid="{00000000-0005-0000-0000-0000DD990000}"/>
    <cellStyle name="Normal 8 3 3 3 2" xfId="1150" xr:uid="{00000000-0005-0000-0000-0000DE990000}"/>
    <cellStyle name="Normal 8 3 3 3 2 2" xfId="2078" xr:uid="{00000000-0005-0000-0000-0000DF990000}"/>
    <cellStyle name="Normal 8 3 3 3 2 2 2" xfId="3928" xr:uid="{00000000-0005-0000-0000-0000E0990000}"/>
    <cellStyle name="Normal 8 3 3 3 2 2 2 2" xfId="7649" xr:uid="{00000000-0005-0000-0000-0000E1990000}"/>
    <cellStyle name="Normal 8 3 3 3 2 2 2 2 2" xfId="22533" xr:uid="{00000000-0005-0000-0000-0000E2990000}"/>
    <cellStyle name="Normal 8 3 3 3 2 2 2 2 2 2" xfId="45176" xr:uid="{00000000-0005-0000-0000-0000E3990000}"/>
    <cellStyle name="Normal 8 3 3 3 2 2 2 2 3" xfId="15093" xr:uid="{00000000-0005-0000-0000-0000E4990000}"/>
    <cellStyle name="Normal 8 3 3 3 2 2 2 2 3 2" xfId="37736" xr:uid="{00000000-0005-0000-0000-0000E5990000}"/>
    <cellStyle name="Normal 8 3 3 3 2 2 2 2 4" xfId="30295" xr:uid="{00000000-0005-0000-0000-0000E6990000}"/>
    <cellStyle name="Normal 8 3 3 3 2 2 2 3" xfId="18815" xr:uid="{00000000-0005-0000-0000-0000E7990000}"/>
    <cellStyle name="Normal 8 3 3 3 2 2 2 3 2" xfId="41458" xr:uid="{00000000-0005-0000-0000-0000E8990000}"/>
    <cellStyle name="Normal 8 3 3 3 2 2 2 4" xfId="11375" xr:uid="{00000000-0005-0000-0000-0000E9990000}"/>
    <cellStyle name="Normal 8 3 3 3 2 2 2 4 2" xfId="34018" xr:uid="{00000000-0005-0000-0000-0000EA990000}"/>
    <cellStyle name="Normal 8 3 3 3 2 2 2 5" xfId="26577" xr:uid="{00000000-0005-0000-0000-0000EB990000}"/>
    <cellStyle name="Normal 8 3 3 3 2 2 3" xfId="5802" xr:uid="{00000000-0005-0000-0000-0000EC990000}"/>
    <cellStyle name="Normal 8 3 3 3 2 2 3 2" xfId="20686" xr:uid="{00000000-0005-0000-0000-0000ED990000}"/>
    <cellStyle name="Normal 8 3 3 3 2 2 3 2 2" xfId="43329" xr:uid="{00000000-0005-0000-0000-0000EE990000}"/>
    <cellStyle name="Normal 8 3 3 3 2 2 3 3" xfId="13246" xr:uid="{00000000-0005-0000-0000-0000EF990000}"/>
    <cellStyle name="Normal 8 3 3 3 2 2 3 3 2" xfId="35889" xr:uid="{00000000-0005-0000-0000-0000F0990000}"/>
    <cellStyle name="Normal 8 3 3 3 2 2 3 4" xfId="28448" xr:uid="{00000000-0005-0000-0000-0000F1990000}"/>
    <cellStyle name="Normal 8 3 3 3 2 2 4" xfId="16968" xr:uid="{00000000-0005-0000-0000-0000F2990000}"/>
    <cellStyle name="Normal 8 3 3 3 2 2 4 2" xfId="39611" xr:uid="{00000000-0005-0000-0000-0000F3990000}"/>
    <cellStyle name="Normal 8 3 3 3 2 2 5" xfId="9528" xr:uid="{00000000-0005-0000-0000-0000F4990000}"/>
    <cellStyle name="Normal 8 3 3 3 2 2 5 2" xfId="32171" xr:uid="{00000000-0005-0000-0000-0000F5990000}"/>
    <cellStyle name="Normal 8 3 3 3 2 2 6" xfId="24730" xr:uid="{00000000-0005-0000-0000-0000F6990000}"/>
    <cellStyle name="Normal 8 3 3 3 2 3" xfId="3003" xr:uid="{00000000-0005-0000-0000-0000F7990000}"/>
    <cellStyle name="Normal 8 3 3 3 2 3 2" xfId="6724" xr:uid="{00000000-0005-0000-0000-0000F8990000}"/>
    <cellStyle name="Normal 8 3 3 3 2 3 2 2" xfId="21608" xr:uid="{00000000-0005-0000-0000-0000F9990000}"/>
    <cellStyle name="Normal 8 3 3 3 2 3 2 2 2" xfId="44251" xr:uid="{00000000-0005-0000-0000-0000FA990000}"/>
    <cellStyle name="Normal 8 3 3 3 2 3 2 3" xfId="14168" xr:uid="{00000000-0005-0000-0000-0000FB990000}"/>
    <cellStyle name="Normal 8 3 3 3 2 3 2 3 2" xfId="36811" xr:uid="{00000000-0005-0000-0000-0000FC990000}"/>
    <cellStyle name="Normal 8 3 3 3 2 3 2 4" xfId="29370" xr:uid="{00000000-0005-0000-0000-0000FD990000}"/>
    <cellStyle name="Normal 8 3 3 3 2 3 3" xfId="17890" xr:uid="{00000000-0005-0000-0000-0000FE990000}"/>
    <cellStyle name="Normal 8 3 3 3 2 3 3 2" xfId="40533" xr:uid="{00000000-0005-0000-0000-0000FF990000}"/>
    <cellStyle name="Normal 8 3 3 3 2 3 4" xfId="10450" xr:uid="{00000000-0005-0000-0000-0000009A0000}"/>
    <cellStyle name="Normal 8 3 3 3 2 3 4 2" xfId="33093" xr:uid="{00000000-0005-0000-0000-0000019A0000}"/>
    <cellStyle name="Normal 8 3 3 3 2 3 5" xfId="25652" xr:uid="{00000000-0005-0000-0000-0000029A0000}"/>
    <cellStyle name="Normal 8 3 3 3 2 4" xfId="4877" xr:uid="{00000000-0005-0000-0000-0000039A0000}"/>
    <cellStyle name="Normal 8 3 3 3 2 4 2" xfId="19761" xr:uid="{00000000-0005-0000-0000-0000049A0000}"/>
    <cellStyle name="Normal 8 3 3 3 2 4 2 2" xfId="42404" xr:uid="{00000000-0005-0000-0000-0000059A0000}"/>
    <cellStyle name="Normal 8 3 3 3 2 4 3" xfId="12321" xr:uid="{00000000-0005-0000-0000-0000069A0000}"/>
    <cellStyle name="Normal 8 3 3 3 2 4 3 2" xfId="34964" xr:uid="{00000000-0005-0000-0000-0000079A0000}"/>
    <cellStyle name="Normal 8 3 3 3 2 4 4" xfId="27523" xr:uid="{00000000-0005-0000-0000-0000089A0000}"/>
    <cellStyle name="Normal 8 3 3 3 2 5" xfId="16043" xr:uid="{00000000-0005-0000-0000-0000099A0000}"/>
    <cellStyle name="Normal 8 3 3 3 2 5 2" xfId="38686" xr:uid="{00000000-0005-0000-0000-00000A9A0000}"/>
    <cellStyle name="Normal 8 3 3 3 2 6" xfId="8603" xr:uid="{00000000-0005-0000-0000-00000B9A0000}"/>
    <cellStyle name="Normal 8 3 3 3 2 6 2" xfId="31246" xr:uid="{00000000-0005-0000-0000-00000C9A0000}"/>
    <cellStyle name="Normal 8 3 3 3 2 7" xfId="23805" xr:uid="{00000000-0005-0000-0000-00000D9A0000}"/>
    <cellStyle name="Normal 8 3 3 3 3" xfId="1616" xr:uid="{00000000-0005-0000-0000-00000E9A0000}"/>
    <cellStyle name="Normal 8 3 3 3 3 2" xfId="3466" xr:uid="{00000000-0005-0000-0000-00000F9A0000}"/>
    <cellStyle name="Normal 8 3 3 3 3 2 2" xfId="7187" xr:uid="{00000000-0005-0000-0000-0000109A0000}"/>
    <cellStyle name="Normal 8 3 3 3 3 2 2 2" xfId="22071" xr:uid="{00000000-0005-0000-0000-0000119A0000}"/>
    <cellStyle name="Normal 8 3 3 3 3 2 2 2 2" xfId="44714" xr:uid="{00000000-0005-0000-0000-0000129A0000}"/>
    <cellStyle name="Normal 8 3 3 3 3 2 2 3" xfId="14631" xr:uid="{00000000-0005-0000-0000-0000139A0000}"/>
    <cellStyle name="Normal 8 3 3 3 3 2 2 3 2" xfId="37274" xr:uid="{00000000-0005-0000-0000-0000149A0000}"/>
    <cellStyle name="Normal 8 3 3 3 3 2 2 4" xfId="29833" xr:uid="{00000000-0005-0000-0000-0000159A0000}"/>
    <cellStyle name="Normal 8 3 3 3 3 2 3" xfId="18353" xr:uid="{00000000-0005-0000-0000-0000169A0000}"/>
    <cellStyle name="Normal 8 3 3 3 3 2 3 2" xfId="40996" xr:uid="{00000000-0005-0000-0000-0000179A0000}"/>
    <cellStyle name="Normal 8 3 3 3 3 2 4" xfId="10913" xr:uid="{00000000-0005-0000-0000-0000189A0000}"/>
    <cellStyle name="Normal 8 3 3 3 3 2 4 2" xfId="33556" xr:uid="{00000000-0005-0000-0000-0000199A0000}"/>
    <cellStyle name="Normal 8 3 3 3 3 2 5" xfId="26115" xr:uid="{00000000-0005-0000-0000-00001A9A0000}"/>
    <cellStyle name="Normal 8 3 3 3 3 3" xfId="5340" xr:uid="{00000000-0005-0000-0000-00001B9A0000}"/>
    <cellStyle name="Normal 8 3 3 3 3 3 2" xfId="20224" xr:uid="{00000000-0005-0000-0000-00001C9A0000}"/>
    <cellStyle name="Normal 8 3 3 3 3 3 2 2" xfId="42867" xr:uid="{00000000-0005-0000-0000-00001D9A0000}"/>
    <cellStyle name="Normal 8 3 3 3 3 3 3" xfId="12784" xr:uid="{00000000-0005-0000-0000-00001E9A0000}"/>
    <cellStyle name="Normal 8 3 3 3 3 3 3 2" xfId="35427" xr:uid="{00000000-0005-0000-0000-00001F9A0000}"/>
    <cellStyle name="Normal 8 3 3 3 3 3 4" xfId="27986" xr:uid="{00000000-0005-0000-0000-0000209A0000}"/>
    <cellStyle name="Normal 8 3 3 3 3 4" xfId="16506" xr:uid="{00000000-0005-0000-0000-0000219A0000}"/>
    <cellStyle name="Normal 8 3 3 3 3 4 2" xfId="39149" xr:uid="{00000000-0005-0000-0000-0000229A0000}"/>
    <cellStyle name="Normal 8 3 3 3 3 5" xfId="9066" xr:uid="{00000000-0005-0000-0000-0000239A0000}"/>
    <cellStyle name="Normal 8 3 3 3 3 5 2" xfId="31709" xr:uid="{00000000-0005-0000-0000-0000249A0000}"/>
    <cellStyle name="Normal 8 3 3 3 3 6" xfId="24268" xr:uid="{00000000-0005-0000-0000-0000259A0000}"/>
    <cellStyle name="Normal 8 3 3 3 4" xfId="2541" xr:uid="{00000000-0005-0000-0000-0000269A0000}"/>
    <cellStyle name="Normal 8 3 3 3 4 2" xfId="6262" xr:uid="{00000000-0005-0000-0000-0000279A0000}"/>
    <cellStyle name="Normal 8 3 3 3 4 2 2" xfId="21146" xr:uid="{00000000-0005-0000-0000-0000289A0000}"/>
    <cellStyle name="Normal 8 3 3 3 4 2 2 2" xfId="43789" xr:uid="{00000000-0005-0000-0000-0000299A0000}"/>
    <cellStyle name="Normal 8 3 3 3 4 2 3" xfId="13706" xr:uid="{00000000-0005-0000-0000-00002A9A0000}"/>
    <cellStyle name="Normal 8 3 3 3 4 2 3 2" xfId="36349" xr:uid="{00000000-0005-0000-0000-00002B9A0000}"/>
    <cellStyle name="Normal 8 3 3 3 4 2 4" xfId="28908" xr:uid="{00000000-0005-0000-0000-00002C9A0000}"/>
    <cellStyle name="Normal 8 3 3 3 4 3" xfId="17428" xr:uid="{00000000-0005-0000-0000-00002D9A0000}"/>
    <cellStyle name="Normal 8 3 3 3 4 3 2" xfId="40071" xr:uid="{00000000-0005-0000-0000-00002E9A0000}"/>
    <cellStyle name="Normal 8 3 3 3 4 4" xfId="9988" xr:uid="{00000000-0005-0000-0000-00002F9A0000}"/>
    <cellStyle name="Normal 8 3 3 3 4 4 2" xfId="32631" xr:uid="{00000000-0005-0000-0000-0000309A0000}"/>
    <cellStyle name="Normal 8 3 3 3 4 5" xfId="25190" xr:uid="{00000000-0005-0000-0000-0000319A0000}"/>
    <cellStyle name="Normal 8 3 3 3 5" xfId="4415" xr:uid="{00000000-0005-0000-0000-0000329A0000}"/>
    <cellStyle name="Normal 8 3 3 3 5 2" xfId="19299" xr:uid="{00000000-0005-0000-0000-0000339A0000}"/>
    <cellStyle name="Normal 8 3 3 3 5 2 2" xfId="41942" xr:uid="{00000000-0005-0000-0000-0000349A0000}"/>
    <cellStyle name="Normal 8 3 3 3 5 3" xfId="11859" xr:uid="{00000000-0005-0000-0000-0000359A0000}"/>
    <cellStyle name="Normal 8 3 3 3 5 3 2" xfId="34502" xr:uid="{00000000-0005-0000-0000-0000369A0000}"/>
    <cellStyle name="Normal 8 3 3 3 5 4" xfId="27061" xr:uid="{00000000-0005-0000-0000-0000379A0000}"/>
    <cellStyle name="Normal 8 3 3 3 6" xfId="15581" xr:uid="{00000000-0005-0000-0000-0000389A0000}"/>
    <cellStyle name="Normal 8 3 3 3 6 2" xfId="38224" xr:uid="{00000000-0005-0000-0000-0000399A0000}"/>
    <cellStyle name="Normal 8 3 3 3 7" xfId="8141" xr:uid="{00000000-0005-0000-0000-00003A9A0000}"/>
    <cellStyle name="Normal 8 3 3 3 7 2" xfId="30784" xr:uid="{00000000-0005-0000-0000-00003B9A0000}"/>
    <cellStyle name="Normal 8 3 3 3 8" xfId="23343" xr:uid="{00000000-0005-0000-0000-00003C9A0000}"/>
    <cellStyle name="Normal 8 3 3 4" xfId="939" xr:uid="{00000000-0005-0000-0000-00003D9A0000}"/>
    <cellStyle name="Normal 8 3 3 4 2" xfId="1867" xr:uid="{00000000-0005-0000-0000-00003E9A0000}"/>
    <cellStyle name="Normal 8 3 3 4 2 2" xfId="3717" xr:uid="{00000000-0005-0000-0000-00003F9A0000}"/>
    <cellStyle name="Normal 8 3 3 4 2 2 2" xfId="7438" xr:uid="{00000000-0005-0000-0000-0000409A0000}"/>
    <cellStyle name="Normal 8 3 3 4 2 2 2 2" xfId="22322" xr:uid="{00000000-0005-0000-0000-0000419A0000}"/>
    <cellStyle name="Normal 8 3 3 4 2 2 2 2 2" xfId="44965" xr:uid="{00000000-0005-0000-0000-0000429A0000}"/>
    <cellStyle name="Normal 8 3 3 4 2 2 2 3" xfId="14882" xr:uid="{00000000-0005-0000-0000-0000439A0000}"/>
    <cellStyle name="Normal 8 3 3 4 2 2 2 3 2" xfId="37525" xr:uid="{00000000-0005-0000-0000-0000449A0000}"/>
    <cellStyle name="Normal 8 3 3 4 2 2 2 4" xfId="30084" xr:uid="{00000000-0005-0000-0000-0000459A0000}"/>
    <cellStyle name="Normal 8 3 3 4 2 2 3" xfId="18604" xr:uid="{00000000-0005-0000-0000-0000469A0000}"/>
    <cellStyle name="Normal 8 3 3 4 2 2 3 2" xfId="41247" xr:uid="{00000000-0005-0000-0000-0000479A0000}"/>
    <cellStyle name="Normal 8 3 3 4 2 2 4" xfId="11164" xr:uid="{00000000-0005-0000-0000-0000489A0000}"/>
    <cellStyle name="Normal 8 3 3 4 2 2 4 2" xfId="33807" xr:uid="{00000000-0005-0000-0000-0000499A0000}"/>
    <cellStyle name="Normal 8 3 3 4 2 2 5" xfId="26366" xr:uid="{00000000-0005-0000-0000-00004A9A0000}"/>
    <cellStyle name="Normal 8 3 3 4 2 3" xfId="5591" xr:uid="{00000000-0005-0000-0000-00004B9A0000}"/>
    <cellStyle name="Normal 8 3 3 4 2 3 2" xfId="20475" xr:uid="{00000000-0005-0000-0000-00004C9A0000}"/>
    <cellStyle name="Normal 8 3 3 4 2 3 2 2" xfId="43118" xr:uid="{00000000-0005-0000-0000-00004D9A0000}"/>
    <cellStyle name="Normal 8 3 3 4 2 3 3" xfId="13035" xr:uid="{00000000-0005-0000-0000-00004E9A0000}"/>
    <cellStyle name="Normal 8 3 3 4 2 3 3 2" xfId="35678" xr:uid="{00000000-0005-0000-0000-00004F9A0000}"/>
    <cellStyle name="Normal 8 3 3 4 2 3 4" xfId="28237" xr:uid="{00000000-0005-0000-0000-0000509A0000}"/>
    <cellStyle name="Normal 8 3 3 4 2 4" xfId="16757" xr:uid="{00000000-0005-0000-0000-0000519A0000}"/>
    <cellStyle name="Normal 8 3 3 4 2 4 2" xfId="39400" xr:uid="{00000000-0005-0000-0000-0000529A0000}"/>
    <cellStyle name="Normal 8 3 3 4 2 5" xfId="9317" xr:uid="{00000000-0005-0000-0000-0000539A0000}"/>
    <cellStyle name="Normal 8 3 3 4 2 5 2" xfId="31960" xr:uid="{00000000-0005-0000-0000-0000549A0000}"/>
    <cellStyle name="Normal 8 3 3 4 2 6" xfId="24519" xr:uid="{00000000-0005-0000-0000-0000559A0000}"/>
    <cellStyle name="Normal 8 3 3 4 3" xfId="2792" xr:uid="{00000000-0005-0000-0000-0000569A0000}"/>
    <cellStyle name="Normal 8 3 3 4 3 2" xfId="6513" xr:uid="{00000000-0005-0000-0000-0000579A0000}"/>
    <cellStyle name="Normal 8 3 3 4 3 2 2" xfId="21397" xr:uid="{00000000-0005-0000-0000-0000589A0000}"/>
    <cellStyle name="Normal 8 3 3 4 3 2 2 2" xfId="44040" xr:uid="{00000000-0005-0000-0000-0000599A0000}"/>
    <cellStyle name="Normal 8 3 3 4 3 2 3" xfId="13957" xr:uid="{00000000-0005-0000-0000-00005A9A0000}"/>
    <cellStyle name="Normal 8 3 3 4 3 2 3 2" xfId="36600" xr:uid="{00000000-0005-0000-0000-00005B9A0000}"/>
    <cellStyle name="Normal 8 3 3 4 3 2 4" xfId="29159" xr:uid="{00000000-0005-0000-0000-00005C9A0000}"/>
    <cellStyle name="Normal 8 3 3 4 3 3" xfId="17679" xr:uid="{00000000-0005-0000-0000-00005D9A0000}"/>
    <cellStyle name="Normal 8 3 3 4 3 3 2" xfId="40322" xr:uid="{00000000-0005-0000-0000-00005E9A0000}"/>
    <cellStyle name="Normal 8 3 3 4 3 4" xfId="10239" xr:uid="{00000000-0005-0000-0000-00005F9A0000}"/>
    <cellStyle name="Normal 8 3 3 4 3 4 2" xfId="32882" xr:uid="{00000000-0005-0000-0000-0000609A0000}"/>
    <cellStyle name="Normal 8 3 3 4 3 5" xfId="25441" xr:uid="{00000000-0005-0000-0000-0000619A0000}"/>
    <cellStyle name="Normal 8 3 3 4 4" xfId="4666" xr:uid="{00000000-0005-0000-0000-0000629A0000}"/>
    <cellStyle name="Normal 8 3 3 4 4 2" xfId="19550" xr:uid="{00000000-0005-0000-0000-0000639A0000}"/>
    <cellStyle name="Normal 8 3 3 4 4 2 2" xfId="42193" xr:uid="{00000000-0005-0000-0000-0000649A0000}"/>
    <cellStyle name="Normal 8 3 3 4 4 3" xfId="12110" xr:uid="{00000000-0005-0000-0000-0000659A0000}"/>
    <cellStyle name="Normal 8 3 3 4 4 3 2" xfId="34753" xr:uid="{00000000-0005-0000-0000-0000669A0000}"/>
    <cellStyle name="Normal 8 3 3 4 4 4" xfId="27312" xr:uid="{00000000-0005-0000-0000-0000679A0000}"/>
    <cellStyle name="Normal 8 3 3 4 5" xfId="15832" xr:uid="{00000000-0005-0000-0000-0000689A0000}"/>
    <cellStyle name="Normal 8 3 3 4 5 2" xfId="38475" xr:uid="{00000000-0005-0000-0000-0000699A0000}"/>
    <cellStyle name="Normal 8 3 3 4 6" xfId="8392" xr:uid="{00000000-0005-0000-0000-00006A9A0000}"/>
    <cellStyle name="Normal 8 3 3 4 6 2" xfId="31035" xr:uid="{00000000-0005-0000-0000-00006B9A0000}"/>
    <cellStyle name="Normal 8 3 3 4 7" xfId="23594" xr:uid="{00000000-0005-0000-0000-00006C9A0000}"/>
    <cellStyle name="Normal 8 3 3 5" xfId="1405" xr:uid="{00000000-0005-0000-0000-00006D9A0000}"/>
    <cellStyle name="Normal 8 3 3 5 2" xfId="3255" xr:uid="{00000000-0005-0000-0000-00006E9A0000}"/>
    <cellStyle name="Normal 8 3 3 5 2 2" xfId="6976" xr:uid="{00000000-0005-0000-0000-00006F9A0000}"/>
    <cellStyle name="Normal 8 3 3 5 2 2 2" xfId="21860" xr:uid="{00000000-0005-0000-0000-0000709A0000}"/>
    <cellStyle name="Normal 8 3 3 5 2 2 2 2" xfId="44503" xr:uid="{00000000-0005-0000-0000-0000719A0000}"/>
    <cellStyle name="Normal 8 3 3 5 2 2 3" xfId="14420" xr:uid="{00000000-0005-0000-0000-0000729A0000}"/>
    <cellStyle name="Normal 8 3 3 5 2 2 3 2" xfId="37063" xr:uid="{00000000-0005-0000-0000-0000739A0000}"/>
    <cellStyle name="Normal 8 3 3 5 2 2 4" xfId="29622" xr:uid="{00000000-0005-0000-0000-0000749A0000}"/>
    <cellStyle name="Normal 8 3 3 5 2 3" xfId="18142" xr:uid="{00000000-0005-0000-0000-0000759A0000}"/>
    <cellStyle name="Normal 8 3 3 5 2 3 2" xfId="40785" xr:uid="{00000000-0005-0000-0000-0000769A0000}"/>
    <cellStyle name="Normal 8 3 3 5 2 4" xfId="10702" xr:uid="{00000000-0005-0000-0000-0000779A0000}"/>
    <cellStyle name="Normal 8 3 3 5 2 4 2" xfId="33345" xr:uid="{00000000-0005-0000-0000-0000789A0000}"/>
    <cellStyle name="Normal 8 3 3 5 2 5" xfId="25904" xr:uid="{00000000-0005-0000-0000-0000799A0000}"/>
    <cellStyle name="Normal 8 3 3 5 3" xfId="5129" xr:uid="{00000000-0005-0000-0000-00007A9A0000}"/>
    <cellStyle name="Normal 8 3 3 5 3 2" xfId="20013" xr:uid="{00000000-0005-0000-0000-00007B9A0000}"/>
    <cellStyle name="Normal 8 3 3 5 3 2 2" xfId="42656" xr:uid="{00000000-0005-0000-0000-00007C9A0000}"/>
    <cellStyle name="Normal 8 3 3 5 3 3" xfId="12573" xr:uid="{00000000-0005-0000-0000-00007D9A0000}"/>
    <cellStyle name="Normal 8 3 3 5 3 3 2" xfId="35216" xr:uid="{00000000-0005-0000-0000-00007E9A0000}"/>
    <cellStyle name="Normal 8 3 3 5 3 4" xfId="27775" xr:uid="{00000000-0005-0000-0000-00007F9A0000}"/>
    <cellStyle name="Normal 8 3 3 5 4" xfId="16295" xr:uid="{00000000-0005-0000-0000-0000809A0000}"/>
    <cellStyle name="Normal 8 3 3 5 4 2" xfId="38938" xr:uid="{00000000-0005-0000-0000-0000819A0000}"/>
    <cellStyle name="Normal 8 3 3 5 5" xfId="8855" xr:uid="{00000000-0005-0000-0000-0000829A0000}"/>
    <cellStyle name="Normal 8 3 3 5 5 2" xfId="31498" xr:uid="{00000000-0005-0000-0000-0000839A0000}"/>
    <cellStyle name="Normal 8 3 3 5 6" xfId="24057" xr:uid="{00000000-0005-0000-0000-0000849A0000}"/>
    <cellStyle name="Normal 8 3 3 6" xfId="2330" xr:uid="{00000000-0005-0000-0000-0000859A0000}"/>
    <cellStyle name="Normal 8 3 3 6 2" xfId="6051" xr:uid="{00000000-0005-0000-0000-0000869A0000}"/>
    <cellStyle name="Normal 8 3 3 6 2 2" xfId="20935" xr:uid="{00000000-0005-0000-0000-0000879A0000}"/>
    <cellStyle name="Normal 8 3 3 6 2 2 2" xfId="43578" xr:uid="{00000000-0005-0000-0000-0000889A0000}"/>
    <cellStyle name="Normal 8 3 3 6 2 3" xfId="13495" xr:uid="{00000000-0005-0000-0000-0000899A0000}"/>
    <cellStyle name="Normal 8 3 3 6 2 3 2" xfId="36138" xr:uid="{00000000-0005-0000-0000-00008A9A0000}"/>
    <cellStyle name="Normal 8 3 3 6 2 4" xfId="28697" xr:uid="{00000000-0005-0000-0000-00008B9A0000}"/>
    <cellStyle name="Normal 8 3 3 6 3" xfId="17217" xr:uid="{00000000-0005-0000-0000-00008C9A0000}"/>
    <cellStyle name="Normal 8 3 3 6 3 2" xfId="39860" xr:uid="{00000000-0005-0000-0000-00008D9A0000}"/>
    <cellStyle name="Normal 8 3 3 6 4" xfId="9777" xr:uid="{00000000-0005-0000-0000-00008E9A0000}"/>
    <cellStyle name="Normal 8 3 3 6 4 2" xfId="32420" xr:uid="{00000000-0005-0000-0000-00008F9A0000}"/>
    <cellStyle name="Normal 8 3 3 6 5" xfId="24979" xr:uid="{00000000-0005-0000-0000-0000909A0000}"/>
    <cellStyle name="Normal 8 3 3 7" xfId="4204" xr:uid="{00000000-0005-0000-0000-0000919A0000}"/>
    <cellStyle name="Normal 8 3 3 7 2" xfId="19088" xr:uid="{00000000-0005-0000-0000-0000929A0000}"/>
    <cellStyle name="Normal 8 3 3 7 2 2" xfId="41731" xr:uid="{00000000-0005-0000-0000-0000939A0000}"/>
    <cellStyle name="Normal 8 3 3 7 3" xfId="11648" xr:uid="{00000000-0005-0000-0000-0000949A0000}"/>
    <cellStyle name="Normal 8 3 3 7 3 2" xfId="34291" xr:uid="{00000000-0005-0000-0000-0000959A0000}"/>
    <cellStyle name="Normal 8 3 3 7 4" xfId="26850" xr:uid="{00000000-0005-0000-0000-0000969A0000}"/>
    <cellStyle name="Normal 8 3 3 8" xfId="15370" xr:uid="{00000000-0005-0000-0000-0000979A0000}"/>
    <cellStyle name="Normal 8 3 3 8 2" xfId="38013" xr:uid="{00000000-0005-0000-0000-0000989A0000}"/>
    <cellStyle name="Normal 8 3 3 9" xfId="7930" xr:uid="{00000000-0005-0000-0000-0000999A0000}"/>
    <cellStyle name="Normal 8 3 3 9 2" xfId="30573" xr:uid="{00000000-0005-0000-0000-00009A9A0000}"/>
    <cellStyle name="Normal 8 3 4" xfId="526" xr:uid="{00000000-0005-0000-0000-00009B9A0000}"/>
    <cellStyle name="Normal 8 3 4 2" xfId="738" xr:uid="{00000000-0005-0000-0000-00009C9A0000}"/>
    <cellStyle name="Normal 8 3 4 2 2" xfId="1203" xr:uid="{00000000-0005-0000-0000-00009D9A0000}"/>
    <cellStyle name="Normal 8 3 4 2 2 2" xfId="2131" xr:uid="{00000000-0005-0000-0000-00009E9A0000}"/>
    <cellStyle name="Normal 8 3 4 2 2 2 2" xfId="3981" xr:uid="{00000000-0005-0000-0000-00009F9A0000}"/>
    <cellStyle name="Normal 8 3 4 2 2 2 2 2" xfId="7702" xr:uid="{00000000-0005-0000-0000-0000A09A0000}"/>
    <cellStyle name="Normal 8 3 4 2 2 2 2 2 2" xfId="22586" xr:uid="{00000000-0005-0000-0000-0000A19A0000}"/>
    <cellStyle name="Normal 8 3 4 2 2 2 2 2 2 2" xfId="45229" xr:uid="{00000000-0005-0000-0000-0000A29A0000}"/>
    <cellStyle name="Normal 8 3 4 2 2 2 2 2 3" xfId="15146" xr:uid="{00000000-0005-0000-0000-0000A39A0000}"/>
    <cellStyle name="Normal 8 3 4 2 2 2 2 2 3 2" xfId="37789" xr:uid="{00000000-0005-0000-0000-0000A49A0000}"/>
    <cellStyle name="Normal 8 3 4 2 2 2 2 2 4" xfId="30348" xr:uid="{00000000-0005-0000-0000-0000A59A0000}"/>
    <cellStyle name="Normal 8 3 4 2 2 2 2 3" xfId="18868" xr:uid="{00000000-0005-0000-0000-0000A69A0000}"/>
    <cellStyle name="Normal 8 3 4 2 2 2 2 3 2" xfId="41511" xr:uid="{00000000-0005-0000-0000-0000A79A0000}"/>
    <cellStyle name="Normal 8 3 4 2 2 2 2 4" xfId="11428" xr:uid="{00000000-0005-0000-0000-0000A89A0000}"/>
    <cellStyle name="Normal 8 3 4 2 2 2 2 4 2" xfId="34071" xr:uid="{00000000-0005-0000-0000-0000A99A0000}"/>
    <cellStyle name="Normal 8 3 4 2 2 2 2 5" xfId="26630" xr:uid="{00000000-0005-0000-0000-0000AA9A0000}"/>
    <cellStyle name="Normal 8 3 4 2 2 2 3" xfId="5855" xr:uid="{00000000-0005-0000-0000-0000AB9A0000}"/>
    <cellStyle name="Normal 8 3 4 2 2 2 3 2" xfId="20739" xr:uid="{00000000-0005-0000-0000-0000AC9A0000}"/>
    <cellStyle name="Normal 8 3 4 2 2 2 3 2 2" xfId="43382" xr:uid="{00000000-0005-0000-0000-0000AD9A0000}"/>
    <cellStyle name="Normal 8 3 4 2 2 2 3 3" xfId="13299" xr:uid="{00000000-0005-0000-0000-0000AE9A0000}"/>
    <cellStyle name="Normal 8 3 4 2 2 2 3 3 2" xfId="35942" xr:uid="{00000000-0005-0000-0000-0000AF9A0000}"/>
    <cellStyle name="Normal 8 3 4 2 2 2 3 4" xfId="28501" xr:uid="{00000000-0005-0000-0000-0000B09A0000}"/>
    <cellStyle name="Normal 8 3 4 2 2 2 4" xfId="17021" xr:uid="{00000000-0005-0000-0000-0000B19A0000}"/>
    <cellStyle name="Normal 8 3 4 2 2 2 4 2" xfId="39664" xr:uid="{00000000-0005-0000-0000-0000B29A0000}"/>
    <cellStyle name="Normal 8 3 4 2 2 2 5" xfId="9581" xr:uid="{00000000-0005-0000-0000-0000B39A0000}"/>
    <cellStyle name="Normal 8 3 4 2 2 2 5 2" xfId="32224" xr:uid="{00000000-0005-0000-0000-0000B49A0000}"/>
    <cellStyle name="Normal 8 3 4 2 2 2 6" xfId="24783" xr:uid="{00000000-0005-0000-0000-0000B59A0000}"/>
    <cellStyle name="Normal 8 3 4 2 2 3" xfId="3056" xr:uid="{00000000-0005-0000-0000-0000B69A0000}"/>
    <cellStyle name="Normal 8 3 4 2 2 3 2" xfId="6777" xr:uid="{00000000-0005-0000-0000-0000B79A0000}"/>
    <cellStyle name="Normal 8 3 4 2 2 3 2 2" xfId="21661" xr:uid="{00000000-0005-0000-0000-0000B89A0000}"/>
    <cellStyle name="Normal 8 3 4 2 2 3 2 2 2" xfId="44304" xr:uid="{00000000-0005-0000-0000-0000B99A0000}"/>
    <cellStyle name="Normal 8 3 4 2 2 3 2 3" xfId="14221" xr:uid="{00000000-0005-0000-0000-0000BA9A0000}"/>
    <cellStyle name="Normal 8 3 4 2 2 3 2 3 2" xfId="36864" xr:uid="{00000000-0005-0000-0000-0000BB9A0000}"/>
    <cellStyle name="Normal 8 3 4 2 2 3 2 4" xfId="29423" xr:uid="{00000000-0005-0000-0000-0000BC9A0000}"/>
    <cellStyle name="Normal 8 3 4 2 2 3 3" xfId="17943" xr:uid="{00000000-0005-0000-0000-0000BD9A0000}"/>
    <cellStyle name="Normal 8 3 4 2 2 3 3 2" xfId="40586" xr:uid="{00000000-0005-0000-0000-0000BE9A0000}"/>
    <cellStyle name="Normal 8 3 4 2 2 3 4" xfId="10503" xr:uid="{00000000-0005-0000-0000-0000BF9A0000}"/>
    <cellStyle name="Normal 8 3 4 2 2 3 4 2" xfId="33146" xr:uid="{00000000-0005-0000-0000-0000C09A0000}"/>
    <cellStyle name="Normal 8 3 4 2 2 3 5" xfId="25705" xr:uid="{00000000-0005-0000-0000-0000C19A0000}"/>
    <cellStyle name="Normal 8 3 4 2 2 4" xfId="4930" xr:uid="{00000000-0005-0000-0000-0000C29A0000}"/>
    <cellStyle name="Normal 8 3 4 2 2 4 2" xfId="19814" xr:uid="{00000000-0005-0000-0000-0000C39A0000}"/>
    <cellStyle name="Normal 8 3 4 2 2 4 2 2" xfId="42457" xr:uid="{00000000-0005-0000-0000-0000C49A0000}"/>
    <cellStyle name="Normal 8 3 4 2 2 4 3" xfId="12374" xr:uid="{00000000-0005-0000-0000-0000C59A0000}"/>
    <cellStyle name="Normal 8 3 4 2 2 4 3 2" xfId="35017" xr:uid="{00000000-0005-0000-0000-0000C69A0000}"/>
    <cellStyle name="Normal 8 3 4 2 2 4 4" xfId="27576" xr:uid="{00000000-0005-0000-0000-0000C79A0000}"/>
    <cellStyle name="Normal 8 3 4 2 2 5" xfId="16096" xr:uid="{00000000-0005-0000-0000-0000C89A0000}"/>
    <cellStyle name="Normal 8 3 4 2 2 5 2" xfId="38739" xr:uid="{00000000-0005-0000-0000-0000C99A0000}"/>
    <cellStyle name="Normal 8 3 4 2 2 6" xfId="8656" xr:uid="{00000000-0005-0000-0000-0000CA9A0000}"/>
    <cellStyle name="Normal 8 3 4 2 2 6 2" xfId="31299" xr:uid="{00000000-0005-0000-0000-0000CB9A0000}"/>
    <cellStyle name="Normal 8 3 4 2 2 7" xfId="23858" xr:uid="{00000000-0005-0000-0000-0000CC9A0000}"/>
    <cellStyle name="Normal 8 3 4 2 3" xfId="1669" xr:uid="{00000000-0005-0000-0000-0000CD9A0000}"/>
    <cellStyle name="Normal 8 3 4 2 3 2" xfId="3519" xr:uid="{00000000-0005-0000-0000-0000CE9A0000}"/>
    <cellStyle name="Normal 8 3 4 2 3 2 2" xfId="7240" xr:uid="{00000000-0005-0000-0000-0000CF9A0000}"/>
    <cellStyle name="Normal 8 3 4 2 3 2 2 2" xfId="22124" xr:uid="{00000000-0005-0000-0000-0000D09A0000}"/>
    <cellStyle name="Normal 8 3 4 2 3 2 2 2 2" xfId="44767" xr:uid="{00000000-0005-0000-0000-0000D19A0000}"/>
    <cellStyle name="Normal 8 3 4 2 3 2 2 3" xfId="14684" xr:uid="{00000000-0005-0000-0000-0000D29A0000}"/>
    <cellStyle name="Normal 8 3 4 2 3 2 2 3 2" xfId="37327" xr:uid="{00000000-0005-0000-0000-0000D39A0000}"/>
    <cellStyle name="Normal 8 3 4 2 3 2 2 4" xfId="29886" xr:uid="{00000000-0005-0000-0000-0000D49A0000}"/>
    <cellStyle name="Normal 8 3 4 2 3 2 3" xfId="18406" xr:uid="{00000000-0005-0000-0000-0000D59A0000}"/>
    <cellStyle name="Normal 8 3 4 2 3 2 3 2" xfId="41049" xr:uid="{00000000-0005-0000-0000-0000D69A0000}"/>
    <cellStyle name="Normal 8 3 4 2 3 2 4" xfId="10966" xr:uid="{00000000-0005-0000-0000-0000D79A0000}"/>
    <cellStyle name="Normal 8 3 4 2 3 2 4 2" xfId="33609" xr:uid="{00000000-0005-0000-0000-0000D89A0000}"/>
    <cellStyle name="Normal 8 3 4 2 3 2 5" xfId="26168" xr:uid="{00000000-0005-0000-0000-0000D99A0000}"/>
    <cellStyle name="Normal 8 3 4 2 3 3" xfId="5393" xr:uid="{00000000-0005-0000-0000-0000DA9A0000}"/>
    <cellStyle name="Normal 8 3 4 2 3 3 2" xfId="20277" xr:uid="{00000000-0005-0000-0000-0000DB9A0000}"/>
    <cellStyle name="Normal 8 3 4 2 3 3 2 2" xfId="42920" xr:uid="{00000000-0005-0000-0000-0000DC9A0000}"/>
    <cellStyle name="Normal 8 3 4 2 3 3 3" xfId="12837" xr:uid="{00000000-0005-0000-0000-0000DD9A0000}"/>
    <cellStyle name="Normal 8 3 4 2 3 3 3 2" xfId="35480" xr:uid="{00000000-0005-0000-0000-0000DE9A0000}"/>
    <cellStyle name="Normal 8 3 4 2 3 3 4" xfId="28039" xr:uid="{00000000-0005-0000-0000-0000DF9A0000}"/>
    <cellStyle name="Normal 8 3 4 2 3 4" xfId="16559" xr:uid="{00000000-0005-0000-0000-0000E09A0000}"/>
    <cellStyle name="Normal 8 3 4 2 3 4 2" xfId="39202" xr:uid="{00000000-0005-0000-0000-0000E19A0000}"/>
    <cellStyle name="Normal 8 3 4 2 3 5" xfId="9119" xr:uid="{00000000-0005-0000-0000-0000E29A0000}"/>
    <cellStyle name="Normal 8 3 4 2 3 5 2" xfId="31762" xr:uid="{00000000-0005-0000-0000-0000E39A0000}"/>
    <cellStyle name="Normal 8 3 4 2 3 6" xfId="24321" xr:uid="{00000000-0005-0000-0000-0000E49A0000}"/>
    <cellStyle name="Normal 8 3 4 2 4" xfId="2594" xr:uid="{00000000-0005-0000-0000-0000E59A0000}"/>
    <cellStyle name="Normal 8 3 4 2 4 2" xfId="6315" xr:uid="{00000000-0005-0000-0000-0000E69A0000}"/>
    <cellStyle name="Normal 8 3 4 2 4 2 2" xfId="21199" xr:uid="{00000000-0005-0000-0000-0000E79A0000}"/>
    <cellStyle name="Normal 8 3 4 2 4 2 2 2" xfId="43842" xr:uid="{00000000-0005-0000-0000-0000E89A0000}"/>
    <cellStyle name="Normal 8 3 4 2 4 2 3" xfId="13759" xr:uid="{00000000-0005-0000-0000-0000E99A0000}"/>
    <cellStyle name="Normal 8 3 4 2 4 2 3 2" xfId="36402" xr:uid="{00000000-0005-0000-0000-0000EA9A0000}"/>
    <cellStyle name="Normal 8 3 4 2 4 2 4" xfId="28961" xr:uid="{00000000-0005-0000-0000-0000EB9A0000}"/>
    <cellStyle name="Normal 8 3 4 2 4 3" xfId="17481" xr:uid="{00000000-0005-0000-0000-0000EC9A0000}"/>
    <cellStyle name="Normal 8 3 4 2 4 3 2" xfId="40124" xr:uid="{00000000-0005-0000-0000-0000ED9A0000}"/>
    <cellStyle name="Normal 8 3 4 2 4 4" xfId="10041" xr:uid="{00000000-0005-0000-0000-0000EE9A0000}"/>
    <cellStyle name="Normal 8 3 4 2 4 4 2" xfId="32684" xr:uid="{00000000-0005-0000-0000-0000EF9A0000}"/>
    <cellStyle name="Normal 8 3 4 2 4 5" xfId="25243" xr:uid="{00000000-0005-0000-0000-0000F09A0000}"/>
    <cellStyle name="Normal 8 3 4 2 5" xfId="4468" xr:uid="{00000000-0005-0000-0000-0000F19A0000}"/>
    <cellStyle name="Normal 8 3 4 2 5 2" xfId="19352" xr:uid="{00000000-0005-0000-0000-0000F29A0000}"/>
    <cellStyle name="Normal 8 3 4 2 5 2 2" xfId="41995" xr:uid="{00000000-0005-0000-0000-0000F39A0000}"/>
    <cellStyle name="Normal 8 3 4 2 5 3" xfId="11912" xr:uid="{00000000-0005-0000-0000-0000F49A0000}"/>
    <cellStyle name="Normal 8 3 4 2 5 3 2" xfId="34555" xr:uid="{00000000-0005-0000-0000-0000F59A0000}"/>
    <cellStyle name="Normal 8 3 4 2 5 4" xfId="27114" xr:uid="{00000000-0005-0000-0000-0000F69A0000}"/>
    <cellStyle name="Normal 8 3 4 2 6" xfId="15634" xr:uid="{00000000-0005-0000-0000-0000F79A0000}"/>
    <cellStyle name="Normal 8 3 4 2 6 2" xfId="38277" xr:uid="{00000000-0005-0000-0000-0000F89A0000}"/>
    <cellStyle name="Normal 8 3 4 2 7" xfId="8194" xr:uid="{00000000-0005-0000-0000-0000F99A0000}"/>
    <cellStyle name="Normal 8 3 4 2 7 2" xfId="30837" xr:uid="{00000000-0005-0000-0000-0000FA9A0000}"/>
    <cellStyle name="Normal 8 3 4 2 8" xfId="23396" xr:uid="{00000000-0005-0000-0000-0000FB9A0000}"/>
    <cellStyle name="Normal 8 3 4 3" xfId="992" xr:uid="{00000000-0005-0000-0000-0000FC9A0000}"/>
    <cellStyle name="Normal 8 3 4 3 2" xfId="1920" xr:uid="{00000000-0005-0000-0000-0000FD9A0000}"/>
    <cellStyle name="Normal 8 3 4 3 2 2" xfId="3770" xr:uid="{00000000-0005-0000-0000-0000FE9A0000}"/>
    <cellStyle name="Normal 8 3 4 3 2 2 2" xfId="7491" xr:uid="{00000000-0005-0000-0000-0000FF9A0000}"/>
    <cellStyle name="Normal 8 3 4 3 2 2 2 2" xfId="22375" xr:uid="{00000000-0005-0000-0000-0000009B0000}"/>
    <cellStyle name="Normal 8 3 4 3 2 2 2 2 2" xfId="45018" xr:uid="{00000000-0005-0000-0000-0000019B0000}"/>
    <cellStyle name="Normal 8 3 4 3 2 2 2 3" xfId="14935" xr:uid="{00000000-0005-0000-0000-0000029B0000}"/>
    <cellStyle name="Normal 8 3 4 3 2 2 2 3 2" xfId="37578" xr:uid="{00000000-0005-0000-0000-0000039B0000}"/>
    <cellStyle name="Normal 8 3 4 3 2 2 2 4" xfId="30137" xr:uid="{00000000-0005-0000-0000-0000049B0000}"/>
    <cellStyle name="Normal 8 3 4 3 2 2 3" xfId="18657" xr:uid="{00000000-0005-0000-0000-0000059B0000}"/>
    <cellStyle name="Normal 8 3 4 3 2 2 3 2" xfId="41300" xr:uid="{00000000-0005-0000-0000-0000069B0000}"/>
    <cellStyle name="Normal 8 3 4 3 2 2 4" xfId="11217" xr:uid="{00000000-0005-0000-0000-0000079B0000}"/>
    <cellStyle name="Normal 8 3 4 3 2 2 4 2" xfId="33860" xr:uid="{00000000-0005-0000-0000-0000089B0000}"/>
    <cellStyle name="Normal 8 3 4 3 2 2 5" xfId="26419" xr:uid="{00000000-0005-0000-0000-0000099B0000}"/>
    <cellStyle name="Normal 8 3 4 3 2 3" xfId="5644" xr:uid="{00000000-0005-0000-0000-00000A9B0000}"/>
    <cellStyle name="Normal 8 3 4 3 2 3 2" xfId="20528" xr:uid="{00000000-0005-0000-0000-00000B9B0000}"/>
    <cellStyle name="Normal 8 3 4 3 2 3 2 2" xfId="43171" xr:uid="{00000000-0005-0000-0000-00000C9B0000}"/>
    <cellStyle name="Normal 8 3 4 3 2 3 3" xfId="13088" xr:uid="{00000000-0005-0000-0000-00000D9B0000}"/>
    <cellStyle name="Normal 8 3 4 3 2 3 3 2" xfId="35731" xr:uid="{00000000-0005-0000-0000-00000E9B0000}"/>
    <cellStyle name="Normal 8 3 4 3 2 3 4" xfId="28290" xr:uid="{00000000-0005-0000-0000-00000F9B0000}"/>
    <cellStyle name="Normal 8 3 4 3 2 4" xfId="16810" xr:uid="{00000000-0005-0000-0000-0000109B0000}"/>
    <cellStyle name="Normal 8 3 4 3 2 4 2" xfId="39453" xr:uid="{00000000-0005-0000-0000-0000119B0000}"/>
    <cellStyle name="Normal 8 3 4 3 2 5" xfId="9370" xr:uid="{00000000-0005-0000-0000-0000129B0000}"/>
    <cellStyle name="Normal 8 3 4 3 2 5 2" xfId="32013" xr:uid="{00000000-0005-0000-0000-0000139B0000}"/>
    <cellStyle name="Normal 8 3 4 3 2 6" xfId="24572" xr:uid="{00000000-0005-0000-0000-0000149B0000}"/>
    <cellStyle name="Normal 8 3 4 3 3" xfId="2845" xr:uid="{00000000-0005-0000-0000-0000159B0000}"/>
    <cellStyle name="Normal 8 3 4 3 3 2" xfId="6566" xr:uid="{00000000-0005-0000-0000-0000169B0000}"/>
    <cellStyle name="Normal 8 3 4 3 3 2 2" xfId="21450" xr:uid="{00000000-0005-0000-0000-0000179B0000}"/>
    <cellStyle name="Normal 8 3 4 3 3 2 2 2" xfId="44093" xr:uid="{00000000-0005-0000-0000-0000189B0000}"/>
    <cellStyle name="Normal 8 3 4 3 3 2 3" xfId="14010" xr:uid="{00000000-0005-0000-0000-0000199B0000}"/>
    <cellStyle name="Normal 8 3 4 3 3 2 3 2" xfId="36653" xr:uid="{00000000-0005-0000-0000-00001A9B0000}"/>
    <cellStyle name="Normal 8 3 4 3 3 2 4" xfId="29212" xr:uid="{00000000-0005-0000-0000-00001B9B0000}"/>
    <cellStyle name="Normal 8 3 4 3 3 3" xfId="17732" xr:uid="{00000000-0005-0000-0000-00001C9B0000}"/>
    <cellStyle name="Normal 8 3 4 3 3 3 2" xfId="40375" xr:uid="{00000000-0005-0000-0000-00001D9B0000}"/>
    <cellStyle name="Normal 8 3 4 3 3 4" xfId="10292" xr:uid="{00000000-0005-0000-0000-00001E9B0000}"/>
    <cellStyle name="Normal 8 3 4 3 3 4 2" xfId="32935" xr:uid="{00000000-0005-0000-0000-00001F9B0000}"/>
    <cellStyle name="Normal 8 3 4 3 3 5" xfId="25494" xr:uid="{00000000-0005-0000-0000-0000209B0000}"/>
    <cellStyle name="Normal 8 3 4 3 4" xfId="4719" xr:uid="{00000000-0005-0000-0000-0000219B0000}"/>
    <cellStyle name="Normal 8 3 4 3 4 2" xfId="19603" xr:uid="{00000000-0005-0000-0000-0000229B0000}"/>
    <cellStyle name="Normal 8 3 4 3 4 2 2" xfId="42246" xr:uid="{00000000-0005-0000-0000-0000239B0000}"/>
    <cellStyle name="Normal 8 3 4 3 4 3" xfId="12163" xr:uid="{00000000-0005-0000-0000-0000249B0000}"/>
    <cellStyle name="Normal 8 3 4 3 4 3 2" xfId="34806" xr:uid="{00000000-0005-0000-0000-0000259B0000}"/>
    <cellStyle name="Normal 8 3 4 3 4 4" xfId="27365" xr:uid="{00000000-0005-0000-0000-0000269B0000}"/>
    <cellStyle name="Normal 8 3 4 3 5" xfId="15885" xr:uid="{00000000-0005-0000-0000-0000279B0000}"/>
    <cellStyle name="Normal 8 3 4 3 5 2" xfId="38528" xr:uid="{00000000-0005-0000-0000-0000289B0000}"/>
    <cellStyle name="Normal 8 3 4 3 6" xfId="8445" xr:uid="{00000000-0005-0000-0000-0000299B0000}"/>
    <cellStyle name="Normal 8 3 4 3 6 2" xfId="31088" xr:uid="{00000000-0005-0000-0000-00002A9B0000}"/>
    <cellStyle name="Normal 8 3 4 3 7" xfId="23647" xr:uid="{00000000-0005-0000-0000-00002B9B0000}"/>
    <cellStyle name="Normal 8 3 4 4" xfId="1458" xr:uid="{00000000-0005-0000-0000-00002C9B0000}"/>
    <cellStyle name="Normal 8 3 4 4 2" xfId="3308" xr:uid="{00000000-0005-0000-0000-00002D9B0000}"/>
    <cellStyle name="Normal 8 3 4 4 2 2" xfId="7029" xr:uid="{00000000-0005-0000-0000-00002E9B0000}"/>
    <cellStyle name="Normal 8 3 4 4 2 2 2" xfId="21913" xr:uid="{00000000-0005-0000-0000-00002F9B0000}"/>
    <cellStyle name="Normal 8 3 4 4 2 2 2 2" xfId="44556" xr:uid="{00000000-0005-0000-0000-0000309B0000}"/>
    <cellStyle name="Normal 8 3 4 4 2 2 3" xfId="14473" xr:uid="{00000000-0005-0000-0000-0000319B0000}"/>
    <cellStyle name="Normal 8 3 4 4 2 2 3 2" xfId="37116" xr:uid="{00000000-0005-0000-0000-0000329B0000}"/>
    <cellStyle name="Normal 8 3 4 4 2 2 4" xfId="29675" xr:uid="{00000000-0005-0000-0000-0000339B0000}"/>
    <cellStyle name="Normal 8 3 4 4 2 3" xfId="18195" xr:uid="{00000000-0005-0000-0000-0000349B0000}"/>
    <cellStyle name="Normal 8 3 4 4 2 3 2" xfId="40838" xr:uid="{00000000-0005-0000-0000-0000359B0000}"/>
    <cellStyle name="Normal 8 3 4 4 2 4" xfId="10755" xr:uid="{00000000-0005-0000-0000-0000369B0000}"/>
    <cellStyle name="Normal 8 3 4 4 2 4 2" xfId="33398" xr:uid="{00000000-0005-0000-0000-0000379B0000}"/>
    <cellStyle name="Normal 8 3 4 4 2 5" xfId="25957" xr:uid="{00000000-0005-0000-0000-0000389B0000}"/>
    <cellStyle name="Normal 8 3 4 4 3" xfId="5182" xr:uid="{00000000-0005-0000-0000-0000399B0000}"/>
    <cellStyle name="Normal 8 3 4 4 3 2" xfId="20066" xr:uid="{00000000-0005-0000-0000-00003A9B0000}"/>
    <cellStyle name="Normal 8 3 4 4 3 2 2" xfId="42709" xr:uid="{00000000-0005-0000-0000-00003B9B0000}"/>
    <cellStyle name="Normal 8 3 4 4 3 3" xfId="12626" xr:uid="{00000000-0005-0000-0000-00003C9B0000}"/>
    <cellStyle name="Normal 8 3 4 4 3 3 2" xfId="35269" xr:uid="{00000000-0005-0000-0000-00003D9B0000}"/>
    <cellStyle name="Normal 8 3 4 4 3 4" xfId="27828" xr:uid="{00000000-0005-0000-0000-00003E9B0000}"/>
    <cellStyle name="Normal 8 3 4 4 4" xfId="16348" xr:uid="{00000000-0005-0000-0000-00003F9B0000}"/>
    <cellStyle name="Normal 8 3 4 4 4 2" xfId="38991" xr:uid="{00000000-0005-0000-0000-0000409B0000}"/>
    <cellStyle name="Normal 8 3 4 4 5" xfId="8908" xr:uid="{00000000-0005-0000-0000-0000419B0000}"/>
    <cellStyle name="Normal 8 3 4 4 5 2" xfId="31551" xr:uid="{00000000-0005-0000-0000-0000429B0000}"/>
    <cellStyle name="Normal 8 3 4 4 6" xfId="24110" xr:uid="{00000000-0005-0000-0000-0000439B0000}"/>
    <cellStyle name="Normal 8 3 4 5" xfId="2383" xr:uid="{00000000-0005-0000-0000-0000449B0000}"/>
    <cellStyle name="Normal 8 3 4 5 2" xfId="6104" xr:uid="{00000000-0005-0000-0000-0000459B0000}"/>
    <cellStyle name="Normal 8 3 4 5 2 2" xfId="20988" xr:uid="{00000000-0005-0000-0000-0000469B0000}"/>
    <cellStyle name="Normal 8 3 4 5 2 2 2" xfId="43631" xr:uid="{00000000-0005-0000-0000-0000479B0000}"/>
    <cellStyle name="Normal 8 3 4 5 2 3" xfId="13548" xr:uid="{00000000-0005-0000-0000-0000489B0000}"/>
    <cellStyle name="Normal 8 3 4 5 2 3 2" xfId="36191" xr:uid="{00000000-0005-0000-0000-0000499B0000}"/>
    <cellStyle name="Normal 8 3 4 5 2 4" xfId="28750" xr:uid="{00000000-0005-0000-0000-00004A9B0000}"/>
    <cellStyle name="Normal 8 3 4 5 3" xfId="17270" xr:uid="{00000000-0005-0000-0000-00004B9B0000}"/>
    <cellStyle name="Normal 8 3 4 5 3 2" xfId="39913" xr:uid="{00000000-0005-0000-0000-00004C9B0000}"/>
    <cellStyle name="Normal 8 3 4 5 4" xfId="9830" xr:uid="{00000000-0005-0000-0000-00004D9B0000}"/>
    <cellStyle name="Normal 8 3 4 5 4 2" xfId="32473" xr:uid="{00000000-0005-0000-0000-00004E9B0000}"/>
    <cellStyle name="Normal 8 3 4 5 5" xfId="25032" xr:uid="{00000000-0005-0000-0000-00004F9B0000}"/>
    <cellStyle name="Normal 8 3 4 6" xfId="4257" xr:uid="{00000000-0005-0000-0000-0000509B0000}"/>
    <cellStyle name="Normal 8 3 4 6 2" xfId="19141" xr:uid="{00000000-0005-0000-0000-0000519B0000}"/>
    <cellStyle name="Normal 8 3 4 6 2 2" xfId="41784" xr:uid="{00000000-0005-0000-0000-0000529B0000}"/>
    <cellStyle name="Normal 8 3 4 6 3" xfId="11701" xr:uid="{00000000-0005-0000-0000-0000539B0000}"/>
    <cellStyle name="Normal 8 3 4 6 3 2" xfId="34344" xr:uid="{00000000-0005-0000-0000-0000549B0000}"/>
    <cellStyle name="Normal 8 3 4 6 4" xfId="26903" xr:uid="{00000000-0005-0000-0000-0000559B0000}"/>
    <cellStyle name="Normal 8 3 4 7" xfId="15423" xr:uid="{00000000-0005-0000-0000-0000569B0000}"/>
    <cellStyle name="Normal 8 3 4 7 2" xfId="38066" xr:uid="{00000000-0005-0000-0000-0000579B0000}"/>
    <cellStyle name="Normal 8 3 4 8" xfId="7983" xr:uid="{00000000-0005-0000-0000-0000589B0000}"/>
    <cellStyle name="Normal 8 3 4 8 2" xfId="30626" xr:uid="{00000000-0005-0000-0000-0000599B0000}"/>
    <cellStyle name="Normal 8 3 4 9" xfId="23186" xr:uid="{00000000-0005-0000-0000-00005A9B0000}"/>
    <cellStyle name="Normal 8 3 5" xfId="632" xr:uid="{00000000-0005-0000-0000-00005B9B0000}"/>
    <cellStyle name="Normal 8 3 5 2" xfId="1098" xr:uid="{00000000-0005-0000-0000-00005C9B0000}"/>
    <cellStyle name="Normal 8 3 5 2 2" xfId="2026" xr:uid="{00000000-0005-0000-0000-00005D9B0000}"/>
    <cellStyle name="Normal 8 3 5 2 2 2" xfId="3876" xr:uid="{00000000-0005-0000-0000-00005E9B0000}"/>
    <cellStyle name="Normal 8 3 5 2 2 2 2" xfId="7597" xr:uid="{00000000-0005-0000-0000-00005F9B0000}"/>
    <cellStyle name="Normal 8 3 5 2 2 2 2 2" xfId="22481" xr:uid="{00000000-0005-0000-0000-0000609B0000}"/>
    <cellStyle name="Normal 8 3 5 2 2 2 2 2 2" xfId="45124" xr:uid="{00000000-0005-0000-0000-0000619B0000}"/>
    <cellStyle name="Normal 8 3 5 2 2 2 2 3" xfId="15041" xr:uid="{00000000-0005-0000-0000-0000629B0000}"/>
    <cellStyle name="Normal 8 3 5 2 2 2 2 3 2" xfId="37684" xr:uid="{00000000-0005-0000-0000-0000639B0000}"/>
    <cellStyle name="Normal 8 3 5 2 2 2 2 4" xfId="30243" xr:uid="{00000000-0005-0000-0000-0000649B0000}"/>
    <cellStyle name="Normal 8 3 5 2 2 2 3" xfId="18763" xr:uid="{00000000-0005-0000-0000-0000659B0000}"/>
    <cellStyle name="Normal 8 3 5 2 2 2 3 2" xfId="41406" xr:uid="{00000000-0005-0000-0000-0000669B0000}"/>
    <cellStyle name="Normal 8 3 5 2 2 2 4" xfId="11323" xr:uid="{00000000-0005-0000-0000-0000679B0000}"/>
    <cellStyle name="Normal 8 3 5 2 2 2 4 2" xfId="33966" xr:uid="{00000000-0005-0000-0000-0000689B0000}"/>
    <cellStyle name="Normal 8 3 5 2 2 2 5" xfId="26525" xr:uid="{00000000-0005-0000-0000-0000699B0000}"/>
    <cellStyle name="Normal 8 3 5 2 2 3" xfId="5750" xr:uid="{00000000-0005-0000-0000-00006A9B0000}"/>
    <cellStyle name="Normal 8 3 5 2 2 3 2" xfId="20634" xr:uid="{00000000-0005-0000-0000-00006B9B0000}"/>
    <cellStyle name="Normal 8 3 5 2 2 3 2 2" xfId="43277" xr:uid="{00000000-0005-0000-0000-00006C9B0000}"/>
    <cellStyle name="Normal 8 3 5 2 2 3 3" xfId="13194" xr:uid="{00000000-0005-0000-0000-00006D9B0000}"/>
    <cellStyle name="Normal 8 3 5 2 2 3 3 2" xfId="35837" xr:uid="{00000000-0005-0000-0000-00006E9B0000}"/>
    <cellStyle name="Normal 8 3 5 2 2 3 4" xfId="28396" xr:uid="{00000000-0005-0000-0000-00006F9B0000}"/>
    <cellStyle name="Normal 8 3 5 2 2 4" xfId="16916" xr:uid="{00000000-0005-0000-0000-0000709B0000}"/>
    <cellStyle name="Normal 8 3 5 2 2 4 2" xfId="39559" xr:uid="{00000000-0005-0000-0000-0000719B0000}"/>
    <cellStyle name="Normal 8 3 5 2 2 5" xfId="9476" xr:uid="{00000000-0005-0000-0000-0000729B0000}"/>
    <cellStyle name="Normal 8 3 5 2 2 5 2" xfId="32119" xr:uid="{00000000-0005-0000-0000-0000739B0000}"/>
    <cellStyle name="Normal 8 3 5 2 2 6" xfId="24678" xr:uid="{00000000-0005-0000-0000-0000749B0000}"/>
    <cellStyle name="Normal 8 3 5 2 3" xfId="2951" xr:uid="{00000000-0005-0000-0000-0000759B0000}"/>
    <cellStyle name="Normal 8 3 5 2 3 2" xfId="6672" xr:uid="{00000000-0005-0000-0000-0000769B0000}"/>
    <cellStyle name="Normal 8 3 5 2 3 2 2" xfId="21556" xr:uid="{00000000-0005-0000-0000-0000779B0000}"/>
    <cellStyle name="Normal 8 3 5 2 3 2 2 2" xfId="44199" xr:uid="{00000000-0005-0000-0000-0000789B0000}"/>
    <cellStyle name="Normal 8 3 5 2 3 2 3" xfId="14116" xr:uid="{00000000-0005-0000-0000-0000799B0000}"/>
    <cellStyle name="Normal 8 3 5 2 3 2 3 2" xfId="36759" xr:uid="{00000000-0005-0000-0000-00007A9B0000}"/>
    <cellStyle name="Normal 8 3 5 2 3 2 4" xfId="29318" xr:uid="{00000000-0005-0000-0000-00007B9B0000}"/>
    <cellStyle name="Normal 8 3 5 2 3 3" xfId="17838" xr:uid="{00000000-0005-0000-0000-00007C9B0000}"/>
    <cellStyle name="Normal 8 3 5 2 3 3 2" xfId="40481" xr:uid="{00000000-0005-0000-0000-00007D9B0000}"/>
    <cellStyle name="Normal 8 3 5 2 3 4" xfId="10398" xr:uid="{00000000-0005-0000-0000-00007E9B0000}"/>
    <cellStyle name="Normal 8 3 5 2 3 4 2" xfId="33041" xr:uid="{00000000-0005-0000-0000-00007F9B0000}"/>
    <cellStyle name="Normal 8 3 5 2 3 5" xfId="25600" xr:uid="{00000000-0005-0000-0000-0000809B0000}"/>
    <cellStyle name="Normal 8 3 5 2 4" xfId="4825" xr:uid="{00000000-0005-0000-0000-0000819B0000}"/>
    <cellStyle name="Normal 8 3 5 2 4 2" xfId="19709" xr:uid="{00000000-0005-0000-0000-0000829B0000}"/>
    <cellStyle name="Normal 8 3 5 2 4 2 2" xfId="42352" xr:uid="{00000000-0005-0000-0000-0000839B0000}"/>
    <cellStyle name="Normal 8 3 5 2 4 3" xfId="12269" xr:uid="{00000000-0005-0000-0000-0000849B0000}"/>
    <cellStyle name="Normal 8 3 5 2 4 3 2" xfId="34912" xr:uid="{00000000-0005-0000-0000-0000859B0000}"/>
    <cellStyle name="Normal 8 3 5 2 4 4" xfId="27471" xr:uid="{00000000-0005-0000-0000-0000869B0000}"/>
    <cellStyle name="Normal 8 3 5 2 5" xfId="15991" xr:uid="{00000000-0005-0000-0000-0000879B0000}"/>
    <cellStyle name="Normal 8 3 5 2 5 2" xfId="38634" xr:uid="{00000000-0005-0000-0000-0000889B0000}"/>
    <cellStyle name="Normal 8 3 5 2 6" xfId="8551" xr:uid="{00000000-0005-0000-0000-0000899B0000}"/>
    <cellStyle name="Normal 8 3 5 2 6 2" xfId="31194" xr:uid="{00000000-0005-0000-0000-00008A9B0000}"/>
    <cellStyle name="Normal 8 3 5 2 7" xfId="23753" xr:uid="{00000000-0005-0000-0000-00008B9B0000}"/>
    <cellStyle name="Normal 8 3 5 3" xfId="1564" xr:uid="{00000000-0005-0000-0000-00008C9B0000}"/>
    <cellStyle name="Normal 8 3 5 3 2" xfId="3414" xr:uid="{00000000-0005-0000-0000-00008D9B0000}"/>
    <cellStyle name="Normal 8 3 5 3 2 2" xfId="7135" xr:uid="{00000000-0005-0000-0000-00008E9B0000}"/>
    <cellStyle name="Normal 8 3 5 3 2 2 2" xfId="22019" xr:uid="{00000000-0005-0000-0000-00008F9B0000}"/>
    <cellStyle name="Normal 8 3 5 3 2 2 2 2" xfId="44662" xr:uid="{00000000-0005-0000-0000-0000909B0000}"/>
    <cellStyle name="Normal 8 3 5 3 2 2 3" xfId="14579" xr:uid="{00000000-0005-0000-0000-0000919B0000}"/>
    <cellStyle name="Normal 8 3 5 3 2 2 3 2" xfId="37222" xr:uid="{00000000-0005-0000-0000-0000929B0000}"/>
    <cellStyle name="Normal 8 3 5 3 2 2 4" xfId="29781" xr:uid="{00000000-0005-0000-0000-0000939B0000}"/>
    <cellStyle name="Normal 8 3 5 3 2 3" xfId="18301" xr:uid="{00000000-0005-0000-0000-0000949B0000}"/>
    <cellStyle name="Normal 8 3 5 3 2 3 2" xfId="40944" xr:uid="{00000000-0005-0000-0000-0000959B0000}"/>
    <cellStyle name="Normal 8 3 5 3 2 4" xfId="10861" xr:uid="{00000000-0005-0000-0000-0000969B0000}"/>
    <cellStyle name="Normal 8 3 5 3 2 4 2" xfId="33504" xr:uid="{00000000-0005-0000-0000-0000979B0000}"/>
    <cellStyle name="Normal 8 3 5 3 2 5" xfId="26063" xr:uid="{00000000-0005-0000-0000-0000989B0000}"/>
    <cellStyle name="Normal 8 3 5 3 3" xfId="5288" xr:uid="{00000000-0005-0000-0000-0000999B0000}"/>
    <cellStyle name="Normal 8 3 5 3 3 2" xfId="20172" xr:uid="{00000000-0005-0000-0000-00009A9B0000}"/>
    <cellStyle name="Normal 8 3 5 3 3 2 2" xfId="42815" xr:uid="{00000000-0005-0000-0000-00009B9B0000}"/>
    <cellStyle name="Normal 8 3 5 3 3 3" xfId="12732" xr:uid="{00000000-0005-0000-0000-00009C9B0000}"/>
    <cellStyle name="Normal 8 3 5 3 3 3 2" xfId="35375" xr:uid="{00000000-0005-0000-0000-00009D9B0000}"/>
    <cellStyle name="Normal 8 3 5 3 3 4" xfId="27934" xr:uid="{00000000-0005-0000-0000-00009E9B0000}"/>
    <cellStyle name="Normal 8 3 5 3 4" xfId="16454" xr:uid="{00000000-0005-0000-0000-00009F9B0000}"/>
    <cellStyle name="Normal 8 3 5 3 4 2" xfId="39097" xr:uid="{00000000-0005-0000-0000-0000A09B0000}"/>
    <cellStyle name="Normal 8 3 5 3 5" xfId="9014" xr:uid="{00000000-0005-0000-0000-0000A19B0000}"/>
    <cellStyle name="Normal 8 3 5 3 5 2" xfId="31657" xr:uid="{00000000-0005-0000-0000-0000A29B0000}"/>
    <cellStyle name="Normal 8 3 5 3 6" xfId="24216" xr:uid="{00000000-0005-0000-0000-0000A39B0000}"/>
    <cellStyle name="Normal 8 3 5 4" xfId="2489" xr:uid="{00000000-0005-0000-0000-0000A49B0000}"/>
    <cellStyle name="Normal 8 3 5 4 2" xfId="6210" xr:uid="{00000000-0005-0000-0000-0000A59B0000}"/>
    <cellStyle name="Normal 8 3 5 4 2 2" xfId="21094" xr:uid="{00000000-0005-0000-0000-0000A69B0000}"/>
    <cellStyle name="Normal 8 3 5 4 2 2 2" xfId="43737" xr:uid="{00000000-0005-0000-0000-0000A79B0000}"/>
    <cellStyle name="Normal 8 3 5 4 2 3" xfId="13654" xr:uid="{00000000-0005-0000-0000-0000A89B0000}"/>
    <cellStyle name="Normal 8 3 5 4 2 3 2" xfId="36297" xr:uid="{00000000-0005-0000-0000-0000A99B0000}"/>
    <cellStyle name="Normal 8 3 5 4 2 4" xfId="28856" xr:uid="{00000000-0005-0000-0000-0000AA9B0000}"/>
    <cellStyle name="Normal 8 3 5 4 3" xfId="17376" xr:uid="{00000000-0005-0000-0000-0000AB9B0000}"/>
    <cellStyle name="Normal 8 3 5 4 3 2" xfId="40019" xr:uid="{00000000-0005-0000-0000-0000AC9B0000}"/>
    <cellStyle name="Normal 8 3 5 4 4" xfId="9936" xr:uid="{00000000-0005-0000-0000-0000AD9B0000}"/>
    <cellStyle name="Normal 8 3 5 4 4 2" xfId="32579" xr:uid="{00000000-0005-0000-0000-0000AE9B0000}"/>
    <cellStyle name="Normal 8 3 5 4 5" xfId="25138" xr:uid="{00000000-0005-0000-0000-0000AF9B0000}"/>
    <cellStyle name="Normal 8 3 5 5" xfId="4363" xr:uid="{00000000-0005-0000-0000-0000B09B0000}"/>
    <cellStyle name="Normal 8 3 5 5 2" xfId="19247" xr:uid="{00000000-0005-0000-0000-0000B19B0000}"/>
    <cellStyle name="Normal 8 3 5 5 2 2" xfId="41890" xr:uid="{00000000-0005-0000-0000-0000B29B0000}"/>
    <cellStyle name="Normal 8 3 5 5 3" xfId="11807" xr:uid="{00000000-0005-0000-0000-0000B39B0000}"/>
    <cellStyle name="Normal 8 3 5 5 3 2" xfId="34450" xr:uid="{00000000-0005-0000-0000-0000B49B0000}"/>
    <cellStyle name="Normal 8 3 5 5 4" xfId="27009" xr:uid="{00000000-0005-0000-0000-0000B59B0000}"/>
    <cellStyle name="Normal 8 3 5 6" xfId="15529" xr:uid="{00000000-0005-0000-0000-0000B69B0000}"/>
    <cellStyle name="Normal 8 3 5 6 2" xfId="38172" xr:uid="{00000000-0005-0000-0000-0000B79B0000}"/>
    <cellStyle name="Normal 8 3 5 7" xfId="8089" xr:uid="{00000000-0005-0000-0000-0000B89B0000}"/>
    <cellStyle name="Normal 8 3 5 7 2" xfId="30732" xr:uid="{00000000-0005-0000-0000-0000B99B0000}"/>
    <cellStyle name="Normal 8 3 5 8" xfId="23291" xr:uid="{00000000-0005-0000-0000-0000BA9B0000}"/>
    <cellStyle name="Normal 8 3 6" xfId="887" xr:uid="{00000000-0005-0000-0000-0000BB9B0000}"/>
    <cellStyle name="Normal 8 3 6 2" xfId="1815" xr:uid="{00000000-0005-0000-0000-0000BC9B0000}"/>
    <cellStyle name="Normal 8 3 6 2 2" xfId="3665" xr:uid="{00000000-0005-0000-0000-0000BD9B0000}"/>
    <cellStyle name="Normal 8 3 6 2 2 2" xfId="7386" xr:uid="{00000000-0005-0000-0000-0000BE9B0000}"/>
    <cellStyle name="Normal 8 3 6 2 2 2 2" xfId="22270" xr:uid="{00000000-0005-0000-0000-0000BF9B0000}"/>
    <cellStyle name="Normal 8 3 6 2 2 2 2 2" xfId="44913" xr:uid="{00000000-0005-0000-0000-0000C09B0000}"/>
    <cellStyle name="Normal 8 3 6 2 2 2 3" xfId="14830" xr:uid="{00000000-0005-0000-0000-0000C19B0000}"/>
    <cellStyle name="Normal 8 3 6 2 2 2 3 2" xfId="37473" xr:uid="{00000000-0005-0000-0000-0000C29B0000}"/>
    <cellStyle name="Normal 8 3 6 2 2 2 4" xfId="30032" xr:uid="{00000000-0005-0000-0000-0000C39B0000}"/>
    <cellStyle name="Normal 8 3 6 2 2 3" xfId="18552" xr:uid="{00000000-0005-0000-0000-0000C49B0000}"/>
    <cellStyle name="Normal 8 3 6 2 2 3 2" xfId="41195" xr:uid="{00000000-0005-0000-0000-0000C59B0000}"/>
    <cellStyle name="Normal 8 3 6 2 2 4" xfId="11112" xr:uid="{00000000-0005-0000-0000-0000C69B0000}"/>
    <cellStyle name="Normal 8 3 6 2 2 4 2" xfId="33755" xr:uid="{00000000-0005-0000-0000-0000C79B0000}"/>
    <cellStyle name="Normal 8 3 6 2 2 5" xfId="26314" xr:uid="{00000000-0005-0000-0000-0000C89B0000}"/>
    <cellStyle name="Normal 8 3 6 2 3" xfId="5539" xr:uid="{00000000-0005-0000-0000-0000C99B0000}"/>
    <cellStyle name="Normal 8 3 6 2 3 2" xfId="20423" xr:uid="{00000000-0005-0000-0000-0000CA9B0000}"/>
    <cellStyle name="Normal 8 3 6 2 3 2 2" xfId="43066" xr:uid="{00000000-0005-0000-0000-0000CB9B0000}"/>
    <cellStyle name="Normal 8 3 6 2 3 3" xfId="12983" xr:uid="{00000000-0005-0000-0000-0000CC9B0000}"/>
    <cellStyle name="Normal 8 3 6 2 3 3 2" xfId="35626" xr:uid="{00000000-0005-0000-0000-0000CD9B0000}"/>
    <cellStyle name="Normal 8 3 6 2 3 4" xfId="28185" xr:uid="{00000000-0005-0000-0000-0000CE9B0000}"/>
    <cellStyle name="Normal 8 3 6 2 4" xfId="16705" xr:uid="{00000000-0005-0000-0000-0000CF9B0000}"/>
    <cellStyle name="Normal 8 3 6 2 4 2" xfId="39348" xr:uid="{00000000-0005-0000-0000-0000D09B0000}"/>
    <cellStyle name="Normal 8 3 6 2 5" xfId="9265" xr:uid="{00000000-0005-0000-0000-0000D19B0000}"/>
    <cellStyle name="Normal 8 3 6 2 5 2" xfId="31908" xr:uid="{00000000-0005-0000-0000-0000D29B0000}"/>
    <cellStyle name="Normal 8 3 6 2 6" xfId="24467" xr:uid="{00000000-0005-0000-0000-0000D39B0000}"/>
    <cellStyle name="Normal 8 3 6 3" xfId="2740" xr:uid="{00000000-0005-0000-0000-0000D49B0000}"/>
    <cellStyle name="Normal 8 3 6 3 2" xfId="6461" xr:uid="{00000000-0005-0000-0000-0000D59B0000}"/>
    <cellStyle name="Normal 8 3 6 3 2 2" xfId="21345" xr:uid="{00000000-0005-0000-0000-0000D69B0000}"/>
    <cellStyle name="Normal 8 3 6 3 2 2 2" xfId="43988" xr:uid="{00000000-0005-0000-0000-0000D79B0000}"/>
    <cellStyle name="Normal 8 3 6 3 2 3" xfId="13905" xr:uid="{00000000-0005-0000-0000-0000D89B0000}"/>
    <cellStyle name="Normal 8 3 6 3 2 3 2" xfId="36548" xr:uid="{00000000-0005-0000-0000-0000D99B0000}"/>
    <cellStyle name="Normal 8 3 6 3 2 4" xfId="29107" xr:uid="{00000000-0005-0000-0000-0000DA9B0000}"/>
    <cellStyle name="Normal 8 3 6 3 3" xfId="17627" xr:uid="{00000000-0005-0000-0000-0000DB9B0000}"/>
    <cellStyle name="Normal 8 3 6 3 3 2" xfId="40270" xr:uid="{00000000-0005-0000-0000-0000DC9B0000}"/>
    <cellStyle name="Normal 8 3 6 3 4" xfId="10187" xr:uid="{00000000-0005-0000-0000-0000DD9B0000}"/>
    <cellStyle name="Normal 8 3 6 3 4 2" xfId="32830" xr:uid="{00000000-0005-0000-0000-0000DE9B0000}"/>
    <cellStyle name="Normal 8 3 6 3 5" xfId="25389" xr:uid="{00000000-0005-0000-0000-0000DF9B0000}"/>
    <cellStyle name="Normal 8 3 6 4" xfId="4614" xr:uid="{00000000-0005-0000-0000-0000E09B0000}"/>
    <cellStyle name="Normal 8 3 6 4 2" xfId="19498" xr:uid="{00000000-0005-0000-0000-0000E19B0000}"/>
    <cellStyle name="Normal 8 3 6 4 2 2" xfId="42141" xr:uid="{00000000-0005-0000-0000-0000E29B0000}"/>
    <cellStyle name="Normal 8 3 6 4 3" xfId="12058" xr:uid="{00000000-0005-0000-0000-0000E39B0000}"/>
    <cellStyle name="Normal 8 3 6 4 3 2" xfId="34701" xr:uid="{00000000-0005-0000-0000-0000E49B0000}"/>
    <cellStyle name="Normal 8 3 6 4 4" xfId="27260" xr:uid="{00000000-0005-0000-0000-0000E59B0000}"/>
    <cellStyle name="Normal 8 3 6 5" xfId="15780" xr:uid="{00000000-0005-0000-0000-0000E69B0000}"/>
    <cellStyle name="Normal 8 3 6 5 2" xfId="38423" xr:uid="{00000000-0005-0000-0000-0000E79B0000}"/>
    <cellStyle name="Normal 8 3 6 6" xfId="8340" xr:uid="{00000000-0005-0000-0000-0000E89B0000}"/>
    <cellStyle name="Normal 8 3 6 6 2" xfId="30983" xr:uid="{00000000-0005-0000-0000-0000E99B0000}"/>
    <cellStyle name="Normal 8 3 6 7" xfId="23542" xr:uid="{00000000-0005-0000-0000-0000EA9B0000}"/>
    <cellStyle name="Normal 8 3 7" xfId="1353" xr:uid="{00000000-0005-0000-0000-0000EB9B0000}"/>
    <cellStyle name="Normal 8 3 7 2" xfId="3203" xr:uid="{00000000-0005-0000-0000-0000EC9B0000}"/>
    <cellStyle name="Normal 8 3 7 2 2" xfId="6924" xr:uid="{00000000-0005-0000-0000-0000ED9B0000}"/>
    <cellStyle name="Normal 8 3 7 2 2 2" xfId="21808" xr:uid="{00000000-0005-0000-0000-0000EE9B0000}"/>
    <cellStyle name="Normal 8 3 7 2 2 2 2" xfId="44451" xr:uid="{00000000-0005-0000-0000-0000EF9B0000}"/>
    <cellStyle name="Normal 8 3 7 2 2 3" xfId="14368" xr:uid="{00000000-0005-0000-0000-0000F09B0000}"/>
    <cellStyle name="Normal 8 3 7 2 2 3 2" xfId="37011" xr:uid="{00000000-0005-0000-0000-0000F19B0000}"/>
    <cellStyle name="Normal 8 3 7 2 2 4" xfId="29570" xr:uid="{00000000-0005-0000-0000-0000F29B0000}"/>
    <cellStyle name="Normal 8 3 7 2 3" xfId="18090" xr:uid="{00000000-0005-0000-0000-0000F39B0000}"/>
    <cellStyle name="Normal 8 3 7 2 3 2" xfId="40733" xr:uid="{00000000-0005-0000-0000-0000F49B0000}"/>
    <cellStyle name="Normal 8 3 7 2 4" xfId="10650" xr:uid="{00000000-0005-0000-0000-0000F59B0000}"/>
    <cellStyle name="Normal 8 3 7 2 4 2" xfId="33293" xr:uid="{00000000-0005-0000-0000-0000F69B0000}"/>
    <cellStyle name="Normal 8 3 7 2 5" xfId="25852" xr:uid="{00000000-0005-0000-0000-0000F79B0000}"/>
    <cellStyle name="Normal 8 3 7 3" xfId="5077" xr:uid="{00000000-0005-0000-0000-0000F89B0000}"/>
    <cellStyle name="Normal 8 3 7 3 2" xfId="19961" xr:uid="{00000000-0005-0000-0000-0000F99B0000}"/>
    <cellStyle name="Normal 8 3 7 3 2 2" xfId="42604" xr:uid="{00000000-0005-0000-0000-0000FA9B0000}"/>
    <cellStyle name="Normal 8 3 7 3 3" xfId="12521" xr:uid="{00000000-0005-0000-0000-0000FB9B0000}"/>
    <cellStyle name="Normal 8 3 7 3 3 2" xfId="35164" xr:uid="{00000000-0005-0000-0000-0000FC9B0000}"/>
    <cellStyle name="Normal 8 3 7 3 4" xfId="27723" xr:uid="{00000000-0005-0000-0000-0000FD9B0000}"/>
    <cellStyle name="Normal 8 3 7 4" xfId="16243" xr:uid="{00000000-0005-0000-0000-0000FE9B0000}"/>
    <cellStyle name="Normal 8 3 7 4 2" xfId="38886" xr:uid="{00000000-0005-0000-0000-0000FF9B0000}"/>
    <cellStyle name="Normal 8 3 7 5" xfId="8803" xr:uid="{00000000-0005-0000-0000-0000009C0000}"/>
    <cellStyle name="Normal 8 3 7 5 2" xfId="31446" xr:uid="{00000000-0005-0000-0000-0000019C0000}"/>
    <cellStyle name="Normal 8 3 7 6" xfId="24005" xr:uid="{00000000-0005-0000-0000-0000029C0000}"/>
    <cellStyle name="Normal 8 3 8" xfId="2278" xr:uid="{00000000-0005-0000-0000-0000039C0000}"/>
    <cellStyle name="Normal 8 3 8 2" xfId="5999" xr:uid="{00000000-0005-0000-0000-0000049C0000}"/>
    <cellStyle name="Normal 8 3 8 2 2" xfId="20883" xr:uid="{00000000-0005-0000-0000-0000059C0000}"/>
    <cellStyle name="Normal 8 3 8 2 2 2" xfId="43526" xr:uid="{00000000-0005-0000-0000-0000069C0000}"/>
    <cellStyle name="Normal 8 3 8 2 3" xfId="13443" xr:uid="{00000000-0005-0000-0000-0000079C0000}"/>
    <cellStyle name="Normal 8 3 8 2 3 2" xfId="36086" xr:uid="{00000000-0005-0000-0000-0000089C0000}"/>
    <cellStyle name="Normal 8 3 8 2 4" xfId="28645" xr:uid="{00000000-0005-0000-0000-0000099C0000}"/>
    <cellStyle name="Normal 8 3 8 3" xfId="17165" xr:uid="{00000000-0005-0000-0000-00000A9C0000}"/>
    <cellStyle name="Normal 8 3 8 3 2" xfId="39808" xr:uid="{00000000-0005-0000-0000-00000B9C0000}"/>
    <cellStyle name="Normal 8 3 8 4" xfId="9725" xr:uid="{00000000-0005-0000-0000-00000C9C0000}"/>
    <cellStyle name="Normal 8 3 8 4 2" xfId="32368" xr:uid="{00000000-0005-0000-0000-00000D9C0000}"/>
    <cellStyle name="Normal 8 3 8 5" xfId="24927" xr:uid="{00000000-0005-0000-0000-00000E9C0000}"/>
    <cellStyle name="Normal 8 3 9" xfId="4152" xr:uid="{00000000-0005-0000-0000-00000F9C0000}"/>
    <cellStyle name="Normal 8 3 9 2" xfId="19036" xr:uid="{00000000-0005-0000-0000-0000109C0000}"/>
    <cellStyle name="Normal 8 3 9 2 2" xfId="41679" xr:uid="{00000000-0005-0000-0000-0000119C0000}"/>
    <cellStyle name="Normal 8 3 9 3" xfId="11596" xr:uid="{00000000-0005-0000-0000-0000129C0000}"/>
    <cellStyle name="Normal 8 3 9 3 2" xfId="34239" xr:uid="{00000000-0005-0000-0000-0000139C0000}"/>
    <cellStyle name="Normal 8 3 9 4" xfId="26798" xr:uid="{00000000-0005-0000-0000-0000149C0000}"/>
    <cellStyle name="Normal 8 4" xfId="391" xr:uid="{00000000-0005-0000-0000-0000159C0000}"/>
    <cellStyle name="Normal 8 4 10" xfId="15317" xr:uid="{00000000-0005-0000-0000-0000169C0000}"/>
    <cellStyle name="Normal 8 4 10 2" xfId="37960" xr:uid="{00000000-0005-0000-0000-0000179C0000}"/>
    <cellStyle name="Normal 8 4 11" xfId="7877" xr:uid="{00000000-0005-0000-0000-0000189C0000}"/>
    <cellStyle name="Normal 8 4 11 2" xfId="30520" xr:uid="{00000000-0005-0000-0000-0000199C0000}"/>
    <cellStyle name="Normal 8 4 12" xfId="23080" xr:uid="{00000000-0005-0000-0000-00001A9C0000}"/>
    <cellStyle name="Normal 8 4 2" xfId="438" xr:uid="{00000000-0005-0000-0000-00001B9C0000}"/>
    <cellStyle name="Normal 8 4 2 10" xfId="7897" xr:uid="{00000000-0005-0000-0000-00001C9C0000}"/>
    <cellStyle name="Normal 8 4 2 10 2" xfId="30540" xr:uid="{00000000-0005-0000-0000-00001D9C0000}"/>
    <cellStyle name="Normal 8 4 2 11" xfId="23100" xr:uid="{00000000-0005-0000-0000-00001E9C0000}"/>
    <cellStyle name="Normal 8 4 2 2" xfId="491" xr:uid="{00000000-0005-0000-0000-00001F9C0000}"/>
    <cellStyle name="Normal 8 4 2 2 10" xfId="23152" xr:uid="{00000000-0005-0000-0000-0000209C0000}"/>
    <cellStyle name="Normal 8 4 2 2 2" xfId="597" xr:uid="{00000000-0005-0000-0000-0000219C0000}"/>
    <cellStyle name="Normal 8 4 2 2 2 2" xfId="809" xr:uid="{00000000-0005-0000-0000-0000229C0000}"/>
    <cellStyle name="Normal 8 4 2 2 2 2 2" xfId="1274" xr:uid="{00000000-0005-0000-0000-0000239C0000}"/>
    <cellStyle name="Normal 8 4 2 2 2 2 2 2" xfId="2202" xr:uid="{00000000-0005-0000-0000-0000249C0000}"/>
    <cellStyle name="Normal 8 4 2 2 2 2 2 2 2" xfId="4052" xr:uid="{00000000-0005-0000-0000-0000259C0000}"/>
    <cellStyle name="Normal 8 4 2 2 2 2 2 2 2 2" xfId="7773" xr:uid="{00000000-0005-0000-0000-0000269C0000}"/>
    <cellStyle name="Normal 8 4 2 2 2 2 2 2 2 2 2" xfId="22657" xr:uid="{00000000-0005-0000-0000-0000279C0000}"/>
    <cellStyle name="Normal 8 4 2 2 2 2 2 2 2 2 2 2" xfId="45300" xr:uid="{00000000-0005-0000-0000-0000289C0000}"/>
    <cellStyle name="Normal 8 4 2 2 2 2 2 2 2 2 3" xfId="15217" xr:uid="{00000000-0005-0000-0000-0000299C0000}"/>
    <cellStyle name="Normal 8 4 2 2 2 2 2 2 2 2 3 2" xfId="37860" xr:uid="{00000000-0005-0000-0000-00002A9C0000}"/>
    <cellStyle name="Normal 8 4 2 2 2 2 2 2 2 2 4" xfId="30419" xr:uid="{00000000-0005-0000-0000-00002B9C0000}"/>
    <cellStyle name="Normal 8 4 2 2 2 2 2 2 2 3" xfId="18939" xr:uid="{00000000-0005-0000-0000-00002C9C0000}"/>
    <cellStyle name="Normal 8 4 2 2 2 2 2 2 2 3 2" xfId="41582" xr:uid="{00000000-0005-0000-0000-00002D9C0000}"/>
    <cellStyle name="Normal 8 4 2 2 2 2 2 2 2 4" xfId="11499" xr:uid="{00000000-0005-0000-0000-00002E9C0000}"/>
    <cellStyle name="Normal 8 4 2 2 2 2 2 2 2 4 2" xfId="34142" xr:uid="{00000000-0005-0000-0000-00002F9C0000}"/>
    <cellStyle name="Normal 8 4 2 2 2 2 2 2 2 5" xfId="26701" xr:uid="{00000000-0005-0000-0000-0000309C0000}"/>
    <cellStyle name="Normal 8 4 2 2 2 2 2 2 3" xfId="5926" xr:uid="{00000000-0005-0000-0000-0000319C0000}"/>
    <cellStyle name="Normal 8 4 2 2 2 2 2 2 3 2" xfId="20810" xr:uid="{00000000-0005-0000-0000-0000329C0000}"/>
    <cellStyle name="Normal 8 4 2 2 2 2 2 2 3 2 2" xfId="43453" xr:uid="{00000000-0005-0000-0000-0000339C0000}"/>
    <cellStyle name="Normal 8 4 2 2 2 2 2 2 3 3" xfId="13370" xr:uid="{00000000-0005-0000-0000-0000349C0000}"/>
    <cellStyle name="Normal 8 4 2 2 2 2 2 2 3 3 2" xfId="36013" xr:uid="{00000000-0005-0000-0000-0000359C0000}"/>
    <cellStyle name="Normal 8 4 2 2 2 2 2 2 3 4" xfId="28572" xr:uid="{00000000-0005-0000-0000-0000369C0000}"/>
    <cellStyle name="Normal 8 4 2 2 2 2 2 2 4" xfId="17092" xr:uid="{00000000-0005-0000-0000-0000379C0000}"/>
    <cellStyle name="Normal 8 4 2 2 2 2 2 2 4 2" xfId="39735" xr:uid="{00000000-0005-0000-0000-0000389C0000}"/>
    <cellStyle name="Normal 8 4 2 2 2 2 2 2 5" xfId="9652" xr:uid="{00000000-0005-0000-0000-0000399C0000}"/>
    <cellStyle name="Normal 8 4 2 2 2 2 2 2 5 2" xfId="32295" xr:uid="{00000000-0005-0000-0000-00003A9C0000}"/>
    <cellStyle name="Normal 8 4 2 2 2 2 2 2 6" xfId="24854" xr:uid="{00000000-0005-0000-0000-00003B9C0000}"/>
    <cellStyle name="Normal 8 4 2 2 2 2 2 3" xfId="3127" xr:uid="{00000000-0005-0000-0000-00003C9C0000}"/>
    <cellStyle name="Normal 8 4 2 2 2 2 2 3 2" xfId="6848" xr:uid="{00000000-0005-0000-0000-00003D9C0000}"/>
    <cellStyle name="Normal 8 4 2 2 2 2 2 3 2 2" xfId="21732" xr:uid="{00000000-0005-0000-0000-00003E9C0000}"/>
    <cellStyle name="Normal 8 4 2 2 2 2 2 3 2 2 2" xfId="44375" xr:uid="{00000000-0005-0000-0000-00003F9C0000}"/>
    <cellStyle name="Normal 8 4 2 2 2 2 2 3 2 3" xfId="14292" xr:uid="{00000000-0005-0000-0000-0000409C0000}"/>
    <cellStyle name="Normal 8 4 2 2 2 2 2 3 2 3 2" xfId="36935" xr:uid="{00000000-0005-0000-0000-0000419C0000}"/>
    <cellStyle name="Normal 8 4 2 2 2 2 2 3 2 4" xfId="29494" xr:uid="{00000000-0005-0000-0000-0000429C0000}"/>
    <cellStyle name="Normal 8 4 2 2 2 2 2 3 3" xfId="18014" xr:uid="{00000000-0005-0000-0000-0000439C0000}"/>
    <cellStyle name="Normal 8 4 2 2 2 2 2 3 3 2" xfId="40657" xr:uid="{00000000-0005-0000-0000-0000449C0000}"/>
    <cellStyle name="Normal 8 4 2 2 2 2 2 3 4" xfId="10574" xr:uid="{00000000-0005-0000-0000-0000459C0000}"/>
    <cellStyle name="Normal 8 4 2 2 2 2 2 3 4 2" xfId="33217" xr:uid="{00000000-0005-0000-0000-0000469C0000}"/>
    <cellStyle name="Normal 8 4 2 2 2 2 2 3 5" xfId="25776" xr:uid="{00000000-0005-0000-0000-0000479C0000}"/>
    <cellStyle name="Normal 8 4 2 2 2 2 2 4" xfId="5001" xr:uid="{00000000-0005-0000-0000-0000489C0000}"/>
    <cellStyle name="Normal 8 4 2 2 2 2 2 4 2" xfId="19885" xr:uid="{00000000-0005-0000-0000-0000499C0000}"/>
    <cellStyle name="Normal 8 4 2 2 2 2 2 4 2 2" xfId="42528" xr:uid="{00000000-0005-0000-0000-00004A9C0000}"/>
    <cellStyle name="Normal 8 4 2 2 2 2 2 4 3" xfId="12445" xr:uid="{00000000-0005-0000-0000-00004B9C0000}"/>
    <cellStyle name="Normal 8 4 2 2 2 2 2 4 3 2" xfId="35088" xr:uid="{00000000-0005-0000-0000-00004C9C0000}"/>
    <cellStyle name="Normal 8 4 2 2 2 2 2 4 4" xfId="27647" xr:uid="{00000000-0005-0000-0000-00004D9C0000}"/>
    <cellStyle name="Normal 8 4 2 2 2 2 2 5" xfId="16167" xr:uid="{00000000-0005-0000-0000-00004E9C0000}"/>
    <cellStyle name="Normal 8 4 2 2 2 2 2 5 2" xfId="38810" xr:uid="{00000000-0005-0000-0000-00004F9C0000}"/>
    <cellStyle name="Normal 8 4 2 2 2 2 2 6" xfId="8727" xr:uid="{00000000-0005-0000-0000-0000509C0000}"/>
    <cellStyle name="Normal 8 4 2 2 2 2 2 6 2" xfId="31370" xr:uid="{00000000-0005-0000-0000-0000519C0000}"/>
    <cellStyle name="Normal 8 4 2 2 2 2 2 7" xfId="23929" xr:uid="{00000000-0005-0000-0000-0000529C0000}"/>
    <cellStyle name="Normal 8 4 2 2 2 2 3" xfId="1740" xr:uid="{00000000-0005-0000-0000-0000539C0000}"/>
    <cellStyle name="Normal 8 4 2 2 2 2 3 2" xfId="3590" xr:uid="{00000000-0005-0000-0000-0000549C0000}"/>
    <cellStyle name="Normal 8 4 2 2 2 2 3 2 2" xfId="7311" xr:uid="{00000000-0005-0000-0000-0000559C0000}"/>
    <cellStyle name="Normal 8 4 2 2 2 2 3 2 2 2" xfId="22195" xr:uid="{00000000-0005-0000-0000-0000569C0000}"/>
    <cellStyle name="Normal 8 4 2 2 2 2 3 2 2 2 2" xfId="44838" xr:uid="{00000000-0005-0000-0000-0000579C0000}"/>
    <cellStyle name="Normal 8 4 2 2 2 2 3 2 2 3" xfId="14755" xr:uid="{00000000-0005-0000-0000-0000589C0000}"/>
    <cellStyle name="Normal 8 4 2 2 2 2 3 2 2 3 2" xfId="37398" xr:uid="{00000000-0005-0000-0000-0000599C0000}"/>
    <cellStyle name="Normal 8 4 2 2 2 2 3 2 2 4" xfId="29957" xr:uid="{00000000-0005-0000-0000-00005A9C0000}"/>
    <cellStyle name="Normal 8 4 2 2 2 2 3 2 3" xfId="18477" xr:uid="{00000000-0005-0000-0000-00005B9C0000}"/>
    <cellStyle name="Normal 8 4 2 2 2 2 3 2 3 2" xfId="41120" xr:uid="{00000000-0005-0000-0000-00005C9C0000}"/>
    <cellStyle name="Normal 8 4 2 2 2 2 3 2 4" xfId="11037" xr:uid="{00000000-0005-0000-0000-00005D9C0000}"/>
    <cellStyle name="Normal 8 4 2 2 2 2 3 2 4 2" xfId="33680" xr:uid="{00000000-0005-0000-0000-00005E9C0000}"/>
    <cellStyle name="Normal 8 4 2 2 2 2 3 2 5" xfId="26239" xr:uid="{00000000-0005-0000-0000-00005F9C0000}"/>
    <cellStyle name="Normal 8 4 2 2 2 2 3 3" xfId="5464" xr:uid="{00000000-0005-0000-0000-0000609C0000}"/>
    <cellStyle name="Normal 8 4 2 2 2 2 3 3 2" xfId="20348" xr:uid="{00000000-0005-0000-0000-0000619C0000}"/>
    <cellStyle name="Normal 8 4 2 2 2 2 3 3 2 2" xfId="42991" xr:uid="{00000000-0005-0000-0000-0000629C0000}"/>
    <cellStyle name="Normal 8 4 2 2 2 2 3 3 3" xfId="12908" xr:uid="{00000000-0005-0000-0000-0000639C0000}"/>
    <cellStyle name="Normal 8 4 2 2 2 2 3 3 3 2" xfId="35551" xr:uid="{00000000-0005-0000-0000-0000649C0000}"/>
    <cellStyle name="Normal 8 4 2 2 2 2 3 3 4" xfId="28110" xr:uid="{00000000-0005-0000-0000-0000659C0000}"/>
    <cellStyle name="Normal 8 4 2 2 2 2 3 4" xfId="16630" xr:uid="{00000000-0005-0000-0000-0000669C0000}"/>
    <cellStyle name="Normal 8 4 2 2 2 2 3 4 2" xfId="39273" xr:uid="{00000000-0005-0000-0000-0000679C0000}"/>
    <cellStyle name="Normal 8 4 2 2 2 2 3 5" xfId="9190" xr:uid="{00000000-0005-0000-0000-0000689C0000}"/>
    <cellStyle name="Normal 8 4 2 2 2 2 3 5 2" xfId="31833" xr:uid="{00000000-0005-0000-0000-0000699C0000}"/>
    <cellStyle name="Normal 8 4 2 2 2 2 3 6" xfId="24392" xr:uid="{00000000-0005-0000-0000-00006A9C0000}"/>
    <cellStyle name="Normal 8 4 2 2 2 2 4" xfId="2665" xr:uid="{00000000-0005-0000-0000-00006B9C0000}"/>
    <cellStyle name="Normal 8 4 2 2 2 2 4 2" xfId="6386" xr:uid="{00000000-0005-0000-0000-00006C9C0000}"/>
    <cellStyle name="Normal 8 4 2 2 2 2 4 2 2" xfId="21270" xr:uid="{00000000-0005-0000-0000-00006D9C0000}"/>
    <cellStyle name="Normal 8 4 2 2 2 2 4 2 2 2" xfId="43913" xr:uid="{00000000-0005-0000-0000-00006E9C0000}"/>
    <cellStyle name="Normal 8 4 2 2 2 2 4 2 3" xfId="13830" xr:uid="{00000000-0005-0000-0000-00006F9C0000}"/>
    <cellStyle name="Normal 8 4 2 2 2 2 4 2 3 2" xfId="36473" xr:uid="{00000000-0005-0000-0000-0000709C0000}"/>
    <cellStyle name="Normal 8 4 2 2 2 2 4 2 4" xfId="29032" xr:uid="{00000000-0005-0000-0000-0000719C0000}"/>
    <cellStyle name="Normal 8 4 2 2 2 2 4 3" xfId="17552" xr:uid="{00000000-0005-0000-0000-0000729C0000}"/>
    <cellStyle name="Normal 8 4 2 2 2 2 4 3 2" xfId="40195" xr:uid="{00000000-0005-0000-0000-0000739C0000}"/>
    <cellStyle name="Normal 8 4 2 2 2 2 4 4" xfId="10112" xr:uid="{00000000-0005-0000-0000-0000749C0000}"/>
    <cellStyle name="Normal 8 4 2 2 2 2 4 4 2" xfId="32755" xr:uid="{00000000-0005-0000-0000-0000759C0000}"/>
    <cellStyle name="Normal 8 4 2 2 2 2 4 5" xfId="25314" xr:uid="{00000000-0005-0000-0000-0000769C0000}"/>
    <cellStyle name="Normal 8 4 2 2 2 2 5" xfId="4539" xr:uid="{00000000-0005-0000-0000-0000779C0000}"/>
    <cellStyle name="Normal 8 4 2 2 2 2 5 2" xfId="19423" xr:uid="{00000000-0005-0000-0000-0000789C0000}"/>
    <cellStyle name="Normal 8 4 2 2 2 2 5 2 2" xfId="42066" xr:uid="{00000000-0005-0000-0000-0000799C0000}"/>
    <cellStyle name="Normal 8 4 2 2 2 2 5 3" xfId="11983" xr:uid="{00000000-0005-0000-0000-00007A9C0000}"/>
    <cellStyle name="Normal 8 4 2 2 2 2 5 3 2" xfId="34626" xr:uid="{00000000-0005-0000-0000-00007B9C0000}"/>
    <cellStyle name="Normal 8 4 2 2 2 2 5 4" xfId="27185" xr:uid="{00000000-0005-0000-0000-00007C9C0000}"/>
    <cellStyle name="Normal 8 4 2 2 2 2 6" xfId="15705" xr:uid="{00000000-0005-0000-0000-00007D9C0000}"/>
    <cellStyle name="Normal 8 4 2 2 2 2 6 2" xfId="38348" xr:uid="{00000000-0005-0000-0000-00007E9C0000}"/>
    <cellStyle name="Normal 8 4 2 2 2 2 7" xfId="8265" xr:uid="{00000000-0005-0000-0000-00007F9C0000}"/>
    <cellStyle name="Normal 8 4 2 2 2 2 7 2" xfId="30908" xr:uid="{00000000-0005-0000-0000-0000809C0000}"/>
    <cellStyle name="Normal 8 4 2 2 2 2 8" xfId="23467" xr:uid="{00000000-0005-0000-0000-0000819C0000}"/>
    <cellStyle name="Normal 8 4 2 2 2 3" xfId="1063" xr:uid="{00000000-0005-0000-0000-0000829C0000}"/>
    <cellStyle name="Normal 8 4 2 2 2 3 2" xfId="1991" xr:uid="{00000000-0005-0000-0000-0000839C0000}"/>
    <cellStyle name="Normal 8 4 2 2 2 3 2 2" xfId="3841" xr:uid="{00000000-0005-0000-0000-0000849C0000}"/>
    <cellStyle name="Normal 8 4 2 2 2 3 2 2 2" xfId="7562" xr:uid="{00000000-0005-0000-0000-0000859C0000}"/>
    <cellStyle name="Normal 8 4 2 2 2 3 2 2 2 2" xfId="22446" xr:uid="{00000000-0005-0000-0000-0000869C0000}"/>
    <cellStyle name="Normal 8 4 2 2 2 3 2 2 2 2 2" xfId="45089" xr:uid="{00000000-0005-0000-0000-0000879C0000}"/>
    <cellStyle name="Normal 8 4 2 2 2 3 2 2 2 3" xfId="15006" xr:uid="{00000000-0005-0000-0000-0000889C0000}"/>
    <cellStyle name="Normal 8 4 2 2 2 3 2 2 2 3 2" xfId="37649" xr:uid="{00000000-0005-0000-0000-0000899C0000}"/>
    <cellStyle name="Normal 8 4 2 2 2 3 2 2 2 4" xfId="30208" xr:uid="{00000000-0005-0000-0000-00008A9C0000}"/>
    <cellStyle name="Normal 8 4 2 2 2 3 2 2 3" xfId="18728" xr:uid="{00000000-0005-0000-0000-00008B9C0000}"/>
    <cellStyle name="Normal 8 4 2 2 2 3 2 2 3 2" xfId="41371" xr:uid="{00000000-0005-0000-0000-00008C9C0000}"/>
    <cellStyle name="Normal 8 4 2 2 2 3 2 2 4" xfId="11288" xr:uid="{00000000-0005-0000-0000-00008D9C0000}"/>
    <cellStyle name="Normal 8 4 2 2 2 3 2 2 4 2" xfId="33931" xr:uid="{00000000-0005-0000-0000-00008E9C0000}"/>
    <cellStyle name="Normal 8 4 2 2 2 3 2 2 5" xfId="26490" xr:uid="{00000000-0005-0000-0000-00008F9C0000}"/>
    <cellStyle name="Normal 8 4 2 2 2 3 2 3" xfId="5715" xr:uid="{00000000-0005-0000-0000-0000909C0000}"/>
    <cellStyle name="Normal 8 4 2 2 2 3 2 3 2" xfId="20599" xr:uid="{00000000-0005-0000-0000-0000919C0000}"/>
    <cellStyle name="Normal 8 4 2 2 2 3 2 3 2 2" xfId="43242" xr:uid="{00000000-0005-0000-0000-0000929C0000}"/>
    <cellStyle name="Normal 8 4 2 2 2 3 2 3 3" xfId="13159" xr:uid="{00000000-0005-0000-0000-0000939C0000}"/>
    <cellStyle name="Normal 8 4 2 2 2 3 2 3 3 2" xfId="35802" xr:uid="{00000000-0005-0000-0000-0000949C0000}"/>
    <cellStyle name="Normal 8 4 2 2 2 3 2 3 4" xfId="28361" xr:uid="{00000000-0005-0000-0000-0000959C0000}"/>
    <cellStyle name="Normal 8 4 2 2 2 3 2 4" xfId="16881" xr:uid="{00000000-0005-0000-0000-0000969C0000}"/>
    <cellStyle name="Normal 8 4 2 2 2 3 2 4 2" xfId="39524" xr:uid="{00000000-0005-0000-0000-0000979C0000}"/>
    <cellStyle name="Normal 8 4 2 2 2 3 2 5" xfId="9441" xr:uid="{00000000-0005-0000-0000-0000989C0000}"/>
    <cellStyle name="Normal 8 4 2 2 2 3 2 5 2" xfId="32084" xr:uid="{00000000-0005-0000-0000-0000999C0000}"/>
    <cellStyle name="Normal 8 4 2 2 2 3 2 6" xfId="24643" xr:uid="{00000000-0005-0000-0000-00009A9C0000}"/>
    <cellStyle name="Normal 8 4 2 2 2 3 3" xfId="2916" xr:uid="{00000000-0005-0000-0000-00009B9C0000}"/>
    <cellStyle name="Normal 8 4 2 2 2 3 3 2" xfId="6637" xr:uid="{00000000-0005-0000-0000-00009C9C0000}"/>
    <cellStyle name="Normal 8 4 2 2 2 3 3 2 2" xfId="21521" xr:uid="{00000000-0005-0000-0000-00009D9C0000}"/>
    <cellStyle name="Normal 8 4 2 2 2 3 3 2 2 2" xfId="44164" xr:uid="{00000000-0005-0000-0000-00009E9C0000}"/>
    <cellStyle name="Normal 8 4 2 2 2 3 3 2 3" xfId="14081" xr:uid="{00000000-0005-0000-0000-00009F9C0000}"/>
    <cellStyle name="Normal 8 4 2 2 2 3 3 2 3 2" xfId="36724" xr:uid="{00000000-0005-0000-0000-0000A09C0000}"/>
    <cellStyle name="Normal 8 4 2 2 2 3 3 2 4" xfId="29283" xr:uid="{00000000-0005-0000-0000-0000A19C0000}"/>
    <cellStyle name="Normal 8 4 2 2 2 3 3 3" xfId="17803" xr:uid="{00000000-0005-0000-0000-0000A29C0000}"/>
    <cellStyle name="Normal 8 4 2 2 2 3 3 3 2" xfId="40446" xr:uid="{00000000-0005-0000-0000-0000A39C0000}"/>
    <cellStyle name="Normal 8 4 2 2 2 3 3 4" xfId="10363" xr:uid="{00000000-0005-0000-0000-0000A49C0000}"/>
    <cellStyle name="Normal 8 4 2 2 2 3 3 4 2" xfId="33006" xr:uid="{00000000-0005-0000-0000-0000A59C0000}"/>
    <cellStyle name="Normal 8 4 2 2 2 3 3 5" xfId="25565" xr:uid="{00000000-0005-0000-0000-0000A69C0000}"/>
    <cellStyle name="Normal 8 4 2 2 2 3 4" xfId="4790" xr:uid="{00000000-0005-0000-0000-0000A79C0000}"/>
    <cellStyle name="Normal 8 4 2 2 2 3 4 2" xfId="19674" xr:uid="{00000000-0005-0000-0000-0000A89C0000}"/>
    <cellStyle name="Normal 8 4 2 2 2 3 4 2 2" xfId="42317" xr:uid="{00000000-0005-0000-0000-0000A99C0000}"/>
    <cellStyle name="Normal 8 4 2 2 2 3 4 3" xfId="12234" xr:uid="{00000000-0005-0000-0000-0000AA9C0000}"/>
    <cellStyle name="Normal 8 4 2 2 2 3 4 3 2" xfId="34877" xr:uid="{00000000-0005-0000-0000-0000AB9C0000}"/>
    <cellStyle name="Normal 8 4 2 2 2 3 4 4" xfId="27436" xr:uid="{00000000-0005-0000-0000-0000AC9C0000}"/>
    <cellStyle name="Normal 8 4 2 2 2 3 5" xfId="15956" xr:uid="{00000000-0005-0000-0000-0000AD9C0000}"/>
    <cellStyle name="Normal 8 4 2 2 2 3 5 2" xfId="38599" xr:uid="{00000000-0005-0000-0000-0000AE9C0000}"/>
    <cellStyle name="Normal 8 4 2 2 2 3 6" xfId="8516" xr:uid="{00000000-0005-0000-0000-0000AF9C0000}"/>
    <cellStyle name="Normal 8 4 2 2 2 3 6 2" xfId="31159" xr:uid="{00000000-0005-0000-0000-0000B09C0000}"/>
    <cellStyle name="Normal 8 4 2 2 2 3 7" xfId="23718" xr:uid="{00000000-0005-0000-0000-0000B19C0000}"/>
    <cellStyle name="Normal 8 4 2 2 2 4" xfId="1529" xr:uid="{00000000-0005-0000-0000-0000B29C0000}"/>
    <cellStyle name="Normal 8 4 2 2 2 4 2" xfId="3379" xr:uid="{00000000-0005-0000-0000-0000B39C0000}"/>
    <cellStyle name="Normal 8 4 2 2 2 4 2 2" xfId="7100" xr:uid="{00000000-0005-0000-0000-0000B49C0000}"/>
    <cellStyle name="Normal 8 4 2 2 2 4 2 2 2" xfId="21984" xr:uid="{00000000-0005-0000-0000-0000B59C0000}"/>
    <cellStyle name="Normal 8 4 2 2 2 4 2 2 2 2" xfId="44627" xr:uid="{00000000-0005-0000-0000-0000B69C0000}"/>
    <cellStyle name="Normal 8 4 2 2 2 4 2 2 3" xfId="14544" xr:uid="{00000000-0005-0000-0000-0000B79C0000}"/>
    <cellStyle name="Normal 8 4 2 2 2 4 2 2 3 2" xfId="37187" xr:uid="{00000000-0005-0000-0000-0000B89C0000}"/>
    <cellStyle name="Normal 8 4 2 2 2 4 2 2 4" xfId="29746" xr:uid="{00000000-0005-0000-0000-0000B99C0000}"/>
    <cellStyle name="Normal 8 4 2 2 2 4 2 3" xfId="18266" xr:uid="{00000000-0005-0000-0000-0000BA9C0000}"/>
    <cellStyle name="Normal 8 4 2 2 2 4 2 3 2" xfId="40909" xr:uid="{00000000-0005-0000-0000-0000BB9C0000}"/>
    <cellStyle name="Normal 8 4 2 2 2 4 2 4" xfId="10826" xr:uid="{00000000-0005-0000-0000-0000BC9C0000}"/>
    <cellStyle name="Normal 8 4 2 2 2 4 2 4 2" xfId="33469" xr:uid="{00000000-0005-0000-0000-0000BD9C0000}"/>
    <cellStyle name="Normal 8 4 2 2 2 4 2 5" xfId="26028" xr:uid="{00000000-0005-0000-0000-0000BE9C0000}"/>
    <cellStyle name="Normal 8 4 2 2 2 4 3" xfId="5253" xr:uid="{00000000-0005-0000-0000-0000BF9C0000}"/>
    <cellStyle name="Normal 8 4 2 2 2 4 3 2" xfId="20137" xr:uid="{00000000-0005-0000-0000-0000C09C0000}"/>
    <cellStyle name="Normal 8 4 2 2 2 4 3 2 2" xfId="42780" xr:uid="{00000000-0005-0000-0000-0000C19C0000}"/>
    <cellStyle name="Normal 8 4 2 2 2 4 3 3" xfId="12697" xr:uid="{00000000-0005-0000-0000-0000C29C0000}"/>
    <cellStyle name="Normal 8 4 2 2 2 4 3 3 2" xfId="35340" xr:uid="{00000000-0005-0000-0000-0000C39C0000}"/>
    <cellStyle name="Normal 8 4 2 2 2 4 3 4" xfId="27899" xr:uid="{00000000-0005-0000-0000-0000C49C0000}"/>
    <cellStyle name="Normal 8 4 2 2 2 4 4" xfId="16419" xr:uid="{00000000-0005-0000-0000-0000C59C0000}"/>
    <cellStyle name="Normal 8 4 2 2 2 4 4 2" xfId="39062" xr:uid="{00000000-0005-0000-0000-0000C69C0000}"/>
    <cellStyle name="Normal 8 4 2 2 2 4 5" xfId="8979" xr:uid="{00000000-0005-0000-0000-0000C79C0000}"/>
    <cellStyle name="Normal 8 4 2 2 2 4 5 2" xfId="31622" xr:uid="{00000000-0005-0000-0000-0000C89C0000}"/>
    <cellStyle name="Normal 8 4 2 2 2 4 6" xfId="24181" xr:uid="{00000000-0005-0000-0000-0000C99C0000}"/>
    <cellStyle name="Normal 8 4 2 2 2 5" xfId="2454" xr:uid="{00000000-0005-0000-0000-0000CA9C0000}"/>
    <cellStyle name="Normal 8 4 2 2 2 5 2" xfId="6175" xr:uid="{00000000-0005-0000-0000-0000CB9C0000}"/>
    <cellStyle name="Normal 8 4 2 2 2 5 2 2" xfId="21059" xr:uid="{00000000-0005-0000-0000-0000CC9C0000}"/>
    <cellStyle name="Normal 8 4 2 2 2 5 2 2 2" xfId="43702" xr:uid="{00000000-0005-0000-0000-0000CD9C0000}"/>
    <cellStyle name="Normal 8 4 2 2 2 5 2 3" xfId="13619" xr:uid="{00000000-0005-0000-0000-0000CE9C0000}"/>
    <cellStyle name="Normal 8 4 2 2 2 5 2 3 2" xfId="36262" xr:uid="{00000000-0005-0000-0000-0000CF9C0000}"/>
    <cellStyle name="Normal 8 4 2 2 2 5 2 4" xfId="28821" xr:uid="{00000000-0005-0000-0000-0000D09C0000}"/>
    <cellStyle name="Normal 8 4 2 2 2 5 3" xfId="17341" xr:uid="{00000000-0005-0000-0000-0000D19C0000}"/>
    <cellStyle name="Normal 8 4 2 2 2 5 3 2" xfId="39984" xr:uid="{00000000-0005-0000-0000-0000D29C0000}"/>
    <cellStyle name="Normal 8 4 2 2 2 5 4" xfId="9901" xr:uid="{00000000-0005-0000-0000-0000D39C0000}"/>
    <cellStyle name="Normal 8 4 2 2 2 5 4 2" xfId="32544" xr:uid="{00000000-0005-0000-0000-0000D49C0000}"/>
    <cellStyle name="Normal 8 4 2 2 2 5 5" xfId="25103" xr:uid="{00000000-0005-0000-0000-0000D59C0000}"/>
    <cellStyle name="Normal 8 4 2 2 2 6" xfId="4328" xr:uid="{00000000-0005-0000-0000-0000D69C0000}"/>
    <cellStyle name="Normal 8 4 2 2 2 6 2" xfId="19212" xr:uid="{00000000-0005-0000-0000-0000D79C0000}"/>
    <cellStyle name="Normal 8 4 2 2 2 6 2 2" xfId="41855" xr:uid="{00000000-0005-0000-0000-0000D89C0000}"/>
    <cellStyle name="Normal 8 4 2 2 2 6 3" xfId="11772" xr:uid="{00000000-0005-0000-0000-0000D99C0000}"/>
    <cellStyle name="Normal 8 4 2 2 2 6 3 2" xfId="34415" xr:uid="{00000000-0005-0000-0000-0000DA9C0000}"/>
    <cellStyle name="Normal 8 4 2 2 2 6 4" xfId="26974" xr:uid="{00000000-0005-0000-0000-0000DB9C0000}"/>
    <cellStyle name="Normal 8 4 2 2 2 7" xfId="15494" xr:uid="{00000000-0005-0000-0000-0000DC9C0000}"/>
    <cellStyle name="Normal 8 4 2 2 2 7 2" xfId="38137" xr:uid="{00000000-0005-0000-0000-0000DD9C0000}"/>
    <cellStyle name="Normal 8 4 2 2 2 8" xfId="8054" xr:uid="{00000000-0005-0000-0000-0000DE9C0000}"/>
    <cellStyle name="Normal 8 4 2 2 2 8 2" xfId="30697" xr:uid="{00000000-0005-0000-0000-0000DF9C0000}"/>
    <cellStyle name="Normal 8 4 2 2 2 9" xfId="23257" xr:uid="{00000000-0005-0000-0000-0000E09C0000}"/>
    <cellStyle name="Normal 8 4 2 2 3" xfId="704" xr:uid="{00000000-0005-0000-0000-0000E19C0000}"/>
    <cellStyle name="Normal 8 4 2 2 3 2" xfId="1169" xr:uid="{00000000-0005-0000-0000-0000E29C0000}"/>
    <cellStyle name="Normal 8 4 2 2 3 2 2" xfId="2097" xr:uid="{00000000-0005-0000-0000-0000E39C0000}"/>
    <cellStyle name="Normal 8 4 2 2 3 2 2 2" xfId="3947" xr:uid="{00000000-0005-0000-0000-0000E49C0000}"/>
    <cellStyle name="Normal 8 4 2 2 3 2 2 2 2" xfId="7668" xr:uid="{00000000-0005-0000-0000-0000E59C0000}"/>
    <cellStyle name="Normal 8 4 2 2 3 2 2 2 2 2" xfId="22552" xr:uid="{00000000-0005-0000-0000-0000E69C0000}"/>
    <cellStyle name="Normal 8 4 2 2 3 2 2 2 2 2 2" xfId="45195" xr:uid="{00000000-0005-0000-0000-0000E79C0000}"/>
    <cellStyle name="Normal 8 4 2 2 3 2 2 2 2 3" xfId="15112" xr:uid="{00000000-0005-0000-0000-0000E89C0000}"/>
    <cellStyle name="Normal 8 4 2 2 3 2 2 2 2 3 2" xfId="37755" xr:uid="{00000000-0005-0000-0000-0000E99C0000}"/>
    <cellStyle name="Normal 8 4 2 2 3 2 2 2 2 4" xfId="30314" xr:uid="{00000000-0005-0000-0000-0000EA9C0000}"/>
    <cellStyle name="Normal 8 4 2 2 3 2 2 2 3" xfId="18834" xr:uid="{00000000-0005-0000-0000-0000EB9C0000}"/>
    <cellStyle name="Normal 8 4 2 2 3 2 2 2 3 2" xfId="41477" xr:uid="{00000000-0005-0000-0000-0000EC9C0000}"/>
    <cellStyle name="Normal 8 4 2 2 3 2 2 2 4" xfId="11394" xr:uid="{00000000-0005-0000-0000-0000ED9C0000}"/>
    <cellStyle name="Normal 8 4 2 2 3 2 2 2 4 2" xfId="34037" xr:uid="{00000000-0005-0000-0000-0000EE9C0000}"/>
    <cellStyle name="Normal 8 4 2 2 3 2 2 2 5" xfId="26596" xr:uid="{00000000-0005-0000-0000-0000EF9C0000}"/>
    <cellStyle name="Normal 8 4 2 2 3 2 2 3" xfId="5821" xr:uid="{00000000-0005-0000-0000-0000F09C0000}"/>
    <cellStyle name="Normal 8 4 2 2 3 2 2 3 2" xfId="20705" xr:uid="{00000000-0005-0000-0000-0000F19C0000}"/>
    <cellStyle name="Normal 8 4 2 2 3 2 2 3 2 2" xfId="43348" xr:uid="{00000000-0005-0000-0000-0000F29C0000}"/>
    <cellStyle name="Normal 8 4 2 2 3 2 2 3 3" xfId="13265" xr:uid="{00000000-0005-0000-0000-0000F39C0000}"/>
    <cellStyle name="Normal 8 4 2 2 3 2 2 3 3 2" xfId="35908" xr:uid="{00000000-0005-0000-0000-0000F49C0000}"/>
    <cellStyle name="Normal 8 4 2 2 3 2 2 3 4" xfId="28467" xr:uid="{00000000-0005-0000-0000-0000F59C0000}"/>
    <cellStyle name="Normal 8 4 2 2 3 2 2 4" xfId="16987" xr:uid="{00000000-0005-0000-0000-0000F69C0000}"/>
    <cellStyle name="Normal 8 4 2 2 3 2 2 4 2" xfId="39630" xr:uid="{00000000-0005-0000-0000-0000F79C0000}"/>
    <cellStyle name="Normal 8 4 2 2 3 2 2 5" xfId="9547" xr:uid="{00000000-0005-0000-0000-0000F89C0000}"/>
    <cellStyle name="Normal 8 4 2 2 3 2 2 5 2" xfId="32190" xr:uid="{00000000-0005-0000-0000-0000F99C0000}"/>
    <cellStyle name="Normal 8 4 2 2 3 2 2 6" xfId="24749" xr:uid="{00000000-0005-0000-0000-0000FA9C0000}"/>
    <cellStyle name="Normal 8 4 2 2 3 2 3" xfId="3022" xr:uid="{00000000-0005-0000-0000-0000FB9C0000}"/>
    <cellStyle name="Normal 8 4 2 2 3 2 3 2" xfId="6743" xr:uid="{00000000-0005-0000-0000-0000FC9C0000}"/>
    <cellStyle name="Normal 8 4 2 2 3 2 3 2 2" xfId="21627" xr:uid="{00000000-0005-0000-0000-0000FD9C0000}"/>
    <cellStyle name="Normal 8 4 2 2 3 2 3 2 2 2" xfId="44270" xr:uid="{00000000-0005-0000-0000-0000FE9C0000}"/>
    <cellStyle name="Normal 8 4 2 2 3 2 3 2 3" xfId="14187" xr:uid="{00000000-0005-0000-0000-0000FF9C0000}"/>
    <cellStyle name="Normal 8 4 2 2 3 2 3 2 3 2" xfId="36830" xr:uid="{00000000-0005-0000-0000-0000009D0000}"/>
    <cellStyle name="Normal 8 4 2 2 3 2 3 2 4" xfId="29389" xr:uid="{00000000-0005-0000-0000-0000019D0000}"/>
    <cellStyle name="Normal 8 4 2 2 3 2 3 3" xfId="17909" xr:uid="{00000000-0005-0000-0000-0000029D0000}"/>
    <cellStyle name="Normal 8 4 2 2 3 2 3 3 2" xfId="40552" xr:uid="{00000000-0005-0000-0000-0000039D0000}"/>
    <cellStyle name="Normal 8 4 2 2 3 2 3 4" xfId="10469" xr:uid="{00000000-0005-0000-0000-0000049D0000}"/>
    <cellStyle name="Normal 8 4 2 2 3 2 3 4 2" xfId="33112" xr:uid="{00000000-0005-0000-0000-0000059D0000}"/>
    <cellStyle name="Normal 8 4 2 2 3 2 3 5" xfId="25671" xr:uid="{00000000-0005-0000-0000-0000069D0000}"/>
    <cellStyle name="Normal 8 4 2 2 3 2 4" xfId="4896" xr:uid="{00000000-0005-0000-0000-0000079D0000}"/>
    <cellStyle name="Normal 8 4 2 2 3 2 4 2" xfId="19780" xr:uid="{00000000-0005-0000-0000-0000089D0000}"/>
    <cellStyle name="Normal 8 4 2 2 3 2 4 2 2" xfId="42423" xr:uid="{00000000-0005-0000-0000-0000099D0000}"/>
    <cellStyle name="Normal 8 4 2 2 3 2 4 3" xfId="12340" xr:uid="{00000000-0005-0000-0000-00000A9D0000}"/>
    <cellStyle name="Normal 8 4 2 2 3 2 4 3 2" xfId="34983" xr:uid="{00000000-0005-0000-0000-00000B9D0000}"/>
    <cellStyle name="Normal 8 4 2 2 3 2 4 4" xfId="27542" xr:uid="{00000000-0005-0000-0000-00000C9D0000}"/>
    <cellStyle name="Normal 8 4 2 2 3 2 5" xfId="16062" xr:uid="{00000000-0005-0000-0000-00000D9D0000}"/>
    <cellStyle name="Normal 8 4 2 2 3 2 5 2" xfId="38705" xr:uid="{00000000-0005-0000-0000-00000E9D0000}"/>
    <cellStyle name="Normal 8 4 2 2 3 2 6" xfId="8622" xr:uid="{00000000-0005-0000-0000-00000F9D0000}"/>
    <cellStyle name="Normal 8 4 2 2 3 2 6 2" xfId="31265" xr:uid="{00000000-0005-0000-0000-0000109D0000}"/>
    <cellStyle name="Normal 8 4 2 2 3 2 7" xfId="23824" xr:uid="{00000000-0005-0000-0000-0000119D0000}"/>
    <cellStyle name="Normal 8 4 2 2 3 3" xfId="1635" xr:uid="{00000000-0005-0000-0000-0000129D0000}"/>
    <cellStyle name="Normal 8 4 2 2 3 3 2" xfId="3485" xr:uid="{00000000-0005-0000-0000-0000139D0000}"/>
    <cellStyle name="Normal 8 4 2 2 3 3 2 2" xfId="7206" xr:uid="{00000000-0005-0000-0000-0000149D0000}"/>
    <cellStyle name="Normal 8 4 2 2 3 3 2 2 2" xfId="22090" xr:uid="{00000000-0005-0000-0000-0000159D0000}"/>
    <cellStyle name="Normal 8 4 2 2 3 3 2 2 2 2" xfId="44733" xr:uid="{00000000-0005-0000-0000-0000169D0000}"/>
    <cellStyle name="Normal 8 4 2 2 3 3 2 2 3" xfId="14650" xr:uid="{00000000-0005-0000-0000-0000179D0000}"/>
    <cellStyle name="Normal 8 4 2 2 3 3 2 2 3 2" xfId="37293" xr:uid="{00000000-0005-0000-0000-0000189D0000}"/>
    <cellStyle name="Normal 8 4 2 2 3 3 2 2 4" xfId="29852" xr:uid="{00000000-0005-0000-0000-0000199D0000}"/>
    <cellStyle name="Normal 8 4 2 2 3 3 2 3" xfId="18372" xr:uid="{00000000-0005-0000-0000-00001A9D0000}"/>
    <cellStyle name="Normal 8 4 2 2 3 3 2 3 2" xfId="41015" xr:uid="{00000000-0005-0000-0000-00001B9D0000}"/>
    <cellStyle name="Normal 8 4 2 2 3 3 2 4" xfId="10932" xr:uid="{00000000-0005-0000-0000-00001C9D0000}"/>
    <cellStyle name="Normal 8 4 2 2 3 3 2 4 2" xfId="33575" xr:uid="{00000000-0005-0000-0000-00001D9D0000}"/>
    <cellStyle name="Normal 8 4 2 2 3 3 2 5" xfId="26134" xr:uid="{00000000-0005-0000-0000-00001E9D0000}"/>
    <cellStyle name="Normal 8 4 2 2 3 3 3" xfId="5359" xr:uid="{00000000-0005-0000-0000-00001F9D0000}"/>
    <cellStyle name="Normal 8 4 2 2 3 3 3 2" xfId="20243" xr:uid="{00000000-0005-0000-0000-0000209D0000}"/>
    <cellStyle name="Normal 8 4 2 2 3 3 3 2 2" xfId="42886" xr:uid="{00000000-0005-0000-0000-0000219D0000}"/>
    <cellStyle name="Normal 8 4 2 2 3 3 3 3" xfId="12803" xr:uid="{00000000-0005-0000-0000-0000229D0000}"/>
    <cellStyle name="Normal 8 4 2 2 3 3 3 3 2" xfId="35446" xr:uid="{00000000-0005-0000-0000-0000239D0000}"/>
    <cellStyle name="Normal 8 4 2 2 3 3 3 4" xfId="28005" xr:uid="{00000000-0005-0000-0000-0000249D0000}"/>
    <cellStyle name="Normal 8 4 2 2 3 3 4" xfId="16525" xr:uid="{00000000-0005-0000-0000-0000259D0000}"/>
    <cellStyle name="Normal 8 4 2 2 3 3 4 2" xfId="39168" xr:uid="{00000000-0005-0000-0000-0000269D0000}"/>
    <cellStyle name="Normal 8 4 2 2 3 3 5" xfId="9085" xr:uid="{00000000-0005-0000-0000-0000279D0000}"/>
    <cellStyle name="Normal 8 4 2 2 3 3 5 2" xfId="31728" xr:uid="{00000000-0005-0000-0000-0000289D0000}"/>
    <cellStyle name="Normal 8 4 2 2 3 3 6" xfId="24287" xr:uid="{00000000-0005-0000-0000-0000299D0000}"/>
    <cellStyle name="Normal 8 4 2 2 3 4" xfId="2560" xr:uid="{00000000-0005-0000-0000-00002A9D0000}"/>
    <cellStyle name="Normal 8 4 2 2 3 4 2" xfId="6281" xr:uid="{00000000-0005-0000-0000-00002B9D0000}"/>
    <cellStyle name="Normal 8 4 2 2 3 4 2 2" xfId="21165" xr:uid="{00000000-0005-0000-0000-00002C9D0000}"/>
    <cellStyle name="Normal 8 4 2 2 3 4 2 2 2" xfId="43808" xr:uid="{00000000-0005-0000-0000-00002D9D0000}"/>
    <cellStyle name="Normal 8 4 2 2 3 4 2 3" xfId="13725" xr:uid="{00000000-0005-0000-0000-00002E9D0000}"/>
    <cellStyle name="Normal 8 4 2 2 3 4 2 3 2" xfId="36368" xr:uid="{00000000-0005-0000-0000-00002F9D0000}"/>
    <cellStyle name="Normal 8 4 2 2 3 4 2 4" xfId="28927" xr:uid="{00000000-0005-0000-0000-0000309D0000}"/>
    <cellStyle name="Normal 8 4 2 2 3 4 3" xfId="17447" xr:uid="{00000000-0005-0000-0000-0000319D0000}"/>
    <cellStyle name="Normal 8 4 2 2 3 4 3 2" xfId="40090" xr:uid="{00000000-0005-0000-0000-0000329D0000}"/>
    <cellStyle name="Normal 8 4 2 2 3 4 4" xfId="10007" xr:uid="{00000000-0005-0000-0000-0000339D0000}"/>
    <cellStyle name="Normal 8 4 2 2 3 4 4 2" xfId="32650" xr:uid="{00000000-0005-0000-0000-0000349D0000}"/>
    <cellStyle name="Normal 8 4 2 2 3 4 5" xfId="25209" xr:uid="{00000000-0005-0000-0000-0000359D0000}"/>
    <cellStyle name="Normal 8 4 2 2 3 5" xfId="4434" xr:uid="{00000000-0005-0000-0000-0000369D0000}"/>
    <cellStyle name="Normal 8 4 2 2 3 5 2" xfId="19318" xr:uid="{00000000-0005-0000-0000-0000379D0000}"/>
    <cellStyle name="Normal 8 4 2 2 3 5 2 2" xfId="41961" xr:uid="{00000000-0005-0000-0000-0000389D0000}"/>
    <cellStyle name="Normal 8 4 2 2 3 5 3" xfId="11878" xr:uid="{00000000-0005-0000-0000-0000399D0000}"/>
    <cellStyle name="Normal 8 4 2 2 3 5 3 2" xfId="34521" xr:uid="{00000000-0005-0000-0000-00003A9D0000}"/>
    <cellStyle name="Normal 8 4 2 2 3 5 4" xfId="27080" xr:uid="{00000000-0005-0000-0000-00003B9D0000}"/>
    <cellStyle name="Normal 8 4 2 2 3 6" xfId="15600" xr:uid="{00000000-0005-0000-0000-00003C9D0000}"/>
    <cellStyle name="Normal 8 4 2 2 3 6 2" xfId="38243" xr:uid="{00000000-0005-0000-0000-00003D9D0000}"/>
    <cellStyle name="Normal 8 4 2 2 3 7" xfId="8160" xr:uid="{00000000-0005-0000-0000-00003E9D0000}"/>
    <cellStyle name="Normal 8 4 2 2 3 7 2" xfId="30803" xr:uid="{00000000-0005-0000-0000-00003F9D0000}"/>
    <cellStyle name="Normal 8 4 2 2 3 8" xfId="23362" xr:uid="{00000000-0005-0000-0000-0000409D0000}"/>
    <cellStyle name="Normal 8 4 2 2 4" xfId="958" xr:uid="{00000000-0005-0000-0000-0000419D0000}"/>
    <cellStyle name="Normal 8 4 2 2 4 2" xfId="1886" xr:uid="{00000000-0005-0000-0000-0000429D0000}"/>
    <cellStyle name="Normal 8 4 2 2 4 2 2" xfId="3736" xr:uid="{00000000-0005-0000-0000-0000439D0000}"/>
    <cellStyle name="Normal 8 4 2 2 4 2 2 2" xfId="7457" xr:uid="{00000000-0005-0000-0000-0000449D0000}"/>
    <cellStyle name="Normal 8 4 2 2 4 2 2 2 2" xfId="22341" xr:uid="{00000000-0005-0000-0000-0000459D0000}"/>
    <cellStyle name="Normal 8 4 2 2 4 2 2 2 2 2" xfId="44984" xr:uid="{00000000-0005-0000-0000-0000469D0000}"/>
    <cellStyle name="Normal 8 4 2 2 4 2 2 2 3" xfId="14901" xr:uid="{00000000-0005-0000-0000-0000479D0000}"/>
    <cellStyle name="Normal 8 4 2 2 4 2 2 2 3 2" xfId="37544" xr:uid="{00000000-0005-0000-0000-0000489D0000}"/>
    <cellStyle name="Normal 8 4 2 2 4 2 2 2 4" xfId="30103" xr:uid="{00000000-0005-0000-0000-0000499D0000}"/>
    <cellStyle name="Normal 8 4 2 2 4 2 2 3" xfId="18623" xr:uid="{00000000-0005-0000-0000-00004A9D0000}"/>
    <cellStyle name="Normal 8 4 2 2 4 2 2 3 2" xfId="41266" xr:uid="{00000000-0005-0000-0000-00004B9D0000}"/>
    <cellStyle name="Normal 8 4 2 2 4 2 2 4" xfId="11183" xr:uid="{00000000-0005-0000-0000-00004C9D0000}"/>
    <cellStyle name="Normal 8 4 2 2 4 2 2 4 2" xfId="33826" xr:uid="{00000000-0005-0000-0000-00004D9D0000}"/>
    <cellStyle name="Normal 8 4 2 2 4 2 2 5" xfId="26385" xr:uid="{00000000-0005-0000-0000-00004E9D0000}"/>
    <cellStyle name="Normal 8 4 2 2 4 2 3" xfId="5610" xr:uid="{00000000-0005-0000-0000-00004F9D0000}"/>
    <cellStyle name="Normal 8 4 2 2 4 2 3 2" xfId="20494" xr:uid="{00000000-0005-0000-0000-0000509D0000}"/>
    <cellStyle name="Normal 8 4 2 2 4 2 3 2 2" xfId="43137" xr:uid="{00000000-0005-0000-0000-0000519D0000}"/>
    <cellStyle name="Normal 8 4 2 2 4 2 3 3" xfId="13054" xr:uid="{00000000-0005-0000-0000-0000529D0000}"/>
    <cellStyle name="Normal 8 4 2 2 4 2 3 3 2" xfId="35697" xr:uid="{00000000-0005-0000-0000-0000539D0000}"/>
    <cellStyle name="Normal 8 4 2 2 4 2 3 4" xfId="28256" xr:uid="{00000000-0005-0000-0000-0000549D0000}"/>
    <cellStyle name="Normal 8 4 2 2 4 2 4" xfId="16776" xr:uid="{00000000-0005-0000-0000-0000559D0000}"/>
    <cellStyle name="Normal 8 4 2 2 4 2 4 2" xfId="39419" xr:uid="{00000000-0005-0000-0000-0000569D0000}"/>
    <cellStyle name="Normal 8 4 2 2 4 2 5" xfId="9336" xr:uid="{00000000-0005-0000-0000-0000579D0000}"/>
    <cellStyle name="Normal 8 4 2 2 4 2 5 2" xfId="31979" xr:uid="{00000000-0005-0000-0000-0000589D0000}"/>
    <cellStyle name="Normal 8 4 2 2 4 2 6" xfId="24538" xr:uid="{00000000-0005-0000-0000-0000599D0000}"/>
    <cellStyle name="Normal 8 4 2 2 4 3" xfId="2811" xr:uid="{00000000-0005-0000-0000-00005A9D0000}"/>
    <cellStyle name="Normal 8 4 2 2 4 3 2" xfId="6532" xr:uid="{00000000-0005-0000-0000-00005B9D0000}"/>
    <cellStyle name="Normal 8 4 2 2 4 3 2 2" xfId="21416" xr:uid="{00000000-0005-0000-0000-00005C9D0000}"/>
    <cellStyle name="Normal 8 4 2 2 4 3 2 2 2" xfId="44059" xr:uid="{00000000-0005-0000-0000-00005D9D0000}"/>
    <cellStyle name="Normal 8 4 2 2 4 3 2 3" xfId="13976" xr:uid="{00000000-0005-0000-0000-00005E9D0000}"/>
    <cellStyle name="Normal 8 4 2 2 4 3 2 3 2" xfId="36619" xr:uid="{00000000-0005-0000-0000-00005F9D0000}"/>
    <cellStyle name="Normal 8 4 2 2 4 3 2 4" xfId="29178" xr:uid="{00000000-0005-0000-0000-0000609D0000}"/>
    <cellStyle name="Normal 8 4 2 2 4 3 3" xfId="17698" xr:uid="{00000000-0005-0000-0000-0000619D0000}"/>
    <cellStyle name="Normal 8 4 2 2 4 3 3 2" xfId="40341" xr:uid="{00000000-0005-0000-0000-0000629D0000}"/>
    <cellStyle name="Normal 8 4 2 2 4 3 4" xfId="10258" xr:uid="{00000000-0005-0000-0000-0000639D0000}"/>
    <cellStyle name="Normal 8 4 2 2 4 3 4 2" xfId="32901" xr:uid="{00000000-0005-0000-0000-0000649D0000}"/>
    <cellStyle name="Normal 8 4 2 2 4 3 5" xfId="25460" xr:uid="{00000000-0005-0000-0000-0000659D0000}"/>
    <cellStyle name="Normal 8 4 2 2 4 4" xfId="4685" xr:uid="{00000000-0005-0000-0000-0000669D0000}"/>
    <cellStyle name="Normal 8 4 2 2 4 4 2" xfId="19569" xr:uid="{00000000-0005-0000-0000-0000679D0000}"/>
    <cellStyle name="Normal 8 4 2 2 4 4 2 2" xfId="42212" xr:uid="{00000000-0005-0000-0000-0000689D0000}"/>
    <cellStyle name="Normal 8 4 2 2 4 4 3" xfId="12129" xr:uid="{00000000-0005-0000-0000-0000699D0000}"/>
    <cellStyle name="Normal 8 4 2 2 4 4 3 2" xfId="34772" xr:uid="{00000000-0005-0000-0000-00006A9D0000}"/>
    <cellStyle name="Normal 8 4 2 2 4 4 4" xfId="27331" xr:uid="{00000000-0005-0000-0000-00006B9D0000}"/>
    <cellStyle name="Normal 8 4 2 2 4 5" xfId="15851" xr:uid="{00000000-0005-0000-0000-00006C9D0000}"/>
    <cellStyle name="Normal 8 4 2 2 4 5 2" xfId="38494" xr:uid="{00000000-0005-0000-0000-00006D9D0000}"/>
    <cellStyle name="Normal 8 4 2 2 4 6" xfId="8411" xr:uid="{00000000-0005-0000-0000-00006E9D0000}"/>
    <cellStyle name="Normal 8 4 2 2 4 6 2" xfId="31054" xr:uid="{00000000-0005-0000-0000-00006F9D0000}"/>
    <cellStyle name="Normal 8 4 2 2 4 7" xfId="23613" xr:uid="{00000000-0005-0000-0000-0000709D0000}"/>
    <cellStyle name="Normal 8 4 2 2 5" xfId="1424" xr:uid="{00000000-0005-0000-0000-0000719D0000}"/>
    <cellStyle name="Normal 8 4 2 2 5 2" xfId="3274" xr:uid="{00000000-0005-0000-0000-0000729D0000}"/>
    <cellStyle name="Normal 8 4 2 2 5 2 2" xfId="6995" xr:uid="{00000000-0005-0000-0000-0000739D0000}"/>
    <cellStyle name="Normal 8 4 2 2 5 2 2 2" xfId="21879" xr:uid="{00000000-0005-0000-0000-0000749D0000}"/>
    <cellStyle name="Normal 8 4 2 2 5 2 2 2 2" xfId="44522" xr:uid="{00000000-0005-0000-0000-0000759D0000}"/>
    <cellStyle name="Normal 8 4 2 2 5 2 2 3" xfId="14439" xr:uid="{00000000-0005-0000-0000-0000769D0000}"/>
    <cellStyle name="Normal 8 4 2 2 5 2 2 3 2" xfId="37082" xr:uid="{00000000-0005-0000-0000-0000779D0000}"/>
    <cellStyle name="Normal 8 4 2 2 5 2 2 4" xfId="29641" xr:uid="{00000000-0005-0000-0000-0000789D0000}"/>
    <cellStyle name="Normal 8 4 2 2 5 2 3" xfId="18161" xr:uid="{00000000-0005-0000-0000-0000799D0000}"/>
    <cellStyle name="Normal 8 4 2 2 5 2 3 2" xfId="40804" xr:uid="{00000000-0005-0000-0000-00007A9D0000}"/>
    <cellStyle name="Normal 8 4 2 2 5 2 4" xfId="10721" xr:uid="{00000000-0005-0000-0000-00007B9D0000}"/>
    <cellStyle name="Normal 8 4 2 2 5 2 4 2" xfId="33364" xr:uid="{00000000-0005-0000-0000-00007C9D0000}"/>
    <cellStyle name="Normal 8 4 2 2 5 2 5" xfId="25923" xr:uid="{00000000-0005-0000-0000-00007D9D0000}"/>
    <cellStyle name="Normal 8 4 2 2 5 3" xfId="5148" xr:uid="{00000000-0005-0000-0000-00007E9D0000}"/>
    <cellStyle name="Normal 8 4 2 2 5 3 2" xfId="20032" xr:uid="{00000000-0005-0000-0000-00007F9D0000}"/>
    <cellStyle name="Normal 8 4 2 2 5 3 2 2" xfId="42675" xr:uid="{00000000-0005-0000-0000-0000809D0000}"/>
    <cellStyle name="Normal 8 4 2 2 5 3 3" xfId="12592" xr:uid="{00000000-0005-0000-0000-0000819D0000}"/>
    <cellStyle name="Normal 8 4 2 2 5 3 3 2" xfId="35235" xr:uid="{00000000-0005-0000-0000-0000829D0000}"/>
    <cellStyle name="Normal 8 4 2 2 5 3 4" xfId="27794" xr:uid="{00000000-0005-0000-0000-0000839D0000}"/>
    <cellStyle name="Normal 8 4 2 2 5 4" xfId="16314" xr:uid="{00000000-0005-0000-0000-0000849D0000}"/>
    <cellStyle name="Normal 8 4 2 2 5 4 2" xfId="38957" xr:uid="{00000000-0005-0000-0000-0000859D0000}"/>
    <cellStyle name="Normal 8 4 2 2 5 5" xfId="8874" xr:uid="{00000000-0005-0000-0000-0000869D0000}"/>
    <cellStyle name="Normal 8 4 2 2 5 5 2" xfId="31517" xr:uid="{00000000-0005-0000-0000-0000879D0000}"/>
    <cellStyle name="Normal 8 4 2 2 5 6" xfId="24076" xr:uid="{00000000-0005-0000-0000-0000889D0000}"/>
    <cellStyle name="Normal 8 4 2 2 6" xfId="2349" xr:uid="{00000000-0005-0000-0000-0000899D0000}"/>
    <cellStyle name="Normal 8 4 2 2 6 2" xfId="6070" xr:uid="{00000000-0005-0000-0000-00008A9D0000}"/>
    <cellStyle name="Normal 8 4 2 2 6 2 2" xfId="20954" xr:uid="{00000000-0005-0000-0000-00008B9D0000}"/>
    <cellStyle name="Normal 8 4 2 2 6 2 2 2" xfId="43597" xr:uid="{00000000-0005-0000-0000-00008C9D0000}"/>
    <cellStyle name="Normal 8 4 2 2 6 2 3" xfId="13514" xr:uid="{00000000-0005-0000-0000-00008D9D0000}"/>
    <cellStyle name="Normal 8 4 2 2 6 2 3 2" xfId="36157" xr:uid="{00000000-0005-0000-0000-00008E9D0000}"/>
    <cellStyle name="Normal 8 4 2 2 6 2 4" xfId="28716" xr:uid="{00000000-0005-0000-0000-00008F9D0000}"/>
    <cellStyle name="Normal 8 4 2 2 6 3" xfId="17236" xr:uid="{00000000-0005-0000-0000-0000909D0000}"/>
    <cellStyle name="Normal 8 4 2 2 6 3 2" xfId="39879" xr:uid="{00000000-0005-0000-0000-0000919D0000}"/>
    <cellStyle name="Normal 8 4 2 2 6 4" xfId="9796" xr:uid="{00000000-0005-0000-0000-0000929D0000}"/>
    <cellStyle name="Normal 8 4 2 2 6 4 2" xfId="32439" xr:uid="{00000000-0005-0000-0000-0000939D0000}"/>
    <cellStyle name="Normal 8 4 2 2 6 5" xfId="24998" xr:uid="{00000000-0005-0000-0000-0000949D0000}"/>
    <cellStyle name="Normal 8 4 2 2 7" xfId="4223" xr:uid="{00000000-0005-0000-0000-0000959D0000}"/>
    <cellStyle name="Normal 8 4 2 2 7 2" xfId="19107" xr:uid="{00000000-0005-0000-0000-0000969D0000}"/>
    <cellStyle name="Normal 8 4 2 2 7 2 2" xfId="41750" xr:uid="{00000000-0005-0000-0000-0000979D0000}"/>
    <cellStyle name="Normal 8 4 2 2 7 3" xfId="11667" xr:uid="{00000000-0005-0000-0000-0000989D0000}"/>
    <cellStyle name="Normal 8 4 2 2 7 3 2" xfId="34310" xr:uid="{00000000-0005-0000-0000-0000999D0000}"/>
    <cellStyle name="Normal 8 4 2 2 7 4" xfId="26869" xr:uid="{00000000-0005-0000-0000-00009A9D0000}"/>
    <cellStyle name="Normal 8 4 2 2 8" xfId="15389" xr:uid="{00000000-0005-0000-0000-00009B9D0000}"/>
    <cellStyle name="Normal 8 4 2 2 8 2" xfId="38032" xr:uid="{00000000-0005-0000-0000-00009C9D0000}"/>
    <cellStyle name="Normal 8 4 2 2 9" xfId="7949" xr:uid="{00000000-0005-0000-0000-00009D9D0000}"/>
    <cellStyle name="Normal 8 4 2 2 9 2" xfId="30592" xr:uid="{00000000-0005-0000-0000-00009E9D0000}"/>
    <cellStyle name="Normal 8 4 2 3" xfId="545" xr:uid="{00000000-0005-0000-0000-00009F9D0000}"/>
    <cellStyle name="Normal 8 4 2 3 2" xfId="757" xr:uid="{00000000-0005-0000-0000-0000A09D0000}"/>
    <cellStyle name="Normal 8 4 2 3 2 2" xfId="1222" xr:uid="{00000000-0005-0000-0000-0000A19D0000}"/>
    <cellStyle name="Normal 8 4 2 3 2 2 2" xfId="2150" xr:uid="{00000000-0005-0000-0000-0000A29D0000}"/>
    <cellStyle name="Normal 8 4 2 3 2 2 2 2" xfId="4000" xr:uid="{00000000-0005-0000-0000-0000A39D0000}"/>
    <cellStyle name="Normal 8 4 2 3 2 2 2 2 2" xfId="7721" xr:uid="{00000000-0005-0000-0000-0000A49D0000}"/>
    <cellStyle name="Normal 8 4 2 3 2 2 2 2 2 2" xfId="22605" xr:uid="{00000000-0005-0000-0000-0000A59D0000}"/>
    <cellStyle name="Normal 8 4 2 3 2 2 2 2 2 2 2" xfId="45248" xr:uid="{00000000-0005-0000-0000-0000A69D0000}"/>
    <cellStyle name="Normal 8 4 2 3 2 2 2 2 2 3" xfId="15165" xr:uid="{00000000-0005-0000-0000-0000A79D0000}"/>
    <cellStyle name="Normal 8 4 2 3 2 2 2 2 2 3 2" xfId="37808" xr:uid="{00000000-0005-0000-0000-0000A89D0000}"/>
    <cellStyle name="Normal 8 4 2 3 2 2 2 2 2 4" xfId="30367" xr:uid="{00000000-0005-0000-0000-0000A99D0000}"/>
    <cellStyle name="Normal 8 4 2 3 2 2 2 2 3" xfId="18887" xr:uid="{00000000-0005-0000-0000-0000AA9D0000}"/>
    <cellStyle name="Normal 8 4 2 3 2 2 2 2 3 2" xfId="41530" xr:uid="{00000000-0005-0000-0000-0000AB9D0000}"/>
    <cellStyle name="Normal 8 4 2 3 2 2 2 2 4" xfId="11447" xr:uid="{00000000-0005-0000-0000-0000AC9D0000}"/>
    <cellStyle name="Normal 8 4 2 3 2 2 2 2 4 2" xfId="34090" xr:uid="{00000000-0005-0000-0000-0000AD9D0000}"/>
    <cellStyle name="Normal 8 4 2 3 2 2 2 2 5" xfId="26649" xr:uid="{00000000-0005-0000-0000-0000AE9D0000}"/>
    <cellStyle name="Normal 8 4 2 3 2 2 2 3" xfId="5874" xr:uid="{00000000-0005-0000-0000-0000AF9D0000}"/>
    <cellStyle name="Normal 8 4 2 3 2 2 2 3 2" xfId="20758" xr:uid="{00000000-0005-0000-0000-0000B09D0000}"/>
    <cellStyle name="Normal 8 4 2 3 2 2 2 3 2 2" xfId="43401" xr:uid="{00000000-0005-0000-0000-0000B19D0000}"/>
    <cellStyle name="Normal 8 4 2 3 2 2 2 3 3" xfId="13318" xr:uid="{00000000-0005-0000-0000-0000B29D0000}"/>
    <cellStyle name="Normal 8 4 2 3 2 2 2 3 3 2" xfId="35961" xr:uid="{00000000-0005-0000-0000-0000B39D0000}"/>
    <cellStyle name="Normal 8 4 2 3 2 2 2 3 4" xfId="28520" xr:uid="{00000000-0005-0000-0000-0000B49D0000}"/>
    <cellStyle name="Normal 8 4 2 3 2 2 2 4" xfId="17040" xr:uid="{00000000-0005-0000-0000-0000B59D0000}"/>
    <cellStyle name="Normal 8 4 2 3 2 2 2 4 2" xfId="39683" xr:uid="{00000000-0005-0000-0000-0000B69D0000}"/>
    <cellStyle name="Normal 8 4 2 3 2 2 2 5" xfId="9600" xr:uid="{00000000-0005-0000-0000-0000B79D0000}"/>
    <cellStyle name="Normal 8 4 2 3 2 2 2 5 2" xfId="32243" xr:uid="{00000000-0005-0000-0000-0000B89D0000}"/>
    <cellStyle name="Normal 8 4 2 3 2 2 2 6" xfId="24802" xr:uid="{00000000-0005-0000-0000-0000B99D0000}"/>
    <cellStyle name="Normal 8 4 2 3 2 2 3" xfId="3075" xr:uid="{00000000-0005-0000-0000-0000BA9D0000}"/>
    <cellStyle name="Normal 8 4 2 3 2 2 3 2" xfId="6796" xr:uid="{00000000-0005-0000-0000-0000BB9D0000}"/>
    <cellStyle name="Normal 8 4 2 3 2 2 3 2 2" xfId="21680" xr:uid="{00000000-0005-0000-0000-0000BC9D0000}"/>
    <cellStyle name="Normal 8 4 2 3 2 2 3 2 2 2" xfId="44323" xr:uid="{00000000-0005-0000-0000-0000BD9D0000}"/>
    <cellStyle name="Normal 8 4 2 3 2 2 3 2 3" xfId="14240" xr:uid="{00000000-0005-0000-0000-0000BE9D0000}"/>
    <cellStyle name="Normal 8 4 2 3 2 2 3 2 3 2" xfId="36883" xr:uid="{00000000-0005-0000-0000-0000BF9D0000}"/>
    <cellStyle name="Normal 8 4 2 3 2 2 3 2 4" xfId="29442" xr:uid="{00000000-0005-0000-0000-0000C09D0000}"/>
    <cellStyle name="Normal 8 4 2 3 2 2 3 3" xfId="17962" xr:uid="{00000000-0005-0000-0000-0000C19D0000}"/>
    <cellStyle name="Normal 8 4 2 3 2 2 3 3 2" xfId="40605" xr:uid="{00000000-0005-0000-0000-0000C29D0000}"/>
    <cellStyle name="Normal 8 4 2 3 2 2 3 4" xfId="10522" xr:uid="{00000000-0005-0000-0000-0000C39D0000}"/>
    <cellStyle name="Normal 8 4 2 3 2 2 3 4 2" xfId="33165" xr:uid="{00000000-0005-0000-0000-0000C49D0000}"/>
    <cellStyle name="Normal 8 4 2 3 2 2 3 5" xfId="25724" xr:uid="{00000000-0005-0000-0000-0000C59D0000}"/>
    <cellStyle name="Normal 8 4 2 3 2 2 4" xfId="4949" xr:uid="{00000000-0005-0000-0000-0000C69D0000}"/>
    <cellStyle name="Normal 8 4 2 3 2 2 4 2" xfId="19833" xr:uid="{00000000-0005-0000-0000-0000C79D0000}"/>
    <cellStyle name="Normal 8 4 2 3 2 2 4 2 2" xfId="42476" xr:uid="{00000000-0005-0000-0000-0000C89D0000}"/>
    <cellStyle name="Normal 8 4 2 3 2 2 4 3" xfId="12393" xr:uid="{00000000-0005-0000-0000-0000C99D0000}"/>
    <cellStyle name="Normal 8 4 2 3 2 2 4 3 2" xfId="35036" xr:uid="{00000000-0005-0000-0000-0000CA9D0000}"/>
    <cellStyle name="Normal 8 4 2 3 2 2 4 4" xfId="27595" xr:uid="{00000000-0005-0000-0000-0000CB9D0000}"/>
    <cellStyle name="Normal 8 4 2 3 2 2 5" xfId="16115" xr:uid="{00000000-0005-0000-0000-0000CC9D0000}"/>
    <cellStyle name="Normal 8 4 2 3 2 2 5 2" xfId="38758" xr:uid="{00000000-0005-0000-0000-0000CD9D0000}"/>
    <cellStyle name="Normal 8 4 2 3 2 2 6" xfId="8675" xr:uid="{00000000-0005-0000-0000-0000CE9D0000}"/>
    <cellStyle name="Normal 8 4 2 3 2 2 6 2" xfId="31318" xr:uid="{00000000-0005-0000-0000-0000CF9D0000}"/>
    <cellStyle name="Normal 8 4 2 3 2 2 7" xfId="23877" xr:uid="{00000000-0005-0000-0000-0000D09D0000}"/>
    <cellStyle name="Normal 8 4 2 3 2 3" xfId="1688" xr:uid="{00000000-0005-0000-0000-0000D19D0000}"/>
    <cellStyle name="Normal 8 4 2 3 2 3 2" xfId="3538" xr:uid="{00000000-0005-0000-0000-0000D29D0000}"/>
    <cellStyle name="Normal 8 4 2 3 2 3 2 2" xfId="7259" xr:uid="{00000000-0005-0000-0000-0000D39D0000}"/>
    <cellStyle name="Normal 8 4 2 3 2 3 2 2 2" xfId="22143" xr:uid="{00000000-0005-0000-0000-0000D49D0000}"/>
    <cellStyle name="Normal 8 4 2 3 2 3 2 2 2 2" xfId="44786" xr:uid="{00000000-0005-0000-0000-0000D59D0000}"/>
    <cellStyle name="Normal 8 4 2 3 2 3 2 2 3" xfId="14703" xr:uid="{00000000-0005-0000-0000-0000D69D0000}"/>
    <cellStyle name="Normal 8 4 2 3 2 3 2 2 3 2" xfId="37346" xr:uid="{00000000-0005-0000-0000-0000D79D0000}"/>
    <cellStyle name="Normal 8 4 2 3 2 3 2 2 4" xfId="29905" xr:uid="{00000000-0005-0000-0000-0000D89D0000}"/>
    <cellStyle name="Normal 8 4 2 3 2 3 2 3" xfId="18425" xr:uid="{00000000-0005-0000-0000-0000D99D0000}"/>
    <cellStyle name="Normal 8 4 2 3 2 3 2 3 2" xfId="41068" xr:uid="{00000000-0005-0000-0000-0000DA9D0000}"/>
    <cellStyle name="Normal 8 4 2 3 2 3 2 4" xfId="10985" xr:uid="{00000000-0005-0000-0000-0000DB9D0000}"/>
    <cellStyle name="Normal 8 4 2 3 2 3 2 4 2" xfId="33628" xr:uid="{00000000-0005-0000-0000-0000DC9D0000}"/>
    <cellStyle name="Normal 8 4 2 3 2 3 2 5" xfId="26187" xr:uid="{00000000-0005-0000-0000-0000DD9D0000}"/>
    <cellStyle name="Normal 8 4 2 3 2 3 3" xfId="5412" xr:uid="{00000000-0005-0000-0000-0000DE9D0000}"/>
    <cellStyle name="Normal 8 4 2 3 2 3 3 2" xfId="20296" xr:uid="{00000000-0005-0000-0000-0000DF9D0000}"/>
    <cellStyle name="Normal 8 4 2 3 2 3 3 2 2" xfId="42939" xr:uid="{00000000-0005-0000-0000-0000E09D0000}"/>
    <cellStyle name="Normal 8 4 2 3 2 3 3 3" xfId="12856" xr:uid="{00000000-0005-0000-0000-0000E19D0000}"/>
    <cellStyle name="Normal 8 4 2 3 2 3 3 3 2" xfId="35499" xr:uid="{00000000-0005-0000-0000-0000E29D0000}"/>
    <cellStyle name="Normal 8 4 2 3 2 3 3 4" xfId="28058" xr:uid="{00000000-0005-0000-0000-0000E39D0000}"/>
    <cellStyle name="Normal 8 4 2 3 2 3 4" xfId="16578" xr:uid="{00000000-0005-0000-0000-0000E49D0000}"/>
    <cellStyle name="Normal 8 4 2 3 2 3 4 2" xfId="39221" xr:uid="{00000000-0005-0000-0000-0000E59D0000}"/>
    <cellStyle name="Normal 8 4 2 3 2 3 5" xfId="9138" xr:uid="{00000000-0005-0000-0000-0000E69D0000}"/>
    <cellStyle name="Normal 8 4 2 3 2 3 5 2" xfId="31781" xr:uid="{00000000-0005-0000-0000-0000E79D0000}"/>
    <cellStyle name="Normal 8 4 2 3 2 3 6" xfId="24340" xr:uid="{00000000-0005-0000-0000-0000E89D0000}"/>
    <cellStyle name="Normal 8 4 2 3 2 4" xfId="2613" xr:uid="{00000000-0005-0000-0000-0000E99D0000}"/>
    <cellStyle name="Normal 8 4 2 3 2 4 2" xfId="6334" xr:uid="{00000000-0005-0000-0000-0000EA9D0000}"/>
    <cellStyle name="Normal 8 4 2 3 2 4 2 2" xfId="21218" xr:uid="{00000000-0005-0000-0000-0000EB9D0000}"/>
    <cellStyle name="Normal 8 4 2 3 2 4 2 2 2" xfId="43861" xr:uid="{00000000-0005-0000-0000-0000EC9D0000}"/>
    <cellStyle name="Normal 8 4 2 3 2 4 2 3" xfId="13778" xr:uid="{00000000-0005-0000-0000-0000ED9D0000}"/>
    <cellStyle name="Normal 8 4 2 3 2 4 2 3 2" xfId="36421" xr:uid="{00000000-0005-0000-0000-0000EE9D0000}"/>
    <cellStyle name="Normal 8 4 2 3 2 4 2 4" xfId="28980" xr:uid="{00000000-0005-0000-0000-0000EF9D0000}"/>
    <cellStyle name="Normal 8 4 2 3 2 4 3" xfId="17500" xr:uid="{00000000-0005-0000-0000-0000F09D0000}"/>
    <cellStyle name="Normal 8 4 2 3 2 4 3 2" xfId="40143" xr:uid="{00000000-0005-0000-0000-0000F19D0000}"/>
    <cellStyle name="Normal 8 4 2 3 2 4 4" xfId="10060" xr:uid="{00000000-0005-0000-0000-0000F29D0000}"/>
    <cellStyle name="Normal 8 4 2 3 2 4 4 2" xfId="32703" xr:uid="{00000000-0005-0000-0000-0000F39D0000}"/>
    <cellStyle name="Normal 8 4 2 3 2 4 5" xfId="25262" xr:uid="{00000000-0005-0000-0000-0000F49D0000}"/>
    <cellStyle name="Normal 8 4 2 3 2 5" xfId="4487" xr:uid="{00000000-0005-0000-0000-0000F59D0000}"/>
    <cellStyle name="Normal 8 4 2 3 2 5 2" xfId="19371" xr:uid="{00000000-0005-0000-0000-0000F69D0000}"/>
    <cellStyle name="Normal 8 4 2 3 2 5 2 2" xfId="42014" xr:uid="{00000000-0005-0000-0000-0000F79D0000}"/>
    <cellStyle name="Normal 8 4 2 3 2 5 3" xfId="11931" xr:uid="{00000000-0005-0000-0000-0000F89D0000}"/>
    <cellStyle name="Normal 8 4 2 3 2 5 3 2" xfId="34574" xr:uid="{00000000-0005-0000-0000-0000F99D0000}"/>
    <cellStyle name="Normal 8 4 2 3 2 5 4" xfId="27133" xr:uid="{00000000-0005-0000-0000-0000FA9D0000}"/>
    <cellStyle name="Normal 8 4 2 3 2 6" xfId="15653" xr:uid="{00000000-0005-0000-0000-0000FB9D0000}"/>
    <cellStyle name="Normal 8 4 2 3 2 6 2" xfId="38296" xr:uid="{00000000-0005-0000-0000-0000FC9D0000}"/>
    <cellStyle name="Normal 8 4 2 3 2 7" xfId="8213" xr:uid="{00000000-0005-0000-0000-0000FD9D0000}"/>
    <cellStyle name="Normal 8 4 2 3 2 7 2" xfId="30856" xr:uid="{00000000-0005-0000-0000-0000FE9D0000}"/>
    <cellStyle name="Normal 8 4 2 3 2 8" xfId="23415" xr:uid="{00000000-0005-0000-0000-0000FF9D0000}"/>
    <cellStyle name="Normal 8 4 2 3 3" xfId="1011" xr:uid="{00000000-0005-0000-0000-0000009E0000}"/>
    <cellStyle name="Normal 8 4 2 3 3 2" xfId="1939" xr:uid="{00000000-0005-0000-0000-0000019E0000}"/>
    <cellStyle name="Normal 8 4 2 3 3 2 2" xfId="3789" xr:uid="{00000000-0005-0000-0000-0000029E0000}"/>
    <cellStyle name="Normal 8 4 2 3 3 2 2 2" xfId="7510" xr:uid="{00000000-0005-0000-0000-0000039E0000}"/>
    <cellStyle name="Normal 8 4 2 3 3 2 2 2 2" xfId="22394" xr:uid="{00000000-0005-0000-0000-0000049E0000}"/>
    <cellStyle name="Normal 8 4 2 3 3 2 2 2 2 2" xfId="45037" xr:uid="{00000000-0005-0000-0000-0000059E0000}"/>
    <cellStyle name="Normal 8 4 2 3 3 2 2 2 3" xfId="14954" xr:uid="{00000000-0005-0000-0000-0000069E0000}"/>
    <cellStyle name="Normal 8 4 2 3 3 2 2 2 3 2" xfId="37597" xr:uid="{00000000-0005-0000-0000-0000079E0000}"/>
    <cellStyle name="Normal 8 4 2 3 3 2 2 2 4" xfId="30156" xr:uid="{00000000-0005-0000-0000-0000089E0000}"/>
    <cellStyle name="Normal 8 4 2 3 3 2 2 3" xfId="18676" xr:uid="{00000000-0005-0000-0000-0000099E0000}"/>
    <cellStyle name="Normal 8 4 2 3 3 2 2 3 2" xfId="41319" xr:uid="{00000000-0005-0000-0000-00000A9E0000}"/>
    <cellStyle name="Normal 8 4 2 3 3 2 2 4" xfId="11236" xr:uid="{00000000-0005-0000-0000-00000B9E0000}"/>
    <cellStyle name="Normal 8 4 2 3 3 2 2 4 2" xfId="33879" xr:uid="{00000000-0005-0000-0000-00000C9E0000}"/>
    <cellStyle name="Normal 8 4 2 3 3 2 2 5" xfId="26438" xr:uid="{00000000-0005-0000-0000-00000D9E0000}"/>
    <cellStyle name="Normal 8 4 2 3 3 2 3" xfId="5663" xr:uid="{00000000-0005-0000-0000-00000E9E0000}"/>
    <cellStyle name="Normal 8 4 2 3 3 2 3 2" xfId="20547" xr:uid="{00000000-0005-0000-0000-00000F9E0000}"/>
    <cellStyle name="Normal 8 4 2 3 3 2 3 2 2" xfId="43190" xr:uid="{00000000-0005-0000-0000-0000109E0000}"/>
    <cellStyle name="Normal 8 4 2 3 3 2 3 3" xfId="13107" xr:uid="{00000000-0005-0000-0000-0000119E0000}"/>
    <cellStyle name="Normal 8 4 2 3 3 2 3 3 2" xfId="35750" xr:uid="{00000000-0005-0000-0000-0000129E0000}"/>
    <cellStyle name="Normal 8 4 2 3 3 2 3 4" xfId="28309" xr:uid="{00000000-0005-0000-0000-0000139E0000}"/>
    <cellStyle name="Normal 8 4 2 3 3 2 4" xfId="16829" xr:uid="{00000000-0005-0000-0000-0000149E0000}"/>
    <cellStyle name="Normal 8 4 2 3 3 2 4 2" xfId="39472" xr:uid="{00000000-0005-0000-0000-0000159E0000}"/>
    <cellStyle name="Normal 8 4 2 3 3 2 5" xfId="9389" xr:uid="{00000000-0005-0000-0000-0000169E0000}"/>
    <cellStyle name="Normal 8 4 2 3 3 2 5 2" xfId="32032" xr:uid="{00000000-0005-0000-0000-0000179E0000}"/>
    <cellStyle name="Normal 8 4 2 3 3 2 6" xfId="24591" xr:uid="{00000000-0005-0000-0000-0000189E0000}"/>
    <cellStyle name="Normal 8 4 2 3 3 3" xfId="2864" xr:uid="{00000000-0005-0000-0000-0000199E0000}"/>
    <cellStyle name="Normal 8 4 2 3 3 3 2" xfId="6585" xr:uid="{00000000-0005-0000-0000-00001A9E0000}"/>
    <cellStyle name="Normal 8 4 2 3 3 3 2 2" xfId="21469" xr:uid="{00000000-0005-0000-0000-00001B9E0000}"/>
    <cellStyle name="Normal 8 4 2 3 3 3 2 2 2" xfId="44112" xr:uid="{00000000-0005-0000-0000-00001C9E0000}"/>
    <cellStyle name="Normal 8 4 2 3 3 3 2 3" xfId="14029" xr:uid="{00000000-0005-0000-0000-00001D9E0000}"/>
    <cellStyle name="Normal 8 4 2 3 3 3 2 3 2" xfId="36672" xr:uid="{00000000-0005-0000-0000-00001E9E0000}"/>
    <cellStyle name="Normal 8 4 2 3 3 3 2 4" xfId="29231" xr:uid="{00000000-0005-0000-0000-00001F9E0000}"/>
    <cellStyle name="Normal 8 4 2 3 3 3 3" xfId="17751" xr:uid="{00000000-0005-0000-0000-0000209E0000}"/>
    <cellStyle name="Normal 8 4 2 3 3 3 3 2" xfId="40394" xr:uid="{00000000-0005-0000-0000-0000219E0000}"/>
    <cellStyle name="Normal 8 4 2 3 3 3 4" xfId="10311" xr:uid="{00000000-0005-0000-0000-0000229E0000}"/>
    <cellStyle name="Normal 8 4 2 3 3 3 4 2" xfId="32954" xr:uid="{00000000-0005-0000-0000-0000239E0000}"/>
    <cellStyle name="Normal 8 4 2 3 3 3 5" xfId="25513" xr:uid="{00000000-0005-0000-0000-0000249E0000}"/>
    <cellStyle name="Normal 8 4 2 3 3 4" xfId="4738" xr:uid="{00000000-0005-0000-0000-0000259E0000}"/>
    <cellStyle name="Normal 8 4 2 3 3 4 2" xfId="19622" xr:uid="{00000000-0005-0000-0000-0000269E0000}"/>
    <cellStyle name="Normal 8 4 2 3 3 4 2 2" xfId="42265" xr:uid="{00000000-0005-0000-0000-0000279E0000}"/>
    <cellStyle name="Normal 8 4 2 3 3 4 3" xfId="12182" xr:uid="{00000000-0005-0000-0000-0000289E0000}"/>
    <cellStyle name="Normal 8 4 2 3 3 4 3 2" xfId="34825" xr:uid="{00000000-0005-0000-0000-0000299E0000}"/>
    <cellStyle name="Normal 8 4 2 3 3 4 4" xfId="27384" xr:uid="{00000000-0005-0000-0000-00002A9E0000}"/>
    <cellStyle name="Normal 8 4 2 3 3 5" xfId="15904" xr:uid="{00000000-0005-0000-0000-00002B9E0000}"/>
    <cellStyle name="Normal 8 4 2 3 3 5 2" xfId="38547" xr:uid="{00000000-0005-0000-0000-00002C9E0000}"/>
    <cellStyle name="Normal 8 4 2 3 3 6" xfId="8464" xr:uid="{00000000-0005-0000-0000-00002D9E0000}"/>
    <cellStyle name="Normal 8 4 2 3 3 6 2" xfId="31107" xr:uid="{00000000-0005-0000-0000-00002E9E0000}"/>
    <cellStyle name="Normal 8 4 2 3 3 7" xfId="23666" xr:uid="{00000000-0005-0000-0000-00002F9E0000}"/>
    <cellStyle name="Normal 8 4 2 3 4" xfId="1477" xr:uid="{00000000-0005-0000-0000-0000309E0000}"/>
    <cellStyle name="Normal 8 4 2 3 4 2" xfId="3327" xr:uid="{00000000-0005-0000-0000-0000319E0000}"/>
    <cellStyle name="Normal 8 4 2 3 4 2 2" xfId="7048" xr:uid="{00000000-0005-0000-0000-0000329E0000}"/>
    <cellStyle name="Normal 8 4 2 3 4 2 2 2" xfId="21932" xr:uid="{00000000-0005-0000-0000-0000339E0000}"/>
    <cellStyle name="Normal 8 4 2 3 4 2 2 2 2" xfId="44575" xr:uid="{00000000-0005-0000-0000-0000349E0000}"/>
    <cellStyle name="Normal 8 4 2 3 4 2 2 3" xfId="14492" xr:uid="{00000000-0005-0000-0000-0000359E0000}"/>
    <cellStyle name="Normal 8 4 2 3 4 2 2 3 2" xfId="37135" xr:uid="{00000000-0005-0000-0000-0000369E0000}"/>
    <cellStyle name="Normal 8 4 2 3 4 2 2 4" xfId="29694" xr:uid="{00000000-0005-0000-0000-0000379E0000}"/>
    <cellStyle name="Normal 8 4 2 3 4 2 3" xfId="18214" xr:uid="{00000000-0005-0000-0000-0000389E0000}"/>
    <cellStyle name="Normal 8 4 2 3 4 2 3 2" xfId="40857" xr:uid="{00000000-0005-0000-0000-0000399E0000}"/>
    <cellStyle name="Normal 8 4 2 3 4 2 4" xfId="10774" xr:uid="{00000000-0005-0000-0000-00003A9E0000}"/>
    <cellStyle name="Normal 8 4 2 3 4 2 4 2" xfId="33417" xr:uid="{00000000-0005-0000-0000-00003B9E0000}"/>
    <cellStyle name="Normal 8 4 2 3 4 2 5" xfId="25976" xr:uid="{00000000-0005-0000-0000-00003C9E0000}"/>
    <cellStyle name="Normal 8 4 2 3 4 3" xfId="5201" xr:uid="{00000000-0005-0000-0000-00003D9E0000}"/>
    <cellStyle name="Normal 8 4 2 3 4 3 2" xfId="20085" xr:uid="{00000000-0005-0000-0000-00003E9E0000}"/>
    <cellStyle name="Normal 8 4 2 3 4 3 2 2" xfId="42728" xr:uid="{00000000-0005-0000-0000-00003F9E0000}"/>
    <cellStyle name="Normal 8 4 2 3 4 3 3" xfId="12645" xr:uid="{00000000-0005-0000-0000-0000409E0000}"/>
    <cellStyle name="Normal 8 4 2 3 4 3 3 2" xfId="35288" xr:uid="{00000000-0005-0000-0000-0000419E0000}"/>
    <cellStyle name="Normal 8 4 2 3 4 3 4" xfId="27847" xr:uid="{00000000-0005-0000-0000-0000429E0000}"/>
    <cellStyle name="Normal 8 4 2 3 4 4" xfId="16367" xr:uid="{00000000-0005-0000-0000-0000439E0000}"/>
    <cellStyle name="Normal 8 4 2 3 4 4 2" xfId="39010" xr:uid="{00000000-0005-0000-0000-0000449E0000}"/>
    <cellStyle name="Normal 8 4 2 3 4 5" xfId="8927" xr:uid="{00000000-0005-0000-0000-0000459E0000}"/>
    <cellStyle name="Normal 8 4 2 3 4 5 2" xfId="31570" xr:uid="{00000000-0005-0000-0000-0000469E0000}"/>
    <cellStyle name="Normal 8 4 2 3 4 6" xfId="24129" xr:uid="{00000000-0005-0000-0000-0000479E0000}"/>
    <cellStyle name="Normal 8 4 2 3 5" xfId="2402" xr:uid="{00000000-0005-0000-0000-0000489E0000}"/>
    <cellStyle name="Normal 8 4 2 3 5 2" xfId="6123" xr:uid="{00000000-0005-0000-0000-0000499E0000}"/>
    <cellStyle name="Normal 8 4 2 3 5 2 2" xfId="21007" xr:uid="{00000000-0005-0000-0000-00004A9E0000}"/>
    <cellStyle name="Normal 8 4 2 3 5 2 2 2" xfId="43650" xr:uid="{00000000-0005-0000-0000-00004B9E0000}"/>
    <cellStyle name="Normal 8 4 2 3 5 2 3" xfId="13567" xr:uid="{00000000-0005-0000-0000-00004C9E0000}"/>
    <cellStyle name="Normal 8 4 2 3 5 2 3 2" xfId="36210" xr:uid="{00000000-0005-0000-0000-00004D9E0000}"/>
    <cellStyle name="Normal 8 4 2 3 5 2 4" xfId="28769" xr:uid="{00000000-0005-0000-0000-00004E9E0000}"/>
    <cellStyle name="Normal 8 4 2 3 5 3" xfId="17289" xr:uid="{00000000-0005-0000-0000-00004F9E0000}"/>
    <cellStyle name="Normal 8 4 2 3 5 3 2" xfId="39932" xr:uid="{00000000-0005-0000-0000-0000509E0000}"/>
    <cellStyle name="Normal 8 4 2 3 5 4" xfId="9849" xr:uid="{00000000-0005-0000-0000-0000519E0000}"/>
    <cellStyle name="Normal 8 4 2 3 5 4 2" xfId="32492" xr:uid="{00000000-0005-0000-0000-0000529E0000}"/>
    <cellStyle name="Normal 8 4 2 3 5 5" xfId="25051" xr:uid="{00000000-0005-0000-0000-0000539E0000}"/>
    <cellStyle name="Normal 8 4 2 3 6" xfId="4276" xr:uid="{00000000-0005-0000-0000-0000549E0000}"/>
    <cellStyle name="Normal 8 4 2 3 6 2" xfId="19160" xr:uid="{00000000-0005-0000-0000-0000559E0000}"/>
    <cellStyle name="Normal 8 4 2 3 6 2 2" xfId="41803" xr:uid="{00000000-0005-0000-0000-0000569E0000}"/>
    <cellStyle name="Normal 8 4 2 3 6 3" xfId="11720" xr:uid="{00000000-0005-0000-0000-0000579E0000}"/>
    <cellStyle name="Normal 8 4 2 3 6 3 2" xfId="34363" xr:uid="{00000000-0005-0000-0000-0000589E0000}"/>
    <cellStyle name="Normal 8 4 2 3 6 4" xfId="26922" xr:uid="{00000000-0005-0000-0000-0000599E0000}"/>
    <cellStyle name="Normal 8 4 2 3 7" xfId="15442" xr:uid="{00000000-0005-0000-0000-00005A9E0000}"/>
    <cellStyle name="Normal 8 4 2 3 7 2" xfId="38085" xr:uid="{00000000-0005-0000-0000-00005B9E0000}"/>
    <cellStyle name="Normal 8 4 2 3 8" xfId="8002" xr:uid="{00000000-0005-0000-0000-00005C9E0000}"/>
    <cellStyle name="Normal 8 4 2 3 8 2" xfId="30645" xr:uid="{00000000-0005-0000-0000-00005D9E0000}"/>
    <cellStyle name="Normal 8 4 2 3 9" xfId="23205" xr:uid="{00000000-0005-0000-0000-00005E9E0000}"/>
    <cellStyle name="Normal 8 4 2 4" xfId="652" xr:uid="{00000000-0005-0000-0000-00005F9E0000}"/>
    <cellStyle name="Normal 8 4 2 4 2" xfId="1117" xr:uid="{00000000-0005-0000-0000-0000609E0000}"/>
    <cellStyle name="Normal 8 4 2 4 2 2" xfId="2045" xr:uid="{00000000-0005-0000-0000-0000619E0000}"/>
    <cellStyle name="Normal 8 4 2 4 2 2 2" xfId="3895" xr:uid="{00000000-0005-0000-0000-0000629E0000}"/>
    <cellStyle name="Normal 8 4 2 4 2 2 2 2" xfId="7616" xr:uid="{00000000-0005-0000-0000-0000639E0000}"/>
    <cellStyle name="Normal 8 4 2 4 2 2 2 2 2" xfId="22500" xr:uid="{00000000-0005-0000-0000-0000649E0000}"/>
    <cellStyle name="Normal 8 4 2 4 2 2 2 2 2 2" xfId="45143" xr:uid="{00000000-0005-0000-0000-0000659E0000}"/>
    <cellStyle name="Normal 8 4 2 4 2 2 2 2 3" xfId="15060" xr:uid="{00000000-0005-0000-0000-0000669E0000}"/>
    <cellStyle name="Normal 8 4 2 4 2 2 2 2 3 2" xfId="37703" xr:uid="{00000000-0005-0000-0000-0000679E0000}"/>
    <cellStyle name="Normal 8 4 2 4 2 2 2 2 4" xfId="30262" xr:uid="{00000000-0005-0000-0000-0000689E0000}"/>
    <cellStyle name="Normal 8 4 2 4 2 2 2 3" xfId="18782" xr:uid="{00000000-0005-0000-0000-0000699E0000}"/>
    <cellStyle name="Normal 8 4 2 4 2 2 2 3 2" xfId="41425" xr:uid="{00000000-0005-0000-0000-00006A9E0000}"/>
    <cellStyle name="Normal 8 4 2 4 2 2 2 4" xfId="11342" xr:uid="{00000000-0005-0000-0000-00006B9E0000}"/>
    <cellStyle name="Normal 8 4 2 4 2 2 2 4 2" xfId="33985" xr:uid="{00000000-0005-0000-0000-00006C9E0000}"/>
    <cellStyle name="Normal 8 4 2 4 2 2 2 5" xfId="26544" xr:uid="{00000000-0005-0000-0000-00006D9E0000}"/>
    <cellStyle name="Normal 8 4 2 4 2 2 3" xfId="5769" xr:uid="{00000000-0005-0000-0000-00006E9E0000}"/>
    <cellStyle name="Normal 8 4 2 4 2 2 3 2" xfId="20653" xr:uid="{00000000-0005-0000-0000-00006F9E0000}"/>
    <cellStyle name="Normal 8 4 2 4 2 2 3 2 2" xfId="43296" xr:uid="{00000000-0005-0000-0000-0000709E0000}"/>
    <cellStyle name="Normal 8 4 2 4 2 2 3 3" xfId="13213" xr:uid="{00000000-0005-0000-0000-0000719E0000}"/>
    <cellStyle name="Normal 8 4 2 4 2 2 3 3 2" xfId="35856" xr:uid="{00000000-0005-0000-0000-0000729E0000}"/>
    <cellStyle name="Normal 8 4 2 4 2 2 3 4" xfId="28415" xr:uid="{00000000-0005-0000-0000-0000739E0000}"/>
    <cellStyle name="Normal 8 4 2 4 2 2 4" xfId="16935" xr:uid="{00000000-0005-0000-0000-0000749E0000}"/>
    <cellStyle name="Normal 8 4 2 4 2 2 4 2" xfId="39578" xr:uid="{00000000-0005-0000-0000-0000759E0000}"/>
    <cellStyle name="Normal 8 4 2 4 2 2 5" xfId="9495" xr:uid="{00000000-0005-0000-0000-0000769E0000}"/>
    <cellStyle name="Normal 8 4 2 4 2 2 5 2" xfId="32138" xr:uid="{00000000-0005-0000-0000-0000779E0000}"/>
    <cellStyle name="Normal 8 4 2 4 2 2 6" xfId="24697" xr:uid="{00000000-0005-0000-0000-0000789E0000}"/>
    <cellStyle name="Normal 8 4 2 4 2 3" xfId="2970" xr:uid="{00000000-0005-0000-0000-0000799E0000}"/>
    <cellStyle name="Normal 8 4 2 4 2 3 2" xfId="6691" xr:uid="{00000000-0005-0000-0000-00007A9E0000}"/>
    <cellStyle name="Normal 8 4 2 4 2 3 2 2" xfId="21575" xr:uid="{00000000-0005-0000-0000-00007B9E0000}"/>
    <cellStyle name="Normal 8 4 2 4 2 3 2 2 2" xfId="44218" xr:uid="{00000000-0005-0000-0000-00007C9E0000}"/>
    <cellStyle name="Normal 8 4 2 4 2 3 2 3" xfId="14135" xr:uid="{00000000-0005-0000-0000-00007D9E0000}"/>
    <cellStyle name="Normal 8 4 2 4 2 3 2 3 2" xfId="36778" xr:uid="{00000000-0005-0000-0000-00007E9E0000}"/>
    <cellStyle name="Normal 8 4 2 4 2 3 2 4" xfId="29337" xr:uid="{00000000-0005-0000-0000-00007F9E0000}"/>
    <cellStyle name="Normal 8 4 2 4 2 3 3" xfId="17857" xr:uid="{00000000-0005-0000-0000-0000809E0000}"/>
    <cellStyle name="Normal 8 4 2 4 2 3 3 2" xfId="40500" xr:uid="{00000000-0005-0000-0000-0000819E0000}"/>
    <cellStyle name="Normal 8 4 2 4 2 3 4" xfId="10417" xr:uid="{00000000-0005-0000-0000-0000829E0000}"/>
    <cellStyle name="Normal 8 4 2 4 2 3 4 2" xfId="33060" xr:uid="{00000000-0005-0000-0000-0000839E0000}"/>
    <cellStyle name="Normal 8 4 2 4 2 3 5" xfId="25619" xr:uid="{00000000-0005-0000-0000-0000849E0000}"/>
    <cellStyle name="Normal 8 4 2 4 2 4" xfId="4844" xr:uid="{00000000-0005-0000-0000-0000859E0000}"/>
    <cellStyle name="Normal 8 4 2 4 2 4 2" xfId="19728" xr:uid="{00000000-0005-0000-0000-0000869E0000}"/>
    <cellStyle name="Normal 8 4 2 4 2 4 2 2" xfId="42371" xr:uid="{00000000-0005-0000-0000-0000879E0000}"/>
    <cellStyle name="Normal 8 4 2 4 2 4 3" xfId="12288" xr:uid="{00000000-0005-0000-0000-0000889E0000}"/>
    <cellStyle name="Normal 8 4 2 4 2 4 3 2" xfId="34931" xr:uid="{00000000-0005-0000-0000-0000899E0000}"/>
    <cellStyle name="Normal 8 4 2 4 2 4 4" xfId="27490" xr:uid="{00000000-0005-0000-0000-00008A9E0000}"/>
    <cellStyle name="Normal 8 4 2 4 2 5" xfId="16010" xr:uid="{00000000-0005-0000-0000-00008B9E0000}"/>
    <cellStyle name="Normal 8 4 2 4 2 5 2" xfId="38653" xr:uid="{00000000-0005-0000-0000-00008C9E0000}"/>
    <cellStyle name="Normal 8 4 2 4 2 6" xfId="8570" xr:uid="{00000000-0005-0000-0000-00008D9E0000}"/>
    <cellStyle name="Normal 8 4 2 4 2 6 2" xfId="31213" xr:uid="{00000000-0005-0000-0000-00008E9E0000}"/>
    <cellStyle name="Normal 8 4 2 4 2 7" xfId="23772" xr:uid="{00000000-0005-0000-0000-00008F9E0000}"/>
    <cellStyle name="Normal 8 4 2 4 3" xfId="1583" xr:uid="{00000000-0005-0000-0000-0000909E0000}"/>
    <cellStyle name="Normal 8 4 2 4 3 2" xfId="3433" xr:uid="{00000000-0005-0000-0000-0000919E0000}"/>
    <cellStyle name="Normal 8 4 2 4 3 2 2" xfId="7154" xr:uid="{00000000-0005-0000-0000-0000929E0000}"/>
    <cellStyle name="Normal 8 4 2 4 3 2 2 2" xfId="22038" xr:uid="{00000000-0005-0000-0000-0000939E0000}"/>
    <cellStyle name="Normal 8 4 2 4 3 2 2 2 2" xfId="44681" xr:uid="{00000000-0005-0000-0000-0000949E0000}"/>
    <cellStyle name="Normal 8 4 2 4 3 2 2 3" xfId="14598" xr:uid="{00000000-0005-0000-0000-0000959E0000}"/>
    <cellStyle name="Normal 8 4 2 4 3 2 2 3 2" xfId="37241" xr:uid="{00000000-0005-0000-0000-0000969E0000}"/>
    <cellStyle name="Normal 8 4 2 4 3 2 2 4" xfId="29800" xr:uid="{00000000-0005-0000-0000-0000979E0000}"/>
    <cellStyle name="Normal 8 4 2 4 3 2 3" xfId="18320" xr:uid="{00000000-0005-0000-0000-0000989E0000}"/>
    <cellStyle name="Normal 8 4 2 4 3 2 3 2" xfId="40963" xr:uid="{00000000-0005-0000-0000-0000999E0000}"/>
    <cellStyle name="Normal 8 4 2 4 3 2 4" xfId="10880" xr:uid="{00000000-0005-0000-0000-00009A9E0000}"/>
    <cellStyle name="Normal 8 4 2 4 3 2 4 2" xfId="33523" xr:uid="{00000000-0005-0000-0000-00009B9E0000}"/>
    <cellStyle name="Normal 8 4 2 4 3 2 5" xfId="26082" xr:uid="{00000000-0005-0000-0000-00009C9E0000}"/>
    <cellStyle name="Normal 8 4 2 4 3 3" xfId="5307" xr:uid="{00000000-0005-0000-0000-00009D9E0000}"/>
    <cellStyle name="Normal 8 4 2 4 3 3 2" xfId="20191" xr:uid="{00000000-0005-0000-0000-00009E9E0000}"/>
    <cellStyle name="Normal 8 4 2 4 3 3 2 2" xfId="42834" xr:uid="{00000000-0005-0000-0000-00009F9E0000}"/>
    <cellStyle name="Normal 8 4 2 4 3 3 3" xfId="12751" xr:uid="{00000000-0005-0000-0000-0000A09E0000}"/>
    <cellStyle name="Normal 8 4 2 4 3 3 3 2" xfId="35394" xr:uid="{00000000-0005-0000-0000-0000A19E0000}"/>
    <cellStyle name="Normal 8 4 2 4 3 3 4" xfId="27953" xr:uid="{00000000-0005-0000-0000-0000A29E0000}"/>
    <cellStyle name="Normal 8 4 2 4 3 4" xfId="16473" xr:uid="{00000000-0005-0000-0000-0000A39E0000}"/>
    <cellStyle name="Normal 8 4 2 4 3 4 2" xfId="39116" xr:uid="{00000000-0005-0000-0000-0000A49E0000}"/>
    <cellStyle name="Normal 8 4 2 4 3 5" xfId="9033" xr:uid="{00000000-0005-0000-0000-0000A59E0000}"/>
    <cellStyle name="Normal 8 4 2 4 3 5 2" xfId="31676" xr:uid="{00000000-0005-0000-0000-0000A69E0000}"/>
    <cellStyle name="Normal 8 4 2 4 3 6" xfId="24235" xr:uid="{00000000-0005-0000-0000-0000A79E0000}"/>
    <cellStyle name="Normal 8 4 2 4 4" xfId="2508" xr:uid="{00000000-0005-0000-0000-0000A89E0000}"/>
    <cellStyle name="Normal 8 4 2 4 4 2" xfId="6229" xr:uid="{00000000-0005-0000-0000-0000A99E0000}"/>
    <cellStyle name="Normal 8 4 2 4 4 2 2" xfId="21113" xr:uid="{00000000-0005-0000-0000-0000AA9E0000}"/>
    <cellStyle name="Normal 8 4 2 4 4 2 2 2" xfId="43756" xr:uid="{00000000-0005-0000-0000-0000AB9E0000}"/>
    <cellStyle name="Normal 8 4 2 4 4 2 3" xfId="13673" xr:uid="{00000000-0005-0000-0000-0000AC9E0000}"/>
    <cellStyle name="Normal 8 4 2 4 4 2 3 2" xfId="36316" xr:uid="{00000000-0005-0000-0000-0000AD9E0000}"/>
    <cellStyle name="Normal 8 4 2 4 4 2 4" xfId="28875" xr:uid="{00000000-0005-0000-0000-0000AE9E0000}"/>
    <cellStyle name="Normal 8 4 2 4 4 3" xfId="17395" xr:uid="{00000000-0005-0000-0000-0000AF9E0000}"/>
    <cellStyle name="Normal 8 4 2 4 4 3 2" xfId="40038" xr:uid="{00000000-0005-0000-0000-0000B09E0000}"/>
    <cellStyle name="Normal 8 4 2 4 4 4" xfId="9955" xr:uid="{00000000-0005-0000-0000-0000B19E0000}"/>
    <cellStyle name="Normal 8 4 2 4 4 4 2" xfId="32598" xr:uid="{00000000-0005-0000-0000-0000B29E0000}"/>
    <cellStyle name="Normal 8 4 2 4 4 5" xfId="25157" xr:uid="{00000000-0005-0000-0000-0000B39E0000}"/>
    <cellStyle name="Normal 8 4 2 4 5" xfId="4382" xr:uid="{00000000-0005-0000-0000-0000B49E0000}"/>
    <cellStyle name="Normal 8 4 2 4 5 2" xfId="19266" xr:uid="{00000000-0005-0000-0000-0000B59E0000}"/>
    <cellStyle name="Normal 8 4 2 4 5 2 2" xfId="41909" xr:uid="{00000000-0005-0000-0000-0000B69E0000}"/>
    <cellStyle name="Normal 8 4 2 4 5 3" xfId="11826" xr:uid="{00000000-0005-0000-0000-0000B79E0000}"/>
    <cellStyle name="Normal 8 4 2 4 5 3 2" xfId="34469" xr:uid="{00000000-0005-0000-0000-0000B89E0000}"/>
    <cellStyle name="Normal 8 4 2 4 5 4" xfId="27028" xr:uid="{00000000-0005-0000-0000-0000B99E0000}"/>
    <cellStyle name="Normal 8 4 2 4 6" xfId="15548" xr:uid="{00000000-0005-0000-0000-0000BA9E0000}"/>
    <cellStyle name="Normal 8 4 2 4 6 2" xfId="38191" xr:uid="{00000000-0005-0000-0000-0000BB9E0000}"/>
    <cellStyle name="Normal 8 4 2 4 7" xfId="8108" xr:uid="{00000000-0005-0000-0000-0000BC9E0000}"/>
    <cellStyle name="Normal 8 4 2 4 7 2" xfId="30751" xr:uid="{00000000-0005-0000-0000-0000BD9E0000}"/>
    <cellStyle name="Normal 8 4 2 4 8" xfId="23310" xr:uid="{00000000-0005-0000-0000-0000BE9E0000}"/>
    <cellStyle name="Normal 8 4 2 5" xfId="906" xr:uid="{00000000-0005-0000-0000-0000BF9E0000}"/>
    <cellStyle name="Normal 8 4 2 5 2" xfId="1834" xr:uid="{00000000-0005-0000-0000-0000C09E0000}"/>
    <cellStyle name="Normal 8 4 2 5 2 2" xfId="3684" xr:uid="{00000000-0005-0000-0000-0000C19E0000}"/>
    <cellStyle name="Normal 8 4 2 5 2 2 2" xfId="7405" xr:uid="{00000000-0005-0000-0000-0000C29E0000}"/>
    <cellStyle name="Normal 8 4 2 5 2 2 2 2" xfId="22289" xr:uid="{00000000-0005-0000-0000-0000C39E0000}"/>
    <cellStyle name="Normal 8 4 2 5 2 2 2 2 2" xfId="44932" xr:uid="{00000000-0005-0000-0000-0000C49E0000}"/>
    <cellStyle name="Normal 8 4 2 5 2 2 2 3" xfId="14849" xr:uid="{00000000-0005-0000-0000-0000C59E0000}"/>
    <cellStyle name="Normal 8 4 2 5 2 2 2 3 2" xfId="37492" xr:uid="{00000000-0005-0000-0000-0000C69E0000}"/>
    <cellStyle name="Normal 8 4 2 5 2 2 2 4" xfId="30051" xr:uid="{00000000-0005-0000-0000-0000C79E0000}"/>
    <cellStyle name="Normal 8 4 2 5 2 2 3" xfId="18571" xr:uid="{00000000-0005-0000-0000-0000C89E0000}"/>
    <cellStyle name="Normal 8 4 2 5 2 2 3 2" xfId="41214" xr:uid="{00000000-0005-0000-0000-0000C99E0000}"/>
    <cellStyle name="Normal 8 4 2 5 2 2 4" xfId="11131" xr:uid="{00000000-0005-0000-0000-0000CA9E0000}"/>
    <cellStyle name="Normal 8 4 2 5 2 2 4 2" xfId="33774" xr:uid="{00000000-0005-0000-0000-0000CB9E0000}"/>
    <cellStyle name="Normal 8 4 2 5 2 2 5" xfId="26333" xr:uid="{00000000-0005-0000-0000-0000CC9E0000}"/>
    <cellStyle name="Normal 8 4 2 5 2 3" xfId="5558" xr:uid="{00000000-0005-0000-0000-0000CD9E0000}"/>
    <cellStyle name="Normal 8 4 2 5 2 3 2" xfId="20442" xr:uid="{00000000-0005-0000-0000-0000CE9E0000}"/>
    <cellStyle name="Normal 8 4 2 5 2 3 2 2" xfId="43085" xr:uid="{00000000-0005-0000-0000-0000CF9E0000}"/>
    <cellStyle name="Normal 8 4 2 5 2 3 3" xfId="13002" xr:uid="{00000000-0005-0000-0000-0000D09E0000}"/>
    <cellStyle name="Normal 8 4 2 5 2 3 3 2" xfId="35645" xr:uid="{00000000-0005-0000-0000-0000D19E0000}"/>
    <cellStyle name="Normal 8 4 2 5 2 3 4" xfId="28204" xr:uid="{00000000-0005-0000-0000-0000D29E0000}"/>
    <cellStyle name="Normal 8 4 2 5 2 4" xfId="16724" xr:uid="{00000000-0005-0000-0000-0000D39E0000}"/>
    <cellStyle name="Normal 8 4 2 5 2 4 2" xfId="39367" xr:uid="{00000000-0005-0000-0000-0000D49E0000}"/>
    <cellStyle name="Normal 8 4 2 5 2 5" xfId="9284" xr:uid="{00000000-0005-0000-0000-0000D59E0000}"/>
    <cellStyle name="Normal 8 4 2 5 2 5 2" xfId="31927" xr:uid="{00000000-0005-0000-0000-0000D69E0000}"/>
    <cellStyle name="Normal 8 4 2 5 2 6" xfId="24486" xr:uid="{00000000-0005-0000-0000-0000D79E0000}"/>
    <cellStyle name="Normal 8 4 2 5 3" xfId="2759" xr:uid="{00000000-0005-0000-0000-0000D89E0000}"/>
    <cellStyle name="Normal 8 4 2 5 3 2" xfId="6480" xr:uid="{00000000-0005-0000-0000-0000D99E0000}"/>
    <cellStyle name="Normal 8 4 2 5 3 2 2" xfId="21364" xr:uid="{00000000-0005-0000-0000-0000DA9E0000}"/>
    <cellStyle name="Normal 8 4 2 5 3 2 2 2" xfId="44007" xr:uid="{00000000-0005-0000-0000-0000DB9E0000}"/>
    <cellStyle name="Normal 8 4 2 5 3 2 3" xfId="13924" xr:uid="{00000000-0005-0000-0000-0000DC9E0000}"/>
    <cellStyle name="Normal 8 4 2 5 3 2 3 2" xfId="36567" xr:uid="{00000000-0005-0000-0000-0000DD9E0000}"/>
    <cellStyle name="Normal 8 4 2 5 3 2 4" xfId="29126" xr:uid="{00000000-0005-0000-0000-0000DE9E0000}"/>
    <cellStyle name="Normal 8 4 2 5 3 3" xfId="17646" xr:uid="{00000000-0005-0000-0000-0000DF9E0000}"/>
    <cellStyle name="Normal 8 4 2 5 3 3 2" xfId="40289" xr:uid="{00000000-0005-0000-0000-0000E09E0000}"/>
    <cellStyle name="Normal 8 4 2 5 3 4" xfId="10206" xr:uid="{00000000-0005-0000-0000-0000E19E0000}"/>
    <cellStyle name="Normal 8 4 2 5 3 4 2" xfId="32849" xr:uid="{00000000-0005-0000-0000-0000E29E0000}"/>
    <cellStyle name="Normal 8 4 2 5 3 5" xfId="25408" xr:uid="{00000000-0005-0000-0000-0000E39E0000}"/>
    <cellStyle name="Normal 8 4 2 5 4" xfId="4633" xr:uid="{00000000-0005-0000-0000-0000E49E0000}"/>
    <cellStyle name="Normal 8 4 2 5 4 2" xfId="19517" xr:uid="{00000000-0005-0000-0000-0000E59E0000}"/>
    <cellStyle name="Normal 8 4 2 5 4 2 2" xfId="42160" xr:uid="{00000000-0005-0000-0000-0000E69E0000}"/>
    <cellStyle name="Normal 8 4 2 5 4 3" xfId="12077" xr:uid="{00000000-0005-0000-0000-0000E79E0000}"/>
    <cellStyle name="Normal 8 4 2 5 4 3 2" xfId="34720" xr:uid="{00000000-0005-0000-0000-0000E89E0000}"/>
    <cellStyle name="Normal 8 4 2 5 4 4" xfId="27279" xr:uid="{00000000-0005-0000-0000-0000E99E0000}"/>
    <cellStyle name="Normal 8 4 2 5 5" xfId="15799" xr:uid="{00000000-0005-0000-0000-0000EA9E0000}"/>
    <cellStyle name="Normal 8 4 2 5 5 2" xfId="38442" xr:uid="{00000000-0005-0000-0000-0000EB9E0000}"/>
    <cellStyle name="Normal 8 4 2 5 6" xfId="8359" xr:uid="{00000000-0005-0000-0000-0000EC9E0000}"/>
    <cellStyle name="Normal 8 4 2 5 6 2" xfId="31002" xr:uid="{00000000-0005-0000-0000-0000ED9E0000}"/>
    <cellStyle name="Normal 8 4 2 5 7" xfId="23561" xr:uid="{00000000-0005-0000-0000-0000EE9E0000}"/>
    <cellStyle name="Normal 8 4 2 6" xfId="1372" xr:uid="{00000000-0005-0000-0000-0000EF9E0000}"/>
    <cellStyle name="Normal 8 4 2 6 2" xfId="3222" xr:uid="{00000000-0005-0000-0000-0000F09E0000}"/>
    <cellStyle name="Normal 8 4 2 6 2 2" xfId="6943" xr:uid="{00000000-0005-0000-0000-0000F19E0000}"/>
    <cellStyle name="Normal 8 4 2 6 2 2 2" xfId="21827" xr:uid="{00000000-0005-0000-0000-0000F29E0000}"/>
    <cellStyle name="Normal 8 4 2 6 2 2 2 2" xfId="44470" xr:uid="{00000000-0005-0000-0000-0000F39E0000}"/>
    <cellStyle name="Normal 8 4 2 6 2 2 3" xfId="14387" xr:uid="{00000000-0005-0000-0000-0000F49E0000}"/>
    <cellStyle name="Normal 8 4 2 6 2 2 3 2" xfId="37030" xr:uid="{00000000-0005-0000-0000-0000F59E0000}"/>
    <cellStyle name="Normal 8 4 2 6 2 2 4" xfId="29589" xr:uid="{00000000-0005-0000-0000-0000F69E0000}"/>
    <cellStyle name="Normal 8 4 2 6 2 3" xfId="18109" xr:uid="{00000000-0005-0000-0000-0000F79E0000}"/>
    <cellStyle name="Normal 8 4 2 6 2 3 2" xfId="40752" xr:uid="{00000000-0005-0000-0000-0000F89E0000}"/>
    <cellStyle name="Normal 8 4 2 6 2 4" xfId="10669" xr:uid="{00000000-0005-0000-0000-0000F99E0000}"/>
    <cellStyle name="Normal 8 4 2 6 2 4 2" xfId="33312" xr:uid="{00000000-0005-0000-0000-0000FA9E0000}"/>
    <cellStyle name="Normal 8 4 2 6 2 5" xfId="25871" xr:uid="{00000000-0005-0000-0000-0000FB9E0000}"/>
    <cellStyle name="Normal 8 4 2 6 3" xfId="5096" xr:uid="{00000000-0005-0000-0000-0000FC9E0000}"/>
    <cellStyle name="Normal 8 4 2 6 3 2" xfId="19980" xr:uid="{00000000-0005-0000-0000-0000FD9E0000}"/>
    <cellStyle name="Normal 8 4 2 6 3 2 2" xfId="42623" xr:uid="{00000000-0005-0000-0000-0000FE9E0000}"/>
    <cellStyle name="Normal 8 4 2 6 3 3" xfId="12540" xr:uid="{00000000-0005-0000-0000-0000FF9E0000}"/>
    <cellStyle name="Normal 8 4 2 6 3 3 2" xfId="35183" xr:uid="{00000000-0005-0000-0000-0000009F0000}"/>
    <cellStyle name="Normal 8 4 2 6 3 4" xfId="27742" xr:uid="{00000000-0005-0000-0000-0000019F0000}"/>
    <cellStyle name="Normal 8 4 2 6 4" xfId="16262" xr:uid="{00000000-0005-0000-0000-0000029F0000}"/>
    <cellStyle name="Normal 8 4 2 6 4 2" xfId="38905" xr:uid="{00000000-0005-0000-0000-0000039F0000}"/>
    <cellStyle name="Normal 8 4 2 6 5" xfId="8822" xr:uid="{00000000-0005-0000-0000-0000049F0000}"/>
    <cellStyle name="Normal 8 4 2 6 5 2" xfId="31465" xr:uid="{00000000-0005-0000-0000-0000059F0000}"/>
    <cellStyle name="Normal 8 4 2 6 6" xfId="24024" xr:uid="{00000000-0005-0000-0000-0000069F0000}"/>
    <cellStyle name="Normal 8 4 2 7" xfId="2297" xr:uid="{00000000-0005-0000-0000-0000079F0000}"/>
    <cellStyle name="Normal 8 4 2 7 2" xfId="6018" xr:uid="{00000000-0005-0000-0000-0000089F0000}"/>
    <cellStyle name="Normal 8 4 2 7 2 2" xfId="20902" xr:uid="{00000000-0005-0000-0000-0000099F0000}"/>
    <cellStyle name="Normal 8 4 2 7 2 2 2" xfId="43545" xr:uid="{00000000-0005-0000-0000-00000A9F0000}"/>
    <cellStyle name="Normal 8 4 2 7 2 3" xfId="13462" xr:uid="{00000000-0005-0000-0000-00000B9F0000}"/>
    <cellStyle name="Normal 8 4 2 7 2 3 2" xfId="36105" xr:uid="{00000000-0005-0000-0000-00000C9F0000}"/>
    <cellStyle name="Normal 8 4 2 7 2 4" xfId="28664" xr:uid="{00000000-0005-0000-0000-00000D9F0000}"/>
    <cellStyle name="Normal 8 4 2 7 3" xfId="17184" xr:uid="{00000000-0005-0000-0000-00000E9F0000}"/>
    <cellStyle name="Normal 8 4 2 7 3 2" xfId="39827" xr:uid="{00000000-0005-0000-0000-00000F9F0000}"/>
    <cellStyle name="Normal 8 4 2 7 4" xfId="9744" xr:uid="{00000000-0005-0000-0000-0000109F0000}"/>
    <cellStyle name="Normal 8 4 2 7 4 2" xfId="32387" xr:uid="{00000000-0005-0000-0000-0000119F0000}"/>
    <cellStyle name="Normal 8 4 2 7 5" xfId="24946" xr:uid="{00000000-0005-0000-0000-0000129F0000}"/>
    <cellStyle name="Normal 8 4 2 8" xfId="4171" xr:uid="{00000000-0005-0000-0000-0000139F0000}"/>
    <cellStyle name="Normal 8 4 2 8 2" xfId="19055" xr:uid="{00000000-0005-0000-0000-0000149F0000}"/>
    <cellStyle name="Normal 8 4 2 8 2 2" xfId="41698" xr:uid="{00000000-0005-0000-0000-0000159F0000}"/>
    <cellStyle name="Normal 8 4 2 8 3" xfId="11615" xr:uid="{00000000-0005-0000-0000-0000169F0000}"/>
    <cellStyle name="Normal 8 4 2 8 3 2" xfId="34258" xr:uid="{00000000-0005-0000-0000-0000179F0000}"/>
    <cellStyle name="Normal 8 4 2 8 4" xfId="26817" xr:uid="{00000000-0005-0000-0000-0000189F0000}"/>
    <cellStyle name="Normal 8 4 2 9" xfId="15337" xr:uid="{00000000-0005-0000-0000-0000199F0000}"/>
    <cellStyle name="Normal 8 4 2 9 2" xfId="37980" xr:uid="{00000000-0005-0000-0000-00001A9F0000}"/>
    <cellStyle name="Normal 8 4 3" xfId="471" xr:uid="{00000000-0005-0000-0000-00001B9F0000}"/>
    <cellStyle name="Normal 8 4 3 10" xfId="23132" xr:uid="{00000000-0005-0000-0000-00001C9F0000}"/>
    <cellStyle name="Normal 8 4 3 2" xfId="577" xr:uid="{00000000-0005-0000-0000-00001D9F0000}"/>
    <cellStyle name="Normal 8 4 3 2 2" xfId="789" xr:uid="{00000000-0005-0000-0000-00001E9F0000}"/>
    <cellStyle name="Normal 8 4 3 2 2 2" xfId="1254" xr:uid="{00000000-0005-0000-0000-00001F9F0000}"/>
    <cellStyle name="Normal 8 4 3 2 2 2 2" xfId="2182" xr:uid="{00000000-0005-0000-0000-0000209F0000}"/>
    <cellStyle name="Normal 8 4 3 2 2 2 2 2" xfId="4032" xr:uid="{00000000-0005-0000-0000-0000219F0000}"/>
    <cellStyle name="Normal 8 4 3 2 2 2 2 2 2" xfId="7753" xr:uid="{00000000-0005-0000-0000-0000229F0000}"/>
    <cellStyle name="Normal 8 4 3 2 2 2 2 2 2 2" xfId="22637" xr:uid="{00000000-0005-0000-0000-0000239F0000}"/>
    <cellStyle name="Normal 8 4 3 2 2 2 2 2 2 2 2" xfId="45280" xr:uid="{00000000-0005-0000-0000-0000249F0000}"/>
    <cellStyle name="Normal 8 4 3 2 2 2 2 2 2 3" xfId="15197" xr:uid="{00000000-0005-0000-0000-0000259F0000}"/>
    <cellStyle name="Normal 8 4 3 2 2 2 2 2 2 3 2" xfId="37840" xr:uid="{00000000-0005-0000-0000-0000269F0000}"/>
    <cellStyle name="Normal 8 4 3 2 2 2 2 2 2 4" xfId="30399" xr:uid="{00000000-0005-0000-0000-0000279F0000}"/>
    <cellStyle name="Normal 8 4 3 2 2 2 2 2 3" xfId="18919" xr:uid="{00000000-0005-0000-0000-0000289F0000}"/>
    <cellStyle name="Normal 8 4 3 2 2 2 2 2 3 2" xfId="41562" xr:uid="{00000000-0005-0000-0000-0000299F0000}"/>
    <cellStyle name="Normal 8 4 3 2 2 2 2 2 4" xfId="11479" xr:uid="{00000000-0005-0000-0000-00002A9F0000}"/>
    <cellStyle name="Normal 8 4 3 2 2 2 2 2 4 2" xfId="34122" xr:uid="{00000000-0005-0000-0000-00002B9F0000}"/>
    <cellStyle name="Normal 8 4 3 2 2 2 2 2 5" xfId="26681" xr:uid="{00000000-0005-0000-0000-00002C9F0000}"/>
    <cellStyle name="Normal 8 4 3 2 2 2 2 3" xfId="5906" xr:uid="{00000000-0005-0000-0000-00002D9F0000}"/>
    <cellStyle name="Normal 8 4 3 2 2 2 2 3 2" xfId="20790" xr:uid="{00000000-0005-0000-0000-00002E9F0000}"/>
    <cellStyle name="Normal 8 4 3 2 2 2 2 3 2 2" xfId="43433" xr:uid="{00000000-0005-0000-0000-00002F9F0000}"/>
    <cellStyle name="Normal 8 4 3 2 2 2 2 3 3" xfId="13350" xr:uid="{00000000-0005-0000-0000-0000309F0000}"/>
    <cellStyle name="Normal 8 4 3 2 2 2 2 3 3 2" xfId="35993" xr:uid="{00000000-0005-0000-0000-0000319F0000}"/>
    <cellStyle name="Normal 8 4 3 2 2 2 2 3 4" xfId="28552" xr:uid="{00000000-0005-0000-0000-0000329F0000}"/>
    <cellStyle name="Normal 8 4 3 2 2 2 2 4" xfId="17072" xr:uid="{00000000-0005-0000-0000-0000339F0000}"/>
    <cellStyle name="Normal 8 4 3 2 2 2 2 4 2" xfId="39715" xr:uid="{00000000-0005-0000-0000-0000349F0000}"/>
    <cellStyle name="Normal 8 4 3 2 2 2 2 5" xfId="9632" xr:uid="{00000000-0005-0000-0000-0000359F0000}"/>
    <cellStyle name="Normal 8 4 3 2 2 2 2 5 2" xfId="32275" xr:uid="{00000000-0005-0000-0000-0000369F0000}"/>
    <cellStyle name="Normal 8 4 3 2 2 2 2 6" xfId="24834" xr:uid="{00000000-0005-0000-0000-0000379F0000}"/>
    <cellStyle name="Normal 8 4 3 2 2 2 3" xfId="3107" xr:uid="{00000000-0005-0000-0000-0000389F0000}"/>
    <cellStyle name="Normal 8 4 3 2 2 2 3 2" xfId="6828" xr:uid="{00000000-0005-0000-0000-0000399F0000}"/>
    <cellStyle name="Normal 8 4 3 2 2 2 3 2 2" xfId="21712" xr:uid="{00000000-0005-0000-0000-00003A9F0000}"/>
    <cellStyle name="Normal 8 4 3 2 2 2 3 2 2 2" xfId="44355" xr:uid="{00000000-0005-0000-0000-00003B9F0000}"/>
    <cellStyle name="Normal 8 4 3 2 2 2 3 2 3" xfId="14272" xr:uid="{00000000-0005-0000-0000-00003C9F0000}"/>
    <cellStyle name="Normal 8 4 3 2 2 2 3 2 3 2" xfId="36915" xr:uid="{00000000-0005-0000-0000-00003D9F0000}"/>
    <cellStyle name="Normal 8 4 3 2 2 2 3 2 4" xfId="29474" xr:uid="{00000000-0005-0000-0000-00003E9F0000}"/>
    <cellStyle name="Normal 8 4 3 2 2 2 3 3" xfId="17994" xr:uid="{00000000-0005-0000-0000-00003F9F0000}"/>
    <cellStyle name="Normal 8 4 3 2 2 2 3 3 2" xfId="40637" xr:uid="{00000000-0005-0000-0000-0000409F0000}"/>
    <cellStyle name="Normal 8 4 3 2 2 2 3 4" xfId="10554" xr:uid="{00000000-0005-0000-0000-0000419F0000}"/>
    <cellStyle name="Normal 8 4 3 2 2 2 3 4 2" xfId="33197" xr:uid="{00000000-0005-0000-0000-0000429F0000}"/>
    <cellStyle name="Normal 8 4 3 2 2 2 3 5" xfId="25756" xr:uid="{00000000-0005-0000-0000-0000439F0000}"/>
    <cellStyle name="Normal 8 4 3 2 2 2 4" xfId="4981" xr:uid="{00000000-0005-0000-0000-0000449F0000}"/>
    <cellStyle name="Normal 8 4 3 2 2 2 4 2" xfId="19865" xr:uid="{00000000-0005-0000-0000-0000459F0000}"/>
    <cellStyle name="Normal 8 4 3 2 2 2 4 2 2" xfId="42508" xr:uid="{00000000-0005-0000-0000-0000469F0000}"/>
    <cellStyle name="Normal 8 4 3 2 2 2 4 3" xfId="12425" xr:uid="{00000000-0005-0000-0000-0000479F0000}"/>
    <cellStyle name="Normal 8 4 3 2 2 2 4 3 2" xfId="35068" xr:uid="{00000000-0005-0000-0000-0000489F0000}"/>
    <cellStyle name="Normal 8 4 3 2 2 2 4 4" xfId="27627" xr:uid="{00000000-0005-0000-0000-0000499F0000}"/>
    <cellStyle name="Normal 8 4 3 2 2 2 5" xfId="16147" xr:uid="{00000000-0005-0000-0000-00004A9F0000}"/>
    <cellStyle name="Normal 8 4 3 2 2 2 5 2" xfId="38790" xr:uid="{00000000-0005-0000-0000-00004B9F0000}"/>
    <cellStyle name="Normal 8 4 3 2 2 2 6" xfId="8707" xr:uid="{00000000-0005-0000-0000-00004C9F0000}"/>
    <cellStyle name="Normal 8 4 3 2 2 2 6 2" xfId="31350" xr:uid="{00000000-0005-0000-0000-00004D9F0000}"/>
    <cellStyle name="Normal 8 4 3 2 2 2 7" xfId="23909" xr:uid="{00000000-0005-0000-0000-00004E9F0000}"/>
    <cellStyle name="Normal 8 4 3 2 2 3" xfId="1720" xr:uid="{00000000-0005-0000-0000-00004F9F0000}"/>
    <cellStyle name="Normal 8 4 3 2 2 3 2" xfId="3570" xr:uid="{00000000-0005-0000-0000-0000509F0000}"/>
    <cellStyle name="Normal 8 4 3 2 2 3 2 2" xfId="7291" xr:uid="{00000000-0005-0000-0000-0000519F0000}"/>
    <cellStyle name="Normal 8 4 3 2 2 3 2 2 2" xfId="22175" xr:uid="{00000000-0005-0000-0000-0000529F0000}"/>
    <cellStyle name="Normal 8 4 3 2 2 3 2 2 2 2" xfId="44818" xr:uid="{00000000-0005-0000-0000-0000539F0000}"/>
    <cellStyle name="Normal 8 4 3 2 2 3 2 2 3" xfId="14735" xr:uid="{00000000-0005-0000-0000-0000549F0000}"/>
    <cellStyle name="Normal 8 4 3 2 2 3 2 2 3 2" xfId="37378" xr:uid="{00000000-0005-0000-0000-0000559F0000}"/>
    <cellStyle name="Normal 8 4 3 2 2 3 2 2 4" xfId="29937" xr:uid="{00000000-0005-0000-0000-0000569F0000}"/>
    <cellStyle name="Normal 8 4 3 2 2 3 2 3" xfId="18457" xr:uid="{00000000-0005-0000-0000-0000579F0000}"/>
    <cellStyle name="Normal 8 4 3 2 2 3 2 3 2" xfId="41100" xr:uid="{00000000-0005-0000-0000-0000589F0000}"/>
    <cellStyle name="Normal 8 4 3 2 2 3 2 4" xfId="11017" xr:uid="{00000000-0005-0000-0000-0000599F0000}"/>
    <cellStyle name="Normal 8 4 3 2 2 3 2 4 2" xfId="33660" xr:uid="{00000000-0005-0000-0000-00005A9F0000}"/>
    <cellStyle name="Normal 8 4 3 2 2 3 2 5" xfId="26219" xr:uid="{00000000-0005-0000-0000-00005B9F0000}"/>
    <cellStyle name="Normal 8 4 3 2 2 3 3" xfId="5444" xr:uid="{00000000-0005-0000-0000-00005C9F0000}"/>
    <cellStyle name="Normal 8 4 3 2 2 3 3 2" xfId="20328" xr:uid="{00000000-0005-0000-0000-00005D9F0000}"/>
    <cellStyle name="Normal 8 4 3 2 2 3 3 2 2" xfId="42971" xr:uid="{00000000-0005-0000-0000-00005E9F0000}"/>
    <cellStyle name="Normal 8 4 3 2 2 3 3 3" xfId="12888" xr:uid="{00000000-0005-0000-0000-00005F9F0000}"/>
    <cellStyle name="Normal 8 4 3 2 2 3 3 3 2" xfId="35531" xr:uid="{00000000-0005-0000-0000-0000609F0000}"/>
    <cellStyle name="Normal 8 4 3 2 2 3 3 4" xfId="28090" xr:uid="{00000000-0005-0000-0000-0000619F0000}"/>
    <cellStyle name="Normal 8 4 3 2 2 3 4" xfId="16610" xr:uid="{00000000-0005-0000-0000-0000629F0000}"/>
    <cellStyle name="Normal 8 4 3 2 2 3 4 2" xfId="39253" xr:uid="{00000000-0005-0000-0000-0000639F0000}"/>
    <cellStyle name="Normal 8 4 3 2 2 3 5" xfId="9170" xr:uid="{00000000-0005-0000-0000-0000649F0000}"/>
    <cellStyle name="Normal 8 4 3 2 2 3 5 2" xfId="31813" xr:uid="{00000000-0005-0000-0000-0000659F0000}"/>
    <cellStyle name="Normal 8 4 3 2 2 3 6" xfId="24372" xr:uid="{00000000-0005-0000-0000-0000669F0000}"/>
    <cellStyle name="Normal 8 4 3 2 2 4" xfId="2645" xr:uid="{00000000-0005-0000-0000-0000679F0000}"/>
    <cellStyle name="Normal 8 4 3 2 2 4 2" xfId="6366" xr:uid="{00000000-0005-0000-0000-0000689F0000}"/>
    <cellStyle name="Normal 8 4 3 2 2 4 2 2" xfId="21250" xr:uid="{00000000-0005-0000-0000-0000699F0000}"/>
    <cellStyle name="Normal 8 4 3 2 2 4 2 2 2" xfId="43893" xr:uid="{00000000-0005-0000-0000-00006A9F0000}"/>
    <cellStyle name="Normal 8 4 3 2 2 4 2 3" xfId="13810" xr:uid="{00000000-0005-0000-0000-00006B9F0000}"/>
    <cellStyle name="Normal 8 4 3 2 2 4 2 3 2" xfId="36453" xr:uid="{00000000-0005-0000-0000-00006C9F0000}"/>
    <cellStyle name="Normal 8 4 3 2 2 4 2 4" xfId="29012" xr:uid="{00000000-0005-0000-0000-00006D9F0000}"/>
    <cellStyle name="Normal 8 4 3 2 2 4 3" xfId="17532" xr:uid="{00000000-0005-0000-0000-00006E9F0000}"/>
    <cellStyle name="Normal 8 4 3 2 2 4 3 2" xfId="40175" xr:uid="{00000000-0005-0000-0000-00006F9F0000}"/>
    <cellStyle name="Normal 8 4 3 2 2 4 4" xfId="10092" xr:uid="{00000000-0005-0000-0000-0000709F0000}"/>
    <cellStyle name="Normal 8 4 3 2 2 4 4 2" xfId="32735" xr:uid="{00000000-0005-0000-0000-0000719F0000}"/>
    <cellStyle name="Normal 8 4 3 2 2 4 5" xfId="25294" xr:uid="{00000000-0005-0000-0000-0000729F0000}"/>
    <cellStyle name="Normal 8 4 3 2 2 5" xfId="4519" xr:uid="{00000000-0005-0000-0000-0000739F0000}"/>
    <cellStyle name="Normal 8 4 3 2 2 5 2" xfId="19403" xr:uid="{00000000-0005-0000-0000-0000749F0000}"/>
    <cellStyle name="Normal 8 4 3 2 2 5 2 2" xfId="42046" xr:uid="{00000000-0005-0000-0000-0000759F0000}"/>
    <cellStyle name="Normal 8 4 3 2 2 5 3" xfId="11963" xr:uid="{00000000-0005-0000-0000-0000769F0000}"/>
    <cellStyle name="Normal 8 4 3 2 2 5 3 2" xfId="34606" xr:uid="{00000000-0005-0000-0000-0000779F0000}"/>
    <cellStyle name="Normal 8 4 3 2 2 5 4" xfId="27165" xr:uid="{00000000-0005-0000-0000-0000789F0000}"/>
    <cellStyle name="Normal 8 4 3 2 2 6" xfId="15685" xr:uid="{00000000-0005-0000-0000-0000799F0000}"/>
    <cellStyle name="Normal 8 4 3 2 2 6 2" xfId="38328" xr:uid="{00000000-0005-0000-0000-00007A9F0000}"/>
    <cellStyle name="Normal 8 4 3 2 2 7" xfId="8245" xr:uid="{00000000-0005-0000-0000-00007B9F0000}"/>
    <cellStyle name="Normal 8 4 3 2 2 7 2" xfId="30888" xr:uid="{00000000-0005-0000-0000-00007C9F0000}"/>
    <cellStyle name="Normal 8 4 3 2 2 8" xfId="23447" xr:uid="{00000000-0005-0000-0000-00007D9F0000}"/>
    <cellStyle name="Normal 8 4 3 2 3" xfId="1043" xr:uid="{00000000-0005-0000-0000-00007E9F0000}"/>
    <cellStyle name="Normal 8 4 3 2 3 2" xfId="1971" xr:uid="{00000000-0005-0000-0000-00007F9F0000}"/>
    <cellStyle name="Normal 8 4 3 2 3 2 2" xfId="3821" xr:uid="{00000000-0005-0000-0000-0000809F0000}"/>
    <cellStyle name="Normal 8 4 3 2 3 2 2 2" xfId="7542" xr:uid="{00000000-0005-0000-0000-0000819F0000}"/>
    <cellStyle name="Normal 8 4 3 2 3 2 2 2 2" xfId="22426" xr:uid="{00000000-0005-0000-0000-0000829F0000}"/>
    <cellStyle name="Normal 8 4 3 2 3 2 2 2 2 2" xfId="45069" xr:uid="{00000000-0005-0000-0000-0000839F0000}"/>
    <cellStyle name="Normal 8 4 3 2 3 2 2 2 3" xfId="14986" xr:uid="{00000000-0005-0000-0000-0000849F0000}"/>
    <cellStyle name="Normal 8 4 3 2 3 2 2 2 3 2" xfId="37629" xr:uid="{00000000-0005-0000-0000-0000859F0000}"/>
    <cellStyle name="Normal 8 4 3 2 3 2 2 2 4" xfId="30188" xr:uid="{00000000-0005-0000-0000-0000869F0000}"/>
    <cellStyle name="Normal 8 4 3 2 3 2 2 3" xfId="18708" xr:uid="{00000000-0005-0000-0000-0000879F0000}"/>
    <cellStyle name="Normal 8 4 3 2 3 2 2 3 2" xfId="41351" xr:uid="{00000000-0005-0000-0000-0000889F0000}"/>
    <cellStyle name="Normal 8 4 3 2 3 2 2 4" xfId="11268" xr:uid="{00000000-0005-0000-0000-0000899F0000}"/>
    <cellStyle name="Normal 8 4 3 2 3 2 2 4 2" xfId="33911" xr:uid="{00000000-0005-0000-0000-00008A9F0000}"/>
    <cellStyle name="Normal 8 4 3 2 3 2 2 5" xfId="26470" xr:uid="{00000000-0005-0000-0000-00008B9F0000}"/>
    <cellStyle name="Normal 8 4 3 2 3 2 3" xfId="5695" xr:uid="{00000000-0005-0000-0000-00008C9F0000}"/>
    <cellStyle name="Normal 8 4 3 2 3 2 3 2" xfId="20579" xr:uid="{00000000-0005-0000-0000-00008D9F0000}"/>
    <cellStyle name="Normal 8 4 3 2 3 2 3 2 2" xfId="43222" xr:uid="{00000000-0005-0000-0000-00008E9F0000}"/>
    <cellStyle name="Normal 8 4 3 2 3 2 3 3" xfId="13139" xr:uid="{00000000-0005-0000-0000-00008F9F0000}"/>
    <cellStyle name="Normal 8 4 3 2 3 2 3 3 2" xfId="35782" xr:uid="{00000000-0005-0000-0000-0000909F0000}"/>
    <cellStyle name="Normal 8 4 3 2 3 2 3 4" xfId="28341" xr:uid="{00000000-0005-0000-0000-0000919F0000}"/>
    <cellStyle name="Normal 8 4 3 2 3 2 4" xfId="16861" xr:uid="{00000000-0005-0000-0000-0000929F0000}"/>
    <cellStyle name="Normal 8 4 3 2 3 2 4 2" xfId="39504" xr:uid="{00000000-0005-0000-0000-0000939F0000}"/>
    <cellStyle name="Normal 8 4 3 2 3 2 5" xfId="9421" xr:uid="{00000000-0005-0000-0000-0000949F0000}"/>
    <cellStyle name="Normal 8 4 3 2 3 2 5 2" xfId="32064" xr:uid="{00000000-0005-0000-0000-0000959F0000}"/>
    <cellStyle name="Normal 8 4 3 2 3 2 6" xfId="24623" xr:uid="{00000000-0005-0000-0000-0000969F0000}"/>
    <cellStyle name="Normal 8 4 3 2 3 3" xfId="2896" xr:uid="{00000000-0005-0000-0000-0000979F0000}"/>
    <cellStyle name="Normal 8 4 3 2 3 3 2" xfId="6617" xr:uid="{00000000-0005-0000-0000-0000989F0000}"/>
    <cellStyle name="Normal 8 4 3 2 3 3 2 2" xfId="21501" xr:uid="{00000000-0005-0000-0000-0000999F0000}"/>
    <cellStyle name="Normal 8 4 3 2 3 3 2 2 2" xfId="44144" xr:uid="{00000000-0005-0000-0000-00009A9F0000}"/>
    <cellStyle name="Normal 8 4 3 2 3 3 2 3" xfId="14061" xr:uid="{00000000-0005-0000-0000-00009B9F0000}"/>
    <cellStyle name="Normal 8 4 3 2 3 3 2 3 2" xfId="36704" xr:uid="{00000000-0005-0000-0000-00009C9F0000}"/>
    <cellStyle name="Normal 8 4 3 2 3 3 2 4" xfId="29263" xr:uid="{00000000-0005-0000-0000-00009D9F0000}"/>
    <cellStyle name="Normal 8 4 3 2 3 3 3" xfId="17783" xr:uid="{00000000-0005-0000-0000-00009E9F0000}"/>
    <cellStyle name="Normal 8 4 3 2 3 3 3 2" xfId="40426" xr:uid="{00000000-0005-0000-0000-00009F9F0000}"/>
    <cellStyle name="Normal 8 4 3 2 3 3 4" xfId="10343" xr:uid="{00000000-0005-0000-0000-0000A09F0000}"/>
    <cellStyle name="Normal 8 4 3 2 3 3 4 2" xfId="32986" xr:uid="{00000000-0005-0000-0000-0000A19F0000}"/>
    <cellStyle name="Normal 8 4 3 2 3 3 5" xfId="25545" xr:uid="{00000000-0005-0000-0000-0000A29F0000}"/>
    <cellStyle name="Normal 8 4 3 2 3 4" xfId="4770" xr:uid="{00000000-0005-0000-0000-0000A39F0000}"/>
    <cellStyle name="Normal 8 4 3 2 3 4 2" xfId="19654" xr:uid="{00000000-0005-0000-0000-0000A49F0000}"/>
    <cellStyle name="Normal 8 4 3 2 3 4 2 2" xfId="42297" xr:uid="{00000000-0005-0000-0000-0000A59F0000}"/>
    <cellStyle name="Normal 8 4 3 2 3 4 3" xfId="12214" xr:uid="{00000000-0005-0000-0000-0000A69F0000}"/>
    <cellStyle name="Normal 8 4 3 2 3 4 3 2" xfId="34857" xr:uid="{00000000-0005-0000-0000-0000A79F0000}"/>
    <cellStyle name="Normal 8 4 3 2 3 4 4" xfId="27416" xr:uid="{00000000-0005-0000-0000-0000A89F0000}"/>
    <cellStyle name="Normal 8 4 3 2 3 5" xfId="15936" xr:uid="{00000000-0005-0000-0000-0000A99F0000}"/>
    <cellStyle name="Normal 8 4 3 2 3 5 2" xfId="38579" xr:uid="{00000000-0005-0000-0000-0000AA9F0000}"/>
    <cellStyle name="Normal 8 4 3 2 3 6" xfId="8496" xr:uid="{00000000-0005-0000-0000-0000AB9F0000}"/>
    <cellStyle name="Normal 8 4 3 2 3 6 2" xfId="31139" xr:uid="{00000000-0005-0000-0000-0000AC9F0000}"/>
    <cellStyle name="Normal 8 4 3 2 3 7" xfId="23698" xr:uid="{00000000-0005-0000-0000-0000AD9F0000}"/>
    <cellStyle name="Normal 8 4 3 2 4" xfId="1509" xr:uid="{00000000-0005-0000-0000-0000AE9F0000}"/>
    <cellStyle name="Normal 8 4 3 2 4 2" xfId="3359" xr:uid="{00000000-0005-0000-0000-0000AF9F0000}"/>
    <cellStyle name="Normal 8 4 3 2 4 2 2" xfId="7080" xr:uid="{00000000-0005-0000-0000-0000B09F0000}"/>
    <cellStyle name="Normal 8 4 3 2 4 2 2 2" xfId="21964" xr:uid="{00000000-0005-0000-0000-0000B19F0000}"/>
    <cellStyle name="Normal 8 4 3 2 4 2 2 2 2" xfId="44607" xr:uid="{00000000-0005-0000-0000-0000B29F0000}"/>
    <cellStyle name="Normal 8 4 3 2 4 2 2 3" xfId="14524" xr:uid="{00000000-0005-0000-0000-0000B39F0000}"/>
    <cellStyle name="Normal 8 4 3 2 4 2 2 3 2" xfId="37167" xr:uid="{00000000-0005-0000-0000-0000B49F0000}"/>
    <cellStyle name="Normal 8 4 3 2 4 2 2 4" xfId="29726" xr:uid="{00000000-0005-0000-0000-0000B59F0000}"/>
    <cellStyle name="Normal 8 4 3 2 4 2 3" xfId="18246" xr:uid="{00000000-0005-0000-0000-0000B69F0000}"/>
    <cellStyle name="Normal 8 4 3 2 4 2 3 2" xfId="40889" xr:uid="{00000000-0005-0000-0000-0000B79F0000}"/>
    <cellStyle name="Normal 8 4 3 2 4 2 4" xfId="10806" xr:uid="{00000000-0005-0000-0000-0000B89F0000}"/>
    <cellStyle name="Normal 8 4 3 2 4 2 4 2" xfId="33449" xr:uid="{00000000-0005-0000-0000-0000B99F0000}"/>
    <cellStyle name="Normal 8 4 3 2 4 2 5" xfId="26008" xr:uid="{00000000-0005-0000-0000-0000BA9F0000}"/>
    <cellStyle name="Normal 8 4 3 2 4 3" xfId="5233" xr:uid="{00000000-0005-0000-0000-0000BB9F0000}"/>
    <cellStyle name="Normal 8 4 3 2 4 3 2" xfId="20117" xr:uid="{00000000-0005-0000-0000-0000BC9F0000}"/>
    <cellStyle name="Normal 8 4 3 2 4 3 2 2" xfId="42760" xr:uid="{00000000-0005-0000-0000-0000BD9F0000}"/>
    <cellStyle name="Normal 8 4 3 2 4 3 3" xfId="12677" xr:uid="{00000000-0005-0000-0000-0000BE9F0000}"/>
    <cellStyle name="Normal 8 4 3 2 4 3 3 2" xfId="35320" xr:uid="{00000000-0005-0000-0000-0000BF9F0000}"/>
    <cellStyle name="Normal 8 4 3 2 4 3 4" xfId="27879" xr:uid="{00000000-0005-0000-0000-0000C09F0000}"/>
    <cellStyle name="Normal 8 4 3 2 4 4" xfId="16399" xr:uid="{00000000-0005-0000-0000-0000C19F0000}"/>
    <cellStyle name="Normal 8 4 3 2 4 4 2" xfId="39042" xr:uid="{00000000-0005-0000-0000-0000C29F0000}"/>
    <cellStyle name="Normal 8 4 3 2 4 5" xfId="8959" xr:uid="{00000000-0005-0000-0000-0000C39F0000}"/>
    <cellStyle name="Normal 8 4 3 2 4 5 2" xfId="31602" xr:uid="{00000000-0005-0000-0000-0000C49F0000}"/>
    <cellStyle name="Normal 8 4 3 2 4 6" xfId="24161" xr:uid="{00000000-0005-0000-0000-0000C59F0000}"/>
    <cellStyle name="Normal 8 4 3 2 5" xfId="2434" xr:uid="{00000000-0005-0000-0000-0000C69F0000}"/>
    <cellStyle name="Normal 8 4 3 2 5 2" xfId="6155" xr:uid="{00000000-0005-0000-0000-0000C79F0000}"/>
    <cellStyle name="Normal 8 4 3 2 5 2 2" xfId="21039" xr:uid="{00000000-0005-0000-0000-0000C89F0000}"/>
    <cellStyle name="Normal 8 4 3 2 5 2 2 2" xfId="43682" xr:uid="{00000000-0005-0000-0000-0000C99F0000}"/>
    <cellStyle name="Normal 8 4 3 2 5 2 3" xfId="13599" xr:uid="{00000000-0005-0000-0000-0000CA9F0000}"/>
    <cellStyle name="Normal 8 4 3 2 5 2 3 2" xfId="36242" xr:uid="{00000000-0005-0000-0000-0000CB9F0000}"/>
    <cellStyle name="Normal 8 4 3 2 5 2 4" xfId="28801" xr:uid="{00000000-0005-0000-0000-0000CC9F0000}"/>
    <cellStyle name="Normal 8 4 3 2 5 3" xfId="17321" xr:uid="{00000000-0005-0000-0000-0000CD9F0000}"/>
    <cellStyle name="Normal 8 4 3 2 5 3 2" xfId="39964" xr:uid="{00000000-0005-0000-0000-0000CE9F0000}"/>
    <cellStyle name="Normal 8 4 3 2 5 4" xfId="9881" xr:uid="{00000000-0005-0000-0000-0000CF9F0000}"/>
    <cellStyle name="Normal 8 4 3 2 5 4 2" xfId="32524" xr:uid="{00000000-0005-0000-0000-0000D09F0000}"/>
    <cellStyle name="Normal 8 4 3 2 5 5" xfId="25083" xr:uid="{00000000-0005-0000-0000-0000D19F0000}"/>
    <cellStyle name="Normal 8 4 3 2 6" xfId="4308" xr:uid="{00000000-0005-0000-0000-0000D29F0000}"/>
    <cellStyle name="Normal 8 4 3 2 6 2" xfId="19192" xr:uid="{00000000-0005-0000-0000-0000D39F0000}"/>
    <cellStyle name="Normal 8 4 3 2 6 2 2" xfId="41835" xr:uid="{00000000-0005-0000-0000-0000D49F0000}"/>
    <cellStyle name="Normal 8 4 3 2 6 3" xfId="11752" xr:uid="{00000000-0005-0000-0000-0000D59F0000}"/>
    <cellStyle name="Normal 8 4 3 2 6 3 2" xfId="34395" xr:uid="{00000000-0005-0000-0000-0000D69F0000}"/>
    <cellStyle name="Normal 8 4 3 2 6 4" xfId="26954" xr:uid="{00000000-0005-0000-0000-0000D79F0000}"/>
    <cellStyle name="Normal 8 4 3 2 7" xfId="15474" xr:uid="{00000000-0005-0000-0000-0000D89F0000}"/>
    <cellStyle name="Normal 8 4 3 2 7 2" xfId="38117" xr:uid="{00000000-0005-0000-0000-0000D99F0000}"/>
    <cellStyle name="Normal 8 4 3 2 8" xfId="8034" xr:uid="{00000000-0005-0000-0000-0000DA9F0000}"/>
    <cellStyle name="Normal 8 4 3 2 8 2" xfId="30677" xr:uid="{00000000-0005-0000-0000-0000DB9F0000}"/>
    <cellStyle name="Normal 8 4 3 2 9" xfId="23237" xr:uid="{00000000-0005-0000-0000-0000DC9F0000}"/>
    <cellStyle name="Normal 8 4 3 3" xfId="684" xr:uid="{00000000-0005-0000-0000-0000DD9F0000}"/>
    <cellStyle name="Normal 8 4 3 3 2" xfId="1149" xr:uid="{00000000-0005-0000-0000-0000DE9F0000}"/>
    <cellStyle name="Normal 8 4 3 3 2 2" xfId="2077" xr:uid="{00000000-0005-0000-0000-0000DF9F0000}"/>
    <cellStyle name="Normal 8 4 3 3 2 2 2" xfId="3927" xr:uid="{00000000-0005-0000-0000-0000E09F0000}"/>
    <cellStyle name="Normal 8 4 3 3 2 2 2 2" xfId="7648" xr:uid="{00000000-0005-0000-0000-0000E19F0000}"/>
    <cellStyle name="Normal 8 4 3 3 2 2 2 2 2" xfId="22532" xr:uid="{00000000-0005-0000-0000-0000E29F0000}"/>
    <cellStyle name="Normal 8 4 3 3 2 2 2 2 2 2" xfId="45175" xr:uid="{00000000-0005-0000-0000-0000E39F0000}"/>
    <cellStyle name="Normal 8 4 3 3 2 2 2 2 3" xfId="15092" xr:uid="{00000000-0005-0000-0000-0000E49F0000}"/>
    <cellStyle name="Normal 8 4 3 3 2 2 2 2 3 2" xfId="37735" xr:uid="{00000000-0005-0000-0000-0000E59F0000}"/>
    <cellStyle name="Normal 8 4 3 3 2 2 2 2 4" xfId="30294" xr:uid="{00000000-0005-0000-0000-0000E69F0000}"/>
    <cellStyle name="Normal 8 4 3 3 2 2 2 3" xfId="18814" xr:uid="{00000000-0005-0000-0000-0000E79F0000}"/>
    <cellStyle name="Normal 8 4 3 3 2 2 2 3 2" xfId="41457" xr:uid="{00000000-0005-0000-0000-0000E89F0000}"/>
    <cellStyle name="Normal 8 4 3 3 2 2 2 4" xfId="11374" xr:uid="{00000000-0005-0000-0000-0000E99F0000}"/>
    <cellStyle name="Normal 8 4 3 3 2 2 2 4 2" xfId="34017" xr:uid="{00000000-0005-0000-0000-0000EA9F0000}"/>
    <cellStyle name="Normal 8 4 3 3 2 2 2 5" xfId="26576" xr:uid="{00000000-0005-0000-0000-0000EB9F0000}"/>
    <cellStyle name="Normal 8 4 3 3 2 2 3" xfId="5801" xr:uid="{00000000-0005-0000-0000-0000EC9F0000}"/>
    <cellStyle name="Normal 8 4 3 3 2 2 3 2" xfId="20685" xr:uid="{00000000-0005-0000-0000-0000ED9F0000}"/>
    <cellStyle name="Normal 8 4 3 3 2 2 3 2 2" xfId="43328" xr:uid="{00000000-0005-0000-0000-0000EE9F0000}"/>
    <cellStyle name="Normal 8 4 3 3 2 2 3 3" xfId="13245" xr:uid="{00000000-0005-0000-0000-0000EF9F0000}"/>
    <cellStyle name="Normal 8 4 3 3 2 2 3 3 2" xfId="35888" xr:uid="{00000000-0005-0000-0000-0000F09F0000}"/>
    <cellStyle name="Normal 8 4 3 3 2 2 3 4" xfId="28447" xr:uid="{00000000-0005-0000-0000-0000F19F0000}"/>
    <cellStyle name="Normal 8 4 3 3 2 2 4" xfId="16967" xr:uid="{00000000-0005-0000-0000-0000F29F0000}"/>
    <cellStyle name="Normal 8 4 3 3 2 2 4 2" xfId="39610" xr:uid="{00000000-0005-0000-0000-0000F39F0000}"/>
    <cellStyle name="Normal 8 4 3 3 2 2 5" xfId="9527" xr:uid="{00000000-0005-0000-0000-0000F49F0000}"/>
    <cellStyle name="Normal 8 4 3 3 2 2 5 2" xfId="32170" xr:uid="{00000000-0005-0000-0000-0000F59F0000}"/>
    <cellStyle name="Normal 8 4 3 3 2 2 6" xfId="24729" xr:uid="{00000000-0005-0000-0000-0000F69F0000}"/>
    <cellStyle name="Normal 8 4 3 3 2 3" xfId="3002" xr:uid="{00000000-0005-0000-0000-0000F79F0000}"/>
    <cellStyle name="Normal 8 4 3 3 2 3 2" xfId="6723" xr:uid="{00000000-0005-0000-0000-0000F89F0000}"/>
    <cellStyle name="Normal 8 4 3 3 2 3 2 2" xfId="21607" xr:uid="{00000000-0005-0000-0000-0000F99F0000}"/>
    <cellStyle name="Normal 8 4 3 3 2 3 2 2 2" xfId="44250" xr:uid="{00000000-0005-0000-0000-0000FA9F0000}"/>
    <cellStyle name="Normal 8 4 3 3 2 3 2 3" xfId="14167" xr:uid="{00000000-0005-0000-0000-0000FB9F0000}"/>
    <cellStyle name="Normal 8 4 3 3 2 3 2 3 2" xfId="36810" xr:uid="{00000000-0005-0000-0000-0000FC9F0000}"/>
    <cellStyle name="Normal 8 4 3 3 2 3 2 4" xfId="29369" xr:uid="{00000000-0005-0000-0000-0000FD9F0000}"/>
    <cellStyle name="Normal 8 4 3 3 2 3 3" xfId="17889" xr:uid="{00000000-0005-0000-0000-0000FE9F0000}"/>
    <cellStyle name="Normal 8 4 3 3 2 3 3 2" xfId="40532" xr:uid="{00000000-0005-0000-0000-0000FF9F0000}"/>
    <cellStyle name="Normal 8 4 3 3 2 3 4" xfId="10449" xr:uid="{00000000-0005-0000-0000-000000A00000}"/>
    <cellStyle name="Normal 8 4 3 3 2 3 4 2" xfId="33092" xr:uid="{00000000-0005-0000-0000-000001A00000}"/>
    <cellStyle name="Normal 8 4 3 3 2 3 5" xfId="25651" xr:uid="{00000000-0005-0000-0000-000002A00000}"/>
    <cellStyle name="Normal 8 4 3 3 2 4" xfId="4876" xr:uid="{00000000-0005-0000-0000-000003A00000}"/>
    <cellStyle name="Normal 8 4 3 3 2 4 2" xfId="19760" xr:uid="{00000000-0005-0000-0000-000004A00000}"/>
    <cellStyle name="Normal 8 4 3 3 2 4 2 2" xfId="42403" xr:uid="{00000000-0005-0000-0000-000005A00000}"/>
    <cellStyle name="Normal 8 4 3 3 2 4 3" xfId="12320" xr:uid="{00000000-0005-0000-0000-000006A00000}"/>
    <cellStyle name="Normal 8 4 3 3 2 4 3 2" xfId="34963" xr:uid="{00000000-0005-0000-0000-000007A00000}"/>
    <cellStyle name="Normal 8 4 3 3 2 4 4" xfId="27522" xr:uid="{00000000-0005-0000-0000-000008A00000}"/>
    <cellStyle name="Normal 8 4 3 3 2 5" xfId="16042" xr:uid="{00000000-0005-0000-0000-000009A00000}"/>
    <cellStyle name="Normal 8 4 3 3 2 5 2" xfId="38685" xr:uid="{00000000-0005-0000-0000-00000AA00000}"/>
    <cellStyle name="Normal 8 4 3 3 2 6" xfId="8602" xr:uid="{00000000-0005-0000-0000-00000BA00000}"/>
    <cellStyle name="Normal 8 4 3 3 2 6 2" xfId="31245" xr:uid="{00000000-0005-0000-0000-00000CA00000}"/>
    <cellStyle name="Normal 8 4 3 3 2 7" xfId="23804" xr:uid="{00000000-0005-0000-0000-00000DA00000}"/>
    <cellStyle name="Normal 8 4 3 3 3" xfId="1615" xr:uid="{00000000-0005-0000-0000-00000EA00000}"/>
    <cellStyle name="Normal 8 4 3 3 3 2" xfId="3465" xr:uid="{00000000-0005-0000-0000-00000FA00000}"/>
    <cellStyle name="Normal 8 4 3 3 3 2 2" xfId="7186" xr:uid="{00000000-0005-0000-0000-000010A00000}"/>
    <cellStyle name="Normal 8 4 3 3 3 2 2 2" xfId="22070" xr:uid="{00000000-0005-0000-0000-000011A00000}"/>
    <cellStyle name="Normal 8 4 3 3 3 2 2 2 2" xfId="44713" xr:uid="{00000000-0005-0000-0000-000012A00000}"/>
    <cellStyle name="Normal 8 4 3 3 3 2 2 3" xfId="14630" xr:uid="{00000000-0005-0000-0000-000013A00000}"/>
    <cellStyle name="Normal 8 4 3 3 3 2 2 3 2" xfId="37273" xr:uid="{00000000-0005-0000-0000-000014A00000}"/>
    <cellStyle name="Normal 8 4 3 3 3 2 2 4" xfId="29832" xr:uid="{00000000-0005-0000-0000-000015A00000}"/>
    <cellStyle name="Normal 8 4 3 3 3 2 3" xfId="18352" xr:uid="{00000000-0005-0000-0000-000016A00000}"/>
    <cellStyle name="Normal 8 4 3 3 3 2 3 2" xfId="40995" xr:uid="{00000000-0005-0000-0000-000017A00000}"/>
    <cellStyle name="Normal 8 4 3 3 3 2 4" xfId="10912" xr:uid="{00000000-0005-0000-0000-000018A00000}"/>
    <cellStyle name="Normal 8 4 3 3 3 2 4 2" xfId="33555" xr:uid="{00000000-0005-0000-0000-000019A00000}"/>
    <cellStyle name="Normal 8 4 3 3 3 2 5" xfId="26114" xr:uid="{00000000-0005-0000-0000-00001AA00000}"/>
    <cellStyle name="Normal 8 4 3 3 3 3" xfId="5339" xr:uid="{00000000-0005-0000-0000-00001BA00000}"/>
    <cellStyle name="Normal 8 4 3 3 3 3 2" xfId="20223" xr:uid="{00000000-0005-0000-0000-00001CA00000}"/>
    <cellStyle name="Normal 8 4 3 3 3 3 2 2" xfId="42866" xr:uid="{00000000-0005-0000-0000-00001DA00000}"/>
    <cellStyle name="Normal 8 4 3 3 3 3 3" xfId="12783" xr:uid="{00000000-0005-0000-0000-00001EA00000}"/>
    <cellStyle name="Normal 8 4 3 3 3 3 3 2" xfId="35426" xr:uid="{00000000-0005-0000-0000-00001FA00000}"/>
    <cellStyle name="Normal 8 4 3 3 3 3 4" xfId="27985" xr:uid="{00000000-0005-0000-0000-000020A00000}"/>
    <cellStyle name="Normal 8 4 3 3 3 4" xfId="16505" xr:uid="{00000000-0005-0000-0000-000021A00000}"/>
    <cellStyle name="Normal 8 4 3 3 3 4 2" xfId="39148" xr:uid="{00000000-0005-0000-0000-000022A00000}"/>
    <cellStyle name="Normal 8 4 3 3 3 5" xfId="9065" xr:uid="{00000000-0005-0000-0000-000023A00000}"/>
    <cellStyle name="Normal 8 4 3 3 3 5 2" xfId="31708" xr:uid="{00000000-0005-0000-0000-000024A00000}"/>
    <cellStyle name="Normal 8 4 3 3 3 6" xfId="24267" xr:uid="{00000000-0005-0000-0000-000025A00000}"/>
    <cellStyle name="Normal 8 4 3 3 4" xfId="2540" xr:uid="{00000000-0005-0000-0000-000026A00000}"/>
    <cellStyle name="Normal 8 4 3 3 4 2" xfId="6261" xr:uid="{00000000-0005-0000-0000-000027A00000}"/>
    <cellStyle name="Normal 8 4 3 3 4 2 2" xfId="21145" xr:uid="{00000000-0005-0000-0000-000028A00000}"/>
    <cellStyle name="Normal 8 4 3 3 4 2 2 2" xfId="43788" xr:uid="{00000000-0005-0000-0000-000029A00000}"/>
    <cellStyle name="Normal 8 4 3 3 4 2 3" xfId="13705" xr:uid="{00000000-0005-0000-0000-00002AA00000}"/>
    <cellStyle name="Normal 8 4 3 3 4 2 3 2" xfId="36348" xr:uid="{00000000-0005-0000-0000-00002BA00000}"/>
    <cellStyle name="Normal 8 4 3 3 4 2 4" xfId="28907" xr:uid="{00000000-0005-0000-0000-00002CA00000}"/>
    <cellStyle name="Normal 8 4 3 3 4 3" xfId="17427" xr:uid="{00000000-0005-0000-0000-00002DA00000}"/>
    <cellStyle name="Normal 8 4 3 3 4 3 2" xfId="40070" xr:uid="{00000000-0005-0000-0000-00002EA00000}"/>
    <cellStyle name="Normal 8 4 3 3 4 4" xfId="9987" xr:uid="{00000000-0005-0000-0000-00002FA00000}"/>
    <cellStyle name="Normal 8 4 3 3 4 4 2" xfId="32630" xr:uid="{00000000-0005-0000-0000-000030A00000}"/>
    <cellStyle name="Normal 8 4 3 3 4 5" xfId="25189" xr:uid="{00000000-0005-0000-0000-000031A00000}"/>
    <cellStyle name="Normal 8 4 3 3 5" xfId="4414" xr:uid="{00000000-0005-0000-0000-000032A00000}"/>
    <cellStyle name="Normal 8 4 3 3 5 2" xfId="19298" xr:uid="{00000000-0005-0000-0000-000033A00000}"/>
    <cellStyle name="Normal 8 4 3 3 5 2 2" xfId="41941" xr:uid="{00000000-0005-0000-0000-000034A00000}"/>
    <cellStyle name="Normal 8 4 3 3 5 3" xfId="11858" xr:uid="{00000000-0005-0000-0000-000035A00000}"/>
    <cellStyle name="Normal 8 4 3 3 5 3 2" xfId="34501" xr:uid="{00000000-0005-0000-0000-000036A00000}"/>
    <cellStyle name="Normal 8 4 3 3 5 4" xfId="27060" xr:uid="{00000000-0005-0000-0000-000037A00000}"/>
    <cellStyle name="Normal 8 4 3 3 6" xfId="15580" xr:uid="{00000000-0005-0000-0000-000038A00000}"/>
    <cellStyle name="Normal 8 4 3 3 6 2" xfId="38223" xr:uid="{00000000-0005-0000-0000-000039A00000}"/>
    <cellStyle name="Normal 8 4 3 3 7" xfId="8140" xr:uid="{00000000-0005-0000-0000-00003AA00000}"/>
    <cellStyle name="Normal 8 4 3 3 7 2" xfId="30783" xr:uid="{00000000-0005-0000-0000-00003BA00000}"/>
    <cellStyle name="Normal 8 4 3 3 8" xfId="23342" xr:uid="{00000000-0005-0000-0000-00003CA00000}"/>
    <cellStyle name="Normal 8 4 3 4" xfId="938" xr:uid="{00000000-0005-0000-0000-00003DA00000}"/>
    <cellStyle name="Normal 8 4 3 4 2" xfId="1866" xr:uid="{00000000-0005-0000-0000-00003EA00000}"/>
    <cellStyle name="Normal 8 4 3 4 2 2" xfId="3716" xr:uid="{00000000-0005-0000-0000-00003FA00000}"/>
    <cellStyle name="Normal 8 4 3 4 2 2 2" xfId="7437" xr:uid="{00000000-0005-0000-0000-000040A00000}"/>
    <cellStyle name="Normal 8 4 3 4 2 2 2 2" xfId="22321" xr:uid="{00000000-0005-0000-0000-000041A00000}"/>
    <cellStyle name="Normal 8 4 3 4 2 2 2 2 2" xfId="44964" xr:uid="{00000000-0005-0000-0000-000042A00000}"/>
    <cellStyle name="Normal 8 4 3 4 2 2 2 3" xfId="14881" xr:uid="{00000000-0005-0000-0000-000043A00000}"/>
    <cellStyle name="Normal 8 4 3 4 2 2 2 3 2" xfId="37524" xr:uid="{00000000-0005-0000-0000-000044A00000}"/>
    <cellStyle name="Normal 8 4 3 4 2 2 2 4" xfId="30083" xr:uid="{00000000-0005-0000-0000-000045A00000}"/>
    <cellStyle name="Normal 8 4 3 4 2 2 3" xfId="18603" xr:uid="{00000000-0005-0000-0000-000046A00000}"/>
    <cellStyle name="Normal 8 4 3 4 2 2 3 2" xfId="41246" xr:uid="{00000000-0005-0000-0000-000047A00000}"/>
    <cellStyle name="Normal 8 4 3 4 2 2 4" xfId="11163" xr:uid="{00000000-0005-0000-0000-000048A00000}"/>
    <cellStyle name="Normal 8 4 3 4 2 2 4 2" xfId="33806" xr:uid="{00000000-0005-0000-0000-000049A00000}"/>
    <cellStyle name="Normal 8 4 3 4 2 2 5" xfId="26365" xr:uid="{00000000-0005-0000-0000-00004AA00000}"/>
    <cellStyle name="Normal 8 4 3 4 2 3" xfId="5590" xr:uid="{00000000-0005-0000-0000-00004BA00000}"/>
    <cellStyle name="Normal 8 4 3 4 2 3 2" xfId="20474" xr:uid="{00000000-0005-0000-0000-00004CA00000}"/>
    <cellStyle name="Normal 8 4 3 4 2 3 2 2" xfId="43117" xr:uid="{00000000-0005-0000-0000-00004DA00000}"/>
    <cellStyle name="Normal 8 4 3 4 2 3 3" xfId="13034" xr:uid="{00000000-0005-0000-0000-00004EA00000}"/>
    <cellStyle name="Normal 8 4 3 4 2 3 3 2" xfId="35677" xr:uid="{00000000-0005-0000-0000-00004FA00000}"/>
    <cellStyle name="Normal 8 4 3 4 2 3 4" xfId="28236" xr:uid="{00000000-0005-0000-0000-000050A00000}"/>
    <cellStyle name="Normal 8 4 3 4 2 4" xfId="16756" xr:uid="{00000000-0005-0000-0000-000051A00000}"/>
    <cellStyle name="Normal 8 4 3 4 2 4 2" xfId="39399" xr:uid="{00000000-0005-0000-0000-000052A00000}"/>
    <cellStyle name="Normal 8 4 3 4 2 5" xfId="9316" xr:uid="{00000000-0005-0000-0000-000053A00000}"/>
    <cellStyle name="Normal 8 4 3 4 2 5 2" xfId="31959" xr:uid="{00000000-0005-0000-0000-000054A00000}"/>
    <cellStyle name="Normal 8 4 3 4 2 6" xfId="24518" xr:uid="{00000000-0005-0000-0000-000055A00000}"/>
    <cellStyle name="Normal 8 4 3 4 3" xfId="2791" xr:uid="{00000000-0005-0000-0000-000056A00000}"/>
    <cellStyle name="Normal 8 4 3 4 3 2" xfId="6512" xr:uid="{00000000-0005-0000-0000-000057A00000}"/>
    <cellStyle name="Normal 8 4 3 4 3 2 2" xfId="21396" xr:uid="{00000000-0005-0000-0000-000058A00000}"/>
    <cellStyle name="Normal 8 4 3 4 3 2 2 2" xfId="44039" xr:uid="{00000000-0005-0000-0000-000059A00000}"/>
    <cellStyle name="Normal 8 4 3 4 3 2 3" xfId="13956" xr:uid="{00000000-0005-0000-0000-00005AA00000}"/>
    <cellStyle name="Normal 8 4 3 4 3 2 3 2" xfId="36599" xr:uid="{00000000-0005-0000-0000-00005BA00000}"/>
    <cellStyle name="Normal 8 4 3 4 3 2 4" xfId="29158" xr:uid="{00000000-0005-0000-0000-00005CA00000}"/>
    <cellStyle name="Normal 8 4 3 4 3 3" xfId="17678" xr:uid="{00000000-0005-0000-0000-00005DA00000}"/>
    <cellStyle name="Normal 8 4 3 4 3 3 2" xfId="40321" xr:uid="{00000000-0005-0000-0000-00005EA00000}"/>
    <cellStyle name="Normal 8 4 3 4 3 4" xfId="10238" xr:uid="{00000000-0005-0000-0000-00005FA00000}"/>
    <cellStyle name="Normal 8 4 3 4 3 4 2" xfId="32881" xr:uid="{00000000-0005-0000-0000-000060A00000}"/>
    <cellStyle name="Normal 8 4 3 4 3 5" xfId="25440" xr:uid="{00000000-0005-0000-0000-000061A00000}"/>
    <cellStyle name="Normal 8 4 3 4 4" xfId="4665" xr:uid="{00000000-0005-0000-0000-000062A00000}"/>
    <cellStyle name="Normal 8 4 3 4 4 2" xfId="19549" xr:uid="{00000000-0005-0000-0000-000063A00000}"/>
    <cellStyle name="Normal 8 4 3 4 4 2 2" xfId="42192" xr:uid="{00000000-0005-0000-0000-000064A00000}"/>
    <cellStyle name="Normal 8 4 3 4 4 3" xfId="12109" xr:uid="{00000000-0005-0000-0000-000065A00000}"/>
    <cellStyle name="Normal 8 4 3 4 4 3 2" xfId="34752" xr:uid="{00000000-0005-0000-0000-000066A00000}"/>
    <cellStyle name="Normal 8 4 3 4 4 4" xfId="27311" xr:uid="{00000000-0005-0000-0000-000067A00000}"/>
    <cellStyle name="Normal 8 4 3 4 5" xfId="15831" xr:uid="{00000000-0005-0000-0000-000068A00000}"/>
    <cellStyle name="Normal 8 4 3 4 5 2" xfId="38474" xr:uid="{00000000-0005-0000-0000-000069A00000}"/>
    <cellStyle name="Normal 8 4 3 4 6" xfId="8391" xr:uid="{00000000-0005-0000-0000-00006AA00000}"/>
    <cellStyle name="Normal 8 4 3 4 6 2" xfId="31034" xr:uid="{00000000-0005-0000-0000-00006BA00000}"/>
    <cellStyle name="Normal 8 4 3 4 7" xfId="23593" xr:uid="{00000000-0005-0000-0000-00006CA00000}"/>
    <cellStyle name="Normal 8 4 3 5" xfId="1404" xr:uid="{00000000-0005-0000-0000-00006DA00000}"/>
    <cellStyle name="Normal 8 4 3 5 2" xfId="3254" xr:uid="{00000000-0005-0000-0000-00006EA00000}"/>
    <cellStyle name="Normal 8 4 3 5 2 2" xfId="6975" xr:uid="{00000000-0005-0000-0000-00006FA00000}"/>
    <cellStyle name="Normal 8 4 3 5 2 2 2" xfId="21859" xr:uid="{00000000-0005-0000-0000-000070A00000}"/>
    <cellStyle name="Normal 8 4 3 5 2 2 2 2" xfId="44502" xr:uid="{00000000-0005-0000-0000-000071A00000}"/>
    <cellStyle name="Normal 8 4 3 5 2 2 3" xfId="14419" xr:uid="{00000000-0005-0000-0000-000072A00000}"/>
    <cellStyle name="Normal 8 4 3 5 2 2 3 2" xfId="37062" xr:uid="{00000000-0005-0000-0000-000073A00000}"/>
    <cellStyle name="Normal 8 4 3 5 2 2 4" xfId="29621" xr:uid="{00000000-0005-0000-0000-000074A00000}"/>
    <cellStyle name="Normal 8 4 3 5 2 3" xfId="18141" xr:uid="{00000000-0005-0000-0000-000075A00000}"/>
    <cellStyle name="Normal 8 4 3 5 2 3 2" xfId="40784" xr:uid="{00000000-0005-0000-0000-000076A00000}"/>
    <cellStyle name="Normal 8 4 3 5 2 4" xfId="10701" xr:uid="{00000000-0005-0000-0000-000077A00000}"/>
    <cellStyle name="Normal 8 4 3 5 2 4 2" xfId="33344" xr:uid="{00000000-0005-0000-0000-000078A00000}"/>
    <cellStyle name="Normal 8 4 3 5 2 5" xfId="25903" xr:uid="{00000000-0005-0000-0000-000079A00000}"/>
    <cellStyle name="Normal 8 4 3 5 3" xfId="5128" xr:uid="{00000000-0005-0000-0000-00007AA00000}"/>
    <cellStyle name="Normal 8 4 3 5 3 2" xfId="20012" xr:uid="{00000000-0005-0000-0000-00007BA00000}"/>
    <cellStyle name="Normal 8 4 3 5 3 2 2" xfId="42655" xr:uid="{00000000-0005-0000-0000-00007CA00000}"/>
    <cellStyle name="Normal 8 4 3 5 3 3" xfId="12572" xr:uid="{00000000-0005-0000-0000-00007DA00000}"/>
    <cellStyle name="Normal 8 4 3 5 3 3 2" xfId="35215" xr:uid="{00000000-0005-0000-0000-00007EA00000}"/>
    <cellStyle name="Normal 8 4 3 5 3 4" xfId="27774" xr:uid="{00000000-0005-0000-0000-00007FA00000}"/>
    <cellStyle name="Normal 8 4 3 5 4" xfId="16294" xr:uid="{00000000-0005-0000-0000-000080A00000}"/>
    <cellStyle name="Normal 8 4 3 5 4 2" xfId="38937" xr:uid="{00000000-0005-0000-0000-000081A00000}"/>
    <cellStyle name="Normal 8 4 3 5 5" xfId="8854" xr:uid="{00000000-0005-0000-0000-000082A00000}"/>
    <cellStyle name="Normal 8 4 3 5 5 2" xfId="31497" xr:uid="{00000000-0005-0000-0000-000083A00000}"/>
    <cellStyle name="Normal 8 4 3 5 6" xfId="24056" xr:uid="{00000000-0005-0000-0000-000084A00000}"/>
    <cellStyle name="Normal 8 4 3 6" xfId="2329" xr:uid="{00000000-0005-0000-0000-000085A00000}"/>
    <cellStyle name="Normal 8 4 3 6 2" xfId="6050" xr:uid="{00000000-0005-0000-0000-000086A00000}"/>
    <cellStyle name="Normal 8 4 3 6 2 2" xfId="20934" xr:uid="{00000000-0005-0000-0000-000087A00000}"/>
    <cellStyle name="Normal 8 4 3 6 2 2 2" xfId="43577" xr:uid="{00000000-0005-0000-0000-000088A00000}"/>
    <cellStyle name="Normal 8 4 3 6 2 3" xfId="13494" xr:uid="{00000000-0005-0000-0000-000089A00000}"/>
    <cellStyle name="Normal 8 4 3 6 2 3 2" xfId="36137" xr:uid="{00000000-0005-0000-0000-00008AA00000}"/>
    <cellStyle name="Normal 8 4 3 6 2 4" xfId="28696" xr:uid="{00000000-0005-0000-0000-00008BA00000}"/>
    <cellStyle name="Normal 8 4 3 6 3" xfId="17216" xr:uid="{00000000-0005-0000-0000-00008CA00000}"/>
    <cellStyle name="Normal 8 4 3 6 3 2" xfId="39859" xr:uid="{00000000-0005-0000-0000-00008DA00000}"/>
    <cellStyle name="Normal 8 4 3 6 4" xfId="9776" xr:uid="{00000000-0005-0000-0000-00008EA00000}"/>
    <cellStyle name="Normal 8 4 3 6 4 2" xfId="32419" xr:uid="{00000000-0005-0000-0000-00008FA00000}"/>
    <cellStyle name="Normal 8 4 3 6 5" xfId="24978" xr:uid="{00000000-0005-0000-0000-000090A00000}"/>
    <cellStyle name="Normal 8 4 3 7" xfId="4203" xr:uid="{00000000-0005-0000-0000-000091A00000}"/>
    <cellStyle name="Normal 8 4 3 7 2" xfId="19087" xr:uid="{00000000-0005-0000-0000-000092A00000}"/>
    <cellStyle name="Normal 8 4 3 7 2 2" xfId="41730" xr:uid="{00000000-0005-0000-0000-000093A00000}"/>
    <cellStyle name="Normal 8 4 3 7 3" xfId="11647" xr:uid="{00000000-0005-0000-0000-000094A00000}"/>
    <cellStyle name="Normal 8 4 3 7 3 2" xfId="34290" xr:uid="{00000000-0005-0000-0000-000095A00000}"/>
    <cellStyle name="Normal 8 4 3 7 4" xfId="26849" xr:uid="{00000000-0005-0000-0000-000096A00000}"/>
    <cellStyle name="Normal 8 4 3 8" xfId="15369" xr:uid="{00000000-0005-0000-0000-000097A00000}"/>
    <cellStyle name="Normal 8 4 3 8 2" xfId="38012" xr:uid="{00000000-0005-0000-0000-000098A00000}"/>
    <cellStyle name="Normal 8 4 3 9" xfId="7929" xr:uid="{00000000-0005-0000-0000-000099A00000}"/>
    <cellStyle name="Normal 8 4 3 9 2" xfId="30572" xr:uid="{00000000-0005-0000-0000-00009AA00000}"/>
    <cellStyle name="Normal 8 4 4" xfId="525" xr:uid="{00000000-0005-0000-0000-00009BA00000}"/>
    <cellStyle name="Normal 8 4 4 2" xfId="737" xr:uid="{00000000-0005-0000-0000-00009CA00000}"/>
    <cellStyle name="Normal 8 4 4 2 2" xfId="1202" xr:uid="{00000000-0005-0000-0000-00009DA00000}"/>
    <cellStyle name="Normal 8 4 4 2 2 2" xfId="2130" xr:uid="{00000000-0005-0000-0000-00009EA00000}"/>
    <cellStyle name="Normal 8 4 4 2 2 2 2" xfId="3980" xr:uid="{00000000-0005-0000-0000-00009FA00000}"/>
    <cellStyle name="Normal 8 4 4 2 2 2 2 2" xfId="7701" xr:uid="{00000000-0005-0000-0000-0000A0A00000}"/>
    <cellStyle name="Normal 8 4 4 2 2 2 2 2 2" xfId="22585" xr:uid="{00000000-0005-0000-0000-0000A1A00000}"/>
    <cellStyle name="Normal 8 4 4 2 2 2 2 2 2 2" xfId="45228" xr:uid="{00000000-0005-0000-0000-0000A2A00000}"/>
    <cellStyle name="Normal 8 4 4 2 2 2 2 2 3" xfId="15145" xr:uid="{00000000-0005-0000-0000-0000A3A00000}"/>
    <cellStyle name="Normal 8 4 4 2 2 2 2 2 3 2" xfId="37788" xr:uid="{00000000-0005-0000-0000-0000A4A00000}"/>
    <cellStyle name="Normal 8 4 4 2 2 2 2 2 4" xfId="30347" xr:uid="{00000000-0005-0000-0000-0000A5A00000}"/>
    <cellStyle name="Normal 8 4 4 2 2 2 2 3" xfId="18867" xr:uid="{00000000-0005-0000-0000-0000A6A00000}"/>
    <cellStyle name="Normal 8 4 4 2 2 2 2 3 2" xfId="41510" xr:uid="{00000000-0005-0000-0000-0000A7A00000}"/>
    <cellStyle name="Normal 8 4 4 2 2 2 2 4" xfId="11427" xr:uid="{00000000-0005-0000-0000-0000A8A00000}"/>
    <cellStyle name="Normal 8 4 4 2 2 2 2 4 2" xfId="34070" xr:uid="{00000000-0005-0000-0000-0000A9A00000}"/>
    <cellStyle name="Normal 8 4 4 2 2 2 2 5" xfId="26629" xr:uid="{00000000-0005-0000-0000-0000AAA00000}"/>
    <cellStyle name="Normal 8 4 4 2 2 2 3" xfId="5854" xr:uid="{00000000-0005-0000-0000-0000ABA00000}"/>
    <cellStyle name="Normal 8 4 4 2 2 2 3 2" xfId="20738" xr:uid="{00000000-0005-0000-0000-0000ACA00000}"/>
    <cellStyle name="Normal 8 4 4 2 2 2 3 2 2" xfId="43381" xr:uid="{00000000-0005-0000-0000-0000ADA00000}"/>
    <cellStyle name="Normal 8 4 4 2 2 2 3 3" xfId="13298" xr:uid="{00000000-0005-0000-0000-0000AEA00000}"/>
    <cellStyle name="Normal 8 4 4 2 2 2 3 3 2" xfId="35941" xr:uid="{00000000-0005-0000-0000-0000AFA00000}"/>
    <cellStyle name="Normal 8 4 4 2 2 2 3 4" xfId="28500" xr:uid="{00000000-0005-0000-0000-0000B0A00000}"/>
    <cellStyle name="Normal 8 4 4 2 2 2 4" xfId="17020" xr:uid="{00000000-0005-0000-0000-0000B1A00000}"/>
    <cellStyle name="Normal 8 4 4 2 2 2 4 2" xfId="39663" xr:uid="{00000000-0005-0000-0000-0000B2A00000}"/>
    <cellStyle name="Normal 8 4 4 2 2 2 5" xfId="9580" xr:uid="{00000000-0005-0000-0000-0000B3A00000}"/>
    <cellStyle name="Normal 8 4 4 2 2 2 5 2" xfId="32223" xr:uid="{00000000-0005-0000-0000-0000B4A00000}"/>
    <cellStyle name="Normal 8 4 4 2 2 2 6" xfId="24782" xr:uid="{00000000-0005-0000-0000-0000B5A00000}"/>
    <cellStyle name="Normal 8 4 4 2 2 3" xfId="3055" xr:uid="{00000000-0005-0000-0000-0000B6A00000}"/>
    <cellStyle name="Normal 8 4 4 2 2 3 2" xfId="6776" xr:uid="{00000000-0005-0000-0000-0000B7A00000}"/>
    <cellStyle name="Normal 8 4 4 2 2 3 2 2" xfId="21660" xr:uid="{00000000-0005-0000-0000-0000B8A00000}"/>
    <cellStyle name="Normal 8 4 4 2 2 3 2 2 2" xfId="44303" xr:uid="{00000000-0005-0000-0000-0000B9A00000}"/>
    <cellStyle name="Normal 8 4 4 2 2 3 2 3" xfId="14220" xr:uid="{00000000-0005-0000-0000-0000BAA00000}"/>
    <cellStyle name="Normal 8 4 4 2 2 3 2 3 2" xfId="36863" xr:uid="{00000000-0005-0000-0000-0000BBA00000}"/>
    <cellStyle name="Normal 8 4 4 2 2 3 2 4" xfId="29422" xr:uid="{00000000-0005-0000-0000-0000BCA00000}"/>
    <cellStyle name="Normal 8 4 4 2 2 3 3" xfId="17942" xr:uid="{00000000-0005-0000-0000-0000BDA00000}"/>
    <cellStyle name="Normal 8 4 4 2 2 3 3 2" xfId="40585" xr:uid="{00000000-0005-0000-0000-0000BEA00000}"/>
    <cellStyle name="Normal 8 4 4 2 2 3 4" xfId="10502" xr:uid="{00000000-0005-0000-0000-0000BFA00000}"/>
    <cellStyle name="Normal 8 4 4 2 2 3 4 2" xfId="33145" xr:uid="{00000000-0005-0000-0000-0000C0A00000}"/>
    <cellStyle name="Normal 8 4 4 2 2 3 5" xfId="25704" xr:uid="{00000000-0005-0000-0000-0000C1A00000}"/>
    <cellStyle name="Normal 8 4 4 2 2 4" xfId="4929" xr:uid="{00000000-0005-0000-0000-0000C2A00000}"/>
    <cellStyle name="Normal 8 4 4 2 2 4 2" xfId="19813" xr:uid="{00000000-0005-0000-0000-0000C3A00000}"/>
    <cellStyle name="Normal 8 4 4 2 2 4 2 2" xfId="42456" xr:uid="{00000000-0005-0000-0000-0000C4A00000}"/>
    <cellStyle name="Normal 8 4 4 2 2 4 3" xfId="12373" xr:uid="{00000000-0005-0000-0000-0000C5A00000}"/>
    <cellStyle name="Normal 8 4 4 2 2 4 3 2" xfId="35016" xr:uid="{00000000-0005-0000-0000-0000C6A00000}"/>
    <cellStyle name="Normal 8 4 4 2 2 4 4" xfId="27575" xr:uid="{00000000-0005-0000-0000-0000C7A00000}"/>
    <cellStyle name="Normal 8 4 4 2 2 5" xfId="16095" xr:uid="{00000000-0005-0000-0000-0000C8A00000}"/>
    <cellStyle name="Normal 8 4 4 2 2 5 2" xfId="38738" xr:uid="{00000000-0005-0000-0000-0000C9A00000}"/>
    <cellStyle name="Normal 8 4 4 2 2 6" xfId="8655" xr:uid="{00000000-0005-0000-0000-0000CAA00000}"/>
    <cellStyle name="Normal 8 4 4 2 2 6 2" xfId="31298" xr:uid="{00000000-0005-0000-0000-0000CBA00000}"/>
    <cellStyle name="Normal 8 4 4 2 2 7" xfId="23857" xr:uid="{00000000-0005-0000-0000-0000CCA00000}"/>
    <cellStyle name="Normal 8 4 4 2 3" xfId="1668" xr:uid="{00000000-0005-0000-0000-0000CDA00000}"/>
    <cellStyle name="Normal 8 4 4 2 3 2" xfId="3518" xr:uid="{00000000-0005-0000-0000-0000CEA00000}"/>
    <cellStyle name="Normal 8 4 4 2 3 2 2" xfId="7239" xr:uid="{00000000-0005-0000-0000-0000CFA00000}"/>
    <cellStyle name="Normal 8 4 4 2 3 2 2 2" xfId="22123" xr:uid="{00000000-0005-0000-0000-0000D0A00000}"/>
    <cellStyle name="Normal 8 4 4 2 3 2 2 2 2" xfId="44766" xr:uid="{00000000-0005-0000-0000-0000D1A00000}"/>
    <cellStyle name="Normal 8 4 4 2 3 2 2 3" xfId="14683" xr:uid="{00000000-0005-0000-0000-0000D2A00000}"/>
    <cellStyle name="Normal 8 4 4 2 3 2 2 3 2" xfId="37326" xr:uid="{00000000-0005-0000-0000-0000D3A00000}"/>
    <cellStyle name="Normal 8 4 4 2 3 2 2 4" xfId="29885" xr:uid="{00000000-0005-0000-0000-0000D4A00000}"/>
    <cellStyle name="Normal 8 4 4 2 3 2 3" xfId="18405" xr:uid="{00000000-0005-0000-0000-0000D5A00000}"/>
    <cellStyle name="Normal 8 4 4 2 3 2 3 2" xfId="41048" xr:uid="{00000000-0005-0000-0000-0000D6A00000}"/>
    <cellStyle name="Normal 8 4 4 2 3 2 4" xfId="10965" xr:uid="{00000000-0005-0000-0000-0000D7A00000}"/>
    <cellStyle name="Normal 8 4 4 2 3 2 4 2" xfId="33608" xr:uid="{00000000-0005-0000-0000-0000D8A00000}"/>
    <cellStyle name="Normal 8 4 4 2 3 2 5" xfId="26167" xr:uid="{00000000-0005-0000-0000-0000D9A00000}"/>
    <cellStyle name="Normal 8 4 4 2 3 3" xfId="5392" xr:uid="{00000000-0005-0000-0000-0000DAA00000}"/>
    <cellStyle name="Normal 8 4 4 2 3 3 2" xfId="20276" xr:uid="{00000000-0005-0000-0000-0000DBA00000}"/>
    <cellStyle name="Normal 8 4 4 2 3 3 2 2" xfId="42919" xr:uid="{00000000-0005-0000-0000-0000DCA00000}"/>
    <cellStyle name="Normal 8 4 4 2 3 3 3" xfId="12836" xr:uid="{00000000-0005-0000-0000-0000DDA00000}"/>
    <cellStyle name="Normal 8 4 4 2 3 3 3 2" xfId="35479" xr:uid="{00000000-0005-0000-0000-0000DEA00000}"/>
    <cellStyle name="Normal 8 4 4 2 3 3 4" xfId="28038" xr:uid="{00000000-0005-0000-0000-0000DFA00000}"/>
    <cellStyle name="Normal 8 4 4 2 3 4" xfId="16558" xr:uid="{00000000-0005-0000-0000-0000E0A00000}"/>
    <cellStyle name="Normal 8 4 4 2 3 4 2" xfId="39201" xr:uid="{00000000-0005-0000-0000-0000E1A00000}"/>
    <cellStyle name="Normal 8 4 4 2 3 5" xfId="9118" xr:uid="{00000000-0005-0000-0000-0000E2A00000}"/>
    <cellStyle name="Normal 8 4 4 2 3 5 2" xfId="31761" xr:uid="{00000000-0005-0000-0000-0000E3A00000}"/>
    <cellStyle name="Normal 8 4 4 2 3 6" xfId="24320" xr:uid="{00000000-0005-0000-0000-0000E4A00000}"/>
    <cellStyle name="Normal 8 4 4 2 4" xfId="2593" xr:uid="{00000000-0005-0000-0000-0000E5A00000}"/>
    <cellStyle name="Normal 8 4 4 2 4 2" xfId="6314" xr:uid="{00000000-0005-0000-0000-0000E6A00000}"/>
    <cellStyle name="Normal 8 4 4 2 4 2 2" xfId="21198" xr:uid="{00000000-0005-0000-0000-0000E7A00000}"/>
    <cellStyle name="Normal 8 4 4 2 4 2 2 2" xfId="43841" xr:uid="{00000000-0005-0000-0000-0000E8A00000}"/>
    <cellStyle name="Normal 8 4 4 2 4 2 3" xfId="13758" xr:uid="{00000000-0005-0000-0000-0000E9A00000}"/>
    <cellStyle name="Normal 8 4 4 2 4 2 3 2" xfId="36401" xr:uid="{00000000-0005-0000-0000-0000EAA00000}"/>
    <cellStyle name="Normal 8 4 4 2 4 2 4" xfId="28960" xr:uid="{00000000-0005-0000-0000-0000EBA00000}"/>
    <cellStyle name="Normal 8 4 4 2 4 3" xfId="17480" xr:uid="{00000000-0005-0000-0000-0000ECA00000}"/>
    <cellStyle name="Normal 8 4 4 2 4 3 2" xfId="40123" xr:uid="{00000000-0005-0000-0000-0000EDA00000}"/>
    <cellStyle name="Normal 8 4 4 2 4 4" xfId="10040" xr:uid="{00000000-0005-0000-0000-0000EEA00000}"/>
    <cellStyle name="Normal 8 4 4 2 4 4 2" xfId="32683" xr:uid="{00000000-0005-0000-0000-0000EFA00000}"/>
    <cellStyle name="Normal 8 4 4 2 4 5" xfId="25242" xr:uid="{00000000-0005-0000-0000-0000F0A00000}"/>
    <cellStyle name="Normal 8 4 4 2 5" xfId="4467" xr:uid="{00000000-0005-0000-0000-0000F1A00000}"/>
    <cellStyle name="Normal 8 4 4 2 5 2" xfId="19351" xr:uid="{00000000-0005-0000-0000-0000F2A00000}"/>
    <cellStyle name="Normal 8 4 4 2 5 2 2" xfId="41994" xr:uid="{00000000-0005-0000-0000-0000F3A00000}"/>
    <cellStyle name="Normal 8 4 4 2 5 3" xfId="11911" xr:uid="{00000000-0005-0000-0000-0000F4A00000}"/>
    <cellStyle name="Normal 8 4 4 2 5 3 2" xfId="34554" xr:uid="{00000000-0005-0000-0000-0000F5A00000}"/>
    <cellStyle name="Normal 8 4 4 2 5 4" xfId="27113" xr:uid="{00000000-0005-0000-0000-0000F6A00000}"/>
    <cellStyle name="Normal 8 4 4 2 6" xfId="15633" xr:uid="{00000000-0005-0000-0000-0000F7A00000}"/>
    <cellStyle name="Normal 8 4 4 2 6 2" xfId="38276" xr:uid="{00000000-0005-0000-0000-0000F8A00000}"/>
    <cellStyle name="Normal 8 4 4 2 7" xfId="8193" xr:uid="{00000000-0005-0000-0000-0000F9A00000}"/>
    <cellStyle name="Normal 8 4 4 2 7 2" xfId="30836" xr:uid="{00000000-0005-0000-0000-0000FAA00000}"/>
    <cellStyle name="Normal 8 4 4 2 8" xfId="23395" xr:uid="{00000000-0005-0000-0000-0000FBA00000}"/>
    <cellStyle name="Normal 8 4 4 3" xfId="991" xr:uid="{00000000-0005-0000-0000-0000FCA00000}"/>
    <cellStyle name="Normal 8 4 4 3 2" xfId="1919" xr:uid="{00000000-0005-0000-0000-0000FDA00000}"/>
    <cellStyle name="Normal 8 4 4 3 2 2" xfId="3769" xr:uid="{00000000-0005-0000-0000-0000FEA00000}"/>
    <cellStyle name="Normal 8 4 4 3 2 2 2" xfId="7490" xr:uid="{00000000-0005-0000-0000-0000FFA00000}"/>
    <cellStyle name="Normal 8 4 4 3 2 2 2 2" xfId="22374" xr:uid="{00000000-0005-0000-0000-000000A10000}"/>
    <cellStyle name="Normal 8 4 4 3 2 2 2 2 2" xfId="45017" xr:uid="{00000000-0005-0000-0000-000001A10000}"/>
    <cellStyle name="Normal 8 4 4 3 2 2 2 3" xfId="14934" xr:uid="{00000000-0005-0000-0000-000002A10000}"/>
    <cellStyle name="Normal 8 4 4 3 2 2 2 3 2" xfId="37577" xr:uid="{00000000-0005-0000-0000-000003A10000}"/>
    <cellStyle name="Normal 8 4 4 3 2 2 2 4" xfId="30136" xr:uid="{00000000-0005-0000-0000-000004A10000}"/>
    <cellStyle name="Normal 8 4 4 3 2 2 3" xfId="18656" xr:uid="{00000000-0005-0000-0000-000005A10000}"/>
    <cellStyle name="Normal 8 4 4 3 2 2 3 2" xfId="41299" xr:uid="{00000000-0005-0000-0000-000006A10000}"/>
    <cellStyle name="Normal 8 4 4 3 2 2 4" xfId="11216" xr:uid="{00000000-0005-0000-0000-000007A10000}"/>
    <cellStyle name="Normal 8 4 4 3 2 2 4 2" xfId="33859" xr:uid="{00000000-0005-0000-0000-000008A10000}"/>
    <cellStyle name="Normal 8 4 4 3 2 2 5" xfId="26418" xr:uid="{00000000-0005-0000-0000-000009A10000}"/>
    <cellStyle name="Normal 8 4 4 3 2 3" xfId="5643" xr:uid="{00000000-0005-0000-0000-00000AA10000}"/>
    <cellStyle name="Normal 8 4 4 3 2 3 2" xfId="20527" xr:uid="{00000000-0005-0000-0000-00000BA10000}"/>
    <cellStyle name="Normal 8 4 4 3 2 3 2 2" xfId="43170" xr:uid="{00000000-0005-0000-0000-00000CA10000}"/>
    <cellStyle name="Normal 8 4 4 3 2 3 3" xfId="13087" xr:uid="{00000000-0005-0000-0000-00000DA10000}"/>
    <cellStyle name="Normal 8 4 4 3 2 3 3 2" xfId="35730" xr:uid="{00000000-0005-0000-0000-00000EA10000}"/>
    <cellStyle name="Normal 8 4 4 3 2 3 4" xfId="28289" xr:uid="{00000000-0005-0000-0000-00000FA10000}"/>
    <cellStyle name="Normal 8 4 4 3 2 4" xfId="16809" xr:uid="{00000000-0005-0000-0000-000010A10000}"/>
    <cellStyle name="Normal 8 4 4 3 2 4 2" xfId="39452" xr:uid="{00000000-0005-0000-0000-000011A10000}"/>
    <cellStyle name="Normal 8 4 4 3 2 5" xfId="9369" xr:uid="{00000000-0005-0000-0000-000012A10000}"/>
    <cellStyle name="Normal 8 4 4 3 2 5 2" xfId="32012" xr:uid="{00000000-0005-0000-0000-000013A10000}"/>
    <cellStyle name="Normal 8 4 4 3 2 6" xfId="24571" xr:uid="{00000000-0005-0000-0000-000014A10000}"/>
    <cellStyle name="Normal 8 4 4 3 3" xfId="2844" xr:uid="{00000000-0005-0000-0000-000015A10000}"/>
    <cellStyle name="Normal 8 4 4 3 3 2" xfId="6565" xr:uid="{00000000-0005-0000-0000-000016A10000}"/>
    <cellStyle name="Normal 8 4 4 3 3 2 2" xfId="21449" xr:uid="{00000000-0005-0000-0000-000017A10000}"/>
    <cellStyle name="Normal 8 4 4 3 3 2 2 2" xfId="44092" xr:uid="{00000000-0005-0000-0000-000018A10000}"/>
    <cellStyle name="Normal 8 4 4 3 3 2 3" xfId="14009" xr:uid="{00000000-0005-0000-0000-000019A10000}"/>
    <cellStyle name="Normal 8 4 4 3 3 2 3 2" xfId="36652" xr:uid="{00000000-0005-0000-0000-00001AA10000}"/>
    <cellStyle name="Normal 8 4 4 3 3 2 4" xfId="29211" xr:uid="{00000000-0005-0000-0000-00001BA10000}"/>
    <cellStyle name="Normal 8 4 4 3 3 3" xfId="17731" xr:uid="{00000000-0005-0000-0000-00001CA10000}"/>
    <cellStyle name="Normal 8 4 4 3 3 3 2" xfId="40374" xr:uid="{00000000-0005-0000-0000-00001DA10000}"/>
    <cellStyle name="Normal 8 4 4 3 3 4" xfId="10291" xr:uid="{00000000-0005-0000-0000-00001EA10000}"/>
    <cellStyle name="Normal 8 4 4 3 3 4 2" xfId="32934" xr:uid="{00000000-0005-0000-0000-00001FA10000}"/>
    <cellStyle name="Normal 8 4 4 3 3 5" xfId="25493" xr:uid="{00000000-0005-0000-0000-000020A10000}"/>
    <cellStyle name="Normal 8 4 4 3 4" xfId="4718" xr:uid="{00000000-0005-0000-0000-000021A10000}"/>
    <cellStyle name="Normal 8 4 4 3 4 2" xfId="19602" xr:uid="{00000000-0005-0000-0000-000022A10000}"/>
    <cellStyle name="Normal 8 4 4 3 4 2 2" xfId="42245" xr:uid="{00000000-0005-0000-0000-000023A10000}"/>
    <cellStyle name="Normal 8 4 4 3 4 3" xfId="12162" xr:uid="{00000000-0005-0000-0000-000024A10000}"/>
    <cellStyle name="Normal 8 4 4 3 4 3 2" xfId="34805" xr:uid="{00000000-0005-0000-0000-000025A10000}"/>
    <cellStyle name="Normal 8 4 4 3 4 4" xfId="27364" xr:uid="{00000000-0005-0000-0000-000026A10000}"/>
    <cellStyle name="Normal 8 4 4 3 5" xfId="15884" xr:uid="{00000000-0005-0000-0000-000027A10000}"/>
    <cellStyle name="Normal 8 4 4 3 5 2" xfId="38527" xr:uid="{00000000-0005-0000-0000-000028A10000}"/>
    <cellStyle name="Normal 8 4 4 3 6" xfId="8444" xr:uid="{00000000-0005-0000-0000-000029A10000}"/>
    <cellStyle name="Normal 8 4 4 3 6 2" xfId="31087" xr:uid="{00000000-0005-0000-0000-00002AA10000}"/>
    <cellStyle name="Normal 8 4 4 3 7" xfId="23646" xr:uid="{00000000-0005-0000-0000-00002BA10000}"/>
    <cellStyle name="Normal 8 4 4 4" xfId="1457" xr:uid="{00000000-0005-0000-0000-00002CA10000}"/>
    <cellStyle name="Normal 8 4 4 4 2" xfId="3307" xr:uid="{00000000-0005-0000-0000-00002DA10000}"/>
    <cellStyle name="Normal 8 4 4 4 2 2" xfId="7028" xr:uid="{00000000-0005-0000-0000-00002EA10000}"/>
    <cellStyle name="Normal 8 4 4 4 2 2 2" xfId="21912" xr:uid="{00000000-0005-0000-0000-00002FA10000}"/>
    <cellStyle name="Normal 8 4 4 4 2 2 2 2" xfId="44555" xr:uid="{00000000-0005-0000-0000-000030A10000}"/>
    <cellStyle name="Normal 8 4 4 4 2 2 3" xfId="14472" xr:uid="{00000000-0005-0000-0000-000031A10000}"/>
    <cellStyle name="Normal 8 4 4 4 2 2 3 2" xfId="37115" xr:uid="{00000000-0005-0000-0000-000032A10000}"/>
    <cellStyle name="Normal 8 4 4 4 2 2 4" xfId="29674" xr:uid="{00000000-0005-0000-0000-000033A10000}"/>
    <cellStyle name="Normal 8 4 4 4 2 3" xfId="18194" xr:uid="{00000000-0005-0000-0000-000034A10000}"/>
    <cellStyle name="Normal 8 4 4 4 2 3 2" xfId="40837" xr:uid="{00000000-0005-0000-0000-000035A10000}"/>
    <cellStyle name="Normal 8 4 4 4 2 4" xfId="10754" xr:uid="{00000000-0005-0000-0000-000036A10000}"/>
    <cellStyle name="Normal 8 4 4 4 2 4 2" xfId="33397" xr:uid="{00000000-0005-0000-0000-000037A10000}"/>
    <cellStyle name="Normal 8 4 4 4 2 5" xfId="25956" xr:uid="{00000000-0005-0000-0000-000038A10000}"/>
    <cellStyle name="Normal 8 4 4 4 3" xfId="5181" xr:uid="{00000000-0005-0000-0000-000039A10000}"/>
    <cellStyle name="Normal 8 4 4 4 3 2" xfId="20065" xr:uid="{00000000-0005-0000-0000-00003AA10000}"/>
    <cellStyle name="Normal 8 4 4 4 3 2 2" xfId="42708" xr:uid="{00000000-0005-0000-0000-00003BA10000}"/>
    <cellStyle name="Normal 8 4 4 4 3 3" xfId="12625" xr:uid="{00000000-0005-0000-0000-00003CA10000}"/>
    <cellStyle name="Normal 8 4 4 4 3 3 2" xfId="35268" xr:uid="{00000000-0005-0000-0000-00003DA10000}"/>
    <cellStyle name="Normal 8 4 4 4 3 4" xfId="27827" xr:uid="{00000000-0005-0000-0000-00003EA10000}"/>
    <cellStyle name="Normal 8 4 4 4 4" xfId="16347" xr:uid="{00000000-0005-0000-0000-00003FA10000}"/>
    <cellStyle name="Normal 8 4 4 4 4 2" xfId="38990" xr:uid="{00000000-0005-0000-0000-000040A10000}"/>
    <cellStyle name="Normal 8 4 4 4 5" xfId="8907" xr:uid="{00000000-0005-0000-0000-000041A10000}"/>
    <cellStyle name="Normal 8 4 4 4 5 2" xfId="31550" xr:uid="{00000000-0005-0000-0000-000042A10000}"/>
    <cellStyle name="Normal 8 4 4 4 6" xfId="24109" xr:uid="{00000000-0005-0000-0000-000043A10000}"/>
    <cellStyle name="Normal 8 4 4 5" xfId="2382" xr:uid="{00000000-0005-0000-0000-000044A10000}"/>
    <cellStyle name="Normal 8 4 4 5 2" xfId="6103" xr:uid="{00000000-0005-0000-0000-000045A10000}"/>
    <cellStyle name="Normal 8 4 4 5 2 2" xfId="20987" xr:uid="{00000000-0005-0000-0000-000046A10000}"/>
    <cellStyle name="Normal 8 4 4 5 2 2 2" xfId="43630" xr:uid="{00000000-0005-0000-0000-000047A10000}"/>
    <cellStyle name="Normal 8 4 4 5 2 3" xfId="13547" xr:uid="{00000000-0005-0000-0000-000048A10000}"/>
    <cellStyle name="Normal 8 4 4 5 2 3 2" xfId="36190" xr:uid="{00000000-0005-0000-0000-000049A10000}"/>
    <cellStyle name="Normal 8 4 4 5 2 4" xfId="28749" xr:uid="{00000000-0005-0000-0000-00004AA10000}"/>
    <cellStyle name="Normal 8 4 4 5 3" xfId="17269" xr:uid="{00000000-0005-0000-0000-00004BA10000}"/>
    <cellStyle name="Normal 8 4 4 5 3 2" xfId="39912" xr:uid="{00000000-0005-0000-0000-00004CA10000}"/>
    <cellStyle name="Normal 8 4 4 5 4" xfId="9829" xr:uid="{00000000-0005-0000-0000-00004DA10000}"/>
    <cellStyle name="Normal 8 4 4 5 4 2" xfId="32472" xr:uid="{00000000-0005-0000-0000-00004EA10000}"/>
    <cellStyle name="Normal 8 4 4 5 5" xfId="25031" xr:uid="{00000000-0005-0000-0000-00004FA10000}"/>
    <cellStyle name="Normal 8 4 4 6" xfId="4256" xr:uid="{00000000-0005-0000-0000-000050A10000}"/>
    <cellStyle name="Normal 8 4 4 6 2" xfId="19140" xr:uid="{00000000-0005-0000-0000-000051A10000}"/>
    <cellStyle name="Normal 8 4 4 6 2 2" xfId="41783" xr:uid="{00000000-0005-0000-0000-000052A10000}"/>
    <cellStyle name="Normal 8 4 4 6 3" xfId="11700" xr:uid="{00000000-0005-0000-0000-000053A10000}"/>
    <cellStyle name="Normal 8 4 4 6 3 2" xfId="34343" xr:uid="{00000000-0005-0000-0000-000054A10000}"/>
    <cellStyle name="Normal 8 4 4 6 4" xfId="26902" xr:uid="{00000000-0005-0000-0000-000055A10000}"/>
    <cellStyle name="Normal 8 4 4 7" xfId="15422" xr:uid="{00000000-0005-0000-0000-000056A10000}"/>
    <cellStyle name="Normal 8 4 4 7 2" xfId="38065" xr:uid="{00000000-0005-0000-0000-000057A10000}"/>
    <cellStyle name="Normal 8 4 4 8" xfId="7982" xr:uid="{00000000-0005-0000-0000-000058A10000}"/>
    <cellStyle name="Normal 8 4 4 8 2" xfId="30625" xr:uid="{00000000-0005-0000-0000-000059A10000}"/>
    <cellStyle name="Normal 8 4 4 9" xfId="23185" xr:uid="{00000000-0005-0000-0000-00005AA10000}"/>
    <cellStyle name="Normal 8 4 5" xfId="631" xr:uid="{00000000-0005-0000-0000-00005BA10000}"/>
    <cellStyle name="Normal 8 4 5 2" xfId="1097" xr:uid="{00000000-0005-0000-0000-00005CA10000}"/>
    <cellStyle name="Normal 8 4 5 2 2" xfId="2025" xr:uid="{00000000-0005-0000-0000-00005DA10000}"/>
    <cellStyle name="Normal 8 4 5 2 2 2" xfId="3875" xr:uid="{00000000-0005-0000-0000-00005EA10000}"/>
    <cellStyle name="Normal 8 4 5 2 2 2 2" xfId="7596" xr:uid="{00000000-0005-0000-0000-00005FA10000}"/>
    <cellStyle name="Normal 8 4 5 2 2 2 2 2" xfId="22480" xr:uid="{00000000-0005-0000-0000-000060A10000}"/>
    <cellStyle name="Normal 8 4 5 2 2 2 2 2 2" xfId="45123" xr:uid="{00000000-0005-0000-0000-000061A10000}"/>
    <cellStyle name="Normal 8 4 5 2 2 2 2 3" xfId="15040" xr:uid="{00000000-0005-0000-0000-000062A10000}"/>
    <cellStyle name="Normal 8 4 5 2 2 2 2 3 2" xfId="37683" xr:uid="{00000000-0005-0000-0000-000063A10000}"/>
    <cellStyle name="Normal 8 4 5 2 2 2 2 4" xfId="30242" xr:uid="{00000000-0005-0000-0000-000064A10000}"/>
    <cellStyle name="Normal 8 4 5 2 2 2 3" xfId="18762" xr:uid="{00000000-0005-0000-0000-000065A10000}"/>
    <cellStyle name="Normal 8 4 5 2 2 2 3 2" xfId="41405" xr:uid="{00000000-0005-0000-0000-000066A10000}"/>
    <cellStyle name="Normal 8 4 5 2 2 2 4" xfId="11322" xr:uid="{00000000-0005-0000-0000-000067A10000}"/>
    <cellStyle name="Normal 8 4 5 2 2 2 4 2" xfId="33965" xr:uid="{00000000-0005-0000-0000-000068A10000}"/>
    <cellStyle name="Normal 8 4 5 2 2 2 5" xfId="26524" xr:uid="{00000000-0005-0000-0000-000069A10000}"/>
    <cellStyle name="Normal 8 4 5 2 2 3" xfId="5749" xr:uid="{00000000-0005-0000-0000-00006AA10000}"/>
    <cellStyle name="Normal 8 4 5 2 2 3 2" xfId="20633" xr:uid="{00000000-0005-0000-0000-00006BA10000}"/>
    <cellStyle name="Normal 8 4 5 2 2 3 2 2" xfId="43276" xr:uid="{00000000-0005-0000-0000-00006CA10000}"/>
    <cellStyle name="Normal 8 4 5 2 2 3 3" xfId="13193" xr:uid="{00000000-0005-0000-0000-00006DA10000}"/>
    <cellStyle name="Normal 8 4 5 2 2 3 3 2" xfId="35836" xr:uid="{00000000-0005-0000-0000-00006EA10000}"/>
    <cellStyle name="Normal 8 4 5 2 2 3 4" xfId="28395" xr:uid="{00000000-0005-0000-0000-00006FA10000}"/>
    <cellStyle name="Normal 8 4 5 2 2 4" xfId="16915" xr:uid="{00000000-0005-0000-0000-000070A10000}"/>
    <cellStyle name="Normal 8 4 5 2 2 4 2" xfId="39558" xr:uid="{00000000-0005-0000-0000-000071A10000}"/>
    <cellStyle name="Normal 8 4 5 2 2 5" xfId="9475" xr:uid="{00000000-0005-0000-0000-000072A10000}"/>
    <cellStyle name="Normal 8 4 5 2 2 5 2" xfId="32118" xr:uid="{00000000-0005-0000-0000-000073A10000}"/>
    <cellStyle name="Normal 8 4 5 2 2 6" xfId="24677" xr:uid="{00000000-0005-0000-0000-000074A10000}"/>
    <cellStyle name="Normal 8 4 5 2 3" xfId="2950" xr:uid="{00000000-0005-0000-0000-000075A10000}"/>
    <cellStyle name="Normal 8 4 5 2 3 2" xfId="6671" xr:uid="{00000000-0005-0000-0000-000076A10000}"/>
    <cellStyle name="Normal 8 4 5 2 3 2 2" xfId="21555" xr:uid="{00000000-0005-0000-0000-000077A10000}"/>
    <cellStyle name="Normal 8 4 5 2 3 2 2 2" xfId="44198" xr:uid="{00000000-0005-0000-0000-000078A10000}"/>
    <cellStyle name="Normal 8 4 5 2 3 2 3" xfId="14115" xr:uid="{00000000-0005-0000-0000-000079A10000}"/>
    <cellStyle name="Normal 8 4 5 2 3 2 3 2" xfId="36758" xr:uid="{00000000-0005-0000-0000-00007AA10000}"/>
    <cellStyle name="Normal 8 4 5 2 3 2 4" xfId="29317" xr:uid="{00000000-0005-0000-0000-00007BA10000}"/>
    <cellStyle name="Normal 8 4 5 2 3 3" xfId="17837" xr:uid="{00000000-0005-0000-0000-00007CA10000}"/>
    <cellStyle name="Normal 8 4 5 2 3 3 2" xfId="40480" xr:uid="{00000000-0005-0000-0000-00007DA10000}"/>
    <cellStyle name="Normal 8 4 5 2 3 4" xfId="10397" xr:uid="{00000000-0005-0000-0000-00007EA10000}"/>
    <cellStyle name="Normal 8 4 5 2 3 4 2" xfId="33040" xr:uid="{00000000-0005-0000-0000-00007FA10000}"/>
    <cellStyle name="Normal 8 4 5 2 3 5" xfId="25599" xr:uid="{00000000-0005-0000-0000-000080A10000}"/>
    <cellStyle name="Normal 8 4 5 2 4" xfId="4824" xr:uid="{00000000-0005-0000-0000-000081A10000}"/>
    <cellStyle name="Normal 8 4 5 2 4 2" xfId="19708" xr:uid="{00000000-0005-0000-0000-000082A10000}"/>
    <cellStyle name="Normal 8 4 5 2 4 2 2" xfId="42351" xr:uid="{00000000-0005-0000-0000-000083A10000}"/>
    <cellStyle name="Normal 8 4 5 2 4 3" xfId="12268" xr:uid="{00000000-0005-0000-0000-000084A10000}"/>
    <cellStyle name="Normal 8 4 5 2 4 3 2" xfId="34911" xr:uid="{00000000-0005-0000-0000-000085A10000}"/>
    <cellStyle name="Normal 8 4 5 2 4 4" xfId="27470" xr:uid="{00000000-0005-0000-0000-000086A10000}"/>
    <cellStyle name="Normal 8 4 5 2 5" xfId="15990" xr:uid="{00000000-0005-0000-0000-000087A10000}"/>
    <cellStyle name="Normal 8 4 5 2 5 2" xfId="38633" xr:uid="{00000000-0005-0000-0000-000088A10000}"/>
    <cellStyle name="Normal 8 4 5 2 6" xfId="8550" xr:uid="{00000000-0005-0000-0000-000089A10000}"/>
    <cellStyle name="Normal 8 4 5 2 6 2" xfId="31193" xr:uid="{00000000-0005-0000-0000-00008AA10000}"/>
    <cellStyle name="Normal 8 4 5 2 7" xfId="23752" xr:uid="{00000000-0005-0000-0000-00008BA10000}"/>
    <cellStyle name="Normal 8 4 5 3" xfId="1563" xr:uid="{00000000-0005-0000-0000-00008CA10000}"/>
    <cellStyle name="Normal 8 4 5 3 2" xfId="3413" xr:uid="{00000000-0005-0000-0000-00008DA10000}"/>
    <cellStyle name="Normal 8 4 5 3 2 2" xfId="7134" xr:uid="{00000000-0005-0000-0000-00008EA10000}"/>
    <cellStyle name="Normal 8 4 5 3 2 2 2" xfId="22018" xr:uid="{00000000-0005-0000-0000-00008FA10000}"/>
    <cellStyle name="Normal 8 4 5 3 2 2 2 2" xfId="44661" xr:uid="{00000000-0005-0000-0000-000090A10000}"/>
    <cellStyle name="Normal 8 4 5 3 2 2 3" xfId="14578" xr:uid="{00000000-0005-0000-0000-000091A10000}"/>
    <cellStyle name="Normal 8 4 5 3 2 2 3 2" xfId="37221" xr:uid="{00000000-0005-0000-0000-000092A10000}"/>
    <cellStyle name="Normal 8 4 5 3 2 2 4" xfId="29780" xr:uid="{00000000-0005-0000-0000-000093A10000}"/>
    <cellStyle name="Normal 8 4 5 3 2 3" xfId="18300" xr:uid="{00000000-0005-0000-0000-000094A10000}"/>
    <cellStyle name="Normal 8 4 5 3 2 3 2" xfId="40943" xr:uid="{00000000-0005-0000-0000-000095A10000}"/>
    <cellStyle name="Normal 8 4 5 3 2 4" xfId="10860" xr:uid="{00000000-0005-0000-0000-000096A10000}"/>
    <cellStyle name="Normal 8 4 5 3 2 4 2" xfId="33503" xr:uid="{00000000-0005-0000-0000-000097A10000}"/>
    <cellStyle name="Normal 8 4 5 3 2 5" xfId="26062" xr:uid="{00000000-0005-0000-0000-000098A10000}"/>
    <cellStyle name="Normal 8 4 5 3 3" xfId="5287" xr:uid="{00000000-0005-0000-0000-000099A10000}"/>
    <cellStyle name="Normal 8 4 5 3 3 2" xfId="20171" xr:uid="{00000000-0005-0000-0000-00009AA10000}"/>
    <cellStyle name="Normal 8 4 5 3 3 2 2" xfId="42814" xr:uid="{00000000-0005-0000-0000-00009BA10000}"/>
    <cellStyle name="Normal 8 4 5 3 3 3" xfId="12731" xr:uid="{00000000-0005-0000-0000-00009CA10000}"/>
    <cellStyle name="Normal 8 4 5 3 3 3 2" xfId="35374" xr:uid="{00000000-0005-0000-0000-00009DA10000}"/>
    <cellStyle name="Normal 8 4 5 3 3 4" xfId="27933" xr:uid="{00000000-0005-0000-0000-00009EA10000}"/>
    <cellStyle name="Normal 8 4 5 3 4" xfId="16453" xr:uid="{00000000-0005-0000-0000-00009FA10000}"/>
    <cellStyle name="Normal 8 4 5 3 4 2" xfId="39096" xr:uid="{00000000-0005-0000-0000-0000A0A10000}"/>
    <cellStyle name="Normal 8 4 5 3 5" xfId="9013" xr:uid="{00000000-0005-0000-0000-0000A1A10000}"/>
    <cellStyle name="Normal 8 4 5 3 5 2" xfId="31656" xr:uid="{00000000-0005-0000-0000-0000A2A10000}"/>
    <cellStyle name="Normal 8 4 5 3 6" xfId="24215" xr:uid="{00000000-0005-0000-0000-0000A3A10000}"/>
    <cellStyle name="Normal 8 4 5 4" xfId="2488" xr:uid="{00000000-0005-0000-0000-0000A4A10000}"/>
    <cellStyle name="Normal 8 4 5 4 2" xfId="6209" xr:uid="{00000000-0005-0000-0000-0000A5A10000}"/>
    <cellStyle name="Normal 8 4 5 4 2 2" xfId="21093" xr:uid="{00000000-0005-0000-0000-0000A6A10000}"/>
    <cellStyle name="Normal 8 4 5 4 2 2 2" xfId="43736" xr:uid="{00000000-0005-0000-0000-0000A7A10000}"/>
    <cellStyle name="Normal 8 4 5 4 2 3" xfId="13653" xr:uid="{00000000-0005-0000-0000-0000A8A10000}"/>
    <cellStyle name="Normal 8 4 5 4 2 3 2" xfId="36296" xr:uid="{00000000-0005-0000-0000-0000A9A10000}"/>
    <cellStyle name="Normal 8 4 5 4 2 4" xfId="28855" xr:uid="{00000000-0005-0000-0000-0000AAA10000}"/>
    <cellStyle name="Normal 8 4 5 4 3" xfId="17375" xr:uid="{00000000-0005-0000-0000-0000ABA10000}"/>
    <cellStyle name="Normal 8 4 5 4 3 2" xfId="40018" xr:uid="{00000000-0005-0000-0000-0000ACA10000}"/>
    <cellStyle name="Normal 8 4 5 4 4" xfId="9935" xr:uid="{00000000-0005-0000-0000-0000ADA10000}"/>
    <cellStyle name="Normal 8 4 5 4 4 2" xfId="32578" xr:uid="{00000000-0005-0000-0000-0000AEA10000}"/>
    <cellStyle name="Normal 8 4 5 4 5" xfId="25137" xr:uid="{00000000-0005-0000-0000-0000AFA10000}"/>
    <cellStyle name="Normal 8 4 5 5" xfId="4362" xr:uid="{00000000-0005-0000-0000-0000B0A10000}"/>
    <cellStyle name="Normal 8 4 5 5 2" xfId="19246" xr:uid="{00000000-0005-0000-0000-0000B1A10000}"/>
    <cellStyle name="Normal 8 4 5 5 2 2" xfId="41889" xr:uid="{00000000-0005-0000-0000-0000B2A10000}"/>
    <cellStyle name="Normal 8 4 5 5 3" xfId="11806" xr:uid="{00000000-0005-0000-0000-0000B3A10000}"/>
    <cellStyle name="Normal 8 4 5 5 3 2" xfId="34449" xr:uid="{00000000-0005-0000-0000-0000B4A10000}"/>
    <cellStyle name="Normal 8 4 5 5 4" xfId="27008" xr:uid="{00000000-0005-0000-0000-0000B5A10000}"/>
    <cellStyle name="Normal 8 4 5 6" xfId="15528" xr:uid="{00000000-0005-0000-0000-0000B6A10000}"/>
    <cellStyle name="Normal 8 4 5 6 2" xfId="38171" xr:uid="{00000000-0005-0000-0000-0000B7A10000}"/>
    <cellStyle name="Normal 8 4 5 7" xfId="8088" xr:uid="{00000000-0005-0000-0000-0000B8A10000}"/>
    <cellStyle name="Normal 8 4 5 7 2" xfId="30731" xr:uid="{00000000-0005-0000-0000-0000B9A10000}"/>
    <cellStyle name="Normal 8 4 5 8" xfId="23290" xr:uid="{00000000-0005-0000-0000-0000BAA10000}"/>
    <cellStyle name="Normal 8 4 6" xfId="886" xr:uid="{00000000-0005-0000-0000-0000BBA10000}"/>
    <cellStyle name="Normal 8 4 6 2" xfId="1814" xr:uid="{00000000-0005-0000-0000-0000BCA10000}"/>
    <cellStyle name="Normal 8 4 6 2 2" xfId="3664" xr:uid="{00000000-0005-0000-0000-0000BDA10000}"/>
    <cellStyle name="Normal 8 4 6 2 2 2" xfId="7385" xr:uid="{00000000-0005-0000-0000-0000BEA10000}"/>
    <cellStyle name="Normal 8 4 6 2 2 2 2" xfId="22269" xr:uid="{00000000-0005-0000-0000-0000BFA10000}"/>
    <cellStyle name="Normal 8 4 6 2 2 2 2 2" xfId="44912" xr:uid="{00000000-0005-0000-0000-0000C0A10000}"/>
    <cellStyle name="Normal 8 4 6 2 2 2 3" xfId="14829" xr:uid="{00000000-0005-0000-0000-0000C1A10000}"/>
    <cellStyle name="Normal 8 4 6 2 2 2 3 2" xfId="37472" xr:uid="{00000000-0005-0000-0000-0000C2A10000}"/>
    <cellStyle name="Normal 8 4 6 2 2 2 4" xfId="30031" xr:uid="{00000000-0005-0000-0000-0000C3A10000}"/>
    <cellStyle name="Normal 8 4 6 2 2 3" xfId="18551" xr:uid="{00000000-0005-0000-0000-0000C4A10000}"/>
    <cellStyle name="Normal 8 4 6 2 2 3 2" xfId="41194" xr:uid="{00000000-0005-0000-0000-0000C5A10000}"/>
    <cellStyle name="Normal 8 4 6 2 2 4" xfId="11111" xr:uid="{00000000-0005-0000-0000-0000C6A10000}"/>
    <cellStyle name="Normal 8 4 6 2 2 4 2" xfId="33754" xr:uid="{00000000-0005-0000-0000-0000C7A10000}"/>
    <cellStyle name="Normal 8 4 6 2 2 5" xfId="26313" xr:uid="{00000000-0005-0000-0000-0000C8A10000}"/>
    <cellStyle name="Normal 8 4 6 2 3" xfId="5538" xr:uid="{00000000-0005-0000-0000-0000C9A10000}"/>
    <cellStyle name="Normal 8 4 6 2 3 2" xfId="20422" xr:uid="{00000000-0005-0000-0000-0000CAA10000}"/>
    <cellStyle name="Normal 8 4 6 2 3 2 2" xfId="43065" xr:uid="{00000000-0005-0000-0000-0000CBA10000}"/>
    <cellStyle name="Normal 8 4 6 2 3 3" xfId="12982" xr:uid="{00000000-0005-0000-0000-0000CCA10000}"/>
    <cellStyle name="Normal 8 4 6 2 3 3 2" xfId="35625" xr:uid="{00000000-0005-0000-0000-0000CDA10000}"/>
    <cellStyle name="Normal 8 4 6 2 3 4" xfId="28184" xr:uid="{00000000-0005-0000-0000-0000CEA10000}"/>
    <cellStyle name="Normal 8 4 6 2 4" xfId="16704" xr:uid="{00000000-0005-0000-0000-0000CFA10000}"/>
    <cellStyle name="Normal 8 4 6 2 4 2" xfId="39347" xr:uid="{00000000-0005-0000-0000-0000D0A10000}"/>
    <cellStyle name="Normal 8 4 6 2 5" xfId="9264" xr:uid="{00000000-0005-0000-0000-0000D1A10000}"/>
    <cellStyle name="Normal 8 4 6 2 5 2" xfId="31907" xr:uid="{00000000-0005-0000-0000-0000D2A10000}"/>
    <cellStyle name="Normal 8 4 6 2 6" xfId="24466" xr:uid="{00000000-0005-0000-0000-0000D3A10000}"/>
    <cellStyle name="Normal 8 4 6 3" xfId="2739" xr:uid="{00000000-0005-0000-0000-0000D4A10000}"/>
    <cellStyle name="Normal 8 4 6 3 2" xfId="6460" xr:uid="{00000000-0005-0000-0000-0000D5A10000}"/>
    <cellStyle name="Normal 8 4 6 3 2 2" xfId="21344" xr:uid="{00000000-0005-0000-0000-0000D6A10000}"/>
    <cellStyle name="Normal 8 4 6 3 2 2 2" xfId="43987" xr:uid="{00000000-0005-0000-0000-0000D7A10000}"/>
    <cellStyle name="Normal 8 4 6 3 2 3" xfId="13904" xr:uid="{00000000-0005-0000-0000-0000D8A10000}"/>
    <cellStyle name="Normal 8 4 6 3 2 3 2" xfId="36547" xr:uid="{00000000-0005-0000-0000-0000D9A10000}"/>
    <cellStyle name="Normal 8 4 6 3 2 4" xfId="29106" xr:uid="{00000000-0005-0000-0000-0000DAA10000}"/>
    <cellStyle name="Normal 8 4 6 3 3" xfId="17626" xr:uid="{00000000-0005-0000-0000-0000DBA10000}"/>
    <cellStyle name="Normal 8 4 6 3 3 2" xfId="40269" xr:uid="{00000000-0005-0000-0000-0000DCA10000}"/>
    <cellStyle name="Normal 8 4 6 3 4" xfId="10186" xr:uid="{00000000-0005-0000-0000-0000DDA10000}"/>
    <cellStyle name="Normal 8 4 6 3 4 2" xfId="32829" xr:uid="{00000000-0005-0000-0000-0000DEA10000}"/>
    <cellStyle name="Normal 8 4 6 3 5" xfId="25388" xr:uid="{00000000-0005-0000-0000-0000DFA10000}"/>
    <cellStyle name="Normal 8 4 6 4" xfId="4613" xr:uid="{00000000-0005-0000-0000-0000E0A10000}"/>
    <cellStyle name="Normal 8 4 6 4 2" xfId="19497" xr:uid="{00000000-0005-0000-0000-0000E1A10000}"/>
    <cellStyle name="Normal 8 4 6 4 2 2" xfId="42140" xr:uid="{00000000-0005-0000-0000-0000E2A10000}"/>
    <cellStyle name="Normal 8 4 6 4 3" xfId="12057" xr:uid="{00000000-0005-0000-0000-0000E3A10000}"/>
    <cellStyle name="Normal 8 4 6 4 3 2" xfId="34700" xr:uid="{00000000-0005-0000-0000-0000E4A10000}"/>
    <cellStyle name="Normal 8 4 6 4 4" xfId="27259" xr:uid="{00000000-0005-0000-0000-0000E5A10000}"/>
    <cellStyle name="Normal 8 4 6 5" xfId="15779" xr:uid="{00000000-0005-0000-0000-0000E6A10000}"/>
    <cellStyle name="Normal 8 4 6 5 2" xfId="38422" xr:uid="{00000000-0005-0000-0000-0000E7A10000}"/>
    <cellStyle name="Normal 8 4 6 6" xfId="8339" xr:uid="{00000000-0005-0000-0000-0000E8A10000}"/>
    <cellStyle name="Normal 8 4 6 6 2" xfId="30982" xr:uid="{00000000-0005-0000-0000-0000E9A10000}"/>
    <cellStyle name="Normal 8 4 6 7" xfId="23541" xr:uid="{00000000-0005-0000-0000-0000EAA10000}"/>
    <cellStyle name="Normal 8 4 7" xfId="1352" xr:uid="{00000000-0005-0000-0000-0000EBA10000}"/>
    <cellStyle name="Normal 8 4 7 2" xfId="3202" xr:uid="{00000000-0005-0000-0000-0000ECA10000}"/>
    <cellStyle name="Normal 8 4 7 2 2" xfId="6923" xr:uid="{00000000-0005-0000-0000-0000EDA10000}"/>
    <cellStyle name="Normal 8 4 7 2 2 2" xfId="21807" xr:uid="{00000000-0005-0000-0000-0000EEA10000}"/>
    <cellStyle name="Normal 8 4 7 2 2 2 2" xfId="44450" xr:uid="{00000000-0005-0000-0000-0000EFA10000}"/>
    <cellStyle name="Normal 8 4 7 2 2 3" xfId="14367" xr:uid="{00000000-0005-0000-0000-0000F0A10000}"/>
    <cellStyle name="Normal 8 4 7 2 2 3 2" xfId="37010" xr:uid="{00000000-0005-0000-0000-0000F1A10000}"/>
    <cellStyle name="Normal 8 4 7 2 2 4" xfId="29569" xr:uid="{00000000-0005-0000-0000-0000F2A10000}"/>
    <cellStyle name="Normal 8 4 7 2 3" xfId="18089" xr:uid="{00000000-0005-0000-0000-0000F3A10000}"/>
    <cellStyle name="Normal 8 4 7 2 3 2" xfId="40732" xr:uid="{00000000-0005-0000-0000-0000F4A10000}"/>
    <cellStyle name="Normal 8 4 7 2 4" xfId="10649" xr:uid="{00000000-0005-0000-0000-0000F5A10000}"/>
    <cellStyle name="Normal 8 4 7 2 4 2" xfId="33292" xr:uid="{00000000-0005-0000-0000-0000F6A10000}"/>
    <cellStyle name="Normal 8 4 7 2 5" xfId="25851" xr:uid="{00000000-0005-0000-0000-0000F7A10000}"/>
    <cellStyle name="Normal 8 4 7 3" xfId="5076" xr:uid="{00000000-0005-0000-0000-0000F8A10000}"/>
    <cellStyle name="Normal 8 4 7 3 2" xfId="19960" xr:uid="{00000000-0005-0000-0000-0000F9A10000}"/>
    <cellStyle name="Normal 8 4 7 3 2 2" xfId="42603" xr:uid="{00000000-0005-0000-0000-0000FAA10000}"/>
    <cellStyle name="Normal 8 4 7 3 3" xfId="12520" xr:uid="{00000000-0005-0000-0000-0000FBA10000}"/>
    <cellStyle name="Normal 8 4 7 3 3 2" xfId="35163" xr:uid="{00000000-0005-0000-0000-0000FCA10000}"/>
    <cellStyle name="Normal 8 4 7 3 4" xfId="27722" xr:uid="{00000000-0005-0000-0000-0000FDA10000}"/>
    <cellStyle name="Normal 8 4 7 4" xfId="16242" xr:uid="{00000000-0005-0000-0000-0000FEA10000}"/>
    <cellStyle name="Normal 8 4 7 4 2" xfId="38885" xr:uid="{00000000-0005-0000-0000-0000FFA10000}"/>
    <cellStyle name="Normal 8 4 7 5" xfId="8802" xr:uid="{00000000-0005-0000-0000-000000A20000}"/>
    <cellStyle name="Normal 8 4 7 5 2" xfId="31445" xr:uid="{00000000-0005-0000-0000-000001A20000}"/>
    <cellStyle name="Normal 8 4 7 6" xfId="24004" xr:uid="{00000000-0005-0000-0000-000002A20000}"/>
    <cellStyle name="Normal 8 4 8" xfId="2277" xr:uid="{00000000-0005-0000-0000-000003A20000}"/>
    <cellStyle name="Normal 8 4 8 2" xfId="5998" xr:uid="{00000000-0005-0000-0000-000004A20000}"/>
    <cellStyle name="Normal 8 4 8 2 2" xfId="20882" xr:uid="{00000000-0005-0000-0000-000005A20000}"/>
    <cellStyle name="Normal 8 4 8 2 2 2" xfId="43525" xr:uid="{00000000-0005-0000-0000-000006A20000}"/>
    <cellStyle name="Normal 8 4 8 2 3" xfId="13442" xr:uid="{00000000-0005-0000-0000-000007A20000}"/>
    <cellStyle name="Normal 8 4 8 2 3 2" xfId="36085" xr:uid="{00000000-0005-0000-0000-000008A20000}"/>
    <cellStyle name="Normal 8 4 8 2 4" xfId="28644" xr:uid="{00000000-0005-0000-0000-000009A20000}"/>
    <cellStyle name="Normal 8 4 8 3" xfId="17164" xr:uid="{00000000-0005-0000-0000-00000AA20000}"/>
    <cellStyle name="Normal 8 4 8 3 2" xfId="39807" xr:uid="{00000000-0005-0000-0000-00000BA20000}"/>
    <cellStyle name="Normal 8 4 8 4" xfId="9724" xr:uid="{00000000-0005-0000-0000-00000CA20000}"/>
    <cellStyle name="Normal 8 4 8 4 2" xfId="32367" xr:uid="{00000000-0005-0000-0000-00000DA20000}"/>
    <cellStyle name="Normal 8 4 8 5" xfId="24926" xr:uid="{00000000-0005-0000-0000-00000EA20000}"/>
    <cellStyle name="Normal 8 4 9" xfId="4151" xr:uid="{00000000-0005-0000-0000-00000FA20000}"/>
    <cellStyle name="Normal 8 4 9 2" xfId="19035" xr:uid="{00000000-0005-0000-0000-000010A20000}"/>
    <cellStyle name="Normal 8 4 9 2 2" xfId="41678" xr:uid="{00000000-0005-0000-0000-000011A20000}"/>
    <cellStyle name="Normal 8 4 9 3" xfId="11595" xr:uid="{00000000-0005-0000-0000-000012A20000}"/>
    <cellStyle name="Normal 8 4 9 3 2" xfId="34238" xr:uid="{00000000-0005-0000-0000-000013A20000}"/>
    <cellStyle name="Normal 8 4 9 4" xfId="26797" xr:uid="{00000000-0005-0000-0000-000014A20000}"/>
    <cellStyle name="Normal 8 5" xfId="436" xr:uid="{00000000-0005-0000-0000-000015A20000}"/>
    <cellStyle name="Normal 8 5 10" xfId="7895" xr:uid="{00000000-0005-0000-0000-000016A20000}"/>
    <cellStyle name="Normal 8 5 10 2" xfId="30538" xr:uid="{00000000-0005-0000-0000-000017A20000}"/>
    <cellStyle name="Normal 8 5 11" xfId="23098" xr:uid="{00000000-0005-0000-0000-000018A20000}"/>
    <cellStyle name="Normal 8 5 2" xfId="489" xr:uid="{00000000-0005-0000-0000-000019A20000}"/>
    <cellStyle name="Normal 8 5 2 10" xfId="23150" xr:uid="{00000000-0005-0000-0000-00001AA20000}"/>
    <cellStyle name="Normal 8 5 2 2" xfId="595" xr:uid="{00000000-0005-0000-0000-00001BA20000}"/>
    <cellStyle name="Normal 8 5 2 2 2" xfId="807" xr:uid="{00000000-0005-0000-0000-00001CA20000}"/>
    <cellStyle name="Normal 8 5 2 2 2 2" xfId="1272" xr:uid="{00000000-0005-0000-0000-00001DA20000}"/>
    <cellStyle name="Normal 8 5 2 2 2 2 2" xfId="2200" xr:uid="{00000000-0005-0000-0000-00001EA20000}"/>
    <cellStyle name="Normal 8 5 2 2 2 2 2 2" xfId="4050" xr:uid="{00000000-0005-0000-0000-00001FA20000}"/>
    <cellStyle name="Normal 8 5 2 2 2 2 2 2 2" xfId="7771" xr:uid="{00000000-0005-0000-0000-000020A20000}"/>
    <cellStyle name="Normal 8 5 2 2 2 2 2 2 2 2" xfId="22655" xr:uid="{00000000-0005-0000-0000-000021A20000}"/>
    <cellStyle name="Normal 8 5 2 2 2 2 2 2 2 2 2" xfId="45298" xr:uid="{00000000-0005-0000-0000-000022A20000}"/>
    <cellStyle name="Normal 8 5 2 2 2 2 2 2 2 3" xfId="15215" xr:uid="{00000000-0005-0000-0000-000023A20000}"/>
    <cellStyle name="Normal 8 5 2 2 2 2 2 2 2 3 2" xfId="37858" xr:uid="{00000000-0005-0000-0000-000024A20000}"/>
    <cellStyle name="Normal 8 5 2 2 2 2 2 2 2 4" xfId="30417" xr:uid="{00000000-0005-0000-0000-000025A20000}"/>
    <cellStyle name="Normal 8 5 2 2 2 2 2 2 3" xfId="18937" xr:uid="{00000000-0005-0000-0000-000026A20000}"/>
    <cellStyle name="Normal 8 5 2 2 2 2 2 2 3 2" xfId="41580" xr:uid="{00000000-0005-0000-0000-000027A20000}"/>
    <cellStyle name="Normal 8 5 2 2 2 2 2 2 4" xfId="11497" xr:uid="{00000000-0005-0000-0000-000028A20000}"/>
    <cellStyle name="Normal 8 5 2 2 2 2 2 2 4 2" xfId="34140" xr:uid="{00000000-0005-0000-0000-000029A20000}"/>
    <cellStyle name="Normal 8 5 2 2 2 2 2 2 5" xfId="26699" xr:uid="{00000000-0005-0000-0000-00002AA20000}"/>
    <cellStyle name="Normal 8 5 2 2 2 2 2 3" xfId="5924" xr:uid="{00000000-0005-0000-0000-00002BA20000}"/>
    <cellStyle name="Normal 8 5 2 2 2 2 2 3 2" xfId="20808" xr:uid="{00000000-0005-0000-0000-00002CA20000}"/>
    <cellStyle name="Normal 8 5 2 2 2 2 2 3 2 2" xfId="43451" xr:uid="{00000000-0005-0000-0000-00002DA20000}"/>
    <cellStyle name="Normal 8 5 2 2 2 2 2 3 3" xfId="13368" xr:uid="{00000000-0005-0000-0000-00002EA20000}"/>
    <cellStyle name="Normal 8 5 2 2 2 2 2 3 3 2" xfId="36011" xr:uid="{00000000-0005-0000-0000-00002FA20000}"/>
    <cellStyle name="Normal 8 5 2 2 2 2 2 3 4" xfId="28570" xr:uid="{00000000-0005-0000-0000-000030A20000}"/>
    <cellStyle name="Normal 8 5 2 2 2 2 2 4" xfId="17090" xr:uid="{00000000-0005-0000-0000-000031A20000}"/>
    <cellStyle name="Normal 8 5 2 2 2 2 2 4 2" xfId="39733" xr:uid="{00000000-0005-0000-0000-000032A20000}"/>
    <cellStyle name="Normal 8 5 2 2 2 2 2 5" xfId="9650" xr:uid="{00000000-0005-0000-0000-000033A20000}"/>
    <cellStyle name="Normal 8 5 2 2 2 2 2 5 2" xfId="32293" xr:uid="{00000000-0005-0000-0000-000034A20000}"/>
    <cellStyle name="Normal 8 5 2 2 2 2 2 6" xfId="24852" xr:uid="{00000000-0005-0000-0000-000035A20000}"/>
    <cellStyle name="Normal 8 5 2 2 2 2 3" xfId="3125" xr:uid="{00000000-0005-0000-0000-000036A20000}"/>
    <cellStyle name="Normal 8 5 2 2 2 2 3 2" xfId="6846" xr:uid="{00000000-0005-0000-0000-000037A20000}"/>
    <cellStyle name="Normal 8 5 2 2 2 2 3 2 2" xfId="21730" xr:uid="{00000000-0005-0000-0000-000038A20000}"/>
    <cellStyle name="Normal 8 5 2 2 2 2 3 2 2 2" xfId="44373" xr:uid="{00000000-0005-0000-0000-000039A20000}"/>
    <cellStyle name="Normal 8 5 2 2 2 2 3 2 3" xfId="14290" xr:uid="{00000000-0005-0000-0000-00003AA20000}"/>
    <cellStyle name="Normal 8 5 2 2 2 2 3 2 3 2" xfId="36933" xr:uid="{00000000-0005-0000-0000-00003BA20000}"/>
    <cellStyle name="Normal 8 5 2 2 2 2 3 2 4" xfId="29492" xr:uid="{00000000-0005-0000-0000-00003CA20000}"/>
    <cellStyle name="Normal 8 5 2 2 2 2 3 3" xfId="18012" xr:uid="{00000000-0005-0000-0000-00003DA20000}"/>
    <cellStyle name="Normal 8 5 2 2 2 2 3 3 2" xfId="40655" xr:uid="{00000000-0005-0000-0000-00003EA20000}"/>
    <cellStyle name="Normal 8 5 2 2 2 2 3 4" xfId="10572" xr:uid="{00000000-0005-0000-0000-00003FA20000}"/>
    <cellStyle name="Normal 8 5 2 2 2 2 3 4 2" xfId="33215" xr:uid="{00000000-0005-0000-0000-000040A20000}"/>
    <cellStyle name="Normal 8 5 2 2 2 2 3 5" xfId="25774" xr:uid="{00000000-0005-0000-0000-000041A20000}"/>
    <cellStyle name="Normal 8 5 2 2 2 2 4" xfId="4999" xr:uid="{00000000-0005-0000-0000-000042A20000}"/>
    <cellStyle name="Normal 8 5 2 2 2 2 4 2" xfId="19883" xr:uid="{00000000-0005-0000-0000-000043A20000}"/>
    <cellStyle name="Normal 8 5 2 2 2 2 4 2 2" xfId="42526" xr:uid="{00000000-0005-0000-0000-000044A20000}"/>
    <cellStyle name="Normal 8 5 2 2 2 2 4 3" xfId="12443" xr:uid="{00000000-0005-0000-0000-000045A20000}"/>
    <cellStyle name="Normal 8 5 2 2 2 2 4 3 2" xfId="35086" xr:uid="{00000000-0005-0000-0000-000046A20000}"/>
    <cellStyle name="Normal 8 5 2 2 2 2 4 4" xfId="27645" xr:uid="{00000000-0005-0000-0000-000047A20000}"/>
    <cellStyle name="Normal 8 5 2 2 2 2 5" xfId="16165" xr:uid="{00000000-0005-0000-0000-000048A20000}"/>
    <cellStyle name="Normal 8 5 2 2 2 2 5 2" xfId="38808" xr:uid="{00000000-0005-0000-0000-000049A20000}"/>
    <cellStyle name="Normal 8 5 2 2 2 2 6" xfId="8725" xr:uid="{00000000-0005-0000-0000-00004AA20000}"/>
    <cellStyle name="Normal 8 5 2 2 2 2 6 2" xfId="31368" xr:uid="{00000000-0005-0000-0000-00004BA20000}"/>
    <cellStyle name="Normal 8 5 2 2 2 2 7" xfId="23927" xr:uid="{00000000-0005-0000-0000-00004CA20000}"/>
    <cellStyle name="Normal 8 5 2 2 2 3" xfId="1738" xr:uid="{00000000-0005-0000-0000-00004DA20000}"/>
    <cellStyle name="Normal 8 5 2 2 2 3 2" xfId="3588" xr:uid="{00000000-0005-0000-0000-00004EA20000}"/>
    <cellStyle name="Normal 8 5 2 2 2 3 2 2" xfId="7309" xr:uid="{00000000-0005-0000-0000-00004FA20000}"/>
    <cellStyle name="Normal 8 5 2 2 2 3 2 2 2" xfId="22193" xr:uid="{00000000-0005-0000-0000-000050A20000}"/>
    <cellStyle name="Normal 8 5 2 2 2 3 2 2 2 2" xfId="44836" xr:uid="{00000000-0005-0000-0000-000051A20000}"/>
    <cellStyle name="Normal 8 5 2 2 2 3 2 2 3" xfId="14753" xr:uid="{00000000-0005-0000-0000-000052A20000}"/>
    <cellStyle name="Normal 8 5 2 2 2 3 2 2 3 2" xfId="37396" xr:uid="{00000000-0005-0000-0000-000053A20000}"/>
    <cellStyle name="Normal 8 5 2 2 2 3 2 2 4" xfId="29955" xr:uid="{00000000-0005-0000-0000-000054A20000}"/>
    <cellStyle name="Normal 8 5 2 2 2 3 2 3" xfId="18475" xr:uid="{00000000-0005-0000-0000-000055A20000}"/>
    <cellStyle name="Normal 8 5 2 2 2 3 2 3 2" xfId="41118" xr:uid="{00000000-0005-0000-0000-000056A20000}"/>
    <cellStyle name="Normal 8 5 2 2 2 3 2 4" xfId="11035" xr:uid="{00000000-0005-0000-0000-000057A20000}"/>
    <cellStyle name="Normal 8 5 2 2 2 3 2 4 2" xfId="33678" xr:uid="{00000000-0005-0000-0000-000058A20000}"/>
    <cellStyle name="Normal 8 5 2 2 2 3 2 5" xfId="26237" xr:uid="{00000000-0005-0000-0000-000059A20000}"/>
    <cellStyle name="Normal 8 5 2 2 2 3 3" xfId="5462" xr:uid="{00000000-0005-0000-0000-00005AA20000}"/>
    <cellStyle name="Normal 8 5 2 2 2 3 3 2" xfId="20346" xr:uid="{00000000-0005-0000-0000-00005BA20000}"/>
    <cellStyle name="Normal 8 5 2 2 2 3 3 2 2" xfId="42989" xr:uid="{00000000-0005-0000-0000-00005CA20000}"/>
    <cellStyle name="Normal 8 5 2 2 2 3 3 3" xfId="12906" xr:uid="{00000000-0005-0000-0000-00005DA20000}"/>
    <cellStyle name="Normal 8 5 2 2 2 3 3 3 2" xfId="35549" xr:uid="{00000000-0005-0000-0000-00005EA20000}"/>
    <cellStyle name="Normal 8 5 2 2 2 3 3 4" xfId="28108" xr:uid="{00000000-0005-0000-0000-00005FA20000}"/>
    <cellStyle name="Normal 8 5 2 2 2 3 4" xfId="16628" xr:uid="{00000000-0005-0000-0000-000060A20000}"/>
    <cellStyle name="Normal 8 5 2 2 2 3 4 2" xfId="39271" xr:uid="{00000000-0005-0000-0000-000061A20000}"/>
    <cellStyle name="Normal 8 5 2 2 2 3 5" xfId="9188" xr:uid="{00000000-0005-0000-0000-000062A20000}"/>
    <cellStyle name="Normal 8 5 2 2 2 3 5 2" xfId="31831" xr:uid="{00000000-0005-0000-0000-000063A20000}"/>
    <cellStyle name="Normal 8 5 2 2 2 3 6" xfId="24390" xr:uid="{00000000-0005-0000-0000-000064A20000}"/>
    <cellStyle name="Normal 8 5 2 2 2 4" xfId="2663" xr:uid="{00000000-0005-0000-0000-000065A20000}"/>
    <cellStyle name="Normal 8 5 2 2 2 4 2" xfId="6384" xr:uid="{00000000-0005-0000-0000-000066A20000}"/>
    <cellStyle name="Normal 8 5 2 2 2 4 2 2" xfId="21268" xr:uid="{00000000-0005-0000-0000-000067A20000}"/>
    <cellStyle name="Normal 8 5 2 2 2 4 2 2 2" xfId="43911" xr:uid="{00000000-0005-0000-0000-000068A20000}"/>
    <cellStyle name="Normal 8 5 2 2 2 4 2 3" xfId="13828" xr:uid="{00000000-0005-0000-0000-000069A20000}"/>
    <cellStyle name="Normal 8 5 2 2 2 4 2 3 2" xfId="36471" xr:uid="{00000000-0005-0000-0000-00006AA20000}"/>
    <cellStyle name="Normal 8 5 2 2 2 4 2 4" xfId="29030" xr:uid="{00000000-0005-0000-0000-00006BA20000}"/>
    <cellStyle name="Normal 8 5 2 2 2 4 3" xfId="17550" xr:uid="{00000000-0005-0000-0000-00006CA20000}"/>
    <cellStyle name="Normal 8 5 2 2 2 4 3 2" xfId="40193" xr:uid="{00000000-0005-0000-0000-00006DA20000}"/>
    <cellStyle name="Normal 8 5 2 2 2 4 4" xfId="10110" xr:uid="{00000000-0005-0000-0000-00006EA20000}"/>
    <cellStyle name="Normal 8 5 2 2 2 4 4 2" xfId="32753" xr:uid="{00000000-0005-0000-0000-00006FA20000}"/>
    <cellStyle name="Normal 8 5 2 2 2 4 5" xfId="25312" xr:uid="{00000000-0005-0000-0000-000070A20000}"/>
    <cellStyle name="Normal 8 5 2 2 2 5" xfId="4537" xr:uid="{00000000-0005-0000-0000-000071A20000}"/>
    <cellStyle name="Normal 8 5 2 2 2 5 2" xfId="19421" xr:uid="{00000000-0005-0000-0000-000072A20000}"/>
    <cellStyle name="Normal 8 5 2 2 2 5 2 2" xfId="42064" xr:uid="{00000000-0005-0000-0000-000073A20000}"/>
    <cellStyle name="Normal 8 5 2 2 2 5 3" xfId="11981" xr:uid="{00000000-0005-0000-0000-000074A20000}"/>
    <cellStyle name="Normal 8 5 2 2 2 5 3 2" xfId="34624" xr:uid="{00000000-0005-0000-0000-000075A20000}"/>
    <cellStyle name="Normal 8 5 2 2 2 5 4" xfId="27183" xr:uid="{00000000-0005-0000-0000-000076A20000}"/>
    <cellStyle name="Normal 8 5 2 2 2 6" xfId="15703" xr:uid="{00000000-0005-0000-0000-000077A20000}"/>
    <cellStyle name="Normal 8 5 2 2 2 6 2" xfId="38346" xr:uid="{00000000-0005-0000-0000-000078A20000}"/>
    <cellStyle name="Normal 8 5 2 2 2 7" xfId="8263" xr:uid="{00000000-0005-0000-0000-000079A20000}"/>
    <cellStyle name="Normal 8 5 2 2 2 7 2" xfId="30906" xr:uid="{00000000-0005-0000-0000-00007AA20000}"/>
    <cellStyle name="Normal 8 5 2 2 2 8" xfId="23465" xr:uid="{00000000-0005-0000-0000-00007BA20000}"/>
    <cellStyle name="Normal 8 5 2 2 3" xfId="1061" xr:uid="{00000000-0005-0000-0000-00007CA20000}"/>
    <cellStyle name="Normal 8 5 2 2 3 2" xfId="1989" xr:uid="{00000000-0005-0000-0000-00007DA20000}"/>
    <cellStyle name="Normal 8 5 2 2 3 2 2" xfId="3839" xr:uid="{00000000-0005-0000-0000-00007EA20000}"/>
    <cellStyle name="Normal 8 5 2 2 3 2 2 2" xfId="7560" xr:uid="{00000000-0005-0000-0000-00007FA20000}"/>
    <cellStyle name="Normal 8 5 2 2 3 2 2 2 2" xfId="22444" xr:uid="{00000000-0005-0000-0000-000080A20000}"/>
    <cellStyle name="Normal 8 5 2 2 3 2 2 2 2 2" xfId="45087" xr:uid="{00000000-0005-0000-0000-000081A20000}"/>
    <cellStyle name="Normal 8 5 2 2 3 2 2 2 3" xfId="15004" xr:uid="{00000000-0005-0000-0000-000082A20000}"/>
    <cellStyle name="Normal 8 5 2 2 3 2 2 2 3 2" xfId="37647" xr:uid="{00000000-0005-0000-0000-000083A20000}"/>
    <cellStyle name="Normal 8 5 2 2 3 2 2 2 4" xfId="30206" xr:uid="{00000000-0005-0000-0000-000084A20000}"/>
    <cellStyle name="Normal 8 5 2 2 3 2 2 3" xfId="18726" xr:uid="{00000000-0005-0000-0000-000085A20000}"/>
    <cellStyle name="Normal 8 5 2 2 3 2 2 3 2" xfId="41369" xr:uid="{00000000-0005-0000-0000-000086A20000}"/>
    <cellStyle name="Normal 8 5 2 2 3 2 2 4" xfId="11286" xr:uid="{00000000-0005-0000-0000-000087A20000}"/>
    <cellStyle name="Normal 8 5 2 2 3 2 2 4 2" xfId="33929" xr:uid="{00000000-0005-0000-0000-000088A20000}"/>
    <cellStyle name="Normal 8 5 2 2 3 2 2 5" xfId="26488" xr:uid="{00000000-0005-0000-0000-000089A20000}"/>
    <cellStyle name="Normal 8 5 2 2 3 2 3" xfId="5713" xr:uid="{00000000-0005-0000-0000-00008AA20000}"/>
    <cellStyle name="Normal 8 5 2 2 3 2 3 2" xfId="20597" xr:uid="{00000000-0005-0000-0000-00008BA20000}"/>
    <cellStyle name="Normal 8 5 2 2 3 2 3 2 2" xfId="43240" xr:uid="{00000000-0005-0000-0000-00008CA20000}"/>
    <cellStyle name="Normal 8 5 2 2 3 2 3 3" xfId="13157" xr:uid="{00000000-0005-0000-0000-00008DA20000}"/>
    <cellStyle name="Normal 8 5 2 2 3 2 3 3 2" xfId="35800" xr:uid="{00000000-0005-0000-0000-00008EA20000}"/>
    <cellStyle name="Normal 8 5 2 2 3 2 3 4" xfId="28359" xr:uid="{00000000-0005-0000-0000-00008FA20000}"/>
    <cellStyle name="Normal 8 5 2 2 3 2 4" xfId="16879" xr:uid="{00000000-0005-0000-0000-000090A20000}"/>
    <cellStyle name="Normal 8 5 2 2 3 2 4 2" xfId="39522" xr:uid="{00000000-0005-0000-0000-000091A20000}"/>
    <cellStyle name="Normal 8 5 2 2 3 2 5" xfId="9439" xr:uid="{00000000-0005-0000-0000-000092A20000}"/>
    <cellStyle name="Normal 8 5 2 2 3 2 5 2" xfId="32082" xr:uid="{00000000-0005-0000-0000-000093A20000}"/>
    <cellStyle name="Normal 8 5 2 2 3 2 6" xfId="24641" xr:uid="{00000000-0005-0000-0000-000094A20000}"/>
    <cellStyle name="Normal 8 5 2 2 3 3" xfId="2914" xr:uid="{00000000-0005-0000-0000-000095A20000}"/>
    <cellStyle name="Normal 8 5 2 2 3 3 2" xfId="6635" xr:uid="{00000000-0005-0000-0000-000096A20000}"/>
    <cellStyle name="Normal 8 5 2 2 3 3 2 2" xfId="21519" xr:uid="{00000000-0005-0000-0000-000097A20000}"/>
    <cellStyle name="Normal 8 5 2 2 3 3 2 2 2" xfId="44162" xr:uid="{00000000-0005-0000-0000-000098A20000}"/>
    <cellStyle name="Normal 8 5 2 2 3 3 2 3" xfId="14079" xr:uid="{00000000-0005-0000-0000-000099A20000}"/>
    <cellStyle name="Normal 8 5 2 2 3 3 2 3 2" xfId="36722" xr:uid="{00000000-0005-0000-0000-00009AA20000}"/>
    <cellStyle name="Normal 8 5 2 2 3 3 2 4" xfId="29281" xr:uid="{00000000-0005-0000-0000-00009BA20000}"/>
    <cellStyle name="Normal 8 5 2 2 3 3 3" xfId="17801" xr:uid="{00000000-0005-0000-0000-00009CA20000}"/>
    <cellStyle name="Normal 8 5 2 2 3 3 3 2" xfId="40444" xr:uid="{00000000-0005-0000-0000-00009DA20000}"/>
    <cellStyle name="Normal 8 5 2 2 3 3 4" xfId="10361" xr:uid="{00000000-0005-0000-0000-00009EA20000}"/>
    <cellStyle name="Normal 8 5 2 2 3 3 4 2" xfId="33004" xr:uid="{00000000-0005-0000-0000-00009FA20000}"/>
    <cellStyle name="Normal 8 5 2 2 3 3 5" xfId="25563" xr:uid="{00000000-0005-0000-0000-0000A0A20000}"/>
    <cellStyle name="Normal 8 5 2 2 3 4" xfId="4788" xr:uid="{00000000-0005-0000-0000-0000A1A20000}"/>
    <cellStyle name="Normal 8 5 2 2 3 4 2" xfId="19672" xr:uid="{00000000-0005-0000-0000-0000A2A20000}"/>
    <cellStyle name="Normal 8 5 2 2 3 4 2 2" xfId="42315" xr:uid="{00000000-0005-0000-0000-0000A3A20000}"/>
    <cellStyle name="Normal 8 5 2 2 3 4 3" xfId="12232" xr:uid="{00000000-0005-0000-0000-0000A4A20000}"/>
    <cellStyle name="Normal 8 5 2 2 3 4 3 2" xfId="34875" xr:uid="{00000000-0005-0000-0000-0000A5A20000}"/>
    <cellStyle name="Normal 8 5 2 2 3 4 4" xfId="27434" xr:uid="{00000000-0005-0000-0000-0000A6A20000}"/>
    <cellStyle name="Normal 8 5 2 2 3 5" xfId="15954" xr:uid="{00000000-0005-0000-0000-0000A7A20000}"/>
    <cellStyle name="Normal 8 5 2 2 3 5 2" xfId="38597" xr:uid="{00000000-0005-0000-0000-0000A8A20000}"/>
    <cellStyle name="Normal 8 5 2 2 3 6" xfId="8514" xr:uid="{00000000-0005-0000-0000-0000A9A20000}"/>
    <cellStyle name="Normal 8 5 2 2 3 6 2" xfId="31157" xr:uid="{00000000-0005-0000-0000-0000AAA20000}"/>
    <cellStyle name="Normal 8 5 2 2 3 7" xfId="23716" xr:uid="{00000000-0005-0000-0000-0000ABA20000}"/>
    <cellStyle name="Normal 8 5 2 2 4" xfId="1527" xr:uid="{00000000-0005-0000-0000-0000ACA20000}"/>
    <cellStyle name="Normal 8 5 2 2 4 2" xfId="3377" xr:uid="{00000000-0005-0000-0000-0000ADA20000}"/>
    <cellStyle name="Normal 8 5 2 2 4 2 2" xfId="7098" xr:uid="{00000000-0005-0000-0000-0000AEA20000}"/>
    <cellStyle name="Normal 8 5 2 2 4 2 2 2" xfId="21982" xr:uid="{00000000-0005-0000-0000-0000AFA20000}"/>
    <cellStyle name="Normal 8 5 2 2 4 2 2 2 2" xfId="44625" xr:uid="{00000000-0005-0000-0000-0000B0A20000}"/>
    <cellStyle name="Normal 8 5 2 2 4 2 2 3" xfId="14542" xr:uid="{00000000-0005-0000-0000-0000B1A20000}"/>
    <cellStyle name="Normal 8 5 2 2 4 2 2 3 2" xfId="37185" xr:uid="{00000000-0005-0000-0000-0000B2A20000}"/>
    <cellStyle name="Normal 8 5 2 2 4 2 2 4" xfId="29744" xr:uid="{00000000-0005-0000-0000-0000B3A20000}"/>
    <cellStyle name="Normal 8 5 2 2 4 2 3" xfId="18264" xr:uid="{00000000-0005-0000-0000-0000B4A20000}"/>
    <cellStyle name="Normal 8 5 2 2 4 2 3 2" xfId="40907" xr:uid="{00000000-0005-0000-0000-0000B5A20000}"/>
    <cellStyle name="Normal 8 5 2 2 4 2 4" xfId="10824" xr:uid="{00000000-0005-0000-0000-0000B6A20000}"/>
    <cellStyle name="Normal 8 5 2 2 4 2 4 2" xfId="33467" xr:uid="{00000000-0005-0000-0000-0000B7A20000}"/>
    <cellStyle name="Normal 8 5 2 2 4 2 5" xfId="26026" xr:uid="{00000000-0005-0000-0000-0000B8A20000}"/>
    <cellStyle name="Normal 8 5 2 2 4 3" xfId="5251" xr:uid="{00000000-0005-0000-0000-0000B9A20000}"/>
    <cellStyle name="Normal 8 5 2 2 4 3 2" xfId="20135" xr:uid="{00000000-0005-0000-0000-0000BAA20000}"/>
    <cellStyle name="Normal 8 5 2 2 4 3 2 2" xfId="42778" xr:uid="{00000000-0005-0000-0000-0000BBA20000}"/>
    <cellStyle name="Normal 8 5 2 2 4 3 3" xfId="12695" xr:uid="{00000000-0005-0000-0000-0000BCA20000}"/>
    <cellStyle name="Normal 8 5 2 2 4 3 3 2" xfId="35338" xr:uid="{00000000-0005-0000-0000-0000BDA20000}"/>
    <cellStyle name="Normal 8 5 2 2 4 3 4" xfId="27897" xr:uid="{00000000-0005-0000-0000-0000BEA20000}"/>
    <cellStyle name="Normal 8 5 2 2 4 4" xfId="16417" xr:uid="{00000000-0005-0000-0000-0000BFA20000}"/>
    <cellStyle name="Normal 8 5 2 2 4 4 2" xfId="39060" xr:uid="{00000000-0005-0000-0000-0000C0A20000}"/>
    <cellStyle name="Normal 8 5 2 2 4 5" xfId="8977" xr:uid="{00000000-0005-0000-0000-0000C1A20000}"/>
    <cellStyle name="Normal 8 5 2 2 4 5 2" xfId="31620" xr:uid="{00000000-0005-0000-0000-0000C2A20000}"/>
    <cellStyle name="Normal 8 5 2 2 4 6" xfId="24179" xr:uid="{00000000-0005-0000-0000-0000C3A20000}"/>
    <cellStyle name="Normal 8 5 2 2 5" xfId="2452" xr:uid="{00000000-0005-0000-0000-0000C4A20000}"/>
    <cellStyle name="Normal 8 5 2 2 5 2" xfId="6173" xr:uid="{00000000-0005-0000-0000-0000C5A20000}"/>
    <cellStyle name="Normal 8 5 2 2 5 2 2" xfId="21057" xr:uid="{00000000-0005-0000-0000-0000C6A20000}"/>
    <cellStyle name="Normal 8 5 2 2 5 2 2 2" xfId="43700" xr:uid="{00000000-0005-0000-0000-0000C7A20000}"/>
    <cellStyle name="Normal 8 5 2 2 5 2 3" xfId="13617" xr:uid="{00000000-0005-0000-0000-0000C8A20000}"/>
    <cellStyle name="Normal 8 5 2 2 5 2 3 2" xfId="36260" xr:uid="{00000000-0005-0000-0000-0000C9A20000}"/>
    <cellStyle name="Normal 8 5 2 2 5 2 4" xfId="28819" xr:uid="{00000000-0005-0000-0000-0000CAA20000}"/>
    <cellStyle name="Normal 8 5 2 2 5 3" xfId="17339" xr:uid="{00000000-0005-0000-0000-0000CBA20000}"/>
    <cellStyle name="Normal 8 5 2 2 5 3 2" xfId="39982" xr:uid="{00000000-0005-0000-0000-0000CCA20000}"/>
    <cellStyle name="Normal 8 5 2 2 5 4" xfId="9899" xr:uid="{00000000-0005-0000-0000-0000CDA20000}"/>
    <cellStyle name="Normal 8 5 2 2 5 4 2" xfId="32542" xr:uid="{00000000-0005-0000-0000-0000CEA20000}"/>
    <cellStyle name="Normal 8 5 2 2 5 5" xfId="25101" xr:uid="{00000000-0005-0000-0000-0000CFA20000}"/>
    <cellStyle name="Normal 8 5 2 2 6" xfId="4326" xr:uid="{00000000-0005-0000-0000-0000D0A20000}"/>
    <cellStyle name="Normal 8 5 2 2 6 2" xfId="19210" xr:uid="{00000000-0005-0000-0000-0000D1A20000}"/>
    <cellStyle name="Normal 8 5 2 2 6 2 2" xfId="41853" xr:uid="{00000000-0005-0000-0000-0000D2A20000}"/>
    <cellStyle name="Normal 8 5 2 2 6 3" xfId="11770" xr:uid="{00000000-0005-0000-0000-0000D3A20000}"/>
    <cellStyle name="Normal 8 5 2 2 6 3 2" xfId="34413" xr:uid="{00000000-0005-0000-0000-0000D4A20000}"/>
    <cellStyle name="Normal 8 5 2 2 6 4" xfId="26972" xr:uid="{00000000-0005-0000-0000-0000D5A20000}"/>
    <cellStyle name="Normal 8 5 2 2 7" xfId="15492" xr:uid="{00000000-0005-0000-0000-0000D6A20000}"/>
    <cellStyle name="Normal 8 5 2 2 7 2" xfId="38135" xr:uid="{00000000-0005-0000-0000-0000D7A20000}"/>
    <cellStyle name="Normal 8 5 2 2 8" xfId="8052" xr:uid="{00000000-0005-0000-0000-0000D8A20000}"/>
    <cellStyle name="Normal 8 5 2 2 8 2" xfId="30695" xr:uid="{00000000-0005-0000-0000-0000D9A20000}"/>
    <cellStyle name="Normal 8 5 2 2 9" xfId="23255" xr:uid="{00000000-0005-0000-0000-0000DAA20000}"/>
    <cellStyle name="Normal 8 5 2 3" xfId="702" xr:uid="{00000000-0005-0000-0000-0000DBA20000}"/>
    <cellStyle name="Normal 8 5 2 3 2" xfId="1167" xr:uid="{00000000-0005-0000-0000-0000DCA20000}"/>
    <cellStyle name="Normal 8 5 2 3 2 2" xfId="2095" xr:uid="{00000000-0005-0000-0000-0000DDA20000}"/>
    <cellStyle name="Normal 8 5 2 3 2 2 2" xfId="3945" xr:uid="{00000000-0005-0000-0000-0000DEA20000}"/>
    <cellStyle name="Normal 8 5 2 3 2 2 2 2" xfId="7666" xr:uid="{00000000-0005-0000-0000-0000DFA20000}"/>
    <cellStyle name="Normal 8 5 2 3 2 2 2 2 2" xfId="22550" xr:uid="{00000000-0005-0000-0000-0000E0A20000}"/>
    <cellStyle name="Normal 8 5 2 3 2 2 2 2 2 2" xfId="45193" xr:uid="{00000000-0005-0000-0000-0000E1A20000}"/>
    <cellStyle name="Normal 8 5 2 3 2 2 2 2 3" xfId="15110" xr:uid="{00000000-0005-0000-0000-0000E2A20000}"/>
    <cellStyle name="Normal 8 5 2 3 2 2 2 2 3 2" xfId="37753" xr:uid="{00000000-0005-0000-0000-0000E3A20000}"/>
    <cellStyle name="Normal 8 5 2 3 2 2 2 2 4" xfId="30312" xr:uid="{00000000-0005-0000-0000-0000E4A20000}"/>
    <cellStyle name="Normal 8 5 2 3 2 2 2 3" xfId="18832" xr:uid="{00000000-0005-0000-0000-0000E5A20000}"/>
    <cellStyle name="Normal 8 5 2 3 2 2 2 3 2" xfId="41475" xr:uid="{00000000-0005-0000-0000-0000E6A20000}"/>
    <cellStyle name="Normal 8 5 2 3 2 2 2 4" xfId="11392" xr:uid="{00000000-0005-0000-0000-0000E7A20000}"/>
    <cellStyle name="Normal 8 5 2 3 2 2 2 4 2" xfId="34035" xr:uid="{00000000-0005-0000-0000-0000E8A20000}"/>
    <cellStyle name="Normal 8 5 2 3 2 2 2 5" xfId="26594" xr:uid="{00000000-0005-0000-0000-0000E9A20000}"/>
    <cellStyle name="Normal 8 5 2 3 2 2 3" xfId="5819" xr:uid="{00000000-0005-0000-0000-0000EAA20000}"/>
    <cellStyle name="Normal 8 5 2 3 2 2 3 2" xfId="20703" xr:uid="{00000000-0005-0000-0000-0000EBA20000}"/>
    <cellStyle name="Normal 8 5 2 3 2 2 3 2 2" xfId="43346" xr:uid="{00000000-0005-0000-0000-0000ECA20000}"/>
    <cellStyle name="Normal 8 5 2 3 2 2 3 3" xfId="13263" xr:uid="{00000000-0005-0000-0000-0000EDA20000}"/>
    <cellStyle name="Normal 8 5 2 3 2 2 3 3 2" xfId="35906" xr:uid="{00000000-0005-0000-0000-0000EEA20000}"/>
    <cellStyle name="Normal 8 5 2 3 2 2 3 4" xfId="28465" xr:uid="{00000000-0005-0000-0000-0000EFA20000}"/>
    <cellStyle name="Normal 8 5 2 3 2 2 4" xfId="16985" xr:uid="{00000000-0005-0000-0000-0000F0A20000}"/>
    <cellStyle name="Normal 8 5 2 3 2 2 4 2" xfId="39628" xr:uid="{00000000-0005-0000-0000-0000F1A20000}"/>
    <cellStyle name="Normal 8 5 2 3 2 2 5" xfId="9545" xr:uid="{00000000-0005-0000-0000-0000F2A20000}"/>
    <cellStyle name="Normal 8 5 2 3 2 2 5 2" xfId="32188" xr:uid="{00000000-0005-0000-0000-0000F3A20000}"/>
    <cellStyle name="Normal 8 5 2 3 2 2 6" xfId="24747" xr:uid="{00000000-0005-0000-0000-0000F4A20000}"/>
    <cellStyle name="Normal 8 5 2 3 2 3" xfId="3020" xr:uid="{00000000-0005-0000-0000-0000F5A20000}"/>
    <cellStyle name="Normal 8 5 2 3 2 3 2" xfId="6741" xr:uid="{00000000-0005-0000-0000-0000F6A20000}"/>
    <cellStyle name="Normal 8 5 2 3 2 3 2 2" xfId="21625" xr:uid="{00000000-0005-0000-0000-0000F7A20000}"/>
    <cellStyle name="Normal 8 5 2 3 2 3 2 2 2" xfId="44268" xr:uid="{00000000-0005-0000-0000-0000F8A20000}"/>
    <cellStyle name="Normal 8 5 2 3 2 3 2 3" xfId="14185" xr:uid="{00000000-0005-0000-0000-0000F9A20000}"/>
    <cellStyle name="Normal 8 5 2 3 2 3 2 3 2" xfId="36828" xr:uid="{00000000-0005-0000-0000-0000FAA20000}"/>
    <cellStyle name="Normal 8 5 2 3 2 3 2 4" xfId="29387" xr:uid="{00000000-0005-0000-0000-0000FBA20000}"/>
    <cellStyle name="Normal 8 5 2 3 2 3 3" xfId="17907" xr:uid="{00000000-0005-0000-0000-0000FCA20000}"/>
    <cellStyle name="Normal 8 5 2 3 2 3 3 2" xfId="40550" xr:uid="{00000000-0005-0000-0000-0000FDA20000}"/>
    <cellStyle name="Normal 8 5 2 3 2 3 4" xfId="10467" xr:uid="{00000000-0005-0000-0000-0000FEA20000}"/>
    <cellStyle name="Normal 8 5 2 3 2 3 4 2" xfId="33110" xr:uid="{00000000-0005-0000-0000-0000FFA20000}"/>
    <cellStyle name="Normal 8 5 2 3 2 3 5" xfId="25669" xr:uid="{00000000-0005-0000-0000-000000A30000}"/>
    <cellStyle name="Normal 8 5 2 3 2 4" xfId="4894" xr:uid="{00000000-0005-0000-0000-000001A30000}"/>
    <cellStyle name="Normal 8 5 2 3 2 4 2" xfId="19778" xr:uid="{00000000-0005-0000-0000-000002A30000}"/>
    <cellStyle name="Normal 8 5 2 3 2 4 2 2" xfId="42421" xr:uid="{00000000-0005-0000-0000-000003A30000}"/>
    <cellStyle name="Normal 8 5 2 3 2 4 3" xfId="12338" xr:uid="{00000000-0005-0000-0000-000004A30000}"/>
    <cellStyle name="Normal 8 5 2 3 2 4 3 2" xfId="34981" xr:uid="{00000000-0005-0000-0000-000005A30000}"/>
    <cellStyle name="Normal 8 5 2 3 2 4 4" xfId="27540" xr:uid="{00000000-0005-0000-0000-000006A30000}"/>
    <cellStyle name="Normal 8 5 2 3 2 5" xfId="16060" xr:uid="{00000000-0005-0000-0000-000007A30000}"/>
    <cellStyle name="Normal 8 5 2 3 2 5 2" xfId="38703" xr:uid="{00000000-0005-0000-0000-000008A30000}"/>
    <cellStyle name="Normal 8 5 2 3 2 6" xfId="8620" xr:uid="{00000000-0005-0000-0000-000009A30000}"/>
    <cellStyle name="Normal 8 5 2 3 2 6 2" xfId="31263" xr:uid="{00000000-0005-0000-0000-00000AA30000}"/>
    <cellStyle name="Normal 8 5 2 3 2 7" xfId="23822" xr:uid="{00000000-0005-0000-0000-00000BA30000}"/>
    <cellStyle name="Normal 8 5 2 3 3" xfId="1633" xr:uid="{00000000-0005-0000-0000-00000CA30000}"/>
    <cellStyle name="Normal 8 5 2 3 3 2" xfId="3483" xr:uid="{00000000-0005-0000-0000-00000DA30000}"/>
    <cellStyle name="Normal 8 5 2 3 3 2 2" xfId="7204" xr:uid="{00000000-0005-0000-0000-00000EA30000}"/>
    <cellStyle name="Normal 8 5 2 3 3 2 2 2" xfId="22088" xr:uid="{00000000-0005-0000-0000-00000FA30000}"/>
    <cellStyle name="Normal 8 5 2 3 3 2 2 2 2" xfId="44731" xr:uid="{00000000-0005-0000-0000-000010A30000}"/>
    <cellStyle name="Normal 8 5 2 3 3 2 2 3" xfId="14648" xr:uid="{00000000-0005-0000-0000-000011A30000}"/>
    <cellStyle name="Normal 8 5 2 3 3 2 2 3 2" xfId="37291" xr:uid="{00000000-0005-0000-0000-000012A30000}"/>
    <cellStyle name="Normal 8 5 2 3 3 2 2 4" xfId="29850" xr:uid="{00000000-0005-0000-0000-000013A30000}"/>
    <cellStyle name="Normal 8 5 2 3 3 2 3" xfId="18370" xr:uid="{00000000-0005-0000-0000-000014A30000}"/>
    <cellStyle name="Normal 8 5 2 3 3 2 3 2" xfId="41013" xr:uid="{00000000-0005-0000-0000-000015A30000}"/>
    <cellStyle name="Normal 8 5 2 3 3 2 4" xfId="10930" xr:uid="{00000000-0005-0000-0000-000016A30000}"/>
    <cellStyle name="Normal 8 5 2 3 3 2 4 2" xfId="33573" xr:uid="{00000000-0005-0000-0000-000017A30000}"/>
    <cellStyle name="Normal 8 5 2 3 3 2 5" xfId="26132" xr:uid="{00000000-0005-0000-0000-000018A30000}"/>
    <cellStyle name="Normal 8 5 2 3 3 3" xfId="5357" xr:uid="{00000000-0005-0000-0000-000019A30000}"/>
    <cellStyle name="Normal 8 5 2 3 3 3 2" xfId="20241" xr:uid="{00000000-0005-0000-0000-00001AA30000}"/>
    <cellStyle name="Normal 8 5 2 3 3 3 2 2" xfId="42884" xr:uid="{00000000-0005-0000-0000-00001BA30000}"/>
    <cellStyle name="Normal 8 5 2 3 3 3 3" xfId="12801" xr:uid="{00000000-0005-0000-0000-00001CA30000}"/>
    <cellStyle name="Normal 8 5 2 3 3 3 3 2" xfId="35444" xr:uid="{00000000-0005-0000-0000-00001DA30000}"/>
    <cellStyle name="Normal 8 5 2 3 3 3 4" xfId="28003" xr:uid="{00000000-0005-0000-0000-00001EA30000}"/>
    <cellStyle name="Normal 8 5 2 3 3 4" xfId="16523" xr:uid="{00000000-0005-0000-0000-00001FA30000}"/>
    <cellStyle name="Normal 8 5 2 3 3 4 2" xfId="39166" xr:uid="{00000000-0005-0000-0000-000020A30000}"/>
    <cellStyle name="Normal 8 5 2 3 3 5" xfId="9083" xr:uid="{00000000-0005-0000-0000-000021A30000}"/>
    <cellStyle name="Normal 8 5 2 3 3 5 2" xfId="31726" xr:uid="{00000000-0005-0000-0000-000022A30000}"/>
    <cellStyle name="Normal 8 5 2 3 3 6" xfId="24285" xr:uid="{00000000-0005-0000-0000-000023A30000}"/>
    <cellStyle name="Normal 8 5 2 3 4" xfId="2558" xr:uid="{00000000-0005-0000-0000-000024A30000}"/>
    <cellStyle name="Normal 8 5 2 3 4 2" xfId="6279" xr:uid="{00000000-0005-0000-0000-000025A30000}"/>
    <cellStyle name="Normal 8 5 2 3 4 2 2" xfId="21163" xr:uid="{00000000-0005-0000-0000-000026A30000}"/>
    <cellStyle name="Normal 8 5 2 3 4 2 2 2" xfId="43806" xr:uid="{00000000-0005-0000-0000-000027A30000}"/>
    <cellStyle name="Normal 8 5 2 3 4 2 3" xfId="13723" xr:uid="{00000000-0005-0000-0000-000028A30000}"/>
    <cellStyle name="Normal 8 5 2 3 4 2 3 2" xfId="36366" xr:uid="{00000000-0005-0000-0000-000029A30000}"/>
    <cellStyle name="Normal 8 5 2 3 4 2 4" xfId="28925" xr:uid="{00000000-0005-0000-0000-00002AA30000}"/>
    <cellStyle name="Normal 8 5 2 3 4 3" xfId="17445" xr:uid="{00000000-0005-0000-0000-00002BA30000}"/>
    <cellStyle name="Normal 8 5 2 3 4 3 2" xfId="40088" xr:uid="{00000000-0005-0000-0000-00002CA30000}"/>
    <cellStyle name="Normal 8 5 2 3 4 4" xfId="10005" xr:uid="{00000000-0005-0000-0000-00002DA30000}"/>
    <cellStyle name="Normal 8 5 2 3 4 4 2" xfId="32648" xr:uid="{00000000-0005-0000-0000-00002EA30000}"/>
    <cellStyle name="Normal 8 5 2 3 4 5" xfId="25207" xr:uid="{00000000-0005-0000-0000-00002FA30000}"/>
    <cellStyle name="Normal 8 5 2 3 5" xfId="4432" xr:uid="{00000000-0005-0000-0000-000030A30000}"/>
    <cellStyle name="Normal 8 5 2 3 5 2" xfId="19316" xr:uid="{00000000-0005-0000-0000-000031A30000}"/>
    <cellStyle name="Normal 8 5 2 3 5 2 2" xfId="41959" xr:uid="{00000000-0005-0000-0000-000032A30000}"/>
    <cellStyle name="Normal 8 5 2 3 5 3" xfId="11876" xr:uid="{00000000-0005-0000-0000-000033A30000}"/>
    <cellStyle name="Normal 8 5 2 3 5 3 2" xfId="34519" xr:uid="{00000000-0005-0000-0000-000034A30000}"/>
    <cellStyle name="Normal 8 5 2 3 5 4" xfId="27078" xr:uid="{00000000-0005-0000-0000-000035A30000}"/>
    <cellStyle name="Normal 8 5 2 3 6" xfId="15598" xr:uid="{00000000-0005-0000-0000-000036A30000}"/>
    <cellStyle name="Normal 8 5 2 3 6 2" xfId="38241" xr:uid="{00000000-0005-0000-0000-000037A30000}"/>
    <cellStyle name="Normal 8 5 2 3 7" xfId="8158" xr:uid="{00000000-0005-0000-0000-000038A30000}"/>
    <cellStyle name="Normal 8 5 2 3 7 2" xfId="30801" xr:uid="{00000000-0005-0000-0000-000039A30000}"/>
    <cellStyle name="Normal 8 5 2 3 8" xfId="23360" xr:uid="{00000000-0005-0000-0000-00003AA30000}"/>
    <cellStyle name="Normal 8 5 2 4" xfId="956" xr:uid="{00000000-0005-0000-0000-00003BA30000}"/>
    <cellStyle name="Normal 8 5 2 4 2" xfId="1884" xr:uid="{00000000-0005-0000-0000-00003CA30000}"/>
    <cellStyle name="Normal 8 5 2 4 2 2" xfId="3734" xr:uid="{00000000-0005-0000-0000-00003DA30000}"/>
    <cellStyle name="Normal 8 5 2 4 2 2 2" xfId="7455" xr:uid="{00000000-0005-0000-0000-00003EA30000}"/>
    <cellStyle name="Normal 8 5 2 4 2 2 2 2" xfId="22339" xr:uid="{00000000-0005-0000-0000-00003FA30000}"/>
    <cellStyle name="Normal 8 5 2 4 2 2 2 2 2" xfId="44982" xr:uid="{00000000-0005-0000-0000-000040A30000}"/>
    <cellStyle name="Normal 8 5 2 4 2 2 2 3" xfId="14899" xr:uid="{00000000-0005-0000-0000-000041A30000}"/>
    <cellStyle name="Normal 8 5 2 4 2 2 2 3 2" xfId="37542" xr:uid="{00000000-0005-0000-0000-000042A30000}"/>
    <cellStyle name="Normal 8 5 2 4 2 2 2 4" xfId="30101" xr:uid="{00000000-0005-0000-0000-000043A30000}"/>
    <cellStyle name="Normal 8 5 2 4 2 2 3" xfId="18621" xr:uid="{00000000-0005-0000-0000-000044A30000}"/>
    <cellStyle name="Normal 8 5 2 4 2 2 3 2" xfId="41264" xr:uid="{00000000-0005-0000-0000-000045A30000}"/>
    <cellStyle name="Normal 8 5 2 4 2 2 4" xfId="11181" xr:uid="{00000000-0005-0000-0000-000046A30000}"/>
    <cellStyle name="Normal 8 5 2 4 2 2 4 2" xfId="33824" xr:uid="{00000000-0005-0000-0000-000047A30000}"/>
    <cellStyle name="Normal 8 5 2 4 2 2 5" xfId="26383" xr:uid="{00000000-0005-0000-0000-000048A30000}"/>
    <cellStyle name="Normal 8 5 2 4 2 3" xfId="5608" xr:uid="{00000000-0005-0000-0000-000049A30000}"/>
    <cellStyle name="Normal 8 5 2 4 2 3 2" xfId="20492" xr:uid="{00000000-0005-0000-0000-00004AA30000}"/>
    <cellStyle name="Normal 8 5 2 4 2 3 2 2" xfId="43135" xr:uid="{00000000-0005-0000-0000-00004BA30000}"/>
    <cellStyle name="Normal 8 5 2 4 2 3 3" xfId="13052" xr:uid="{00000000-0005-0000-0000-00004CA30000}"/>
    <cellStyle name="Normal 8 5 2 4 2 3 3 2" xfId="35695" xr:uid="{00000000-0005-0000-0000-00004DA30000}"/>
    <cellStyle name="Normal 8 5 2 4 2 3 4" xfId="28254" xr:uid="{00000000-0005-0000-0000-00004EA30000}"/>
    <cellStyle name="Normal 8 5 2 4 2 4" xfId="16774" xr:uid="{00000000-0005-0000-0000-00004FA30000}"/>
    <cellStyle name="Normal 8 5 2 4 2 4 2" xfId="39417" xr:uid="{00000000-0005-0000-0000-000050A30000}"/>
    <cellStyle name="Normal 8 5 2 4 2 5" xfId="9334" xr:uid="{00000000-0005-0000-0000-000051A30000}"/>
    <cellStyle name="Normal 8 5 2 4 2 5 2" xfId="31977" xr:uid="{00000000-0005-0000-0000-000052A30000}"/>
    <cellStyle name="Normal 8 5 2 4 2 6" xfId="24536" xr:uid="{00000000-0005-0000-0000-000053A30000}"/>
    <cellStyle name="Normal 8 5 2 4 3" xfId="2809" xr:uid="{00000000-0005-0000-0000-000054A30000}"/>
    <cellStyle name="Normal 8 5 2 4 3 2" xfId="6530" xr:uid="{00000000-0005-0000-0000-000055A30000}"/>
    <cellStyle name="Normal 8 5 2 4 3 2 2" xfId="21414" xr:uid="{00000000-0005-0000-0000-000056A30000}"/>
    <cellStyle name="Normal 8 5 2 4 3 2 2 2" xfId="44057" xr:uid="{00000000-0005-0000-0000-000057A30000}"/>
    <cellStyle name="Normal 8 5 2 4 3 2 3" xfId="13974" xr:uid="{00000000-0005-0000-0000-000058A30000}"/>
    <cellStyle name="Normal 8 5 2 4 3 2 3 2" xfId="36617" xr:uid="{00000000-0005-0000-0000-000059A30000}"/>
    <cellStyle name="Normal 8 5 2 4 3 2 4" xfId="29176" xr:uid="{00000000-0005-0000-0000-00005AA30000}"/>
    <cellStyle name="Normal 8 5 2 4 3 3" xfId="17696" xr:uid="{00000000-0005-0000-0000-00005BA30000}"/>
    <cellStyle name="Normal 8 5 2 4 3 3 2" xfId="40339" xr:uid="{00000000-0005-0000-0000-00005CA30000}"/>
    <cellStyle name="Normal 8 5 2 4 3 4" xfId="10256" xr:uid="{00000000-0005-0000-0000-00005DA30000}"/>
    <cellStyle name="Normal 8 5 2 4 3 4 2" xfId="32899" xr:uid="{00000000-0005-0000-0000-00005EA30000}"/>
    <cellStyle name="Normal 8 5 2 4 3 5" xfId="25458" xr:uid="{00000000-0005-0000-0000-00005FA30000}"/>
    <cellStyle name="Normal 8 5 2 4 4" xfId="4683" xr:uid="{00000000-0005-0000-0000-000060A30000}"/>
    <cellStyle name="Normal 8 5 2 4 4 2" xfId="19567" xr:uid="{00000000-0005-0000-0000-000061A30000}"/>
    <cellStyle name="Normal 8 5 2 4 4 2 2" xfId="42210" xr:uid="{00000000-0005-0000-0000-000062A30000}"/>
    <cellStyle name="Normal 8 5 2 4 4 3" xfId="12127" xr:uid="{00000000-0005-0000-0000-000063A30000}"/>
    <cellStyle name="Normal 8 5 2 4 4 3 2" xfId="34770" xr:uid="{00000000-0005-0000-0000-000064A30000}"/>
    <cellStyle name="Normal 8 5 2 4 4 4" xfId="27329" xr:uid="{00000000-0005-0000-0000-000065A30000}"/>
    <cellStyle name="Normal 8 5 2 4 5" xfId="15849" xr:uid="{00000000-0005-0000-0000-000066A30000}"/>
    <cellStyle name="Normal 8 5 2 4 5 2" xfId="38492" xr:uid="{00000000-0005-0000-0000-000067A30000}"/>
    <cellStyle name="Normal 8 5 2 4 6" xfId="8409" xr:uid="{00000000-0005-0000-0000-000068A30000}"/>
    <cellStyle name="Normal 8 5 2 4 6 2" xfId="31052" xr:uid="{00000000-0005-0000-0000-000069A30000}"/>
    <cellStyle name="Normal 8 5 2 4 7" xfId="23611" xr:uid="{00000000-0005-0000-0000-00006AA30000}"/>
    <cellStyle name="Normal 8 5 2 5" xfId="1422" xr:uid="{00000000-0005-0000-0000-00006BA30000}"/>
    <cellStyle name="Normal 8 5 2 5 2" xfId="3272" xr:uid="{00000000-0005-0000-0000-00006CA30000}"/>
    <cellStyle name="Normal 8 5 2 5 2 2" xfId="6993" xr:uid="{00000000-0005-0000-0000-00006DA30000}"/>
    <cellStyle name="Normal 8 5 2 5 2 2 2" xfId="21877" xr:uid="{00000000-0005-0000-0000-00006EA30000}"/>
    <cellStyle name="Normal 8 5 2 5 2 2 2 2" xfId="44520" xr:uid="{00000000-0005-0000-0000-00006FA30000}"/>
    <cellStyle name="Normal 8 5 2 5 2 2 3" xfId="14437" xr:uid="{00000000-0005-0000-0000-000070A30000}"/>
    <cellStyle name="Normal 8 5 2 5 2 2 3 2" xfId="37080" xr:uid="{00000000-0005-0000-0000-000071A30000}"/>
    <cellStyle name="Normal 8 5 2 5 2 2 4" xfId="29639" xr:uid="{00000000-0005-0000-0000-000072A30000}"/>
    <cellStyle name="Normal 8 5 2 5 2 3" xfId="18159" xr:uid="{00000000-0005-0000-0000-000073A30000}"/>
    <cellStyle name="Normal 8 5 2 5 2 3 2" xfId="40802" xr:uid="{00000000-0005-0000-0000-000074A30000}"/>
    <cellStyle name="Normal 8 5 2 5 2 4" xfId="10719" xr:uid="{00000000-0005-0000-0000-000075A30000}"/>
    <cellStyle name="Normal 8 5 2 5 2 4 2" xfId="33362" xr:uid="{00000000-0005-0000-0000-000076A30000}"/>
    <cellStyle name="Normal 8 5 2 5 2 5" xfId="25921" xr:uid="{00000000-0005-0000-0000-000077A30000}"/>
    <cellStyle name="Normal 8 5 2 5 3" xfId="5146" xr:uid="{00000000-0005-0000-0000-000078A30000}"/>
    <cellStyle name="Normal 8 5 2 5 3 2" xfId="20030" xr:uid="{00000000-0005-0000-0000-000079A30000}"/>
    <cellStyle name="Normal 8 5 2 5 3 2 2" xfId="42673" xr:uid="{00000000-0005-0000-0000-00007AA30000}"/>
    <cellStyle name="Normal 8 5 2 5 3 3" xfId="12590" xr:uid="{00000000-0005-0000-0000-00007BA30000}"/>
    <cellStyle name="Normal 8 5 2 5 3 3 2" xfId="35233" xr:uid="{00000000-0005-0000-0000-00007CA30000}"/>
    <cellStyle name="Normal 8 5 2 5 3 4" xfId="27792" xr:uid="{00000000-0005-0000-0000-00007DA30000}"/>
    <cellStyle name="Normal 8 5 2 5 4" xfId="16312" xr:uid="{00000000-0005-0000-0000-00007EA30000}"/>
    <cellStyle name="Normal 8 5 2 5 4 2" xfId="38955" xr:uid="{00000000-0005-0000-0000-00007FA30000}"/>
    <cellStyle name="Normal 8 5 2 5 5" xfId="8872" xr:uid="{00000000-0005-0000-0000-000080A30000}"/>
    <cellStyle name="Normal 8 5 2 5 5 2" xfId="31515" xr:uid="{00000000-0005-0000-0000-000081A30000}"/>
    <cellStyle name="Normal 8 5 2 5 6" xfId="24074" xr:uid="{00000000-0005-0000-0000-000082A30000}"/>
    <cellStyle name="Normal 8 5 2 6" xfId="2347" xr:uid="{00000000-0005-0000-0000-000083A30000}"/>
    <cellStyle name="Normal 8 5 2 6 2" xfId="6068" xr:uid="{00000000-0005-0000-0000-000084A30000}"/>
    <cellStyle name="Normal 8 5 2 6 2 2" xfId="20952" xr:uid="{00000000-0005-0000-0000-000085A30000}"/>
    <cellStyle name="Normal 8 5 2 6 2 2 2" xfId="43595" xr:uid="{00000000-0005-0000-0000-000086A30000}"/>
    <cellStyle name="Normal 8 5 2 6 2 3" xfId="13512" xr:uid="{00000000-0005-0000-0000-000087A30000}"/>
    <cellStyle name="Normal 8 5 2 6 2 3 2" xfId="36155" xr:uid="{00000000-0005-0000-0000-000088A30000}"/>
    <cellStyle name="Normal 8 5 2 6 2 4" xfId="28714" xr:uid="{00000000-0005-0000-0000-000089A30000}"/>
    <cellStyle name="Normal 8 5 2 6 3" xfId="17234" xr:uid="{00000000-0005-0000-0000-00008AA30000}"/>
    <cellStyle name="Normal 8 5 2 6 3 2" xfId="39877" xr:uid="{00000000-0005-0000-0000-00008BA30000}"/>
    <cellStyle name="Normal 8 5 2 6 4" xfId="9794" xr:uid="{00000000-0005-0000-0000-00008CA30000}"/>
    <cellStyle name="Normal 8 5 2 6 4 2" xfId="32437" xr:uid="{00000000-0005-0000-0000-00008DA30000}"/>
    <cellStyle name="Normal 8 5 2 6 5" xfId="24996" xr:uid="{00000000-0005-0000-0000-00008EA30000}"/>
    <cellStyle name="Normal 8 5 2 7" xfId="4221" xr:uid="{00000000-0005-0000-0000-00008FA30000}"/>
    <cellStyle name="Normal 8 5 2 7 2" xfId="19105" xr:uid="{00000000-0005-0000-0000-000090A30000}"/>
    <cellStyle name="Normal 8 5 2 7 2 2" xfId="41748" xr:uid="{00000000-0005-0000-0000-000091A30000}"/>
    <cellStyle name="Normal 8 5 2 7 3" xfId="11665" xr:uid="{00000000-0005-0000-0000-000092A30000}"/>
    <cellStyle name="Normal 8 5 2 7 3 2" xfId="34308" xr:uid="{00000000-0005-0000-0000-000093A30000}"/>
    <cellStyle name="Normal 8 5 2 7 4" xfId="26867" xr:uid="{00000000-0005-0000-0000-000094A30000}"/>
    <cellStyle name="Normal 8 5 2 8" xfId="15387" xr:uid="{00000000-0005-0000-0000-000095A30000}"/>
    <cellStyle name="Normal 8 5 2 8 2" xfId="38030" xr:uid="{00000000-0005-0000-0000-000096A30000}"/>
    <cellStyle name="Normal 8 5 2 9" xfId="7947" xr:uid="{00000000-0005-0000-0000-000097A30000}"/>
    <cellStyle name="Normal 8 5 2 9 2" xfId="30590" xr:uid="{00000000-0005-0000-0000-000098A30000}"/>
    <cellStyle name="Normal 8 5 3" xfId="543" xr:uid="{00000000-0005-0000-0000-000099A30000}"/>
    <cellStyle name="Normal 8 5 3 2" xfId="755" xr:uid="{00000000-0005-0000-0000-00009AA30000}"/>
    <cellStyle name="Normal 8 5 3 2 2" xfId="1220" xr:uid="{00000000-0005-0000-0000-00009BA30000}"/>
    <cellStyle name="Normal 8 5 3 2 2 2" xfId="2148" xr:uid="{00000000-0005-0000-0000-00009CA30000}"/>
    <cellStyle name="Normal 8 5 3 2 2 2 2" xfId="3998" xr:uid="{00000000-0005-0000-0000-00009DA30000}"/>
    <cellStyle name="Normal 8 5 3 2 2 2 2 2" xfId="7719" xr:uid="{00000000-0005-0000-0000-00009EA30000}"/>
    <cellStyle name="Normal 8 5 3 2 2 2 2 2 2" xfId="22603" xr:uid="{00000000-0005-0000-0000-00009FA30000}"/>
    <cellStyle name="Normal 8 5 3 2 2 2 2 2 2 2" xfId="45246" xr:uid="{00000000-0005-0000-0000-0000A0A30000}"/>
    <cellStyle name="Normal 8 5 3 2 2 2 2 2 3" xfId="15163" xr:uid="{00000000-0005-0000-0000-0000A1A30000}"/>
    <cellStyle name="Normal 8 5 3 2 2 2 2 2 3 2" xfId="37806" xr:uid="{00000000-0005-0000-0000-0000A2A30000}"/>
    <cellStyle name="Normal 8 5 3 2 2 2 2 2 4" xfId="30365" xr:uid="{00000000-0005-0000-0000-0000A3A30000}"/>
    <cellStyle name="Normal 8 5 3 2 2 2 2 3" xfId="18885" xr:uid="{00000000-0005-0000-0000-0000A4A30000}"/>
    <cellStyle name="Normal 8 5 3 2 2 2 2 3 2" xfId="41528" xr:uid="{00000000-0005-0000-0000-0000A5A30000}"/>
    <cellStyle name="Normal 8 5 3 2 2 2 2 4" xfId="11445" xr:uid="{00000000-0005-0000-0000-0000A6A30000}"/>
    <cellStyle name="Normal 8 5 3 2 2 2 2 4 2" xfId="34088" xr:uid="{00000000-0005-0000-0000-0000A7A30000}"/>
    <cellStyle name="Normal 8 5 3 2 2 2 2 5" xfId="26647" xr:uid="{00000000-0005-0000-0000-0000A8A30000}"/>
    <cellStyle name="Normal 8 5 3 2 2 2 3" xfId="5872" xr:uid="{00000000-0005-0000-0000-0000A9A30000}"/>
    <cellStyle name="Normal 8 5 3 2 2 2 3 2" xfId="20756" xr:uid="{00000000-0005-0000-0000-0000AAA30000}"/>
    <cellStyle name="Normal 8 5 3 2 2 2 3 2 2" xfId="43399" xr:uid="{00000000-0005-0000-0000-0000ABA30000}"/>
    <cellStyle name="Normal 8 5 3 2 2 2 3 3" xfId="13316" xr:uid="{00000000-0005-0000-0000-0000ACA30000}"/>
    <cellStyle name="Normal 8 5 3 2 2 2 3 3 2" xfId="35959" xr:uid="{00000000-0005-0000-0000-0000ADA30000}"/>
    <cellStyle name="Normal 8 5 3 2 2 2 3 4" xfId="28518" xr:uid="{00000000-0005-0000-0000-0000AEA30000}"/>
    <cellStyle name="Normal 8 5 3 2 2 2 4" xfId="17038" xr:uid="{00000000-0005-0000-0000-0000AFA30000}"/>
    <cellStyle name="Normal 8 5 3 2 2 2 4 2" xfId="39681" xr:uid="{00000000-0005-0000-0000-0000B0A30000}"/>
    <cellStyle name="Normal 8 5 3 2 2 2 5" xfId="9598" xr:uid="{00000000-0005-0000-0000-0000B1A30000}"/>
    <cellStyle name="Normal 8 5 3 2 2 2 5 2" xfId="32241" xr:uid="{00000000-0005-0000-0000-0000B2A30000}"/>
    <cellStyle name="Normal 8 5 3 2 2 2 6" xfId="24800" xr:uid="{00000000-0005-0000-0000-0000B3A30000}"/>
    <cellStyle name="Normal 8 5 3 2 2 3" xfId="3073" xr:uid="{00000000-0005-0000-0000-0000B4A30000}"/>
    <cellStyle name="Normal 8 5 3 2 2 3 2" xfId="6794" xr:uid="{00000000-0005-0000-0000-0000B5A30000}"/>
    <cellStyle name="Normal 8 5 3 2 2 3 2 2" xfId="21678" xr:uid="{00000000-0005-0000-0000-0000B6A30000}"/>
    <cellStyle name="Normal 8 5 3 2 2 3 2 2 2" xfId="44321" xr:uid="{00000000-0005-0000-0000-0000B7A30000}"/>
    <cellStyle name="Normal 8 5 3 2 2 3 2 3" xfId="14238" xr:uid="{00000000-0005-0000-0000-0000B8A30000}"/>
    <cellStyle name="Normal 8 5 3 2 2 3 2 3 2" xfId="36881" xr:uid="{00000000-0005-0000-0000-0000B9A30000}"/>
    <cellStyle name="Normal 8 5 3 2 2 3 2 4" xfId="29440" xr:uid="{00000000-0005-0000-0000-0000BAA30000}"/>
    <cellStyle name="Normal 8 5 3 2 2 3 3" xfId="17960" xr:uid="{00000000-0005-0000-0000-0000BBA30000}"/>
    <cellStyle name="Normal 8 5 3 2 2 3 3 2" xfId="40603" xr:uid="{00000000-0005-0000-0000-0000BCA30000}"/>
    <cellStyle name="Normal 8 5 3 2 2 3 4" xfId="10520" xr:uid="{00000000-0005-0000-0000-0000BDA30000}"/>
    <cellStyle name="Normal 8 5 3 2 2 3 4 2" xfId="33163" xr:uid="{00000000-0005-0000-0000-0000BEA30000}"/>
    <cellStyle name="Normal 8 5 3 2 2 3 5" xfId="25722" xr:uid="{00000000-0005-0000-0000-0000BFA30000}"/>
    <cellStyle name="Normal 8 5 3 2 2 4" xfId="4947" xr:uid="{00000000-0005-0000-0000-0000C0A30000}"/>
    <cellStyle name="Normal 8 5 3 2 2 4 2" xfId="19831" xr:uid="{00000000-0005-0000-0000-0000C1A30000}"/>
    <cellStyle name="Normal 8 5 3 2 2 4 2 2" xfId="42474" xr:uid="{00000000-0005-0000-0000-0000C2A30000}"/>
    <cellStyle name="Normal 8 5 3 2 2 4 3" xfId="12391" xr:uid="{00000000-0005-0000-0000-0000C3A30000}"/>
    <cellStyle name="Normal 8 5 3 2 2 4 3 2" xfId="35034" xr:uid="{00000000-0005-0000-0000-0000C4A30000}"/>
    <cellStyle name="Normal 8 5 3 2 2 4 4" xfId="27593" xr:uid="{00000000-0005-0000-0000-0000C5A30000}"/>
    <cellStyle name="Normal 8 5 3 2 2 5" xfId="16113" xr:uid="{00000000-0005-0000-0000-0000C6A30000}"/>
    <cellStyle name="Normal 8 5 3 2 2 5 2" xfId="38756" xr:uid="{00000000-0005-0000-0000-0000C7A30000}"/>
    <cellStyle name="Normal 8 5 3 2 2 6" xfId="8673" xr:uid="{00000000-0005-0000-0000-0000C8A30000}"/>
    <cellStyle name="Normal 8 5 3 2 2 6 2" xfId="31316" xr:uid="{00000000-0005-0000-0000-0000C9A30000}"/>
    <cellStyle name="Normal 8 5 3 2 2 7" xfId="23875" xr:uid="{00000000-0005-0000-0000-0000CAA30000}"/>
    <cellStyle name="Normal 8 5 3 2 3" xfId="1686" xr:uid="{00000000-0005-0000-0000-0000CBA30000}"/>
    <cellStyle name="Normal 8 5 3 2 3 2" xfId="3536" xr:uid="{00000000-0005-0000-0000-0000CCA30000}"/>
    <cellStyle name="Normal 8 5 3 2 3 2 2" xfId="7257" xr:uid="{00000000-0005-0000-0000-0000CDA30000}"/>
    <cellStyle name="Normal 8 5 3 2 3 2 2 2" xfId="22141" xr:uid="{00000000-0005-0000-0000-0000CEA30000}"/>
    <cellStyle name="Normal 8 5 3 2 3 2 2 2 2" xfId="44784" xr:uid="{00000000-0005-0000-0000-0000CFA30000}"/>
    <cellStyle name="Normal 8 5 3 2 3 2 2 3" xfId="14701" xr:uid="{00000000-0005-0000-0000-0000D0A30000}"/>
    <cellStyle name="Normal 8 5 3 2 3 2 2 3 2" xfId="37344" xr:uid="{00000000-0005-0000-0000-0000D1A30000}"/>
    <cellStyle name="Normal 8 5 3 2 3 2 2 4" xfId="29903" xr:uid="{00000000-0005-0000-0000-0000D2A30000}"/>
    <cellStyle name="Normal 8 5 3 2 3 2 3" xfId="18423" xr:uid="{00000000-0005-0000-0000-0000D3A30000}"/>
    <cellStyle name="Normal 8 5 3 2 3 2 3 2" xfId="41066" xr:uid="{00000000-0005-0000-0000-0000D4A30000}"/>
    <cellStyle name="Normal 8 5 3 2 3 2 4" xfId="10983" xr:uid="{00000000-0005-0000-0000-0000D5A30000}"/>
    <cellStyle name="Normal 8 5 3 2 3 2 4 2" xfId="33626" xr:uid="{00000000-0005-0000-0000-0000D6A30000}"/>
    <cellStyle name="Normal 8 5 3 2 3 2 5" xfId="26185" xr:uid="{00000000-0005-0000-0000-0000D7A30000}"/>
    <cellStyle name="Normal 8 5 3 2 3 3" xfId="5410" xr:uid="{00000000-0005-0000-0000-0000D8A30000}"/>
    <cellStyle name="Normal 8 5 3 2 3 3 2" xfId="20294" xr:uid="{00000000-0005-0000-0000-0000D9A30000}"/>
    <cellStyle name="Normal 8 5 3 2 3 3 2 2" xfId="42937" xr:uid="{00000000-0005-0000-0000-0000DAA30000}"/>
    <cellStyle name="Normal 8 5 3 2 3 3 3" xfId="12854" xr:uid="{00000000-0005-0000-0000-0000DBA30000}"/>
    <cellStyle name="Normal 8 5 3 2 3 3 3 2" xfId="35497" xr:uid="{00000000-0005-0000-0000-0000DCA30000}"/>
    <cellStyle name="Normal 8 5 3 2 3 3 4" xfId="28056" xr:uid="{00000000-0005-0000-0000-0000DDA30000}"/>
    <cellStyle name="Normal 8 5 3 2 3 4" xfId="16576" xr:uid="{00000000-0005-0000-0000-0000DEA30000}"/>
    <cellStyle name="Normal 8 5 3 2 3 4 2" xfId="39219" xr:uid="{00000000-0005-0000-0000-0000DFA30000}"/>
    <cellStyle name="Normal 8 5 3 2 3 5" xfId="9136" xr:uid="{00000000-0005-0000-0000-0000E0A30000}"/>
    <cellStyle name="Normal 8 5 3 2 3 5 2" xfId="31779" xr:uid="{00000000-0005-0000-0000-0000E1A30000}"/>
    <cellStyle name="Normal 8 5 3 2 3 6" xfId="24338" xr:uid="{00000000-0005-0000-0000-0000E2A30000}"/>
    <cellStyle name="Normal 8 5 3 2 4" xfId="2611" xr:uid="{00000000-0005-0000-0000-0000E3A30000}"/>
    <cellStyle name="Normal 8 5 3 2 4 2" xfId="6332" xr:uid="{00000000-0005-0000-0000-0000E4A30000}"/>
    <cellStyle name="Normal 8 5 3 2 4 2 2" xfId="21216" xr:uid="{00000000-0005-0000-0000-0000E5A30000}"/>
    <cellStyle name="Normal 8 5 3 2 4 2 2 2" xfId="43859" xr:uid="{00000000-0005-0000-0000-0000E6A30000}"/>
    <cellStyle name="Normal 8 5 3 2 4 2 3" xfId="13776" xr:uid="{00000000-0005-0000-0000-0000E7A30000}"/>
    <cellStyle name="Normal 8 5 3 2 4 2 3 2" xfId="36419" xr:uid="{00000000-0005-0000-0000-0000E8A30000}"/>
    <cellStyle name="Normal 8 5 3 2 4 2 4" xfId="28978" xr:uid="{00000000-0005-0000-0000-0000E9A30000}"/>
    <cellStyle name="Normal 8 5 3 2 4 3" xfId="17498" xr:uid="{00000000-0005-0000-0000-0000EAA30000}"/>
    <cellStyle name="Normal 8 5 3 2 4 3 2" xfId="40141" xr:uid="{00000000-0005-0000-0000-0000EBA30000}"/>
    <cellStyle name="Normal 8 5 3 2 4 4" xfId="10058" xr:uid="{00000000-0005-0000-0000-0000ECA30000}"/>
    <cellStyle name="Normal 8 5 3 2 4 4 2" xfId="32701" xr:uid="{00000000-0005-0000-0000-0000EDA30000}"/>
    <cellStyle name="Normal 8 5 3 2 4 5" xfId="25260" xr:uid="{00000000-0005-0000-0000-0000EEA30000}"/>
    <cellStyle name="Normal 8 5 3 2 5" xfId="4485" xr:uid="{00000000-0005-0000-0000-0000EFA30000}"/>
    <cellStyle name="Normal 8 5 3 2 5 2" xfId="19369" xr:uid="{00000000-0005-0000-0000-0000F0A30000}"/>
    <cellStyle name="Normal 8 5 3 2 5 2 2" xfId="42012" xr:uid="{00000000-0005-0000-0000-0000F1A30000}"/>
    <cellStyle name="Normal 8 5 3 2 5 3" xfId="11929" xr:uid="{00000000-0005-0000-0000-0000F2A30000}"/>
    <cellStyle name="Normal 8 5 3 2 5 3 2" xfId="34572" xr:uid="{00000000-0005-0000-0000-0000F3A30000}"/>
    <cellStyle name="Normal 8 5 3 2 5 4" xfId="27131" xr:uid="{00000000-0005-0000-0000-0000F4A30000}"/>
    <cellStyle name="Normal 8 5 3 2 6" xfId="15651" xr:uid="{00000000-0005-0000-0000-0000F5A30000}"/>
    <cellStyle name="Normal 8 5 3 2 6 2" xfId="38294" xr:uid="{00000000-0005-0000-0000-0000F6A30000}"/>
    <cellStyle name="Normal 8 5 3 2 7" xfId="8211" xr:uid="{00000000-0005-0000-0000-0000F7A30000}"/>
    <cellStyle name="Normal 8 5 3 2 7 2" xfId="30854" xr:uid="{00000000-0005-0000-0000-0000F8A30000}"/>
    <cellStyle name="Normal 8 5 3 2 8" xfId="23413" xr:uid="{00000000-0005-0000-0000-0000F9A30000}"/>
    <cellStyle name="Normal 8 5 3 3" xfId="1009" xr:uid="{00000000-0005-0000-0000-0000FAA30000}"/>
    <cellStyle name="Normal 8 5 3 3 2" xfId="1937" xr:uid="{00000000-0005-0000-0000-0000FBA30000}"/>
    <cellStyle name="Normal 8 5 3 3 2 2" xfId="3787" xr:uid="{00000000-0005-0000-0000-0000FCA30000}"/>
    <cellStyle name="Normal 8 5 3 3 2 2 2" xfId="7508" xr:uid="{00000000-0005-0000-0000-0000FDA30000}"/>
    <cellStyle name="Normal 8 5 3 3 2 2 2 2" xfId="22392" xr:uid="{00000000-0005-0000-0000-0000FEA30000}"/>
    <cellStyle name="Normal 8 5 3 3 2 2 2 2 2" xfId="45035" xr:uid="{00000000-0005-0000-0000-0000FFA30000}"/>
    <cellStyle name="Normal 8 5 3 3 2 2 2 3" xfId="14952" xr:uid="{00000000-0005-0000-0000-000000A40000}"/>
    <cellStyle name="Normal 8 5 3 3 2 2 2 3 2" xfId="37595" xr:uid="{00000000-0005-0000-0000-000001A40000}"/>
    <cellStyle name="Normal 8 5 3 3 2 2 2 4" xfId="30154" xr:uid="{00000000-0005-0000-0000-000002A40000}"/>
    <cellStyle name="Normal 8 5 3 3 2 2 3" xfId="18674" xr:uid="{00000000-0005-0000-0000-000003A40000}"/>
    <cellStyle name="Normal 8 5 3 3 2 2 3 2" xfId="41317" xr:uid="{00000000-0005-0000-0000-000004A40000}"/>
    <cellStyle name="Normal 8 5 3 3 2 2 4" xfId="11234" xr:uid="{00000000-0005-0000-0000-000005A40000}"/>
    <cellStyle name="Normal 8 5 3 3 2 2 4 2" xfId="33877" xr:uid="{00000000-0005-0000-0000-000006A40000}"/>
    <cellStyle name="Normal 8 5 3 3 2 2 5" xfId="26436" xr:uid="{00000000-0005-0000-0000-000007A40000}"/>
    <cellStyle name="Normal 8 5 3 3 2 3" xfId="5661" xr:uid="{00000000-0005-0000-0000-000008A40000}"/>
    <cellStyle name="Normal 8 5 3 3 2 3 2" xfId="20545" xr:uid="{00000000-0005-0000-0000-000009A40000}"/>
    <cellStyle name="Normal 8 5 3 3 2 3 2 2" xfId="43188" xr:uid="{00000000-0005-0000-0000-00000AA40000}"/>
    <cellStyle name="Normal 8 5 3 3 2 3 3" xfId="13105" xr:uid="{00000000-0005-0000-0000-00000BA40000}"/>
    <cellStyle name="Normal 8 5 3 3 2 3 3 2" xfId="35748" xr:uid="{00000000-0005-0000-0000-00000CA40000}"/>
    <cellStyle name="Normal 8 5 3 3 2 3 4" xfId="28307" xr:uid="{00000000-0005-0000-0000-00000DA40000}"/>
    <cellStyle name="Normal 8 5 3 3 2 4" xfId="16827" xr:uid="{00000000-0005-0000-0000-00000EA40000}"/>
    <cellStyle name="Normal 8 5 3 3 2 4 2" xfId="39470" xr:uid="{00000000-0005-0000-0000-00000FA40000}"/>
    <cellStyle name="Normal 8 5 3 3 2 5" xfId="9387" xr:uid="{00000000-0005-0000-0000-000010A40000}"/>
    <cellStyle name="Normal 8 5 3 3 2 5 2" xfId="32030" xr:uid="{00000000-0005-0000-0000-000011A40000}"/>
    <cellStyle name="Normal 8 5 3 3 2 6" xfId="24589" xr:uid="{00000000-0005-0000-0000-000012A40000}"/>
    <cellStyle name="Normal 8 5 3 3 3" xfId="2862" xr:uid="{00000000-0005-0000-0000-000013A40000}"/>
    <cellStyle name="Normal 8 5 3 3 3 2" xfId="6583" xr:uid="{00000000-0005-0000-0000-000014A40000}"/>
    <cellStyle name="Normal 8 5 3 3 3 2 2" xfId="21467" xr:uid="{00000000-0005-0000-0000-000015A40000}"/>
    <cellStyle name="Normal 8 5 3 3 3 2 2 2" xfId="44110" xr:uid="{00000000-0005-0000-0000-000016A40000}"/>
    <cellStyle name="Normal 8 5 3 3 3 2 3" xfId="14027" xr:uid="{00000000-0005-0000-0000-000017A40000}"/>
    <cellStyle name="Normal 8 5 3 3 3 2 3 2" xfId="36670" xr:uid="{00000000-0005-0000-0000-000018A40000}"/>
    <cellStyle name="Normal 8 5 3 3 3 2 4" xfId="29229" xr:uid="{00000000-0005-0000-0000-000019A40000}"/>
    <cellStyle name="Normal 8 5 3 3 3 3" xfId="17749" xr:uid="{00000000-0005-0000-0000-00001AA40000}"/>
    <cellStyle name="Normal 8 5 3 3 3 3 2" xfId="40392" xr:uid="{00000000-0005-0000-0000-00001BA40000}"/>
    <cellStyle name="Normal 8 5 3 3 3 4" xfId="10309" xr:uid="{00000000-0005-0000-0000-00001CA40000}"/>
    <cellStyle name="Normal 8 5 3 3 3 4 2" xfId="32952" xr:uid="{00000000-0005-0000-0000-00001DA40000}"/>
    <cellStyle name="Normal 8 5 3 3 3 5" xfId="25511" xr:uid="{00000000-0005-0000-0000-00001EA40000}"/>
    <cellStyle name="Normal 8 5 3 3 4" xfId="4736" xr:uid="{00000000-0005-0000-0000-00001FA40000}"/>
    <cellStyle name="Normal 8 5 3 3 4 2" xfId="19620" xr:uid="{00000000-0005-0000-0000-000020A40000}"/>
    <cellStyle name="Normal 8 5 3 3 4 2 2" xfId="42263" xr:uid="{00000000-0005-0000-0000-000021A40000}"/>
    <cellStyle name="Normal 8 5 3 3 4 3" xfId="12180" xr:uid="{00000000-0005-0000-0000-000022A40000}"/>
    <cellStyle name="Normal 8 5 3 3 4 3 2" xfId="34823" xr:uid="{00000000-0005-0000-0000-000023A40000}"/>
    <cellStyle name="Normal 8 5 3 3 4 4" xfId="27382" xr:uid="{00000000-0005-0000-0000-000024A40000}"/>
    <cellStyle name="Normal 8 5 3 3 5" xfId="15902" xr:uid="{00000000-0005-0000-0000-000025A40000}"/>
    <cellStyle name="Normal 8 5 3 3 5 2" xfId="38545" xr:uid="{00000000-0005-0000-0000-000026A40000}"/>
    <cellStyle name="Normal 8 5 3 3 6" xfId="8462" xr:uid="{00000000-0005-0000-0000-000027A40000}"/>
    <cellStyle name="Normal 8 5 3 3 6 2" xfId="31105" xr:uid="{00000000-0005-0000-0000-000028A40000}"/>
    <cellStyle name="Normal 8 5 3 3 7" xfId="23664" xr:uid="{00000000-0005-0000-0000-000029A40000}"/>
    <cellStyle name="Normal 8 5 3 4" xfId="1475" xr:uid="{00000000-0005-0000-0000-00002AA40000}"/>
    <cellStyle name="Normal 8 5 3 4 2" xfId="3325" xr:uid="{00000000-0005-0000-0000-00002BA40000}"/>
    <cellStyle name="Normal 8 5 3 4 2 2" xfId="7046" xr:uid="{00000000-0005-0000-0000-00002CA40000}"/>
    <cellStyle name="Normal 8 5 3 4 2 2 2" xfId="21930" xr:uid="{00000000-0005-0000-0000-00002DA40000}"/>
    <cellStyle name="Normal 8 5 3 4 2 2 2 2" xfId="44573" xr:uid="{00000000-0005-0000-0000-00002EA40000}"/>
    <cellStyle name="Normal 8 5 3 4 2 2 3" xfId="14490" xr:uid="{00000000-0005-0000-0000-00002FA40000}"/>
    <cellStyle name="Normal 8 5 3 4 2 2 3 2" xfId="37133" xr:uid="{00000000-0005-0000-0000-000030A40000}"/>
    <cellStyle name="Normal 8 5 3 4 2 2 4" xfId="29692" xr:uid="{00000000-0005-0000-0000-000031A40000}"/>
    <cellStyle name="Normal 8 5 3 4 2 3" xfId="18212" xr:uid="{00000000-0005-0000-0000-000032A40000}"/>
    <cellStyle name="Normal 8 5 3 4 2 3 2" xfId="40855" xr:uid="{00000000-0005-0000-0000-000033A40000}"/>
    <cellStyle name="Normal 8 5 3 4 2 4" xfId="10772" xr:uid="{00000000-0005-0000-0000-000034A40000}"/>
    <cellStyle name="Normal 8 5 3 4 2 4 2" xfId="33415" xr:uid="{00000000-0005-0000-0000-000035A40000}"/>
    <cellStyle name="Normal 8 5 3 4 2 5" xfId="25974" xr:uid="{00000000-0005-0000-0000-000036A40000}"/>
    <cellStyle name="Normal 8 5 3 4 3" xfId="5199" xr:uid="{00000000-0005-0000-0000-000037A40000}"/>
    <cellStyle name="Normal 8 5 3 4 3 2" xfId="20083" xr:uid="{00000000-0005-0000-0000-000038A40000}"/>
    <cellStyle name="Normal 8 5 3 4 3 2 2" xfId="42726" xr:uid="{00000000-0005-0000-0000-000039A40000}"/>
    <cellStyle name="Normal 8 5 3 4 3 3" xfId="12643" xr:uid="{00000000-0005-0000-0000-00003AA40000}"/>
    <cellStyle name="Normal 8 5 3 4 3 3 2" xfId="35286" xr:uid="{00000000-0005-0000-0000-00003BA40000}"/>
    <cellStyle name="Normal 8 5 3 4 3 4" xfId="27845" xr:uid="{00000000-0005-0000-0000-00003CA40000}"/>
    <cellStyle name="Normal 8 5 3 4 4" xfId="16365" xr:uid="{00000000-0005-0000-0000-00003DA40000}"/>
    <cellStyle name="Normal 8 5 3 4 4 2" xfId="39008" xr:uid="{00000000-0005-0000-0000-00003EA40000}"/>
    <cellStyle name="Normal 8 5 3 4 5" xfId="8925" xr:uid="{00000000-0005-0000-0000-00003FA40000}"/>
    <cellStyle name="Normal 8 5 3 4 5 2" xfId="31568" xr:uid="{00000000-0005-0000-0000-000040A40000}"/>
    <cellStyle name="Normal 8 5 3 4 6" xfId="24127" xr:uid="{00000000-0005-0000-0000-000041A40000}"/>
    <cellStyle name="Normal 8 5 3 5" xfId="2400" xr:uid="{00000000-0005-0000-0000-000042A40000}"/>
    <cellStyle name="Normal 8 5 3 5 2" xfId="6121" xr:uid="{00000000-0005-0000-0000-000043A40000}"/>
    <cellStyle name="Normal 8 5 3 5 2 2" xfId="21005" xr:uid="{00000000-0005-0000-0000-000044A40000}"/>
    <cellStyle name="Normal 8 5 3 5 2 2 2" xfId="43648" xr:uid="{00000000-0005-0000-0000-000045A40000}"/>
    <cellStyle name="Normal 8 5 3 5 2 3" xfId="13565" xr:uid="{00000000-0005-0000-0000-000046A40000}"/>
    <cellStyle name="Normal 8 5 3 5 2 3 2" xfId="36208" xr:uid="{00000000-0005-0000-0000-000047A40000}"/>
    <cellStyle name="Normal 8 5 3 5 2 4" xfId="28767" xr:uid="{00000000-0005-0000-0000-000048A40000}"/>
    <cellStyle name="Normal 8 5 3 5 3" xfId="17287" xr:uid="{00000000-0005-0000-0000-000049A40000}"/>
    <cellStyle name="Normal 8 5 3 5 3 2" xfId="39930" xr:uid="{00000000-0005-0000-0000-00004AA40000}"/>
    <cellStyle name="Normal 8 5 3 5 4" xfId="9847" xr:uid="{00000000-0005-0000-0000-00004BA40000}"/>
    <cellStyle name="Normal 8 5 3 5 4 2" xfId="32490" xr:uid="{00000000-0005-0000-0000-00004CA40000}"/>
    <cellStyle name="Normal 8 5 3 5 5" xfId="25049" xr:uid="{00000000-0005-0000-0000-00004DA40000}"/>
    <cellStyle name="Normal 8 5 3 6" xfId="4274" xr:uid="{00000000-0005-0000-0000-00004EA40000}"/>
    <cellStyle name="Normal 8 5 3 6 2" xfId="19158" xr:uid="{00000000-0005-0000-0000-00004FA40000}"/>
    <cellStyle name="Normal 8 5 3 6 2 2" xfId="41801" xr:uid="{00000000-0005-0000-0000-000050A40000}"/>
    <cellStyle name="Normal 8 5 3 6 3" xfId="11718" xr:uid="{00000000-0005-0000-0000-000051A40000}"/>
    <cellStyle name="Normal 8 5 3 6 3 2" xfId="34361" xr:uid="{00000000-0005-0000-0000-000052A40000}"/>
    <cellStyle name="Normal 8 5 3 6 4" xfId="26920" xr:uid="{00000000-0005-0000-0000-000053A40000}"/>
    <cellStyle name="Normal 8 5 3 7" xfId="15440" xr:uid="{00000000-0005-0000-0000-000054A40000}"/>
    <cellStyle name="Normal 8 5 3 7 2" xfId="38083" xr:uid="{00000000-0005-0000-0000-000055A40000}"/>
    <cellStyle name="Normal 8 5 3 8" xfId="8000" xr:uid="{00000000-0005-0000-0000-000056A40000}"/>
    <cellStyle name="Normal 8 5 3 8 2" xfId="30643" xr:uid="{00000000-0005-0000-0000-000057A40000}"/>
    <cellStyle name="Normal 8 5 3 9" xfId="23203" xr:uid="{00000000-0005-0000-0000-000058A40000}"/>
    <cellStyle name="Normal 8 5 4" xfId="650" xr:uid="{00000000-0005-0000-0000-000059A40000}"/>
    <cellStyle name="Normal 8 5 4 2" xfId="1115" xr:uid="{00000000-0005-0000-0000-00005AA40000}"/>
    <cellStyle name="Normal 8 5 4 2 2" xfId="2043" xr:uid="{00000000-0005-0000-0000-00005BA40000}"/>
    <cellStyle name="Normal 8 5 4 2 2 2" xfId="3893" xr:uid="{00000000-0005-0000-0000-00005CA40000}"/>
    <cellStyle name="Normal 8 5 4 2 2 2 2" xfId="7614" xr:uid="{00000000-0005-0000-0000-00005DA40000}"/>
    <cellStyle name="Normal 8 5 4 2 2 2 2 2" xfId="22498" xr:uid="{00000000-0005-0000-0000-00005EA40000}"/>
    <cellStyle name="Normal 8 5 4 2 2 2 2 2 2" xfId="45141" xr:uid="{00000000-0005-0000-0000-00005FA40000}"/>
    <cellStyle name="Normal 8 5 4 2 2 2 2 3" xfId="15058" xr:uid="{00000000-0005-0000-0000-000060A40000}"/>
    <cellStyle name="Normal 8 5 4 2 2 2 2 3 2" xfId="37701" xr:uid="{00000000-0005-0000-0000-000061A40000}"/>
    <cellStyle name="Normal 8 5 4 2 2 2 2 4" xfId="30260" xr:uid="{00000000-0005-0000-0000-000062A40000}"/>
    <cellStyle name="Normal 8 5 4 2 2 2 3" xfId="18780" xr:uid="{00000000-0005-0000-0000-000063A40000}"/>
    <cellStyle name="Normal 8 5 4 2 2 2 3 2" xfId="41423" xr:uid="{00000000-0005-0000-0000-000064A40000}"/>
    <cellStyle name="Normal 8 5 4 2 2 2 4" xfId="11340" xr:uid="{00000000-0005-0000-0000-000065A40000}"/>
    <cellStyle name="Normal 8 5 4 2 2 2 4 2" xfId="33983" xr:uid="{00000000-0005-0000-0000-000066A40000}"/>
    <cellStyle name="Normal 8 5 4 2 2 2 5" xfId="26542" xr:uid="{00000000-0005-0000-0000-000067A40000}"/>
    <cellStyle name="Normal 8 5 4 2 2 3" xfId="5767" xr:uid="{00000000-0005-0000-0000-000068A40000}"/>
    <cellStyle name="Normal 8 5 4 2 2 3 2" xfId="20651" xr:uid="{00000000-0005-0000-0000-000069A40000}"/>
    <cellStyle name="Normal 8 5 4 2 2 3 2 2" xfId="43294" xr:uid="{00000000-0005-0000-0000-00006AA40000}"/>
    <cellStyle name="Normal 8 5 4 2 2 3 3" xfId="13211" xr:uid="{00000000-0005-0000-0000-00006BA40000}"/>
    <cellStyle name="Normal 8 5 4 2 2 3 3 2" xfId="35854" xr:uid="{00000000-0005-0000-0000-00006CA40000}"/>
    <cellStyle name="Normal 8 5 4 2 2 3 4" xfId="28413" xr:uid="{00000000-0005-0000-0000-00006DA40000}"/>
    <cellStyle name="Normal 8 5 4 2 2 4" xfId="16933" xr:uid="{00000000-0005-0000-0000-00006EA40000}"/>
    <cellStyle name="Normal 8 5 4 2 2 4 2" xfId="39576" xr:uid="{00000000-0005-0000-0000-00006FA40000}"/>
    <cellStyle name="Normal 8 5 4 2 2 5" xfId="9493" xr:uid="{00000000-0005-0000-0000-000070A40000}"/>
    <cellStyle name="Normal 8 5 4 2 2 5 2" xfId="32136" xr:uid="{00000000-0005-0000-0000-000071A40000}"/>
    <cellStyle name="Normal 8 5 4 2 2 6" xfId="24695" xr:uid="{00000000-0005-0000-0000-000072A40000}"/>
    <cellStyle name="Normal 8 5 4 2 3" xfId="2968" xr:uid="{00000000-0005-0000-0000-000073A40000}"/>
    <cellStyle name="Normal 8 5 4 2 3 2" xfId="6689" xr:uid="{00000000-0005-0000-0000-000074A40000}"/>
    <cellStyle name="Normal 8 5 4 2 3 2 2" xfId="21573" xr:uid="{00000000-0005-0000-0000-000075A40000}"/>
    <cellStyle name="Normal 8 5 4 2 3 2 2 2" xfId="44216" xr:uid="{00000000-0005-0000-0000-000076A40000}"/>
    <cellStyle name="Normal 8 5 4 2 3 2 3" xfId="14133" xr:uid="{00000000-0005-0000-0000-000077A40000}"/>
    <cellStyle name="Normal 8 5 4 2 3 2 3 2" xfId="36776" xr:uid="{00000000-0005-0000-0000-000078A40000}"/>
    <cellStyle name="Normal 8 5 4 2 3 2 4" xfId="29335" xr:uid="{00000000-0005-0000-0000-000079A40000}"/>
    <cellStyle name="Normal 8 5 4 2 3 3" xfId="17855" xr:uid="{00000000-0005-0000-0000-00007AA40000}"/>
    <cellStyle name="Normal 8 5 4 2 3 3 2" xfId="40498" xr:uid="{00000000-0005-0000-0000-00007BA40000}"/>
    <cellStyle name="Normal 8 5 4 2 3 4" xfId="10415" xr:uid="{00000000-0005-0000-0000-00007CA40000}"/>
    <cellStyle name="Normal 8 5 4 2 3 4 2" xfId="33058" xr:uid="{00000000-0005-0000-0000-00007DA40000}"/>
    <cellStyle name="Normal 8 5 4 2 3 5" xfId="25617" xr:uid="{00000000-0005-0000-0000-00007EA40000}"/>
    <cellStyle name="Normal 8 5 4 2 4" xfId="4842" xr:uid="{00000000-0005-0000-0000-00007FA40000}"/>
    <cellStyle name="Normal 8 5 4 2 4 2" xfId="19726" xr:uid="{00000000-0005-0000-0000-000080A40000}"/>
    <cellStyle name="Normal 8 5 4 2 4 2 2" xfId="42369" xr:uid="{00000000-0005-0000-0000-000081A40000}"/>
    <cellStyle name="Normal 8 5 4 2 4 3" xfId="12286" xr:uid="{00000000-0005-0000-0000-000082A40000}"/>
    <cellStyle name="Normal 8 5 4 2 4 3 2" xfId="34929" xr:uid="{00000000-0005-0000-0000-000083A40000}"/>
    <cellStyle name="Normal 8 5 4 2 4 4" xfId="27488" xr:uid="{00000000-0005-0000-0000-000084A40000}"/>
    <cellStyle name="Normal 8 5 4 2 5" xfId="16008" xr:uid="{00000000-0005-0000-0000-000085A40000}"/>
    <cellStyle name="Normal 8 5 4 2 5 2" xfId="38651" xr:uid="{00000000-0005-0000-0000-000086A40000}"/>
    <cellStyle name="Normal 8 5 4 2 6" xfId="8568" xr:uid="{00000000-0005-0000-0000-000087A40000}"/>
    <cellStyle name="Normal 8 5 4 2 6 2" xfId="31211" xr:uid="{00000000-0005-0000-0000-000088A40000}"/>
    <cellStyle name="Normal 8 5 4 2 7" xfId="23770" xr:uid="{00000000-0005-0000-0000-000089A40000}"/>
    <cellStyle name="Normal 8 5 4 3" xfId="1581" xr:uid="{00000000-0005-0000-0000-00008AA40000}"/>
    <cellStyle name="Normal 8 5 4 3 2" xfId="3431" xr:uid="{00000000-0005-0000-0000-00008BA40000}"/>
    <cellStyle name="Normal 8 5 4 3 2 2" xfId="7152" xr:uid="{00000000-0005-0000-0000-00008CA40000}"/>
    <cellStyle name="Normal 8 5 4 3 2 2 2" xfId="22036" xr:uid="{00000000-0005-0000-0000-00008DA40000}"/>
    <cellStyle name="Normal 8 5 4 3 2 2 2 2" xfId="44679" xr:uid="{00000000-0005-0000-0000-00008EA40000}"/>
    <cellStyle name="Normal 8 5 4 3 2 2 3" xfId="14596" xr:uid="{00000000-0005-0000-0000-00008FA40000}"/>
    <cellStyle name="Normal 8 5 4 3 2 2 3 2" xfId="37239" xr:uid="{00000000-0005-0000-0000-000090A40000}"/>
    <cellStyle name="Normal 8 5 4 3 2 2 4" xfId="29798" xr:uid="{00000000-0005-0000-0000-000091A40000}"/>
    <cellStyle name="Normal 8 5 4 3 2 3" xfId="18318" xr:uid="{00000000-0005-0000-0000-000092A40000}"/>
    <cellStyle name="Normal 8 5 4 3 2 3 2" xfId="40961" xr:uid="{00000000-0005-0000-0000-000093A40000}"/>
    <cellStyle name="Normal 8 5 4 3 2 4" xfId="10878" xr:uid="{00000000-0005-0000-0000-000094A40000}"/>
    <cellStyle name="Normal 8 5 4 3 2 4 2" xfId="33521" xr:uid="{00000000-0005-0000-0000-000095A40000}"/>
    <cellStyle name="Normal 8 5 4 3 2 5" xfId="26080" xr:uid="{00000000-0005-0000-0000-000096A40000}"/>
    <cellStyle name="Normal 8 5 4 3 3" xfId="5305" xr:uid="{00000000-0005-0000-0000-000097A40000}"/>
    <cellStyle name="Normal 8 5 4 3 3 2" xfId="20189" xr:uid="{00000000-0005-0000-0000-000098A40000}"/>
    <cellStyle name="Normal 8 5 4 3 3 2 2" xfId="42832" xr:uid="{00000000-0005-0000-0000-000099A40000}"/>
    <cellStyle name="Normal 8 5 4 3 3 3" xfId="12749" xr:uid="{00000000-0005-0000-0000-00009AA40000}"/>
    <cellStyle name="Normal 8 5 4 3 3 3 2" xfId="35392" xr:uid="{00000000-0005-0000-0000-00009BA40000}"/>
    <cellStyle name="Normal 8 5 4 3 3 4" xfId="27951" xr:uid="{00000000-0005-0000-0000-00009CA40000}"/>
    <cellStyle name="Normal 8 5 4 3 4" xfId="16471" xr:uid="{00000000-0005-0000-0000-00009DA40000}"/>
    <cellStyle name="Normal 8 5 4 3 4 2" xfId="39114" xr:uid="{00000000-0005-0000-0000-00009EA40000}"/>
    <cellStyle name="Normal 8 5 4 3 5" xfId="9031" xr:uid="{00000000-0005-0000-0000-00009FA40000}"/>
    <cellStyle name="Normal 8 5 4 3 5 2" xfId="31674" xr:uid="{00000000-0005-0000-0000-0000A0A40000}"/>
    <cellStyle name="Normal 8 5 4 3 6" xfId="24233" xr:uid="{00000000-0005-0000-0000-0000A1A40000}"/>
    <cellStyle name="Normal 8 5 4 4" xfId="2506" xr:uid="{00000000-0005-0000-0000-0000A2A40000}"/>
    <cellStyle name="Normal 8 5 4 4 2" xfId="6227" xr:uid="{00000000-0005-0000-0000-0000A3A40000}"/>
    <cellStyle name="Normal 8 5 4 4 2 2" xfId="21111" xr:uid="{00000000-0005-0000-0000-0000A4A40000}"/>
    <cellStyle name="Normal 8 5 4 4 2 2 2" xfId="43754" xr:uid="{00000000-0005-0000-0000-0000A5A40000}"/>
    <cellStyle name="Normal 8 5 4 4 2 3" xfId="13671" xr:uid="{00000000-0005-0000-0000-0000A6A40000}"/>
    <cellStyle name="Normal 8 5 4 4 2 3 2" xfId="36314" xr:uid="{00000000-0005-0000-0000-0000A7A40000}"/>
    <cellStyle name="Normal 8 5 4 4 2 4" xfId="28873" xr:uid="{00000000-0005-0000-0000-0000A8A40000}"/>
    <cellStyle name="Normal 8 5 4 4 3" xfId="17393" xr:uid="{00000000-0005-0000-0000-0000A9A40000}"/>
    <cellStyle name="Normal 8 5 4 4 3 2" xfId="40036" xr:uid="{00000000-0005-0000-0000-0000AAA40000}"/>
    <cellStyle name="Normal 8 5 4 4 4" xfId="9953" xr:uid="{00000000-0005-0000-0000-0000ABA40000}"/>
    <cellStyle name="Normal 8 5 4 4 4 2" xfId="32596" xr:uid="{00000000-0005-0000-0000-0000ACA40000}"/>
    <cellStyle name="Normal 8 5 4 4 5" xfId="25155" xr:uid="{00000000-0005-0000-0000-0000ADA40000}"/>
    <cellStyle name="Normal 8 5 4 5" xfId="4380" xr:uid="{00000000-0005-0000-0000-0000AEA40000}"/>
    <cellStyle name="Normal 8 5 4 5 2" xfId="19264" xr:uid="{00000000-0005-0000-0000-0000AFA40000}"/>
    <cellStyle name="Normal 8 5 4 5 2 2" xfId="41907" xr:uid="{00000000-0005-0000-0000-0000B0A40000}"/>
    <cellStyle name="Normal 8 5 4 5 3" xfId="11824" xr:uid="{00000000-0005-0000-0000-0000B1A40000}"/>
    <cellStyle name="Normal 8 5 4 5 3 2" xfId="34467" xr:uid="{00000000-0005-0000-0000-0000B2A40000}"/>
    <cellStyle name="Normal 8 5 4 5 4" xfId="27026" xr:uid="{00000000-0005-0000-0000-0000B3A40000}"/>
    <cellStyle name="Normal 8 5 4 6" xfId="15546" xr:uid="{00000000-0005-0000-0000-0000B4A40000}"/>
    <cellStyle name="Normal 8 5 4 6 2" xfId="38189" xr:uid="{00000000-0005-0000-0000-0000B5A40000}"/>
    <cellStyle name="Normal 8 5 4 7" xfId="8106" xr:uid="{00000000-0005-0000-0000-0000B6A40000}"/>
    <cellStyle name="Normal 8 5 4 7 2" xfId="30749" xr:uid="{00000000-0005-0000-0000-0000B7A40000}"/>
    <cellStyle name="Normal 8 5 4 8" xfId="23308" xr:uid="{00000000-0005-0000-0000-0000B8A40000}"/>
    <cellStyle name="Normal 8 5 5" xfId="904" xr:uid="{00000000-0005-0000-0000-0000B9A40000}"/>
    <cellStyle name="Normal 8 5 5 2" xfId="1832" xr:uid="{00000000-0005-0000-0000-0000BAA40000}"/>
    <cellStyle name="Normal 8 5 5 2 2" xfId="3682" xr:uid="{00000000-0005-0000-0000-0000BBA40000}"/>
    <cellStyle name="Normal 8 5 5 2 2 2" xfId="7403" xr:uid="{00000000-0005-0000-0000-0000BCA40000}"/>
    <cellStyle name="Normal 8 5 5 2 2 2 2" xfId="22287" xr:uid="{00000000-0005-0000-0000-0000BDA40000}"/>
    <cellStyle name="Normal 8 5 5 2 2 2 2 2" xfId="44930" xr:uid="{00000000-0005-0000-0000-0000BEA40000}"/>
    <cellStyle name="Normal 8 5 5 2 2 2 3" xfId="14847" xr:uid="{00000000-0005-0000-0000-0000BFA40000}"/>
    <cellStyle name="Normal 8 5 5 2 2 2 3 2" xfId="37490" xr:uid="{00000000-0005-0000-0000-0000C0A40000}"/>
    <cellStyle name="Normal 8 5 5 2 2 2 4" xfId="30049" xr:uid="{00000000-0005-0000-0000-0000C1A40000}"/>
    <cellStyle name="Normal 8 5 5 2 2 3" xfId="18569" xr:uid="{00000000-0005-0000-0000-0000C2A40000}"/>
    <cellStyle name="Normal 8 5 5 2 2 3 2" xfId="41212" xr:uid="{00000000-0005-0000-0000-0000C3A40000}"/>
    <cellStyle name="Normal 8 5 5 2 2 4" xfId="11129" xr:uid="{00000000-0005-0000-0000-0000C4A40000}"/>
    <cellStyle name="Normal 8 5 5 2 2 4 2" xfId="33772" xr:uid="{00000000-0005-0000-0000-0000C5A40000}"/>
    <cellStyle name="Normal 8 5 5 2 2 5" xfId="26331" xr:uid="{00000000-0005-0000-0000-0000C6A40000}"/>
    <cellStyle name="Normal 8 5 5 2 3" xfId="5556" xr:uid="{00000000-0005-0000-0000-0000C7A40000}"/>
    <cellStyle name="Normal 8 5 5 2 3 2" xfId="20440" xr:uid="{00000000-0005-0000-0000-0000C8A40000}"/>
    <cellStyle name="Normal 8 5 5 2 3 2 2" xfId="43083" xr:uid="{00000000-0005-0000-0000-0000C9A40000}"/>
    <cellStyle name="Normal 8 5 5 2 3 3" xfId="13000" xr:uid="{00000000-0005-0000-0000-0000CAA40000}"/>
    <cellStyle name="Normal 8 5 5 2 3 3 2" xfId="35643" xr:uid="{00000000-0005-0000-0000-0000CBA40000}"/>
    <cellStyle name="Normal 8 5 5 2 3 4" xfId="28202" xr:uid="{00000000-0005-0000-0000-0000CCA40000}"/>
    <cellStyle name="Normal 8 5 5 2 4" xfId="16722" xr:uid="{00000000-0005-0000-0000-0000CDA40000}"/>
    <cellStyle name="Normal 8 5 5 2 4 2" xfId="39365" xr:uid="{00000000-0005-0000-0000-0000CEA40000}"/>
    <cellStyle name="Normal 8 5 5 2 5" xfId="9282" xr:uid="{00000000-0005-0000-0000-0000CFA40000}"/>
    <cellStyle name="Normal 8 5 5 2 5 2" xfId="31925" xr:uid="{00000000-0005-0000-0000-0000D0A40000}"/>
    <cellStyle name="Normal 8 5 5 2 6" xfId="24484" xr:uid="{00000000-0005-0000-0000-0000D1A40000}"/>
    <cellStyle name="Normal 8 5 5 3" xfId="2757" xr:uid="{00000000-0005-0000-0000-0000D2A40000}"/>
    <cellStyle name="Normal 8 5 5 3 2" xfId="6478" xr:uid="{00000000-0005-0000-0000-0000D3A40000}"/>
    <cellStyle name="Normal 8 5 5 3 2 2" xfId="21362" xr:uid="{00000000-0005-0000-0000-0000D4A40000}"/>
    <cellStyle name="Normal 8 5 5 3 2 2 2" xfId="44005" xr:uid="{00000000-0005-0000-0000-0000D5A40000}"/>
    <cellStyle name="Normal 8 5 5 3 2 3" xfId="13922" xr:uid="{00000000-0005-0000-0000-0000D6A40000}"/>
    <cellStyle name="Normal 8 5 5 3 2 3 2" xfId="36565" xr:uid="{00000000-0005-0000-0000-0000D7A40000}"/>
    <cellStyle name="Normal 8 5 5 3 2 4" xfId="29124" xr:uid="{00000000-0005-0000-0000-0000D8A40000}"/>
    <cellStyle name="Normal 8 5 5 3 3" xfId="17644" xr:uid="{00000000-0005-0000-0000-0000D9A40000}"/>
    <cellStyle name="Normal 8 5 5 3 3 2" xfId="40287" xr:uid="{00000000-0005-0000-0000-0000DAA40000}"/>
    <cellStyle name="Normal 8 5 5 3 4" xfId="10204" xr:uid="{00000000-0005-0000-0000-0000DBA40000}"/>
    <cellStyle name="Normal 8 5 5 3 4 2" xfId="32847" xr:uid="{00000000-0005-0000-0000-0000DCA40000}"/>
    <cellStyle name="Normal 8 5 5 3 5" xfId="25406" xr:uid="{00000000-0005-0000-0000-0000DDA40000}"/>
    <cellStyle name="Normal 8 5 5 4" xfId="4631" xr:uid="{00000000-0005-0000-0000-0000DEA40000}"/>
    <cellStyle name="Normal 8 5 5 4 2" xfId="19515" xr:uid="{00000000-0005-0000-0000-0000DFA40000}"/>
    <cellStyle name="Normal 8 5 5 4 2 2" xfId="42158" xr:uid="{00000000-0005-0000-0000-0000E0A40000}"/>
    <cellStyle name="Normal 8 5 5 4 3" xfId="12075" xr:uid="{00000000-0005-0000-0000-0000E1A40000}"/>
    <cellStyle name="Normal 8 5 5 4 3 2" xfId="34718" xr:uid="{00000000-0005-0000-0000-0000E2A40000}"/>
    <cellStyle name="Normal 8 5 5 4 4" xfId="27277" xr:uid="{00000000-0005-0000-0000-0000E3A40000}"/>
    <cellStyle name="Normal 8 5 5 5" xfId="15797" xr:uid="{00000000-0005-0000-0000-0000E4A40000}"/>
    <cellStyle name="Normal 8 5 5 5 2" xfId="38440" xr:uid="{00000000-0005-0000-0000-0000E5A40000}"/>
    <cellStyle name="Normal 8 5 5 6" xfId="8357" xr:uid="{00000000-0005-0000-0000-0000E6A40000}"/>
    <cellStyle name="Normal 8 5 5 6 2" xfId="31000" xr:uid="{00000000-0005-0000-0000-0000E7A40000}"/>
    <cellStyle name="Normal 8 5 5 7" xfId="23559" xr:uid="{00000000-0005-0000-0000-0000E8A40000}"/>
    <cellStyle name="Normal 8 5 6" xfId="1370" xr:uid="{00000000-0005-0000-0000-0000E9A40000}"/>
    <cellStyle name="Normal 8 5 6 2" xfId="3220" xr:uid="{00000000-0005-0000-0000-0000EAA40000}"/>
    <cellStyle name="Normal 8 5 6 2 2" xfId="6941" xr:uid="{00000000-0005-0000-0000-0000EBA40000}"/>
    <cellStyle name="Normal 8 5 6 2 2 2" xfId="21825" xr:uid="{00000000-0005-0000-0000-0000ECA40000}"/>
    <cellStyle name="Normal 8 5 6 2 2 2 2" xfId="44468" xr:uid="{00000000-0005-0000-0000-0000EDA40000}"/>
    <cellStyle name="Normal 8 5 6 2 2 3" xfId="14385" xr:uid="{00000000-0005-0000-0000-0000EEA40000}"/>
    <cellStyle name="Normal 8 5 6 2 2 3 2" xfId="37028" xr:uid="{00000000-0005-0000-0000-0000EFA40000}"/>
    <cellStyle name="Normal 8 5 6 2 2 4" xfId="29587" xr:uid="{00000000-0005-0000-0000-0000F0A40000}"/>
    <cellStyle name="Normal 8 5 6 2 3" xfId="18107" xr:uid="{00000000-0005-0000-0000-0000F1A40000}"/>
    <cellStyle name="Normal 8 5 6 2 3 2" xfId="40750" xr:uid="{00000000-0005-0000-0000-0000F2A40000}"/>
    <cellStyle name="Normal 8 5 6 2 4" xfId="10667" xr:uid="{00000000-0005-0000-0000-0000F3A40000}"/>
    <cellStyle name="Normal 8 5 6 2 4 2" xfId="33310" xr:uid="{00000000-0005-0000-0000-0000F4A40000}"/>
    <cellStyle name="Normal 8 5 6 2 5" xfId="25869" xr:uid="{00000000-0005-0000-0000-0000F5A40000}"/>
    <cellStyle name="Normal 8 5 6 3" xfId="5094" xr:uid="{00000000-0005-0000-0000-0000F6A40000}"/>
    <cellStyle name="Normal 8 5 6 3 2" xfId="19978" xr:uid="{00000000-0005-0000-0000-0000F7A40000}"/>
    <cellStyle name="Normal 8 5 6 3 2 2" xfId="42621" xr:uid="{00000000-0005-0000-0000-0000F8A40000}"/>
    <cellStyle name="Normal 8 5 6 3 3" xfId="12538" xr:uid="{00000000-0005-0000-0000-0000F9A40000}"/>
    <cellStyle name="Normal 8 5 6 3 3 2" xfId="35181" xr:uid="{00000000-0005-0000-0000-0000FAA40000}"/>
    <cellStyle name="Normal 8 5 6 3 4" xfId="27740" xr:uid="{00000000-0005-0000-0000-0000FBA40000}"/>
    <cellStyle name="Normal 8 5 6 4" xfId="16260" xr:uid="{00000000-0005-0000-0000-0000FCA40000}"/>
    <cellStyle name="Normal 8 5 6 4 2" xfId="38903" xr:uid="{00000000-0005-0000-0000-0000FDA40000}"/>
    <cellStyle name="Normal 8 5 6 5" xfId="8820" xr:uid="{00000000-0005-0000-0000-0000FEA40000}"/>
    <cellStyle name="Normal 8 5 6 5 2" xfId="31463" xr:uid="{00000000-0005-0000-0000-0000FFA40000}"/>
    <cellStyle name="Normal 8 5 6 6" xfId="24022" xr:uid="{00000000-0005-0000-0000-000000A50000}"/>
    <cellStyle name="Normal 8 5 7" xfId="2295" xr:uid="{00000000-0005-0000-0000-000001A50000}"/>
    <cellStyle name="Normal 8 5 7 2" xfId="6016" xr:uid="{00000000-0005-0000-0000-000002A50000}"/>
    <cellStyle name="Normal 8 5 7 2 2" xfId="20900" xr:uid="{00000000-0005-0000-0000-000003A50000}"/>
    <cellStyle name="Normal 8 5 7 2 2 2" xfId="43543" xr:uid="{00000000-0005-0000-0000-000004A50000}"/>
    <cellStyle name="Normal 8 5 7 2 3" xfId="13460" xr:uid="{00000000-0005-0000-0000-000005A50000}"/>
    <cellStyle name="Normal 8 5 7 2 3 2" xfId="36103" xr:uid="{00000000-0005-0000-0000-000006A50000}"/>
    <cellStyle name="Normal 8 5 7 2 4" xfId="28662" xr:uid="{00000000-0005-0000-0000-000007A50000}"/>
    <cellStyle name="Normal 8 5 7 3" xfId="17182" xr:uid="{00000000-0005-0000-0000-000008A50000}"/>
    <cellStyle name="Normal 8 5 7 3 2" xfId="39825" xr:uid="{00000000-0005-0000-0000-000009A50000}"/>
    <cellStyle name="Normal 8 5 7 4" xfId="9742" xr:uid="{00000000-0005-0000-0000-00000AA50000}"/>
    <cellStyle name="Normal 8 5 7 4 2" xfId="32385" xr:uid="{00000000-0005-0000-0000-00000BA50000}"/>
    <cellStyle name="Normal 8 5 7 5" xfId="24944" xr:uid="{00000000-0005-0000-0000-00000CA50000}"/>
    <cellStyle name="Normal 8 5 8" xfId="4169" xr:uid="{00000000-0005-0000-0000-00000DA50000}"/>
    <cellStyle name="Normal 8 5 8 2" xfId="19053" xr:uid="{00000000-0005-0000-0000-00000EA50000}"/>
    <cellStyle name="Normal 8 5 8 2 2" xfId="41696" xr:uid="{00000000-0005-0000-0000-00000FA50000}"/>
    <cellStyle name="Normal 8 5 8 3" xfId="11613" xr:uid="{00000000-0005-0000-0000-000010A50000}"/>
    <cellStyle name="Normal 8 5 8 3 2" xfId="34256" xr:uid="{00000000-0005-0000-0000-000011A50000}"/>
    <cellStyle name="Normal 8 5 8 4" xfId="26815" xr:uid="{00000000-0005-0000-0000-000012A50000}"/>
    <cellStyle name="Normal 8 5 9" xfId="15335" xr:uid="{00000000-0005-0000-0000-000013A50000}"/>
    <cellStyle name="Normal 8 5 9 2" xfId="37978" xr:uid="{00000000-0005-0000-0000-000014A50000}"/>
    <cellStyle name="Normal 8 6" xfId="469" xr:uid="{00000000-0005-0000-0000-000015A50000}"/>
    <cellStyle name="Normal 8 6 10" xfId="23130" xr:uid="{00000000-0005-0000-0000-000016A50000}"/>
    <cellStyle name="Normal 8 6 2" xfId="575" xr:uid="{00000000-0005-0000-0000-000017A50000}"/>
    <cellStyle name="Normal 8 6 2 2" xfId="787" xr:uid="{00000000-0005-0000-0000-000018A50000}"/>
    <cellStyle name="Normal 8 6 2 2 2" xfId="1252" xr:uid="{00000000-0005-0000-0000-000019A50000}"/>
    <cellStyle name="Normal 8 6 2 2 2 2" xfId="2180" xr:uid="{00000000-0005-0000-0000-00001AA50000}"/>
    <cellStyle name="Normal 8 6 2 2 2 2 2" xfId="4030" xr:uid="{00000000-0005-0000-0000-00001BA50000}"/>
    <cellStyle name="Normal 8 6 2 2 2 2 2 2" xfId="7751" xr:uid="{00000000-0005-0000-0000-00001CA50000}"/>
    <cellStyle name="Normal 8 6 2 2 2 2 2 2 2" xfId="22635" xr:uid="{00000000-0005-0000-0000-00001DA50000}"/>
    <cellStyle name="Normal 8 6 2 2 2 2 2 2 2 2" xfId="45278" xr:uid="{00000000-0005-0000-0000-00001EA50000}"/>
    <cellStyle name="Normal 8 6 2 2 2 2 2 2 3" xfId="15195" xr:uid="{00000000-0005-0000-0000-00001FA50000}"/>
    <cellStyle name="Normal 8 6 2 2 2 2 2 2 3 2" xfId="37838" xr:uid="{00000000-0005-0000-0000-000020A50000}"/>
    <cellStyle name="Normal 8 6 2 2 2 2 2 2 4" xfId="30397" xr:uid="{00000000-0005-0000-0000-000021A50000}"/>
    <cellStyle name="Normal 8 6 2 2 2 2 2 3" xfId="18917" xr:uid="{00000000-0005-0000-0000-000022A50000}"/>
    <cellStyle name="Normal 8 6 2 2 2 2 2 3 2" xfId="41560" xr:uid="{00000000-0005-0000-0000-000023A50000}"/>
    <cellStyle name="Normal 8 6 2 2 2 2 2 4" xfId="11477" xr:uid="{00000000-0005-0000-0000-000024A50000}"/>
    <cellStyle name="Normal 8 6 2 2 2 2 2 4 2" xfId="34120" xr:uid="{00000000-0005-0000-0000-000025A50000}"/>
    <cellStyle name="Normal 8 6 2 2 2 2 2 5" xfId="26679" xr:uid="{00000000-0005-0000-0000-000026A50000}"/>
    <cellStyle name="Normal 8 6 2 2 2 2 3" xfId="5904" xr:uid="{00000000-0005-0000-0000-000027A50000}"/>
    <cellStyle name="Normal 8 6 2 2 2 2 3 2" xfId="20788" xr:uid="{00000000-0005-0000-0000-000028A50000}"/>
    <cellStyle name="Normal 8 6 2 2 2 2 3 2 2" xfId="43431" xr:uid="{00000000-0005-0000-0000-000029A50000}"/>
    <cellStyle name="Normal 8 6 2 2 2 2 3 3" xfId="13348" xr:uid="{00000000-0005-0000-0000-00002AA50000}"/>
    <cellStyle name="Normal 8 6 2 2 2 2 3 3 2" xfId="35991" xr:uid="{00000000-0005-0000-0000-00002BA50000}"/>
    <cellStyle name="Normal 8 6 2 2 2 2 3 4" xfId="28550" xr:uid="{00000000-0005-0000-0000-00002CA50000}"/>
    <cellStyle name="Normal 8 6 2 2 2 2 4" xfId="17070" xr:uid="{00000000-0005-0000-0000-00002DA50000}"/>
    <cellStyle name="Normal 8 6 2 2 2 2 4 2" xfId="39713" xr:uid="{00000000-0005-0000-0000-00002EA50000}"/>
    <cellStyle name="Normal 8 6 2 2 2 2 5" xfId="9630" xr:uid="{00000000-0005-0000-0000-00002FA50000}"/>
    <cellStyle name="Normal 8 6 2 2 2 2 5 2" xfId="32273" xr:uid="{00000000-0005-0000-0000-000030A50000}"/>
    <cellStyle name="Normal 8 6 2 2 2 2 6" xfId="24832" xr:uid="{00000000-0005-0000-0000-000031A50000}"/>
    <cellStyle name="Normal 8 6 2 2 2 3" xfId="3105" xr:uid="{00000000-0005-0000-0000-000032A50000}"/>
    <cellStyle name="Normal 8 6 2 2 2 3 2" xfId="6826" xr:uid="{00000000-0005-0000-0000-000033A50000}"/>
    <cellStyle name="Normal 8 6 2 2 2 3 2 2" xfId="21710" xr:uid="{00000000-0005-0000-0000-000034A50000}"/>
    <cellStyle name="Normal 8 6 2 2 2 3 2 2 2" xfId="44353" xr:uid="{00000000-0005-0000-0000-000035A50000}"/>
    <cellStyle name="Normal 8 6 2 2 2 3 2 3" xfId="14270" xr:uid="{00000000-0005-0000-0000-000036A50000}"/>
    <cellStyle name="Normal 8 6 2 2 2 3 2 3 2" xfId="36913" xr:uid="{00000000-0005-0000-0000-000037A50000}"/>
    <cellStyle name="Normal 8 6 2 2 2 3 2 4" xfId="29472" xr:uid="{00000000-0005-0000-0000-000038A50000}"/>
    <cellStyle name="Normal 8 6 2 2 2 3 3" xfId="17992" xr:uid="{00000000-0005-0000-0000-000039A50000}"/>
    <cellStyle name="Normal 8 6 2 2 2 3 3 2" xfId="40635" xr:uid="{00000000-0005-0000-0000-00003AA50000}"/>
    <cellStyle name="Normal 8 6 2 2 2 3 4" xfId="10552" xr:uid="{00000000-0005-0000-0000-00003BA50000}"/>
    <cellStyle name="Normal 8 6 2 2 2 3 4 2" xfId="33195" xr:uid="{00000000-0005-0000-0000-00003CA50000}"/>
    <cellStyle name="Normal 8 6 2 2 2 3 5" xfId="25754" xr:uid="{00000000-0005-0000-0000-00003DA50000}"/>
    <cellStyle name="Normal 8 6 2 2 2 4" xfId="4979" xr:uid="{00000000-0005-0000-0000-00003EA50000}"/>
    <cellStyle name="Normal 8 6 2 2 2 4 2" xfId="19863" xr:uid="{00000000-0005-0000-0000-00003FA50000}"/>
    <cellStyle name="Normal 8 6 2 2 2 4 2 2" xfId="42506" xr:uid="{00000000-0005-0000-0000-000040A50000}"/>
    <cellStyle name="Normal 8 6 2 2 2 4 3" xfId="12423" xr:uid="{00000000-0005-0000-0000-000041A50000}"/>
    <cellStyle name="Normal 8 6 2 2 2 4 3 2" xfId="35066" xr:uid="{00000000-0005-0000-0000-000042A50000}"/>
    <cellStyle name="Normal 8 6 2 2 2 4 4" xfId="27625" xr:uid="{00000000-0005-0000-0000-000043A50000}"/>
    <cellStyle name="Normal 8 6 2 2 2 5" xfId="16145" xr:uid="{00000000-0005-0000-0000-000044A50000}"/>
    <cellStyle name="Normal 8 6 2 2 2 5 2" xfId="38788" xr:uid="{00000000-0005-0000-0000-000045A50000}"/>
    <cellStyle name="Normal 8 6 2 2 2 6" xfId="8705" xr:uid="{00000000-0005-0000-0000-000046A50000}"/>
    <cellStyle name="Normal 8 6 2 2 2 6 2" xfId="31348" xr:uid="{00000000-0005-0000-0000-000047A50000}"/>
    <cellStyle name="Normal 8 6 2 2 2 7" xfId="23907" xr:uid="{00000000-0005-0000-0000-000048A50000}"/>
    <cellStyle name="Normal 8 6 2 2 3" xfId="1718" xr:uid="{00000000-0005-0000-0000-000049A50000}"/>
    <cellStyle name="Normal 8 6 2 2 3 2" xfId="3568" xr:uid="{00000000-0005-0000-0000-00004AA50000}"/>
    <cellStyle name="Normal 8 6 2 2 3 2 2" xfId="7289" xr:uid="{00000000-0005-0000-0000-00004BA50000}"/>
    <cellStyle name="Normal 8 6 2 2 3 2 2 2" xfId="22173" xr:uid="{00000000-0005-0000-0000-00004CA50000}"/>
    <cellStyle name="Normal 8 6 2 2 3 2 2 2 2" xfId="44816" xr:uid="{00000000-0005-0000-0000-00004DA50000}"/>
    <cellStyle name="Normal 8 6 2 2 3 2 2 3" xfId="14733" xr:uid="{00000000-0005-0000-0000-00004EA50000}"/>
    <cellStyle name="Normal 8 6 2 2 3 2 2 3 2" xfId="37376" xr:uid="{00000000-0005-0000-0000-00004FA50000}"/>
    <cellStyle name="Normal 8 6 2 2 3 2 2 4" xfId="29935" xr:uid="{00000000-0005-0000-0000-000050A50000}"/>
    <cellStyle name="Normal 8 6 2 2 3 2 3" xfId="18455" xr:uid="{00000000-0005-0000-0000-000051A50000}"/>
    <cellStyle name="Normal 8 6 2 2 3 2 3 2" xfId="41098" xr:uid="{00000000-0005-0000-0000-000052A50000}"/>
    <cellStyle name="Normal 8 6 2 2 3 2 4" xfId="11015" xr:uid="{00000000-0005-0000-0000-000053A50000}"/>
    <cellStyle name="Normal 8 6 2 2 3 2 4 2" xfId="33658" xr:uid="{00000000-0005-0000-0000-000054A50000}"/>
    <cellStyle name="Normal 8 6 2 2 3 2 5" xfId="26217" xr:uid="{00000000-0005-0000-0000-000055A50000}"/>
    <cellStyle name="Normal 8 6 2 2 3 3" xfId="5442" xr:uid="{00000000-0005-0000-0000-000056A50000}"/>
    <cellStyle name="Normal 8 6 2 2 3 3 2" xfId="20326" xr:uid="{00000000-0005-0000-0000-000057A50000}"/>
    <cellStyle name="Normal 8 6 2 2 3 3 2 2" xfId="42969" xr:uid="{00000000-0005-0000-0000-000058A50000}"/>
    <cellStyle name="Normal 8 6 2 2 3 3 3" xfId="12886" xr:uid="{00000000-0005-0000-0000-000059A50000}"/>
    <cellStyle name="Normal 8 6 2 2 3 3 3 2" xfId="35529" xr:uid="{00000000-0005-0000-0000-00005AA50000}"/>
    <cellStyle name="Normal 8 6 2 2 3 3 4" xfId="28088" xr:uid="{00000000-0005-0000-0000-00005BA50000}"/>
    <cellStyle name="Normal 8 6 2 2 3 4" xfId="16608" xr:uid="{00000000-0005-0000-0000-00005CA50000}"/>
    <cellStyle name="Normal 8 6 2 2 3 4 2" xfId="39251" xr:uid="{00000000-0005-0000-0000-00005DA50000}"/>
    <cellStyle name="Normal 8 6 2 2 3 5" xfId="9168" xr:uid="{00000000-0005-0000-0000-00005EA50000}"/>
    <cellStyle name="Normal 8 6 2 2 3 5 2" xfId="31811" xr:uid="{00000000-0005-0000-0000-00005FA50000}"/>
    <cellStyle name="Normal 8 6 2 2 3 6" xfId="24370" xr:uid="{00000000-0005-0000-0000-000060A50000}"/>
    <cellStyle name="Normal 8 6 2 2 4" xfId="2643" xr:uid="{00000000-0005-0000-0000-000061A50000}"/>
    <cellStyle name="Normal 8 6 2 2 4 2" xfId="6364" xr:uid="{00000000-0005-0000-0000-000062A50000}"/>
    <cellStyle name="Normal 8 6 2 2 4 2 2" xfId="21248" xr:uid="{00000000-0005-0000-0000-000063A50000}"/>
    <cellStyle name="Normal 8 6 2 2 4 2 2 2" xfId="43891" xr:uid="{00000000-0005-0000-0000-000064A50000}"/>
    <cellStyle name="Normal 8 6 2 2 4 2 3" xfId="13808" xr:uid="{00000000-0005-0000-0000-000065A50000}"/>
    <cellStyle name="Normal 8 6 2 2 4 2 3 2" xfId="36451" xr:uid="{00000000-0005-0000-0000-000066A50000}"/>
    <cellStyle name="Normal 8 6 2 2 4 2 4" xfId="29010" xr:uid="{00000000-0005-0000-0000-000067A50000}"/>
    <cellStyle name="Normal 8 6 2 2 4 3" xfId="17530" xr:uid="{00000000-0005-0000-0000-000068A50000}"/>
    <cellStyle name="Normal 8 6 2 2 4 3 2" xfId="40173" xr:uid="{00000000-0005-0000-0000-000069A50000}"/>
    <cellStyle name="Normal 8 6 2 2 4 4" xfId="10090" xr:uid="{00000000-0005-0000-0000-00006AA50000}"/>
    <cellStyle name="Normal 8 6 2 2 4 4 2" xfId="32733" xr:uid="{00000000-0005-0000-0000-00006BA50000}"/>
    <cellStyle name="Normal 8 6 2 2 4 5" xfId="25292" xr:uid="{00000000-0005-0000-0000-00006CA50000}"/>
    <cellStyle name="Normal 8 6 2 2 5" xfId="4517" xr:uid="{00000000-0005-0000-0000-00006DA50000}"/>
    <cellStyle name="Normal 8 6 2 2 5 2" xfId="19401" xr:uid="{00000000-0005-0000-0000-00006EA50000}"/>
    <cellStyle name="Normal 8 6 2 2 5 2 2" xfId="42044" xr:uid="{00000000-0005-0000-0000-00006FA50000}"/>
    <cellStyle name="Normal 8 6 2 2 5 3" xfId="11961" xr:uid="{00000000-0005-0000-0000-000070A50000}"/>
    <cellStyle name="Normal 8 6 2 2 5 3 2" xfId="34604" xr:uid="{00000000-0005-0000-0000-000071A50000}"/>
    <cellStyle name="Normal 8 6 2 2 5 4" xfId="27163" xr:uid="{00000000-0005-0000-0000-000072A50000}"/>
    <cellStyle name="Normal 8 6 2 2 6" xfId="15683" xr:uid="{00000000-0005-0000-0000-000073A50000}"/>
    <cellStyle name="Normal 8 6 2 2 6 2" xfId="38326" xr:uid="{00000000-0005-0000-0000-000074A50000}"/>
    <cellStyle name="Normal 8 6 2 2 7" xfId="8243" xr:uid="{00000000-0005-0000-0000-000075A50000}"/>
    <cellStyle name="Normal 8 6 2 2 7 2" xfId="30886" xr:uid="{00000000-0005-0000-0000-000076A50000}"/>
    <cellStyle name="Normal 8 6 2 2 8" xfId="23445" xr:uid="{00000000-0005-0000-0000-000077A50000}"/>
    <cellStyle name="Normal 8 6 2 3" xfId="1041" xr:uid="{00000000-0005-0000-0000-000078A50000}"/>
    <cellStyle name="Normal 8 6 2 3 2" xfId="1969" xr:uid="{00000000-0005-0000-0000-000079A50000}"/>
    <cellStyle name="Normal 8 6 2 3 2 2" xfId="3819" xr:uid="{00000000-0005-0000-0000-00007AA50000}"/>
    <cellStyle name="Normal 8 6 2 3 2 2 2" xfId="7540" xr:uid="{00000000-0005-0000-0000-00007BA50000}"/>
    <cellStyle name="Normal 8 6 2 3 2 2 2 2" xfId="22424" xr:uid="{00000000-0005-0000-0000-00007CA50000}"/>
    <cellStyle name="Normal 8 6 2 3 2 2 2 2 2" xfId="45067" xr:uid="{00000000-0005-0000-0000-00007DA50000}"/>
    <cellStyle name="Normal 8 6 2 3 2 2 2 3" xfId="14984" xr:uid="{00000000-0005-0000-0000-00007EA50000}"/>
    <cellStyle name="Normal 8 6 2 3 2 2 2 3 2" xfId="37627" xr:uid="{00000000-0005-0000-0000-00007FA50000}"/>
    <cellStyle name="Normal 8 6 2 3 2 2 2 4" xfId="30186" xr:uid="{00000000-0005-0000-0000-000080A50000}"/>
    <cellStyle name="Normal 8 6 2 3 2 2 3" xfId="18706" xr:uid="{00000000-0005-0000-0000-000081A50000}"/>
    <cellStyle name="Normal 8 6 2 3 2 2 3 2" xfId="41349" xr:uid="{00000000-0005-0000-0000-000082A50000}"/>
    <cellStyle name="Normal 8 6 2 3 2 2 4" xfId="11266" xr:uid="{00000000-0005-0000-0000-000083A50000}"/>
    <cellStyle name="Normal 8 6 2 3 2 2 4 2" xfId="33909" xr:uid="{00000000-0005-0000-0000-000084A50000}"/>
    <cellStyle name="Normal 8 6 2 3 2 2 5" xfId="26468" xr:uid="{00000000-0005-0000-0000-000085A50000}"/>
    <cellStyle name="Normal 8 6 2 3 2 3" xfId="5693" xr:uid="{00000000-0005-0000-0000-000086A50000}"/>
    <cellStyle name="Normal 8 6 2 3 2 3 2" xfId="20577" xr:uid="{00000000-0005-0000-0000-000087A50000}"/>
    <cellStyle name="Normal 8 6 2 3 2 3 2 2" xfId="43220" xr:uid="{00000000-0005-0000-0000-000088A50000}"/>
    <cellStyle name="Normal 8 6 2 3 2 3 3" xfId="13137" xr:uid="{00000000-0005-0000-0000-000089A50000}"/>
    <cellStyle name="Normal 8 6 2 3 2 3 3 2" xfId="35780" xr:uid="{00000000-0005-0000-0000-00008AA50000}"/>
    <cellStyle name="Normal 8 6 2 3 2 3 4" xfId="28339" xr:uid="{00000000-0005-0000-0000-00008BA50000}"/>
    <cellStyle name="Normal 8 6 2 3 2 4" xfId="16859" xr:uid="{00000000-0005-0000-0000-00008CA50000}"/>
    <cellStyle name="Normal 8 6 2 3 2 4 2" xfId="39502" xr:uid="{00000000-0005-0000-0000-00008DA50000}"/>
    <cellStyle name="Normal 8 6 2 3 2 5" xfId="9419" xr:uid="{00000000-0005-0000-0000-00008EA50000}"/>
    <cellStyle name="Normal 8 6 2 3 2 5 2" xfId="32062" xr:uid="{00000000-0005-0000-0000-00008FA50000}"/>
    <cellStyle name="Normal 8 6 2 3 2 6" xfId="24621" xr:uid="{00000000-0005-0000-0000-000090A50000}"/>
    <cellStyle name="Normal 8 6 2 3 3" xfId="2894" xr:uid="{00000000-0005-0000-0000-000091A50000}"/>
    <cellStyle name="Normal 8 6 2 3 3 2" xfId="6615" xr:uid="{00000000-0005-0000-0000-000092A50000}"/>
    <cellStyle name="Normal 8 6 2 3 3 2 2" xfId="21499" xr:uid="{00000000-0005-0000-0000-000093A50000}"/>
    <cellStyle name="Normal 8 6 2 3 3 2 2 2" xfId="44142" xr:uid="{00000000-0005-0000-0000-000094A50000}"/>
    <cellStyle name="Normal 8 6 2 3 3 2 3" xfId="14059" xr:uid="{00000000-0005-0000-0000-000095A50000}"/>
    <cellStyle name="Normal 8 6 2 3 3 2 3 2" xfId="36702" xr:uid="{00000000-0005-0000-0000-000096A50000}"/>
    <cellStyle name="Normal 8 6 2 3 3 2 4" xfId="29261" xr:uid="{00000000-0005-0000-0000-000097A50000}"/>
    <cellStyle name="Normal 8 6 2 3 3 3" xfId="17781" xr:uid="{00000000-0005-0000-0000-000098A50000}"/>
    <cellStyle name="Normal 8 6 2 3 3 3 2" xfId="40424" xr:uid="{00000000-0005-0000-0000-000099A50000}"/>
    <cellStyle name="Normal 8 6 2 3 3 4" xfId="10341" xr:uid="{00000000-0005-0000-0000-00009AA50000}"/>
    <cellStyle name="Normal 8 6 2 3 3 4 2" xfId="32984" xr:uid="{00000000-0005-0000-0000-00009BA50000}"/>
    <cellStyle name="Normal 8 6 2 3 3 5" xfId="25543" xr:uid="{00000000-0005-0000-0000-00009CA50000}"/>
    <cellStyle name="Normal 8 6 2 3 4" xfId="4768" xr:uid="{00000000-0005-0000-0000-00009DA50000}"/>
    <cellStyle name="Normal 8 6 2 3 4 2" xfId="19652" xr:uid="{00000000-0005-0000-0000-00009EA50000}"/>
    <cellStyle name="Normal 8 6 2 3 4 2 2" xfId="42295" xr:uid="{00000000-0005-0000-0000-00009FA50000}"/>
    <cellStyle name="Normal 8 6 2 3 4 3" xfId="12212" xr:uid="{00000000-0005-0000-0000-0000A0A50000}"/>
    <cellStyle name="Normal 8 6 2 3 4 3 2" xfId="34855" xr:uid="{00000000-0005-0000-0000-0000A1A50000}"/>
    <cellStyle name="Normal 8 6 2 3 4 4" xfId="27414" xr:uid="{00000000-0005-0000-0000-0000A2A50000}"/>
    <cellStyle name="Normal 8 6 2 3 5" xfId="15934" xr:uid="{00000000-0005-0000-0000-0000A3A50000}"/>
    <cellStyle name="Normal 8 6 2 3 5 2" xfId="38577" xr:uid="{00000000-0005-0000-0000-0000A4A50000}"/>
    <cellStyle name="Normal 8 6 2 3 6" xfId="8494" xr:uid="{00000000-0005-0000-0000-0000A5A50000}"/>
    <cellStyle name="Normal 8 6 2 3 6 2" xfId="31137" xr:uid="{00000000-0005-0000-0000-0000A6A50000}"/>
    <cellStyle name="Normal 8 6 2 3 7" xfId="23696" xr:uid="{00000000-0005-0000-0000-0000A7A50000}"/>
    <cellStyle name="Normal 8 6 2 4" xfId="1507" xr:uid="{00000000-0005-0000-0000-0000A8A50000}"/>
    <cellStyle name="Normal 8 6 2 4 2" xfId="3357" xr:uid="{00000000-0005-0000-0000-0000A9A50000}"/>
    <cellStyle name="Normal 8 6 2 4 2 2" xfId="7078" xr:uid="{00000000-0005-0000-0000-0000AAA50000}"/>
    <cellStyle name="Normal 8 6 2 4 2 2 2" xfId="21962" xr:uid="{00000000-0005-0000-0000-0000ABA50000}"/>
    <cellStyle name="Normal 8 6 2 4 2 2 2 2" xfId="44605" xr:uid="{00000000-0005-0000-0000-0000ACA50000}"/>
    <cellStyle name="Normal 8 6 2 4 2 2 3" xfId="14522" xr:uid="{00000000-0005-0000-0000-0000ADA50000}"/>
    <cellStyle name="Normal 8 6 2 4 2 2 3 2" xfId="37165" xr:uid="{00000000-0005-0000-0000-0000AEA50000}"/>
    <cellStyle name="Normal 8 6 2 4 2 2 4" xfId="29724" xr:uid="{00000000-0005-0000-0000-0000AFA50000}"/>
    <cellStyle name="Normal 8 6 2 4 2 3" xfId="18244" xr:uid="{00000000-0005-0000-0000-0000B0A50000}"/>
    <cellStyle name="Normal 8 6 2 4 2 3 2" xfId="40887" xr:uid="{00000000-0005-0000-0000-0000B1A50000}"/>
    <cellStyle name="Normal 8 6 2 4 2 4" xfId="10804" xr:uid="{00000000-0005-0000-0000-0000B2A50000}"/>
    <cellStyle name="Normal 8 6 2 4 2 4 2" xfId="33447" xr:uid="{00000000-0005-0000-0000-0000B3A50000}"/>
    <cellStyle name="Normal 8 6 2 4 2 5" xfId="26006" xr:uid="{00000000-0005-0000-0000-0000B4A50000}"/>
    <cellStyle name="Normal 8 6 2 4 3" xfId="5231" xr:uid="{00000000-0005-0000-0000-0000B5A50000}"/>
    <cellStyle name="Normal 8 6 2 4 3 2" xfId="20115" xr:uid="{00000000-0005-0000-0000-0000B6A50000}"/>
    <cellStyle name="Normal 8 6 2 4 3 2 2" xfId="42758" xr:uid="{00000000-0005-0000-0000-0000B7A50000}"/>
    <cellStyle name="Normal 8 6 2 4 3 3" xfId="12675" xr:uid="{00000000-0005-0000-0000-0000B8A50000}"/>
    <cellStyle name="Normal 8 6 2 4 3 3 2" xfId="35318" xr:uid="{00000000-0005-0000-0000-0000B9A50000}"/>
    <cellStyle name="Normal 8 6 2 4 3 4" xfId="27877" xr:uid="{00000000-0005-0000-0000-0000BAA50000}"/>
    <cellStyle name="Normal 8 6 2 4 4" xfId="16397" xr:uid="{00000000-0005-0000-0000-0000BBA50000}"/>
    <cellStyle name="Normal 8 6 2 4 4 2" xfId="39040" xr:uid="{00000000-0005-0000-0000-0000BCA50000}"/>
    <cellStyle name="Normal 8 6 2 4 5" xfId="8957" xr:uid="{00000000-0005-0000-0000-0000BDA50000}"/>
    <cellStyle name="Normal 8 6 2 4 5 2" xfId="31600" xr:uid="{00000000-0005-0000-0000-0000BEA50000}"/>
    <cellStyle name="Normal 8 6 2 4 6" xfId="24159" xr:uid="{00000000-0005-0000-0000-0000BFA50000}"/>
    <cellStyle name="Normal 8 6 2 5" xfId="2432" xr:uid="{00000000-0005-0000-0000-0000C0A50000}"/>
    <cellStyle name="Normal 8 6 2 5 2" xfId="6153" xr:uid="{00000000-0005-0000-0000-0000C1A50000}"/>
    <cellStyle name="Normal 8 6 2 5 2 2" xfId="21037" xr:uid="{00000000-0005-0000-0000-0000C2A50000}"/>
    <cellStyle name="Normal 8 6 2 5 2 2 2" xfId="43680" xr:uid="{00000000-0005-0000-0000-0000C3A50000}"/>
    <cellStyle name="Normal 8 6 2 5 2 3" xfId="13597" xr:uid="{00000000-0005-0000-0000-0000C4A50000}"/>
    <cellStyle name="Normal 8 6 2 5 2 3 2" xfId="36240" xr:uid="{00000000-0005-0000-0000-0000C5A50000}"/>
    <cellStyle name="Normal 8 6 2 5 2 4" xfId="28799" xr:uid="{00000000-0005-0000-0000-0000C6A50000}"/>
    <cellStyle name="Normal 8 6 2 5 3" xfId="17319" xr:uid="{00000000-0005-0000-0000-0000C7A50000}"/>
    <cellStyle name="Normal 8 6 2 5 3 2" xfId="39962" xr:uid="{00000000-0005-0000-0000-0000C8A50000}"/>
    <cellStyle name="Normal 8 6 2 5 4" xfId="9879" xr:uid="{00000000-0005-0000-0000-0000C9A50000}"/>
    <cellStyle name="Normal 8 6 2 5 4 2" xfId="32522" xr:uid="{00000000-0005-0000-0000-0000CAA50000}"/>
    <cellStyle name="Normal 8 6 2 5 5" xfId="25081" xr:uid="{00000000-0005-0000-0000-0000CBA50000}"/>
    <cellStyle name="Normal 8 6 2 6" xfId="4306" xr:uid="{00000000-0005-0000-0000-0000CCA50000}"/>
    <cellStyle name="Normal 8 6 2 6 2" xfId="19190" xr:uid="{00000000-0005-0000-0000-0000CDA50000}"/>
    <cellStyle name="Normal 8 6 2 6 2 2" xfId="41833" xr:uid="{00000000-0005-0000-0000-0000CEA50000}"/>
    <cellStyle name="Normal 8 6 2 6 3" xfId="11750" xr:uid="{00000000-0005-0000-0000-0000CFA50000}"/>
    <cellStyle name="Normal 8 6 2 6 3 2" xfId="34393" xr:uid="{00000000-0005-0000-0000-0000D0A50000}"/>
    <cellStyle name="Normal 8 6 2 6 4" xfId="26952" xr:uid="{00000000-0005-0000-0000-0000D1A50000}"/>
    <cellStyle name="Normal 8 6 2 7" xfId="15472" xr:uid="{00000000-0005-0000-0000-0000D2A50000}"/>
    <cellStyle name="Normal 8 6 2 7 2" xfId="38115" xr:uid="{00000000-0005-0000-0000-0000D3A50000}"/>
    <cellStyle name="Normal 8 6 2 8" xfId="8032" xr:uid="{00000000-0005-0000-0000-0000D4A50000}"/>
    <cellStyle name="Normal 8 6 2 8 2" xfId="30675" xr:uid="{00000000-0005-0000-0000-0000D5A50000}"/>
    <cellStyle name="Normal 8 6 2 9" xfId="23235" xr:uid="{00000000-0005-0000-0000-0000D6A50000}"/>
    <cellStyle name="Normal 8 6 3" xfId="682" xr:uid="{00000000-0005-0000-0000-0000D7A50000}"/>
    <cellStyle name="Normal 8 6 3 2" xfId="1147" xr:uid="{00000000-0005-0000-0000-0000D8A50000}"/>
    <cellStyle name="Normal 8 6 3 2 2" xfId="2075" xr:uid="{00000000-0005-0000-0000-0000D9A50000}"/>
    <cellStyle name="Normal 8 6 3 2 2 2" xfId="3925" xr:uid="{00000000-0005-0000-0000-0000DAA50000}"/>
    <cellStyle name="Normal 8 6 3 2 2 2 2" xfId="7646" xr:uid="{00000000-0005-0000-0000-0000DBA50000}"/>
    <cellStyle name="Normal 8 6 3 2 2 2 2 2" xfId="22530" xr:uid="{00000000-0005-0000-0000-0000DCA50000}"/>
    <cellStyle name="Normal 8 6 3 2 2 2 2 2 2" xfId="45173" xr:uid="{00000000-0005-0000-0000-0000DDA50000}"/>
    <cellStyle name="Normal 8 6 3 2 2 2 2 3" xfId="15090" xr:uid="{00000000-0005-0000-0000-0000DEA50000}"/>
    <cellStyle name="Normal 8 6 3 2 2 2 2 3 2" xfId="37733" xr:uid="{00000000-0005-0000-0000-0000DFA50000}"/>
    <cellStyle name="Normal 8 6 3 2 2 2 2 4" xfId="30292" xr:uid="{00000000-0005-0000-0000-0000E0A50000}"/>
    <cellStyle name="Normal 8 6 3 2 2 2 3" xfId="18812" xr:uid="{00000000-0005-0000-0000-0000E1A50000}"/>
    <cellStyle name="Normal 8 6 3 2 2 2 3 2" xfId="41455" xr:uid="{00000000-0005-0000-0000-0000E2A50000}"/>
    <cellStyle name="Normal 8 6 3 2 2 2 4" xfId="11372" xr:uid="{00000000-0005-0000-0000-0000E3A50000}"/>
    <cellStyle name="Normal 8 6 3 2 2 2 4 2" xfId="34015" xr:uid="{00000000-0005-0000-0000-0000E4A50000}"/>
    <cellStyle name="Normal 8 6 3 2 2 2 5" xfId="26574" xr:uid="{00000000-0005-0000-0000-0000E5A50000}"/>
    <cellStyle name="Normal 8 6 3 2 2 3" xfId="5799" xr:uid="{00000000-0005-0000-0000-0000E6A50000}"/>
    <cellStyle name="Normal 8 6 3 2 2 3 2" xfId="20683" xr:uid="{00000000-0005-0000-0000-0000E7A50000}"/>
    <cellStyle name="Normal 8 6 3 2 2 3 2 2" xfId="43326" xr:uid="{00000000-0005-0000-0000-0000E8A50000}"/>
    <cellStyle name="Normal 8 6 3 2 2 3 3" xfId="13243" xr:uid="{00000000-0005-0000-0000-0000E9A50000}"/>
    <cellStyle name="Normal 8 6 3 2 2 3 3 2" xfId="35886" xr:uid="{00000000-0005-0000-0000-0000EAA50000}"/>
    <cellStyle name="Normal 8 6 3 2 2 3 4" xfId="28445" xr:uid="{00000000-0005-0000-0000-0000EBA50000}"/>
    <cellStyle name="Normal 8 6 3 2 2 4" xfId="16965" xr:uid="{00000000-0005-0000-0000-0000ECA50000}"/>
    <cellStyle name="Normal 8 6 3 2 2 4 2" xfId="39608" xr:uid="{00000000-0005-0000-0000-0000EDA50000}"/>
    <cellStyle name="Normal 8 6 3 2 2 5" xfId="9525" xr:uid="{00000000-0005-0000-0000-0000EEA50000}"/>
    <cellStyle name="Normal 8 6 3 2 2 5 2" xfId="32168" xr:uid="{00000000-0005-0000-0000-0000EFA50000}"/>
    <cellStyle name="Normal 8 6 3 2 2 6" xfId="24727" xr:uid="{00000000-0005-0000-0000-0000F0A50000}"/>
    <cellStyle name="Normal 8 6 3 2 3" xfId="3000" xr:uid="{00000000-0005-0000-0000-0000F1A50000}"/>
    <cellStyle name="Normal 8 6 3 2 3 2" xfId="6721" xr:uid="{00000000-0005-0000-0000-0000F2A50000}"/>
    <cellStyle name="Normal 8 6 3 2 3 2 2" xfId="21605" xr:uid="{00000000-0005-0000-0000-0000F3A50000}"/>
    <cellStyle name="Normal 8 6 3 2 3 2 2 2" xfId="44248" xr:uid="{00000000-0005-0000-0000-0000F4A50000}"/>
    <cellStyle name="Normal 8 6 3 2 3 2 3" xfId="14165" xr:uid="{00000000-0005-0000-0000-0000F5A50000}"/>
    <cellStyle name="Normal 8 6 3 2 3 2 3 2" xfId="36808" xr:uid="{00000000-0005-0000-0000-0000F6A50000}"/>
    <cellStyle name="Normal 8 6 3 2 3 2 4" xfId="29367" xr:uid="{00000000-0005-0000-0000-0000F7A50000}"/>
    <cellStyle name="Normal 8 6 3 2 3 3" xfId="17887" xr:uid="{00000000-0005-0000-0000-0000F8A50000}"/>
    <cellStyle name="Normal 8 6 3 2 3 3 2" xfId="40530" xr:uid="{00000000-0005-0000-0000-0000F9A50000}"/>
    <cellStyle name="Normal 8 6 3 2 3 4" xfId="10447" xr:uid="{00000000-0005-0000-0000-0000FAA50000}"/>
    <cellStyle name="Normal 8 6 3 2 3 4 2" xfId="33090" xr:uid="{00000000-0005-0000-0000-0000FBA50000}"/>
    <cellStyle name="Normal 8 6 3 2 3 5" xfId="25649" xr:uid="{00000000-0005-0000-0000-0000FCA50000}"/>
    <cellStyle name="Normal 8 6 3 2 4" xfId="4874" xr:uid="{00000000-0005-0000-0000-0000FDA50000}"/>
    <cellStyle name="Normal 8 6 3 2 4 2" xfId="19758" xr:uid="{00000000-0005-0000-0000-0000FEA50000}"/>
    <cellStyle name="Normal 8 6 3 2 4 2 2" xfId="42401" xr:uid="{00000000-0005-0000-0000-0000FFA50000}"/>
    <cellStyle name="Normal 8 6 3 2 4 3" xfId="12318" xr:uid="{00000000-0005-0000-0000-000000A60000}"/>
    <cellStyle name="Normal 8 6 3 2 4 3 2" xfId="34961" xr:uid="{00000000-0005-0000-0000-000001A60000}"/>
    <cellStyle name="Normal 8 6 3 2 4 4" xfId="27520" xr:uid="{00000000-0005-0000-0000-000002A60000}"/>
    <cellStyle name="Normal 8 6 3 2 5" xfId="16040" xr:uid="{00000000-0005-0000-0000-000003A60000}"/>
    <cellStyle name="Normal 8 6 3 2 5 2" xfId="38683" xr:uid="{00000000-0005-0000-0000-000004A60000}"/>
    <cellStyle name="Normal 8 6 3 2 6" xfId="8600" xr:uid="{00000000-0005-0000-0000-000005A60000}"/>
    <cellStyle name="Normal 8 6 3 2 6 2" xfId="31243" xr:uid="{00000000-0005-0000-0000-000006A60000}"/>
    <cellStyle name="Normal 8 6 3 2 7" xfId="23802" xr:uid="{00000000-0005-0000-0000-000007A60000}"/>
    <cellStyle name="Normal 8 6 3 3" xfId="1613" xr:uid="{00000000-0005-0000-0000-000008A60000}"/>
    <cellStyle name="Normal 8 6 3 3 2" xfId="3463" xr:uid="{00000000-0005-0000-0000-000009A60000}"/>
    <cellStyle name="Normal 8 6 3 3 2 2" xfId="7184" xr:uid="{00000000-0005-0000-0000-00000AA60000}"/>
    <cellStyle name="Normal 8 6 3 3 2 2 2" xfId="22068" xr:uid="{00000000-0005-0000-0000-00000BA60000}"/>
    <cellStyle name="Normal 8 6 3 3 2 2 2 2" xfId="44711" xr:uid="{00000000-0005-0000-0000-00000CA60000}"/>
    <cellStyle name="Normal 8 6 3 3 2 2 3" xfId="14628" xr:uid="{00000000-0005-0000-0000-00000DA60000}"/>
    <cellStyle name="Normal 8 6 3 3 2 2 3 2" xfId="37271" xr:uid="{00000000-0005-0000-0000-00000EA60000}"/>
    <cellStyle name="Normal 8 6 3 3 2 2 4" xfId="29830" xr:uid="{00000000-0005-0000-0000-00000FA60000}"/>
    <cellStyle name="Normal 8 6 3 3 2 3" xfId="18350" xr:uid="{00000000-0005-0000-0000-000010A60000}"/>
    <cellStyle name="Normal 8 6 3 3 2 3 2" xfId="40993" xr:uid="{00000000-0005-0000-0000-000011A60000}"/>
    <cellStyle name="Normal 8 6 3 3 2 4" xfId="10910" xr:uid="{00000000-0005-0000-0000-000012A60000}"/>
    <cellStyle name="Normal 8 6 3 3 2 4 2" xfId="33553" xr:uid="{00000000-0005-0000-0000-000013A60000}"/>
    <cellStyle name="Normal 8 6 3 3 2 5" xfId="26112" xr:uid="{00000000-0005-0000-0000-000014A60000}"/>
    <cellStyle name="Normal 8 6 3 3 3" xfId="5337" xr:uid="{00000000-0005-0000-0000-000015A60000}"/>
    <cellStyle name="Normal 8 6 3 3 3 2" xfId="20221" xr:uid="{00000000-0005-0000-0000-000016A60000}"/>
    <cellStyle name="Normal 8 6 3 3 3 2 2" xfId="42864" xr:uid="{00000000-0005-0000-0000-000017A60000}"/>
    <cellStyle name="Normal 8 6 3 3 3 3" xfId="12781" xr:uid="{00000000-0005-0000-0000-000018A60000}"/>
    <cellStyle name="Normal 8 6 3 3 3 3 2" xfId="35424" xr:uid="{00000000-0005-0000-0000-000019A60000}"/>
    <cellStyle name="Normal 8 6 3 3 3 4" xfId="27983" xr:uid="{00000000-0005-0000-0000-00001AA60000}"/>
    <cellStyle name="Normal 8 6 3 3 4" xfId="16503" xr:uid="{00000000-0005-0000-0000-00001BA60000}"/>
    <cellStyle name="Normal 8 6 3 3 4 2" xfId="39146" xr:uid="{00000000-0005-0000-0000-00001CA60000}"/>
    <cellStyle name="Normal 8 6 3 3 5" xfId="9063" xr:uid="{00000000-0005-0000-0000-00001DA60000}"/>
    <cellStyle name="Normal 8 6 3 3 5 2" xfId="31706" xr:uid="{00000000-0005-0000-0000-00001EA60000}"/>
    <cellStyle name="Normal 8 6 3 3 6" xfId="24265" xr:uid="{00000000-0005-0000-0000-00001FA60000}"/>
    <cellStyle name="Normal 8 6 3 4" xfId="2538" xr:uid="{00000000-0005-0000-0000-000020A60000}"/>
    <cellStyle name="Normal 8 6 3 4 2" xfId="6259" xr:uid="{00000000-0005-0000-0000-000021A60000}"/>
    <cellStyle name="Normal 8 6 3 4 2 2" xfId="21143" xr:uid="{00000000-0005-0000-0000-000022A60000}"/>
    <cellStyle name="Normal 8 6 3 4 2 2 2" xfId="43786" xr:uid="{00000000-0005-0000-0000-000023A60000}"/>
    <cellStyle name="Normal 8 6 3 4 2 3" xfId="13703" xr:uid="{00000000-0005-0000-0000-000024A60000}"/>
    <cellStyle name="Normal 8 6 3 4 2 3 2" xfId="36346" xr:uid="{00000000-0005-0000-0000-000025A60000}"/>
    <cellStyle name="Normal 8 6 3 4 2 4" xfId="28905" xr:uid="{00000000-0005-0000-0000-000026A60000}"/>
    <cellStyle name="Normal 8 6 3 4 3" xfId="17425" xr:uid="{00000000-0005-0000-0000-000027A60000}"/>
    <cellStyle name="Normal 8 6 3 4 3 2" xfId="40068" xr:uid="{00000000-0005-0000-0000-000028A60000}"/>
    <cellStyle name="Normal 8 6 3 4 4" xfId="9985" xr:uid="{00000000-0005-0000-0000-000029A60000}"/>
    <cellStyle name="Normal 8 6 3 4 4 2" xfId="32628" xr:uid="{00000000-0005-0000-0000-00002AA60000}"/>
    <cellStyle name="Normal 8 6 3 4 5" xfId="25187" xr:uid="{00000000-0005-0000-0000-00002BA60000}"/>
    <cellStyle name="Normal 8 6 3 5" xfId="4412" xr:uid="{00000000-0005-0000-0000-00002CA60000}"/>
    <cellStyle name="Normal 8 6 3 5 2" xfId="19296" xr:uid="{00000000-0005-0000-0000-00002DA60000}"/>
    <cellStyle name="Normal 8 6 3 5 2 2" xfId="41939" xr:uid="{00000000-0005-0000-0000-00002EA60000}"/>
    <cellStyle name="Normal 8 6 3 5 3" xfId="11856" xr:uid="{00000000-0005-0000-0000-00002FA60000}"/>
    <cellStyle name="Normal 8 6 3 5 3 2" xfId="34499" xr:uid="{00000000-0005-0000-0000-000030A60000}"/>
    <cellStyle name="Normal 8 6 3 5 4" xfId="27058" xr:uid="{00000000-0005-0000-0000-000031A60000}"/>
    <cellStyle name="Normal 8 6 3 6" xfId="15578" xr:uid="{00000000-0005-0000-0000-000032A60000}"/>
    <cellStyle name="Normal 8 6 3 6 2" xfId="38221" xr:uid="{00000000-0005-0000-0000-000033A60000}"/>
    <cellStyle name="Normal 8 6 3 7" xfId="8138" xr:uid="{00000000-0005-0000-0000-000034A60000}"/>
    <cellStyle name="Normal 8 6 3 7 2" xfId="30781" xr:uid="{00000000-0005-0000-0000-000035A60000}"/>
    <cellStyle name="Normal 8 6 3 8" xfId="23340" xr:uid="{00000000-0005-0000-0000-000036A60000}"/>
    <cellStyle name="Normal 8 6 4" xfId="936" xr:uid="{00000000-0005-0000-0000-000037A60000}"/>
    <cellStyle name="Normal 8 6 4 2" xfId="1864" xr:uid="{00000000-0005-0000-0000-000038A60000}"/>
    <cellStyle name="Normal 8 6 4 2 2" xfId="3714" xr:uid="{00000000-0005-0000-0000-000039A60000}"/>
    <cellStyle name="Normal 8 6 4 2 2 2" xfId="7435" xr:uid="{00000000-0005-0000-0000-00003AA60000}"/>
    <cellStyle name="Normal 8 6 4 2 2 2 2" xfId="22319" xr:uid="{00000000-0005-0000-0000-00003BA60000}"/>
    <cellStyle name="Normal 8 6 4 2 2 2 2 2" xfId="44962" xr:uid="{00000000-0005-0000-0000-00003CA60000}"/>
    <cellStyle name="Normal 8 6 4 2 2 2 3" xfId="14879" xr:uid="{00000000-0005-0000-0000-00003DA60000}"/>
    <cellStyle name="Normal 8 6 4 2 2 2 3 2" xfId="37522" xr:uid="{00000000-0005-0000-0000-00003EA60000}"/>
    <cellStyle name="Normal 8 6 4 2 2 2 4" xfId="30081" xr:uid="{00000000-0005-0000-0000-00003FA60000}"/>
    <cellStyle name="Normal 8 6 4 2 2 3" xfId="18601" xr:uid="{00000000-0005-0000-0000-000040A60000}"/>
    <cellStyle name="Normal 8 6 4 2 2 3 2" xfId="41244" xr:uid="{00000000-0005-0000-0000-000041A60000}"/>
    <cellStyle name="Normal 8 6 4 2 2 4" xfId="11161" xr:uid="{00000000-0005-0000-0000-000042A60000}"/>
    <cellStyle name="Normal 8 6 4 2 2 4 2" xfId="33804" xr:uid="{00000000-0005-0000-0000-000043A60000}"/>
    <cellStyle name="Normal 8 6 4 2 2 5" xfId="26363" xr:uid="{00000000-0005-0000-0000-000044A60000}"/>
    <cellStyle name="Normal 8 6 4 2 3" xfId="5588" xr:uid="{00000000-0005-0000-0000-000045A60000}"/>
    <cellStyle name="Normal 8 6 4 2 3 2" xfId="20472" xr:uid="{00000000-0005-0000-0000-000046A60000}"/>
    <cellStyle name="Normal 8 6 4 2 3 2 2" xfId="43115" xr:uid="{00000000-0005-0000-0000-000047A60000}"/>
    <cellStyle name="Normal 8 6 4 2 3 3" xfId="13032" xr:uid="{00000000-0005-0000-0000-000048A60000}"/>
    <cellStyle name="Normal 8 6 4 2 3 3 2" xfId="35675" xr:uid="{00000000-0005-0000-0000-000049A60000}"/>
    <cellStyle name="Normal 8 6 4 2 3 4" xfId="28234" xr:uid="{00000000-0005-0000-0000-00004AA60000}"/>
    <cellStyle name="Normal 8 6 4 2 4" xfId="16754" xr:uid="{00000000-0005-0000-0000-00004BA60000}"/>
    <cellStyle name="Normal 8 6 4 2 4 2" xfId="39397" xr:uid="{00000000-0005-0000-0000-00004CA60000}"/>
    <cellStyle name="Normal 8 6 4 2 5" xfId="9314" xr:uid="{00000000-0005-0000-0000-00004DA60000}"/>
    <cellStyle name="Normal 8 6 4 2 5 2" xfId="31957" xr:uid="{00000000-0005-0000-0000-00004EA60000}"/>
    <cellStyle name="Normal 8 6 4 2 6" xfId="24516" xr:uid="{00000000-0005-0000-0000-00004FA60000}"/>
    <cellStyle name="Normal 8 6 4 3" xfId="2789" xr:uid="{00000000-0005-0000-0000-000050A60000}"/>
    <cellStyle name="Normal 8 6 4 3 2" xfId="6510" xr:uid="{00000000-0005-0000-0000-000051A60000}"/>
    <cellStyle name="Normal 8 6 4 3 2 2" xfId="21394" xr:uid="{00000000-0005-0000-0000-000052A60000}"/>
    <cellStyle name="Normal 8 6 4 3 2 2 2" xfId="44037" xr:uid="{00000000-0005-0000-0000-000053A60000}"/>
    <cellStyle name="Normal 8 6 4 3 2 3" xfId="13954" xr:uid="{00000000-0005-0000-0000-000054A60000}"/>
    <cellStyle name="Normal 8 6 4 3 2 3 2" xfId="36597" xr:uid="{00000000-0005-0000-0000-000055A60000}"/>
    <cellStyle name="Normal 8 6 4 3 2 4" xfId="29156" xr:uid="{00000000-0005-0000-0000-000056A60000}"/>
    <cellStyle name="Normal 8 6 4 3 3" xfId="17676" xr:uid="{00000000-0005-0000-0000-000057A60000}"/>
    <cellStyle name="Normal 8 6 4 3 3 2" xfId="40319" xr:uid="{00000000-0005-0000-0000-000058A60000}"/>
    <cellStyle name="Normal 8 6 4 3 4" xfId="10236" xr:uid="{00000000-0005-0000-0000-000059A60000}"/>
    <cellStyle name="Normal 8 6 4 3 4 2" xfId="32879" xr:uid="{00000000-0005-0000-0000-00005AA60000}"/>
    <cellStyle name="Normal 8 6 4 3 5" xfId="25438" xr:uid="{00000000-0005-0000-0000-00005BA60000}"/>
    <cellStyle name="Normal 8 6 4 4" xfId="4663" xr:uid="{00000000-0005-0000-0000-00005CA60000}"/>
    <cellStyle name="Normal 8 6 4 4 2" xfId="19547" xr:uid="{00000000-0005-0000-0000-00005DA60000}"/>
    <cellStyle name="Normal 8 6 4 4 2 2" xfId="42190" xr:uid="{00000000-0005-0000-0000-00005EA60000}"/>
    <cellStyle name="Normal 8 6 4 4 3" xfId="12107" xr:uid="{00000000-0005-0000-0000-00005FA60000}"/>
    <cellStyle name="Normal 8 6 4 4 3 2" xfId="34750" xr:uid="{00000000-0005-0000-0000-000060A60000}"/>
    <cellStyle name="Normal 8 6 4 4 4" xfId="27309" xr:uid="{00000000-0005-0000-0000-000061A60000}"/>
    <cellStyle name="Normal 8 6 4 5" xfId="15829" xr:uid="{00000000-0005-0000-0000-000062A60000}"/>
    <cellStyle name="Normal 8 6 4 5 2" xfId="38472" xr:uid="{00000000-0005-0000-0000-000063A60000}"/>
    <cellStyle name="Normal 8 6 4 6" xfId="8389" xr:uid="{00000000-0005-0000-0000-000064A60000}"/>
    <cellStyle name="Normal 8 6 4 6 2" xfId="31032" xr:uid="{00000000-0005-0000-0000-000065A60000}"/>
    <cellStyle name="Normal 8 6 4 7" xfId="23591" xr:uid="{00000000-0005-0000-0000-000066A60000}"/>
    <cellStyle name="Normal 8 6 5" xfId="1402" xr:uid="{00000000-0005-0000-0000-000067A60000}"/>
    <cellStyle name="Normal 8 6 5 2" xfId="3252" xr:uid="{00000000-0005-0000-0000-000068A60000}"/>
    <cellStyle name="Normal 8 6 5 2 2" xfId="6973" xr:uid="{00000000-0005-0000-0000-000069A60000}"/>
    <cellStyle name="Normal 8 6 5 2 2 2" xfId="21857" xr:uid="{00000000-0005-0000-0000-00006AA60000}"/>
    <cellStyle name="Normal 8 6 5 2 2 2 2" xfId="44500" xr:uid="{00000000-0005-0000-0000-00006BA60000}"/>
    <cellStyle name="Normal 8 6 5 2 2 3" xfId="14417" xr:uid="{00000000-0005-0000-0000-00006CA60000}"/>
    <cellStyle name="Normal 8 6 5 2 2 3 2" xfId="37060" xr:uid="{00000000-0005-0000-0000-00006DA60000}"/>
    <cellStyle name="Normal 8 6 5 2 2 4" xfId="29619" xr:uid="{00000000-0005-0000-0000-00006EA60000}"/>
    <cellStyle name="Normal 8 6 5 2 3" xfId="18139" xr:uid="{00000000-0005-0000-0000-00006FA60000}"/>
    <cellStyle name="Normal 8 6 5 2 3 2" xfId="40782" xr:uid="{00000000-0005-0000-0000-000070A60000}"/>
    <cellStyle name="Normal 8 6 5 2 4" xfId="10699" xr:uid="{00000000-0005-0000-0000-000071A60000}"/>
    <cellStyle name="Normal 8 6 5 2 4 2" xfId="33342" xr:uid="{00000000-0005-0000-0000-000072A60000}"/>
    <cellStyle name="Normal 8 6 5 2 5" xfId="25901" xr:uid="{00000000-0005-0000-0000-000073A60000}"/>
    <cellStyle name="Normal 8 6 5 3" xfId="5126" xr:uid="{00000000-0005-0000-0000-000074A60000}"/>
    <cellStyle name="Normal 8 6 5 3 2" xfId="20010" xr:uid="{00000000-0005-0000-0000-000075A60000}"/>
    <cellStyle name="Normal 8 6 5 3 2 2" xfId="42653" xr:uid="{00000000-0005-0000-0000-000076A60000}"/>
    <cellStyle name="Normal 8 6 5 3 3" xfId="12570" xr:uid="{00000000-0005-0000-0000-000077A60000}"/>
    <cellStyle name="Normal 8 6 5 3 3 2" xfId="35213" xr:uid="{00000000-0005-0000-0000-000078A60000}"/>
    <cellStyle name="Normal 8 6 5 3 4" xfId="27772" xr:uid="{00000000-0005-0000-0000-000079A60000}"/>
    <cellStyle name="Normal 8 6 5 4" xfId="16292" xr:uid="{00000000-0005-0000-0000-00007AA60000}"/>
    <cellStyle name="Normal 8 6 5 4 2" xfId="38935" xr:uid="{00000000-0005-0000-0000-00007BA60000}"/>
    <cellStyle name="Normal 8 6 5 5" xfId="8852" xr:uid="{00000000-0005-0000-0000-00007CA60000}"/>
    <cellStyle name="Normal 8 6 5 5 2" xfId="31495" xr:uid="{00000000-0005-0000-0000-00007DA60000}"/>
    <cellStyle name="Normal 8 6 5 6" xfId="24054" xr:uid="{00000000-0005-0000-0000-00007EA60000}"/>
    <cellStyle name="Normal 8 6 6" xfId="2327" xr:uid="{00000000-0005-0000-0000-00007FA60000}"/>
    <cellStyle name="Normal 8 6 6 2" xfId="6048" xr:uid="{00000000-0005-0000-0000-000080A60000}"/>
    <cellStyle name="Normal 8 6 6 2 2" xfId="20932" xr:uid="{00000000-0005-0000-0000-000081A60000}"/>
    <cellStyle name="Normal 8 6 6 2 2 2" xfId="43575" xr:uid="{00000000-0005-0000-0000-000082A60000}"/>
    <cellStyle name="Normal 8 6 6 2 3" xfId="13492" xr:uid="{00000000-0005-0000-0000-000083A60000}"/>
    <cellStyle name="Normal 8 6 6 2 3 2" xfId="36135" xr:uid="{00000000-0005-0000-0000-000084A60000}"/>
    <cellStyle name="Normal 8 6 6 2 4" xfId="28694" xr:uid="{00000000-0005-0000-0000-000085A60000}"/>
    <cellStyle name="Normal 8 6 6 3" xfId="17214" xr:uid="{00000000-0005-0000-0000-000086A60000}"/>
    <cellStyle name="Normal 8 6 6 3 2" xfId="39857" xr:uid="{00000000-0005-0000-0000-000087A60000}"/>
    <cellStyle name="Normal 8 6 6 4" xfId="9774" xr:uid="{00000000-0005-0000-0000-000088A60000}"/>
    <cellStyle name="Normal 8 6 6 4 2" xfId="32417" xr:uid="{00000000-0005-0000-0000-000089A60000}"/>
    <cellStyle name="Normal 8 6 6 5" xfId="24976" xr:uid="{00000000-0005-0000-0000-00008AA60000}"/>
    <cellStyle name="Normal 8 6 7" xfId="4201" xr:uid="{00000000-0005-0000-0000-00008BA60000}"/>
    <cellStyle name="Normal 8 6 7 2" xfId="19085" xr:uid="{00000000-0005-0000-0000-00008CA60000}"/>
    <cellStyle name="Normal 8 6 7 2 2" xfId="41728" xr:uid="{00000000-0005-0000-0000-00008DA60000}"/>
    <cellStyle name="Normal 8 6 7 3" xfId="11645" xr:uid="{00000000-0005-0000-0000-00008EA60000}"/>
    <cellStyle name="Normal 8 6 7 3 2" xfId="34288" xr:uid="{00000000-0005-0000-0000-00008FA60000}"/>
    <cellStyle name="Normal 8 6 7 4" xfId="26847" xr:uid="{00000000-0005-0000-0000-000090A60000}"/>
    <cellStyle name="Normal 8 6 8" xfId="15367" xr:uid="{00000000-0005-0000-0000-000091A60000}"/>
    <cellStyle name="Normal 8 6 8 2" xfId="38010" xr:uid="{00000000-0005-0000-0000-000092A60000}"/>
    <cellStyle name="Normal 8 6 9" xfId="7927" xr:uid="{00000000-0005-0000-0000-000093A60000}"/>
    <cellStyle name="Normal 8 6 9 2" xfId="30570" xr:uid="{00000000-0005-0000-0000-000094A60000}"/>
    <cellStyle name="Normal 8 7" xfId="523" xr:uid="{00000000-0005-0000-0000-000095A60000}"/>
    <cellStyle name="Normal 8 7 2" xfId="735" xr:uid="{00000000-0005-0000-0000-000096A60000}"/>
    <cellStyle name="Normal 8 7 2 2" xfId="1200" xr:uid="{00000000-0005-0000-0000-000097A60000}"/>
    <cellStyle name="Normal 8 7 2 2 2" xfId="2128" xr:uid="{00000000-0005-0000-0000-000098A60000}"/>
    <cellStyle name="Normal 8 7 2 2 2 2" xfId="3978" xr:uid="{00000000-0005-0000-0000-000099A60000}"/>
    <cellStyle name="Normal 8 7 2 2 2 2 2" xfId="7699" xr:uid="{00000000-0005-0000-0000-00009AA60000}"/>
    <cellStyle name="Normal 8 7 2 2 2 2 2 2" xfId="22583" xr:uid="{00000000-0005-0000-0000-00009BA60000}"/>
    <cellStyle name="Normal 8 7 2 2 2 2 2 2 2" xfId="45226" xr:uid="{00000000-0005-0000-0000-00009CA60000}"/>
    <cellStyle name="Normal 8 7 2 2 2 2 2 3" xfId="15143" xr:uid="{00000000-0005-0000-0000-00009DA60000}"/>
    <cellStyle name="Normal 8 7 2 2 2 2 2 3 2" xfId="37786" xr:uid="{00000000-0005-0000-0000-00009EA60000}"/>
    <cellStyle name="Normal 8 7 2 2 2 2 2 4" xfId="30345" xr:uid="{00000000-0005-0000-0000-00009FA60000}"/>
    <cellStyle name="Normal 8 7 2 2 2 2 3" xfId="18865" xr:uid="{00000000-0005-0000-0000-0000A0A60000}"/>
    <cellStyle name="Normal 8 7 2 2 2 2 3 2" xfId="41508" xr:uid="{00000000-0005-0000-0000-0000A1A60000}"/>
    <cellStyle name="Normal 8 7 2 2 2 2 4" xfId="11425" xr:uid="{00000000-0005-0000-0000-0000A2A60000}"/>
    <cellStyle name="Normal 8 7 2 2 2 2 4 2" xfId="34068" xr:uid="{00000000-0005-0000-0000-0000A3A60000}"/>
    <cellStyle name="Normal 8 7 2 2 2 2 5" xfId="26627" xr:uid="{00000000-0005-0000-0000-0000A4A60000}"/>
    <cellStyle name="Normal 8 7 2 2 2 3" xfId="5852" xr:uid="{00000000-0005-0000-0000-0000A5A60000}"/>
    <cellStyle name="Normal 8 7 2 2 2 3 2" xfId="20736" xr:uid="{00000000-0005-0000-0000-0000A6A60000}"/>
    <cellStyle name="Normal 8 7 2 2 2 3 2 2" xfId="43379" xr:uid="{00000000-0005-0000-0000-0000A7A60000}"/>
    <cellStyle name="Normal 8 7 2 2 2 3 3" xfId="13296" xr:uid="{00000000-0005-0000-0000-0000A8A60000}"/>
    <cellStyle name="Normal 8 7 2 2 2 3 3 2" xfId="35939" xr:uid="{00000000-0005-0000-0000-0000A9A60000}"/>
    <cellStyle name="Normal 8 7 2 2 2 3 4" xfId="28498" xr:uid="{00000000-0005-0000-0000-0000AAA60000}"/>
    <cellStyle name="Normal 8 7 2 2 2 4" xfId="17018" xr:uid="{00000000-0005-0000-0000-0000ABA60000}"/>
    <cellStyle name="Normal 8 7 2 2 2 4 2" xfId="39661" xr:uid="{00000000-0005-0000-0000-0000ACA60000}"/>
    <cellStyle name="Normal 8 7 2 2 2 5" xfId="9578" xr:uid="{00000000-0005-0000-0000-0000ADA60000}"/>
    <cellStyle name="Normal 8 7 2 2 2 5 2" xfId="32221" xr:uid="{00000000-0005-0000-0000-0000AEA60000}"/>
    <cellStyle name="Normal 8 7 2 2 2 6" xfId="24780" xr:uid="{00000000-0005-0000-0000-0000AFA60000}"/>
    <cellStyle name="Normal 8 7 2 2 3" xfId="3053" xr:uid="{00000000-0005-0000-0000-0000B0A60000}"/>
    <cellStyle name="Normal 8 7 2 2 3 2" xfId="6774" xr:uid="{00000000-0005-0000-0000-0000B1A60000}"/>
    <cellStyle name="Normal 8 7 2 2 3 2 2" xfId="21658" xr:uid="{00000000-0005-0000-0000-0000B2A60000}"/>
    <cellStyle name="Normal 8 7 2 2 3 2 2 2" xfId="44301" xr:uid="{00000000-0005-0000-0000-0000B3A60000}"/>
    <cellStyle name="Normal 8 7 2 2 3 2 3" xfId="14218" xr:uid="{00000000-0005-0000-0000-0000B4A60000}"/>
    <cellStyle name="Normal 8 7 2 2 3 2 3 2" xfId="36861" xr:uid="{00000000-0005-0000-0000-0000B5A60000}"/>
    <cellStyle name="Normal 8 7 2 2 3 2 4" xfId="29420" xr:uid="{00000000-0005-0000-0000-0000B6A60000}"/>
    <cellStyle name="Normal 8 7 2 2 3 3" xfId="17940" xr:uid="{00000000-0005-0000-0000-0000B7A60000}"/>
    <cellStyle name="Normal 8 7 2 2 3 3 2" xfId="40583" xr:uid="{00000000-0005-0000-0000-0000B8A60000}"/>
    <cellStyle name="Normal 8 7 2 2 3 4" xfId="10500" xr:uid="{00000000-0005-0000-0000-0000B9A60000}"/>
    <cellStyle name="Normal 8 7 2 2 3 4 2" xfId="33143" xr:uid="{00000000-0005-0000-0000-0000BAA60000}"/>
    <cellStyle name="Normal 8 7 2 2 3 5" xfId="25702" xr:uid="{00000000-0005-0000-0000-0000BBA60000}"/>
    <cellStyle name="Normal 8 7 2 2 4" xfId="4927" xr:uid="{00000000-0005-0000-0000-0000BCA60000}"/>
    <cellStyle name="Normal 8 7 2 2 4 2" xfId="19811" xr:uid="{00000000-0005-0000-0000-0000BDA60000}"/>
    <cellStyle name="Normal 8 7 2 2 4 2 2" xfId="42454" xr:uid="{00000000-0005-0000-0000-0000BEA60000}"/>
    <cellStyle name="Normal 8 7 2 2 4 3" xfId="12371" xr:uid="{00000000-0005-0000-0000-0000BFA60000}"/>
    <cellStyle name="Normal 8 7 2 2 4 3 2" xfId="35014" xr:uid="{00000000-0005-0000-0000-0000C0A60000}"/>
    <cellStyle name="Normal 8 7 2 2 4 4" xfId="27573" xr:uid="{00000000-0005-0000-0000-0000C1A60000}"/>
    <cellStyle name="Normal 8 7 2 2 5" xfId="16093" xr:uid="{00000000-0005-0000-0000-0000C2A60000}"/>
    <cellStyle name="Normal 8 7 2 2 5 2" xfId="38736" xr:uid="{00000000-0005-0000-0000-0000C3A60000}"/>
    <cellStyle name="Normal 8 7 2 2 6" xfId="8653" xr:uid="{00000000-0005-0000-0000-0000C4A60000}"/>
    <cellStyle name="Normal 8 7 2 2 6 2" xfId="31296" xr:uid="{00000000-0005-0000-0000-0000C5A60000}"/>
    <cellStyle name="Normal 8 7 2 2 7" xfId="23855" xr:uid="{00000000-0005-0000-0000-0000C6A60000}"/>
    <cellStyle name="Normal 8 7 2 3" xfId="1666" xr:uid="{00000000-0005-0000-0000-0000C7A60000}"/>
    <cellStyle name="Normal 8 7 2 3 2" xfId="3516" xr:uid="{00000000-0005-0000-0000-0000C8A60000}"/>
    <cellStyle name="Normal 8 7 2 3 2 2" xfId="7237" xr:uid="{00000000-0005-0000-0000-0000C9A60000}"/>
    <cellStyle name="Normal 8 7 2 3 2 2 2" xfId="22121" xr:uid="{00000000-0005-0000-0000-0000CAA60000}"/>
    <cellStyle name="Normal 8 7 2 3 2 2 2 2" xfId="44764" xr:uid="{00000000-0005-0000-0000-0000CBA60000}"/>
    <cellStyle name="Normal 8 7 2 3 2 2 3" xfId="14681" xr:uid="{00000000-0005-0000-0000-0000CCA60000}"/>
    <cellStyle name="Normal 8 7 2 3 2 2 3 2" xfId="37324" xr:uid="{00000000-0005-0000-0000-0000CDA60000}"/>
    <cellStyle name="Normal 8 7 2 3 2 2 4" xfId="29883" xr:uid="{00000000-0005-0000-0000-0000CEA60000}"/>
    <cellStyle name="Normal 8 7 2 3 2 3" xfId="18403" xr:uid="{00000000-0005-0000-0000-0000CFA60000}"/>
    <cellStyle name="Normal 8 7 2 3 2 3 2" xfId="41046" xr:uid="{00000000-0005-0000-0000-0000D0A60000}"/>
    <cellStyle name="Normal 8 7 2 3 2 4" xfId="10963" xr:uid="{00000000-0005-0000-0000-0000D1A60000}"/>
    <cellStyle name="Normal 8 7 2 3 2 4 2" xfId="33606" xr:uid="{00000000-0005-0000-0000-0000D2A60000}"/>
    <cellStyle name="Normal 8 7 2 3 2 5" xfId="26165" xr:uid="{00000000-0005-0000-0000-0000D3A60000}"/>
    <cellStyle name="Normal 8 7 2 3 3" xfId="5390" xr:uid="{00000000-0005-0000-0000-0000D4A60000}"/>
    <cellStyle name="Normal 8 7 2 3 3 2" xfId="20274" xr:uid="{00000000-0005-0000-0000-0000D5A60000}"/>
    <cellStyle name="Normal 8 7 2 3 3 2 2" xfId="42917" xr:uid="{00000000-0005-0000-0000-0000D6A60000}"/>
    <cellStyle name="Normal 8 7 2 3 3 3" xfId="12834" xr:uid="{00000000-0005-0000-0000-0000D7A60000}"/>
    <cellStyle name="Normal 8 7 2 3 3 3 2" xfId="35477" xr:uid="{00000000-0005-0000-0000-0000D8A60000}"/>
    <cellStyle name="Normal 8 7 2 3 3 4" xfId="28036" xr:uid="{00000000-0005-0000-0000-0000D9A60000}"/>
    <cellStyle name="Normal 8 7 2 3 4" xfId="16556" xr:uid="{00000000-0005-0000-0000-0000DAA60000}"/>
    <cellStyle name="Normal 8 7 2 3 4 2" xfId="39199" xr:uid="{00000000-0005-0000-0000-0000DBA60000}"/>
    <cellStyle name="Normal 8 7 2 3 5" xfId="9116" xr:uid="{00000000-0005-0000-0000-0000DCA60000}"/>
    <cellStyle name="Normal 8 7 2 3 5 2" xfId="31759" xr:uid="{00000000-0005-0000-0000-0000DDA60000}"/>
    <cellStyle name="Normal 8 7 2 3 6" xfId="24318" xr:uid="{00000000-0005-0000-0000-0000DEA60000}"/>
    <cellStyle name="Normal 8 7 2 4" xfId="2591" xr:uid="{00000000-0005-0000-0000-0000DFA60000}"/>
    <cellStyle name="Normal 8 7 2 4 2" xfId="6312" xr:uid="{00000000-0005-0000-0000-0000E0A60000}"/>
    <cellStyle name="Normal 8 7 2 4 2 2" xfId="21196" xr:uid="{00000000-0005-0000-0000-0000E1A60000}"/>
    <cellStyle name="Normal 8 7 2 4 2 2 2" xfId="43839" xr:uid="{00000000-0005-0000-0000-0000E2A60000}"/>
    <cellStyle name="Normal 8 7 2 4 2 3" xfId="13756" xr:uid="{00000000-0005-0000-0000-0000E3A60000}"/>
    <cellStyle name="Normal 8 7 2 4 2 3 2" xfId="36399" xr:uid="{00000000-0005-0000-0000-0000E4A60000}"/>
    <cellStyle name="Normal 8 7 2 4 2 4" xfId="28958" xr:uid="{00000000-0005-0000-0000-0000E5A60000}"/>
    <cellStyle name="Normal 8 7 2 4 3" xfId="17478" xr:uid="{00000000-0005-0000-0000-0000E6A60000}"/>
    <cellStyle name="Normal 8 7 2 4 3 2" xfId="40121" xr:uid="{00000000-0005-0000-0000-0000E7A60000}"/>
    <cellStyle name="Normal 8 7 2 4 4" xfId="10038" xr:uid="{00000000-0005-0000-0000-0000E8A60000}"/>
    <cellStyle name="Normal 8 7 2 4 4 2" xfId="32681" xr:uid="{00000000-0005-0000-0000-0000E9A60000}"/>
    <cellStyle name="Normal 8 7 2 4 5" xfId="25240" xr:uid="{00000000-0005-0000-0000-0000EAA60000}"/>
    <cellStyle name="Normal 8 7 2 5" xfId="4465" xr:uid="{00000000-0005-0000-0000-0000EBA60000}"/>
    <cellStyle name="Normal 8 7 2 5 2" xfId="19349" xr:uid="{00000000-0005-0000-0000-0000ECA60000}"/>
    <cellStyle name="Normal 8 7 2 5 2 2" xfId="41992" xr:uid="{00000000-0005-0000-0000-0000EDA60000}"/>
    <cellStyle name="Normal 8 7 2 5 3" xfId="11909" xr:uid="{00000000-0005-0000-0000-0000EEA60000}"/>
    <cellStyle name="Normal 8 7 2 5 3 2" xfId="34552" xr:uid="{00000000-0005-0000-0000-0000EFA60000}"/>
    <cellStyle name="Normal 8 7 2 5 4" xfId="27111" xr:uid="{00000000-0005-0000-0000-0000F0A60000}"/>
    <cellStyle name="Normal 8 7 2 6" xfId="15631" xr:uid="{00000000-0005-0000-0000-0000F1A60000}"/>
    <cellStyle name="Normal 8 7 2 6 2" xfId="38274" xr:uid="{00000000-0005-0000-0000-0000F2A60000}"/>
    <cellStyle name="Normal 8 7 2 7" xfId="8191" xr:uid="{00000000-0005-0000-0000-0000F3A60000}"/>
    <cellStyle name="Normal 8 7 2 7 2" xfId="30834" xr:uid="{00000000-0005-0000-0000-0000F4A60000}"/>
    <cellStyle name="Normal 8 7 2 8" xfId="23393" xr:uid="{00000000-0005-0000-0000-0000F5A60000}"/>
    <cellStyle name="Normal 8 7 3" xfId="989" xr:uid="{00000000-0005-0000-0000-0000F6A60000}"/>
    <cellStyle name="Normal 8 7 3 2" xfId="1917" xr:uid="{00000000-0005-0000-0000-0000F7A60000}"/>
    <cellStyle name="Normal 8 7 3 2 2" xfId="3767" xr:uid="{00000000-0005-0000-0000-0000F8A60000}"/>
    <cellStyle name="Normal 8 7 3 2 2 2" xfId="7488" xr:uid="{00000000-0005-0000-0000-0000F9A60000}"/>
    <cellStyle name="Normal 8 7 3 2 2 2 2" xfId="22372" xr:uid="{00000000-0005-0000-0000-0000FAA60000}"/>
    <cellStyle name="Normal 8 7 3 2 2 2 2 2" xfId="45015" xr:uid="{00000000-0005-0000-0000-0000FBA60000}"/>
    <cellStyle name="Normal 8 7 3 2 2 2 3" xfId="14932" xr:uid="{00000000-0005-0000-0000-0000FCA60000}"/>
    <cellStyle name="Normal 8 7 3 2 2 2 3 2" xfId="37575" xr:uid="{00000000-0005-0000-0000-0000FDA60000}"/>
    <cellStyle name="Normal 8 7 3 2 2 2 4" xfId="30134" xr:uid="{00000000-0005-0000-0000-0000FEA60000}"/>
    <cellStyle name="Normal 8 7 3 2 2 3" xfId="18654" xr:uid="{00000000-0005-0000-0000-0000FFA60000}"/>
    <cellStyle name="Normal 8 7 3 2 2 3 2" xfId="41297" xr:uid="{00000000-0005-0000-0000-000000A70000}"/>
    <cellStyle name="Normal 8 7 3 2 2 4" xfId="11214" xr:uid="{00000000-0005-0000-0000-000001A70000}"/>
    <cellStyle name="Normal 8 7 3 2 2 4 2" xfId="33857" xr:uid="{00000000-0005-0000-0000-000002A70000}"/>
    <cellStyle name="Normal 8 7 3 2 2 5" xfId="26416" xr:uid="{00000000-0005-0000-0000-000003A70000}"/>
    <cellStyle name="Normal 8 7 3 2 3" xfId="5641" xr:uid="{00000000-0005-0000-0000-000004A70000}"/>
    <cellStyle name="Normal 8 7 3 2 3 2" xfId="20525" xr:uid="{00000000-0005-0000-0000-000005A70000}"/>
    <cellStyle name="Normal 8 7 3 2 3 2 2" xfId="43168" xr:uid="{00000000-0005-0000-0000-000006A70000}"/>
    <cellStyle name="Normal 8 7 3 2 3 3" xfId="13085" xr:uid="{00000000-0005-0000-0000-000007A70000}"/>
    <cellStyle name="Normal 8 7 3 2 3 3 2" xfId="35728" xr:uid="{00000000-0005-0000-0000-000008A70000}"/>
    <cellStyle name="Normal 8 7 3 2 3 4" xfId="28287" xr:uid="{00000000-0005-0000-0000-000009A70000}"/>
    <cellStyle name="Normal 8 7 3 2 4" xfId="16807" xr:uid="{00000000-0005-0000-0000-00000AA70000}"/>
    <cellStyle name="Normal 8 7 3 2 4 2" xfId="39450" xr:uid="{00000000-0005-0000-0000-00000BA70000}"/>
    <cellStyle name="Normal 8 7 3 2 5" xfId="9367" xr:uid="{00000000-0005-0000-0000-00000CA70000}"/>
    <cellStyle name="Normal 8 7 3 2 5 2" xfId="32010" xr:uid="{00000000-0005-0000-0000-00000DA70000}"/>
    <cellStyle name="Normal 8 7 3 2 6" xfId="24569" xr:uid="{00000000-0005-0000-0000-00000EA70000}"/>
    <cellStyle name="Normal 8 7 3 3" xfId="2842" xr:uid="{00000000-0005-0000-0000-00000FA70000}"/>
    <cellStyle name="Normal 8 7 3 3 2" xfId="6563" xr:uid="{00000000-0005-0000-0000-000010A70000}"/>
    <cellStyle name="Normal 8 7 3 3 2 2" xfId="21447" xr:uid="{00000000-0005-0000-0000-000011A70000}"/>
    <cellStyle name="Normal 8 7 3 3 2 2 2" xfId="44090" xr:uid="{00000000-0005-0000-0000-000012A70000}"/>
    <cellStyle name="Normal 8 7 3 3 2 3" xfId="14007" xr:uid="{00000000-0005-0000-0000-000013A70000}"/>
    <cellStyle name="Normal 8 7 3 3 2 3 2" xfId="36650" xr:uid="{00000000-0005-0000-0000-000014A70000}"/>
    <cellStyle name="Normal 8 7 3 3 2 4" xfId="29209" xr:uid="{00000000-0005-0000-0000-000015A70000}"/>
    <cellStyle name="Normal 8 7 3 3 3" xfId="17729" xr:uid="{00000000-0005-0000-0000-000016A70000}"/>
    <cellStyle name="Normal 8 7 3 3 3 2" xfId="40372" xr:uid="{00000000-0005-0000-0000-000017A70000}"/>
    <cellStyle name="Normal 8 7 3 3 4" xfId="10289" xr:uid="{00000000-0005-0000-0000-000018A70000}"/>
    <cellStyle name="Normal 8 7 3 3 4 2" xfId="32932" xr:uid="{00000000-0005-0000-0000-000019A70000}"/>
    <cellStyle name="Normal 8 7 3 3 5" xfId="25491" xr:uid="{00000000-0005-0000-0000-00001AA70000}"/>
    <cellStyle name="Normal 8 7 3 4" xfId="4716" xr:uid="{00000000-0005-0000-0000-00001BA70000}"/>
    <cellStyle name="Normal 8 7 3 4 2" xfId="19600" xr:uid="{00000000-0005-0000-0000-00001CA70000}"/>
    <cellStyle name="Normal 8 7 3 4 2 2" xfId="42243" xr:uid="{00000000-0005-0000-0000-00001DA70000}"/>
    <cellStyle name="Normal 8 7 3 4 3" xfId="12160" xr:uid="{00000000-0005-0000-0000-00001EA70000}"/>
    <cellStyle name="Normal 8 7 3 4 3 2" xfId="34803" xr:uid="{00000000-0005-0000-0000-00001FA70000}"/>
    <cellStyle name="Normal 8 7 3 4 4" xfId="27362" xr:uid="{00000000-0005-0000-0000-000020A70000}"/>
    <cellStyle name="Normal 8 7 3 5" xfId="15882" xr:uid="{00000000-0005-0000-0000-000021A70000}"/>
    <cellStyle name="Normal 8 7 3 5 2" xfId="38525" xr:uid="{00000000-0005-0000-0000-000022A70000}"/>
    <cellStyle name="Normal 8 7 3 6" xfId="8442" xr:uid="{00000000-0005-0000-0000-000023A70000}"/>
    <cellStyle name="Normal 8 7 3 6 2" xfId="31085" xr:uid="{00000000-0005-0000-0000-000024A70000}"/>
    <cellStyle name="Normal 8 7 3 7" xfId="23644" xr:uid="{00000000-0005-0000-0000-000025A70000}"/>
    <cellStyle name="Normal 8 7 4" xfId="1455" xr:uid="{00000000-0005-0000-0000-000026A70000}"/>
    <cellStyle name="Normal 8 7 4 2" xfId="3305" xr:uid="{00000000-0005-0000-0000-000027A70000}"/>
    <cellStyle name="Normal 8 7 4 2 2" xfId="7026" xr:uid="{00000000-0005-0000-0000-000028A70000}"/>
    <cellStyle name="Normal 8 7 4 2 2 2" xfId="21910" xr:uid="{00000000-0005-0000-0000-000029A70000}"/>
    <cellStyle name="Normal 8 7 4 2 2 2 2" xfId="44553" xr:uid="{00000000-0005-0000-0000-00002AA70000}"/>
    <cellStyle name="Normal 8 7 4 2 2 3" xfId="14470" xr:uid="{00000000-0005-0000-0000-00002BA70000}"/>
    <cellStyle name="Normal 8 7 4 2 2 3 2" xfId="37113" xr:uid="{00000000-0005-0000-0000-00002CA70000}"/>
    <cellStyle name="Normal 8 7 4 2 2 4" xfId="29672" xr:uid="{00000000-0005-0000-0000-00002DA70000}"/>
    <cellStyle name="Normal 8 7 4 2 3" xfId="18192" xr:uid="{00000000-0005-0000-0000-00002EA70000}"/>
    <cellStyle name="Normal 8 7 4 2 3 2" xfId="40835" xr:uid="{00000000-0005-0000-0000-00002FA70000}"/>
    <cellStyle name="Normal 8 7 4 2 4" xfId="10752" xr:uid="{00000000-0005-0000-0000-000030A70000}"/>
    <cellStyle name="Normal 8 7 4 2 4 2" xfId="33395" xr:uid="{00000000-0005-0000-0000-000031A70000}"/>
    <cellStyle name="Normal 8 7 4 2 5" xfId="25954" xr:uid="{00000000-0005-0000-0000-000032A70000}"/>
    <cellStyle name="Normal 8 7 4 3" xfId="5179" xr:uid="{00000000-0005-0000-0000-000033A70000}"/>
    <cellStyle name="Normal 8 7 4 3 2" xfId="20063" xr:uid="{00000000-0005-0000-0000-000034A70000}"/>
    <cellStyle name="Normal 8 7 4 3 2 2" xfId="42706" xr:uid="{00000000-0005-0000-0000-000035A70000}"/>
    <cellStyle name="Normal 8 7 4 3 3" xfId="12623" xr:uid="{00000000-0005-0000-0000-000036A70000}"/>
    <cellStyle name="Normal 8 7 4 3 3 2" xfId="35266" xr:uid="{00000000-0005-0000-0000-000037A70000}"/>
    <cellStyle name="Normal 8 7 4 3 4" xfId="27825" xr:uid="{00000000-0005-0000-0000-000038A70000}"/>
    <cellStyle name="Normal 8 7 4 4" xfId="16345" xr:uid="{00000000-0005-0000-0000-000039A70000}"/>
    <cellStyle name="Normal 8 7 4 4 2" xfId="38988" xr:uid="{00000000-0005-0000-0000-00003AA70000}"/>
    <cellStyle name="Normal 8 7 4 5" xfId="8905" xr:uid="{00000000-0005-0000-0000-00003BA70000}"/>
    <cellStyle name="Normal 8 7 4 5 2" xfId="31548" xr:uid="{00000000-0005-0000-0000-00003CA70000}"/>
    <cellStyle name="Normal 8 7 4 6" xfId="24107" xr:uid="{00000000-0005-0000-0000-00003DA70000}"/>
    <cellStyle name="Normal 8 7 5" xfId="2380" xr:uid="{00000000-0005-0000-0000-00003EA70000}"/>
    <cellStyle name="Normal 8 7 5 2" xfId="6101" xr:uid="{00000000-0005-0000-0000-00003FA70000}"/>
    <cellStyle name="Normal 8 7 5 2 2" xfId="20985" xr:uid="{00000000-0005-0000-0000-000040A70000}"/>
    <cellStyle name="Normal 8 7 5 2 2 2" xfId="43628" xr:uid="{00000000-0005-0000-0000-000041A70000}"/>
    <cellStyle name="Normal 8 7 5 2 3" xfId="13545" xr:uid="{00000000-0005-0000-0000-000042A70000}"/>
    <cellStyle name="Normal 8 7 5 2 3 2" xfId="36188" xr:uid="{00000000-0005-0000-0000-000043A70000}"/>
    <cellStyle name="Normal 8 7 5 2 4" xfId="28747" xr:uid="{00000000-0005-0000-0000-000044A70000}"/>
    <cellStyle name="Normal 8 7 5 3" xfId="17267" xr:uid="{00000000-0005-0000-0000-000045A70000}"/>
    <cellStyle name="Normal 8 7 5 3 2" xfId="39910" xr:uid="{00000000-0005-0000-0000-000046A70000}"/>
    <cellStyle name="Normal 8 7 5 4" xfId="9827" xr:uid="{00000000-0005-0000-0000-000047A70000}"/>
    <cellStyle name="Normal 8 7 5 4 2" xfId="32470" xr:uid="{00000000-0005-0000-0000-000048A70000}"/>
    <cellStyle name="Normal 8 7 5 5" xfId="25029" xr:uid="{00000000-0005-0000-0000-000049A70000}"/>
    <cellStyle name="Normal 8 7 6" xfId="4254" xr:uid="{00000000-0005-0000-0000-00004AA70000}"/>
    <cellStyle name="Normal 8 7 6 2" xfId="19138" xr:uid="{00000000-0005-0000-0000-00004BA70000}"/>
    <cellStyle name="Normal 8 7 6 2 2" xfId="41781" xr:uid="{00000000-0005-0000-0000-00004CA70000}"/>
    <cellStyle name="Normal 8 7 6 3" xfId="11698" xr:uid="{00000000-0005-0000-0000-00004DA70000}"/>
    <cellStyle name="Normal 8 7 6 3 2" xfId="34341" xr:uid="{00000000-0005-0000-0000-00004EA70000}"/>
    <cellStyle name="Normal 8 7 6 4" xfId="26900" xr:uid="{00000000-0005-0000-0000-00004FA70000}"/>
    <cellStyle name="Normal 8 7 7" xfId="15420" xr:uid="{00000000-0005-0000-0000-000050A70000}"/>
    <cellStyle name="Normal 8 7 7 2" xfId="38063" xr:uid="{00000000-0005-0000-0000-000051A70000}"/>
    <cellStyle name="Normal 8 7 8" xfId="7980" xr:uid="{00000000-0005-0000-0000-000052A70000}"/>
    <cellStyle name="Normal 8 7 8 2" xfId="30623" xr:uid="{00000000-0005-0000-0000-000053A70000}"/>
    <cellStyle name="Normal 8 7 9" xfId="23183" xr:uid="{00000000-0005-0000-0000-000054A70000}"/>
    <cellStyle name="Normal 8 8" xfId="629" xr:uid="{00000000-0005-0000-0000-000055A70000}"/>
    <cellStyle name="Normal 8 8 2" xfId="1095" xr:uid="{00000000-0005-0000-0000-000056A70000}"/>
    <cellStyle name="Normal 8 8 2 2" xfId="2023" xr:uid="{00000000-0005-0000-0000-000057A70000}"/>
    <cellStyle name="Normal 8 8 2 2 2" xfId="3873" xr:uid="{00000000-0005-0000-0000-000058A70000}"/>
    <cellStyle name="Normal 8 8 2 2 2 2" xfId="7594" xr:uid="{00000000-0005-0000-0000-000059A70000}"/>
    <cellStyle name="Normal 8 8 2 2 2 2 2" xfId="22478" xr:uid="{00000000-0005-0000-0000-00005AA70000}"/>
    <cellStyle name="Normal 8 8 2 2 2 2 2 2" xfId="45121" xr:uid="{00000000-0005-0000-0000-00005BA70000}"/>
    <cellStyle name="Normal 8 8 2 2 2 2 3" xfId="15038" xr:uid="{00000000-0005-0000-0000-00005CA70000}"/>
    <cellStyle name="Normal 8 8 2 2 2 2 3 2" xfId="37681" xr:uid="{00000000-0005-0000-0000-00005DA70000}"/>
    <cellStyle name="Normal 8 8 2 2 2 2 4" xfId="30240" xr:uid="{00000000-0005-0000-0000-00005EA70000}"/>
    <cellStyle name="Normal 8 8 2 2 2 3" xfId="18760" xr:uid="{00000000-0005-0000-0000-00005FA70000}"/>
    <cellStyle name="Normal 8 8 2 2 2 3 2" xfId="41403" xr:uid="{00000000-0005-0000-0000-000060A70000}"/>
    <cellStyle name="Normal 8 8 2 2 2 4" xfId="11320" xr:uid="{00000000-0005-0000-0000-000061A70000}"/>
    <cellStyle name="Normal 8 8 2 2 2 4 2" xfId="33963" xr:uid="{00000000-0005-0000-0000-000062A70000}"/>
    <cellStyle name="Normal 8 8 2 2 2 5" xfId="26522" xr:uid="{00000000-0005-0000-0000-000063A70000}"/>
    <cellStyle name="Normal 8 8 2 2 3" xfId="5747" xr:uid="{00000000-0005-0000-0000-000064A70000}"/>
    <cellStyle name="Normal 8 8 2 2 3 2" xfId="20631" xr:uid="{00000000-0005-0000-0000-000065A70000}"/>
    <cellStyle name="Normal 8 8 2 2 3 2 2" xfId="43274" xr:uid="{00000000-0005-0000-0000-000066A70000}"/>
    <cellStyle name="Normal 8 8 2 2 3 3" xfId="13191" xr:uid="{00000000-0005-0000-0000-000067A70000}"/>
    <cellStyle name="Normal 8 8 2 2 3 3 2" xfId="35834" xr:uid="{00000000-0005-0000-0000-000068A70000}"/>
    <cellStyle name="Normal 8 8 2 2 3 4" xfId="28393" xr:uid="{00000000-0005-0000-0000-000069A70000}"/>
    <cellStyle name="Normal 8 8 2 2 4" xfId="16913" xr:uid="{00000000-0005-0000-0000-00006AA70000}"/>
    <cellStyle name="Normal 8 8 2 2 4 2" xfId="39556" xr:uid="{00000000-0005-0000-0000-00006BA70000}"/>
    <cellStyle name="Normal 8 8 2 2 5" xfId="9473" xr:uid="{00000000-0005-0000-0000-00006CA70000}"/>
    <cellStyle name="Normal 8 8 2 2 5 2" xfId="32116" xr:uid="{00000000-0005-0000-0000-00006DA70000}"/>
    <cellStyle name="Normal 8 8 2 2 6" xfId="24675" xr:uid="{00000000-0005-0000-0000-00006EA70000}"/>
    <cellStyle name="Normal 8 8 2 3" xfId="2948" xr:uid="{00000000-0005-0000-0000-00006FA70000}"/>
    <cellStyle name="Normal 8 8 2 3 2" xfId="6669" xr:uid="{00000000-0005-0000-0000-000070A70000}"/>
    <cellStyle name="Normal 8 8 2 3 2 2" xfId="21553" xr:uid="{00000000-0005-0000-0000-000071A70000}"/>
    <cellStyle name="Normal 8 8 2 3 2 2 2" xfId="44196" xr:uid="{00000000-0005-0000-0000-000072A70000}"/>
    <cellStyle name="Normal 8 8 2 3 2 3" xfId="14113" xr:uid="{00000000-0005-0000-0000-000073A70000}"/>
    <cellStyle name="Normal 8 8 2 3 2 3 2" xfId="36756" xr:uid="{00000000-0005-0000-0000-000074A70000}"/>
    <cellStyle name="Normal 8 8 2 3 2 4" xfId="29315" xr:uid="{00000000-0005-0000-0000-000075A70000}"/>
    <cellStyle name="Normal 8 8 2 3 3" xfId="17835" xr:uid="{00000000-0005-0000-0000-000076A70000}"/>
    <cellStyle name="Normal 8 8 2 3 3 2" xfId="40478" xr:uid="{00000000-0005-0000-0000-000077A70000}"/>
    <cellStyle name="Normal 8 8 2 3 4" xfId="10395" xr:uid="{00000000-0005-0000-0000-000078A70000}"/>
    <cellStyle name="Normal 8 8 2 3 4 2" xfId="33038" xr:uid="{00000000-0005-0000-0000-000079A70000}"/>
    <cellStyle name="Normal 8 8 2 3 5" xfId="25597" xr:uid="{00000000-0005-0000-0000-00007AA70000}"/>
    <cellStyle name="Normal 8 8 2 4" xfId="4822" xr:uid="{00000000-0005-0000-0000-00007BA70000}"/>
    <cellStyle name="Normal 8 8 2 4 2" xfId="19706" xr:uid="{00000000-0005-0000-0000-00007CA70000}"/>
    <cellStyle name="Normal 8 8 2 4 2 2" xfId="42349" xr:uid="{00000000-0005-0000-0000-00007DA70000}"/>
    <cellStyle name="Normal 8 8 2 4 3" xfId="12266" xr:uid="{00000000-0005-0000-0000-00007EA70000}"/>
    <cellStyle name="Normal 8 8 2 4 3 2" xfId="34909" xr:uid="{00000000-0005-0000-0000-00007FA70000}"/>
    <cellStyle name="Normal 8 8 2 4 4" xfId="27468" xr:uid="{00000000-0005-0000-0000-000080A70000}"/>
    <cellStyle name="Normal 8 8 2 5" xfId="15988" xr:uid="{00000000-0005-0000-0000-000081A70000}"/>
    <cellStyle name="Normal 8 8 2 5 2" xfId="38631" xr:uid="{00000000-0005-0000-0000-000082A70000}"/>
    <cellStyle name="Normal 8 8 2 6" xfId="8548" xr:uid="{00000000-0005-0000-0000-000083A70000}"/>
    <cellStyle name="Normal 8 8 2 6 2" xfId="31191" xr:uid="{00000000-0005-0000-0000-000084A70000}"/>
    <cellStyle name="Normal 8 8 2 7" xfId="23750" xr:uid="{00000000-0005-0000-0000-000085A70000}"/>
    <cellStyle name="Normal 8 8 3" xfId="1561" xr:uid="{00000000-0005-0000-0000-000086A70000}"/>
    <cellStyle name="Normal 8 8 3 2" xfId="3411" xr:uid="{00000000-0005-0000-0000-000087A70000}"/>
    <cellStyle name="Normal 8 8 3 2 2" xfId="7132" xr:uid="{00000000-0005-0000-0000-000088A70000}"/>
    <cellStyle name="Normal 8 8 3 2 2 2" xfId="22016" xr:uid="{00000000-0005-0000-0000-000089A70000}"/>
    <cellStyle name="Normal 8 8 3 2 2 2 2" xfId="44659" xr:uid="{00000000-0005-0000-0000-00008AA70000}"/>
    <cellStyle name="Normal 8 8 3 2 2 3" xfId="14576" xr:uid="{00000000-0005-0000-0000-00008BA70000}"/>
    <cellStyle name="Normal 8 8 3 2 2 3 2" xfId="37219" xr:uid="{00000000-0005-0000-0000-00008CA70000}"/>
    <cellStyle name="Normal 8 8 3 2 2 4" xfId="29778" xr:uid="{00000000-0005-0000-0000-00008DA70000}"/>
    <cellStyle name="Normal 8 8 3 2 3" xfId="18298" xr:uid="{00000000-0005-0000-0000-00008EA70000}"/>
    <cellStyle name="Normal 8 8 3 2 3 2" xfId="40941" xr:uid="{00000000-0005-0000-0000-00008FA70000}"/>
    <cellStyle name="Normal 8 8 3 2 4" xfId="10858" xr:uid="{00000000-0005-0000-0000-000090A70000}"/>
    <cellStyle name="Normal 8 8 3 2 4 2" xfId="33501" xr:uid="{00000000-0005-0000-0000-000091A70000}"/>
    <cellStyle name="Normal 8 8 3 2 5" xfId="26060" xr:uid="{00000000-0005-0000-0000-000092A70000}"/>
    <cellStyle name="Normal 8 8 3 3" xfId="5285" xr:uid="{00000000-0005-0000-0000-000093A70000}"/>
    <cellStyle name="Normal 8 8 3 3 2" xfId="20169" xr:uid="{00000000-0005-0000-0000-000094A70000}"/>
    <cellStyle name="Normal 8 8 3 3 2 2" xfId="42812" xr:uid="{00000000-0005-0000-0000-000095A70000}"/>
    <cellStyle name="Normal 8 8 3 3 3" xfId="12729" xr:uid="{00000000-0005-0000-0000-000096A70000}"/>
    <cellStyle name="Normal 8 8 3 3 3 2" xfId="35372" xr:uid="{00000000-0005-0000-0000-000097A70000}"/>
    <cellStyle name="Normal 8 8 3 3 4" xfId="27931" xr:uid="{00000000-0005-0000-0000-000098A70000}"/>
    <cellStyle name="Normal 8 8 3 4" xfId="16451" xr:uid="{00000000-0005-0000-0000-000099A70000}"/>
    <cellStyle name="Normal 8 8 3 4 2" xfId="39094" xr:uid="{00000000-0005-0000-0000-00009AA70000}"/>
    <cellStyle name="Normal 8 8 3 5" xfId="9011" xr:uid="{00000000-0005-0000-0000-00009BA70000}"/>
    <cellStyle name="Normal 8 8 3 5 2" xfId="31654" xr:uid="{00000000-0005-0000-0000-00009CA70000}"/>
    <cellStyle name="Normal 8 8 3 6" xfId="24213" xr:uid="{00000000-0005-0000-0000-00009DA70000}"/>
    <cellStyle name="Normal 8 8 4" xfId="2486" xr:uid="{00000000-0005-0000-0000-00009EA70000}"/>
    <cellStyle name="Normal 8 8 4 2" xfId="6207" xr:uid="{00000000-0005-0000-0000-00009FA70000}"/>
    <cellStyle name="Normal 8 8 4 2 2" xfId="21091" xr:uid="{00000000-0005-0000-0000-0000A0A70000}"/>
    <cellStyle name="Normal 8 8 4 2 2 2" xfId="43734" xr:uid="{00000000-0005-0000-0000-0000A1A70000}"/>
    <cellStyle name="Normal 8 8 4 2 3" xfId="13651" xr:uid="{00000000-0005-0000-0000-0000A2A70000}"/>
    <cellStyle name="Normal 8 8 4 2 3 2" xfId="36294" xr:uid="{00000000-0005-0000-0000-0000A3A70000}"/>
    <cellStyle name="Normal 8 8 4 2 4" xfId="28853" xr:uid="{00000000-0005-0000-0000-0000A4A70000}"/>
    <cellStyle name="Normal 8 8 4 3" xfId="17373" xr:uid="{00000000-0005-0000-0000-0000A5A70000}"/>
    <cellStyle name="Normal 8 8 4 3 2" xfId="40016" xr:uid="{00000000-0005-0000-0000-0000A6A70000}"/>
    <cellStyle name="Normal 8 8 4 4" xfId="9933" xr:uid="{00000000-0005-0000-0000-0000A7A70000}"/>
    <cellStyle name="Normal 8 8 4 4 2" xfId="32576" xr:uid="{00000000-0005-0000-0000-0000A8A70000}"/>
    <cellStyle name="Normal 8 8 4 5" xfId="25135" xr:uid="{00000000-0005-0000-0000-0000A9A70000}"/>
    <cellStyle name="Normal 8 8 5" xfId="4360" xr:uid="{00000000-0005-0000-0000-0000AAA70000}"/>
    <cellStyle name="Normal 8 8 5 2" xfId="19244" xr:uid="{00000000-0005-0000-0000-0000ABA70000}"/>
    <cellStyle name="Normal 8 8 5 2 2" xfId="41887" xr:uid="{00000000-0005-0000-0000-0000ACA70000}"/>
    <cellStyle name="Normal 8 8 5 3" xfId="11804" xr:uid="{00000000-0005-0000-0000-0000ADA70000}"/>
    <cellStyle name="Normal 8 8 5 3 2" xfId="34447" xr:uid="{00000000-0005-0000-0000-0000AEA70000}"/>
    <cellStyle name="Normal 8 8 5 4" xfId="27006" xr:uid="{00000000-0005-0000-0000-0000AFA70000}"/>
    <cellStyle name="Normal 8 8 6" xfId="15526" xr:uid="{00000000-0005-0000-0000-0000B0A70000}"/>
    <cellStyle name="Normal 8 8 6 2" xfId="38169" xr:uid="{00000000-0005-0000-0000-0000B1A70000}"/>
    <cellStyle name="Normal 8 8 7" xfId="8086" xr:uid="{00000000-0005-0000-0000-0000B2A70000}"/>
    <cellStyle name="Normal 8 8 7 2" xfId="30729" xr:uid="{00000000-0005-0000-0000-0000B3A70000}"/>
    <cellStyle name="Normal 8 8 8" xfId="23288" xr:uid="{00000000-0005-0000-0000-0000B4A70000}"/>
    <cellStyle name="Normal 8 9" xfId="884" xr:uid="{00000000-0005-0000-0000-0000B5A70000}"/>
    <cellStyle name="Normal 8 9 2" xfId="1812" xr:uid="{00000000-0005-0000-0000-0000B6A70000}"/>
    <cellStyle name="Normal 8 9 2 2" xfId="3662" xr:uid="{00000000-0005-0000-0000-0000B7A70000}"/>
    <cellStyle name="Normal 8 9 2 2 2" xfId="7383" xr:uid="{00000000-0005-0000-0000-0000B8A70000}"/>
    <cellStyle name="Normal 8 9 2 2 2 2" xfId="22267" xr:uid="{00000000-0005-0000-0000-0000B9A70000}"/>
    <cellStyle name="Normal 8 9 2 2 2 2 2" xfId="44910" xr:uid="{00000000-0005-0000-0000-0000BAA70000}"/>
    <cellStyle name="Normal 8 9 2 2 2 3" xfId="14827" xr:uid="{00000000-0005-0000-0000-0000BBA70000}"/>
    <cellStyle name="Normal 8 9 2 2 2 3 2" xfId="37470" xr:uid="{00000000-0005-0000-0000-0000BCA70000}"/>
    <cellStyle name="Normal 8 9 2 2 2 4" xfId="30029" xr:uid="{00000000-0005-0000-0000-0000BDA70000}"/>
    <cellStyle name="Normal 8 9 2 2 3" xfId="18549" xr:uid="{00000000-0005-0000-0000-0000BEA70000}"/>
    <cellStyle name="Normal 8 9 2 2 3 2" xfId="41192" xr:uid="{00000000-0005-0000-0000-0000BFA70000}"/>
    <cellStyle name="Normal 8 9 2 2 4" xfId="11109" xr:uid="{00000000-0005-0000-0000-0000C0A70000}"/>
    <cellStyle name="Normal 8 9 2 2 4 2" xfId="33752" xr:uid="{00000000-0005-0000-0000-0000C1A70000}"/>
    <cellStyle name="Normal 8 9 2 2 5" xfId="26311" xr:uid="{00000000-0005-0000-0000-0000C2A70000}"/>
    <cellStyle name="Normal 8 9 2 3" xfId="5536" xr:uid="{00000000-0005-0000-0000-0000C3A70000}"/>
    <cellStyle name="Normal 8 9 2 3 2" xfId="20420" xr:uid="{00000000-0005-0000-0000-0000C4A70000}"/>
    <cellStyle name="Normal 8 9 2 3 2 2" xfId="43063" xr:uid="{00000000-0005-0000-0000-0000C5A70000}"/>
    <cellStyle name="Normal 8 9 2 3 3" xfId="12980" xr:uid="{00000000-0005-0000-0000-0000C6A70000}"/>
    <cellStyle name="Normal 8 9 2 3 3 2" xfId="35623" xr:uid="{00000000-0005-0000-0000-0000C7A70000}"/>
    <cellStyle name="Normal 8 9 2 3 4" xfId="28182" xr:uid="{00000000-0005-0000-0000-0000C8A70000}"/>
    <cellStyle name="Normal 8 9 2 4" xfId="16702" xr:uid="{00000000-0005-0000-0000-0000C9A70000}"/>
    <cellStyle name="Normal 8 9 2 4 2" xfId="39345" xr:uid="{00000000-0005-0000-0000-0000CAA70000}"/>
    <cellStyle name="Normal 8 9 2 5" xfId="9262" xr:uid="{00000000-0005-0000-0000-0000CBA70000}"/>
    <cellStyle name="Normal 8 9 2 5 2" xfId="31905" xr:uid="{00000000-0005-0000-0000-0000CCA70000}"/>
    <cellStyle name="Normal 8 9 2 6" xfId="24464" xr:uid="{00000000-0005-0000-0000-0000CDA70000}"/>
    <cellStyle name="Normal 8 9 3" xfId="2737" xr:uid="{00000000-0005-0000-0000-0000CEA70000}"/>
    <cellStyle name="Normal 8 9 3 2" xfId="6458" xr:uid="{00000000-0005-0000-0000-0000CFA70000}"/>
    <cellStyle name="Normal 8 9 3 2 2" xfId="21342" xr:uid="{00000000-0005-0000-0000-0000D0A70000}"/>
    <cellStyle name="Normal 8 9 3 2 2 2" xfId="43985" xr:uid="{00000000-0005-0000-0000-0000D1A70000}"/>
    <cellStyle name="Normal 8 9 3 2 3" xfId="13902" xr:uid="{00000000-0005-0000-0000-0000D2A70000}"/>
    <cellStyle name="Normal 8 9 3 2 3 2" xfId="36545" xr:uid="{00000000-0005-0000-0000-0000D3A70000}"/>
    <cellStyle name="Normal 8 9 3 2 4" xfId="29104" xr:uid="{00000000-0005-0000-0000-0000D4A70000}"/>
    <cellStyle name="Normal 8 9 3 3" xfId="17624" xr:uid="{00000000-0005-0000-0000-0000D5A70000}"/>
    <cellStyle name="Normal 8 9 3 3 2" xfId="40267" xr:uid="{00000000-0005-0000-0000-0000D6A70000}"/>
    <cellStyle name="Normal 8 9 3 4" xfId="10184" xr:uid="{00000000-0005-0000-0000-0000D7A70000}"/>
    <cellStyle name="Normal 8 9 3 4 2" xfId="32827" xr:uid="{00000000-0005-0000-0000-0000D8A70000}"/>
    <cellStyle name="Normal 8 9 3 5" xfId="25386" xr:uid="{00000000-0005-0000-0000-0000D9A70000}"/>
    <cellStyle name="Normal 8 9 4" xfId="4611" xr:uid="{00000000-0005-0000-0000-0000DAA70000}"/>
    <cellStyle name="Normal 8 9 4 2" xfId="19495" xr:uid="{00000000-0005-0000-0000-0000DBA70000}"/>
    <cellStyle name="Normal 8 9 4 2 2" xfId="42138" xr:uid="{00000000-0005-0000-0000-0000DCA70000}"/>
    <cellStyle name="Normal 8 9 4 3" xfId="12055" xr:uid="{00000000-0005-0000-0000-0000DDA70000}"/>
    <cellStyle name="Normal 8 9 4 3 2" xfId="34698" xr:uid="{00000000-0005-0000-0000-0000DEA70000}"/>
    <cellStyle name="Normal 8 9 4 4" xfId="27257" xr:uid="{00000000-0005-0000-0000-0000DFA70000}"/>
    <cellStyle name="Normal 8 9 5" xfId="15777" xr:uid="{00000000-0005-0000-0000-0000E0A70000}"/>
    <cellStyle name="Normal 8 9 5 2" xfId="38420" xr:uid="{00000000-0005-0000-0000-0000E1A70000}"/>
    <cellStyle name="Normal 8 9 6" xfId="8337" xr:uid="{00000000-0005-0000-0000-0000E2A70000}"/>
    <cellStyle name="Normal 8 9 6 2" xfId="30980" xr:uid="{00000000-0005-0000-0000-0000E3A70000}"/>
    <cellStyle name="Normal 8 9 7" xfId="23539" xr:uid="{00000000-0005-0000-0000-0000E4A70000}"/>
    <cellStyle name="Normal 8_CALCULOS" xfId="429" xr:uid="{00000000-0005-0000-0000-0000E5A70000}"/>
    <cellStyle name="Normal 80" xfId="4120" xr:uid="{00000000-0005-0000-0000-0000E6A70000}"/>
    <cellStyle name="Normal 80 2" xfId="7841" xr:uid="{00000000-0005-0000-0000-0000E7A70000}"/>
    <cellStyle name="Normal 80 2 2" xfId="22725" xr:uid="{00000000-0005-0000-0000-0000E8A70000}"/>
    <cellStyle name="Normal 80 2 2 2" xfId="45368" xr:uid="{00000000-0005-0000-0000-0000E9A70000}"/>
    <cellStyle name="Normal 80 2 3" xfId="15285" xr:uid="{00000000-0005-0000-0000-0000EAA70000}"/>
    <cellStyle name="Normal 80 2 3 2" xfId="37928" xr:uid="{00000000-0005-0000-0000-0000EBA70000}"/>
    <cellStyle name="Normal 80 2 4" xfId="30487" xr:uid="{00000000-0005-0000-0000-0000ECA70000}"/>
    <cellStyle name="Normal 80 3" xfId="19007" xr:uid="{00000000-0005-0000-0000-0000EDA70000}"/>
    <cellStyle name="Normal 80 3 2" xfId="41650" xr:uid="{00000000-0005-0000-0000-0000EEA70000}"/>
    <cellStyle name="Normal 80 4" xfId="11567" xr:uid="{00000000-0005-0000-0000-0000EFA70000}"/>
    <cellStyle name="Normal 80 4 2" xfId="34210" xr:uid="{00000000-0005-0000-0000-0000F0A70000}"/>
    <cellStyle name="Normal 80 5" xfId="26769" xr:uid="{00000000-0005-0000-0000-0000F1A70000}"/>
    <cellStyle name="Normal 81" xfId="4121" xr:uid="{00000000-0005-0000-0000-0000F2A70000}"/>
    <cellStyle name="Normal 81 2" xfId="7842" xr:uid="{00000000-0005-0000-0000-0000F3A70000}"/>
    <cellStyle name="Normal 81 2 2" xfId="22726" xr:uid="{00000000-0005-0000-0000-0000F4A70000}"/>
    <cellStyle name="Normal 81 2 2 2" xfId="45369" xr:uid="{00000000-0005-0000-0000-0000F5A70000}"/>
    <cellStyle name="Normal 81 2 3" xfId="15286" xr:uid="{00000000-0005-0000-0000-0000F6A70000}"/>
    <cellStyle name="Normal 81 2 3 2" xfId="37929" xr:uid="{00000000-0005-0000-0000-0000F7A70000}"/>
    <cellStyle name="Normal 81 2 4" xfId="30488" xr:uid="{00000000-0005-0000-0000-0000F8A70000}"/>
    <cellStyle name="Normal 81 3" xfId="19008" xr:uid="{00000000-0005-0000-0000-0000F9A70000}"/>
    <cellStyle name="Normal 81 3 2" xfId="41651" xr:uid="{00000000-0005-0000-0000-0000FAA70000}"/>
    <cellStyle name="Normal 81 4" xfId="11568" xr:uid="{00000000-0005-0000-0000-0000FBA70000}"/>
    <cellStyle name="Normal 81 4 2" xfId="34211" xr:uid="{00000000-0005-0000-0000-0000FCA70000}"/>
    <cellStyle name="Normal 81 5" xfId="26770" xr:uid="{00000000-0005-0000-0000-0000FDA70000}"/>
    <cellStyle name="Normal 82" xfId="4122" xr:uid="{00000000-0005-0000-0000-0000FEA70000}"/>
    <cellStyle name="Normal 82 2" xfId="7843" xr:uid="{00000000-0005-0000-0000-0000FFA70000}"/>
    <cellStyle name="Normal 82 2 2" xfId="22727" xr:uid="{00000000-0005-0000-0000-000000A80000}"/>
    <cellStyle name="Normal 82 2 2 2" xfId="45370" xr:uid="{00000000-0005-0000-0000-000001A80000}"/>
    <cellStyle name="Normal 82 2 3" xfId="15287" xr:uid="{00000000-0005-0000-0000-000002A80000}"/>
    <cellStyle name="Normal 82 2 3 2" xfId="37930" xr:uid="{00000000-0005-0000-0000-000003A80000}"/>
    <cellStyle name="Normal 82 2 4" xfId="30489" xr:uid="{00000000-0005-0000-0000-000004A80000}"/>
    <cellStyle name="Normal 82 3" xfId="19009" xr:uid="{00000000-0005-0000-0000-000005A80000}"/>
    <cellStyle name="Normal 82 3 2" xfId="41652" xr:uid="{00000000-0005-0000-0000-000006A80000}"/>
    <cellStyle name="Normal 82 4" xfId="11569" xr:uid="{00000000-0005-0000-0000-000007A80000}"/>
    <cellStyle name="Normal 82 4 2" xfId="34212" xr:uid="{00000000-0005-0000-0000-000008A80000}"/>
    <cellStyle name="Normal 82 5" xfId="26771" xr:uid="{00000000-0005-0000-0000-000009A80000}"/>
    <cellStyle name="Normal 83" xfId="4123" xr:uid="{00000000-0005-0000-0000-00000AA80000}"/>
    <cellStyle name="Normal 83 2" xfId="7844" xr:uid="{00000000-0005-0000-0000-00000BA80000}"/>
    <cellStyle name="Normal 83 2 2" xfId="22728" xr:uid="{00000000-0005-0000-0000-00000CA80000}"/>
    <cellStyle name="Normal 83 2 2 2" xfId="45371" xr:uid="{00000000-0005-0000-0000-00000DA80000}"/>
    <cellStyle name="Normal 83 2 3" xfId="15288" xr:uid="{00000000-0005-0000-0000-00000EA80000}"/>
    <cellStyle name="Normal 83 2 3 2" xfId="37931" xr:uid="{00000000-0005-0000-0000-00000FA80000}"/>
    <cellStyle name="Normal 83 2 4" xfId="30490" xr:uid="{00000000-0005-0000-0000-000010A80000}"/>
    <cellStyle name="Normal 83 3" xfId="19010" xr:uid="{00000000-0005-0000-0000-000011A80000}"/>
    <cellStyle name="Normal 83 3 2" xfId="41653" xr:uid="{00000000-0005-0000-0000-000012A80000}"/>
    <cellStyle name="Normal 83 4" xfId="11570" xr:uid="{00000000-0005-0000-0000-000013A80000}"/>
    <cellStyle name="Normal 83 4 2" xfId="34213" xr:uid="{00000000-0005-0000-0000-000014A80000}"/>
    <cellStyle name="Normal 83 5" xfId="26772" xr:uid="{00000000-0005-0000-0000-000015A80000}"/>
    <cellStyle name="Normal 84" xfId="4124" xr:uid="{00000000-0005-0000-0000-000016A80000}"/>
    <cellStyle name="Normal 84 2" xfId="7845" xr:uid="{00000000-0005-0000-0000-000017A80000}"/>
    <cellStyle name="Normal 84 2 2" xfId="22729" xr:uid="{00000000-0005-0000-0000-000018A80000}"/>
    <cellStyle name="Normal 84 2 2 2" xfId="45372" xr:uid="{00000000-0005-0000-0000-000019A80000}"/>
    <cellStyle name="Normal 84 2 3" xfId="15289" xr:uid="{00000000-0005-0000-0000-00001AA80000}"/>
    <cellStyle name="Normal 84 2 3 2" xfId="37932" xr:uid="{00000000-0005-0000-0000-00001BA80000}"/>
    <cellStyle name="Normal 84 2 4" xfId="30491" xr:uid="{00000000-0005-0000-0000-00001CA80000}"/>
    <cellStyle name="Normal 84 3" xfId="19011" xr:uid="{00000000-0005-0000-0000-00001DA80000}"/>
    <cellStyle name="Normal 84 3 2" xfId="41654" xr:uid="{00000000-0005-0000-0000-00001EA80000}"/>
    <cellStyle name="Normal 84 4" xfId="11571" xr:uid="{00000000-0005-0000-0000-00001FA80000}"/>
    <cellStyle name="Normal 84 4 2" xfId="34214" xr:uid="{00000000-0005-0000-0000-000020A80000}"/>
    <cellStyle name="Normal 84 5" xfId="26773" xr:uid="{00000000-0005-0000-0000-000021A80000}"/>
    <cellStyle name="Normal 85" xfId="4125" xr:uid="{00000000-0005-0000-0000-000022A80000}"/>
    <cellStyle name="Normal 85 2" xfId="7846" xr:uid="{00000000-0005-0000-0000-000023A80000}"/>
    <cellStyle name="Normal 85 2 2" xfId="22730" xr:uid="{00000000-0005-0000-0000-000024A80000}"/>
    <cellStyle name="Normal 85 2 2 2" xfId="45373" xr:uid="{00000000-0005-0000-0000-000025A80000}"/>
    <cellStyle name="Normal 85 2 3" xfId="15290" xr:uid="{00000000-0005-0000-0000-000026A80000}"/>
    <cellStyle name="Normal 85 2 3 2" xfId="37933" xr:uid="{00000000-0005-0000-0000-000027A80000}"/>
    <cellStyle name="Normal 85 2 4" xfId="30492" xr:uid="{00000000-0005-0000-0000-000028A80000}"/>
    <cellStyle name="Normal 85 3" xfId="19012" xr:uid="{00000000-0005-0000-0000-000029A80000}"/>
    <cellStyle name="Normal 85 3 2" xfId="41655" xr:uid="{00000000-0005-0000-0000-00002AA80000}"/>
    <cellStyle name="Normal 85 4" xfId="11572" xr:uid="{00000000-0005-0000-0000-00002BA80000}"/>
    <cellStyle name="Normal 85 4 2" xfId="34215" xr:uid="{00000000-0005-0000-0000-00002CA80000}"/>
    <cellStyle name="Normal 85 5" xfId="26774" xr:uid="{00000000-0005-0000-0000-00002DA80000}"/>
    <cellStyle name="Normal 86" xfId="4126" xr:uid="{00000000-0005-0000-0000-00002EA80000}"/>
    <cellStyle name="Normal 86 2" xfId="7847" xr:uid="{00000000-0005-0000-0000-00002FA80000}"/>
    <cellStyle name="Normal 86 2 2" xfId="22731" xr:uid="{00000000-0005-0000-0000-000030A80000}"/>
    <cellStyle name="Normal 86 2 2 2" xfId="45374" xr:uid="{00000000-0005-0000-0000-000031A80000}"/>
    <cellStyle name="Normal 86 2 3" xfId="15291" xr:uid="{00000000-0005-0000-0000-000032A80000}"/>
    <cellStyle name="Normal 86 2 3 2" xfId="37934" xr:uid="{00000000-0005-0000-0000-000033A80000}"/>
    <cellStyle name="Normal 86 2 4" xfId="30493" xr:uid="{00000000-0005-0000-0000-000034A80000}"/>
    <cellStyle name="Normal 86 3" xfId="19013" xr:uid="{00000000-0005-0000-0000-000035A80000}"/>
    <cellStyle name="Normal 86 3 2" xfId="41656" xr:uid="{00000000-0005-0000-0000-000036A80000}"/>
    <cellStyle name="Normal 86 4" xfId="11573" xr:uid="{00000000-0005-0000-0000-000037A80000}"/>
    <cellStyle name="Normal 86 4 2" xfId="34216" xr:uid="{00000000-0005-0000-0000-000038A80000}"/>
    <cellStyle name="Normal 86 5" xfId="26775" xr:uid="{00000000-0005-0000-0000-000039A80000}"/>
    <cellStyle name="Normal 87" xfId="4127" xr:uid="{00000000-0005-0000-0000-00003AA80000}"/>
    <cellStyle name="Normal 87 2" xfId="7848" xr:uid="{00000000-0005-0000-0000-00003BA80000}"/>
    <cellStyle name="Normal 87 2 2" xfId="22732" xr:uid="{00000000-0005-0000-0000-00003CA80000}"/>
    <cellStyle name="Normal 87 2 2 2" xfId="45375" xr:uid="{00000000-0005-0000-0000-00003DA80000}"/>
    <cellStyle name="Normal 87 2 3" xfId="15292" xr:uid="{00000000-0005-0000-0000-00003EA80000}"/>
    <cellStyle name="Normal 87 2 3 2" xfId="37935" xr:uid="{00000000-0005-0000-0000-00003FA80000}"/>
    <cellStyle name="Normal 87 2 4" xfId="30494" xr:uid="{00000000-0005-0000-0000-000040A80000}"/>
    <cellStyle name="Normal 87 3" xfId="19014" xr:uid="{00000000-0005-0000-0000-000041A80000}"/>
    <cellStyle name="Normal 87 3 2" xfId="41657" xr:uid="{00000000-0005-0000-0000-000042A80000}"/>
    <cellStyle name="Normal 87 4" xfId="11574" xr:uid="{00000000-0005-0000-0000-000043A80000}"/>
    <cellStyle name="Normal 87 4 2" xfId="34217" xr:uid="{00000000-0005-0000-0000-000044A80000}"/>
    <cellStyle name="Normal 87 5" xfId="26776" xr:uid="{00000000-0005-0000-0000-000045A80000}"/>
    <cellStyle name="Normal 88" xfId="4128" xr:uid="{00000000-0005-0000-0000-000046A80000}"/>
    <cellStyle name="Normal 88 2" xfId="7849" xr:uid="{00000000-0005-0000-0000-000047A80000}"/>
    <cellStyle name="Normal 88 2 2" xfId="22733" xr:uid="{00000000-0005-0000-0000-000048A80000}"/>
    <cellStyle name="Normal 88 2 2 2" xfId="45376" xr:uid="{00000000-0005-0000-0000-000049A80000}"/>
    <cellStyle name="Normal 88 2 3" xfId="15293" xr:uid="{00000000-0005-0000-0000-00004AA80000}"/>
    <cellStyle name="Normal 88 2 3 2" xfId="37936" xr:uid="{00000000-0005-0000-0000-00004BA80000}"/>
    <cellStyle name="Normal 88 2 4" xfId="30495" xr:uid="{00000000-0005-0000-0000-00004CA80000}"/>
    <cellStyle name="Normal 88 3" xfId="19015" xr:uid="{00000000-0005-0000-0000-00004DA80000}"/>
    <cellStyle name="Normal 88 3 2" xfId="41658" xr:uid="{00000000-0005-0000-0000-00004EA80000}"/>
    <cellStyle name="Normal 88 4" xfId="11575" xr:uid="{00000000-0005-0000-0000-00004FA80000}"/>
    <cellStyle name="Normal 88 4 2" xfId="34218" xr:uid="{00000000-0005-0000-0000-000050A80000}"/>
    <cellStyle name="Normal 88 5" xfId="26777" xr:uid="{00000000-0005-0000-0000-000051A80000}"/>
    <cellStyle name="Normal 89" xfId="4129" xr:uid="{00000000-0005-0000-0000-000052A80000}"/>
    <cellStyle name="Normal 89 2" xfId="7850" xr:uid="{00000000-0005-0000-0000-000053A80000}"/>
    <cellStyle name="Normal 89 2 2" xfId="22734" xr:uid="{00000000-0005-0000-0000-000054A80000}"/>
    <cellStyle name="Normal 89 2 2 2" xfId="45377" xr:uid="{00000000-0005-0000-0000-000055A80000}"/>
    <cellStyle name="Normal 89 2 3" xfId="15294" xr:uid="{00000000-0005-0000-0000-000056A80000}"/>
    <cellStyle name="Normal 89 2 3 2" xfId="37937" xr:uid="{00000000-0005-0000-0000-000057A80000}"/>
    <cellStyle name="Normal 89 2 4" xfId="30496" xr:uid="{00000000-0005-0000-0000-000058A80000}"/>
    <cellStyle name="Normal 89 3" xfId="19016" xr:uid="{00000000-0005-0000-0000-000059A80000}"/>
    <cellStyle name="Normal 89 3 2" xfId="41659" xr:uid="{00000000-0005-0000-0000-00005AA80000}"/>
    <cellStyle name="Normal 89 4" xfId="11576" xr:uid="{00000000-0005-0000-0000-00005BA80000}"/>
    <cellStyle name="Normal 89 4 2" xfId="34219" xr:uid="{00000000-0005-0000-0000-00005CA80000}"/>
    <cellStyle name="Normal 89 5" xfId="26778" xr:uid="{00000000-0005-0000-0000-00005DA80000}"/>
    <cellStyle name="Normal 9" xfId="70" xr:uid="{00000000-0005-0000-0000-00005EA80000}"/>
    <cellStyle name="Normal 9 10" xfId="428" xr:uid="{00000000-0005-0000-0000-00005FA80000}"/>
    <cellStyle name="Normal 9 10 2" xfId="15331" xr:uid="{00000000-0005-0000-0000-000060A80000}"/>
    <cellStyle name="Normal 9 10 2 2" xfId="37974" xr:uid="{00000000-0005-0000-0000-000061A80000}"/>
    <cellStyle name="Normal 9 10 3" xfId="23094" xr:uid="{00000000-0005-0000-0000-000062A80000}"/>
    <cellStyle name="Normal 9 11" xfId="7891" xr:uid="{00000000-0005-0000-0000-000063A80000}"/>
    <cellStyle name="Normal 9 11 2" xfId="30534" xr:uid="{00000000-0005-0000-0000-000064A80000}"/>
    <cellStyle name="Normal 9 2" xfId="452" xr:uid="{00000000-0005-0000-0000-000065A80000}"/>
    <cellStyle name="Normal 9 2 10" xfId="7911" xr:uid="{00000000-0005-0000-0000-000066A80000}"/>
    <cellStyle name="Normal 9 2 10 2" xfId="30554" xr:uid="{00000000-0005-0000-0000-000067A80000}"/>
    <cellStyle name="Normal 9 2 11" xfId="23114" xr:uid="{00000000-0005-0000-0000-000068A80000}"/>
    <cellStyle name="Normal 9 2 2" xfId="505" xr:uid="{00000000-0005-0000-0000-000069A80000}"/>
    <cellStyle name="Normal 9 2 2 10" xfId="23166" xr:uid="{00000000-0005-0000-0000-00006AA80000}"/>
    <cellStyle name="Normal 9 2 2 2" xfId="611" xr:uid="{00000000-0005-0000-0000-00006BA80000}"/>
    <cellStyle name="Normal 9 2 2 2 2" xfId="823" xr:uid="{00000000-0005-0000-0000-00006CA80000}"/>
    <cellStyle name="Normal 9 2 2 2 2 2" xfId="1288" xr:uid="{00000000-0005-0000-0000-00006DA80000}"/>
    <cellStyle name="Normal 9 2 2 2 2 2 2" xfId="2216" xr:uid="{00000000-0005-0000-0000-00006EA80000}"/>
    <cellStyle name="Normal 9 2 2 2 2 2 2 2" xfId="4066" xr:uid="{00000000-0005-0000-0000-00006FA80000}"/>
    <cellStyle name="Normal 9 2 2 2 2 2 2 2 2" xfId="7787" xr:uid="{00000000-0005-0000-0000-000070A80000}"/>
    <cellStyle name="Normal 9 2 2 2 2 2 2 2 2 2" xfId="22671" xr:uid="{00000000-0005-0000-0000-000071A80000}"/>
    <cellStyle name="Normal 9 2 2 2 2 2 2 2 2 2 2" xfId="45314" xr:uid="{00000000-0005-0000-0000-000072A80000}"/>
    <cellStyle name="Normal 9 2 2 2 2 2 2 2 2 3" xfId="15231" xr:uid="{00000000-0005-0000-0000-000073A80000}"/>
    <cellStyle name="Normal 9 2 2 2 2 2 2 2 2 3 2" xfId="37874" xr:uid="{00000000-0005-0000-0000-000074A80000}"/>
    <cellStyle name="Normal 9 2 2 2 2 2 2 2 2 4" xfId="30433" xr:uid="{00000000-0005-0000-0000-000075A80000}"/>
    <cellStyle name="Normal 9 2 2 2 2 2 2 2 3" xfId="18953" xr:uid="{00000000-0005-0000-0000-000076A80000}"/>
    <cellStyle name="Normal 9 2 2 2 2 2 2 2 3 2" xfId="41596" xr:uid="{00000000-0005-0000-0000-000077A80000}"/>
    <cellStyle name="Normal 9 2 2 2 2 2 2 2 4" xfId="11513" xr:uid="{00000000-0005-0000-0000-000078A80000}"/>
    <cellStyle name="Normal 9 2 2 2 2 2 2 2 4 2" xfId="34156" xr:uid="{00000000-0005-0000-0000-000079A80000}"/>
    <cellStyle name="Normal 9 2 2 2 2 2 2 2 5" xfId="26715" xr:uid="{00000000-0005-0000-0000-00007AA80000}"/>
    <cellStyle name="Normal 9 2 2 2 2 2 2 3" xfId="5940" xr:uid="{00000000-0005-0000-0000-00007BA80000}"/>
    <cellStyle name="Normal 9 2 2 2 2 2 2 3 2" xfId="20824" xr:uid="{00000000-0005-0000-0000-00007CA80000}"/>
    <cellStyle name="Normal 9 2 2 2 2 2 2 3 2 2" xfId="43467" xr:uid="{00000000-0005-0000-0000-00007DA80000}"/>
    <cellStyle name="Normal 9 2 2 2 2 2 2 3 3" xfId="13384" xr:uid="{00000000-0005-0000-0000-00007EA80000}"/>
    <cellStyle name="Normal 9 2 2 2 2 2 2 3 3 2" xfId="36027" xr:uid="{00000000-0005-0000-0000-00007FA80000}"/>
    <cellStyle name="Normal 9 2 2 2 2 2 2 3 4" xfId="28586" xr:uid="{00000000-0005-0000-0000-000080A80000}"/>
    <cellStyle name="Normal 9 2 2 2 2 2 2 4" xfId="17106" xr:uid="{00000000-0005-0000-0000-000081A80000}"/>
    <cellStyle name="Normal 9 2 2 2 2 2 2 4 2" xfId="39749" xr:uid="{00000000-0005-0000-0000-000082A80000}"/>
    <cellStyle name="Normal 9 2 2 2 2 2 2 5" xfId="9666" xr:uid="{00000000-0005-0000-0000-000083A80000}"/>
    <cellStyle name="Normal 9 2 2 2 2 2 2 5 2" xfId="32309" xr:uid="{00000000-0005-0000-0000-000084A80000}"/>
    <cellStyle name="Normal 9 2 2 2 2 2 2 6" xfId="24868" xr:uid="{00000000-0005-0000-0000-000085A80000}"/>
    <cellStyle name="Normal 9 2 2 2 2 2 3" xfId="3141" xr:uid="{00000000-0005-0000-0000-000086A80000}"/>
    <cellStyle name="Normal 9 2 2 2 2 2 3 2" xfId="6862" xr:uid="{00000000-0005-0000-0000-000087A80000}"/>
    <cellStyle name="Normal 9 2 2 2 2 2 3 2 2" xfId="21746" xr:uid="{00000000-0005-0000-0000-000088A80000}"/>
    <cellStyle name="Normal 9 2 2 2 2 2 3 2 2 2" xfId="44389" xr:uid="{00000000-0005-0000-0000-000089A80000}"/>
    <cellStyle name="Normal 9 2 2 2 2 2 3 2 3" xfId="14306" xr:uid="{00000000-0005-0000-0000-00008AA80000}"/>
    <cellStyle name="Normal 9 2 2 2 2 2 3 2 3 2" xfId="36949" xr:uid="{00000000-0005-0000-0000-00008BA80000}"/>
    <cellStyle name="Normal 9 2 2 2 2 2 3 2 4" xfId="29508" xr:uid="{00000000-0005-0000-0000-00008CA80000}"/>
    <cellStyle name="Normal 9 2 2 2 2 2 3 3" xfId="18028" xr:uid="{00000000-0005-0000-0000-00008DA80000}"/>
    <cellStyle name="Normal 9 2 2 2 2 2 3 3 2" xfId="40671" xr:uid="{00000000-0005-0000-0000-00008EA80000}"/>
    <cellStyle name="Normal 9 2 2 2 2 2 3 4" xfId="10588" xr:uid="{00000000-0005-0000-0000-00008FA80000}"/>
    <cellStyle name="Normal 9 2 2 2 2 2 3 4 2" xfId="33231" xr:uid="{00000000-0005-0000-0000-000090A80000}"/>
    <cellStyle name="Normal 9 2 2 2 2 2 3 5" xfId="25790" xr:uid="{00000000-0005-0000-0000-000091A80000}"/>
    <cellStyle name="Normal 9 2 2 2 2 2 4" xfId="5015" xr:uid="{00000000-0005-0000-0000-000092A80000}"/>
    <cellStyle name="Normal 9 2 2 2 2 2 4 2" xfId="19899" xr:uid="{00000000-0005-0000-0000-000093A80000}"/>
    <cellStyle name="Normal 9 2 2 2 2 2 4 2 2" xfId="42542" xr:uid="{00000000-0005-0000-0000-000094A80000}"/>
    <cellStyle name="Normal 9 2 2 2 2 2 4 3" xfId="12459" xr:uid="{00000000-0005-0000-0000-000095A80000}"/>
    <cellStyle name="Normal 9 2 2 2 2 2 4 3 2" xfId="35102" xr:uid="{00000000-0005-0000-0000-000096A80000}"/>
    <cellStyle name="Normal 9 2 2 2 2 2 4 4" xfId="27661" xr:uid="{00000000-0005-0000-0000-000097A80000}"/>
    <cellStyle name="Normal 9 2 2 2 2 2 5" xfId="16181" xr:uid="{00000000-0005-0000-0000-000098A80000}"/>
    <cellStyle name="Normal 9 2 2 2 2 2 5 2" xfId="38824" xr:uid="{00000000-0005-0000-0000-000099A80000}"/>
    <cellStyle name="Normal 9 2 2 2 2 2 6" xfId="8741" xr:uid="{00000000-0005-0000-0000-00009AA80000}"/>
    <cellStyle name="Normal 9 2 2 2 2 2 6 2" xfId="31384" xr:uid="{00000000-0005-0000-0000-00009BA80000}"/>
    <cellStyle name="Normal 9 2 2 2 2 2 7" xfId="23943" xr:uid="{00000000-0005-0000-0000-00009CA80000}"/>
    <cellStyle name="Normal 9 2 2 2 2 3" xfId="1754" xr:uid="{00000000-0005-0000-0000-00009DA80000}"/>
    <cellStyle name="Normal 9 2 2 2 2 3 2" xfId="3604" xr:uid="{00000000-0005-0000-0000-00009EA80000}"/>
    <cellStyle name="Normal 9 2 2 2 2 3 2 2" xfId="7325" xr:uid="{00000000-0005-0000-0000-00009FA80000}"/>
    <cellStyle name="Normal 9 2 2 2 2 3 2 2 2" xfId="22209" xr:uid="{00000000-0005-0000-0000-0000A0A80000}"/>
    <cellStyle name="Normal 9 2 2 2 2 3 2 2 2 2" xfId="44852" xr:uid="{00000000-0005-0000-0000-0000A1A80000}"/>
    <cellStyle name="Normal 9 2 2 2 2 3 2 2 3" xfId="14769" xr:uid="{00000000-0005-0000-0000-0000A2A80000}"/>
    <cellStyle name="Normal 9 2 2 2 2 3 2 2 3 2" xfId="37412" xr:uid="{00000000-0005-0000-0000-0000A3A80000}"/>
    <cellStyle name="Normal 9 2 2 2 2 3 2 2 4" xfId="29971" xr:uid="{00000000-0005-0000-0000-0000A4A80000}"/>
    <cellStyle name="Normal 9 2 2 2 2 3 2 3" xfId="18491" xr:uid="{00000000-0005-0000-0000-0000A5A80000}"/>
    <cellStyle name="Normal 9 2 2 2 2 3 2 3 2" xfId="41134" xr:uid="{00000000-0005-0000-0000-0000A6A80000}"/>
    <cellStyle name="Normal 9 2 2 2 2 3 2 4" xfId="11051" xr:uid="{00000000-0005-0000-0000-0000A7A80000}"/>
    <cellStyle name="Normal 9 2 2 2 2 3 2 4 2" xfId="33694" xr:uid="{00000000-0005-0000-0000-0000A8A80000}"/>
    <cellStyle name="Normal 9 2 2 2 2 3 2 5" xfId="26253" xr:uid="{00000000-0005-0000-0000-0000A9A80000}"/>
    <cellStyle name="Normal 9 2 2 2 2 3 3" xfId="5478" xr:uid="{00000000-0005-0000-0000-0000AAA80000}"/>
    <cellStyle name="Normal 9 2 2 2 2 3 3 2" xfId="20362" xr:uid="{00000000-0005-0000-0000-0000ABA80000}"/>
    <cellStyle name="Normal 9 2 2 2 2 3 3 2 2" xfId="43005" xr:uid="{00000000-0005-0000-0000-0000ACA80000}"/>
    <cellStyle name="Normal 9 2 2 2 2 3 3 3" xfId="12922" xr:uid="{00000000-0005-0000-0000-0000ADA80000}"/>
    <cellStyle name="Normal 9 2 2 2 2 3 3 3 2" xfId="35565" xr:uid="{00000000-0005-0000-0000-0000AEA80000}"/>
    <cellStyle name="Normal 9 2 2 2 2 3 3 4" xfId="28124" xr:uid="{00000000-0005-0000-0000-0000AFA80000}"/>
    <cellStyle name="Normal 9 2 2 2 2 3 4" xfId="16644" xr:uid="{00000000-0005-0000-0000-0000B0A80000}"/>
    <cellStyle name="Normal 9 2 2 2 2 3 4 2" xfId="39287" xr:uid="{00000000-0005-0000-0000-0000B1A80000}"/>
    <cellStyle name="Normal 9 2 2 2 2 3 5" xfId="9204" xr:uid="{00000000-0005-0000-0000-0000B2A80000}"/>
    <cellStyle name="Normal 9 2 2 2 2 3 5 2" xfId="31847" xr:uid="{00000000-0005-0000-0000-0000B3A80000}"/>
    <cellStyle name="Normal 9 2 2 2 2 3 6" xfId="24406" xr:uid="{00000000-0005-0000-0000-0000B4A80000}"/>
    <cellStyle name="Normal 9 2 2 2 2 4" xfId="2679" xr:uid="{00000000-0005-0000-0000-0000B5A80000}"/>
    <cellStyle name="Normal 9 2 2 2 2 4 2" xfId="6400" xr:uid="{00000000-0005-0000-0000-0000B6A80000}"/>
    <cellStyle name="Normal 9 2 2 2 2 4 2 2" xfId="21284" xr:uid="{00000000-0005-0000-0000-0000B7A80000}"/>
    <cellStyle name="Normal 9 2 2 2 2 4 2 2 2" xfId="43927" xr:uid="{00000000-0005-0000-0000-0000B8A80000}"/>
    <cellStyle name="Normal 9 2 2 2 2 4 2 3" xfId="13844" xr:uid="{00000000-0005-0000-0000-0000B9A80000}"/>
    <cellStyle name="Normal 9 2 2 2 2 4 2 3 2" xfId="36487" xr:uid="{00000000-0005-0000-0000-0000BAA80000}"/>
    <cellStyle name="Normal 9 2 2 2 2 4 2 4" xfId="29046" xr:uid="{00000000-0005-0000-0000-0000BBA80000}"/>
    <cellStyle name="Normal 9 2 2 2 2 4 3" xfId="17566" xr:uid="{00000000-0005-0000-0000-0000BCA80000}"/>
    <cellStyle name="Normal 9 2 2 2 2 4 3 2" xfId="40209" xr:uid="{00000000-0005-0000-0000-0000BDA80000}"/>
    <cellStyle name="Normal 9 2 2 2 2 4 4" xfId="10126" xr:uid="{00000000-0005-0000-0000-0000BEA80000}"/>
    <cellStyle name="Normal 9 2 2 2 2 4 4 2" xfId="32769" xr:uid="{00000000-0005-0000-0000-0000BFA80000}"/>
    <cellStyle name="Normal 9 2 2 2 2 4 5" xfId="25328" xr:uid="{00000000-0005-0000-0000-0000C0A80000}"/>
    <cellStyle name="Normal 9 2 2 2 2 5" xfId="4553" xr:uid="{00000000-0005-0000-0000-0000C1A80000}"/>
    <cellStyle name="Normal 9 2 2 2 2 5 2" xfId="19437" xr:uid="{00000000-0005-0000-0000-0000C2A80000}"/>
    <cellStyle name="Normal 9 2 2 2 2 5 2 2" xfId="42080" xr:uid="{00000000-0005-0000-0000-0000C3A80000}"/>
    <cellStyle name="Normal 9 2 2 2 2 5 3" xfId="11997" xr:uid="{00000000-0005-0000-0000-0000C4A80000}"/>
    <cellStyle name="Normal 9 2 2 2 2 5 3 2" xfId="34640" xr:uid="{00000000-0005-0000-0000-0000C5A80000}"/>
    <cellStyle name="Normal 9 2 2 2 2 5 4" xfId="27199" xr:uid="{00000000-0005-0000-0000-0000C6A80000}"/>
    <cellStyle name="Normal 9 2 2 2 2 6" xfId="15719" xr:uid="{00000000-0005-0000-0000-0000C7A80000}"/>
    <cellStyle name="Normal 9 2 2 2 2 6 2" xfId="38362" xr:uid="{00000000-0005-0000-0000-0000C8A80000}"/>
    <cellStyle name="Normal 9 2 2 2 2 7" xfId="8279" xr:uid="{00000000-0005-0000-0000-0000C9A80000}"/>
    <cellStyle name="Normal 9 2 2 2 2 7 2" xfId="30922" xr:uid="{00000000-0005-0000-0000-0000CAA80000}"/>
    <cellStyle name="Normal 9 2 2 2 2 8" xfId="23481" xr:uid="{00000000-0005-0000-0000-0000CBA80000}"/>
    <cellStyle name="Normal 9 2 2 2 3" xfId="1077" xr:uid="{00000000-0005-0000-0000-0000CCA80000}"/>
    <cellStyle name="Normal 9 2 2 2 3 2" xfId="2005" xr:uid="{00000000-0005-0000-0000-0000CDA80000}"/>
    <cellStyle name="Normal 9 2 2 2 3 2 2" xfId="3855" xr:uid="{00000000-0005-0000-0000-0000CEA80000}"/>
    <cellStyle name="Normal 9 2 2 2 3 2 2 2" xfId="7576" xr:uid="{00000000-0005-0000-0000-0000CFA80000}"/>
    <cellStyle name="Normal 9 2 2 2 3 2 2 2 2" xfId="22460" xr:uid="{00000000-0005-0000-0000-0000D0A80000}"/>
    <cellStyle name="Normal 9 2 2 2 3 2 2 2 2 2" xfId="45103" xr:uid="{00000000-0005-0000-0000-0000D1A80000}"/>
    <cellStyle name="Normal 9 2 2 2 3 2 2 2 3" xfId="15020" xr:uid="{00000000-0005-0000-0000-0000D2A80000}"/>
    <cellStyle name="Normal 9 2 2 2 3 2 2 2 3 2" xfId="37663" xr:uid="{00000000-0005-0000-0000-0000D3A80000}"/>
    <cellStyle name="Normal 9 2 2 2 3 2 2 2 4" xfId="30222" xr:uid="{00000000-0005-0000-0000-0000D4A80000}"/>
    <cellStyle name="Normal 9 2 2 2 3 2 2 3" xfId="18742" xr:uid="{00000000-0005-0000-0000-0000D5A80000}"/>
    <cellStyle name="Normal 9 2 2 2 3 2 2 3 2" xfId="41385" xr:uid="{00000000-0005-0000-0000-0000D6A80000}"/>
    <cellStyle name="Normal 9 2 2 2 3 2 2 4" xfId="11302" xr:uid="{00000000-0005-0000-0000-0000D7A80000}"/>
    <cellStyle name="Normal 9 2 2 2 3 2 2 4 2" xfId="33945" xr:uid="{00000000-0005-0000-0000-0000D8A80000}"/>
    <cellStyle name="Normal 9 2 2 2 3 2 2 5" xfId="26504" xr:uid="{00000000-0005-0000-0000-0000D9A80000}"/>
    <cellStyle name="Normal 9 2 2 2 3 2 3" xfId="5729" xr:uid="{00000000-0005-0000-0000-0000DAA80000}"/>
    <cellStyle name="Normal 9 2 2 2 3 2 3 2" xfId="20613" xr:uid="{00000000-0005-0000-0000-0000DBA80000}"/>
    <cellStyle name="Normal 9 2 2 2 3 2 3 2 2" xfId="43256" xr:uid="{00000000-0005-0000-0000-0000DCA80000}"/>
    <cellStyle name="Normal 9 2 2 2 3 2 3 3" xfId="13173" xr:uid="{00000000-0005-0000-0000-0000DDA80000}"/>
    <cellStyle name="Normal 9 2 2 2 3 2 3 3 2" xfId="35816" xr:uid="{00000000-0005-0000-0000-0000DEA80000}"/>
    <cellStyle name="Normal 9 2 2 2 3 2 3 4" xfId="28375" xr:uid="{00000000-0005-0000-0000-0000DFA80000}"/>
    <cellStyle name="Normal 9 2 2 2 3 2 4" xfId="16895" xr:uid="{00000000-0005-0000-0000-0000E0A80000}"/>
    <cellStyle name="Normal 9 2 2 2 3 2 4 2" xfId="39538" xr:uid="{00000000-0005-0000-0000-0000E1A80000}"/>
    <cellStyle name="Normal 9 2 2 2 3 2 5" xfId="9455" xr:uid="{00000000-0005-0000-0000-0000E2A80000}"/>
    <cellStyle name="Normal 9 2 2 2 3 2 5 2" xfId="32098" xr:uid="{00000000-0005-0000-0000-0000E3A80000}"/>
    <cellStyle name="Normal 9 2 2 2 3 2 6" xfId="24657" xr:uid="{00000000-0005-0000-0000-0000E4A80000}"/>
    <cellStyle name="Normal 9 2 2 2 3 3" xfId="2930" xr:uid="{00000000-0005-0000-0000-0000E5A80000}"/>
    <cellStyle name="Normal 9 2 2 2 3 3 2" xfId="6651" xr:uid="{00000000-0005-0000-0000-0000E6A80000}"/>
    <cellStyle name="Normal 9 2 2 2 3 3 2 2" xfId="21535" xr:uid="{00000000-0005-0000-0000-0000E7A80000}"/>
    <cellStyle name="Normal 9 2 2 2 3 3 2 2 2" xfId="44178" xr:uid="{00000000-0005-0000-0000-0000E8A80000}"/>
    <cellStyle name="Normal 9 2 2 2 3 3 2 3" xfId="14095" xr:uid="{00000000-0005-0000-0000-0000E9A80000}"/>
    <cellStyle name="Normal 9 2 2 2 3 3 2 3 2" xfId="36738" xr:uid="{00000000-0005-0000-0000-0000EAA80000}"/>
    <cellStyle name="Normal 9 2 2 2 3 3 2 4" xfId="29297" xr:uid="{00000000-0005-0000-0000-0000EBA80000}"/>
    <cellStyle name="Normal 9 2 2 2 3 3 3" xfId="17817" xr:uid="{00000000-0005-0000-0000-0000ECA80000}"/>
    <cellStyle name="Normal 9 2 2 2 3 3 3 2" xfId="40460" xr:uid="{00000000-0005-0000-0000-0000EDA80000}"/>
    <cellStyle name="Normal 9 2 2 2 3 3 4" xfId="10377" xr:uid="{00000000-0005-0000-0000-0000EEA80000}"/>
    <cellStyle name="Normal 9 2 2 2 3 3 4 2" xfId="33020" xr:uid="{00000000-0005-0000-0000-0000EFA80000}"/>
    <cellStyle name="Normal 9 2 2 2 3 3 5" xfId="25579" xr:uid="{00000000-0005-0000-0000-0000F0A80000}"/>
    <cellStyle name="Normal 9 2 2 2 3 4" xfId="4804" xr:uid="{00000000-0005-0000-0000-0000F1A80000}"/>
    <cellStyle name="Normal 9 2 2 2 3 4 2" xfId="19688" xr:uid="{00000000-0005-0000-0000-0000F2A80000}"/>
    <cellStyle name="Normal 9 2 2 2 3 4 2 2" xfId="42331" xr:uid="{00000000-0005-0000-0000-0000F3A80000}"/>
    <cellStyle name="Normal 9 2 2 2 3 4 3" xfId="12248" xr:uid="{00000000-0005-0000-0000-0000F4A80000}"/>
    <cellStyle name="Normal 9 2 2 2 3 4 3 2" xfId="34891" xr:uid="{00000000-0005-0000-0000-0000F5A80000}"/>
    <cellStyle name="Normal 9 2 2 2 3 4 4" xfId="27450" xr:uid="{00000000-0005-0000-0000-0000F6A80000}"/>
    <cellStyle name="Normal 9 2 2 2 3 5" xfId="15970" xr:uid="{00000000-0005-0000-0000-0000F7A80000}"/>
    <cellStyle name="Normal 9 2 2 2 3 5 2" xfId="38613" xr:uid="{00000000-0005-0000-0000-0000F8A80000}"/>
    <cellStyle name="Normal 9 2 2 2 3 6" xfId="8530" xr:uid="{00000000-0005-0000-0000-0000F9A80000}"/>
    <cellStyle name="Normal 9 2 2 2 3 6 2" xfId="31173" xr:uid="{00000000-0005-0000-0000-0000FAA80000}"/>
    <cellStyle name="Normal 9 2 2 2 3 7" xfId="23732" xr:uid="{00000000-0005-0000-0000-0000FBA80000}"/>
    <cellStyle name="Normal 9 2 2 2 4" xfId="1543" xr:uid="{00000000-0005-0000-0000-0000FCA80000}"/>
    <cellStyle name="Normal 9 2 2 2 4 2" xfId="3393" xr:uid="{00000000-0005-0000-0000-0000FDA80000}"/>
    <cellStyle name="Normal 9 2 2 2 4 2 2" xfId="7114" xr:uid="{00000000-0005-0000-0000-0000FEA80000}"/>
    <cellStyle name="Normal 9 2 2 2 4 2 2 2" xfId="21998" xr:uid="{00000000-0005-0000-0000-0000FFA80000}"/>
    <cellStyle name="Normal 9 2 2 2 4 2 2 2 2" xfId="44641" xr:uid="{00000000-0005-0000-0000-000000A90000}"/>
    <cellStyle name="Normal 9 2 2 2 4 2 2 3" xfId="14558" xr:uid="{00000000-0005-0000-0000-000001A90000}"/>
    <cellStyle name="Normal 9 2 2 2 4 2 2 3 2" xfId="37201" xr:uid="{00000000-0005-0000-0000-000002A90000}"/>
    <cellStyle name="Normal 9 2 2 2 4 2 2 4" xfId="29760" xr:uid="{00000000-0005-0000-0000-000003A90000}"/>
    <cellStyle name="Normal 9 2 2 2 4 2 3" xfId="18280" xr:uid="{00000000-0005-0000-0000-000004A90000}"/>
    <cellStyle name="Normal 9 2 2 2 4 2 3 2" xfId="40923" xr:uid="{00000000-0005-0000-0000-000005A90000}"/>
    <cellStyle name="Normal 9 2 2 2 4 2 4" xfId="10840" xr:uid="{00000000-0005-0000-0000-000006A90000}"/>
    <cellStyle name="Normal 9 2 2 2 4 2 4 2" xfId="33483" xr:uid="{00000000-0005-0000-0000-000007A90000}"/>
    <cellStyle name="Normal 9 2 2 2 4 2 5" xfId="26042" xr:uid="{00000000-0005-0000-0000-000008A90000}"/>
    <cellStyle name="Normal 9 2 2 2 4 3" xfId="5267" xr:uid="{00000000-0005-0000-0000-000009A90000}"/>
    <cellStyle name="Normal 9 2 2 2 4 3 2" xfId="20151" xr:uid="{00000000-0005-0000-0000-00000AA90000}"/>
    <cellStyle name="Normal 9 2 2 2 4 3 2 2" xfId="42794" xr:uid="{00000000-0005-0000-0000-00000BA90000}"/>
    <cellStyle name="Normal 9 2 2 2 4 3 3" xfId="12711" xr:uid="{00000000-0005-0000-0000-00000CA90000}"/>
    <cellStyle name="Normal 9 2 2 2 4 3 3 2" xfId="35354" xr:uid="{00000000-0005-0000-0000-00000DA90000}"/>
    <cellStyle name="Normal 9 2 2 2 4 3 4" xfId="27913" xr:uid="{00000000-0005-0000-0000-00000EA90000}"/>
    <cellStyle name="Normal 9 2 2 2 4 4" xfId="16433" xr:uid="{00000000-0005-0000-0000-00000FA90000}"/>
    <cellStyle name="Normal 9 2 2 2 4 4 2" xfId="39076" xr:uid="{00000000-0005-0000-0000-000010A90000}"/>
    <cellStyle name="Normal 9 2 2 2 4 5" xfId="8993" xr:uid="{00000000-0005-0000-0000-000011A90000}"/>
    <cellStyle name="Normal 9 2 2 2 4 5 2" xfId="31636" xr:uid="{00000000-0005-0000-0000-000012A90000}"/>
    <cellStyle name="Normal 9 2 2 2 4 6" xfId="24195" xr:uid="{00000000-0005-0000-0000-000013A90000}"/>
    <cellStyle name="Normal 9 2 2 2 5" xfId="2468" xr:uid="{00000000-0005-0000-0000-000014A90000}"/>
    <cellStyle name="Normal 9 2 2 2 5 2" xfId="6189" xr:uid="{00000000-0005-0000-0000-000015A90000}"/>
    <cellStyle name="Normal 9 2 2 2 5 2 2" xfId="21073" xr:uid="{00000000-0005-0000-0000-000016A90000}"/>
    <cellStyle name="Normal 9 2 2 2 5 2 2 2" xfId="43716" xr:uid="{00000000-0005-0000-0000-000017A90000}"/>
    <cellStyle name="Normal 9 2 2 2 5 2 3" xfId="13633" xr:uid="{00000000-0005-0000-0000-000018A90000}"/>
    <cellStyle name="Normal 9 2 2 2 5 2 3 2" xfId="36276" xr:uid="{00000000-0005-0000-0000-000019A90000}"/>
    <cellStyle name="Normal 9 2 2 2 5 2 4" xfId="28835" xr:uid="{00000000-0005-0000-0000-00001AA90000}"/>
    <cellStyle name="Normal 9 2 2 2 5 3" xfId="17355" xr:uid="{00000000-0005-0000-0000-00001BA90000}"/>
    <cellStyle name="Normal 9 2 2 2 5 3 2" xfId="39998" xr:uid="{00000000-0005-0000-0000-00001CA90000}"/>
    <cellStyle name="Normal 9 2 2 2 5 4" xfId="9915" xr:uid="{00000000-0005-0000-0000-00001DA90000}"/>
    <cellStyle name="Normal 9 2 2 2 5 4 2" xfId="32558" xr:uid="{00000000-0005-0000-0000-00001EA90000}"/>
    <cellStyle name="Normal 9 2 2 2 5 5" xfId="25117" xr:uid="{00000000-0005-0000-0000-00001FA90000}"/>
    <cellStyle name="Normal 9 2 2 2 6" xfId="4342" xr:uid="{00000000-0005-0000-0000-000020A90000}"/>
    <cellStyle name="Normal 9 2 2 2 6 2" xfId="19226" xr:uid="{00000000-0005-0000-0000-000021A90000}"/>
    <cellStyle name="Normal 9 2 2 2 6 2 2" xfId="41869" xr:uid="{00000000-0005-0000-0000-000022A90000}"/>
    <cellStyle name="Normal 9 2 2 2 6 3" xfId="11786" xr:uid="{00000000-0005-0000-0000-000023A90000}"/>
    <cellStyle name="Normal 9 2 2 2 6 3 2" xfId="34429" xr:uid="{00000000-0005-0000-0000-000024A90000}"/>
    <cellStyle name="Normal 9 2 2 2 6 4" xfId="26988" xr:uid="{00000000-0005-0000-0000-000025A90000}"/>
    <cellStyle name="Normal 9 2 2 2 7" xfId="15508" xr:uid="{00000000-0005-0000-0000-000026A90000}"/>
    <cellStyle name="Normal 9 2 2 2 7 2" xfId="38151" xr:uid="{00000000-0005-0000-0000-000027A90000}"/>
    <cellStyle name="Normal 9 2 2 2 8" xfId="8068" xr:uid="{00000000-0005-0000-0000-000028A90000}"/>
    <cellStyle name="Normal 9 2 2 2 8 2" xfId="30711" xr:uid="{00000000-0005-0000-0000-000029A90000}"/>
    <cellStyle name="Normal 9 2 2 2 9" xfId="23271" xr:uid="{00000000-0005-0000-0000-00002AA90000}"/>
    <cellStyle name="Normal 9 2 2 3" xfId="718" xr:uid="{00000000-0005-0000-0000-00002BA90000}"/>
    <cellStyle name="Normal 9 2 2 3 2" xfId="1183" xr:uid="{00000000-0005-0000-0000-00002CA90000}"/>
    <cellStyle name="Normal 9 2 2 3 2 2" xfId="2111" xr:uid="{00000000-0005-0000-0000-00002DA90000}"/>
    <cellStyle name="Normal 9 2 2 3 2 2 2" xfId="3961" xr:uid="{00000000-0005-0000-0000-00002EA90000}"/>
    <cellStyle name="Normal 9 2 2 3 2 2 2 2" xfId="7682" xr:uid="{00000000-0005-0000-0000-00002FA90000}"/>
    <cellStyle name="Normal 9 2 2 3 2 2 2 2 2" xfId="22566" xr:uid="{00000000-0005-0000-0000-000030A90000}"/>
    <cellStyle name="Normal 9 2 2 3 2 2 2 2 2 2" xfId="45209" xr:uid="{00000000-0005-0000-0000-000031A90000}"/>
    <cellStyle name="Normal 9 2 2 3 2 2 2 2 3" xfId="15126" xr:uid="{00000000-0005-0000-0000-000032A90000}"/>
    <cellStyle name="Normal 9 2 2 3 2 2 2 2 3 2" xfId="37769" xr:uid="{00000000-0005-0000-0000-000033A90000}"/>
    <cellStyle name="Normal 9 2 2 3 2 2 2 2 4" xfId="30328" xr:uid="{00000000-0005-0000-0000-000034A90000}"/>
    <cellStyle name="Normal 9 2 2 3 2 2 2 3" xfId="18848" xr:uid="{00000000-0005-0000-0000-000035A90000}"/>
    <cellStyle name="Normal 9 2 2 3 2 2 2 3 2" xfId="41491" xr:uid="{00000000-0005-0000-0000-000036A90000}"/>
    <cellStyle name="Normal 9 2 2 3 2 2 2 4" xfId="11408" xr:uid="{00000000-0005-0000-0000-000037A90000}"/>
    <cellStyle name="Normal 9 2 2 3 2 2 2 4 2" xfId="34051" xr:uid="{00000000-0005-0000-0000-000038A90000}"/>
    <cellStyle name="Normal 9 2 2 3 2 2 2 5" xfId="26610" xr:uid="{00000000-0005-0000-0000-000039A90000}"/>
    <cellStyle name="Normal 9 2 2 3 2 2 3" xfId="5835" xr:uid="{00000000-0005-0000-0000-00003AA90000}"/>
    <cellStyle name="Normal 9 2 2 3 2 2 3 2" xfId="20719" xr:uid="{00000000-0005-0000-0000-00003BA90000}"/>
    <cellStyle name="Normal 9 2 2 3 2 2 3 2 2" xfId="43362" xr:uid="{00000000-0005-0000-0000-00003CA90000}"/>
    <cellStyle name="Normal 9 2 2 3 2 2 3 3" xfId="13279" xr:uid="{00000000-0005-0000-0000-00003DA90000}"/>
    <cellStyle name="Normal 9 2 2 3 2 2 3 3 2" xfId="35922" xr:uid="{00000000-0005-0000-0000-00003EA90000}"/>
    <cellStyle name="Normal 9 2 2 3 2 2 3 4" xfId="28481" xr:uid="{00000000-0005-0000-0000-00003FA90000}"/>
    <cellStyle name="Normal 9 2 2 3 2 2 4" xfId="17001" xr:uid="{00000000-0005-0000-0000-000040A90000}"/>
    <cellStyle name="Normal 9 2 2 3 2 2 4 2" xfId="39644" xr:uid="{00000000-0005-0000-0000-000041A90000}"/>
    <cellStyle name="Normal 9 2 2 3 2 2 5" xfId="9561" xr:uid="{00000000-0005-0000-0000-000042A90000}"/>
    <cellStyle name="Normal 9 2 2 3 2 2 5 2" xfId="32204" xr:uid="{00000000-0005-0000-0000-000043A90000}"/>
    <cellStyle name="Normal 9 2 2 3 2 2 6" xfId="24763" xr:uid="{00000000-0005-0000-0000-000044A90000}"/>
    <cellStyle name="Normal 9 2 2 3 2 3" xfId="3036" xr:uid="{00000000-0005-0000-0000-000045A90000}"/>
    <cellStyle name="Normal 9 2 2 3 2 3 2" xfId="6757" xr:uid="{00000000-0005-0000-0000-000046A90000}"/>
    <cellStyle name="Normal 9 2 2 3 2 3 2 2" xfId="21641" xr:uid="{00000000-0005-0000-0000-000047A90000}"/>
    <cellStyle name="Normal 9 2 2 3 2 3 2 2 2" xfId="44284" xr:uid="{00000000-0005-0000-0000-000048A90000}"/>
    <cellStyle name="Normal 9 2 2 3 2 3 2 3" xfId="14201" xr:uid="{00000000-0005-0000-0000-000049A90000}"/>
    <cellStyle name="Normal 9 2 2 3 2 3 2 3 2" xfId="36844" xr:uid="{00000000-0005-0000-0000-00004AA90000}"/>
    <cellStyle name="Normal 9 2 2 3 2 3 2 4" xfId="29403" xr:uid="{00000000-0005-0000-0000-00004BA90000}"/>
    <cellStyle name="Normal 9 2 2 3 2 3 3" xfId="17923" xr:uid="{00000000-0005-0000-0000-00004CA90000}"/>
    <cellStyle name="Normal 9 2 2 3 2 3 3 2" xfId="40566" xr:uid="{00000000-0005-0000-0000-00004DA90000}"/>
    <cellStyle name="Normal 9 2 2 3 2 3 4" xfId="10483" xr:uid="{00000000-0005-0000-0000-00004EA90000}"/>
    <cellStyle name="Normal 9 2 2 3 2 3 4 2" xfId="33126" xr:uid="{00000000-0005-0000-0000-00004FA90000}"/>
    <cellStyle name="Normal 9 2 2 3 2 3 5" xfId="25685" xr:uid="{00000000-0005-0000-0000-000050A90000}"/>
    <cellStyle name="Normal 9 2 2 3 2 4" xfId="4910" xr:uid="{00000000-0005-0000-0000-000051A90000}"/>
    <cellStyle name="Normal 9 2 2 3 2 4 2" xfId="19794" xr:uid="{00000000-0005-0000-0000-000052A90000}"/>
    <cellStyle name="Normal 9 2 2 3 2 4 2 2" xfId="42437" xr:uid="{00000000-0005-0000-0000-000053A90000}"/>
    <cellStyle name="Normal 9 2 2 3 2 4 3" xfId="12354" xr:uid="{00000000-0005-0000-0000-000054A90000}"/>
    <cellStyle name="Normal 9 2 2 3 2 4 3 2" xfId="34997" xr:uid="{00000000-0005-0000-0000-000055A90000}"/>
    <cellStyle name="Normal 9 2 2 3 2 4 4" xfId="27556" xr:uid="{00000000-0005-0000-0000-000056A90000}"/>
    <cellStyle name="Normal 9 2 2 3 2 5" xfId="16076" xr:uid="{00000000-0005-0000-0000-000057A90000}"/>
    <cellStyle name="Normal 9 2 2 3 2 5 2" xfId="38719" xr:uid="{00000000-0005-0000-0000-000058A90000}"/>
    <cellStyle name="Normal 9 2 2 3 2 6" xfId="8636" xr:uid="{00000000-0005-0000-0000-000059A90000}"/>
    <cellStyle name="Normal 9 2 2 3 2 6 2" xfId="31279" xr:uid="{00000000-0005-0000-0000-00005AA90000}"/>
    <cellStyle name="Normal 9 2 2 3 2 7" xfId="23838" xr:uid="{00000000-0005-0000-0000-00005BA90000}"/>
    <cellStyle name="Normal 9 2 2 3 3" xfId="1649" xr:uid="{00000000-0005-0000-0000-00005CA90000}"/>
    <cellStyle name="Normal 9 2 2 3 3 2" xfId="3499" xr:uid="{00000000-0005-0000-0000-00005DA90000}"/>
    <cellStyle name="Normal 9 2 2 3 3 2 2" xfId="7220" xr:uid="{00000000-0005-0000-0000-00005EA90000}"/>
    <cellStyle name="Normal 9 2 2 3 3 2 2 2" xfId="22104" xr:uid="{00000000-0005-0000-0000-00005FA90000}"/>
    <cellStyle name="Normal 9 2 2 3 3 2 2 2 2" xfId="44747" xr:uid="{00000000-0005-0000-0000-000060A90000}"/>
    <cellStyle name="Normal 9 2 2 3 3 2 2 3" xfId="14664" xr:uid="{00000000-0005-0000-0000-000061A90000}"/>
    <cellStyle name="Normal 9 2 2 3 3 2 2 3 2" xfId="37307" xr:uid="{00000000-0005-0000-0000-000062A90000}"/>
    <cellStyle name="Normal 9 2 2 3 3 2 2 4" xfId="29866" xr:uid="{00000000-0005-0000-0000-000063A90000}"/>
    <cellStyle name="Normal 9 2 2 3 3 2 3" xfId="18386" xr:uid="{00000000-0005-0000-0000-000064A90000}"/>
    <cellStyle name="Normal 9 2 2 3 3 2 3 2" xfId="41029" xr:uid="{00000000-0005-0000-0000-000065A90000}"/>
    <cellStyle name="Normal 9 2 2 3 3 2 4" xfId="10946" xr:uid="{00000000-0005-0000-0000-000066A90000}"/>
    <cellStyle name="Normal 9 2 2 3 3 2 4 2" xfId="33589" xr:uid="{00000000-0005-0000-0000-000067A90000}"/>
    <cellStyle name="Normal 9 2 2 3 3 2 5" xfId="26148" xr:uid="{00000000-0005-0000-0000-000068A90000}"/>
    <cellStyle name="Normal 9 2 2 3 3 3" xfId="5373" xr:uid="{00000000-0005-0000-0000-000069A90000}"/>
    <cellStyle name="Normal 9 2 2 3 3 3 2" xfId="20257" xr:uid="{00000000-0005-0000-0000-00006AA90000}"/>
    <cellStyle name="Normal 9 2 2 3 3 3 2 2" xfId="42900" xr:uid="{00000000-0005-0000-0000-00006BA90000}"/>
    <cellStyle name="Normal 9 2 2 3 3 3 3" xfId="12817" xr:uid="{00000000-0005-0000-0000-00006CA90000}"/>
    <cellStyle name="Normal 9 2 2 3 3 3 3 2" xfId="35460" xr:uid="{00000000-0005-0000-0000-00006DA90000}"/>
    <cellStyle name="Normal 9 2 2 3 3 3 4" xfId="28019" xr:uid="{00000000-0005-0000-0000-00006EA90000}"/>
    <cellStyle name="Normal 9 2 2 3 3 4" xfId="16539" xr:uid="{00000000-0005-0000-0000-00006FA90000}"/>
    <cellStyle name="Normal 9 2 2 3 3 4 2" xfId="39182" xr:uid="{00000000-0005-0000-0000-000070A90000}"/>
    <cellStyle name="Normal 9 2 2 3 3 5" xfId="9099" xr:uid="{00000000-0005-0000-0000-000071A90000}"/>
    <cellStyle name="Normal 9 2 2 3 3 5 2" xfId="31742" xr:uid="{00000000-0005-0000-0000-000072A90000}"/>
    <cellStyle name="Normal 9 2 2 3 3 6" xfId="24301" xr:uid="{00000000-0005-0000-0000-000073A90000}"/>
    <cellStyle name="Normal 9 2 2 3 4" xfId="2574" xr:uid="{00000000-0005-0000-0000-000074A90000}"/>
    <cellStyle name="Normal 9 2 2 3 4 2" xfId="6295" xr:uid="{00000000-0005-0000-0000-000075A90000}"/>
    <cellStyle name="Normal 9 2 2 3 4 2 2" xfId="21179" xr:uid="{00000000-0005-0000-0000-000076A90000}"/>
    <cellStyle name="Normal 9 2 2 3 4 2 2 2" xfId="43822" xr:uid="{00000000-0005-0000-0000-000077A90000}"/>
    <cellStyle name="Normal 9 2 2 3 4 2 3" xfId="13739" xr:uid="{00000000-0005-0000-0000-000078A90000}"/>
    <cellStyle name="Normal 9 2 2 3 4 2 3 2" xfId="36382" xr:uid="{00000000-0005-0000-0000-000079A90000}"/>
    <cellStyle name="Normal 9 2 2 3 4 2 4" xfId="28941" xr:uid="{00000000-0005-0000-0000-00007AA90000}"/>
    <cellStyle name="Normal 9 2 2 3 4 3" xfId="17461" xr:uid="{00000000-0005-0000-0000-00007BA90000}"/>
    <cellStyle name="Normal 9 2 2 3 4 3 2" xfId="40104" xr:uid="{00000000-0005-0000-0000-00007CA90000}"/>
    <cellStyle name="Normal 9 2 2 3 4 4" xfId="10021" xr:uid="{00000000-0005-0000-0000-00007DA90000}"/>
    <cellStyle name="Normal 9 2 2 3 4 4 2" xfId="32664" xr:uid="{00000000-0005-0000-0000-00007EA90000}"/>
    <cellStyle name="Normal 9 2 2 3 4 5" xfId="25223" xr:uid="{00000000-0005-0000-0000-00007FA90000}"/>
    <cellStyle name="Normal 9 2 2 3 5" xfId="4448" xr:uid="{00000000-0005-0000-0000-000080A90000}"/>
    <cellStyle name="Normal 9 2 2 3 5 2" xfId="19332" xr:uid="{00000000-0005-0000-0000-000081A90000}"/>
    <cellStyle name="Normal 9 2 2 3 5 2 2" xfId="41975" xr:uid="{00000000-0005-0000-0000-000082A90000}"/>
    <cellStyle name="Normal 9 2 2 3 5 3" xfId="11892" xr:uid="{00000000-0005-0000-0000-000083A90000}"/>
    <cellStyle name="Normal 9 2 2 3 5 3 2" xfId="34535" xr:uid="{00000000-0005-0000-0000-000084A90000}"/>
    <cellStyle name="Normal 9 2 2 3 5 4" xfId="27094" xr:uid="{00000000-0005-0000-0000-000085A90000}"/>
    <cellStyle name="Normal 9 2 2 3 6" xfId="15614" xr:uid="{00000000-0005-0000-0000-000086A90000}"/>
    <cellStyle name="Normal 9 2 2 3 6 2" xfId="38257" xr:uid="{00000000-0005-0000-0000-000087A90000}"/>
    <cellStyle name="Normal 9 2 2 3 7" xfId="8174" xr:uid="{00000000-0005-0000-0000-000088A90000}"/>
    <cellStyle name="Normal 9 2 2 3 7 2" xfId="30817" xr:uid="{00000000-0005-0000-0000-000089A90000}"/>
    <cellStyle name="Normal 9 2 2 3 8" xfId="23376" xr:uid="{00000000-0005-0000-0000-00008AA90000}"/>
    <cellStyle name="Normal 9 2 2 4" xfId="972" xr:uid="{00000000-0005-0000-0000-00008BA90000}"/>
    <cellStyle name="Normal 9 2 2 4 2" xfId="1900" xr:uid="{00000000-0005-0000-0000-00008CA90000}"/>
    <cellStyle name="Normal 9 2 2 4 2 2" xfId="3750" xr:uid="{00000000-0005-0000-0000-00008DA90000}"/>
    <cellStyle name="Normal 9 2 2 4 2 2 2" xfId="7471" xr:uid="{00000000-0005-0000-0000-00008EA90000}"/>
    <cellStyle name="Normal 9 2 2 4 2 2 2 2" xfId="22355" xr:uid="{00000000-0005-0000-0000-00008FA90000}"/>
    <cellStyle name="Normal 9 2 2 4 2 2 2 2 2" xfId="44998" xr:uid="{00000000-0005-0000-0000-000090A90000}"/>
    <cellStyle name="Normal 9 2 2 4 2 2 2 3" xfId="14915" xr:uid="{00000000-0005-0000-0000-000091A90000}"/>
    <cellStyle name="Normal 9 2 2 4 2 2 2 3 2" xfId="37558" xr:uid="{00000000-0005-0000-0000-000092A90000}"/>
    <cellStyle name="Normal 9 2 2 4 2 2 2 4" xfId="30117" xr:uid="{00000000-0005-0000-0000-000093A90000}"/>
    <cellStyle name="Normal 9 2 2 4 2 2 3" xfId="18637" xr:uid="{00000000-0005-0000-0000-000094A90000}"/>
    <cellStyle name="Normal 9 2 2 4 2 2 3 2" xfId="41280" xr:uid="{00000000-0005-0000-0000-000095A90000}"/>
    <cellStyle name="Normal 9 2 2 4 2 2 4" xfId="11197" xr:uid="{00000000-0005-0000-0000-000096A90000}"/>
    <cellStyle name="Normal 9 2 2 4 2 2 4 2" xfId="33840" xr:uid="{00000000-0005-0000-0000-000097A90000}"/>
    <cellStyle name="Normal 9 2 2 4 2 2 5" xfId="26399" xr:uid="{00000000-0005-0000-0000-000098A90000}"/>
    <cellStyle name="Normal 9 2 2 4 2 3" xfId="5624" xr:uid="{00000000-0005-0000-0000-000099A90000}"/>
    <cellStyle name="Normal 9 2 2 4 2 3 2" xfId="20508" xr:uid="{00000000-0005-0000-0000-00009AA90000}"/>
    <cellStyle name="Normal 9 2 2 4 2 3 2 2" xfId="43151" xr:uid="{00000000-0005-0000-0000-00009BA90000}"/>
    <cellStyle name="Normal 9 2 2 4 2 3 3" xfId="13068" xr:uid="{00000000-0005-0000-0000-00009CA90000}"/>
    <cellStyle name="Normal 9 2 2 4 2 3 3 2" xfId="35711" xr:uid="{00000000-0005-0000-0000-00009DA90000}"/>
    <cellStyle name="Normal 9 2 2 4 2 3 4" xfId="28270" xr:uid="{00000000-0005-0000-0000-00009EA90000}"/>
    <cellStyle name="Normal 9 2 2 4 2 4" xfId="16790" xr:uid="{00000000-0005-0000-0000-00009FA90000}"/>
    <cellStyle name="Normal 9 2 2 4 2 4 2" xfId="39433" xr:uid="{00000000-0005-0000-0000-0000A0A90000}"/>
    <cellStyle name="Normal 9 2 2 4 2 5" xfId="9350" xr:uid="{00000000-0005-0000-0000-0000A1A90000}"/>
    <cellStyle name="Normal 9 2 2 4 2 5 2" xfId="31993" xr:uid="{00000000-0005-0000-0000-0000A2A90000}"/>
    <cellStyle name="Normal 9 2 2 4 2 6" xfId="24552" xr:uid="{00000000-0005-0000-0000-0000A3A90000}"/>
    <cellStyle name="Normal 9 2 2 4 3" xfId="2825" xr:uid="{00000000-0005-0000-0000-0000A4A90000}"/>
    <cellStyle name="Normal 9 2 2 4 3 2" xfId="6546" xr:uid="{00000000-0005-0000-0000-0000A5A90000}"/>
    <cellStyle name="Normal 9 2 2 4 3 2 2" xfId="21430" xr:uid="{00000000-0005-0000-0000-0000A6A90000}"/>
    <cellStyle name="Normal 9 2 2 4 3 2 2 2" xfId="44073" xr:uid="{00000000-0005-0000-0000-0000A7A90000}"/>
    <cellStyle name="Normal 9 2 2 4 3 2 3" xfId="13990" xr:uid="{00000000-0005-0000-0000-0000A8A90000}"/>
    <cellStyle name="Normal 9 2 2 4 3 2 3 2" xfId="36633" xr:uid="{00000000-0005-0000-0000-0000A9A90000}"/>
    <cellStyle name="Normal 9 2 2 4 3 2 4" xfId="29192" xr:uid="{00000000-0005-0000-0000-0000AAA90000}"/>
    <cellStyle name="Normal 9 2 2 4 3 3" xfId="17712" xr:uid="{00000000-0005-0000-0000-0000ABA90000}"/>
    <cellStyle name="Normal 9 2 2 4 3 3 2" xfId="40355" xr:uid="{00000000-0005-0000-0000-0000ACA90000}"/>
    <cellStyle name="Normal 9 2 2 4 3 4" xfId="10272" xr:uid="{00000000-0005-0000-0000-0000ADA90000}"/>
    <cellStyle name="Normal 9 2 2 4 3 4 2" xfId="32915" xr:uid="{00000000-0005-0000-0000-0000AEA90000}"/>
    <cellStyle name="Normal 9 2 2 4 3 5" xfId="25474" xr:uid="{00000000-0005-0000-0000-0000AFA90000}"/>
    <cellStyle name="Normal 9 2 2 4 4" xfId="4699" xr:uid="{00000000-0005-0000-0000-0000B0A90000}"/>
    <cellStyle name="Normal 9 2 2 4 4 2" xfId="19583" xr:uid="{00000000-0005-0000-0000-0000B1A90000}"/>
    <cellStyle name="Normal 9 2 2 4 4 2 2" xfId="42226" xr:uid="{00000000-0005-0000-0000-0000B2A90000}"/>
    <cellStyle name="Normal 9 2 2 4 4 3" xfId="12143" xr:uid="{00000000-0005-0000-0000-0000B3A90000}"/>
    <cellStyle name="Normal 9 2 2 4 4 3 2" xfId="34786" xr:uid="{00000000-0005-0000-0000-0000B4A90000}"/>
    <cellStyle name="Normal 9 2 2 4 4 4" xfId="27345" xr:uid="{00000000-0005-0000-0000-0000B5A90000}"/>
    <cellStyle name="Normal 9 2 2 4 5" xfId="15865" xr:uid="{00000000-0005-0000-0000-0000B6A90000}"/>
    <cellStyle name="Normal 9 2 2 4 5 2" xfId="38508" xr:uid="{00000000-0005-0000-0000-0000B7A90000}"/>
    <cellStyle name="Normal 9 2 2 4 6" xfId="8425" xr:uid="{00000000-0005-0000-0000-0000B8A90000}"/>
    <cellStyle name="Normal 9 2 2 4 6 2" xfId="31068" xr:uid="{00000000-0005-0000-0000-0000B9A90000}"/>
    <cellStyle name="Normal 9 2 2 4 7" xfId="23627" xr:uid="{00000000-0005-0000-0000-0000BAA90000}"/>
    <cellStyle name="Normal 9 2 2 5" xfId="1438" xr:uid="{00000000-0005-0000-0000-0000BBA90000}"/>
    <cellStyle name="Normal 9 2 2 5 2" xfId="3288" xr:uid="{00000000-0005-0000-0000-0000BCA90000}"/>
    <cellStyle name="Normal 9 2 2 5 2 2" xfId="7009" xr:uid="{00000000-0005-0000-0000-0000BDA90000}"/>
    <cellStyle name="Normal 9 2 2 5 2 2 2" xfId="21893" xr:uid="{00000000-0005-0000-0000-0000BEA90000}"/>
    <cellStyle name="Normal 9 2 2 5 2 2 2 2" xfId="44536" xr:uid="{00000000-0005-0000-0000-0000BFA90000}"/>
    <cellStyle name="Normal 9 2 2 5 2 2 3" xfId="14453" xr:uid="{00000000-0005-0000-0000-0000C0A90000}"/>
    <cellStyle name="Normal 9 2 2 5 2 2 3 2" xfId="37096" xr:uid="{00000000-0005-0000-0000-0000C1A90000}"/>
    <cellStyle name="Normal 9 2 2 5 2 2 4" xfId="29655" xr:uid="{00000000-0005-0000-0000-0000C2A90000}"/>
    <cellStyle name="Normal 9 2 2 5 2 3" xfId="18175" xr:uid="{00000000-0005-0000-0000-0000C3A90000}"/>
    <cellStyle name="Normal 9 2 2 5 2 3 2" xfId="40818" xr:uid="{00000000-0005-0000-0000-0000C4A90000}"/>
    <cellStyle name="Normal 9 2 2 5 2 4" xfId="10735" xr:uid="{00000000-0005-0000-0000-0000C5A90000}"/>
    <cellStyle name="Normal 9 2 2 5 2 4 2" xfId="33378" xr:uid="{00000000-0005-0000-0000-0000C6A90000}"/>
    <cellStyle name="Normal 9 2 2 5 2 5" xfId="25937" xr:uid="{00000000-0005-0000-0000-0000C7A90000}"/>
    <cellStyle name="Normal 9 2 2 5 3" xfId="5162" xr:uid="{00000000-0005-0000-0000-0000C8A90000}"/>
    <cellStyle name="Normal 9 2 2 5 3 2" xfId="20046" xr:uid="{00000000-0005-0000-0000-0000C9A90000}"/>
    <cellStyle name="Normal 9 2 2 5 3 2 2" xfId="42689" xr:uid="{00000000-0005-0000-0000-0000CAA90000}"/>
    <cellStyle name="Normal 9 2 2 5 3 3" xfId="12606" xr:uid="{00000000-0005-0000-0000-0000CBA90000}"/>
    <cellStyle name="Normal 9 2 2 5 3 3 2" xfId="35249" xr:uid="{00000000-0005-0000-0000-0000CCA90000}"/>
    <cellStyle name="Normal 9 2 2 5 3 4" xfId="27808" xr:uid="{00000000-0005-0000-0000-0000CDA90000}"/>
    <cellStyle name="Normal 9 2 2 5 4" xfId="16328" xr:uid="{00000000-0005-0000-0000-0000CEA90000}"/>
    <cellStyle name="Normal 9 2 2 5 4 2" xfId="38971" xr:uid="{00000000-0005-0000-0000-0000CFA90000}"/>
    <cellStyle name="Normal 9 2 2 5 5" xfId="8888" xr:uid="{00000000-0005-0000-0000-0000D0A90000}"/>
    <cellStyle name="Normal 9 2 2 5 5 2" xfId="31531" xr:uid="{00000000-0005-0000-0000-0000D1A90000}"/>
    <cellStyle name="Normal 9 2 2 5 6" xfId="24090" xr:uid="{00000000-0005-0000-0000-0000D2A90000}"/>
    <cellStyle name="Normal 9 2 2 6" xfId="2363" xr:uid="{00000000-0005-0000-0000-0000D3A90000}"/>
    <cellStyle name="Normal 9 2 2 6 2" xfId="6084" xr:uid="{00000000-0005-0000-0000-0000D4A90000}"/>
    <cellStyle name="Normal 9 2 2 6 2 2" xfId="20968" xr:uid="{00000000-0005-0000-0000-0000D5A90000}"/>
    <cellStyle name="Normal 9 2 2 6 2 2 2" xfId="43611" xr:uid="{00000000-0005-0000-0000-0000D6A90000}"/>
    <cellStyle name="Normal 9 2 2 6 2 3" xfId="13528" xr:uid="{00000000-0005-0000-0000-0000D7A90000}"/>
    <cellStyle name="Normal 9 2 2 6 2 3 2" xfId="36171" xr:uid="{00000000-0005-0000-0000-0000D8A90000}"/>
    <cellStyle name="Normal 9 2 2 6 2 4" xfId="28730" xr:uid="{00000000-0005-0000-0000-0000D9A90000}"/>
    <cellStyle name="Normal 9 2 2 6 3" xfId="17250" xr:uid="{00000000-0005-0000-0000-0000DAA90000}"/>
    <cellStyle name="Normal 9 2 2 6 3 2" xfId="39893" xr:uid="{00000000-0005-0000-0000-0000DBA90000}"/>
    <cellStyle name="Normal 9 2 2 6 4" xfId="9810" xr:uid="{00000000-0005-0000-0000-0000DCA90000}"/>
    <cellStyle name="Normal 9 2 2 6 4 2" xfId="32453" xr:uid="{00000000-0005-0000-0000-0000DDA90000}"/>
    <cellStyle name="Normal 9 2 2 6 5" xfId="25012" xr:uid="{00000000-0005-0000-0000-0000DEA90000}"/>
    <cellStyle name="Normal 9 2 2 7" xfId="4237" xr:uid="{00000000-0005-0000-0000-0000DFA90000}"/>
    <cellStyle name="Normal 9 2 2 7 2" xfId="19121" xr:uid="{00000000-0005-0000-0000-0000E0A90000}"/>
    <cellStyle name="Normal 9 2 2 7 2 2" xfId="41764" xr:uid="{00000000-0005-0000-0000-0000E1A90000}"/>
    <cellStyle name="Normal 9 2 2 7 3" xfId="11681" xr:uid="{00000000-0005-0000-0000-0000E2A90000}"/>
    <cellStyle name="Normal 9 2 2 7 3 2" xfId="34324" xr:uid="{00000000-0005-0000-0000-0000E3A90000}"/>
    <cellStyle name="Normal 9 2 2 7 4" xfId="26883" xr:uid="{00000000-0005-0000-0000-0000E4A90000}"/>
    <cellStyle name="Normal 9 2 2 8" xfId="15403" xr:uid="{00000000-0005-0000-0000-0000E5A90000}"/>
    <cellStyle name="Normal 9 2 2 8 2" xfId="38046" xr:uid="{00000000-0005-0000-0000-0000E6A90000}"/>
    <cellStyle name="Normal 9 2 2 9" xfId="7963" xr:uid="{00000000-0005-0000-0000-0000E7A90000}"/>
    <cellStyle name="Normal 9 2 2 9 2" xfId="30606" xr:uid="{00000000-0005-0000-0000-0000E8A90000}"/>
    <cellStyle name="Normal 9 2 3" xfId="559" xr:uid="{00000000-0005-0000-0000-0000E9A90000}"/>
    <cellStyle name="Normal 9 2 3 2" xfId="771" xr:uid="{00000000-0005-0000-0000-0000EAA90000}"/>
    <cellStyle name="Normal 9 2 3 2 2" xfId="1236" xr:uid="{00000000-0005-0000-0000-0000EBA90000}"/>
    <cellStyle name="Normal 9 2 3 2 2 2" xfId="2164" xr:uid="{00000000-0005-0000-0000-0000ECA90000}"/>
    <cellStyle name="Normal 9 2 3 2 2 2 2" xfId="4014" xr:uid="{00000000-0005-0000-0000-0000EDA90000}"/>
    <cellStyle name="Normal 9 2 3 2 2 2 2 2" xfId="7735" xr:uid="{00000000-0005-0000-0000-0000EEA90000}"/>
    <cellStyle name="Normal 9 2 3 2 2 2 2 2 2" xfId="22619" xr:uid="{00000000-0005-0000-0000-0000EFA90000}"/>
    <cellStyle name="Normal 9 2 3 2 2 2 2 2 2 2" xfId="45262" xr:uid="{00000000-0005-0000-0000-0000F0A90000}"/>
    <cellStyle name="Normal 9 2 3 2 2 2 2 2 3" xfId="15179" xr:uid="{00000000-0005-0000-0000-0000F1A90000}"/>
    <cellStyle name="Normal 9 2 3 2 2 2 2 2 3 2" xfId="37822" xr:uid="{00000000-0005-0000-0000-0000F2A90000}"/>
    <cellStyle name="Normal 9 2 3 2 2 2 2 2 4" xfId="30381" xr:uid="{00000000-0005-0000-0000-0000F3A90000}"/>
    <cellStyle name="Normal 9 2 3 2 2 2 2 3" xfId="18901" xr:uid="{00000000-0005-0000-0000-0000F4A90000}"/>
    <cellStyle name="Normal 9 2 3 2 2 2 2 3 2" xfId="41544" xr:uid="{00000000-0005-0000-0000-0000F5A90000}"/>
    <cellStyle name="Normal 9 2 3 2 2 2 2 4" xfId="11461" xr:uid="{00000000-0005-0000-0000-0000F6A90000}"/>
    <cellStyle name="Normal 9 2 3 2 2 2 2 4 2" xfId="34104" xr:uid="{00000000-0005-0000-0000-0000F7A90000}"/>
    <cellStyle name="Normal 9 2 3 2 2 2 2 5" xfId="26663" xr:uid="{00000000-0005-0000-0000-0000F8A90000}"/>
    <cellStyle name="Normal 9 2 3 2 2 2 3" xfId="5888" xr:uid="{00000000-0005-0000-0000-0000F9A90000}"/>
    <cellStyle name="Normal 9 2 3 2 2 2 3 2" xfId="20772" xr:uid="{00000000-0005-0000-0000-0000FAA90000}"/>
    <cellStyle name="Normal 9 2 3 2 2 2 3 2 2" xfId="43415" xr:uid="{00000000-0005-0000-0000-0000FBA90000}"/>
    <cellStyle name="Normal 9 2 3 2 2 2 3 3" xfId="13332" xr:uid="{00000000-0005-0000-0000-0000FCA90000}"/>
    <cellStyle name="Normal 9 2 3 2 2 2 3 3 2" xfId="35975" xr:uid="{00000000-0005-0000-0000-0000FDA90000}"/>
    <cellStyle name="Normal 9 2 3 2 2 2 3 4" xfId="28534" xr:uid="{00000000-0005-0000-0000-0000FEA90000}"/>
    <cellStyle name="Normal 9 2 3 2 2 2 4" xfId="17054" xr:uid="{00000000-0005-0000-0000-0000FFA90000}"/>
    <cellStyle name="Normal 9 2 3 2 2 2 4 2" xfId="39697" xr:uid="{00000000-0005-0000-0000-000000AA0000}"/>
    <cellStyle name="Normal 9 2 3 2 2 2 5" xfId="9614" xr:uid="{00000000-0005-0000-0000-000001AA0000}"/>
    <cellStyle name="Normal 9 2 3 2 2 2 5 2" xfId="32257" xr:uid="{00000000-0005-0000-0000-000002AA0000}"/>
    <cellStyle name="Normal 9 2 3 2 2 2 6" xfId="24816" xr:uid="{00000000-0005-0000-0000-000003AA0000}"/>
    <cellStyle name="Normal 9 2 3 2 2 3" xfId="3089" xr:uid="{00000000-0005-0000-0000-000004AA0000}"/>
    <cellStyle name="Normal 9 2 3 2 2 3 2" xfId="6810" xr:uid="{00000000-0005-0000-0000-000005AA0000}"/>
    <cellStyle name="Normal 9 2 3 2 2 3 2 2" xfId="21694" xr:uid="{00000000-0005-0000-0000-000006AA0000}"/>
    <cellStyle name="Normal 9 2 3 2 2 3 2 2 2" xfId="44337" xr:uid="{00000000-0005-0000-0000-000007AA0000}"/>
    <cellStyle name="Normal 9 2 3 2 2 3 2 3" xfId="14254" xr:uid="{00000000-0005-0000-0000-000008AA0000}"/>
    <cellStyle name="Normal 9 2 3 2 2 3 2 3 2" xfId="36897" xr:uid="{00000000-0005-0000-0000-000009AA0000}"/>
    <cellStyle name="Normal 9 2 3 2 2 3 2 4" xfId="29456" xr:uid="{00000000-0005-0000-0000-00000AAA0000}"/>
    <cellStyle name="Normal 9 2 3 2 2 3 3" xfId="17976" xr:uid="{00000000-0005-0000-0000-00000BAA0000}"/>
    <cellStyle name="Normal 9 2 3 2 2 3 3 2" xfId="40619" xr:uid="{00000000-0005-0000-0000-00000CAA0000}"/>
    <cellStyle name="Normal 9 2 3 2 2 3 4" xfId="10536" xr:uid="{00000000-0005-0000-0000-00000DAA0000}"/>
    <cellStyle name="Normal 9 2 3 2 2 3 4 2" xfId="33179" xr:uid="{00000000-0005-0000-0000-00000EAA0000}"/>
    <cellStyle name="Normal 9 2 3 2 2 3 5" xfId="25738" xr:uid="{00000000-0005-0000-0000-00000FAA0000}"/>
    <cellStyle name="Normal 9 2 3 2 2 4" xfId="4963" xr:uid="{00000000-0005-0000-0000-000010AA0000}"/>
    <cellStyle name="Normal 9 2 3 2 2 4 2" xfId="19847" xr:uid="{00000000-0005-0000-0000-000011AA0000}"/>
    <cellStyle name="Normal 9 2 3 2 2 4 2 2" xfId="42490" xr:uid="{00000000-0005-0000-0000-000012AA0000}"/>
    <cellStyle name="Normal 9 2 3 2 2 4 3" xfId="12407" xr:uid="{00000000-0005-0000-0000-000013AA0000}"/>
    <cellStyle name="Normal 9 2 3 2 2 4 3 2" xfId="35050" xr:uid="{00000000-0005-0000-0000-000014AA0000}"/>
    <cellStyle name="Normal 9 2 3 2 2 4 4" xfId="27609" xr:uid="{00000000-0005-0000-0000-000015AA0000}"/>
    <cellStyle name="Normal 9 2 3 2 2 5" xfId="16129" xr:uid="{00000000-0005-0000-0000-000016AA0000}"/>
    <cellStyle name="Normal 9 2 3 2 2 5 2" xfId="38772" xr:uid="{00000000-0005-0000-0000-000017AA0000}"/>
    <cellStyle name="Normal 9 2 3 2 2 6" xfId="8689" xr:uid="{00000000-0005-0000-0000-000018AA0000}"/>
    <cellStyle name="Normal 9 2 3 2 2 6 2" xfId="31332" xr:uid="{00000000-0005-0000-0000-000019AA0000}"/>
    <cellStyle name="Normal 9 2 3 2 2 7" xfId="23891" xr:uid="{00000000-0005-0000-0000-00001AAA0000}"/>
    <cellStyle name="Normal 9 2 3 2 3" xfId="1702" xr:uid="{00000000-0005-0000-0000-00001BAA0000}"/>
    <cellStyle name="Normal 9 2 3 2 3 2" xfId="3552" xr:uid="{00000000-0005-0000-0000-00001CAA0000}"/>
    <cellStyle name="Normal 9 2 3 2 3 2 2" xfId="7273" xr:uid="{00000000-0005-0000-0000-00001DAA0000}"/>
    <cellStyle name="Normal 9 2 3 2 3 2 2 2" xfId="22157" xr:uid="{00000000-0005-0000-0000-00001EAA0000}"/>
    <cellStyle name="Normal 9 2 3 2 3 2 2 2 2" xfId="44800" xr:uid="{00000000-0005-0000-0000-00001FAA0000}"/>
    <cellStyle name="Normal 9 2 3 2 3 2 2 3" xfId="14717" xr:uid="{00000000-0005-0000-0000-000020AA0000}"/>
    <cellStyle name="Normal 9 2 3 2 3 2 2 3 2" xfId="37360" xr:uid="{00000000-0005-0000-0000-000021AA0000}"/>
    <cellStyle name="Normal 9 2 3 2 3 2 2 4" xfId="29919" xr:uid="{00000000-0005-0000-0000-000022AA0000}"/>
    <cellStyle name="Normal 9 2 3 2 3 2 3" xfId="18439" xr:uid="{00000000-0005-0000-0000-000023AA0000}"/>
    <cellStyle name="Normal 9 2 3 2 3 2 3 2" xfId="41082" xr:uid="{00000000-0005-0000-0000-000024AA0000}"/>
    <cellStyle name="Normal 9 2 3 2 3 2 4" xfId="10999" xr:uid="{00000000-0005-0000-0000-000025AA0000}"/>
    <cellStyle name="Normal 9 2 3 2 3 2 4 2" xfId="33642" xr:uid="{00000000-0005-0000-0000-000026AA0000}"/>
    <cellStyle name="Normal 9 2 3 2 3 2 5" xfId="26201" xr:uid="{00000000-0005-0000-0000-000027AA0000}"/>
    <cellStyle name="Normal 9 2 3 2 3 3" xfId="5426" xr:uid="{00000000-0005-0000-0000-000028AA0000}"/>
    <cellStyle name="Normal 9 2 3 2 3 3 2" xfId="20310" xr:uid="{00000000-0005-0000-0000-000029AA0000}"/>
    <cellStyle name="Normal 9 2 3 2 3 3 2 2" xfId="42953" xr:uid="{00000000-0005-0000-0000-00002AAA0000}"/>
    <cellStyle name="Normal 9 2 3 2 3 3 3" xfId="12870" xr:uid="{00000000-0005-0000-0000-00002BAA0000}"/>
    <cellStyle name="Normal 9 2 3 2 3 3 3 2" xfId="35513" xr:uid="{00000000-0005-0000-0000-00002CAA0000}"/>
    <cellStyle name="Normal 9 2 3 2 3 3 4" xfId="28072" xr:uid="{00000000-0005-0000-0000-00002DAA0000}"/>
    <cellStyle name="Normal 9 2 3 2 3 4" xfId="16592" xr:uid="{00000000-0005-0000-0000-00002EAA0000}"/>
    <cellStyle name="Normal 9 2 3 2 3 4 2" xfId="39235" xr:uid="{00000000-0005-0000-0000-00002FAA0000}"/>
    <cellStyle name="Normal 9 2 3 2 3 5" xfId="9152" xr:uid="{00000000-0005-0000-0000-000030AA0000}"/>
    <cellStyle name="Normal 9 2 3 2 3 5 2" xfId="31795" xr:uid="{00000000-0005-0000-0000-000031AA0000}"/>
    <cellStyle name="Normal 9 2 3 2 3 6" xfId="24354" xr:uid="{00000000-0005-0000-0000-000032AA0000}"/>
    <cellStyle name="Normal 9 2 3 2 4" xfId="2627" xr:uid="{00000000-0005-0000-0000-000033AA0000}"/>
    <cellStyle name="Normal 9 2 3 2 4 2" xfId="6348" xr:uid="{00000000-0005-0000-0000-000034AA0000}"/>
    <cellStyle name="Normal 9 2 3 2 4 2 2" xfId="21232" xr:uid="{00000000-0005-0000-0000-000035AA0000}"/>
    <cellStyle name="Normal 9 2 3 2 4 2 2 2" xfId="43875" xr:uid="{00000000-0005-0000-0000-000036AA0000}"/>
    <cellStyle name="Normal 9 2 3 2 4 2 3" xfId="13792" xr:uid="{00000000-0005-0000-0000-000037AA0000}"/>
    <cellStyle name="Normal 9 2 3 2 4 2 3 2" xfId="36435" xr:uid="{00000000-0005-0000-0000-000038AA0000}"/>
    <cellStyle name="Normal 9 2 3 2 4 2 4" xfId="28994" xr:uid="{00000000-0005-0000-0000-000039AA0000}"/>
    <cellStyle name="Normal 9 2 3 2 4 3" xfId="17514" xr:uid="{00000000-0005-0000-0000-00003AAA0000}"/>
    <cellStyle name="Normal 9 2 3 2 4 3 2" xfId="40157" xr:uid="{00000000-0005-0000-0000-00003BAA0000}"/>
    <cellStyle name="Normal 9 2 3 2 4 4" xfId="10074" xr:uid="{00000000-0005-0000-0000-00003CAA0000}"/>
    <cellStyle name="Normal 9 2 3 2 4 4 2" xfId="32717" xr:uid="{00000000-0005-0000-0000-00003DAA0000}"/>
    <cellStyle name="Normal 9 2 3 2 4 5" xfId="25276" xr:uid="{00000000-0005-0000-0000-00003EAA0000}"/>
    <cellStyle name="Normal 9 2 3 2 5" xfId="4501" xr:uid="{00000000-0005-0000-0000-00003FAA0000}"/>
    <cellStyle name="Normal 9 2 3 2 5 2" xfId="19385" xr:uid="{00000000-0005-0000-0000-000040AA0000}"/>
    <cellStyle name="Normal 9 2 3 2 5 2 2" xfId="42028" xr:uid="{00000000-0005-0000-0000-000041AA0000}"/>
    <cellStyle name="Normal 9 2 3 2 5 3" xfId="11945" xr:uid="{00000000-0005-0000-0000-000042AA0000}"/>
    <cellStyle name="Normal 9 2 3 2 5 3 2" xfId="34588" xr:uid="{00000000-0005-0000-0000-000043AA0000}"/>
    <cellStyle name="Normal 9 2 3 2 5 4" xfId="27147" xr:uid="{00000000-0005-0000-0000-000044AA0000}"/>
    <cellStyle name="Normal 9 2 3 2 6" xfId="15667" xr:uid="{00000000-0005-0000-0000-000045AA0000}"/>
    <cellStyle name="Normal 9 2 3 2 6 2" xfId="38310" xr:uid="{00000000-0005-0000-0000-000046AA0000}"/>
    <cellStyle name="Normal 9 2 3 2 7" xfId="8227" xr:uid="{00000000-0005-0000-0000-000047AA0000}"/>
    <cellStyle name="Normal 9 2 3 2 7 2" xfId="30870" xr:uid="{00000000-0005-0000-0000-000048AA0000}"/>
    <cellStyle name="Normal 9 2 3 2 8" xfId="23429" xr:uid="{00000000-0005-0000-0000-000049AA0000}"/>
    <cellStyle name="Normal 9 2 3 3" xfId="1025" xr:uid="{00000000-0005-0000-0000-00004AAA0000}"/>
    <cellStyle name="Normal 9 2 3 3 2" xfId="1953" xr:uid="{00000000-0005-0000-0000-00004BAA0000}"/>
    <cellStyle name="Normal 9 2 3 3 2 2" xfId="3803" xr:uid="{00000000-0005-0000-0000-00004CAA0000}"/>
    <cellStyle name="Normal 9 2 3 3 2 2 2" xfId="7524" xr:uid="{00000000-0005-0000-0000-00004DAA0000}"/>
    <cellStyle name="Normal 9 2 3 3 2 2 2 2" xfId="22408" xr:uid="{00000000-0005-0000-0000-00004EAA0000}"/>
    <cellStyle name="Normal 9 2 3 3 2 2 2 2 2" xfId="45051" xr:uid="{00000000-0005-0000-0000-00004FAA0000}"/>
    <cellStyle name="Normal 9 2 3 3 2 2 2 3" xfId="14968" xr:uid="{00000000-0005-0000-0000-000050AA0000}"/>
    <cellStyle name="Normal 9 2 3 3 2 2 2 3 2" xfId="37611" xr:uid="{00000000-0005-0000-0000-000051AA0000}"/>
    <cellStyle name="Normal 9 2 3 3 2 2 2 4" xfId="30170" xr:uid="{00000000-0005-0000-0000-000052AA0000}"/>
    <cellStyle name="Normal 9 2 3 3 2 2 3" xfId="18690" xr:uid="{00000000-0005-0000-0000-000053AA0000}"/>
    <cellStyle name="Normal 9 2 3 3 2 2 3 2" xfId="41333" xr:uid="{00000000-0005-0000-0000-000054AA0000}"/>
    <cellStyle name="Normal 9 2 3 3 2 2 4" xfId="11250" xr:uid="{00000000-0005-0000-0000-000055AA0000}"/>
    <cellStyle name="Normal 9 2 3 3 2 2 4 2" xfId="33893" xr:uid="{00000000-0005-0000-0000-000056AA0000}"/>
    <cellStyle name="Normal 9 2 3 3 2 2 5" xfId="26452" xr:uid="{00000000-0005-0000-0000-000057AA0000}"/>
    <cellStyle name="Normal 9 2 3 3 2 3" xfId="5677" xr:uid="{00000000-0005-0000-0000-000058AA0000}"/>
    <cellStyle name="Normal 9 2 3 3 2 3 2" xfId="20561" xr:uid="{00000000-0005-0000-0000-000059AA0000}"/>
    <cellStyle name="Normal 9 2 3 3 2 3 2 2" xfId="43204" xr:uid="{00000000-0005-0000-0000-00005AAA0000}"/>
    <cellStyle name="Normal 9 2 3 3 2 3 3" xfId="13121" xr:uid="{00000000-0005-0000-0000-00005BAA0000}"/>
    <cellStyle name="Normal 9 2 3 3 2 3 3 2" xfId="35764" xr:uid="{00000000-0005-0000-0000-00005CAA0000}"/>
    <cellStyle name="Normal 9 2 3 3 2 3 4" xfId="28323" xr:uid="{00000000-0005-0000-0000-00005DAA0000}"/>
    <cellStyle name="Normal 9 2 3 3 2 4" xfId="16843" xr:uid="{00000000-0005-0000-0000-00005EAA0000}"/>
    <cellStyle name="Normal 9 2 3 3 2 4 2" xfId="39486" xr:uid="{00000000-0005-0000-0000-00005FAA0000}"/>
    <cellStyle name="Normal 9 2 3 3 2 5" xfId="9403" xr:uid="{00000000-0005-0000-0000-000060AA0000}"/>
    <cellStyle name="Normal 9 2 3 3 2 5 2" xfId="32046" xr:uid="{00000000-0005-0000-0000-000061AA0000}"/>
    <cellStyle name="Normal 9 2 3 3 2 6" xfId="24605" xr:uid="{00000000-0005-0000-0000-000062AA0000}"/>
    <cellStyle name="Normal 9 2 3 3 3" xfId="2878" xr:uid="{00000000-0005-0000-0000-000063AA0000}"/>
    <cellStyle name="Normal 9 2 3 3 3 2" xfId="6599" xr:uid="{00000000-0005-0000-0000-000064AA0000}"/>
    <cellStyle name="Normal 9 2 3 3 3 2 2" xfId="21483" xr:uid="{00000000-0005-0000-0000-000065AA0000}"/>
    <cellStyle name="Normal 9 2 3 3 3 2 2 2" xfId="44126" xr:uid="{00000000-0005-0000-0000-000066AA0000}"/>
    <cellStyle name="Normal 9 2 3 3 3 2 3" xfId="14043" xr:uid="{00000000-0005-0000-0000-000067AA0000}"/>
    <cellStyle name="Normal 9 2 3 3 3 2 3 2" xfId="36686" xr:uid="{00000000-0005-0000-0000-000068AA0000}"/>
    <cellStyle name="Normal 9 2 3 3 3 2 4" xfId="29245" xr:uid="{00000000-0005-0000-0000-000069AA0000}"/>
    <cellStyle name="Normal 9 2 3 3 3 3" xfId="17765" xr:uid="{00000000-0005-0000-0000-00006AAA0000}"/>
    <cellStyle name="Normal 9 2 3 3 3 3 2" xfId="40408" xr:uid="{00000000-0005-0000-0000-00006BAA0000}"/>
    <cellStyle name="Normal 9 2 3 3 3 4" xfId="10325" xr:uid="{00000000-0005-0000-0000-00006CAA0000}"/>
    <cellStyle name="Normal 9 2 3 3 3 4 2" xfId="32968" xr:uid="{00000000-0005-0000-0000-00006DAA0000}"/>
    <cellStyle name="Normal 9 2 3 3 3 5" xfId="25527" xr:uid="{00000000-0005-0000-0000-00006EAA0000}"/>
    <cellStyle name="Normal 9 2 3 3 4" xfId="4752" xr:uid="{00000000-0005-0000-0000-00006FAA0000}"/>
    <cellStyle name="Normal 9 2 3 3 4 2" xfId="19636" xr:uid="{00000000-0005-0000-0000-000070AA0000}"/>
    <cellStyle name="Normal 9 2 3 3 4 2 2" xfId="42279" xr:uid="{00000000-0005-0000-0000-000071AA0000}"/>
    <cellStyle name="Normal 9 2 3 3 4 3" xfId="12196" xr:uid="{00000000-0005-0000-0000-000072AA0000}"/>
    <cellStyle name="Normal 9 2 3 3 4 3 2" xfId="34839" xr:uid="{00000000-0005-0000-0000-000073AA0000}"/>
    <cellStyle name="Normal 9 2 3 3 4 4" xfId="27398" xr:uid="{00000000-0005-0000-0000-000074AA0000}"/>
    <cellStyle name="Normal 9 2 3 3 5" xfId="15918" xr:uid="{00000000-0005-0000-0000-000075AA0000}"/>
    <cellStyle name="Normal 9 2 3 3 5 2" xfId="38561" xr:uid="{00000000-0005-0000-0000-000076AA0000}"/>
    <cellStyle name="Normal 9 2 3 3 6" xfId="8478" xr:uid="{00000000-0005-0000-0000-000077AA0000}"/>
    <cellStyle name="Normal 9 2 3 3 6 2" xfId="31121" xr:uid="{00000000-0005-0000-0000-000078AA0000}"/>
    <cellStyle name="Normal 9 2 3 3 7" xfId="23680" xr:uid="{00000000-0005-0000-0000-000079AA0000}"/>
    <cellStyle name="Normal 9 2 3 4" xfId="1491" xr:uid="{00000000-0005-0000-0000-00007AAA0000}"/>
    <cellStyle name="Normal 9 2 3 4 2" xfId="3341" xr:uid="{00000000-0005-0000-0000-00007BAA0000}"/>
    <cellStyle name="Normal 9 2 3 4 2 2" xfId="7062" xr:uid="{00000000-0005-0000-0000-00007CAA0000}"/>
    <cellStyle name="Normal 9 2 3 4 2 2 2" xfId="21946" xr:uid="{00000000-0005-0000-0000-00007DAA0000}"/>
    <cellStyle name="Normal 9 2 3 4 2 2 2 2" xfId="44589" xr:uid="{00000000-0005-0000-0000-00007EAA0000}"/>
    <cellStyle name="Normal 9 2 3 4 2 2 3" xfId="14506" xr:uid="{00000000-0005-0000-0000-00007FAA0000}"/>
    <cellStyle name="Normal 9 2 3 4 2 2 3 2" xfId="37149" xr:uid="{00000000-0005-0000-0000-000080AA0000}"/>
    <cellStyle name="Normal 9 2 3 4 2 2 4" xfId="29708" xr:uid="{00000000-0005-0000-0000-000081AA0000}"/>
    <cellStyle name="Normal 9 2 3 4 2 3" xfId="18228" xr:uid="{00000000-0005-0000-0000-000082AA0000}"/>
    <cellStyle name="Normal 9 2 3 4 2 3 2" xfId="40871" xr:uid="{00000000-0005-0000-0000-000083AA0000}"/>
    <cellStyle name="Normal 9 2 3 4 2 4" xfId="10788" xr:uid="{00000000-0005-0000-0000-000084AA0000}"/>
    <cellStyle name="Normal 9 2 3 4 2 4 2" xfId="33431" xr:uid="{00000000-0005-0000-0000-000085AA0000}"/>
    <cellStyle name="Normal 9 2 3 4 2 5" xfId="25990" xr:uid="{00000000-0005-0000-0000-000086AA0000}"/>
    <cellStyle name="Normal 9 2 3 4 3" xfId="5215" xr:uid="{00000000-0005-0000-0000-000087AA0000}"/>
    <cellStyle name="Normal 9 2 3 4 3 2" xfId="20099" xr:uid="{00000000-0005-0000-0000-000088AA0000}"/>
    <cellStyle name="Normal 9 2 3 4 3 2 2" xfId="42742" xr:uid="{00000000-0005-0000-0000-000089AA0000}"/>
    <cellStyle name="Normal 9 2 3 4 3 3" xfId="12659" xr:uid="{00000000-0005-0000-0000-00008AAA0000}"/>
    <cellStyle name="Normal 9 2 3 4 3 3 2" xfId="35302" xr:uid="{00000000-0005-0000-0000-00008BAA0000}"/>
    <cellStyle name="Normal 9 2 3 4 3 4" xfId="27861" xr:uid="{00000000-0005-0000-0000-00008CAA0000}"/>
    <cellStyle name="Normal 9 2 3 4 4" xfId="16381" xr:uid="{00000000-0005-0000-0000-00008DAA0000}"/>
    <cellStyle name="Normal 9 2 3 4 4 2" xfId="39024" xr:uid="{00000000-0005-0000-0000-00008EAA0000}"/>
    <cellStyle name="Normal 9 2 3 4 5" xfId="8941" xr:uid="{00000000-0005-0000-0000-00008FAA0000}"/>
    <cellStyle name="Normal 9 2 3 4 5 2" xfId="31584" xr:uid="{00000000-0005-0000-0000-000090AA0000}"/>
    <cellStyle name="Normal 9 2 3 4 6" xfId="24143" xr:uid="{00000000-0005-0000-0000-000091AA0000}"/>
    <cellStyle name="Normal 9 2 3 5" xfId="2416" xr:uid="{00000000-0005-0000-0000-000092AA0000}"/>
    <cellStyle name="Normal 9 2 3 5 2" xfId="6137" xr:uid="{00000000-0005-0000-0000-000093AA0000}"/>
    <cellStyle name="Normal 9 2 3 5 2 2" xfId="21021" xr:uid="{00000000-0005-0000-0000-000094AA0000}"/>
    <cellStyle name="Normal 9 2 3 5 2 2 2" xfId="43664" xr:uid="{00000000-0005-0000-0000-000095AA0000}"/>
    <cellStyle name="Normal 9 2 3 5 2 3" xfId="13581" xr:uid="{00000000-0005-0000-0000-000096AA0000}"/>
    <cellStyle name="Normal 9 2 3 5 2 3 2" xfId="36224" xr:uid="{00000000-0005-0000-0000-000097AA0000}"/>
    <cellStyle name="Normal 9 2 3 5 2 4" xfId="28783" xr:uid="{00000000-0005-0000-0000-000098AA0000}"/>
    <cellStyle name="Normal 9 2 3 5 3" xfId="17303" xr:uid="{00000000-0005-0000-0000-000099AA0000}"/>
    <cellStyle name="Normal 9 2 3 5 3 2" xfId="39946" xr:uid="{00000000-0005-0000-0000-00009AAA0000}"/>
    <cellStyle name="Normal 9 2 3 5 4" xfId="9863" xr:uid="{00000000-0005-0000-0000-00009BAA0000}"/>
    <cellStyle name="Normal 9 2 3 5 4 2" xfId="32506" xr:uid="{00000000-0005-0000-0000-00009CAA0000}"/>
    <cellStyle name="Normal 9 2 3 5 5" xfId="25065" xr:uid="{00000000-0005-0000-0000-00009DAA0000}"/>
    <cellStyle name="Normal 9 2 3 6" xfId="4290" xr:uid="{00000000-0005-0000-0000-00009EAA0000}"/>
    <cellStyle name="Normal 9 2 3 6 2" xfId="19174" xr:uid="{00000000-0005-0000-0000-00009FAA0000}"/>
    <cellStyle name="Normal 9 2 3 6 2 2" xfId="41817" xr:uid="{00000000-0005-0000-0000-0000A0AA0000}"/>
    <cellStyle name="Normal 9 2 3 6 3" xfId="11734" xr:uid="{00000000-0005-0000-0000-0000A1AA0000}"/>
    <cellStyle name="Normal 9 2 3 6 3 2" xfId="34377" xr:uid="{00000000-0005-0000-0000-0000A2AA0000}"/>
    <cellStyle name="Normal 9 2 3 6 4" xfId="26936" xr:uid="{00000000-0005-0000-0000-0000A3AA0000}"/>
    <cellStyle name="Normal 9 2 3 7" xfId="15456" xr:uid="{00000000-0005-0000-0000-0000A4AA0000}"/>
    <cellStyle name="Normal 9 2 3 7 2" xfId="38099" xr:uid="{00000000-0005-0000-0000-0000A5AA0000}"/>
    <cellStyle name="Normal 9 2 3 8" xfId="8016" xr:uid="{00000000-0005-0000-0000-0000A6AA0000}"/>
    <cellStyle name="Normal 9 2 3 8 2" xfId="30659" xr:uid="{00000000-0005-0000-0000-0000A7AA0000}"/>
    <cellStyle name="Normal 9 2 3 9" xfId="23219" xr:uid="{00000000-0005-0000-0000-0000A8AA0000}"/>
    <cellStyle name="Normal 9 2 4" xfId="666" xr:uid="{00000000-0005-0000-0000-0000A9AA0000}"/>
    <cellStyle name="Normal 9 2 4 2" xfId="1131" xr:uid="{00000000-0005-0000-0000-0000AAAA0000}"/>
    <cellStyle name="Normal 9 2 4 2 2" xfId="2059" xr:uid="{00000000-0005-0000-0000-0000ABAA0000}"/>
    <cellStyle name="Normal 9 2 4 2 2 2" xfId="3909" xr:uid="{00000000-0005-0000-0000-0000ACAA0000}"/>
    <cellStyle name="Normal 9 2 4 2 2 2 2" xfId="7630" xr:uid="{00000000-0005-0000-0000-0000ADAA0000}"/>
    <cellStyle name="Normal 9 2 4 2 2 2 2 2" xfId="22514" xr:uid="{00000000-0005-0000-0000-0000AEAA0000}"/>
    <cellStyle name="Normal 9 2 4 2 2 2 2 2 2" xfId="45157" xr:uid="{00000000-0005-0000-0000-0000AFAA0000}"/>
    <cellStyle name="Normal 9 2 4 2 2 2 2 3" xfId="15074" xr:uid="{00000000-0005-0000-0000-0000B0AA0000}"/>
    <cellStyle name="Normal 9 2 4 2 2 2 2 3 2" xfId="37717" xr:uid="{00000000-0005-0000-0000-0000B1AA0000}"/>
    <cellStyle name="Normal 9 2 4 2 2 2 2 4" xfId="30276" xr:uid="{00000000-0005-0000-0000-0000B2AA0000}"/>
    <cellStyle name="Normal 9 2 4 2 2 2 3" xfId="18796" xr:uid="{00000000-0005-0000-0000-0000B3AA0000}"/>
    <cellStyle name="Normal 9 2 4 2 2 2 3 2" xfId="41439" xr:uid="{00000000-0005-0000-0000-0000B4AA0000}"/>
    <cellStyle name="Normal 9 2 4 2 2 2 4" xfId="11356" xr:uid="{00000000-0005-0000-0000-0000B5AA0000}"/>
    <cellStyle name="Normal 9 2 4 2 2 2 4 2" xfId="33999" xr:uid="{00000000-0005-0000-0000-0000B6AA0000}"/>
    <cellStyle name="Normal 9 2 4 2 2 2 5" xfId="26558" xr:uid="{00000000-0005-0000-0000-0000B7AA0000}"/>
    <cellStyle name="Normal 9 2 4 2 2 3" xfId="5783" xr:uid="{00000000-0005-0000-0000-0000B8AA0000}"/>
    <cellStyle name="Normal 9 2 4 2 2 3 2" xfId="20667" xr:uid="{00000000-0005-0000-0000-0000B9AA0000}"/>
    <cellStyle name="Normal 9 2 4 2 2 3 2 2" xfId="43310" xr:uid="{00000000-0005-0000-0000-0000BAAA0000}"/>
    <cellStyle name="Normal 9 2 4 2 2 3 3" xfId="13227" xr:uid="{00000000-0005-0000-0000-0000BBAA0000}"/>
    <cellStyle name="Normal 9 2 4 2 2 3 3 2" xfId="35870" xr:uid="{00000000-0005-0000-0000-0000BCAA0000}"/>
    <cellStyle name="Normal 9 2 4 2 2 3 4" xfId="28429" xr:uid="{00000000-0005-0000-0000-0000BDAA0000}"/>
    <cellStyle name="Normal 9 2 4 2 2 4" xfId="16949" xr:uid="{00000000-0005-0000-0000-0000BEAA0000}"/>
    <cellStyle name="Normal 9 2 4 2 2 4 2" xfId="39592" xr:uid="{00000000-0005-0000-0000-0000BFAA0000}"/>
    <cellStyle name="Normal 9 2 4 2 2 5" xfId="9509" xr:uid="{00000000-0005-0000-0000-0000C0AA0000}"/>
    <cellStyle name="Normal 9 2 4 2 2 5 2" xfId="32152" xr:uid="{00000000-0005-0000-0000-0000C1AA0000}"/>
    <cellStyle name="Normal 9 2 4 2 2 6" xfId="24711" xr:uid="{00000000-0005-0000-0000-0000C2AA0000}"/>
    <cellStyle name="Normal 9 2 4 2 3" xfId="2984" xr:uid="{00000000-0005-0000-0000-0000C3AA0000}"/>
    <cellStyle name="Normal 9 2 4 2 3 2" xfId="6705" xr:uid="{00000000-0005-0000-0000-0000C4AA0000}"/>
    <cellStyle name="Normal 9 2 4 2 3 2 2" xfId="21589" xr:uid="{00000000-0005-0000-0000-0000C5AA0000}"/>
    <cellStyle name="Normal 9 2 4 2 3 2 2 2" xfId="44232" xr:uid="{00000000-0005-0000-0000-0000C6AA0000}"/>
    <cellStyle name="Normal 9 2 4 2 3 2 3" xfId="14149" xr:uid="{00000000-0005-0000-0000-0000C7AA0000}"/>
    <cellStyle name="Normal 9 2 4 2 3 2 3 2" xfId="36792" xr:uid="{00000000-0005-0000-0000-0000C8AA0000}"/>
    <cellStyle name="Normal 9 2 4 2 3 2 4" xfId="29351" xr:uid="{00000000-0005-0000-0000-0000C9AA0000}"/>
    <cellStyle name="Normal 9 2 4 2 3 3" xfId="17871" xr:uid="{00000000-0005-0000-0000-0000CAAA0000}"/>
    <cellStyle name="Normal 9 2 4 2 3 3 2" xfId="40514" xr:uid="{00000000-0005-0000-0000-0000CBAA0000}"/>
    <cellStyle name="Normal 9 2 4 2 3 4" xfId="10431" xr:uid="{00000000-0005-0000-0000-0000CCAA0000}"/>
    <cellStyle name="Normal 9 2 4 2 3 4 2" xfId="33074" xr:uid="{00000000-0005-0000-0000-0000CDAA0000}"/>
    <cellStyle name="Normal 9 2 4 2 3 5" xfId="25633" xr:uid="{00000000-0005-0000-0000-0000CEAA0000}"/>
    <cellStyle name="Normal 9 2 4 2 4" xfId="4858" xr:uid="{00000000-0005-0000-0000-0000CFAA0000}"/>
    <cellStyle name="Normal 9 2 4 2 4 2" xfId="19742" xr:uid="{00000000-0005-0000-0000-0000D0AA0000}"/>
    <cellStyle name="Normal 9 2 4 2 4 2 2" xfId="42385" xr:uid="{00000000-0005-0000-0000-0000D1AA0000}"/>
    <cellStyle name="Normal 9 2 4 2 4 3" xfId="12302" xr:uid="{00000000-0005-0000-0000-0000D2AA0000}"/>
    <cellStyle name="Normal 9 2 4 2 4 3 2" xfId="34945" xr:uid="{00000000-0005-0000-0000-0000D3AA0000}"/>
    <cellStyle name="Normal 9 2 4 2 4 4" xfId="27504" xr:uid="{00000000-0005-0000-0000-0000D4AA0000}"/>
    <cellStyle name="Normal 9 2 4 2 5" xfId="16024" xr:uid="{00000000-0005-0000-0000-0000D5AA0000}"/>
    <cellStyle name="Normal 9 2 4 2 5 2" xfId="38667" xr:uid="{00000000-0005-0000-0000-0000D6AA0000}"/>
    <cellStyle name="Normal 9 2 4 2 6" xfId="8584" xr:uid="{00000000-0005-0000-0000-0000D7AA0000}"/>
    <cellStyle name="Normal 9 2 4 2 6 2" xfId="31227" xr:uid="{00000000-0005-0000-0000-0000D8AA0000}"/>
    <cellStyle name="Normal 9 2 4 2 7" xfId="23786" xr:uid="{00000000-0005-0000-0000-0000D9AA0000}"/>
    <cellStyle name="Normal 9 2 4 3" xfId="1597" xr:uid="{00000000-0005-0000-0000-0000DAAA0000}"/>
    <cellStyle name="Normal 9 2 4 3 2" xfId="3447" xr:uid="{00000000-0005-0000-0000-0000DBAA0000}"/>
    <cellStyle name="Normal 9 2 4 3 2 2" xfId="7168" xr:uid="{00000000-0005-0000-0000-0000DCAA0000}"/>
    <cellStyle name="Normal 9 2 4 3 2 2 2" xfId="22052" xr:uid="{00000000-0005-0000-0000-0000DDAA0000}"/>
    <cellStyle name="Normal 9 2 4 3 2 2 2 2" xfId="44695" xr:uid="{00000000-0005-0000-0000-0000DEAA0000}"/>
    <cellStyle name="Normal 9 2 4 3 2 2 3" xfId="14612" xr:uid="{00000000-0005-0000-0000-0000DFAA0000}"/>
    <cellStyle name="Normal 9 2 4 3 2 2 3 2" xfId="37255" xr:uid="{00000000-0005-0000-0000-0000E0AA0000}"/>
    <cellStyle name="Normal 9 2 4 3 2 2 4" xfId="29814" xr:uid="{00000000-0005-0000-0000-0000E1AA0000}"/>
    <cellStyle name="Normal 9 2 4 3 2 3" xfId="18334" xr:uid="{00000000-0005-0000-0000-0000E2AA0000}"/>
    <cellStyle name="Normal 9 2 4 3 2 3 2" xfId="40977" xr:uid="{00000000-0005-0000-0000-0000E3AA0000}"/>
    <cellStyle name="Normal 9 2 4 3 2 4" xfId="10894" xr:uid="{00000000-0005-0000-0000-0000E4AA0000}"/>
    <cellStyle name="Normal 9 2 4 3 2 4 2" xfId="33537" xr:uid="{00000000-0005-0000-0000-0000E5AA0000}"/>
    <cellStyle name="Normal 9 2 4 3 2 5" xfId="26096" xr:uid="{00000000-0005-0000-0000-0000E6AA0000}"/>
    <cellStyle name="Normal 9 2 4 3 3" xfId="5321" xr:uid="{00000000-0005-0000-0000-0000E7AA0000}"/>
    <cellStyle name="Normal 9 2 4 3 3 2" xfId="20205" xr:uid="{00000000-0005-0000-0000-0000E8AA0000}"/>
    <cellStyle name="Normal 9 2 4 3 3 2 2" xfId="42848" xr:uid="{00000000-0005-0000-0000-0000E9AA0000}"/>
    <cellStyle name="Normal 9 2 4 3 3 3" xfId="12765" xr:uid="{00000000-0005-0000-0000-0000EAAA0000}"/>
    <cellStyle name="Normal 9 2 4 3 3 3 2" xfId="35408" xr:uid="{00000000-0005-0000-0000-0000EBAA0000}"/>
    <cellStyle name="Normal 9 2 4 3 3 4" xfId="27967" xr:uid="{00000000-0005-0000-0000-0000ECAA0000}"/>
    <cellStyle name="Normal 9 2 4 3 4" xfId="16487" xr:uid="{00000000-0005-0000-0000-0000EDAA0000}"/>
    <cellStyle name="Normal 9 2 4 3 4 2" xfId="39130" xr:uid="{00000000-0005-0000-0000-0000EEAA0000}"/>
    <cellStyle name="Normal 9 2 4 3 5" xfId="9047" xr:uid="{00000000-0005-0000-0000-0000EFAA0000}"/>
    <cellStyle name="Normal 9 2 4 3 5 2" xfId="31690" xr:uid="{00000000-0005-0000-0000-0000F0AA0000}"/>
    <cellStyle name="Normal 9 2 4 3 6" xfId="24249" xr:uid="{00000000-0005-0000-0000-0000F1AA0000}"/>
    <cellStyle name="Normal 9 2 4 4" xfId="2522" xr:uid="{00000000-0005-0000-0000-0000F2AA0000}"/>
    <cellStyle name="Normal 9 2 4 4 2" xfId="6243" xr:uid="{00000000-0005-0000-0000-0000F3AA0000}"/>
    <cellStyle name="Normal 9 2 4 4 2 2" xfId="21127" xr:uid="{00000000-0005-0000-0000-0000F4AA0000}"/>
    <cellStyle name="Normal 9 2 4 4 2 2 2" xfId="43770" xr:uid="{00000000-0005-0000-0000-0000F5AA0000}"/>
    <cellStyle name="Normal 9 2 4 4 2 3" xfId="13687" xr:uid="{00000000-0005-0000-0000-0000F6AA0000}"/>
    <cellStyle name="Normal 9 2 4 4 2 3 2" xfId="36330" xr:uid="{00000000-0005-0000-0000-0000F7AA0000}"/>
    <cellStyle name="Normal 9 2 4 4 2 4" xfId="28889" xr:uid="{00000000-0005-0000-0000-0000F8AA0000}"/>
    <cellStyle name="Normal 9 2 4 4 3" xfId="17409" xr:uid="{00000000-0005-0000-0000-0000F9AA0000}"/>
    <cellStyle name="Normal 9 2 4 4 3 2" xfId="40052" xr:uid="{00000000-0005-0000-0000-0000FAAA0000}"/>
    <cellStyle name="Normal 9 2 4 4 4" xfId="9969" xr:uid="{00000000-0005-0000-0000-0000FBAA0000}"/>
    <cellStyle name="Normal 9 2 4 4 4 2" xfId="32612" xr:uid="{00000000-0005-0000-0000-0000FCAA0000}"/>
    <cellStyle name="Normal 9 2 4 4 5" xfId="25171" xr:uid="{00000000-0005-0000-0000-0000FDAA0000}"/>
    <cellStyle name="Normal 9 2 4 5" xfId="4396" xr:uid="{00000000-0005-0000-0000-0000FEAA0000}"/>
    <cellStyle name="Normal 9 2 4 5 2" xfId="19280" xr:uid="{00000000-0005-0000-0000-0000FFAA0000}"/>
    <cellStyle name="Normal 9 2 4 5 2 2" xfId="41923" xr:uid="{00000000-0005-0000-0000-000000AB0000}"/>
    <cellStyle name="Normal 9 2 4 5 3" xfId="11840" xr:uid="{00000000-0005-0000-0000-000001AB0000}"/>
    <cellStyle name="Normal 9 2 4 5 3 2" xfId="34483" xr:uid="{00000000-0005-0000-0000-000002AB0000}"/>
    <cellStyle name="Normal 9 2 4 5 4" xfId="27042" xr:uid="{00000000-0005-0000-0000-000003AB0000}"/>
    <cellStyle name="Normal 9 2 4 6" xfId="15562" xr:uid="{00000000-0005-0000-0000-000004AB0000}"/>
    <cellStyle name="Normal 9 2 4 6 2" xfId="38205" xr:uid="{00000000-0005-0000-0000-000005AB0000}"/>
    <cellStyle name="Normal 9 2 4 7" xfId="8122" xr:uid="{00000000-0005-0000-0000-000006AB0000}"/>
    <cellStyle name="Normal 9 2 4 7 2" xfId="30765" xr:uid="{00000000-0005-0000-0000-000007AB0000}"/>
    <cellStyle name="Normal 9 2 4 8" xfId="23324" xr:uid="{00000000-0005-0000-0000-000008AB0000}"/>
    <cellStyle name="Normal 9 2 5" xfId="920" xr:uid="{00000000-0005-0000-0000-000009AB0000}"/>
    <cellStyle name="Normal 9 2 5 2" xfId="1848" xr:uid="{00000000-0005-0000-0000-00000AAB0000}"/>
    <cellStyle name="Normal 9 2 5 2 2" xfId="3698" xr:uid="{00000000-0005-0000-0000-00000BAB0000}"/>
    <cellStyle name="Normal 9 2 5 2 2 2" xfId="7419" xr:uid="{00000000-0005-0000-0000-00000CAB0000}"/>
    <cellStyle name="Normal 9 2 5 2 2 2 2" xfId="22303" xr:uid="{00000000-0005-0000-0000-00000DAB0000}"/>
    <cellStyle name="Normal 9 2 5 2 2 2 2 2" xfId="44946" xr:uid="{00000000-0005-0000-0000-00000EAB0000}"/>
    <cellStyle name="Normal 9 2 5 2 2 2 3" xfId="14863" xr:uid="{00000000-0005-0000-0000-00000FAB0000}"/>
    <cellStyle name="Normal 9 2 5 2 2 2 3 2" xfId="37506" xr:uid="{00000000-0005-0000-0000-000010AB0000}"/>
    <cellStyle name="Normal 9 2 5 2 2 2 4" xfId="30065" xr:uid="{00000000-0005-0000-0000-000011AB0000}"/>
    <cellStyle name="Normal 9 2 5 2 2 3" xfId="18585" xr:uid="{00000000-0005-0000-0000-000012AB0000}"/>
    <cellStyle name="Normal 9 2 5 2 2 3 2" xfId="41228" xr:uid="{00000000-0005-0000-0000-000013AB0000}"/>
    <cellStyle name="Normal 9 2 5 2 2 4" xfId="11145" xr:uid="{00000000-0005-0000-0000-000014AB0000}"/>
    <cellStyle name="Normal 9 2 5 2 2 4 2" xfId="33788" xr:uid="{00000000-0005-0000-0000-000015AB0000}"/>
    <cellStyle name="Normal 9 2 5 2 2 5" xfId="26347" xr:uid="{00000000-0005-0000-0000-000016AB0000}"/>
    <cellStyle name="Normal 9 2 5 2 3" xfId="5572" xr:uid="{00000000-0005-0000-0000-000017AB0000}"/>
    <cellStyle name="Normal 9 2 5 2 3 2" xfId="20456" xr:uid="{00000000-0005-0000-0000-000018AB0000}"/>
    <cellStyle name="Normal 9 2 5 2 3 2 2" xfId="43099" xr:uid="{00000000-0005-0000-0000-000019AB0000}"/>
    <cellStyle name="Normal 9 2 5 2 3 3" xfId="13016" xr:uid="{00000000-0005-0000-0000-00001AAB0000}"/>
    <cellStyle name="Normal 9 2 5 2 3 3 2" xfId="35659" xr:uid="{00000000-0005-0000-0000-00001BAB0000}"/>
    <cellStyle name="Normal 9 2 5 2 3 4" xfId="28218" xr:uid="{00000000-0005-0000-0000-00001CAB0000}"/>
    <cellStyle name="Normal 9 2 5 2 4" xfId="16738" xr:uid="{00000000-0005-0000-0000-00001DAB0000}"/>
    <cellStyle name="Normal 9 2 5 2 4 2" xfId="39381" xr:uid="{00000000-0005-0000-0000-00001EAB0000}"/>
    <cellStyle name="Normal 9 2 5 2 5" xfId="9298" xr:uid="{00000000-0005-0000-0000-00001FAB0000}"/>
    <cellStyle name="Normal 9 2 5 2 5 2" xfId="31941" xr:uid="{00000000-0005-0000-0000-000020AB0000}"/>
    <cellStyle name="Normal 9 2 5 2 6" xfId="24500" xr:uid="{00000000-0005-0000-0000-000021AB0000}"/>
    <cellStyle name="Normal 9 2 5 3" xfId="2773" xr:uid="{00000000-0005-0000-0000-000022AB0000}"/>
    <cellStyle name="Normal 9 2 5 3 2" xfId="6494" xr:uid="{00000000-0005-0000-0000-000023AB0000}"/>
    <cellStyle name="Normal 9 2 5 3 2 2" xfId="21378" xr:uid="{00000000-0005-0000-0000-000024AB0000}"/>
    <cellStyle name="Normal 9 2 5 3 2 2 2" xfId="44021" xr:uid="{00000000-0005-0000-0000-000025AB0000}"/>
    <cellStyle name="Normal 9 2 5 3 2 3" xfId="13938" xr:uid="{00000000-0005-0000-0000-000026AB0000}"/>
    <cellStyle name="Normal 9 2 5 3 2 3 2" xfId="36581" xr:uid="{00000000-0005-0000-0000-000027AB0000}"/>
    <cellStyle name="Normal 9 2 5 3 2 4" xfId="29140" xr:uid="{00000000-0005-0000-0000-000028AB0000}"/>
    <cellStyle name="Normal 9 2 5 3 3" xfId="17660" xr:uid="{00000000-0005-0000-0000-000029AB0000}"/>
    <cellStyle name="Normal 9 2 5 3 3 2" xfId="40303" xr:uid="{00000000-0005-0000-0000-00002AAB0000}"/>
    <cellStyle name="Normal 9 2 5 3 4" xfId="10220" xr:uid="{00000000-0005-0000-0000-00002BAB0000}"/>
    <cellStyle name="Normal 9 2 5 3 4 2" xfId="32863" xr:uid="{00000000-0005-0000-0000-00002CAB0000}"/>
    <cellStyle name="Normal 9 2 5 3 5" xfId="25422" xr:uid="{00000000-0005-0000-0000-00002DAB0000}"/>
    <cellStyle name="Normal 9 2 5 4" xfId="4647" xr:uid="{00000000-0005-0000-0000-00002EAB0000}"/>
    <cellStyle name="Normal 9 2 5 4 2" xfId="19531" xr:uid="{00000000-0005-0000-0000-00002FAB0000}"/>
    <cellStyle name="Normal 9 2 5 4 2 2" xfId="42174" xr:uid="{00000000-0005-0000-0000-000030AB0000}"/>
    <cellStyle name="Normal 9 2 5 4 3" xfId="12091" xr:uid="{00000000-0005-0000-0000-000031AB0000}"/>
    <cellStyle name="Normal 9 2 5 4 3 2" xfId="34734" xr:uid="{00000000-0005-0000-0000-000032AB0000}"/>
    <cellStyle name="Normal 9 2 5 4 4" xfId="27293" xr:uid="{00000000-0005-0000-0000-000033AB0000}"/>
    <cellStyle name="Normal 9 2 5 5" xfId="15813" xr:uid="{00000000-0005-0000-0000-000034AB0000}"/>
    <cellStyle name="Normal 9 2 5 5 2" xfId="38456" xr:uid="{00000000-0005-0000-0000-000035AB0000}"/>
    <cellStyle name="Normal 9 2 5 6" xfId="8373" xr:uid="{00000000-0005-0000-0000-000036AB0000}"/>
    <cellStyle name="Normal 9 2 5 6 2" xfId="31016" xr:uid="{00000000-0005-0000-0000-000037AB0000}"/>
    <cellStyle name="Normal 9 2 5 7" xfId="23575" xr:uid="{00000000-0005-0000-0000-000038AB0000}"/>
    <cellStyle name="Normal 9 2 6" xfId="1386" xr:uid="{00000000-0005-0000-0000-000039AB0000}"/>
    <cellStyle name="Normal 9 2 6 2" xfId="3236" xr:uid="{00000000-0005-0000-0000-00003AAB0000}"/>
    <cellStyle name="Normal 9 2 6 2 2" xfId="6957" xr:uid="{00000000-0005-0000-0000-00003BAB0000}"/>
    <cellStyle name="Normal 9 2 6 2 2 2" xfId="21841" xr:uid="{00000000-0005-0000-0000-00003CAB0000}"/>
    <cellStyle name="Normal 9 2 6 2 2 2 2" xfId="44484" xr:uid="{00000000-0005-0000-0000-00003DAB0000}"/>
    <cellStyle name="Normal 9 2 6 2 2 3" xfId="14401" xr:uid="{00000000-0005-0000-0000-00003EAB0000}"/>
    <cellStyle name="Normal 9 2 6 2 2 3 2" xfId="37044" xr:uid="{00000000-0005-0000-0000-00003FAB0000}"/>
    <cellStyle name="Normal 9 2 6 2 2 4" xfId="29603" xr:uid="{00000000-0005-0000-0000-000040AB0000}"/>
    <cellStyle name="Normal 9 2 6 2 3" xfId="18123" xr:uid="{00000000-0005-0000-0000-000041AB0000}"/>
    <cellStyle name="Normal 9 2 6 2 3 2" xfId="40766" xr:uid="{00000000-0005-0000-0000-000042AB0000}"/>
    <cellStyle name="Normal 9 2 6 2 4" xfId="10683" xr:uid="{00000000-0005-0000-0000-000043AB0000}"/>
    <cellStyle name="Normal 9 2 6 2 4 2" xfId="33326" xr:uid="{00000000-0005-0000-0000-000044AB0000}"/>
    <cellStyle name="Normal 9 2 6 2 5" xfId="25885" xr:uid="{00000000-0005-0000-0000-000045AB0000}"/>
    <cellStyle name="Normal 9 2 6 3" xfId="5110" xr:uid="{00000000-0005-0000-0000-000046AB0000}"/>
    <cellStyle name="Normal 9 2 6 3 2" xfId="19994" xr:uid="{00000000-0005-0000-0000-000047AB0000}"/>
    <cellStyle name="Normal 9 2 6 3 2 2" xfId="42637" xr:uid="{00000000-0005-0000-0000-000048AB0000}"/>
    <cellStyle name="Normal 9 2 6 3 3" xfId="12554" xr:uid="{00000000-0005-0000-0000-000049AB0000}"/>
    <cellStyle name="Normal 9 2 6 3 3 2" xfId="35197" xr:uid="{00000000-0005-0000-0000-00004AAB0000}"/>
    <cellStyle name="Normal 9 2 6 3 4" xfId="27756" xr:uid="{00000000-0005-0000-0000-00004BAB0000}"/>
    <cellStyle name="Normal 9 2 6 4" xfId="16276" xr:uid="{00000000-0005-0000-0000-00004CAB0000}"/>
    <cellStyle name="Normal 9 2 6 4 2" xfId="38919" xr:uid="{00000000-0005-0000-0000-00004DAB0000}"/>
    <cellStyle name="Normal 9 2 6 5" xfId="8836" xr:uid="{00000000-0005-0000-0000-00004EAB0000}"/>
    <cellStyle name="Normal 9 2 6 5 2" xfId="31479" xr:uid="{00000000-0005-0000-0000-00004FAB0000}"/>
    <cellStyle name="Normal 9 2 6 6" xfId="24038" xr:uid="{00000000-0005-0000-0000-000050AB0000}"/>
    <cellStyle name="Normal 9 2 7" xfId="2311" xr:uid="{00000000-0005-0000-0000-000051AB0000}"/>
    <cellStyle name="Normal 9 2 7 2" xfId="6032" xr:uid="{00000000-0005-0000-0000-000052AB0000}"/>
    <cellStyle name="Normal 9 2 7 2 2" xfId="20916" xr:uid="{00000000-0005-0000-0000-000053AB0000}"/>
    <cellStyle name="Normal 9 2 7 2 2 2" xfId="43559" xr:uid="{00000000-0005-0000-0000-000054AB0000}"/>
    <cellStyle name="Normal 9 2 7 2 3" xfId="13476" xr:uid="{00000000-0005-0000-0000-000055AB0000}"/>
    <cellStyle name="Normal 9 2 7 2 3 2" xfId="36119" xr:uid="{00000000-0005-0000-0000-000056AB0000}"/>
    <cellStyle name="Normal 9 2 7 2 4" xfId="28678" xr:uid="{00000000-0005-0000-0000-000057AB0000}"/>
    <cellStyle name="Normal 9 2 7 3" xfId="17198" xr:uid="{00000000-0005-0000-0000-000058AB0000}"/>
    <cellStyle name="Normal 9 2 7 3 2" xfId="39841" xr:uid="{00000000-0005-0000-0000-000059AB0000}"/>
    <cellStyle name="Normal 9 2 7 4" xfId="9758" xr:uid="{00000000-0005-0000-0000-00005AAB0000}"/>
    <cellStyle name="Normal 9 2 7 4 2" xfId="32401" xr:uid="{00000000-0005-0000-0000-00005BAB0000}"/>
    <cellStyle name="Normal 9 2 7 5" xfId="24960" xr:uid="{00000000-0005-0000-0000-00005CAB0000}"/>
    <cellStyle name="Normal 9 2 8" xfId="4185" xr:uid="{00000000-0005-0000-0000-00005DAB0000}"/>
    <cellStyle name="Normal 9 2 8 2" xfId="19069" xr:uid="{00000000-0005-0000-0000-00005EAB0000}"/>
    <cellStyle name="Normal 9 2 8 2 2" xfId="41712" xr:uid="{00000000-0005-0000-0000-00005FAB0000}"/>
    <cellStyle name="Normal 9 2 8 3" xfId="11629" xr:uid="{00000000-0005-0000-0000-000060AB0000}"/>
    <cellStyle name="Normal 9 2 8 3 2" xfId="34272" xr:uid="{00000000-0005-0000-0000-000061AB0000}"/>
    <cellStyle name="Normal 9 2 8 4" xfId="26831" xr:uid="{00000000-0005-0000-0000-000062AB0000}"/>
    <cellStyle name="Normal 9 2 9" xfId="15351" xr:uid="{00000000-0005-0000-0000-000063AB0000}"/>
    <cellStyle name="Normal 9 2 9 2" xfId="37994" xr:uid="{00000000-0005-0000-0000-000064AB0000}"/>
    <cellStyle name="Normal 9 3" xfId="485" xr:uid="{00000000-0005-0000-0000-000065AB0000}"/>
    <cellStyle name="Normal 9 3 10" xfId="23146" xr:uid="{00000000-0005-0000-0000-000066AB0000}"/>
    <cellStyle name="Normal 9 3 2" xfId="591" xr:uid="{00000000-0005-0000-0000-000067AB0000}"/>
    <cellStyle name="Normal 9 3 2 2" xfId="803" xr:uid="{00000000-0005-0000-0000-000068AB0000}"/>
    <cellStyle name="Normal 9 3 2 2 2" xfId="1268" xr:uid="{00000000-0005-0000-0000-000069AB0000}"/>
    <cellStyle name="Normal 9 3 2 2 2 2" xfId="2196" xr:uid="{00000000-0005-0000-0000-00006AAB0000}"/>
    <cellStyle name="Normal 9 3 2 2 2 2 2" xfId="4046" xr:uid="{00000000-0005-0000-0000-00006BAB0000}"/>
    <cellStyle name="Normal 9 3 2 2 2 2 2 2" xfId="7767" xr:uid="{00000000-0005-0000-0000-00006CAB0000}"/>
    <cellStyle name="Normal 9 3 2 2 2 2 2 2 2" xfId="22651" xr:uid="{00000000-0005-0000-0000-00006DAB0000}"/>
    <cellStyle name="Normal 9 3 2 2 2 2 2 2 2 2" xfId="45294" xr:uid="{00000000-0005-0000-0000-00006EAB0000}"/>
    <cellStyle name="Normal 9 3 2 2 2 2 2 2 3" xfId="15211" xr:uid="{00000000-0005-0000-0000-00006FAB0000}"/>
    <cellStyle name="Normal 9 3 2 2 2 2 2 2 3 2" xfId="37854" xr:uid="{00000000-0005-0000-0000-000070AB0000}"/>
    <cellStyle name="Normal 9 3 2 2 2 2 2 2 4" xfId="30413" xr:uid="{00000000-0005-0000-0000-000071AB0000}"/>
    <cellStyle name="Normal 9 3 2 2 2 2 2 3" xfId="18933" xr:uid="{00000000-0005-0000-0000-000072AB0000}"/>
    <cellStyle name="Normal 9 3 2 2 2 2 2 3 2" xfId="41576" xr:uid="{00000000-0005-0000-0000-000073AB0000}"/>
    <cellStyle name="Normal 9 3 2 2 2 2 2 4" xfId="11493" xr:uid="{00000000-0005-0000-0000-000074AB0000}"/>
    <cellStyle name="Normal 9 3 2 2 2 2 2 4 2" xfId="34136" xr:uid="{00000000-0005-0000-0000-000075AB0000}"/>
    <cellStyle name="Normal 9 3 2 2 2 2 2 5" xfId="26695" xr:uid="{00000000-0005-0000-0000-000076AB0000}"/>
    <cellStyle name="Normal 9 3 2 2 2 2 3" xfId="5920" xr:uid="{00000000-0005-0000-0000-000077AB0000}"/>
    <cellStyle name="Normal 9 3 2 2 2 2 3 2" xfId="20804" xr:uid="{00000000-0005-0000-0000-000078AB0000}"/>
    <cellStyle name="Normal 9 3 2 2 2 2 3 2 2" xfId="43447" xr:uid="{00000000-0005-0000-0000-000079AB0000}"/>
    <cellStyle name="Normal 9 3 2 2 2 2 3 3" xfId="13364" xr:uid="{00000000-0005-0000-0000-00007AAB0000}"/>
    <cellStyle name="Normal 9 3 2 2 2 2 3 3 2" xfId="36007" xr:uid="{00000000-0005-0000-0000-00007BAB0000}"/>
    <cellStyle name="Normal 9 3 2 2 2 2 3 4" xfId="28566" xr:uid="{00000000-0005-0000-0000-00007CAB0000}"/>
    <cellStyle name="Normal 9 3 2 2 2 2 4" xfId="17086" xr:uid="{00000000-0005-0000-0000-00007DAB0000}"/>
    <cellStyle name="Normal 9 3 2 2 2 2 4 2" xfId="39729" xr:uid="{00000000-0005-0000-0000-00007EAB0000}"/>
    <cellStyle name="Normal 9 3 2 2 2 2 5" xfId="9646" xr:uid="{00000000-0005-0000-0000-00007FAB0000}"/>
    <cellStyle name="Normal 9 3 2 2 2 2 5 2" xfId="32289" xr:uid="{00000000-0005-0000-0000-000080AB0000}"/>
    <cellStyle name="Normal 9 3 2 2 2 2 6" xfId="24848" xr:uid="{00000000-0005-0000-0000-000081AB0000}"/>
    <cellStyle name="Normal 9 3 2 2 2 3" xfId="3121" xr:uid="{00000000-0005-0000-0000-000082AB0000}"/>
    <cellStyle name="Normal 9 3 2 2 2 3 2" xfId="6842" xr:uid="{00000000-0005-0000-0000-000083AB0000}"/>
    <cellStyle name="Normal 9 3 2 2 2 3 2 2" xfId="21726" xr:uid="{00000000-0005-0000-0000-000084AB0000}"/>
    <cellStyle name="Normal 9 3 2 2 2 3 2 2 2" xfId="44369" xr:uid="{00000000-0005-0000-0000-000085AB0000}"/>
    <cellStyle name="Normal 9 3 2 2 2 3 2 3" xfId="14286" xr:uid="{00000000-0005-0000-0000-000086AB0000}"/>
    <cellStyle name="Normal 9 3 2 2 2 3 2 3 2" xfId="36929" xr:uid="{00000000-0005-0000-0000-000087AB0000}"/>
    <cellStyle name="Normal 9 3 2 2 2 3 2 4" xfId="29488" xr:uid="{00000000-0005-0000-0000-000088AB0000}"/>
    <cellStyle name="Normal 9 3 2 2 2 3 3" xfId="18008" xr:uid="{00000000-0005-0000-0000-000089AB0000}"/>
    <cellStyle name="Normal 9 3 2 2 2 3 3 2" xfId="40651" xr:uid="{00000000-0005-0000-0000-00008AAB0000}"/>
    <cellStyle name="Normal 9 3 2 2 2 3 4" xfId="10568" xr:uid="{00000000-0005-0000-0000-00008BAB0000}"/>
    <cellStyle name="Normal 9 3 2 2 2 3 4 2" xfId="33211" xr:uid="{00000000-0005-0000-0000-00008CAB0000}"/>
    <cellStyle name="Normal 9 3 2 2 2 3 5" xfId="25770" xr:uid="{00000000-0005-0000-0000-00008DAB0000}"/>
    <cellStyle name="Normal 9 3 2 2 2 4" xfId="4995" xr:uid="{00000000-0005-0000-0000-00008EAB0000}"/>
    <cellStyle name="Normal 9 3 2 2 2 4 2" xfId="19879" xr:uid="{00000000-0005-0000-0000-00008FAB0000}"/>
    <cellStyle name="Normal 9 3 2 2 2 4 2 2" xfId="42522" xr:uid="{00000000-0005-0000-0000-000090AB0000}"/>
    <cellStyle name="Normal 9 3 2 2 2 4 3" xfId="12439" xr:uid="{00000000-0005-0000-0000-000091AB0000}"/>
    <cellStyle name="Normal 9 3 2 2 2 4 3 2" xfId="35082" xr:uid="{00000000-0005-0000-0000-000092AB0000}"/>
    <cellStyle name="Normal 9 3 2 2 2 4 4" xfId="27641" xr:uid="{00000000-0005-0000-0000-000093AB0000}"/>
    <cellStyle name="Normal 9 3 2 2 2 5" xfId="16161" xr:uid="{00000000-0005-0000-0000-000094AB0000}"/>
    <cellStyle name="Normal 9 3 2 2 2 5 2" xfId="38804" xr:uid="{00000000-0005-0000-0000-000095AB0000}"/>
    <cellStyle name="Normal 9 3 2 2 2 6" xfId="8721" xr:uid="{00000000-0005-0000-0000-000096AB0000}"/>
    <cellStyle name="Normal 9 3 2 2 2 6 2" xfId="31364" xr:uid="{00000000-0005-0000-0000-000097AB0000}"/>
    <cellStyle name="Normal 9 3 2 2 2 7" xfId="23923" xr:uid="{00000000-0005-0000-0000-000098AB0000}"/>
    <cellStyle name="Normal 9 3 2 2 3" xfId="1734" xr:uid="{00000000-0005-0000-0000-000099AB0000}"/>
    <cellStyle name="Normal 9 3 2 2 3 2" xfId="3584" xr:uid="{00000000-0005-0000-0000-00009AAB0000}"/>
    <cellStyle name="Normal 9 3 2 2 3 2 2" xfId="7305" xr:uid="{00000000-0005-0000-0000-00009BAB0000}"/>
    <cellStyle name="Normal 9 3 2 2 3 2 2 2" xfId="22189" xr:uid="{00000000-0005-0000-0000-00009CAB0000}"/>
    <cellStyle name="Normal 9 3 2 2 3 2 2 2 2" xfId="44832" xr:uid="{00000000-0005-0000-0000-00009DAB0000}"/>
    <cellStyle name="Normal 9 3 2 2 3 2 2 3" xfId="14749" xr:uid="{00000000-0005-0000-0000-00009EAB0000}"/>
    <cellStyle name="Normal 9 3 2 2 3 2 2 3 2" xfId="37392" xr:uid="{00000000-0005-0000-0000-00009FAB0000}"/>
    <cellStyle name="Normal 9 3 2 2 3 2 2 4" xfId="29951" xr:uid="{00000000-0005-0000-0000-0000A0AB0000}"/>
    <cellStyle name="Normal 9 3 2 2 3 2 3" xfId="18471" xr:uid="{00000000-0005-0000-0000-0000A1AB0000}"/>
    <cellStyle name="Normal 9 3 2 2 3 2 3 2" xfId="41114" xr:uid="{00000000-0005-0000-0000-0000A2AB0000}"/>
    <cellStyle name="Normal 9 3 2 2 3 2 4" xfId="11031" xr:uid="{00000000-0005-0000-0000-0000A3AB0000}"/>
    <cellStyle name="Normal 9 3 2 2 3 2 4 2" xfId="33674" xr:uid="{00000000-0005-0000-0000-0000A4AB0000}"/>
    <cellStyle name="Normal 9 3 2 2 3 2 5" xfId="26233" xr:uid="{00000000-0005-0000-0000-0000A5AB0000}"/>
    <cellStyle name="Normal 9 3 2 2 3 3" xfId="5458" xr:uid="{00000000-0005-0000-0000-0000A6AB0000}"/>
    <cellStyle name="Normal 9 3 2 2 3 3 2" xfId="20342" xr:uid="{00000000-0005-0000-0000-0000A7AB0000}"/>
    <cellStyle name="Normal 9 3 2 2 3 3 2 2" xfId="42985" xr:uid="{00000000-0005-0000-0000-0000A8AB0000}"/>
    <cellStyle name="Normal 9 3 2 2 3 3 3" xfId="12902" xr:uid="{00000000-0005-0000-0000-0000A9AB0000}"/>
    <cellStyle name="Normal 9 3 2 2 3 3 3 2" xfId="35545" xr:uid="{00000000-0005-0000-0000-0000AAAB0000}"/>
    <cellStyle name="Normal 9 3 2 2 3 3 4" xfId="28104" xr:uid="{00000000-0005-0000-0000-0000ABAB0000}"/>
    <cellStyle name="Normal 9 3 2 2 3 4" xfId="16624" xr:uid="{00000000-0005-0000-0000-0000ACAB0000}"/>
    <cellStyle name="Normal 9 3 2 2 3 4 2" xfId="39267" xr:uid="{00000000-0005-0000-0000-0000ADAB0000}"/>
    <cellStyle name="Normal 9 3 2 2 3 5" xfId="9184" xr:uid="{00000000-0005-0000-0000-0000AEAB0000}"/>
    <cellStyle name="Normal 9 3 2 2 3 5 2" xfId="31827" xr:uid="{00000000-0005-0000-0000-0000AFAB0000}"/>
    <cellStyle name="Normal 9 3 2 2 3 6" xfId="24386" xr:uid="{00000000-0005-0000-0000-0000B0AB0000}"/>
    <cellStyle name="Normal 9 3 2 2 4" xfId="2659" xr:uid="{00000000-0005-0000-0000-0000B1AB0000}"/>
    <cellStyle name="Normal 9 3 2 2 4 2" xfId="6380" xr:uid="{00000000-0005-0000-0000-0000B2AB0000}"/>
    <cellStyle name="Normal 9 3 2 2 4 2 2" xfId="21264" xr:uid="{00000000-0005-0000-0000-0000B3AB0000}"/>
    <cellStyle name="Normal 9 3 2 2 4 2 2 2" xfId="43907" xr:uid="{00000000-0005-0000-0000-0000B4AB0000}"/>
    <cellStyle name="Normal 9 3 2 2 4 2 3" xfId="13824" xr:uid="{00000000-0005-0000-0000-0000B5AB0000}"/>
    <cellStyle name="Normal 9 3 2 2 4 2 3 2" xfId="36467" xr:uid="{00000000-0005-0000-0000-0000B6AB0000}"/>
    <cellStyle name="Normal 9 3 2 2 4 2 4" xfId="29026" xr:uid="{00000000-0005-0000-0000-0000B7AB0000}"/>
    <cellStyle name="Normal 9 3 2 2 4 3" xfId="17546" xr:uid="{00000000-0005-0000-0000-0000B8AB0000}"/>
    <cellStyle name="Normal 9 3 2 2 4 3 2" xfId="40189" xr:uid="{00000000-0005-0000-0000-0000B9AB0000}"/>
    <cellStyle name="Normal 9 3 2 2 4 4" xfId="10106" xr:uid="{00000000-0005-0000-0000-0000BAAB0000}"/>
    <cellStyle name="Normal 9 3 2 2 4 4 2" xfId="32749" xr:uid="{00000000-0005-0000-0000-0000BBAB0000}"/>
    <cellStyle name="Normal 9 3 2 2 4 5" xfId="25308" xr:uid="{00000000-0005-0000-0000-0000BCAB0000}"/>
    <cellStyle name="Normal 9 3 2 2 5" xfId="4533" xr:uid="{00000000-0005-0000-0000-0000BDAB0000}"/>
    <cellStyle name="Normal 9 3 2 2 5 2" xfId="19417" xr:uid="{00000000-0005-0000-0000-0000BEAB0000}"/>
    <cellStyle name="Normal 9 3 2 2 5 2 2" xfId="42060" xr:uid="{00000000-0005-0000-0000-0000BFAB0000}"/>
    <cellStyle name="Normal 9 3 2 2 5 3" xfId="11977" xr:uid="{00000000-0005-0000-0000-0000C0AB0000}"/>
    <cellStyle name="Normal 9 3 2 2 5 3 2" xfId="34620" xr:uid="{00000000-0005-0000-0000-0000C1AB0000}"/>
    <cellStyle name="Normal 9 3 2 2 5 4" xfId="27179" xr:uid="{00000000-0005-0000-0000-0000C2AB0000}"/>
    <cellStyle name="Normal 9 3 2 2 6" xfId="15699" xr:uid="{00000000-0005-0000-0000-0000C3AB0000}"/>
    <cellStyle name="Normal 9 3 2 2 6 2" xfId="38342" xr:uid="{00000000-0005-0000-0000-0000C4AB0000}"/>
    <cellStyle name="Normal 9 3 2 2 7" xfId="8259" xr:uid="{00000000-0005-0000-0000-0000C5AB0000}"/>
    <cellStyle name="Normal 9 3 2 2 7 2" xfId="30902" xr:uid="{00000000-0005-0000-0000-0000C6AB0000}"/>
    <cellStyle name="Normal 9 3 2 2 8" xfId="23461" xr:uid="{00000000-0005-0000-0000-0000C7AB0000}"/>
    <cellStyle name="Normal 9 3 2 3" xfId="1057" xr:uid="{00000000-0005-0000-0000-0000C8AB0000}"/>
    <cellStyle name="Normal 9 3 2 3 2" xfId="1985" xr:uid="{00000000-0005-0000-0000-0000C9AB0000}"/>
    <cellStyle name="Normal 9 3 2 3 2 2" xfId="3835" xr:uid="{00000000-0005-0000-0000-0000CAAB0000}"/>
    <cellStyle name="Normal 9 3 2 3 2 2 2" xfId="7556" xr:uid="{00000000-0005-0000-0000-0000CBAB0000}"/>
    <cellStyle name="Normal 9 3 2 3 2 2 2 2" xfId="22440" xr:uid="{00000000-0005-0000-0000-0000CCAB0000}"/>
    <cellStyle name="Normal 9 3 2 3 2 2 2 2 2" xfId="45083" xr:uid="{00000000-0005-0000-0000-0000CDAB0000}"/>
    <cellStyle name="Normal 9 3 2 3 2 2 2 3" xfId="15000" xr:uid="{00000000-0005-0000-0000-0000CEAB0000}"/>
    <cellStyle name="Normal 9 3 2 3 2 2 2 3 2" xfId="37643" xr:uid="{00000000-0005-0000-0000-0000CFAB0000}"/>
    <cellStyle name="Normal 9 3 2 3 2 2 2 4" xfId="30202" xr:uid="{00000000-0005-0000-0000-0000D0AB0000}"/>
    <cellStyle name="Normal 9 3 2 3 2 2 3" xfId="18722" xr:uid="{00000000-0005-0000-0000-0000D1AB0000}"/>
    <cellStyle name="Normal 9 3 2 3 2 2 3 2" xfId="41365" xr:uid="{00000000-0005-0000-0000-0000D2AB0000}"/>
    <cellStyle name="Normal 9 3 2 3 2 2 4" xfId="11282" xr:uid="{00000000-0005-0000-0000-0000D3AB0000}"/>
    <cellStyle name="Normal 9 3 2 3 2 2 4 2" xfId="33925" xr:uid="{00000000-0005-0000-0000-0000D4AB0000}"/>
    <cellStyle name="Normal 9 3 2 3 2 2 5" xfId="26484" xr:uid="{00000000-0005-0000-0000-0000D5AB0000}"/>
    <cellStyle name="Normal 9 3 2 3 2 3" xfId="5709" xr:uid="{00000000-0005-0000-0000-0000D6AB0000}"/>
    <cellStyle name="Normal 9 3 2 3 2 3 2" xfId="20593" xr:uid="{00000000-0005-0000-0000-0000D7AB0000}"/>
    <cellStyle name="Normal 9 3 2 3 2 3 2 2" xfId="43236" xr:uid="{00000000-0005-0000-0000-0000D8AB0000}"/>
    <cellStyle name="Normal 9 3 2 3 2 3 3" xfId="13153" xr:uid="{00000000-0005-0000-0000-0000D9AB0000}"/>
    <cellStyle name="Normal 9 3 2 3 2 3 3 2" xfId="35796" xr:uid="{00000000-0005-0000-0000-0000DAAB0000}"/>
    <cellStyle name="Normal 9 3 2 3 2 3 4" xfId="28355" xr:uid="{00000000-0005-0000-0000-0000DBAB0000}"/>
    <cellStyle name="Normal 9 3 2 3 2 4" xfId="16875" xr:uid="{00000000-0005-0000-0000-0000DCAB0000}"/>
    <cellStyle name="Normal 9 3 2 3 2 4 2" xfId="39518" xr:uid="{00000000-0005-0000-0000-0000DDAB0000}"/>
    <cellStyle name="Normal 9 3 2 3 2 5" xfId="9435" xr:uid="{00000000-0005-0000-0000-0000DEAB0000}"/>
    <cellStyle name="Normal 9 3 2 3 2 5 2" xfId="32078" xr:uid="{00000000-0005-0000-0000-0000DFAB0000}"/>
    <cellStyle name="Normal 9 3 2 3 2 6" xfId="24637" xr:uid="{00000000-0005-0000-0000-0000E0AB0000}"/>
    <cellStyle name="Normal 9 3 2 3 3" xfId="2910" xr:uid="{00000000-0005-0000-0000-0000E1AB0000}"/>
    <cellStyle name="Normal 9 3 2 3 3 2" xfId="6631" xr:uid="{00000000-0005-0000-0000-0000E2AB0000}"/>
    <cellStyle name="Normal 9 3 2 3 3 2 2" xfId="21515" xr:uid="{00000000-0005-0000-0000-0000E3AB0000}"/>
    <cellStyle name="Normal 9 3 2 3 3 2 2 2" xfId="44158" xr:uid="{00000000-0005-0000-0000-0000E4AB0000}"/>
    <cellStyle name="Normal 9 3 2 3 3 2 3" xfId="14075" xr:uid="{00000000-0005-0000-0000-0000E5AB0000}"/>
    <cellStyle name="Normal 9 3 2 3 3 2 3 2" xfId="36718" xr:uid="{00000000-0005-0000-0000-0000E6AB0000}"/>
    <cellStyle name="Normal 9 3 2 3 3 2 4" xfId="29277" xr:uid="{00000000-0005-0000-0000-0000E7AB0000}"/>
    <cellStyle name="Normal 9 3 2 3 3 3" xfId="17797" xr:uid="{00000000-0005-0000-0000-0000E8AB0000}"/>
    <cellStyle name="Normal 9 3 2 3 3 3 2" xfId="40440" xr:uid="{00000000-0005-0000-0000-0000E9AB0000}"/>
    <cellStyle name="Normal 9 3 2 3 3 4" xfId="10357" xr:uid="{00000000-0005-0000-0000-0000EAAB0000}"/>
    <cellStyle name="Normal 9 3 2 3 3 4 2" xfId="33000" xr:uid="{00000000-0005-0000-0000-0000EBAB0000}"/>
    <cellStyle name="Normal 9 3 2 3 3 5" xfId="25559" xr:uid="{00000000-0005-0000-0000-0000ECAB0000}"/>
    <cellStyle name="Normal 9 3 2 3 4" xfId="4784" xr:uid="{00000000-0005-0000-0000-0000EDAB0000}"/>
    <cellStyle name="Normal 9 3 2 3 4 2" xfId="19668" xr:uid="{00000000-0005-0000-0000-0000EEAB0000}"/>
    <cellStyle name="Normal 9 3 2 3 4 2 2" xfId="42311" xr:uid="{00000000-0005-0000-0000-0000EFAB0000}"/>
    <cellStyle name="Normal 9 3 2 3 4 3" xfId="12228" xr:uid="{00000000-0005-0000-0000-0000F0AB0000}"/>
    <cellStyle name="Normal 9 3 2 3 4 3 2" xfId="34871" xr:uid="{00000000-0005-0000-0000-0000F1AB0000}"/>
    <cellStyle name="Normal 9 3 2 3 4 4" xfId="27430" xr:uid="{00000000-0005-0000-0000-0000F2AB0000}"/>
    <cellStyle name="Normal 9 3 2 3 5" xfId="15950" xr:uid="{00000000-0005-0000-0000-0000F3AB0000}"/>
    <cellStyle name="Normal 9 3 2 3 5 2" xfId="38593" xr:uid="{00000000-0005-0000-0000-0000F4AB0000}"/>
    <cellStyle name="Normal 9 3 2 3 6" xfId="8510" xr:uid="{00000000-0005-0000-0000-0000F5AB0000}"/>
    <cellStyle name="Normal 9 3 2 3 6 2" xfId="31153" xr:uid="{00000000-0005-0000-0000-0000F6AB0000}"/>
    <cellStyle name="Normal 9 3 2 3 7" xfId="23712" xr:uid="{00000000-0005-0000-0000-0000F7AB0000}"/>
    <cellStyle name="Normal 9 3 2 4" xfId="1523" xr:uid="{00000000-0005-0000-0000-0000F8AB0000}"/>
    <cellStyle name="Normal 9 3 2 4 2" xfId="3373" xr:uid="{00000000-0005-0000-0000-0000F9AB0000}"/>
    <cellStyle name="Normal 9 3 2 4 2 2" xfId="7094" xr:uid="{00000000-0005-0000-0000-0000FAAB0000}"/>
    <cellStyle name="Normal 9 3 2 4 2 2 2" xfId="21978" xr:uid="{00000000-0005-0000-0000-0000FBAB0000}"/>
    <cellStyle name="Normal 9 3 2 4 2 2 2 2" xfId="44621" xr:uid="{00000000-0005-0000-0000-0000FCAB0000}"/>
    <cellStyle name="Normal 9 3 2 4 2 2 3" xfId="14538" xr:uid="{00000000-0005-0000-0000-0000FDAB0000}"/>
    <cellStyle name="Normal 9 3 2 4 2 2 3 2" xfId="37181" xr:uid="{00000000-0005-0000-0000-0000FEAB0000}"/>
    <cellStyle name="Normal 9 3 2 4 2 2 4" xfId="29740" xr:uid="{00000000-0005-0000-0000-0000FFAB0000}"/>
    <cellStyle name="Normal 9 3 2 4 2 3" xfId="18260" xr:uid="{00000000-0005-0000-0000-000000AC0000}"/>
    <cellStyle name="Normal 9 3 2 4 2 3 2" xfId="40903" xr:uid="{00000000-0005-0000-0000-000001AC0000}"/>
    <cellStyle name="Normal 9 3 2 4 2 4" xfId="10820" xr:uid="{00000000-0005-0000-0000-000002AC0000}"/>
    <cellStyle name="Normal 9 3 2 4 2 4 2" xfId="33463" xr:uid="{00000000-0005-0000-0000-000003AC0000}"/>
    <cellStyle name="Normal 9 3 2 4 2 5" xfId="26022" xr:uid="{00000000-0005-0000-0000-000004AC0000}"/>
    <cellStyle name="Normal 9 3 2 4 3" xfId="5247" xr:uid="{00000000-0005-0000-0000-000005AC0000}"/>
    <cellStyle name="Normal 9 3 2 4 3 2" xfId="20131" xr:uid="{00000000-0005-0000-0000-000006AC0000}"/>
    <cellStyle name="Normal 9 3 2 4 3 2 2" xfId="42774" xr:uid="{00000000-0005-0000-0000-000007AC0000}"/>
    <cellStyle name="Normal 9 3 2 4 3 3" xfId="12691" xr:uid="{00000000-0005-0000-0000-000008AC0000}"/>
    <cellStyle name="Normal 9 3 2 4 3 3 2" xfId="35334" xr:uid="{00000000-0005-0000-0000-000009AC0000}"/>
    <cellStyle name="Normal 9 3 2 4 3 4" xfId="27893" xr:uid="{00000000-0005-0000-0000-00000AAC0000}"/>
    <cellStyle name="Normal 9 3 2 4 4" xfId="16413" xr:uid="{00000000-0005-0000-0000-00000BAC0000}"/>
    <cellStyle name="Normal 9 3 2 4 4 2" xfId="39056" xr:uid="{00000000-0005-0000-0000-00000CAC0000}"/>
    <cellStyle name="Normal 9 3 2 4 5" xfId="8973" xr:uid="{00000000-0005-0000-0000-00000DAC0000}"/>
    <cellStyle name="Normal 9 3 2 4 5 2" xfId="31616" xr:uid="{00000000-0005-0000-0000-00000EAC0000}"/>
    <cellStyle name="Normal 9 3 2 4 6" xfId="24175" xr:uid="{00000000-0005-0000-0000-00000FAC0000}"/>
    <cellStyle name="Normal 9 3 2 5" xfId="2448" xr:uid="{00000000-0005-0000-0000-000010AC0000}"/>
    <cellStyle name="Normal 9 3 2 5 2" xfId="6169" xr:uid="{00000000-0005-0000-0000-000011AC0000}"/>
    <cellStyle name="Normal 9 3 2 5 2 2" xfId="21053" xr:uid="{00000000-0005-0000-0000-000012AC0000}"/>
    <cellStyle name="Normal 9 3 2 5 2 2 2" xfId="43696" xr:uid="{00000000-0005-0000-0000-000013AC0000}"/>
    <cellStyle name="Normal 9 3 2 5 2 3" xfId="13613" xr:uid="{00000000-0005-0000-0000-000014AC0000}"/>
    <cellStyle name="Normal 9 3 2 5 2 3 2" xfId="36256" xr:uid="{00000000-0005-0000-0000-000015AC0000}"/>
    <cellStyle name="Normal 9 3 2 5 2 4" xfId="28815" xr:uid="{00000000-0005-0000-0000-000016AC0000}"/>
    <cellStyle name="Normal 9 3 2 5 3" xfId="17335" xr:uid="{00000000-0005-0000-0000-000017AC0000}"/>
    <cellStyle name="Normal 9 3 2 5 3 2" xfId="39978" xr:uid="{00000000-0005-0000-0000-000018AC0000}"/>
    <cellStyle name="Normal 9 3 2 5 4" xfId="9895" xr:uid="{00000000-0005-0000-0000-000019AC0000}"/>
    <cellStyle name="Normal 9 3 2 5 4 2" xfId="32538" xr:uid="{00000000-0005-0000-0000-00001AAC0000}"/>
    <cellStyle name="Normal 9 3 2 5 5" xfId="25097" xr:uid="{00000000-0005-0000-0000-00001BAC0000}"/>
    <cellStyle name="Normal 9 3 2 6" xfId="4322" xr:uid="{00000000-0005-0000-0000-00001CAC0000}"/>
    <cellStyle name="Normal 9 3 2 6 2" xfId="19206" xr:uid="{00000000-0005-0000-0000-00001DAC0000}"/>
    <cellStyle name="Normal 9 3 2 6 2 2" xfId="41849" xr:uid="{00000000-0005-0000-0000-00001EAC0000}"/>
    <cellStyle name="Normal 9 3 2 6 3" xfId="11766" xr:uid="{00000000-0005-0000-0000-00001FAC0000}"/>
    <cellStyle name="Normal 9 3 2 6 3 2" xfId="34409" xr:uid="{00000000-0005-0000-0000-000020AC0000}"/>
    <cellStyle name="Normal 9 3 2 6 4" xfId="26968" xr:uid="{00000000-0005-0000-0000-000021AC0000}"/>
    <cellStyle name="Normal 9 3 2 7" xfId="15488" xr:uid="{00000000-0005-0000-0000-000022AC0000}"/>
    <cellStyle name="Normal 9 3 2 7 2" xfId="38131" xr:uid="{00000000-0005-0000-0000-000023AC0000}"/>
    <cellStyle name="Normal 9 3 2 8" xfId="8048" xr:uid="{00000000-0005-0000-0000-000024AC0000}"/>
    <cellStyle name="Normal 9 3 2 8 2" xfId="30691" xr:uid="{00000000-0005-0000-0000-000025AC0000}"/>
    <cellStyle name="Normal 9 3 2 9" xfId="23251" xr:uid="{00000000-0005-0000-0000-000026AC0000}"/>
    <cellStyle name="Normal 9 3 3" xfId="698" xr:uid="{00000000-0005-0000-0000-000027AC0000}"/>
    <cellStyle name="Normal 9 3 3 2" xfId="1163" xr:uid="{00000000-0005-0000-0000-000028AC0000}"/>
    <cellStyle name="Normal 9 3 3 2 2" xfId="2091" xr:uid="{00000000-0005-0000-0000-000029AC0000}"/>
    <cellStyle name="Normal 9 3 3 2 2 2" xfId="3941" xr:uid="{00000000-0005-0000-0000-00002AAC0000}"/>
    <cellStyle name="Normal 9 3 3 2 2 2 2" xfId="7662" xr:uid="{00000000-0005-0000-0000-00002BAC0000}"/>
    <cellStyle name="Normal 9 3 3 2 2 2 2 2" xfId="22546" xr:uid="{00000000-0005-0000-0000-00002CAC0000}"/>
    <cellStyle name="Normal 9 3 3 2 2 2 2 2 2" xfId="45189" xr:uid="{00000000-0005-0000-0000-00002DAC0000}"/>
    <cellStyle name="Normal 9 3 3 2 2 2 2 3" xfId="15106" xr:uid="{00000000-0005-0000-0000-00002EAC0000}"/>
    <cellStyle name="Normal 9 3 3 2 2 2 2 3 2" xfId="37749" xr:uid="{00000000-0005-0000-0000-00002FAC0000}"/>
    <cellStyle name="Normal 9 3 3 2 2 2 2 4" xfId="30308" xr:uid="{00000000-0005-0000-0000-000030AC0000}"/>
    <cellStyle name="Normal 9 3 3 2 2 2 3" xfId="18828" xr:uid="{00000000-0005-0000-0000-000031AC0000}"/>
    <cellStyle name="Normal 9 3 3 2 2 2 3 2" xfId="41471" xr:uid="{00000000-0005-0000-0000-000032AC0000}"/>
    <cellStyle name="Normal 9 3 3 2 2 2 4" xfId="11388" xr:uid="{00000000-0005-0000-0000-000033AC0000}"/>
    <cellStyle name="Normal 9 3 3 2 2 2 4 2" xfId="34031" xr:uid="{00000000-0005-0000-0000-000034AC0000}"/>
    <cellStyle name="Normal 9 3 3 2 2 2 5" xfId="26590" xr:uid="{00000000-0005-0000-0000-000035AC0000}"/>
    <cellStyle name="Normal 9 3 3 2 2 3" xfId="5815" xr:uid="{00000000-0005-0000-0000-000036AC0000}"/>
    <cellStyle name="Normal 9 3 3 2 2 3 2" xfId="20699" xr:uid="{00000000-0005-0000-0000-000037AC0000}"/>
    <cellStyle name="Normal 9 3 3 2 2 3 2 2" xfId="43342" xr:uid="{00000000-0005-0000-0000-000038AC0000}"/>
    <cellStyle name="Normal 9 3 3 2 2 3 3" xfId="13259" xr:uid="{00000000-0005-0000-0000-000039AC0000}"/>
    <cellStyle name="Normal 9 3 3 2 2 3 3 2" xfId="35902" xr:uid="{00000000-0005-0000-0000-00003AAC0000}"/>
    <cellStyle name="Normal 9 3 3 2 2 3 4" xfId="28461" xr:uid="{00000000-0005-0000-0000-00003BAC0000}"/>
    <cellStyle name="Normal 9 3 3 2 2 4" xfId="16981" xr:uid="{00000000-0005-0000-0000-00003CAC0000}"/>
    <cellStyle name="Normal 9 3 3 2 2 4 2" xfId="39624" xr:uid="{00000000-0005-0000-0000-00003DAC0000}"/>
    <cellStyle name="Normal 9 3 3 2 2 5" xfId="9541" xr:uid="{00000000-0005-0000-0000-00003EAC0000}"/>
    <cellStyle name="Normal 9 3 3 2 2 5 2" xfId="32184" xr:uid="{00000000-0005-0000-0000-00003FAC0000}"/>
    <cellStyle name="Normal 9 3 3 2 2 6" xfId="24743" xr:uid="{00000000-0005-0000-0000-000040AC0000}"/>
    <cellStyle name="Normal 9 3 3 2 3" xfId="3016" xr:uid="{00000000-0005-0000-0000-000041AC0000}"/>
    <cellStyle name="Normal 9 3 3 2 3 2" xfId="6737" xr:uid="{00000000-0005-0000-0000-000042AC0000}"/>
    <cellStyle name="Normal 9 3 3 2 3 2 2" xfId="21621" xr:uid="{00000000-0005-0000-0000-000043AC0000}"/>
    <cellStyle name="Normal 9 3 3 2 3 2 2 2" xfId="44264" xr:uid="{00000000-0005-0000-0000-000044AC0000}"/>
    <cellStyle name="Normal 9 3 3 2 3 2 3" xfId="14181" xr:uid="{00000000-0005-0000-0000-000045AC0000}"/>
    <cellStyle name="Normal 9 3 3 2 3 2 3 2" xfId="36824" xr:uid="{00000000-0005-0000-0000-000046AC0000}"/>
    <cellStyle name="Normal 9 3 3 2 3 2 4" xfId="29383" xr:uid="{00000000-0005-0000-0000-000047AC0000}"/>
    <cellStyle name="Normal 9 3 3 2 3 3" xfId="17903" xr:uid="{00000000-0005-0000-0000-000048AC0000}"/>
    <cellStyle name="Normal 9 3 3 2 3 3 2" xfId="40546" xr:uid="{00000000-0005-0000-0000-000049AC0000}"/>
    <cellStyle name="Normal 9 3 3 2 3 4" xfId="10463" xr:uid="{00000000-0005-0000-0000-00004AAC0000}"/>
    <cellStyle name="Normal 9 3 3 2 3 4 2" xfId="33106" xr:uid="{00000000-0005-0000-0000-00004BAC0000}"/>
    <cellStyle name="Normal 9 3 3 2 3 5" xfId="25665" xr:uid="{00000000-0005-0000-0000-00004CAC0000}"/>
    <cellStyle name="Normal 9 3 3 2 4" xfId="4890" xr:uid="{00000000-0005-0000-0000-00004DAC0000}"/>
    <cellStyle name="Normal 9 3 3 2 4 2" xfId="19774" xr:uid="{00000000-0005-0000-0000-00004EAC0000}"/>
    <cellStyle name="Normal 9 3 3 2 4 2 2" xfId="42417" xr:uid="{00000000-0005-0000-0000-00004FAC0000}"/>
    <cellStyle name="Normal 9 3 3 2 4 3" xfId="12334" xr:uid="{00000000-0005-0000-0000-000050AC0000}"/>
    <cellStyle name="Normal 9 3 3 2 4 3 2" xfId="34977" xr:uid="{00000000-0005-0000-0000-000051AC0000}"/>
    <cellStyle name="Normal 9 3 3 2 4 4" xfId="27536" xr:uid="{00000000-0005-0000-0000-000052AC0000}"/>
    <cellStyle name="Normal 9 3 3 2 5" xfId="16056" xr:uid="{00000000-0005-0000-0000-000053AC0000}"/>
    <cellStyle name="Normal 9 3 3 2 5 2" xfId="38699" xr:uid="{00000000-0005-0000-0000-000054AC0000}"/>
    <cellStyle name="Normal 9 3 3 2 6" xfId="8616" xr:uid="{00000000-0005-0000-0000-000055AC0000}"/>
    <cellStyle name="Normal 9 3 3 2 6 2" xfId="31259" xr:uid="{00000000-0005-0000-0000-000056AC0000}"/>
    <cellStyle name="Normal 9 3 3 2 7" xfId="23818" xr:uid="{00000000-0005-0000-0000-000057AC0000}"/>
    <cellStyle name="Normal 9 3 3 3" xfId="1629" xr:uid="{00000000-0005-0000-0000-000058AC0000}"/>
    <cellStyle name="Normal 9 3 3 3 2" xfId="3479" xr:uid="{00000000-0005-0000-0000-000059AC0000}"/>
    <cellStyle name="Normal 9 3 3 3 2 2" xfId="7200" xr:uid="{00000000-0005-0000-0000-00005AAC0000}"/>
    <cellStyle name="Normal 9 3 3 3 2 2 2" xfId="22084" xr:uid="{00000000-0005-0000-0000-00005BAC0000}"/>
    <cellStyle name="Normal 9 3 3 3 2 2 2 2" xfId="44727" xr:uid="{00000000-0005-0000-0000-00005CAC0000}"/>
    <cellStyle name="Normal 9 3 3 3 2 2 3" xfId="14644" xr:uid="{00000000-0005-0000-0000-00005DAC0000}"/>
    <cellStyle name="Normal 9 3 3 3 2 2 3 2" xfId="37287" xr:uid="{00000000-0005-0000-0000-00005EAC0000}"/>
    <cellStyle name="Normal 9 3 3 3 2 2 4" xfId="29846" xr:uid="{00000000-0005-0000-0000-00005FAC0000}"/>
    <cellStyle name="Normal 9 3 3 3 2 3" xfId="18366" xr:uid="{00000000-0005-0000-0000-000060AC0000}"/>
    <cellStyle name="Normal 9 3 3 3 2 3 2" xfId="41009" xr:uid="{00000000-0005-0000-0000-000061AC0000}"/>
    <cellStyle name="Normal 9 3 3 3 2 4" xfId="10926" xr:uid="{00000000-0005-0000-0000-000062AC0000}"/>
    <cellStyle name="Normal 9 3 3 3 2 4 2" xfId="33569" xr:uid="{00000000-0005-0000-0000-000063AC0000}"/>
    <cellStyle name="Normal 9 3 3 3 2 5" xfId="26128" xr:uid="{00000000-0005-0000-0000-000064AC0000}"/>
    <cellStyle name="Normal 9 3 3 3 3" xfId="5353" xr:uid="{00000000-0005-0000-0000-000065AC0000}"/>
    <cellStyle name="Normal 9 3 3 3 3 2" xfId="20237" xr:uid="{00000000-0005-0000-0000-000066AC0000}"/>
    <cellStyle name="Normal 9 3 3 3 3 2 2" xfId="42880" xr:uid="{00000000-0005-0000-0000-000067AC0000}"/>
    <cellStyle name="Normal 9 3 3 3 3 3" xfId="12797" xr:uid="{00000000-0005-0000-0000-000068AC0000}"/>
    <cellStyle name="Normal 9 3 3 3 3 3 2" xfId="35440" xr:uid="{00000000-0005-0000-0000-000069AC0000}"/>
    <cellStyle name="Normal 9 3 3 3 3 4" xfId="27999" xr:uid="{00000000-0005-0000-0000-00006AAC0000}"/>
    <cellStyle name="Normal 9 3 3 3 4" xfId="16519" xr:uid="{00000000-0005-0000-0000-00006BAC0000}"/>
    <cellStyle name="Normal 9 3 3 3 4 2" xfId="39162" xr:uid="{00000000-0005-0000-0000-00006CAC0000}"/>
    <cellStyle name="Normal 9 3 3 3 5" xfId="9079" xr:uid="{00000000-0005-0000-0000-00006DAC0000}"/>
    <cellStyle name="Normal 9 3 3 3 5 2" xfId="31722" xr:uid="{00000000-0005-0000-0000-00006EAC0000}"/>
    <cellStyle name="Normal 9 3 3 3 6" xfId="24281" xr:uid="{00000000-0005-0000-0000-00006FAC0000}"/>
    <cellStyle name="Normal 9 3 3 4" xfId="2554" xr:uid="{00000000-0005-0000-0000-000070AC0000}"/>
    <cellStyle name="Normal 9 3 3 4 2" xfId="6275" xr:uid="{00000000-0005-0000-0000-000071AC0000}"/>
    <cellStyle name="Normal 9 3 3 4 2 2" xfId="21159" xr:uid="{00000000-0005-0000-0000-000072AC0000}"/>
    <cellStyle name="Normal 9 3 3 4 2 2 2" xfId="43802" xr:uid="{00000000-0005-0000-0000-000073AC0000}"/>
    <cellStyle name="Normal 9 3 3 4 2 3" xfId="13719" xr:uid="{00000000-0005-0000-0000-000074AC0000}"/>
    <cellStyle name="Normal 9 3 3 4 2 3 2" xfId="36362" xr:uid="{00000000-0005-0000-0000-000075AC0000}"/>
    <cellStyle name="Normal 9 3 3 4 2 4" xfId="28921" xr:uid="{00000000-0005-0000-0000-000076AC0000}"/>
    <cellStyle name="Normal 9 3 3 4 3" xfId="17441" xr:uid="{00000000-0005-0000-0000-000077AC0000}"/>
    <cellStyle name="Normal 9 3 3 4 3 2" xfId="40084" xr:uid="{00000000-0005-0000-0000-000078AC0000}"/>
    <cellStyle name="Normal 9 3 3 4 4" xfId="10001" xr:uid="{00000000-0005-0000-0000-000079AC0000}"/>
    <cellStyle name="Normal 9 3 3 4 4 2" xfId="32644" xr:uid="{00000000-0005-0000-0000-00007AAC0000}"/>
    <cellStyle name="Normal 9 3 3 4 5" xfId="25203" xr:uid="{00000000-0005-0000-0000-00007BAC0000}"/>
    <cellStyle name="Normal 9 3 3 5" xfId="4428" xr:uid="{00000000-0005-0000-0000-00007CAC0000}"/>
    <cellStyle name="Normal 9 3 3 5 2" xfId="19312" xr:uid="{00000000-0005-0000-0000-00007DAC0000}"/>
    <cellStyle name="Normal 9 3 3 5 2 2" xfId="41955" xr:uid="{00000000-0005-0000-0000-00007EAC0000}"/>
    <cellStyle name="Normal 9 3 3 5 3" xfId="11872" xr:uid="{00000000-0005-0000-0000-00007FAC0000}"/>
    <cellStyle name="Normal 9 3 3 5 3 2" xfId="34515" xr:uid="{00000000-0005-0000-0000-000080AC0000}"/>
    <cellStyle name="Normal 9 3 3 5 4" xfId="27074" xr:uid="{00000000-0005-0000-0000-000081AC0000}"/>
    <cellStyle name="Normal 9 3 3 6" xfId="15594" xr:uid="{00000000-0005-0000-0000-000082AC0000}"/>
    <cellStyle name="Normal 9 3 3 6 2" xfId="38237" xr:uid="{00000000-0005-0000-0000-000083AC0000}"/>
    <cellStyle name="Normal 9 3 3 7" xfId="8154" xr:uid="{00000000-0005-0000-0000-000084AC0000}"/>
    <cellStyle name="Normal 9 3 3 7 2" xfId="30797" xr:uid="{00000000-0005-0000-0000-000085AC0000}"/>
    <cellStyle name="Normal 9 3 3 8" xfId="23356" xr:uid="{00000000-0005-0000-0000-000086AC0000}"/>
    <cellStyle name="Normal 9 3 4" xfId="952" xr:uid="{00000000-0005-0000-0000-000087AC0000}"/>
    <cellStyle name="Normal 9 3 4 2" xfId="1880" xr:uid="{00000000-0005-0000-0000-000088AC0000}"/>
    <cellStyle name="Normal 9 3 4 2 2" xfId="3730" xr:uid="{00000000-0005-0000-0000-000089AC0000}"/>
    <cellStyle name="Normal 9 3 4 2 2 2" xfId="7451" xr:uid="{00000000-0005-0000-0000-00008AAC0000}"/>
    <cellStyle name="Normal 9 3 4 2 2 2 2" xfId="22335" xr:uid="{00000000-0005-0000-0000-00008BAC0000}"/>
    <cellStyle name="Normal 9 3 4 2 2 2 2 2" xfId="44978" xr:uid="{00000000-0005-0000-0000-00008CAC0000}"/>
    <cellStyle name="Normal 9 3 4 2 2 2 3" xfId="14895" xr:uid="{00000000-0005-0000-0000-00008DAC0000}"/>
    <cellStyle name="Normal 9 3 4 2 2 2 3 2" xfId="37538" xr:uid="{00000000-0005-0000-0000-00008EAC0000}"/>
    <cellStyle name="Normal 9 3 4 2 2 2 4" xfId="30097" xr:uid="{00000000-0005-0000-0000-00008FAC0000}"/>
    <cellStyle name="Normal 9 3 4 2 2 3" xfId="18617" xr:uid="{00000000-0005-0000-0000-000090AC0000}"/>
    <cellStyle name="Normal 9 3 4 2 2 3 2" xfId="41260" xr:uid="{00000000-0005-0000-0000-000091AC0000}"/>
    <cellStyle name="Normal 9 3 4 2 2 4" xfId="11177" xr:uid="{00000000-0005-0000-0000-000092AC0000}"/>
    <cellStyle name="Normal 9 3 4 2 2 4 2" xfId="33820" xr:uid="{00000000-0005-0000-0000-000093AC0000}"/>
    <cellStyle name="Normal 9 3 4 2 2 5" xfId="26379" xr:uid="{00000000-0005-0000-0000-000094AC0000}"/>
    <cellStyle name="Normal 9 3 4 2 3" xfId="5604" xr:uid="{00000000-0005-0000-0000-000095AC0000}"/>
    <cellStyle name="Normal 9 3 4 2 3 2" xfId="20488" xr:uid="{00000000-0005-0000-0000-000096AC0000}"/>
    <cellStyle name="Normal 9 3 4 2 3 2 2" xfId="43131" xr:uid="{00000000-0005-0000-0000-000097AC0000}"/>
    <cellStyle name="Normal 9 3 4 2 3 3" xfId="13048" xr:uid="{00000000-0005-0000-0000-000098AC0000}"/>
    <cellStyle name="Normal 9 3 4 2 3 3 2" xfId="35691" xr:uid="{00000000-0005-0000-0000-000099AC0000}"/>
    <cellStyle name="Normal 9 3 4 2 3 4" xfId="28250" xr:uid="{00000000-0005-0000-0000-00009AAC0000}"/>
    <cellStyle name="Normal 9 3 4 2 4" xfId="16770" xr:uid="{00000000-0005-0000-0000-00009BAC0000}"/>
    <cellStyle name="Normal 9 3 4 2 4 2" xfId="39413" xr:uid="{00000000-0005-0000-0000-00009CAC0000}"/>
    <cellStyle name="Normal 9 3 4 2 5" xfId="9330" xr:uid="{00000000-0005-0000-0000-00009DAC0000}"/>
    <cellStyle name="Normal 9 3 4 2 5 2" xfId="31973" xr:uid="{00000000-0005-0000-0000-00009EAC0000}"/>
    <cellStyle name="Normal 9 3 4 2 6" xfId="24532" xr:uid="{00000000-0005-0000-0000-00009FAC0000}"/>
    <cellStyle name="Normal 9 3 4 3" xfId="2805" xr:uid="{00000000-0005-0000-0000-0000A0AC0000}"/>
    <cellStyle name="Normal 9 3 4 3 2" xfId="6526" xr:uid="{00000000-0005-0000-0000-0000A1AC0000}"/>
    <cellStyle name="Normal 9 3 4 3 2 2" xfId="21410" xr:uid="{00000000-0005-0000-0000-0000A2AC0000}"/>
    <cellStyle name="Normal 9 3 4 3 2 2 2" xfId="44053" xr:uid="{00000000-0005-0000-0000-0000A3AC0000}"/>
    <cellStyle name="Normal 9 3 4 3 2 3" xfId="13970" xr:uid="{00000000-0005-0000-0000-0000A4AC0000}"/>
    <cellStyle name="Normal 9 3 4 3 2 3 2" xfId="36613" xr:uid="{00000000-0005-0000-0000-0000A5AC0000}"/>
    <cellStyle name="Normal 9 3 4 3 2 4" xfId="29172" xr:uid="{00000000-0005-0000-0000-0000A6AC0000}"/>
    <cellStyle name="Normal 9 3 4 3 3" xfId="17692" xr:uid="{00000000-0005-0000-0000-0000A7AC0000}"/>
    <cellStyle name="Normal 9 3 4 3 3 2" xfId="40335" xr:uid="{00000000-0005-0000-0000-0000A8AC0000}"/>
    <cellStyle name="Normal 9 3 4 3 4" xfId="10252" xr:uid="{00000000-0005-0000-0000-0000A9AC0000}"/>
    <cellStyle name="Normal 9 3 4 3 4 2" xfId="32895" xr:uid="{00000000-0005-0000-0000-0000AAAC0000}"/>
    <cellStyle name="Normal 9 3 4 3 5" xfId="25454" xr:uid="{00000000-0005-0000-0000-0000ABAC0000}"/>
    <cellStyle name="Normal 9 3 4 4" xfId="4679" xr:uid="{00000000-0005-0000-0000-0000ACAC0000}"/>
    <cellStyle name="Normal 9 3 4 4 2" xfId="19563" xr:uid="{00000000-0005-0000-0000-0000ADAC0000}"/>
    <cellStyle name="Normal 9 3 4 4 2 2" xfId="42206" xr:uid="{00000000-0005-0000-0000-0000AEAC0000}"/>
    <cellStyle name="Normal 9 3 4 4 3" xfId="12123" xr:uid="{00000000-0005-0000-0000-0000AFAC0000}"/>
    <cellStyle name="Normal 9 3 4 4 3 2" xfId="34766" xr:uid="{00000000-0005-0000-0000-0000B0AC0000}"/>
    <cellStyle name="Normal 9 3 4 4 4" xfId="27325" xr:uid="{00000000-0005-0000-0000-0000B1AC0000}"/>
    <cellStyle name="Normal 9 3 4 5" xfId="15845" xr:uid="{00000000-0005-0000-0000-0000B2AC0000}"/>
    <cellStyle name="Normal 9 3 4 5 2" xfId="38488" xr:uid="{00000000-0005-0000-0000-0000B3AC0000}"/>
    <cellStyle name="Normal 9 3 4 6" xfId="8405" xr:uid="{00000000-0005-0000-0000-0000B4AC0000}"/>
    <cellStyle name="Normal 9 3 4 6 2" xfId="31048" xr:uid="{00000000-0005-0000-0000-0000B5AC0000}"/>
    <cellStyle name="Normal 9 3 4 7" xfId="23607" xr:uid="{00000000-0005-0000-0000-0000B6AC0000}"/>
    <cellStyle name="Normal 9 3 5" xfId="1418" xr:uid="{00000000-0005-0000-0000-0000B7AC0000}"/>
    <cellStyle name="Normal 9 3 5 2" xfId="3268" xr:uid="{00000000-0005-0000-0000-0000B8AC0000}"/>
    <cellStyle name="Normal 9 3 5 2 2" xfId="6989" xr:uid="{00000000-0005-0000-0000-0000B9AC0000}"/>
    <cellStyle name="Normal 9 3 5 2 2 2" xfId="21873" xr:uid="{00000000-0005-0000-0000-0000BAAC0000}"/>
    <cellStyle name="Normal 9 3 5 2 2 2 2" xfId="44516" xr:uid="{00000000-0005-0000-0000-0000BBAC0000}"/>
    <cellStyle name="Normal 9 3 5 2 2 3" xfId="14433" xr:uid="{00000000-0005-0000-0000-0000BCAC0000}"/>
    <cellStyle name="Normal 9 3 5 2 2 3 2" xfId="37076" xr:uid="{00000000-0005-0000-0000-0000BDAC0000}"/>
    <cellStyle name="Normal 9 3 5 2 2 4" xfId="29635" xr:uid="{00000000-0005-0000-0000-0000BEAC0000}"/>
    <cellStyle name="Normal 9 3 5 2 3" xfId="18155" xr:uid="{00000000-0005-0000-0000-0000BFAC0000}"/>
    <cellStyle name="Normal 9 3 5 2 3 2" xfId="40798" xr:uid="{00000000-0005-0000-0000-0000C0AC0000}"/>
    <cellStyle name="Normal 9 3 5 2 4" xfId="10715" xr:uid="{00000000-0005-0000-0000-0000C1AC0000}"/>
    <cellStyle name="Normal 9 3 5 2 4 2" xfId="33358" xr:uid="{00000000-0005-0000-0000-0000C2AC0000}"/>
    <cellStyle name="Normal 9 3 5 2 5" xfId="25917" xr:uid="{00000000-0005-0000-0000-0000C3AC0000}"/>
    <cellStyle name="Normal 9 3 5 3" xfId="5142" xr:uid="{00000000-0005-0000-0000-0000C4AC0000}"/>
    <cellStyle name="Normal 9 3 5 3 2" xfId="20026" xr:uid="{00000000-0005-0000-0000-0000C5AC0000}"/>
    <cellStyle name="Normal 9 3 5 3 2 2" xfId="42669" xr:uid="{00000000-0005-0000-0000-0000C6AC0000}"/>
    <cellStyle name="Normal 9 3 5 3 3" xfId="12586" xr:uid="{00000000-0005-0000-0000-0000C7AC0000}"/>
    <cellStyle name="Normal 9 3 5 3 3 2" xfId="35229" xr:uid="{00000000-0005-0000-0000-0000C8AC0000}"/>
    <cellStyle name="Normal 9 3 5 3 4" xfId="27788" xr:uid="{00000000-0005-0000-0000-0000C9AC0000}"/>
    <cellStyle name="Normal 9 3 5 4" xfId="16308" xr:uid="{00000000-0005-0000-0000-0000CAAC0000}"/>
    <cellStyle name="Normal 9 3 5 4 2" xfId="38951" xr:uid="{00000000-0005-0000-0000-0000CBAC0000}"/>
    <cellStyle name="Normal 9 3 5 5" xfId="8868" xr:uid="{00000000-0005-0000-0000-0000CCAC0000}"/>
    <cellStyle name="Normal 9 3 5 5 2" xfId="31511" xr:uid="{00000000-0005-0000-0000-0000CDAC0000}"/>
    <cellStyle name="Normal 9 3 5 6" xfId="24070" xr:uid="{00000000-0005-0000-0000-0000CEAC0000}"/>
    <cellStyle name="Normal 9 3 6" xfId="2343" xr:uid="{00000000-0005-0000-0000-0000CFAC0000}"/>
    <cellStyle name="Normal 9 3 6 2" xfId="6064" xr:uid="{00000000-0005-0000-0000-0000D0AC0000}"/>
    <cellStyle name="Normal 9 3 6 2 2" xfId="20948" xr:uid="{00000000-0005-0000-0000-0000D1AC0000}"/>
    <cellStyle name="Normal 9 3 6 2 2 2" xfId="43591" xr:uid="{00000000-0005-0000-0000-0000D2AC0000}"/>
    <cellStyle name="Normal 9 3 6 2 3" xfId="13508" xr:uid="{00000000-0005-0000-0000-0000D3AC0000}"/>
    <cellStyle name="Normal 9 3 6 2 3 2" xfId="36151" xr:uid="{00000000-0005-0000-0000-0000D4AC0000}"/>
    <cellStyle name="Normal 9 3 6 2 4" xfId="28710" xr:uid="{00000000-0005-0000-0000-0000D5AC0000}"/>
    <cellStyle name="Normal 9 3 6 3" xfId="17230" xr:uid="{00000000-0005-0000-0000-0000D6AC0000}"/>
    <cellStyle name="Normal 9 3 6 3 2" xfId="39873" xr:uid="{00000000-0005-0000-0000-0000D7AC0000}"/>
    <cellStyle name="Normal 9 3 6 4" xfId="9790" xr:uid="{00000000-0005-0000-0000-0000D8AC0000}"/>
    <cellStyle name="Normal 9 3 6 4 2" xfId="32433" xr:uid="{00000000-0005-0000-0000-0000D9AC0000}"/>
    <cellStyle name="Normal 9 3 6 5" xfId="24992" xr:uid="{00000000-0005-0000-0000-0000DAAC0000}"/>
    <cellStyle name="Normal 9 3 7" xfId="4217" xr:uid="{00000000-0005-0000-0000-0000DBAC0000}"/>
    <cellStyle name="Normal 9 3 7 2" xfId="19101" xr:uid="{00000000-0005-0000-0000-0000DCAC0000}"/>
    <cellStyle name="Normal 9 3 7 2 2" xfId="41744" xr:uid="{00000000-0005-0000-0000-0000DDAC0000}"/>
    <cellStyle name="Normal 9 3 7 3" xfId="11661" xr:uid="{00000000-0005-0000-0000-0000DEAC0000}"/>
    <cellStyle name="Normal 9 3 7 3 2" xfId="34304" xr:uid="{00000000-0005-0000-0000-0000DFAC0000}"/>
    <cellStyle name="Normal 9 3 7 4" xfId="26863" xr:uid="{00000000-0005-0000-0000-0000E0AC0000}"/>
    <cellStyle name="Normal 9 3 8" xfId="15383" xr:uid="{00000000-0005-0000-0000-0000E1AC0000}"/>
    <cellStyle name="Normal 9 3 8 2" xfId="38026" xr:uid="{00000000-0005-0000-0000-0000E2AC0000}"/>
    <cellStyle name="Normal 9 3 9" xfId="7943" xr:uid="{00000000-0005-0000-0000-0000E3AC0000}"/>
    <cellStyle name="Normal 9 3 9 2" xfId="30586" xr:uid="{00000000-0005-0000-0000-0000E4AC0000}"/>
    <cellStyle name="Normal 9 4" xfId="539" xr:uid="{00000000-0005-0000-0000-0000E5AC0000}"/>
    <cellStyle name="Normal 9 4 2" xfId="751" xr:uid="{00000000-0005-0000-0000-0000E6AC0000}"/>
    <cellStyle name="Normal 9 4 2 2" xfId="1216" xr:uid="{00000000-0005-0000-0000-0000E7AC0000}"/>
    <cellStyle name="Normal 9 4 2 2 2" xfId="2144" xr:uid="{00000000-0005-0000-0000-0000E8AC0000}"/>
    <cellStyle name="Normal 9 4 2 2 2 2" xfId="3994" xr:uid="{00000000-0005-0000-0000-0000E9AC0000}"/>
    <cellStyle name="Normal 9 4 2 2 2 2 2" xfId="7715" xr:uid="{00000000-0005-0000-0000-0000EAAC0000}"/>
    <cellStyle name="Normal 9 4 2 2 2 2 2 2" xfId="22599" xr:uid="{00000000-0005-0000-0000-0000EBAC0000}"/>
    <cellStyle name="Normal 9 4 2 2 2 2 2 2 2" xfId="45242" xr:uid="{00000000-0005-0000-0000-0000ECAC0000}"/>
    <cellStyle name="Normal 9 4 2 2 2 2 2 3" xfId="15159" xr:uid="{00000000-0005-0000-0000-0000EDAC0000}"/>
    <cellStyle name="Normal 9 4 2 2 2 2 2 3 2" xfId="37802" xr:uid="{00000000-0005-0000-0000-0000EEAC0000}"/>
    <cellStyle name="Normal 9 4 2 2 2 2 2 4" xfId="30361" xr:uid="{00000000-0005-0000-0000-0000EFAC0000}"/>
    <cellStyle name="Normal 9 4 2 2 2 2 3" xfId="18881" xr:uid="{00000000-0005-0000-0000-0000F0AC0000}"/>
    <cellStyle name="Normal 9 4 2 2 2 2 3 2" xfId="41524" xr:uid="{00000000-0005-0000-0000-0000F1AC0000}"/>
    <cellStyle name="Normal 9 4 2 2 2 2 4" xfId="11441" xr:uid="{00000000-0005-0000-0000-0000F2AC0000}"/>
    <cellStyle name="Normal 9 4 2 2 2 2 4 2" xfId="34084" xr:uid="{00000000-0005-0000-0000-0000F3AC0000}"/>
    <cellStyle name="Normal 9 4 2 2 2 2 5" xfId="26643" xr:uid="{00000000-0005-0000-0000-0000F4AC0000}"/>
    <cellStyle name="Normal 9 4 2 2 2 3" xfId="5868" xr:uid="{00000000-0005-0000-0000-0000F5AC0000}"/>
    <cellStyle name="Normal 9 4 2 2 2 3 2" xfId="20752" xr:uid="{00000000-0005-0000-0000-0000F6AC0000}"/>
    <cellStyle name="Normal 9 4 2 2 2 3 2 2" xfId="43395" xr:uid="{00000000-0005-0000-0000-0000F7AC0000}"/>
    <cellStyle name="Normal 9 4 2 2 2 3 3" xfId="13312" xr:uid="{00000000-0005-0000-0000-0000F8AC0000}"/>
    <cellStyle name="Normal 9 4 2 2 2 3 3 2" xfId="35955" xr:uid="{00000000-0005-0000-0000-0000F9AC0000}"/>
    <cellStyle name="Normal 9 4 2 2 2 3 4" xfId="28514" xr:uid="{00000000-0005-0000-0000-0000FAAC0000}"/>
    <cellStyle name="Normal 9 4 2 2 2 4" xfId="17034" xr:uid="{00000000-0005-0000-0000-0000FBAC0000}"/>
    <cellStyle name="Normal 9 4 2 2 2 4 2" xfId="39677" xr:uid="{00000000-0005-0000-0000-0000FCAC0000}"/>
    <cellStyle name="Normal 9 4 2 2 2 5" xfId="9594" xr:uid="{00000000-0005-0000-0000-0000FDAC0000}"/>
    <cellStyle name="Normal 9 4 2 2 2 5 2" xfId="32237" xr:uid="{00000000-0005-0000-0000-0000FEAC0000}"/>
    <cellStyle name="Normal 9 4 2 2 2 6" xfId="24796" xr:uid="{00000000-0005-0000-0000-0000FFAC0000}"/>
    <cellStyle name="Normal 9 4 2 2 3" xfId="3069" xr:uid="{00000000-0005-0000-0000-000000AD0000}"/>
    <cellStyle name="Normal 9 4 2 2 3 2" xfId="6790" xr:uid="{00000000-0005-0000-0000-000001AD0000}"/>
    <cellStyle name="Normal 9 4 2 2 3 2 2" xfId="21674" xr:uid="{00000000-0005-0000-0000-000002AD0000}"/>
    <cellStyle name="Normal 9 4 2 2 3 2 2 2" xfId="44317" xr:uid="{00000000-0005-0000-0000-000003AD0000}"/>
    <cellStyle name="Normal 9 4 2 2 3 2 3" xfId="14234" xr:uid="{00000000-0005-0000-0000-000004AD0000}"/>
    <cellStyle name="Normal 9 4 2 2 3 2 3 2" xfId="36877" xr:uid="{00000000-0005-0000-0000-000005AD0000}"/>
    <cellStyle name="Normal 9 4 2 2 3 2 4" xfId="29436" xr:uid="{00000000-0005-0000-0000-000006AD0000}"/>
    <cellStyle name="Normal 9 4 2 2 3 3" xfId="17956" xr:uid="{00000000-0005-0000-0000-000007AD0000}"/>
    <cellStyle name="Normal 9 4 2 2 3 3 2" xfId="40599" xr:uid="{00000000-0005-0000-0000-000008AD0000}"/>
    <cellStyle name="Normal 9 4 2 2 3 4" xfId="10516" xr:uid="{00000000-0005-0000-0000-000009AD0000}"/>
    <cellStyle name="Normal 9 4 2 2 3 4 2" xfId="33159" xr:uid="{00000000-0005-0000-0000-00000AAD0000}"/>
    <cellStyle name="Normal 9 4 2 2 3 5" xfId="25718" xr:uid="{00000000-0005-0000-0000-00000BAD0000}"/>
    <cellStyle name="Normal 9 4 2 2 4" xfId="4943" xr:uid="{00000000-0005-0000-0000-00000CAD0000}"/>
    <cellStyle name="Normal 9 4 2 2 4 2" xfId="19827" xr:uid="{00000000-0005-0000-0000-00000DAD0000}"/>
    <cellStyle name="Normal 9 4 2 2 4 2 2" xfId="42470" xr:uid="{00000000-0005-0000-0000-00000EAD0000}"/>
    <cellStyle name="Normal 9 4 2 2 4 3" xfId="12387" xr:uid="{00000000-0005-0000-0000-00000FAD0000}"/>
    <cellStyle name="Normal 9 4 2 2 4 3 2" xfId="35030" xr:uid="{00000000-0005-0000-0000-000010AD0000}"/>
    <cellStyle name="Normal 9 4 2 2 4 4" xfId="27589" xr:uid="{00000000-0005-0000-0000-000011AD0000}"/>
    <cellStyle name="Normal 9 4 2 2 5" xfId="16109" xr:uid="{00000000-0005-0000-0000-000012AD0000}"/>
    <cellStyle name="Normal 9 4 2 2 5 2" xfId="38752" xr:uid="{00000000-0005-0000-0000-000013AD0000}"/>
    <cellStyle name="Normal 9 4 2 2 6" xfId="8669" xr:uid="{00000000-0005-0000-0000-000014AD0000}"/>
    <cellStyle name="Normal 9 4 2 2 6 2" xfId="31312" xr:uid="{00000000-0005-0000-0000-000015AD0000}"/>
    <cellStyle name="Normal 9 4 2 2 7" xfId="23871" xr:uid="{00000000-0005-0000-0000-000016AD0000}"/>
    <cellStyle name="Normal 9 4 2 3" xfId="1682" xr:uid="{00000000-0005-0000-0000-000017AD0000}"/>
    <cellStyle name="Normal 9 4 2 3 2" xfId="3532" xr:uid="{00000000-0005-0000-0000-000018AD0000}"/>
    <cellStyle name="Normal 9 4 2 3 2 2" xfId="7253" xr:uid="{00000000-0005-0000-0000-000019AD0000}"/>
    <cellStyle name="Normal 9 4 2 3 2 2 2" xfId="22137" xr:uid="{00000000-0005-0000-0000-00001AAD0000}"/>
    <cellStyle name="Normal 9 4 2 3 2 2 2 2" xfId="44780" xr:uid="{00000000-0005-0000-0000-00001BAD0000}"/>
    <cellStyle name="Normal 9 4 2 3 2 2 3" xfId="14697" xr:uid="{00000000-0005-0000-0000-00001CAD0000}"/>
    <cellStyle name="Normal 9 4 2 3 2 2 3 2" xfId="37340" xr:uid="{00000000-0005-0000-0000-00001DAD0000}"/>
    <cellStyle name="Normal 9 4 2 3 2 2 4" xfId="29899" xr:uid="{00000000-0005-0000-0000-00001EAD0000}"/>
    <cellStyle name="Normal 9 4 2 3 2 3" xfId="18419" xr:uid="{00000000-0005-0000-0000-00001FAD0000}"/>
    <cellStyle name="Normal 9 4 2 3 2 3 2" xfId="41062" xr:uid="{00000000-0005-0000-0000-000020AD0000}"/>
    <cellStyle name="Normal 9 4 2 3 2 4" xfId="10979" xr:uid="{00000000-0005-0000-0000-000021AD0000}"/>
    <cellStyle name="Normal 9 4 2 3 2 4 2" xfId="33622" xr:uid="{00000000-0005-0000-0000-000022AD0000}"/>
    <cellStyle name="Normal 9 4 2 3 2 5" xfId="26181" xr:uid="{00000000-0005-0000-0000-000023AD0000}"/>
    <cellStyle name="Normal 9 4 2 3 3" xfId="5406" xr:uid="{00000000-0005-0000-0000-000024AD0000}"/>
    <cellStyle name="Normal 9 4 2 3 3 2" xfId="20290" xr:uid="{00000000-0005-0000-0000-000025AD0000}"/>
    <cellStyle name="Normal 9 4 2 3 3 2 2" xfId="42933" xr:uid="{00000000-0005-0000-0000-000026AD0000}"/>
    <cellStyle name="Normal 9 4 2 3 3 3" xfId="12850" xr:uid="{00000000-0005-0000-0000-000027AD0000}"/>
    <cellStyle name="Normal 9 4 2 3 3 3 2" xfId="35493" xr:uid="{00000000-0005-0000-0000-000028AD0000}"/>
    <cellStyle name="Normal 9 4 2 3 3 4" xfId="28052" xr:uid="{00000000-0005-0000-0000-000029AD0000}"/>
    <cellStyle name="Normal 9 4 2 3 4" xfId="16572" xr:uid="{00000000-0005-0000-0000-00002AAD0000}"/>
    <cellStyle name="Normal 9 4 2 3 4 2" xfId="39215" xr:uid="{00000000-0005-0000-0000-00002BAD0000}"/>
    <cellStyle name="Normal 9 4 2 3 5" xfId="9132" xr:uid="{00000000-0005-0000-0000-00002CAD0000}"/>
    <cellStyle name="Normal 9 4 2 3 5 2" xfId="31775" xr:uid="{00000000-0005-0000-0000-00002DAD0000}"/>
    <cellStyle name="Normal 9 4 2 3 6" xfId="24334" xr:uid="{00000000-0005-0000-0000-00002EAD0000}"/>
    <cellStyle name="Normal 9 4 2 4" xfId="2607" xr:uid="{00000000-0005-0000-0000-00002FAD0000}"/>
    <cellStyle name="Normal 9 4 2 4 2" xfId="6328" xr:uid="{00000000-0005-0000-0000-000030AD0000}"/>
    <cellStyle name="Normal 9 4 2 4 2 2" xfId="21212" xr:uid="{00000000-0005-0000-0000-000031AD0000}"/>
    <cellStyle name="Normal 9 4 2 4 2 2 2" xfId="43855" xr:uid="{00000000-0005-0000-0000-000032AD0000}"/>
    <cellStyle name="Normal 9 4 2 4 2 3" xfId="13772" xr:uid="{00000000-0005-0000-0000-000033AD0000}"/>
    <cellStyle name="Normal 9 4 2 4 2 3 2" xfId="36415" xr:uid="{00000000-0005-0000-0000-000034AD0000}"/>
    <cellStyle name="Normal 9 4 2 4 2 4" xfId="28974" xr:uid="{00000000-0005-0000-0000-000035AD0000}"/>
    <cellStyle name="Normal 9 4 2 4 3" xfId="17494" xr:uid="{00000000-0005-0000-0000-000036AD0000}"/>
    <cellStyle name="Normal 9 4 2 4 3 2" xfId="40137" xr:uid="{00000000-0005-0000-0000-000037AD0000}"/>
    <cellStyle name="Normal 9 4 2 4 4" xfId="10054" xr:uid="{00000000-0005-0000-0000-000038AD0000}"/>
    <cellStyle name="Normal 9 4 2 4 4 2" xfId="32697" xr:uid="{00000000-0005-0000-0000-000039AD0000}"/>
    <cellStyle name="Normal 9 4 2 4 5" xfId="25256" xr:uid="{00000000-0005-0000-0000-00003AAD0000}"/>
    <cellStyle name="Normal 9 4 2 5" xfId="4481" xr:uid="{00000000-0005-0000-0000-00003BAD0000}"/>
    <cellStyle name="Normal 9 4 2 5 2" xfId="19365" xr:uid="{00000000-0005-0000-0000-00003CAD0000}"/>
    <cellStyle name="Normal 9 4 2 5 2 2" xfId="42008" xr:uid="{00000000-0005-0000-0000-00003DAD0000}"/>
    <cellStyle name="Normal 9 4 2 5 3" xfId="11925" xr:uid="{00000000-0005-0000-0000-00003EAD0000}"/>
    <cellStyle name="Normal 9 4 2 5 3 2" xfId="34568" xr:uid="{00000000-0005-0000-0000-00003FAD0000}"/>
    <cellStyle name="Normal 9 4 2 5 4" xfId="27127" xr:uid="{00000000-0005-0000-0000-000040AD0000}"/>
    <cellStyle name="Normal 9 4 2 6" xfId="15647" xr:uid="{00000000-0005-0000-0000-000041AD0000}"/>
    <cellStyle name="Normal 9 4 2 6 2" xfId="38290" xr:uid="{00000000-0005-0000-0000-000042AD0000}"/>
    <cellStyle name="Normal 9 4 2 7" xfId="8207" xr:uid="{00000000-0005-0000-0000-000043AD0000}"/>
    <cellStyle name="Normal 9 4 2 7 2" xfId="30850" xr:uid="{00000000-0005-0000-0000-000044AD0000}"/>
    <cellStyle name="Normal 9 4 2 8" xfId="23409" xr:uid="{00000000-0005-0000-0000-000045AD0000}"/>
    <cellStyle name="Normal 9 4 3" xfId="1005" xr:uid="{00000000-0005-0000-0000-000046AD0000}"/>
    <cellStyle name="Normal 9 4 3 2" xfId="1933" xr:uid="{00000000-0005-0000-0000-000047AD0000}"/>
    <cellStyle name="Normal 9 4 3 2 2" xfId="3783" xr:uid="{00000000-0005-0000-0000-000048AD0000}"/>
    <cellStyle name="Normal 9 4 3 2 2 2" xfId="7504" xr:uid="{00000000-0005-0000-0000-000049AD0000}"/>
    <cellStyle name="Normal 9 4 3 2 2 2 2" xfId="22388" xr:uid="{00000000-0005-0000-0000-00004AAD0000}"/>
    <cellStyle name="Normal 9 4 3 2 2 2 2 2" xfId="45031" xr:uid="{00000000-0005-0000-0000-00004BAD0000}"/>
    <cellStyle name="Normal 9 4 3 2 2 2 3" xfId="14948" xr:uid="{00000000-0005-0000-0000-00004CAD0000}"/>
    <cellStyle name="Normal 9 4 3 2 2 2 3 2" xfId="37591" xr:uid="{00000000-0005-0000-0000-00004DAD0000}"/>
    <cellStyle name="Normal 9 4 3 2 2 2 4" xfId="30150" xr:uid="{00000000-0005-0000-0000-00004EAD0000}"/>
    <cellStyle name="Normal 9 4 3 2 2 3" xfId="18670" xr:uid="{00000000-0005-0000-0000-00004FAD0000}"/>
    <cellStyle name="Normal 9 4 3 2 2 3 2" xfId="41313" xr:uid="{00000000-0005-0000-0000-000050AD0000}"/>
    <cellStyle name="Normal 9 4 3 2 2 4" xfId="11230" xr:uid="{00000000-0005-0000-0000-000051AD0000}"/>
    <cellStyle name="Normal 9 4 3 2 2 4 2" xfId="33873" xr:uid="{00000000-0005-0000-0000-000052AD0000}"/>
    <cellStyle name="Normal 9 4 3 2 2 5" xfId="26432" xr:uid="{00000000-0005-0000-0000-000053AD0000}"/>
    <cellStyle name="Normal 9 4 3 2 3" xfId="5657" xr:uid="{00000000-0005-0000-0000-000054AD0000}"/>
    <cellStyle name="Normal 9 4 3 2 3 2" xfId="20541" xr:uid="{00000000-0005-0000-0000-000055AD0000}"/>
    <cellStyle name="Normal 9 4 3 2 3 2 2" xfId="43184" xr:uid="{00000000-0005-0000-0000-000056AD0000}"/>
    <cellStyle name="Normal 9 4 3 2 3 3" xfId="13101" xr:uid="{00000000-0005-0000-0000-000057AD0000}"/>
    <cellStyle name="Normal 9 4 3 2 3 3 2" xfId="35744" xr:uid="{00000000-0005-0000-0000-000058AD0000}"/>
    <cellStyle name="Normal 9 4 3 2 3 4" xfId="28303" xr:uid="{00000000-0005-0000-0000-000059AD0000}"/>
    <cellStyle name="Normal 9 4 3 2 4" xfId="16823" xr:uid="{00000000-0005-0000-0000-00005AAD0000}"/>
    <cellStyle name="Normal 9 4 3 2 4 2" xfId="39466" xr:uid="{00000000-0005-0000-0000-00005BAD0000}"/>
    <cellStyle name="Normal 9 4 3 2 5" xfId="9383" xr:uid="{00000000-0005-0000-0000-00005CAD0000}"/>
    <cellStyle name="Normal 9 4 3 2 5 2" xfId="32026" xr:uid="{00000000-0005-0000-0000-00005DAD0000}"/>
    <cellStyle name="Normal 9 4 3 2 6" xfId="24585" xr:uid="{00000000-0005-0000-0000-00005EAD0000}"/>
    <cellStyle name="Normal 9 4 3 3" xfId="2858" xr:uid="{00000000-0005-0000-0000-00005FAD0000}"/>
    <cellStyle name="Normal 9 4 3 3 2" xfId="6579" xr:uid="{00000000-0005-0000-0000-000060AD0000}"/>
    <cellStyle name="Normal 9 4 3 3 2 2" xfId="21463" xr:uid="{00000000-0005-0000-0000-000061AD0000}"/>
    <cellStyle name="Normal 9 4 3 3 2 2 2" xfId="44106" xr:uid="{00000000-0005-0000-0000-000062AD0000}"/>
    <cellStyle name="Normal 9 4 3 3 2 3" xfId="14023" xr:uid="{00000000-0005-0000-0000-000063AD0000}"/>
    <cellStyle name="Normal 9 4 3 3 2 3 2" xfId="36666" xr:uid="{00000000-0005-0000-0000-000064AD0000}"/>
    <cellStyle name="Normal 9 4 3 3 2 4" xfId="29225" xr:uid="{00000000-0005-0000-0000-000065AD0000}"/>
    <cellStyle name="Normal 9 4 3 3 3" xfId="17745" xr:uid="{00000000-0005-0000-0000-000066AD0000}"/>
    <cellStyle name="Normal 9 4 3 3 3 2" xfId="40388" xr:uid="{00000000-0005-0000-0000-000067AD0000}"/>
    <cellStyle name="Normal 9 4 3 3 4" xfId="10305" xr:uid="{00000000-0005-0000-0000-000068AD0000}"/>
    <cellStyle name="Normal 9 4 3 3 4 2" xfId="32948" xr:uid="{00000000-0005-0000-0000-000069AD0000}"/>
    <cellStyle name="Normal 9 4 3 3 5" xfId="25507" xr:uid="{00000000-0005-0000-0000-00006AAD0000}"/>
    <cellStyle name="Normal 9 4 3 4" xfId="4732" xr:uid="{00000000-0005-0000-0000-00006BAD0000}"/>
    <cellStyle name="Normal 9 4 3 4 2" xfId="19616" xr:uid="{00000000-0005-0000-0000-00006CAD0000}"/>
    <cellStyle name="Normal 9 4 3 4 2 2" xfId="42259" xr:uid="{00000000-0005-0000-0000-00006DAD0000}"/>
    <cellStyle name="Normal 9 4 3 4 3" xfId="12176" xr:uid="{00000000-0005-0000-0000-00006EAD0000}"/>
    <cellStyle name="Normal 9 4 3 4 3 2" xfId="34819" xr:uid="{00000000-0005-0000-0000-00006FAD0000}"/>
    <cellStyle name="Normal 9 4 3 4 4" xfId="27378" xr:uid="{00000000-0005-0000-0000-000070AD0000}"/>
    <cellStyle name="Normal 9 4 3 5" xfId="15898" xr:uid="{00000000-0005-0000-0000-000071AD0000}"/>
    <cellStyle name="Normal 9 4 3 5 2" xfId="38541" xr:uid="{00000000-0005-0000-0000-000072AD0000}"/>
    <cellStyle name="Normal 9 4 3 6" xfId="8458" xr:uid="{00000000-0005-0000-0000-000073AD0000}"/>
    <cellStyle name="Normal 9 4 3 6 2" xfId="31101" xr:uid="{00000000-0005-0000-0000-000074AD0000}"/>
    <cellStyle name="Normal 9 4 3 7" xfId="23660" xr:uid="{00000000-0005-0000-0000-000075AD0000}"/>
    <cellStyle name="Normal 9 4 4" xfId="1471" xr:uid="{00000000-0005-0000-0000-000076AD0000}"/>
    <cellStyle name="Normal 9 4 4 2" xfId="3321" xr:uid="{00000000-0005-0000-0000-000077AD0000}"/>
    <cellStyle name="Normal 9 4 4 2 2" xfId="7042" xr:uid="{00000000-0005-0000-0000-000078AD0000}"/>
    <cellStyle name="Normal 9 4 4 2 2 2" xfId="21926" xr:uid="{00000000-0005-0000-0000-000079AD0000}"/>
    <cellStyle name="Normal 9 4 4 2 2 2 2" xfId="44569" xr:uid="{00000000-0005-0000-0000-00007AAD0000}"/>
    <cellStyle name="Normal 9 4 4 2 2 3" xfId="14486" xr:uid="{00000000-0005-0000-0000-00007BAD0000}"/>
    <cellStyle name="Normal 9 4 4 2 2 3 2" xfId="37129" xr:uid="{00000000-0005-0000-0000-00007CAD0000}"/>
    <cellStyle name="Normal 9 4 4 2 2 4" xfId="29688" xr:uid="{00000000-0005-0000-0000-00007DAD0000}"/>
    <cellStyle name="Normal 9 4 4 2 3" xfId="18208" xr:uid="{00000000-0005-0000-0000-00007EAD0000}"/>
    <cellStyle name="Normal 9 4 4 2 3 2" xfId="40851" xr:uid="{00000000-0005-0000-0000-00007FAD0000}"/>
    <cellStyle name="Normal 9 4 4 2 4" xfId="10768" xr:uid="{00000000-0005-0000-0000-000080AD0000}"/>
    <cellStyle name="Normal 9 4 4 2 4 2" xfId="33411" xr:uid="{00000000-0005-0000-0000-000081AD0000}"/>
    <cellStyle name="Normal 9 4 4 2 5" xfId="25970" xr:uid="{00000000-0005-0000-0000-000082AD0000}"/>
    <cellStyle name="Normal 9 4 4 3" xfId="5195" xr:uid="{00000000-0005-0000-0000-000083AD0000}"/>
    <cellStyle name="Normal 9 4 4 3 2" xfId="20079" xr:uid="{00000000-0005-0000-0000-000084AD0000}"/>
    <cellStyle name="Normal 9 4 4 3 2 2" xfId="42722" xr:uid="{00000000-0005-0000-0000-000085AD0000}"/>
    <cellStyle name="Normal 9 4 4 3 3" xfId="12639" xr:uid="{00000000-0005-0000-0000-000086AD0000}"/>
    <cellStyle name="Normal 9 4 4 3 3 2" xfId="35282" xr:uid="{00000000-0005-0000-0000-000087AD0000}"/>
    <cellStyle name="Normal 9 4 4 3 4" xfId="27841" xr:uid="{00000000-0005-0000-0000-000088AD0000}"/>
    <cellStyle name="Normal 9 4 4 4" xfId="16361" xr:uid="{00000000-0005-0000-0000-000089AD0000}"/>
    <cellStyle name="Normal 9 4 4 4 2" xfId="39004" xr:uid="{00000000-0005-0000-0000-00008AAD0000}"/>
    <cellStyle name="Normal 9 4 4 5" xfId="8921" xr:uid="{00000000-0005-0000-0000-00008BAD0000}"/>
    <cellStyle name="Normal 9 4 4 5 2" xfId="31564" xr:uid="{00000000-0005-0000-0000-00008CAD0000}"/>
    <cellStyle name="Normal 9 4 4 6" xfId="24123" xr:uid="{00000000-0005-0000-0000-00008DAD0000}"/>
    <cellStyle name="Normal 9 4 5" xfId="2396" xr:uid="{00000000-0005-0000-0000-00008EAD0000}"/>
    <cellStyle name="Normal 9 4 5 2" xfId="6117" xr:uid="{00000000-0005-0000-0000-00008FAD0000}"/>
    <cellStyle name="Normal 9 4 5 2 2" xfId="21001" xr:uid="{00000000-0005-0000-0000-000090AD0000}"/>
    <cellStyle name="Normal 9 4 5 2 2 2" xfId="43644" xr:uid="{00000000-0005-0000-0000-000091AD0000}"/>
    <cellStyle name="Normal 9 4 5 2 3" xfId="13561" xr:uid="{00000000-0005-0000-0000-000092AD0000}"/>
    <cellStyle name="Normal 9 4 5 2 3 2" xfId="36204" xr:uid="{00000000-0005-0000-0000-000093AD0000}"/>
    <cellStyle name="Normal 9 4 5 2 4" xfId="28763" xr:uid="{00000000-0005-0000-0000-000094AD0000}"/>
    <cellStyle name="Normal 9 4 5 3" xfId="17283" xr:uid="{00000000-0005-0000-0000-000095AD0000}"/>
    <cellStyle name="Normal 9 4 5 3 2" xfId="39926" xr:uid="{00000000-0005-0000-0000-000096AD0000}"/>
    <cellStyle name="Normal 9 4 5 4" xfId="9843" xr:uid="{00000000-0005-0000-0000-000097AD0000}"/>
    <cellStyle name="Normal 9 4 5 4 2" xfId="32486" xr:uid="{00000000-0005-0000-0000-000098AD0000}"/>
    <cellStyle name="Normal 9 4 5 5" xfId="25045" xr:uid="{00000000-0005-0000-0000-000099AD0000}"/>
    <cellStyle name="Normal 9 4 6" xfId="4270" xr:uid="{00000000-0005-0000-0000-00009AAD0000}"/>
    <cellStyle name="Normal 9 4 6 2" xfId="19154" xr:uid="{00000000-0005-0000-0000-00009BAD0000}"/>
    <cellStyle name="Normal 9 4 6 2 2" xfId="41797" xr:uid="{00000000-0005-0000-0000-00009CAD0000}"/>
    <cellStyle name="Normal 9 4 6 3" xfId="11714" xr:uid="{00000000-0005-0000-0000-00009DAD0000}"/>
    <cellStyle name="Normal 9 4 6 3 2" xfId="34357" xr:uid="{00000000-0005-0000-0000-00009EAD0000}"/>
    <cellStyle name="Normal 9 4 6 4" xfId="26916" xr:uid="{00000000-0005-0000-0000-00009FAD0000}"/>
    <cellStyle name="Normal 9 4 7" xfId="15436" xr:uid="{00000000-0005-0000-0000-0000A0AD0000}"/>
    <cellStyle name="Normal 9 4 7 2" xfId="38079" xr:uid="{00000000-0005-0000-0000-0000A1AD0000}"/>
    <cellStyle name="Normal 9 4 8" xfId="7996" xr:uid="{00000000-0005-0000-0000-0000A2AD0000}"/>
    <cellStyle name="Normal 9 4 8 2" xfId="30639" xr:uid="{00000000-0005-0000-0000-0000A3AD0000}"/>
    <cellStyle name="Normal 9 4 9" xfId="23199" xr:uid="{00000000-0005-0000-0000-0000A4AD0000}"/>
    <cellStyle name="Normal 9 5" xfId="646" xr:uid="{00000000-0005-0000-0000-0000A5AD0000}"/>
    <cellStyle name="Normal 9 5 2" xfId="1111" xr:uid="{00000000-0005-0000-0000-0000A6AD0000}"/>
    <cellStyle name="Normal 9 5 2 2" xfId="2039" xr:uid="{00000000-0005-0000-0000-0000A7AD0000}"/>
    <cellStyle name="Normal 9 5 2 2 2" xfId="3889" xr:uid="{00000000-0005-0000-0000-0000A8AD0000}"/>
    <cellStyle name="Normal 9 5 2 2 2 2" xfId="7610" xr:uid="{00000000-0005-0000-0000-0000A9AD0000}"/>
    <cellStyle name="Normal 9 5 2 2 2 2 2" xfId="22494" xr:uid="{00000000-0005-0000-0000-0000AAAD0000}"/>
    <cellStyle name="Normal 9 5 2 2 2 2 2 2" xfId="45137" xr:uid="{00000000-0005-0000-0000-0000ABAD0000}"/>
    <cellStyle name="Normal 9 5 2 2 2 2 3" xfId="15054" xr:uid="{00000000-0005-0000-0000-0000ACAD0000}"/>
    <cellStyle name="Normal 9 5 2 2 2 2 3 2" xfId="37697" xr:uid="{00000000-0005-0000-0000-0000ADAD0000}"/>
    <cellStyle name="Normal 9 5 2 2 2 2 4" xfId="30256" xr:uid="{00000000-0005-0000-0000-0000AEAD0000}"/>
    <cellStyle name="Normal 9 5 2 2 2 3" xfId="18776" xr:uid="{00000000-0005-0000-0000-0000AFAD0000}"/>
    <cellStyle name="Normal 9 5 2 2 2 3 2" xfId="41419" xr:uid="{00000000-0005-0000-0000-0000B0AD0000}"/>
    <cellStyle name="Normal 9 5 2 2 2 4" xfId="11336" xr:uid="{00000000-0005-0000-0000-0000B1AD0000}"/>
    <cellStyle name="Normal 9 5 2 2 2 4 2" xfId="33979" xr:uid="{00000000-0005-0000-0000-0000B2AD0000}"/>
    <cellStyle name="Normal 9 5 2 2 2 5" xfId="26538" xr:uid="{00000000-0005-0000-0000-0000B3AD0000}"/>
    <cellStyle name="Normal 9 5 2 2 3" xfId="5763" xr:uid="{00000000-0005-0000-0000-0000B4AD0000}"/>
    <cellStyle name="Normal 9 5 2 2 3 2" xfId="20647" xr:uid="{00000000-0005-0000-0000-0000B5AD0000}"/>
    <cellStyle name="Normal 9 5 2 2 3 2 2" xfId="43290" xr:uid="{00000000-0005-0000-0000-0000B6AD0000}"/>
    <cellStyle name="Normal 9 5 2 2 3 3" xfId="13207" xr:uid="{00000000-0005-0000-0000-0000B7AD0000}"/>
    <cellStyle name="Normal 9 5 2 2 3 3 2" xfId="35850" xr:uid="{00000000-0005-0000-0000-0000B8AD0000}"/>
    <cellStyle name="Normal 9 5 2 2 3 4" xfId="28409" xr:uid="{00000000-0005-0000-0000-0000B9AD0000}"/>
    <cellStyle name="Normal 9 5 2 2 4" xfId="16929" xr:uid="{00000000-0005-0000-0000-0000BAAD0000}"/>
    <cellStyle name="Normal 9 5 2 2 4 2" xfId="39572" xr:uid="{00000000-0005-0000-0000-0000BBAD0000}"/>
    <cellStyle name="Normal 9 5 2 2 5" xfId="9489" xr:uid="{00000000-0005-0000-0000-0000BCAD0000}"/>
    <cellStyle name="Normal 9 5 2 2 5 2" xfId="32132" xr:uid="{00000000-0005-0000-0000-0000BDAD0000}"/>
    <cellStyle name="Normal 9 5 2 2 6" xfId="24691" xr:uid="{00000000-0005-0000-0000-0000BEAD0000}"/>
    <cellStyle name="Normal 9 5 2 3" xfId="2964" xr:uid="{00000000-0005-0000-0000-0000BFAD0000}"/>
    <cellStyle name="Normal 9 5 2 3 2" xfId="6685" xr:uid="{00000000-0005-0000-0000-0000C0AD0000}"/>
    <cellStyle name="Normal 9 5 2 3 2 2" xfId="21569" xr:uid="{00000000-0005-0000-0000-0000C1AD0000}"/>
    <cellStyle name="Normal 9 5 2 3 2 2 2" xfId="44212" xr:uid="{00000000-0005-0000-0000-0000C2AD0000}"/>
    <cellStyle name="Normal 9 5 2 3 2 3" xfId="14129" xr:uid="{00000000-0005-0000-0000-0000C3AD0000}"/>
    <cellStyle name="Normal 9 5 2 3 2 3 2" xfId="36772" xr:uid="{00000000-0005-0000-0000-0000C4AD0000}"/>
    <cellStyle name="Normal 9 5 2 3 2 4" xfId="29331" xr:uid="{00000000-0005-0000-0000-0000C5AD0000}"/>
    <cellStyle name="Normal 9 5 2 3 3" xfId="17851" xr:uid="{00000000-0005-0000-0000-0000C6AD0000}"/>
    <cellStyle name="Normal 9 5 2 3 3 2" xfId="40494" xr:uid="{00000000-0005-0000-0000-0000C7AD0000}"/>
    <cellStyle name="Normal 9 5 2 3 4" xfId="10411" xr:uid="{00000000-0005-0000-0000-0000C8AD0000}"/>
    <cellStyle name="Normal 9 5 2 3 4 2" xfId="33054" xr:uid="{00000000-0005-0000-0000-0000C9AD0000}"/>
    <cellStyle name="Normal 9 5 2 3 5" xfId="25613" xr:uid="{00000000-0005-0000-0000-0000CAAD0000}"/>
    <cellStyle name="Normal 9 5 2 4" xfId="4838" xr:uid="{00000000-0005-0000-0000-0000CBAD0000}"/>
    <cellStyle name="Normal 9 5 2 4 2" xfId="19722" xr:uid="{00000000-0005-0000-0000-0000CCAD0000}"/>
    <cellStyle name="Normal 9 5 2 4 2 2" xfId="42365" xr:uid="{00000000-0005-0000-0000-0000CDAD0000}"/>
    <cellStyle name="Normal 9 5 2 4 3" xfId="12282" xr:uid="{00000000-0005-0000-0000-0000CEAD0000}"/>
    <cellStyle name="Normal 9 5 2 4 3 2" xfId="34925" xr:uid="{00000000-0005-0000-0000-0000CFAD0000}"/>
    <cellStyle name="Normal 9 5 2 4 4" xfId="27484" xr:uid="{00000000-0005-0000-0000-0000D0AD0000}"/>
    <cellStyle name="Normal 9 5 2 5" xfId="16004" xr:uid="{00000000-0005-0000-0000-0000D1AD0000}"/>
    <cellStyle name="Normal 9 5 2 5 2" xfId="38647" xr:uid="{00000000-0005-0000-0000-0000D2AD0000}"/>
    <cellStyle name="Normal 9 5 2 6" xfId="8564" xr:uid="{00000000-0005-0000-0000-0000D3AD0000}"/>
    <cellStyle name="Normal 9 5 2 6 2" xfId="31207" xr:uid="{00000000-0005-0000-0000-0000D4AD0000}"/>
    <cellStyle name="Normal 9 5 2 7" xfId="23766" xr:uid="{00000000-0005-0000-0000-0000D5AD0000}"/>
    <cellStyle name="Normal 9 5 3" xfId="1577" xr:uid="{00000000-0005-0000-0000-0000D6AD0000}"/>
    <cellStyle name="Normal 9 5 3 2" xfId="3427" xr:uid="{00000000-0005-0000-0000-0000D7AD0000}"/>
    <cellStyle name="Normal 9 5 3 2 2" xfId="7148" xr:uid="{00000000-0005-0000-0000-0000D8AD0000}"/>
    <cellStyle name="Normal 9 5 3 2 2 2" xfId="22032" xr:uid="{00000000-0005-0000-0000-0000D9AD0000}"/>
    <cellStyle name="Normal 9 5 3 2 2 2 2" xfId="44675" xr:uid="{00000000-0005-0000-0000-0000DAAD0000}"/>
    <cellStyle name="Normal 9 5 3 2 2 3" xfId="14592" xr:uid="{00000000-0005-0000-0000-0000DBAD0000}"/>
    <cellStyle name="Normal 9 5 3 2 2 3 2" xfId="37235" xr:uid="{00000000-0005-0000-0000-0000DCAD0000}"/>
    <cellStyle name="Normal 9 5 3 2 2 4" xfId="29794" xr:uid="{00000000-0005-0000-0000-0000DDAD0000}"/>
    <cellStyle name="Normal 9 5 3 2 3" xfId="18314" xr:uid="{00000000-0005-0000-0000-0000DEAD0000}"/>
    <cellStyle name="Normal 9 5 3 2 3 2" xfId="40957" xr:uid="{00000000-0005-0000-0000-0000DFAD0000}"/>
    <cellStyle name="Normal 9 5 3 2 4" xfId="10874" xr:uid="{00000000-0005-0000-0000-0000E0AD0000}"/>
    <cellStyle name="Normal 9 5 3 2 4 2" xfId="33517" xr:uid="{00000000-0005-0000-0000-0000E1AD0000}"/>
    <cellStyle name="Normal 9 5 3 2 5" xfId="26076" xr:uid="{00000000-0005-0000-0000-0000E2AD0000}"/>
    <cellStyle name="Normal 9 5 3 3" xfId="5301" xr:uid="{00000000-0005-0000-0000-0000E3AD0000}"/>
    <cellStyle name="Normal 9 5 3 3 2" xfId="20185" xr:uid="{00000000-0005-0000-0000-0000E4AD0000}"/>
    <cellStyle name="Normal 9 5 3 3 2 2" xfId="42828" xr:uid="{00000000-0005-0000-0000-0000E5AD0000}"/>
    <cellStyle name="Normal 9 5 3 3 3" xfId="12745" xr:uid="{00000000-0005-0000-0000-0000E6AD0000}"/>
    <cellStyle name="Normal 9 5 3 3 3 2" xfId="35388" xr:uid="{00000000-0005-0000-0000-0000E7AD0000}"/>
    <cellStyle name="Normal 9 5 3 3 4" xfId="27947" xr:uid="{00000000-0005-0000-0000-0000E8AD0000}"/>
    <cellStyle name="Normal 9 5 3 4" xfId="16467" xr:uid="{00000000-0005-0000-0000-0000E9AD0000}"/>
    <cellStyle name="Normal 9 5 3 4 2" xfId="39110" xr:uid="{00000000-0005-0000-0000-0000EAAD0000}"/>
    <cellStyle name="Normal 9 5 3 5" xfId="9027" xr:uid="{00000000-0005-0000-0000-0000EBAD0000}"/>
    <cellStyle name="Normal 9 5 3 5 2" xfId="31670" xr:uid="{00000000-0005-0000-0000-0000ECAD0000}"/>
    <cellStyle name="Normal 9 5 3 6" xfId="24229" xr:uid="{00000000-0005-0000-0000-0000EDAD0000}"/>
    <cellStyle name="Normal 9 5 4" xfId="2502" xr:uid="{00000000-0005-0000-0000-0000EEAD0000}"/>
    <cellStyle name="Normal 9 5 4 2" xfId="6223" xr:uid="{00000000-0005-0000-0000-0000EFAD0000}"/>
    <cellStyle name="Normal 9 5 4 2 2" xfId="21107" xr:uid="{00000000-0005-0000-0000-0000F0AD0000}"/>
    <cellStyle name="Normal 9 5 4 2 2 2" xfId="43750" xr:uid="{00000000-0005-0000-0000-0000F1AD0000}"/>
    <cellStyle name="Normal 9 5 4 2 3" xfId="13667" xr:uid="{00000000-0005-0000-0000-0000F2AD0000}"/>
    <cellStyle name="Normal 9 5 4 2 3 2" xfId="36310" xr:uid="{00000000-0005-0000-0000-0000F3AD0000}"/>
    <cellStyle name="Normal 9 5 4 2 4" xfId="28869" xr:uid="{00000000-0005-0000-0000-0000F4AD0000}"/>
    <cellStyle name="Normal 9 5 4 3" xfId="17389" xr:uid="{00000000-0005-0000-0000-0000F5AD0000}"/>
    <cellStyle name="Normal 9 5 4 3 2" xfId="40032" xr:uid="{00000000-0005-0000-0000-0000F6AD0000}"/>
    <cellStyle name="Normal 9 5 4 4" xfId="9949" xr:uid="{00000000-0005-0000-0000-0000F7AD0000}"/>
    <cellStyle name="Normal 9 5 4 4 2" xfId="32592" xr:uid="{00000000-0005-0000-0000-0000F8AD0000}"/>
    <cellStyle name="Normal 9 5 4 5" xfId="25151" xr:uid="{00000000-0005-0000-0000-0000F9AD0000}"/>
    <cellStyle name="Normal 9 5 5" xfId="4376" xr:uid="{00000000-0005-0000-0000-0000FAAD0000}"/>
    <cellStyle name="Normal 9 5 5 2" xfId="19260" xr:uid="{00000000-0005-0000-0000-0000FBAD0000}"/>
    <cellStyle name="Normal 9 5 5 2 2" xfId="41903" xr:uid="{00000000-0005-0000-0000-0000FCAD0000}"/>
    <cellStyle name="Normal 9 5 5 3" xfId="11820" xr:uid="{00000000-0005-0000-0000-0000FDAD0000}"/>
    <cellStyle name="Normal 9 5 5 3 2" xfId="34463" xr:uid="{00000000-0005-0000-0000-0000FEAD0000}"/>
    <cellStyle name="Normal 9 5 5 4" xfId="27022" xr:uid="{00000000-0005-0000-0000-0000FFAD0000}"/>
    <cellStyle name="Normal 9 5 6" xfId="15542" xr:uid="{00000000-0005-0000-0000-000000AE0000}"/>
    <cellStyle name="Normal 9 5 6 2" xfId="38185" xr:uid="{00000000-0005-0000-0000-000001AE0000}"/>
    <cellStyle name="Normal 9 5 7" xfId="8102" xr:uid="{00000000-0005-0000-0000-000002AE0000}"/>
    <cellStyle name="Normal 9 5 7 2" xfId="30745" xr:uid="{00000000-0005-0000-0000-000003AE0000}"/>
    <cellStyle name="Normal 9 5 8" xfId="23304" xr:uid="{00000000-0005-0000-0000-000004AE0000}"/>
    <cellStyle name="Normal 9 6" xfId="900" xr:uid="{00000000-0005-0000-0000-000005AE0000}"/>
    <cellStyle name="Normal 9 6 2" xfId="1828" xr:uid="{00000000-0005-0000-0000-000006AE0000}"/>
    <cellStyle name="Normal 9 6 2 2" xfId="3678" xr:uid="{00000000-0005-0000-0000-000007AE0000}"/>
    <cellStyle name="Normal 9 6 2 2 2" xfId="7399" xr:uid="{00000000-0005-0000-0000-000008AE0000}"/>
    <cellStyle name="Normal 9 6 2 2 2 2" xfId="22283" xr:uid="{00000000-0005-0000-0000-000009AE0000}"/>
    <cellStyle name="Normal 9 6 2 2 2 2 2" xfId="44926" xr:uid="{00000000-0005-0000-0000-00000AAE0000}"/>
    <cellStyle name="Normal 9 6 2 2 2 3" xfId="14843" xr:uid="{00000000-0005-0000-0000-00000BAE0000}"/>
    <cellStyle name="Normal 9 6 2 2 2 3 2" xfId="37486" xr:uid="{00000000-0005-0000-0000-00000CAE0000}"/>
    <cellStyle name="Normal 9 6 2 2 2 4" xfId="30045" xr:uid="{00000000-0005-0000-0000-00000DAE0000}"/>
    <cellStyle name="Normal 9 6 2 2 3" xfId="18565" xr:uid="{00000000-0005-0000-0000-00000EAE0000}"/>
    <cellStyle name="Normal 9 6 2 2 3 2" xfId="41208" xr:uid="{00000000-0005-0000-0000-00000FAE0000}"/>
    <cellStyle name="Normal 9 6 2 2 4" xfId="11125" xr:uid="{00000000-0005-0000-0000-000010AE0000}"/>
    <cellStyle name="Normal 9 6 2 2 4 2" xfId="33768" xr:uid="{00000000-0005-0000-0000-000011AE0000}"/>
    <cellStyle name="Normal 9 6 2 2 5" xfId="26327" xr:uid="{00000000-0005-0000-0000-000012AE0000}"/>
    <cellStyle name="Normal 9 6 2 3" xfId="5552" xr:uid="{00000000-0005-0000-0000-000013AE0000}"/>
    <cellStyle name="Normal 9 6 2 3 2" xfId="20436" xr:uid="{00000000-0005-0000-0000-000014AE0000}"/>
    <cellStyle name="Normal 9 6 2 3 2 2" xfId="43079" xr:uid="{00000000-0005-0000-0000-000015AE0000}"/>
    <cellStyle name="Normal 9 6 2 3 3" xfId="12996" xr:uid="{00000000-0005-0000-0000-000016AE0000}"/>
    <cellStyle name="Normal 9 6 2 3 3 2" xfId="35639" xr:uid="{00000000-0005-0000-0000-000017AE0000}"/>
    <cellStyle name="Normal 9 6 2 3 4" xfId="28198" xr:uid="{00000000-0005-0000-0000-000018AE0000}"/>
    <cellStyle name="Normal 9 6 2 4" xfId="16718" xr:uid="{00000000-0005-0000-0000-000019AE0000}"/>
    <cellStyle name="Normal 9 6 2 4 2" xfId="39361" xr:uid="{00000000-0005-0000-0000-00001AAE0000}"/>
    <cellStyle name="Normal 9 6 2 5" xfId="9278" xr:uid="{00000000-0005-0000-0000-00001BAE0000}"/>
    <cellStyle name="Normal 9 6 2 5 2" xfId="31921" xr:uid="{00000000-0005-0000-0000-00001CAE0000}"/>
    <cellStyle name="Normal 9 6 2 6" xfId="24480" xr:uid="{00000000-0005-0000-0000-00001DAE0000}"/>
    <cellStyle name="Normal 9 6 3" xfId="2753" xr:uid="{00000000-0005-0000-0000-00001EAE0000}"/>
    <cellStyle name="Normal 9 6 3 2" xfId="6474" xr:uid="{00000000-0005-0000-0000-00001FAE0000}"/>
    <cellStyle name="Normal 9 6 3 2 2" xfId="21358" xr:uid="{00000000-0005-0000-0000-000020AE0000}"/>
    <cellStyle name="Normal 9 6 3 2 2 2" xfId="44001" xr:uid="{00000000-0005-0000-0000-000021AE0000}"/>
    <cellStyle name="Normal 9 6 3 2 3" xfId="13918" xr:uid="{00000000-0005-0000-0000-000022AE0000}"/>
    <cellStyle name="Normal 9 6 3 2 3 2" xfId="36561" xr:uid="{00000000-0005-0000-0000-000023AE0000}"/>
    <cellStyle name="Normal 9 6 3 2 4" xfId="29120" xr:uid="{00000000-0005-0000-0000-000024AE0000}"/>
    <cellStyle name="Normal 9 6 3 3" xfId="17640" xr:uid="{00000000-0005-0000-0000-000025AE0000}"/>
    <cellStyle name="Normal 9 6 3 3 2" xfId="40283" xr:uid="{00000000-0005-0000-0000-000026AE0000}"/>
    <cellStyle name="Normal 9 6 3 4" xfId="10200" xr:uid="{00000000-0005-0000-0000-000027AE0000}"/>
    <cellStyle name="Normal 9 6 3 4 2" xfId="32843" xr:uid="{00000000-0005-0000-0000-000028AE0000}"/>
    <cellStyle name="Normal 9 6 3 5" xfId="25402" xr:uid="{00000000-0005-0000-0000-000029AE0000}"/>
    <cellStyle name="Normal 9 6 4" xfId="4627" xr:uid="{00000000-0005-0000-0000-00002AAE0000}"/>
    <cellStyle name="Normal 9 6 4 2" xfId="19511" xr:uid="{00000000-0005-0000-0000-00002BAE0000}"/>
    <cellStyle name="Normal 9 6 4 2 2" xfId="42154" xr:uid="{00000000-0005-0000-0000-00002CAE0000}"/>
    <cellStyle name="Normal 9 6 4 3" xfId="12071" xr:uid="{00000000-0005-0000-0000-00002DAE0000}"/>
    <cellStyle name="Normal 9 6 4 3 2" xfId="34714" xr:uid="{00000000-0005-0000-0000-00002EAE0000}"/>
    <cellStyle name="Normal 9 6 4 4" xfId="27273" xr:uid="{00000000-0005-0000-0000-00002FAE0000}"/>
    <cellStyle name="Normal 9 6 5" xfId="15793" xr:uid="{00000000-0005-0000-0000-000030AE0000}"/>
    <cellStyle name="Normal 9 6 5 2" xfId="38436" xr:uid="{00000000-0005-0000-0000-000031AE0000}"/>
    <cellStyle name="Normal 9 6 6" xfId="8353" xr:uid="{00000000-0005-0000-0000-000032AE0000}"/>
    <cellStyle name="Normal 9 6 6 2" xfId="30996" xr:uid="{00000000-0005-0000-0000-000033AE0000}"/>
    <cellStyle name="Normal 9 6 7" xfId="23555" xr:uid="{00000000-0005-0000-0000-000034AE0000}"/>
    <cellStyle name="Normal 9 7" xfId="1366" xr:uid="{00000000-0005-0000-0000-000035AE0000}"/>
    <cellStyle name="Normal 9 7 2" xfId="3216" xr:uid="{00000000-0005-0000-0000-000036AE0000}"/>
    <cellStyle name="Normal 9 7 2 2" xfId="6937" xr:uid="{00000000-0005-0000-0000-000037AE0000}"/>
    <cellStyle name="Normal 9 7 2 2 2" xfId="21821" xr:uid="{00000000-0005-0000-0000-000038AE0000}"/>
    <cellStyle name="Normal 9 7 2 2 2 2" xfId="44464" xr:uid="{00000000-0005-0000-0000-000039AE0000}"/>
    <cellStyle name="Normal 9 7 2 2 3" xfId="14381" xr:uid="{00000000-0005-0000-0000-00003AAE0000}"/>
    <cellStyle name="Normal 9 7 2 2 3 2" xfId="37024" xr:uid="{00000000-0005-0000-0000-00003BAE0000}"/>
    <cellStyle name="Normal 9 7 2 2 4" xfId="29583" xr:uid="{00000000-0005-0000-0000-00003CAE0000}"/>
    <cellStyle name="Normal 9 7 2 3" xfId="18103" xr:uid="{00000000-0005-0000-0000-00003DAE0000}"/>
    <cellStyle name="Normal 9 7 2 3 2" xfId="40746" xr:uid="{00000000-0005-0000-0000-00003EAE0000}"/>
    <cellStyle name="Normal 9 7 2 4" xfId="10663" xr:uid="{00000000-0005-0000-0000-00003FAE0000}"/>
    <cellStyle name="Normal 9 7 2 4 2" xfId="33306" xr:uid="{00000000-0005-0000-0000-000040AE0000}"/>
    <cellStyle name="Normal 9 7 2 5" xfId="25865" xr:uid="{00000000-0005-0000-0000-000041AE0000}"/>
    <cellStyle name="Normal 9 7 3" xfId="5090" xr:uid="{00000000-0005-0000-0000-000042AE0000}"/>
    <cellStyle name="Normal 9 7 3 2" xfId="19974" xr:uid="{00000000-0005-0000-0000-000043AE0000}"/>
    <cellStyle name="Normal 9 7 3 2 2" xfId="42617" xr:uid="{00000000-0005-0000-0000-000044AE0000}"/>
    <cellStyle name="Normal 9 7 3 3" xfId="12534" xr:uid="{00000000-0005-0000-0000-000045AE0000}"/>
    <cellStyle name="Normal 9 7 3 3 2" xfId="35177" xr:uid="{00000000-0005-0000-0000-000046AE0000}"/>
    <cellStyle name="Normal 9 7 3 4" xfId="27736" xr:uid="{00000000-0005-0000-0000-000047AE0000}"/>
    <cellStyle name="Normal 9 7 4" xfId="16256" xr:uid="{00000000-0005-0000-0000-000048AE0000}"/>
    <cellStyle name="Normal 9 7 4 2" xfId="38899" xr:uid="{00000000-0005-0000-0000-000049AE0000}"/>
    <cellStyle name="Normal 9 7 5" xfId="8816" xr:uid="{00000000-0005-0000-0000-00004AAE0000}"/>
    <cellStyle name="Normal 9 7 5 2" xfId="31459" xr:uid="{00000000-0005-0000-0000-00004BAE0000}"/>
    <cellStyle name="Normal 9 7 6" xfId="24018" xr:uid="{00000000-0005-0000-0000-00004CAE0000}"/>
    <cellStyle name="Normal 9 8" xfId="2291" xr:uid="{00000000-0005-0000-0000-00004DAE0000}"/>
    <cellStyle name="Normal 9 8 2" xfId="6012" xr:uid="{00000000-0005-0000-0000-00004EAE0000}"/>
    <cellStyle name="Normal 9 8 2 2" xfId="20896" xr:uid="{00000000-0005-0000-0000-00004FAE0000}"/>
    <cellStyle name="Normal 9 8 2 2 2" xfId="43539" xr:uid="{00000000-0005-0000-0000-000050AE0000}"/>
    <cellStyle name="Normal 9 8 2 3" xfId="13456" xr:uid="{00000000-0005-0000-0000-000051AE0000}"/>
    <cellStyle name="Normal 9 8 2 3 2" xfId="36099" xr:uid="{00000000-0005-0000-0000-000052AE0000}"/>
    <cellStyle name="Normal 9 8 2 4" xfId="28658" xr:uid="{00000000-0005-0000-0000-000053AE0000}"/>
    <cellStyle name="Normal 9 8 3" xfId="17178" xr:uid="{00000000-0005-0000-0000-000054AE0000}"/>
    <cellStyle name="Normal 9 8 3 2" xfId="39821" xr:uid="{00000000-0005-0000-0000-000055AE0000}"/>
    <cellStyle name="Normal 9 8 4" xfId="9738" xr:uid="{00000000-0005-0000-0000-000056AE0000}"/>
    <cellStyle name="Normal 9 8 4 2" xfId="32381" xr:uid="{00000000-0005-0000-0000-000057AE0000}"/>
    <cellStyle name="Normal 9 8 5" xfId="24940" xr:uid="{00000000-0005-0000-0000-000058AE0000}"/>
    <cellStyle name="Normal 9 9" xfId="4165" xr:uid="{00000000-0005-0000-0000-000059AE0000}"/>
    <cellStyle name="Normal 9 9 2" xfId="19049" xr:uid="{00000000-0005-0000-0000-00005AAE0000}"/>
    <cellStyle name="Normal 9 9 2 2" xfId="41692" xr:uid="{00000000-0005-0000-0000-00005BAE0000}"/>
    <cellStyle name="Normal 9 9 3" xfId="11609" xr:uid="{00000000-0005-0000-0000-00005CAE0000}"/>
    <cellStyle name="Normal 9 9 3 2" xfId="34252" xr:uid="{00000000-0005-0000-0000-00005DAE0000}"/>
    <cellStyle name="Normal 9 9 4" xfId="26811" xr:uid="{00000000-0005-0000-0000-00005EAE0000}"/>
    <cellStyle name="Normal 90" xfId="4130" xr:uid="{00000000-0005-0000-0000-00005FAE0000}"/>
    <cellStyle name="Normal 90 2" xfId="7851" xr:uid="{00000000-0005-0000-0000-000060AE0000}"/>
    <cellStyle name="Normal 90 2 2" xfId="22735" xr:uid="{00000000-0005-0000-0000-000061AE0000}"/>
    <cellStyle name="Normal 90 2 2 2" xfId="45378" xr:uid="{00000000-0005-0000-0000-000062AE0000}"/>
    <cellStyle name="Normal 90 2 3" xfId="15295" xr:uid="{00000000-0005-0000-0000-000063AE0000}"/>
    <cellStyle name="Normal 90 2 3 2" xfId="37938" xr:uid="{00000000-0005-0000-0000-000064AE0000}"/>
    <cellStyle name="Normal 90 2 4" xfId="30497" xr:uid="{00000000-0005-0000-0000-000065AE0000}"/>
    <cellStyle name="Normal 90 3" xfId="19017" xr:uid="{00000000-0005-0000-0000-000066AE0000}"/>
    <cellStyle name="Normal 90 3 2" xfId="41660" xr:uid="{00000000-0005-0000-0000-000067AE0000}"/>
    <cellStyle name="Normal 90 4" xfId="11577" xr:uid="{00000000-0005-0000-0000-000068AE0000}"/>
    <cellStyle name="Normal 90 4 2" xfId="34220" xr:uid="{00000000-0005-0000-0000-000069AE0000}"/>
    <cellStyle name="Normal 90 5" xfId="26779" xr:uid="{00000000-0005-0000-0000-00006AAE0000}"/>
    <cellStyle name="Normal 91" xfId="4131" xr:uid="{00000000-0005-0000-0000-00006BAE0000}"/>
    <cellStyle name="Normal 91 2" xfId="19018" xr:uid="{00000000-0005-0000-0000-00006CAE0000}"/>
    <cellStyle name="Normal 91 2 2" xfId="41661" xr:uid="{00000000-0005-0000-0000-00006DAE0000}"/>
    <cellStyle name="Normal 91 3" xfId="11578" xr:uid="{00000000-0005-0000-0000-00006EAE0000}"/>
    <cellStyle name="Normal 91 3 2" xfId="34221" xr:uid="{00000000-0005-0000-0000-00006FAE0000}"/>
    <cellStyle name="Normal 91 4" xfId="26780" xr:uid="{00000000-0005-0000-0000-000070AE0000}"/>
    <cellStyle name="Normal 92" xfId="4132" xr:uid="{00000000-0005-0000-0000-000071AE0000}"/>
    <cellStyle name="Normal 92 2" xfId="19019" xr:uid="{00000000-0005-0000-0000-000072AE0000}"/>
    <cellStyle name="Normal 92 2 2" xfId="41662" xr:uid="{00000000-0005-0000-0000-000073AE0000}"/>
    <cellStyle name="Normal 92 3" xfId="11579" xr:uid="{00000000-0005-0000-0000-000074AE0000}"/>
    <cellStyle name="Normal 92 3 2" xfId="34222" xr:uid="{00000000-0005-0000-0000-000075AE0000}"/>
    <cellStyle name="Normal 92 4" xfId="26781" xr:uid="{00000000-0005-0000-0000-000076AE0000}"/>
    <cellStyle name="Normal 93" xfId="4146" xr:uid="{00000000-0005-0000-0000-000077AE0000}"/>
    <cellStyle name="Normal 94" xfId="4133" xr:uid="{00000000-0005-0000-0000-000078AE0000}"/>
    <cellStyle name="Normal 94 2" xfId="19020" xr:uid="{00000000-0005-0000-0000-000079AE0000}"/>
    <cellStyle name="Normal 94 2 2" xfId="41663" xr:uid="{00000000-0005-0000-0000-00007AAE0000}"/>
    <cellStyle name="Normal 94 3" xfId="11580" xr:uid="{00000000-0005-0000-0000-00007BAE0000}"/>
    <cellStyle name="Normal 94 3 2" xfId="34223" xr:uid="{00000000-0005-0000-0000-00007CAE0000}"/>
    <cellStyle name="Normal 94 4" xfId="26782" xr:uid="{00000000-0005-0000-0000-00007DAE0000}"/>
    <cellStyle name="Normal 95" xfId="7852" xr:uid="{00000000-0005-0000-0000-00007EAE0000}"/>
    <cellStyle name="Normal 95 2" xfId="22736" xr:uid="{00000000-0005-0000-0000-00007FAE0000}"/>
    <cellStyle name="Normal 95 2 2" xfId="45379" xr:uid="{00000000-0005-0000-0000-000080AE0000}"/>
    <cellStyle name="Normal 95 3" xfId="15296" xr:uid="{00000000-0005-0000-0000-000081AE0000}"/>
    <cellStyle name="Normal 95 3 2" xfId="37939" xr:uid="{00000000-0005-0000-0000-000082AE0000}"/>
    <cellStyle name="Normal 95 4" xfId="30498" xr:uid="{00000000-0005-0000-0000-000083AE0000}"/>
    <cellStyle name="Normal 96" xfId="7853" xr:uid="{00000000-0005-0000-0000-000084AE0000}"/>
    <cellStyle name="Normal 96 2" xfId="22737" xr:uid="{00000000-0005-0000-0000-000085AE0000}"/>
    <cellStyle name="Normal 96 2 2" xfId="45380" xr:uid="{00000000-0005-0000-0000-000086AE0000}"/>
    <cellStyle name="Normal 96 3" xfId="15297" xr:uid="{00000000-0005-0000-0000-000087AE0000}"/>
    <cellStyle name="Normal 96 3 2" xfId="37940" xr:uid="{00000000-0005-0000-0000-000088AE0000}"/>
    <cellStyle name="Normal 96 4" xfId="30499" xr:uid="{00000000-0005-0000-0000-000089AE0000}"/>
    <cellStyle name="Normal 97" xfId="7854" xr:uid="{00000000-0005-0000-0000-00008AAE0000}"/>
    <cellStyle name="Normal 97 2" xfId="22738" xr:uid="{00000000-0005-0000-0000-00008BAE0000}"/>
    <cellStyle name="Normal 97 2 2" xfId="45381" xr:uid="{00000000-0005-0000-0000-00008CAE0000}"/>
    <cellStyle name="Normal 97 3" xfId="15298" xr:uid="{00000000-0005-0000-0000-00008DAE0000}"/>
    <cellStyle name="Normal 97 3 2" xfId="37941" xr:uid="{00000000-0005-0000-0000-00008EAE0000}"/>
    <cellStyle name="Normal 97 4" xfId="30500" xr:uid="{00000000-0005-0000-0000-00008FAE0000}"/>
    <cellStyle name="Normal 98" xfId="7855" xr:uid="{00000000-0005-0000-0000-000090AE0000}"/>
    <cellStyle name="Normal 98 2" xfId="22739" xr:uid="{00000000-0005-0000-0000-000091AE0000}"/>
    <cellStyle name="Normal 98 2 2" xfId="45382" xr:uid="{00000000-0005-0000-0000-000092AE0000}"/>
    <cellStyle name="Normal 98 3" xfId="15299" xr:uid="{00000000-0005-0000-0000-000093AE0000}"/>
    <cellStyle name="Normal 98 3 2" xfId="37942" xr:uid="{00000000-0005-0000-0000-000094AE0000}"/>
    <cellStyle name="Normal 98 4" xfId="30501" xr:uid="{00000000-0005-0000-0000-000095AE0000}"/>
    <cellStyle name="Normal 99" xfId="7856" xr:uid="{00000000-0005-0000-0000-000096AE0000}"/>
    <cellStyle name="Normal 99 2" xfId="22740" xr:uid="{00000000-0005-0000-0000-000097AE0000}"/>
    <cellStyle name="Normal 99 2 2" xfId="45383" xr:uid="{00000000-0005-0000-0000-000098AE0000}"/>
    <cellStyle name="Normal 99 3" xfId="15300" xr:uid="{00000000-0005-0000-0000-000099AE0000}"/>
    <cellStyle name="Normal 99 3 2" xfId="37943" xr:uid="{00000000-0005-0000-0000-00009AAE0000}"/>
    <cellStyle name="Normal 99 4" xfId="30502" xr:uid="{00000000-0005-0000-0000-00009BAE0000}"/>
    <cellStyle name="Notas 2" xfId="71" xr:uid="{00000000-0005-0000-0000-00009CAE0000}"/>
    <cellStyle name="Notas 2 10" xfId="7893" xr:uid="{00000000-0005-0000-0000-00009DAE0000}"/>
    <cellStyle name="Notas 2 10 2" xfId="30536" xr:uid="{00000000-0005-0000-0000-00009EAE0000}"/>
    <cellStyle name="Notas 2 11" xfId="22789" xr:uid="{00000000-0005-0000-0000-00009FAE0000}"/>
    <cellStyle name="Notas 2 2" xfId="72" xr:uid="{00000000-0005-0000-0000-0000A0AE0000}"/>
    <cellStyle name="Notas 2 2 10" xfId="22790" xr:uid="{00000000-0005-0000-0000-0000A1AE0000}"/>
    <cellStyle name="Notas 2 2 2" xfId="123" xr:uid="{00000000-0005-0000-0000-0000A2AE0000}"/>
    <cellStyle name="Notas 2 2 2 2" xfId="205" xr:uid="{00000000-0005-0000-0000-0000A3AE0000}"/>
    <cellStyle name="Notas 2 2 2 2 2" xfId="366" xr:uid="{00000000-0005-0000-0000-0000A4AE0000}"/>
    <cellStyle name="Notas 2 2 2 2 2 2" xfId="2198" xr:uid="{00000000-0005-0000-0000-0000A5AE0000}"/>
    <cellStyle name="Notas 2 2 2 2 2 2 2" xfId="4048" xr:uid="{00000000-0005-0000-0000-0000A6AE0000}"/>
    <cellStyle name="Notas 2 2 2 2 2 2 2 2" xfId="7769" xr:uid="{00000000-0005-0000-0000-0000A7AE0000}"/>
    <cellStyle name="Notas 2 2 2 2 2 2 2 2 2" xfId="22653" xr:uid="{00000000-0005-0000-0000-0000A8AE0000}"/>
    <cellStyle name="Notas 2 2 2 2 2 2 2 2 2 2" xfId="45296" xr:uid="{00000000-0005-0000-0000-0000A9AE0000}"/>
    <cellStyle name="Notas 2 2 2 2 2 2 2 2 3" xfId="15213" xr:uid="{00000000-0005-0000-0000-0000AAAE0000}"/>
    <cellStyle name="Notas 2 2 2 2 2 2 2 2 3 2" xfId="37856" xr:uid="{00000000-0005-0000-0000-0000ABAE0000}"/>
    <cellStyle name="Notas 2 2 2 2 2 2 2 2 4" xfId="30415" xr:uid="{00000000-0005-0000-0000-0000ACAE0000}"/>
    <cellStyle name="Notas 2 2 2 2 2 2 2 3" xfId="18935" xr:uid="{00000000-0005-0000-0000-0000ADAE0000}"/>
    <cellStyle name="Notas 2 2 2 2 2 2 2 3 2" xfId="41578" xr:uid="{00000000-0005-0000-0000-0000AEAE0000}"/>
    <cellStyle name="Notas 2 2 2 2 2 2 2 4" xfId="11495" xr:uid="{00000000-0005-0000-0000-0000AFAE0000}"/>
    <cellStyle name="Notas 2 2 2 2 2 2 2 4 2" xfId="34138" xr:uid="{00000000-0005-0000-0000-0000B0AE0000}"/>
    <cellStyle name="Notas 2 2 2 2 2 2 2 5" xfId="26697" xr:uid="{00000000-0005-0000-0000-0000B1AE0000}"/>
    <cellStyle name="Notas 2 2 2 2 2 2 3" xfId="5922" xr:uid="{00000000-0005-0000-0000-0000B2AE0000}"/>
    <cellStyle name="Notas 2 2 2 2 2 2 3 2" xfId="20806" xr:uid="{00000000-0005-0000-0000-0000B3AE0000}"/>
    <cellStyle name="Notas 2 2 2 2 2 2 3 2 2" xfId="43449" xr:uid="{00000000-0005-0000-0000-0000B4AE0000}"/>
    <cellStyle name="Notas 2 2 2 2 2 2 3 3" xfId="13366" xr:uid="{00000000-0005-0000-0000-0000B5AE0000}"/>
    <cellStyle name="Notas 2 2 2 2 2 2 3 3 2" xfId="36009" xr:uid="{00000000-0005-0000-0000-0000B6AE0000}"/>
    <cellStyle name="Notas 2 2 2 2 2 2 3 4" xfId="28568" xr:uid="{00000000-0005-0000-0000-0000B7AE0000}"/>
    <cellStyle name="Notas 2 2 2 2 2 2 4" xfId="17088" xr:uid="{00000000-0005-0000-0000-0000B8AE0000}"/>
    <cellStyle name="Notas 2 2 2 2 2 2 4 2" xfId="39731" xr:uid="{00000000-0005-0000-0000-0000B9AE0000}"/>
    <cellStyle name="Notas 2 2 2 2 2 2 5" xfId="9648" xr:uid="{00000000-0005-0000-0000-0000BAAE0000}"/>
    <cellStyle name="Notas 2 2 2 2 2 2 5 2" xfId="32291" xr:uid="{00000000-0005-0000-0000-0000BBAE0000}"/>
    <cellStyle name="Notas 2 2 2 2 2 2 6" xfId="24850" xr:uid="{00000000-0005-0000-0000-0000BCAE0000}"/>
    <cellStyle name="Notas 2 2 2 2 2 3" xfId="3123" xr:uid="{00000000-0005-0000-0000-0000BDAE0000}"/>
    <cellStyle name="Notas 2 2 2 2 2 3 2" xfId="6844" xr:uid="{00000000-0005-0000-0000-0000BEAE0000}"/>
    <cellStyle name="Notas 2 2 2 2 2 3 2 2" xfId="21728" xr:uid="{00000000-0005-0000-0000-0000BFAE0000}"/>
    <cellStyle name="Notas 2 2 2 2 2 3 2 2 2" xfId="44371" xr:uid="{00000000-0005-0000-0000-0000C0AE0000}"/>
    <cellStyle name="Notas 2 2 2 2 2 3 2 3" xfId="14288" xr:uid="{00000000-0005-0000-0000-0000C1AE0000}"/>
    <cellStyle name="Notas 2 2 2 2 2 3 2 3 2" xfId="36931" xr:uid="{00000000-0005-0000-0000-0000C2AE0000}"/>
    <cellStyle name="Notas 2 2 2 2 2 3 2 4" xfId="29490" xr:uid="{00000000-0005-0000-0000-0000C3AE0000}"/>
    <cellStyle name="Notas 2 2 2 2 2 3 3" xfId="18010" xr:uid="{00000000-0005-0000-0000-0000C4AE0000}"/>
    <cellStyle name="Notas 2 2 2 2 2 3 3 2" xfId="40653" xr:uid="{00000000-0005-0000-0000-0000C5AE0000}"/>
    <cellStyle name="Notas 2 2 2 2 2 3 4" xfId="10570" xr:uid="{00000000-0005-0000-0000-0000C6AE0000}"/>
    <cellStyle name="Notas 2 2 2 2 2 3 4 2" xfId="33213" xr:uid="{00000000-0005-0000-0000-0000C7AE0000}"/>
    <cellStyle name="Notas 2 2 2 2 2 3 5" xfId="25772" xr:uid="{00000000-0005-0000-0000-0000C8AE0000}"/>
    <cellStyle name="Notas 2 2 2 2 2 4" xfId="4997" xr:uid="{00000000-0005-0000-0000-0000C9AE0000}"/>
    <cellStyle name="Notas 2 2 2 2 2 4 2" xfId="19881" xr:uid="{00000000-0005-0000-0000-0000CAAE0000}"/>
    <cellStyle name="Notas 2 2 2 2 2 4 2 2" xfId="42524" xr:uid="{00000000-0005-0000-0000-0000CBAE0000}"/>
    <cellStyle name="Notas 2 2 2 2 2 4 3" xfId="12441" xr:uid="{00000000-0005-0000-0000-0000CCAE0000}"/>
    <cellStyle name="Notas 2 2 2 2 2 4 3 2" xfId="35084" xr:uid="{00000000-0005-0000-0000-0000CDAE0000}"/>
    <cellStyle name="Notas 2 2 2 2 2 4 4" xfId="27643" xr:uid="{00000000-0005-0000-0000-0000CEAE0000}"/>
    <cellStyle name="Notas 2 2 2 2 2 5" xfId="1270" xr:uid="{00000000-0005-0000-0000-0000CFAE0000}"/>
    <cellStyle name="Notas 2 2 2 2 2 5 2" xfId="16163" xr:uid="{00000000-0005-0000-0000-0000D0AE0000}"/>
    <cellStyle name="Notas 2 2 2 2 2 5 2 2" xfId="38806" xr:uid="{00000000-0005-0000-0000-0000D1AE0000}"/>
    <cellStyle name="Notas 2 2 2 2 2 5 3" xfId="23925" xr:uid="{00000000-0005-0000-0000-0000D2AE0000}"/>
    <cellStyle name="Notas 2 2 2 2 2 6" xfId="8723" xr:uid="{00000000-0005-0000-0000-0000D3AE0000}"/>
    <cellStyle name="Notas 2 2 2 2 2 6 2" xfId="31366" xr:uid="{00000000-0005-0000-0000-0000D4AE0000}"/>
    <cellStyle name="Notas 2 2 2 2 2 7" xfId="23064" xr:uid="{00000000-0005-0000-0000-0000D5AE0000}"/>
    <cellStyle name="Notas 2 2 2 2 3" xfId="1736" xr:uid="{00000000-0005-0000-0000-0000D6AE0000}"/>
    <cellStyle name="Notas 2 2 2 2 3 2" xfId="3586" xr:uid="{00000000-0005-0000-0000-0000D7AE0000}"/>
    <cellStyle name="Notas 2 2 2 2 3 2 2" xfId="7307" xr:uid="{00000000-0005-0000-0000-0000D8AE0000}"/>
    <cellStyle name="Notas 2 2 2 2 3 2 2 2" xfId="22191" xr:uid="{00000000-0005-0000-0000-0000D9AE0000}"/>
    <cellStyle name="Notas 2 2 2 2 3 2 2 2 2" xfId="44834" xr:uid="{00000000-0005-0000-0000-0000DAAE0000}"/>
    <cellStyle name="Notas 2 2 2 2 3 2 2 3" xfId="14751" xr:uid="{00000000-0005-0000-0000-0000DBAE0000}"/>
    <cellStyle name="Notas 2 2 2 2 3 2 2 3 2" xfId="37394" xr:uid="{00000000-0005-0000-0000-0000DCAE0000}"/>
    <cellStyle name="Notas 2 2 2 2 3 2 2 4" xfId="29953" xr:uid="{00000000-0005-0000-0000-0000DDAE0000}"/>
    <cellStyle name="Notas 2 2 2 2 3 2 3" xfId="18473" xr:uid="{00000000-0005-0000-0000-0000DEAE0000}"/>
    <cellStyle name="Notas 2 2 2 2 3 2 3 2" xfId="41116" xr:uid="{00000000-0005-0000-0000-0000DFAE0000}"/>
    <cellStyle name="Notas 2 2 2 2 3 2 4" xfId="11033" xr:uid="{00000000-0005-0000-0000-0000E0AE0000}"/>
    <cellStyle name="Notas 2 2 2 2 3 2 4 2" xfId="33676" xr:uid="{00000000-0005-0000-0000-0000E1AE0000}"/>
    <cellStyle name="Notas 2 2 2 2 3 2 5" xfId="26235" xr:uid="{00000000-0005-0000-0000-0000E2AE0000}"/>
    <cellStyle name="Notas 2 2 2 2 3 3" xfId="5460" xr:uid="{00000000-0005-0000-0000-0000E3AE0000}"/>
    <cellStyle name="Notas 2 2 2 2 3 3 2" xfId="20344" xr:uid="{00000000-0005-0000-0000-0000E4AE0000}"/>
    <cellStyle name="Notas 2 2 2 2 3 3 2 2" xfId="42987" xr:uid="{00000000-0005-0000-0000-0000E5AE0000}"/>
    <cellStyle name="Notas 2 2 2 2 3 3 3" xfId="12904" xr:uid="{00000000-0005-0000-0000-0000E6AE0000}"/>
    <cellStyle name="Notas 2 2 2 2 3 3 3 2" xfId="35547" xr:uid="{00000000-0005-0000-0000-0000E7AE0000}"/>
    <cellStyle name="Notas 2 2 2 2 3 3 4" xfId="28106" xr:uid="{00000000-0005-0000-0000-0000E8AE0000}"/>
    <cellStyle name="Notas 2 2 2 2 3 4" xfId="16626" xr:uid="{00000000-0005-0000-0000-0000E9AE0000}"/>
    <cellStyle name="Notas 2 2 2 2 3 4 2" xfId="39269" xr:uid="{00000000-0005-0000-0000-0000EAAE0000}"/>
    <cellStyle name="Notas 2 2 2 2 3 5" xfId="9186" xr:uid="{00000000-0005-0000-0000-0000EBAE0000}"/>
    <cellStyle name="Notas 2 2 2 2 3 5 2" xfId="31829" xr:uid="{00000000-0005-0000-0000-0000ECAE0000}"/>
    <cellStyle name="Notas 2 2 2 2 3 6" xfId="24388" xr:uid="{00000000-0005-0000-0000-0000EDAE0000}"/>
    <cellStyle name="Notas 2 2 2 2 4" xfId="2661" xr:uid="{00000000-0005-0000-0000-0000EEAE0000}"/>
    <cellStyle name="Notas 2 2 2 2 4 2" xfId="6382" xr:uid="{00000000-0005-0000-0000-0000EFAE0000}"/>
    <cellStyle name="Notas 2 2 2 2 4 2 2" xfId="21266" xr:uid="{00000000-0005-0000-0000-0000F0AE0000}"/>
    <cellStyle name="Notas 2 2 2 2 4 2 2 2" xfId="43909" xr:uid="{00000000-0005-0000-0000-0000F1AE0000}"/>
    <cellStyle name="Notas 2 2 2 2 4 2 3" xfId="13826" xr:uid="{00000000-0005-0000-0000-0000F2AE0000}"/>
    <cellStyle name="Notas 2 2 2 2 4 2 3 2" xfId="36469" xr:uid="{00000000-0005-0000-0000-0000F3AE0000}"/>
    <cellStyle name="Notas 2 2 2 2 4 2 4" xfId="29028" xr:uid="{00000000-0005-0000-0000-0000F4AE0000}"/>
    <cellStyle name="Notas 2 2 2 2 4 3" xfId="17548" xr:uid="{00000000-0005-0000-0000-0000F5AE0000}"/>
    <cellStyle name="Notas 2 2 2 2 4 3 2" xfId="40191" xr:uid="{00000000-0005-0000-0000-0000F6AE0000}"/>
    <cellStyle name="Notas 2 2 2 2 4 4" xfId="10108" xr:uid="{00000000-0005-0000-0000-0000F7AE0000}"/>
    <cellStyle name="Notas 2 2 2 2 4 4 2" xfId="32751" xr:uid="{00000000-0005-0000-0000-0000F8AE0000}"/>
    <cellStyle name="Notas 2 2 2 2 4 5" xfId="25310" xr:uid="{00000000-0005-0000-0000-0000F9AE0000}"/>
    <cellStyle name="Notas 2 2 2 2 5" xfId="4535" xr:uid="{00000000-0005-0000-0000-0000FAAE0000}"/>
    <cellStyle name="Notas 2 2 2 2 5 2" xfId="19419" xr:uid="{00000000-0005-0000-0000-0000FBAE0000}"/>
    <cellStyle name="Notas 2 2 2 2 5 2 2" xfId="42062" xr:uid="{00000000-0005-0000-0000-0000FCAE0000}"/>
    <cellStyle name="Notas 2 2 2 2 5 3" xfId="11979" xr:uid="{00000000-0005-0000-0000-0000FDAE0000}"/>
    <cellStyle name="Notas 2 2 2 2 5 3 2" xfId="34622" xr:uid="{00000000-0005-0000-0000-0000FEAE0000}"/>
    <cellStyle name="Notas 2 2 2 2 5 4" xfId="27181" xr:uid="{00000000-0005-0000-0000-0000FFAE0000}"/>
    <cellStyle name="Notas 2 2 2 2 6" xfId="805" xr:uid="{00000000-0005-0000-0000-000000AF0000}"/>
    <cellStyle name="Notas 2 2 2 2 6 2" xfId="15701" xr:uid="{00000000-0005-0000-0000-000001AF0000}"/>
    <cellStyle name="Notas 2 2 2 2 6 2 2" xfId="38344" xr:uid="{00000000-0005-0000-0000-000002AF0000}"/>
    <cellStyle name="Notas 2 2 2 2 6 3" xfId="23463" xr:uid="{00000000-0005-0000-0000-000003AF0000}"/>
    <cellStyle name="Notas 2 2 2 2 7" xfId="8261" xr:uid="{00000000-0005-0000-0000-000004AF0000}"/>
    <cellStyle name="Notas 2 2 2 2 7 2" xfId="30904" xr:uid="{00000000-0005-0000-0000-000005AF0000}"/>
    <cellStyle name="Notas 2 2 2 2 8" xfId="22908" xr:uid="{00000000-0005-0000-0000-000006AF0000}"/>
    <cellStyle name="Notas 2 2 2 3" xfId="288" xr:uid="{00000000-0005-0000-0000-000007AF0000}"/>
    <cellStyle name="Notas 2 2 2 3 2" xfId="1987" xr:uid="{00000000-0005-0000-0000-000008AF0000}"/>
    <cellStyle name="Notas 2 2 2 3 2 2" xfId="3837" xr:uid="{00000000-0005-0000-0000-000009AF0000}"/>
    <cellStyle name="Notas 2 2 2 3 2 2 2" xfId="7558" xr:uid="{00000000-0005-0000-0000-00000AAF0000}"/>
    <cellStyle name="Notas 2 2 2 3 2 2 2 2" xfId="22442" xr:uid="{00000000-0005-0000-0000-00000BAF0000}"/>
    <cellStyle name="Notas 2 2 2 3 2 2 2 2 2" xfId="45085" xr:uid="{00000000-0005-0000-0000-00000CAF0000}"/>
    <cellStyle name="Notas 2 2 2 3 2 2 2 3" xfId="15002" xr:uid="{00000000-0005-0000-0000-00000DAF0000}"/>
    <cellStyle name="Notas 2 2 2 3 2 2 2 3 2" xfId="37645" xr:uid="{00000000-0005-0000-0000-00000EAF0000}"/>
    <cellStyle name="Notas 2 2 2 3 2 2 2 4" xfId="30204" xr:uid="{00000000-0005-0000-0000-00000FAF0000}"/>
    <cellStyle name="Notas 2 2 2 3 2 2 3" xfId="18724" xr:uid="{00000000-0005-0000-0000-000010AF0000}"/>
    <cellStyle name="Notas 2 2 2 3 2 2 3 2" xfId="41367" xr:uid="{00000000-0005-0000-0000-000011AF0000}"/>
    <cellStyle name="Notas 2 2 2 3 2 2 4" xfId="11284" xr:uid="{00000000-0005-0000-0000-000012AF0000}"/>
    <cellStyle name="Notas 2 2 2 3 2 2 4 2" xfId="33927" xr:uid="{00000000-0005-0000-0000-000013AF0000}"/>
    <cellStyle name="Notas 2 2 2 3 2 2 5" xfId="26486" xr:uid="{00000000-0005-0000-0000-000014AF0000}"/>
    <cellStyle name="Notas 2 2 2 3 2 3" xfId="5711" xr:uid="{00000000-0005-0000-0000-000015AF0000}"/>
    <cellStyle name="Notas 2 2 2 3 2 3 2" xfId="20595" xr:uid="{00000000-0005-0000-0000-000016AF0000}"/>
    <cellStyle name="Notas 2 2 2 3 2 3 2 2" xfId="43238" xr:uid="{00000000-0005-0000-0000-000017AF0000}"/>
    <cellStyle name="Notas 2 2 2 3 2 3 3" xfId="13155" xr:uid="{00000000-0005-0000-0000-000018AF0000}"/>
    <cellStyle name="Notas 2 2 2 3 2 3 3 2" xfId="35798" xr:uid="{00000000-0005-0000-0000-000019AF0000}"/>
    <cellStyle name="Notas 2 2 2 3 2 3 4" xfId="28357" xr:uid="{00000000-0005-0000-0000-00001AAF0000}"/>
    <cellStyle name="Notas 2 2 2 3 2 4" xfId="16877" xr:uid="{00000000-0005-0000-0000-00001BAF0000}"/>
    <cellStyle name="Notas 2 2 2 3 2 4 2" xfId="39520" xr:uid="{00000000-0005-0000-0000-00001CAF0000}"/>
    <cellStyle name="Notas 2 2 2 3 2 5" xfId="9437" xr:uid="{00000000-0005-0000-0000-00001DAF0000}"/>
    <cellStyle name="Notas 2 2 2 3 2 5 2" xfId="32080" xr:uid="{00000000-0005-0000-0000-00001EAF0000}"/>
    <cellStyle name="Notas 2 2 2 3 2 6" xfId="24639" xr:uid="{00000000-0005-0000-0000-00001FAF0000}"/>
    <cellStyle name="Notas 2 2 2 3 3" xfId="2912" xr:uid="{00000000-0005-0000-0000-000020AF0000}"/>
    <cellStyle name="Notas 2 2 2 3 3 2" xfId="6633" xr:uid="{00000000-0005-0000-0000-000021AF0000}"/>
    <cellStyle name="Notas 2 2 2 3 3 2 2" xfId="21517" xr:uid="{00000000-0005-0000-0000-000022AF0000}"/>
    <cellStyle name="Notas 2 2 2 3 3 2 2 2" xfId="44160" xr:uid="{00000000-0005-0000-0000-000023AF0000}"/>
    <cellStyle name="Notas 2 2 2 3 3 2 3" xfId="14077" xr:uid="{00000000-0005-0000-0000-000024AF0000}"/>
    <cellStyle name="Notas 2 2 2 3 3 2 3 2" xfId="36720" xr:uid="{00000000-0005-0000-0000-000025AF0000}"/>
    <cellStyle name="Notas 2 2 2 3 3 2 4" xfId="29279" xr:uid="{00000000-0005-0000-0000-000026AF0000}"/>
    <cellStyle name="Notas 2 2 2 3 3 3" xfId="17799" xr:uid="{00000000-0005-0000-0000-000027AF0000}"/>
    <cellStyle name="Notas 2 2 2 3 3 3 2" xfId="40442" xr:uid="{00000000-0005-0000-0000-000028AF0000}"/>
    <cellStyle name="Notas 2 2 2 3 3 4" xfId="10359" xr:uid="{00000000-0005-0000-0000-000029AF0000}"/>
    <cellStyle name="Notas 2 2 2 3 3 4 2" xfId="33002" xr:uid="{00000000-0005-0000-0000-00002AAF0000}"/>
    <cellStyle name="Notas 2 2 2 3 3 5" xfId="25561" xr:uid="{00000000-0005-0000-0000-00002BAF0000}"/>
    <cellStyle name="Notas 2 2 2 3 4" xfId="4786" xr:uid="{00000000-0005-0000-0000-00002CAF0000}"/>
    <cellStyle name="Notas 2 2 2 3 4 2" xfId="19670" xr:uid="{00000000-0005-0000-0000-00002DAF0000}"/>
    <cellStyle name="Notas 2 2 2 3 4 2 2" xfId="42313" xr:uid="{00000000-0005-0000-0000-00002EAF0000}"/>
    <cellStyle name="Notas 2 2 2 3 4 3" xfId="12230" xr:uid="{00000000-0005-0000-0000-00002FAF0000}"/>
    <cellStyle name="Notas 2 2 2 3 4 3 2" xfId="34873" xr:uid="{00000000-0005-0000-0000-000030AF0000}"/>
    <cellStyle name="Notas 2 2 2 3 4 4" xfId="27432" xr:uid="{00000000-0005-0000-0000-000031AF0000}"/>
    <cellStyle name="Notas 2 2 2 3 5" xfId="1059" xr:uid="{00000000-0005-0000-0000-000032AF0000}"/>
    <cellStyle name="Notas 2 2 2 3 5 2" xfId="15952" xr:uid="{00000000-0005-0000-0000-000033AF0000}"/>
    <cellStyle name="Notas 2 2 2 3 5 2 2" xfId="38595" xr:uid="{00000000-0005-0000-0000-000034AF0000}"/>
    <cellStyle name="Notas 2 2 2 3 5 3" xfId="23714" xr:uid="{00000000-0005-0000-0000-000035AF0000}"/>
    <cellStyle name="Notas 2 2 2 3 6" xfId="8512" xr:uid="{00000000-0005-0000-0000-000036AF0000}"/>
    <cellStyle name="Notas 2 2 2 3 6 2" xfId="31155" xr:uid="{00000000-0005-0000-0000-000037AF0000}"/>
    <cellStyle name="Notas 2 2 2 3 7" xfId="22986" xr:uid="{00000000-0005-0000-0000-000038AF0000}"/>
    <cellStyle name="Notas 2 2 2 4" xfId="1525" xr:uid="{00000000-0005-0000-0000-000039AF0000}"/>
    <cellStyle name="Notas 2 2 2 4 2" xfId="3375" xr:uid="{00000000-0005-0000-0000-00003AAF0000}"/>
    <cellStyle name="Notas 2 2 2 4 2 2" xfId="7096" xr:uid="{00000000-0005-0000-0000-00003BAF0000}"/>
    <cellStyle name="Notas 2 2 2 4 2 2 2" xfId="21980" xr:uid="{00000000-0005-0000-0000-00003CAF0000}"/>
    <cellStyle name="Notas 2 2 2 4 2 2 2 2" xfId="44623" xr:uid="{00000000-0005-0000-0000-00003DAF0000}"/>
    <cellStyle name="Notas 2 2 2 4 2 2 3" xfId="14540" xr:uid="{00000000-0005-0000-0000-00003EAF0000}"/>
    <cellStyle name="Notas 2 2 2 4 2 2 3 2" xfId="37183" xr:uid="{00000000-0005-0000-0000-00003FAF0000}"/>
    <cellStyle name="Notas 2 2 2 4 2 2 4" xfId="29742" xr:uid="{00000000-0005-0000-0000-000040AF0000}"/>
    <cellStyle name="Notas 2 2 2 4 2 3" xfId="18262" xr:uid="{00000000-0005-0000-0000-000041AF0000}"/>
    <cellStyle name="Notas 2 2 2 4 2 3 2" xfId="40905" xr:uid="{00000000-0005-0000-0000-000042AF0000}"/>
    <cellStyle name="Notas 2 2 2 4 2 4" xfId="10822" xr:uid="{00000000-0005-0000-0000-000043AF0000}"/>
    <cellStyle name="Notas 2 2 2 4 2 4 2" xfId="33465" xr:uid="{00000000-0005-0000-0000-000044AF0000}"/>
    <cellStyle name="Notas 2 2 2 4 2 5" xfId="26024" xr:uid="{00000000-0005-0000-0000-000045AF0000}"/>
    <cellStyle name="Notas 2 2 2 4 3" xfId="5249" xr:uid="{00000000-0005-0000-0000-000046AF0000}"/>
    <cellStyle name="Notas 2 2 2 4 3 2" xfId="20133" xr:uid="{00000000-0005-0000-0000-000047AF0000}"/>
    <cellStyle name="Notas 2 2 2 4 3 2 2" xfId="42776" xr:uid="{00000000-0005-0000-0000-000048AF0000}"/>
    <cellStyle name="Notas 2 2 2 4 3 3" xfId="12693" xr:uid="{00000000-0005-0000-0000-000049AF0000}"/>
    <cellStyle name="Notas 2 2 2 4 3 3 2" xfId="35336" xr:uid="{00000000-0005-0000-0000-00004AAF0000}"/>
    <cellStyle name="Notas 2 2 2 4 3 4" xfId="27895" xr:uid="{00000000-0005-0000-0000-00004BAF0000}"/>
    <cellStyle name="Notas 2 2 2 4 4" xfId="16415" xr:uid="{00000000-0005-0000-0000-00004CAF0000}"/>
    <cellStyle name="Notas 2 2 2 4 4 2" xfId="39058" xr:uid="{00000000-0005-0000-0000-00004DAF0000}"/>
    <cellStyle name="Notas 2 2 2 4 5" xfId="8975" xr:uid="{00000000-0005-0000-0000-00004EAF0000}"/>
    <cellStyle name="Notas 2 2 2 4 5 2" xfId="31618" xr:uid="{00000000-0005-0000-0000-00004FAF0000}"/>
    <cellStyle name="Notas 2 2 2 4 6" xfId="24177" xr:uid="{00000000-0005-0000-0000-000050AF0000}"/>
    <cellStyle name="Notas 2 2 2 5" xfId="2450" xr:uid="{00000000-0005-0000-0000-000051AF0000}"/>
    <cellStyle name="Notas 2 2 2 5 2" xfId="6171" xr:uid="{00000000-0005-0000-0000-000052AF0000}"/>
    <cellStyle name="Notas 2 2 2 5 2 2" xfId="21055" xr:uid="{00000000-0005-0000-0000-000053AF0000}"/>
    <cellStyle name="Notas 2 2 2 5 2 2 2" xfId="43698" xr:uid="{00000000-0005-0000-0000-000054AF0000}"/>
    <cellStyle name="Notas 2 2 2 5 2 3" xfId="13615" xr:uid="{00000000-0005-0000-0000-000055AF0000}"/>
    <cellStyle name="Notas 2 2 2 5 2 3 2" xfId="36258" xr:uid="{00000000-0005-0000-0000-000056AF0000}"/>
    <cellStyle name="Notas 2 2 2 5 2 4" xfId="28817" xr:uid="{00000000-0005-0000-0000-000057AF0000}"/>
    <cellStyle name="Notas 2 2 2 5 3" xfId="17337" xr:uid="{00000000-0005-0000-0000-000058AF0000}"/>
    <cellStyle name="Notas 2 2 2 5 3 2" xfId="39980" xr:uid="{00000000-0005-0000-0000-000059AF0000}"/>
    <cellStyle name="Notas 2 2 2 5 4" xfId="9897" xr:uid="{00000000-0005-0000-0000-00005AAF0000}"/>
    <cellStyle name="Notas 2 2 2 5 4 2" xfId="32540" xr:uid="{00000000-0005-0000-0000-00005BAF0000}"/>
    <cellStyle name="Notas 2 2 2 5 5" xfId="25099" xr:uid="{00000000-0005-0000-0000-00005CAF0000}"/>
    <cellStyle name="Notas 2 2 2 6" xfId="4324" xr:uid="{00000000-0005-0000-0000-00005DAF0000}"/>
    <cellStyle name="Notas 2 2 2 6 2" xfId="19208" xr:uid="{00000000-0005-0000-0000-00005EAF0000}"/>
    <cellStyle name="Notas 2 2 2 6 2 2" xfId="41851" xr:uid="{00000000-0005-0000-0000-00005FAF0000}"/>
    <cellStyle name="Notas 2 2 2 6 3" xfId="11768" xr:uid="{00000000-0005-0000-0000-000060AF0000}"/>
    <cellStyle name="Notas 2 2 2 6 3 2" xfId="34411" xr:uid="{00000000-0005-0000-0000-000061AF0000}"/>
    <cellStyle name="Notas 2 2 2 6 4" xfId="26970" xr:uid="{00000000-0005-0000-0000-000062AF0000}"/>
    <cellStyle name="Notas 2 2 2 7" xfId="593" xr:uid="{00000000-0005-0000-0000-000063AF0000}"/>
    <cellStyle name="Notas 2 2 2 7 2" xfId="15490" xr:uid="{00000000-0005-0000-0000-000064AF0000}"/>
    <cellStyle name="Notas 2 2 2 7 2 2" xfId="38133" xr:uid="{00000000-0005-0000-0000-000065AF0000}"/>
    <cellStyle name="Notas 2 2 2 7 3" xfId="23253" xr:uid="{00000000-0005-0000-0000-000066AF0000}"/>
    <cellStyle name="Notas 2 2 2 8" xfId="8050" xr:uid="{00000000-0005-0000-0000-000067AF0000}"/>
    <cellStyle name="Notas 2 2 2 8 2" xfId="30693" xr:uid="{00000000-0005-0000-0000-000068AF0000}"/>
    <cellStyle name="Notas 2 2 2 9" xfId="22830" xr:uid="{00000000-0005-0000-0000-000069AF0000}"/>
    <cellStyle name="Notas 2 2 3" xfId="165" xr:uid="{00000000-0005-0000-0000-00006AAF0000}"/>
    <cellStyle name="Notas 2 2 3 2" xfId="327" xr:uid="{00000000-0005-0000-0000-00006BAF0000}"/>
    <cellStyle name="Notas 2 2 3 2 2" xfId="2093" xr:uid="{00000000-0005-0000-0000-00006CAF0000}"/>
    <cellStyle name="Notas 2 2 3 2 2 2" xfId="3943" xr:uid="{00000000-0005-0000-0000-00006DAF0000}"/>
    <cellStyle name="Notas 2 2 3 2 2 2 2" xfId="7664" xr:uid="{00000000-0005-0000-0000-00006EAF0000}"/>
    <cellStyle name="Notas 2 2 3 2 2 2 2 2" xfId="22548" xr:uid="{00000000-0005-0000-0000-00006FAF0000}"/>
    <cellStyle name="Notas 2 2 3 2 2 2 2 2 2" xfId="45191" xr:uid="{00000000-0005-0000-0000-000070AF0000}"/>
    <cellStyle name="Notas 2 2 3 2 2 2 2 3" xfId="15108" xr:uid="{00000000-0005-0000-0000-000071AF0000}"/>
    <cellStyle name="Notas 2 2 3 2 2 2 2 3 2" xfId="37751" xr:uid="{00000000-0005-0000-0000-000072AF0000}"/>
    <cellStyle name="Notas 2 2 3 2 2 2 2 4" xfId="30310" xr:uid="{00000000-0005-0000-0000-000073AF0000}"/>
    <cellStyle name="Notas 2 2 3 2 2 2 3" xfId="18830" xr:uid="{00000000-0005-0000-0000-000074AF0000}"/>
    <cellStyle name="Notas 2 2 3 2 2 2 3 2" xfId="41473" xr:uid="{00000000-0005-0000-0000-000075AF0000}"/>
    <cellStyle name="Notas 2 2 3 2 2 2 4" xfId="11390" xr:uid="{00000000-0005-0000-0000-000076AF0000}"/>
    <cellStyle name="Notas 2 2 3 2 2 2 4 2" xfId="34033" xr:uid="{00000000-0005-0000-0000-000077AF0000}"/>
    <cellStyle name="Notas 2 2 3 2 2 2 5" xfId="26592" xr:uid="{00000000-0005-0000-0000-000078AF0000}"/>
    <cellStyle name="Notas 2 2 3 2 2 3" xfId="5817" xr:uid="{00000000-0005-0000-0000-000079AF0000}"/>
    <cellStyle name="Notas 2 2 3 2 2 3 2" xfId="20701" xr:uid="{00000000-0005-0000-0000-00007AAF0000}"/>
    <cellStyle name="Notas 2 2 3 2 2 3 2 2" xfId="43344" xr:uid="{00000000-0005-0000-0000-00007BAF0000}"/>
    <cellStyle name="Notas 2 2 3 2 2 3 3" xfId="13261" xr:uid="{00000000-0005-0000-0000-00007CAF0000}"/>
    <cellStyle name="Notas 2 2 3 2 2 3 3 2" xfId="35904" xr:uid="{00000000-0005-0000-0000-00007DAF0000}"/>
    <cellStyle name="Notas 2 2 3 2 2 3 4" xfId="28463" xr:uid="{00000000-0005-0000-0000-00007EAF0000}"/>
    <cellStyle name="Notas 2 2 3 2 2 4" xfId="16983" xr:uid="{00000000-0005-0000-0000-00007FAF0000}"/>
    <cellStyle name="Notas 2 2 3 2 2 4 2" xfId="39626" xr:uid="{00000000-0005-0000-0000-000080AF0000}"/>
    <cellStyle name="Notas 2 2 3 2 2 5" xfId="9543" xr:uid="{00000000-0005-0000-0000-000081AF0000}"/>
    <cellStyle name="Notas 2 2 3 2 2 5 2" xfId="32186" xr:uid="{00000000-0005-0000-0000-000082AF0000}"/>
    <cellStyle name="Notas 2 2 3 2 2 6" xfId="24745" xr:uid="{00000000-0005-0000-0000-000083AF0000}"/>
    <cellStyle name="Notas 2 2 3 2 3" xfId="3018" xr:uid="{00000000-0005-0000-0000-000084AF0000}"/>
    <cellStyle name="Notas 2 2 3 2 3 2" xfId="6739" xr:uid="{00000000-0005-0000-0000-000085AF0000}"/>
    <cellStyle name="Notas 2 2 3 2 3 2 2" xfId="21623" xr:uid="{00000000-0005-0000-0000-000086AF0000}"/>
    <cellStyle name="Notas 2 2 3 2 3 2 2 2" xfId="44266" xr:uid="{00000000-0005-0000-0000-000087AF0000}"/>
    <cellStyle name="Notas 2 2 3 2 3 2 3" xfId="14183" xr:uid="{00000000-0005-0000-0000-000088AF0000}"/>
    <cellStyle name="Notas 2 2 3 2 3 2 3 2" xfId="36826" xr:uid="{00000000-0005-0000-0000-000089AF0000}"/>
    <cellStyle name="Notas 2 2 3 2 3 2 4" xfId="29385" xr:uid="{00000000-0005-0000-0000-00008AAF0000}"/>
    <cellStyle name="Notas 2 2 3 2 3 3" xfId="17905" xr:uid="{00000000-0005-0000-0000-00008BAF0000}"/>
    <cellStyle name="Notas 2 2 3 2 3 3 2" xfId="40548" xr:uid="{00000000-0005-0000-0000-00008CAF0000}"/>
    <cellStyle name="Notas 2 2 3 2 3 4" xfId="10465" xr:uid="{00000000-0005-0000-0000-00008DAF0000}"/>
    <cellStyle name="Notas 2 2 3 2 3 4 2" xfId="33108" xr:uid="{00000000-0005-0000-0000-00008EAF0000}"/>
    <cellStyle name="Notas 2 2 3 2 3 5" xfId="25667" xr:uid="{00000000-0005-0000-0000-00008FAF0000}"/>
    <cellStyle name="Notas 2 2 3 2 4" xfId="4892" xr:uid="{00000000-0005-0000-0000-000090AF0000}"/>
    <cellStyle name="Notas 2 2 3 2 4 2" xfId="19776" xr:uid="{00000000-0005-0000-0000-000091AF0000}"/>
    <cellStyle name="Notas 2 2 3 2 4 2 2" xfId="42419" xr:uid="{00000000-0005-0000-0000-000092AF0000}"/>
    <cellStyle name="Notas 2 2 3 2 4 3" xfId="12336" xr:uid="{00000000-0005-0000-0000-000093AF0000}"/>
    <cellStyle name="Notas 2 2 3 2 4 3 2" xfId="34979" xr:uid="{00000000-0005-0000-0000-000094AF0000}"/>
    <cellStyle name="Notas 2 2 3 2 4 4" xfId="27538" xr:uid="{00000000-0005-0000-0000-000095AF0000}"/>
    <cellStyle name="Notas 2 2 3 2 5" xfId="1165" xr:uid="{00000000-0005-0000-0000-000096AF0000}"/>
    <cellStyle name="Notas 2 2 3 2 5 2" xfId="16058" xr:uid="{00000000-0005-0000-0000-000097AF0000}"/>
    <cellStyle name="Notas 2 2 3 2 5 2 2" xfId="38701" xr:uid="{00000000-0005-0000-0000-000098AF0000}"/>
    <cellStyle name="Notas 2 2 3 2 5 3" xfId="23820" xr:uid="{00000000-0005-0000-0000-000099AF0000}"/>
    <cellStyle name="Notas 2 2 3 2 6" xfId="8618" xr:uid="{00000000-0005-0000-0000-00009AAF0000}"/>
    <cellStyle name="Notas 2 2 3 2 6 2" xfId="31261" xr:uid="{00000000-0005-0000-0000-00009BAF0000}"/>
    <cellStyle name="Notas 2 2 3 2 7" xfId="23025" xr:uid="{00000000-0005-0000-0000-00009CAF0000}"/>
    <cellStyle name="Notas 2 2 3 3" xfId="1631" xr:uid="{00000000-0005-0000-0000-00009DAF0000}"/>
    <cellStyle name="Notas 2 2 3 3 2" xfId="3481" xr:uid="{00000000-0005-0000-0000-00009EAF0000}"/>
    <cellStyle name="Notas 2 2 3 3 2 2" xfId="7202" xr:uid="{00000000-0005-0000-0000-00009FAF0000}"/>
    <cellStyle name="Notas 2 2 3 3 2 2 2" xfId="22086" xr:uid="{00000000-0005-0000-0000-0000A0AF0000}"/>
    <cellStyle name="Notas 2 2 3 3 2 2 2 2" xfId="44729" xr:uid="{00000000-0005-0000-0000-0000A1AF0000}"/>
    <cellStyle name="Notas 2 2 3 3 2 2 3" xfId="14646" xr:uid="{00000000-0005-0000-0000-0000A2AF0000}"/>
    <cellStyle name="Notas 2 2 3 3 2 2 3 2" xfId="37289" xr:uid="{00000000-0005-0000-0000-0000A3AF0000}"/>
    <cellStyle name="Notas 2 2 3 3 2 2 4" xfId="29848" xr:uid="{00000000-0005-0000-0000-0000A4AF0000}"/>
    <cellStyle name="Notas 2 2 3 3 2 3" xfId="18368" xr:uid="{00000000-0005-0000-0000-0000A5AF0000}"/>
    <cellStyle name="Notas 2 2 3 3 2 3 2" xfId="41011" xr:uid="{00000000-0005-0000-0000-0000A6AF0000}"/>
    <cellStyle name="Notas 2 2 3 3 2 4" xfId="10928" xr:uid="{00000000-0005-0000-0000-0000A7AF0000}"/>
    <cellStyle name="Notas 2 2 3 3 2 4 2" xfId="33571" xr:uid="{00000000-0005-0000-0000-0000A8AF0000}"/>
    <cellStyle name="Notas 2 2 3 3 2 5" xfId="26130" xr:uid="{00000000-0005-0000-0000-0000A9AF0000}"/>
    <cellStyle name="Notas 2 2 3 3 3" xfId="5355" xr:uid="{00000000-0005-0000-0000-0000AAAF0000}"/>
    <cellStyle name="Notas 2 2 3 3 3 2" xfId="20239" xr:uid="{00000000-0005-0000-0000-0000ABAF0000}"/>
    <cellStyle name="Notas 2 2 3 3 3 2 2" xfId="42882" xr:uid="{00000000-0005-0000-0000-0000ACAF0000}"/>
    <cellStyle name="Notas 2 2 3 3 3 3" xfId="12799" xr:uid="{00000000-0005-0000-0000-0000ADAF0000}"/>
    <cellStyle name="Notas 2 2 3 3 3 3 2" xfId="35442" xr:uid="{00000000-0005-0000-0000-0000AEAF0000}"/>
    <cellStyle name="Notas 2 2 3 3 3 4" xfId="28001" xr:uid="{00000000-0005-0000-0000-0000AFAF0000}"/>
    <cellStyle name="Notas 2 2 3 3 4" xfId="16521" xr:uid="{00000000-0005-0000-0000-0000B0AF0000}"/>
    <cellStyle name="Notas 2 2 3 3 4 2" xfId="39164" xr:uid="{00000000-0005-0000-0000-0000B1AF0000}"/>
    <cellStyle name="Notas 2 2 3 3 5" xfId="9081" xr:uid="{00000000-0005-0000-0000-0000B2AF0000}"/>
    <cellStyle name="Notas 2 2 3 3 5 2" xfId="31724" xr:uid="{00000000-0005-0000-0000-0000B3AF0000}"/>
    <cellStyle name="Notas 2 2 3 3 6" xfId="24283" xr:uid="{00000000-0005-0000-0000-0000B4AF0000}"/>
    <cellStyle name="Notas 2 2 3 4" xfId="2556" xr:uid="{00000000-0005-0000-0000-0000B5AF0000}"/>
    <cellStyle name="Notas 2 2 3 4 2" xfId="6277" xr:uid="{00000000-0005-0000-0000-0000B6AF0000}"/>
    <cellStyle name="Notas 2 2 3 4 2 2" xfId="21161" xr:uid="{00000000-0005-0000-0000-0000B7AF0000}"/>
    <cellStyle name="Notas 2 2 3 4 2 2 2" xfId="43804" xr:uid="{00000000-0005-0000-0000-0000B8AF0000}"/>
    <cellStyle name="Notas 2 2 3 4 2 3" xfId="13721" xr:uid="{00000000-0005-0000-0000-0000B9AF0000}"/>
    <cellStyle name="Notas 2 2 3 4 2 3 2" xfId="36364" xr:uid="{00000000-0005-0000-0000-0000BAAF0000}"/>
    <cellStyle name="Notas 2 2 3 4 2 4" xfId="28923" xr:uid="{00000000-0005-0000-0000-0000BBAF0000}"/>
    <cellStyle name="Notas 2 2 3 4 3" xfId="17443" xr:uid="{00000000-0005-0000-0000-0000BCAF0000}"/>
    <cellStyle name="Notas 2 2 3 4 3 2" xfId="40086" xr:uid="{00000000-0005-0000-0000-0000BDAF0000}"/>
    <cellStyle name="Notas 2 2 3 4 4" xfId="10003" xr:uid="{00000000-0005-0000-0000-0000BEAF0000}"/>
    <cellStyle name="Notas 2 2 3 4 4 2" xfId="32646" xr:uid="{00000000-0005-0000-0000-0000BFAF0000}"/>
    <cellStyle name="Notas 2 2 3 4 5" xfId="25205" xr:uid="{00000000-0005-0000-0000-0000C0AF0000}"/>
    <cellStyle name="Notas 2 2 3 5" xfId="4430" xr:uid="{00000000-0005-0000-0000-0000C1AF0000}"/>
    <cellStyle name="Notas 2 2 3 5 2" xfId="19314" xr:uid="{00000000-0005-0000-0000-0000C2AF0000}"/>
    <cellStyle name="Notas 2 2 3 5 2 2" xfId="41957" xr:uid="{00000000-0005-0000-0000-0000C3AF0000}"/>
    <cellStyle name="Notas 2 2 3 5 3" xfId="11874" xr:uid="{00000000-0005-0000-0000-0000C4AF0000}"/>
    <cellStyle name="Notas 2 2 3 5 3 2" xfId="34517" xr:uid="{00000000-0005-0000-0000-0000C5AF0000}"/>
    <cellStyle name="Notas 2 2 3 5 4" xfId="27076" xr:uid="{00000000-0005-0000-0000-0000C6AF0000}"/>
    <cellStyle name="Notas 2 2 3 6" xfId="700" xr:uid="{00000000-0005-0000-0000-0000C7AF0000}"/>
    <cellStyle name="Notas 2 2 3 6 2" xfId="15596" xr:uid="{00000000-0005-0000-0000-0000C8AF0000}"/>
    <cellStyle name="Notas 2 2 3 6 2 2" xfId="38239" xr:uid="{00000000-0005-0000-0000-0000C9AF0000}"/>
    <cellStyle name="Notas 2 2 3 6 3" xfId="23358" xr:uid="{00000000-0005-0000-0000-0000CAAF0000}"/>
    <cellStyle name="Notas 2 2 3 7" xfId="8156" xr:uid="{00000000-0005-0000-0000-0000CBAF0000}"/>
    <cellStyle name="Notas 2 2 3 7 2" xfId="30799" xr:uid="{00000000-0005-0000-0000-0000CCAF0000}"/>
    <cellStyle name="Notas 2 2 3 8" xfId="22869" xr:uid="{00000000-0005-0000-0000-0000CDAF0000}"/>
    <cellStyle name="Notas 2 2 4" xfId="248" xr:uid="{00000000-0005-0000-0000-0000CEAF0000}"/>
    <cellStyle name="Notas 2 2 4 2" xfId="1882" xr:uid="{00000000-0005-0000-0000-0000CFAF0000}"/>
    <cellStyle name="Notas 2 2 4 2 2" xfId="3732" xr:uid="{00000000-0005-0000-0000-0000D0AF0000}"/>
    <cellStyle name="Notas 2 2 4 2 2 2" xfId="7453" xr:uid="{00000000-0005-0000-0000-0000D1AF0000}"/>
    <cellStyle name="Notas 2 2 4 2 2 2 2" xfId="22337" xr:uid="{00000000-0005-0000-0000-0000D2AF0000}"/>
    <cellStyle name="Notas 2 2 4 2 2 2 2 2" xfId="44980" xr:uid="{00000000-0005-0000-0000-0000D3AF0000}"/>
    <cellStyle name="Notas 2 2 4 2 2 2 3" xfId="14897" xr:uid="{00000000-0005-0000-0000-0000D4AF0000}"/>
    <cellStyle name="Notas 2 2 4 2 2 2 3 2" xfId="37540" xr:uid="{00000000-0005-0000-0000-0000D5AF0000}"/>
    <cellStyle name="Notas 2 2 4 2 2 2 4" xfId="30099" xr:uid="{00000000-0005-0000-0000-0000D6AF0000}"/>
    <cellStyle name="Notas 2 2 4 2 2 3" xfId="18619" xr:uid="{00000000-0005-0000-0000-0000D7AF0000}"/>
    <cellStyle name="Notas 2 2 4 2 2 3 2" xfId="41262" xr:uid="{00000000-0005-0000-0000-0000D8AF0000}"/>
    <cellStyle name="Notas 2 2 4 2 2 4" xfId="11179" xr:uid="{00000000-0005-0000-0000-0000D9AF0000}"/>
    <cellStyle name="Notas 2 2 4 2 2 4 2" xfId="33822" xr:uid="{00000000-0005-0000-0000-0000DAAF0000}"/>
    <cellStyle name="Notas 2 2 4 2 2 5" xfId="26381" xr:uid="{00000000-0005-0000-0000-0000DBAF0000}"/>
    <cellStyle name="Notas 2 2 4 2 3" xfId="5606" xr:uid="{00000000-0005-0000-0000-0000DCAF0000}"/>
    <cellStyle name="Notas 2 2 4 2 3 2" xfId="20490" xr:uid="{00000000-0005-0000-0000-0000DDAF0000}"/>
    <cellStyle name="Notas 2 2 4 2 3 2 2" xfId="43133" xr:uid="{00000000-0005-0000-0000-0000DEAF0000}"/>
    <cellStyle name="Notas 2 2 4 2 3 3" xfId="13050" xr:uid="{00000000-0005-0000-0000-0000DFAF0000}"/>
    <cellStyle name="Notas 2 2 4 2 3 3 2" xfId="35693" xr:uid="{00000000-0005-0000-0000-0000E0AF0000}"/>
    <cellStyle name="Notas 2 2 4 2 3 4" xfId="28252" xr:uid="{00000000-0005-0000-0000-0000E1AF0000}"/>
    <cellStyle name="Notas 2 2 4 2 4" xfId="16772" xr:uid="{00000000-0005-0000-0000-0000E2AF0000}"/>
    <cellStyle name="Notas 2 2 4 2 4 2" xfId="39415" xr:uid="{00000000-0005-0000-0000-0000E3AF0000}"/>
    <cellStyle name="Notas 2 2 4 2 5" xfId="9332" xr:uid="{00000000-0005-0000-0000-0000E4AF0000}"/>
    <cellStyle name="Notas 2 2 4 2 5 2" xfId="31975" xr:uid="{00000000-0005-0000-0000-0000E5AF0000}"/>
    <cellStyle name="Notas 2 2 4 2 6" xfId="24534" xr:uid="{00000000-0005-0000-0000-0000E6AF0000}"/>
    <cellStyle name="Notas 2 2 4 3" xfId="2807" xr:uid="{00000000-0005-0000-0000-0000E7AF0000}"/>
    <cellStyle name="Notas 2 2 4 3 2" xfId="6528" xr:uid="{00000000-0005-0000-0000-0000E8AF0000}"/>
    <cellStyle name="Notas 2 2 4 3 2 2" xfId="21412" xr:uid="{00000000-0005-0000-0000-0000E9AF0000}"/>
    <cellStyle name="Notas 2 2 4 3 2 2 2" xfId="44055" xr:uid="{00000000-0005-0000-0000-0000EAAF0000}"/>
    <cellStyle name="Notas 2 2 4 3 2 3" xfId="13972" xr:uid="{00000000-0005-0000-0000-0000EBAF0000}"/>
    <cellStyle name="Notas 2 2 4 3 2 3 2" xfId="36615" xr:uid="{00000000-0005-0000-0000-0000ECAF0000}"/>
    <cellStyle name="Notas 2 2 4 3 2 4" xfId="29174" xr:uid="{00000000-0005-0000-0000-0000EDAF0000}"/>
    <cellStyle name="Notas 2 2 4 3 3" xfId="17694" xr:uid="{00000000-0005-0000-0000-0000EEAF0000}"/>
    <cellStyle name="Notas 2 2 4 3 3 2" xfId="40337" xr:uid="{00000000-0005-0000-0000-0000EFAF0000}"/>
    <cellStyle name="Notas 2 2 4 3 4" xfId="10254" xr:uid="{00000000-0005-0000-0000-0000F0AF0000}"/>
    <cellStyle name="Notas 2 2 4 3 4 2" xfId="32897" xr:uid="{00000000-0005-0000-0000-0000F1AF0000}"/>
    <cellStyle name="Notas 2 2 4 3 5" xfId="25456" xr:uid="{00000000-0005-0000-0000-0000F2AF0000}"/>
    <cellStyle name="Notas 2 2 4 4" xfId="4681" xr:uid="{00000000-0005-0000-0000-0000F3AF0000}"/>
    <cellStyle name="Notas 2 2 4 4 2" xfId="19565" xr:uid="{00000000-0005-0000-0000-0000F4AF0000}"/>
    <cellStyle name="Notas 2 2 4 4 2 2" xfId="42208" xr:uid="{00000000-0005-0000-0000-0000F5AF0000}"/>
    <cellStyle name="Notas 2 2 4 4 3" xfId="12125" xr:uid="{00000000-0005-0000-0000-0000F6AF0000}"/>
    <cellStyle name="Notas 2 2 4 4 3 2" xfId="34768" xr:uid="{00000000-0005-0000-0000-0000F7AF0000}"/>
    <cellStyle name="Notas 2 2 4 4 4" xfId="27327" xr:uid="{00000000-0005-0000-0000-0000F8AF0000}"/>
    <cellStyle name="Notas 2 2 4 5" xfId="954" xr:uid="{00000000-0005-0000-0000-0000F9AF0000}"/>
    <cellStyle name="Notas 2 2 4 5 2" xfId="15847" xr:uid="{00000000-0005-0000-0000-0000FAAF0000}"/>
    <cellStyle name="Notas 2 2 4 5 2 2" xfId="38490" xr:uid="{00000000-0005-0000-0000-0000FBAF0000}"/>
    <cellStyle name="Notas 2 2 4 5 3" xfId="23609" xr:uid="{00000000-0005-0000-0000-0000FCAF0000}"/>
    <cellStyle name="Notas 2 2 4 6" xfId="8407" xr:uid="{00000000-0005-0000-0000-0000FDAF0000}"/>
    <cellStyle name="Notas 2 2 4 6 2" xfId="31050" xr:uid="{00000000-0005-0000-0000-0000FEAF0000}"/>
    <cellStyle name="Notas 2 2 4 7" xfId="22947" xr:uid="{00000000-0005-0000-0000-0000FFAF0000}"/>
    <cellStyle name="Notas 2 2 5" xfId="1420" xr:uid="{00000000-0005-0000-0000-000000B00000}"/>
    <cellStyle name="Notas 2 2 5 2" xfId="3270" xr:uid="{00000000-0005-0000-0000-000001B00000}"/>
    <cellStyle name="Notas 2 2 5 2 2" xfId="6991" xr:uid="{00000000-0005-0000-0000-000002B00000}"/>
    <cellStyle name="Notas 2 2 5 2 2 2" xfId="21875" xr:uid="{00000000-0005-0000-0000-000003B00000}"/>
    <cellStyle name="Notas 2 2 5 2 2 2 2" xfId="44518" xr:uid="{00000000-0005-0000-0000-000004B00000}"/>
    <cellStyle name="Notas 2 2 5 2 2 3" xfId="14435" xr:uid="{00000000-0005-0000-0000-000005B00000}"/>
    <cellStyle name="Notas 2 2 5 2 2 3 2" xfId="37078" xr:uid="{00000000-0005-0000-0000-000006B00000}"/>
    <cellStyle name="Notas 2 2 5 2 2 4" xfId="29637" xr:uid="{00000000-0005-0000-0000-000007B00000}"/>
    <cellStyle name="Notas 2 2 5 2 3" xfId="18157" xr:uid="{00000000-0005-0000-0000-000008B00000}"/>
    <cellStyle name="Notas 2 2 5 2 3 2" xfId="40800" xr:uid="{00000000-0005-0000-0000-000009B00000}"/>
    <cellStyle name="Notas 2 2 5 2 4" xfId="10717" xr:uid="{00000000-0005-0000-0000-00000AB00000}"/>
    <cellStyle name="Notas 2 2 5 2 4 2" xfId="33360" xr:uid="{00000000-0005-0000-0000-00000BB00000}"/>
    <cellStyle name="Notas 2 2 5 2 5" xfId="25919" xr:uid="{00000000-0005-0000-0000-00000CB00000}"/>
    <cellStyle name="Notas 2 2 5 3" xfId="5144" xr:uid="{00000000-0005-0000-0000-00000DB00000}"/>
    <cellStyle name="Notas 2 2 5 3 2" xfId="20028" xr:uid="{00000000-0005-0000-0000-00000EB00000}"/>
    <cellStyle name="Notas 2 2 5 3 2 2" xfId="42671" xr:uid="{00000000-0005-0000-0000-00000FB00000}"/>
    <cellStyle name="Notas 2 2 5 3 3" xfId="12588" xr:uid="{00000000-0005-0000-0000-000010B00000}"/>
    <cellStyle name="Notas 2 2 5 3 3 2" xfId="35231" xr:uid="{00000000-0005-0000-0000-000011B00000}"/>
    <cellStyle name="Notas 2 2 5 3 4" xfId="27790" xr:uid="{00000000-0005-0000-0000-000012B00000}"/>
    <cellStyle name="Notas 2 2 5 4" xfId="16310" xr:uid="{00000000-0005-0000-0000-000013B00000}"/>
    <cellStyle name="Notas 2 2 5 4 2" xfId="38953" xr:uid="{00000000-0005-0000-0000-000014B00000}"/>
    <cellStyle name="Notas 2 2 5 5" xfId="8870" xr:uid="{00000000-0005-0000-0000-000015B00000}"/>
    <cellStyle name="Notas 2 2 5 5 2" xfId="31513" xr:uid="{00000000-0005-0000-0000-000016B00000}"/>
    <cellStyle name="Notas 2 2 5 6" xfId="24072" xr:uid="{00000000-0005-0000-0000-000017B00000}"/>
    <cellStyle name="Notas 2 2 6" xfId="2345" xr:uid="{00000000-0005-0000-0000-000018B00000}"/>
    <cellStyle name="Notas 2 2 6 2" xfId="6066" xr:uid="{00000000-0005-0000-0000-000019B00000}"/>
    <cellStyle name="Notas 2 2 6 2 2" xfId="20950" xr:uid="{00000000-0005-0000-0000-00001AB00000}"/>
    <cellStyle name="Notas 2 2 6 2 2 2" xfId="43593" xr:uid="{00000000-0005-0000-0000-00001BB00000}"/>
    <cellStyle name="Notas 2 2 6 2 3" xfId="13510" xr:uid="{00000000-0005-0000-0000-00001CB00000}"/>
    <cellStyle name="Notas 2 2 6 2 3 2" xfId="36153" xr:uid="{00000000-0005-0000-0000-00001DB00000}"/>
    <cellStyle name="Notas 2 2 6 2 4" xfId="28712" xr:uid="{00000000-0005-0000-0000-00001EB00000}"/>
    <cellStyle name="Notas 2 2 6 3" xfId="17232" xr:uid="{00000000-0005-0000-0000-00001FB00000}"/>
    <cellStyle name="Notas 2 2 6 3 2" xfId="39875" xr:uid="{00000000-0005-0000-0000-000020B00000}"/>
    <cellStyle name="Notas 2 2 6 4" xfId="9792" xr:uid="{00000000-0005-0000-0000-000021B00000}"/>
    <cellStyle name="Notas 2 2 6 4 2" xfId="32435" xr:uid="{00000000-0005-0000-0000-000022B00000}"/>
    <cellStyle name="Notas 2 2 6 5" xfId="24994" xr:uid="{00000000-0005-0000-0000-000023B00000}"/>
    <cellStyle name="Notas 2 2 7" xfId="4219" xr:uid="{00000000-0005-0000-0000-000024B00000}"/>
    <cellStyle name="Notas 2 2 7 2" xfId="19103" xr:uid="{00000000-0005-0000-0000-000025B00000}"/>
    <cellStyle name="Notas 2 2 7 2 2" xfId="41746" xr:uid="{00000000-0005-0000-0000-000026B00000}"/>
    <cellStyle name="Notas 2 2 7 3" xfId="11663" xr:uid="{00000000-0005-0000-0000-000027B00000}"/>
    <cellStyle name="Notas 2 2 7 3 2" xfId="34306" xr:uid="{00000000-0005-0000-0000-000028B00000}"/>
    <cellStyle name="Notas 2 2 7 4" xfId="26865" xr:uid="{00000000-0005-0000-0000-000029B00000}"/>
    <cellStyle name="Notas 2 2 8" xfId="487" xr:uid="{00000000-0005-0000-0000-00002AB00000}"/>
    <cellStyle name="Notas 2 2 8 2" xfId="15385" xr:uid="{00000000-0005-0000-0000-00002BB00000}"/>
    <cellStyle name="Notas 2 2 8 2 2" xfId="38028" xr:uid="{00000000-0005-0000-0000-00002CB00000}"/>
    <cellStyle name="Notas 2 2 8 3" xfId="23148" xr:uid="{00000000-0005-0000-0000-00002DB00000}"/>
    <cellStyle name="Notas 2 2 9" xfId="7945" xr:uid="{00000000-0005-0000-0000-00002EB00000}"/>
    <cellStyle name="Notas 2 2 9 2" xfId="30588" xr:uid="{00000000-0005-0000-0000-00002FB00000}"/>
    <cellStyle name="Notas 2 3" xfId="122" xr:uid="{00000000-0005-0000-0000-000030B00000}"/>
    <cellStyle name="Notas 2 3 2" xfId="204" xr:uid="{00000000-0005-0000-0000-000031B00000}"/>
    <cellStyle name="Notas 2 3 2 2" xfId="365" xr:uid="{00000000-0005-0000-0000-000032B00000}"/>
    <cellStyle name="Notas 2 3 2 2 2" xfId="2146" xr:uid="{00000000-0005-0000-0000-000033B00000}"/>
    <cellStyle name="Notas 2 3 2 2 2 2" xfId="3996" xr:uid="{00000000-0005-0000-0000-000034B00000}"/>
    <cellStyle name="Notas 2 3 2 2 2 2 2" xfId="7717" xr:uid="{00000000-0005-0000-0000-000035B00000}"/>
    <cellStyle name="Notas 2 3 2 2 2 2 2 2" xfId="22601" xr:uid="{00000000-0005-0000-0000-000036B00000}"/>
    <cellStyle name="Notas 2 3 2 2 2 2 2 2 2" xfId="45244" xr:uid="{00000000-0005-0000-0000-000037B00000}"/>
    <cellStyle name="Notas 2 3 2 2 2 2 2 3" xfId="15161" xr:uid="{00000000-0005-0000-0000-000038B00000}"/>
    <cellStyle name="Notas 2 3 2 2 2 2 2 3 2" xfId="37804" xr:uid="{00000000-0005-0000-0000-000039B00000}"/>
    <cellStyle name="Notas 2 3 2 2 2 2 2 4" xfId="30363" xr:uid="{00000000-0005-0000-0000-00003AB00000}"/>
    <cellStyle name="Notas 2 3 2 2 2 2 3" xfId="18883" xr:uid="{00000000-0005-0000-0000-00003BB00000}"/>
    <cellStyle name="Notas 2 3 2 2 2 2 3 2" xfId="41526" xr:uid="{00000000-0005-0000-0000-00003CB00000}"/>
    <cellStyle name="Notas 2 3 2 2 2 2 4" xfId="11443" xr:uid="{00000000-0005-0000-0000-00003DB00000}"/>
    <cellStyle name="Notas 2 3 2 2 2 2 4 2" xfId="34086" xr:uid="{00000000-0005-0000-0000-00003EB00000}"/>
    <cellStyle name="Notas 2 3 2 2 2 2 5" xfId="26645" xr:uid="{00000000-0005-0000-0000-00003FB00000}"/>
    <cellStyle name="Notas 2 3 2 2 2 3" xfId="5870" xr:uid="{00000000-0005-0000-0000-000040B00000}"/>
    <cellStyle name="Notas 2 3 2 2 2 3 2" xfId="20754" xr:uid="{00000000-0005-0000-0000-000041B00000}"/>
    <cellStyle name="Notas 2 3 2 2 2 3 2 2" xfId="43397" xr:uid="{00000000-0005-0000-0000-000042B00000}"/>
    <cellStyle name="Notas 2 3 2 2 2 3 3" xfId="13314" xr:uid="{00000000-0005-0000-0000-000043B00000}"/>
    <cellStyle name="Notas 2 3 2 2 2 3 3 2" xfId="35957" xr:uid="{00000000-0005-0000-0000-000044B00000}"/>
    <cellStyle name="Notas 2 3 2 2 2 3 4" xfId="28516" xr:uid="{00000000-0005-0000-0000-000045B00000}"/>
    <cellStyle name="Notas 2 3 2 2 2 4" xfId="17036" xr:uid="{00000000-0005-0000-0000-000046B00000}"/>
    <cellStyle name="Notas 2 3 2 2 2 4 2" xfId="39679" xr:uid="{00000000-0005-0000-0000-000047B00000}"/>
    <cellStyle name="Notas 2 3 2 2 2 5" xfId="9596" xr:uid="{00000000-0005-0000-0000-000048B00000}"/>
    <cellStyle name="Notas 2 3 2 2 2 5 2" xfId="32239" xr:uid="{00000000-0005-0000-0000-000049B00000}"/>
    <cellStyle name="Notas 2 3 2 2 2 6" xfId="24798" xr:uid="{00000000-0005-0000-0000-00004AB00000}"/>
    <cellStyle name="Notas 2 3 2 2 3" xfId="3071" xr:uid="{00000000-0005-0000-0000-00004BB00000}"/>
    <cellStyle name="Notas 2 3 2 2 3 2" xfId="6792" xr:uid="{00000000-0005-0000-0000-00004CB00000}"/>
    <cellStyle name="Notas 2 3 2 2 3 2 2" xfId="21676" xr:uid="{00000000-0005-0000-0000-00004DB00000}"/>
    <cellStyle name="Notas 2 3 2 2 3 2 2 2" xfId="44319" xr:uid="{00000000-0005-0000-0000-00004EB00000}"/>
    <cellStyle name="Notas 2 3 2 2 3 2 3" xfId="14236" xr:uid="{00000000-0005-0000-0000-00004FB00000}"/>
    <cellStyle name="Notas 2 3 2 2 3 2 3 2" xfId="36879" xr:uid="{00000000-0005-0000-0000-000050B00000}"/>
    <cellStyle name="Notas 2 3 2 2 3 2 4" xfId="29438" xr:uid="{00000000-0005-0000-0000-000051B00000}"/>
    <cellStyle name="Notas 2 3 2 2 3 3" xfId="17958" xr:uid="{00000000-0005-0000-0000-000052B00000}"/>
    <cellStyle name="Notas 2 3 2 2 3 3 2" xfId="40601" xr:uid="{00000000-0005-0000-0000-000053B00000}"/>
    <cellStyle name="Notas 2 3 2 2 3 4" xfId="10518" xr:uid="{00000000-0005-0000-0000-000054B00000}"/>
    <cellStyle name="Notas 2 3 2 2 3 4 2" xfId="33161" xr:uid="{00000000-0005-0000-0000-000055B00000}"/>
    <cellStyle name="Notas 2 3 2 2 3 5" xfId="25720" xr:uid="{00000000-0005-0000-0000-000056B00000}"/>
    <cellStyle name="Notas 2 3 2 2 4" xfId="4945" xr:uid="{00000000-0005-0000-0000-000057B00000}"/>
    <cellStyle name="Notas 2 3 2 2 4 2" xfId="19829" xr:uid="{00000000-0005-0000-0000-000058B00000}"/>
    <cellStyle name="Notas 2 3 2 2 4 2 2" xfId="42472" xr:uid="{00000000-0005-0000-0000-000059B00000}"/>
    <cellStyle name="Notas 2 3 2 2 4 3" xfId="12389" xr:uid="{00000000-0005-0000-0000-00005AB00000}"/>
    <cellStyle name="Notas 2 3 2 2 4 3 2" xfId="35032" xr:uid="{00000000-0005-0000-0000-00005BB00000}"/>
    <cellStyle name="Notas 2 3 2 2 4 4" xfId="27591" xr:uid="{00000000-0005-0000-0000-00005CB00000}"/>
    <cellStyle name="Notas 2 3 2 2 5" xfId="1218" xr:uid="{00000000-0005-0000-0000-00005DB00000}"/>
    <cellStyle name="Notas 2 3 2 2 5 2" xfId="16111" xr:uid="{00000000-0005-0000-0000-00005EB00000}"/>
    <cellStyle name="Notas 2 3 2 2 5 2 2" xfId="38754" xr:uid="{00000000-0005-0000-0000-00005FB00000}"/>
    <cellStyle name="Notas 2 3 2 2 5 3" xfId="23873" xr:uid="{00000000-0005-0000-0000-000060B00000}"/>
    <cellStyle name="Notas 2 3 2 2 6" xfId="8671" xr:uid="{00000000-0005-0000-0000-000061B00000}"/>
    <cellStyle name="Notas 2 3 2 2 6 2" xfId="31314" xr:uid="{00000000-0005-0000-0000-000062B00000}"/>
    <cellStyle name="Notas 2 3 2 2 7" xfId="23063" xr:uid="{00000000-0005-0000-0000-000063B00000}"/>
    <cellStyle name="Notas 2 3 2 3" xfId="1684" xr:uid="{00000000-0005-0000-0000-000064B00000}"/>
    <cellStyle name="Notas 2 3 2 3 2" xfId="3534" xr:uid="{00000000-0005-0000-0000-000065B00000}"/>
    <cellStyle name="Notas 2 3 2 3 2 2" xfId="7255" xr:uid="{00000000-0005-0000-0000-000066B00000}"/>
    <cellStyle name="Notas 2 3 2 3 2 2 2" xfId="22139" xr:uid="{00000000-0005-0000-0000-000067B00000}"/>
    <cellStyle name="Notas 2 3 2 3 2 2 2 2" xfId="44782" xr:uid="{00000000-0005-0000-0000-000068B00000}"/>
    <cellStyle name="Notas 2 3 2 3 2 2 3" xfId="14699" xr:uid="{00000000-0005-0000-0000-000069B00000}"/>
    <cellStyle name="Notas 2 3 2 3 2 2 3 2" xfId="37342" xr:uid="{00000000-0005-0000-0000-00006AB00000}"/>
    <cellStyle name="Notas 2 3 2 3 2 2 4" xfId="29901" xr:uid="{00000000-0005-0000-0000-00006BB00000}"/>
    <cellStyle name="Notas 2 3 2 3 2 3" xfId="18421" xr:uid="{00000000-0005-0000-0000-00006CB00000}"/>
    <cellStyle name="Notas 2 3 2 3 2 3 2" xfId="41064" xr:uid="{00000000-0005-0000-0000-00006DB00000}"/>
    <cellStyle name="Notas 2 3 2 3 2 4" xfId="10981" xr:uid="{00000000-0005-0000-0000-00006EB00000}"/>
    <cellStyle name="Notas 2 3 2 3 2 4 2" xfId="33624" xr:uid="{00000000-0005-0000-0000-00006FB00000}"/>
    <cellStyle name="Notas 2 3 2 3 2 5" xfId="26183" xr:uid="{00000000-0005-0000-0000-000070B00000}"/>
    <cellStyle name="Notas 2 3 2 3 3" xfId="5408" xr:uid="{00000000-0005-0000-0000-000071B00000}"/>
    <cellStyle name="Notas 2 3 2 3 3 2" xfId="20292" xr:uid="{00000000-0005-0000-0000-000072B00000}"/>
    <cellStyle name="Notas 2 3 2 3 3 2 2" xfId="42935" xr:uid="{00000000-0005-0000-0000-000073B00000}"/>
    <cellStyle name="Notas 2 3 2 3 3 3" xfId="12852" xr:uid="{00000000-0005-0000-0000-000074B00000}"/>
    <cellStyle name="Notas 2 3 2 3 3 3 2" xfId="35495" xr:uid="{00000000-0005-0000-0000-000075B00000}"/>
    <cellStyle name="Notas 2 3 2 3 3 4" xfId="28054" xr:uid="{00000000-0005-0000-0000-000076B00000}"/>
    <cellStyle name="Notas 2 3 2 3 4" xfId="16574" xr:uid="{00000000-0005-0000-0000-000077B00000}"/>
    <cellStyle name="Notas 2 3 2 3 4 2" xfId="39217" xr:uid="{00000000-0005-0000-0000-000078B00000}"/>
    <cellStyle name="Notas 2 3 2 3 5" xfId="9134" xr:uid="{00000000-0005-0000-0000-000079B00000}"/>
    <cellStyle name="Notas 2 3 2 3 5 2" xfId="31777" xr:uid="{00000000-0005-0000-0000-00007AB00000}"/>
    <cellStyle name="Notas 2 3 2 3 6" xfId="24336" xr:uid="{00000000-0005-0000-0000-00007BB00000}"/>
    <cellStyle name="Notas 2 3 2 4" xfId="2609" xr:uid="{00000000-0005-0000-0000-00007CB00000}"/>
    <cellStyle name="Notas 2 3 2 4 2" xfId="6330" xr:uid="{00000000-0005-0000-0000-00007DB00000}"/>
    <cellStyle name="Notas 2 3 2 4 2 2" xfId="21214" xr:uid="{00000000-0005-0000-0000-00007EB00000}"/>
    <cellStyle name="Notas 2 3 2 4 2 2 2" xfId="43857" xr:uid="{00000000-0005-0000-0000-00007FB00000}"/>
    <cellStyle name="Notas 2 3 2 4 2 3" xfId="13774" xr:uid="{00000000-0005-0000-0000-000080B00000}"/>
    <cellStyle name="Notas 2 3 2 4 2 3 2" xfId="36417" xr:uid="{00000000-0005-0000-0000-000081B00000}"/>
    <cellStyle name="Notas 2 3 2 4 2 4" xfId="28976" xr:uid="{00000000-0005-0000-0000-000082B00000}"/>
    <cellStyle name="Notas 2 3 2 4 3" xfId="17496" xr:uid="{00000000-0005-0000-0000-000083B00000}"/>
    <cellStyle name="Notas 2 3 2 4 3 2" xfId="40139" xr:uid="{00000000-0005-0000-0000-000084B00000}"/>
    <cellStyle name="Notas 2 3 2 4 4" xfId="10056" xr:uid="{00000000-0005-0000-0000-000085B00000}"/>
    <cellStyle name="Notas 2 3 2 4 4 2" xfId="32699" xr:uid="{00000000-0005-0000-0000-000086B00000}"/>
    <cellStyle name="Notas 2 3 2 4 5" xfId="25258" xr:uid="{00000000-0005-0000-0000-000087B00000}"/>
    <cellStyle name="Notas 2 3 2 5" xfId="4483" xr:uid="{00000000-0005-0000-0000-000088B00000}"/>
    <cellStyle name="Notas 2 3 2 5 2" xfId="19367" xr:uid="{00000000-0005-0000-0000-000089B00000}"/>
    <cellStyle name="Notas 2 3 2 5 2 2" xfId="42010" xr:uid="{00000000-0005-0000-0000-00008AB00000}"/>
    <cellStyle name="Notas 2 3 2 5 3" xfId="11927" xr:uid="{00000000-0005-0000-0000-00008BB00000}"/>
    <cellStyle name="Notas 2 3 2 5 3 2" xfId="34570" xr:uid="{00000000-0005-0000-0000-00008CB00000}"/>
    <cellStyle name="Notas 2 3 2 5 4" xfId="27129" xr:uid="{00000000-0005-0000-0000-00008DB00000}"/>
    <cellStyle name="Notas 2 3 2 6" xfId="753" xr:uid="{00000000-0005-0000-0000-00008EB00000}"/>
    <cellStyle name="Notas 2 3 2 6 2" xfId="15649" xr:uid="{00000000-0005-0000-0000-00008FB00000}"/>
    <cellStyle name="Notas 2 3 2 6 2 2" xfId="38292" xr:uid="{00000000-0005-0000-0000-000090B00000}"/>
    <cellStyle name="Notas 2 3 2 6 3" xfId="23411" xr:uid="{00000000-0005-0000-0000-000091B00000}"/>
    <cellStyle name="Notas 2 3 2 7" xfId="8209" xr:uid="{00000000-0005-0000-0000-000092B00000}"/>
    <cellStyle name="Notas 2 3 2 7 2" xfId="30852" xr:uid="{00000000-0005-0000-0000-000093B00000}"/>
    <cellStyle name="Notas 2 3 2 8" xfId="22907" xr:uid="{00000000-0005-0000-0000-000094B00000}"/>
    <cellStyle name="Notas 2 3 3" xfId="287" xr:uid="{00000000-0005-0000-0000-000095B00000}"/>
    <cellStyle name="Notas 2 3 3 2" xfId="1935" xr:uid="{00000000-0005-0000-0000-000096B00000}"/>
    <cellStyle name="Notas 2 3 3 2 2" xfId="3785" xr:uid="{00000000-0005-0000-0000-000097B00000}"/>
    <cellStyle name="Notas 2 3 3 2 2 2" xfId="7506" xr:uid="{00000000-0005-0000-0000-000098B00000}"/>
    <cellStyle name="Notas 2 3 3 2 2 2 2" xfId="22390" xr:uid="{00000000-0005-0000-0000-000099B00000}"/>
    <cellStyle name="Notas 2 3 3 2 2 2 2 2" xfId="45033" xr:uid="{00000000-0005-0000-0000-00009AB00000}"/>
    <cellStyle name="Notas 2 3 3 2 2 2 3" xfId="14950" xr:uid="{00000000-0005-0000-0000-00009BB00000}"/>
    <cellStyle name="Notas 2 3 3 2 2 2 3 2" xfId="37593" xr:uid="{00000000-0005-0000-0000-00009CB00000}"/>
    <cellStyle name="Notas 2 3 3 2 2 2 4" xfId="30152" xr:uid="{00000000-0005-0000-0000-00009DB00000}"/>
    <cellStyle name="Notas 2 3 3 2 2 3" xfId="18672" xr:uid="{00000000-0005-0000-0000-00009EB00000}"/>
    <cellStyle name="Notas 2 3 3 2 2 3 2" xfId="41315" xr:uid="{00000000-0005-0000-0000-00009FB00000}"/>
    <cellStyle name="Notas 2 3 3 2 2 4" xfId="11232" xr:uid="{00000000-0005-0000-0000-0000A0B00000}"/>
    <cellStyle name="Notas 2 3 3 2 2 4 2" xfId="33875" xr:uid="{00000000-0005-0000-0000-0000A1B00000}"/>
    <cellStyle name="Notas 2 3 3 2 2 5" xfId="26434" xr:uid="{00000000-0005-0000-0000-0000A2B00000}"/>
    <cellStyle name="Notas 2 3 3 2 3" xfId="5659" xr:uid="{00000000-0005-0000-0000-0000A3B00000}"/>
    <cellStyle name="Notas 2 3 3 2 3 2" xfId="20543" xr:uid="{00000000-0005-0000-0000-0000A4B00000}"/>
    <cellStyle name="Notas 2 3 3 2 3 2 2" xfId="43186" xr:uid="{00000000-0005-0000-0000-0000A5B00000}"/>
    <cellStyle name="Notas 2 3 3 2 3 3" xfId="13103" xr:uid="{00000000-0005-0000-0000-0000A6B00000}"/>
    <cellStyle name="Notas 2 3 3 2 3 3 2" xfId="35746" xr:uid="{00000000-0005-0000-0000-0000A7B00000}"/>
    <cellStyle name="Notas 2 3 3 2 3 4" xfId="28305" xr:uid="{00000000-0005-0000-0000-0000A8B00000}"/>
    <cellStyle name="Notas 2 3 3 2 4" xfId="16825" xr:uid="{00000000-0005-0000-0000-0000A9B00000}"/>
    <cellStyle name="Notas 2 3 3 2 4 2" xfId="39468" xr:uid="{00000000-0005-0000-0000-0000AAB00000}"/>
    <cellStyle name="Notas 2 3 3 2 5" xfId="9385" xr:uid="{00000000-0005-0000-0000-0000ABB00000}"/>
    <cellStyle name="Notas 2 3 3 2 5 2" xfId="32028" xr:uid="{00000000-0005-0000-0000-0000ACB00000}"/>
    <cellStyle name="Notas 2 3 3 2 6" xfId="24587" xr:uid="{00000000-0005-0000-0000-0000ADB00000}"/>
    <cellStyle name="Notas 2 3 3 3" xfId="2860" xr:uid="{00000000-0005-0000-0000-0000AEB00000}"/>
    <cellStyle name="Notas 2 3 3 3 2" xfId="6581" xr:uid="{00000000-0005-0000-0000-0000AFB00000}"/>
    <cellStyle name="Notas 2 3 3 3 2 2" xfId="21465" xr:uid="{00000000-0005-0000-0000-0000B0B00000}"/>
    <cellStyle name="Notas 2 3 3 3 2 2 2" xfId="44108" xr:uid="{00000000-0005-0000-0000-0000B1B00000}"/>
    <cellStyle name="Notas 2 3 3 3 2 3" xfId="14025" xr:uid="{00000000-0005-0000-0000-0000B2B00000}"/>
    <cellStyle name="Notas 2 3 3 3 2 3 2" xfId="36668" xr:uid="{00000000-0005-0000-0000-0000B3B00000}"/>
    <cellStyle name="Notas 2 3 3 3 2 4" xfId="29227" xr:uid="{00000000-0005-0000-0000-0000B4B00000}"/>
    <cellStyle name="Notas 2 3 3 3 3" xfId="17747" xr:uid="{00000000-0005-0000-0000-0000B5B00000}"/>
    <cellStyle name="Notas 2 3 3 3 3 2" xfId="40390" xr:uid="{00000000-0005-0000-0000-0000B6B00000}"/>
    <cellStyle name="Notas 2 3 3 3 4" xfId="10307" xr:uid="{00000000-0005-0000-0000-0000B7B00000}"/>
    <cellStyle name="Notas 2 3 3 3 4 2" xfId="32950" xr:uid="{00000000-0005-0000-0000-0000B8B00000}"/>
    <cellStyle name="Notas 2 3 3 3 5" xfId="25509" xr:uid="{00000000-0005-0000-0000-0000B9B00000}"/>
    <cellStyle name="Notas 2 3 3 4" xfId="4734" xr:uid="{00000000-0005-0000-0000-0000BAB00000}"/>
    <cellStyle name="Notas 2 3 3 4 2" xfId="19618" xr:uid="{00000000-0005-0000-0000-0000BBB00000}"/>
    <cellStyle name="Notas 2 3 3 4 2 2" xfId="42261" xr:uid="{00000000-0005-0000-0000-0000BCB00000}"/>
    <cellStyle name="Notas 2 3 3 4 3" xfId="12178" xr:uid="{00000000-0005-0000-0000-0000BDB00000}"/>
    <cellStyle name="Notas 2 3 3 4 3 2" xfId="34821" xr:uid="{00000000-0005-0000-0000-0000BEB00000}"/>
    <cellStyle name="Notas 2 3 3 4 4" xfId="27380" xr:uid="{00000000-0005-0000-0000-0000BFB00000}"/>
    <cellStyle name="Notas 2 3 3 5" xfId="1007" xr:uid="{00000000-0005-0000-0000-0000C0B00000}"/>
    <cellStyle name="Notas 2 3 3 5 2" xfId="15900" xr:uid="{00000000-0005-0000-0000-0000C1B00000}"/>
    <cellStyle name="Notas 2 3 3 5 2 2" xfId="38543" xr:uid="{00000000-0005-0000-0000-0000C2B00000}"/>
    <cellStyle name="Notas 2 3 3 5 3" xfId="23662" xr:uid="{00000000-0005-0000-0000-0000C3B00000}"/>
    <cellStyle name="Notas 2 3 3 6" xfId="8460" xr:uid="{00000000-0005-0000-0000-0000C4B00000}"/>
    <cellStyle name="Notas 2 3 3 6 2" xfId="31103" xr:uid="{00000000-0005-0000-0000-0000C5B00000}"/>
    <cellStyle name="Notas 2 3 3 7" xfId="22985" xr:uid="{00000000-0005-0000-0000-0000C6B00000}"/>
    <cellStyle name="Notas 2 3 4" xfId="1473" xr:uid="{00000000-0005-0000-0000-0000C7B00000}"/>
    <cellStyle name="Notas 2 3 4 2" xfId="3323" xr:uid="{00000000-0005-0000-0000-0000C8B00000}"/>
    <cellStyle name="Notas 2 3 4 2 2" xfId="7044" xr:uid="{00000000-0005-0000-0000-0000C9B00000}"/>
    <cellStyle name="Notas 2 3 4 2 2 2" xfId="21928" xr:uid="{00000000-0005-0000-0000-0000CAB00000}"/>
    <cellStyle name="Notas 2 3 4 2 2 2 2" xfId="44571" xr:uid="{00000000-0005-0000-0000-0000CBB00000}"/>
    <cellStyle name="Notas 2 3 4 2 2 3" xfId="14488" xr:uid="{00000000-0005-0000-0000-0000CCB00000}"/>
    <cellStyle name="Notas 2 3 4 2 2 3 2" xfId="37131" xr:uid="{00000000-0005-0000-0000-0000CDB00000}"/>
    <cellStyle name="Notas 2 3 4 2 2 4" xfId="29690" xr:uid="{00000000-0005-0000-0000-0000CEB00000}"/>
    <cellStyle name="Notas 2 3 4 2 3" xfId="18210" xr:uid="{00000000-0005-0000-0000-0000CFB00000}"/>
    <cellStyle name="Notas 2 3 4 2 3 2" xfId="40853" xr:uid="{00000000-0005-0000-0000-0000D0B00000}"/>
    <cellStyle name="Notas 2 3 4 2 4" xfId="10770" xr:uid="{00000000-0005-0000-0000-0000D1B00000}"/>
    <cellStyle name="Notas 2 3 4 2 4 2" xfId="33413" xr:uid="{00000000-0005-0000-0000-0000D2B00000}"/>
    <cellStyle name="Notas 2 3 4 2 5" xfId="25972" xr:uid="{00000000-0005-0000-0000-0000D3B00000}"/>
    <cellStyle name="Notas 2 3 4 3" xfId="5197" xr:uid="{00000000-0005-0000-0000-0000D4B00000}"/>
    <cellStyle name="Notas 2 3 4 3 2" xfId="20081" xr:uid="{00000000-0005-0000-0000-0000D5B00000}"/>
    <cellStyle name="Notas 2 3 4 3 2 2" xfId="42724" xr:uid="{00000000-0005-0000-0000-0000D6B00000}"/>
    <cellStyle name="Notas 2 3 4 3 3" xfId="12641" xr:uid="{00000000-0005-0000-0000-0000D7B00000}"/>
    <cellStyle name="Notas 2 3 4 3 3 2" xfId="35284" xr:uid="{00000000-0005-0000-0000-0000D8B00000}"/>
    <cellStyle name="Notas 2 3 4 3 4" xfId="27843" xr:uid="{00000000-0005-0000-0000-0000D9B00000}"/>
    <cellStyle name="Notas 2 3 4 4" xfId="16363" xr:uid="{00000000-0005-0000-0000-0000DAB00000}"/>
    <cellStyle name="Notas 2 3 4 4 2" xfId="39006" xr:uid="{00000000-0005-0000-0000-0000DBB00000}"/>
    <cellStyle name="Notas 2 3 4 5" xfId="8923" xr:uid="{00000000-0005-0000-0000-0000DCB00000}"/>
    <cellStyle name="Notas 2 3 4 5 2" xfId="31566" xr:uid="{00000000-0005-0000-0000-0000DDB00000}"/>
    <cellStyle name="Notas 2 3 4 6" xfId="24125" xr:uid="{00000000-0005-0000-0000-0000DEB00000}"/>
    <cellStyle name="Notas 2 3 5" xfId="2398" xr:uid="{00000000-0005-0000-0000-0000DFB00000}"/>
    <cellStyle name="Notas 2 3 5 2" xfId="6119" xr:uid="{00000000-0005-0000-0000-0000E0B00000}"/>
    <cellStyle name="Notas 2 3 5 2 2" xfId="21003" xr:uid="{00000000-0005-0000-0000-0000E1B00000}"/>
    <cellStyle name="Notas 2 3 5 2 2 2" xfId="43646" xr:uid="{00000000-0005-0000-0000-0000E2B00000}"/>
    <cellStyle name="Notas 2 3 5 2 3" xfId="13563" xr:uid="{00000000-0005-0000-0000-0000E3B00000}"/>
    <cellStyle name="Notas 2 3 5 2 3 2" xfId="36206" xr:uid="{00000000-0005-0000-0000-0000E4B00000}"/>
    <cellStyle name="Notas 2 3 5 2 4" xfId="28765" xr:uid="{00000000-0005-0000-0000-0000E5B00000}"/>
    <cellStyle name="Notas 2 3 5 3" xfId="17285" xr:uid="{00000000-0005-0000-0000-0000E6B00000}"/>
    <cellStyle name="Notas 2 3 5 3 2" xfId="39928" xr:uid="{00000000-0005-0000-0000-0000E7B00000}"/>
    <cellStyle name="Notas 2 3 5 4" xfId="9845" xr:uid="{00000000-0005-0000-0000-0000E8B00000}"/>
    <cellStyle name="Notas 2 3 5 4 2" xfId="32488" xr:uid="{00000000-0005-0000-0000-0000E9B00000}"/>
    <cellStyle name="Notas 2 3 5 5" xfId="25047" xr:uid="{00000000-0005-0000-0000-0000EAB00000}"/>
    <cellStyle name="Notas 2 3 6" xfId="4272" xr:uid="{00000000-0005-0000-0000-0000EBB00000}"/>
    <cellStyle name="Notas 2 3 6 2" xfId="19156" xr:uid="{00000000-0005-0000-0000-0000ECB00000}"/>
    <cellStyle name="Notas 2 3 6 2 2" xfId="41799" xr:uid="{00000000-0005-0000-0000-0000EDB00000}"/>
    <cellStyle name="Notas 2 3 6 3" xfId="11716" xr:uid="{00000000-0005-0000-0000-0000EEB00000}"/>
    <cellStyle name="Notas 2 3 6 3 2" xfId="34359" xr:uid="{00000000-0005-0000-0000-0000EFB00000}"/>
    <cellStyle name="Notas 2 3 6 4" xfId="26918" xr:uid="{00000000-0005-0000-0000-0000F0B00000}"/>
    <cellStyle name="Notas 2 3 7" xfId="541" xr:uid="{00000000-0005-0000-0000-0000F1B00000}"/>
    <cellStyle name="Notas 2 3 7 2" xfId="15438" xr:uid="{00000000-0005-0000-0000-0000F2B00000}"/>
    <cellStyle name="Notas 2 3 7 2 2" xfId="38081" xr:uid="{00000000-0005-0000-0000-0000F3B00000}"/>
    <cellStyle name="Notas 2 3 7 3" xfId="23201" xr:uid="{00000000-0005-0000-0000-0000F4B00000}"/>
    <cellStyle name="Notas 2 3 8" xfId="7998" xr:uid="{00000000-0005-0000-0000-0000F5B00000}"/>
    <cellStyle name="Notas 2 3 8 2" xfId="30641" xr:uid="{00000000-0005-0000-0000-0000F6B00000}"/>
    <cellStyle name="Notas 2 3 9" xfId="22829" xr:uid="{00000000-0005-0000-0000-0000F7B00000}"/>
    <cellStyle name="Notas 2 4" xfId="164" xr:uid="{00000000-0005-0000-0000-0000F8B00000}"/>
    <cellStyle name="Notas 2 4 2" xfId="326" xr:uid="{00000000-0005-0000-0000-0000F9B00000}"/>
    <cellStyle name="Notas 2 4 2 2" xfId="2041" xr:uid="{00000000-0005-0000-0000-0000FAB00000}"/>
    <cellStyle name="Notas 2 4 2 2 2" xfId="3891" xr:uid="{00000000-0005-0000-0000-0000FBB00000}"/>
    <cellStyle name="Notas 2 4 2 2 2 2" xfId="7612" xr:uid="{00000000-0005-0000-0000-0000FCB00000}"/>
    <cellStyle name="Notas 2 4 2 2 2 2 2" xfId="22496" xr:uid="{00000000-0005-0000-0000-0000FDB00000}"/>
    <cellStyle name="Notas 2 4 2 2 2 2 2 2" xfId="45139" xr:uid="{00000000-0005-0000-0000-0000FEB00000}"/>
    <cellStyle name="Notas 2 4 2 2 2 2 3" xfId="15056" xr:uid="{00000000-0005-0000-0000-0000FFB00000}"/>
    <cellStyle name="Notas 2 4 2 2 2 2 3 2" xfId="37699" xr:uid="{00000000-0005-0000-0000-000000B10000}"/>
    <cellStyle name="Notas 2 4 2 2 2 2 4" xfId="30258" xr:uid="{00000000-0005-0000-0000-000001B10000}"/>
    <cellStyle name="Notas 2 4 2 2 2 3" xfId="18778" xr:uid="{00000000-0005-0000-0000-000002B10000}"/>
    <cellStyle name="Notas 2 4 2 2 2 3 2" xfId="41421" xr:uid="{00000000-0005-0000-0000-000003B10000}"/>
    <cellStyle name="Notas 2 4 2 2 2 4" xfId="11338" xr:uid="{00000000-0005-0000-0000-000004B10000}"/>
    <cellStyle name="Notas 2 4 2 2 2 4 2" xfId="33981" xr:uid="{00000000-0005-0000-0000-000005B10000}"/>
    <cellStyle name="Notas 2 4 2 2 2 5" xfId="26540" xr:uid="{00000000-0005-0000-0000-000006B10000}"/>
    <cellStyle name="Notas 2 4 2 2 3" xfId="5765" xr:uid="{00000000-0005-0000-0000-000007B10000}"/>
    <cellStyle name="Notas 2 4 2 2 3 2" xfId="20649" xr:uid="{00000000-0005-0000-0000-000008B10000}"/>
    <cellStyle name="Notas 2 4 2 2 3 2 2" xfId="43292" xr:uid="{00000000-0005-0000-0000-000009B10000}"/>
    <cellStyle name="Notas 2 4 2 2 3 3" xfId="13209" xr:uid="{00000000-0005-0000-0000-00000AB10000}"/>
    <cellStyle name="Notas 2 4 2 2 3 3 2" xfId="35852" xr:uid="{00000000-0005-0000-0000-00000BB10000}"/>
    <cellStyle name="Notas 2 4 2 2 3 4" xfId="28411" xr:uid="{00000000-0005-0000-0000-00000CB10000}"/>
    <cellStyle name="Notas 2 4 2 2 4" xfId="16931" xr:uid="{00000000-0005-0000-0000-00000DB10000}"/>
    <cellStyle name="Notas 2 4 2 2 4 2" xfId="39574" xr:uid="{00000000-0005-0000-0000-00000EB10000}"/>
    <cellStyle name="Notas 2 4 2 2 5" xfId="9491" xr:uid="{00000000-0005-0000-0000-00000FB10000}"/>
    <cellStyle name="Notas 2 4 2 2 5 2" xfId="32134" xr:uid="{00000000-0005-0000-0000-000010B10000}"/>
    <cellStyle name="Notas 2 4 2 2 6" xfId="24693" xr:uid="{00000000-0005-0000-0000-000011B10000}"/>
    <cellStyle name="Notas 2 4 2 3" xfId="2966" xr:uid="{00000000-0005-0000-0000-000012B10000}"/>
    <cellStyle name="Notas 2 4 2 3 2" xfId="6687" xr:uid="{00000000-0005-0000-0000-000013B10000}"/>
    <cellStyle name="Notas 2 4 2 3 2 2" xfId="21571" xr:uid="{00000000-0005-0000-0000-000014B10000}"/>
    <cellStyle name="Notas 2 4 2 3 2 2 2" xfId="44214" xr:uid="{00000000-0005-0000-0000-000015B10000}"/>
    <cellStyle name="Notas 2 4 2 3 2 3" xfId="14131" xr:uid="{00000000-0005-0000-0000-000016B10000}"/>
    <cellStyle name="Notas 2 4 2 3 2 3 2" xfId="36774" xr:uid="{00000000-0005-0000-0000-000017B10000}"/>
    <cellStyle name="Notas 2 4 2 3 2 4" xfId="29333" xr:uid="{00000000-0005-0000-0000-000018B10000}"/>
    <cellStyle name="Notas 2 4 2 3 3" xfId="17853" xr:uid="{00000000-0005-0000-0000-000019B10000}"/>
    <cellStyle name="Notas 2 4 2 3 3 2" xfId="40496" xr:uid="{00000000-0005-0000-0000-00001AB10000}"/>
    <cellStyle name="Notas 2 4 2 3 4" xfId="10413" xr:uid="{00000000-0005-0000-0000-00001BB10000}"/>
    <cellStyle name="Notas 2 4 2 3 4 2" xfId="33056" xr:uid="{00000000-0005-0000-0000-00001CB10000}"/>
    <cellStyle name="Notas 2 4 2 3 5" xfId="25615" xr:uid="{00000000-0005-0000-0000-00001DB10000}"/>
    <cellStyle name="Notas 2 4 2 4" xfId="4840" xr:uid="{00000000-0005-0000-0000-00001EB10000}"/>
    <cellStyle name="Notas 2 4 2 4 2" xfId="19724" xr:uid="{00000000-0005-0000-0000-00001FB10000}"/>
    <cellStyle name="Notas 2 4 2 4 2 2" xfId="42367" xr:uid="{00000000-0005-0000-0000-000020B10000}"/>
    <cellStyle name="Notas 2 4 2 4 3" xfId="12284" xr:uid="{00000000-0005-0000-0000-000021B10000}"/>
    <cellStyle name="Notas 2 4 2 4 3 2" xfId="34927" xr:uid="{00000000-0005-0000-0000-000022B10000}"/>
    <cellStyle name="Notas 2 4 2 4 4" xfId="27486" xr:uid="{00000000-0005-0000-0000-000023B10000}"/>
    <cellStyle name="Notas 2 4 2 5" xfId="1113" xr:uid="{00000000-0005-0000-0000-000024B10000}"/>
    <cellStyle name="Notas 2 4 2 5 2" xfId="16006" xr:uid="{00000000-0005-0000-0000-000025B10000}"/>
    <cellStyle name="Notas 2 4 2 5 2 2" xfId="38649" xr:uid="{00000000-0005-0000-0000-000026B10000}"/>
    <cellStyle name="Notas 2 4 2 5 3" xfId="23768" xr:uid="{00000000-0005-0000-0000-000027B10000}"/>
    <cellStyle name="Notas 2 4 2 6" xfId="8566" xr:uid="{00000000-0005-0000-0000-000028B10000}"/>
    <cellStyle name="Notas 2 4 2 6 2" xfId="31209" xr:uid="{00000000-0005-0000-0000-000029B10000}"/>
    <cellStyle name="Notas 2 4 2 7" xfId="23024" xr:uid="{00000000-0005-0000-0000-00002AB10000}"/>
    <cellStyle name="Notas 2 4 3" xfId="1579" xr:uid="{00000000-0005-0000-0000-00002BB10000}"/>
    <cellStyle name="Notas 2 4 3 2" xfId="3429" xr:uid="{00000000-0005-0000-0000-00002CB10000}"/>
    <cellStyle name="Notas 2 4 3 2 2" xfId="7150" xr:uid="{00000000-0005-0000-0000-00002DB10000}"/>
    <cellStyle name="Notas 2 4 3 2 2 2" xfId="22034" xr:uid="{00000000-0005-0000-0000-00002EB10000}"/>
    <cellStyle name="Notas 2 4 3 2 2 2 2" xfId="44677" xr:uid="{00000000-0005-0000-0000-00002FB10000}"/>
    <cellStyle name="Notas 2 4 3 2 2 3" xfId="14594" xr:uid="{00000000-0005-0000-0000-000030B10000}"/>
    <cellStyle name="Notas 2 4 3 2 2 3 2" xfId="37237" xr:uid="{00000000-0005-0000-0000-000031B10000}"/>
    <cellStyle name="Notas 2 4 3 2 2 4" xfId="29796" xr:uid="{00000000-0005-0000-0000-000032B10000}"/>
    <cellStyle name="Notas 2 4 3 2 3" xfId="18316" xr:uid="{00000000-0005-0000-0000-000033B10000}"/>
    <cellStyle name="Notas 2 4 3 2 3 2" xfId="40959" xr:uid="{00000000-0005-0000-0000-000034B10000}"/>
    <cellStyle name="Notas 2 4 3 2 4" xfId="10876" xr:uid="{00000000-0005-0000-0000-000035B10000}"/>
    <cellStyle name="Notas 2 4 3 2 4 2" xfId="33519" xr:uid="{00000000-0005-0000-0000-000036B10000}"/>
    <cellStyle name="Notas 2 4 3 2 5" xfId="26078" xr:uid="{00000000-0005-0000-0000-000037B10000}"/>
    <cellStyle name="Notas 2 4 3 3" xfId="5303" xr:uid="{00000000-0005-0000-0000-000038B10000}"/>
    <cellStyle name="Notas 2 4 3 3 2" xfId="20187" xr:uid="{00000000-0005-0000-0000-000039B10000}"/>
    <cellStyle name="Notas 2 4 3 3 2 2" xfId="42830" xr:uid="{00000000-0005-0000-0000-00003AB10000}"/>
    <cellStyle name="Notas 2 4 3 3 3" xfId="12747" xr:uid="{00000000-0005-0000-0000-00003BB10000}"/>
    <cellStyle name="Notas 2 4 3 3 3 2" xfId="35390" xr:uid="{00000000-0005-0000-0000-00003CB10000}"/>
    <cellStyle name="Notas 2 4 3 3 4" xfId="27949" xr:uid="{00000000-0005-0000-0000-00003DB10000}"/>
    <cellStyle name="Notas 2 4 3 4" xfId="16469" xr:uid="{00000000-0005-0000-0000-00003EB10000}"/>
    <cellStyle name="Notas 2 4 3 4 2" xfId="39112" xr:uid="{00000000-0005-0000-0000-00003FB10000}"/>
    <cellStyle name="Notas 2 4 3 5" xfId="9029" xr:uid="{00000000-0005-0000-0000-000040B10000}"/>
    <cellStyle name="Notas 2 4 3 5 2" xfId="31672" xr:uid="{00000000-0005-0000-0000-000041B10000}"/>
    <cellStyle name="Notas 2 4 3 6" xfId="24231" xr:uid="{00000000-0005-0000-0000-000042B10000}"/>
    <cellStyle name="Notas 2 4 4" xfId="2504" xr:uid="{00000000-0005-0000-0000-000043B10000}"/>
    <cellStyle name="Notas 2 4 4 2" xfId="6225" xr:uid="{00000000-0005-0000-0000-000044B10000}"/>
    <cellStyle name="Notas 2 4 4 2 2" xfId="21109" xr:uid="{00000000-0005-0000-0000-000045B10000}"/>
    <cellStyle name="Notas 2 4 4 2 2 2" xfId="43752" xr:uid="{00000000-0005-0000-0000-000046B10000}"/>
    <cellStyle name="Notas 2 4 4 2 3" xfId="13669" xr:uid="{00000000-0005-0000-0000-000047B10000}"/>
    <cellStyle name="Notas 2 4 4 2 3 2" xfId="36312" xr:uid="{00000000-0005-0000-0000-000048B10000}"/>
    <cellStyle name="Notas 2 4 4 2 4" xfId="28871" xr:uid="{00000000-0005-0000-0000-000049B10000}"/>
    <cellStyle name="Notas 2 4 4 3" xfId="17391" xr:uid="{00000000-0005-0000-0000-00004AB10000}"/>
    <cellStyle name="Notas 2 4 4 3 2" xfId="40034" xr:uid="{00000000-0005-0000-0000-00004BB10000}"/>
    <cellStyle name="Notas 2 4 4 4" xfId="9951" xr:uid="{00000000-0005-0000-0000-00004CB10000}"/>
    <cellStyle name="Notas 2 4 4 4 2" xfId="32594" xr:uid="{00000000-0005-0000-0000-00004DB10000}"/>
    <cellStyle name="Notas 2 4 4 5" xfId="25153" xr:uid="{00000000-0005-0000-0000-00004EB10000}"/>
    <cellStyle name="Notas 2 4 5" xfId="4378" xr:uid="{00000000-0005-0000-0000-00004FB10000}"/>
    <cellStyle name="Notas 2 4 5 2" xfId="19262" xr:uid="{00000000-0005-0000-0000-000050B10000}"/>
    <cellStyle name="Notas 2 4 5 2 2" xfId="41905" xr:uid="{00000000-0005-0000-0000-000051B10000}"/>
    <cellStyle name="Notas 2 4 5 3" xfId="11822" xr:uid="{00000000-0005-0000-0000-000052B10000}"/>
    <cellStyle name="Notas 2 4 5 3 2" xfId="34465" xr:uid="{00000000-0005-0000-0000-000053B10000}"/>
    <cellStyle name="Notas 2 4 5 4" xfId="27024" xr:uid="{00000000-0005-0000-0000-000054B10000}"/>
    <cellStyle name="Notas 2 4 6" xfId="648" xr:uid="{00000000-0005-0000-0000-000055B10000}"/>
    <cellStyle name="Notas 2 4 6 2" xfId="15544" xr:uid="{00000000-0005-0000-0000-000056B10000}"/>
    <cellStyle name="Notas 2 4 6 2 2" xfId="38187" xr:uid="{00000000-0005-0000-0000-000057B10000}"/>
    <cellStyle name="Notas 2 4 6 3" xfId="23306" xr:uid="{00000000-0005-0000-0000-000058B10000}"/>
    <cellStyle name="Notas 2 4 7" xfId="8104" xr:uid="{00000000-0005-0000-0000-000059B10000}"/>
    <cellStyle name="Notas 2 4 7 2" xfId="30747" xr:uid="{00000000-0005-0000-0000-00005AB10000}"/>
    <cellStyle name="Notas 2 4 8" xfId="22868" xr:uid="{00000000-0005-0000-0000-00005BB10000}"/>
    <cellStyle name="Notas 2 5" xfId="247" xr:uid="{00000000-0005-0000-0000-00005CB10000}"/>
    <cellStyle name="Notas 2 5 2" xfId="1830" xr:uid="{00000000-0005-0000-0000-00005DB10000}"/>
    <cellStyle name="Notas 2 5 2 2" xfId="3680" xr:uid="{00000000-0005-0000-0000-00005EB10000}"/>
    <cellStyle name="Notas 2 5 2 2 2" xfId="7401" xr:uid="{00000000-0005-0000-0000-00005FB10000}"/>
    <cellStyle name="Notas 2 5 2 2 2 2" xfId="22285" xr:uid="{00000000-0005-0000-0000-000060B10000}"/>
    <cellStyle name="Notas 2 5 2 2 2 2 2" xfId="44928" xr:uid="{00000000-0005-0000-0000-000061B10000}"/>
    <cellStyle name="Notas 2 5 2 2 2 3" xfId="14845" xr:uid="{00000000-0005-0000-0000-000062B10000}"/>
    <cellStyle name="Notas 2 5 2 2 2 3 2" xfId="37488" xr:uid="{00000000-0005-0000-0000-000063B10000}"/>
    <cellStyle name="Notas 2 5 2 2 2 4" xfId="30047" xr:uid="{00000000-0005-0000-0000-000064B10000}"/>
    <cellStyle name="Notas 2 5 2 2 3" xfId="18567" xr:uid="{00000000-0005-0000-0000-000065B10000}"/>
    <cellStyle name="Notas 2 5 2 2 3 2" xfId="41210" xr:uid="{00000000-0005-0000-0000-000066B10000}"/>
    <cellStyle name="Notas 2 5 2 2 4" xfId="11127" xr:uid="{00000000-0005-0000-0000-000067B10000}"/>
    <cellStyle name="Notas 2 5 2 2 4 2" xfId="33770" xr:uid="{00000000-0005-0000-0000-000068B10000}"/>
    <cellStyle name="Notas 2 5 2 2 5" xfId="26329" xr:uid="{00000000-0005-0000-0000-000069B10000}"/>
    <cellStyle name="Notas 2 5 2 3" xfId="5554" xr:uid="{00000000-0005-0000-0000-00006AB10000}"/>
    <cellStyle name="Notas 2 5 2 3 2" xfId="20438" xr:uid="{00000000-0005-0000-0000-00006BB10000}"/>
    <cellStyle name="Notas 2 5 2 3 2 2" xfId="43081" xr:uid="{00000000-0005-0000-0000-00006CB10000}"/>
    <cellStyle name="Notas 2 5 2 3 3" xfId="12998" xr:uid="{00000000-0005-0000-0000-00006DB10000}"/>
    <cellStyle name="Notas 2 5 2 3 3 2" xfId="35641" xr:uid="{00000000-0005-0000-0000-00006EB10000}"/>
    <cellStyle name="Notas 2 5 2 3 4" xfId="28200" xr:uid="{00000000-0005-0000-0000-00006FB10000}"/>
    <cellStyle name="Notas 2 5 2 4" xfId="16720" xr:uid="{00000000-0005-0000-0000-000070B10000}"/>
    <cellStyle name="Notas 2 5 2 4 2" xfId="39363" xr:uid="{00000000-0005-0000-0000-000071B10000}"/>
    <cellStyle name="Notas 2 5 2 5" xfId="9280" xr:uid="{00000000-0005-0000-0000-000072B10000}"/>
    <cellStyle name="Notas 2 5 2 5 2" xfId="31923" xr:uid="{00000000-0005-0000-0000-000073B10000}"/>
    <cellStyle name="Notas 2 5 2 6" xfId="24482" xr:uid="{00000000-0005-0000-0000-000074B10000}"/>
    <cellStyle name="Notas 2 5 3" xfId="2755" xr:uid="{00000000-0005-0000-0000-000075B10000}"/>
    <cellStyle name="Notas 2 5 3 2" xfId="6476" xr:uid="{00000000-0005-0000-0000-000076B10000}"/>
    <cellStyle name="Notas 2 5 3 2 2" xfId="21360" xr:uid="{00000000-0005-0000-0000-000077B10000}"/>
    <cellStyle name="Notas 2 5 3 2 2 2" xfId="44003" xr:uid="{00000000-0005-0000-0000-000078B10000}"/>
    <cellStyle name="Notas 2 5 3 2 3" xfId="13920" xr:uid="{00000000-0005-0000-0000-000079B10000}"/>
    <cellStyle name="Notas 2 5 3 2 3 2" xfId="36563" xr:uid="{00000000-0005-0000-0000-00007AB10000}"/>
    <cellStyle name="Notas 2 5 3 2 4" xfId="29122" xr:uid="{00000000-0005-0000-0000-00007BB10000}"/>
    <cellStyle name="Notas 2 5 3 3" xfId="17642" xr:uid="{00000000-0005-0000-0000-00007CB10000}"/>
    <cellStyle name="Notas 2 5 3 3 2" xfId="40285" xr:uid="{00000000-0005-0000-0000-00007DB10000}"/>
    <cellStyle name="Notas 2 5 3 4" xfId="10202" xr:uid="{00000000-0005-0000-0000-00007EB10000}"/>
    <cellStyle name="Notas 2 5 3 4 2" xfId="32845" xr:uid="{00000000-0005-0000-0000-00007FB10000}"/>
    <cellStyle name="Notas 2 5 3 5" xfId="25404" xr:uid="{00000000-0005-0000-0000-000080B10000}"/>
    <cellStyle name="Notas 2 5 4" xfId="4629" xr:uid="{00000000-0005-0000-0000-000081B10000}"/>
    <cellStyle name="Notas 2 5 4 2" xfId="19513" xr:uid="{00000000-0005-0000-0000-000082B10000}"/>
    <cellStyle name="Notas 2 5 4 2 2" xfId="42156" xr:uid="{00000000-0005-0000-0000-000083B10000}"/>
    <cellStyle name="Notas 2 5 4 3" xfId="12073" xr:uid="{00000000-0005-0000-0000-000084B10000}"/>
    <cellStyle name="Notas 2 5 4 3 2" xfId="34716" xr:uid="{00000000-0005-0000-0000-000085B10000}"/>
    <cellStyle name="Notas 2 5 4 4" xfId="27275" xr:uid="{00000000-0005-0000-0000-000086B10000}"/>
    <cellStyle name="Notas 2 5 5" xfId="902" xr:uid="{00000000-0005-0000-0000-000087B10000}"/>
    <cellStyle name="Notas 2 5 5 2" xfId="15795" xr:uid="{00000000-0005-0000-0000-000088B10000}"/>
    <cellStyle name="Notas 2 5 5 2 2" xfId="38438" xr:uid="{00000000-0005-0000-0000-000089B10000}"/>
    <cellStyle name="Notas 2 5 5 3" xfId="23557" xr:uid="{00000000-0005-0000-0000-00008AB10000}"/>
    <cellStyle name="Notas 2 5 6" xfId="8355" xr:uid="{00000000-0005-0000-0000-00008BB10000}"/>
    <cellStyle name="Notas 2 5 6 2" xfId="30998" xr:uid="{00000000-0005-0000-0000-00008CB10000}"/>
    <cellStyle name="Notas 2 5 7" xfId="22946" xr:uid="{00000000-0005-0000-0000-00008DB10000}"/>
    <cellStyle name="Notas 2 6" xfId="1368" xr:uid="{00000000-0005-0000-0000-00008EB10000}"/>
    <cellStyle name="Notas 2 6 2" xfId="3218" xr:uid="{00000000-0005-0000-0000-00008FB10000}"/>
    <cellStyle name="Notas 2 6 2 2" xfId="6939" xr:uid="{00000000-0005-0000-0000-000090B10000}"/>
    <cellStyle name="Notas 2 6 2 2 2" xfId="21823" xr:uid="{00000000-0005-0000-0000-000091B10000}"/>
    <cellStyle name="Notas 2 6 2 2 2 2" xfId="44466" xr:uid="{00000000-0005-0000-0000-000092B10000}"/>
    <cellStyle name="Notas 2 6 2 2 3" xfId="14383" xr:uid="{00000000-0005-0000-0000-000093B10000}"/>
    <cellStyle name="Notas 2 6 2 2 3 2" xfId="37026" xr:uid="{00000000-0005-0000-0000-000094B10000}"/>
    <cellStyle name="Notas 2 6 2 2 4" xfId="29585" xr:uid="{00000000-0005-0000-0000-000095B10000}"/>
    <cellStyle name="Notas 2 6 2 3" xfId="18105" xr:uid="{00000000-0005-0000-0000-000096B10000}"/>
    <cellStyle name="Notas 2 6 2 3 2" xfId="40748" xr:uid="{00000000-0005-0000-0000-000097B10000}"/>
    <cellStyle name="Notas 2 6 2 4" xfId="10665" xr:uid="{00000000-0005-0000-0000-000098B10000}"/>
    <cellStyle name="Notas 2 6 2 4 2" xfId="33308" xr:uid="{00000000-0005-0000-0000-000099B10000}"/>
    <cellStyle name="Notas 2 6 2 5" xfId="25867" xr:uid="{00000000-0005-0000-0000-00009AB10000}"/>
    <cellStyle name="Notas 2 6 3" xfId="5092" xr:uid="{00000000-0005-0000-0000-00009BB10000}"/>
    <cellStyle name="Notas 2 6 3 2" xfId="19976" xr:uid="{00000000-0005-0000-0000-00009CB10000}"/>
    <cellStyle name="Notas 2 6 3 2 2" xfId="42619" xr:uid="{00000000-0005-0000-0000-00009DB10000}"/>
    <cellStyle name="Notas 2 6 3 3" xfId="12536" xr:uid="{00000000-0005-0000-0000-00009EB10000}"/>
    <cellStyle name="Notas 2 6 3 3 2" xfId="35179" xr:uid="{00000000-0005-0000-0000-00009FB10000}"/>
    <cellStyle name="Notas 2 6 3 4" xfId="27738" xr:uid="{00000000-0005-0000-0000-0000A0B10000}"/>
    <cellStyle name="Notas 2 6 4" xfId="16258" xr:uid="{00000000-0005-0000-0000-0000A1B10000}"/>
    <cellStyle name="Notas 2 6 4 2" xfId="38901" xr:uid="{00000000-0005-0000-0000-0000A2B10000}"/>
    <cellStyle name="Notas 2 6 5" xfId="8818" xr:uid="{00000000-0005-0000-0000-0000A3B10000}"/>
    <cellStyle name="Notas 2 6 5 2" xfId="31461" xr:uid="{00000000-0005-0000-0000-0000A4B10000}"/>
    <cellStyle name="Notas 2 6 6" xfId="24020" xr:uid="{00000000-0005-0000-0000-0000A5B10000}"/>
    <cellStyle name="Notas 2 7" xfId="2293" xr:uid="{00000000-0005-0000-0000-0000A6B10000}"/>
    <cellStyle name="Notas 2 7 2" xfId="6014" xr:uid="{00000000-0005-0000-0000-0000A7B10000}"/>
    <cellStyle name="Notas 2 7 2 2" xfId="20898" xr:uid="{00000000-0005-0000-0000-0000A8B10000}"/>
    <cellStyle name="Notas 2 7 2 2 2" xfId="43541" xr:uid="{00000000-0005-0000-0000-0000A9B10000}"/>
    <cellStyle name="Notas 2 7 2 3" xfId="13458" xr:uid="{00000000-0005-0000-0000-0000AAB10000}"/>
    <cellStyle name="Notas 2 7 2 3 2" xfId="36101" xr:uid="{00000000-0005-0000-0000-0000ABB10000}"/>
    <cellStyle name="Notas 2 7 2 4" xfId="28660" xr:uid="{00000000-0005-0000-0000-0000ACB10000}"/>
    <cellStyle name="Notas 2 7 3" xfId="17180" xr:uid="{00000000-0005-0000-0000-0000ADB10000}"/>
    <cellStyle name="Notas 2 7 3 2" xfId="39823" xr:uid="{00000000-0005-0000-0000-0000AEB10000}"/>
    <cellStyle name="Notas 2 7 4" xfId="9740" xr:uid="{00000000-0005-0000-0000-0000AFB10000}"/>
    <cellStyle name="Notas 2 7 4 2" xfId="32383" xr:uid="{00000000-0005-0000-0000-0000B0B10000}"/>
    <cellStyle name="Notas 2 7 5" xfId="24942" xr:uid="{00000000-0005-0000-0000-0000B1B10000}"/>
    <cellStyle name="Notas 2 8" xfId="4167" xr:uid="{00000000-0005-0000-0000-0000B2B10000}"/>
    <cellStyle name="Notas 2 8 2" xfId="19051" xr:uid="{00000000-0005-0000-0000-0000B3B10000}"/>
    <cellStyle name="Notas 2 8 2 2" xfId="41694" xr:uid="{00000000-0005-0000-0000-0000B4B10000}"/>
    <cellStyle name="Notas 2 8 3" xfId="11611" xr:uid="{00000000-0005-0000-0000-0000B5B10000}"/>
    <cellStyle name="Notas 2 8 3 2" xfId="34254" xr:uid="{00000000-0005-0000-0000-0000B6B10000}"/>
    <cellStyle name="Notas 2 8 4" xfId="26813" xr:uid="{00000000-0005-0000-0000-0000B7B10000}"/>
    <cellStyle name="Notas 2 9" xfId="432" xr:uid="{00000000-0005-0000-0000-0000B8B10000}"/>
    <cellStyle name="Notas 2 9 2" xfId="15333" xr:uid="{00000000-0005-0000-0000-0000B9B10000}"/>
    <cellStyle name="Notas 2 9 2 2" xfId="37976" xr:uid="{00000000-0005-0000-0000-0000BAB10000}"/>
    <cellStyle name="Notas 2 9 3" xfId="23096" xr:uid="{00000000-0005-0000-0000-0000BBB10000}"/>
    <cellStyle name="Notas 3" xfId="45448" xr:uid="{00000000-0005-0000-0000-0000BCB10000}"/>
    <cellStyle name="Notas 4" xfId="45486" xr:uid="{00000000-0005-0000-0000-0000BDB10000}"/>
    <cellStyle name="Porcentaje" xfId="73" builtinId="5"/>
    <cellStyle name="Porcentaje 10" xfId="4148" xr:uid="{00000000-0005-0000-0000-0000BFB10000}"/>
    <cellStyle name="Porcentaje 11" xfId="383" xr:uid="{00000000-0005-0000-0000-0000C0B10000}"/>
    <cellStyle name="Porcentaje 12" xfId="7874" xr:uid="{00000000-0005-0000-0000-0000C1B10000}"/>
    <cellStyle name="Porcentaje 13" xfId="22791" xr:uid="{00000000-0005-0000-0000-0000C2B10000}"/>
    <cellStyle name="Porcentaje 14" xfId="45433" xr:uid="{00000000-0005-0000-0000-0000C3B10000}"/>
    <cellStyle name="Porcentaje 2" xfId="74" xr:uid="{00000000-0005-0000-0000-0000C4B10000}"/>
    <cellStyle name="Porcentaje 3" xfId="75" xr:uid="{00000000-0005-0000-0000-0000C5B10000}"/>
    <cellStyle name="Porcentaje 4" xfId="124" xr:uid="{00000000-0005-0000-0000-0000C6B10000}"/>
    <cellStyle name="Porcentaje 5" xfId="166" xr:uid="{00000000-0005-0000-0000-0000C7B10000}"/>
    <cellStyle name="Porcentaje 6" xfId="249" xr:uid="{00000000-0005-0000-0000-0000C8B10000}"/>
    <cellStyle name="Porcentaje 7" xfId="883" xr:uid="{00000000-0005-0000-0000-0000C9B10000}"/>
    <cellStyle name="Porcentaje 8" xfId="1349" xr:uid="{00000000-0005-0000-0000-0000CAB10000}"/>
    <cellStyle name="Porcentaje 9" xfId="2274" xr:uid="{00000000-0005-0000-0000-0000CBB10000}"/>
    <cellStyle name="Porcentual 2" xfId="430" xr:uid="{00000000-0005-0000-0000-0000CCB10000}"/>
    <cellStyle name="Salida" xfId="76" builtinId="21" customBuiltin="1"/>
    <cellStyle name="Texto de advertencia" xfId="77" builtinId="11" customBuiltin="1"/>
    <cellStyle name="Texto explicativo" xfId="78" builtinId="53" customBuiltin="1"/>
    <cellStyle name="Título" xfId="79" builtinId="15" customBuiltin="1"/>
    <cellStyle name="Título 2" xfId="80" builtinId="17" customBuiltin="1"/>
    <cellStyle name="Título 3" xfId="81" builtinId="18" customBuiltin="1"/>
    <cellStyle name="Total" xfId="82" builtinId="25" customBuiltin="1"/>
  </cellStyles>
  <dxfs count="271">
    <dxf>
      <numFmt numFmtId="34" formatCode="_-&quot;$&quot;\ * #,##0.00_-;\-&quot;$&quot;\ * #,##0.00_-;_-&quot;$&quot;\ * &quot;-&quot;??_-;_-@_-"/>
    </dxf>
    <dxf>
      <numFmt numFmtId="2" formatCode="0.00"/>
    </dxf>
    <dxf>
      <alignment vertical="center"/>
    </dxf>
    <dxf>
      <alignment vertical="center"/>
    </dxf>
    <dxf>
      <alignment vertical="center"/>
    </dxf>
    <dxf>
      <alignment vertical="center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vertical="center"/>
    </dxf>
    <dxf>
      <alignment vertical="center"/>
    </dxf>
    <dxf>
      <alignment vertical="center"/>
    </dxf>
    <dxf>
      <alignment vertical="center"/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  <numFmt numFmtId="184" formatCode="_-&quot;$&quot;\ * #,##0_-;\-&quot;$&quot;\ * #,##0_-;_-&quot;$&quot;\ * &quot;-&quot;??_-;_-@_-"/>
      <alignment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6" formatCode="_-* #,##0\ _$_-;\-* #,##0\ _$_-;_-* &quot;-&quot;??\ _$_-;_-@_-"/>
      <alignment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</dxf>
    <dxf>
      <font>
        <b/>
        <strike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indexed="64"/>
          <bgColor rgb="FF002060"/>
        </patternFill>
      </fill>
      <alignment vertical="center" textRotation="0" wrapText="0" indent="0" justifyLastLine="0" shrinkToFit="0" readingOrder="0"/>
    </dxf>
    <dxf>
      <alignment wrapText="1"/>
    </dxf>
    <dxf>
      <alignment wrapText="1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top"/>
    </dxf>
    <dxf>
      <alignment vertical="top"/>
    </dxf>
    <dxf>
      <alignment vertical="top"/>
    </dxf>
    <dxf>
      <alignment wrapText="0"/>
    </dxf>
    <dxf>
      <alignment wrapText="0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22" formatCode="mmm\-yy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alignment vertical="center"/>
    </dxf>
    <dxf>
      <font>
        <sz val="12"/>
      </font>
    </dxf>
    <dxf>
      <alignment horizontal="centerContinuous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34" formatCode="_-&quot;$&quot;\ * #,##0.00_-;\-&quot;$&quot;\ * #,##0.00_-;_-&quot;$&quot;\ * &quot;-&quot;??_-;_-@_-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34" formatCode="_-&quot;$&quot;\ * #,##0.00_-;\-&quot;$&quot;\ * #,##0.00_-;_-&quot;$&quot;\ * &quot;-&quot;??_-;_-@_-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2" formatCode="0.00"/>
    </dxf>
    <dxf>
      <numFmt numFmtId="34" formatCode="_-&quot;$&quot;\ * #,##0.00_-;\-&quot;$&quot;\ * #,##0.00_-;_-&quot;$&quot;\ * &quot;-&quot;??_-;_-@_-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34" formatCode="_-&quot;$&quot;\ * #,##0.00_-;\-&quot;$&quot;\ * #,##0.00_-;_-&quot;$&quot;\ * &quot;-&quot;??_-;_-@_-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34" formatCode="_-&quot;$&quot;\ * #,##0.00_-;\-&quot;$&quot;\ * #,##0.00_-;_-&quot;$&quot;\ * &quot;-&quot;??_-;_-@_-"/>
    </dxf>
    <dxf>
      <border>
        <top style="thin">
          <color theme="4" tint="0.79998168889431442"/>
        </top>
        <bottom style="thin">
          <color theme="4" tint="0.79998168889431442"/>
        </bottom>
      </border>
    </dxf>
    <dxf>
      <border>
        <top style="thin">
          <color theme="4" tint="0.79998168889431442"/>
        </top>
        <bottom style="thin">
          <color theme="4" tint="0.79998168889431442"/>
        </bottom>
      </border>
    </dxf>
    <dxf>
      <fill>
        <patternFill patternType="solid">
          <fgColor theme="4" tint="0.79998168889431442"/>
          <bgColor theme="4" tint="0.79998168889431442"/>
        </patternFill>
      </fill>
      <border>
        <bottom style="thin">
          <color theme="4"/>
        </bottom>
      </border>
    </dxf>
    <dxf>
      <font>
        <color theme="0"/>
      </font>
      <fill>
        <patternFill patternType="solid">
          <fgColor theme="4" tint="0.39997558519241921"/>
          <bgColor theme="4" tint="0.39997558519241921"/>
        </patternFill>
      </fill>
      <border>
        <bottom style="thin">
          <color theme="4" tint="0.79998168889431442"/>
        </bottom>
        <horizontal style="thin">
          <color theme="4" tint="0.39997558519241921"/>
        </horizontal>
      </border>
    </dxf>
    <dxf>
      <border>
        <bottom style="thin">
          <color theme="4" tint="0.59999389629810485"/>
        </bottom>
      </border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0"/>
      </font>
      <fill>
        <patternFill patternType="solid">
          <fgColor theme="4" tint="0.39997558519241921"/>
          <bgColor theme="4" tint="0.39997558519241921"/>
        </patternFill>
      </fill>
    </dxf>
    <dxf>
      <font>
        <b/>
        <color theme="0"/>
      </font>
    </dxf>
    <dxf>
      <border>
        <top style="thin">
          <color theme="4" tint="-0.249977111117893"/>
        </top>
        <bottom style="thin">
          <color theme="4" tint="-0.249977111117893"/>
        </bottom>
        <horizontal style="thin">
          <color theme="4" tint="-0.249977111117893"/>
        </horizontal>
      </border>
    </dxf>
    <dxf>
      <fill>
        <patternFill>
          <bgColor theme="2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/>
        <color theme="1"/>
      </font>
      <border>
        <top style="double">
          <color theme="4" tint="-0.249977111117893"/>
        </top>
      </border>
    </dxf>
    <dxf>
      <font>
        <color theme="0"/>
      </font>
      <fill>
        <patternFill patternType="solid">
          <fgColor theme="4" tint="-0.249977111117893"/>
          <bgColor rgb="FF002060"/>
        </patternFill>
      </fill>
      <border>
        <horizontal style="thin">
          <color theme="4" tint="-0.249977111117893"/>
        </horizontal>
      </border>
    </dxf>
    <dxf>
      <font>
        <color theme="1"/>
      </font>
      <border>
        <horizontal style="thin">
          <color theme="4" tint="0.7999816888943144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  <border>
        <bottom style="thin">
          <color theme="0"/>
        </bottom>
      </border>
    </dxf>
    <dxf>
      <border>
        <top style="thin">
          <color theme="0" tint="-0.34998626667073579"/>
        </top>
      </border>
    </dxf>
    <dxf>
      <font>
        <b/>
        <color theme="1"/>
      </font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color rgb="FF292669"/>
      </font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border>
        <right style="thin">
          <color theme="1" tint="0.499984740745262"/>
        </right>
      </border>
    </dxf>
    <dxf>
      <font>
        <b/>
        <color theme="1"/>
      </font>
      <border>
        <left style="medium">
          <color theme="1" tint="0.499984740745262"/>
        </left>
        <right style="medium">
          <color theme="1" tint="0.499984740745262"/>
        </right>
        <top style="medium">
          <color theme="1" tint="0.499984740745262"/>
        </top>
        <bottom style="medium">
          <color theme="1" tint="0.499984740745262"/>
        </bottom>
      </border>
    </dxf>
    <dxf>
      <font>
        <b/>
        <i val="0"/>
        <color rgb="FF292669"/>
      </font>
      <fill>
        <patternFill>
          <bgColor theme="0" tint="-4.9989318521683403E-2"/>
        </patternFill>
      </fill>
      <border>
        <left style="medium">
          <color theme="1" tint="0.499984740745262"/>
        </left>
        <right style="medium">
          <color theme="1" tint="0.499984740745262"/>
        </right>
        <top style="medium">
          <color theme="1" tint="0.499984740745262"/>
        </top>
        <bottom style="medium">
          <color theme="1" tint="0.499984740745262"/>
        </bottom>
        <horizontal style="thin">
          <color theme="0"/>
        </horizontal>
      </border>
    </dxf>
    <dxf>
      <font>
        <color theme="1"/>
      </font>
      <border>
        <horizontal style="thin">
          <color theme="0" tint="-0.14999847407452621"/>
        </horizontal>
      </border>
    </dxf>
    <dxf>
      <font>
        <b val="0"/>
        <i val="0"/>
      </font>
      <fill>
        <patternFill patternType="none">
          <fgColor indexed="64"/>
          <bgColor auto="1"/>
        </patternFill>
      </fill>
    </dxf>
    <dxf>
      <font>
        <b val="0"/>
        <i val="0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u val="none"/>
        <color theme="1"/>
      </font>
      <fill>
        <patternFill patternType="none">
          <fgColor indexed="64"/>
          <bgColor auto="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/>
        <i val="0"/>
        <color rgb="FF002060"/>
      </font>
      <fill>
        <patternFill>
          <bgColor theme="0" tint="-4.9989318521683403E-2"/>
        </patternFill>
      </fill>
      <border diagonalUp="0" diagonalDown="0">
        <left style="hair">
          <color theme="0" tint="-0.14996795556505021"/>
        </left>
        <right style="hair">
          <color theme="0" tint="-0.14996795556505021"/>
        </right>
        <top style="hair">
          <color theme="0" tint="-0.14996795556505021"/>
        </top>
        <bottom style="hair">
          <color theme="0" tint="-0.14996795556505021"/>
        </bottom>
        <vertical style="hair">
          <color theme="0" tint="-0.14996795556505021"/>
        </vertical>
        <horizontal style="hair">
          <color theme="0" tint="-0.14996795556505021"/>
        </horizontal>
      </border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u val="none"/>
        <color rgb="FF002060"/>
      </font>
      <fill>
        <patternFill>
          <fgColor theme="0" tint="-4.9989318521683403E-2"/>
          <bgColor theme="0" tint="-4.9989318521683403E-2"/>
        </patternFill>
      </fill>
      <border diagonalUp="0" diagonalDown="0">
        <left/>
        <right/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u val="none"/>
        <color theme="1"/>
      </font>
      <border diagonalUp="0" diagonalDown="0">
        <left style="hair">
          <color theme="0" tint="-0.14996795556505021"/>
        </left>
        <right style="hair">
          <color theme="0" tint="-0.14996795556505021"/>
        </right>
        <top style="hair">
          <color theme="0" tint="-0.14996795556505021"/>
        </top>
        <bottom style="hair">
          <color theme="0" tint="-0.14996795556505021"/>
        </bottom>
        <vertical style="hair">
          <color theme="0" tint="-0.14996795556505021"/>
        </vertical>
        <horizontal style="hair">
          <color theme="0" tint="-0.14996795556505021"/>
        </horizontal>
      </border>
    </dxf>
    <dxf>
      <fill>
        <patternFill>
          <bgColor rgb="FF002060"/>
        </patternFill>
      </fill>
    </dxf>
    <dxf>
      <font>
        <b val="0"/>
        <i val="0"/>
        <sz val="12"/>
        <name val="Arial"/>
        <family val="2"/>
        <scheme val="none"/>
      </font>
      <fill>
        <patternFill>
          <bgColor theme="2"/>
        </patternFill>
      </fill>
      <border diagonalUp="0" diagonalDown="0">
        <left/>
        <right/>
        <top/>
        <bottom/>
        <vertical/>
        <horizontal/>
      </border>
    </dxf>
  </dxfs>
  <tableStyles count="5" defaultTableStyle="TableStyleMedium9" defaultPivotStyle="PivotStyleLight8 2">
    <tableStyle name="Estilo de segmentación de datos 1" pivot="0" table="0" count="2" xr9:uid="{372F07B9-3AAE-47BD-8025-E0CB90220EE1}">
      <tableStyleElement type="wholeTable" dxfId="270"/>
    </tableStyle>
    <tableStyle name="Estilo de segmentación de datos 2" pivot="0" table="0" count="1" xr9:uid="{1225AA2F-C711-4D90-B4DB-E546AAF3A35D}">
      <tableStyleElement type="wholeTable" dxfId="269"/>
    </tableStyle>
    <tableStyle name="Estilo TB Principal" table="0" count="7" xr9:uid="{20CF7955-36DB-4982-B185-A364330299E8}">
      <tableStyleElement type="wholeTable" dxfId="268"/>
      <tableStyleElement type="headerRow" dxfId="267"/>
      <tableStyleElement type="totalRow" dxfId="266"/>
      <tableStyleElement type="firstColumn" dxfId="265"/>
      <tableStyleElement type="firstColumnStripe" dxfId="264"/>
      <tableStyleElement type="secondColumnStripe" dxfId="263"/>
      <tableStyleElement type="secondSubtotalColumn" dxfId="262"/>
    </tableStyle>
    <tableStyle name="PivotStyleLight8 2" table="0" count="12" xr9:uid="{5F8EDF78-CD37-4806-BA76-5756B8EE770E}">
      <tableStyleElement type="wholeTable" dxfId="261"/>
      <tableStyleElement type="headerRow" dxfId="260"/>
      <tableStyleElement type="totalRow" dxfId="259"/>
      <tableStyleElement type="firstColumn" dxfId="258"/>
      <tableStyleElement type="firstRowStripe" dxfId="257"/>
      <tableStyleElement type="firstColumnStripe" size="3" dxfId="256"/>
      <tableStyleElement type="firstHeaderCell" dxfId="255"/>
      <tableStyleElement type="firstSubtotalRow" dxfId="254"/>
      <tableStyleElement type="secondSubtotalRow" dxfId="253"/>
      <tableStyleElement type="secondColumnSubheading" dxfId="252"/>
      <tableStyleElement type="firstRowSubheading" dxfId="251"/>
      <tableStyleElement type="secondRowSubheading" dxfId="250"/>
    </tableStyle>
    <tableStyle name="PivotStyleMedium2 2" table="0" count="13" xr9:uid="{22C172D0-9A74-4BDE-8B3C-C14A1A92DA52}">
      <tableStyleElement type="wholeTable" dxfId="249"/>
      <tableStyleElement type="headerRow" dxfId="248"/>
      <tableStyleElement type="totalRow" dxfId="247"/>
      <tableStyleElement type="firstColumn" dxfId="246"/>
      <tableStyleElement type="firstRowStripe" dxfId="245"/>
      <tableStyleElement type="firstHeaderCell" dxfId="244"/>
      <tableStyleElement type="firstSubtotalRow" dxfId="243"/>
      <tableStyleElement type="secondSubtotalRow" dxfId="242"/>
      <tableStyleElement type="firstColumnSubheading" dxfId="241"/>
      <tableStyleElement type="firstRowSubheading" dxfId="240"/>
      <tableStyleElement type="secondRowSubheading" dxfId="239"/>
      <tableStyleElement type="pageFieldLabels" dxfId="238"/>
      <tableStyleElement type="pageFieldValues" dxfId="237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EAEAEA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E7E7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292669"/>
      <color rgb="FF002465"/>
      <color rgb="FF000066"/>
      <color rgb="FFCCCCFF"/>
      <color rgb="FFF6FA58"/>
      <color rgb="FFFFFFCC"/>
      <color rgb="FFBBBDC0"/>
    </mruColors>
  </colors>
  <extLst>
    <ext xmlns:x14="http://schemas.microsoft.com/office/spreadsheetml/2009/9/main" uri="{46F421CA-312F-682f-3DD2-61675219B42D}">
      <x14:dxfs count="1">
        <dxf>
          <font>
            <b val="0"/>
            <i val="0"/>
            <sz val="14"/>
            <color theme="0"/>
            <name val="Arial"/>
            <family val="2"/>
            <scheme val="none"/>
          </font>
          <fill>
            <patternFill>
              <bgColor rgb="FF002060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ción de datos 1">
          <x14:slicerStyleElements>
            <x14:slicerStyleElement type="selectedItemWithData" dxfId="0"/>
          </x14:slicerStyleElements>
        </x14:slicerStyle>
        <x14:slicerStyle name="Estilo de segmentación de datos 2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4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2.xml"/><Relationship Id="rId42" Type="http://schemas.openxmlformats.org/officeDocument/2006/relationships/pivotCacheDefinition" Target="pivotCache/pivotCacheDefinition7.xml"/><Relationship Id="rId47" Type="http://schemas.microsoft.com/office/2007/relationships/slicerCache" Target="slicerCaches/slicerCache1.xml"/><Relationship Id="rId50" Type="http://schemas.microsoft.com/office/2007/relationships/slicerCache" Target="slicerCaches/slicerCache4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2.xml"/><Relationship Id="rId40" Type="http://schemas.openxmlformats.org/officeDocument/2006/relationships/pivotCacheDefinition" Target="pivotCache/pivotCacheDefinition5.xml"/><Relationship Id="rId45" Type="http://schemas.openxmlformats.org/officeDocument/2006/relationships/pivotCacheDefinition" Target="pivotCache/pivotCacheDefinition10.xml"/><Relationship Id="rId53" Type="http://schemas.openxmlformats.org/officeDocument/2006/relationships/theme" Target="theme/theme1.xml"/><Relationship Id="rId58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3.xml"/><Relationship Id="rId43" Type="http://schemas.openxmlformats.org/officeDocument/2006/relationships/pivotCacheDefinition" Target="pivotCache/pivotCacheDefinition8.xml"/><Relationship Id="rId48" Type="http://schemas.microsoft.com/office/2007/relationships/slicerCache" Target="slicerCaches/slicerCache2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microsoft.com/office/2007/relationships/slicerCache" Target="slicerCaches/slicerCache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openxmlformats.org/officeDocument/2006/relationships/pivotCacheDefinition" Target="pivotCache/pivotCacheDefinition3.xml"/><Relationship Id="rId46" Type="http://schemas.openxmlformats.org/officeDocument/2006/relationships/pivotCacheDefinition" Target="pivotCache/pivotCacheDefinition11.xml"/><Relationship Id="rId59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6.xml"/><Relationship Id="rId54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pivotCacheDefinition" Target="pivotCache/pivotCacheDefinition1.xml"/><Relationship Id="rId49" Type="http://schemas.microsoft.com/office/2007/relationships/slicerCache" Target="slicerCaches/slicerCache3.xml"/><Relationship Id="rId57" Type="http://schemas.openxmlformats.org/officeDocument/2006/relationships/sheetMetadata" Target="metadata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9.xml"/><Relationship Id="rId52" Type="http://schemas.microsoft.com/office/2007/relationships/slicerCache" Target="slicerCaches/slicerCache6.xml"/><Relationship Id="rId60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6085152124366538E-2"/>
          <c:y val="2.9437931827093384E-2"/>
          <c:w val="0.86238810283764344"/>
          <c:h val="0.9705620681729065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'Datos globales '!$E$3</c:f>
              <c:strCache>
                <c:ptCount val="1"/>
                <c:pt idx="0">
                  <c:v>Total  Proyecto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>
              <a:outerShdw blurRad="50800" dist="50800" dir="5400000" algn="ctr" rotWithShape="0">
                <a:schemeClr val="bg1">
                  <a:lumMod val="95000"/>
                </a:scheme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292669"/>
              </a:solidFill>
              <a:ln>
                <a:noFill/>
              </a:ln>
              <a:effectLst>
                <a:outerShdw blurRad="50800" dist="50800" dir="5400000" algn="ctr" rotWithShape="0">
                  <a:schemeClr val="bg1">
                    <a:lumMod val="9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FDB-4FB6-BC92-C4B913E7836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'Datos globales '!$G$2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'Datos globales '!$G$3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FDB-4FB6-BC92-C4B913E78364}"/>
            </c:ext>
          </c:extLst>
        </c:ser>
        <c:ser>
          <c:idx val="1"/>
          <c:order val="1"/>
          <c:tx>
            <c:strRef>
              <c:f>'Datos globales '!$E$4</c:f>
              <c:strCache>
                <c:ptCount val="1"/>
                <c:pt idx="0">
                  <c:v>Ventas a fecha de corte</c:v>
                </c:pt>
              </c:strCache>
            </c:strRef>
          </c:tx>
          <c:spPr>
            <a:solidFill>
              <a:srgbClr val="BBBDC0"/>
            </a:solidFill>
            <a:ln>
              <a:noFill/>
            </a:ln>
            <a:effectLst>
              <a:outerShdw blurRad="50800" dist="50800" dir="5400000" algn="ctr" rotWithShape="0">
                <a:schemeClr val="bg1">
                  <a:lumMod val="95000"/>
                  <a:alpha val="97000"/>
                </a:scheme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F6FA58"/>
              </a:solidFill>
              <a:ln>
                <a:noFill/>
              </a:ln>
              <a:effectLst>
                <a:outerShdw blurRad="50800" dist="50800" dir="5400000" algn="ctr" rotWithShape="0">
                  <a:schemeClr val="bg1">
                    <a:lumMod val="95000"/>
                    <a:alpha val="97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FFDB-4FB6-BC92-C4B913E78364}"/>
              </c:ext>
            </c:extLst>
          </c:dPt>
          <c:dPt>
            <c:idx val="1"/>
            <c:invertIfNegative val="0"/>
            <c:bubble3D val="0"/>
            <c:spPr>
              <a:solidFill>
                <a:srgbClr val="F6FA58"/>
              </a:solidFill>
              <a:ln>
                <a:noFill/>
              </a:ln>
              <a:effectLst>
                <a:outerShdw blurRad="50800" dist="50800" dir="5400000" algn="ctr" rotWithShape="0">
                  <a:schemeClr val="bg1">
                    <a:lumMod val="95000"/>
                    <a:alpha val="97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FFDB-4FB6-BC92-C4B913E78364}"/>
              </c:ext>
            </c:extLst>
          </c:dPt>
          <c:dLbls>
            <c:dLbl>
              <c:idx val="0"/>
              <c:layout>
                <c:manualLayout>
                  <c:x val="-8.070074140504549E-3"/>
                  <c:y val="-5.676358999778657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FDB-4FB6-BC92-C4B913E783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'Datos globales '!$G$2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'Datos globales '!$G$4</c:f>
              <c:numCache>
                <c:formatCode>0%</c:formatCode>
                <c:ptCount val="1"/>
                <c:pt idx="0">
                  <c:v>0.92753623188405798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FDB-4FB6-BC92-C4B913E7836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85321984"/>
        <c:axId val="86094208"/>
      </c:barChart>
      <c:catAx>
        <c:axId val="8532198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86094208"/>
        <c:crosses val="autoZero"/>
        <c:auto val="1"/>
        <c:lblAlgn val="ctr"/>
        <c:lblOffset val="100"/>
        <c:noMultiLvlLbl val="0"/>
      </c:catAx>
      <c:valAx>
        <c:axId val="86094208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extTo"/>
        <c:crossAx val="85321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b="1"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3.6160306318800559E-2"/>
          <c:w val="1"/>
          <c:h val="0.75129981654812028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292669"/>
              </a:solidFill>
              <a:ln>
                <a:solidFill>
                  <a:srgbClr val="292669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>
                <a:contourClr>
                  <a:srgbClr val="292669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7F0-4415-92C2-A9F169E5F09C}"/>
              </c:ext>
            </c:extLst>
          </c:dPt>
          <c:dPt>
            <c:idx val="1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C7F0-4415-92C2-A9F169E5F09C}"/>
              </c:ext>
            </c:extLst>
          </c:dPt>
          <c:dPt>
            <c:idx val="2"/>
            <c:bubble3D val="0"/>
            <c:spPr>
              <a:solidFill>
                <a:srgbClr val="F6FA58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C7F0-4415-92C2-A9F169E5F09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C7F0-4415-92C2-A9F169E5F09C}"/>
              </c:ext>
            </c:extLst>
          </c:dPt>
          <c:dLbls>
            <c:dLbl>
              <c:idx val="2"/>
              <c:layout>
                <c:manualLayout>
                  <c:x val="6.0068682171417608E-2"/>
                  <c:y val="0.14051526473734977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7F0-4415-92C2-A9F169E5F09C}"/>
                </c:ext>
              </c:extLst>
            </c:dLbl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'Datos globales '!$G$17:$I$17</c:f>
              <c:strCache>
                <c:ptCount val="3"/>
                <c:pt idx="0">
                  <c:v>Saldo Credito</c:v>
                </c:pt>
                <c:pt idx="1">
                  <c:v>C. Corriente</c:v>
                </c:pt>
                <c:pt idx="2">
                  <c:v>C. Vencida</c:v>
                </c:pt>
              </c:strCache>
            </c:strRef>
          </c:cat>
          <c:val>
            <c:numRef>
              <c:f>'Datos globales '!$G$20:$I$20</c:f>
              <c:numCache>
                <c:formatCode>#,##0</c:formatCode>
                <c:ptCount val="3"/>
                <c:pt idx="0">
                  <c:v>95250878.599000007</c:v>
                </c:pt>
                <c:pt idx="1">
                  <c:v>18288218.914000001</c:v>
                </c:pt>
                <c:pt idx="2">
                  <c:v>1753436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F0-4415-92C2-A9F169E5F09C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C7F0-4415-92C2-A9F169E5F09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C7F0-4415-92C2-A9F169E5F09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C7F0-4415-92C2-A9F169E5F09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C7F0-4415-92C2-A9F169E5F09C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'Datos globales '!$G$17:$I$17</c:f>
              <c:strCache>
                <c:ptCount val="3"/>
                <c:pt idx="0">
                  <c:v>Saldo Credito</c:v>
                </c:pt>
                <c:pt idx="1">
                  <c:v>C. Corriente</c:v>
                </c:pt>
                <c:pt idx="2">
                  <c:v>C. Vencida</c:v>
                </c:pt>
              </c:strCache>
            </c:strRef>
          </c:cat>
          <c:val>
            <c:numRef>
              <c:f>'Datos globales '!$F$19:$I$19</c:f>
              <c:numCache>
                <c:formatCode>#,##0</c:formatCode>
                <c:ptCount val="4"/>
                <c:pt idx="0">
                  <c:v>1571863</c:v>
                </c:pt>
                <c:pt idx="1">
                  <c:v>0</c:v>
                </c:pt>
                <c:pt idx="2">
                  <c:v>942137.49399999995</c:v>
                </c:pt>
                <c:pt idx="3">
                  <c:v>629726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7F0-4415-92C2-A9F169E5F09C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1.0542529896779217E-2"/>
          <c:y val="0.78023566885814133"/>
          <c:w val="0.96705957628123007"/>
          <c:h val="0.1950851281090997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0" b="1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Proyección Pagos Inicial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9"/>
              <c:pt idx="0">
                <c:v>36892</c:v>
              </c:pt>
              <c:pt idx="1">
                <c:v>37258</c:v>
              </c:pt>
              <c:pt idx="2">
                <c:v>37624</c:v>
              </c:pt>
              <c:pt idx="3">
                <c:v>37990</c:v>
              </c:pt>
              <c:pt idx="4">
                <c:v>38356</c:v>
              </c:pt>
              <c:pt idx="5">
                <c:v>38722</c:v>
              </c:pt>
              <c:pt idx="6">
                <c:v>39088</c:v>
              </c:pt>
              <c:pt idx="7">
                <c:v>39454</c:v>
              </c:pt>
              <c:pt idx="8">
                <c:v>39820</c:v>
              </c:pt>
            </c:numLit>
          </c:cat>
          <c:val>
            <c:numLit>
              <c:formatCode>General</c:formatCode>
              <c:ptCount val="9"/>
              <c:pt idx="0">
                <c:v>0</c:v>
              </c:pt>
              <c:pt idx="1">
                <c:v>4.6929926611486895E-13</c:v>
              </c:pt>
              <c:pt idx="2">
                <c:v>7655.4554186815603</c:v>
              </c:pt>
              <c:pt idx="3">
                <c:v>287178.85380675702</c:v>
              </c:pt>
              <c:pt idx="4">
                <c:v>206477.55878248301</c:v>
              </c:pt>
              <c:pt idx="5">
                <c:v>84892.9208420301</c:v>
              </c:pt>
              <c:pt idx="6">
                <c:v>936.34511964425201</c:v>
              </c:pt>
              <c:pt idx="7">
                <c:v>0</c:v>
              </c:pt>
              <c:pt idx="8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DF40-4894-8C22-8124D01E8C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2001280"/>
        <c:axId val="162003200"/>
      </c:lineChart>
      <c:catAx>
        <c:axId val="162001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333399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62003200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162003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333399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6200128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E7E7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000000000001465" r="0.7500000000000146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0" b="1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Proyección Pagos Inicial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9"/>
              <c:pt idx="0">
                <c:v>36892</c:v>
              </c:pt>
              <c:pt idx="1">
                <c:v>37258</c:v>
              </c:pt>
              <c:pt idx="2">
                <c:v>37624</c:v>
              </c:pt>
              <c:pt idx="3">
                <c:v>37990</c:v>
              </c:pt>
              <c:pt idx="4">
                <c:v>38356</c:v>
              </c:pt>
              <c:pt idx="5">
                <c:v>38722</c:v>
              </c:pt>
              <c:pt idx="6">
                <c:v>39088</c:v>
              </c:pt>
              <c:pt idx="7">
                <c:v>39454</c:v>
              </c:pt>
              <c:pt idx="8">
                <c:v>39820</c:v>
              </c:pt>
            </c:numLit>
          </c:cat>
          <c: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3576.1190450587001</c:v>
              </c:pt>
              <c:pt idx="3">
                <c:v>212075.59513416301</c:v>
              </c:pt>
              <c:pt idx="4">
                <c:v>225480.233622281</c:v>
              </c:pt>
              <c:pt idx="5">
                <c:v>204775.817975571</c:v>
              </c:pt>
              <c:pt idx="6">
                <c:v>54605.014535183</c:v>
              </c:pt>
              <c:pt idx="7">
                <c:v>0</c:v>
              </c:pt>
              <c:pt idx="8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9175-48CA-8CA7-D4F9DCC6AE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205696"/>
        <c:axId val="164207232"/>
      </c:lineChart>
      <c:catAx>
        <c:axId val="164205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333399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64207232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1642072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333399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64205696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E7E7FF"/>
    </a:solidFill>
    <a:ln w="3175">
      <a:solidFill>
        <a:srgbClr val="000000"/>
      </a:solidFill>
      <a:prstDash val="solid"/>
    </a:ln>
  </c:spPr>
  <c:txPr>
    <a:bodyPr/>
    <a:lstStyle/>
    <a:p>
      <a:pPr>
        <a:defRPr sz="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000000000001465" r="0.7500000000000146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0" b="1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Proyección Pagos Inicial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9"/>
              <c:pt idx="0">
                <c:v>36892</c:v>
              </c:pt>
              <c:pt idx="1">
                <c:v>37258</c:v>
              </c:pt>
              <c:pt idx="2">
                <c:v>37624</c:v>
              </c:pt>
              <c:pt idx="3">
                <c:v>37990</c:v>
              </c:pt>
              <c:pt idx="4">
                <c:v>38356</c:v>
              </c:pt>
              <c:pt idx="5">
                <c:v>38722</c:v>
              </c:pt>
              <c:pt idx="6">
                <c:v>39088</c:v>
              </c:pt>
              <c:pt idx="7">
                <c:v>39454</c:v>
              </c:pt>
              <c:pt idx="8">
                <c:v>39820</c:v>
              </c:pt>
            </c:numLit>
          </c:cat>
          <c: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3576.1190450587001</c:v>
              </c:pt>
              <c:pt idx="3">
                <c:v>212075.59513416301</c:v>
              </c:pt>
              <c:pt idx="4">
                <c:v>225480.233622281</c:v>
              </c:pt>
              <c:pt idx="5">
                <c:v>204775.817975571</c:v>
              </c:pt>
              <c:pt idx="6">
                <c:v>54605.014535183</c:v>
              </c:pt>
              <c:pt idx="7">
                <c:v>0</c:v>
              </c:pt>
              <c:pt idx="8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48C-47DA-8520-22211CBF25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618624"/>
        <c:axId val="124620160"/>
      </c:lineChart>
      <c:catAx>
        <c:axId val="124618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333399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24620160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1246201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333399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2461862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E7E7FF"/>
    </a:solidFill>
    <a:ln w="3175">
      <a:solidFill>
        <a:srgbClr val="000000"/>
      </a:solidFill>
      <a:prstDash val="solid"/>
    </a:ln>
  </c:spPr>
  <c:txPr>
    <a:bodyPr/>
    <a:lstStyle/>
    <a:p>
      <a:pPr>
        <a:defRPr sz="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000000000001465" r="0.7500000000000146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25" b="1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Proyección Pagos Torre 3 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>
              <a:solidFill>
                <a:srgbClr val="99CC0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4"/>
              <c:pt idx="0">
                <c:v>37990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6B15-4F8C-98B0-31731A13B39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4"/>
              <c:pt idx="0">
                <c:v>37990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</c:num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6B15-4F8C-98B0-31731A13B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650240"/>
        <c:axId val="124651776"/>
      </c:lineChart>
      <c:catAx>
        <c:axId val="12465024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ln w="3175">
            <a:solidFill>
              <a:srgbClr val="333399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24651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24651776"/>
        <c:scaling>
          <c:orientation val="minMax"/>
        </c:scaling>
        <c:delete val="0"/>
        <c:axPos val="l"/>
        <c:majorGridlines>
          <c:spPr>
            <a:ln w="3175">
              <a:solidFill>
                <a:srgbClr val="333399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333399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2465024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gradFill rotWithShape="0">
      <a:gsLst>
        <a:gs pos="0">
          <a:srgbClr val="FFCC00">
            <a:gamma/>
            <a:tint val="40000"/>
            <a:invGamma/>
          </a:srgbClr>
        </a:gs>
        <a:gs pos="100000">
          <a:srgbClr val="FFCC00"/>
        </a:gs>
      </a:gsLst>
      <a:lin ang="54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000000000001465" r="0.7500000000000146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25" b="1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Proyección Pagos  Torre 4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>
              <a:solidFill>
                <a:srgbClr val="99CC0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4"/>
              <c:pt idx="0">
                <c:v>37990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882-4DBD-AB7B-F461F6768577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4"/>
              <c:pt idx="0">
                <c:v>37990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</c:num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C882-4DBD-AB7B-F461F67685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661120"/>
        <c:axId val="124679296"/>
      </c:lineChart>
      <c:catAx>
        <c:axId val="12466112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ln w="3175">
            <a:solidFill>
              <a:srgbClr val="333399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24679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24679296"/>
        <c:scaling>
          <c:orientation val="minMax"/>
        </c:scaling>
        <c:delete val="0"/>
        <c:axPos val="l"/>
        <c:majorGridlines>
          <c:spPr>
            <a:ln w="3175">
              <a:solidFill>
                <a:srgbClr val="333399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333399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2466112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gradFill rotWithShape="0">
      <a:gsLst>
        <a:gs pos="0">
          <a:srgbClr val="FFCC00">
            <a:gamma/>
            <a:tint val="33725"/>
            <a:invGamma/>
          </a:srgbClr>
        </a:gs>
        <a:gs pos="100000">
          <a:srgbClr val="FFCC00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000000000001465" r="0.7500000000000146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CO"/>
              <a:t>Ventas</a:t>
            </a:r>
          </a:p>
        </c:rich>
      </c:tx>
      <c:layout>
        <c:manualLayout>
          <c:xMode val="edge"/>
          <c:yMode val="edge"/>
          <c:x val="0.47656583009821757"/>
          <c:y val="3.887577061918719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369806445195625"/>
          <c:y val="3.6087567545261344E-2"/>
          <c:w val="0.82528346156168109"/>
          <c:h val="0.57154756904774218"/>
        </c:manualLayout>
      </c:layout>
      <c:lineChart>
        <c:grouping val="standard"/>
        <c:varyColors val="0"/>
        <c:ser>
          <c:idx val="0"/>
          <c:order val="0"/>
          <c:tx>
            <c:strRef>
              <c:f>'Ventas mes a mes'!$F$10</c:f>
              <c:strCache>
                <c:ptCount val="1"/>
                <c:pt idx="0">
                  <c:v>Und. Netas Inm. Ppales</c:v>
                </c:pt>
              </c:strCache>
            </c:strRef>
          </c:tx>
          <c:marker>
            <c:symbol val="none"/>
          </c:marker>
          <c:cat>
            <c:numRef>
              <c:f>'Ventas mes a mes'!$A$12:$A$62</c:f>
              <c:numCache>
                <c:formatCode>mmm\-yy</c:formatCode>
                <c:ptCount val="51"/>
                <c:pt idx="0">
                  <c:v>44348</c:v>
                </c:pt>
                <c:pt idx="1">
                  <c:v>44378</c:v>
                </c:pt>
                <c:pt idx="2">
                  <c:v>44409</c:v>
                </c:pt>
                <c:pt idx="3">
                  <c:v>44440</c:v>
                </c:pt>
                <c:pt idx="4">
                  <c:v>44470</c:v>
                </c:pt>
                <c:pt idx="5">
                  <c:v>44501</c:v>
                </c:pt>
                <c:pt idx="6">
                  <c:v>44531</c:v>
                </c:pt>
                <c:pt idx="7">
                  <c:v>44562</c:v>
                </c:pt>
                <c:pt idx="8">
                  <c:v>44593</c:v>
                </c:pt>
                <c:pt idx="9">
                  <c:v>44621</c:v>
                </c:pt>
                <c:pt idx="10">
                  <c:v>44652</c:v>
                </c:pt>
                <c:pt idx="11">
                  <c:v>44682</c:v>
                </c:pt>
                <c:pt idx="12">
                  <c:v>44713</c:v>
                </c:pt>
                <c:pt idx="13">
                  <c:v>44743</c:v>
                </c:pt>
                <c:pt idx="14">
                  <c:v>44774</c:v>
                </c:pt>
                <c:pt idx="15">
                  <c:v>44805</c:v>
                </c:pt>
                <c:pt idx="16">
                  <c:v>44835</c:v>
                </c:pt>
                <c:pt idx="17">
                  <c:v>44866</c:v>
                </c:pt>
                <c:pt idx="18">
                  <c:v>44896</c:v>
                </c:pt>
                <c:pt idx="19">
                  <c:v>44927</c:v>
                </c:pt>
                <c:pt idx="20">
                  <c:v>44958</c:v>
                </c:pt>
                <c:pt idx="21">
                  <c:v>44986</c:v>
                </c:pt>
                <c:pt idx="22">
                  <c:v>45017</c:v>
                </c:pt>
                <c:pt idx="23">
                  <c:v>45047</c:v>
                </c:pt>
                <c:pt idx="24">
                  <c:v>45078</c:v>
                </c:pt>
                <c:pt idx="25">
                  <c:v>45108</c:v>
                </c:pt>
                <c:pt idx="26">
                  <c:v>45139</c:v>
                </c:pt>
                <c:pt idx="27">
                  <c:v>45170</c:v>
                </c:pt>
                <c:pt idx="28">
                  <c:v>45200</c:v>
                </c:pt>
                <c:pt idx="29">
                  <c:v>45231</c:v>
                </c:pt>
                <c:pt idx="30">
                  <c:v>45261</c:v>
                </c:pt>
                <c:pt idx="31">
                  <c:v>45292</c:v>
                </c:pt>
                <c:pt idx="32">
                  <c:v>45323</c:v>
                </c:pt>
                <c:pt idx="33">
                  <c:v>45352</c:v>
                </c:pt>
                <c:pt idx="34">
                  <c:v>45383</c:v>
                </c:pt>
                <c:pt idx="35">
                  <c:v>45413</c:v>
                </c:pt>
                <c:pt idx="36">
                  <c:v>45444</c:v>
                </c:pt>
                <c:pt idx="37">
                  <c:v>45474</c:v>
                </c:pt>
                <c:pt idx="38">
                  <c:v>45505</c:v>
                </c:pt>
                <c:pt idx="39">
                  <c:v>45536</c:v>
                </c:pt>
                <c:pt idx="40">
                  <c:v>45566</c:v>
                </c:pt>
                <c:pt idx="41">
                  <c:v>45597</c:v>
                </c:pt>
                <c:pt idx="42">
                  <c:v>45627</c:v>
                </c:pt>
                <c:pt idx="43">
                  <c:v>45658</c:v>
                </c:pt>
                <c:pt idx="44">
                  <c:v>45689</c:v>
                </c:pt>
                <c:pt idx="45">
                  <c:v>45717</c:v>
                </c:pt>
                <c:pt idx="46">
                  <c:v>45748</c:v>
                </c:pt>
                <c:pt idx="47">
                  <c:v>45778</c:v>
                </c:pt>
                <c:pt idx="48">
                  <c:v>45809</c:v>
                </c:pt>
                <c:pt idx="49">
                  <c:v>45839</c:v>
                </c:pt>
                <c:pt idx="50">
                  <c:v>45870</c:v>
                </c:pt>
              </c:numCache>
            </c:numRef>
          </c:cat>
          <c:val>
            <c:numRef>
              <c:f>'Ventas mes a mes'!$F$12:$F$62</c:f>
              <c:numCache>
                <c:formatCode>#,##0_ ;[Red]\-#,##0\ </c:formatCode>
                <c:ptCount val="51"/>
                <c:pt idx="0">
                  <c:v>117</c:v>
                </c:pt>
                <c:pt idx="1">
                  <c:v>31</c:v>
                </c:pt>
                <c:pt idx="2">
                  <c:v>2</c:v>
                </c:pt>
                <c:pt idx="3">
                  <c:v>14</c:v>
                </c:pt>
                <c:pt idx="4">
                  <c:v>12</c:v>
                </c:pt>
                <c:pt idx="5">
                  <c:v>26</c:v>
                </c:pt>
                <c:pt idx="6">
                  <c:v>3</c:v>
                </c:pt>
                <c:pt idx="7">
                  <c:v>11</c:v>
                </c:pt>
                <c:pt idx="8">
                  <c:v>23</c:v>
                </c:pt>
                <c:pt idx="9">
                  <c:v>19</c:v>
                </c:pt>
                <c:pt idx="10">
                  <c:v>22</c:v>
                </c:pt>
                <c:pt idx="11">
                  <c:v>13</c:v>
                </c:pt>
                <c:pt idx="12">
                  <c:v>3</c:v>
                </c:pt>
                <c:pt idx="13">
                  <c:v>7</c:v>
                </c:pt>
                <c:pt idx="14">
                  <c:v>8</c:v>
                </c:pt>
                <c:pt idx="15">
                  <c:v>3</c:v>
                </c:pt>
                <c:pt idx="16">
                  <c:v>21</c:v>
                </c:pt>
                <c:pt idx="17">
                  <c:v>5</c:v>
                </c:pt>
                <c:pt idx="18">
                  <c:v>4</c:v>
                </c:pt>
                <c:pt idx="19">
                  <c:v>6</c:v>
                </c:pt>
                <c:pt idx="20">
                  <c:v>6</c:v>
                </c:pt>
                <c:pt idx="21">
                  <c:v>10</c:v>
                </c:pt>
                <c:pt idx="22">
                  <c:v>6</c:v>
                </c:pt>
                <c:pt idx="23">
                  <c:v>8</c:v>
                </c:pt>
                <c:pt idx="24">
                  <c:v>-2</c:v>
                </c:pt>
                <c:pt idx="25">
                  <c:v>4</c:v>
                </c:pt>
                <c:pt idx="26">
                  <c:v>9</c:v>
                </c:pt>
                <c:pt idx="27">
                  <c:v>2</c:v>
                </c:pt>
                <c:pt idx="28">
                  <c:v>1</c:v>
                </c:pt>
                <c:pt idx="29">
                  <c:v>0</c:v>
                </c:pt>
                <c:pt idx="30">
                  <c:v>3</c:v>
                </c:pt>
                <c:pt idx="31">
                  <c:v>8</c:v>
                </c:pt>
                <c:pt idx="32">
                  <c:v>8</c:v>
                </c:pt>
                <c:pt idx="33">
                  <c:v>2</c:v>
                </c:pt>
                <c:pt idx="34">
                  <c:v>0</c:v>
                </c:pt>
                <c:pt idx="35">
                  <c:v>5</c:v>
                </c:pt>
                <c:pt idx="36">
                  <c:v>-1</c:v>
                </c:pt>
                <c:pt idx="37">
                  <c:v>9</c:v>
                </c:pt>
                <c:pt idx="38">
                  <c:v>1</c:v>
                </c:pt>
                <c:pt idx="39">
                  <c:v>5</c:v>
                </c:pt>
                <c:pt idx="40">
                  <c:v>19</c:v>
                </c:pt>
                <c:pt idx="41">
                  <c:v>30</c:v>
                </c:pt>
                <c:pt idx="42">
                  <c:v>10</c:v>
                </c:pt>
                <c:pt idx="43">
                  <c:v>10</c:v>
                </c:pt>
                <c:pt idx="44">
                  <c:v>12</c:v>
                </c:pt>
                <c:pt idx="45">
                  <c:v>17</c:v>
                </c:pt>
                <c:pt idx="46">
                  <c:v>10</c:v>
                </c:pt>
                <c:pt idx="47">
                  <c:v>13</c:v>
                </c:pt>
                <c:pt idx="48">
                  <c:v>6</c:v>
                </c:pt>
                <c:pt idx="49">
                  <c:v>9</c:v>
                </c:pt>
                <c:pt idx="50">
                  <c:v>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790-4A85-8067-E14E56579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1261056"/>
        <c:axId val="141281152"/>
      </c:lineChart>
      <c:dateAx>
        <c:axId val="141261056"/>
        <c:scaling>
          <c:orientation val="minMax"/>
        </c:scaling>
        <c:delete val="0"/>
        <c:axPos val="b"/>
        <c:numFmt formatCode="[$-C0A]mmm\-yy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141281152"/>
        <c:crosses val="autoZero"/>
        <c:auto val="1"/>
        <c:lblOffset val="100"/>
        <c:baseTimeUnit val="months"/>
      </c:dateAx>
      <c:valAx>
        <c:axId val="141281152"/>
        <c:scaling>
          <c:orientation val="minMax"/>
        </c:scaling>
        <c:delete val="0"/>
        <c:axPos val="l"/>
        <c:numFmt formatCode="#,##0_ ;[Red]\-#,##0\ 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141261056"/>
        <c:crosses val="autoZero"/>
        <c:crossBetween val="between"/>
      </c:valAx>
      <c:spPr>
        <a:solidFill>
          <a:schemeClr val="accent6">
            <a:lumMod val="40000"/>
            <a:lumOff val="60000"/>
          </a:schemeClr>
        </a:solidFill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O"/>
    </a:p>
  </c:txPr>
  <c:printSettings>
    <c:headerFooter/>
    <c:pageMargins b="0.75000000000000555" l="0.70000000000000062" r="0.70000000000000062" t="0.75000000000000555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Ventas mes a mes'!A1"/><Relationship Id="rId3" Type="http://schemas.openxmlformats.org/officeDocument/2006/relationships/chart" Target="../charts/chart2.xml"/><Relationship Id="rId7" Type="http://schemas.openxmlformats.org/officeDocument/2006/relationships/hyperlink" Target="#Inventario!A1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hyperlink" Target="#'Detalle inmueble'!A1"/><Relationship Id="rId5" Type="http://schemas.openxmlformats.org/officeDocument/2006/relationships/hyperlink" Target="#'Proyeccion Recaudos'!A1"/><Relationship Id="rId10" Type="http://schemas.openxmlformats.org/officeDocument/2006/relationships/image" Target="../media/image2.png"/><Relationship Id="rId4" Type="http://schemas.openxmlformats.org/officeDocument/2006/relationships/hyperlink" Target="#'Resumen Consolidado'!A1"/><Relationship Id="rId9" Type="http://schemas.openxmlformats.org/officeDocument/2006/relationships/hyperlink" Target="#'Detalle clientes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'Datos globales '!&#193;rea_de_impresi&#243;n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'Datos globales '!&#193;rea_de_impresi&#243;n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'Datos globales '!&#193;rea_de_impresi&#243;n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'Datos globales '!&#193;rea_de_impresi&#243;n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7" Type="http://schemas.openxmlformats.org/officeDocument/2006/relationships/image" Target="../media/image2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hyperlink" Target="#'Datos globales '!&#193;rea_de_impresi&#243;n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'Datos globales '!&#193;rea_de_impresi&#243;n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'Datos globales '!&#193;rea_de_impresi&#243;n"/><Relationship Id="rId1" Type="http://schemas.openxmlformats.org/officeDocument/2006/relationships/image" Target="../media/image3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'Datos globales '!&#193;rea_de_impresi&#243;n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'Datos globales '!&#193;rea_de_impresi&#243;n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'Datos globales '!&#193;rea_de_impresi&#243;n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'Datos globales '!&#193;rea_de_impresi&#243;n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'Datos globales '!&#193;rea_de_impresi&#243;n"/><Relationship Id="rId1" Type="http://schemas.openxmlformats.org/officeDocument/2006/relationships/chart" Target="../charts/chart8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'Datos globales '!&#193;rea_de_impresi&#243;n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'Datos globales '!&#193;rea_de_impresi&#243;n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'Datos globales '!&#193;rea_de_impresi&#243;n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hyperlink" Target="#Portada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579905</xdr:colOff>
      <xdr:row>0</xdr:row>
      <xdr:rowOff>61919</xdr:rowOff>
    </xdr:from>
    <xdr:to>
      <xdr:col>12</xdr:col>
      <xdr:colOff>441121</xdr:colOff>
      <xdr:row>3</xdr:row>
      <xdr:rowOff>28837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1380" y="61919"/>
          <a:ext cx="1162331" cy="564677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11</xdr:col>
      <xdr:colOff>596153</xdr:colOff>
      <xdr:row>3</xdr:row>
      <xdr:rowOff>126069</xdr:rowOff>
    </xdr:from>
    <xdr:ext cx="1790700" cy="14287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8587628" y="792819"/>
              <a:ext cx="1790700" cy="14287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700" i="1">
                        <a:solidFill>
                          <a:srgbClr val="F98F01"/>
                        </a:solidFill>
                        <a:latin typeface="Cambria Math" panose="02040503050406030204" pitchFamily="18" charset="0"/>
                      </a:rPr>
                      <m:t>... </m:t>
                    </m:r>
                    <m:r>
                      <a:rPr lang="es-CO" sz="700" i="1">
                        <a:solidFill>
                          <a:srgbClr val="F98F01"/>
                        </a:solidFill>
                        <a:latin typeface="Cambria Math" panose="02040503050406030204" pitchFamily="18" charset="0"/>
                      </a:rPr>
                      <m:t>𝐿𝑜</m:t>
                    </m:r>
                    <m:r>
                      <a:rPr lang="es-CO" sz="700" i="1">
                        <a:solidFill>
                          <a:srgbClr val="F98F01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CO" sz="700" i="1">
                        <a:solidFill>
                          <a:srgbClr val="F98F01"/>
                        </a:solidFill>
                        <a:latin typeface="Cambria Math" panose="02040503050406030204" pitchFamily="18" charset="0"/>
                      </a:rPr>
                      <m:t>h𝑎𝑐𝑒𝑚𝑜𝑠</m:t>
                    </m:r>
                    <m:r>
                      <a:rPr lang="es-CO" sz="700" i="1">
                        <a:solidFill>
                          <a:srgbClr val="F98F01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CO" sz="700" i="1">
                        <a:solidFill>
                          <a:srgbClr val="F98F01"/>
                        </a:solidFill>
                        <a:latin typeface="Cambria Math" panose="02040503050406030204" pitchFamily="18" charset="0"/>
                      </a:rPr>
                      <m:t>𝑝𝑜𝑟</m:t>
                    </m:r>
                    <m:r>
                      <a:rPr lang="es-CO" sz="700" i="1">
                        <a:solidFill>
                          <a:srgbClr val="F98F01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CO" sz="700" i="1">
                        <a:solidFill>
                          <a:srgbClr val="F98F01"/>
                        </a:solidFill>
                        <a:latin typeface="Cambria Math" panose="02040503050406030204" pitchFamily="18" charset="0"/>
                      </a:rPr>
                      <m:t>𝑈𝑠𝑡𝑒𝑑</m:t>
                    </m:r>
                    <m:r>
                      <a:rPr lang="es-CO" sz="700" i="1">
                        <a:solidFill>
                          <a:srgbClr val="F98F01"/>
                        </a:solidFill>
                        <a:latin typeface="Cambria Math" panose="02040503050406030204" pitchFamily="18" charset="0"/>
                      </a:rPr>
                      <m:t>!</m:t>
                    </m:r>
                  </m:oMath>
                </m:oMathPara>
              </a14:m>
              <a:endParaRPr lang="es-ES" sz="700">
                <a:solidFill>
                  <a:srgbClr val="F98F01"/>
                </a:solidFill>
              </a:endParaRPr>
            </a:p>
            <a:p>
              <a:endParaRPr lang="es-ES" sz="700">
                <a:solidFill>
                  <a:srgbClr val="F98F01"/>
                </a:solidFill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xmlns="" xmlns:a14="http://schemas.microsoft.com/office/drawing/2010/main" id="{00000000-0008-0000-0000-000015000000}"/>
                </a:ext>
              </a:extLst>
            </xdr:cNvPr>
            <xdr:cNvSpPr txBox="1"/>
          </xdr:nvSpPr>
          <xdr:spPr>
            <a:xfrm>
              <a:off x="8587628" y="792819"/>
              <a:ext cx="1790700" cy="14287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CO" sz="700" i="0">
                  <a:solidFill>
                    <a:srgbClr val="F98F01"/>
                  </a:solidFill>
                  <a:latin typeface="Cambria Math" panose="02040503050406030204" pitchFamily="18" charset="0"/>
                </a:rPr>
                <a:t>... 𝐿𝑜 ℎ𝑎𝑐𝑒𝑚𝑜𝑠 𝑝𝑜𝑟 𝑈𝑠𝑡𝑒𝑑!</a:t>
              </a:r>
              <a:endParaRPr lang="es-ES" sz="700">
                <a:solidFill>
                  <a:srgbClr val="F98F01"/>
                </a:solidFill>
              </a:endParaRPr>
            </a:p>
            <a:p>
              <a:endParaRPr lang="es-ES" sz="700">
                <a:solidFill>
                  <a:srgbClr val="F98F01"/>
                </a:solidFill>
              </a:endParaRPr>
            </a:p>
          </xdr:txBody>
        </xdr:sp>
      </mc:Fallback>
    </mc:AlternateContent>
    <xdr:clientData/>
  </xdr:oneCellAnchor>
  <xdr:twoCellAnchor>
    <xdr:from>
      <xdr:col>4</xdr:col>
      <xdr:colOff>1221443</xdr:colOff>
      <xdr:row>9</xdr:row>
      <xdr:rowOff>78440</xdr:rowOff>
    </xdr:from>
    <xdr:to>
      <xdr:col>9</xdr:col>
      <xdr:colOff>33618</xdr:colOff>
      <xdr:row>12</xdr:row>
      <xdr:rowOff>100853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100853</xdr:colOff>
      <xdr:row>11</xdr:row>
      <xdr:rowOff>89648</xdr:rowOff>
    </xdr:from>
    <xdr:to>
      <xdr:col>12</xdr:col>
      <xdr:colOff>750794</xdr:colOff>
      <xdr:row>21</xdr:row>
      <xdr:rowOff>100852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11</xdr:row>
      <xdr:rowOff>0</xdr:rowOff>
    </xdr:from>
    <xdr:to>
      <xdr:col>2</xdr:col>
      <xdr:colOff>1041447</xdr:colOff>
      <xdr:row>13</xdr:row>
      <xdr:rowOff>98052</xdr:rowOff>
    </xdr:to>
    <xdr:sp macro="" textlink="">
      <xdr:nvSpPr>
        <xdr:cNvPr id="7" name="AutoShape 7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133350" y="2400300"/>
          <a:ext cx="1832022" cy="479052"/>
        </a:xfrm>
        <a:prstGeom prst="roundRect">
          <a:avLst>
            <a:gd name="adj" fmla="val 16667"/>
          </a:avLst>
        </a:prstGeom>
        <a:solidFill>
          <a:srgbClr val="292669"/>
        </a:solidFill>
        <a:ln w="12700" algn="ctr">
          <a:solidFill>
            <a:schemeClr val="bg1"/>
          </a:solidFill>
          <a:round/>
          <a:headEnd/>
          <a:tailEnd/>
        </a:ln>
        <a:effectLst>
          <a:outerShdw dist="35921" dir="2700000" algn="ctr" rotWithShape="0">
            <a:schemeClr val="bg1">
              <a:lumMod val="95000"/>
            </a:schemeClr>
          </a:outerShdw>
        </a:effectLst>
      </xdr:spPr>
      <xdr:txBody>
        <a:bodyPr vertOverflow="clip" wrap="square" lIns="36576" tIns="32004" rIns="36576" bIns="32004" anchor="ctr" upright="1"/>
        <a:lstStyle/>
        <a:p>
          <a:pPr marL="0" indent="0" algn="ctr" rtl="1">
            <a:defRPr sz="1000"/>
          </a:pPr>
          <a:r>
            <a:rPr lang="es-ES" sz="1400" b="0" i="0" strike="noStrike">
              <a:solidFill>
                <a:srgbClr val="BBBDC0"/>
              </a:solidFill>
              <a:latin typeface="Franklin Gothic Demi Cond" panose="020B0706030402020204" pitchFamily="34" charset="0"/>
              <a:ea typeface="+mn-ea"/>
              <a:cs typeface="+mn-cs"/>
            </a:rPr>
            <a:t>Resumen Consolidado</a:t>
          </a:r>
        </a:p>
      </xdr:txBody>
    </xdr:sp>
    <xdr:clientData/>
  </xdr:twoCellAnchor>
  <xdr:twoCellAnchor>
    <xdr:from>
      <xdr:col>1</xdr:col>
      <xdr:colOff>27314</xdr:colOff>
      <xdr:row>18</xdr:row>
      <xdr:rowOff>16953</xdr:rowOff>
    </xdr:from>
    <xdr:to>
      <xdr:col>2</xdr:col>
      <xdr:colOff>1041447</xdr:colOff>
      <xdr:row>19</xdr:row>
      <xdr:rowOff>77881</xdr:rowOff>
    </xdr:to>
    <xdr:sp macro="" textlink="">
      <xdr:nvSpPr>
        <xdr:cNvPr id="8" name="AutoShape 7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rrowheads="1"/>
        </xdr:cNvSpPr>
      </xdr:nvSpPr>
      <xdr:spPr bwMode="auto">
        <a:xfrm>
          <a:off x="160664" y="3750753"/>
          <a:ext cx="1804708" cy="251428"/>
        </a:xfrm>
        <a:prstGeom prst="roundRect">
          <a:avLst>
            <a:gd name="adj" fmla="val 16667"/>
          </a:avLst>
        </a:prstGeom>
        <a:solidFill>
          <a:schemeClr val="bg1"/>
        </a:solidFill>
        <a:ln w="12700" algn="ctr">
          <a:solidFill>
            <a:schemeClr val="bg1"/>
          </a:solidFill>
          <a:round/>
          <a:headEnd/>
          <a:tailEnd/>
        </a:ln>
        <a:effectLst>
          <a:outerShdw dist="35921" dir="2700000" algn="ctr" rotWithShape="0">
            <a:schemeClr val="bg2">
              <a:lumMod val="75000"/>
            </a:schemeClr>
          </a:outerShdw>
        </a:effectLst>
      </xdr:spPr>
      <xdr:txBody>
        <a:bodyPr vertOverflow="clip" wrap="square" lIns="36576" tIns="32004" rIns="36576" bIns="32004" anchor="ctr" upright="1"/>
        <a:lstStyle/>
        <a:p>
          <a:pPr marL="0" indent="0" algn="ctr" rtl="1">
            <a:defRPr sz="1000"/>
          </a:pPr>
          <a:r>
            <a:rPr lang="es-ES" sz="1400" b="0" i="0" strike="noStrike">
              <a:solidFill>
                <a:srgbClr val="BBBDC0"/>
              </a:solidFill>
              <a:latin typeface="Franklin Gothic Demi Cond" panose="020B0706030402020204" pitchFamily="34" charset="0"/>
              <a:ea typeface="+mn-ea"/>
              <a:cs typeface="+mn-cs"/>
            </a:rPr>
            <a:t>Proyección Pagos</a:t>
          </a:r>
        </a:p>
      </xdr:txBody>
    </xdr:sp>
    <xdr:clientData/>
  </xdr:twoCellAnchor>
  <xdr:twoCellAnchor>
    <xdr:from>
      <xdr:col>1</xdr:col>
      <xdr:colOff>46286</xdr:colOff>
      <xdr:row>19</xdr:row>
      <xdr:rowOff>134466</xdr:rowOff>
    </xdr:from>
    <xdr:to>
      <xdr:col>2</xdr:col>
      <xdr:colOff>1030241</xdr:colOff>
      <xdr:row>20</xdr:row>
      <xdr:rowOff>159123</xdr:rowOff>
    </xdr:to>
    <xdr:sp macro="" textlink="">
      <xdr:nvSpPr>
        <xdr:cNvPr id="9" name="AutoShape 8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rrowheads="1"/>
        </xdr:cNvSpPr>
      </xdr:nvSpPr>
      <xdr:spPr bwMode="auto">
        <a:xfrm>
          <a:off x="180757" y="3787584"/>
          <a:ext cx="1779572" cy="215157"/>
        </a:xfrm>
        <a:prstGeom prst="roundRect">
          <a:avLst/>
        </a:prstGeom>
        <a:solidFill>
          <a:schemeClr val="bg1"/>
        </a:solidFill>
        <a:ln w="12700" algn="ctr">
          <a:solidFill>
            <a:schemeClr val="bg1"/>
          </a:solidFill>
          <a:round/>
          <a:headEnd/>
          <a:tailEnd/>
        </a:ln>
        <a:effectLst>
          <a:outerShdw dist="35921" dir="2700000" algn="ctr" rotWithShape="0">
            <a:schemeClr val="bg2">
              <a:lumMod val="75000"/>
            </a:schemeClr>
          </a:outerShdw>
        </a:effectLst>
      </xdr:spPr>
      <xdr:txBody>
        <a:bodyPr vertOverflow="clip" wrap="square" lIns="36576" tIns="32004" rIns="36576" bIns="32004" anchor="ctr" upright="1"/>
        <a:lstStyle/>
        <a:p>
          <a:pPr marL="0" indent="0" algn="ctr" rtl="1">
            <a:defRPr sz="1000"/>
          </a:pPr>
          <a:r>
            <a:rPr lang="es-ES" sz="1400" b="0" i="0" strike="noStrike">
              <a:solidFill>
                <a:srgbClr val="BBBDC0"/>
              </a:solidFill>
              <a:latin typeface="Franklin Gothic Demi Cond" panose="020B0706030402020204" pitchFamily="34" charset="0"/>
              <a:ea typeface="+mn-ea"/>
              <a:cs typeface="+mn-cs"/>
            </a:rPr>
            <a:t>Detalle Inmuebles</a:t>
          </a:r>
        </a:p>
      </xdr:txBody>
    </xdr:sp>
    <xdr:clientData/>
  </xdr:twoCellAnchor>
  <xdr:twoCellAnchor>
    <xdr:from>
      <xdr:col>1</xdr:col>
      <xdr:colOff>55889</xdr:colOff>
      <xdr:row>21</xdr:row>
      <xdr:rowOff>23481</xdr:rowOff>
    </xdr:from>
    <xdr:to>
      <xdr:col>2</xdr:col>
      <xdr:colOff>1041447</xdr:colOff>
      <xdr:row>22</xdr:row>
      <xdr:rowOff>82918</xdr:rowOff>
    </xdr:to>
    <xdr:sp macro="" textlink="">
      <xdr:nvSpPr>
        <xdr:cNvPr id="10" name="AutoShape 8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rrowheads="1"/>
        </xdr:cNvSpPr>
      </xdr:nvSpPr>
      <xdr:spPr bwMode="auto">
        <a:xfrm>
          <a:off x="190360" y="4057599"/>
          <a:ext cx="1781175" cy="249937"/>
        </a:xfrm>
        <a:prstGeom prst="roundRect">
          <a:avLst/>
        </a:prstGeom>
        <a:solidFill>
          <a:schemeClr val="bg1"/>
        </a:solidFill>
        <a:ln w="12700" algn="ctr">
          <a:solidFill>
            <a:schemeClr val="bg1"/>
          </a:solidFill>
          <a:round/>
          <a:headEnd/>
          <a:tailEnd/>
        </a:ln>
        <a:effectLst>
          <a:outerShdw dist="35921" dir="2700000" algn="ctr" rotWithShape="0">
            <a:schemeClr val="bg2">
              <a:lumMod val="75000"/>
            </a:schemeClr>
          </a:outerShdw>
        </a:effectLst>
      </xdr:spPr>
      <xdr:txBody>
        <a:bodyPr vertOverflow="clip" wrap="square" lIns="36576" tIns="32004" rIns="36576" bIns="32004" anchor="ctr" upright="1"/>
        <a:lstStyle/>
        <a:p>
          <a:pPr marL="0" indent="0" algn="ctr" rtl="1">
            <a:defRPr sz="1000"/>
          </a:pPr>
          <a:r>
            <a:rPr lang="es-ES" sz="1400" b="0" i="0" strike="noStrike">
              <a:solidFill>
                <a:srgbClr val="BBBDC0"/>
              </a:solidFill>
              <a:latin typeface="Franklin Gothic Demi Cond" panose="020B0706030402020204" pitchFamily="34" charset="0"/>
              <a:ea typeface="+mn-ea"/>
              <a:cs typeface="+mn-cs"/>
            </a:rPr>
            <a:t>Inventario</a:t>
          </a:r>
        </a:p>
      </xdr:txBody>
    </xdr:sp>
    <xdr:clientData/>
  </xdr:twoCellAnchor>
  <xdr:twoCellAnchor>
    <xdr:from>
      <xdr:col>1</xdr:col>
      <xdr:colOff>17789</xdr:colOff>
      <xdr:row>14</xdr:row>
      <xdr:rowOff>6868</xdr:rowOff>
    </xdr:from>
    <xdr:to>
      <xdr:col>2</xdr:col>
      <xdr:colOff>1041447</xdr:colOff>
      <xdr:row>15</xdr:row>
      <xdr:rowOff>146237</xdr:rowOff>
    </xdr:to>
    <xdr:sp macro="" textlink="">
      <xdr:nvSpPr>
        <xdr:cNvPr id="11" name="AutoShape 7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 noChangeArrowheads="1"/>
        </xdr:cNvSpPr>
      </xdr:nvSpPr>
      <xdr:spPr bwMode="auto">
        <a:xfrm>
          <a:off x="151139" y="2978668"/>
          <a:ext cx="1814233" cy="329869"/>
        </a:xfrm>
        <a:prstGeom prst="roundRect">
          <a:avLst>
            <a:gd name="adj" fmla="val 16667"/>
          </a:avLst>
        </a:prstGeom>
        <a:solidFill>
          <a:schemeClr val="bg1"/>
        </a:solidFill>
        <a:ln w="12700" algn="ctr">
          <a:solidFill>
            <a:schemeClr val="bg1"/>
          </a:solidFill>
          <a:round/>
          <a:headEnd/>
          <a:tailEnd/>
        </a:ln>
        <a:effectLst>
          <a:outerShdw dist="35921" dir="2700000" algn="ctr" rotWithShape="0">
            <a:schemeClr val="bg2">
              <a:lumMod val="75000"/>
            </a:schemeClr>
          </a:outerShdw>
        </a:effectLst>
      </xdr:spPr>
      <xdr:txBody>
        <a:bodyPr vertOverflow="clip" wrap="square" lIns="36576" tIns="32004" rIns="36576" bIns="32004" anchor="ctr" upright="1"/>
        <a:lstStyle/>
        <a:p>
          <a:pPr marL="0" indent="0" algn="ctr" rtl="1">
            <a:defRPr sz="1000"/>
          </a:pPr>
          <a:r>
            <a:rPr lang="es-ES" sz="1400" b="0" i="0" strike="noStrike">
              <a:solidFill>
                <a:srgbClr val="BBBDC0"/>
              </a:solidFill>
              <a:latin typeface="Franklin Gothic Demi Cond" panose="020B0706030402020204" pitchFamily="34" charset="0"/>
              <a:ea typeface="+mn-ea"/>
              <a:cs typeface="+mn-cs"/>
            </a:rPr>
            <a:t>Ventas mes a mes</a:t>
          </a:r>
        </a:p>
      </xdr:txBody>
    </xdr:sp>
    <xdr:clientData/>
  </xdr:twoCellAnchor>
  <xdr:twoCellAnchor>
    <xdr:from>
      <xdr:col>1</xdr:col>
      <xdr:colOff>27310</xdr:colOff>
      <xdr:row>16</xdr:row>
      <xdr:rowOff>50987</xdr:rowOff>
    </xdr:from>
    <xdr:to>
      <xdr:col>2</xdr:col>
      <xdr:colOff>1041447</xdr:colOff>
      <xdr:row>17</xdr:row>
      <xdr:rowOff>117662</xdr:rowOff>
    </xdr:to>
    <xdr:sp macro="" textlink="">
      <xdr:nvSpPr>
        <xdr:cNvPr id="12" name="AutoShape 8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rrowheads="1"/>
        </xdr:cNvSpPr>
      </xdr:nvSpPr>
      <xdr:spPr bwMode="auto">
        <a:xfrm>
          <a:off x="160660" y="3403787"/>
          <a:ext cx="1804712" cy="257175"/>
        </a:xfrm>
        <a:prstGeom prst="roundRect">
          <a:avLst>
            <a:gd name="adj" fmla="val 16667"/>
          </a:avLst>
        </a:prstGeom>
        <a:solidFill>
          <a:schemeClr val="bg1"/>
        </a:solidFill>
        <a:ln w="12700" algn="ctr">
          <a:solidFill>
            <a:schemeClr val="bg1"/>
          </a:solidFill>
          <a:round/>
          <a:headEnd/>
          <a:tailEnd/>
        </a:ln>
        <a:effectLst>
          <a:outerShdw dist="35921" dir="2700000" algn="ctr" rotWithShape="0">
            <a:schemeClr val="bg2">
              <a:lumMod val="75000"/>
            </a:schemeClr>
          </a:outerShdw>
        </a:effectLst>
      </xdr:spPr>
      <xdr:txBody>
        <a:bodyPr vertOverflow="clip" wrap="square" lIns="36576" tIns="32004" rIns="36576" bIns="32004" anchor="ctr" upright="1"/>
        <a:lstStyle/>
        <a:p>
          <a:pPr marL="0" indent="0" algn="ctr" rtl="1">
            <a:defRPr sz="1000"/>
          </a:pPr>
          <a:r>
            <a:rPr lang="es-ES" sz="1400" b="0" i="0" strike="noStrike">
              <a:solidFill>
                <a:srgbClr val="BBBDC0"/>
              </a:solidFill>
              <a:latin typeface="Franklin Gothic Demi Cond" panose="020B0706030402020204" pitchFamily="34" charset="0"/>
              <a:ea typeface="+mn-ea"/>
              <a:cs typeface="+mn-cs"/>
            </a:rPr>
            <a:t>Detalle de clientes</a:t>
          </a:r>
        </a:p>
      </xdr:txBody>
    </xdr:sp>
    <xdr:clientData/>
  </xdr:twoCellAnchor>
  <xdr:twoCellAnchor editAs="oneCell">
    <xdr:from>
      <xdr:col>1</xdr:col>
      <xdr:colOff>359833</xdr:colOff>
      <xdr:row>0</xdr:row>
      <xdr:rowOff>63500</xdr:rowOff>
    </xdr:from>
    <xdr:to>
      <xdr:col>2</xdr:col>
      <xdr:colOff>878416</xdr:colOff>
      <xdr:row>3</xdr:row>
      <xdr:rowOff>59691</xdr:rowOff>
    </xdr:to>
    <xdr:pic>
      <xdr:nvPicPr>
        <xdr:cNvPr id="14" name="Pictur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208" b="15094"/>
        <a:stretch/>
      </xdr:blipFill>
      <xdr:spPr bwMode="auto">
        <a:xfrm>
          <a:off x="497416" y="63500"/>
          <a:ext cx="1312333" cy="61383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204788</xdr:colOff>
      <xdr:row>1</xdr:row>
      <xdr:rowOff>88107</xdr:rowOff>
    </xdr:from>
    <xdr:to>
      <xdr:col>1</xdr:col>
      <xdr:colOff>750094</xdr:colOff>
      <xdr:row>2</xdr:row>
      <xdr:rowOff>47624</xdr:rowOff>
    </xdr:to>
    <xdr:sp macro="" textlink="">
      <xdr:nvSpPr>
        <xdr:cNvPr id="2049" name="AutoShap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>
          <a:spLocks noChangeArrowheads="1"/>
        </xdr:cNvSpPr>
      </xdr:nvSpPr>
      <xdr:spPr bwMode="auto">
        <a:xfrm>
          <a:off x="264319" y="326232"/>
          <a:ext cx="545306" cy="221455"/>
        </a:xfrm>
        <a:prstGeom prst="roundRect">
          <a:avLst>
            <a:gd name="adj" fmla="val 16667"/>
          </a:avLst>
        </a:prstGeom>
        <a:solidFill>
          <a:schemeClr val="bg1">
            <a:lumMod val="95000"/>
          </a:schemeClr>
        </a:solidFill>
        <a:ln w="9525" algn="ctr">
          <a:noFill/>
          <a:round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1">
            <a:defRPr sz="1000"/>
          </a:pPr>
          <a:r>
            <a:rPr lang="es-MX" sz="1050" b="0" i="0" strike="noStrike">
              <a:solidFill>
                <a:sysClr val="windowText" lastClr="000000"/>
              </a:solidFill>
              <a:latin typeface="+mn-lt"/>
            </a:rPr>
            <a:t>Volver</a:t>
          </a:r>
        </a:p>
      </xdr:txBody>
    </xdr:sp>
    <xdr:clientData fPrintsWithSheet="0"/>
  </xdr:twoCellAnchor>
  <xdr:twoCellAnchor editAs="oneCell">
    <xdr:from>
      <xdr:col>28</xdr:col>
      <xdr:colOff>166688</xdr:colOff>
      <xdr:row>0</xdr:row>
      <xdr:rowOff>130969</xdr:rowOff>
    </xdr:from>
    <xdr:to>
      <xdr:col>29</xdr:col>
      <xdr:colOff>638439</xdr:colOff>
      <xdr:row>2</xdr:row>
      <xdr:rowOff>202895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208" b="15094"/>
        <a:stretch/>
      </xdr:blipFill>
      <xdr:spPr bwMode="auto">
        <a:xfrm>
          <a:off x="17680782" y="130969"/>
          <a:ext cx="1312333" cy="56881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257175</xdr:colOff>
      <xdr:row>1</xdr:row>
      <xdr:rowOff>142875</xdr:rowOff>
    </xdr:from>
    <xdr:to>
      <xdr:col>0</xdr:col>
      <xdr:colOff>802481</xdr:colOff>
      <xdr:row>2</xdr:row>
      <xdr:rowOff>30955</xdr:rowOff>
    </xdr:to>
    <xdr:sp macro="" textlink="">
      <xdr:nvSpPr>
        <xdr:cNvPr id="2" name="AutoShap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231BD2-E15D-42E0-853F-BDBDCD4B16F7}"/>
            </a:ext>
          </a:extLst>
        </xdr:cNvPr>
        <xdr:cNvSpPr>
          <a:spLocks noChangeArrowheads="1"/>
        </xdr:cNvSpPr>
      </xdr:nvSpPr>
      <xdr:spPr bwMode="auto">
        <a:xfrm>
          <a:off x="257175" y="304800"/>
          <a:ext cx="545306" cy="221455"/>
        </a:xfrm>
        <a:prstGeom prst="roundRect">
          <a:avLst>
            <a:gd name="adj" fmla="val 16667"/>
          </a:avLst>
        </a:prstGeom>
        <a:solidFill>
          <a:schemeClr val="bg1">
            <a:lumMod val="95000"/>
          </a:schemeClr>
        </a:solidFill>
        <a:ln w="9525" algn="ctr">
          <a:noFill/>
          <a:round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1">
            <a:defRPr sz="1000"/>
          </a:pPr>
          <a:r>
            <a:rPr lang="es-MX" sz="800" b="0" i="0" strike="noStrike">
              <a:solidFill>
                <a:sysClr val="windowText" lastClr="000000"/>
              </a:solidFill>
              <a:latin typeface="+mn-lt"/>
            </a:rPr>
            <a:t>Volver</a:t>
          </a:r>
        </a:p>
      </xdr:txBody>
    </xdr:sp>
    <xdr:clientData fPrintsWithSheet="0"/>
  </xdr:twoCellAnchor>
  <xdr:twoCellAnchor editAs="oneCell">
    <xdr:from>
      <xdr:col>6</xdr:col>
      <xdr:colOff>1</xdr:colOff>
      <xdr:row>1</xdr:row>
      <xdr:rowOff>0</xdr:rowOff>
    </xdr:from>
    <xdr:to>
      <xdr:col>7</xdr:col>
      <xdr:colOff>26370</xdr:colOff>
      <xdr:row>2</xdr:row>
      <xdr:rowOff>154781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513FE2B-A12B-47A0-B2E1-E7B2618E973E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208" b="15094"/>
        <a:stretch/>
      </xdr:blipFill>
      <xdr:spPr bwMode="auto">
        <a:xfrm>
          <a:off x="7429501" y="161925"/>
          <a:ext cx="1121745" cy="488156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257175</xdr:colOff>
      <xdr:row>1</xdr:row>
      <xdr:rowOff>142875</xdr:rowOff>
    </xdr:from>
    <xdr:to>
      <xdr:col>0</xdr:col>
      <xdr:colOff>802481</xdr:colOff>
      <xdr:row>2</xdr:row>
      <xdr:rowOff>30955</xdr:rowOff>
    </xdr:to>
    <xdr:sp macro="" textlink="">
      <xdr:nvSpPr>
        <xdr:cNvPr id="6" name="AutoShap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rrowheads="1"/>
        </xdr:cNvSpPr>
      </xdr:nvSpPr>
      <xdr:spPr bwMode="auto">
        <a:xfrm>
          <a:off x="257175" y="304800"/>
          <a:ext cx="545306" cy="221455"/>
        </a:xfrm>
        <a:prstGeom prst="roundRect">
          <a:avLst>
            <a:gd name="adj" fmla="val 16667"/>
          </a:avLst>
        </a:prstGeom>
        <a:solidFill>
          <a:schemeClr val="bg1">
            <a:lumMod val="95000"/>
          </a:schemeClr>
        </a:solidFill>
        <a:ln w="9525" algn="ctr">
          <a:noFill/>
          <a:round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1">
            <a:defRPr sz="1000"/>
          </a:pPr>
          <a:r>
            <a:rPr lang="es-MX" sz="800" b="0" i="0" strike="noStrike">
              <a:solidFill>
                <a:sysClr val="windowText" lastClr="000000"/>
              </a:solidFill>
              <a:latin typeface="+mn-lt"/>
            </a:rPr>
            <a:t>Volver</a:t>
          </a:r>
        </a:p>
      </xdr:txBody>
    </xdr:sp>
    <xdr:clientData fPrintsWithSheet="0"/>
  </xdr:twoCellAnchor>
  <xdr:twoCellAnchor editAs="oneCell">
    <xdr:from>
      <xdr:col>6</xdr:col>
      <xdr:colOff>1</xdr:colOff>
      <xdr:row>1</xdr:row>
      <xdr:rowOff>0</xdr:rowOff>
    </xdr:from>
    <xdr:to>
      <xdr:col>7</xdr:col>
      <xdr:colOff>26371</xdr:colOff>
      <xdr:row>2</xdr:row>
      <xdr:rowOff>154781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208" b="15094"/>
        <a:stretch/>
      </xdr:blipFill>
      <xdr:spPr bwMode="auto">
        <a:xfrm>
          <a:off x="6119814" y="166688"/>
          <a:ext cx="1126244" cy="488156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204788</xdr:colOff>
      <xdr:row>1</xdr:row>
      <xdr:rowOff>88107</xdr:rowOff>
    </xdr:from>
    <xdr:to>
      <xdr:col>1</xdr:col>
      <xdr:colOff>750094</xdr:colOff>
      <xdr:row>2</xdr:row>
      <xdr:rowOff>47624</xdr:rowOff>
    </xdr:to>
    <xdr:sp macro="" textlink="">
      <xdr:nvSpPr>
        <xdr:cNvPr id="2" name="AutoShap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BFA489D-A753-412B-B25D-24295DFA745A}"/>
            </a:ext>
          </a:extLst>
        </xdr:cNvPr>
        <xdr:cNvSpPr>
          <a:spLocks noChangeArrowheads="1"/>
        </xdr:cNvSpPr>
      </xdr:nvSpPr>
      <xdr:spPr bwMode="auto">
        <a:xfrm>
          <a:off x="261938" y="326232"/>
          <a:ext cx="545306" cy="226217"/>
        </a:xfrm>
        <a:prstGeom prst="roundRect">
          <a:avLst>
            <a:gd name="adj" fmla="val 16667"/>
          </a:avLst>
        </a:prstGeom>
        <a:solidFill>
          <a:schemeClr val="bg1">
            <a:lumMod val="95000"/>
          </a:schemeClr>
        </a:solidFill>
        <a:ln w="9525" algn="ctr">
          <a:noFill/>
          <a:round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1">
            <a:defRPr sz="1000"/>
          </a:pPr>
          <a:r>
            <a:rPr lang="es-MX" sz="1050" b="0" i="0" strike="noStrike">
              <a:solidFill>
                <a:sysClr val="windowText" lastClr="000000"/>
              </a:solidFill>
              <a:latin typeface="+mn-lt"/>
            </a:rPr>
            <a:t>Volver</a:t>
          </a:r>
        </a:p>
      </xdr:txBody>
    </xdr:sp>
    <xdr:clientData fPrintsWithSheet="0"/>
  </xdr:twoCellAnchor>
  <xdr:twoCellAnchor editAs="oneCell">
    <xdr:from>
      <xdr:col>28</xdr:col>
      <xdr:colOff>166688</xdr:colOff>
      <xdr:row>0</xdr:row>
      <xdr:rowOff>130969</xdr:rowOff>
    </xdr:from>
    <xdr:to>
      <xdr:col>29</xdr:col>
      <xdr:colOff>638439</xdr:colOff>
      <xdr:row>2</xdr:row>
      <xdr:rowOff>202895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DB7E7A7-37F0-4192-89FB-1EA564C03F39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208" b="15094"/>
        <a:stretch/>
      </xdr:blipFill>
      <xdr:spPr bwMode="auto">
        <a:xfrm>
          <a:off x="18035588" y="130969"/>
          <a:ext cx="1300426" cy="576751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12</xdr:row>
      <xdr:rowOff>0</xdr:rowOff>
    </xdr:from>
    <xdr:to>
      <xdr:col>12</xdr:col>
      <xdr:colOff>0</xdr:colOff>
      <xdr:row>12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12</xdr:row>
      <xdr:rowOff>0</xdr:rowOff>
    </xdr:from>
    <xdr:to>
      <xdr:col>12</xdr:col>
      <xdr:colOff>0</xdr:colOff>
      <xdr:row>12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12</xdr:row>
      <xdr:rowOff>0</xdr:rowOff>
    </xdr:from>
    <xdr:to>
      <xdr:col>12</xdr:col>
      <xdr:colOff>0</xdr:colOff>
      <xdr:row>12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0</xdr:colOff>
      <xdr:row>12</xdr:row>
      <xdr:rowOff>0</xdr:rowOff>
    </xdr:from>
    <xdr:to>
      <xdr:col>12</xdr:col>
      <xdr:colOff>0</xdr:colOff>
      <xdr:row>12</xdr:row>
      <xdr:rowOff>0</xdr:rowOff>
    </xdr:to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0</xdr:colOff>
      <xdr:row>12</xdr:row>
      <xdr:rowOff>0</xdr:rowOff>
    </xdr:from>
    <xdr:to>
      <xdr:col>12</xdr:col>
      <xdr:colOff>0</xdr:colOff>
      <xdr:row>12</xdr:row>
      <xdr:rowOff>0</xdr:rowOff>
    </xdr:to>
    <xdr:graphicFrame macro="">
      <xdr:nvGraphicFramePr>
        <xdr:cNvPr id="6" name="Chart 6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161925</xdr:colOff>
      <xdr:row>0</xdr:row>
      <xdr:rowOff>200025</xdr:rowOff>
    </xdr:from>
    <xdr:to>
      <xdr:col>1</xdr:col>
      <xdr:colOff>707231</xdr:colOff>
      <xdr:row>1</xdr:row>
      <xdr:rowOff>183355</xdr:rowOff>
    </xdr:to>
    <xdr:sp macro="" textlink="">
      <xdr:nvSpPr>
        <xdr:cNvPr id="9" name="AutoShape 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>
          <a:spLocks noChangeArrowheads="1"/>
        </xdr:cNvSpPr>
      </xdr:nvSpPr>
      <xdr:spPr bwMode="auto">
        <a:xfrm>
          <a:off x="238125" y="200025"/>
          <a:ext cx="545306" cy="221455"/>
        </a:xfrm>
        <a:prstGeom prst="roundRect">
          <a:avLst>
            <a:gd name="adj" fmla="val 16667"/>
          </a:avLst>
        </a:prstGeom>
        <a:solidFill>
          <a:schemeClr val="bg1">
            <a:lumMod val="95000"/>
          </a:schemeClr>
        </a:solidFill>
        <a:ln w="9525" algn="ctr">
          <a:noFill/>
          <a:round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1">
            <a:defRPr sz="1000"/>
          </a:pPr>
          <a:r>
            <a:rPr lang="es-MX" sz="800" b="0" i="0" strike="noStrike">
              <a:solidFill>
                <a:sysClr val="windowText" lastClr="000000"/>
              </a:solidFill>
              <a:latin typeface="+mn-lt"/>
            </a:rPr>
            <a:t>Volver</a:t>
          </a:r>
        </a:p>
      </xdr:txBody>
    </xdr:sp>
    <xdr:clientData fPrintsWithSheet="0"/>
  </xdr:twoCellAnchor>
  <xdr:twoCellAnchor editAs="oneCell">
    <xdr:from>
      <xdr:col>29</xdr:col>
      <xdr:colOff>256571</xdr:colOff>
      <xdr:row>0</xdr:row>
      <xdr:rowOff>130629</xdr:rowOff>
    </xdr:from>
    <xdr:to>
      <xdr:col>30</xdr:col>
      <xdr:colOff>204107</xdr:colOff>
      <xdr:row>2</xdr:row>
      <xdr:rowOff>3346</xdr:rowOff>
    </xdr:to>
    <xdr:pic>
      <xdr:nvPicPr>
        <xdr:cNvPr id="10" name="Pictur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208" b="15094"/>
        <a:stretch/>
      </xdr:blipFill>
      <xdr:spPr bwMode="auto">
        <a:xfrm>
          <a:off x="20444128" y="130629"/>
          <a:ext cx="872822" cy="37890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1</xdr:col>
      <xdr:colOff>164856</xdr:colOff>
      <xdr:row>0</xdr:row>
      <xdr:rowOff>200025</xdr:rowOff>
    </xdr:from>
    <xdr:to>
      <xdr:col>1</xdr:col>
      <xdr:colOff>710162</xdr:colOff>
      <xdr:row>1</xdr:row>
      <xdr:rowOff>183355</xdr:rowOff>
    </xdr:to>
    <xdr:sp macro="" textlink="">
      <xdr:nvSpPr>
        <xdr:cNvPr id="7" name="AutoShape 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C0CD7B7-A26A-45E7-8AAB-71E1B97DFCB5}"/>
            </a:ext>
          </a:extLst>
        </xdr:cNvPr>
        <xdr:cNvSpPr>
          <a:spLocks noChangeArrowheads="1"/>
        </xdr:cNvSpPr>
      </xdr:nvSpPr>
      <xdr:spPr bwMode="auto">
        <a:xfrm>
          <a:off x="238125" y="200025"/>
          <a:ext cx="545306" cy="247099"/>
        </a:xfrm>
        <a:prstGeom prst="roundRect">
          <a:avLst>
            <a:gd name="adj" fmla="val 16667"/>
          </a:avLst>
        </a:prstGeom>
        <a:solidFill>
          <a:schemeClr val="bg1">
            <a:lumMod val="95000"/>
          </a:schemeClr>
        </a:solidFill>
        <a:ln w="9525" algn="ctr">
          <a:noFill/>
          <a:round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1">
            <a:defRPr sz="1000"/>
          </a:pPr>
          <a:r>
            <a:rPr lang="es-MX" sz="800" b="0" i="0" strike="noStrike">
              <a:solidFill>
                <a:sysClr val="windowText" lastClr="000000"/>
              </a:solidFill>
              <a:latin typeface="+mn-lt"/>
            </a:rPr>
            <a:t>Volver</a:t>
          </a:r>
        </a:p>
      </xdr:txBody>
    </xdr:sp>
    <xdr:clientData fPrintsWithSheet="0"/>
  </xdr:twoCellAnchor>
  <xdr:twoCellAnchor editAs="oneCell">
    <xdr:from>
      <xdr:col>22</xdr:col>
      <xdr:colOff>120499</xdr:colOff>
      <xdr:row>0</xdr:row>
      <xdr:rowOff>0</xdr:rowOff>
    </xdr:from>
    <xdr:to>
      <xdr:col>23</xdr:col>
      <xdr:colOff>51706</xdr:colOff>
      <xdr:row>1</xdr:row>
      <xdr:rowOff>112203</xdr:rowOff>
    </xdr:to>
    <xdr:pic>
      <xdr:nvPicPr>
        <xdr:cNvPr id="8" name="Picture 2">
          <a:extLst>
            <a:ext uri="{FF2B5EF4-FFF2-40B4-BE49-F238E27FC236}">
              <a16:creationId xmlns:a16="http://schemas.microsoft.com/office/drawing/2014/main" id="{19F24CE6-DED2-4217-954A-6E0970ABB9ED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208" b="15094"/>
        <a:stretch/>
      </xdr:blipFill>
      <xdr:spPr bwMode="auto">
        <a:xfrm>
          <a:off x="15480242" y="0"/>
          <a:ext cx="872822" cy="37890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124558</xdr:rowOff>
    </xdr:from>
    <xdr:to>
      <xdr:col>0</xdr:col>
      <xdr:colOff>735806</xdr:colOff>
      <xdr:row>2</xdr:row>
      <xdr:rowOff>49272</xdr:rowOff>
    </xdr:to>
    <xdr:sp macro="" textlink="">
      <xdr:nvSpPr>
        <xdr:cNvPr id="6" name="AutoShap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BAB0EAF-18D3-4116-AE6F-2CBA4E261EEB}"/>
            </a:ext>
          </a:extLst>
        </xdr:cNvPr>
        <xdr:cNvSpPr>
          <a:spLocks noChangeArrowheads="1"/>
        </xdr:cNvSpPr>
      </xdr:nvSpPr>
      <xdr:spPr bwMode="auto">
        <a:xfrm>
          <a:off x="190500" y="124558"/>
          <a:ext cx="545306" cy="247099"/>
        </a:xfrm>
        <a:prstGeom prst="roundRect">
          <a:avLst>
            <a:gd name="adj" fmla="val 16667"/>
          </a:avLst>
        </a:prstGeom>
        <a:solidFill>
          <a:schemeClr val="bg1">
            <a:lumMod val="95000"/>
          </a:schemeClr>
        </a:solidFill>
        <a:ln w="9525" algn="ctr">
          <a:noFill/>
          <a:round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1">
            <a:defRPr sz="1000"/>
          </a:pPr>
          <a:r>
            <a:rPr lang="es-MX" sz="800" b="0" i="0" strike="noStrike">
              <a:solidFill>
                <a:sysClr val="windowText" lastClr="000000"/>
              </a:solidFill>
              <a:latin typeface="+mn-lt"/>
            </a:rPr>
            <a:t>Volver</a:t>
          </a:r>
        </a:p>
      </xdr:txBody>
    </xdr:sp>
    <xdr:clientData fPrintsWithSheet="0"/>
  </xdr:twoCellAnchor>
  <xdr:twoCellAnchor editAs="oneCell">
    <xdr:from>
      <xdr:col>29</xdr:col>
      <xdr:colOff>1006929</xdr:colOff>
      <xdr:row>0</xdr:row>
      <xdr:rowOff>40822</xdr:rowOff>
    </xdr:from>
    <xdr:to>
      <xdr:col>29</xdr:col>
      <xdr:colOff>1879751</xdr:colOff>
      <xdr:row>2</xdr:row>
      <xdr:rowOff>93154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9B2015D-3B73-42AC-9658-1ECE0FBA530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208" b="15094"/>
        <a:stretch/>
      </xdr:blipFill>
      <xdr:spPr bwMode="auto">
        <a:xfrm>
          <a:off x="48278143" y="40822"/>
          <a:ext cx="872822" cy="37890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1216399</xdr:colOff>
      <xdr:row>0</xdr:row>
      <xdr:rowOff>44824</xdr:rowOff>
    </xdr:from>
    <xdr:to>
      <xdr:col>3</xdr:col>
      <xdr:colOff>599989</xdr:colOff>
      <xdr:row>2</xdr:row>
      <xdr:rowOff>382682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de Unidad">
              <a:extLst>
                <a:ext uri="{FF2B5EF4-FFF2-40B4-BE49-F238E27FC236}">
                  <a16:creationId xmlns:a16="http://schemas.microsoft.com/office/drawing/2014/main" id="{AFED3ADD-937C-9C5A-3E7C-F24629ED38B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Unida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16399" y="44824"/>
              <a:ext cx="2974515" cy="66170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1681</xdr:colOff>
      <xdr:row>0</xdr:row>
      <xdr:rowOff>71718</xdr:rowOff>
    </xdr:from>
    <xdr:to>
      <xdr:col>9</xdr:col>
      <xdr:colOff>1408043</xdr:colOff>
      <xdr:row>2</xdr:row>
      <xdr:rowOff>403412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de Unidad 1">
              <a:extLst>
                <a:ext uri="{FF2B5EF4-FFF2-40B4-BE49-F238E27FC236}">
                  <a16:creationId xmlns:a16="http://schemas.microsoft.com/office/drawing/2014/main" id="{CA8377A7-5F2E-2D7C-DED2-8C366A31AA9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Unidad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42398" y="71718"/>
              <a:ext cx="3708928" cy="6629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1115786</xdr:colOff>
      <xdr:row>0</xdr:row>
      <xdr:rowOff>114300</xdr:rowOff>
    </xdr:from>
    <xdr:to>
      <xdr:col>15</xdr:col>
      <xdr:colOff>1378429</xdr:colOff>
      <xdr:row>2</xdr:row>
      <xdr:rowOff>408215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Tipo de Unidad 2">
              <a:extLst>
                <a:ext uri="{FF2B5EF4-FFF2-40B4-BE49-F238E27FC236}">
                  <a16:creationId xmlns:a16="http://schemas.microsoft.com/office/drawing/2014/main" id="{4206E134-E10E-EDDE-7C6C-8DAA8F3851B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Unidad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20721" y="114300"/>
              <a:ext cx="3757904" cy="62521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1575706</xdr:colOff>
      <xdr:row>0</xdr:row>
      <xdr:rowOff>46264</xdr:rowOff>
    </xdr:from>
    <xdr:to>
      <xdr:col>22</xdr:col>
      <xdr:colOff>192205</xdr:colOff>
      <xdr:row>2</xdr:row>
      <xdr:rowOff>381000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Tipo de Unidad 3">
              <a:extLst>
                <a:ext uri="{FF2B5EF4-FFF2-40B4-BE49-F238E27FC236}">
                  <a16:creationId xmlns:a16="http://schemas.microsoft.com/office/drawing/2014/main" id="{79271F9B-4DB7-79A3-69BB-9F5419DC6CF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Unidad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937554" y="46264"/>
              <a:ext cx="4579977" cy="6660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25</xdr:col>
      <xdr:colOff>5442</xdr:colOff>
      <xdr:row>0</xdr:row>
      <xdr:rowOff>59872</xdr:rowOff>
    </xdr:from>
    <xdr:to>
      <xdr:col>27</xdr:col>
      <xdr:colOff>1364822</xdr:colOff>
      <xdr:row>2</xdr:row>
      <xdr:rowOff>381001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Tipo de Unidad 4">
              <a:extLst>
                <a:ext uri="{FF2B5EF4-FFF2-40B4-BE49-F238E27FC236}">
                  <a16:creationId xmlns:a16="http://schemas.microsoft.com/office/drawing/2014/main" id="{CA70D291-1FDE-C915-45BE-D7EFD913BA9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Unidad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0797290" y="59872"/>
              <a:ext cx="3661945" cy="6524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oneCellAnchor>
    <xdr:from>
      <xdr:col>0</xdr:col>
      <xdr:colOff>1176617</xdr:colOff>
      <xdr:row>9</xdr:row>
      <xdr:rowOff>156882</xdr:rowOff>
    </xdr:from>
    <xdr:ext cx="3294530" cy="396327"/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3A742BE2-3EAE-9318-86A5-054F7AB92891}"/>
            </a:ext>
          </a:extLst>
        </xdr:cNvPr>
        <xdr:cNvSpPr txBox="1"/>
      </xdr:nvSpPr>
      <xdr:spPr>
        <a:xfrm>
          <a:off x="1176617" y="2061882"/>
          <a:ext cx="3294530" cy="3963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2400" b="1">
              <a:solidFill>
                <a:srgbClr val="292669"/>
              </a:solidFill>
              <a:latin typeface="Aharoni" panose="020F0502020204030204" pitchFamily="2" charset="-79"/>
              <a:cs typeface="Aharoni" panose="020F0502020204030204" pitchFamily="2" charset="-79"/>
            </a:rPr>
            <a:t>INVENTARIO T-</a:t>
          </a:r>
          <a:r>
            <a:rPr lang="es-CO" sz="2400" b="1" baseline="0">
              <a:solidFill>
                <a:srgbClr val="292669"/>
              </a:solidFill>
              <a:latin typeface="Aharoni" panose="020F0502020204030204" pitchFamily="2" charset="-79"/>
              <a:cs typeface="Aharoni" panose="020F0502020204030204" pitchFamily="2" charset="-79"/>
            </a:rPr>
            <a:t>1A</a:t>
          </a:r>
          <a:endParaRPr lang="es-CO" sz="2400" b="1">
            <a:solidFill>
              <a:srgbClr val="292669"/>
            </a:solidFill>
            <a:latin typeface="Aharoni" panose="020F0502020204030204" pitchFamily="2" charset="-79"/>
            <a:cs typeface="Aharoni" panose="020F0502020204030204" pitchFamily="2" charset="-79"/>
          </a:endParaRPr>
        </a:p>
      </xdr:txBody>
    </xdr:sp>
    <xdr:clientData/>
  </xdr:oneCellAnchor>
  <xdr:oneCellAnchor>
    <xdr:from>
      <xdr:col>3</xdr:col>
      <xdr:colOff>1564339</xdr:colOff>
      <xdr:row>2</xdr:row>
      <xdr:rowOff>6724</xdr:rowOff>
    </xdr:from>
    <xdr:ext cx="4161866" cy="396327"/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314BE62E-B63C-4802-9899-02F6532FA089}"/>
            </a:ext>
          </a:extLst>
        </xdr:cNvPr>
        <xdr:cNvSpPr txBox="1"/>
      </xdr:nvSpPr>
      <xdr:spPr>
        <a:xfrm>
          <a:off x="5161427" y="320489"/>
          <a:ext cx="4161866" cy="3963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2400" b="1">
              <a:solidFill>
                <a:srgbClr val="292669"/>
              </a:solidFill>
              <a:latin typeface="Aharoni" panose="020F0502020204030204" pitchFamily="2" charset="-79"/>
              <a:cs typeface="Aharoni" panose="020F0502020204030204" pitchFamily="2" charset="-79"/>
            </a:rPr>
            <a:t>CONSOLIDADO</a:t>
          </a:r>
          <a:r>
            <a:rPr lang="es-CO" sz="2400" b="1" baseline="0">
              <a:solidFill>
                <a:srgbClr val="292669"/>
              </a:solidFill>
              <a:latin typeface="Aharoni" panose="020F0502020204030204" pitchFamily="2" charset="-79"/>
              <a:cs typeface="Aharoni" panose="020F0502020204030204" pitchFamily="2" charset="-79"/>
            </a:rPr>
            <a:t> VENTAS</a:t>
          </a:r>
          <a:endParaRPr lang="es-CO" sz="2400" b="1">
            <a:solidFill>
              <a:srgbClr val="292669"/>
            </a:solidFill>
            <a:latin typeface="Aharoni" panose="020F0502020204030204" pitchFamily="2" charset="-79"/>
            <a:cs typeface="Aharoni" panose="020F0502020204030204" pitchFamily="2" charset="-79"/>
          </a:endParaRPr>
        </a:p>
      </xdr:txBody>
    </xdr:sp>
    <xdr:clientData/>
  </xdr:oneCellAnchor>
  <xdr:oneCellAnchor>
    <xdr:from>
      <xdr:col>6</xdr:col>
      <xdr:colOff>1127311</xdr:colOff>
      <xdr:row>9</xdr:row>
      <xdr:rowOff>589429</xdr:rowOff>
    </xdr:from>
    <xdr:ext cx="3294530" cy="396327"/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67555E0F-B3E8-4171-9343-0F70F56BED00}"/>
            </a:ext>
          </a:extLst>
        </xdr:cNvPr>
        <xdr:cNvSpPr txBox="1"/>
      </xdr:nvSpPr>
      <xdr:spPr>
        <a:xfrm>
          <a:off x="10977282" y="2494429"/>
          <a:ext cx="3294530" cy="3963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2400" b="1">
              <a:solidFill>
                <a:srgbClr val="292669"/>
              </a:solidFill>
              <a:latin typeface="Aharoni" panose="020F0502020204030204" pitchFamily="2" charset="-79"/>
              <a:cs typeface="Aharoni" panose="020F0502020204030204" pitchFamily="2" charset="-79"/>
            </a:rPr>
            <a:t>INVENTARIO T-</a:t>
          </a:r>
          <a:r>
            <a:rPr lang="es-CO" sz="2400" b="1" baseline="0">
              <a:solidFill>
                <a:srgbClr val="292669"/>
              </a:solidFill>
              <a:latin typeface="Aharoni" panose="020F0502020204030204" pitchFamily="2" charset="-79"/>
              <a:cs typeface="Aharoni" panose="020F0502020204030204" pitchFamily="2" charset="-79"/>
            </a:rPr>
            <a:t>1B</a:t>
          </a:r>
          <a:endParaRPr lang="es-CO" sz="2400" b="1">
            <a:solidFill>
              <a:srgbClr val="292669"/>
            </a:solidFill>
            <a:latin typeface="Aharoni" panose="020F0502020204030204" pitchFamily="2" charset="-79"/>
            <a:cs typeface="Aharoni" panose="020F0502020204030204" pitchFamily="2" charset="-79"/>
          </a:endParaRPr>
        </a:p>
      </xdr:txBody>
    </xdr:sp>
    <xdr:clientData/>
  </xdr:oneCellAnchor>
  <xdr:oneCellAnchor>
    <xdr:from>
      <xdr:col>13</xdr:col>
      <xdr:colOff>36820</xdr:colOff>
      <xdr:row>9</xdr:row>
      <xdr:rowOff>537083</xdr:rowOff>
    </xdr:from>
    <xdr:ext cx="3294530" cy="396327"/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8CD39F13-303D-45E3-9F62-F49F40BAB831}"/>
            </a:ext>
          </a:extLst>
        </xdr:cNvPr>
        <xdr:cNvSpPr txBox="1"/>
      </xdr:nvSpPr>
      <xdr:spPr>
        <a:xfrm>
          <a:off x="20902173" y="2442083"/>
          <a:ext cx="3294530" cy="3963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2400" b="1">
              <a:solidFill>
                <a:srgbClr val="292669"/>
              </a:solidFill>
              <a:latin typeface="Aharoni" panose="020F0502020204030204" pitchFamily="2" charset="-79"/>
              <a:cs typeface="Aharoni" panose="020F0502020204030204" pitchFamily="2" charset="-79"/>
            </a:rPr>
            <a:t>INVENTARIO T-</a:t>
          </a:r>
          <a:r>
            <a:rPr lang="es-CO" sz="2400" b="1" baseline="0">
              <a:solidFill>
                <a:srgbClr val="292669"/>
              </a:solidFill>
              <a:latin typeface="Aharoni" panose="020F0502020204030204" pitchFamily="2" charset="-79"/>
              <a:cs typeface="Aharoni" panose="020F0502020204030204" pitchFamily="2" charset="-79"/>
            </a:rPr>
            <a:t>2</a:t>
          </a:r>
          <a:endParaRPr lang="es-CO" sz="2400" b="1">
            <a:solidFill>
              <a:srgbClr val="292669"/>
            </a:solidFill>
            <a:latin typeface="Aharoni" panose="020F0502020204030204" pitchFamily="2" charset="-79"/>
            <a:cs typeface="Aharoni" panose="020F0502020204030204" pitchFamily="2" charset="-79"/>
          </a:endParaRPr>
        </a:p>
      </xdr:txBody>
    </xdr:sp>
    <xdr:clientData/>
  </xdr:oneCellAnchor>
  <xdr:oneCellAnchor>
    <xdr:from>
      <xdr:col>18</xdr:col>
      <xdr:colOff>1546412</xdr:colOff>
      <xdr:row>9</xdr:row>
      <xdr:rowOff>560294</xdr:rowOff>
    </xdr:from>
    <xdr:ext cx="3294530" cy="396327"/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3C3E7026-6BEE-4C49-A630-5255A02C33FA}"/>
            </a:ext>
          </a:extLst>
        </xdr:cNvPr>
        <xdr:cNvSpPr txBox="1"/>
      </xdr:nvSpPr>
      <xdr:spPr>
        <a:xfrm>
          <a:off x="31051500" y="2465294"/>
          <a:ext cx="3294530" cy="3963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2400" b="1">
              <a:solidFill>
                <a:srgbClr val="292669"/>
              </a:solidFill>
              <a:latin typeface="Aharoni" panose="020F0502020204030204" pitchFamily="2" charset="-79"/>
              <a:cs typeface="Aharoni" panose="020F0502020204030204" pitchFamily="2" charset="-79"/>
            </a:rPr>
            <a:t>INVENTARIO T-</a:t>
          </a:r>
          <a:r>
            <a:rPr lang="es-CO" sz="2400" b="1" baseline="0">
              <a:solidFill>
                <a:srgbClr val="292669"/>
              </a:solidFill>
              <a:latin typeface="Aharoni" panose="020F0502020204030204" pitchFamily="2" charset="-79"/>
              <a:cs typeface="Aharoni" panose="020F0502020204030204" pitchFamily="2" charset="-79"/>
            </a:rPr>
            <a:t>3A</a:t>
          </a:r>
          <a:endParaRPr lang="es-CO" sz="2400" b="1">
            <a:solidFill>
              <a:srgbClr val="292669"/>
            </a:solidFill>
            <a:latin typeface="Aharoni" panose="020F0502020204030204" pitchFamily="2" charset="-79"/>
            <a:cs typeface="Aharoni" panose="020F0502020204030204" pitchFamily="2" charset="-79"/>
          </a:endParaRPr>
        </a:p>
      </xdr:txBody>
    </xdr:sp>
    <xdr:clientData/>
  </xdr:oneCellAnchor>
  <xdr:oneCellAnchor>
    <xdr:from>
      <xdr:col>25</xdr:col>
      <xdr:colOff>44824</xdr:colOff>
      <xdr:row>9</xdr:row>
      <xdr:rowOff>481853</xdr:rowOff>
    </xdr:from>
    <xdr:ext cx="3294530" cy="396327"/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FA335148-46F7-46FF-AFD1-C654769C6A9D}"/>
            </a:ext>
          </a:extLst>
        </xdr:cNvPr>
        <xdr:cNvSpPr txBox="1"/>
      </xdr:nvSpPr>
      <xdr:spPr>
        <a:xfrm>
          <a:off x="41058353" y="2386853"/>
          <a:ext cx="3294530" cy="3963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2400" b="1">
              <a:solidFill>
                <a:srgbClr val="292669"/>
              </a:solidFill>
              <a:latin typeface="Aharoni" panose="020F0502020204030204" pitchFamily="2" charset="-79"/>
              <a:cs typeface="Aharoni" panose="020F0502020204030204" pitchFamily="2" charset="-79"/>
            </a:rPr>
            <a:t>INVENTARIO T-</a:t>
          </a:r>
          <a:r>
            <a:rPr lang="es-CO" sz="2400" b="1" baseline="0">
              <a:solidFill>
                <a:srgbClr val="292669"/>
              </a:solidFill>
              <a:latin typeface="Aharoni" panose="020F0502020204030204" pitchFamily="2" charset="-79"/>
              <a:cs typeface="Aharoni" panose="020F0502020204030204" pitchFamily="2" charset="-79"/>
            </a:rPr>
            <a:t>3B</a:t>
          </a:r>
          <a:endParaRPr lang="es-CO" sz="2400" b="1">
            <a:solidFill>
              <a:srgbClr val="292669"/>
            </a:solidFill>
            <a:latin typeface="Aharoni" panose="020F0502020204030204" pitchFamily="2" charset="-79"/>
            <a:cs typeface="Aharoni" panose="020F0502020204030204" pitchFamily="2" charset="-79"/>
          </a:endParaRPr>
        </a:p>
      </xdr:txBody>
    </xdr:sp>
    <xdr:clientData/>
  </xdr:oneCellAnchor>
  <xdr:oneCellAnchor>
    <xdr:from>
      <xdr:col>32</xdr:col>
      <xdr:colOff>1042148</xdr:colOff>
      <xdr:row>6</xdr:row>
      <xdr:rowOff>121584</xdr:rowOff>
    </xdr:from>
    <xdr:ext cx="3294530" cy="396327"/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536A9088-56EF-4FDF-8CE7-033CBCFFDA67}"/>
            </a:ext>
          </a:extLst>
        </xdr:cNvPr>
        <xdr:cNvSpPr txBox="1"/>
      </xdr:nvSpPr>
      <xdr:spPr>
        <a:xfrm>
          <a:off x="53620148" y="1578909"/>
          <a:ext cx="3294530" cy="3963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2400" b="1">
              <a:solidFill>
                <a:srgbClr val="292669"/>
              </a:solidFill>
              <a:latin typeface="Aharoni" panose="020F0502020204030204" pitchFamily="2" charset="-79"/>
              <a:cs typeface="Aharoni" panose="020F0502020204030204" pitchFamily="2" charset="-79"/>
            </a:rPr>
            <a:t>INVENTARIO</a:t>
          </a:r>
          <a:r>
            <a:rPr lang="es-CO" sz="2400" b="1" baseline="0">
              <a:solidFill>
                <a:srgbClr val="292669"/>
              </a:solidFill>
              <a:latin typeface="Aharoni" panose="020F0502020204030204" pitchFamily="2" charset="-79"/>
              <a:cs typeface="Aharoni" panose="020F0502020204030204" pitchFamily="2" charset="-79"/>
            </a:rPr>
            <a:t> TOTAL</a:t>
          </a:r>
          <a:endParaRPr lang="es-CO" sz="2400" b="1">
            <a:solidFill>
              <a:srgbClr val="292669"/>
            </a:solidFill>
            <a:latin typeface="Aharoni" panose="020F0502020204030204" pitchFamily="2" charset="-79"/>
            <a:cs typeface="Aharoni" panose="020F0502020204030204" pitchFamily="2" charset="-79"/>
          </a:endParaRP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0</xdr:colOff>
      <xdr:row>3</xdr:row>
      <xdr:rowOff>85725</xdr:rowOff>
    </xdr:to>
    <xdr:pic>
      <xdr:nvPicPr>
        <xdr:cNvPr id="11516" name="Picture 2070" descr="logoequilibrium">
          <a:extLst>
            <a:ext uri="{FF2B5EF4-FFF2-40B4-BE49-F238E27FC236}">
              <a16:creationId xmlns:a16="http://schemas.microsoft.com/office/drawing/2014/main" id="{00000000-0008-0000-0800-0000FC2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0"/>
          <a:ext cx="0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38100</xdr:colOff>
      <xdr:row>2</xdr:row>
      <xdr:rowOff>95250</xdr:rowOff>
    </xdr:from>
    <xdr:to>
      <xdr:col>1</xdr:col>
      <xdr:colOff>507206</xdr:colOff>
      <xdr:row>3</xdr:row>
      <xdr:rowOff>69055</xdr:rowOff>
    </xdr:to>
    <xdr:sp macro="" textlink="">
      <xdr:nvSpPr>
        <xdr:cNvPr id="7" name="AutoShape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>
          <a:spLocks noChangeArrowheads="1"/>
        </xdr:cNvSpPr>
      </xdr:nvSpPr>
      <xdr:spPr bwMode="auto">
        <a:xfrm>
          <a:off x="95250" y="114300"/>
          <a:ext cx="469106" cy="240505"/>
        </a:xfrm>
        <a:prstGeom prst="roundRect">
          <a:avLst>
            <a:gd name="adj" fmla="val 16667"/>
          </a:avLst>
        </a:prstGeom>
        <a:solidFill>
          <a:schemeClr val="bg1">
            <a:lumMod val="95000"/>
          </a:schemeClr>
        </a:solidFill>
        <a:ln w="9525" algn="ctr">
          <a:noFill/>
          <a:round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1">
            <a:defRPr sz="1000"/>
          </a:pPr>
          <a:r>
            <a:rPr lang="es-MX" sz="700" b="0" i="0" strike="noStrike">
              <a:solidFill>
                <a:sysClr val="windowText" lastClr="000000"/>
              </a:solidFill>
              <a:latin typeface="+mn-lt"/>
            </a:rPr>
            <a:t>Volver</a:t>
          </a:r>
        </a:p>
      </xdr:txBody>
    </xdr:sp>
    <xdr:clientData fPrintsWithSheet="0"/>
  </xdr:twoCellAnchor>
  <xdr:twoCellAnchor editAs="oneCell">
    <xdr:from>
      <xdr:col>24</xdr:col>
      <xdr:colOff>233288</xdr:colOff>
      <xdr:row>2</xdr:row>
      <xdr:rowOff>123825</xdr:rowOff>
    </xdr:from>
    <xdr:to>
      <xdr:col>24</xdr:col>
      <xdr:colOff>998008</xdr:colOff>
      <xdr:row>4</xdr:row>
      <xdr:rowOff>1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208" b="15094"/>
        <a:stretch/>
      </xdr:blipFill>
      <xdr:spPr bwMode="auto">
        <a:xfrm>
          <a:off x="12482438" y="142875"/>
          <a:ext cx="764720" cy="381001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275167</xdr:colOff>
      <xdr:row>5</xdr:row>
      <xdr:rowOff>31749</xdr:rowOff>
    </xdr:from>
    <xdr:to>
      <xdr:col>0</xdr:col>
      <xdr:colOff>820473</xdr:colOff>
      <xdr:row>5</xdr:row>
      <xdr:rowOff>253204</xdr:rowOff>
    </xdr:to>
    <xdr:sp macro="" textlink="">
      <xdr:nvSpPr>
        <xdr:cNvPr id="5" name="AutoShap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>
          <a:spLocks noChangeArrowheads="1"/>
        </xdr:cNvSpPr>
      </xdr:nvSpPr>
      <xdr:spPr bwMode="auto">
        <a:xfrm>
          <a:off x="275167" y="973666"/>
          <a:ext cx="545306" cy="221455"/>
        </a:xfrm>
        <a:prstGeom prst="roundRect">
          <a:avLst>
            <a:gd name="adj" fmla="val 16667"/>
          </a:avLst>
        </a:prstGeom>
        <a:solidFill>
          <a:schemeClr val="bg1">
            <a:lumMod val="95000"/>
          </a:schemeClr>
        </a:solidFill>
        <a:ln w="9525" algn="ctr">
          <a:noFill/>
          <a:round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1">
            <a:defRPr sz="1000"/>
          </a:pPr>
          <a:r>
            <a:rPr lang="es-MX" sz="800" b="0" i="0" strike="noStrike">
              <a:solidFill>
                <a:sysClr val="windowText" lastClr="000000"/>
              </a:solidFill>
              <a:latin typeface="+mn-lt"/>
            </a:rPr>
            <a:t>Volver</a:t>
          </a:r>
        </a:p>
      </xdr:txBody>
    </xdr:sp>
    <xdr:clientData fPrintsWithSheet="0"/>
  </xdr:twoCellAnchor>
  <xdr:twoCellAnchor editAs="oneCell">
    <xdr:from>
      <xdr:col>39</xdr:col>
      <xdr:colOff>709082</xdr:colOff>
      <xdr:row>0</xdr:row>
      <xdr:rowOff>63501</xdr:rowOff>
    </xdr:from>
    <xdr:to>
      <xdr:col>40</xdr:col>
      <xdr:colOff>864658</xdr:colOff>
      <xdr:row>2</xdr:row>
      <xdr:rowOff>149348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208" b="15094"/>
        <a:stretch/>
      </xdr:blipFill>
      <xdr:spPr bwMode="auto">
        <a:xfrm>
          <a:off x="12964582" y="63501"/>
          <a:ext cx="1174751" cy="50918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468468</xdr:colOff>
      <xdr:row>0</xdr:row>
      <xdr:rowOff>116914</xdr:rowOff>
    </xdr:from>
    <xdr:to>
      <xdr:col>0</xdr:col>
      <xdr:colOff>1013774</xdr:colOff>
      <xdr:row>1</xdr:row>
      <xdr:rowOff>124337</xdr:rowOff>
    </xdr:to>
    <xdr:sp macro="" textlink="">
      <xdr:nvSpPr>
        <xdr:cNvPr id="2" name="AutoShap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F19C270-925A-425B-B530-FFEFC70485BF}"/>
            </a:ext>
          </a:extLst>
        </xdr:cNvPr>
        <xdr:cNvSpPr>
          <a:spLocks noChangeArrowheads="1"/>
        </xdr:cNvSpPr>
      </xdr:nvSpPr>
      <xdr:spPr bwMode="auto">
        <a:xfrm>
          <a:off x="468468" y="116914"/>
          <a:ext cx="545306" cy="169348"/>
        </a:xfrm>
        <a:prstGeom prst="roundRect">
          <a:avLst>
            <a:gd name="adj" fmla="val 16667"/>
          </a:avLst>
        </a:prstGeom>
        <a:solidFill>
          <a:schemeClr val="bg1">
            <a:lumMod val="95000"/>
          </a:schemeClr>
        </a:solidFill>
        <a:ln w="9525" algn="ctr">
          <a:noFill/>
          <a:round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1">
            <a:defRPr sz="1000"/>
          </a:pPr>
          <a:r>
            <a:rPr lang="es-MX" sz="800" b="0" i="0" strike="noStrike">
              <a:solidFill>
                <a:sysClr val="windowText" lastClr="000000"/>
              </a:solidFill>
              <a:latin typeface="+mn-lt"/>
            </a:rPr>
            <a:t>Volver</a:t>
          </a:r>
        </a:p>
      </xdr:txBody>
    </xdr:sp>
    <xdr:clientData fPrintsWithSheet="0"/>
  </xdr:twoCellAnchor>
  <xdr:twoCellAnchor editAs="oneCell">
    <xdr:from>
      <xdr:col>40</xdr:col>
      <xdr:colOff>632882</xdr:colOff>
      <xdr:row>0</xdr:row>
      <xdr:rowOff>0</xdr:rowOff>
    </xdr:from>
    <xdr:to>
      <xdr:col>48</xdr:col>
      <xdr:colOff>202006</xdr:colOff>
      <xdr:row>6</xdr:row>
      <xdr:rowOff>132133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71C2D3E-2221-4A06-BBDD-B5AA1448774C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208" b="15094"/>
        <a:stretch/>
      </xdr:blipFill>
      <xdr:spPr bwMode="auto">
        <a:xfrm>
          <a:off x="68984282" y="0"/>
          <a:ext cx="1181162" cy="526799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oneCellAnchor>
    <xdr:from>
      <xdr:col>3</xdr:col>
      <xdr:colOff>647700</xdr:colOff>
      <xdr:row>0</xdr:row>
      <xdr:rowOff>66675</xdr:rowOff>
    </xdr:from>
    <xdr:ext cx="2409825" cy="311496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A0409E1A-93C7-2E34-C985-A41F6F07C7D0}"/>
            </a:ext>
          </a:extLst>
        </xdr:cNvPr>
        <xdr:cNvSpPr txBox="1"/>
      </xdr:nvSpPr>
      <xdr:spPr>
        <a:xfrm>
          <a:off x="5048250" y="66675"/>
          <a:ext cx="240982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400" b="1">
              <a:solidFill>
                <a:srgbClr val="292669"/>
              </a:solidFill>
            </a:rPr>
            <a:t>     PROYECCION</a:t>
          </a:r>
          <a:r>
            <a:rPr lang="es-CO" sz="1400" b="1" baseline="0">
              <a:solidFill>
                <a:srgbClr val="292669"/>
              </a:solidFill>
            </a:rPr>
            <a:t> RECAUDOS</a:t>
          </a:r>
          <a:endParaRPr lang="es-CO" sz="1400" b="1">
            <a:solidFill>
              <a:srgbClr val="292669"/>
            </a:solidFill>
          </a:endParaRP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</xdr:col>
      <xdr:colOff>545306</xdr:colOff>
      <xdr:row>1</xdr:row>
      <xdr:rowOff>221455</xdr:rowOff>
    </xdr:to>
    <xdr:sp macro="" textlink="">
      <xdr:nvSpPr>
        <xdr:cNvPr id="5" name="AutoShap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rrowheads="1"/>
        </xdr:cNvSpPr>
      </xdr:nvSpPr>
      <xdr:spPr bwMode="auto">
        <a:xfrm>
          <a:off x="38100" y="47625"/>
          <a:ext cx="545306" cy="221455"/>
        </a:xfrm>
        <a:prstGeom prst="roundRect">
          <a:avLst>
            <a:gd name="adj" fmla="val 16667"/>
          </a:avLst>
        </a:prstGeom>
        <a:solidFill>
          <a:schemeClr val="bg1">
            <a:lumMod val="95000"/>
          </a:schemeClr>
        </a:solidFill>
        <a:ln w="9525" algn="ctr">
          <a:noFill/>
          <a:round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1">
            <a:defRPr sz="1000"/>
          </a:pPr>
          <a:r>
            <a:rPr lang="es-MX" sz="1050" b="0" i="0" strike="noStrike">
              <a:solidFill>
                <a:sysClr val="windowText" lastClr="000000"/>
              </a:solidFill>
              <a:latin typeface="+mn-lt"/>
            </a:rPr>
            <a:t>Volver</a:t>
          </a:r>
        </a:p>
      </xdr:txBody>
    </xdr:sp>
    <xdr:clientData fPrintsWithSheet="0"/>
  </xdr:twoCellAnchor>
  <xdr:twoCellAnchor editAs="oneCell">
    <xdr:from>
      <xdr:col>13</xdr:col>
      <xdr:colOff>0</xdr:colOff>
      <xdr:row>0</xdr:row>
      <xdr:rowOff>9525</xdr:rowOff>
    </xdr:from>
    <xdr:to>
      <xdr:col>13</xdr:col>
      <xdr:colOff>877294</xdr:colOff>
      <xdr:row>2</xdr:row>
      <xdr:rowOff>94746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208" b="15094"/>
        <a:stretch/>
      </xdr:blipFill>
      <xdr:spPr bwMode="auto">
        <a:xfrm>
          <a:off x="11772900" y="9525"/>
          <a:ext cx="877294" cy="399546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</xdr:col>
      <xdr:colOff>545306</xdr:colOff>
      <xdr:row>1</xdr:row>
      <xdr:rowOff>221455</xdr:rowOff>
    </xdr:to>
    <xdr:sp macro="" textlink="">
      <xdr:nvSpPr>
        <xdr:cNvPr id="2" name="AutoShap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F13AE18-8386-4320-824A-F7DBB04AB768}"/>
            </a:ext>
          </a:extLst>
        </xdr:cNvPr>
        <xdr:cNvSpPr>
          <a:spLocks noChangeArrowheads="1"/>
        </xdr:cNvSpPr>
      </xdr:nvSpPr>
      <xdr:spPr bwMode="auto">
        <a:xfrm>
          <a:off x="38100" y="47625"/>
          <a:ext cx="459581" cy="221455"/>
        </a:xfrm>
        <a:prstGeom prst="roundRect">
          <a:avLst>
            <a:gd name="adj" fmla="val 16667"/>
          </a:avLst>
        </a:prstGeom>
        <a:solidFill>
          <a:schemeClr val="bg1">
            <a:lumMod val="95000"/>
          </a:schemeClr>
        </a:solidFill>
        <a:ln w="9525" algn="ctr">
          <a:noFill/>
          <a:round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1">
            <a:defRPr sz="1000"/>
          </a:pPr>
          <a:r>
            <a:rPr lang="es-MX" sz="1050" b="0" i="0" strike="noStrike">
              <a:solidFill>
                <a:sysClr val="windowText" lastClr="000000"/>
              </a:solidFill>
              <a:latin typeface="+mn-lt"/>
            </a:rPr>
            <a:t>Volver</a:t>
          </a:r>
        </a:p>
      </xdr:txBody>
    </xdr:sp>
    <xdr:clientData fPrintsWithSheet="0"/>
  </xdr:twoCellAnchor>
  <xdr:twoCellAnchor editAs="oneCell">
    <xdr:from>
      <xdr:col>13</xdr:col>
      <xdr:colOff>0</xdr:colOff>
      <xdr:row>0</xdr:row>
      <xdr:rowOff>9525</xdr:rowOff>
    </xdr:from>
    <xdr:to>
      <xdr:col>13</xdr:col>
      <xdr:colOff>877294</xdr:colOff>
      <xdr:row>2</xdr:row>
      <xdr:rowOff>94746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E94AC9C-8E23-4BDE-8F3B-1BD12606D55C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208" b="15094"/>
        <a:stretch/>
      </xdr:blipFill>
      <xdr:spPr bwMode="auto">
        <a:xfrm>
          <a:off x="12030075" y="9525"/>
          <a:ext cx="877294" cy="399546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661896</xdr:colOff>
      <xdr:row>65</xdr:row>
      <xdr:rowOff>87965</xdr:rowOff>
    </xdr:from>
    <xdr:to>
      <xdr:col>7</xdr:col>
      <xdr:colOff>594661</xdr:colOff>
      <xdr:row>80</xdr:row>
      <xdr:rowOff>15687</xdr:rowOff>
    </xdr:to>
    <xdr:graphicFrame macro="">
      <xdr:nvGraphicFramePr>
        <xdr:cNvPr id="5322" name="6 Gráfico">
          <a:extLst>
            <a:ext uri="{FF2B5EF4-FFF2-40B4-BE49-F238E27FC236}">
              <a16:creationId xmlns:a16="http://schemas.microsoft.com/office/drawing/2014/main" id="{00000000-0008-0000-0300-0000CA1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425823</xdr:colOff>
      <xdr:row>1</xdr:row>
      <xdr:rowOff>33618</xdr:rowOff>
    </xdr:from>
    <xdr:to>
      <xdr:col>0</xdr:col>
      <xdr:colOff>971129</xdr:colOff>
      <xdr:row>1</xdr:row>
      <xdr:rowOff>255073</xdr:rowOff>
    </xdr:to>
    <xdr:sp macro="" textlink="">
      <xdr:nvSpPr>
        <xdr:cNvPr id="6" name="AutoShape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>
          <a:spLocks noChangeArrowheads="1"/>
        </xdr:cNvSpPr>
      </xdr:nvSpPr>
      <xdr:spPr bwMode="auto">
        <a:xfrm>
          <a:off x="425823" y="302559"/>
          <a:ext cx="545306" cy="221455"/>
        </a:xfrm>
        <a:prstGeom prst="roundRect">
          <a:avLst>
            <a:gd name="adj" fmla="val 16667"/>
          </a:avLst>
        </a:prstGeom>
        <a:solidFill>
          <a:schemeClr val="bg1">
            <a:lumMod val="95000"/>
          </a:schemeClr>
        </a:solidFill>
        <a:ln w="9525" algn="ctr">
          <a:noFill/>
          <a:round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1">
            <a:defRPr sz="1000"/>
          </a:pPr>
          <a:r>
            <a:rPr lang="es-MX" sz="1050" b="0" i="0" strike="noStrike">
              <a:solidFill>
                <a:sysClr val="windowText" lastClr="000000"/>
              </a:solidFill>
              <a:latin typeface="+mn-lt"/>
            </a:rPr>
            <a:t>Volver</a:t>
          </a:r>
        </a:p>
      </xdr:txBody>
    </xdr:sp>
    <xdr:clientData fPrintsWithSheet="0"/>
  </xdr:twoCellAnchor>
  <xdr:twoCellAnchor editAs="oneCell">
    <xdr:from>
      <xdr:col>9</xdr:col>
      <xdr:colOff>1064557</xdr:colOff>
      <xdr:row>0</xdr:row>
      <xdr:rowOff>168087</xdr:rowOff>
    </xdr:from>
    <xdr:to>
      <xdr:col>10</xdr:col>
      <xdr:colOff>998005</xdr:colOff>
      <xdr:row>2</xdr:row>
      <xdr:rowOff>65085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208" b="15094"/>
        <a:stretch/>
      </xdr:blipFill>
      <xdr:spPr bwMode="auto">
        <a:xfrm>
          <a:off x="10533528" y="168087"/>
          <a:ext cx="1095685" cy="47167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425823</xdr:colOff>
      <xdr:row>1</xdr:row>
      <xdr:rowOff>33618</xdr:rowOff>
    </xdr:from>
    <xdr:to>
      <xdr:col>0</xdr:col>
      <xdr:colOff>971129</xdr:colOff>
      <xdr:row>1</xdr:row>
      <xdr:rowOff>255073</xdr:rowOff>
    </xdr:to>
    <xdr:sp macro="" textlink="">
      <xdr:nvSpPr>
        <xdr:cNvPr id="3" name="AutoShap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C465AEA-A271-4A3C-9A70-7A7F2BD08E14}"/>
            </a:ext>
          </a:extLst>
        </xdr:cNvPr>
        <xdr:cNvSpPr>
          <a:spLocks noChangeArrowheads="1"/>
        </xdr:cNvSpPr>
      </xdr:nvSpPr>
      <xdr:spPr bwMode="auto">
        <a:xfrm>
          <a:off x="425823" y="300318"/>
          <a:ext cx="545306" cy="221455"/>
        </a:xfrm>
        <a:prstGeom prst="roundRect">
          <a:avLst>
            <a:gd name="adj" fmla="val 16667"/>
          </a:avLst>
        </a:prstGeom>
        <a:solidFill>
          <a:schemeClr val="bg1">
            <a:lumMod val="95000"/>
          </a:schemeClr>
        </a:solidFill>
        <a:ln w="9525" algn="ctr">
          <a:noFill/>
          <a:round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1">
            <a:defRPr sz="1000"/>
          </a:pPr>
          <a:r>
            <a:rPr lang="es-MX" sz="1050" b="0" i="0" strike="noStrike">
              <a:solidFill>
                <a:sysClr val="windowText" lastClr="000000"/>
              </a:solidFill>
              <a:latin typeface="+mn-lt"/>
            </a:rPr>
            <a:t>Volver</a:t>
          </a:r>
        </a:p>
      </xdr:txBody>
    </xdr:sp>
    <xdr:clientData fPrintsWithSheet="0"/>
  </xdr:twoCellAnchor>
  <xdr:twoCellAnchor editAs="oneCell">
    <xdr:from>
      <xdr:col>7</xdr:col>
      <xdr:colOff>1502707</xdr:colOff>
      <xdr:row>0</xdr:row>
      <xdr:rowOff>168087</xdr:rowOff>
    </xdr:from>
    <xdr:to>
      <xdr:col>8</xdr:col>
      <xdr:colOff>850646</xdr:colOff>
      <xdr:row>2</xdr:row>
      <xdr:rowOff>65085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11106661-03D7-4D7B-B50B-A1ECF47C3278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208" b="15094"/>
        <a:stretch/>
      </xdr:blipFill>
      <xdr:spPr bwMode="auto">
        <a:xfrm>
          <a:off x="11761132" y="168087"/>
          <a:ext cx="1091014" cy="46849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</xdr:col>
      <xdr:colOff>171450</xdr:colOff>
      <xdr:row>17</xdr:row>
      <xdr:rowOff>150159</xdr:rowOff>
    </xdr:from>
    <xdr:to>
      <xdr:col>6</xdr:col>
      <xdr:colOff>919369</xdr:colOff>
      <xdr:row>19</xdr:row>
      <xdr:rowOff>142874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oncepto">
              <a:extLst>
                <a:ext uri="{FF2B5EF4-FFF2-40B4-BE49-F238E27FC236}">
                  <a16:creationId xmlns:a16="http://schemas.microsoft.com/office/drawing/2014/main" id="{018F2EB2-6675-DFB0-D7A0-3D51E5CEF55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ncep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00450" y="3112434"/>
              <a:ext cx="6662944" cy="67851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1219200</xdr:colOff>
      <xdr:row>0</xdr:row>
      <xdr:rowOff>114300</xdr:rowOff>
    </xdr:from>
    <xdr:to>
      <xdr:col>5</xdr:col>
      <xdr:colOff>1362075</xdr:colOff>
      <xdr:row>1</xdr:row>
      <xdr:rowOff>257175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2A4CFBB5-11C4-B908-8B49-5A75213B21D3}"/>
            </a:ext>
          </a:extLst>
        </xdr:cNvPr>
        <xdr:cNvSpPr txBox="1"/>
      </xdr:nvSpPr>
      <xdr:spPr>
        <a:xfrm>
          <a:off x="4648200" y="114300"/>
          <a:ext cx="5124450" cy="40957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2000" b="1">
              <a:solidFill>
                <a:srgbClr val="292669"/>
              </a:solidFill>
            </a:rPr>
            <a:t>VENTAS MES</a:t>
          </a:r>
          <a:r>
            <a:rPr lang="es-CO" sz="2000" b="1" baseline="0">
              <a:solidFill>
                <a:srgbClr val="292669"/>
              </a:solidFill>
            </a:rPr>
            <a:t> A MES </a:t>
          </a:r>
          <a:endParaRPr lang="es-CO" sz="2000" b="1">
            <a:solidFill>
              <a:srgbClr val="292669"/>
            </a:solidFill>
          </a:endParaRPr>
        </a:p>
      </xdr:txBody>
    </xdr:sp>
    <xdr:clientData/>
  </xdr:twoCellAnchor>
  <xdr:twoCellAnchor>
    <xdr:from>
      <xdr:col>3</xdr:col>
      <xdr:colOff>237297</xdr:colOff>
      <xdr:row>13</xdr:row>
      <xdr:rowOff>97321</xdr:rowOff>
    </xdr:from>
    <xdr:to>
      <xdr:col>6</xdr:col>
      <xdr:colOff>16151</xdr:colOff>
      <xdr:row>17</xdr:row>
      <xdr:rowOff>53423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CF277756-791F-404F-9472-EA690E8237B8}"/>
            </a:ext>
          </a:extLst>
        </xdr:cNvPr>
        <xdr:cNvSpPr txBox="1"/>
      </xdr:nvSpPr>
      <xdr:spPr>
        <a:xfrm>
          <a:off x="4780722" y="2611921"/>
          <a:ext cx="4379429" cy="403777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2000" b="1">
              <a:solidFill>
                <a:srgbClr val="292669"/>
              </a:solidFill>
            </a:rPr>
            <a:t>DESISTIMIENTOS</a:t>
          </a:r>
          <a:r>
            <a:rPr lang="es-CO" sz="2000" b="1" baseline="0">
              <a:solidFill>
                <a:srgbClr val="292669"/>
              </a:solidFill>
            </a:rPr>
            <a:t> POR TORRE</a:t>
          </a:r>
          <a:endParaRPr lang="es-CO" sz="2000" b="1">
            <a:solidFill>
              <a:srgbClr val="292669"/>
            </a:solidFill>
          </a:endParaRPr>
        </a:p>
      </xdr:txBody>
    </xdr:sp>
    <xdr:clientData/>
  </xdr:twoCellAnchor>
  <xdr:twoCellAnchor>
    <xdr:from>
      <xdr:col>3</xdr:col>
      <xdr:colOff>400050</xdr:colOff>
      <xdr:row>28</xdr:row>
      <xdr:rowOff>47625</xdr:rowOff>
    </xdr:from>
    <xdr:to>
      <xdr:col>5</xdr:col>
      <xdr:colOff>1657350</xdr:colOff>
      <xdr:row>30</xdr:row>
      <xdr:rowOff>133350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253E25E9-7BA2-4433-B229-96CA9F980F04}"/>
            </a:ext>
          </a:extLst>
        </xdr:cNvPr>
        <xdr:cNvSpPr txBox="1"/>
      </xdr:nvSpPr>
      <xdr:spPr>
        <a:xfrm>
          <a:off x="4943475" y="4819650"/>
          <a:ext cx="4114800" cy="40957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2000" b="1">
              <a:solidFill>
                <a:srgbClr val="292669"/>
              </a:solidFill>
            </a:rPr>
            <a:t>VENTAS</a:t>
          </a:r>
          <a:r>
            <a:rPr lang="es-CO" sz="2000" b="1" baseline="0">
              <a:solidFill>
                <a:srgbClr val="292669"/>
              </a:solidFill>
            </a:rPr>
            <a:t> POR TORRE</a:t>
          </a:r>
          <a:endParaRPr lang="es-CO" sz="2000" b="1">
            <a:solidFill>
              <a:srgbClr val="292669"/>
            </a:solidFill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257175</xdr:rowOff>
    </xdr:from>
    <xdr:to>
      <xdr:col>2</xdr:col>
      <xdr:colOff>600075</xdr:colOff>
      <xdr:row>1</xdr:row>
      <xdr:rowOff>171450</xdr:rowOff>
    </xdr:to>
    <xdr:sp macro="" textlink="">
      <xdr:nvSpPr>
        <xdr:cNvPr id="2" name="AutoShape 3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rrowheads="1"/>
        </xdr:cNvSpPr>
      </xdr:nvSpPr>
      <xdr:spPr bwMode="auto">
        <a:xfrm>
          <a:off x="2809875" y="155575"/>
          <a:ext cx="419100" cy="161925"/>
        </a:xfrm>
        <a:prstGeom prst="roundRect">
          <a:avLst>
            <a:gd name="adj" fmla="val 16667"/>
          </a:avLst>
        </a:prstGeom>
        <a:solidFill>
          <a:schemeClr val="bg1">
            <a:lumMod val="95000"/>
          </a:schemeClr>
        </a:solidFill>
        <a:ln w="9525">
          <a:noFill/>
          <a:round/>
          <a:headEnd/>
          <a:tailEnd/>
        </a:ln>
        <a:effectLst/>
      </xdr:spPr>
      <xdr:txBody>
        <a:bodyPr vertOverflow="clip" wrap="square" lIns="27432" tIns="32004" rIns="27432" bIns="32004" anchor="ctr" upright="1"/>
        <a:lstStyle/>
        <a:p>
          <a:pPr algn="ctr" rtl="0">
            <a:defRPr sz="1000"/>
          </a:pPr>
          <a:r>
            <a:rPr lang="es-ES" sz="800" b="0" i="0" strike="noStrike">
              <a:solidFill>
                <a:sysClr val="windowText" lastClr="000000"/>
              </a:solidFill>
              <a:latin typeface="+mn-lt"/>
            </a:rPr>
            <a:t>Volver</a:t>
          </a:r>
        </a:p>
      </xdr:txBody>
    </xdr:sp>
    <xdr:clientData fPrintsWithSheet="0"/>
  </xdr:twoCellAnchor>
  <xdr:oneCellAnchor>
    <xdr:from>
      <xdr:col>75</xdr:col>
      <xdr:colOff>295275</xdr:colOff>
      <xdr:row>0</xdr:row>
      <xdr:rowOff>0</xdr:rowOff>
    </xdr:from>
    <xdr:ext cx="581025" cy="336109"/>
    <xdr:pic>
      <xdr:nvPicPr>
        <xdr:cNvPr id="4" name="Picture 2">
          <a:extLst>
            <a:ext uri="{FF2B5EF4-FFF2-40B4-BE49-F238E27FC236}">
              <a16:creationId xmlns:a16="http://schemas.microsoft.com/office/drawing/2014/main" id="{9F0844EE-7AC4-4BE5-A6A9-5B0CD0D6855E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208" b="15094"/>
        <a:stretch/>
      </xdr:blipFill>
      <xdr:spPr bwMode="auto">
        <a:xfrm>
          <a:off x="33289875" y="0"/>
          <a:ext cx="581025" cy="336109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257175</xdr:rowOff>
    </xdr:from>
    <xdr:to>
      <xdr:col>2</xdr:col>
      <xdr:colOff>600075</xdr:colOff>
      <xdr:row>1</xdr:row>
      <xdr:rowOff>171450</xdr:rowOff>
    </xdr:to>
    <xdr:sp macro="" textlink="">
      <xdr:nvSpPr>
        <xdr:cNvPr id="2" name="AutoShape 3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E1046C-34E8-469D-9F89-6A6236946E0B}"/>
            </a:ext>
          </a:extLst>
        </xdr:cNvPr>
        <xdr:cNvSpPr>
          <a:spLocks noChangeArrowheads="1"/>
        </xdr:cNvSpPr>
      </xdr:nvSpPr>
      <xdr:spPr bwMode="auto">
        <a:xfrm>
          <a:off x="2743200" y="257175"/>
          <a:ext cx="419100" cy="180975"/>
        </a:xfrm>
        <a:prstGeom prst="roundRect">
          <a:avLst>
            <a:gd name="adj" fmla="val 16667"/>
          </a:avLst>
        </a:prstGeom>
        <a:solidFill>
          <a:schemeClr val="bg1">
            <a:lumMod val="95000"/>
          </a:schemeClr>
        </a:solidFill>
        <a:ln w="9525">
          <a:noFill/>
          <a:round/>
          <a:headEnd/>
          <a:tailEnd/>
        </a:ln>
        <a:effectLst/>
      </xdr:spPr>
      <xdr:txBody>
        <a:bodyPr vertOverflow="clip" wrap="square" lIns="27432" tIns="32004" rIns="27432" bIns="32004" anchor="ctr" upright="1"/>
        <a:lstStyle/>
        <a:p>
          <a:pPr algn="ctr" rtl="0">
            <a:defRPr sz="1000"/>
          </a:pPr>
          <a:r>
            <a:rPr lang="es-ES" sz="800" b="0" i="0" strike="noStrike">
              <a:solidFill>
                <a:sysClr val="windowText" lastClr="000000"/>
              </a:solidFill>
              <a:latin typeface="+mn-lt"/>
            </a:rPr>
            <a:t>Volver</a:t>
          </a:r>
        </a:p>
      </xdr:txBody>
    </xdr:sp>
    <xdr:clientData fPrintsWithSheet="0"/>
  </xdr:twoCellAnchor>
  <xdr:oneCellAnchor>
    <xdr:from>
      <xdr:col>75</xdr:col>
      <xdr:colOff>295275</xdr:colOff>
      <xdr:row>0</xdr:row>
      <xdr:rowOff>0</xdr:rowOff>
    </xdr:from>
    <xdr:ext cx="581025" cy="336109"/>
    <xdr:pic>
      <xdr:nvPicPr>
        <xdr:cNvPr id="3" name="Picture 2">
          <a:extLst>
            <a:ext uri="{FF2B5EF4-FFF2-40B4-BE49-F238E27FC236}">
              <a16:creationId xmlns:a16="http://schemas.microsoft.com/office/drawing/2014/main" id="{C526BC16-CD20-4055-B99A-2F71F079800C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208" b="15094"/>
        <a:stretch/>
      </xdr:blipFill>
      <xdr:spPr bwMode="auto">
        <a:xfrm>
          <a:off x="36937950" y="0"/>
          <a:ext cx="581025" cy="336109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2</xdr:row>
      <xdr:rowOff>230841</xdr:rowOff>
    </xdr:from>
    <xdr:to>
      <xdr:col>1</xdr:col>
      <xdr:colOff>847725</xdr:colOff>
      <xdr:row>4</xdr:row>
      <xdr:rowOff>189379</xdr:rowOff>
    </xdr:to>
    <xdr:sp macro="" textlink="">
      <xdr:nvSpPr>
        <xdr:cNvPr id="2" name="AutoShape 3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>
          <a:spLocks noChangeArrowheads="1"/>
        </xdr:cNvSpPr>
      </xdr:nvSpPr>
      <xdr:spPr bwMode="auto">
        <a:xfrm>
          <a:off x="165847" y="819150"/>
          <a:ext cx="723900" cy="266700"/>
        </a:xfrm>
        <a:prstGeom prst="roundRect">
          <a:avLst>
            <a:gd name="adj" fmla="val 16667"/>
          </a:avLst>
        </a:prstGeom>
        <a:solidFill>
          <a:srgbClr val="22BCAA"/>
        </a:solidFill>
        <a:ln w="9525">
          <a:noFill/>
          <a:round/>
          <a:headEnd/>
          <a:tailEnd/>
        </a:ln>
        <a:effectLst/>
      </xdr:spPr>
      <xdr:txBody>
        <a:bodyPr vertOverflow="clip" wrap="square" lIns="27432" tIns="32004" rIns="27432" bIns="32004" anchor="ctr" upright="1"/>
        <a:lstStyle/>
        <a:p>
          <a:pPr algn="ctr" rtl="0">
            <a:defRPr sz="1000"/>
          </a:pPr>
          <a:r>
            <a:rPr lang="es-ES" sz="1100" b="0" i="0" strike="noStrike">
              <a:solidFill>
                <a:schemeClr val="bg1"/>
              </a:solidFill>
              <a:latin typeface="Arial Black" pitchFamily="34" charset="0"/>
            </a:rPr>
            <a:t>Volver</a:t>
          </a:r>
          <a:endParaRPr lang="es-ES" sz="1200" b="0" i="0" strike="noStrike">
            <a:solidFill>
              <a:schemeClr val="bg1"/>
            </a:solidFill>
            <a:latin typeface="Arial Black" pitchFamily="34" charset="0"/>
          </a:endParaRPr>
        </a:p>
      </xdr:txBody>
    </xdr:sp>
    <xdr:clientData fPrintsWithSheet="0"/>
  </xdr:twoCellAnchor>
  <xdr:twoCellAnchor>
    <xdr:from>
      <xdr:col>1</xdr:col>
      <xdr:colOff>0</xdr:colOff>
      <xdr:row>53</xdr:row>
      <xdr:rowOff>0</xdr:rowOff>
    </xdr:from>
    <xdr:to>
      <xdr:col>13</xdr:col>
      <xdr:colOff>9525</xdr:colOff>
      <xdr:row>55</xdr:row>
      <xdr:rowOff>0</xdr:rowOff>
    </xdr:to>
    <xdr:sp macro="" textlink="">
      <xdr:nvSpPr>
        <xdr:cNvPr id="12443" name="Rectangle 44">
          <a:extLst>
            <a:ext uri="{FF2B5EF4-FFF2-40B4-BE49-F238E27FC236}">
              <a16:creationId xmlns:a16="http://schemas.microsoft.com/office/drawing/2014/main" id="{00000000-0008-0000-0900-00009B300000}"/>
            </a:ext>
          </a:extLst>
        </xdr:cNvPr>
        <xdr:cNvSpPr>
          <a:spLocks noChangeArrowheads="1"/>
        </xdr:cNvSpPr>
      </xdr:nvSpPr>
      <xdr:spPr bwMode="auto">
        <a:xfrm>
          <a:off x="38100" y="4905375"/>
          <a:ext cx="9610725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DCE0FC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1028700</xdr:colOff>
      <xdr:row>1</xdr:row>
      <xdr:rowOff>352425</xdr:rowOff>
    </xdr:to>
    <xdr:pic>
      <xdr:nvPicPr>
        <xdr:cNvPr id="12444" name="Picture 237" descr="logoequilibrium">
          <a:extLst>
            <a:ext uri="{FF2B5EF4-FFF2-40B4-BE49-F238E27FC236}">
              <a16:creationId xmlns:a16="http://schemas.microsoft.com/office/drawing/2014/main" id="{00000000-0008-0000-0900-00009C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066800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erso\OneDrive\Escritorio\Gerson\automatizcion\ATLANTICA\Ejemplo%20aut.xlsx" TargetMode="External"/><Relationship Id="rId1" Type="http://schemas.openxmlformats.org/officeDocument/2006/relationships/externalLinkPath" Target="Ejemplo%20aut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erso\OneDrive\Escritorio\Gerson\automatizcion\ATLANTICA\Detalle%20inmueble\Torres.xlsx" TargetMode="External"/><Relationship Id="rId1" Type="http://schemas.openxmlformats.org/officeDocument/2006/relationships/externalLinkPath" Target="Detalle%20inmueble/Torres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erso\OneDrive\Escritorio\Gerson\automatizcion\ATLANTICA\Proyeccion%20de%20Recaudos\TablaGeneral%20RECAUDO.xlsx" TargetMode="External"/><Relationship Id="rId1" Type="http://schemas.openxmlformats.org/officeDocument/2006/relationships/externalLinkPath" Target="Proyeccion%20de%20Recaudos/TablaGeneral%20RECAUD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ETALLE CLIENTE"/>
      <sheetName val="InfIndicadorVtaProyeccionPagos"/>
      <sheetName val="InfProgramacionIngresos1"/>
      <sheetName val="DESCUENTO"/>
      <sheetName val="DESISTIMIENTOS"/>
      <sheetName val="DETALLE INMUEBLE"/>
      <sheetName val="proyeccion_Recaudo"/>
      <sheetName val="Ejemplo au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ORRE 3B"/>
      <sheetName val="TORRE 3A"/>
      <sheetName val="TORRE 2"/>
      <sheetName val="TORRE 1B"/>
      <sheetName val="TORRE 1A"/>
      <sheetName val="Sheet1"/>
      <sheetName val="Torres"/>
    </sheetNames>
    <definedNames>
      <definedName name="TORRE_3B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etalle1"/>
      <sheetName val="REC TODAS LAS TORRES"/>
      <sheetName val="REDCAUDO T3B"/>
      <sheetName val="REDCAUDO T3A"/>
      <sheetName val="REDCAUDO T2"/>
      <sheetName val="REDCAUDO T1B"/>
      <sheetName val="REDCAUDO T1A"/>
      <sheetName val="Sheet1"/>
    </sheetNames>
    <sheetDataSet>
      <sheetData sheetId="0"/>
      <sheetData sheetId="1">
        <row r="4">
          <cell r="L4"/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Ejemplo%20aut.xlsx" TargetMode="External"/><Relationship Id="rId1" Type="http://schemas.openxmlformats.org/officeDocument/2006/relationships/pivotCacheRecords" Target="pivotCacheRecords1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Ejemplo%20aut.xlsx" TargetMode="External"/><Relationship Id="rId1" Type="http://schemas.openxmlformats.org/officeDocument/2006/relationships/pivotCacheRecords" Target="pivotCacheRecords2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8.xml.rels><?xml version="1.0" encoding="UTF-8" standalone="yes"?>
<Relationships xmlns="http://schemas.openxmlformats.org/package/2006/relationships"><Relationship Id="rId2" Type="http://schemas.openxmlformats.org/officeDocument/2006/relationships/externalLinkPath" Target="Proyeccion_R_T.xlsx" TargetMode="External"/><Relationship Id="rId1" Type="http://schemas.openxmlformats.org/officeDocument/2006/relationships/pivotCacheRecords" Target="pivotCacheRecords6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ngrid Largo" refreshedDate="45932.596912384259" createdVersion="8" refreshedVersion="8" minRefreshableVersion="3" recordCount="588" xr:uid="{2E4B503F-1D3D-48DC-9F3C-B974E61DE127}">
  <cacheSource type="worksheet">
    <worksheetSource name="InfProgramacionIngresos1" r:id="rId2"/>
  </cacheSource>
  <cacheFields count="51">
    <cacheField name="ETAPA" numFmtId="0">
      <sharedItems count="6">
        <s v="TORRE 1B"/>
        <s v="TORRE 1A"/>
        <s v="TORRE 3B"/>
        <s v="TORRE 3A"/>
        <s v="TORRE 2"/>
        <s v="TOTALES"/>
      </sharedItems>
    </cacheField>
    <cacheField name="CLIENTE" numFmtId="0">
      <sharedItems count="544">
        <s v="GOMEZ ZULUAGA JULIAN OSWALDO"/>
        <s v="RUBÉN ALBEIRO GONZÁLEZ GARCÍA"/>
        <s v="DURANGO VELEZ YESENIA"/>
        <s v="MORENO PORRAS SEBASTIAN"/>
        <s v="CANO ALVAREZ LINA JULIETH"/>
        <s v="MONRROY DE LOAIZA YULEIDY SELENE"/>
        <s v="RAMIREZ VELASCO YAFIZA"/>
        <s v="OROZCO ALZATE MARIA EUGENIA"/>
        <s v="OROZCO ALZATE RAUL IVAN"/>
        <s v="MURILLO LOPEZ WILMAR ALEXANDER"/>
        <s v="REY OSORNO DANIEL MAURICIO"/>
        <s v="CARTAGENA HIGUITA FREDY HERNAN"/>
        <s v="OSSA NIETO VALENTINA"/>
        <s v="VASQUEZ ZAPATA MARIA ELENA"/>
        <s v="AGUDELO CORTES CLAUDIA PATRICIA"/>
        <s v="TORO AGUDELO MARIA NELLY"/>
        <s v="VALENCIA GOMEZ ORLANDO DE JESUS"/>
        <s v="HOLGUIN ROJAS CARLOS ANDRES"/>
        <s v="HIDALGO MARTINEZ ANGELA MARIA"/>
        <s v="GOMEZ ZULUAGA NATALY"/>
        <s v="CALVIJO GIRALDO MARIA CRISTINA"/>
        <s v="ALBA YURANI PATIÑO JARAMILLO"/>
        <s v="FRANCO REYES LORELEI"/>
        <s v="HENAO JIMENEZ SILVIA LUCIA"/>
        <s v="SANCHEZ VILLA JOHN JAIRO"/>
        <s v="RAMIREZ CORREA ESTEBAN"/>
        <s v="LADYS JOHANA ARIZA MARTINEZ"/>
        <s v="ARBOLEDA TORRES MARY LUZ"/>
        <s v="ARDILA MARIN LUIS FERNANDO"/>
        <s v="NELSON FRANCISCO GUATAQUI CUCUNUBA"/>
        <s v="AGUDELO OSPINA LUZ ANGELA"/>
        <s v="TIGA DELGADO YURI PAOLA"/>
        <s v="ARIAS MARIN JULIAN DAVID"/>
        <s v="VERGARA MUÑOZ JOSE ALEJANDRO"/>
        <s v="MONSALVE OCHOA MARTHA LIA"/>
        <s v="PATIÑO GOMEZ SENEIDA IRLENI"/>
        <s v="OCHOA PELA ISABEL CRISTINA"/>
        <s v="HERRERA PINTO LUIS FERNANDO"/>
        <s v="QUINTERO LOPEZ DAYRO LEON"/>
        <s v="ACOSTA CORREA JOSE DAVID"/>
        <s v="TORO BEDOYA VIVIANA ANDREA"/>
        <s v="VALENCIA CEBALLOS MARIA LUZ DARY"/>
        <s v="FELIZOLA PANQUERA ANABELLA"/>
        <s v="VIRNEY HADELY CHALA LOZANO"/>
        <s v="GOMEZ ALZATE IVAN DARIO"/>
        <s v="BANCO DAVIVIENDA S.A"/>
        <s v="LONDOÑO GOMEZ JUAN ESTEBAN"/>
        <s v="ROLDAN ECHAVARRIA MARIA LUZMILA"/>
        <s v="RAMIREZ AYALA DANIEL FELIPE"/>
        <s v="KALIGARI REFRIGERACION SAS"/>
        <s v="JAIMES PEREZ HERIBERTO"/>
        <s v="ARBOLEDA PEREZ JHONY ALEXANDER"/>
        <s v="DE LA CALLE OSORIO RUBEN DARIO"/>
        <s v="VERGARA BEATRIZ ELENA"/>
        <s v="PATIÑO GOMEZ ABEL IGNACIO"/>
        <s v="GARCIA URIBE LUIS HERNANDO"/>
        <s v="JIMENEZ VASQUEZ CARMEN AMPARO"/>
        <s v="SEPULVEDA BERRIO MARTA GLADYS"/>
        <s v="ESPINAL ZULETA ANA ROCIO"/>
        <s v="CAMACHO SOSSA DIEGO ALEJANDRO"/>
        <s v="RIVERA OSSA NELSON JAVIER"/>
        <s v="GLORIA PINEDA BARRERO"/>
        <s v="PATIÑO GOMEZ MARITZA"/>
        <s v="ARANGO DIANA PATRICIA"/>
        <s v="JULIETH VIVIANA LONDOÑO PUERTA"/>
        <s v="LUIS GUILLERMO BETANCUR GONZALEZ"/>
        <s v="LUISA FERNANDA CARDONA CORRAL"/>
        <s v="CORREA ECHEVERRI HUMBERTO"/>
        <s v="LUIS FERNANDO RESTREPO ARBOLEDA"/>
        <s v="ECHEVERRI TABARES JUAN DAVID"/>
        <s v="ORTEGA SUAREZ JUAN PABLO"/>
        <s v="FORERO ROCHA LUIS GERMAN"/>
        <s v="CAMPUZANO ZULETA LUIS MIGUEL"/>
        <s v="ANGOLA MURILLO GINA PATRICIA"/>
        <s v="RESTREPO ARISTIZABAL ANDRES FELIPE"/>
        <s v="MORENO ACEVEDO CARLOS ANDRES"/>
        <s v="VANEGAS HURTADO GLADYS AMPARO"/>
        <s v="CASTRILLON ARROYAVE SANTIAGO"/>
        <s v="NAVARRO MOLINA KAREN MARCELA"/>
        <s v="BOTERO ADARVE JORGE IVAN"/>
        <s v="CANO JARAMILLO JUAN DE DIOS"/>
        <s v="VARGAS VASQUEZ JUAN CARLOS"/>
        <s v="GONZALEZ MARIN MARIBEL"/>
        <s v="BARRENECHE CALLE LAURA MARCELA"/>
        <s v="TORREJANO LUNA AURA CATALINA"/>
        <s v="ALZATE OSSA ARLERIS"/>
        <s v="RUFELES TORO LIDA MARLY"/>
        <s v="RAMOS CASTRO SINDY PATRICIA"/>
        <s v="SERNA BOLIVAR ADALID DEL SOCORRO"/>
        <s v="TORO CANO JOHN BAYRO"/>
        <s v="TAMAYO GOMEZ JULIANA"/>
        <s v="JULIETH ELIANA GARCIA MIRA"/>
        <s v="OSPINA GRISALES JOSE URIEL"/>
        <s v="AGUDELO GUISAO HILDA MARIA"/>
        <s v="AGUIRRE RAMIREZ JENIFFER TATIANA"/>
        <s v="PIEDRAHITA LOPEZ VLADIMIR"/>
        <s v="JARAMILLO VASQUEZ JORLY JARBY"/>
        <s v="RENE GALVEZ MAYNOR"/>
        <s v="MARIN METRIO LEIDY JOHANA"/>
        <s v="POSADA MONTOYA SOR MARLEY"/>
        <s v="CANO RODRIGUEZ JOHN MARIO"/>
        <s v="RESTREPO BEDOYA YAZMIN PATRICIA"/>
        <s v="CARVAJAL SALINAS KEVIN ALEJANDRO"/>
        <s v="VILLEGAS BOLAÑOS PAOLA ANDREA"/>
        <s v="GOMEZ SALDARRIAGA DIEGO FERNANDO"/>
        <s v="DOMINGUEZ GOMEZ LIBIA ESTELA"/>
        <s v="ALZATE IDARRAGA JUAN DAVID"/>
        <s v="MUÑOZ VALENCIA NASLY YOLIMA"/>
        <s v="GALLEGO ARANGO LUISA FERNANDA"/>
        <s v="ZAPATA RUEDA NATALIA"/>
        <s v="CAÑADAS HOYOS JOSE RAUL"/>
        <s v="SEBASTIAN   HERNANDEZ RESTREPO"/>
        <s v="ERIK DARIO PORRAS HENAO"/>
        <s v="ROLDAN GIL JAIME ALBERTO"/>
        <s v="CASTAÑO SUAREZ MARIA YOLANDA"/>
        <s v="ORTIZ ACEVEDO LUZ MARINA"/>
        <s v="PEREZ PALACIO JESUS ALIRIO"/>
        <s v="INVERSIONES FLORISA SAS"/>
        <s v="LONDOÑO DE ARANGO MARLENY"/>
        <s v="PATIÑO BARRERA LUIS ALEJANDRO"/>
        <s v="GUERRA MEDINA DARLLEY"/>
        <s v="URREGO CHAVARRIA JHONNIER ANDRES"/>
        <s v="GAVIRIA ALZATE EDISON FERNANDO"/>
        <s v="CORTES MENDEZ LETICIA"/>
        <s v="GARCES PELAEZ DEONALDO HENRY"/>
        <s v="ALZATE PINEDA SARA"/>
        <s v="QUINTERO GIRALDO MARIBEL"/>
        <s v="TAPIAS VANEGAS JUAN FELIPE"/>
        <s v="TORRES MESA LINA MARCELA"/>
        <s v="ALZATE ZAPATA ALEXANDER"/>
        <s v="VELEZ UPEGUI GABRIEL FERNANDO"/>
        <s v="ROJO TABORDA HILDA MARIA"/>
        <s v="RAMIREZ ACOSTA NICOLAS"/>
        <s v="ARANGO BERMUDEZ ALBA LUCIA"/>
        <s v="BANCOLOMBIA S.A."/>
        <s v="DUQUE JIMENEZ ESNEIDER DE JESUS"/>
        <s v="APERADOR BERNAL MARIA BALBINA"/>
        <s v="LIA JOICE CARDENAS LEON"/>
        <s v="AREIZA MAZO JOSÉ MIGUEL"/>
        <s v="VANEGAS MEJIA DANIEL RICARDO"/>
        <s v="ARANGO SEPULVEDA LUIS FERNANDO"/>
        <s v="MONTOYA GUZMAN OSCAR BYRON"/>
        <s v="ALZATE PINEDA SIMON JOSE"/>
        <s v="ARCILA DUQUE SANDRA MARIA"/>
        <s v="ECHEVERRI ARIAS WILLAM ELIECER"/>
        <s v="TRANSGAVIRIA SAS"/>
        <s v="POVEDA BONILLA YOLANDA"/>
        <s v="MUNERA ZORA VALERIA ANDREA"/>
        <s v="GALLEGO MADRID DIANA ESTELLA"/>
        <s v="ARISTIZABAL MARIN REYNEL ANDRES"/>
        <s v="BERRIO VASQUEZ MATEO"/>
        <s v="TORO JARAMILLO LUISA FERNANDA"/>
        <s v="CASTRILLON SANCHEZ DANIEL ANDREDY"/>
        <s v="LLANO POSADA AURA CATALINA"/>
        <s v="PARRA MARÍN JOHAN ALBERTO"/>
        <s v="MONICA LILIANA TINJACA LAVERDE"/>
        <s v="CALDERON VELASQUEZ IDALIA"/>
        <s v="HENRY AUGUSTO PINEDA LOPEZ"/>
        <s v="VASCO PEREZ DANIEL ESTEBAN"/>
        <s v="BETANCUR PEREZ MARIA EUGENIA"/>
        <s v="ASESORAR PROYECTOS S.A.S."/>
        <s v="HOYOS PEREZ MANUELA ALEJANDRA"/>
        <s v="PATIÑO BARRERA YESICA DANIELA"/>
        <s v="JIMENEZ SALDARRIAGA DIOLMAR DE JESUS"/>
        <s v="ARANGO HERNANDEZ DORA STELLA"/>
        <s v="ARANGO JIMENEZ MARTA INES"/>
        <s v="GIRALDO CARDONA MARIA NOELVA"/>
        <s v="ARTEAGA GALLEGO MARCOS"/>
        <s v="MENESES JARAMILLO HECTOR ALONSO"/>
        <s v="YESICA ARANGO SEPULVEDA"/>
        <s v="ACEVEDO MONSALVE ADRIANA LUCERO"/>
        <s v="CAÑAVERAL VASQUEZ KAREN"/>
        <s v="RIOS LOPEZ STEFHANIE"/>
        <s v="ROSERO VILLA OLGA MAYERLY"/>
        <s v="NAVARRO MANCHEGO YENNYS PATRICIA"/>
        <s v="BONILLA CIFUENTES CARLOS ALVARO"/>
        <s v="NATALIA JHOANA MIRA TABORDA"/>
        <s v="USUGA AGUINAGA RICARDO"/>
        <s v="PEREZ QUINTERO VALENTINA"/>
        <s v="VARGAS PALACIO JOHN FREDY"/>
        <s v="VERGARA CATAÑO JUAN FERNANDO"/>
        <s v="GIRALDO DUQUE HERLEY"/>
        <s v="ARANGO ECHEVERRI ANA LUCIA"/>
        <s v="CEBALLOS OCHOA JUAN CAMILO"/>
        <s v="MUNERA MONSALVE LUISA FERNANDA"/>
        <s v="MUNERA GOEZ NELSON ARMANDO"/>
        <s v="SCHULTZ MANRIQUE LAURA"/>
        <s v="CORREA GONZALEZ PAULA ANDREA"/>
        <s v="GOMEZ LOAIZA JUAN CAMILO"/>
        <s v="MOLINA BRYAN ANTONIO"/>
        <s v="GOMEZ PEREZ JULIAN DAVID"/>
        <s v="MONTOYA MONTOYA EDISON ALEXANDER"/>
        <s v="CASTAÑO QUINTANA JOSE STALIN"/>
        <s v="MORALES MARIN LUISA FERNANDA"/>
        <s v="CUERVO MARIN DANIELA"/>
        <s v="BENITEZ GONZALEZ LAURA"/>
        <s v="SANDRA MILENA HENAO MUÑOZ"/>
        <s v="CIELO   FIERRO ZARATE"/>
        <s v="LOAIZA HENAO LUZ ESTELLA"/>
        <s v="MEJIA GIL EDWIN GIOVANNI"/>
        <s v="PAMPLONA VERGARA SEBASTIAN"/>
        <s v="BEDOYA RAMIREZ LUZ MARY"/>
        <s v="RODRIGUEZ RODRIGUEZ RAFAEL"/>
        <s v="GRANDA AGUDELO DEICY GABRIELA"/>
        <s v="CURI MEZA MONICA"/>
        <s v="PATIÑO DUQUE BIBIANA AMPARO"/>
        <s v="MUÑOZ CANO SUSANA ANDREA"/>
        <s v="GRUESO PEREA BRIAN DAVID"/>
        <s v="BARRERA TOBAR LUIS FELIPE"/>
        <s v="CEBALLOS TOBON LUZ MARINA"/>
        <s v="ECHAVARRIA ARDILA HECTOR DARIO"/>
        <s v="PERDOMO GRANADA CAROLINA"/>
        <s v="PATIÑO GOMEZ LUZ MIRIAM"/>
        <s v="VALENCIA CARMONA JENNY ELIZABETH"/>
        <s v="OSORIO OSORIO ANA MARIA"/>
        <s v="DUQUE GIRALDO LUIS CARLOS"/>
        <s v="MARIA YULIETH GIRALDO RIOS"/>
        <s v="ECHEVERRY GARCIA DIEGO LUIS"/>
        <s v="OLARTE OROZCO MARGARITA MARIA"/>
        <s v="BEDOYA MORALES SANDRA PATRICIA"/>
        <s v="SUREZ MUNERA CINDY VALERIA"/>
        <s v="CORREA ESCOBAR LEON DANIEL"/>
        <s v="CARTAGENA DURANGO DIANA LUCIA"/>
        <s v="ZHENG WEINA"/>
        <s v="HERNANDEZ MARIN JUAN CARLOS"/>
        <s v="USUGA ZABALA ZULEMA"/>
        <s v="GOMEZ GONZALEZ JORGE ALBERTO"/>
        <s v="ARTEAGA GALLEGO DANILO"/>
        <s v="RAMIREZ VASQUEZ SHIRLEY TATIANA"/>
        <s v="ALZATE SANCHEZ ALBA MARY"/>
        <s v="LARA PANCHANA MILLER JULIAN"/>
        <s v="FRANCO SOLERA JORGE ALBERTO"/>
        <s v="ARBOLEDA GOMEZ DIANA PATRICIA"/>
        <s v="HENAO PEREZ SANDRA MILENA"/>
        <s v="ARREDONDO CEBALLOS LEIDY"/>
        <s v="ARISMENDY RENDON LUZ VICTORIA"/>
        <s v="LARGO CAÑAS JOHN FREDY"/>
        <s v="RAMIREZ ORTIZ ZORAIDA"/>
        <s v="MOLINA BARRIENTOS JOHN HUMBERTO"/>
        <s v="FRANCO BETANCUR ANDREA"/>
        <s v="USUGA BENITEZ DANIEL RICARDO"/>
        <s v="MOSQUERA BARROS MELKIN JOSE"/>
        <s v="PEÑA AGUDELO CATALINA"/>
        <s v="NOVO SPAZIO S.A.S."/>
        <s v="CORREA ARANGO SIMON"/>
        <s v="JOHNNATAN ALEXIS TAMAYO USUGA"/>
        <s v="VELEZ ECHAVARRIA ZULEMA"/>
        <s v="PATIÑO CARDONA SANTIAGO"/>
        <s v="LOPEZ TORRES CADEX"/>
        <s v="CARDONA MADRID SULADY LICETH"/>
        <s v="ARISTIZABAL SILVERA ANA MARIA"/>
        <s v="DIAZ MANCIPE GLORIA CECILIA"/>
        <s v="UNI JIMENEZ LUZ KARIME"/>
        <s v="VALENTIN DIAZ JASON YAEL"/>
        <s v="SANDOVAL JIMENEZ LINA YASMID"/>
        <s v="TABORDA TABORDA EVELYN"/>
        <s v="CHAVARRIAGA ATEHORTUA LAURA"/>
        <s v="OTERO FLOREZ JENNIFER"/>
        <s v="ALVAREZ CANO KELLY JOHANA"/>
        <s v="ESCOBAR ALVAREZ DIANA MARCELA"/>
        <s v="PULGARIN MARIN PAULA ANDREA"/>
        <s v="VILLADIEGO GUERRA JAIRO LUIS"/>
        <s v="MUÑOZ CORDABA DAVID ALEJANDRO"/>
        <s v="ESTIVEN  BERMUDEZ BARRERA"/>
        <s v="CRIOLLO MONSALVE CESAR AUGUSTO"/>
        <s v="CORTES ZULETA MARIA PATRICIA"/>
        <s v="CORREA ARANGO MANUELA"/>
        <s v="ZAPATA AGUDELO CHRISTIAN DAVID"/>
        <s v="RAMIREZ FONNEGRA MARIA CONSTANZA"/>
        <s v="DIAZ MANCIPE GERALDINE LORENA"/>
        <s v="NARANJO HURTADO JUAN FERNANDO"/>
        <s v="VIDAL HERRERA FREDY ALONSO"/>
        <s v="TRUJILLO GOMEZ NICOLAS HUMBERTO"/>
        <s v="ARBOLEDA ARIAS WBEIMAR ALONSO"/>
        <s v="ESCORCIA MARIN JORGE JUNIOR"/>
        <s v="OCHOA GONZALEZ HUGO ALBERTO"/>
        <s v="GAITAN JIMENEZ WILLIAM"/>
        <s v="SEPULVEDA CARTAGENA EDISON DE JESUS"/>
        <s v="GIRALDO CORTES JAVIER ALONSO"/>
        <s v="PALACIO CARO MARCO JULIO"/>
        <s v="JAG HOLDING S.A.S"/>
        <s v="CHEN CHEN JHONATHAN"/>
        <s v="ARISTIZABAL CORREA PEDRO ANDRES"/>
        <s v="ALZATE VANEGAS ISABEL"/>
        <s v="TEJADA VÁSQUEZ JINETH DAYANA"/>
        <s v="ANDRES FELIPE MARTINEZ LONDOÑO"/>
        <s v="MARIA BERNARDA QUINTANA MARRUGO"/>
        <s v="MARTINEZ PARRA ANGIE PAOLA"/>
        <s v="HINCAPIE RIOS WILLIAM ALONSO"/>
        <s v="ZAPATA  QUIROZ GERMAN"/>
        <s v="JOSE HILARIO SALAS OSPINA"/>
        <s v="ECHEVERRI HIGUITA MARY SOL"/>
        <s v="CEBALLOS MARIN JHEYSON FABIAN"/>
        <s v="BARRIENTOS TREJOS ANDREA ESTEFANIA"/>
        <s v="GONZALEZ ARANGO JORGE ALBERTO"/>
        <s v="GAVIRIA PEREZ MONICA CECILIA"/>
        <s v="ARBOLEDA MARQUEZ CLEMENTINA"/>
        <s v="PEREZ PEREZ JULIAN"/>
        <s v="GALEANO GONZALEZ MARCELA"/>
        <s v="PEREIRA MONTENGRO RICARDO"/>
        <s v="ORTEGA GARCIA DIEGO ERNESTO"/>
        <s v="DIAZ JAIMES ABDELACID HERNANDO"/>
        <s v="MILLAN MARIN VIVIANA CRISTINA"/>
        <s v="HERRERA JUAN DAVID"/>
        <s v="CASTAÑO ROMAN LUISA FERNANDA"/>
        <s v="TAMAYO MONSALVE IVONHE TATIANA"/>
        <s v="GIRALDO  DURANGO  ELKIN  ALONSO"/>
        <s v="SALAS ACUÑA DAVID HERNANDO"/>
        <s v="SIERRA MORENO CLARA INES DEL SOCORRO"/>
        <s v="CARMONA TABARES DUVER ALONSO"/>
        <s v="ALEX MAURICIO TORO LONDOÑO"/>
        <s v="JARAMILLO RIVAS DANIELA ANDREA"/>
        <s v="POSADA JARAMILLO JUAN IGNACIO"/>
        <s v="5 AM ASOCIADOS S.A.S."/>
        <s v="EDISSON ALBERTO VALENCIA CANO"/>
        <s v="MURIEL CASTAÑO MARCELA DEL SOCORRO"/>
        <s v="VERA GARCIA ESTEBAN DE JESUS"/>
        <s v="ESCALANTE TRIANA HECTOR LUIS"/>
        <s v="GRAJALES SANCHEZ JULIAN EDUARDO"/>
        <s v="GALLEGO QUINTERO MARIA FERNANDA"/>
        <s v="ALZATE ALZATE ELIANA PATRICIA"/>
        <s v="ACEVEDO DUQUE NORELLY"/>
        <s v="OSORIO MACIAS JENNY ALEXANDRA"/>
        <s v="SALDARRIAGA GUTIERREZ CLAUDIA MARCELA"/>
        <s v="ARBOLEDA ARBOLEDA TRESSEL ANTONIO"/>
        <s v="CADAVID VILLEGAS LINA MARCELA"/>
        <s v="CEBALLOS CEBALLOS SANDRA MARCELA"/>
        <s v="GUZMAN CONDE MIGUEL ALEXANDER"/>
        <s v="MEJÍA TABARES PAULA ANDREA"/>
        <s v="LONDOÑO JIMENEZ VIVIANA"/>
        <s v="HEIDY YOHANNA AGUDELO CASTRILLON"/>
        <s v="VELASQUEZ GRISALES MARIA EUGENIA"/>
        <s v="HERRERA ZAPATA ISBELIA MARGARITA"/>
        <s v="GALLO LOPEZ VANESSA"/>
        <s v="FORERO URIBE ANDRES"/>
        <s v="PEREZ IVAN DARIO"/>
        <s v="QUINTERO MARIN LILIANA MARIA"/>
        <s v="RAMIREZ ACOSTA JUAN ESTEBAN"/>
        <s v="ZULUAGA HOLGUIN CLAUDIA MARCELA"/>
        <s v="DIAZ JARAMILLO MARY LUZ"/>
        <s v="CANO NARVAEZ MANUELA"/>
        <s v="JUAN FELIPE FERRO SUAREZ"/>
        <s v="LOPEZ RAMIREZ MARTIN ALONSO"/>
        <s v="CAMPO VANEGAS SINDY PAOLA"/>
        <s v="VARGAS MORALES CARLOS ALBERTO"/>
        <s v="BONILLA MELFI CARLOS ANDRES"/>
        <s v="MARIN TORRES YULIED MARCELA"/>
        <s v="TORRES CARDENAS ALEXIS"/>
        <s v="SANTOS GUAL JULIAN ESTEBAN"/>
        <s v="ARBOLEDA AMARILES CINDY VANESSA"/>
        <s v="OSORIO GOMEZ LAURA"/>
        <s v="OROZCO CARDONA VICTOR ALFONSO"/>
        <s v="EMMANUELA   LOPEZ LOPEZ"/>
        <s v="MORALES CARDONA JUAN DAVID"/>
        <s v="LOAIZA GOMEZ ERIKA"/>
        <s v="MARIA ALEJANDRA AGUDELO ISAZA"/>
        <s v="ARIAS OLARTE ANDRES FELIPE"/>
        <s v="SANDRA MARCELA CADAVID MENESES"/>
        <s v="QUINTERO RUBIO EDITH YOMARA"/>
        <s v="OLGA ISABEL BERRIO"/>
        <s v="OSORIO GARCIA YESIKA ALEJANDRA"/>
        <s v="FUENTES QUINTERO ARIANNA ANDREA"/>
        <s v="BUSTAMANTE BUSTAMANTE CLAUDIA CECILIA"/>
        <s v="GIRALDO LOPEZ MATEO"/>
        <s v="MONTOYA MESA CARLOS ARTURO"/>
        <s v="VELEZ ECHAVARRIA EVERARDO"/>
        <s v="LOPEZ ISAZA BRYAN"/>
        <s v="TORO VILLEGAS MARCELINA"/>
        <s v="PATIÑO MONTOYA MARICELA"/>
        <s v="FRANCO BALLESTROS ISABEL CRISTINA"/>
        <s v="VISION Y VALORES COMERCIALES S.A.S."/>
        <s v="CAÑOLA GIRALDO JUAN  CARLOS"/>
        <s v="SARA MARCELA GAVIRIA LOPEZ"/>
        <s v="ANA CRISTINA ALZATE CAÑAVERAL"/>
        <s v="MONSALVE MORENO ANDRES MAURICIO"/>
        <s v="OSORIO  GONZALEZ JUAN  PABLO"/>
        <s v="MEJIA VASQUEZ LEIDY YASMIN"/>
        <s v="EDGAR ROBERTO RODRIGUEZ"/>
        <s v="HERNANDEZ CATAÑO MARIA CAMILA"/>
        <s v="SALDARRIAGA VANEGAS JENIFER"/>
        <s v="GOMEZ ARBELAEZ RAFAEL EDUARDO"/>
        <s v="GONZALEZ GARCES LINDA VERONICA"/>
        <s v="DELGADO MUÑOZ GUSTAVO ALBEIRO"/>
        <s v="ZULAY TATIANA RAMIREZ MENESES"/>
        <s v="GIRLADO MOLINA SANTIAGO"/>
        <s v="POLANIA ABADIA ANDREA"/>
        <s v="LASTRA CORREA BEATRIZ ELENA"/>
        <s v="GIRALDO  CAÑAS MIGUEL ANGEL"/>
        <s v="SU YUEFEN"/>
        <s v="CADAVID ACEVEDO LINA MARIA"/>
        <s v="OSPINA VILLA DIONY VICTORIA"/>
        <s v="ZULUAGA RAMIREZ MARIA RUBIELA"/>
        <s v="VELEZ PALACIO DIANA ISABEL"/>
        <s v="ZAPATA BRAN ALEJANDRA"/>
        <s v="NARANJO BUITRAGO EDWIN DAVID"/>
        <s v="CARLOS ALBERTO  MEJIA SANTANA"/>
        <s v="JOVAN ALEXIS MEDINA CARO"/>
        <s v="MESA VANEGAS VICTOR ALEJANDRO"/>
        <s v="HENAO DE VELASQUEZ LUZ OMAIRA"/>
        <s v="ERICA MARIA DUCON PELAEZ"/>
        <s v="CATAÑO GARCIA ROSMIRA AMPARO"/>
        <s v="WALTER ADOLFO QUINTANA PEREZ"/>
        <s v="BUJATO RESTREPO DIEGO"/>
        <s v="ANAYA SIERRA DAVINSON"/>
        <s v="CARDONA FRANCO SANDRA MILENA"/>
        <s v="PEMBERTY OSORNO JUAN DAVID"/>
        <s v="CANO TABARES IGNACIO ARTURO"/>
        <s v="TORRES ZAPATA CARLOS AUGUSTO"/>
        <s v="DIEZ VELEZ JUAN CARLOS"/>
        <s v="CIFUENTES VELEZ ELIZABETH"/>
        <s v="ZULUAGA ALZATE ANGELICA MARIA"/>
        <s v="JIMENEZ HENAO LEIDYS CRISTINA"/>
        <s v="LOPEZ GUERRA ISLENY ASTRID"/>
        <s v="HIGUITA GIRALDO CARLOS JONHY"/>
        <s v="ACOSTA GARCIA ALVARO ALONSO"/>
        <s v="GEORGE DIOMEDES DE JESUS"/>
        <s v="ALVAREZ CASTRILLON JENY MARIA"/>
        <s v="HENRY DE JESUS RESTREPO PARRA"/>
        <s v="DISTRIWILHER S.A.S"/>
        <s v="AGUDELO RESTREPO YESSICA ALEJANDRA"/>
        <s v="DIANA MARCELA SALAZAR VASQUEZ"/>
        <s v="LOPEZ ARANGO ADRIANA PATRICIA"/>
        <s v="LAURA  ORTIZ GONZALEZ"/>
        <s v="QUINTERO GIRALDO WILSON"/>
        <s v="MUÑOZ CASTAÑO MONICA MARIA"/>
        <s v="LONDOÑO PATIÑO JUAN CAMILO"/>
        <s v="MARTINEZ SALAZAR SEBASTIAN"/>
        <s v="VANEGAS CASTRILLON CHRISTIAN FELIPE"/>
        <s v="BEDOYA ALVAREZ JHEISON ANDRES"/>
        <s v="PEREZ MUÑOZ GLADYS ESTELA"/>
        <s v="PEREZ PINO JHON WILMAR"/>
        <s v="AGUDELO CARDENAS MARIO HERNAN"/>
        <s v="CAÑAVERAL LOPEZ ABELARDO ANTONIO"/>
        <s v="ALVAREZ ESPINOSA FRANCISCO JAVIER"/>
        <s v="OSORIO PEREZ LINA MARCELA"/>
        <s v="BLACKBURN MURILLO MILTON JOSE"/>
        <s v="HERNANDEZ PINEDA LILIANA MARIA"/>
        <s v="GONZALEZ MURILLO SEBASTIAN"/>
        <s v="GARZON OSPINA CARLOS MARIO"/>
        <s v="JUAN GUILLERMO MONTOYA CHICA"/>
        <s v="BARRERA MUÑOZ MELANY JOHANNA"/>
        <s v="VASQUEZ VELEZ JOSE ALEJANDRO"/>
        <s v="GIRALDO AGUDELO SERGIO ALEJANDRO"/>
        <s v="YOHELLY ALEJANDRA RESTREPO POSADA"/>
        <s v="GOMEZ GIRALDO DORIS MILENA"/>
        <s v="VALENCIA GOMEZ JULIAN ANDRES"/>
        <s v="MEJIA YESENIA MARIA"/>
        <s v="VASQUEZ ROSO YEDIS"/>
        <s v="VANEGAS LINA MARCELA"/>
        <s v="PEREIRA MENDEZ RICARDO"/>
        <s v="CIFUENTES VELEZ YESICA ALEJANDRA"/>
        <s v="TORRES VILLA SARA"/>
        <s v="SANABRIA ROJAS JEISON ANDREY"/>
        <s v="MEJIA SANCHEZ ELKIN ADRIAN"/>
        <s v="MENDOZA CANO SOFIA"/>
        <s v="OROZCO GUZMAN JASON"/>
        <s v="CORREA OSORIO DIEGO ALEXANDER"/>
        <s v="ZHENG MAOFU"/>
        <s v="CAÑOLA EDGAR DE JESUS"/>
        <s v="MORENO CARDONA ANA PATRICIA"/>
        <s v="CRISTIAN  DAVID   ATEHORTUA  ORREGO"/>
        <s v="JHONATHAN  ALEXANDER  AGUDELO  VELASQUEZ"/>
        <s v="TORRES GONZALEZ DAVID ESTEBAN"/>
        <s v="CARLOS ANDRES ARBOLEDA ARIAS"/>
        <s v="VARGAS ORREGO ANGIE PAOLA"/>
        <s v="ARRIETA BECHARA JUAN CARLOS"/>
        <s v="RIVILLAS ARANGO ALVARO ALEJANDRO"/>
        <s v="GOMEZ GIRALDO LINA MARCELA"/>
        <s v="RENDON RIOS KELLY ALEJANDRA"/>
        <s v="MULLER VELANDIA ALVIN"/>
        <s v="ORTEGA MENESES JOHNATHAN ANDRES"/>
        <s v="MADRID BUSTAMANTE JUAN PABLO"/>
        <s v="PARRIZZI ANTHONY GILBERT"/>
        <s v="GARCIA GUERRA MARIANA"/>
        <s v="GIL CASTRO MARIA FERNANDA"/>
        <s v="VELEZ ESPINOSA JOSELYN"/>
        <s v="PEREZ SIERRA JUAN MANUEL"/>
        <s v="HERNANDEZ MUÑOZ CRISTIAN DAVID"/>
        <s v="HERNANDEZ PATIÑO SIMON"/>
        <s v="BUILES GUTIERREZ JOHN JAVIER"/>
        <s v="VASQUEZ SERNA BRAYAN"/>
        <s v="RUIZ CATAÑO JULIANA"/>
        <s v="RODRIGO  ALBERTO ZAPATA SANCHEZ"/>
        <s v="MIRYAM DE JESUS CARDONA FLOREZ"/>
        <s v="CORREA ARANGO PEDRO"/>
        <s v="OSORIO AVENDAÑO SANDRO ARLEY"/>
        <s v="GOMEZ CARDONA JULLY ALEJANDRA"/>
        <s v="SANCHEZ ESTRADA MAYRA ALEJANDRA"/>
        <s v="VALERIA  OCHOA FRANCO"/>
        <s v="BEDOYA SANTILLA LISDEY CAMILA"/>
        <s v="PALACIO MONA ROBINSON"/>
        <s v="PALACIO GONZALEZ GERMAN DARIO"/>
        <s v="OCAMPO OSORIO MARIA ALEJANDRA"/>
        <s v="RESTREPO ACEVEDO RAMON ALBERTO"/>
        <s v="CAÑAS RAMIREZ ROBINSON"/>
        <s v="BOUHOT ARROYAVE JAVIER DARIO"/>
        <s v="MARULANDA ROLDAN LAURA"/>
        <s v="FERNÁNDEZ DELGADO JUAN SIMÓN"/>
        <s v="ORTEGA ROMERO NATALY JOHANNA"/>
        <s v="PARRA BUITRAGO DANIELA"/>
        <s v="VELEZ VASQUEZ DIEGO ALEJANDRO"/>
        <s v="GARCIA MARTINEZ GEHIDER"/>
        <s v="GRISALES BURITICA LEIDY JHOANA"/>
        <s v="AGUDELO ISAZA JORGE MARIO"/>
        <s v="ANDRES FELIPE CORREA DORIA"/>
        <s v="CASTAÑO GOMEZ DIEGO"/>
        <s v="PABON PUENTE MARIO AUGUSTO"/>
        <s v="VELEZ YURLEY"/>
        <s v="BETANCUR OSORNO LIZETH KATHERINE"/>
        <s v="MUÑOZ CARDONA DANIELA"/>
        <s v="SANTACRUZ VILLA LUIS HUMBERTO"/>
        <s v="ESCOBAR CADAVID JUAN ESTEBAN"/>
        <s v="CEBALLOS CEBALLOS LUZ ANDREA"/>
        <s v="HINCAPIE BERMUDEZ HENRY ALPIDIO"/>
        <s v="OSORIO GONZALEZ NEYIRET"/>
        <s v="SANCHEZ ARENAS FABIANA"/>
        <s v="CHAVERRA MARIA DEL SOCORRO"/>
        <s v="AVENDAÑO PALACIO DORA ELENA"/>
        <s v="RIOS PEREZ ALVARO ANTONIO"/>
        <s v="CARDONA MACIAS DIEGO ALEJANDRO"/>
        <s v="MACIAS ZAPATA JOHN JAIRO"/>
        <s v="MAYA VELASQUEZ JOHNNY ALEXANDER"/>
        <s v="ZAPATA MACIAS JUAN CAMILO"/>
        <s v="HERNANDEZ PINEDA JOHN FREDY"/>
        <s v="SIERRA VARGAS LAURA"/>
        <s v="LONDOÑO ARANGO OSCAR DAVID"/>
        <s v="MARIN MONTOYA MARIA CAMILA"/>
        <s v="LUZ MIRYAM GOMEZ DUQUE"/>
        <s v="ZULUAGA ESTRADA MARIA JOSE"/>
        <s v="SEBASTIAN  PEÑA QUINTERO"/>
        <s v="ECHAVARRIA VELEZ LUISA FERNANDA"/>
        <s v="VELEZ BETANCUR KARLA CRISTINA"/>
        <s v="GONZALEZ GARCES WILIAM ANDRES"/>
        <s v="GANTIVA GUTIERREZ ROGER JHOSEP HAMMILTON"/>
        <s v="GUILLEN GUILLEN OSCAR OLAVO"/>
        <s v="M JOZA GINA"/>
        <s v="ARREGOCES DUARTE HERNAN ALONSO"/>
        <s v="BEDOYA ACEVEDO DANIELA"/>
        <s v="RUIZ RUIZ DIANA PATRICIA"/>
        <s v="HURTADO PATIÑO JUAN ALEXANDER"/>
        <s v="MAZO MUÑOZ CRISTIAN DAVID"/>
        <s v="NUNEZ OSVALDO"/>
        <s v="VALENCIA ANDRADE FANNY"/>
        <s v=""/>
      </sharedItems>
    </cacheField>
    <cacheField name="INMUEBLE" numFmtId="0">
      <sharedItems count="588">
        <s v="APTO-0603"/>
        <s v="APTO-0604"/>
        <s v="APTO-0605"/>
        <s v="APTO-0606"/>
        <s v="APTO-0607"/>
        <s v="APTO-0608"/>
        <s v="APTO-0609"/>
        <s v="APTO-0617"/>
        <s v="APTO-0618"/>
        <s v="APTO-0619"/>
        <s v="APTO-0620"/>
        <s v="APTO-0621"/>
        <s v="APTO-0622"/>
        <s v="APTO-0623"/>
        <s v="APTO-0624"/>
        <s v="APTO-0625"/>
        <s v="APTO-06K1"/>
        <s v="APTO-06L1"/>
        <s v="APTO-06M1"/>
        <s v="APTO-06N1"/>
        <s v="APTO-06O1"/>
        <s v="APTO-0702"/>
        <s v="APTO-0703"/>
        <s v="APTO-0704"/>
        <s v="APTO-0705"/>
        <s v="APTO-0706"/>
        <s v="APTO-0707"/>
        <s v="APTO-0708"/>
        <s v="APTO-0709"/>
        <s v="APTO-0710"/>
        <s v="APTO-0716"/>
        <s v="APTO-0717"/>
        <s v="APTO-0718"/>
        <s v="APTO-0720"/>
        <s v="APTO-0721"/>
        <s v="APTO-0722"/>
        <s v="APTO-0723"/>
        <s v="APTO-0724"/>
        <s v="APTO-07K"/>
        <s v="APTO-07L"/>
        <s v="APTO-07N"/>
        <s v="APTO-0801"/>
        <s v="APTO-0802"/>
        <s v="APTO-0803"/>
        <s v="APTO-0804"/>
        <s v="APTO-0805"/>
        <s v="APTO-0806"/>
        <s v="APTO-0807"/>
        <s v="APTO-0808"/>
        <s v="APTO-0809"/>
        <s v="APTO-0810"/>
        <s v="APTO-0816"/>
        <s v="APTO-0817"/>
        <s v="APTO-0819"/>
        <s v="APTO-0820"/>
        <s v="APTO-0821"/>
        <s v="APTO-0822"/>
        <s v="APTO-0823"/>
        <s v="APTO-0824"/>
        <s v="APTO-0825"/>
        <s v="APTO-08K"/>
        <s v="APTO-08L"/>
        <s v="APTO-08M"/>
        <s v="APTO-08N"/>
        <s v="APTO-08O"/>
        <s v="APTO-0901"/>
        <s v="APTO-0902"/>
        <s v="APTO-0903"/>
        <s v="APTO-0904"/>
        <s v="APTO-0905"/>
        <s v="APTO-0906"/>
        <s v="APTO-0907"/>
        <s v="APTO-0908"/>
        <s v="APTO-0909"/>
        <s v="APTO-0910"/>
        <s v="APTO-0916"/>
        <s v="APTO-0917"/>
        <s v="APTO-0918"/>
        <s v="APTO-0919"/>
        <s v="APTO-0920"/>
        <s v="APTO-0921"/>
        <s v="APTO-0922"/>
        <s v="APTO-0923"/>
        <s v="APTO-0924"/>
        <s v="APTO-0925"/>
        <s v="APTO-09K"/>
        <s v="APTO-09L"/>
        <s v="APTO-09M"/>
        <s v="APTO-09N"/>
        <s v="APTO-09O"/>
        <s v="APTO-1001"/>
        <s v="APTO-1002"/>
        <s v="APTO-1003"/>
        <s v="APTO-1004"/>
        <s v="APTO-1005"/>
        <s v="APTO-1006"/>
        <s v="APTO-1007"/>
        <s v="APTO-1008"/>
        <s v="APTO-1009"/>
        <s v="APTO-1010"/>
        <s v="APTO-1016"/>
        <s v="APTO-1017"/>
        <s v="APTO-1019"/>
        <s v="APTO-1020"/>
        <s v="APTO-1021"/>
        <s v="APTO-1022"/>
        <s v="APTO-1023"/>
        <s v="APTO-1024"/>
        <s v="APTO-1025"/>
        <s v="APTO-10L-LG"/>
        <s v="APTO-10M"/>
        <s v="APTO-10N"/>
        <s v="APTO-10O"/>
        <s v="APTO-1102"/>
        <s v="APTO-1103"/>
        <s v="APTO-1104"/>
        <s v="APTO-1105"/>
        <s v="APTO-1106"/>
        <s v="APTO-1107"/>
        <s v="APTO-1108"/>
        <s v="APTO-1109"/>
        <s v="APTO-1110"/>
        <s v="APTO-1116"/>
        <s v="APTO-1118"/>
        <s v="APTO-1119"/>
        <s v="APTO-1120"/>
        <s v="APTO-1121"/>
        <s v="APTO-1122"/>
        <s v="APTO-1123"/>
        <s v="APTO-1124"/>
        <s v="APTO-11L"/>
        <s v="APTO-11M"/>
        <s v="APTO-11N"/>
        <s v="APTO-11O"/>
        <s v="APTO-1201"/>
        <s v="APTO-1202"/>
        <s v="APTO-1203"/>
        <s v="APTO-1204"/>
        <s v="APTO-1205"/>
        <s v="APTO-1206"/>
        <s v="APTO-1207"/>
        <s v="APTO-1208"/>
        <s v="APTO-1209"/>
        <s v="APTO-1210"/>
        <s v="APTO-1216"/>
        <s v="APTO-1218"/>
        <s v="APTO-1219"/>
        <s v="APTO-1220"/>
        <s v="APTO-1221"/>
        <s v="APTO-1222"/>
        <s v="APTO-1223"/>
        <s v="APTO-1224"/>
        <s v="APTO-1225"/>
        <s v="APTO-12K"/>
        <s v="APTO-12L"/>
        <s v="APTO-12M"/>
        <s v="APTO-12N"/>
        <s v="APTO-12O"/>
        <s v="APTO-1301"/>
        <s v="APTO-1302"/>
        <s v="APTO-1303"/>
        <s v="APTO-1304"/>
        <s v="APTO-1305"/>
        <s v="APTO-1306"/>
        <s v="APTO-1307"/>
        <s v="APTO-1308"/>
        <s v="APTO-1309"/>
        <s v="APTO-1310"/>
        <s v="APTO-1316"/>
        <s v="APTO-1318"/>
        <s v="APTO-1319"/>
        <s v="APTO-1320"/>
        <s v="APTO-1321"/>
        <s v="APTO-1322"/>
        <s v="APTO-1323"/>
        <s v="APTO-1324"/>
        <s v="APTO-1325"/>
        <s v="APTO-13K"/>
        <s v="APTO-13L"/>
        <s v="APTO-13M"/>
        <s v="APTO-13N"/>
        <s v="APTO-13O"/>
        <s v="APTO-1401"/>
        <s v="APTO-1402"/>
        <s v="APTO-1403"/>
        <s v="APTO-1404"/>
        <s v="APTO-1405"/>
        <s v="APTO-1406"/>
        <s v="APTO-1407"/>
        <s v="APTO-1408"/>
        <s v="APTO-1409"/>
        <s v="APTO-1410"/>
        <s v="APTO-1417"/>
        <s v="APTO-1418"/>
        <s v="APTO-1419"/>
        <s v="APTO-1420"/>
        <s v="APTO-1421"/>
        <s v="APTO-1422"/>
        <s v="APTO-1423"/>
        <s v="APTO-1424"/>
        <s v="APTO-1425"/>
        <s v="APTO-14K"/>
        <s v="APTO-14L"/>
        <s v="APTO-14M"/>
        <s v="APTO-14N"/>
        <s v="APTO-1501"/>
        <s v="APTO-1502"/>
        <s v="APTO-1503"/>
        <s v="APTO-1504"/>
        <s v="APTO-1505"/>
        <s v="APTO-1506"/>
        <s v="APTO-1507"/>
        <s v="APTO-1508"/>
        <s v="APTO-1509-LG"/>
        <s v="APTO-1510"/>
        <s v="APTO-1516"/>
        <s v="APTO-1517"/>
        <s v="APTO-1519"/>
        <s v="APTO-1520"/>
        <s v="APTO-1521"/>
        <s v="APTO-1522"/>
        <s v="APTO-1523"/>
        <s v="APTO-1524"/>
        <s v="APTO-15K"/>
        <s v="APTO-15L"/>
        <s v="APTO-15M"/>
        <s v="APTO-15N"/>
        <s v="APTO-1601"/>
        <s v="APTO-1602"/>
        <s v="APTO-1603"/>
        <s v="APTO-1604"/>
        <s v="APTO-1605"/>
        <s v="APTO-1606"/>
        <s v="APTO-1607"/>
        <s v="APTO-1608"/>
        <s v="APTO-1609"/>
        <s v="APTO-1610"/>
        <s v="APTO-1616"/>
        <s v="APTO-1618"/>
        <s v="APTO-1619"/>
        <s v="APTO-1620"/>
        <s v="APTO-1621"/>
        <s v="APTO-1622"/>
        <s v="APTO-1623"/>
        <s v="APTO-1624"/>
        <s v="APTO-16K"/>
        <s v="APTO-16L"/>
        <s v="APTO-16M"/>
        <s v="APTO-16N"/>
        <s v="APTO-16O"/>
        <s v="APTO-1701"/>
        <s v="APTO-1702"/>
        <s v="APTO-1703"/>
        <s v="APTO-1704"/>
        <s v="APTO-1705"/>
        <s v="APTO-1706"/>
        <s v="APTO-1707"/>
        <s v="APTO-1708"/>
        <s v="APTO-1709"/>
        <s v="APTO-1710"/>
        <s v="APTO-1716"/>
        <s v="APTO-1718"/>
        <s v="APTO-1719"/>
        <s v="APTO-1720"/>
        <s v="APTO-1721"/>
        <s v="APTO-1722"/>
        <s v="APTO-1723"/>
        <s v="APTO-1724"/>
        <s v="APTO-1725"/>
        <s v="APTO-17L"/>
        <s v="APTO-17M"/>
        <s v="APTO-17N"/>
        <s v="APTO-17O"/>
        <s v="APTO-1801"/>
        <s v="APTO-1802"/>
        <s v="APTO-1803"/>
        <s v="APTO-1804"/>
        <s v="APTO-1805"/>
        <s v="APTO-1806"/>
        <s v="APTO-1807"/>
        <s v="APTO-1808"/>
        <s v="APTO-1809"/>
        <s v="APTO-1810"/>
        <s v="APTO-1816"/>
        <s v="APTO-1817"/>
        <s v="APTO-1818"/>
        <s v="APTO-1819"/>
        <s v="APTO-1820"/>
        <s v="APTO-1821"/>
        <s v="APTO-1822"/>
        <s v="APTO-1823"/>
        <s v="APTO-1824"/>
        <s v="APTO-1825"/>
        <s v="APTO-18K"/>
        <s v="APTO-18L"/>
        <s v="APTO-18M"/>
        <s v="APTO-18N"/>
        <s v="APTO-1901"/>
        <s v="APTO-1902"/>
        <s v="APTO-1903"/>
        <s v="APTO-1904"/>
        <s v="APTO-1905"/>
        <s v="APTO-1906"/>
        <s v="APTO-1907"/>
        <s v="APTO-1908"/>
        <s v="APTO-1909"/>
        <s v="APTO-1910"/>
        <s v="APTO-1916"/>
        <s v="APTO-1917"/>
        <s v="APTO-1918"/>
        <s v="APTO-1919"/>
        <s v="APTO-1920"/>
        <s v="APTO-1921"/>
        <s v="APTO-1922"/>
        <s v="APTO-1923"/>
        <s v="APTO-1924"/>
        <s v="APTO-1925"/>
        <s v="APTO-19K"/>
        <s v="APTO-19L"/>
        <s v="APTO-19M"/>
        <s v="APTO-19N"/>
        <s v="APTO-19O"/>
        <s v="APTO-2001"/>
        <s v="APTO-2002"/>
        <s v="APTO-2003"/>
        <s v="APTO-2004"/>
        <s v="APTO-2005"/>
        <s v="APTO-2006"/>
        <s v="APTO-2007"/>
        <s v="APTO-2008"/>
        <s v="APTO-2009"/>
        <s v="APTO-2010"/>
        <s v="APTO-2017"/>
        <s v="APTO-2018"/>
        <s v="APTO-2019"/>
        <s v="APTO-2020"/>
        <s v="APTO-2021"/>
        <s v="APTO-2022"/>
        <s v="APTO-2023"/>
        <s v="APTO-2024"/>
        <s v="APTO-20K"/>
        <s v="APTO-20L"/>
        <s v="APTO-20M"/>
        <s v="APTO-20N"/>
        <s v="APTO-20O"/>
        <s v="APTO-2101"/>
        <s v="APTO-2102"/>
        <s v="APTO-2103"/>
        <s v="APTO-2104"/>
        <s v="APTO-2105"/>
        <s v="APTO-2106"/>
        <s v="APTO-2107"/>
        <s v="APTO-2108"/>
        <s v="APTO-2109"/>
        <s v="APTO-2110"/>
        <s v="APTO-2116"/>
        <s v="APTO-2117"/>
        <s v="APTO-2118"/>
        <s v="APTO-2119"/>
        <s v="APTO-2120"/>
        <s v="APTO-2121"/>
        <s v="APTO-2122"/>
        <s v="APTO-2123"/>
        <s v="APTO-2124"/>
        <s v="APTO-21K"/>
        <s v="APTO-21L"/>
        <s v="APTO-21M"/>
        <s v="APTO-21N"/>
        <s v="APTO-21O"/>
        <s v="APTO-2201"/>
        <s v="APTO-2202"/>
        <s v="APTO-2203"/>
        <s v="APTO-2204"/>
        <s v="APTO-2205"/>
        <s v="APTO-2206"/>
        <s v="APTO-2207"/>
        <s v="APTO-2208"/>
        <s v="APTO-2209"/>
        <s v="APTO-2210"/>
        <s v="APTO-2216"/>
        <s v="APTO-2217"/>
        <s v="APTO-2218"/>
        <s v="APTO-2219"/>
        <s v="APTO-2220"/>
        <s v="APTO-2221"/>
        <s v="APTO-2222"/>
        <s v="APTO-2223"/>
        <s v="APTO-2224"/>
        <s v="APTO-22K"/>
        <s v="APTO-22L"/>
        <s v="APTO-22M"/>
        <s v="APTO-22N"/>
        <s v="APTO-22O"/>
        <s v="APTO-2301"/>
        <s v="APTO-2302"/>
        <s v="APTO-2303"/>
        <s v="APTO-2304"/>
        <s v="APTO-2305"/>
        <s v="APTO-2306"/>
        <s v="APTO-2307"/>
        <s v="APTO-2308"/>
        <s v="APTO-2309"/>
        <s v="APTO-2310"/>
        <s v="APTO-2316"/>
        <s v="APTO-2319"/>
        <s v="APTO-2320"/>
        <s v="APTO-2321"/>
        <s v="APTO-2322"/>
        <s v="APTO-2323"/>
        <s v="APTO-2324"/>
        <s v="APTO-23K"/>
        <s v="APTO-23L"/>
        <s v="APTO-23M"/>
        <s v="APTO-23N"/>
        <s v="APTO-23O"/>
        <s v="APTO-2401"/>
        <s v="APTO-2402"/>
        <s v="APTO-2403"/>
        <s v="APTO-2404"/>
        <s v="APTO-2405"/>
        <s v="APTO-2406"/>
        <s v="APTO-2407"/>
        <s v="APTO-2408"/>
        <s v="APTO-2409"/>
        <s v="APTO-2410"/>
        <s v="APTO-2416"/>
        <s v="APTO-2419"/>
        <s v="APTO-2421"/>
        <s v="APTO-2422"/>
        <s v="APTO-2423"/>
        <s v="APTO-2424"/>
        <s v="APTO-24K"/>
        <s v="APTO-24L"/>
        <s v="APTO-24M"/>
        <s v="APTO-24N"/>
        <s v="APTO-24O"/>
        <s v="APTO-2501"/>
        <s v="APTO-2502"/>
        <s v="APTO-2503"/>
        <s v="APTO-2504"/>
        <s v="APTO-2505"/>
        <s v="APTO-2506"/>
        <s v="APTO-2507"/>
        <s v="APTO-2508"/>
        <s v="APTO-2509"/>
        <s v="APTO-2510"/>
        <s v="APTO-2516"/>
        <s v="APTO-2518"/>
        <s v="APTO-2519"/>
        <s v="APTO-2520"/>
        <s v="APTO-2521"/>
        <s v="APTO-2522"/>
        <s v="APTO-2523"/>
        <s v="APTO-2524"/>
        <s v="APTO-2525"/>
        <s v="APTO-25K"/>
        <s v="APTO-25L"/>
        <s v="APTO-25M"/>
        <s v="APTO-25N"/>
        <s v="APTO-25O"/>
        <s v="APTO-2602"/>
        <s v="APTO-2603"/>
        <s v="APTO-2604"/>
        <s v="APTO-2605"/>
        <s v="APTO-2606"/>
        <s v="APTO-2607"/>
        <s v="APTO-2608"/>
        <s v="APTO-2609"/>
        <s v="APTO-2610"/>
        <s v="APTO-2616"/>
        <s v="APTO-2617"/>
        <s v="APTO-2618"/>
        <s v="APTO-2619"/>
        <s v="APTO-2621"/>
        <s v="APTO-2622"/>
        <s v="APTO-2623"/>
        <s v="APTO-2624"/>
        <s v="APTO-2625"/>
        <s v="APTO-26K"/>
        <s v="APTO-26L"/>
        <s v="APTO-26M"/>
        <s v="APTO-26N"/>
        <s v="APTO-26O"/>
        <s v="APTO-2701"/>
        <s v="APTO-2702"/>
        <s v="APTO-2703"/>
        <s v="APTO-2704"/>
        <s v="APTO-2705"/>
        <s v="APTO-2706"/>
        <s v="APTO-2707"/>
        <s v="APTO-2708"/>
        <s v="APTO-2709"/>
        <s v="APTO-2710"/>
        <s v="APTO-2716"/>
        <s v="APTO-2717"/>
        <s v="APTO-2719"/>
        <s v="APTO-2721"/>
        <s v="APTO-2722"/>
        <s v="APTO-2723"/>
        <s v="APTO-2724"/>
        <s v="APTO-27K"/>
        <s v="APTO-27L"/>
        <s v="APTO-27M"/>
        <s v="APTO-27N"/>
        <s v="APTO-27O"/>
        <s v="APTO-2801"/>
        <s v="APTO-2802"/>
        <s v="APTO-2803"/>
        <s v="APTO-2804"/>
        <s v="APTO-2805"/>
        <s v="APTO-2806"/>
        <s v="APTO-2807"/>
        <s v="APTO-2808"/>
        <s v="APTO-2809"/>
        <s v="APTO-2810"/>
        <s v="APTO-2816"/>
        <s v="APTO-2817"/>
        <s v="APTO-2818"/>
        <s v="APTO-2819"/>
        <s v="APTO-2820"/>
        <s v="APTO-2821"/>
        <s v="APTO-2822"/>
        <s v="APTO-2823"/>
        <s v="APTO-2824"/>
        <s v="APTO-28K"/>
        <s v="APTO-28L"/>
        <s v="APTO-28N-LG"/>
        <s v="APTO-28O"/>
        <s v="APTO-2901"/>
        <s v="APTO-2902"/>
        <s v="APTO-2903"/>
        <s v="APTO-2904"/>
        <s v="APTO-2905"/>
        <s v="APTO-2906"/>
        <s v="APTO-2907"/>
        <s v="APTO-2908"/>
        <s v="APTO-2909"/>
        <s v="APTO-2910"/>
        <s v="APTO-2916"/>
        <s v="APTO-2917"/>
        <s v="APTO-2919"/>
        <s v="APTO-2920"/>
        <s v="APTO-2921"/>
        <s v="APTO-2922"/>
        <s v="APTO-2923"/>
        <s v="APTO-2924"/>
        <s v="APTO-29K"/>
        <s v="APTO-29L"/>
        <s v="APTO-29M"/>
        <s v="APTO-29N-LG"/>
        <s v="APTO-29O"/>
        <s v="APTO-3001"/>
        <s v="APTO-3002"/>
        <s v="APTO-3003"/>
        <s v="APTO-3004"/>
        <s v="APTO-3005"/>
        <s v="APTO-3006"/>
        <s v="APTO-3007"/>
        <s v="APTO-3008"/>
        <s v="APTO-3009"/>
        <s v="APTO-3010"/>
        <s v="APTO-3016"/>
        <s v="APTO-3017"/>
        <s v="APTO-3018"/>
        <s v="APTO-3019"/>
        <s v="APTO-3020"/>
        <s v="APTO-3021"/>
        <s v="APTO-3022"/>
        <s v="APTO-3023"/>
        <s v="APTO-30K"/>
        <s v="APTO-30L"/>
        <s v="APTO-30M"/>
        <s v="APTO-30N"/>
        <s v="APTO-30O"/>
        <s v="PM-PMP1-1165"/>
        <s v="PM-PMP1-1166"/>
        <s v="PM-PMP1-1168"/>
        <s v="PM-PMP1-1171"/>
        <s v="PM-PMP1-1172"/>
        <s v="PM-PMP1-1173"/>
        <s v="UTIL-U-06031"/>
        <s v="UTIL-U-07031"/>
        <s v="UTIL-U-10033"/>
        <s v="UTIL-U-14032"/>
        <s v="UTIL-U-17031"/>
        <s v="UTIL-U-24031"/>
        <s v="UTIL-U-27032"/>
        <s v=""/>
      </sharedItems>
    </cacheField>
    <cacheField name="Ene-24" numFmtId="44">
      <sharedItems containsSemiMixedTypes="0" containsString="0" containsNumber="1" containsInteger="1" minValue="0" maxValue="0"/>
    </cacheField>
    <cacheField name="Feb-24" numFmtId="44">
      <sharedItems containsSemiMixedTypes="0" containsString="0" containsNumber="1" containsInteger="1" minValue="0" maxValue="0"/>
    </cacheField>
    <cacheField name="Mar-24" numFmtId="44">
      <sharedItems containsSemiMixedTypes="0" containsString="0" containsNumber="1" containsInteger="1" minValue="0" maxValue="0"/>
    </cacheField>
    <cacheField name="Abr-24" numFmtId="44">
      <sharedItems containsSemiMixedTypes="0" containsString="0" containsNumber="1" containsInteger="1" minValue="0" maxValue="0"/>
    </cacheField>
    <cacheField name="May-24" numFmtId="44">
      <sharedItems containsSemiMixedTypes="0" containsString="0" containsNumber="1" containsInteger="1" minValue="0" maxValue="0"/>
    </cacheField>
    <cacheField name="Jun-24" numFmtId="44">
      <sharedItems containsSemiMixedTypes="0" containsString="0" containsNumber="1" containsInteger="1" minValue="0" maxValue="3392140"/>
    </cacheField>
    <cacheField name="Jul-24" numFmtId="44">
      <sharedItems containsSemiMixedTypes="0" containsString="0" containsNumber="1" containsInteger="1" minValue="0" maxValue="382240661"/>
    </cacheField>
    <cacheField name="Ago-24" numFmtId="44">
      <sharedItems containsSemiMixedTypes="0" containsString="0" containsNumber="1" containsInteger="1" minValue="0" maxValue="8000000"/>
    </cacheField>
    <cacheField name="Sep-24" numFmtId="44">
      <sharedItems containsSemiMixedTypes="0" containsString="0" containsNumber="1" containsInteger="1" minValue="0" maxValue="237183003"/>
    </cacheField>
    <cacheField name="Oct-24" numFmtId="44">
      <sharedItems containsSemiMixedTypes="0" containsString="0" containsNumber="1" containsInteger="1" minValue="0" maxValue="5256599"/>
    </cacheField>
    <cacheField name="Nov-24" numFmtId="44">
      <sharedItems containsSemiMixedTypes="0" containsString="0" containsNumber="1" containsInteger="1" minValue="0" maxValue="4300000"/>
    </cacheField>
    <cacheField name="Dic-24" numFmtId="44">
      <sharedItems containsSemiMixedTypes="0" containsString="0" containsNumber="1" containsInteger="1" minValue="0" maxValue="6034324"/>
    </cacheField>
    <cacheField name="Ene-25" numFmtId="44">
      <sharedItems containsSemiMixedTypes="0" containsString="0" containsNumber="1" containsInteger="1" minValue="0" maxValue="22694034"/>
    </cacheField>
    <cacheField name="Feb-25" numFmtId="44">
      <sharedItems containsSemiMixedTypes="0" containsString="0" containsNumber="1" containsInteger="1" minValue="0" maxValue="5934263"/>
    </cacheField>
    <cacheField name="Mar-25" numFmtId="44">
      <sharedItems containsSemiMixedTypes="0" containsString="0" containsNumber="1" containsInteger="1" minValue="0" maxValue="13771755"/>
    </cacheField>
    <cacheField name="Abr-25" numFmtId="44">
      <sharedItems containsSemiMixedTypes="0" containsString="0" containsNumber="1" containsInteger="1" minValue="0" maxValue="20576319"/>
    </cacheField>
    <cacheField name="May-25" numFmtId="44">
      <sharedItems containsSemiMixedTypes="0" containsString="0" containsNumber="1" containsInteger="1" minValue="0" maxValue="843878425"/>
    </cacheField>
    <cacheField name="Jun-25" numFmtId="44">
      <sharedItems containsSemiMixedTypes="0" containsString="0" containsNumber="1" containsInteger="1" minValue="0" maxValue="6992693687"/>
    </cacheField>
    <cacheField name="Jul-25" numFmtId="44">
      <sharedItems containsSemiMixedTypes="0" containsString="0" containsNumber="1" containsInteger="1" minValue="0" maxValue="469975183"/>
    </cacheField>
    <cacheField name="Ago-25" numFmtId="44">
      <sharedItems containsSemiMixedTypes="0" containsString="0" containsNumber="1" containsInteger="1" minValue="0" maxValue="11279585028"/>
    </cacheField>
    <cacheField name="Sep-25" numFmtId="44">
      <sharedItems containsSemiMixedTypes="0" containsString="0" containsNumber="1" containsInteger="1" minValue="0" maxValue="1715738372"/>
    </cacheField>
    <cacheField name="Oct-25" numFmtId="44">
      <sharedItems containsSemiMixedTypes="0" containsString="0" containsNumber="1" containsInteger="1" minValue="0" maxValue="3693993084"/>
    </cacheField>
    <cacheField name="Nov-25" numFmtId="44">
      <sharedItems containsSemiMixedTypes="0" containsString="0" containsNumber="1" containsInteger="1" minValue="0" maxValue="13901518764"/>
    </cacheField>
    <cacheField name="Dic-25" numFmtId="44">
      <sharedItems containsSemiMixedTypes="0" containsString="0" containsNumber="1" containsInteger="1" minValue="0" maxValue="7578948659"/>
    </cacheField>
    <cacheField name="Ene-26" numFmtId="44">
      <sharedItems containsSemiMixedTypes="0" containsString="0" containsNumber="1" containsInteger="1" minValue="0" maxValue="2212209271"/>
    </cacheField>
    <cacheField name="Feb-26" numFmtId="44">
      <sharedItems containsSemiMixedTypes="0" containsString="0" containsNumber="1" containsInteger="1" minValue="0" maxValue="2155916703"/>
    </cacheField>
    <cacheField name="Mar-26" numFmtId="44">
      <sharedItems containsSemiMixedTypes="0" containsString="0" containsNumber="1" containsInteger="1" minValue="0" maxValue="7292895627"/>
    </cacheField>
    <cacheField name="Abr-26" numFmtId="44">
      <sharedItems containsSemiMixedTypes="0" containsString="0" containsNumber="1" containsInteger="1" minValue="0" maxValue="3476226661"/>
    </cacheField>
    <cacheField name="May-26" numFmtId="44">
      <sharedItems containsSemiMixedTypes="0" containsString="0" containsNumber="1" containsInteger="1" minValue="0" maxValue="469915825"/>
    </cacheField>
    <cacheField name="Jun-26" numFmtId="44">
      <sharedItems containsSemiMixedTypes="0" containsString="0" containsNumber="1" containsInteger="1" minValue="0" maxValue="1864481837"/>
    </cacheField>
    <cacheField name="Jul-26" numFmtId="44">
      <sharedItems containsSemiMixedTypes="0" containsString="0" containsNumber="1" containsInteger="1" minValue="0" maxValue="479686889"/>
    </cacheField>
    <cacheField name="Ago-26" numFmtId="44">
      <sharedItems containsSemiMixedTypes="0" containsString="0" containsNumber="1" containsInteger="1" minValue="0" maxValue="455086889"/>
    </cacheField>
    <cacheField name="Sep-26" numFmtId="44">
      <sharedItems containsSemiMixedTypes="0" containsString="0" containsNumber="1" containsInteger="1" minValue="0" maxValue="469936889"/>
    </cacheField>
    <cacheField name="Oct-26" numFmtId="44">
      <sharedItems containsSemiMixedTypes="0" containsString="0" containsNumber="1" containsInteger="1" minValue="0" maxValue="497686889"/>
    </cacheField>
    <cacheField name="Nov-26" numFmtId="44">
      <sharedItems containsSemiMixedTypes="0" containsString="0" containsNumber="1" containsInteger="1" minValue="0" maxValue="498637140"/>
    </cacheField>
    <cacheField name="Dic-26" numFmtId="44">
      <sharedItems containsSemiMixedTypes="0" containsString="0" containsNumber="1" containsInteger="1" minValue="0" maxValue="564828353"/>
    </cacheField>
    <cacheField name="Ene-27" numFmtId="44">
      <sharedItems containsSemiMixedTypes="0" containsString="0" containsNumber="1" containsInteger="1" minValue="0" maxValue="468679388"/>
    </cacheField>
    <cacheField name="Feb-27" numFmtId="44">
      <sharedItems containsSemiMixedTypes="0" containsString="0" containsNumber="1" containsInteger="1" minValue="0" maxValue="495526388"/>
    </cacheField>
    <cacheField name="Mar-27" numFmtId="44">
      <sharedItems containsSemiMixedTypes="0" containsString="0" containsNumber="1" containsInteger="1" minValue="0" maxValue="752307467"/>
    </cacheField>
    <cacheField name="Abr-27" numFmtId="44">
      <sharedItems containsSemiMixedTypes="0" containsString="0" containsNumber="1" containsInteger="1" minValue="0" maxValue="469130110"/>
    </cacheField>
    <cacheField name="May-27" numFmtId="44">
      <sharedItems containsSemiMixedTypes="0" containsString="0" containsNumber="1" containsInteger="1" minValue="0" maxValue="473130110"/>
    </cacheField>
    <cacheField name="Jun-27" numFmtId="44">
      <sharedItems containsSemiMixedTypes="0" containsString="0" containsNumber="1" containsInteger="1" minValue="0" maxValue="541379076"/>
    </cacheField>
    <cacheField name="Jul-27" numFmtId="44">
      <sharedItems containsSemiMixedTypes="0" containsString="0" containsNumber="1" containsInteger="1" minValue="0" maxValue="842240111"/>
    </cacheField>
    <cacheField name="Ago-27" numFmtId="44">
      <sharedItems containsSemiMixedTypes="0" containsString="0" containsNumber="1" containsInteger="1" minValue="0" maxValue="465312022"/>
    </cacheField>
    <cacheField name="Sep-27" numFmtId="44">
      <sharedItems containsSemiMixedTypes="0" containsString="0" containsNumber="1" containsInteger="1" minValue="0" maxValue="943535296"/>
    </cacheField>
    <cacheField name="Oct-27" numFmtId="44">
      <sharedItems containsSemiMixedTypes="0" containsString="0" containsNumber="1" containsInteger="1" minValue="0" maxValue="36274546612"/>
    </cacheField>
    <cacheField name="Nov-27" numFmtId="44">
      <sharedItems containsSemiMixedTypes="0" containsString="0" containsNumber="1" containsInteger="1" minValue="0" maxValue="2773312750"/>
    </cacheField>
    <cacheField name="TOTAL" numFmtId="44">
      <sharedItems containsSemiMixedTypes="0" containsString="0" containsNumber="1" containsInteger="1" minValue="0" maxValue="11212213278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ngrid Largo" refreshedDate="45936.542696643519" backgroundQuery="1" createdVersion="8" refreshedVersion="8" minRefreshableVersion="3" recordCount="0" supportSubquery="1" supportAdvancedDrill="1" xr:uid="{3783C294-D077-4FF2-964B-79381E0C867E}">
  <cacheSource type="external" connectionId="1"/>
  <cacheFields count="7">
    <cacheField name="[TORRE_3B].[Proyecto].[Proyecto]" caption="Proyecto" numFmtId="0" hierarchy="14" level="1">
      <sharedItems count="1">
        <s v="TORRE 3B"/>
      </sharedItems>
    </cacheField>
    <cacheField name="[TORRE_3B].[Tipo de Unidad].[Tipo de Unidad]" caption="Tipo de Unidad" numFmtId="0" hierarchy="15" level="1">
      <sharedItems count="3">
        <s v="APARTAMENTO"/>
        <s v="PARQUEADERO"/>
        <s v="UTIL"/>
      </sharedItems>
    </cacheField>
    <cacheField name="[TORRE_3B].[Producto].[Producto]" caption="Producto" numFmtId="0" hierarchy="16" level="1">
      <sharedItems count="282">
        <s v="0617"/>
        <s v="0618"/>
        <s v="0619"/>
        <s v="0716"/>
        <s v="0717"/>
        <s v="0718"/>
        <s v="0719"/>
        <s v="0816"/>
        <s v="0817"/>
        <s v="0818"/>
        <s v="0819"/>
        <s v="0916"/>
        <s v="0917"/>
        <s v="0918"/>
        <s v="0919"/>
        <s v="1016"/>
        <s v="1017"/>
        <s v="1018"/>
        <s v="1019"/>
        <s v="1116"/>
        <s v="1117"/>
        <s v="1118"/>
        <s v="1119"/>
        <s v="1216"/>
        <s v="1217"/>
        <s v="1218"/>
        <s v="1219"/>
        <s v="1316"/>
        <s v="1317"/>
        <s v="1318"/>
        <s v="1319"/>
        <s v="1416"/>
        <s v="1417"/>
        <s v="1418"/>
        <s v="1419"/>
        <s v="1516"/>
        <s v="1517"/>
        <s v="1518"/>
        <s v="1519"/>
        <s v="1616"/>
        <s v="1617"/>
        <s v="1618"/>
        <s v="1619"/>
        <s v="1716"/>
        <s v="1717"/>
        <s v="1718"/>
        <s v="1719"/>
        <s v="1816"/>
        <s v="1817"/>
        <s v="1818"/>
        <s v="1819"/>
        <s v="1916"/>
        <s v="1917"/>
        <s v="1918"/>
        <s v="1919"/>
        <s v="2016"/>
        <s v="2017"/>
        <s v="2018"/>
        <s v="2019"/>
        <s v="2116"/>
        <s v="2117"/>
        <s v="2118"/>
        <s v="2119"/>
        <s v="2216"/>
        <s v="2217"/>
        <s v="2218"/>
        <s v="2219"/>
        <s v="2316"/>
        <s v="2317"/>
        <s v="2318"/>
        <s v="2319"/>
        <s v="2416"/>
        <s v="2417"/>
        <s v="2418"/>
        <s v="2419"/>
        <s v="2516"/>
        <s v="2517"/>
        <s v="2518"/>
        <s v="2519"/>
        <s v="2616"/>
        <s v="2617"/>
        <s v="2618"/>
        <s v="2619"/>
        <s v="2716"/>
        <s v="2717"/>
        <s v="2718"/>
        <s v="2719"/>
        <s v="2816"/>
        <s v="2817"/>
        <s v="2818"/>
        <s v="2819"/>
        <s v="2916"/>
        <s v="2917"/>
        <s v="2918"/>
        <s v="2919"/>
        <s v="3016"/>
        <s v="3017"/>
        <s v="3018"/>
        <s v="3019"/>
        <s v="PS-01093"/>
        <s v="PS-01094"/>
        <s v="PS-01143"/>
        <s v="PS-03086"/>
        <s v="PS-03115"/>
        <s v="PS-04086"/>
        <s v="PS-05083"/>
        <s v="PS-05159"/>
        <s v="PS-05161"/>
        <s v="PS-05166"/>
        <s v="PS-06S1"/>
        <s v="PS-06T1"/>
        <s v="PS-06U1"/>
        <s v="PS-07T"/>
        <s v="PS-07U"/>
        <s v="PS-07V"/>
        <s v="PS-08S"/>
        <s v="PS-08U"/>
        <s v="PS-08V"/>
        <s v="PS-090"/>
        <s v="PS-096"/>
        <s v="PS-098"/>
        <s v="PS-099"/>
        <s v="PS-09S"/>
        <s v="PS-09T"/>
        <s v="PS-09U"/>
        <s v="PS-09V"/>
        <s v="PS-10S"/>
        <s v="PS-10T"/>
        <s v="PS-10V"/>
        <s v="PS-11S"/>
        <s v="PS-11V"/>
        <s v="PS-12S"/>
        <s v="PS-12T"/>
        <s v="PS-12V"/>
        <s v="PS-13S"/>
        <s v="PS-13T"/>
        <s v="PS-13V"/>
        <s v="PS-14S"/>
        <s v="PS-14T"/>
        <s v="PS-14U"/>
        <s v="PS-14V"/>
        <s v="PS-15S"/>
        <s v="PS-15T"/>
        <s v="PS-15V"/>
        <s v="PS-16S"/>
        <s v="PS-16T"/>
        <s v="PS-16V"/>
        <s v="PS-17S"/>
        <s v="PS-17T"/>
        <s v="PS-17V"/>
        <s v="PS-18S"/>
        <s v="PS-18T"/>
        <s v="PS-18V"/>
        <s v="PS-19S"/>
        <s v="PS-19T"/>
        <s v="PS-19V"/>
        <s v="PS-20S"/>
        <s v="PS-20T"/>
        <s v="PS-20U"/>
        <s v="PS-20V"/>
        <s v="PS-21S"/>
        <s v="PS-21T"/>
        <s v="PS-21U"/>
        <s v="PS-21V"/>
        <s v="PS-22S"/>
        <s v="PS-22T"/>
        <s v="PS-22V"/>
        <s v="PS-23S"/>
        <s v="PS-23T"/>
        <s v="PS-23V"/>
        <s v="PS-24S"/>
        <s v="PS-24T"/>
        <s v="PS-24V"/>
        <s v="PS-25S"/>
        <s v="PS-26S"/>
        <s v="PS-26T"/>
        <s v="PS-26V"/>
        <s v="PS-27S"/>
        <s v="PS-27V"/>
        <s v="PS-28S"/>
        <s v="PS-28T"/>
        <s v="PS-28V"/>
        <s v="PS-29S"/>
        <s v="PS-29T"/>
        <s v="PS-29U"/>
        <s v="PS-29V"/>
        <s v="PS-30S"/>
        <s v="PS-30T"/>
        <s v="PS-30U"/>
        <s v="PS-30V"/>
        <s v="U-01129"/>
        <s v="U-01138"/>
        <s v="U-01143"/>
        <s v="U-02238"/>
        <s v="U-02537"/>
        <s v="U-02538"/>
        <s v="U-02737"/>
        <s v="U-03117 U.PISO"/>
        <s v="U-04140"/>
        <s v="U-05132"/>
        <s v="U-06S1"/>
        <s v="U-06T1"/>
        <s v="U-06U1"/>
        <s v="U-07T"/>
        <s v="U-07U"/>
        <s v="U-07V"/>
        <s v="U-085"/>
        <s v="U-086"/>
        <s v="U-08S"/>
        <s v="U-08U"/>
        <s v="U-08V"/>
        <s v="U-093"/>
        <s v="U-095"/>
        <s v="U-098"/>
        <s v="U-09S"/>
        <s v="U-09T"/>
        <s v="U-09U"/>
        <s v="U-09V"/>
        <s v="U-10S"/>
        <s v="U-10T"/>
        <s v="U-10V"/>
        <s v="U-11S"/>
        <s v="U-11V"/>
        <s v="U-12S"/>
        <s v="U-12T"/>
        <s v="U-12V"/>
        <s v="U-13S"/>
        <s v="U-13T"/>
        <s v="U-13V"/>
        <s v="U-14S"/>
        <s v="U-14T"/>
        <s v="U-14U"/>
        <s v="U-14V"/>
        <s v="U-15S"/>
        <s v="U-15T"/>
        <s v="U-15V"/>
        <s v="U-16S"/>
        <s v="U-16T"/>
        <s v="U-16V"/>
        <s v="U-17S"/>
        <s v="U-17T"/>
        <s v="U-17V"/>
        <s v="U-18S"/>
        <s v="U-18T"/>
        <s v="U-18V"/>
        <s v="U-19S"/>
        <s v="U-19T"/>
        <s v="U-19V"/>
        <s v="U-20S"/>
        <s v="U-20T"/>
        <s v="U-20U"/>
        <s v="U-20V"/>
        <s v="U-21S"/>
        <s v="U-21T"/>
        <s v="U-21U"/>
        <s v="U-21V"/>
        <s v="U-22S"/>
        <s v="U-22T"/>
        <s v="U-22V"/>
        <s v="U-23S"/>
        <s v="U-23T"/>
        <s v="U-23V"/>
        <s v="U-24S"/>
        <s v="U-24T"/>
        <s v="U-24V"/>
        <s v="U-25S"/>
        <s v="U-26S"/>
        <s v="U-26T"/>
        <s v="U-26V"/>
        <s v="U-27S"/>
        <s v="U-27V"/>
        <s v="U-28S"/>
        <s v="U-28T"/>
        <s v="U-28V"/>
        <s v="U-29S"/>
        <s v="U-29T"/>
        <s v="U-29U"/>
        <s v="U-29V"/>
        <s v="U-30S"/>
        <s v="U-30T"/>
        <s v="U-30U"/>
        <s v="U-30V"/>
      </sharedItems>
    </cacheField>
    <cacheField name="[TORRE_3B].[Estado].[Estado]" caption="Estado" numFmtId="0" hierarchy="18" level="1">
      <sharedItems count="2">
        <s v="V"/>
        <s v="D"/>
      </sharedItems>
    </cacheField>
    <cacheField name="[Measures].[Suma de Area]" caption="Suma de Area" numFmtId="0" hierarchy="26" level="32767"/>
    <cacheField name="[Measures].[Suma de Precio Lista]" caption="Suma de Precio Lista" numFmtId="0" hierarchy="28" level="32767"/>
    <cacheField name="[Measures].[Suma de Precio Venta Sin Parq.]" caption="Suma de Precio Venta Sin Parq." numFmtId="0" hierarchy="27" level="32767"/>
  </cacheFields>
  <cacheHierarchies count="32">
    <cacheHierarchy uniqueName="[DESISTIMIENTOS].[Cód]" caption="Cód" attribute="1" defaultMemberUniqueName="[DESISTIMIENTOS].[Cód].[All]" allUniqueName="[DESISTIMIENTOS].[Cód].[All]" dimensionUniqueName="[DESISTIMIENTOS]" displayFolder="" count="0" memberValueDatatype="20" unbalanced="0"/>
    <cacheHierarchy uniqueName="[DESISTIMIENTOS].[Proyecto]" caption="Proyecto" attribute="1" defaultMemberUniqueName="[DESISTIMIENTOS].[Proyecto].[All]" allUniqueName="[DESISTIMIENTOS].[Proyecto].[All]" dimensionUniqueName="[DESISTIMIENTOS]" displayFolder="" count="0" memberValueDatatype="130" unbalanced="0"/>
    <cacheHierarchy uniqueName="[DESISTIMIENTOS].[Agrupación actual]" caption="Agrupación actual" attribute="1" defaultMemberUniqueName="[DESISTIMIENTOS].[Agrupación actual].[All]" allUniqueName="[DESISTIMIENTOS].[Agrupación actual].[All]" dimensionUniqueName="[DESISTIMIENTOS]" displayFolder="" count="0" memberValueDatatype="130" unbalanced="0"/>
    <cacheHierarchy uniqueName="[DESISTIMIENTOS].[Fecha desistimiento]" caption="Fecha desistimiento" attribute="1" time="1" defaultMemberUniqueName="[DESISTIMIENTOS].[Fecha desistimiento].[All]" allUniqueName="[DESISTIMIENTOS].[Fecha desistimiento].[All]" dimensionUniqueName="[DESISTIMIENTOS]" displayFolder="" count="0" memberValueDatatype="7" unbalanced="0"/>
    <cacheHierarchy uniqueName="[DESISTIMIENTOS].[Concepto]" caption="Concepto" attribute="1" defaultMemberUniqueName="[DESISTIMIENTOS].[Concepto].[All]" allUniqueName="[DESISTIMIENTOS].[Concepto].[All]" dimensionUniqueName="[DESISTIMIENTOS]" displayFolder="" count="0" memberValueDatatype="130" unbalanced="0"/>
    <cacheHierarchy uniqueName="[DESISTIMIENTOS].[Tipo de inmueble]" caption="Tipo de inmueble" attribute="1" defaultMemberUniqueName="[DESISTIMIENTOS].[Tipo de inmueble].[All]" allUniqueName="[DESISTIMIENTOS].[Tipo de inmueble].[All]" dimensionUniqueName="[DESISTIMIENTOS]" displayFolder="" count="0" memberValueDatatype="130" unbalanced="0"/>
    <cacheHierarchy uniqueName="[DESISTIMIENTOS].[Fecha de venta]" caption="Fecha de venta" attribute="1" defaultMemberUniqueName="[DESISTIMIENTOS].[Fecha de venta].[All]" allUniqueName="[DESISTIMIENTOS].[Fecha de venta].[All]" dimensionUniqueName="[DESISTIMIENTOS]" displayFolder="" count="0" memberValueDatatype="130" unbalanced="0"/>
    <cacheHierarchy uniqueName="[DESISTIMIENTOS].[Valor venta neta]" caption="Valor venta neta" attribute="1" defaultMemberUniqueName="[DESISTIMIENTOS].[Valor venta neta].[All]" allUniqueName="[DESISTIMIENTOS].[Valor venta neta].[All]" dimensionUniqueName="[DESISTIMIENTOS]" displayFolder="" count="0" memberValueDatatype="5" unbalanced="0"/>
    <cacheHierarchy uniqueName="[DESISTIMIENTOS].[Pagos inmueble]" caption="Pagos inmueble" attribute="1" defaultMemberUniqueName="[DESISTIMIENTOS].[Pagos inmueble].[All]" allUniqueName="[DESISTIMIENTOS].[Pagos inmueble].[All]" dimensionUniqueName="[DESISTIMIENTOS]" displayFolder="" count="0" memberValueDatatype="5" unbalanced="0"/>
    <cacheHierarchy uniqueName="[DESISTIMIENTOS].[Valor a devolver]" caption="Valor a devolver" attribute="1" defaultMemberUniqueName="[DESISTIMIENTOS].[Valor a devolver].[All]" allUniqueName="[DESISTIMIENTOS].[Valor a devolver].[All]" dimensionUniqueName="[DESISTIMIENTOS]" displayFolder="" count="0" memberValueDatatype="5" unbalanced="0"/>
    <cacheHierarchy uniqueName="[DESISTIMIENTOS].[APEF]" caption="APEF" attribute="1" defaultMemberUniqueName="[DESISTIMIENTOS].[APEF].[All]" allUniqueName="[DESISTIMIENTOS].[APEF].[All]" dimensionUniqueName="[DESISTIMIENTOS]" displayFolder="" count="0" memberValueDatatype="130" unbalanced="0"/>
    <cacheHierarchy uniqueName="[DESISTIMIENTOS].[Fecha desistimiento (año)]" caption="Fecha desistimiento (año)" attribute="1" defaultMemberUniqueName="[DESISTIMIENTOS].[Fecha desistimiento (año)].[All]" allUniqueName="[DESISTIMIENTOS].[Fecha desistimiento (año)].[All]" dimensionUniqueName="[DESISTIMIENTOS]" displayFolder="" count="0" memberValueDatatype="130" unbalanced="0"/>
    <cacheHierarchy uniqueName="[DESISTIMIENTOS].[Fecha desistimiento (trimestre)]" caption="Fecha desistimiento (trimestre)" attribute="1" defaultMemberUniqueName="[DESISTIMIENTOS].[Fecha desistimiento (trimestre)].[All]" allUniqueName="[DESISTIMIENTOS].[Fecha desistimiento (trimestre)].[All]" dimensionUniqueName="[DESISTIMIENTOS]" displayFolder="" count="0" memberValueDatatype="130" unbalanced="0"/>
    <cacheHierarchy uniqueName="[DESISTIMIENTOS].[Fecha desistimiento (mes)]" caption="Fecha desistimiento (mes)" attribute="1" defaultMemberUniqueName="[DESISTIMIENTOS].[Fecha desistimiento (mes)].[All]" allUniqueName="[DESISTIMIENTOS].[Fecha desistimiento (mes)].[All]" dimensionUniqueName="[DESISTIMIENTOS]" displayFolder="" count="0" memberValueDatatype="130" unbalanced="0"/>
    <cacheHierarchy uniqueName="[TORRE_3B].[Proyecto]" caption="Proyecto" attribute="1" defaultMemberUniqueName="[TORRE_3B].[Proyecto].[All]" allUniqueName="[TORRE_3B].[Proyecto].[All]" dimensionUniqueName="[TORRE_3B]" displayFolder="" count="2" memberValueDatatype="130" unbalanced="0">
      <fieldsUsage count="2">
        <fieldUsage x="-1"/>
        <fieldUsage x="0"/>
      </fieldsUsage>
    </cacheHierarchy>
    <cacheHierarchy uniqueName="[TORRE_3B].[Tipo de Unidad]" caption="Tipo de Unidad" attribute="1" defaultMemberUniqueName="[TORRE_3B].[Tipo de Unidad].[All]" allUniqueName="[TORRE_3B].[Tipo de Unidad].[All]" dimensionUniqueName="[TORRE_3B]" displayFolder="" count="2" memberValueDatatype="130" unbalanced="0">
      <fieldsUsage count="2">
        <fieldUsage x="-1"/>
        <fieldUsage x="1"/>
      </fieldsUsage>
    </cacheHierarchy>
    <cacheHierarchy uniqueName="[TORRE_3B].[Producto]" caption="Producto" attribute="1" defaultMemberUniqueName="[TORRE_3B].[Producto].[All]" allUniqueName="[TORRE_3B].[Producto].[All]" dimensionUniqueName="[TORRE_3B]" displayFolder="" count="2" memberValueDatatype="130" unbalanced="0">
      <fieldsUsage count="2">
        <fieldUsage x="-1"/>
        <fieldUsage x="2"/>
      </fieldsUsage>
    </cacheHierarchy>
    <cacheHierarchy uniqueName="[TORRE_3B].[Area]" caption="Area" attribute="1" defaultMemberUniqueName="[TORRE_3B].[Area].[All]" allUniqueName="[TORRE_3B].[Area].[All]" dimensionUniqueName="[TORRE_3B]" displayFolder="" count="0" memberValueDatatype="5" unbalanced="0"/>
    <cacheHierarchy uniqueName="[TORRE_3B].[Estado]" caption="Estado" attribute="1" defaultMemberUniqueName="[TORRE_3B].[Estado].[All]" allUniqueName="[TORRE_3B].[Estado].[All]" dimensionUniqueName="[TORRE_3B]" displayFolder="" count="2" memberValueDatatype="130" unbalanced="0">
      <fieldsUsage count="2">
        <fieldUsage x="-1"/>
        <fieldUsage x="3"/>
      </fieldsUsage>
    </cacheHierarchy>
    <cacheHierarchy uniqueName="[TORRE_3B].[Descuento]" caption="Descuento" attribute="1" defaultMemberUniqueName="[TORRE_3B].[Descuento].[All]" allUniqueName="[TORRE_3B].[Descuento].[All]" dimensionUniqueName="[TORRE_3B]" displayFolder="" count="0" memberValueDatatype="130" unbalanced="0"/>
    <cacheHierarchy uniqueName="[TORRE_3B].[Precio Venta Sin Parq.]" caption="Precio Venta Sin Parq." attribute="1" defaultMemberUniqueName="[TORRE_3B].[Precio Venta Sin Parq.].[All]" allUniqueName="[TORRE_3B].[Precio Venta Sin Parq.].[All]" dimensionUniqueName="[TORRE_3B]" displayFolder="" count="0" memberValueDatatype="20" unbalanced="0"/>
    <cacheHierarchy uniqueName="[TORRE_3B].[Precio Lista]" caption="Precio Lista" attribute="1" defaultMemberUniqueName="[TORRE_3B].[Precio Lista].[All]" allUniqueName="[TORRE_3B].[Precio Lista].[All]" dimensionUniqueName="[TORRE_3B]" displayFolder="" count="0" memberValueDatatype="20" unbalanced="0"/>
    <cacheHierarchy uniqueName="[DESISTIMIENTOS].[Fecha desistimiento (índice de meses)]" caption="Fecha desistimiento (índice de meses)" attribute="1" defaultMemberUniqueName="[DESISTIMIENTOS].[Fecha desistimiento (índice de meses)].[All]" allUniqueName="[DESISTIMIENTOS].[Fecha desistimiento (índice de meses)].[All]" dimensionUniqueName="[DESISTIMIENTOS]" displayFolder="" count="0" memberValueDatatype="20" unbalanced="0" hidden="1"/>
    <cacheHierarchy uniqueName="[Measures].[__XL_Count TORRE_3B]" caption="__XL_Count TORRE_3B" measure="1" displayFolder="" measureGroup="TORRE_3B" count="0" hidden="1"/>
    <cacheHierarchy uniqueName="[Measures].[__XL_Count DESISTIMIENTOS]" caption="__XL_Count DESISTIMIENTOS" measure="1" displayFolder="" measureGroup="DESISTIMIENTOS" count="0" hidden="1"/>
    <cacheHierarchy uniqueName="[Measures].[__No measures defined]" caption="__No measures defined" measure="1" displayFolder="" count="0" hidden="1"/>
    <cacheHierarchy uniqueName="[Measures].[Suma de Area]" caption="Suma de Area" measure="1" displayFolder="" measureGroup="TORRE_3B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Precio Venta Sin Parq.]" caption="Suma de Precio Venta Sin Parq." measure="1" displayFolder="" measureGroup="TORRE_3B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a de Precio Lista]" caption="Suma de Precio Lista" measure="1" displayFolder="" measureGroup="TORRE_3B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a de Cód]" caption="Suma de Cód" measure="1" displayFolder="" measureGroup="DESISTIMIENTO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Recuento de Cód]" caption="Recuento de Cód" measure="1" displayFolder="" measureGroup="DESISTIMIENTO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a de Valor venta neta]" caption="Suma de Valor venta neta" measure="1" displayFolder="" measureGroup="DESISTIMIENTO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3">
    <dimension name="DESISTIMIENTOS" uniqueName="[DESISTIMIENTOS]" caption="DESISTIMIENTOS"/>
    <dimension measure="1" name="Measures" uniqueName="[Measures]" caption="Measures"/>
    <dimension name="TORRE_3B" uniqueName="[TORRE_3B]" caption="TORRE_3B"/>
  </dimensions>
  <measureGroups count="2">
    <measureGroup name="DESISTIMIENTOS" caption="DESISTIMIENTOS"/>
    <measureGroup name="TORRE_3B" caption="TORRE_3B"/>
  </measureGroups>
  <maps count="2">
    <map measureGroup="0" dimension="0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ngrid Largo" refreshedDate="45937.511363310186" backgroundQuery="1" createdVersion="8" refreshedVersion="8" minRefreshableVersion="3" recordCount="0" supportSubquery="1" supportAdvancedDrill="1" xr:uid="{B7165868-F3A2-41A4-8A1B-D18E36C8A191}">
  <cacheSource type="external" connectionId="1"/>
  <cacheFields count="5">
    <cacheField name="[DESISTIMIENTOS].[Proyecto].[Proyecto]" caption="Proyecto" numFmtId="0" hierarchy="1" level="1">
      <sharedItems count="5">
        <s v="TORRE 1A"/>
        <s v="TORRE 1B"/>
        <s v="TORRE 2"/>
        <s v="TORRE 3A"/>
        <s v="TORRE 3B"/>
      </sharedItems>
    </cacheField>
    <cacheField name="[Measures].[Recuento de Cód]" caption="Recuento de Cód" numFmtId="0" hierarchy="30" level="32767"/>
    <cacheField name="[Measures].[Suma de Valor venta neta]" caption="Suma de Valor venta neta" numFmtId="0" hierarchy="31" level="32767"/>
    <cacheField name="[DESISTIMIENTOS].[Fecha desistimiento (año)].[Fecha desistimiento (año)]" caption="Fecha desistimiento (año)" numFmtId="0" hierarchy="11" level="1">
      <sharedItems containsSemiMixedTypes="0" containsNonDate="0" containsString="0"/>
    </cacheField>
    <cacheField name="[DESISTIMIENTOS].[Concepto].[Concepto]" caption="Concepto" numFmtId="0" hierarchy="4" level="1">
      <sharedItems containsSemiMixedTypes="0" containsNonDate="0" containsString="0"/>
    </cacheField>
  </cacheFields>
  <cacheHierarchies count="32">
    <cacheHierarchy uniqueName="[DESISTIMIENTOS].[Cód]" caption="Cód" attribute="1" defaultMemberUniqueName="[DESISTIMIENTOS].[Cód].[All]" allUniqueName="[DESISTIMIENTOS].[Cód].[All]" dimensionUniqueName="[DESISTIMIENTOS]" displayFolder="" count="2" memberValueDatatype="20" unbalanced="0"/>
    <cacheHierarchy uniqueName="[DESISTIMIENTOS].[Proyecto]" caption="Proyecto" attribute="1" defaultMemberUniqueName="[DESISTIMIENTOS].[Proyecto].[All]" allUniqueName="[DESISTIMIENTOS].[Proyecto].[All]" dimensionUniqueName="[DESISTIMIENTOS]" displayFolder="" count="2" memberValueDatatype="130" unbalanced="0">
      <fieldsUsage count="2">
        <fieldUsage x="-1"/>
        <fieldUsage x="0"/>
      </fieldsUsage>
    </cacheHierarchy>
    <cacheHierarchy uniqueName="[DESISTIMIENTOS].[Agrupación actual]" caption="Agrupación actual" attribute="1" defaultMemberUniqueName="[DESISTIMIENTOS].[Agrupación actual].[All]" allUniqueName="[DESISTIMIENTOS].[Agrupación actual].[All]" dimensionUniqueName="[DESISTIMIENTOS]" displayFolder="" count="2" memberValueDatatype="130" unbalanced="0"/>
    <cacheHierarchy uniqueName="[DESISTIMIENTOS].[Fecha desistimiento]" caption="Fecha desistimiento" attribute="1" time="1" defaultMemberUniqueName="[DESISTIMIENTOS].[Fecha desistimiento].[All]" allUniqueName="[DESISTIMIENTOS].[Fecha desistimiento].[All]" dimensionUniqueName="[DESISTIMIENTOS]" displayFolder="" count="2" memberValueDatatype="7" unbalanced="0"/>
    <cacheHierarchy uniqueName="[DESISTIMIENTOS].[Concepto]" caption="Concepto" attribute="1" defaultMemberUniqueName="[DESISTIMIENTOS].[Concepto].[All]" allUniqueName="[DESISTIMIENTOS].[Concepto].[All]" dimensionUniqueName="[DESISTIMIENTOS]" displayFolder="" count="2" memberValueDatatype="130" unbalanced="0">
      <fieldsUsage count="2">
        <fieldUsage x="-1"/>
        <fieldUsage x="4"/>
      </fieldsUsage>
    </cacheHierarchy>
    <cacheHierarchy uniqueName="[DESISTIMIENTOS].[Tipo de inmueble]" caption="Tipo de inmueble" attribute="1" defaultMemberUniqueName="[DESISTIMIENTOS].[Tipo de inmueble].[All]" allUniqueName="[DESISTIMIENTOS].[Tipo de inmueble].[All]" dimensionUniqueName="[DESISTIMIENTOS]" displayFolder="" count="2" memberValueDatatype="130" unbalanced="0"/>
    <cacheHierarchy uniqueName="[DESISTIMIENTOS].[Fecha de venta]" caption="Fecha de venta" attribute="1" defaultMemberUniqueName="[DESISTIMIENTOS].[Fecha de venta].[All]" allUniqueName="[DESISTIMIENTOS].[Fecha de venta].[All]" dimensionUniqueName="[DESISTIMIENTOS]" displayFolder="" count="2" memberValueDatatype="130" unbalanced="0"/>
    <cacheHierarchy uniqueName="[DESISTIMIENTOS].[Valor venta neta]" caption="Valor venta neta" attribute="1" defaultMemberUniqueName="[DESISTIMIENTOS].[Valor venta neta].[All]" allUniqueName="[DESISTIMIENTOS].[Valor venta neta].[All]" dimensionUniqueName="[DESISTIMIENTOS]" displayFolder="" count="2" memberValueDatatype="5" unbalanced="0"/>
    <cacheHierarchy uniqueName="[DESISTIMIENTOS].[Pagos inmueble]" caption="Pagos inmueble" attribute="1" defaultMemberUniqueName="[DESISTIMIENTOS].[Pagos inmueble].[All]" allUniqueName="[DESISTIMIENTOS].[Pagos inmueble].[All]" dimensionUniqueName="[DESISTIMIENTOS]" displayFolder="" count="2" memberValueDatatype="5" unbalanced="0"/>
    <cacheHierarchy uniqueName="[DESISTIMIENTOS].[Valor a devolver]" caption="Valor a devolver" attribute="1" defaultMemberUniqueName="[DESISTIMIENTOS].[Valor a devolver].[All]" allUniqueName="[DESISTIMIENTOS].[Valor a devolver].[All]" dimensionUniqueName="[DESISTIMIENTOS]" displayFolder="" count="2" memberValueDatatype="5" unbalanced="0"/>
    <cacheHierarchy uniqueName="[DESISTIMIENTOS].[APEF]" caption="APEF" attribute="1" defaultMemberUniqueName="[DESISTIMIENTOS].[APEF].[All]" allUniqueName="[DESISTIMIENTOS].[APEF].[All]" dimensionUniqueName="[DESISTIMIENTOS]" displayFolder="" count="2" memberValueDatatype="130" unbalanced="0"/>
    <cacheHierarchy uniqueName="[DESISTIMIENTOS].[Fecha desistimiento (año)]" caption="Fecha desistimiento (año)" attribute="1" defaultMemberUniqueName="[DESISTIMIENTOS].[Fecha desistimiento (año)].[All]" allUniqueName="[DESISTIMIENTOS].[Fecha desistimiento (año)].[All]" dimensionUniqueName="[DESISTIMIENTOS]" displayFolder="" count="2" memberValueDatatype="130" unbalanced="0">
      <fieldsUsage count="2">
        <fieldUsage x="-1"/>
        <fieldUsage x="3"/>
      </fieldsUsage>
    </cacheHierarchy>
    <cacheHierarchy uniqueName="[DESISTIMIENTOS].[Fecha desistimiento (trimestre)]" caption="Fecha desistimiento (trimestre)" attribute="1" defaultMemberUniqueName="[DESISTIMIENTOS].[Fecha desistimiento (trimestre)].[All]" allUniqueName="[DESISTIMIENTOS].[Fecha desistimiento (trimestre)].[All]" dimensionUniqueName="[DESISTIMIENTOS]" displayFolder="" count="2" memberValueDatatype="130" unbalanced="0"/>
    <cacheHierarchy uniqueName="[DESISTIMIENTOS].[Fecha desistimiento (mes)]" caption="Fecha desistimiento (mes)" attribute="1" defaultMemberUniqueName="[DESISTIMIENTOS].[Fecha desistimiento (mes)].[All]" allUniqueName="[DESISTIMIENTOS].[Fecha desistimiento (mes)].[All]" dimensionUniqueName="[DESISTIMIENTOS]" displayFolder="" count="2" memberValueDatatype="130" unbalanced="0"/>
    <cacheHierarchy uniqueName="[TORRE_3B].[Proyecto]" caption="Proyecto" attribute="1" defaultMemberUniqueName="[TORRE_3B].[Proyecto].[All]" allUniqueName="[TORRE_3B].[Proyecto].[All]" dimensionUniqueName="[TORRE_3B]" displayFolder="" count="2" memberValueDatatype="130" unbalanced="0"/>
    <cacheHierarchy uniqueName="[TORRE_3B].[Tipo de Unidad]" caption="Tipo de Unidad" attribute="1" defaultMemberUniqueName="[TORRE_3B].[Tipo de Unidad].[All]" allUniqueName="[TORRE_3B].[Tipo de Unidad].[All]" dimensionUniqueName="[TORRE_3B]" displayFolder="" count="2" memberValueDatatype="130" unbalanced="0"/>
    <cacheHierarchy uniqueName="[TORRE_3B].[Producto]" caption="Producto" attribute="1" defaultMemberUniqueName="[TORRE_3B].[Producto].[All]" allUniqueName="[TORRE_3B].[Producto].[All]" dimensionUniqueName="[TORRE_3B]" displayFolder="" count="2" memberValueDatatype="130" unbalanced="0"/>
    <cacheHierarchy uniqueName="[TORRE_3B].[Area]" caption="Area" attribute="1" defaultMemberUniqueName="[TORRE_3B].[Area].[All]" allUniqueName="[TORRE_3B].[Area].[All]" dimensionUniqueName="[TORRE_3B]" displayFolder="" count="2" memberValueDatatype="5" unbalanced="0"/>
    <cacheHierarchy uniqueName="[TORRE_3B].[Estado]" caption="Estado" attribute="1" defaultMemberUniqueName="[TORRE_3B].[Estado].[All]" allUniqueName="[TORRE_3B].[Estado].[All]" dimensionUniqueName="[TORRE_3B]" displayFolder="" count="2" memberValueDatatype="130" unbalanced="0"/>
    <cacheHierarchy uniqueName="[TORRE_3B].[Descuento]" caption="Descuento" attribute="1" defaultMemberUniqueName="[TORRE_3B].[Descuento].[All]" allUniqueName="[TORRE_3B].[Descuento].[All]" dimensionUniqueName="[TORRE_3B]" displayFolder="" count="2" memberValueDatatype="130" unbalanced="0"/>
    <cacheHierarchy uniqueName="[TORRE_3B].[Precio Venta Sin Parq.]" caption="Precio Venta Sin Parq." attribute="1" defaultMemberUniqueName="[TORRE_3B].[Precio Venta Sin Parq.].[All]" allUniqueName="[TORRE_3B].[Precio Venta Sin Parq.].[All]" dimensionUniqueName="[TORRE_3B]" displayFolder="" count="2" memberValueDatatype="20" unbalanced="0"/>
    <cacheHierarchy uniqueName="[TORRE_3B].[Precio Lista]" caption="Precio Lista" attribute="1" defaultMemberUniqueName="[TORRE_3B].[Precio Lista].[All]" allUniqueName="[TORRE_3B].[Precio Lista].[All]" dimensionUniqueName="[TORRE_3B]" displayFolder="" count="2" memberValueDatatype="20" unbalanced="0"/>
    <cacheHierarchy uniqueName="[DESISTIMIENTOS].[Fecha desistimiento (índice de meses)]" caption="Fecha desistimiento (índice de meses)" attribute="1" defaultMemberUniqueName="[DESISTIMIENTOS].[Fecha desistimiento (índice de meses)].[All]" allUniqueName="[DESISTIMIENTOS].[Fecha desistimiento (índice de meses)].[All]" dimensionUniqueName="[DESISTIMIENTOS]" displayFolder="" count="2" memberValueDatatype="20" unbalanced="0" hidden="1"/>
    <cacheHierarchy uniqueName="[Measures].[__XL_Count TORRE_3B]" caption="__XL_Count TORRE_3B" measure="1" displayFolder="" measureGroup="TORRE_3B" count="0" hidden="1"/>
    <cacheHierarchy uniqueName="[Measures].[__XL_Count DESISTIMIENTOS]" caption="__XL_Count DESISTIMIENTOS" measure="1" displayFolder="" measureGroup="DESISTIMIENTOS" count="0" hidden="1"/>
    <cacheHierarchy uniqueName="[Measures].[__No measures defined]" caption="__No measures defined" measure="1" displayFolder="" count="0" hidden="1"/>
    <cacheHierarchy uniqueName="[Measures].[Suma de Area]" caption="Suma de Area" measure="1" displayFolder="" measureGroup="TORRE_3B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Precio Venta Sin Parq.]" caption="Suma de Precio Venta Sin Parq." measure="1" displayFolder="" measureGroup="TORRE_3B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a de Precio Lista]" caption="Suma de Precio Lista" measure="1" displayFolder="" measureGroup="TORRE_3B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a de Cód]" caption="Suma de Cód" measure="1" displayFolder="" measureGroup="DESISTIMIENTO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Recuento de Cód]" caption="Recuento de Cód" measure="1" displayFolder="" measureGroup="DESISTIMIENTO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a de Valor venta neta]" caption="Suma de Valor venta neta" measure="1" displayFolder="" measureGroup="DESISTIMIENTO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3">
    <dimension name="DESISTIMIENTOS" uniqueName="[DESISTIMIENTOS]" caption="DESISTIMIENTOS"/>
    <dimension measure="1" name="Measures" uniqueName="[Measures]" caption="Measures"/>
    <dimension name="TORRE_3B" uniqueName="[TORRE_3B]" caption="TORRE_3B"/>
  </dimensions>
  <measureGroups count="2">
    <measureGroup name="DESISTIMIENTOS" caption="DESISTIMIENTOS"/>
    <measureGroup name="TORRE_3B" caption="TORRE_3B"/>
  </measureGroups>
  <maps count="2">
    <map measureGroup="0" dimension="0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ngrid Largo" refreshedDate="45937.584698032406" createdVersion="8" refreshedVersion="8" minRefreshableVersion="3" recordCount="1687" xr:uid="{CF8AEC0F-AB24-47C9-9245-4AECD70E60A7}">
  <cacheSource type="worksheet">
    <worksheetSource ref="A1:O1688" sheet="_Inf_IndicadorVta_Conceptos (2)" r:id="rId2"/>
  </cacheSource>
  <cacheFields count="15">
    <cacheField name="Agrupación" numFmtId="0">
      <sharedItems count="593">
        <s v="ATLANTICA TORRE 1A"/>
        <s v="APTO-0605"/>
        <s v="APTO-0606"/>
        <s v="APTO-0607"/>
        <s v="APTO-0608"/>
        <s v="APTO-0609"/>
        <s v="APTO-0705"/>
        <s v="APTO-0706"/>
        <s v="APTO-0707"/>
        <s v="APTO-0708"/>
        <s v="APTO-0709"/>
        <s v="APTO-0710"/>
        <s v="APTO-0805"/>
        <s v="APTO-0806"/>
        <s v="APTO-0807"/>
        <s v="APTO-0808"/>
        <s v="APTO-0809"/>
        <s v="APTO-0810"/>
        <s v="APTO-0905"/>
        <s v="APTO-0906"/>
        <s v="APTO-0907"/>
        <s v="APTO-0908"/>
        <s v="APTO-0909"/>
        <s v="APTO-0910"/>
        <s v="APTO-1005"/>
        <s v="APTO-1006"/>
        <s v="APTO-1007"/>
        <s v="APTO-1008"/>
        <s v="APTO-1009"/>
        <s v="APTO-1010"/>
        <s v="APTO-1105"/>
        <s v="APTO-1106"/>
        <s v="APTO-1107"/>
        <s v="APTO-1108"/>
        <s v="APTO-1109"/>
        <s v="APTO-1110"/>
        <s v="APTO-1205"/>
        <s v="APTO-1206"/>
        <s v="APTO-1207"/>
        <s v="APTO-1208"/>
        <s v="APTO-1209"/>
        <s v="APTO-1210"/>
        <s v="APTO-1305"/>
        <s v="APTO-1306"/>
        <s v="APTO-1307"/>
        <s v="APTO-1308"/>
        <s v="APTO-1309"/>
        <s v="APTO-1310"/>
        <s v="APTO-1405"/>
        <s v="APTO-1406"/>
        <s v="APTO-1407"/>
        <s v="APTO-1408"/>
        <s v="APTO-1409"/>
        <s v="APTO-1410"/>
        <s v="APTO-1505"/>
        <s v="APTO-1506"/>
        <s v="APTO-1507"/>
        <s v="APTO-1508"/>
        <s v="APTO-1509-LG"/>
        <s v="APTO-1510"/>
        <s v="APTO-1605"/>
        <s v="APTO-1606"/>
        <s v="APTO-1607"/>
        <s v="APTO-1608"/>
        <s v="APTO-1609"/>
        <s v="APTO-1610"/>
        <s v="APTO-1705"/>
        <s v="APTO-1706"/>
        <s v="APTO-1707"/>
        <s v="APTO-1708"/>
        <s v="APTO-1709"/>
        <s v="APTO-1710"/>
        <s v="APTO-1805"/>
        <s v="APTO-1806"/>
        <s v="APTO-1807"/>
        <s v="APTO-1808"/>
        <s v="APTO-1809"/>
        <s v="APTO-1810"/>
        <s v="APTO-1905"/>
        <s v="APTO-1906"/>
        <s v="APTO-1907"/>
        <s v="APTO-1908"/>
        <s v="APTO-1909"/>
        <s v="APTO-1910"/>
        <s v="APTO-2005"/>
        <s v="APTO-2006"/>
        <s v="APTO-2007"/>
        <s v="APTO-2008"/>
        <s v="APTO-2009"/>
        <s v="APTO-2010"/>
        <s v="APTO-2105"/>
        <s v="APTO-2106"/>
        <s v="APTO-2107"/>
        <s v="APTO-2108"/>
        <s v="APTO-2109"/>
        <s v="APTO-2110"/>
        <s v="APTO-2205"/>
        <s v="APTO-2206"/>
        <s v="APTO-2207"/>
        <s v="APTO-2208"/>
        <s v="APTO-2209"/>
        <s v="APTO-2210"/>
        <s v="APTO-2305"/>
        <s v="APTO-2306"/>
        <s v="APTO-2307"/>
        <s v="APTO-2308"/>
        <s v="APTO-2309"/>
        <s v="APTO-2310"/>
        <s v="APTO-2405"/>
        <s v="APTO-2406"/>
        <s v="APTO-2407"/>
        <s v="APTO-2408"/>
        <s v="APTO-2409"/>
        <s v="APTO-2410"/>
        <s v="APTO-2505"/>
        <s v="APTO-2506"/>
        <s v="APTO-2507"/>
        <s v="APTO-2508"/>
        <s v="APTO-2509"/>
        <s v="APTO-2510"/>
        <s v="APTO-2605"/>
        <s v="APTO-2606"/>
        <s v="APTO-2607"/>
        <s v="APTO-2608"/>
        <s v="APTO-2609"/>
        <s v="APTO-2610"/>
        <s v="APTO-2705"/>
        <s v="APTO-2706"/>
        <s v="APTO-2707"/>
        <s v="APTO-2708"/>
        <s v="APTO-2709"/>
        <s v="APTO-2710"/>
        <s v="APTO-2805"/>
        <s v="APTO-2806"/>
        <s v="APTO-2807"/>
        <s v="APTO-2808"/>
        <s v="APTO-2809"/>
        <s v="APTO-2810"/>
        <s v="APTO-2905"/>
        <s v="APTO-2906"/>
        <s v="APTO-2907"/>
        <s v="APTO-2908"/>
        <s v="APTO-2909"/>
        <s v="APTO-2910"/>
        <s v="APTO-3005"/>
        <s v="APTO-3006"/>
        <s v="APTO-3007"/>
        <s v="APTO-3008"/>
        <s v="APTO-3009"/>
        <s v="APTO-3010"/>
        <s v="ATLANTICA TORRE 1B"/>
        <s v="APTO-0603"/>
        <s v="APTO-0604"/>
        <s v="APTO-0702"/>
        <s v="APTO-0703"/>
        <s v="APTO-0704"/>
        <s v="APTO-0801"/>
        <s v="APTO-0802"/>
        <s v="APTO-0803"/>
        <s v="APTO-0804"/>
        <s v="APTO-0901"/>
        <s v="APTO-0902"/>
        <s v="APTO-0903"/>
        <s v="APTO-0904"/>
        <s v="APTO-1001"/>
        <s v="APTO-1002"/>
        <s v="APTO-1003"/>
        <s v="APTO-1004"/>
        <s v="APTO-1102"/>
        <s v="APTO-1103"/>
        <s v="APTO-1104"/>
        <s v="APTO-1201"/>
        <s v="APTO-1202"/>
        <s v="APTO-1203"/>
        <s v="APTO-1204"/>
        <s v="APTO-1301"/>
        <s v="APTO-1302"/>
        <s v="APTO-1303"/>
        <s v="APTO-1304"/>
        <s v="APTO-1401"/>
        <s v="APTO-1402"/>
        <s v="APTO-1403"/>
        <s v="APTO-1404"/>
        <s v="APTO-1501"/>
        <s v="APTO-1502"/>
        <s v="APTO-1503"/>
        <s v="APTO-1504"/>
        <s v="APTO-1601"/>
        <s v="APTO-1602"/>
        <s v="APTO-1603"/>
        <s v="APTO-1604"/>
        <s v="APTO-1701"/>
        <s v="APTO-1702"/>
        <s v="APTO-1703"/>
        <s v="APTO-1704"/>
        <s v="APTO-1801"/>
        <s v="APTO-1802"/>
        <s v="APTO-1803"/>
        <s v="APTO-1804"/>
        <s v="APTO-1901"/>
        <s v="APTO-1902"/>
        <s v="APTO-1903"/>
        <s v="APTO-1904"/>
        <s v="APTO-2001"/>
        <s v="APTO-2002"/>
        <s v="APTO-2003"/>
        <s v="APTO-2004"/>
        <s v="APTO-2101"/>
        <s v="APTO-2102"/>
        <s v="APTO-2103"/>
        <s v="APTO-2104"/>
        <s v="APTO-2201"/>
        <s v="APTO-2202"/>
        <s v="APTO-2203"/>
        <s v="APTO-2204"/>
        <s v="APTO-2301"/>
        <s v="APTO-2302"/>
        <s v="APTO-2303"/>
        <s v="APTO-2304"/>
        <s v="APTO-2401"/>
        <s v="APTO-2402"/>
        <s v="APTO-2403"/>
        <s v="APTO-2404"/>
        <s v="APTO-2501"/>
        <s v="APTO-2502"/>
        <s v="APTO-2503"/>
        <s v="APTO-2504"/>
        <s v="APTO-2602"/>
        <s v="APTO-2603"/>
        <s v="APTO-2604"/>
        <s v="APTO-2701"/>
        <s v="APTO-2702"/>
        <s v="APTO-2703"/>
        <s v="APTO-2704"/>
        <s v="APTO-2801"/>
        <s v="APTO-2802"/>
        <s v="APTO-2803"/>
        <s v="APTO-2804"/>
        <s v="APTO-2901"/>
        <s v="APTO-2902"/>
        <s v="APTO-2903"/>
        <s v="APTO-2904"/>
        <s v="APTO-3001"/>
        <s v="APTO-3002"/>
        <s v="APTO-3003"/>
        <s v="APTO-3004"/>
        <s v="UTIL-U-06031"/>
        <s v="UTIL-U-07031"/>
        <s v="UTIL-U-10033"/>
        <s v="UTIL-U-14032"/>
        <s v="UTIL-U-17031"/>
        <s v="UTIL-U-24031"/>
        <s v="UTIL-U-27032"/>
        <s v="ATLANTICA TORRE 2"/>
        <s v="APTO-06K1"/>
        <s v="APTO-06L1"/>
        <s v="APTO-06M1"/>
        <s v="APTO-06N1"/>
        <s v="APTO-06O1"/>
        <s v="APTO-07K"/>
        <s v="APTO-07L"/>
        <s v="APTO-07N"/>
        <s v="APTO-08K"/>
        <s v="APTO-08L"/>
        <s v="APTO-08M"/>
        <s v="APTO-08N"/>
        <s v="APTO-08O"/>
        <s v="APTO-09K"/>
        <s v="APTO-09L"/>
        <s v="APTO-09M"/>
        <s v="APTO-09N"/>
        <s v="APTO-09O"/>
        <s v="APTO-10L-LG"/>
        <s v="APTO-10M"/>
        <s v="APTO-10N"/>
        <s v="APTO-10O"/>
        <s v="APTO-11L"/>
        <s v="APTO-11M"/>
        <s v="APTO-11N"/>
        <s v="APTO-11O"/>
        <s v="APTO-12K"/>
        <s v="APTO-12L"/>
        <s v="APTO-12M"/>
        <s v="APTO-12N"/>
        <s v="APTO-12O"/>
        <s v="APTO-13K"/>
        <s v="APTO-13L"/>
        <s v="APTO-13M"/>
        <s v="APTO-13N"/>
        <s v="APTO-13O"/>
        <s v="APTO-14K"/>
        <s v="APTO-14L"/>
        <s v="APTO-14M"/>
        <s v="APTO-14N"/>
        <s v="APTO-15K"/>
        <s v="APTO-15L"/>
        <s v="APTO-15M"/>
        <s v="APTO-15N"/>
        <s v="APTO-16K"/>
        <s v="APTO-16L"/>
        <s v="APTO-16M"/>
        <s v="APTO-16N"/>
        <s v="APTO-16O"/>
        <s v="APTO-17L"/>
        <s v="APTO-17M"/>
        <s v="APTO-17N"/>
        <s v="APTO-17O"/>
        <s v="APTO-18K"/>
        <s v="APTO-18L"/>
        <s v="APTO-18M"/>
        <s v="APTO-18N"/>
        <s v="APTO-19K"/>
        <s v="APTO-19L"/>
        <s v="APTO-19M"/>
        <s v="APTO-19N"/>
        <s v="APTO-19O"/>
        <s v="APTO-20K"/>
        <s v="APTO-20L"/>
        <s v="APTO-20M"/>
        <s v="APTO-20N"/>
        <s v="APTO-20O"/>
        <s v="APTO-21K"/>
        <s v="APTO-21L"/>
        <s v="APTO-21M"/>
        <s v="APTO-21N"/>
        <s v="APTO-21O"/>
        <s v="APTO-22K"/>
        <s v="APTO-22L"/>
        <s v="APTO-22M"/>
        <s v="APTO-22N"/>
        <s v="APTO-22O"/>
        <s v="APTO-23K"/>
        <s v="APTO-23L"/>
        <s v="APTO-23M"/>
        <s v="APTO-23N"/>
        <s v="APTO-23O"/>
        <s v="APTO-24K"/>
        <s v="APTO-24L"/>
        <s v="APTO-24M"/>
        <s v="APTO-24N"/>
        <s v="APTO-24O"/>
        <s v="APTO-25K"/>
        <s v="APTO-25L"/>
        <s v="APTO-25M"/>
        <s v="APTO-25N"/>
        <s v="APTO-25O"/>
        <s v="APTO-26K"/>
        <s v="APTO-26L"/>
        <s v="APTO-26M"/>
        <s v="APTO-26N"/>
        <s v="APTO-26O"/>
        <s v="APTO-27K"/>
        <s v="APTO-27L"/>
        <s v="APTO-27M"/>
        <s v="APTO-27N"/>
        <s v="APTO-27O"/>
        <s v="APTO-28K"/>
        <s v="APTO-28L"/>
        <s v="APTO-28N"/>
        <s v="APTO-28O"/>
        <s v="APTO-29K"/>
        <s v="APTO-29L"/>
        <s v="APTO-29M"/>
        <s v="APTO-29N-LG"/>
        <s v="APTO-29O"/>
        <s v="APTO-30K"/>
        <s v="APTO-30L"/>
        <s v="APTO-30M"/>
        <s v="APTO-30N"/>
        <s v="APTO-30O"/>
        <s v="ATLANTICA TORRE 3A"/>
        <s v="APTO-0620"/>
        <s v="APTO-0621"/>
        <s v="APTO-0622"/>
        <s v="APTO-0623"/>
        <s v="APTO-0624"/>
        <s v="APTO-0625"/>
        <s v="APTO-0720"/>
        <s v="APTO-0721"/>
        <s v="APTO-0722"/>
        <s v="APTO-0723"/>
        <s v="APTO-0724"/>
        <s v="APTO-0820"/>
        <s v="APTO-0821"/>
        <s v="APTO-0822"/>
        <s v="APTO-0823"/>
        <s v="APTO-0824"/>
        <s v="APTO-0825"/>
        <s v="APTO-0920"/>
        <s v="APTO-0921"/>
        <s v="APTO-0922"/>
        <s v="APTO-0923"/>
        <s v="APTO-0924"/>
        <s v="APTO-0925"/>
        <s v="APTO-1020"/>
        <s v="APTO-1021"/>
        <s v="APTO-1022"/>
        <s v="APTO-1023"/>
        <s v="APTO-1024"/>
        <s v="APTO-1025"/>
        <s v="APTO-1120"/>
        <s v="APTO-1121"/>
        <s v="APTO-1122"/>
        <s v="APTO-1123"/>
        <s v="APTO-1124"/>
        <s v="APTO-1220"/>
        <s v="APTO-1221"/>
        <s v="APTO-1222"/>
        <s v="APTO-1223"/>
        <s v="APTO-1224"/>
        <s v="APTO-1225"/>
        <s v="APTO-1320"/>
        <s v="APTO-1321"/>
        <s v="APTO-1322"/>
        <s v="APTO-1323"/>
        <s v="APTO-1324"/>
        <s v="APTO-1325"/>
        <s v="APTO-1420"/>
        <s v="APTO-1421"/>
        <s v="APTO-1422"/>
        <s v="APTO-1423"/>
        <s v="APTO-1424"/>
        <s v="APTO-1425"/>
        <s v="APTO-1520"/>
        <s v="APTO-1521"/>
        <s v="APTO-1522"/>
        <s v="APTO-1523"/>
        <s v="APTO-1524"/>
        <s v="APTO-1620"/>
        <s v="APTO-1621"/>
        <s v="APTO-1622"/>
        <s v="APTO-1623"/>
        <s v="APTO-1624"/>
        <s v="APTO-1720"/>
        <s v="APTO-1721"/>
        <s v="APTO-1722"/>
        <s v="APTO-1723"/>
        <s v="APTO-1724"/>
        <s v="APTO-1725"/>
        <s v="APTO-1820"/>
        <s v="APTO-1821"/>
        <s v="APTO-1822"/>
        <s v="APTO-1823"/>
        <s v="APTO-1824"/>
        <s v="APTO-1825"/>
        <s v="APTO-1920"/>
        <s v="APTO-1921"/>
        <s v="APTO-1922"/>
        <s v="APTO-1923"/>
        <s v="APTO-1924"/>
        <s v="APTO-1925"/>
        <s v="APTO-2020"/>
        <s v="APTO-2021"/>
        <s v="APTO-2022"/>
        <s v="APTO-2023"/>
        <s v="APTO-2024"/>
        <s v="APTO-2120"/>
        <s v="APTO-2121"/>
        <s v="APTO-2122"/>
        <s v="APTO-2123"/>
        <s v="APTO-2124"/>
        <s v="APTO-2220"/>
        <s v="APTO-2221"/>
        <s v="APTO-2222"/>
        <s v="APTO-2223"/>
        <s v="APTO-2224"/>
        <s v="APTO-2320"/>
        <s v="APTO-2321"/>
        <s v="APTO-2322"/>
        <s v="APTO-2323"/>
        <s v="APTO-2324"/>
        <s v="APTO-2421"/>
        <s v="APTO-2422"/>
        <s v="APTO-2423"/>
        <s v="APTO-2424"/>
        <s v="APTO-2520"/>
        <s v="APTO-2521"/>
        <s v="APTO-2522"/>
        <s v="APTO-2523"/>
        <s v="APTO-2524"/>
        <s v="APTO-2525"/>
        <s v="APTO-2621"/>
        <s v="APTO-2622"/>
        <s v="APTO-2623"/>
        <s v="APTO-2624"/>
        <s v="APTO-2625"/>
        <s v="APTO-2721"/>
        <s v="APTO-2722"/>
        <s v="APTO-2723"/>
        <s v="APTO-2724"/>
        <s v="APTO-2820"/>
        <s v="APTO-2821"/>
        <s v="APTO-2822"/>
        <s v="APTO-2823"/>
        <s v="APTO-2824"/>
        <s v="APTO-2920"/>
        <s v="APTO-2921"/>
        <s v="APTO-2922"/>
        <s v="APTO-2923"/>
        <s v="APTO-2924"/>
        <s v="APTO-3020"/>
        <s v="APTO-3021"/>
        <s v="APTO-3022"/>
        <s v="APTO-3023"/>
        <s v="PM-PMP1-1165"/>
        <s v="PM-PMP1-1166"/>
        <s v="PM-PMP1-1171"/>
        <s v="PM-PMP1-1172"/>
        <s v="PM-PMP1-1173"/>
        <s v="ATLANTICA TORRE 3B"/>
        <s v="APTO-0617"/>
        <s v="APTO-0618"/>
        <s v="APTO-0619"/>
        <s v="APTO-0716"/>
        <s v="APTO-0717"/>
        <s v="APTO-0718"/>
        <s v="APTO-0816"/>
        <s v="APTO-0817"/>
        <s v="APTO-0819"/>
        <s v="APTO-0916"/>
        <s v="APTO-0917"/>
        <s v="APTO-0918"/>
        <s v="APTO-0919"/>
        <s v="APTO-1016"/>
        <s v="APTO-1017"/>
        <s v="APTO-1019"/>
        <s v="APTO-1116"/>
        <s v="APTO-1118"/>
        <s v="APTO-1119"/>
        <s v="APTO-1216"/>
        <s v="APTO-1218"/>
        <s v="APTO-1219"/>
        <s v="APTO-1316"/>
        <s v="APTO-1318"/>
        <s v="APTO-1319"/>
        <s v="APTO-1416"/>
        <s v="APTO-1417"/>
        <s v="APTO-1418"/>
        <s v="APTO-1419"/>
        <s v="APTO-1516"/>
        <s v="APTO-1517"/>
        <s v="APTO-1519"/>
        <s v="APTO-1616"/>
        <s v="APTO-1618"/>
        <s v="APTO-1619"/>
        <s v="APTO-1716"/>
        <s v="APTO-1718"/>
        <s v="APTO-1719"/>
        <s v="APTO-1816"/>
        <s v="APTO-1817"/>
        <s v="APTO-1818"/>
        <s v="APTO-1819"/>
        <s v="APTO-1916"/>
        <s v="APTO-1917"/>
        <s v="APTO-1918"/>
        <s v="APTO-1919"/>
        <s v="APTO-2017"/>
        <s v="APTO-2018"/>
        <s v="APTO-2019"/>
        <s v="APTO-2116"/>
        <s v="APTO-2117"/>
        <s v="APTO-2118"/>
        <s v="APTO-2119"/>
        <s v="APTO-2216"/>
        <s v="APTO-2217"/>
        <s v="APTO-2218"/>
        <s v="APTO-2219"/>
        <s v="APTO-2316"/>
        <s v="APTO-2319"/>
        <s v="APTO-2416"/>
        <s v="APTO-2419"/>
        <s v="APTO-2516"/>
        <s v="APTO-2518"/>
        <s v="APTO-2519"/>
        <s v="APTO-2616"/>
        <s v="APTO-2617"/>
        <s v="APTO-2618"/>
        <s v="APTO-2619"/>
        <s v="APTO-2716"/>
        <s v="APTO-2717"/>
        <s v="APTO-2719"/>
        <s v="APTO-2816"/>
        <s v="APTO-2817"/>
        <s v="APTO-2818"/>
        <s v="APTO-2819"/>
        <s v="APTO-2916"/>
        <s v="APTO-2917"/>
        <s v="APTO-2919"/>
        <s v="APTO-3016"/>
        <s v="APTO-3017"/>
        <s v="APTO-3018"/>
        <s v="APTO-3019"/>
        <s v="Totales"/>
      </sharedItems>
    </cacheField>
    <cacheField name="Comprador" numFmtId="0">
      <sharedItems containsBlank="1" count="544">
        <m/>
        <s v="DURANGO VELEZ YESENIA"/>
        <s v="MORENO PORRAS SEBASTIAN"/>
        <s v="CANO ALVAREZ LINA JULIETH"/>
        <s v="MONRROY DE LOAIZA YULEIDY SELENE"/>
        <s v="RAMIREZ VELASCO YAFIZA"/>
        <s v="SANCHEZ VILLA JOHN JAIRO"/>
        <s v="RAMIREZ CORREA ESTEBAN"/>
        <s v="LADYS JOHANA ARIZA MARTINEZ"/>
        <s v="ARBOLEDA TORRES MARY LUZ"/>
        <s v="ARDILA MARIN LUIS FERNANDO"/>
        <s v="NELSON FRANCISCO GUATAQUI CUCUNUBA"/>
        <s v="BANCO DAVIVIENDA S.A"/>
        <s v="LONDOÑO GOMEZ JUAN ESTEBAN"/>
        <s v="ROLDAN ECHAVARRIA MARIA LUZMILA"/>
        <s v="RAMIREZ AYALA DANIEL FELIPE"/>
        <s v="KALIGARI REFRIGERACION SAS"/>
        <s v="LUISA FERNANDA CARDONA CORRAL"/>
        <s v="CORREA ECHEVERRI HUMBERTO"/>
        <s v="LUIS FERNANDO RESTREPO ARBOLEDA"/>
        <s v="ECHEVERRI TABARES JUAN DAVID"/>
        <s v="ORTEGA SUAREZ JUAN PABLO"/>
        <s v="FORERO ROCHA LUIS GERMAN"/>
        <s v="TAMAYO GOMEZ JULIANA"/>
        <s v="JULIETH ELIANA GARCIA MIRA"/>
        <s v="OSPINA GRISALES JOSE URIEL"/>
        <s v="AGUDELO GUISAO HILDA MARIA"/>
        <s v="AGUIRRE RAMIREZ JENIFFER TATIANA"/>
        <s v="PIEDRAHITA LOPEZ VLADIMIR"/>
        <s v="ERIK DARIO PORRAS HENAO"/>
        <s v="ROLDAN GIL JAIME ALBERTO"/>
        <s v="CASTAÑO SUAREZ MARIA YOLANDA"/>
        <s v="ORTIZ ACEVEDO LUZ MARINA"/>
        <s v="PEREZ PALACIO JESUS ALIRIO"/>
        <s v="INVERSIONES FLORISA SAS"/>
        <s v="ARANGO BERMUDEZ ALBA LUCIA"/>
        <s v="BANCOLOMBIA S.A."/>
        <s v="DUQUE JIMENEZ ESNEIDER DE JESUS"/>
        <s v="APERADOR BERNAL MARIA BALBINA"/>
        <s v="LIA JOICE CARDENAS LEON"/>
        <s v="CALDERON VELASQUEZ IDALIA"/>
        <s v="HENRY AUGUSTO PINEDA LOPEZ"/>
        <s v="VASCO PEREZ DANIEL ESTEBAN"/>
        <s v="BETANCUR PEREZ MARIA EUGENIA"/>
        <s v="ASESORAR PROYECTOS S.A.S."/>
        <s v="PEREZ QUINTERO VALENTINA"/>
        <s v="VARGAS PALACIO JOHN FREDY"/>
        <s v="VERGARA CATAÑO JUAN FERNANDO"/>
        <s v="GIRALDO DUQUE HERLEY"/>
        <s v="ARANGO ECHEVERRI ANA LUCIA"/>
        <s v="CEBALLOS OCHOA JUAN CAMILO"/>
        <s v="MEJIA GIL EDWIN GIOVANNI"/>
        <s v="PAMPLONA VERGARA SEBASTIAN"/>
        <s v="BEDOYA RAMIREZ LUZ MARY"/>
        <s v="RODRIGUEZ RODRIGUEZ RAFAEL"/>
        <s v="GRANDA AGUDELO DEICY GABRIELA"/>
        <s v="SUREZ MUNERA CINDY VALERIA"/>
        <s v="CORREA ESCOBAR LEON DANIEL"/>
        <s v="CARTAGENA DURANGO DIANA LUCIA"/>
        <s v="ZHENG WEINA"/>
        <s v="HERNANDEZ MARIN JUAN CARLOS"/>
        <s v="USUGA ZABALA ZULEMA"/>
        <s v="NOVO SPAZIO S.A.S."/>
        <s v="CORREA ARANGO SIMON"/>
        <s v="JOHNNATAN ALEXIS TAMAYO USUGA"/>
        <s v="VELEZ ECHAVARRIA ZULEMA"/>
        <s v="PATIÑO CARDONA SANTIAGO"/>
        <s v="CORTES ZULETA MARIA PATRICIA"/>
        <s v="CORREA ARANGO MANUELA"/>
        <s v="ZAPATA AGUDELO CHRISTIAN DAVID"/>
        <s v="RAMIREZ FONNEGRA MARIA CONSTANZA"/>
        <s v="DIAZ MANCIPE GERALDINE LORENA"/>
        <s v="HINCAPIE RIOS WILLIAM ALONSO"/>
        <s v="ZAPATA QUIROZ GERMAN"/>
        <s v="JOSE HILARIO SALAS OSPINA"/>
        <s v="ECHEVERRI HIGUITA MARY SOL"/>
        <s v="CEBALLOS MARIN JHEYSON FABIAN"/>
        <s v="POSADA JARAMILLO JUAN IGNACIO"/>
        <s v="5 AM ASOCIADOS S.A.S."/>
        <s v="EDISSON ALBERTO VALENCIA CANO"/>
        <s v="MURIEL CASTAÑO MARCELA DEL SOCORRO"/>
        <s v="GALLO LOPEZ VANESSA"/>
        <s v="FORERO URIBE ANDRES"/>
        <s v="PEREZ IVAN DARIO"/>
        <s v="QUINTERO MARIN LILIANA MARIA"/>
        <s v="RAMIREZ ACOSTA JUAN ESTEBAN"/>
        <s v="ZULUAGA HOLGUIN CLAUDIA MARCELA"/>
        <s v="MARIA ALEJANDRA AGUDELO ISAZA"/>
        <s v="ARIAS OLARTE ANDRES FELIPE"/>
        <s v="SANDRA MARCELA CADAVID MENESES"/>
        <s v="QUINTERO RUBIO EDITH YOMARA"/>
        <s v="OLGA ISABEL BERRIO"/>
        <s v="OSORIO GONZALEZ JUAN PABLO"/>
        <s v="MEJIA VASQUEZ LEIDY YASMIN"/>
        <s v="EDGAR ROBERTO RODRIGUEZ"/>
        <s v="HERNANDEZ CATAÑO MARIA CAMILA"/>
        <s v="SALDARRIAGA VANEGAS JENIFER"/>
        <s v="GOMEZ ARBELAEZ RAFAEL EDUARDO"/>
        <s v="MESA VANEGAS VICTOR ALEJANDRO"/>
        <s v="HENAO DE VELASQUEZ LUZ OMAIRA"/>
        <s v="ERICA MARIA DUCON PELAEZ"/>
        <s v="CATAÑO GARCIA ROSMIRA AMPARO"/>
        <s v="WALTER ADOLFO QUINTANA PEREZ"/>
        <s v="BUJATO RESTREPO DIEGO"/>
        <s v="CANO RODRIGUEZ JOHN MARIO"/>
        <s v="DISTRIWILHER S.A.S"/>
        <s v="AGUDELO RESTREPO YESSICA ALEJANDRA"/>
        <s v="DIANA MARCELA SALAZAR VASQUEZ"/>
        <s v="LOPEZ ARANGO ADRIANA PATRICIA"/>
        <s v="LAURA ORTIZ GONZALEZ"/>
        <s v="JUAN GUILLERMO MONTOYA CHICA"/>
        <s v="BARRERA MUÑOZ MELANY JOHANNA"/>
        <s v="VASQUEZ VELEZ JOSE ALEJANDRO"/>
        <s v="GIRALDO AGUDELO SERGIO ALEJANDRO"/>
        <s v="YOHELLY ALEJANDRA RESTREPO POSADA"/>
        <s v="TORRES GONZALEZ DAVID ESTEBAN"/>
        <s v="CARLOS ANDRES ARBOLEDA ARIAS"/>
        <s v="VARGAS ORREGO ANGIE PAOLA"/>
        <s v="ARRIETA BECHARA JUAN CARLOS"/>
        <s v="RIVILLAS ARANGO ALVARO ALEJANDRO"/>
        <s v="MIRYAM DE JESUS CARDONA FLOREZ"/>
        <s v="CORREA ARANGO PEDRO"/>
        <s v="OSORIO AVENDAÑO SANDRO ARLEY"/>
        <s v="GOMEZ CARDONA JULLY ALEJANDRA"/>
        <s v="SANCHEZ ESTRADA MAYRA ALEJANDRA"/>
        <s v="VALERIA OCHOA FRANCO"/>
        <s v="VISION Y VALORES COMERCIALES S.A.S."/>
        <s v="PABON PUENTE MARIO AUGUSTO"/>
        <s v="VELEZ YURLEY"/>
        <s v="LONDOÑO ARANGO OSCAR DAVID"/>
        <s v="MARIN MONTOYA MARIA CAMILA"/>
        <s v="LUZ MIRYAM GOMEZ DUQUE"/>
        <s v="ZULUAGA ESTRADA MARIA JOSE"/>
        <s v="SEBASTIAN PEÑA QUINTERO"/>
        <s v="GOMEZ ZULUAGA JULIAN OSWALDO"/>
        <s v="RUBÉN ALBEIRO GONZÁLEZ GARCÍA"/>
        <s v="ALBA YURANI PATIÑO JARAMILLO"/>
        <s v="FRANCO REYES LORELEI"/>
        <s v="HENAO JIMENEZ SILVIA LUCIA"/>
        <s v="VALENCIA CEBALLOS MARIA LUZ DARY"/>
        <s v="FELIZOLA PANQUERA ANABELLA"/>
        <s v="VIRNEY HADELY CHALA LOZANO"/>
        <s v="GOMEZ ALZATE IVAN DARIO"/>
        <s v="ARANGO DIANA PATRICIA"/>
        <s v="JULIETH VIVIANA LONDOÑO PUERTA"/>
        <s v="LUIS GUILLERMO BETANCUR GONZALEZ"/>
        <s v="RAMOS CASTRO SINDY PATRICIA"/>
        <s v="SERNA BOLIVAR ADALID DEL SOCORRO"/>
        <s v="TORO CANO JOHN BAYRO"/>
        <s v="ZAPATA RUEDA NATALIA"/>
        <s v="CAÑADAS HOYOS JOSE RAUL"/>
        <s v="SEBASTIAN HERNANDEZ RESTREPO"/>
        <s v="VELEZ UPEGUI GABRIEL FERNANDO"/>
        <s v="VARGAS VASQUEZ JUAN CARLOS"/>
        <s v="ROJO TABORDA HILDA MARIA"/>
        <s v="RAMIREZ ACOSTA NICOLAS"/>
        <s v="CASTRILLON SANCHEZ DANIEL ANDREDY"/>
        <s v="LLANO POSADA AURA CATALINA"/>
        <s v="PARRA MARÍN JOHAN ALBERTO"/>
        <s v="MONICA LILIANA TINJACA LAVERDE"/>
        <s v="BONILLA CIFUENTES CARLOS ALVARO"/>
        <s v="NATALIA JHOANA MIRA TABORDA"/>
        <s v="USUGA AGUINAGA RICARDO"/>
        <s v="SANDRA MILENA HENAO MUÑOZ"/>
        <s v="CIELO FIERRO ZARATE"/>
        <s v="LOAIZA HENAO LUZ ESTELLA"/>
        <s v="MARIA YULIETH GIRALDO RIOS"/>
        <s v="ECHEVERRY GARCIA DIEGO LUIS"/>
        <s v="OLARTE OROZCO MARGARITA MARIA"/>
        <s v="BEDOYA MORALES SANDRA PATRICIA"/>
        <s v="FRANCO BETANCUR ANDREA"/>
        <s v="USUGA BENITEZ DANIEL RICARDO"/>
        <s v="MOSQUERA BARROS MELKIN JOSE"/>
        <s v="PEÑA AGUDELO CATALINA"/>
        <s v="VILLADIEGO GUERRA JAIRO LUIS"/>
        <s v="MUÑOZ CORDABA DAVID ALEJANDRO"/>
        <s v="ESTIVEN BERMUDEZ BARRERA"/>
        <s v="CRIOLLO MONSALVE CESAR AUGUSTO"/>
        <s v="TEJADA VÁSQUEZ JINETH DAYANA"/>
        <s v="ANDRES FELIPE MARTINEZ LONDOÑO"/>
        <s v="MARIA BERNARDA QUINTANA MARRUGO"/>
        <s v="MARTINEZ PARRA ANGIE PAOLA"/>
        <s v="SIERRA MORENO CLARA INES DEL SOCORRO"/>
        <s v="CARMONA TABARES DUVER ALONSO"/>
        <s v="ALEX MAURICIO TORO LONDOÑO"/>
        <s v="JARAMILLO RIVAS DANIELA ANDREA"/>
        <s v="LONDOÑO JIMENEZ VIVIANA"/>
        <s v="HEIDY YOHANNA AGUDELO CASTRILLON"/>
        <s v="VELASQUEZ GRISALES MARIA EUGENIA"/>
        <s v="HERRERA ZAPATA ISBELIA MARGARITA"/>
        <s v="OROZCO CARDONA VICTOR ALFONSO"/>
        <s v="EMMANUELA LOPEZ LOPEZ"/>
        <s v="MORALES CARDONA JUAN DAVID"/>
        <s v="LOAIZA GOMEZ ERIKA"/>
        <s v="CAÑOLA GIRALDO JUAN CARLOS"/>
        <s v="SARA MARCELA GAVIRIA LOPEZ"/>
        <s v="ANA CRISTINA ALZATE CAÑAVERAL"/>
        <s v="MONSALVE MORENO ANDRES MAURICIO"/>
        <s v="ZAPATA BRAN ALEJANDRA"/>
        <s v="NARANJO BUITRAGO EDWIN DAVID"/>
        <s v="CARLOS ALBERTO MEJIA SANTANA"/>
        <s v="JOVAN ALEXIS MEDINA CARO"/>
        <s v="ACOSTA GARCIA ALVARO ALONSO"/>
        <s v="GEORGE DIOMEDES DE JESUS"/>
        <s v="ALVAREZ CASTRILLON JENY MARIA"/>
        <s v="HENRY DE JESUS RESTREPO PARRA"/>
        <s v="HERNANDEZ PINEDA LILIANA MARIA"/>
        <s v="GONZALEZ MURILLO SEBASTIAN"/>
        <s v="GARZON OSPINA CARLOS MARIO"/>
        <s v="CAÑOLA EDGAR DE JESUS"/>
        <s v="MORENO CARDONA ANA PATRICIA"/>
        <s v="CRISTIAN DAVID ATEHORTUA ORREGO"/>
        <s v="JHONATHAN ALEXANDER AGUDELO VELASQUEZ"/>
        <s v="BUILES GUTIERREZ JOHN JAVIER"/>
        <s v="VASQUEZ SERNA BRAYAN"/>
        <s v="RUIZ CATAÑO JULIANA"/>
        <s v="RODRIGO ALBERTO ZAPATA SANCHEZ"/>
        <s v="GRISALES BURITICA LEIDY JHOANA"/>
        <s v="AGUDELO ISAZA JORGE MARIO"/>
        <s v="ANDRES FELIPE CORREA DORIA"/>
        <s v="CASTAÑO GOMEZ DIEGO"/>
        <s v="MAYA VELASQUEZ JOHNNY ALEXANDER"/>
        <s v="ZAPATA MACIAS JUAN CAMILO"/>
        <s v="HERNANDEZ PINEDA JOHN FREDY"/>
        <s v="SIERRA VARGAS LAURA"/>
        <s v="VALENCIA ANDRADE FANNY"/>
        <s v="VALENCIA GOMEZ ORLANDO DE JESUS"/>
        <s v="HOLGUIN ROJAS CARLOS ANDRES"/>
        <s v="HIDALGO MARTINEZ ANGELA MARIA"/>
        <s v="GOMEZ ZULUAGA NATALY"/>
        <s v="CALVIJO GIRALDO MARIA CRISTINA"/>
        <s v="QUINTERO LOPEZ DAYRO LEON"/>
        <s v="ACOSTA CORREA JOSE DAVID"/>
        <s v="TORO BEDOYA VIVIANA ANDREA"/>
        <s v="ESPINAL ZULETA ANA ROCIO"/>
        <s v="CAMACHO SOSSA DIEGO ALEJANDRO"/>
        <s v="RIVERA OSSA NELSON JAVIER"/>
        <s v="GLORIA PINEDA BARRERO"/>
        <s v="PATIÑO GOMEZ MARITZA"/>
        <s v="GONZALEZ MARIN MARIBEL"/>
        <s v="BARRENECHE CALLE LAURA MARCELA"/>
        <s v="TORREJANO LUNA AURA CATALINA"/>
        <s v="ALZATE OSSA ARLERIS"/>
        <s v="RUFELES TORO LIDA MARLY"/>
        <s v="DOMINGUEZ GOMEZ LIBIA ESTELA"/>
        <s v="ALZATE IDARRAGA JUAN DAVID"/>
        <s v="MUÑOZ VALENCIA NASLY YOLIMA"/>
        <s v="GALLEGO ARANGO LUISA FERNANDA"/>
        <s v="QUINTERO GIRALDO MARIBEL"/>
        <s v="TAPIAS VANEGAS JUAN FELIPE"/>
        <s v="TORRES MESA LINA MARCELA"/>
        <s v="ALZATE ZAPATA ALEXANDER"/>
        <s v="MUNERA ZORA VALERIA ANDREA"/>
        <s v="GALLEGO MADRID DIANA ESTELLA"/>
        <s v="ARISTIZABAL MARIN REYNEL ANDRES"/>
        <s v="BERRIO VASQUEZ MATEO"/>
        <s v="TORO JARAMILLO LUISA FERNANDA"/>
        <s v="ACEVEDO MONSALVE ADRIANA LUCERO"/>
        <s v="CAÑAVERAL VASQUEZ KAREN"/>
        <s v="RIOS LOPEZ STEFHANIE"/>
        <s v="ROSERO VILLA OLGA MAYERLY"/>
        <s v="NAVARRO MANCHEGO YENNYS PATRICIA"/>
        <s v="MORALES MARIN LUISA FERNANDA"/>
        <s v="CUERVO MARIN DANIELA"/>
        <s v="BENITEZ GONZALEZ LAURA"/>
        <s v="PATIÑO GOMEZ LUZ MIRIAM"/>
        <s v="VALENCIA CARMONA JENNY ELIZABETH"/>
        <s v="OSORIO OSORIO ANA MARIA"/>
        <s v="DUQUE GIRALDO LUIS CARLOS"/>
        <s v="ARREDONDO CEBALLOS LEIDY"/>
        <s v="ARISMENDY RENDON LUZ VICTORIA"/>
        <s v="LARGO CAÑAS JOHN FREDY"/>
        <s v="RAMIREZ ORTIZ ZORAIDA"/>
        <s v="MOLINA BARRIENTOS JOHN HUMBERTO"/>
        <s v="OTERO FLOREZ JENNIFER"/>
        <s v="ALVAREZ CANO KELLY JOHANA"/>
        <s v="ESCOBAR ALVAREZ DIANA MARCELA"/>
        <s v="PULGARIN MARIN PAULA ANDREA"/>
        <s v="JAG HOLDING S.A.S"/>
        <s v="CHEN CHEN JHONATHAN"/>
        <s v="ARISTIZABAL CORREA PEDRO ANDRES"/>
        <s v="ALZATE VANEGAS ISABEL"/>
        <s v="HERRERA JUAN DAVID"/>
        <s v="CASTAÑO ROMAN LUISA FERNANDA"/>
        <s v="TAMAYO MONSALVE IVONHE TATIANA"/>
        <s v="GIRALDO DURANGO ELKIN ALONSO"/>
        <s v="GOMEZ GRACIANO JULIANA"/>
        <s v="ARBOLEDA ARBOLEDA TRESSEL ANTONIO"/>
        <s v="CADAVID VILLEGAS LINA MARCELA"/>
        <s v="CEBALLOS CEBALLOS SANDRA MARCELA"/>
        <s v="GUZMAN CONDE MIGUEL ALEXANDER"/>
        <s v="MEJÍA TABARES PAULA ANDREA"/>
        <s v="TORRES CARDENAS ALEXIS"/>
        <s v="SANTOS GUAL JULIAN ESTEBAN"/>
        <s v="ARBOLEDA AMARILES CINDY VANESSA"/>
        <s v="OSORIO GOMEZ LAURA"/>
        <s v="MONTOYA MONTOYA EDISON ALEXANDER"/>
        <s v="TORO VILLEGAS MARCELINA"/>
        <s v="PATIÑO MONTOYA MARICELA"/>
        <s v="FRANCO BALLESTROS ISABEL CRISTINA"/>
        <s v="SU YUEFEN"/>
        <s v="CADAVID ACEVEDO LINA MARIA"/>
        <s v="OSPINA VILLA DIONY VICTORIA"/>
        <s v="ZULUAGA RAMIREZ MARIA RUBIELA"/>
        <s v="VELEZ PALACIO DIANA ISABEL"/>
        <s v="CIFUENTES VELEZ ELIZABETH"/>
        <s v="ZULUAGA ALZATE ANGELICA MARIA"/>
        <s v="JIMENEZ HENAO LEIDYS CRISTINA"/>
        <s v="LOPEZ GUERRA ISLENY ASTRID"/>
        <s v="HIGUITA GIRALDO CARLOS JONHY"/>
        <s v="AGUDELO CARDENAS MARIO HERNAN"/>
        <s v="CAÑAVERAL LOPEZ ABELARDO ANTONIO"/>
        <s v="ALVAREZ ESPINOSA FRANCISCO JAVIER"/>
        <s v="OSORIO PEREZ LINA MARCELA"/>
        <s v="BLACKBURN MURILLO MILTON JOSE"/>
        <s v="MEJIA SANCHEZ ELKIN ADRIAN"/>
        <s v="MENDOZA CANO SOFIA"/>
        <s v="OROZCO GUZMAN JASON"/>
        <s v="CORREA OSORIO DIEGO ALEXANDER"/>
        <s v="ZHENG MAOFU"/>
        <s v="GIL CASTRO MARIA FERNANDA"/>
        <s v="VELEZ ESPINOSA JOSELYN"/>
        <s v="PEREZ SIERRA JUAN MANUEL"/>
        <s v="HERNANDEZ MUÑOZ CRISTIAN DAVID"/>
        <s v="HERNANDEZ PATIÑO SIMON"/>
        <s v="ORTEGA ROMERO NATALY JOHANNA"/>
        <s v="PARRA BUITRAGO DANIELA"/>
        <s v="VELEZ VASQUEZ DIEGO ALEJANDRO"/>
        <s v="GARCIA MARTINEZ GEHIDER"/>
        <s v="CHAVERRA MARIA DEL SOCORRO"/>
        <s v="AVENDAÑO PALACIO DORA ELENA"/>
        <s v="RIOS PEREZ ALVARO ANTONIO"/>
        <s v="CARDONA MACIAS DIEGO ALEJANDRO"/>
        <s v="MACIAS ZAPATA JOHN JAIRO"/>
        <s v="BEDOYA ACEVEDO DANIELA"/>
        <s v="RUIZ RUIZ DIANA PATRICIA"/>
        <s v="HURTADO PATIÑO JUAN ALEXANDER"/>
        <s v="MAZO MUÑOZ CRISTIAN DAVID"/>
        <s v="NUNEZ OSVALDO"/>
        <s v="REY OSORNO DANIEL MAURICIO"/>
        <s v="CARTAGENA HIGUITA FREDY HERNAN"/>
        <s v="OSSA NIETO VALENTINA"/>
        <s v="VASQUEZ ZAPATA MARIA ELENA"/>
        <s v="AGUDELO CORTES CLAUDIA PATRICIA"/>
        <s v="TORO AGUDELO MARIA NELLY"/>
        <s v="VERGARA MUÑOZ JOSE ALEJANDRO"/>
        <s v="MONSALVE OCHOA MARTHA LIA"/>
        <s v="PATIÑO GOMEZ SENEIDA IRLENI"/>
        <s v="OCHOA PELA ISABEL CRISTINA"/>
        <s v="HERRERA PINTO LUIS FERNANDO"/>
        <s v="DE LA CALLE OSORIO RUBEN DARIO"/>
        <s v="VERGARA BEATRIZ ELENA"/>
        <s v="PATIÑO GOMEZ ABEL IGNACIO"/>
        <s v="GARCIA URIBE LUIS HERNANDO"/>
        <s v="JIMENEZ VASQUEZ CARMEN AMPARO"/>
        <s v="SEPULVEDA BERRIO MARTA GLADYS"/>
        <s v="VANEGAS HURTADO GLADYS AMPARO"/>
        <s v="CASTRILLON ARROYAVE SANTIAGO"/>
        <s v="NAVARRO MOLINA KAREN MARCELA"/>
        <s v="BOTERO ADARVE JORGE IVAN"/>
        <s v="CANO JARAMILLO JUAN DE DIOS"/>
        <s v="POSADA MONTOYA SOR MARLEY"/>
        <s v="RESTREPO BEDOYA YAZMIN PATRICIA"/>
        <s v="CARVAJAL SALINAS KEVIN ALEJANDRO"/>
        <s v="VILLEGAS BOLAÑOS PAOLA ANDREA"/>
        <s v="GOMEZ SALDARRIAGA DIEGO FERNANDO"/>
        <s v="URREGO CHAVARRIA JHONNIER ANDRES"/>
        <s v="GAVIRIA ALZATE EDISON FERNANDO"/>
        <s v="CORTES MENDEZ LETICIA"/>
        <s v="GARCES PELAEZ DEONALDO HENRY"/>
        <s v="ALZATE PINEDA SARA"/>
        <s v="MONTOYA GUZMAN OSCAR BYRON"/>
        <s v="ALZATE PINEDA SIMON JOSE"/>
        <s v="ARCILA DUQUE SANDRA MARIA"/>
        <s v="ECHEVERRI ARIAS WILLAM ELIECER"/>
        <s v="TRANSGAVIRIA SAS"/>
        <s v="POVEDA BONILLA YOLANDA"/>
        <s v="ARANGO HERNANDEZ DORA STELLA"/>
        <s v="ARANGO JIMENEZ MARTA INES"/>
        <s v="GIRALDO CARDONA MARIA NOELVA"/>
        <s v="ARTEAGA GALLEGO MARCOS"/>
        <s v="MENESES JARAMILLO HECTOR ALONSO"/>
        <s v="YESICA ARANGO SEPULVEDA"/>
        <s v="CORREA GONZALEZ PAULA ANDREA"/>
        <s v="GOMEZ LOAIZA JUAN CAMILO"/>
        <s v="MOLINA BRYAN ANTONIO"/>
        <s v="GOMEZ PEREZ JULIAN DAVID"/>
        <s v="CASTAÑO QUINTANA JOSE STALIN"/>
        <s v="GRUESO PEREA BRIAN DAVID"/>
        <s v="BARRERA TOBAR LUIS FELIPE"/>
        <s v="CEBALLOS TOBON LUZ MARINA"/>
        <s v="ECHAVARRIA ARDILA HECTOR DARIO"/>
        <s v="PERDOMO GRANADA CAROLINA"/>
        <s v="ALZATE SANCHEZ ALBA MARY"/>
        <s v="LARA PANCHANA MILLER JULIAN"/>
        <s v="FRANCO SOLERA JORGE ALBERTO"/>
        <s v="ARBOLEDA GOMEZ DIANA PATRICIA"/>
        <s v="HENAO PEREZ SANDRA MILENA"/>
        <s v="DIAZ MANCIPE GLORIA CECILIA"/>
        <s v="UNI JIMENEZ LUZ KARIME"/>
        <s v="VALENTIN DIAZ JASON YAEL"/>
        <s v="SANDOVAL JIMENEZ LINA YASMID"/>
        <s v="TABORDA TABORDA EVELYN"/>
        <s v="CHAVARRIAGA ATEHORTUA LAURA"/>
        <s v="ESCORCIA MARIN JORGE JUNIOR"/>
        <s v="OCHOA GONZALEZ HUGO ALBERTO"/>
        <s v="GAITAN JIMENEZ WILLIAM"/>
        <s v="SEPULVEDA CARTAGENA EDISON DE JESUS"/>
        <s v="GIRALDO CORTES JAVIER ALONSO"/>
        <s v="PALACIO CARO MARCO JULIO"/>
        <s v="PEREZ PEREZ JULIAN"/>
        <s v="GALEANO GONZALEZ MARCELA"/>
        <s v="PEREIRA MONTENGRO RICARDO"/>
        <s v="ORTEGA GARCIA DIEGO ERNESTO"/>
        <s v="DIAZ JAIMES ABDELACID HERNANDO"/>
        <s v="MILLAN MARIN VIVIANA CRISTINA"/>
        <s v="GALLEGO QUINTERO MARIA FERNANDA"/>
        <s v="ALZATE ALZATE ELIANA PATRICIA"/>
        <s v="ACEVEDO DUQUE NORELLY"/>
        <s v="OSORIO MACIAS JENNY ALEXANDRA"/>
        <s v="SALDARRIAGA GUTIERREZ CLAUDIA MARCELA"/>
        <s v="CAMPO VANEGAS SINDY PAOLA"/>
        <s v="VARGAS MORALES CARLOS ALBERTO"/>
        <s v="BONILLA MELFI CARLOS ANDRES"/>
        <s v="MARIN TORRES YULIED MARCELA"/>
        <s v="GIRALDO LOPEZ MATEO"/>
        <s v="MONTOYA MESA CARLOS ARTURO"/>
        <s v="VELEZ ECHAVARRIA EVERARDO"/>
        <s v="LOPEZ ISAZA BRYAN"/>
        <s v="ZULAY TATIANA RAMIREZ MENESES"/>
        <s v="GIRLADO MOLINA SANTIAGO"/>
        <s v="POLANIA ABADIA ANDREA"/>
        <s v="LASTRA CORREA BEATRIZ ELENA"/>
        <s v="GIRALDO CAÑAS MIGUEL ANGEL"/>
        <s v="PEMBERTY OSORNO JUAN DAVID"/>
        <s v="CANO TABARES IGNACIO ARTURO"/>
        <s v="TORRES ZAPATA CARLOS AUGUSTO"/>
        <s v="DIEZ VELEZ JUAN CARLOS"/>
        <s v="MARTINEZ SALAZAR SEBASTIAN"/>
        <s v="VANEGAS CASTRILLON CHRISTIAN FELIPE"/>
        <s v="BEDOYA ALVAREZ JHEISON ANDRES"/>
        <s v="PEREZ MUÑOZ GLADYS ESTELA"/>
        <s v="PEREZ PINO JHON WILMAR"/>
        <s v="VANEGAS LINA MARCELA"/>
        <s v="PEREIRA MENDEZ RICARDO"/>
        <s v="CIFUENTES VELEZ YESICA ALEJANDRA"/>
        <s v="TORRES VILLA SARA"/>
        <s v="SANABRIA ROJAS JEISON ANDREY"/>
        <s v="ORTEGA MENESES JOHNATHAN ANDRES"/>
        <s v="MADRID BUSTAMANTE JUAN PABLO"/>
        <s v="PARRIZZI ANTHONY GILBERT"/>
        <s v="GARCIA GUERRA MARIANA"/>
        <s v="RESTREPO ACEVEDO RAMON ALBERTO"/>
        <s v="CAÑAS RAMIREZ ROBINSON"/>
        <s v="BOUHOT ARROYAVE JAVIER DARIO"/>
        <s v="MARULANDA ROLDAN LAURA"/>
        <s v="FERNÁNDEZ DELGADO JUAN SIMÓN"/>
        <s v="ESCOBAR CADAVID JUAN ESTEBAN"/>
        <s v="CEBALLOS CEBALLOS LUZ ANDREA"/>
        <s v="HINCAPIE BERMUDEZ HENRY ALPIDIO"/>
        <s v="OSORIO GONZALEZ NEYIRET"/>
        <s v="SANCHEZ ARENAS FABIANA"/>
        <s v="GUILLEN GUILLEN OSCAR OLAVO"/>
        <s v="M JOZA GINA"/>
        <s v="ARREGOCES DUARTE HERNAN ALONSO"/>
        <s v="OROZCO ALZATE MARIA EUGENIA"/>
        <s v="OROZCO ALZATE RAUL IVAN"/>
        <s v="MURILLO LOPEZ WILMAR ALEXANDER"/>
        <s v="AGUDELO OSPINA LUZ ANGELA"/>
        <s v="TIGA DELGADO YURI PAOLA"/>
        <s v="ARIAS MARIN JULIAN DAVID"/>
        <s v="JAIMES PEREZ HERIBERTO"/>
        <s v="ARBOLEDA PEREZ JHONY ALEXANDER"/>
        <s v="CAMPUZANO ZULETA LUIS MIGUEL"/>
        <s v="ANGOLA MURILLO GINA PATRICIA"/>
        <s v="RESTREPO ARISTIZABAL ANDRES FELIPE"/>
        <s v="MORENO ACEVEDO CARLOS ANDRES"/>
        <s v="JARAMILLO VASQUEZ JORLY JARBY"/>
        <s v="RENE GALVEZ MAYNOR"/>
        <s v="MARIN METRIO LEIDY JOHANA"/>
        <s v="LONDOÑO DE ARANGO MARLENY"/>
        <s v="PATIÑO BARRERA LUIS ALEJANDRO"/>
        <s v="GUERRA MEDINA DARLLEY"/>
        <s v="AREIZA MAZO JOSÉ MIGUEL"/>
        <s v="VANEGAS MEJIA DANIEL RICARDO"/>
        <s v="ARANGO SEPULVEDA LUIS FERNANDO"/>
        <s v="HOYOS PEREZ MANUELA ALEJANDRA"/>
        <s v="PATIÑO BARRERA YESICA DANIELA"/>
        <s v="JIMENEZ SALDARRIAGA DIOLMAR DE JESUS"/>
        <s v="MUNERA MONSALVE LUISA FERNANDA"/>
        <s v="MUNERA GOEZ NELSON ARMANDO"/>
        <s v="SCHULTZ MANRIQUE LAURA"/>
        <s v="CURI MEZA MONICA"/>
        <s v="PATIÑO DUQUE BIBIANA AMPARO"/>
        <s v="MUÑOZ CANO SUSANA ANDREA"/>
        <s v="GOMEZ GONZALEZ JORGE ALBERTO"/>
        <s v="ARTEAGA GALLEGO DANILO"/>
        <s v="RAMIREZ VASQUEZ SHIRLEY TATIANA"/>
        <s v="LOPEZ TORRES CADEX"/>
        <s v="CARDONA MADRID SULADY LICETH"/>
        <s v="ARISTIZABAL SILVERA ANA MARIA"/>
        <s v="NARANJO HURTADO JUAN FERNANDO"/>
        <s v="VIDAL HERRERA FREDY ALONSO"/>
        <s v="TRUJILLO GOMEZ NICOLAS HUMBERTO"/>
        <s v="ARBOLEDA ARIAS WBEIMAR ALONSO"/>
        <s v="BARRIENTOS TREJOS ANDREA ESTEFANIA"/>
        <s v="GONZALEZ ARANGO JORGE ALBERTO"/>
        <s v="GAVIRIA PEREZ MONICA CECILIA"/>
        <s v="ARBOLEDA MARQUEZ CLEMENTINA"/>
        <s v="VERA GARCIA ESTEBAN DE JESUS"/>
        <s v="ESCALANTE TRIANA HECTOR LUIS"/>
        <s v="GRAJALES SANCHEZ JULIAN EDUARDO"/>
        <s v="DIAZ JARAMILLO MARY LUZ"/>
        <s v="CANO NARVAEZ MANUELA"/>
        <s v="JUAN FELIPE FERRO SUAREZ"/>
        <s v="LOPEZ RAMIREZ MARTIN ALONSO"/>
        <s v="OSORIO GARCIA YESIKA ALEJANDRA"/>
        <s v="FUENTES QUINTERO ARIANNA ANDREA"/>
        <s v="BUSTAMANTE BUSTAMANTE CLAUDIA CECILIA"/>
        <s v="GONZALEZ GARCES LINDA VERONICA"/>
        <s v="DELGADO MUÑOZ GUSTAVO ALBEIRO"/>
        <s v="ANAYA SIERRA DAVINSON"/>
        <s v="CARDONA FRANCO SANDRA MILENA"/>
        <s v="QUINTERO GIRALDO WILSON"/>
        <s v="MUÑOZ CASTAÑO MONICA MARIA"/>
        <s v="LONDOÑO PATIÑO JUAN CAMILO"/>
        <s v="GOMEZ GIRALDO DORIS MILENA"/>
        <s v="VALENCIA GOMEZ JULIAN ANDRES"/>
        <s v="MEJIA YESENIA MARIA"/>
        <s v="VASQUEZ ROSO YEDIS"/>
        <s v="GOMEZ GIRALDO LINA MARCELA"/>
        <s v="RENDON RIOS KELLY ALEJANDRA"/>
        <s v="MULLER VELANDIA ALVIN"/>
        <s v="BEDOYA SANTILLA LISDEY CAMILA"/>
        <s v="PALACIO MONA ROBINSON"/>
        <s v="PALACIO GONZALEZ GERMAN DARIO"/>
        <s v="OCAMPO OSORIO MARIA ALEJANDRA"/>
        <s v="BETANCUR OSORNO LIZETH KATHERINE"/>
        <s v="MUÑOZ CARDONA DANIELA"/>
        <s v="SANTACRUZ VILLA LUIS HUMBERTO"/>
        <s v="ECHAVARRIA VELEZ LUISA FERNANDA"/>
        <s v="VELEZ BETANCUR KARLA CRISTINA"/>
        <s v="GONZALEZ GARCES WILIAM ANDRES"/>
        <s v="GANTIVA GUTIERREZ ROGER JHOSEP HAMMILTON"/>
      </sharedItems>
    </cacheField>
    <cacheField name="Concepto" numFmtId="0">
      <sharedItems count="13">
        <s v=""/>
        <s v="Inicial"/>
        <s v="Crédito"/>
        <s v="Impuesto Predial"/>
        <s v="Intereses Financieros"/>
        <s v="Intereses de Mora"/>
        <s v="Reforma Escriturable"/>
        <s v="Ahorro Prog."/>
        <s v="Estudio de Titulos"/>
        <s v="Acabados"/>
        <s v="Cesantias"/>
        <s v="Subsidio"/>
        <s v="Cuenta AFC"/>
      </sharedItems>
    </cacheField>
    <cacheField name="Pactado" numFmtId="0">
      <sharedItems containsString="0" containsBlank="1" containsNumber="1" containsInteger="1" minValue="19332" maxValue="229685564829"/>
    </cacheField>
    <cacheField name="Pagado" numFmtId="0">
      <sharedItems containsString="0" containsBlank="1" containsNumber="1" containsInteger="1" minValue="0" maxValue="114949307249"/>
    </cacheField>
    <cacheField name="Saldo" numFmtId="0">
      <sharedItems containsString="0" containsBlank="1" containsNumber="1" containsInteger="1" minValue="0" maxValue="114736257580"/>
    </cacheField>
    <cacheField name="Cartera Corriente" numFmtId="0">
      <sharedItems containsString="0" containsBlank="1" containsNumber="1" containsInteger="1" minValue="0" maxValue="90312813207"/>
    </cacheField>
    <cacheField name="Vencido" numFmtId="0">
      <sharedItems containsString="0" containsBlank="1" containsNumber="1" containsInteger="1" minValue="0" maxValue="24423444373"/>
    </cacheField>
    <cacheField name="1/01/1930" numFmtId="0">
      <sharedItems containsString="0" containsBlank="1" containsNumber="1" containsInteger="1" minValue="0" maxValue="1242103563"/>
    </cacheField>
    <cacheField name="31-60" numFmtId="0">
      <sharedItems containsString="0" containsBlank="1" containsNumber="1" containsInteger="1" minValue="0" maxValue="10857718803"/>
    </cacheField>
    <cacheField name="61-90" numFmtId="0">
      <sharedItems containsString="0" containsBlank="1" containsNumber="1" containsInteger="1" minValue="0" maxValue="543664749"/>
    </cacheField>
    <cacheField name="Numero_ATLAN" numFmtId="0">
      <sharedItems containsSemiMixedTypes="0" containsString="0" containsNumber="1" containsInteger="1" minValue="1" maxValue="5" count="5">
        <n v="1"/>
        <n v="2"/>
        <n v="3"/>
        <n v="4"/>
        <n v="5"/>
      </sharedItems>
    </cacheField>
    <cacheField name="91-120" numFmtId="0">
      <sharedItems containsString="0" containsBlank="1" containsNumber="1" containsInteger="1" minValue="0" maxValue="11779957258"/>
    </cacheField>
    <cacheField name="IndiceOriginal" numFmtId="0">
      <sharedItems containsSemiMixedTypes="0" containsString="0" containsNumber="1" containsInteger="1" minValue="0" maxValue="1686"/>
    </cacheField>
    <cacheField name="Orden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ngrid Largo" refreshedDate="45937.584717245372" backgroundQuery="1" createdVersion="8" refreshedVersion="8" minRefreshableVersion="3" recordCount="269" xr:uid="{32AE6556-F7A6-49DB-B643-790A7FE92F0D}">
  <cacheSource type="external" connectionId="2"/>
  <cacheFields count="8">
    <cacheField name="Proyecto" numFmtId="0">
      <sharedItems count="1">
        <s v="TORRE 1B"/>
      </sharedItems>
    </cacheField>
    <cacheField name="Tipo de Unidad" numFmtId="0">
      <sharedItems count="3">
        <s v="APARTAMENTO"/>
        <s v="PARQUEADERO"/>
        <s v="UTIL"/>
      </sharedItems>
    </cacheField>
    <cacheField name="Producto" numFmtId="0">
      <sharedItems count="269">
        <s v="0603"/>
        <s v="0604"/>
        <s v="0701"/>
        <s v="0702"/>
        <s v="0703"/>
        <s v="0704"/>
        <s v="0801"/>
        <s v="0802"/>
        <s v="0803"/>
        <s v="0804"/>
        <s v="0901"/>
        <s v="0902"/>
        <s v="0903"/>
        <s v="0904"/>
        <s v="1001"/>
        <s v="1002"/>
        <s v="1003"/>
        <s v="1004"/>
        <s v="1101"/>
        <s v="1102"/>
        <s v="1103"/>
        <s v="1104"/>
        <s v="1201"/>
        <s v="1202"/>
        <s v="1203"/>
        <s v="1204"/>
        <s v="1301"/>
        <s v="1302"/>
        <s v="1303"/>
        <s v="1304"/>
        <s v="1401"/>
        <s v="1402"/>
        <s v="1403"/>
        <s v="1404"/>
        <s v="1501"/>
        <s v="1502"/>
        <s v="1503"/>
        <s v="1504"/>
        <s v="1601"/>
        <s v="1602"/>
        <s v="1603"/>
        <s v="1604"/>
        <s v="1701"/>
        <s v="1702"/>
        <s v="1703"/>
        <s v="1704"/>
        <s v="1801"/>
        <s v="1802"/>
        <s v="1803"/>
        <s v="1804"/>
        <s v="1901"/>
        <s v="1902"/>
        <s v="1903"/>
        <s v="1904"/>
        <s v="2001"/>
        <s v="2002"/>
        <s v="2003"/>
        <s v="2004"/>
        <s v="2101"/>
        <s v="2102"/>
        <s v="2103"/>
        <s v="2104"/>
        <s v="2201"/>
        <s v="2202"/>
        <s v="2203"/>
        <s v="2204"/>
        <s v="2301"/>
        <s v="2302"/>
        <s v="2303"/>
        <s v="2304"/>
        <s v="2401"/>
        <s v="2402"/>
        <s v="2403"/>
        <s v="2404"/>
        <s v="2501"/>
        <s v="2502"/>
        <s v="2503"/>
        <s v="2504"/>
        <s v="2601"/>
        <s v="2602"/>
        <s v="2603"/>
        <s v="2604"/>
        <s v="2701"/>
        <s v="2702"/>
        <s v="2703"/>
        <s v="2704"/>
        <s v="2801"/>
        <s v="2802"/>
        <s v="2803"/>
        <s v="2804"/>
        <s v="2901"/>
        <s v="2902"/>
        <s v="2903"/>
        <s v="2904"/>
        <s v="3001"/>
        <s v="3002"/>
        <s v="3003"/>
        <s v="3004"/>
        <s v="PS-01009"/>
        <s v="PS-01057"/>
        <s v="PS-01065"/>
        <s v="PS-01067"/>
        <s v="PS-01071"/>
        <s v="PS-01072"/>
        <s v="PS-01097"/>
        <s v="PS-01100"/>
        <s v="PS-01112"/>
        <s v="PS-01113"/>
        <s v="PS-01114"/>
        <s v="PS-02010"/>
        <s v="PS-02016"/>
        <s v="PS-02017"/>
        <s v="PS-02023"/>
        <s v="PS-02025"/>
        <s v="PS-02028"/>
        <s v="PS-02057"/>
        <s v="PS-02058"/>
        <s v="PS-02059"/>
        <s v="PS-02060"/>
        <s v="PS-02061"/>
        <s v="PS-02067"/>
        <s v="PS-02068"/>
        <s v="PS-02069"/>
        <s v="PS-02070"/>
        <s v="PS-02071"/>
        <s v="PS-02072"/>
        <s v="PS-02096"/>
        <s v="PS-02097"/>
        <s v="PS-02099"/>
        <s v="PS-02112"/>
        <s v="PS-02162"/>
        <s v="PS-03017"/>
        <s v="PS-03018"/>
        <s v="PS-03024"/>
        <s v="PS-03034"/>
        <s v="PS-03038"/>
        <s v="PS-03070"/>
        <s v="PS-03072"/>
        <s v="PS-03074"/>
        <s v="PS-03076"/>
        <s v="PS-03080"/>
        <s v="PS-03082"/>
        <s v="PS-03083"/>
        <s v="PS-03109"/>
        <s v="PS-03111"/>
        <s v="PS-03112"/>
        <s v="PS-03125"/>
        <s v="PS-03176"/>
        <s v="PS-04017"/>
        <s v="PS-04020"/>
        <s v="PS-04034"/>
        <s v="PS-04037"/>
        <s v="PS-04074"/>
        <s v="PS-04075"/>
        <s v="PS-04076"/>
        <s v="PS-04078"/>
        <s v="PS-04081"/>
        <s v="PS-04082"/>
        <s v="PS-04083"/>
        <s v="PS-04084"/>
        <s v="PS-04085"/>
        <s v="PS-04112"/>
        <s v="PS-04124"/>
        <s v="PS-04125"/>
        <s v="PS-04126"/>
        <s v="PS-04174"/>
        <s v="PS-04175"/>
        <s v="PS-04176"/>
        <s v="PS-05013"/>
        <s v="PS-05014"/>
        <s v="PS-05020"/>
        <s v="PS-05027"/>
        <s v="PS-05030"/>
        <s v="PS-05033"/>
        <s v="PS-05035"/>
        <s v="PS-05036"/>
        <s v="PS-05065"/>
        <s v="PS-05067"/>
        <s v="PS-05068"/>
        <s v="PS-05069"/>
        <s v="PS-05070"/>
        <s v="PS-05072"/>
        <s v="PS-05073"/>
        <s v="PS-05075"/>
        <s v="PS-05077"/>
        <s v="PS-05078"/>
        <s v="PS-05118"/>
        <s v="PS-05120"/>
        <s v="PS-05169"/>
        <s v="PS-05170"/>
        <s v="PS-05171"/>
        <s v="PS-096"/>
        <s v="PS-11D"/>
        <s v="PS-19E"/>
        <s v="PS-2099"/>
        <s v="PS-3083"/>
        <s v="U-01002"/>
        <s v="U-01004"/>
        <s v="U-01018"/>
        <s v="U-01032"/>
        <s v="U-02020"/>
        <s v="U-02526"/>
        <s v="U-02528"/>
        <s v="U-03009"/>
        <s v="U-03034"/>
        <s v="U-04007"/>
        <s v="U-04011"/>
        <s v="U-04015"/>
        <s v="U-04029"/>
        <s v="U-04030"/>
        <s v="U-05009"/>
        <s v="U-05010"/>
        <s v="U-05025"/>
        <s v="U-05037"/>
        <s v="U-06031"/>
        <s v="U-06032"/>
        <s v="U-06033"/>
        <s v="U-067"/>
        <s v="U-068"/>
        <s v="U-07031"/>
        <s v="U-071"/>
        <s v="U-072"/>
        <s v="U-074"/>
        <s v="U-075"/>
        <s v="U-077"/>
        <s v="U-078"/>
        <s v="U-079"/>
        <s v="U-08031"/>
        <s v="U-08033"/>
        <s v="U-088"/>
        <s v="U-09031"/>
        <s v="U-09032"/>
        <s v="U-094"/>
        <s v="U-096"/>
        <s v="U-10031"/>
        <s v="U-10033"/>
        <s v="U-11031"/>
        <s v="U-11033"/>
        <s v="U-11D"/>
        <s v="U-12031"/>
        <s v="U-13031"/>
        <s v="U-13033"/>
        <s v="U-14032"/>
        <s v="U-15032"/>
        <s v="U-15033"/>
        <s v="U-16032"/>
        <s v="U-17031"/>
        <s v="U-17032"/>
        <s v="U-18031"/>
        <s v="U-19031"/>
        <s v="U-19E"/>
        <s v="U-21031"/>
        <s v="U-21032"/>
        <s v="U-21033"/>
        <s v="U-23031"/>
        <s v="U-23032"/>
        <s v="U-23033"/>
        <s v="U-24031"/>
        <s v="U-24032"/>
        <s v="U-24033"/>
        <s v="U-25032"/>
        <s v="U-26031"/>
        <s v="U-27031"/>
        <s v="U-27032"/>
        <s v="U-28031"/>
        <s v="U-29033"/>
        <s v="U-30031"/>
        <s v="U-30032"/>
        <s v="U-3009"/>
      </sharedItems>
    </cacheField>
    <cacheField name="Area" numFmtId="0">
      <sharedItems containsSemiMixedTypes="0" containsString="0" containsNumber="1" minValue="0" maxValue="77.25" count="11">
        <n v="77.25"/>
        <n v="64"/>
        <n v="76.150000000000006"/>
        <n v="75.5"/>
        <n v="75.91"/>
        <n v="76.3"/>
        <n v="76.13"/>
        <n v="63.91"/>
        <n v="75.59"/>
        <n v="60.9"/>
        <n v="0"/>
      </sharedItems>
    </cacheField>
    <cacheField name="Estado" numFmtId="0">
      <sharedItems count="2">
        <s v="V"/>
        <s v="D"/>
      </sharedItems>
    </cacheField>
    <cacheField name="Descuento" numFmtId="0">
      <sharedItems containsString="0" containsBlank="1" count="1">
        <m/>
      </sharedItems>
    </cacheField>
    <cacheField name="Precio Venta Sin Parq#" numFmtId="0">
      <sharedItems containsSemiMixedTypes="0" containsString="0" containsNumber="1" containsInteger="1" minValue="0" maxValue="405660000"/>
    </cacheField>
    <cacheField name="Precio Lista" numFmtId="0">
      <sharedItems containsSemiMixedTypes="0" containsString="0" containsNumber="1" containsInteger="1" minValue="0" maxValue="409895000" count="6">
        <n v="0"/>
        <n v="405395000"/>
        <n v="404195000"/>
        <n v="409895000"/>
        <n v="22000000"/>
        <n v="5000000"/>
      </sharedItems>
    </cacheField>
  </cacheFields>
  <extLst>
    <ext xmlns:x14="http://schemas.microsoft.com/office/spreadsheetml/2009/9/main" uri="{725AE2AE-9491-48be-B2B4-4EB974FC3084}">
      <x14:pivotCacheDefinition pivotCacheId="657271747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ngrid Largo" refreshedDate="45937.584718518519" backgroundQuery="1" createdVersion="8" refreshedVersion="8" minRefreshableVersion="3" recordCount="375" xr:uid="{EFD5162C-8F90-4C88-9FA7-773F80763EAD}">
  <cacheSource type="external" connectionId="5"/>
  <cacheFields count="8">
    <cacheField name="Proyecto" numFmtId="0">
      <sharedItems count="1">
        <s v="TORRE 2"/>
      </sharedItems>
    </cacheField>
    <cacheField name="Tipo de Unidad" numFmtId="0">
      <sharedItems count="3">
        <s v="APARTAMENTO"/>
        <s v="PARQUEADERO"/>
        <s v="UTIL"/>
      </sharedItems>
    </cacheField>
    <cacheField name="Producto" numFmtId="0">
      <sharedItems count="375">
        <s v="06K1"/>
        <s v="06L1"/>
        <s v="06M1"/>
        <s v="06N1"/>
        <s v="06O1"/>
        <s v="07K"/>
        <s v="07L"/>
        <s v="07M"/>
        <s v="07N"/>
        <s v="07O"/>
        <s v="08K"/>
        <s v="08L"/>
        <s v="08M"/>
        <s v="08N"/>
        <s v="08O"/>
        <s v="09K"/>
        <s v="09L"/>
        <s v="09M"/>
        <s v="09N"/>
        <s v="09O"/>
        <s v="10K"/>
        <s v="10L-LG"/>
        <s v="10M"/>
        <s v="10N"/>
        <s v="10O"/>
        <s v="11K"/>
        <s v="11L"/>
        <s v="11M"/>
        <s v="11N"/>
        <s v="11O"/>
        <s v="12K"/>
        <s v="12L"/>
        <s v="12M"/>
        <s v="12N"/>
        <s v="12O"/>
        <s v="13K"/>
        <s v="13L"/>
        <s v="13M"/>
        <s v="13N"/>
        <s v="13O"/>
        <s v="14K"/>
        <s v="14L"/>
        <s v="14M"/>
        <s v="14N"/>
        <s v="14O"/>
        <s v="15K"/>
        <s v="15L"/>
        <s v="15M"/>
        <s v="15N"/>
        <s v="15O"/>
        <s v="16K"/>
        <s v="16L"/>
        <s v="16M"/>
        <s v="16N"/>
        <s v="16O"/>
        <s v="17K"/>
        <s v="17L"/>
        <s v="17M"/>
        <s v="17N"/>
        <s v="17O"/>
        <s v="18K"/>
        <s v="18L"/>
        <s v="18M"/>
        <s v="18N"/>
        <s v="18O"/>
        <s v="19K"/>
        <s v="19L"/>
        <s v="19M"/>
        <s v="19N"/>
        <s v="19O"/>
        <s v="20K"/>
        <s v="20L"/>
        <s v="20M"/>
        <s v="20N"/>
        <s v="20O"/>
        <s v="21K"/>
        <s v="21L"/>
        <s v="21M"/>
        <s v="21N"/>
        <s v="21O"/>
        <s v="22K"/>
        <s v="22L"/>
        <s v="22M"/>
        <s v="22N"/>
        <s v="22O"/>
        <s v="23K"/>
        <s v="23L"/>
        <s v="23M"/>
        <s v="23N"/>
        <s v="23O"/>
        <s v="24K"/>
        <s v="24L"/>
        <s v="24M"/>
        <s v="24N"/>
        <s v="24O"/>
        <s v="25K"/>
        <s v="25L"/>
        <s v="25M"/>
        <s v="25N"/>
        <s v="25O"/>
        <s v="26K"/>
        <s v="26L"/>
        <s v="26M"/>
        <s v="26N"/>
        <s v="26O"/>
        <s v="27K"/>
        <s v="27L"/>
        <s v="27M"/>
        <s v="27N"/>
        <s v="27O"/>
        <s v="28K"/>
        <s v="28L"/>
        <s v="28M"/>
        <s v="28N-LG"/>
        <s v="28O"/>
        <s v="29K"/>
        <s v="29L"/>
        <s v="29M"/>
        <s v="29N-LG"/>
        <s v="29O"/>
        <s v="30K"/>
        <s v="30L"/>
        <s v="30M"/>
        <s v="30N"/>
        <s v="30O"/>
        <s v="PS-06K"/>
        <s v="PS-06L"/>
        <s v="PS-06M"/>
        <s v="PS-06N"/>
        <s v="PS-06O"/>
        <s v="PS-07K"/>
        <s v="PS-07L"/>
        <s v="PS-07N"/>
        <s v="PS-08K"/>
        <s v="PS-08L"/>
        <s v="PS-08M"/>
        <s v="PS-08N"/>
        <s v="PS-08O"/>
        <s v="PS-09K"/>
        <s v="PS-09L"/>
        <s v="PS-09M"/>
        <s v="PS-09N"/>
        <s v="PS-09O"/>
        <s v="PS-108"/>
        <s v="PS-109"/>
        <s v="PS-10L"/>
        <s v="PS-10M"/>
        <s v="PS-10N"/>
        <s v="PS-10O"/>
        <s v="PS-110"/>
        <s v="PS-11L"/>
        <s v="PS-11M"/>
        <s v="PS-11N"/>
        <s v="PS-11O"/>
        <s v="PS-120"/>
        <s v="PS-121"/>
        <s v="PS-122"/>
        <s v="PS-123"/>
        <s v="PS-12K"/>
        <s v="PS-12L"/>
        <s v="PS-12M"/>
        <s v="PS-12N"/>
        <s v="PS-12O"/>
        <s v="PS-13K"/>
        <s v="PS-13L"/>
        <s v="PS-13M"/>
        <s v="PS-13N"/>
        <s v="PS-13O"/>
        <s v="PS-14K"/>
        <s v="PS-14L"/>
        <s v="PS-14M"/>
        <s v="PS-14N"/>
        <s v="PS-15K"/>
        <s v="PS-15L"/>
        <s v="PS-15M"/>
        <s v="PS-15N"/>
        <s v="PS-16K"/>
        <s v="PS-16L"/>
        <s v="PS-16M"/>
        <s v="PS-16N"/>
        <s v="PS-16O"/>
        <s v="PS-17K"/>
        <s v="PS-17L"/>
        <s v="PS-17M"/>
        <s v="PS-17N"/>
        <s v="PS-17O"/>
        <s v="PS-18K"/>
        <s v="PS-18L"/>
        <s v="PS-18M"/>
        <s v="PS-18N"/>
        <s v="PS-19K"/>
        <s v="PS-19L"/>
        <s v="PS-19M"/>
        <s v="PS-19N"/>
        <s v="PS-19O"/>
        <s v="PS-20K"/>
        <s v="PS-20L"/>
        <s v="PS-20M"/>
        <s v="PS-20N"/>
        <s v="PS-20O"/>
        <s v="PS-21K"/>
        <s v="PS-21L"/>
        <s v="PS-21M"/>
        <s v="PS-21N"/>
        <s v="PS-21O"/>
        <s v="PS-22K"/>
        <s v="PS-22L"/>
        <s v="PS-22M"/>
        <s v="PS-22N"/>
        <s v="PS-22O"/>
        <s v="PS-23K"/>
        <s v="PS-23L"/>
        <s v="PS-23M"/>
        <s v="PS-23N"/>
        <s v="PS-23O"/>
        <s v="PS-24K"/>
        <s v="PS-24L"/>
        <s v="PS-24M"/>
        <s v="PS-24N"/>
        <s v="PS-24O"/>
        <s v="PS-25K"/>
        <s v="PS-25L"/>
        <s v="PS-25M"/>
        <s v="PS-25N"/>
        <s v="PS-25O"/>
        <s v="PS-26K"/>
        <s v="PS-26L"/>
        <s v="PS-26M"/>
        <s v="PS-26N"/>
        <s v="PS-26O"/>
        <s v="PS-27K"/>
        <s v="PS-27L"/>
        <s v="PS-27M"/>
        <s v="PS-27N"/>
        <s v="PS-27O"/>
        <s v="PS-28K"/>
        <s v="PS-28L"/>
        <s v="PS-28M"/>
        <s v="PS-28N"/>
        <s v="PS-28O"/>
        <s v="PS-29K"/>
        <s v="PS-29L"/>
        <s v="PS-29M"/>
        <s v="PS-29N"/>
        <s v="PS-29O"/>
        <s v="PS-30K"/>
        <s v="PS-30L"/>
        <s v="PS-30M"/>
        <s v="PS-30N"/>
        <s v="PS-30O"/>
        <s v="CU-06K"/>
        <s v="CU-06L"/>
        <s v="CU-06M"/>
        <s v="CU-06N"/>
        <s v="CU-06O"/>
        <s v="CU-07K"/>
        <s v="CU-07L"/>
        <s v="CU-07N"/>
        <s v="CU-08K"/>
        <s v="CU-08L"/>
        <s v="CU-08M"/>
        <s v="CU-08N"/>
        <s v="CU-08O"/>
        <s v="CU-09K"/>
        <s v="CU-09L"/>
        <s v="CU-09M"/>
        <s v="CU-09N"/>
        <s v="CU-09O"/>
        <s v="CU-107"/>
        <s v="CU-108"/>
        <s v="CU-109"/>
        <s v="CU-10L"/>
        <s v="CU-10M"/>
        <s v="CU-10N"/>
        <s v="CU-10O"/>
        <s v="CU-110"/>
        <s v="CU-11L"/>
        <s v="CU-11M"/>
        <s v="CU-11N"/>
        <s v="CU-11O"/>
        <s v="CU-120"/>
        <s v="CU-121"/>
        <s v="CU-122"/>
        <s v="CU-123"/>
        <s v="CU-12K"/>
        <s v="CU-12L"/>
        <s v="CU-12M"/>
        <s v="CU-12N"/>
        <s v="CU-12O"/>
        <s v="CU-13K"/>
        <s v="CU-13L"/>
        <s v="CU-13M"/>
        <s v="CU-13N"/>
        <s v="CU-13O"/>
        <s v="CU-14K"/>
        <s v="CU-14L"/>
        <s v="CU-14M"/>
        <s v="CU-14N"/>
        <s v="CU-15K"/>
        <s v="CU-15L"/>
        <s v="CU-15M"/>
        <s v="CU-15N"/>
        <s v="CU-16K"/>
        <s v="CU-16L"/>
        <s v="CU-16M"/>
        <s v="CU-16N"/>
        <s v="CU-16O"/>
        <s v="CU-17K"/>
        <s v="CU-17L"/>
        <s v="CU-17M"/>
        <s v="CU-17N"/>
        <s v="CU-17O"/>
        <s v="CU-18K"/>
        <s v="CU-18L"/>
        <s v="CU-18M"/>
        <s v="CU-18N"/>
        <s v="CU-19K"/>
        <s v="CU-19L"/>
        <s v="CU-19M"/>
        <s v="CU-19N"/>
        <s v="CU-19O"/>
        <s v="CU-20K"/>
        <s v="CU-20L"/>
        <s v="CU-20M"/>
        <s v="CU-20N"/>
        <s v="CU-20O"/>
        <s v="CU-21K"/>
        <s v="CU-21L"/>
        <s v="CU-21M"/>
        <s v="CU-21N"/>
        <s v="CU-21O"/>
        <s v="CU-22K"/>
        <s v="CU-22L"/>
        <s v="CU-22M"/>
        <s v="CU-22N"/>
        <s v="CU-22O"/>
        <s v="CU-23K"/>
        <s v="CU-23L"/>
        <s v="CU-23M"/>
        <s v="CU-23N"/>
        <s v="CU-23O"/>
        <s v="CU-24K"/>
        <s v="CU-24L"/>
        <s v="CU-24M"/>
        <s v="CU-24N"/>
        <s v="CU-24O"/>
        <s v="CU-25K"/>
        <s v="CU-25L"/>
        <s v="CU-25M"/>
        <s v="CU-25N"/>
        <s v="CU-25O"/>
        <s v="CU-26K"/>
        <s v="CU-26L"/>
        <s v="CU-26N"/>
        <s v="CU-26O"/>
        <s v="CU-27K"/>
        <s v="CU-27L"/>
        <s v="CU-27M"/>
        <s v="CU-27N"/>
        <s v="CU-27O"/>
        <s v="CU-28K"/>
        <s v="CU-28L"/>
        <s v="CU-28M"/>
        <s v="CU-28N"/>
        <s v="CU-28O"/>
        <s v="CU-29K"/>
        <s v="CU-29L"/>
        <s v="CU-29M"/>
        <s v="CU-29N"/>
        <s v="CU-29O"/>
        <s v="CU-30K"/>
        <s v="CU-30L"/>
        <s v="CU-30M"/>
        <s v="CU-30N"/>
        <s v="CU-30O"/>
      </sharedItems>
    </cacheField>
    <cacheField name="Area" numFmtId="0">
      <sharedItems containsSemiMixedTypes="0" containsString="0" containsNumber="1" minValue="0" maxValue="113.38" count="16">
        <n v="95.65"/>
        <n v="71.41"/>
        <n v="113.38"/>
        <n v="79.66"/>
        <n v="112.7"/>
        <n v="80.3"/>
        <n v="57.65"/>
        <n v="80.05"/>
        <n v="60.4"/>
        <n v="82.25"/>
        <n v="80.349999999999994"/>
        <n v="79.260000000000005"/>
        <n v="59.7"/>
        <n v="82.3"/>
        <n v="57.5"/>
        <n v="0"/>
      </sharedItems>
    </cacheField>
    <cacheField name="Estado" numFmtId="0">
      <sharedItems count="2">
        <s v="V"/>
        <s v="D"/>
      </sharedItems>
    </cacheField>
    <cacheField name="Descuento" numFmtId="0">
      <sharedItems containsString="0" containsBlank="1" count="1">
        <m/>
      </sharedItems>
    </cacheField>
    <cacheField name="Precio Venta Sin Parq#" numFmtId="0">
      <sharedItems containsSemiMixedTypes="0" containsString="0" containsNumber="1" containsInteger="1" minValue="0" maxValue="565350000"/>
    </cacheField>
    <cacheField name="Precio Lista" numFmtId="0">
      <sharedItems containsSemiMixedTypes="0" containsString="0" containsNumber="1" containsInteger="1" minValue="0" maxValue="557410000" count="11">
        <n v="0"/>
        <n v="536835000"/>
        <n v="551600000"/>
        <n v="552345000"/>
        <n v="552845000"/>
        <n v="555410000"/>
        <n v="555910000"/>
        <n v="555845000"/>
        <n v="557410000"/>
        <n v="26000000"/>
        <n v="6000000"/>
      </sharedItems>
    </cacheField>
  </cacheFields>
  <extLst>
    <ext xmlns:x14="http://schemas.microsoft.com/office/spreadsheetml/2009/9/main" uri="{725AE2AE-9491-48be-B2B4-4EB974FC3084}">
      <x14:pivotCacheDefinition pivotCacheId="1508929073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ngrid Largo" refreshedDate="45937.58472013889" backgroundQuery="1" createdVersion="8" refreshedVersion="8" minRefreshableVersion="3" recordCount="403" xr:uid="{3DB0F7B9-17B9-47F5-A32C-A47C0A236B21}">
  <cacheSource type="external" connectionId="6"/>
  <cacheFields count="8">
    <cacheField name="Proyecto" numFmtId="0">
      <sharedItems count="1">
        <s v="TORRE 3A"/>
      </sharedItems>
    </cacheField>
    <cacheField name="Tipo de Unidad" numFmtId="0">
      <sharedItems count="4">
        <s v="APARTAMENTO"/>
        <s v="PARQUEADERO"/>
        <s v="PARQUEADERO MOTO"/>
        <s v="UTIL"/>
      </sharedItems>
    </cacheField>
    <cacheField name="Producto" numFmtId="0">
      <sharedItems count="403">
        <s v="0620"/>
        <s v="0621"/>
        <s v="0622"/>
        <s v="0623"/>
        <s v="0624"/>
        <s v="0625"/>
        <s v="0720"/>
        <s v="0721"/>
        <s v="0722"/>
        <s v="0723"/>
        <s v="0724"/>
        <s v="0725"/>
        <s v="0820"/>
        <s v="0821"/>
        <s v="0822"/>
        <s v="0823"/>
        <s v="0824"/>
        <s v="0825"/>
        <s v="0920"/>
        <s v="0921"/>
        <s v="0922"/>
        <s v="0923"/>
        <s v="0924"/>
        <s v="0925"/>
        <s v="1020"/>
        <s v="1021"/>
        <s v="1022"/>
        <s v="1023"/>
        <s v="1024"/>
        <s v="1025"/>
        <s v="1120"/>
        <s v="1121"/>
        <s v="1122"/>
        <s v="1123"/>
        <s v="1124"/>
        <s v="1125"/>
        <s v="1220"/>
        <s v="1221"/>
        <s v="1222"/>
        <s v="1223"/>
        <s v="1224"/>
        <s v="1225"/>
        <s v="1320"/>
        <s v="1321"/>
        <s v="1322"/>
        <s v="1323"/>
        <s v="1324"/>
        <s v="1325"/>
        <s v="1420"/>
        <s v="1421"/>
        <s v="1422"/>
        <s v="1423"/>
        <s v="1424"/>
        <s v="1425"/>
        <s v="1520"/>
        <s v="1521"/>
        <s v="1522"/>
        <s v="1523"/>
        <s v="1524"/>
        <s v="1525"/>
        <s v="1620"/>
        <s v="1621"/>
        <s v="1622"/>
        <s v="1623"/>
        <s v="1624"/>
        <s v="1625"/>
        <s v="1720"/>
        <s v="1721"/>
        <s v="1722"/>
        <s v="1723"/>
        <s v="1724"/>
        <s v="1725"/>
        <s v="1820"/>
        <s v="1821"/>
        <s v="1822"/>
        <s v="1823"/>
        <s v="1824"/>
        <s v="1825"/>
        <s v="1920"/>
        <s v="1921"/>
        <s v="1922"/>
        <s v="1923"/>
        <s v="1924"/>
        <s v="1925"/>
        <s v="2020"/>
        <s v="2021"/>
        <s v="2022"/>
        <s v="2023"/>
        <s v="2024"/>
        <s v="2025"/>
        <s v="2120"/>
        <s v="2121"/>
        <s v="2122"/>
        <s v="2123"/>
        <s v="2124"/>
        <s v="2125"/>
        <s v="2220"/>
        <s v="2221"/>
        <s v="2222"/>
        <s v="2223"/>
        <s v="2224"/>
        <s v="2225"/>
        <s v="2320"/>
        <s v="2321"/>
        <s v="2322"/>
        <s v="2323"/>
        <s v="2324"/>
        <s v="2325"/>
        <s v="2420"/>
        <s v="2421"/>
        <s v="2422"/>
        <s v="2423"/>
        <s v="2424"/>
        <s v="2425"/>
        <s v="2520"/>
        <s v="2521"/>
        <s v="2522"/>
        <s v="2523"/>
        <s v="2524"/>
        <s v="2525"/>
        <s v="2620"/>
        <s v="2621"/>
        <s v="2622"/>
        <s v="2623"/>
        <s v="2624"/>
        <s v="2625"/>
        <s v="2720"/>
        <s v="2721"/>
        <s v="2722"/>
        <s v="2723"/>
        <s v="2724"/>
        <s v="2725"/>
        <s v="2820"/>
        <s v="2821"/>
        <s v="2822"/>
        <s v="2823"/>
        <s v="2824"/>
        <s v="2825"/>
        <s v="2920"/>
        <s v="2921"/>
        <s v="2922"/>
        <s v="2923"/>
        <s v="2924"/>
        <s v="2925"/>
        <s v="3020"/>
        <s v="3021"/>
        <s v="3022"/>
        <s v="3023"/>
        <s v="3024"/>
        <s v="3025"/>
        <s v="PS-01075"/>
        <s v="PS-01092"/>
        <s v="PS-01103"/>
        <s v="PS-01117"/>
        <s v="PS-01119"/>
        <s v="PS-01120"/>
        <s v="PS-01121"/>
        <s v="PS-01122"/>
        <s v="PS-01132"/>
        <s v="PS-01133"/>
        <s v="PS-01134"/>
        <s v="PS-01135"/>
        <s v="PS-01138"/>
        <s v="PS-01141"/>
        <s v="PS-01144"/>
        <s v="PS-01147"/>
        <s v="PS-01148"/>
        <s v="PS-01149"/>
        <s v="PS-01151"/>
        <s v="PS-01154"/>
        <s v="PS-01161"/>
        <s v="PS-01162"/>
        <s v="PS-01163"/>
        <s v="PS-02073"/>
        <s v="PS-02075"/>
        <s v="PS-02090"/>
        <s v="PS-02092"/>
        <s v="PS-02100"/>
        <s v="PS-02101"/>
        <s v="PS-02102"/>
        <s v="PS-02115"/>
        <s v="PS-02116"/>
        <s v="PS-02119"/>
        <s v="PS-02120"/>
        <s v="PS-02122"/>
        <s v="PS-02132"/>
        <s v="PS-02135"/>
        <s v="PS-02139"/>
        <s v="PS-02140"/>
        <s v="PS-02141"/>
        <s v="PS-02148"/>
        <s v="PS-02155"/>
        <s v="PS-03088"/>
        <s v="PS-03113"/>
        <s v="PS-03114"/>
        <s v="PS-03116"/>
        <s v="PS-03129"/>
        <s v="PS-03130"/>
        <s v="PS-03134"/>
        <s v="PS-03135"/>
        <s v="PS-03146"/>
        <s v="PS-03147"/>
        <s v="PS-03153"/>
        <s v="PS-03154"/>
        <s v="PS-03155"/>
        <s v="PS-03156"/>
        <s v="PS-03158"/>
        <s v="PS-03158-"/>
        <s v="PS-03160"/>
        <s v="PS-03161"/>
        <s v="PS-03162"/>
        <s v="PS-03163"/>
        <s v="PS-03168"/>
        <s v="PS-03172"/>
        <s v="PS-03173"/>
        <s v="PS-03175"/>
        <s v="PS-04088"/>
        <s v="PS-04108"/>
        <s v="PS-04116"/>
        <s v="PS-04127"/>
        <s v="PS-04130"/>
        <s v="PS-04131"/>
        <s v="PS-04134"/>
        <s v="PS-04135"/>
        <s v="PS-04147"/>
        <s v="PS-04151"/>
        <s v="PS-04152"/>
        <s v="PS-04154"/>
        <s v="PS-04158"/>
        <s v="PS-04159"/>
        <s v="PS-04160"/>
        <s v="PS-04162"/>
        <s v="PS-04163"/>
        <s v="PS-04164"/>
        <s v="PS-05124"/>
        <s v="PS-05125"/>
        <s v="PS-05128"/>
        <s v="PS-05143"/>
        <s v="PS-05148"/>
        <s v="PS-05154"/>
        <s v="PS-05155"/>
        <s v="PS-05158"/>
        <s v="PS-05160"/>
        <s v="PS-05162"/>
        <s v="PS-05163"/>
        <s v="PS-05164"/>
        <s v="PS-05168"/>
        <s v="PS-06P"/>
        <s v="PS-06Q"/>
        <s v="PS-08P"/>
        <s v="PS-101"/>
        <s v="PS-11P"/>
        <s v="PS-11X"/>
        <s v="PS-12P"/>
        <s v="PS-12X"/>
        <s v="PS-13R"/>
        <s v="PS-141"/>
        <s v="PS-142"/>
        <s v="PS-145"/>
        <s v="PS-147"/>
        <s v="PS-149"/>
        <s v="PS-14X"/>
        <s v="PS-14Y"/>
        <s v="PS-150"/>
        <s v="PS-15Q"/>
        <s v="PS-15Y"/>
        <s v="PS-16R"/>
        <s v="PS-16W"/>
        <s v="PS-17P"/>
        <s v="PS-17Q"/>
        <s v="PS-17W"/>
        <s v="PS-17Y"/>
        <s v="PS-18P"/>
        <s v="PS-18Q"/>
        <s v="PS-18X"/>
        <s v="PS-19P"/>
        <s v="PS-19Q"/>
        <s v="PS-20P"/>
        <s v="PS-20R"/>
        <s v="PS-20W"/>
        <s v="PS-21P"/>
        <s v="PS-21X"/>
        <s v="PS-21Y"/>
        <s v="PS-22P"/>
        <s v="PS-22X"/>
        <s v="PS-23P"/>
        <s v="PS-23Y"/>
        <s v="PS-24R"/>
        <s v="PS-24X"/>
        <s v="PS-24Y"/>
        <s v="PS-25P"/>
        <s v="PS-26P"/>
        <s v="PS-26W"/>
        <s v="PS-27Q"/>
        <s v="PS-28R"/>
        <s v="PS-28X"/>
        <s v="PS-29P"/>
        <s v="PMP1-1164"/>
        <s v="PMP1-1165"/>
        <s v="PMP1-1166"/>
        <s v="PMP1-1167"/>
        <s v="PMP1-1168"/>
        <s v="PMP1-1169"/>
        <s v="PMP1-1170"/>
        <s v="PMP1-1171"/>
        <s v="PMP1-1172"/>
        <s v="PMP1-1173"/>
        <s v="PMP1-1174"/>
        <s v="U-01039"/>
        <s v="U-01106"/>
        <s v="U-01120"/>
        <s v="U-01121"/>
        <s v="U-01125"/>
        <s v="U-01129"/>
        <s v="U-01131"/>
        <s v="U-01337"/>
        <s v="U-01439"/>
        <s v="U-01837"/>
        <s v="U-02038"/>
        <s v="U-02105"/>
        <s v="U-02107"/>
        <s v="U-02123"/>
        <s v="U-02127"/>
        <s v="U-02130"/>
        <s v="U-02138"/>
        <s v="U-02327"/>
        <s v="U-02438"/>
        <s v="U-02738"/>
        <s v="U-03039"/>
        <s v="U-03118"/>
        <s v="U-03120"/>
        <s v="U-03136"/>
        <s v="U-03141"/>
        <s v="U-03144"/>
        <s v="U-04117"/>
        <s v="U-04120"/>
        <s v="U-04136"/>
        <s v="U-04141"/>
        <s v="U-05136"/>
        <s v="U-05138"/>
        <s v="U-05139"/>
        <s v="U-05145"/>
        <s v="U-06038"/>
        <s v="U-06P"/>
        <s v="U-06Q"/>
        <s v="U-07038"/>
        <s v="U-07039"/>
        <s v="U-08038"/>
        <s v="U-08P"/>
        <s v="U-09039"/>
        <s v="U-098"/>
        <s v="U-10038"/>
        <s v="U-11P"/>
        <s v="U-11X"/>
        <s v="U-12039"/>
        <s v="U-12P"/>
        <s v="U-12X"/>
        <s v="U-138"/>
        <s v="U-139"/>
        <s v="U-13R"/>
        <s v="U-141"/>
        <s v="U-142"/>
        <s v="U-145"/>
        <s v="U-146"/>
        <s v="U-148"/>
        <s v="U-149"/>
        <s v="U-14X"/>
        <s v="U-14Y"/>
        <s v="U-150"/>
        <s v="U-15Q"/>
        <s v="U-15Y"/>
        <s v="U-16R"/>
        <s v="U-16W"/>
        <s v="U-17038"/>
        <s v="U-17P"/>
        <s v="U-17Q"/>
        <s v="U-17W"/>
        <s v="U-17Y"/>
        <s v="U-18P"/>
        <s v="U-18Q"/>
        <s v="U-18X"/>
        <s v="U-19039"/>
        <s v="U-19P"/>
        <s v="U-20P"/>
        <s v="U-20R"/>
        <s v="U-21P"/>
        <s v="U-21X"/>
        <s v="U-21Y"/>
        <s v="U-22P"/>
        <s v="U-22X"/>
        <s v="U-23P"/>
        <s v="U-23Y"/>
        <s v="U-24R"/>
        <s v="U-24X"/>
        <s v="U-24Y"/>
        <s v="U-25P"/>
        <s v="U-26P"/>
        <s v="U-26W"/>
        <s v="U-27Q"/>
        <s v="U-28R"/>
        <s v="U-28X"/>
        <s v="U-29P"/>
        <s v="U-30Y"/>
      </sharedItems>
    </cacheField>
    <cacheField name="Area" numFmtId="0">
      <sharedItems containsSemiMixedTypes="0" containsString="0" containsNumber="1" minValue="0" maxValue="79.7" count="16">
        <n v="71.900000000000006"/>
        <n v="60.9"/>
        <n v="79.7"/>
        <n v="78.400000000000006"/>
        <n v="60.89"/>
        <n v="70.849999999999994"/>
        <n v="71.92"/>
        <n v="60.91"/>
        <n v="78.45"/>
        <n v="77.98"/>
        <n v="60.95"/>
        <n v="71.95"/>
        <n v="71.78"/>
        <n v="77.900000000000006"/>
        <n v="77.87"/>
        <n v="0"/>
      </sharedItems>
    </cacheField>
    <cacheField name="Estado" numFmtId="0">
      <sharedItems count="2">
        <s v="V"/>
        <s v="D"/>
      </sharedItems>
    </cacheField>
    <cacheField name="Descuento" numFmtId="0">
      <sharedItems containsString="0" containsBlank="1" count="1">
        <m/>
      </sharedItems>
    </cacheField>
    <cacheField name="Precio Venta Sin Parq#" numFmtId="0">
      <sharedItems containsSemiMixedTypes="0" containsString="0" containsNumber="1" containsInteger="1" minValue="0" maxValue="499920000"/>
    </cacheField>
    <cacheField name="Precio Lista" numFmtId="0">
      <sharedItems containsSemiMixedTypes="0" containsString="0" containsNumber="1" containsInteger="1" minValue="0" maxValue="480175000" count="21">
        <n v="0"/>
        <n v="467720000"/>
        <n v="469720000"/>
        <n v="471720000"/>
        <n v="472220000"/>
        <n v="474220000"/>
        <n v="474720000"/>
        <n v="475220000"/>
        <n v="475720000"/>
        <n v="478675000"/>
        <n v="476220000"/>
        <n v="479675000"/>
        <n v="480175000"/>
        <n v="477720000"/>
        <n v="478220000"/>
        <n v="478720000"/>
        <n v="408110000"/>
        <n v="479220000"/>
        <n v="23000000"/>
        <n v="10000000"/>
        <n v="5000000"/>
      </sharedItems>
    </cacheField>
  </cacheFields>
  <extLst>
    <ext xmlns:x14="http://schemas.microsoft.com/office/spreadsheetml/2009/9/main" uri="{725AE2AE-9491-48be-B2B4-4EB974FC3084}">
      <x14:pivotCacheDefinition pivotCacheId="345751840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ngrid Largo" refreshedDate="45937.587211111109" createdVersion="8" refreshedVersion="8" minRefreshableVersion="3" recordCount="250" xr:uid="{6261C2E3-7C03-4AA5-88BF-45721733A255}">
  <cacheSource type="worksheet">
    <worksheetSource ref="A1:AI251" sheet="Proyeccion_Rec" r:id="rId2"/>
  </cacheSource>
  <cacheFields count="36">
    <cacheField name="Torre" numFmtId="0">
      <sharedItems count="5">
        <s v="T1A"/>
        <s v="T1B"/>
        <s v="T2"/>
        <s v="T3A"/>
        <s v="T3B"/>
      </sharedItems>
    </cacheField>
    <cacheField name="Fecha" numFmtId="14">
      <sharedItems containsSemiMixedTypes="0" containsNonDate="0" containsDate="1" containsString="0" minDate="2021-06-01T00:00:00" maxDate="2027-11-02T00:00:00" count="78">
        <d v="2021-06-01T00:00:00"/>
        <d v="2021-07-01T00:00:00"/>
        <d v="2021-08-01T00:00:00"/>
        <d v="2021-09-01T00:00:00"/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  <d v="2023-12-01T00:00:00"/>
        <d v="2024-01-01T00:00:00"/>
        <d v="2024-02-01T00:00:00"/>
        <d v="2024-03-01T00:00:00"/>
        <d v="2024-04-01T00:00:00"/>
        <d v="2024-05-01T00:00:00"/>
        <d v="2024-06-01T00:00:00"/>
        <d v="2024-07-01T00:00:00"/>
        <d v="2024-08-01T00:00:00"/>
        <d v="2024-09-01T00:00:00"/>
        <d v="2024-10-01T00:00:00"/>
        <d v="2024-11-01T00:00:00"/>
        <d v="2024-12-01T00:00:00"/>
        <d v="2025-01-01T00:00:00"/>
        <d v="2025-02-01T00:00:00"/>
        <d v="2025-03-01T00:00:00"/>
        <d v="2025-04-01T00:00:00"/>
        <d v="2025-05-01T00:00:00"/>
        <d v="2025-06-01T00:00:00"/>
        <d v="2025-07-01T00:00:00"/>
        <d v="2025-08-01T00:00:00"/>
        <d v="2025-09-01T00:00:00"/>
        <d v="2025-10-01T00:00:00"/>
        <d v="2025-11-01T00:00:00"/>
        <d v="2025-12-01T00:00:00"/>
        <d v="2026-01-01T00:00:00"/>
        <d v="2026-02-01T00:00:00"/>
        <d v="2026-03-01T00:00:00"/>
        <d v="2026-04-01T00:00:00"/>
        <d v="2026-05-01T00:00:00"/>
        <d v="2026-06-01T00:00:00"/>
        <d v="2026-07-01T00:00:00"/>
        <d v="2026-08-01T00:00:00"/>
        <d v="2026-09-01T00:00:00"/>
        <d v="2026-10-01T00:00:00"/>
        <d v="2026-11-01T00:00:00"/>
        <d v="2026-12-01T00:00:00"/>
        <d v="2027-01-01T00:00:00"/>
        <d v="2027-02-01T00:00:00"/>
        <d v="2027-03-01T00:00:00"/>
        <d v="2027-04-01T00:00:00"/>
        <d v="2027-05-01T00:00:00"/>
        <d v="2027-06-01T00:00:00"/>
        <d v="2027-07-01T00:00:00"/>
        <d v="2027-08-01T00:00:00"/>
        <d v="2027-09-01T00:00:00"/>
        <d v="2027-10-01T00:00:00"/>
        <d v="2027-11-01T00:00:00"/>
      </sharedItems>
    </cacheField>
    <cacheField name="TOTAL" numFmtId="44">
      <sharedItems containsSemiMixedTypes="0" containsString="0" containsNumber="1" containsInteger="1" minValue="0" maxValue="35841087134"/>
    </cacheField>
    <cacheField name="Acabados" numFmtId="44">
      <sharedItems containsString="0" containsBlank="1" containsNumber="1" containsInteger="1" minValue="0" maxValue="335233334"/>
    </cacheField>
    <cacheField name="Ahorro Prog." numFmtId="44">
      <sharedItems containsString="0" containsBlank="1" containsNumber="1" containsInteger="1" minValue="0" maxValue="108100000"/>
    </cacheField>
    <cacheField name="C:Credito" numFmtId="44">
      <sharedItems containsSemiMixedTypes="0" containsString="0" containsNumber="1" containsInteger="1" minValue="0" maxValue="34657276828"/>
    </cacheField>
    <cacheField name="C:CreditoTer" numFmtId="44">
      <sharedItems containsString="0" containsBlank="1" containsNumber="1" containsInteger="1" minValue="0" maxValue="142100000"/>
    </cacheField>
    <cacheField name="Cesantias" numFmtId="44">
      <sharedItems containsString="0" containsBlank="1" containsNumber="1" containsInteger="1" minValue="0" maxValue="1126819750"/>
    </cacheField>
    <cacheField name="Cuota" numFmtId="44">
      <sharedItems containsSemiMixedTypes="0" containsString="0" containsNumber="1" containsInteger="1" minValue="0" maxValue="752307467"/>
    </cacheField>
    <cacheField name="Estudio de Titulos" numFmtId="44">
      <sharedItems containsString="0" containsBlank="1" containsNumber="1" containsInteger="1" minValue="0" maxValue="1610367"/>
    </cacheField>
    <cacheField name="Impuesto Predial" numFmtId="44">
      <sharedItems containsString="0" containsBlank="1" containsNumber="1" containsInteger="1" minValue="0" maxValue="8982941"/>
    </cacheField>
    <cacheField name="Intereses de Mora" numFmtId="44">
      <sharedItems containsSemiMixedTypes="0" containsString="0" containsNumber="1" containsInteger="1" minValue="0" maxValue="21319771"/>
    </cacheField>
    <cacheField name="Intereses Financieros" numFmtId="44">
      <sharedItems containsString="0" containsBlank="1" containsNumber="1" containsInteger="1" minValue="0" maxValue="9075400"/>
    </cacheField>
    <cacheField name="Reforma Escriturable" numFmtId="44">
      <sharedItems containsString="0" containsBlank="1" containsNumber="1" containsInteger="1" minValue="0" maxValue="14185149"/>
    </cacheField>
    <cacheField name="Separación" numFmtId="44">
      <sharedItems containsSemiMixedTypes="0" containsString="0" containsNumber="1" containsInteger="1" minValue="0" maxValue="0"/>
    </cacheField>
    <cacheField name="Subsidio" numFmtId="44">
      <sharedItems containsString="0" containsBlank="1" containsNumber="1" containsInteger="1" minValue="0" maxValue="56227345"/>
    </cacheField>
    <cacheField name="Avaluo" numFmtId="44">
      <sharedItems containsNonDate="0" containsString="0" containsBlank="1"/>
    </cacheField>
    <cacheField name="Estudio de titulos2" numFmtId="44">
      <sharedItems containsNonDate="0" containsString="0" containsBlank="1"/>
    </cacheField>
    <cacheField name="Gastos Notariales" numFmtId="44">
      <sharedItems containsNonDate="0" containsString="0" containsBlank="1"/>
    </cacheField>
    <cacheField name="Intereses de Subrogación" numFmtId="44">
      <sharedItems containsNonDate="0" containsString="0" containsBlank="1"/>
    </cacheField>
    <cacheField name="Reformas" numFmtId="44">
      <sharedItems containsNonDate="0" containsString="0" containsBlank="1"/>
    </cacheField>
    <cacheField name="Cesantías" numFmtId="44">
      <sharedItems containsNonDate="0" containsString="0" containsBlank="1"/>
    </cacheField>
    <cacheField name="AFC" numFmtId="44">
      <sharedItems containsNonDate="0" containsString="0" containsBlank="1"/>
    </cacheField>
    <cacheField name="Cuenta AFC" numFmtId="44">
      <sharedItems containsString="0" containsBlank="1" containsNumber="1" containsInteger="1" minValue="0" maxValue="118853"/>
    </cacheField>
    <cacheField name="Usados" numFmtId="44">
      <sharedItems containsNonDate="0" containsString="0" containsBlank="1"/>
    </cacheField>
    <cacheField name="Adtivo" numFmtId="44">
      <sharedItems containsNonDate="0" containsString="0" containsBlank="1"/>
    </cacheField>
    <cacheField name="Otros Gastos" numFmtId="44">
      <sharedItems containsNonDate="0" containsString="0" containsBlank="1"/>
    </cacheField>
    <cacheField name="Serv. Pub" numFmtId="44">
      <sharedItems containsNonDate="0" containsString="0" containsBlank="1"/>
    </cacheField>
    <cacheField name="Inicials de Administracion" numFmtId="44">
      <sharedItems containsNonDate="0" containsString="0" containsBlank="1"/>
    </cacheField>
    <cacheField name="Cuota_t" numFmtId="44">
      <sharedItems containsSemiMixedTypes="0" containsString="0" containsNumber="1" containsInteger="1" minValue="0" maxValue="752307467"/>
    </cacheField>
    <cacheField name="Credito_t" numFmtId="44">
      <sharedItems containsSemiMixedTypes="0" containsString="0" containsNumber="1" containsInteger="1" minValue="0" maxValue="34657276828"/>
    </cacheField>
    <cacheField name="Intereses_t" numFmtId="44">
      <sharedItems containsSemiMixedTypes="0" containsString="0" containsNumber="1" containsInteger="1" minValue="0" maxValue="21319771"/>
    </cacheField>
    <cacheField name="Reformas_t" numFmtId="44">
      <sharedItems containsString="0" containsBlank="1" containsNumber="1" containsInteger="1" minValue="0" maxValue="14185149"/>
    </cacheField>
    <cacheField name="Otros_Gastos_t" numFmtId="44">
      <sharedItems containsNonDate="0" containsString="0" containsBlank="1"/>
    </cacheField>
    <cacheField name="Consolidado" numFmtId="44">
      <sharedItems containsSemiMixedTypes="0" containsString="0" containsNumber="1" containsInteger="1" minValue="0" maxValue="34714267384" count="96">
        <n v="0"/>
        <n v="375556103"/>
        <n v="233516634"/>
        <n v="2000000"/>
        <n v="7097042"/>
        <n v="2232364"/>
        <n v="11786146"/>
        <n v="1434902"/>
        <n v="56227345"/>
        <n v="6364121"/>
        <n v="5504694"/>
        <n v="12613226"/>
        <n v="26817802"/>
        <n v="320678042"/>
        <n v="2764636"/>
        <n v="2740712"/>
        <n v="2713242"/>
        <n v="2683126"/>
        <n v="839654"/>
        <n v="2701519"/>
        <n v="477294249"/>
        <n v="258380746"/>
        <n v="356869512"/>
        <n v="264853586"/>
        <n v="377691485"/>
        <n v="37663586"/>
        <n v="306016636"/>
        <n v="36016636"/>
        <n v="35546222"/>
        <n v="14471"/>
        <n v="6099869"/>
        <n v="14967860"/>
        <n v="23409842"/>
        <n v="130981777"/>
        <n v="302766230"/>
        <n v="516390361"/>
        <n v="428740535"/>
        <n v="608059579"/>
        <n v="545474404"/>
        <n v="473677699"/>
        <n v="509142303"/>
        <n v="491660238"/>
        <n v="454786889"/>
        <n v="513088854"/>
        <n v="479686889"/>
        <n v="455086889"/>
        <n v="469936889"/>
        <n v="497686889"/>
        <n v="498637140"/>
        <n v="564828353"/>
        <n v="468679388"/>
        <n v="495526388"/>
        <n v="752307467"/>
        <n v="469130110"/>
        <n v="473130110"/>
        <n v="541379076"/>
        <n v="842240111"/>
        <n v="465312022"/>
        <n v="943535296"/>
        <n v="34714267384"/>
        <n v="2773312750"/>
        <n v="14394846"/>
        <n v="12126774"/>
        <n v="654531173"/>
        <n v="6755627129"/>
        <n v="86768808"/>
        <n v="10882269230"/>
        <n v="853120645"/>
        <n v="504081819"/>
        <n v="1557940599"/>
        <n v="1224561065"/>
        <n v="420130835"/>
        <n v="524017220"/>
        <n v="4409665102"/>
        <n v="394606866"/>
        <n v="11128936"/>
        <n v="857567990"/>
        <n v="3392140"/>
        <n v="8000000"/>
        <n v="4300000"/>
        <n v="6674482"/>
        <n v="11388533"/>
        <n v="27195508"/>
        <n v="67451883"/>
        <n v="142119152"/>
        <n v="306758264"/>
        <n v="2627121136"/>
        <n v="11218013011"/>
        <n v="5756106543"/>
        <n v="1215023220"/>
        <n v="1166262928"/>
        <n v="2367455010"/>
        <n v="2589959557"/>
        <n v="4000000"/>
        <n v="493824993"/>
        <n v="433459478"/>
      </sharedItems>
    </cacheField>
    <cacheField name="Campo1" numFmtId="0" formula="TOTAL" databaseField="0"/>
  </cacheFields>
  <extLst>
    <ext xmlns:x14="http://schemas.microsoft.com/office/spreadsheetml/2009/9/main" uri="{725AE2AE-9491-48be-B2B4-4EB974FC3084}">
      <x14:pivotCacheDefinition pivotCacheId="1083692209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Ingrid Largo" refreshedDate="45941.583428935184" backgroundQuery="1" createdVersion="8" refreshedVersion="8" minRefreshableVersion="3" recordCount="359" xr:uid="{5BFF0DEC-AAF2-4403-BEE3-38257144BA35}">
  <cacheSource type="external" connectionId="4"/>
  <cacheFields count="8">
    <cacheField name="Proyecto" numFmtId="0">
      <sharedItems count="1">
        <s v="TORRE 1A"/>
      </sharedItems>
    </cacheField>
    <cacheField name="Tipo de Unidad" numFmtId="0">
      <sharedItems count="3">
        <s v="APARTAMENTO"/>
        <s v="PARQUEADERO"/>
        <s v="UTIL"/>
      </sharedItems>
    </cacheField>
    <cacheField name="Producto" numFmtId="0">
      <sharedItems count="359">
        <s v="0605"/>
        <s v="0606"/>
        <s v="0607"/>
        <s v="0608"/>
        <s v="0609"/>
        <s v="0705"/>
        <s v="0706"/>
        <s v="0707"/>
        <s v="0708"/>
        <s v="0709"/>
        <s v="0710"/>
        <s v="0805"/>
        <s v="0806"/>
        <s v="0807"/>
        <s v="0808"/>
        <s v="0809"/>
        <s v="0810"/>
        <s v="0905"/>
        <s v="0906"/>
        <s v="0907"/>
        <s v="0908"/>
        <s v="0909"/>
        <s v="0910"/>
        <s v="1005"/>
        <s v="1006"/>
        <s v="1007"/>
        <s v="1008"/>
        <s v="1009"/>
        <s v="1010"/>
        <s v="1105"/>
        <s v="1106"/>
        <s v="1107"/>
        <s v="1108"/>
        <s v="1109"/>
        <s v="1110"/>
        <s v="1205"/>
        <s v="1206"/>
        <s v="1207"/>
        <s v="1208"/>
        <s v="1209"/>
        <s v="1210"/>
        <s v="1305"/>
        <s v="1306"/>
        <s v="1307"/>
        <s v="1308"/>
        <s v="1309"/>
        <s v="1310"/>
        <s v="1405"/>
        <s v="1406"/>
        <s v="1407"/>
        <s v="1408"/>
        <s v="1409"/>
        <s v="1410"/>
        <s v="1505"/>
        <s v="1506"/>
        <s v="1507"/>
        <s v="1508"/>
        <s v="1509-LG"/>
        <s v="1510"/>
        <s v="1605"/>
        <s v="1606"/>
        <s v="1607"/>
        <s v="1608"/>
        <s v="1609"/>
        <s v="1610"/>
        <s v="1705"/>
        <s v="1706"/>
        <s v="1707"/>
        <s v="1708"/>
        <s v="1709"/>
        <s v="1710"/>
        <s v="1805"/>
        <s v="1806"/>
        <s v="1807"/>
        <s v="1808"/>
        <s v="1809"/>
        <s v="1810"/>
        <s v="1905"/>
        <s v="1906"/>
        <s v="1907"/>
        <s v="1908"/>
        <s v="1909"/>
        <s v="1910"/>
        <s v="2005"/>
        <s v="2006"/>
        <s v="2007"/>
        <s v="2008"/>
        <s v="2009"/>
        <s v="2010"/>
        <s v="2105"/>
        <s v="2106"/>
        <s v="2107"/>
        <s v="2108"/>
        <s v="2109"/>
        <s v="2110"/>
        <s v="2205"/>
        <s v="2206"/>
        <s v="2207"/>
        <s v="2208"/>
        <s v="2209"/>
        <s v="2210"/>
        <s v="2305"/>
        <s v="2306"/>
        <s v="2307"/>
        <s v="2308"/>
        <s v="2309"/>
        <s v="2310"/>
        <s v="2405"/>
        <s v="2406"/>
        <s v="2407"/>
        <s v="2408"/>
        <s v="2409"/>
        <s v="2410"/>
        <s v="2505"/>
        <s v="2506"/>
        <s v="2507"/>
        <s v="2508"/>
        <s v="2509"/>
        <s v="2510"/>
        <s v="2605"/>
        <s v="2606"/>
        <s v="2607"/>
        <s v="2608"/>
        <s v="2609"/>
        <s v="2610"/>
        <s v="2705"/>
        <s v="2706"/>
        <s v="2707"/>
        <s v="2708"/>
        <s v="2709"/>
        <s v="2710"/>
        <s v="2805"/>
        <s v="2806"/>
        <s v="2807"/>
        <s v="2808"/>
        <s v="2809"/>
        <s v="2810"/>
        <s v="2905"/>
        <s v="2906"/>
        <s v="2907"/>
        <s v="2908"/>
        <s v="2909"/>
        <s v="2910"/>
        <s v="3005"/>
        <s v="3006"/>
        <s v="3007"/>
        <s v="3008"/>
        <s v="3009"/>
        <s v="3010"/>
        <s v="PS-01005"/>
        <s v="PS-01006"/>
        <s v="PS-01007"/>
        <s v="PS-01008"/>
        <s v="PS-01010"/>
        <s v="PS-01011"/>
        <s v="PS-01012"/>
        <s v="PS-01013"/>
        <s v="PS-01014"/>
        <s v="PS-01015"/>
        <s v="PS-01016"/>
        <s v="PS-01020"/>
        <s v="PS-01022"/>
        <s v="PS-01022-"/>
        <s v="PS-01024"/>
        <s v="PS-01025"/>
        <s v="PS-01026"/>
        <s v="PS-01027"/>
        <s v="PS-01028"/>
        <s v="PS-01029"/>
        <s v="PS-01029-"/>
        <s v="PS-01057"/>
        <s v="PS-01059"/>
        <s v="PS-01060"/>
        <s v="PS-01061"/>
        <s v="PS-01062"/>
        <s v="PS-01063"/>
        <s v="PS-01064"/>
        <s v="PS-01066"/>
        <s v="PS-01068"/>
        <s v="PS-01069"/>
        <s v="PS-01070"/>
        <s v="PS-01098"/>
        <s v="PS-01099"/>
        <s v="PS-01111"/>
        <s v="PS-02006"/>
        <s v="PS-02007"/>
        <s v="PS-02008"/>
        <s v="PS-02009"/>
        <s v="PS-02011"/>
        <s v="PS-02012"/>
        <s v="PS-02013"/>
        <s v="PS-02014"/>
        <s v="PS-02015"/>
        <s v="PS-02018"/>
        <s v="PS-02021"/>
        <s v="PS-02022"/>
        <s v="PS-02024"/>
        <s v="PS-02026"/>
        <s v="PS-02027"/>
        <s v="PS-02029"/>
        <s v="PS-02030"/>
        <s v="PS-02062"/>
        <s v="PS-02063"/>
        <s v="PS-02064"/>
        <s v="PS-02065"/>
        <s v="PS-02066"/>
        <s v="PS-02096"/>
        <s v="PS-02110"/>
        <s v="PS-02112"/>
        <s v="PS-02113"/>
        <s v="PS-02163"/>
        <s v="PS-02164"/>
        <s v="PS-03016"/>
        <s v="PS-03019"/>
        <s v="PS-03020"/>
        <s v="PS-03021"/>
        <s v="PS-03022"/>
        <s v="PS-03023"/>
        <s v="PS-03025"/>
        <s v="PS-03027"/>
        <s v="PS-03028"/>
        <s v="PS-03032"/>
        <s v="PS-03033"/>
        <s v="PS-03035"/>
        <s v="PS-03036"/>
        <s v="PS-03037"/>
        <s v="PS-03039"/>
        <s v="PS-03040"/>
        <s v="PS-03041"/>
        <s v="PS-03071"/>
        <s v="PS-03073"/>
        <s v="PS-03075"/>
        <s v="PS-03077"/>
        <s v="PS-03079"/>
        <s v="PS-03081"/>
        <s v="PS-03084"/>
        <s v="PS-03085"/>
        <s v="PS-03108"/>
        <s v="PS-03110"/>
        <s v="PS-03123"/>
        <s v="PS-03124"/>
        <s v="PS-03126"/>
        <s v="PS-04016"/>
        <s v="PS-04018"/>
        <s v="PS-04019"/>
        <s v="PS-04021"/>
        <s v="PS-04022"/>
        <s v="PS-04023"/>
        <s v="PS-04024"/>
        <s v="PS-04025"/>
        <s v="PS-04026"/>
        <s v="PS-04027"/>
        <s v="PS-04028"/>
        <s v="PS-04031"/>
        <s v="PS-04032"/>
        <s v="PS-04033"/>
        <s v="PS-04034"/>
        <s v="PS-04035"/>
        <s v="PS-04036"/>
        <s v="PS-04038"/>
        <s v="PS-04039"/>
        <s v="PS-04041"/>
        <s v="PS-04070"/>
        <s v="PS-04071"/>
        <s v="PS-04072"/>
        <s v="PS-04073"/>
        <s v="PS-04079"/>
        <s v="PS-04080"/>
        <s v="PS-04111"/>
        <s v="PS-04123"/>
        <s v="PS-04174"/>
        <s v="PS-05011"/>
        <s v="PS-05012"/>
        <s v="PS-05016"/>
        <s v="PS-05017"/>
        <s v="PS-05018"/>
        <s v="PS-05019"/>
        <s v="PS-05021"/>
        <s v="PS-05022"/>
        <s v="PS-05023"/>
        <s v="PS-05026"/>
        <s v="PS-05029"/>
        <s v="PS-05031"/>
        <s v="PS-05032"/>
        <s v="PS-05034"/>
        <s v="PS-05036"/>
        <s v="PS-05072"/>
        <s v="PS-05074"/>
        <s v="PS-05076"/>
        <s v="PS-05080"/>
        <s v="PS-05108"/>
        <s v="PS-05109"/>
        <s v="PS-05111"/>
        <s v="PS-05119"/>
        <s v="PS-05121"/>
        <s v="PS-0515"/>
        <s v="PS-08J"/>
        <s v="PS-12C"/>
        <s v="PS-16J"/>
        <s v="PS-17C"/>
        <s v="PS-20H"/>
        <s v="U-01001"/>
        <s v="U-01003"/>
        <s v="U-01019"/>
        <s v="U-01020"/>
        <s v="U-01022"/>
        <s v="U-01029"/>
        <s v="U-02004"/>
        <s v="U-02005"/>
        <s v="U-02014"/>
        <s v="U-02019"/>
        <s v="U-02024"/>
        <s v="U-02030"/>
        <s v="U-02709"/>
        <s v="U-03011"/>
        <s v="U-03013"/>
        <s v="U-03014"/>
        <s v="U-03015"/>
        <s v="U-03021"/>
        <s v="U-03029"/>
        <s v="U-03033"/>
        <s v="U-03040"/>
        <s v="U-03042"/>
        <s v="U-04013"/>
        <s v="U-04042"/>
        <s v="U-06034"/>
        <s v="U-06035"/>
        <s v="U-07033"/>
        <s v="U-08032"/>
        <s v="U-08J"/>
        <s v="U-09033"/>
        <s v="U-11032"/>
        <s v="U-12033"/>
        <s v="U-12C"/>
        <s v="U-13032"/>
        <s v="U-14033"/>
        <s v="U-148"/>
        <s v="U-149"/>
        <s v="U-15031"/>
        <s v="U-16031"/>
        <s v="U-16033"/>
        <s v="U-16J"/>
        <s v="U-17033"/>
        <s v="U-17C"/>
        <s v="U-18032"/>
        <s v="U-18033"/>
        <s v="U-19033"/>
        <s v="U-20032"/>
        <s v="U-20033"/>
        <s v="U-20H"/>
        <s v="U-22031"/>
        <s v="U-22033"/>
        <s v="U-26033"/>
        <s v="U-27033"/>
        <s v="U-28032"/>
        <s v="U-28033"/>
        <s v="U-29031"/>
        <s v="U-29032"/>
        <s v="U-30033"/>
      </sharedItems>
    </cacheField>
    <cacheField name="Area" numFmtId="0">
      <sharedItems containsSemiMixedTypes="0" containsString="0" containsNumber="1" minValue="0" maxValue="78.650000000000006" count="17">
        <n v="71.900000000000006"/>
        <n v="60.9"/>
        <n v="62.75"/>
        <n v="78.400000000000006"/>
        <n v="71.95"/>
        <n v="77.3"/>
        <n v="60.95"/>
        <n v="71"/>
        <n v="60.8"/>
        <n v="78.349999999999994"/>
        <n v="58.4"/>
        <n v="60.86"/>
        <n v="71.88"/>
        <n v="71.2"/>
        <n v="78.650000000000006"/>
        <n v="78.45"/>
        <n v="0"/>
      </sharedItems>
    </cacheField>
    <cacheField name="Estado" numFmtId="0">
      <sharedItems count="2">
        <s v="V"/>
        <s v="D"/>
      </sharedItems>
    </cacheField>
    <cacheField name="Descuento" numFmtId="0">
      <sharedItems containsString="0" containsBlank="1" containsNumber="1" containsInteger="1" minValue="0" maxValue="61824073"/>
    </cacheField>
    <cacheField name="Precio Venta Sin Parq#" numFmtId="0">
      <sharedItems containsSemiMixedTypes="0" containsString="0" containsNumber="1" containsInteger="1" minValue="0" maxValue="402845494"/>
    </cacheField>
    <cacheField name="Precio Lista" numFmtId="0">
      <sharedItems containsSemiMixedTypes="0" containsString="0" containsNumber="1" containsInteger="1" minValue="0" maxValue="22000000" count="3">
        <n v="0"/>
        <n v="22000000"/>
        <n v="5000000"/>
      </sharedItems>
    </cacheField>
  </cacheFields>
  <extLst>
    <ext xmlns:x14="http://schemas.microsoft.com/office/spreadsheetml/2009/9/main" uri="{725AE2AE-9491-48be-B2B4-4EB974FC3084}">
      <x14:pivotCacheDefinition pivotCacheId="186215194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ngrid Largo" refreshedDate="45932.596830671297" backgroundQuery="1" createdVersion="3" refreshedVersion="8" minRefreshableVersion="3" recordCount="0" supportSubquery="1" supportAdvancedDrill="1" xr:uid="{F1112C45-83A4-40DC-A2E2-FDB45373D7DE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30">
    <cacheHierarchy uniqueName="[DESISTIMIENTOS].[Cód]" caption="Cód" attribute="1" defaultMemberUniqueName="[DESISTIMIENTOS].[Cód].[All]" allUniqueName="[DESISTIMIENTOS].[Cód].[All]" dimensionUniqueName="[DESISTIMIENTOS]" displayFolder="" count="0" memberValueDatatype="20" unbalanced="0"/>
    <cacheHierarchy uniqueName="[DESISTIMIENTOS].[Proyecto]" caption="Proyecto" attribute="1" defaultMemberUniqueName="[DESISTIMIENTOS].[Proyecto].[All]" allUniqueName="[DESISTIMIENTOS].[Proyecto].[All]" dimensionUniqueName="[DESISTIMIENTOS]" displayFolder="" count="0" memberValueDatatype="130" unbalanced="0"/>
    <cacheHierarchy uniqueName="[DESISTIMIENTOS].[Agrupación actual]" caption="Agrupación actual" attribute="1" defaultMemberUniqueName="[DESISTIMIENTOS].[Agrupación actual].[All]" allUniqueName="[DESISTIMIENTOS].[Agrupación actual].[All]" dimensionUniqueName="[DESISTIMIENTOS]" displayFolder="" count="0" memberValueDatatype="130" unbalanced="0"/>
    <cacheHierarchy uniqueName="[DESISTIMIENTOS].[Fecha desistimiento]" caption="Fecha desistimiento" attribute="1" time="1" defaultMemberUniqueName="[DESISTIMIENTOS].[Fecha desistimiento].[All]" allUniqueName="[DESISTIMIENTOS].[Fecha desistimiento].[All]" dimensionUniqueName="[DESISTIMIENTOS]" displayFolder="" count="0" memberValueDatatype="7" unbalanced="0"/>
    <cacheHierarchy uniqueName="[DESISTIMIENTOS].[Concepto]" caption="Concepto" attribute="1" defaultMemberUniqueName="[DESISTIMIENTOS].[Concepto].[All]" allUniqueName="[DESISTIMIENTOS].[Concepto].[All]" dimensionUniqueName="[DESISTIMIENTOS]" displayFolder="" count="0" memberValueDatatype="130" unbalanced="0"/>
    <cacheHierarchy uniqueName="[DESISTIMIENTOS].[Tipo de inmueble]" caption="Tipo de inmueble" attribute="1" defaultMemberUniqueName="[DESISTIMIENTOS].[Tipo de inmueble].[All]" allUniqueName="[DESISTIMIENTOS].[Tipo de inmueble].[All]" dimensionUniqueName="[DESISTIMIENTOS]" displayFolder="" count="0" memberValueDatatype="130" unbalanced="0"/>
    <cacheHierarchy uniqueName="[DESISTIMIENTOS].[Fecha de venta]" caption="Fecha de venta" attribute="1" defaultMemberUniqueName="[DESISTIMIENTOS].[Fecha de venta].[All]" allUniqueName="[DESISTIMIENTOS].[Fecha de venta].[All]" dimensionUniqueName="[DESISTIMIENTOS]" displayFolder="" count="0" memberValueDatatype="130" unbalanced="0"/>
    <cacheHierarchy uniqueName="[DESISTIMIENTOS].[Valor venta neta]" caption="Valor venta neta" attribute="1" defaultMemberUniqueName="[DESISTIMIENTOS].[Valor venta neta].[All]" allUniqueName="[DESISTIMIENTOS].[Valor venta neta].[All]" dimensionUniqueName="[DESISTIMIENTOS]" displayFolder="" count="0" memberValueDatatype="5" unbalanced="0"/>
    <cacheHierarchy uniqueName="[DESISTIMIENTOS].[Pagos inmueble]" caption="Pagos inmueble" attribute="1" defaultMemberUniqueName="[DESISTIMIENTOS].[Pagos inmueble].[All]" allUniqueName="[DESISTIMIENTOS].[Pagos inmueble].[All]" dimensionUniqueName="[DESISTIMIENTOS]" displayFolder="" count="0" memberValueDatatype="5" unbalanced="0"/>
    <cacheHierarchy uniqueName="[DESISTIMIENTOS].[Valor a devolver]" caption="Valor a devolver" attribute="1" defaultMemberUniqueName="[DESISTIMIENTOS].[Valor a devolver].[All]" allUniqueName="[DESISTIMIENTOS].[Valor a devolver].[All]" dimensionUniqueName="[DESISTIMIENTOS]" displayFolder="" count="0" memberValueDatatype="5" unbalanced="0"/>
    <cacheHierarchy uniqueName="[DESISTIMIENTOS].[APEF]" caption="APEF" attribute="1" defaultMemberUniqueName="[DESISTIMIENTOS].[APEF].[All]" allUniqueName="[DESISTIMIENTOS].[APEF].[All]" dimensionUniqueName="[DESISTIMIENTOS]" displayFolder="" count="0" memberValueDatatype="130" unbalanced="0"/>
    <cacheHierarchy uniqueName="[DESISTIMIENTOS].[Fecha desistimiento (año)]" caption="Fecha desistimiento (año)" attribute="1" defaultMemberUniqueName="[DESISTIMIENTOS].[Fecha desistimiento (año)].[All]" allUniqueName="[DESISTIMIENTOS].[Fecha desistimiento (año)].[All]" dimensionUniqueName="[DESISTIMIENTOS]" displayFolder="" count="0" memberValueDatatype="130" unbalanced="0"/>
    <cacheHierarchy uniqueName="[DESISTIMIENTOS].[Fecha desistimiento (trimestre)]" caption="Fecha desistimiento (trimestre)" attribute="1" defaultMemberUniqueName="[DESISTIMIENTOS].[Fecha desistimiento (trimestre)].[All]" allUniqueName="[DESISTIMIENTOS].[Fecha desistimiento (trimestre)].[All]" dimensionUniqueName="[DESISTIMIENTOS]" displayFolder="" count="0" memberValueDatatype="130" unbalanced="0"/>
    <cacheHierarchy uniqueName="[DESISTIMIENTOS].[Fecha desistimiento (mes)]" caption="Fecha desistimiento (mes)" attribute="1" defaultMemberUniqueName="[DESISTIMIENTOS].[Fecha desistimiento (mes)].[All]" allUniqueName="[DESISTIMIENTOS].[Fecha desistimiento (mes)].[All]" dimensionUniqueName="[DESISTIMIENTOS]" displayFolder="" count="0" memberValueDatatype="130" unbalanced="0"/>
    <cacheHierarchy uniqueName="[TORRE_3B].[Proyecto]" caption="Proyecto" attribute="1" defaultMemberUniqueName="[TORRE_3B].[Proyecto].[All]" allUniqueName="[TORRE_3B].[Proyecto].[All]" dimensionUniqueName="[TORRE_3B]" displayFolder="" count="0" memberValueDatatype="130" unbalanced="0"/>
    <cacheHierarchy uniqueName="[TORRE_3B].[Tipo de Unidad]" caption="Tipo de Unidad" attribute="1" defaultMemberUniqueName="[TORRE_3B].[Tipo de Unidad].[All]" allUniqueName="[TORRE_3B].[Tipo de Unidad].[All]" dimensionUniqueName="[TORRE_3B]" displayFolder="" count="0" memberValueDatatype="130" unbalanced="0"/>
    <cacheHierarchy uniqueName="[TORRE_3B].[Producto]" caption="Producto" attribute="1" defaultMemberUniqueName="[TORRE_3B].[Producto].[All]" allUniqueName="[TORRE_3B].[Producto].[All]" dimensionUniqueName="[TORRE_3B]" displayFolder="" count="0" memberValueDatatype="130" unbalanced="0"/>
    <cacheHierarchy uniqueName="[TORRE_3B].[Area]" caption="Area" attribute="1" defaultMemberUniqueName="[TORRE_3B].[Area].[All]" allUniqueName="[TORRE_3B].[Area].[All]" dimensionUniqueName="[TORRE_3B]" displayFolder="" count="0" memberValueDatatype="5" unbalanced="0"/>
    <cacheHierarchy uniqueName="[TORRE_3B].[Estado]" caption="Estado" attribute="1" defaultMemberUniqueName="[TORRE_3B].[Estado].[All]" allUniqueName="[TORRE_3B].[Estado].[All]" dimensionUniqueName="[TORRE_3B]" displayFolder="" count="0" memberValueDatatype="130" unbalanced="0"/>
    <cacheHierarchy uniqueName="[TORRE_3B].[Descuento]" caption="Descuento" attribute="1" defaultMemberUniqueName="[TORRE_3B].[Descuento].[All]" allUniqueName="[TORRE_3B].[Descuento].[All]" dimensionUniqueName="[TORRE_3B]" displayFolder="" count="0" memberValueDatatype="130" unbalanced="0"/>
    <cacheHierarchy uniqueName="[TORRE_3B].[Precio Venta Sin Parq.]" caption="Precio Venta Sin Parq." attribute="1" defaultMemberUniqueName="[TORRE_3B].[Precio Venta Sin Parq.].[All]" allUniqueName="[TORRE_3B].[Precio Venta Sin Parq.].[All]" dimensionUniqueName="[TORRE_3B]" displayFolder="" count="0" memberValueDatatype="20" unbalanced="0"/>
    <cacheHierarchy uniqueName="[TORRE_3B].[Precio Lista]" caption="Precio Lista" attribute="1" defaultMemberUniqueName="[TORRE_3B].[Precio Lista].[All]" allUniqueName="[TORRE_3B].[Precio Lista].[All]" dimensionUniqueName="[TORRE_3B]" displayFolder="" count="0" memberValueDatatype="20" unbalanced="0"/>
    <cacheHierarchy uniqueName="[DESISTIMIENTOS].[Fecha desistimiento (índice de meses)]" caption="Fecha desistimiento (índice de meses)" attribute="1" defaultMemberUniqueName="[DESISTIMIENTOS].[Fecha desistimiento (índice de meses)].[All]" allUniqueName="[DESISTIMIENTOS].[Fecha desistimiento (índice de meses)].[All]" dimensionUniqueName="[DESISTIMIENTOS]" displayFolder="" count="0" memberValueDatatype="20" unbalanced="0" hidden="1"/>
    <cacheHierarchy uniqueName="[Measures].[__XL_Count TORRE_3B]" caption="__XL_Count TORRE_3B" measure="1" displayFolder="" measureGroup="TORRE_3B" count="0" hidden="1"/>
    <cacheHierarchy uniqueName="[Measures].[__XL_Count DESISTIMIENTOS]" caption="__XL_Count DESISTIMIENTOS" measure="1" displayFolder="" measureGroup="DESISTIMIENTOS" count="0" hidden="1"/>
    <cacheHierarchy uniqueName="[Measures].[__No measures defined]" caption="__No measures defined" measure="1" displayFolder="" count="0" hidden="1"/>
    <cacheHierarchy uniqueName="[Measures].[Suma de Area]" caption="Suma de Area" measure="1" displayFolder="" measureGroup="TORRE_3B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Precio Venta Sin Parq.]" caption="Suma de Precio Venta Sin Parq." measure="1" displayFolder="" measureGroup="TORRE_3B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a de Precio Lista]" caption="Suma de Precio Lista" measure="1" displayFolder="" measureGroup="TORRE_3B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a de Cód]" caption="Suma de Cód" measure="1" displayFolder="" measureGroup="DESISTIMIENTO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</cacheHierarchies>
  <kpis count="0"/>
  <dimensions count="3">
    <dimension name="DESISTIMIENTOS" uniqueName="[DESISTIMIENTOS]" caption="DESISTIMIENTOS"/>
    <dimension measure="1" name="Measures" uniqueName="[Measures]" caption="Measures"/>
    <dimension name="TORRE_3B" uniqueName="[TORRE_3B]" caption="TORRE_3B"/>
  </dimensions>
  <measureGroups count="2">
    <measureGroup name="DESISTIMIENTOS" caption="DESISTIMIENTOS"/>
    <measureGroup name="TORRE_3B" caption="TORRE_3B"/>
  </measureGroups>
  <maps count="2">
    <map measureGroup="0" dimension="0"/>
    <map measureGroup="1" dimension="2"/>
  </maps>
  <extLst>
    <ext xmlns:x14="http://schemas.microsoft.com/office/spreadsheetml/2009/9/main" uri="{725AE2AE-9491-48be-B2B4-4EB974FC3084}">
      <x14:pivotCacheDefinition slicerData="1" pivotCacheId="1315505504"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ngrid Largo" refreshedDate="45934.757144328702" backgroundQuery="1" createdVersion="3" refreshedVersion="8" minRefreshableVersion="3" recordCount="0" supportSubquery="1" supportAdvancedDrill="1" xr:uid="{3E9F97A4-7A4D-428F-BDE3-29AFBC8B40AF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32">
    <cacheHierarchy uniqueName="[DESISTIMIENTOS].[Cód]" caption="Cód" attribute="1" defaultMemberUniqueName="[DESISTIMIENTOS].[Cód].[All]" allUniqueName="[DESISTIMIENTOS].[Cód].[All]" dimensionUniqueName="[DESISTIMIENTOS]" displayFolder="" count="0" memberValueDatatype="20" unbalanced="0"/>
    <cacheHierarchy uniqueName="[DESISTIMIENTOS].[Proyecto]" caption="Proyecto" attribute="1" defaultMemberUniqueName="[DESISTIMIENTOS].[Proyecto].[All]" allUniqueName="[DESISTIMIENTOS].[Proyecto].[All]" dimensionUniqueName="[DESISTIMIENTOS]" displayFolder="" count="0" memberValueDatatype="130" unbalanced="0"/>
    <cacheHierarchy uniqueName="[DESISTIMIENTOS].[Agrupación actual]" caption="Agrupación actual" attribute="1" defaultMemberUniqueName="[DESISTIMIENTOS].[Agrupación actual].[All]" allUniqueName="[DESISTIMIENTOS].[Agrupación actual].[All]" dimensionUniqueName="[DESISTIMIENTOS]" displayFolder="" count="0" memberValueDatatype="130" unbalanced="0"/>
    <cacheHierarchy uniqueName="[DESISTIMIENTOS].[Fecha desistimiento]" caption="Fecha desistimiento" attribute="1" time="1" defaultMemberUniqueName="[DESISTIMIENTOS].[Fecha desistimiento].[All]" allUniqueName="[DESISTIMIENTOS].[Fecha desistimiento].[All]" dimensionUniqueName="[DESISTIMIENTOS]" displayFolder="" count="0" memberValueDatatype="7" unbalanced="0"/>
    <cacheHierarchy uniqueName="[DESISTIMIENTOS].[Concepto]" caption="Concepto" attribute="1" defaultMemberUniqueName="[DESISTIMIENTOS].[Concepto].[All]" allUniqueName="[DESISTIMIENTOS].[Concepto].[All]" dimensionUniqueName="[DESISTIMIENTOS]" displayFolder="" count="2" memberValueDatatype="130" unbalanced="0"/>
    <cacheHierarchy uniqueName="[DESISTIMIENTOS].[Tipo de inmueble]" caption="Tipo de inmueble" attribute="1" defaultMemberUniqueName="[DESISTIMIENTOS].[Tipo de inmueble].[All]" allUniqueName="[DESISTIMIENTOS].[Tipo de inmueble].[All]" dimensionUniqueName="[DESISTIMIENTOS]" displayFolder="" count="0" memberValueDatatype="130" unbalanced="0"/>
    <cacheHierarchy uniqueName="[DESISTIMIENTOS].[Fecha de venta]" caption="Fecha de venta" attribute="1" defaultMemberUniqueName="[DESISTIMIENTOS].[Fecha de venta].[All]" allUniqueName="[DESISTIMIENTOS].[Fecha de venta].[All]" dimensionUniqueName="[DESISTIMIENTOS]" displayFolder="" count="0" memberValueDatatype="130" unbalanced="0"/>
    <cacheHierarchy uniqueName="[DESISTIMIENTOS].[Valor venta neta]" caption="Valor venta neta" attribute="1" defaultMemberUniqueName="[DESISTIMIENTOS].[Valor venta neta].[All]" allUniqueName="[DESISTIMIENTOS].[Valor venta neta].[All]" dimensionUniqueName="[DESISTIMIENTOS]" displayFolder="" count="0" memberValueDatatype="5" unbalanced="0"/>
    <cacheHierarchy uniqueName="[DESISTIMIENTOS].[Pagos inmueble]" caption="Pagos inmueble" attribute="1" defaultMemberUniqueName="[DESISTIMIENTOS].[Pagos inmueble].[All]" allUniqueName="[DESISTIMIENTOS].[Pagos inmueble].[All]" dimensionUniqueName="[DESISTIMIENTOS]" displayFolder="" count="0" memberValueDatatype="5" unbalanced="0"/>
    <cacheHierarchy uniqueName="[DESISTIMIENTOS].[Valor a devolver]" caption="Valor a devolver" attribute="1" defaultMemberUniqueName="[DESISTIMIENTOS].[Valor a devolver].[All]" allUniqueName="[DESISTIMIENTOS].[Valor a devolver].[All]" dimensionUniqueName="[DESISTIMIENTOS]" displayFolder="" count="0" memberValueDatatype="5" unbalanced="0"/>
    <cacheHierarchy uniqueName="[DESISTIMIENTOS].[APEF]" caption="APEF" attribute="1" defaultMemberUniqueName="[DESISTIMIENTOS].[APEF].[All]" allUniqueName="[DESISTIMIENTOS].[APEF].[All]" dimensionUniqueName="[DESISTIMIENTOS]" displayFolder="" count="0" memberValueDatatype="130" unbalanced="0"/>
    <cacheHierarchy uniqueName="[DESISTIMIENTOS].[Fecha desistimiento (año)]" caption="Fecha desistimiento (año)" attribute="1" defaultMemberUniqueName="[DESISTIMIENTOS].[Fecha desistimiento (año)].[All]" allUniqueName="[DESISTIMIENTOS].[Fecha desistimiento (año)].[All]" dimensionUniqueName="[DESISTIMIENTOS]" displayFolder="" count="0" memberValueDatatype="130" unbalanced="0"/>
    <cacheHierarchy uniqueName="[DESISTIMIENTOS].[Fecha desistimiento (trimestre)]" caption="Fecha desistimiento (trimestre)" attribute="1" defaultMemberUniqueName="[DESISTIMIENTOS].[Fecha desistimiento (trimestre)].[All]" allUniqueName="[DESISTIMIENTOS].[Fecha desistimiento (trimestre)].[All]" dimensionUniqueName="[DESISTIMIENTOS]" displayFolder="" count="0" memberValueDatatype="130" unbalanced="0"/>
    <cacheHierarchy uniqueName="[DESISTIMIENTOS].[Fecha desistimiento (mes)]" caption="Fecha desistimiento (mes)" attribute="1" defaultMemberUniqueName="[DESISTIMIENTOS].[Fecha desistimiento (mes)].[All]" allUniqueName="[DESISTIMIENTOS].[Fecha desistimiento (mes)].[All]" dimensionUniqueName="[DESISTIMIENTOS]" displayFolder="" count="0" memberValueDatatype="130" unbalanced="0"/>
    <cacheHierarchy uniqueName="[TORRE_3B].[Proyecto]" caption="Proyecto" attribute="1" defaultMemberUniqueName="[TORRE_3B].[Proyecto].[All]" allUniqueName="[TORRE_3B].[Proyecto].[All]" dimensionUniqueName="[TORRE_3B]" displayFolder="" count="0" memberValueDatatype="130" unbalanced="0"/>
    <cacheHierarchy uniqueName="[TORRE_3B].[Tipo de Unidad]" caption="Tipo de Unidad" attribute="1" defaultMemberUniqueName="[TORRE_3B].[Tipo de Unidad].[All]" allUniqueName="[TORRE_3B].[Tipo de Unidad].[All]" dimensionUniqueName="[TORRE_3B]" displayFolder="" count="0" memberValueDatatype="130" unbalanced="0"/>
    <cacheHierarchy uniqueName="[TORRE_3B].[Producto]" caption="Producto" attribute="1" defaultMemberUniqueName="[TORRE_3B].[Producto].[All]" allUniqueName="[TORRE_3B].[Producto].[All]" dimensionUniqueName="[TORRE_3B]" displayFolder="" count="0" memberValueDatatype="130" unbalanced="0"/>
    <cacheHierarchy uniqueName="[TORRE_3B].[Area]" caption="Area" attribute="1" defaultMemberUniqueName="[TORRE_3B].[Area].[All]" allUniqueName="[TORRE_3B].[Area].[All]" dimensionUniqueName="[TORRE_3B]" displayFolder="" count="0" memberValueDatatype="5" unbalanced="0"/>
    <cacheHierarchy uniqueName="[TORRE_3B].[Estado]" caption="Estado" attribute="1" defaultMemberUniqueName="[TORRE_3B].[Estado].[All]" allUniqueName="[TORRE_3B].[Estado].[All]" dimensionUniqueName="[TORRE_3B]" displayFolder="" count="0" memberValueDatatype="130" unbalanced="0"/>
    <cacheHierarchy uniqueName="[TORRE_3B].[Descuento]" caption="Descuento" attribute="1" defaultMemberUniqueName="[TORRE_3B].[Descuento].[All]" allUniqueName="[TORRE_3B].[Descuento].[All]" dimensionUniqueName="[TORRE_3B]" displayFolder="" count="0" memberValueDatatype="130" unbalanced="0"/>
    <cacheHierarchy uniqueName="[TORRE_3B].[Precio Venta Sin Parq.]" caption="Precio Venta Sin Parq." attribute="1" defaultMemberUniqueName="[TORRE_3B].[Precio Venta Sin Parq.].[All]" allUniqueName="[TORRE_3B].[Precio Venta Sin Parq.].[All]" dimensionUniqueName="[TORRE_3B]" displayFolder="" count="0" memberValueDatatype="20" unbalanced="0"/>
    <cacheHierarchy uniqueName="[TORRE_3B].[Precio Lista]" caption="Precio Lista" attribute="1" defaultMemberUniqueName="[TORRE_3B].[Precio Lista].[All]" allUniqueName="[TORRE_3B].[Precio Lista].[All]" dimensionUniqueName="[TORRE_3B]" displayFolder="" count="0" memberValueDatatype="20" unbalanced="0"/>
    <cacheHierarchy uniqueName="[DESISTIMIENTOS].[Fecha desistimiento (índice de meses)]" caption="Fecha desistimiento (índice de meses)" attribute="1" defaultMemberUniqueName="[DESISTIMIENTOS].[Fecha desistimiento (índice de meses)].[All]" allUniqueName="[DESISTIMIENTOS].[Fecha desistimiento (índice de meses)].[All]" dimensionUniqueName="[DESISTIMIENTOS]" displayFolder="" count="0" memberValueDatatype="20" unbalanced="0" hidden="1"/>
    <cacheHierarchy uniqueName="[Measures].[__XL_Count TORRE_3B]" caption="__XL_Count TORRE_3B" measure="1" displayFolder="" measureGroup="TORRE_3B" count="0" hidden="1"/>
    <cacheHierarchy uniqueName="[Measures].[__XL_Count DESISTIMIENTOS]" caption="__XL_Count DESISTIMIENTOS" measure="1" displayFolder="" measureGroup="DESISTIMIENTOS" count="0" hidden="1"/>
    <cacheHierarchy uniqueName="[Measures].[__No measures defined]" caption="__No measures defined" measure="1" displayFolder="" count="0" hidden="1"/>
    <cacheHierarchy uniqueName="[Measures].[Suma de Area]" caption="Suma de Area" measure="1" displayFolder="" measureGroup="TORRE_3B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Precio Venta Sin Parq.]" caption="Suma de Precio Venta Sin Parq." measure="1" displayFolder="" measureGroup="TORRE_3B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a de Precio Lista]" caption="Suma de Precio Lista" measure="1" displayFolder="" measureGroup="TORRE_3B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a de Cód]" caption="Suma de Cód" measure="1" displayFolder="" measureGroup="DESISTIMIENTO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Recuento de Cód]" caption="Recuento de Cód" measure="1" displayFolder="" measureGroup="DESISTIMIENTO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a de Valor venta neta]" caption="Suma de Valor venta neta" measure="1" displayFolder="" measureGroup="DESISTIMIENTO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086877919"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8">
  <r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742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74272"/>
  </r>
  <r>
    <x v="0"/>
    <x v="1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2"/>
    <x v="2"/>
    <n v="0"/>
    <n v="0"/>
    <n v="0"/>
    <n v="0"/>
    <n v="0"/>
    <n v="0"/>
    <n v="0"/>
    <n v="0"/>
    <n v="0"/>
    <n v="0"/>
    <n v="0"/>
    <n v="0"/>
    <n v="0"/>
    <n v="0"/>
    <n v="1324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2437"/>
  </r>
  <r>
    <x v="1"/>
    <x v="3"/>
    <x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4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5"/>
    <x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6"/>
    <x v="6"/>
    <n v="0"/>
    <n v="0"/>
    <n v="0"/>
    <n v="0"/>
    <n v="0"/>
    <n v="0"/>
    <n v="1869198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6919823"/>
  </r>
  <r>
    <x v="2"/>
    <x v="7"/>
    <x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07482"/>
    <n v="345005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9112982"/>
  </r>
  <r>
    <x v="2"/>
    <x v="8"/>
    <x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2500"/>
    <n v="2301238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0186353"/>
  </r>
  <r>
    <x v="2"/>
    <x v="9"/>
    <x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00000"/>
    <n v="2800000"/>
    <n v="2652980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0898050"/>
  </r>
  <r>
    <x v="3"/>
    <x v="10"/>
    <x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360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3600000"/>
  </r>
  <r>
    <x v="3"/>
    <x v="11"/>
    <x v="11"/>
    <n v="0"/>
    <n v="0"/>
    <n v="0"/>
    <n v="0"/>
    <n v="0"/>
    <n v="0"/>
    <n v="0"/>
    <n v="0"/>
    <n v="0"/>
    <n v="0"/>
    <n v="0"/>
    <n v="0"/>
    <n v="0"/>
    <n v="0"/>
    <n v="0"/>
    <n v="0"/>
    <n v="0"/>
    <n v="2623208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2320875"/>
  </r>
  <r>
    <x v="3"/>
    <x v="12"/>
    <x v="12"/>
    <n v="0"/>
    <n v="0"/>
    <n v="0"/>
    <n v="0"/>
    <n v="0"/>
    <n v="0"/>
    <n v="0"/>
    <n v="0"/>
    <n v="0"/>
    <n v="0"/>
    <n v="0"/>
    <n v="0"/>
    <n v="0"/>
    <n v="0"/>
    <n v="0"/>
    <n v="12126774"/>
    <n v="3395495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1676369"/>
  </r>
  <r>
    <x v="3"/>
    <x v="13"/>
    <x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300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3000000"/>
  </r>
  <r>
    <x v="3"/>
    <x v="14"/>
    <x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15"/>
    <x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849785"/>
    <n v="12849785"/>
    <n v="51399137"/>
    <n v="3597939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6892682"/>
  </r>
  <r>
    <x v="4"/>
    <x v="16"/>
    <x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950481"/>
    <n v="5335783"/>
    <n v="5335783"/>
    <n v="5335783"/>
    <n v="5335783"/>
    <n v="5335783"/>
    <n v="5335783"/>
    <n v="5335783"/>
    <n v="5335783"/>
    <n v="5335783"/>
    <n v="5335783"/>
    <n v="5335783"/>
    <n v="5335783"/>
    <n v="5335783"/>
    <n v="5335783"/>
    <n v="5335783"/>
    <n v="5335783"/>
    <n v="5335783"/>
    <n v="5335783"/>
    <n v="5335783"/>
    <n v="5335783"/>
    <n v="5335783"/>
    <n v="5335783"/>
    <n v="5335793"/>
    <n v="385171500"/>
    <n v="0"/>
    <n v="512845000"/>
  </r>
  <r>
    <x v="4"/>
    <x v="17"/>
    <x v="17"/>
    <n v="0"/>
    <n v="0"/>
    <n v="0"/>
    <n v="0"/>
    <n v="0"/>
    <n v="0"/>
    <n v="0"/>
    <n v="0"/>
    <n v="0"/>
    <n v="0"/>
    <n v="0"/>
    <n v="0"/>
    <n v="0"/>
    <n v="0"/>
    <n v="0"/>
    <n v="0"/>
    <n v="0"/>
    <n v="541414"/>
    <n v="4361207"/>
    <n v="4361207"/>
    <n v="4361207"/>
    <n v="4361207"/>
    <n v="4361207"/>
    <n v="4361207"/>
    <n v="4361207"/>
    <n v="4361207"/>
    <n v="4361207"/>
    <n v="4361207"/>
    <n v="4361207"/>
    <n v="4361207"/>
    <n v="4361207"/>
    <n v="4361207"/>
    <n v="4361207"/>
    <n v="4361207"/>
    <n v="4361207"/>
    <n v="4361207"/>
    <n v="4361207"/>
    <n v="4361207"/>
    <n v="4361207"/>
    <n v="4361207"/>
    <n v="4361207"/>
    <n v="4361207"/>
    <n v="4361207"/>
    <n v="4361207"/>
    <n v="4361204"/>
    <n v="306775000"/>
    <n v="0"/>
    <n v="425069000"/>
  </r>
  <r>
    <x v="4"/>
    <x v="18"/>
    <x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4608468"/>
    <n v="4608468"/>
    <n v="4608468"/>
    <n v="4608468"/>
    <n v="4608468"/>
    <n v="4608468"/>
    <n v="4608468"/>
    <n v="4608468"/>
    <n v="4608468"/>
    <n v="4608468"/>
    <n v="4608468"/>
    <n v="4608468"/>
    <n v="4608468"/>
    <n v="4608468"/>
    <n v="4608468"/>
    <n v="4608468"/>
    <n v="4608468"/>
    <n v="4608468"/>
    <n v="4608468"/>
    <n v="4608468"/>
    <n v="4608468"/>
    <n v="4608468"/>
    <n v="4608468"/>
    <n v="4608468"/>
    <n v="4608476"/>
    <n v="378644000"/>
    <n v="0"/>
    <n v="493855709"/>
  </r>
  <r>
    <x v="4"/>
    <x v="19"/>
    <x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00000"/>
    <n v="1000000"/>
    <n v="1000000"/>
    <n v="1000000"/>
    <n v="84935000"/>
    <n v="1000000"/>
    <n v="1000000"/>
    <n v="1000000"/>
    <n v="1000000"/>
    <n v="1000000"/>
    <n v="1000000"/>
    <n v="1000000"/>
    <n v="1000000"/>
    <n v="1000000"/>
    <n v="1000000"/>
    <n v="1000000"/>
    <n v="1000000"/>
    <n v="1000000"/>
    <n v="1000000"/>
    <n v="1000000"/>
    <n v="1000000"/>
    <n v="1000000"/>
    <n v="1000000"/>
    <n v="1000000"/>
    <n v="25932500"/>
    <n v="319357500"/>
    <n v="0"/>
    <n v="453225000"/>
  </r>
  <r>
    <x v="4"/>
    <x v="20"/>
    <x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45246"/>
    <n v="1345249"/>
    <n v="3000000"/>
    <n v="16000000"/>
    <n v="1345249"/>
    <n v="1345249"/>
    <n v="21000000"/>
    <n v="1345249"/>
    <n v="1345249"/>
    <n v="14000000"/>
    <n v="1345249"/>
    <n v="1345249"/>
    <n v="1345249"/>
    <n v="1345249"/>
    <n v="3000000"/>
    <n v="17000000"/>
    <n v="1345249"/>
    <n v="1345249"/>
    <n v="21000000"/>
    <n v="1345249"/>
    <n v="1345249"/>
    <n v="15000000"/>
    <n v="1345249"/>
    <n v="1345249"/>
    <n v="1345269"/>
    <n v="417445000"/>
    <n v="0"/>
    <n v="550314250"/>
  </r>
  <r>
    <x v="0"/>
    <x v="21"/>
    <x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22"/>
    <x v="22"/>
    <n v="0"/>
    <n v="0"/>
    <n v="0"/>
    <n v="0"/>
    <n v="0"/>
    <n v="0"/>
    <n v="0"/>
    <n v="0"/>
    <n v="0"/>
    <n v="0"/>
    <n v="0"/>
    <n v="0"/>
    <n v="0"/>
    <n v="0"/>
    <n v="0"/>
    <n v="0"/>
    <n v="0"/>
    <n v="12992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99233"/>
  </r>
  <r>
    <x v="0"/>
    <x v="23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24"/>
    <x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25"/>
    <x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26"/>
    <x v="26"/>
    <n v="0"/>
    <n v="0"/>
    <n v="0"/>
    <n v="0"/>
    <n v="0"/>
    <n v="0"/>
    <n v="0"/>
    <n v="0"/>
    <n v="0"/>
    <n v="0"/>
    <n v="0"/>
    <n v="0"/>
    <n v="0"/>
    <n v="0"/>
    <n v="31001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00101"/>
  </r>
  <r>
    <x v="1"/>
    <x v="27"/>
    <x v="27"/>
    <n v="0"/>
    <n v="0"/>
    <n v="0"/>
    <n v="0"/>
    <n v="0"/>
    <n v="0"/>
    <n v="0"/>
    <n v="0"/>
    <n v="0"/>
    <n v="0"/>
    <n v="0"/>
    <n v="0"/>
    <n v="0"/>
    <n v="161653"/>
    <n v="0"/>
    <n v="0"/>
    <n v="0"/>
    <n v="0"/>
    <n v="0"/>
    <n v="14511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12781"/>
  </r>
  <r>
    <x v="1"/>
    <x v="28"/>
    <x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29"/>
    <x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"/>
    <x v="30"/>
    <x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932800"/>
    <n v="7466400"/>
    <n v="7466400"/>
    <n v="7466405"/>
    <n v="3229221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0254150"/>
  </r>
  <r>
    <x v="2"/>
    <x v="31"/>
    <x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0324"/>
    <n v="6839678"/>
    <n v="6839678"/>
    <n v="3353579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9197648"/>
  </r>
  <r>
    <x v="2"/>
    <x v="32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91569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9156941"/>
  </r>
  <r>
    <x v="3"/>
    <x v="33"/>
    <x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65574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6557412"/>
  </r>
  <r>
    <x v="3"/>
    <x v="34"/>
    <x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01230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0123042"/>
  </r>
  <r>
    <x v="3"/>
    <x v="35"/>
    <x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36"/>
    <x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203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2030000"/>
  </r>
  <r>
    <x v="3"/>
    <x v="37"/>
    <x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00000"/>
    <n v="1500000"/>
    <n v="9000000"/>
    <n v="1500000"/>
    <n v="1500000"/>
    <n v="14945773"/>
    <n v="3834779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3423713"/>
  </r>
  <r>
    <x v="4"/>
    <x v="38"/>
    <x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4325429"/>
    <n v="4325429"/>
    <n v="4325429"/>
    <n v="4325429"/>
    <n v="4325429"/>
    <n v="4325429"/>
    <n v="4325429"/>
    <n v="4325429"/>
    <n v="4325429"/>
    <n v="4325429"/>
    <n v="4325429"/>
    <n v="4325429"/>
    <n v="4325429"/>
    <n v="4325429"/>
    <n v="4325429"/>
    <n v="4325429"/>
    <n v="4325429"/>
    <n v="4325429"/>
    <n v="4325429"/>
    <n v="369235429"/>
    <n v="4325429"/>
    <n v="4325414"/>
    <n v="0"/>
    <n v="0"/>
    <n v="460069425"/>
  </r>
  <r>
    <x v="4"/>
    <x v="39"/>
    <x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45581"/>
    <n v="4045583"/>
    <n v="4045583"/>
    <n v="4045583"/>
    <n v="4045583"/>
    <n v="4045583"/>
    <n v="4045583"/>
    <n v="4045583"/>
    <n v="4045583"/>
    <n v="4045583"/>
    <n v="4045583"/>
    <n v="4045583"/>
    <n v="4045583"/>
    <n v="4045583"/>
    <n v="4045583"/>
    <n v="4045583"/>
    <n v="4045583"/>
    <n v="4045583"/>
    <n v="4045583"/>
    <n v="4045583"/>
    <n v="4045583"/>
    <n v="4045583"/>
    <n v="4045583"/>
    <n v="4045593"/>
    <n v="294857500"/>
    <n v="0"/>
    <n v="391951500"/>
  </r>
  <r>
    <x v="4"/>
    <x v="40"/>
    <x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672370"/>
    <n v="4672370"/>
    <n v="4672370"/>
    <n v="4672370"/>
    <n v="4672370"/>
    <n v="4672370"/>
    <n v="4672370"/>
    <n v="4672370"/>
    <n v="4672370"/>
    <n v="4672370"/>
    <n v="4672370"/>
    <n v="4672370"/>
    <n v="4672370"/>
    <n v="4672370"/>
    <n v="4672370"/>
    <n v="4672370"/>
    <n v="4672370"/>
    <n v="4672370"/>
    <n v="4672370"/>
    <n v="4672370"/>
    <n v="4672370"/>
    <n v="4672370"/>
    <n v="4672370"/>
    <n v="4672370"/>
    <n v="4672380"/>
    <n v="306026000"/>
    <n v="0"/>
    <n v="422835260"/>
  </r>
  <r>
    <x v="0"/>
    <x v="41"/>
    <x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42"/>
    <x v="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43"/>
    <x v="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44"/>
    <x v="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45"/>
    <x v="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132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13226"/>
  </r>
  <r>
    <x v="1"/>
    <x v="45"/>
    <x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46"/>
    <x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47"/>
    <x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48"/>
    <x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49"/>
    <x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"/>
    <x v="50"/>
    <x v="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25465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2546595"/>
  </r>
  <r>
    <x v="2"/>
    <x v="50"/>
    <x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743000"/>
    <n v="6743000"/>
    <n v="3169274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0413477"/>
  </r>
  <r>
    <x v="2"/>
    <x v="51"/>
    <x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592888"/>
    <n v="273784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6376888"/>
  </r>
  <r>
    <x v="3"/>
    <x v="52"/>
    <x v="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64265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6426573"/>
  </r>
  <r>
    <x v="3"/>
    <x v="53"/>
    <x v="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40624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4062443"/>
  </r>
  <r>
    <x v="3"/>
    <x v="54"/>
    <x v="56"/>
    <n v="0"/>
    <n v="0"/>
    <n v="0"/>
    <n v="0"/>
    <n v="0"/>
    <n v="0"/>
    <n v="0"/>
    <n v="0"/>
    <n v="0"/>
    <n v="0"/>
    <n v="0"/>
    <n v="0"/>
    <n v="0"/>
    <n v="0"/>
    <n v="0"/>
    <n v="0"/>
    <n v="0"/>
    <n v="536607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3660763"/>
  </r>
  <r>
    <x v="3"/>
    <x v="55"/>
    <x v="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46850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4685039"/>
  </r>
  <r>
    <x v="3"/>
    <x v="56"/>
    <x v="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000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0000000"/>
  </r>
  <r>
    <x v="3"/>
    <x v="57"/>
    <x v="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"/>
    <x v="58"/>
    <x v="60"/>
    <n v="0"/>
    <n v="0"/>
    <n v="0"/>
    <n v="0"/>
    <n v="0"/>
    <n v="0"/>
    <n v="0"/>
    <n v="0"/>
    <n v="0"/>
    <n v="0"/>
    <n v="0"/>
    <n v="0"/>
    <n v="0"/>
    <n v="0"/>
    <n v="0"/>
    <n v="0"/>
    <n v="0"/>
    <n v="424720"/>
    <n v="4613867"/>
    <n v="4613867"/>
    <n v="4613867"/>
    <n v="4613867"/>
    <n v="4613867"/>
    <n v="4613867"/>
    <n v="4613867"/>
    <n v="4613867"/>
    <n v="4613867"/>
    <n v="4613867"/>
    <n v="4613867"/>
    <n v="4613867"/>
    <n v="4613867"/>
    <n v="4613867"/>
    <n v="4613867"/>
    <n v="4613867"/>
    <n v="4613867"/>
    <n v="4613867"/>
    <n v="4613867"/>
    <n v="4613867"/>
    <n v="4613867"/>
    <n v="4613867"/>
    <n v="4613867"/>
    <n v="4613867"/>
    <n v="4613867"/>
    <n v="4613867"/>
    <n v="4613856"/>
    <n v="365260000"/>
    <n v="0"/>
    <n v="490259118"/>
  </r>
  <r>
    <x v="4"/>
    <x v="59"/>
    <x v="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19895"/>
    <n v="3919919"/>
    <n v="3919919"/>
    <n v="3919919"/>
    <n v="3919919"/>
    <n v="3919919"/>
    <n v="3919919"/>
    <n v="3919919"/>
    <n v="3919919"/>
    <n v="3919919"/>
    <n v="3919919"/>
    <n v="3919919"/>
    <n v="3919919"/>
    <n v="3919919"/>
    <n v="3919919"/>
    <n v="3919919"/>
    <n v="3919919"/>
    <n v="3919919"/>
    <n v="3919919"/>
    <n v="3919919"/>
    <n v="3919919"/>
    <n v="3919919"/>
    <n v="3919919"/>
    <n v="3919919"/>
    <n v="3919930"/>
    <n v="295207500"/>
    <n v="0"/>
    <n v="393205462"/>
  </r>
  <r>
    <x v="4"/>
    <x v="60"/>
    <x v="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878563"/>
    <n v="5878563"/>
    <n v="5878563"/>
    <n v="5878563"/>
    <n v="5878563"/>
    <n v="5878563"/>
    <n v="5878563"/>
    <n v="5878563"/>
    <n v="5878563"/>
    <n v="5878563"/>
    <n v="5878563"/>
    <n v="5878563"/>
    <n v="5878563"/>
    <n v="5878563"/>
    <n v="5878563"/>
    <n v="5878563"/>
    <n v="5878563"/>
    <n v="5878563"/>
    <n v="5878563"/>
    <n v="5878563"/>
    <n v="5878563"/>
    <n v="5878563"/>
    <n v="5878563"/>
    <n v="5878563"/>
    <n v="5878549"/>
    <n v="395732750"/>
    <n v="0"/>
    <n v="542696811"/>
  </r>
  <r>
    <x v="4"/>
    <x v="61"/>
    <x v="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44513"/>
    <n v="3957419"/>
    <n v="3957419"/>
    <n v="3957419"/>
    <n v="3957419"/>
    <n v="3957419"/>
    <n v="3957419"/>
    <n v="3957419"/>
    <n v="3957419"/>
    <n v="3957419"/>
    <n v="3957419"/>
    <n v="3957419"/>
    <n v="3957419"/>
    <n v="3957419"/>
    <n v="3957419"/>
    <n v="3957419"/>
    <n v="3957419"/>
    <n v="3957419"/>
    <n v="3957419"/>
    <n v="3957419"/>
    <n v="3957419"/>
    <n v="3957430"/>
    <n v="297920000"/>
    <n v="0"/>
    <n v="384770323"/>
  </r>
  <r>
    <x v="4"/>
    <x v="62"/>
    <x v="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70000"/>
    <n v="4370000"/>
    <n v="4370000"/>
    <n v="4370000"/>
    <n v="4370000"/>
    <n v="4370000"/>
    <n v="4370000"/>
    <n v="4370000"/>
    <n v="4370000"/>
    <n v="4370000"/>
    <n v="4370000"/>
    <n v="4370000"/>
    <n v="4370000"/>
    <n v="4370000"/>
    <n v="4370000"/>
    <n v="4370000"/>
    <n v="4370000"/>
    <n v="4370000"/>
    <n v="4370000"/>
    <n v="4370000"/>
    <n v="4370000"/>
    <n v="4370000"/>
    <n v="4370000"/>
    <n v="4370000"/>
    <n v="4370000"/>
    <n v="368550000"/>
    <n v="0"/>
    <n v="477800000"/>
  </r>
  <r>
    <x v="0"/>
    <x v="45"/>
    <x v="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63"/>
    <x v="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64"/>
    <x v="67"/>
    <n v="0"/>
    <n v="0"/>
    <n v="0"/>
    <n v="0"/>
    <n v="0"/>
    <n v="0"/>
    <n v="0"/>
    <n v="0"/>
    <n v="0"/>
    <n v="0"/>
    <n v="0"/>
    <n v="0"/>
    <n v="0"/>
    <n v="0"/>
    <n v="0"/>
    <n v="0"/>
    <n v="0"/>
    <n v="13424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42492"/>
  </r>
  <r>
    <x v="0"/>
    <x v="65"/>
    <x v="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66"/>
    <x v="69"/>
    <n v="0"/>
    <n v="0"/>
    <n v="0"/>
    <n v="0"/>
    <n v="0"/>
    <n v="0"/>
    <n v="0"/>
    <n v="0"/>
    <n v="0"/>
    <n v="0"/>
    <n v="0"/>
    <n v="0"/>
    <n v="0"/>
    <n v="0"/>
    <n v="1147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4713"/>
  </r>
  <r>
    <x v="1"/>
    <x v="67"/>
    <x v="7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68"/>
    <x v="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69"/>
    <x v="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70"/>
    <x v="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71"/>
    <x v="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000000"/>
    <n v="24000000"/>
    <n v="3178823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3882392"/>
  </r>
  <r>
    <x v="2"/>
    <x v="72"/>
    <x v="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788613"/>
    <n v="4788613"/>
    <n v="4788599"/>
    <n v="3221893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6555175"/>
  </r>
  <r>
    <x v="2"/>
    <x v="73"/>
    <x v="76"/>
    <n v="0"/>
    <n v="0"/>
    <n v="0"/>
    <n v="0"/>
    <n v="0"/>
    <n v="0"/>
    <n v="0"/>
    <n v="0"/>
    <n v="0"/>
    <n v="0"/>
    <n v="0"/>
    <n v="0"/>
    <n v="0"/>
    <n v="0"/>
    <n v="0"/>
    <n v="0"/>
    <n v="0"/>
    <n v="6390923"/>
    <n v="7376017"/>
    <n v="7376017"/>
    <n v="7376017"/>
    <n v="7376017"/>
    <n v="7376018"/>
    <n v="59008136"/>
    <n v="4720650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74344236"/>
  </r>
  <r>
    <x v="2"/>
    <x v="74"/>
    <x v="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158"/>
    <n v="4026079"/>
    <n v="4026072"/>
    <n v="3193414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7445709"/>
  </r>
  <r>
    <x v="2"/>
    <x v="75"/>
    <x v="78"/>
    <n v="0"/>
    <n v="0"/>
    <n v="0"/>
    <n v="0"/>
    <n v="0"/>
    <n v="0"/>
    <n v="0"/>
    <n v="0"/>
    <n v="0"/>
    <n v="0"/>
    <n v="0"/>
    <n v="0"/>
    <n v="0"/>
    <n v="0"/>
    <n v="0"/>
    <n v="0"/>
    <n v="1447186"/>
    <n v="5235681"/>
    <n v="5235681"/>
    <n v="5235681"/>
    <n v="5235681"/>
    <n v="5235674"/>
    <n v="3283066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5932242"/>
  </r>
  <r>
    <x v="3"/>
    <x v="76"/>
    <x v="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8853"/>
    <n v="0"/>
    <n v="0"/>
    <n v="4000000"/>
    <n v="87000000"/>
    <n v="6740974"/>
    <n v="4000000"/>
    <n v="4000000"/>
    <n v="3504955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6355363"/>
  </r>
  <r>
    <x v="3"/>
    <x v="77"/>
    <x v="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02194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0219461"/>
  </r>
  <r>
    <x v="3"/>
    <x v="78"/>
    <x v="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79"/>
    <x v="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1368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136815"/>
  </r>
  <r>
    <x v="3"/>
    <x v="80"/>
    <x v="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81"/>
    <x v="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</r>
  <r>
    <x v="4"/>
    <x v="82"/>
    <x v="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138516"/>
    <n v="5138516"/>
    <n v="5138516"/>
    <n v="5138516"/>
    <n v="5138516"/>
    <n v="5138516"/>
    <n v="5138516"/>
    <n v="5138516"/>
    <n v="5138516"/>
    <n v="5138516"/>
    <n v="5138516"/>
    <n v="5138516"/>
    <n v="5138516"/>
    <n v="5138516"/>
    <n v="5138516"/>
    <n v="5138516"/>
    <n v="5138516"/>
    <n v="5138516"/>
    <n v="5138516"/>
    <n v="5138516"/>
    <n v="5138516"/>
    <n v="5138516"/>
    <n v="5138516"/>
    <n v="5138504"/>
    <n v="395342500"/>
    <n v="0"/>
    <n v="518666872"/>
  </r>
  <r>
    <x v="4"/>
    <x v="83"/>
    <x v="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78571"/>
    <n v="3178571"/>
    <n v="3178571"/>
    <n v="3178571"/>
    <n v="3178571"/>
    <n v="3178571"/>
    <n v="3178571"/>
    <n v="3178571"/>
    <n v="3178571"/>
    <n v="3178571"/>
    <n v="3178571"/>
    <n v="3178571"/>
    <n v="3178571"/>
    <n v="3178571"/>
    <n v="3178571"/>
    <n v="3178571"/>
    <n v="3178571"/>
    <n v="3178571"/>
    <n v="3178571"/>
    <n v="3178571"/>
    <n v="3178571"/>
    <n v="3178571"/>
    <n v="3178571"/>
    <n v="3178586"/>
    <n v="271250000"/>
    <n v="0"/>
    <n v="347535719"/>
  </r>
  <r>
    <x v="4"/>
    <x v="84"/>
    <x v="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52000"/>
    <n v="4263000"/>
    <n v="4263000"/>
    <n v="4263000"/>
    <n v="4263000"/>
    <n v="4263000"/>
    <n v="4263000"/>
    <n v="4263000"/>
    <n v="4263000"/>
    <n v="4263000"/>
    <n v="4263000"/>
    <n v="4263000"/>
    <n v="4263000"/>
    <n v="4263000"/>
    <n v="4263000"/>
    <n v="4263000"/>
    <n v="4263000"/>
    <n v="4263000"/>
    <n v="4263000"/>
    <n v="4263000"/>
    <n v="4263000"/>
    <n v="4263000"/>
    <n v="4263000"/>
    <n v="4263000"/>
    <n v="4256000"/>
    <n v="352862000"/>
    <n v="0"/>
    <n v="459419000"/>
  </r>
  <r>
    <x v="4"/>
    <x v="85"/>
    <x v="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07713"/>
    <n v="3207714"/>
    <n v="3207714"/>
    <n v="3207714"/>
    <n v="3207714"/>
    <n v="3207714"/>
    <n v="3207714"/>
    <n v="3207714"/>
    <n v="3207714"/>
    <n v="3207714"/>
    <n v="3207714"/>
    <n v="3207714"/>
    <n v="3207714"/>
    <n v="3207714"/>
    <n v="3207714"/>
    <n v="3207714"/>
    <n v="3207714"/>
    <n v="3207714"/>
    <n v="3207714"/>
    <n v="3207714"/>
    <n v="3207714"/>
    <n v="3207714"/>
    <n v="3207714"/>
    <n v="3207714"/>
    <n v="3207724"/>
    <n v="273630000"/>
    <n v="0"/>
    <n v="353822859"/>
  </r>
  <r>
    <x v="4"/>
    <x v="86"/>
    <x v="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00000"/>
    <n v="4000000"/>
    <n v="4000000"/>
    <n v="4000000"/>
    <n v="4000000"/>
    <n v="4000000"/>
    <n v="4000000"/>
    <n v="5000000"/>
    <n v="5000000"/>
    <n v="5000000"/>
    <n v="5000000"/>
    <n v="5000000"/>
    <n v="5000000"/>
    <n v="5000000"/>
    <n v="5000000"/>
    <n v="5000000"/>
    <n v="6000000"/>
    <n v="6000000"/>
    <n v="6000000"/>
    <n v="6000000"/>
    <n v="6000000"/>
    <n v="6000000"/>
    <n v="6000000"/>
    <n v="6000000"/>
    <n v="828812"/>
    <n v="368978750"/>
    <n v="0"/>
    <n v="490807562"/>
  </r>
  <r>
    <x v="0"/>
    <x v="87"/>
    <x v="9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88"/>
    <x v="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89"/>
    <x v="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45"/>
    <x v="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90"/>
    <x v="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91"/>
    <x v="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92"/>
    <x v="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93"/>
    <x v="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94"/>
    <x v="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95"/>
    <x v="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"/>
    <x v="96"/>
    <x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31849"/>
    <n v="3110217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2953574"/>
  </r>
  <r>
    <x v="2"/>
    <x v="97"/>
    <x v="1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729586"/>
    <n v="6729793"/>
    <n v="6729793"/>
    <n v="6729793"/>
    <n v="67297929"/>
    <n v="4845450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78761985"/>
  </r>
  <r>
    <x v="2"/>
    <x v="98"/>
    <x v="1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93612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9361279"/>
  </r>
  <r>
    <x v="3"/>
    <x v="99"/>
    <x v="1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97117"/>
    <n v="5297117"/>
    <n v="5297119"/>
    <n v="332703391"/>
    <n v="0"/>
    <n v="0"/>
    <n v="0"/>
    <n v="0"/>
    <n v="0"/>
    <n v="0"/>
    <n v="0"/>
    <n v="0"/>
    <n v="0"/>
    <n v="0"/>
    <n v="0"/>
    <n v="0"/>
    <n v="0"/>
    <n v="0"/>
    <n v="0"/>
    <n v="0"/>
    <n v="0"/>
    <n v="348594744"/>
  </r>
  <r>
    <x v="3"/>
    <x v="100"/>
    <x v="1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101"/>
    <x v="1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35767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3576772"/>
  </r>
  <r>
    <x v="3"/>
    <x v="102"/>
    <x v="1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103"/>
    <x v="1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1525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1525500"/>
  </r>
  <r>
    <x v="3"/>
    <x v="104"/>
    <x v="1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71562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7156200"/>
  </r>
  <r>
    <x v="4"/>
    <x v="105"/>
    <x v="1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00000"/>
    <n v="5000000"/>
    <n v="2000000"/>
    <n v="2000000"/>
    <n v="9500000"/>
    <n v="2500000"/>
    <n v="2500000"/>
    <n v="6500000"/>
    <n v="2500000"/>
    <n v="2500000"/>
    <n v="6500000"/>
    <n v="2500000"/>
    <n v="2500000"/>
    <n v="6500000"/>
    <n v="2500000"/>
    <n v="2500000"/>
    <n v="9500000"/>
    <n v="2500000"/>
    <n v="2500000"/>
    <n v="6500000"/>
    <n v="2500000"/>
    <n v="2500000"/>
    <n v="6500000"/>
    <n v="2500000"/>
    <n v="2500000"/>
    <n v="256105000"/>
    <n v="0"/>
    <n v="353605000"/>
  </r>
  <r>
    <x v="4"/>
    <x v="106"/>
    <x v="1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000"/>
    <n v="3000000"/>
    <n v="10000000"/>
    <n v="3000000"/>
    <n v="3000000"/>
    <n v="3000000"/>
    <n v="3000000"/>
    <n v="3000000"/>
    <n v="7300000"/>
    <n v="3300000"/>
    <n v="3300000"/>
    <n v="3300000"/>
    <n v="3300000"/>
    <n v="3300000"/>
    <n v="10300000"/>
    <n v="3300000"/>
    <n v="3300000"/>
    <n v="3300000"/>
    <n v="3300000"/>
    <n v="3300000"/>
    <n v="7300000"/>
    <n v="3300000"/>
    <n v="3300000"/>
    <n v="1868000"/>
    <n v="353192000"/>
    <n v="0"/>
    <n v="450560000"/>
  </r>
  <r>
    <x v="4"/>
    <x v="107"/>
    <x v="1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12000"/>
    <n v="3212000"/>
    <n v="3212000"/>
    <n v="3212000"/>
    <n v="3212000"/>
    <n v="3212000"/>
    <n v="3212000"/>
    <n v="3212000"/>
    <n v="3212000"/>
    <n v="3212000"/>
    <n v="3212000"/>
    <n v="3212000"/>
    <n v="3212000"/>
    <n v="3212000"/>
    <n v="3212000"/>
    <n v="3212000"/>
    <n v="3212000"/>
    <n v="3212000"/>
    <n v="3212000"/>
    <n v="3212000"/>
    <n v="3212000"/>
    <n v="3212000"/>
    <n v="3212000"/>
    <n v="3212000"/>
    <n v="3212000"/>
    <n v="273980000"/>
    <n v="0"/>
    <n v="354280000"/>
  </r>
  <r>
    <x v="4"/>
    <x v="108"/>
    <x v="1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517807"/>
    <n v="5522833"/>
    <n v="5522833"/>
    <n v="5522833"/>
    <n v="5522833"/>
    <n v="5522833"/>
    <n v="5522833"/>
    <n v="5522833"/>
    <n v="5522833"/>
    <n v="5522833"/>
    <n v="5522833"/>
    <n v="5522833"/>
    <n v="5522833"/>
    <n v="5522833"/>
    <n v="5522833"/>
    <n v="5522833"/>
    <n v="5522833"/>
    <n v="5522833"/>
    <n v="5522833"/>
    <n v="5522833"/>
    <n v="5522833"/>
    <n v="5522833"/>
    <n v="5522833"/>
    <n v="5522833"/>
    <n v="5522843"/>
    <n v="398265000"/>
    <n v="0"/>
    <n v="536330809"/>
  </r>
  <r>
    <x v="0"/>
    <x v="109"/>
    <x v="1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110"/>
    <x v="1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111"/>
    <x v="1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112"/>
    <x v="1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113"/>
    <x v="1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114"/>
    <x v="1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115"/>
    <x v="1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116"/>
    <x v="1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117"/>
    <x v="121"/>
    <n v="0"/>
    <n v="0"/>
    <n v="0"/>
    <n v="0"/>
    <n v="0"/>
    <n v="0"/>
    <n v="0"/>
    <n v="0"/>
    <n v="0"/>
    <n v="0"/>
    <n v="0"/>
    <n v="0"/>
    <n v="0"/>
    <n v="0"/>
    <n v="0"/>
    <n v="0"/>
    <n v="0"/>
    <n v="11910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91026"/>
  </r>
  <r>
    <x v="2"/>
    <x v="118"/>
    <x v="1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91352"/>
    <n v="4385436"/>
    <n v="4385436"/>
    <n v="4385436"/>
    <n v="4385436"/>
    <n v="4385436"/>
    <n v="4385428"/>
    <n v="3180594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5763434"/>
  </r>
  <r>
    <x v="2"/>
    <x v="119"/>
    <x v="1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894420"/>
    <n v="5958884"/>
    <n v="5958884"/>
    <n v="5958884"/>
    <n v="5958883"/>
    <n v="5422584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70988355"/>
  </r>
  <r>
    <x v="2"/>
    <x v="120"/>
    <x v="1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73601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7360141"/>
  </r>
  <r>
    <x v="3"/>
    <x v="121"/>
    <x v="1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831809"/>
    <n v="5831809"/>
    <n v="5831809"/>
    <n v="5831809"/>
    <n v="5831809"/>
    <n v="5831809"/>
    <n v="5831809"/>
    <n v="5831809"/>
    <n v="5831817"/>
    <n v="524864599"/>
    <n v="0"/>
    <n v="0"/>
    <n v="0"/>
    <n v="0"/>
    <n v="0"/>
    <n v="0"/>
    <n v="0"/>
    <n v="0"/>
    <n v="0"/>
    <n v="0"/>
    <n v="0"/>
    <n v="0"/>
    <n v="0"/>
    <n v="0"/>
    <n v="0"/>
    <n v="0"/>
    <n v="0"/>
    <n v="577350888"/>
  </r>
  <r>
    <x v="3"/>
    <x v="122"/>
    <x v="1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02156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0215625"/>
  </r>
  <r>
    <x v="3"/>
    <x v="123"/>
    <x v="127"/>
    <n v="0"/>
    <n v="0"/>
    <n v="0"/>
    <n v="0"/>
    <n v="0"/>
    <n v="0"/>
    <n v="0"/>
    <n v="0"/>
    <n v="0"/>
    <n v="0"/>
    <n v="0"/>
    <n v="0"/>
    <n v="0"/>
    <n v="0"/>
    <n v="0"/>
    <n v="0"/>
    <n v="0"/>
    <n v="2800962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0096250"/>
  </r>
  <r>
    <x v="3"/>
    <x v="124"/>
    <x v="1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99343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9934308"/>
  </r>
  <r>
    <x v="3"/>
    <x v="125"/>
    <x v="129"/>
    <n v="0"/>
    <n v="0"/>
    <n v="0"/>
    <n v="0"/>
    <n v="0"/>
    <n v="0"/>
    <n v="0"/>
    <n v="0"/>
    <n v="0"/>
    <n v="0"/>
    <n v="0"/>
    <n v="0"/>
    <n v="0"/>
    <n v="0"/>
    <n v="0"/>
    <n v="0"/>
    <n v="0"/>
    <n v="2387358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8735866"/>
  </r>
  <r>
    <x v="4"/>
    <x v="126"/>
    <x v="1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19496"/>
    <n v="3272857"/>
    <n v="3272857"/>
    <n v="3272857"/>
    <n v="3272857"/>
    <n v="3272857"/>
    <n v="3272857"/>
    <n v="3272857"/>
    <n v="3272857"/>
    <n v="3272857"/>
    <n v="3272857"/>
    <n v="3272857"/>
    <n v="3272857"/>
    <n v="3272857"/>
    <n v="3272857"/>
    <n v="3272857"/>
    <n v="3272857"/>
    <n v="3272857"/>
    <n v="3272857"/>
    <n v="3272857"/>
    <n v="3272857"/>
    <n v="3272857"/>
    <n v="3272857"/>
    <n v="3272857"/>
    <n v="3272857"/>
    <n v="3272862"/>
    <n v="271950000"/>
    <n v="356990926"/>
  </r>
  <r>
    <x v="4"/>
    <x v="127"/>
    <x v="1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649790"/>
    <n v="5649965"/>
    <n v="5649965"/>
    <n v="5649965"/>
    <n v="5649965"/>
    <n v="5649965"/>
    <n v="5649965"/>
    <n v="5649965"/>
    <n v="5649965"/>
    <n v="5649965"/>
    <n v="5649965"/>
    <n v="5649965"/>
    <n v="5649965"/>
    <n v="5649965"/>
    <n v="5649965"/>
    <n v="5649965"/>
    <n v="5649965"/>
    <n v="5649965"/>
    <n v="5649965"/>
    <n v="5649965"/>
    <n v="5649965"/>
    <n v="5649965"/>
    <n v="5649965"/>
    <n v="5649980"/>
    <n v="393981000"/>
    <n v="0"/>
    <n v="529580000"/>
  </r>
  <r>
    <x v="4"/>
    <x v="128"/>
    <x v="1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71935"/>
    <n v="3971935"/>
    <n v="3971935"/>
    <n v="3971935"/>
    <n v="3971935"/>
    <n v="3971935"/>
    <n v="3971935"/>
    <n v="3971935"/>
    <n v="3971935"/>
    <n v="3971935"/>
    <n v="3971935"/>
    <n v="3971935"/>
    <n v="3971935"/>
    <n v="3971935"/>
    <n v="3971935"/>
    <n v="3971935"/>
    <n v="3971935"/>
    <n v="3971935"/>
    <n v="3971935"/>
    <n v="3971935"/>
    <n v="3971935"/>
    <n v="3971935"/>
    <n v="3971935"/>
    <n v="3971935"/>
    <n v="3971950"/>
    <n v="298970000"/>
    <n v="0"/>
    <n v="398268390"/>
  </r>
  <r>
    <x v="4"/>
    <x v="129"/>
    <x v="1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40000"/>
    <n v="4340000"/>
    <n v="4340000"/>
    <n v="4340000"/>
    <n v="4340000"/>
    <n v="4340000"/>
    <n v="4340000"/>
    <n v="4340000"/>
    <n v="4340000"/>
    <n v="4340000"/>
    <n v="4340000"/>
    <n v="4340000"/>
    <n v="4340000"/>
    <n v="4340000"/>
    <n v="4340000"/>
    <n v="4340000"/>
    <n v="4340000"/>
    <n v="4340000"/>
    <n v="4340000"/>
    <n v="4340000"/>
    <n v="4340000"/>
    <n v="4340000"/>
    <n v="4340000"/>
    <n v="4340000"/>
    <n v="366100000"/>
    <n v="0"/>
    <n v="470260000"/>
  </r>
  <r>
    <x v="0"/>
    <x v="130"/>
    <x v="1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81"/>
    <x v="1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131"/>
    <x v="1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132"/>
    <x v="1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26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26997"/>
  </r>
  <r>
    <x v="1"/>
    <x v="45"/>
    <x v="138"/>
    <n v="0"/>
    <n v="0"/>
    <n v="0"/>
    <n v="0"/>
    <n v="0"/>
    <n v="0"/>
    <n v="0"/>
    <n v="0"/>
    <n v="0"/>
    <n v="0"/>
    <n v="0"/>
    <n v="0"/>
    <n v="0"/>
    <n v="0"/>
    <n v="29953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95326"/>
  </r>
  <r>
    <x v="1"/>
    <x v="133"/>
    <x v="1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134"/>
    <x v="1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135"/>
    <x v="1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136"/>
    <x v="1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137"/>
    <x v="143"/>
    <n v="0"/>
    <n v="0"/>
    <n v="0"/>
    <n v="0"/>
    <n v="0"/>
    <n v="0"/>
    <n v="0"/>
    <n v="0"/>
    <n v="0"/>
    <n v="0"/>
    <n v="0"/>
    <n v="0"/>
    <n v="0"/>
    <n v="0"/>
    <n v="883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8396"/>
  </r>
  <r>
    <x v="2"/>
    <x v="138"/>
    <x v="1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15969"/>
    <n v="5015969"/>
    <n v="5015956"/>
    <n v="3253393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0387244"/>
  </r>
  <r>
    <x v="2"/>
    <x v="139"/>
    <x v="1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42370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4237088"/>
  </r>
  <r>
    <x v="2"/>
    <x v="140"/>
    <x v="1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90560"/>
    <n v="4590560"/>
    <n v="277116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6297120"/>
  </r>
  <r>
    <x v="3"/>
    <x v="141"/>
    <x v="1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57772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5777241"/>
  </r>
  <r>
    <x v="3"/>
    <x v="142"/>
    <x v="1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36624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3662446"/>
  </r>
  <r>
    <x v="3"/>
    <x v="143"/>
    <x v="149"/>
    <n v="0"/>
    <n v="0"/>
    <n v="0"/>
    <n v="0"/>
    <n v="0"/>
    <n v="0"/>
    <n v="0"/>
    <n v="0"/>
    <n v="0"/>
    <n v="0"/>
    <n v="0"/>
    <n v="0"/>
    <n v="0"/>
    <n v="0"/>
    <n v="0"/>
    <n v="0"/>
    <n v="0"/>
    <n v="2230013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3001339"/>
  </r>
  <r>
    <x v="3"/>
    <x v="144"/>
    <x v="1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145"/>
    <x v="151"/>
    <n v="0"/>
    <n v="0"/>
    <n v="0"/>
    <n v="0"/>
    <n v="0"/>
    <n v="0"/>
    <n v="0"/>
    <n v="0"/>
    <n v="0"/>
    <n v="0"/>
    <n v="0"/>
    <n v="0"/>
    <n v="0"/>
    <n v="0"/>
    <n v="0"/>
    <n v="0"/>
    <n v="0"/>
    <n v="2430205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3020571"/>
  </r>
  <r>
    <x v="3"/>
    <x v="146"/>
    <x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33028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3302827"/>
  </r>
  <r>
    <x v="4"/>
    <x v="147"/>
    <x v="153"/>
    <n v="0"/>
    <n v="0"/>
    <n v="0"/>
    <n v="0"/>
    <n v="0"/>
    <n v="0"/>
    <n v="0"/>
    <n v="0"/>
    <n v="0"/>
    <n v="0"/>
    <n v="0"/>
    <n v="0"/>
    <n v="0"/>
    <n v="0"/>
    <n v="0"/>
    <n v="0"/>
    <n v="0"/>
    <n v="1449578"/>
    <n v="4000000"/>
    <n v="4000000"/>
    <n v="4000000"/>
    <n v="4000000"/>
    <n v="4000000"/>
    <n v="4000000"/>
    <n v="15000000"/>
    <n v="4000000"/>
    <n v="4000000"/>
    <n v="4000000"/>
    <n v="4000000"/>
    <n v="4000000"/>
    <n v="15000000"/>
    <n v="4000000"/>
    <n v="4000000"/>
    <n v="4000000"/>
    <n v="4000000"/>
    <n v="15000000"/>
    <n v="4000000"/>
    <n v="4000000"/>
    <n v="4000000"/>
    <n v="4000000"/>
    <n v="4000000"/>
    <n v="15000000"/>
    <n v="4000000"/>
    <n v="4000000"/>
    <n v="8894327"/>
    <n v="368060000"/>
    <n v="0"/>
    <n v="526403905"/>
  </r>
  <r>
    <x v="4"/>
    <x v="148"/>
    <x v="1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00000"/>
    <n v="2000000"/>
    <n v="2000000"/>
    <n v="20000000"/>
    <n v="2000000"/>
    <n v="2000000"/>
    <n v="2000000"/>
    <n v="2000000"/>
    <n v="2000000"/>
    <n v="2000000"/>
    <n v="2000000"/>
    <n v="2000000"/>
    <n v="2000000"/>
    <n v="2000000"/>
    <n v="27000000"/>
    <n v="2500000"/>
    <n v="2500000"/>
    <n v="2500000"/>
    <n v="2500000"/>
    <n v="2500000"/>
    <n v="2500000"/>
    <n v="2500000"/>
    <n v="2500000"/>
    <n v="2681917"/>
    <n v="15000000"/>
    <n v="294490000"/>
    <n v="0"/>
    <n v="405171917"/>
  </r>
  <r>
    <x v="4"/>
    <x v="149"/>
    <x v="1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76938"/>
    <n v="5212823"/>
    <n v="5212823"/>
    <n v="5212823"/>
    <n v="5212823"/>
    <n v="5212823"/>
    <n v="5212823"/>
    <n v="5212823"/>
    <n v="5212823"/>
    <n v="5212823"/>
    <n v="5212823"/>
    <n v="5212823"/>
    <n v="5212823"/>
    <n v="5212823"/>
    <n v="5212823"/>
    <n v="5212823"/>
    <n v="5212823"/>
    <n v="5212823"/>
    <n v="5212823"/>
    <n v="5212823"/>
    <n v="5212823"/>
    <n v="5212823"/>
    <n v="5212823"/>
    <n v="5212810"/>
    <n v="388727500"/>
    <n v="0"/>
    <n v="513199354"/>
  </r>
  <r>
    <x v="4"/>
    <x v="150"/>
    <x v="1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76774"/>
    <n v="3976774"/>
    <n v="3976774"/>
    <n v="3976774"/>
    <n v="3976774"/>
    <n v="3976774"/>
    <n v="3976774"/>
    <n v="3976774"/>
    <n v="3976774"/>
    <n v="3976774"/>
    <n v="3976774"/>
    <n v="3976774"/>
    <n v="3976774"/>
    <n v="3976774"/>
    <n v="3976774"/>
    <n v="3976774"/>
    <n v="3976774"/>
    <n v="3976774"/>
    <n v="3976774"/>
    <n v="3976774"/>
    <n v="3976774"/>
    <n v="3976774"/>
    <n v="3976774"/>
    <n v="3976780"/>
    <n v="299320000"/>
    <n v="0"/>
    <n v="394762582"/>
  </r>
  <r>
    <x v="4"/>
    <x v="151"/>
    <x v="1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646440"/>
    <n v="4663144"/>
    <n v="4663144"/>
    <n v="4663144"/>
    <n v="4663144"/>
    <n v="4663144"/>
    <n v="4663144"/>
    <n v="4663144"/>
    <n v="4663144"/>
    <n v="4663144"/>
    <n v="4663144"/>
    <n v="4663144"/>
    <n v="4663144"/>
    <n v="4663144"/>
    <n v="4663144"/>
    <n v="4663144"/>
    <n v="4663144"/>
    <n v="4663144"/>
    <n v="4663144"/>
    <n v="4663144"/>
    <n v="4663144"/>
    <n v="4663144"/>
    <n v="4663144"/>
    <n v="4663142"/>
    <n v="370728750"/>
    <n v="0"/>
    <n v="0"/>
    <n v="482627500"/>
  </r>
  <r>
    <x v="0"/>
    <x v="152"/>
    <x v="1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153"/>
    <x v="1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154"/>
    <x v="1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155"/>
    <x v="1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156"/>
    <x v="162"/>
    <n v="0"/>
    <n v="0"/>
    <n v="0"/>
    <n v="0"/>
    <n v="0"/>
    <n v="0"/>
    <n v="0"/>
    <n v="0"/>
    <n v="0"/>
    <n v="0"/>
    <n v="0"/>
    <n v="0"/>
    <n v="0"/>
    <n v="0"/>
    <n v="871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7187"/>
  </r>
  <r>
    <x v="1"/>
    <x v="157"/>
    <x v="1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158"/>
    <x v="1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17802"/>
    <n v="2795650"/>
    <n v="2764636"/>
    <n v="2740712"/>
    <n v="2713242"/>
    <n v="26831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515168"/>
  </r>
  <r>
    <x v="1"/>
    <x v="117"/>
    <x v="165"/>
    <n v="0"/>
    <n v="0"/>
    <n v="0"/>
    <n v="0"/>
    <n v="0"/>
    <n v="0"/>
    <n v="0"/>
    <n v="0"/>
    <n v="0"/>
    <n v="0"/>
    <n v="0"/>
    <n v="0"/>
    <n v="0"/>
    <n v="0"/>
    <n v="0"/>
    <n v="0"/>
    <n v="0"/>
    <n v="12924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92417"/>
  </r>
  <r>
    <x v="1"/>
    <x v="159"/>
    <x v="166"/>
    <n v="0"/>
    <n v="0"/>
    <n v="0"/>
    <n v="0"/>
    <n v="0"/>
    <n v="0"/>
    <n v="0"/>
    <n v="0"/>
    <n v="0"/>
    <n v="0"/>
    <n v="0"/>
    <n v="0"/>
    <n v="0"/>
    <n v="0"/>
    <n v="812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1256"/>
  </r>
  <r>
    <x v="1"/>
    <x v="160"/>
    <x v="1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"/>
    <x v="161"/>
    <x v="1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81850"/>
    <n v="5500000"/>
    <n v="5500000"/>
    <n v="5500000"/>
    <n v="5500000"/>
    <n v="5500000"/>
    <n v="12640546"/>
    <n v="3189207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4343096"/>
  </r>
  <r>
    <x v="2"/>
    <x v="162"/>
    <x v="1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019971"/>
    <n v="6019976"/>
    <n v="3771982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9238227"/>
  </r>
  <r>
    <x v="2"/>
    <x v="163"/>
    <x v="17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15575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1557581"/>
  </r>
  <r>
    <x v="3"/>
    <x v="164"/>
    <x v="1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33672"/>
    <n v="4558418"/>
    <n v="4558418"/>
    <n v="4558418"/>
    <n v="4558418"/>
    <n v="4558418"/>
    <n v="4558418"/>
    <n v="4512834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81667595"/>
  </r>
  <r>
    <x v="3"/>
    <x v="165"/>
    <x v="1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166"/>
    <x v="1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167"/>
    <x v="1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168"/>
    <x v="1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954438"/>
    <n v="5125876"/>
    <n v="5125872"/>
    <n v="3030490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8255226"/>
  </r>
  <r>
    <x v="3"/>
    <x v="169"/>
    <x v="1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200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2000000"/>
  </r>
  <r>
    <x v="4"/>
    <x v="170"/>
    <x v="1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052895"/>
    <n v="6052913"/>
    <n v="6052913"/>
    <n v="6052913"/>
    <n v="6052913"/>
    <n v="6052913"/>
    <n v="6052913"/>
    <n v="6052913"/>
    <n v="6052913"/>
    <n v="6052913"/>
    <n v="6052913"/>
    <n v="6052913"/>
    <n v="6052913"/>
    <n v="6052913"/>
    <n v="6052913"/>
    <n v="6052913"/>
    <n v="6052913"/>
    <n v="6052913"/>
    <n v="6052913"/>
    <n v="6052913"/>
    <n v="6052913"/>
    <n v="6052913"/>
    <n v="6052913"/>
    <n v="6052913"/>
    <n v="6052932"/>
    <n v="407279250"/>
    <n v="0"/>
    <n v="558602076"/>
  </r>
  <r>
    <x v="4"/>
    <x v="171"/>
    <x v="1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59191"/>
    <n v="3359191"/>
    <n v="3359191"/>
    <n v="3359191"/>
    <n v="3359191"/>
    <n v="3359191"/>
    <n v="3359191"/>
    <n v="3359191"/>
    <n v="3359191"/>
    <n v="3359191"/>
    <n v="3359191"/>
    <n v="3359191"/>
    <n v="3359191"/>
    <n v="3359191"/>
    <n v="3359191"/>
    <n v="3359191"/>
    <n v="3359191"/>
    <n v="3359191"/>
    <n v="3359191"/>
    <n v="3359191"/>
    <n v="3359191"/>
    <n v="3359191"/>
    <n v="3359191"/>
    <n v="3359197"/>
    <n v="278162500"/>
    <n v="0"/>
    <n v="358783090"/>
  </r>
  <r>
    <x v="4"/>
    <x v="172"/>
    <x v="1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40000"/>
    <n v="15000000"/>
    <n v="4170000"/>
    <n v="4170000"/>
    <n v="4170000"/>
    <n v="4170000"/>
    <n v="4170000"/>
    <n v="15000000"/>
    <n v="4170000"/>
    <n v="4170000"/>
    <n v="4170000"/>
    <n v="4170000"/>
    <n v="4170000"/>
    <n v="15000000"/>
    <n v="4170000"/>
    <n v="4170000"/>
    <n v="4170000"/>
    <n v="4170000"/>
    <n v="4170000"/>
    <n v="15000000"/>
    <n v="4170000"/>
    <n v="4170000"/>
    <n v="4139750"/>
    <n v="396782750"/>
    <n v="0"/>
    <n v="535852500"/>
  </r>
  <r>
    <x v="4"/>
    <x v="173"/>
    <x v="1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4318690"/>
    <n v="4318690"/>
    <n v="4318690"/>
    <n v="4318690"/>
    <n v="4318690"/>
    <n v="4318690"/>
    <n v="4318690"/>
    <n v="4318690"/>
    <n v="4318690"/>
    <n v="4318690"/>
    <n v="4318690"/>
    <n v="4318690"/>
    <n v="4318690"/>
    <n v="4318690"/>
    <n v="4318690"/>
    <n v="4318690"/>
    <n v="4318690"/>
    <n v="4318690"/>
    <n v="4318690"/>
    <n v="4318690"/>
    <n v="4318690"/>
    <n v="4318690"/>
    <n v="4318690"/>
    <n v="4318690"/>
    <n v="4318690"/>
    <n v="4318680"/>
    <n v="303898000"/>
    <n v="0"/>
    <n v="416183931"/>
  </r>
  <r>
    <x v="4"/>
    <x v="174"/>
    <x v="1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00000"/>
    <n v="4000000"/>
    <n v="17000000"/>
    <n v="4000000"/>
    <n v="4000000"/>
    <n v="12000000"/>
    <n v="4000000"/>
    <n v="4000000"/>
    <n v="12000000"/>
    <n v="4000000"/>
    <n v="4000000"/>
    <n v="4000000"/>
    <n v="4000000"/>
    <n v="10000000"/>
    <n v="4000000"/>
    <n v="4000000"/>
    <n v="12000000"/>
    <n v="4000000"/>
    <n v="4000000"/>
    <n v="12000000"/>
    <n v="4000000"/>
    <n v="4000000"/>
    <n v="4000000"/>
    <n v="4000000"/>
    <n v="17569110"/>
    <n v="410837000"/>
    <n v="575406110"/>
  </r>
  <r>
    <x v="0"/>
    <x v="175"/>
    <x v="1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176"/>
    <x v="1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177"/>
    <x v="1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45"/>
    <x v="1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634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63450"/>
  </r>
  <r>
    <x v="1"/>
    <x v="178"/>
    <x v="1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179"/>
    <x v="187"/>
    <n v="0"/>
    <n v="0"/>
    <n v="0"/>
    <n v="0"/>
    <n v="0"/>
    <n v="0"/>
    <n v="0"/>
    <n v="0"/>
    <n v="0"/>
    <n v="0"/>
    <n v="0"/>
    <n v="0"/>
    <n v="0"/>
    <n v="870400"/>
    <n v="618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32200"/>
  </r>
  <r>
    <x v="1"/>
    <x v="180"/>
    <x v="1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181"/>
    <x v="1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251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25180"/>
  </r>
  <r>
    <x v="1"/>
    <x v="182"/>
    <x v="190"/>
    <n v="0"/>
    <n v="0"/>
    <n v="0"/>
    <n v="0"/>
    <n v="0"/>
    <n v="0"/>
    <n v="0"/>
    <n v="0"/>
    <n v="0"/>
    <n v="0"/>
    <n v="0"/>
    <n v="0"/>
    <n v="0"/>
    <n v="0"/>
    <n v="897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9747"/>
  </r>
  <r>
    <x v="1"/>
    <x v="183"/>
    <x v="1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"/>
    <x v="184"/>
    <x v="1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81035"/>
    <n v="0"/>
    <n v="4281020"/>
    <n v="3189948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7556885"/>
  </r>
  <r>
    <x v="2"/>
    <x v="185"/>
    <x v="1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10600"/>
    <n v="3210914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3202000"/>
  </r>
  <r>
    <x v="2"/>
    <x v="186"/>
    <x v="1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72230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7223030"/>
  </r>
  <r>
    <x v="3"/>
    <x v="187"/>
    <x v="1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36324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3632400"/>
  </r>
  <r>
    <x v="3"/>
    <x v="188"/>
    <x v="1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18344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1834389"/>
  </r>
  <r>
    <x v="3"/>
    <x v="189"/>
    <x v="1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85122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8512248"/>
  </r>
  <r>
    <x v="3"/>
    <x v="190"/>
    <x v="1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198221"/>
    <n v="11198222"/>
    <n v="11198222"/>
    <n v="11198222"/>
    <n v="11198224"/>
    <n v="423136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79127111"/>
  </r>
  <r>
    <x v="3"/>
    <x v="191"/>
    <x v="1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09231"/>
    <n v="3909234"/>
    <n v="3909234"/>
    <n v="3909234"/>
    <n v="3909234"/>
    <n v="3909240"/>
    <n v="3611722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1627676"/>
  </r>
  <r>
    <x v="3"/>
    <x v="192"/>
    <x v="2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000"/>
    <n v="2500000"/>
    <n v="2500000"/>
    <n v="5087019"/>
    <n v="5087019"/>
    <n v="5087020"/>
    <n v="4391116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61872723"/>
  </r>
  <r>
    <x v="4"/>
    <x v="193"/>
    <x v="2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836140"/>
    <n v="6836140"/>
    <n v="6836140"/>
    <n v="6836140"/>
    <n v="6836140"/>
    <n v="6836140"/>
    <n v="6836140"/>
    <n v="6836140"/>
    <n v="6836140"/>
    <n v="6836140"/>
    <n v="6836140"/>
    <n v="6836140"/>
    <n v="6836140"/>
    <n v="6836140"/>
    <n v="6836140"/>
    <n v="6836140"/>
    <n v="6836140"/>
    <n v="6836140"/>
    <n v="6836140"/>
    <n v="6836140"/>
    <n v="6836140"/>
    <n v="6836140"/>
    <n v="6836140"/>
    <n v="6836140"/>
    <n v="6836140"/>
    <n v="410441500"/>
    <n v="0"/>
    <n v="581345000"/>
  </r>
  <r>
    <x v="4"/>
    <x v="28"/>
    <x v="2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0000"/>
    <n v="3200000"/>
    <n v="3200000"/>
    <n v="3200000"/>
    <n v="3200000"/>
    <n v="3200000"/>
    <n v="3200000"/>
    <n v="3200000"/>
    <n v="3200000"/>
    <n v="3200000"/>
    <n v="3200000"/>
    <n v="3200000"/>
    <n v="3200000"/>
    <n v="3200000"/>
    <n v="3200000"/>
    <n v="3200000"/>
    <n v="3200000"/>
    <n v="3200000"/>
    <n v="3200000"/>
    <n v="3200000"/>
    <n v="3200000"/>
    <n v="3200000"/>
    <n v="3200000"/>
    <n v="273000000"/>
    <n v="0"/>
    <n v="343800000"/>
  </r>
  <r>
    <x v="4"/>
    <x v="194"/>
    <x v="2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5694"/>
    <n v="4974964"/>
    <n v="4974964"/>
    <n v="4974964"/>
    <n v="4974964"/>
    <n v="4974964"/>
    <n v="4974964"/>
    <n v="4974964"/>
    <n v="4974964"/>
    <n v="4974964"/>
    <n v="4974964"/>
    <n v="4974964"/>
    <n v="4974964"/>
    <n v="4974964"/>
    <n v="4974964"/>
    <n v="4974964"/>
    <n v="4974964"/>
    <n v="4974964"/>
    <n v="4974964"/>
    <n v="4974964"/>
    <n v="4974964"/>
    <n v="4974964"/>
    <n v="4974964"/>
    <n v="4974964"/>
    <n v="4974964"/>
    <n v="4974972"/>
    <n v="395031000"/>
    <n v="0"/>
    <n v="519640802"/>
  </r>
  <r>
    <x v="4"/>
    <x v="195"/>
    <x v="2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47809"/>
    <n v="1550000"/>
    <n v="46600000"/>
    <n v="1550000"/>
    <n v="1550000"/>
    <n v="1550000"/>
    <n v="1550000"/>
    <n v="1550000"/>
    <n v="1550000"/>
    <n v="1550000"/>
    <n v="1550000"/>
    <n v="1550000"/>
    <n v="1550000"/>
    <n v="1550000"/>
    <n v="1550000"/>
    <n v="1550000"/>
    <n v="1550000"/>
    <n v="1550000"/>
    <n v="1550000"/>
    <n v="1550000"/>
    <n v="1550000"/>
    <n v="1550000"/>
    <n v="1550000"/>
    <n v="3960000"/>
    <n v="272440000"/>
    <n v="0"/>
    <n v="357097809"/>
  </r>
  <r>
    <x v="0"/>
    <x v="196"/>
    <x v="2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45"/>
    <x v="206"/>
    <n v="0"/>
    <n v="0"/>
    <n v="0"/>
    <n v="0"/>
    <n v="0"/>
    <n v="0"/>
    <n v="0"/>
    <n v="0"/>
    <n v="0"/>
    <n v="0"/>
    <n v="0"/>
    <n v="0"/>
    <n v="0"/>
    <n v="0"/>
    <n v="0"/>
    <n v="0"/>
    <n v="0"/>
    <n v="1298367"/>
    <n v="0"/>
    <n v="7338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32234"/>
  </r>
  <r>
    <x v="0"/>
    <x v="197"/>
    <x v="2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198"/>
    <x v="2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199"/>
    <x v="2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200"/>
    <x v="2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201"/>
    <x v="2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202"/>
    <x v="212"/>
    <n v="0"/>
    <n v="0"/>
    <n v="0"/>
    <n v="0"/>
    <n v="0"/>
    <n v="0"/>
    <n v="0"/>
    <n v="0"/>
    <n v="0"/>
    <n v="0"/>
    <n v="0"/>
    <n v="0"/>
    <n v="0"/>
    <n v="171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0962"/>
  </r>
  <r>
    <x v="1"/>
    <x v="45"/>
    <x v="2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203"/>
    <x v="2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"/>
    <x v="204"/>
    <x v="2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32635"/>
    <n v="5032640"/>
    <n v="3263893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6454625"/>
  </r>
  <r>
    <x v="2"/>
    <x v="205"/>
    <x v="2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56321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5632147"/>
  </r>
  <r>
    <x v="2"/>
    <x v="206"/>
    <x v="2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825583"/>
    <n v="4825591"/>
    <n v="279566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9217174"/>
  </r>
  <r>
    <x v="3"/>
    <x v="207"/>
    <x v="2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11106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1110677"/>
  </r>
  <r>
    <x v="3"/>
    <x v="208"/>
    <x v="219"/>
    <n v="0"/>
    <n v="0"/>
    <n v="0"/>
    <n v="0"/>
    <n v="0"/>
    <n v="0"/>
    <n v="0"/>
    <n v="0"/>
    <n v="0"/>
    <n v="0"/>
    <n v="0"/>
    <n v="0"/>
    <n v="0"/>
    <n v="0"/>
    <n v="0"/>
    <n v="0"/>
    <n v="0"/>
    <n v="2730221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3022102"/>
  </r>
  <r>
    <x v="3"/>
    <x v="209"/>
    <x v="2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97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210"/>
    <x v="2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211"/>
    <x v="2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13203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1320335"/>
  </r>
  <r>
    <x v="4"/>
    <x v="212"/>
    <x v="2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02480"/>
    <n v="4402571"/>
    <n v="4402571"/>
    <n v="4402571"/>
    <n v="4402571"/>
    <n v="4402571"/>
    <n v="4402571"/>
    <n v="4402571"/>
    <n v="4402571"/>
    <n v="4402571"/>
    <n v="4402571"/>
    <n v="4402571"/>
    <n v="4402571"/>
    <n v="4402571"/>
    <n v="4402571"/>
    <n v="4402571"/>
    <n v="4402571"/>
    <n v="4402571"/>
    <n v="4402571"/>
    <n v="4402571"/>
    <n v="4402571"/>
    <n v="4402571"/>
    <n v="4402571"/>
    <n v="4402586"/>
    <n v="371210000"/>
    <n v="0"/>
    <n v="476871628"/>
  </r>
  <r>
    <x v="4"/>
    <x v="213"/>
    <x v="2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90000"/>
    <n v="3290000"/>
    <n v="3290000"/>
    <n v="3290000"/>
    <n v="3290000"/>
    <n v="3290000"/>
    <n v="3290000"/>
    <n v="3290000"/>
    <n v="3290000"/>
    <n v="3290000"/>
    <n v="3290000"/>
    <n v="3290000"/>
    <n v="3290000"/>
    <n v="3290000"/>
    <n v="3290000"/>
    <n v="3290000"/>
    <n v="3290000"/>
    <n v="3290000"/>
    <n v="3290000"/>
    <n v="3290000"/>
    <n v="3290000"/>
    <n v="3290000"/>
    <n v="3290000"/>
    <n v="3290000"/>
    <n v="273350000"/>
    <n v="0"/>
    <n v="352310000"/>
  </r>
  <r>
    <x v="4"/>
    <x v="214"/>
    <x v="2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32786"/>
    <n v="1932786"/>
    <n v="1932786"/>
    <n v="6000000"/>
    <n v="1932786"/>
    <n v="1932786"/>
    <n v="1932786"/>
    <n v="30000000"/>
    <n v="1932786"/>
    <n v="6000000"/>
    <n v="1932786"/>
    <n v="1932786"/>
    <n v="1932786"/>
    <n v="1932786"/>
    <n v="1932786"/>
    <n v="6000000"/>
    <n v="1932786"/>
    <n v="1932786"/>
    <n v="1932786"/>
    <n v="1932786"/>
    <n v="1932786"/>
    <n v="6000000"/>
    <n v="1932786"/>
    <n v="1932786"/>
    <n v="4932778"/>
    <n v="354942000"/>
    <n v="0"/>
    <n v="450597712"/>
  </r>
  <r>
    <x v="4"/>
    <x v="215"/>
    <x v="2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78881"/>
    <n v="3240000"/>
    <n v="3240000"/>
    <n v="3240000"/>
    <n v="3240000"/>
    <n v="3240000"/>
    <n v="3240000"/>
    <n v="3240000"/>
    <n v="3240000"/>
    <n v="3240000"/>
    <n v="3240000"/>
    <n v="3240000"/>
    <n v="3240000"/>
    <n v="3240000"/>
    <n v="3240000"/>
    <n v="3240000"/>
    <n v="3240000"/>
    <n v="3240000"/>
    <n v="3240000"/>
    <n v="3240000"/>
    <n v="3240000"/>
    <n v="3240000"/>
    <n v="3240000"/>
    <n v="3240000"/>
    <n v="3240000"/>
    <n v="240819543"/>
    <n v="0"/>
    <n v="321658424"/>
  </r>
  <r>
    <x v="0"/>
    <x v="216"/>
    <x v="2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217"/>
    <x v="228"/>
    <n v="0"/>
    <n v="0"/>
    <n v="0"/>
    <n v="0"/>
    <n v="0"/>
    <n v="0"/>
    <n v="0"/>
    <n v="0"/>
    <n v="0"/>
    <n v="0"/>
    <n v="0"/>
    <n v="0"/>
    <n v="0"/>
    <n v="0"/>
    <n v="583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8313"/>
  </r>
  <r>
    <x v="0"/>
    <x v="218"/>
    <x v="2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219"/>
    <x v="2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220"/>
    <x v="2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221"/>
    <x v="232"/>
    <n v="0"/>
    <n v="0"/>
    <n v="0"/>
    <n v="0"/>
    <n v="0"/>
    <n v="0"/>
    <n v="0"/>
    <n v="0"/>
    <n v="0"/>
    <n v="0"/>
    <n v="0"/>
    <n v="0"/>
    <n v="767999"/>
    <n v="0"/>
    <n v="1032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71263"/>
  </r>
  <r>
    <x v="1"/>
    <x v="222"/>
    <x v="2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223"/>
    <x v="2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224"/>
    <x v="2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225"/>
    <x v="236"/>
    <n v="0"/>
    <n v="0"/>
    <n v="0"/>
    <n v="0"/>
    <n v="0"/>
    <n v="0"/>
    <n v="0"/>
    <n v="0"/>
    <n v="0"/>
    <n v="0"/>
    <n v="0"/>
    <n v="0"/>
    <n v="0"/>
    <n v="0"/>
    <n v="1313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1332"/>
  </r>
  <r>
    <x v="2"/>
    <x v="226"/>
    <x v="2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31850"/>
    <n v="5293473"/>
    <n v="5293473"/>
    <n v="5293473"/>
    <n v="5293473"/>
    <n v="5293473"/>
    <n v="5293475"/>
    <n v="3304707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4163390"/>
  </r>
  <r>
    <x v="2"/>
    <x v="227"/>
    <x v="2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30600"/>
    <n v="3217914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4622000"/>
  </r>
  <r>
    <x v="2"/>
    <x v="228"/>
    <x v="2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71418"/>
    <n v="3671420"/>
    <n v="2748992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2242078"/>
  </r>
  <r>
    <x v="3"/>
    <x v="229"/>
    <x v="2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230"/>
    <x v="2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233567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2335670"/>
  </r>
  <r>
    <x v="3"/>
    <x v="231"/>
    <x v="2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19966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1996619"/>
  </r>
  <r>
    <x v="3"/>
    <x v="232"/>
    <x v="2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233"/>
    <x v="244"/>
    <n v="0"/>
    <n v="0"/>
    <n v="0"/>
    <n v="0"/>
    <n v="0"/>
    <n v="0"/>
    <n v="0"/>
    <n v="0"/>
    <n v="0"/>
    <n v="0"/>
    <n v="0"/>
    <n v="0"/>
    <n v="0"/>
    <n v="0"/>
    <n v="0"/>
    <n v="0"/>
    <n v="0"/>
    <n v="2762065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6206558"/>
  </r>
  <r>
    <x v="4"/>
    <x v="234"/>
    <x v="245"/>
    <n v="0"/>
    <n v="0"/>
    <n v="0"/>
    <n v="0"/>
    <n v="0"/>
    <n v="0"/>
    <n v="0"/>
    <n v="0"/>
    <n v="0"/>
    <n v="0"/>
    <n v="0"/>
    <n v="0"/>
    <n v="0"/>
    <n v="0"/>
    <n v="0"/>
    <n v="14471"/>
    <n v="4406857"/>
    <n v="4406857"/>
    <n v="4406857"/>
    <n v="4406857"/>
    <n v="4406857"/>
    <n v="4406857"/>
    <n v="4406857"/>
    <n v="4406857"/>
    <n v="4406857"/>
    <n v="4406857"/>
    <n v="4406857"/>
    <n v="4406857"/>
    <n v="4406857"/>
    <n v="4406857"/>
    <n v="4406857"/>
    <n v="4406857"/>
    <n v="4406857"/>
    <n v="4406857"/>
    <n v="4406857"/>
    <n v="4406857"/>
    <n v="4406857"/>
    <n v="4406857"/>
    <n v="4406857"/>
    <n v="4406857"/>
    <n v="4406857"/>
    <n v="4406857"/>
    <n v="4406857"/>
    <n v="4406857"/>
    <n v="4406862"/>
    <n v="371560000"/>
    <n v="0"/>
    <n v="499373329"/>
  </r>
  <r>
    <x v="4"/>
    <x v="235"/>
    <x v="2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08571"/>
    <n v="3208571"/>
    <n v="3208571"/>
    <n v="3208571"/>
    <n v="3208571"/>
    <n v="3208571"/>
    <n v="3208571"/>
    <n v="3208571"/>
    <n v="3208571"/>
    <n v="3208571"/>
    <n v="3208571"/>
    <n v="3208571"/>
    <n v="3208571"/>
    <n v="3208571"/>
    <n v="3208571"/>
    <n v="3208571"/>
    <n v="3208571"/>
    <n v="3208571"/>
    <n v="3208571"/>
    <n v="3208571"/>
    <n v="3208571"/>
    <n v="3208571"/>
    <n v="3208571"/>
    <n v="3208571"/>
    <n v="3208586"/>
    <n v="273700000"/>
    <n v="0"/>
    <n v="353914290"/>
  </r>
  <r>
    <x v="4"/>
    <x v="236"/>
    <x v="2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29528"/>
    <n v="4452669"/>
    <n v="4452669"/>
    <n v="4452669"/>
    <n v="4452669"/>
    <n v="4452669"/>
    <n v="4452669"/>
    <n v="4452669"/>
    <n v="4452669"/>
    <n v="4452669"/>
    <n v="4452669"/>
    <n v="4452669"/>
    <n v="4452669"/>
    <n v="4452669"/>
    <n v="4452669"/>
    <n v="4452669"/>
    <n v="4452669"/>
    <n v="4452669"/>
    <n v="4452669"/>
    <n v="4452669"/>
    <n v="4452669"/>
    <n v="4452669"/>
    <n v="4452673"/>
    <n v="364911750"/>
    <n v="0"/>
    <n v="465000000"/>
  </r>
  <r>
    <x v="4"/>
    <x v="237"/>
    <x v="2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53000"/>
    <n v="1153000"/>
    <n v="10000000"/>
    <n v="1153000"/>
    <n v="20000000"/>
    <n v="1153000"/>
    <n v="1153000"/>
    <n v="1153000"/>
    <n v="1153000"/>
    <n v="1153000"/>
    <n v="1153000"/>
    <n v="1153000"/>
    <n v="1153000"/>
    <n v="1153000"/>
    <n v="15000000"/>
    <n v="1153000"/>
    <n v="20000000"/>
    <n v="1153000"/>
    <n v="1153000"/>
    <n v="1153000"/>
    <n v="10000000"/>
    <n v="1153000"/>
    <n v="1153000"/>
    <n v="1153000"/>
    <n v="4500000"/>
    <n v="295122000"/>
    <n v="396529000"/>
  </r>
  <r>
    <x v="4"/>
    <x v="238"/>
    <x v="2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352704"/>
    <n v="6352704"/>
    <n v="6352704"/>
    <n v="6352704"/>
    <n v="6352704"/>
    <n v="6352704"/>
    <n v="6352704"/>
    <n v="6352704"/>
    <n v="6352704"/>
    <n v="6352704"/>
    <n v="6352704"/>
    <n v="6352704"/>
    <n v="6352704"/>
    <n v="6352704"/>
    <n v="6352704"/>
    <n v="6352704"/>
    <n v="6352704"/>
    <n v="6352704"/>
    <n v="6352704"/>
    <n v="6352704"/>
    <n v="6352704"/>
    <n v="6352704"/>
    <n v="6352704"/>
    <n v="6352700"/>
    <n v="6352700"/>
    <n v="411887000"/>
    <n v="0"/>
    <n v="570704592"/>
  </r>
  <r>
    <x v="0"/>
    <x v="239"/>
    <x v="2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240"/>
    <x v="2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607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60779"/>
  </r>
  <r>
    <x v="0"/>
    <x v="241"/>
    <x v="2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242"/>
    <x v="253"/>
    <n v="0"/>
    <n v="0"/>
    <n v="0"/>
    <n v="0"/>
    <n v="0"/>
    <n v="0"/>
    <n v="0"/>
    <n v="0"/>
    <n v="0"/>
    <n v="0"/>
    <n v="0"/>
    <n v="0"/>
    <n v="0"/>
    <n v="0"/>
    <n v="0"/>
    <n v="0"/>
    <n v="11942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9420000"/>
  </r>
  <r>
    <x v="1"/>
    <x v="243"/>
    <x v="2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244"/>
    <x v="255"/>
    <n v="0"/>
    <n v="0"/>
    <n v="0"/>
    <n v="0"/>
    <n v="0"/>
    <n v="0"/>
    <n v="0"/>
    <n v="0"/>
    <n v="0"/>
    <n v="0"/>
    <n v="0"/>
    <n v="0"/>
    <n v="0"/>
    <n v="0"/>
    <n v="1052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5226"/>
  </r>
  <r>
    <x v="1"/>
    <x v="245"/>
    <x v="2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246"/>
    <x v="2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247"/>
    <x v="2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224"/>
    <x v="2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"/>
    <x v="248"/>
    <x v="2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96000"/>
    <n v="5126000"/>
    <n v="5126000"/>
    <n v="5126000"/>
    <n v="5126000"/>
    <n v="5130300"/>
    <n v="3203207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1051000"/>
  </r>
  <r>
    <x v="2"/>
    <x v="249"/>
    <x v="2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18856"/>
    <n v="13063886"/>
    <n v="13063886"/>
    <n v="3858155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4662159"/>
  </r>
  <r>
    <x v="2"/>
    <x v="250"/>
    <x v="2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24286"/>
    <n v="3224286"/>
    <n v="3224276"/>
    <n v="27265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2322848"/>
  </r>
  <r>
    <x v="3"/>
    <x v="251"/>
    <x v="2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88861"/>
    <n v="4470153"/>
    <n v="4470153"/>
    <n v="4470153"/>
    <n v="4470155"/>
    <n v="49171685"/>
    <n v="3933734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63914640"/>
  </r>
  <r>
    <x v="3"/>
    <x v="252"/>
    <x v="264"/>
    <n v="0"/>
    <n v="0"/>
    <n v="0"/>
    <n v="0"/>
    <n v="0"/>
    <n v="0"/>
    <n v="0"/>
    <n v="0"/>
    <n v="0"/>
    <n v="0"/>
    <n v="0"/>
    <n v="0"/>
    <n v="0"/>
    <n v="0"/>
    <n v="0"/>
    <n v="0"/>
    <n v="0"/>
    <n v="2753499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5349924"/>
  </r>
  <r>
    <x v="3"/>
    <x v="253"/>
    <x v="265"/>
    <n v="0"/>
    <n v="0"/>
    <n v="0"/>
    <n v="0"/>
    <n v="0"/>
    <n v="0"/>
    <n v="0"/>
    <n v="0"/>
    <n v="0"/>
    <n v="0"/>
    <n v="0"/>
    <n v="0"/>
    <n v="0"/>
    <n v="0"/>
    <n v="0"/>
    <n v="0"/>
    <n v="0"/>
    <n v="2752993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5299347"/>
  </r>
  <r>
    <x v="3"/>
    <x v="254"/>
    <x v="2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5"/>
    <n v="6610153"/>
    <n v="6610153"/>
    <n v="6610149"/>
    <n v="3840295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3860228"/>
  </r>
  <r>
    <x v="3"/>
    <x v="255"/>
    <x v="2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000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0000000"/>
  </r>
  <r>
    <x v="3"/>
    <x v="256"/>
    <x v="268"/>
    <n v="0"/>
    <n v="0"/>
    <n v="0"/>
    <n v="0"/>
    <n v="0"/>
    <n v="0"/>
    <n v="0"/>
    <n v="0"/>
    <n v="0"/>
    <n v="0"/>
    <n v="0"/>
    <n v="0"/>
    <n v="7626301"/>
    <n v="0"/>
    <n v="0"/>
    <n v="0"/>
    <n v="0"/>
    <n v="3205787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8205029"/>
  </r>
  <r>
    <x v="4"/>
    <x v="257"/>
    <x v="2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12857"/>
    <n v="3212857"/>
    <n v="3212857"/>
    <n v="3212857"/>
    <n v="3212857"/>
    <n v="3212857"/>
    <n v="3212857"/>
    <n v="3212857"/>
    <n v="3212857"/>
    <n v="3212857"/>
    <n v="3212857"/>
    <n v="3212857"/>
    <n v="3212857"/>
    <n v="3212857"/>
    <n v="3212857"/>
    <n v="3212857"/>
    <n v="3212857"/>
    <n v="3212857"/>
    <n v="3212857"/>
    <n v="3212857"/>
    <n v="3212857"/>
    <n v="3212857"/>
    <n v="3212857"/>
    <n v="3212862"/>
    <n v="274050000"/>
    <n v="0"/>
    <n v="351158573"/>
  </r>
  <r>
    <x v="4"/>
    <x v="258"/>
    <x v="27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48110"/>
    <n v="5073359"/>
    <n v="5073359"/>
    <n v="5073359"/>
    <n v="5073359"/>
    <n v="5073359"/>
    <n v="5073359"/>
    <n v="5073359"/>
    <n v="5073359"/>
    <n v="5073359"/>
    <n v="5073359"/>
    <n v="5073359"/>
    <n v="5073359"/>
    <n v="5073359"/>
    <n v="5073359"/>
    <n v="5073359"/>
    <n v="5073359"/>
    <n v="5073359"/>
    <n v="5073359"/>
    <n v="5073359"/>
    <n v="5073359"/>
    <n v="5073359"/>
    <n v="5073359"/>
    <n v="5073359"/>
    <n v="5073359"/>
    <n v="5073371"/>
    <n v="390477500"/>
    <n v="0"/>
    <n v="520459597"/>
  </r>
  <r>
    <x v="4"/>
    <x v="259"/>
    <x v="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00968"/>
    <n v="4000968"/>
    <n v="4000968"/>
    <n v="4000968"/>
    <n v="4000968"/>
    <n v="4000968"/>
    <n v="4000968"/>
    <n v="4000968"/>
    <n v="4000968"/>
    <n v="4000968"/>
    <n v="4000968"/>
    <n v="4000968"/>
    <n v="4000968"/>
    <n v="4000968"/>
    <n v="4000968"/>
    <n v="4000968"/>
    <n v="4000968"/>
    <n v="4000968"/>
    <n v="4000968"/>
    <n v="4000968"/>
    <n v="4000968"/>
    <n v="4000960"/>
    <n v="301070000"/>
    <n v="0"/>
    <n v="389091288"/>
  </r>
  <r>
    <x v="4"/>
    <x v="260"/>
    <x v="2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74777"/>
    <n v="6358259"/>
    <n v="6358259"/>
    <n v="6358259"/>
    <n v="6358259"/>
    <n v="6358259"/>
    <n v="6358259"/>
    <n v="6358259"/>
    <n v="6358259"/>
    <n v="6358259"/>
    <n v="6358259"/>
    <n v="6358259"/>
    <n v="6358259"/>
    <n v="6358259"/>
    <n v="6358259"/>
    <n v="6358259"/>
    <n v="6358259"/>
    <n v="6358259"/>
    <n v="6358259"/>
    <n v="6358259"/>
    <n v="6358259"/>
    <n v="6358259"/>
    <n v="6358259"/>
    <n v="6358259"/>
    <n v="6358266"/>
    <n v="412237000"/>
    <n v="0"/>
    <n v="569910000"/>
  </r>
  <r>
    <x v="0"/>
    <x v="261"/>
    <x v="273"/>
    <n v="0"/>
    <n v="0"/>
    <n v="0"/>
    <n v="0"/>
    <n v="0"/>
    <n v="0"/>
    <n v="0"/>
    <n v="0"/>
    <n v="0"/>
    <n v="0"/>
    <n v="0"/>
    <n v="0"/>
    <n v="0"/>
    <n v="0"/>
    <n v="0"/>
    <n v="0"/>
    <n v="0"/>
    <n v="13055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05528"/>
  </r>
  <r>
    <x v="0"/>
    <x v="262"/>
    <x v="2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263"/>
    <x v="275"/>
    <n v="0"/>
    <n v="0"/>
    <n v="0"/>
    <n v="0"/>
    <n v="0"/>
    <n v="0"/>
    <n v="0"/>
    <n v="0"/>
    <n v="0"/>
    <n v="0"/>
    <n v="0"/>
    <n v="0"/>
    <n v="0"/>
    <n v="0"/>
    <n v="12776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77687"/>
  </r>
  <r>
    <x v="0"/>
    <x v="264"/>
    <x v="2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265"/>
    <x v="2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266"/>
    <x v="2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243"/>
    <x v="2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267"/>
    <x v="280"/>
    <n v="0"/>
    <n v="0"/>
    <n v="0"/>
    <n v="0"/>
    <n v="0"/>
    <n v="0"/>
    <n v="0"/>
    <n v="0"/>
    <n v="0"/>
    <n v="0"/>
    <n v="0"/>
    <n v="0"/>
    <n v="0"/>
    <n v="0"/>
    <n v="1272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7280"/>
  </r>
  <r>
    <x v="1"/>
    <x v="268"/>
    <x v="2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269"/>
    <x v="282"/>
    <n v="0"/>
    <n v="0"/>
    <n v="0"/>
    <n v="0"/>
    <n v="0"/>
    <n v="0"/>
    <n v="0"/>
    <n v="0"/>
    <n v="0"/>
    <n v="0"/>
    <n v="0"/>
    <n v="0"/>
    <n v="0"/>
    <n v="0"/>
    <n v="6746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74667"/>
  </r>
  <r>
    <x v="2"/>
    <x v="270"/>
    <x v="2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000"/>
    <n v="1797011"/>
    <n v="3215263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6323370"/>
  </r>
  <r>
    <x v="2"/>
    <x v="271"/>
    <x v="2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723070"/>
    <n v="5945814"/>
    <n v="5945814"/>
    <n v="5945814"/>
    <n v="5945814"/>
    <n v="5945811"/>
    <n v="5351232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70575364"/>
  </r>
  <r>
    <x v="2"/>
    <x v="272"/>
    <x v="2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3189"/>
    <n v="4378768"/>
    <n v="4378768"/>
    <n v="4378760"/>
    <n v="3260642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9523685"/>
  </r>
  <r>
    <x v="2"/>
    <x v="273"/>
    <x v="2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66387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6638732"/>
  </r>
  <r>
    <x v="3"/>
    <x v="274"/>
    <x v="2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469076"/>
    <n v="49221685"/>
    <n v="3937734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8464241"/>
  </r>
  <r>
    <x v="3"/>
    <x v="275"/>
    <x v="288"/>
    <n v="0"/>
    <n v="0"/>
    <n v="0"/>
    <n v="0"/>
    <n v="0"/>
    <n v="0"/>
    <n v="0"/>
    <n v="0"/>
    <n v="0"/>
    <n v="0"/>
    <n v="0"/>
    <n v="0"/>
    <n v="0"/>
    <n v="0"/>
    <n v="0"/>
    <n v="0"/>
    <n v="0"/>
    <n v="2202608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0260854"/>
  </r>
  <r>
    <x v="3"/>
    <x v="276"/>
    <x v="2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277"/>
    <x v="29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578799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5787990"/>
  </r>
  <r>
    <x v="3"/>
    <x v="278"/>
    <x v="291"/>
    <n v="0"/>
    <n v="0"/>
    <n v="0"/>
    <n v="0"/>
    <n v="0"/>
    <n v="0"/>
    <n v="0"/>
    <n v="0"/>
    <n v="0"/>
    <n v="0"/>
    <n v="0"/>
    <n v="0"/>
    <n v="0"/>
    <n v="0"/>
    <n v="0"/>
    <n v="0"/>
    <n v="0"/>
    <n v="2263165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6316549"/>
  </r>
  <r>
    <x v="3"/>
    <x v="279"/>
    <x v="2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42747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4274744"/>
  </r>
  <r>
    <x v="4"/>
    <x v="280"/>
    <x v="2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83390"/>
    <n v="4583390"/>
    <n v="4583390"/>
    <n v="4583390"/>
    <n v="4583390"/>
    <n v="4583390"/>
    <n v="4583390"/>
    <n v="4583390"/>
    <n v="4583390"/>
    <n v="4583390"/>
    <n v="4583390"/>
    <n v="4583390"/>
    <n v="4583390"/>
    <n v="4583390"/>
    <n v="4583390"/>
    <n v="4583390"/>
    <n v="4583390"/>
    <n v="4583390"/>
    <n v="4583390"/>
    <n v="4583390"/>
    <n v="4583390"/>
    <n v="4583390"/>
    <n v="4583390"/>
    <n v="4583380"/>
    <n v="375282250"/>
    <n v="0"/>
    <n v="485283600"/>
  </r>
  <r>
    <x v="4"/>
    <x v="281"/>
    <x v="2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24857"/>
    <n v="3224857"/>
    <n v="3224857"/>
    <n v="3224857"/>
    <n v="3224857"/>
    <n v="3224857"/>
    <n v="3224857"/>
    <n v="3224857"/>
    <n v="3224857"/>
    <n v="3224857"/>
    <n v="3224857"/>
    <n v="3224857"/>
    <n v="3224857"/>
    <n v="3224857"/>
    <n v="3224857"/>
    <n v="3224857"/>
    <n v="3224857"/>
    <n v="3224857"/>
    <n v="3224857"/>
    <n v="3224857"/>
    <n v="3224857"/>
    <n v="3224857"/>
    <n v="3224857"/>
    <n v="3224862"/>
    <n v="275030000"/>
    <n v="0"/>
    <n v="352426573"/>
  </r>
  <r>
    <x v="4"/>
    <x v="282"/>
    <x v="2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99714"/>
    <n v="4299714"/>
    <n v="4299714"/>
    <n v="4299714"/>
    <n v="4299714"/>
    <n v="4299714"/>
    <n v="4299714"/>
    <n v="4299714"/>
    <n v="4299714"/>
    <n v="4299714"/>
    <n v="4299714"/>
    <n v="4299714"/>
    <n v="4299714"/>
    <n v="4299714"/>
    <n v="4299714"/>
    <n v="4299714"/>
    <n v="4299714"/>
    <n v="4299714"/>
    <n v="4299714"/>
    <n v="4299714"/>
    <n v="4299714"/>
    <n v="4299714"/>
    <n v="4299714"/>
    <n v="4299724"/>
    <n v="362810000"/>
    <n v="0"/>
    <n v="466003146"/>
  </r>
  <r>
    <x v="4"/>
    <x v="283"/>
    <x v="2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00000"/>
    <n v="3500000"/>
    <n v="3500000"/>
    <n v="3500000"/>
    <n v="3500000"/>
    <n v="3500000"/>
    <n v="3500000"/>
    <n v="3500000"/>
    <n v="3500000"/>
    <n v="3500000"/>
    <n v="3500000"/>
    <n v="3500000"/>
    <n v="3500000"/>
    <n v="3500000"/>
    <n v="6300000"/>
    <n v="3500000"/>
    <n v="3500000"/>
    <n v="3500000"/>
    <n v="3500000"/>
    <n v="3500000"/>
    <n v="3500000"/>
    <n v="3500000"/>
    <n v="3500000"/>
    <n v="3500000"/>
    <n v="308700000"/>
    <n v="0"/>
    <n v="395500000"/>
  </r>
  <r>
    <x v="0"/>
    <x v="284"/>
    <x v="2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285"/>
    <x v="2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438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43693"/>
  </r>
  <r>
    <x v="0"/>
    <x v="286"/>
    <x v="2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287"/>
    <x v="3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288"/>
    <x v="3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289"/>
    <x v="302"/>
    <n v="0"/>
    <n v="0"/>
    <n v="0"/>
    <n v="0"/>
    <n v="0"/>
    <n v="0"/>
    <n v="0"/>
    <n v="0"/>
    <n v="0"/>
    <n v="0"/>
    <n v="0"/>
    <n v="0"/>
    <n v="0"/>
    <n v="0"/>
    <n v="939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3919"/>
  </r>
  <r>
    <x v="1"/>
    <x v="290"/>
    <x v="303"/>
    <n v="0"/>
    <n v="0"/>
    <n v="0"/>
    <n v="0"/>
    <n v="0"/>
    <n v="0"/>
    <n v="0"/>
    <n v="0"/>
    <n v="0"/>
    <n v="0"/>
    <n v="0"/>
    <n v="0"/>
    <n v="0"/>
    <n v="0"/>
    <n v="585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8596"/>
  </r>
  <r>
    <x v="1"/>
    <x v="45"/>
    <x v="3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291"/>
    <x v="305"/>
    <n v="0"/>
    <n v="0"/>
    <n v="0"/>
    <n v="0"/>
    <n v="0"/>
    <n v="0"/>
    <n v="0"/>
    <n v="0"/>
    <n v="0"/>
    <n v="0"/>
    <n v="0"/>
    <n v="0"/>
    <n v="0"/>
    <n v="1163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6363"/>
  </r>
  <r>
    <x v="1"/>
    <x v="292"/>
    <x v="306"/>
    <n v="0"/>
    <n v="0"/>
    <n v="0"/>
    <n v="0"/>
    <n v="0"/>
    <n v="0"/>
    <n v="0"/>
    <n v="0"/>
    <n v="0"/>
    <n v="0"/>
    <n v="0"/>
    <n v="0"/>
    <n v="0"/>
    <n v="0"/>
    <n v="0"/>
    <n v="0"/>
    <n v="562273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6227345"/>
  </r>
  <r>
    <x v="2"/>
    <x v="293"/>
    <x v="3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61445"/>
    <n v="4963281"/>
    <n v="3283343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3959080"/>
  </r>
  <r>
    <x v="2"/>
    <x v="294"/>
    <x v="3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91215"/>
    <n v="5418243"/>
    <n v="5418243"/>
    <n v="5418243"/>
    <n v="4836490"/>
    <n v="541824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3459478"/>
    <n v="0"/>
    <n v="514024347"/>
  </r>
  <r>
    <x v="2"/>
    <x v="295"/>
    <x v="3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41993"/>
    <n v="4200000"/>
    <n v="4200000"/>
    <n v="6295055"/>
    <n v="3228414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1678448"/>
  </r>
  <r>
    <x v="2"/>
    <x v="296"/>
    <x v="3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949512"/>
    <n v="7000000"/>
    <n v="12877905"/>
    <n v="2751665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1994008"/>
  </r>
  <r>
    <x v="3"/>
    <x v="297"/>
    <x v="3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02534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0253403"/>
  </r>
  <r>
    <x v="3"/>
    <x v="298"/>
    <x v="312"/>
    <n v="0"/>
    <n v="0"/>
    <n v="0"/>
    <n v="0"/>
    <n v="0"/>
    <n v="0"/>
    <n v="0"/>
    <n v="0"/>
    <n v="0"/>
    <n v="0"/>
    <n v="0"/>
    <n v="0"/>
    <n v="0"/>
    <n v="0"/>
    <n v="0"/>
    <n v="0"/>
    <n v="0"/>
    <n v="2224706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2470624"/>
  </r>
  <r>
    <x v="3"/>
    <x v="299"/>
    <x v="313"/>
    <n v="0"/>
    <n v="0"/>
    <n v="0"/>
    <n v="0"/>
    <n v="0"/>
    <n v="0"/>
    <n v="0"/>
    <n v="0"/>
    <n v="0"/>
    <n v="0"/>
    <n v="0"/>
    <n v="0"/>
    <n v="0"/>
    <n v="0"/>
    <n v="0"/>
    <n v="0"/>
    <n v="0"/>
    <n v="286382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6382000"/>
  </r>
  <r>
    <x v="3"/>
    <x v="300"/>
    <x v="3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99991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9999196"/>
  </r>
  <r>
    <x v="3"/>
    <x v="301"/>
    <x v="3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43215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4321565"/>
  </r>
  <r>
    <x v="3"/>
    <x v="302"/>
    <x v="3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46275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4627554"/>
  </r>
  <r>
    <x v="4"/>
    <x v="303"/>
    <x v="3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247917"/>
    <n v="6247917"/>
    <n v="6247917"/>
    <n v="6247917"/>
    <n v="6247917"/>
    <n v="6247917"/>
    <n v="6247917"/>
    <n v="6247917"/>
    <n v="6247917"/>
    <n v="6247917"/>
    <n v="6247917"/>
    <n v="6247917"/>
    <n v="6247917"/>
    <n v="6247917"/>
    <n v="6247917"/>
    <n v="6247917"/>
    <n v="6247917"/>
    <n v="6247917"/>
    <n v="6247917"/>
    <n v="6247917"/>
    <n v="6247917"/>
    <n v="6247917"/>
    <n v="6247917"/>
    <n v="6247925"/>
    <n v="405285458"/>
    <n v="0"/>
    <n v="555235474"/>
  </r>
  <r>
    <x v="4"/>
    <x v="304"/>
    <x v="3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00000"/>
    <n v="1000000"/>
    <n v="8000000"/>
    <n v="1000000"/>
    <n v="1000000"/>
    <n v="1000000"/>
    <n v="1000000"/>
    <n v="1000000"/>
    <n v="8000000"/>
    <n v="1000000"/>
    <n v="1000000"/>
    <n v="1000000"/>
    <n v="1000000"/>
    <n v="1000000"/>
    <n v="8000000"/>
    <n v="1000000"/>
    <n v="1000000"/>
    <n v="55564608"/>
    <n v="1000000"/>
    <n v="1000000"/>
    <n v="8000000"/>
    <n v="1000000"/>
    <n v="1000000"/>
    <n v="1000000"/>
    <n v="274750000"/>
    <n v="0"/>
    <n v="381314608"/>
  </r>
  <r>
    <x v="4"/>
    <x v="305"/>
    <x v="3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65902"/>
    <n v="4465904"/>
    <n v="4465904"/>
    <n v="4465904"/>
    <n v="4465904"/>
    <n v="4465904"/>
    <n v="4465904"/>
    <n v="4465904"/>
    <n v="4465904"/>
    <n v="4465904"/>
    <n v="4465904"/>
    <n v="4465904"/>
    <n v="4465904"/>
    <n v="4465904"/>
    <n v="4465904"/>
    <n v="4465904"/>
    <n v="4465904"/>
    <n v="4465904"/>
    <n v="4465904"/>
    <n v="4465904"/>
    <n v="4465904"/>
    <n v="4465904"/>
    <n v="4465904"/>
    <n v="4465918"/>
    <n v="365961750"/>
    <n v="0"/>
    <n v="473143458"/>
  </r>
  <r>
    <x v="4"/>
    <x v="306"/>
    <x v="3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12140"/>
    <n v="4318690"/>
    <n v="4318690"/>
    <n v="4318690"/>
    <n v="4318690"/>
    <n v="4318690"/>
    <n v="4318690"/>
    <n v="4318690"/>
    <n v="4318690"/>
    <n v="4318690"/>
    <n v="4318690"/>
    <n v="4318690"/>
    <n v="4318690"/>
    <n v="4318690"/>
    <n v="4318690"/>
    <n v="4318690"/>
    <n v="4318690"/>
    <n v="4318690"/>
    <n v="4318690"/>
    <n v="4318690"/>
    <n v="4318690"/>
    <n v="4318690"/>
    <n v="4318690"/>
    <n v="4318680"/>
    <n v="303898000"/>
    <n v="0"/>
    <n v="404140000"/>
  </r>
  <r>
    <x v="4"/>
    <x v="307"/>
    <x v="3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58858"/>
    <n v="5061667"/>
    <n v="5061667"/>
    <n v="5061667"/>
    <n v="5061667"/>
    <n v="5061667"/>
    <n v="5061667"/>
    <n v="5061667"/>
    <n v="5061667"/>
    <n v="5061667"/>
    <n v="5061667"/>
    <n v="5061667"/>
    <n v="5061667"/>
    <n v="5061667"/>
    <n v="5061667"/>
    <n v="5061666"/>
    <n v="5061666"/>
    <n v="5061666"/>
    <n v="5061666"/>
    <n v="5061666"/>
    <n v="5061666"/>
    <n v="5061666"/>
    <n v="5061666"/>
    <n v="5061666"/>
    <n v="5061666"/>
    <n v="5061666"/>
    <n v="401415000"/>
    <n v="533015522"/>
  </r>
  <r>
    <x v="0"/>
    <x v="308"/>
    <x v="3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309"/>
    <x v="3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310"/>
    <x v="3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311"/>
    <x v="325"/>
    <n v="0"/>
    <n v="0"/>
    <n v="0"/>
    <n v="0"/>
    <n v="0"/>
    <n v="0"/>
    <n v="0"/>
    <n v="0"/>
    <n v="0"/>
    <n v="0"/>
    <n v="0"/>
    <n v="0"/>
    <n v="0"/>
    <n v="0"/>
    <n v="0"/>
    <n v="1466636"/>
    <n v="0"/>
    <n v="41016636"/>
    <n v="0"/>
    <n v="0"/>
    <n v="36016636"/>
    <n v="0"/>
    <n v="26016636"/>
    <n v="0"/>
    <n v="36016636"/>
    <n v="0"/>
    <n v="355462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6079402"/>
  </r>
  <r>
    <x v="1"/>
    <x v="117"/>
    <x v="3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312"/>
    <x v="3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313"/>
    <x v="328"/>
    <n v="0"/>
    <n v="0"/>
    <n v="0"/>
    <n v="0"/>
    <n v="0"/>
    <n v="0"/>
    <n v="0"/>
    <n v="0"/>
    <n v="2335166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3516634"/>
  </r>
  <r>
    <x v="1"/>
    <x v="314"/>
    <x v="3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45"/>
    <x v="3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315"/>
    <x v="3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"/>
    <x v="316"/>
    <x v="3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31619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3161944"/>
  </r>
  <r>
    <x v="2"/>
    <x v="317"/>
    <x v="3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37935"/>
    <n v="3737935"/>
    <n v="3250364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2512281"/>
  </r>
  <r>
    <x v="2"/>
    <x v="318"/>
    <x v="3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711851"/>
    <n v="2731173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7829242"/>
  </r>
  <r>
    <x v="3"/>
    <x v="319"/>
    <x v="335"/>
    <n v="0"/>
    <n v="0"/>
    <n v="0"/>
    <n v="0"/>
    <n v="0"/>
    <n v="0"/>
    <n v="0"/>
    <n v="0"/>
    <n v="0"/>
    <n v="0"/>
    <n v="0"/>
    <n v="0"/>
    <n v="0"/>
    <n v="0"/>
    <n v="0"/>
    <n v="0"/>
    <n v="0"/>
    <n v="2535658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3565801"/>
  </r>
  <r>
    <x v="3"/>
    <x v="320"/>
    <x v="3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321"/>
    <x v="337"/>
    <n v="0"/>
    <n v="0"/>
    <n v="0"/>
    <n v="0"/>
    <n v="0"/>
    <n v="0"/>
    <n v="0"/>
    <n v="0"/>
    <n v="0"/>
    <n v="0"/>
    <n v="0"/>
    <n v="0"/>
    <n v="0"/>
    <n v="0"/>
    <n v="0"/>
    <n v="0"/>
    <n v="0"/>
    <n v="1973190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7319095"/>
  </r>
  <r>
    <x v="3"/>
    <x v="322"/>
    <x v="3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99999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9999981"/>
  </r>
  <r>
    <x v="3"/>
    <x v="323"/>
    <x v="3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22703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2270356"/>
  </r>
  <r>
    <x v="4"/>
    <x v="324"/>
    <x v="3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81143"/>
    <n v="4381143"/>
    <n v="4381143"/>
    <n v="4381143"/>
    <n v="4381143"/>
    <n v="4381143"/>
    <n v="4381143"/>
    <n v="4381143"/>
    <n v="4381143"/>
    <n v="4381143"/>
    <n v="4381143"/>
    <n v="4381143"/>
    <n v="4381143"/>
    <n v="4381143"/>
    <n v="4381143"/>
    <n v="4381143"/>
    <n v="4381143"/>
    <n v="4381143"/>
    <n v="4381143"/>
    <n v="4381143"/>
    <n v="4381143"/>
    <n v="4381143"/>
    <n v="4381143"/>
    <n v="4381143"/>
    <n v="4391138"/>
    <n v="369450000"/>
    <n v="0"/>
    <n v="478988570"/>
  </r>
  <r>
    <x v="4"/>
    <x v="325"/>
    <x v="3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91423"/>
    <n v="3268571"/>
    <n v="3268571"/>
    <n v="3268571"/>
    <n v="3268571"/>
    <n v="3268571"/>
    <n v="3268571"/>
    <n v="3268571"/>
    <n v="3268571"/>
    <n v="3268571"/>
    <n v="3268571"/>
    <n v="3268571"/>
    <n v="3268571"/>
    <n v="3268571"/>
    <n v="3268571"/>
    <n v="3268571"/>
    <n v="3268571"/>
    <n v="3268571"/>
    <n v="3268571"/>
    <n v="3268571"/>
    <n v="3268571"/>
    <n v="3268571"/>
    <n v="3268586"/>
    <n v="278600000"/>
    <n v="0"/>
    <n v="353400000"/>
  </r>
  <r>
    <x v="4"/>
    <x v="326"/>
    <x v="3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67418"/>
    <n v="2367428"/>
    <n v="2367428"/>
    <n v="2367428"/>
    <n v="2367428"/>
    <n v="2367428"/>
    <n v="2367428"/>
    <n v="2367428"/>
    <n v="2367428"/>
    <n v="2367428"/>
    <n v="2367428"/>
    <n v="2367428"/>
    <n v="2367428"/>
    <n v="2367428"/>
    <n v="2367428"/>
    <n v="2367428"/>
    <n v="2367428"/>
    <n v="2367428"/>
    <n v="2367428"/>
    <n v="2367428"/>
    <n v="2367428"/>
    <n v="2367428"/>
    <n v="2367428"/>
    <n v="2375448"/>
    <n v="356692000"/>
    <n v="0"/>
    <n v="413518282"/>
  </r>
  <r>
    <x v="4"/>
    <x v="327"/>
    <x v="3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91996"/>
    <n v="4149333"/>
    <n v="4149333"/>
    <n v="4149333"/>
    <n v="4149333"/>
    <n v="4149333"/>
    <n v="4149333"/>
    <n v="4149333"/>
    <n v="4149333"/>
    <n v="4149333"/>
    <n v="4149333"/>
    <n v="4149333"/>
    <n v="4149333"/>
    <n v="4149333"/>
    <n v="4149333"/>
    <n v="4149333"/>
    <n v="4149333"/>
    <n v="4149333"/>
    <n v="4149343"/>
    <n v="302120000"/>
    <n v="0"/>
    <n v="380800000"/>
  </r>
  <r>
    <x v="4"/>
    <x v="328"/>
    <x v="3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33211"/>
    <n v="5066212"/>
    <n v="5066212"/>
    <n v="5066212"/>
    <n v="5066212"/>
    <n v="5066212"/>
    <n v="5066212"/>
    <n v="5066212"/>
    <n v="5066212"/>
    <n v="5066212"/>
    <n v="5066212"/>
    <n v="5066212"/>
    <n v="5066212"/>
    <n v="5066212"/>
    <n v="5066212"/>
    <n v="5066212"/>
    <n v="5066212"/>
    <n v="5066212"/>
    <n v="5066212"/>
    <n v="5066212"/>
    <n v="5066212"/>
    <n v="5066212"/>
    <n v="5066212"/>
    <n v="5066212"/>
    <n v="5066216"/>
    <n v="401765000"/>
    <n v="0"/>
    <n v="525887303"/>
  </r>
  <r>
    <x v="0"/>
    <x v="329"/>
    <x v="3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330"/>
    <x v="3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331"/>
    <x v="3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332"/>
    <x v="3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333"/>
    <x v="349"/>
    <n v="0"/>
    <n v="0"/>
    <n v="0"/>
    <n v="0"/>
    <n v="0"/>
    <n v="0"/>
    <n v="0"/>
    <n v="0"/>
    <n v="0"/>
    <n v="0"/>
    <n v="0"/>
    <n v="0"/>
    <n v="0"/>
    <n v="0"/>
    <n v="1207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0754"/>
  </r>
  <r>
    <x v="1"/>
    <x v="334"/>
    <x v="3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335"/>
    <x v="3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336"/>
    <x v="352"/>
    <n v="0"/>
    <n v="0"/>
    <n v="0"/>
    <n v="0"/>
    <n v="0"/>
    <n v="0"/>
    <n v="0"/>
    <n v="0"/>
    <n v="0"/>
    <n v="0"/>
    <n v="0"/>
    <n v="0"/>
    <n v="293852"/>
    <n v="1481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2030"/>
  </r>
  <r>
    <x v="1"/>
    <x v="337"/>
    <x v="3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990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99076"/>
  </r>
  <r>
    <x v="1"/>
    <x v="338"/>
    <x v="354"/>
    <n v="0"/>
    <n v="0"/>
    <n v="0"/>
    <n v="0"/>
    <n v="0"/>
    <n v="0"/>
    <n v="0"/>
    <n v="0"/>
    <n v="0"/>
    <n v="0"/>
    <n v="0"/>
    <n v="0"/>
    <n v="2141848"/>
    <n v="1582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00056"/>
  </r>
  <r>
    <x v="2"/>
    <x v="339"/>
    <x v="3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465997"/>
    <n v="6466073"/>
    <n v="3780998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1031950"/>
  </r>
  <r>
    <x v="2"/>
    <x v="340"/>
    <x v="3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63230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6323044"/>
  </r>
  <r>
    <x v="2"/>
    <x v="341"/>
    <x v="3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838704"/>
    <n v="8838704"/>
    <n v="8838704"/>
    <n v="8838704"/>
    <n v="8838706"/>
    <n v="3853462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9539738"/>
  </r>
  <r>
    <x v="2"/>
    <x v="342"/>
    <x v="3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64494"/>
    <n v="4164494"/>
    <n v="4164494"/>
    <n v="4164494"/>
    <n v="4164492"/>
    <n v="3859097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6732229"/>
  </r>
  <r>
    <x v="3"/>
    <x v="343"/>
    <x v="3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5753"/>
    <n v="3905460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2111791"/>
  </r>
  <r>
    <x v="3"/>
    <x v="344"/>
    <x v="3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96220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9622085"/>
  </r>
  <r>
    <x v="3"/>
    <x v="345"/>
    <x v="361"/>
    <n v="0"/>
    <n v="0"/>
    <n v="0"/>
    <n v="0"/>
    <n v="0"/>
    <n v="0"/>
    <n v="0"/>
    <n v="0"/>
    <n v="0"/>
    <n v="0"/>
    <n v="0"/>
    <n v="0"/>
    <n v="6768545"/>
    <n v="0"/>
    <n v="0"/>
    <n v="0"/>
    <n v="0"/>
    <n v="302816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9585045"/>
  </r>
  <r>
    <x v="3"/>
    <x v="346"/>
    <x v="362"/>
    <n v="0"/>
    <n v="0"/>
    <n v="0"/>
    <n v="0"/>
    <n v="0"/>
    <n v="0"/>
    <n v="0"/>
    <n v="0"/>
    <n v="0"/>
    <n v="0"/>
    <n v="0"/>
    <n v="0"/>
    <n v="0"/>
    <n v="0"/>
    <n v="0"/>
    <n v="0"/>
    <n v="0"/>
    <n v="2823327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2332737"/>
  </r>
  <r>
    <x v="3"/>
    <x v="323"/>
    <x v="363"/>
    <n v="0"/>
    <n v="0"/>
    <n v="0"/>
    <n v="0"/>
    <n v="0"/>
    <n v="0"/>
    <n v="0"/>
    <n v="0"/>
    <n v="0"/>
    <n v="0"/>
    <n v="0"/>
    <n v="0"/>
    <n v="0"/>
    <n v="0"/>
    <n v="0"/>
    <n v="0"/>
    <n v="0"/>
    <n v="1466953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6695387"/>
  </r>
  <r>
    <x v="4"/>
    <x v="347"/>
    <x v="3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91295"/>
    <n v="6098152"/>
    <n v="6098152"/>
    <n v="6098152"/>
    <n v="6098152"/>
    <n v="6098152"/>
    <n v="6098152"/>
    <n v="6098152"/>
    <n v="6098152"/>
    <n v="6098152"/>
    <n v="6098152"/>
    <n v="6098152"/>
    <n v="6098152"/>
    <n v="6098152"/>
    <n v="6098152"/>
    <n v="6098152"/>
    <n v="6098152"/>
    <n v="6098152"/>
    <n v="6098152"/>
    <n v="6098146"/>
    <n v="410079250"/>
    <n v="0"/>
    <n v="530235427"/>
  </r>
  <r>
    <x v="4"/>
    <x v="348"/>
    <x v="3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8700"/>
    <n v="3230000"/>
    <n v="3230000"/>
    <n v="3230000"/>
    <n v="3230000"/>
    <n v="3230000"/>
    <n v="3230000"/>
    <n v="3230000"/>
    <n v="3230000"/>
    <n v="3230000"/>
    <n v="3230000"/>
    <n v="3230000"/>
    <n v="3230000"/>
    <n v="3230000"/>
    <n v="3230000"/>
    <n v="3230000"/>
    <n v="3230000"/>
    <n v="3230000"/>
    <n v="3230000"/>
    <n v="3230000"/>
    <n v="3230000"/>
    <n v="3230000"/>
    <n v="3230000"/>
    <n v="3230000"/>
    <n v="3230000"/>
    <n v="3230000"/>
    <n v="275450000"/>
    <n v="0"/>
    <n v="356498700"/>
  </r>
  <r>
    <x v="4"/>
    <x v="349"/>
    <x v="3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72060"/>
    <n v="4474706"/>
    <n v="4474706"/>
    <n v="4474706"/>
    <n v="4474706"/>
    <n v="4474706"/>
    <n v="4474706"/>
    <n v="4474706"/>
    <n v="4474706"/>
    <n v="4474706"/>
    <n v="4474706"/>
    <n v="4474706"/>
    <n v="4474706"/>
    <n v="4474706"/>
    <n v="4474706"/>
    <n v="4474706"/>
    <n v="4474706"/>
    <n v="4474706"/>
    <n v="4474706"/>
    <n v="4474706"/>
    <n v="4474706"/>
    <n v="4474706"/>
    <n v="4474706"/>
    <n v="4474706"/>
    <n v="4474702"/>
    <n v="366660000"/>
    <n v="0"/>
    <n v="478525000"/>
  </r>
  <r>
    <x v="4"/>
    <x v="350"/>
    <x v="3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50720"/>
    <n v="3450722"/>
    <n v="3450722"/>
    <n v="3450722"/>
    <n v="3450722"/>
    <n v="3450722"/>
    <n v="3450725"/>
    <n v="289786000"/>
    <n v="0"/>
    <n v="313941055"/>
  </r>
  <r>
    <x v="4"/>
    <x v="191"/>
    <x v="3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07780"/>
    <n v="5397903"/>
    <n v="5397903"/>
    <n v="5397903"/>
    <n v="5397903"/>
    <n v="5397903"/>
    <n v="5397903"/>
    <n v="5397903"/>
    <n v="5397903"/>
    <n v="5397903"/>
    <n v="5397903"/>
    <n v="5397903"/>
    <n v="5397903"/>
    <n v="5397903"/>
    <n v="5397903"/>
    <n v="5397903"/>
    <n v="5397903"/>
    <n v="5397903"/>
    <n v="5397903"/>
    <n v="5397903"/>
    <n v="5397903"/>
    <n v="5397910"/>
    <n v="402115000"/>
    <n v="0"/>
    <n v="520678750"/>
  </r>
  <r>
    <x v="0"/>
    <x v="351"/>
    <x v="369"/>
    <n v="0"/>
    <n v="0"/>
    <n v="0"/>
    <n v="0"/>
    <n v="0"/>
    <n v="0"/>
    <n v="0"/>
    <n v="0"/>
    <n v="0"/>
    <n v="0"/>
    <n v="0"/>
    <n v="0"/>
    <n v="0"/>
    <n v="0"/>
    <n v="485932"/>
    <n v="11552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41132"/>
  </r>
  <r>
    <x v="0"/>
    <x v="352"/>
    <x v="37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353"/>
    <x v="3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354"/>
    <x v="372"/>
    <n v="0"/>
    <n v="0"/>
    <n v="0"/>
    <n v="0"/>
    <n v="0"/>
    <n v="0"/>
    <n v="0"/>
    <n v="0"/>
    <n v="0"/>
    <n v="0"/>
    <n v="0"/>
    <n v="0"/>
    <n v="0"/>
    <n v="0"/>
    <n v="0"/>
    <n v="0"/>
    <n v="0"/>
    <n v="2083811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8381169"/>
  </r>
  <r>
    <x v="1"/>
    <x v="355"/>
    <x v="373"/>
    <n v="0"/>
    <n v="0"/>
    <n v="0"/>
    <n v="0"/>
    <n v="0"/>
    <n v="0"/>
    <n v="0"/>
    <n v="0"/>
    <n v="0"/>
    <n v="463557"/>
    <n v="0"/>
    <n v="0"/>
    <n v="0"/>
    <n v="0"/>
    <n v="1080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71577"/>
  </r>
  <r>
    <x v="1"/>
    <x v="356"/>
    <x v="3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134"/>
    <x v="375"/>
    <n v="0"/>
    <n v="0"/>
    <n v="0"/>
    <n v="0"/>
    <n v="0"/>
    <n v="0"/>
    <n v="0"/>
    <n v="0"/>
    <n v="0"/>
    <n v="0"/>
    <n v="0"/>
    <n v="2000000"/>
    <n v="0"/>
    <n v="0"/>
    <n v="0"/>
    <n v="0"/>
    <n v="0"/>
    <n v="1406367"/>
    <n v="0"/>
    <n v="11467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53135"/>
  </r>
  <r>
    <x v="1"/>
    <x v="357"/>
    <x v="3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358"/>
    <x v="377"/>
    <n v="0"/>
    <n v="0"/>
    <n v="0"/>
    <n v="0"/>
    <n v="0"/>
    <n v="0"/>
    <n v="0"/>
    <n v="0"/>
    <n v="0"/>
    <n v="0"/>
    <n v="0"/>
    <n v="4037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2873"/>
  </r>
  <r>
    <x v="1"/>
    <x v="359"/>
    <x v="378"/>
    <n v="0"/>
    <n v="0"/>
    <n v="0"/>
    <n v="0"/>
    <n v="0"/>
    <n v="0"/>
    <n v="0"/>
    <n v="0"/>
    <n v="0"/>
    <n v="0"/>
    <n v="0"/>
    <n v="0"/>
    <n v="2227210"/>
    <n v="0"/>
    <n v="1091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36383"/>
  </r>
  <r>
    <x v="2"/>
    <x v="360"/>
    <x v="3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39848"/>
    <n v="5178088"/>
    <n v="5178088"/>
    <n v="5178088"/>
    <n v="5178088"/>
    <n v="5178100"/>
    <n v="3232165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2846891"/>
  </r>
  <r>
    <x v="2"/>
    <x v="361"/>
    <x v="3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750910"/>
    <n v="4658236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71574575"/>
  </r>
  <r>
    <x v="2"/>
    <x v="362"/>
    <x v="3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841902"/>
    <n v="12939246"/>
    <n v="12939253"/>
    <n v="3870168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7737245"/>
  </r>
  <r>
    <x v="2"/>
    <x v="191"/>
    <x v="3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22000"/>
    <n v="3622000"/>
    <n v="3622000"/>
    <n v="279776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0642000"/>
  </r>
  <r>
    <x v="3"/>
    <x v="363"/>
    <x v="3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4435651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3565196"/>
  </r>
  <r>
    <x v="3"/>
    <x v="364"/>
    <x v="3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62093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6209323"/>
  </r>
  <r>
    <x v="3"/>
    <x v="365"/>
    <x v="3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24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306"/>
    <x v="3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366"/>
    <x v="3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80"/>
    <n v="4816089"/>
    <n v="4816089"/>
    <n v="4816089"/>
    <n v="4813930"/>
    <n v="3900813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9344618"/>
  </r>
  <r>
    <x v="4"/>
    <x v="367"/>
    <x v="3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5411"/>
    <n v="5227578"/>
    <n v="5227578"/>
    <n v="5227578"/>
    <n v="5227578"/>
    <n v="5227578"/>
    <n v="5227578"/>
    <n v="5227578"/>
    <n v="5227578"/>
    <n v="5227578"/>
    <n v="5227578"/>
    <n v="5227578"/>
    <n v="5227578"/>
    <n v="5227578"/>
    <n v="5227578"/>
    <n v="5227578"/>
    <n v="5227578"/>
    <n v="5227578"/>
    <n v="5227578"/>
    <n v="5227578"/>
    <n v="5227578"/>
    <n v="5227578"/>
    <n v="5227578"/>
    <n v="5227579"/>
    <n v="5227579"/>
    <n v="5227579"/>
    <n v="5227579"/>
    <n v="401992500"/>
    <n v="0"/>
    <n v="538004943"/>
  </r>
  <r>
    <x v="4"/>
    <x v="368"/>
    <x v="3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00000"/>
    <n v="2200000"/>
    <n v="5000000"/>
    <n v="2200000"/>
    <n v="2200000"/>
    <n v="2200000"/>
    <n v="7006135"/>
    <n v="2200000"/>
    <n v="2200000"/>
    <n v="5000000"/>
    <n v="2200000"/>
    <n v="2200000"/>
    <n v="2200000"/>
    <n v="2200000"/>
    <n v="5000000"/>
    <n v="3200000"/>
    <n v="3200000"/>
    <n v="3200000"/>
    <n v="3200000"/>
    <n v="3200000"/>
    <n v="3200000"/>
    <n v="5000000"/>
    <n v="3200000"/>
    <n v="15000000"/>
    <n v="275800000"/>
    <n v="0"/>
    <n v="364406135"/>
  </r>
  <r>
    <x v="4"/>
    <x v="369"/>
    <x v="39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7579"/>
    <n v="5096797"/>
    <n v="5096797"/>
    <n v="5096797"/>
    <n v="5096797"/>
    <n v="5096797"/>
    <n v="5096797"/>
    <n v="5096797"/>
    <n v="5096797"/>
    <n v="5096797"/>
    <n v="5096797"/>
    <n v="5096797"/>
    <n v="5096797"/>
    <n v="5096797"/>
    <n v="5096797"/>
    <n v="5096797"/>
    <n v="5096797"/>
    <n v="5096797"/>
    <n v="5096797"/>
    <n v="5096797"/>
    <n v="5096797"/>
    <n v="5096797"/>
    <n v="5096797"/>
    <n v="5096797"/>
    <n v="5096797"/>
    <n v="5096793"/>
    <n v="392227500"/>
    <n v="0"/>
    <n v="520075000"/>
  </r>
  <r>
    <x v="4"/>
    <x v="370"/>
    <x v="3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00000"/>
    <n v="3200000"/>
    <n v="3200000"/>
    <n v="3200000"/>
    <n v="3200000"/>
    <n v="3200000"/>
    <n v="3200000"/>
    <n v="3200000"/>
    <n v="3200000"/>
    <n v="3200000"/>
    <n v="3200000"/>
    <n v="3200000"/>
    <n v="3200000"/>
    <n v="3200000"/>
    <n v="3200000"/>
    <n v="3200000"/>
    <n v="3200000"/>
    <n v="3200000"/>
    <n v="3200000"/>
    <n v="3200000"/>
    <n v="3200000"/>
    <n v="3200000"/>
    <n v="3200000"/>
    <n v="3868100"/>
    <n v="274558900"/>
    <n v="0"/>
    <n v="352027000"/>
  </r>
  <r>
    <x v="4"/>
    <x v="370"/>
    <x v="3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00000"/>
    <n v="4300000"/>
    <n v="4300000"/>
    <n v="4300000"/>
    <n v="4300000"/>
    <n v="4300000"/>
    <n v="4300000"/>
    <n v="4300000"/>
    <n v="4300000"/>
    <n v="4300000"/>
    <n v="4300000"/>
    <n v="4300000"/>
    <n v="4300000"/>
    <n v="4300000"/>
    <n v="4300000"/>
    <n v="4300000"/>
    <n v="4300000"/>
    <n v="4300000"/>
    <n v="4300000"/>
    <n v="4300000"/>
    <n v="4300000"/>
    <n v="4300000"/>
    <n v="4300000"/>
    <n v="6449250"/>
    <n v="367848250"/>
    <n v="0"/>
    <n v="473197500"/>
  </r>
  <r>
    <x v="0"/>
    <x v="371"/>
    <x v="3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372"/>
    <x v="394"/>
    <n v="0"/>
    <n v="0"/>
    <n v="0"/>
    <n v="0"/>
    <n v="0"/>
    <n v="0"/>
    <n v="0"/>
    <n v="0"/>
    <n v="0"/>
    <n v="0"/>
    <n v="0"/>
    <n v="0"/>
    <n v="0"/>
    <n v="0"/>
    <n v="0"/>
    <n v="0"/>
    <n v="0"/>
    <n v="1379784"/>
    <n v="0"/>
    <n v="12967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76530"/>
  </r>
  <r>
    <x v="0"/>
    <x v="373"/>
    <x v="395"/>
    <n v="0"/>
    <n v="0"/>
    <n v="0"/>
    <n v="0"/>
    <n v="0"/>
    <n v="0"/>
    <n v="0"/>
    <n v="0"/>
    <n v="0"/>
    <n v="0"/>
    <n v="0"/>
    <n v="0"/>
    <n v="0"/>
    <n v="0"/>
    <n v="0"/>
    <n v="0"/>
    <n v="0"/>
    <n v="13160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16035"/>
  </r>
  <r>
    <x v="0"/>
    <x v="374"/>
    <x v="3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375"/>
    <x v="397"/>
    <n v="0"/>
    <n v="0"/>
    <n v="0"/>
    <n v="0"/>
    <n v="0"/>
    <n v="0"/>
    <n v="0"/>
    <n v="0"/>
    <n v="0"/>
    <n v="0"/>
    <n v="0"/>
    <n v="0"/>
    <n v="0"/>
    <n v="158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8993"/>
  </r>
  <r>
    <x v="1"/>
    <x v="376"/>
    <x v="3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377"/>
    <x v="3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378"/>
    <x v="400"/>
    <n v="0"/>
    <n v="0"/>
    <n v="0"/>
    <n v="0"/>
    <n v="0"/>
    <n v="0"/>
    <n v="0"/>
    <n v="0"/>
    <n v="0"/>
    <n v="493419"/>
    <n v="0"/>
    <n v="0"/>
    <n v="0"/>
    <n v="0"/>
    <n v="1273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20757"/>
  </r>
  <r>
    <x v="1"/>
    <x v="379"/>
    <x v="4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380"/>
    <x v="4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"/>
    <x v="381"/>
    <x v="4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71306"/>
    <n v="4169398"/>
    <n v="4169405"/>
    <n v="3206484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0958511"/>
  </r>
  <r>
    <x v="2"/>
    <x v="382"/>
    <x v="4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999233"/>
    <n v="2739511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8950361"/>
  </r>
  <r>
    <x v="3"/>
    <x v="383"/>
    <x v="4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44780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4478005"/>
  </r>
  <r>
    <x v="3"/>
    <x v="384"/>
    <x v="4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50704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5070461"/>
  </r>
  <r>
    <x v="3"/>
    <x v="385"/>
    <x v="407"/>
    <n v="0"/>
    <n v="0"/>
    <n v="0"/>
    <n v="0"/>
    <n v="0"/>
    <n v="0"/>
    <n v="0"/>
    <n v="0"/>
    <n v="0"/>
    <n v="0"/>
    <n v="0"/>
    <n v="0"/>
    <n v="0"/>
    <n v="0"/>
    <n v="0"/>
    <n v="0"/>
    <n v="0"/>
    <n v="1966173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6617367"/>
  </r>
  <r>
    <x v="3"/>
    <x v="386"/>
    <x v="408"/>
    <n v="0"/>
    <n v="0"/>
    <n v="0"/>
    <n v="0"/>
    <n v="0"/>
    <n v="0"/>
    <n v="0"/>
    <n v="0"/>
    <n v="0"/>
    <n v="0"/>
    <n v="0"/>
    <n v="0"/>
    <n v="0"/>
    <n v="0"/>
    <n v="0"/>
    <n v="0"/>
    <n v="0"/>
    <n v="3070756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7075678"/>
  </r>
  <r>
    <x v="3"/>
    <x v="387"/>
    <x v="4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45165"/>
    <n v="3845433"/>
    <n v="3845433"/>
    <n v="3845433"/>
    <n v="3845433"/>
    <n v="42299771"/>
    <n v="3380201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9546809"/>
  </r>
  <r>
    <x v="4"/>
    <x v="388"/>
    <x v="4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15901"/>
    <n v="4578978"/>
    <n v="4578978"/>
    <n v="4578978"/>
    <n v="4578978"/>
    <n v="4578978"/>
    <n v="4578978"/>
    <n v="4578978"/>
    <n v="4578978"/>
    <n v="4578978"/>
    <n v="4578978"/>
    <n v="4578978"/>
    <n v="4578978"/>
    <n v="4578978"/>
    <n v="4578978"/>
    <n v="4578978"/>
    <n v="4578978"/>
    <n v="4578978"/>
    <n v="4578978"/>
    <n v="4578978"/>
    <n v="4578978"/>
    <n v="4578978"/>
    <n v="4578978"/>
    <n v="4578978"/>
    <n v="4578976"/>
    <n v="374932250"/>
    <n v="488143621"/>
  </r>
  <r>
    <x v="4"/>
    <x v="389"/>
    <x v="4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95500"/>
    <n v="3992500"/>
    <n v="3992500"/>
    <n v="3992500"/>
    <n v="3992500"/>
    <n v="3992500"/>
    <n v="3992500"/>
    <n v="3992500"/>
    <n v="3992500"/>
    <n v="3992500"/>
    <n v="3992500"/>
    <n v="300457500"/>
    <n v="0"/>
    <n v="341278000"/>
  </r>
  <r>
    <x v="4"/>
    <x v="390"/>
    <x v="4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78286"/>
    <n v="4278286"/>
    <n v="4278286"/>
    <n v="4278286"/>
    <n v="4278286"/>
    <n v="4278286"/>
    <n v="4278286"/>
    <n v="4278286"/>
    <n v="4278286"/>
    <n v="4278286"/>
    <n v="4278286"/>
    <n v="4278286"/>
    <n v="4278286"/>
    <n v="4278286"/>
    <n v="4278286"/>
    <n v="4278286"/>
    <n v="4278286"/>
    <n v="4278286"/>
    <n v="4278286"/>
    <n v="4278286"/>
    <n v="4278286"/>
    <n v="4278286"/>
    <n v="4278286"/>
    <n v="4278286"/>
    <n v="4278276"/>
    <n v="361060000"/>
    <n v="0"/>
    <n v="468017140"/>
  </r>
  <r>
    <x v="4"/>
    <x v="391"/>
    <x v="4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37334"/>
    <n v="3538667"/>
    <n v="3538667"/>
    <n v="14000000"/>
    <n v="3538667"/>
    <n v="3538667"/>
    <n v="3538667"/>
    <n v="3538667"/>
    <n v="3538667"/>
    <n v="3538667"/>
    <n v="3538667"/>
    <n v="3538667"/>
    <n v="3538667"/>
    <n v="3538667"/>
    <n v="3538667"/>
    <n v="3538667"/>
    <n v="3538667"/>
    <n v="3538667"/>
    <n v="3538667"/>
    <n v="3538667"/>
    <n v="3538667"/>
    <n v="3538667"/>
    <n v="3538667"/>
    <n v="3538667"/>
    <n v="3538668"/>
    <n v="273682655"/>
    <n v="0"/>
    <n v="372609331"/>
  </r>
  <r>
    <x v="4"/>
    <x v="392"/>
    <x v="4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98575"/>
    <n v="3500000"/>
    <n v="3500000"/>
    <n v="5000000"/>
    <n v="3500000"/>
    <n v="3500000"/>
    <n v="3500000"/>
    <n v="3500000"/>
    <n v="3500000"/>
    <n v="5000000"/>
    <n v="3500000"/>
    <n v="3500000"/>
    <n v="3500000"/>
    <n v="3500000"/>
    <n v="3500000"/>
    <n v="5000000"/>
    <n v="3500000"/>
    <n v="3500000"/>
    <n v="3500000"/>
    <n v="3500000"/>
    <n v="3500000"/>
    <n v="5000000"/>
    <n v="3500000"/>
    <n v="3500000"/>
    <n v="27797000"/>
    <n v="368193000"/>
    <n v="0"/>
    <n v="484288575"/>
  </r>
  <r>
    <x v="0"/>
    <x v="393"/>
    <x v="4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394"/>
    <x v="4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395"/>
    <x v="4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396"/>
    <x v="4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397"/>
    <x v="419"/>
    <n v="0"/>
    <n v="0"/>
    <n v="0"/>
    <n v="0"/>
    <n v="0"/>
    <n v="0"/>
    <n v="0"/>
    <n v="0"/>
    <n v="0"/>
    <n v="0"/>
    <n v="0"/>
    <n v="0"/>
    <n v="0"/>
    <n v="0"/>
    <n v="660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6052"/>
  </r>
  <r>
    <x v="1"/>
    <x v="398"/>
    <x v="4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399"/>
    <x v="421"/>
    <n v="0"/>
    <n v="0"/>
    <n v="0"/>
    <n v="0"/>
    <n v="0"/>
    <n v="0"/>
    <n v="0"/>
    <n v="0"/>
    <n v="0"/>
    <n v="0"/>
    <n v="0"/>
    <n v="5042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4237"/>
  </r>
  <r>
    <x v="1"/>
    <x v="400"/>
    <x v="422"/>
    <n v="0"/>
    <n v="0"/>
    <n v="0"/>
    <n v="0"/>
    <n v="0"/>
    <n v="0"/>
    <n v="0"/>
    <n v="0"/>
    <n v="0"/>
    <n v="0"/>
    <n v="0"/>
    <n v="0"/>
    <n v="0"/>
    <n v="0"/>
    <n v="949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4839"/>
  </r>
  <r>
    <x v="1"/>
    <x v="401"/>
    <x v="423"/>
    <n v="0"/>
    <n v="0"/>
    <n v="0"/>
    <n v="0"/>
    <n v="0"/>
    <n v="0"/>
    <n v="0"/>
    <n v="0"/>
    <n v="0"/>
    <n v="0"/>
    <n v="0"/>
    <n v="0"/>
    <n v="0"/>
    <n v="0"/>
    <n v="966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6616"/>
  </r>
  <r>
    <x v="1"/>
    <x v="402"/>
    <x v="424"/>
    <n v="0"/>
    <n v="0"/>
    <n v="0"/>
    <n v="0"/>
    <n v="0"/>
    <n v="0"/>
    <n v="0"/>
    <n v="0"/>
    <n v="0"/>
    <n v="0"/>
    <n v="0"/>
    <n v="0"/>
    <n v="0"/>
    <n v="1"/>
    <n v="0"/>
    <n v="0"/>
    <n v="0"/>
    <n v="12270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27081"/>
  </r>
  <r>
    <x v="2"/>
    <x v="403"/>
    <x v="4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58279"/>
    <n v="12118943"/>
    <n v="3295393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3316572"/>
  </r>
  <r>
    <x v="2"/>
    <x v="404"/>
    <x v="4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858614"/>
    <n v="3432860"/>
    <n v="2815202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5811702"/>
  </r>
  <r>
    <x v="3"/>
    <x v="405"/>
    <x v="4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04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0402"/>
  </r>
  <r>
    <x v="3"/>
    <x v="406"/>
    <x v="4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407"/>
    <x v="4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07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0768"/>
  </r>
  <r>
    <x v="3"/>
    <x v="408"/>
    <x v="430"/>
    <n v="0"/>
    <n v="0"/>
    <n v="0"/>
    <n v="0"/>
    <n v="0"/>
    <n v="0"/>
    <n v="0"/>
    <n v="0"/>
    <n v="0"/>
    <n v="0"/>
    <n v="0"/>
    <n v="0"/>
    <n v="0"/>
    <n v="0"/>
    <n v="0"/>
    <n v="0"/>
    <n v="0"/>
    <n v="244191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4191500"/>
  </r>
  <r>
    <x v="4"/>
    <x v="409"/>
    <x v="4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n v="4398286"/>
    <n v="4398286"/>
    <n v="4398286"/>
    <n v="4398286"/>
    <n v="4398286"/>
    <n v="4398286"/>
    <n v="4398286"/>
    <n v="4398286"/>
    <n v="4398286"/>
    <n v="4398286"/>
    <n v="4398286"/>
    <n v="4398286"/>
    <n v="4398286"/>
    <n v="4398286"/>
    <n v="4398286"/>
    <n v="4398286"/>
    <n v="4398286"/>
    <n v="4398286"/>
    <n v="4398286"/>
    <n v="4398286"/>
    <n v="4398286"/>
    <n v="4398286"/>
    <n v="4398286"/>
    <n v="4398276"/>
    <n v="370860000"/>
    <n v="0"/>
    <n v="476418857"/>
  </r>
  <r>
    <x v="4"/>
    <x v="410"/>
    <x v="4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0000000"/>
    <n v="0"/>
    <n v="190000000"/>
  </r>
  <r>
    <x v="4"/>
    <x v="411"/>
    <x v="4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87962"/>
    <n v="4487963"/>
    <n v="4487963"/>
    <n v="4487963"/>
    <n v="4487963"/>
    <n v="4487963"/>
    <n v="4487963"/>
    <n v="4487963"/>
    <n v="4487963"/>
    <n v="4487963"/>
    <n v="4487963"/>
    <n v="4487963"/>
    <n v="4487963"/>
    <n v="4487963"/>
    <n v="4487963"/>
    <n v="4487963"/>
    <n v="4487963"/>
    <n v="4487963"/>
    <n v="4487963"/>
    <n v="4487963"/>
    <n v="4487963"/>
    <n v="4487963"/>
    <n v="4487963"/>
    <n v="4487963"/>
    <n v="4487971"/>
    <n v="367711750"/>
    <n v="0"/>
    <n v="479910832"/>
  </r>
  <r>
    <x v="4"/>
    <x v="412"/>
    <x v="4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21714"/>
    <n v="3321714"/>
    <n v="3321714"/>
    <n v="3321714"/>
    <n v="3321714"/>
    <n v="3321714"/>
    <n v="3321714"/>
    <n v="3321714"/>
    <n v="3321714"/>
    <n v="3321714"/>
    <n v="3321714"/>
    <n v="3321714"/>
    <n v="3321714"/>
    <n v="3321714"/>
    <n v="3321714"/>
    <n v="3321714"/>
    <n v="3321714"/>
    <n v="3321714"/>
    <n v="3321714"/>
    <n v="3321714"/>
    <n v="3321714"/>
    <n v="3321714"/>
    <n v="3321714"/>
    <n v="3321714"/>
    <n v="3321724"/>
    <n v="275940000"/>
    <n v="0"/>
    <n v="358982860"/>
  </r>
  <r>
    <x v="4"/>
    <x v="413"/>
    <x v="4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643192"/>
    <n v="6643192"/>
    <n v="6643192"/>
    <n v="6643192"/>
    <n v="6643192"/>
    <n v="6643192"/>
    <n v="6643192"/>
    <n v="6643192"/>
    <n v="6643192"/>
    <n v="6643192"/>
    <n v="6643192"/>
    <n v="6643192"/>
    <n v="6643192"/>
    <n v="6643192"/>
    <n v="6643192"/>
    <n v="6643192"/>
    <n v="6643192"/>
    <n v="6643192"/>
    <n v="6643192"/>
    <n v="6643192"/>
    <n v="6643192"/>
    <n v="6643192"/>
    <n v="6643192"/>
    <n v="6643192"/>
    <n v="421330200"/>
    <n v="0"/>
    <n v="580766808"/>
  </r>
  <r>
    <x v="0"/>
    <x v="414"/>
    <x v="4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663587"/>
    <n v="37663587"/>
    <n v="37663586"/>
    <n v="28000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2990760"/>
  </r>
  <r>
    <x v="0"/>
    <x v="415"/>
    <x v="4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416"/>
    <x v="438"/>
    <n v="0"/>
    <n v="0"/>
    <n v="0"/>
    <n v="0"/>
    <n v="0"/>
    <n v="0"/>
    <n v="0"/>
    <n v="0"/>
    <n v="0"/>
    <n v="0"/>
    <n v="0"/>
    <n v="0"/>
    <n v="0"/>
    <n v="0"/>
    <n v="0"/>
    <n v="796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9648"/>
  </r>
  <r>
    <x v="0"/>
    <x v="417"/>
    <x v="4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100"/>
    <x v="4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418"/>
    <x v="4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419"/>
    <x v="4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420"/>
    <x v="4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421"/>
    <x v="4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422"/>
    <x v="4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"/>
    <x v="423"/>
    <x v="4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n v="5328915"/>
    <n v="5328915"/>
    <n v="5328915"/>
    <n v="5328915"/>
    <n v="4849312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6246885"/>
  </r>
  <r>
    <x v="2"/>
    <x v="424"/>
    <x v="4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301746"/>
    <n v="4000000"/>
    <n v="4000000"/>
    <n v="3819982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1300026"/>
  </r>
  <r>
    <x v="2"/>
    <x v="425"/>
    <x v="4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19667"/>
    <n v="3569497"/>
    <n v="3569497"/>
    <n v="3569503"/>
    <n v="27585579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7283954"/>
  </r>
  <r>
    <x v="3"/>
    <x v="426"/>
    <x v="4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99993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9999361"/>
  </r>
  <r>
    <x v="3"/>
    <x v="427"/>
    <x v="4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428"/>
    <x v="451"/>
    <n v="0"/>
    <n v="0"/>
    <n v="0"/>
    <n v="0"/>
    <n v="0"/>
    <n v="0"/>
    <n v="0"/>
    <n v="0"/>
    <n v="0"/>
    <n v="0"/>
    <n v="0"/>
    <n v="0"/>
    <n v="0"/>
    <n v="0"/>
    <n v="0"/>
    <n v="0"/>
    <n v="0"/>
    <n v="2824659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2465915"/>
  </r>
  <r>
    <x v="3"/>
    <x v="429"/>
    <x v="4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28381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2838148"/>
  </r>
  <r>
    <x v="3"/>
    <x v="100"/>
    <x v="4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430"/>
    <x v="4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15152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1515294"/>
  </r>
  <r>
    <x v="4"/>
    <x v="431"/>
    <x v="4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636673"/>
    <n v="6636673"/>
    <n v="6636673"/>
    <n v="6636673"/>
    <n v="6636673"/>
    <n v="6636673"/>
    <n v="6636673"/>
    <n v="6636673"/>
    <n v="6636673"/>
    <n v="6636673"/>
    <n v="6636673"/>
    <n v="6636673"/>
    <n v="6636673"/>
    <n v="6636673"/>
    <n v="6636673"/>
    <n v="6636673"/>
    <n v="6636673"/>
    <n v="6636673"/>
    <n v="6636673"/>
    <n v="6636673"/>
    <n v="6636673"/>
    <n v="6636673"/>
    <n v="6636673"/>
    <n v="6636673"/>
    <n v="6636673"/>
    <n v="6636675"/>
    <n v="414291500"/>
    <n v="586845000"/>
  </r>
  <r>
    <x v="4"/>
    <x v="432"/>
    <x v="4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32857"/>
    <n v="3332857"/>
    <n v="3332857"/>
    <n v="3332857"/>
    <n v="3332857"/>
    <n v="3332857"/>
    <n v="3332857"/>
    <n v="3332857"/>
    <n v="3332857"/>
    <n v="3332857"/>
    <n v="3332857"/>
    <n v="3332857"/>
    <n v="3332857"/>
    <n v="3332857"/>
    <n v="3332857"/>
    <n v="3332857"/>
    <n v="3332857"/>
    <n v="3332857"/>
    <n v="3332857"/>
    <n v="3332857"/>
    <n v="3332857"/>
    <n v="3332857"/>
    <n v="3332857"/>
    <n v="3332862"/>
    <n v="276850000"/>
    <n v="0"/>
    <n v="356838573"/>
  </r>
  <r>
    <x v="4"/>
    <x v="433"/>
    <x v="4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109872"/>
    <n v="5110859"/>
    <n v="5110859"/>
    <n v="5110859"/>
    <n v="5110859"/>
    <n v="5110859"/>
    <n v="5110859"/>
    <n v="5110859"/>
    <n v="5110859"/>
    <n v="5110859"/>
    <n v="5110859"/>
    <n v="5110859"/>
    <n v="5110859"/>
    <n v="5110859"/>
    <n v="5110859"/>
    <n v="5110859"/>
    <n v="5110859"/>
    <n v="5110859"/>
    <n v="5110859"/>
    <n v="5110859"/>
    <n v="5110859"/>
    <n v="5110859"/>
    <n v="5110859"/>
    <n v="5110859"/>
    <n v="398388371"/>
    <n v="0"/>
    <n v="521048000"/>
  </r>
  <r>
    <x v="4"/>
    <x v="434"/>
    <x v="4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25999"/>
    <n v="3326000"/>
    <n v="3326000"/>
    <n v="3326000"/>
    <n v="3326000"/>
    <n v="3326000"/>
    <n v="3326000"/>
    <n v="3326000"/>
    <n v="3326000"/>
    <n v="3326000"/>
    <n v="3326000"/>
    <n v="3326000"/>
    <n v="3326000"/>
    <n v="3326000"/>
    <n v="3326000"/>
    <n v="3326000"/>
    <n v="3326000"/>
    <n v="3326000"/>
    <n v="3326000"/>
    <n v="3326000"/>
    <n v="3326000"/>
    <n v="3326000"/>
    <n v="3326000"/>
    <n v="3326000"/>
    <n v="276290000"/>
    <n v="0"/>
    <n v="356113999"/>
  </r>
  <r>
    <x v="4"/>
    <x v="435"/>
    <x v="4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00000"/>
    <n v="4400000"/>
    <n v="4400000"/>
    <n v="4400000"/>
    <n v="4400000"/>
    <n v="4400000"/>
    <n v="4400000"/>
    <n v="4400000"/>
    <n v="4400000"/>
    <n v="4400000"/>
    <n v="4400000"/>
    <n v="4400000"/>
    <n v="4400000"/>
    <n v="4400000"/>
    <n v="4400000"/>
    <n v="4400000"/>
    <n v="4400000"/>
    <n v="4400000"/>
    <n v="4400000"/>
    <n v="4400000"/>
    <n v="4400000"/>
    <n v="4400000"/>
    <n v="4400000"/>
    <n v="4400000"/>
    <n v="371000000"/>
    <n v="0"/>
    <n v="476600000"/>
  </r>
  <r>
    <x v="0"/>
    <x v="436"/>
    <x v="4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437"/>
    <x v="4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438"/>
    <x v="4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439"/>
    <x v="4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440"/>
    <x v="464"/>
    <n v="0"/>
    <n v="0"/>
    <n v="0"/>
    <n v="0"/>
    <n v="0"/>
    <n v="0"/>
    <n v="1886362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8636280"/>
  </r>
  <r>
    <x v="1"/>
    <x v="441"/>
    <x v="465"/>
    <n v="0"/>
    <n v="0"/>
    <n v="0"/>
    <n v="0"/>
    <n v="0"/>
    <n v="0"/>
    <n v="0"/>
    <n v="0"/>
    <n v="0"/>
    <n v="0"/>
    <n v="0"/>
    <n v="0"/>
    <n v="0"/>
    <n v="0"/>
    <n v="1437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3754"/>
  </r>
  <r>
    <x v="1"/>
    <x v="442"/>
    <x v="4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443"/>
    <x v="4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45"/>
    <x v="468"/>
    <n v="0"/>
    <n v="0"/>
    <n v="0"/>
    <n v="0"/>
    <n v="0"/>
    <n v="0"/>
    <n v="0"/>
    <n v="0"/>
    <n v="0"/>
    <n v="0"/>
    <n v="0"/>
    <n v="0"/>
    <n v="0"/>
    <n v="0"/>
    <n v="0"/>
    <n v="14349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34902"/>
  </r>
  <r>
    <x v="2"/>
    <x v="444"/>
    <x v="4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37182"/>
    <n v="5160781"/>
    <n v="5160781"/>
    <n v="5160781"/>
    <n v="5160775"/>
    <n v="3219713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6951634"/>
  </r>
  <r>
    <x v="2"/>
    <x v="445"/>
    <x v="47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00000"/>
    <n v="4000000"/>
    <n v="4000000"/>
    <n v="10000000"/>
    <n v="4000000"/>
    <n v="4000000"/>
    <n v="4000000"/>
    <n v="9097939"/>
    <n v="4000000"/>
    <n v="493824993"/>
    <n v="0"/>
    <n v="0"/>
    <n v="0"/>
    <n v="0"/>
    <n v="0"/>
    <n v="0"/>
    <n v="0"/>
    <n v="0"/>
    <n v="0"/>
    <n v="0"/>
    <n v="0"/>
    <n v="0"/>
    <n v="0"/>
    <n v="0"/>
    <n v="0"/>
    <n v="0"/>
    <n v="0"/>
    <n v="540922932"/>
  </r>
  <r>
    <x v="2"/>
    <x v="446"/>
    <x v="4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11100"/>
    <n v="5211100"/>
    <n v="5211100"/>
    <n v="5211100"/>
    <n v="5211100"/>
    <n v="5211100"/>
    <n v="3208186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2085243"/>
  </r>
  <r>
    <x v="2"/>
    <x v="447"/>
    <x v="4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93313"/>
    <n v="3719321"/>
    <n v="3719321"/>
    <n v="3719330"/>
    <n v="2783642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1715525"/>
  </r>
  <r>
    <x v="3"/>
    <x v="448"/>
    <x v="4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449"/>
    <x v="4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65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6573"/>
  </r>
  <r>
    <x v="3"/>
    <x v="450"/>
    <x v="4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99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9977"/>
  </r>
  <r>
    <x v="3"/>
    <x v="451"/>
    <x v="4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57059"/>
    <n v="2257061"/>
    <n v="2257061"/>
    <n v="7000000"/>
    <n v="2257067"/>
    <n v="3918813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7909589"/>
  </r>
  <r>
    <x v="3"/>
    <x v="452"/>
    <x v="477"/>
    <n v="0"/>
    <n v="0"/>
    <n v="0"/>
    <n v="0"/>
    <n v="0"/>
    <n v="0"/>
    <n v="0"/>
    <n v="0"/>
    <n v="0"/>
    <n v="0"/>
    <n v="0"/>
    <n v="0"/>
    <n v="0"/>
    <n v="0"/>
    <n v="0"/>
    <n v="0"/>
    <n v="0"/>
    <n v="2544089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4408908"/>
  </r>
  <r>
    <x v="4"/>
    <x v="453"/>
    <x v="4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87296"/>
    <n v="5087348"/>
    <n v="5087348"/>
    <n v="5087348"/>
    <n v="5087348"/>
    <n v="5087348"/>
    <n v="5087348"/>
    <n v="5087348"/>
    <n v="5087348"/>
    <n v="5087348"/>
    <n v="5087348"/>
    <n v="5087348"/>
    <n v="5087348"/>
    <n v="5087348"/>
    <n v="5087348"/>
    <n v="5087348"/>
    <n v="5087348"/>
    <n v="5087348"/>
    <n v="5087348"/>
    <n v="5087348"/>
    <n v="5087348"/>
    <n v="5087348"/>
    <n v="5087348"/>
    <n v="5087348"/>
    <n v="5087364"/>
    <n v="403392500"/>
    <n v="0"/>
    <n v="530576164"/>
  </r>
  <r>
    <x v="4"/>
    <x v="454"/>
    <x v="4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00"/>
    <n v="4728500"/>
    <n v="4728500"/>
    <n v="4728500"/>
    <n v="4728500"/>
    <n v="4728500"/>
    <n v="4728500"/>
    <n v="4728500"/>
    <n v="4728500"/>
    <n v="4728500"/>
    <n v="4728500"/>
    <n v="4728500"/>
    <n v="4728500"/>
    <n v="4728500"/>
    <n v="4728500"/>
    <n v="4728500"/>
    <n v="4728500"/>
    <n v="4728500"/>
    <n v="4728500"/>
    <n v="4728500"/>
    <n v="4728500"/>
    <n v="4728500"/>
    <n v="4728500"/>
    <n v="4728500"/>
    <n v="4735500"/>
    <n v="309578500"/>
    <n v="0"/>
    <n v="423073500"/>
  </r>
  <r>
    <x v="4"/>
    <x v="455"/>
    <x v="4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43546"/>
    <n v="4660394"/>
    <n v="4660394"/>
    <n v="4660394"/>
    <n v="4660394"/>
    <n v="4660394"/>
    <n v="4660394"/>
    <n v="4660394"/>
    <n v="4660394"/>
    <n v="4660394"/>
    <n v="4660394"/>
    <n v="4660394"/>
    <n v="4660394"/>
    <n v="4660394"/>
    <n v="4660394"/>
    <n v="4660394"/>
    <n v="4660394"/>
    <n v="4660394"/>
    <n v="4660394"/>
    <n v="4660394"/>
    <n v="4660394"/>
    <n v="4660394"/>
    <n v="4660394"/>
    <n v="4660394"/>
    <n v="4660392"/>
    <n v="370517000"/>
    <n v="0"/>
    <n v="484310000"/>
  </r>
  <r>
    <x v="4"/>
    <x v="456"/>
    <x v="4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350000"/>
    <n v="2500000"/>
    <n v="9500000"/>
    <n v="2500000"/>
    <n v="2500000"/>
    <n v="2500000"/>
    <n v="5500000"/>
    <n v="2500000"/>
    <n v="2500000"/>
    <n v="2500000"/>
    <n v="2500000"/>
    <n v="2500000"/>
    <n v="12000000"/>
    <n v="2500000"/>
    <n v="9500000"/>
    <n v="2500000"/>
    <n v="2500000"/>
    <n v="2500000"/>
    <n v="10000000"/>
    <n v="2500000"/>
    <n v="2500000"/>
    <n v="2500000"/>
    <n v="259420000"/>
    <n v="0"/>
    <n v="355270000"/>
  </r>
  <r>
    <x v="4"/>
    <x v="457"/>
    <x v="4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27276"/>
    <n v="4406857"/>
    <n v="4406857"/>
    <n v="4406857"/>
    <n v="4406857"/>
    <n v="4406857"/>
    <n v="4406857"/>
    <n v="4406857"/>
    <n v="4406857"/>
    <n v="4406857"/>
    <n v="4406857"/>
    <n v="4406857"/>
    <n v="4406857"/>
    <n v="4406857"/>
    <n v="4406857"/>
    <n v="4406857"/>
    <n v="4406857"/>
    <n v="4406857"/>
    <n v="4406857"/>
    <n v="4406857"/>
    <n v="4406857"/>
    <n v="4406857"/>
    <n v="4406857"/>
    <n v="4406862"/>
    <n v="371560000"/>
    <n v="0"/>
    <n v="474244992"/>
  </r>
  <r>
    <x v="0"/>
    <x v="458"/>
    <x v="4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459"/>
    <x v="4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460"/>
    <x v="4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461"/>
    <x v="4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858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85812"/>
  </r>
  <r>
    <x v="1"/>
    <x v="462"/>
    <x v="4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463"/>
    <x v="4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464"/>
    <x v="489"/>
    <n v="0"/>
    <n v="0"/>
    <n v="0"/>
    <n v="0"/>
    <n v="0"/>
    <n v="0"/>
    <n v="0"/>
    <n v="0"/>
    <n v="0"/>
    <n v="0"/>
    <n v="0"/>
    <n v="0"/>
    <n v="0"/>
    <n v="193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332"/>
  </r>
  <r>
    <x v="1"/>
    <x v="465"/>
    <x v="49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466"/>
    <x v="491"/>
    <n v="0"/>
    <n v="0"/>
    <n v="0"/>
    <n v="0"/>
    <n v="0"/>
    <n v="0"/>
    <n v="0"/>
    <n v="0"/>
    <n v="0"/>
    <n v="0"/>
    <n v="0"/>
    <n v="0"/>
    <n v="0"/>
    <n v="1342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4205"/>
  </r>
  <r>
    <x v="1"/>
    <x v="24"/>
    <x v="4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"/>
    <x v="467"/>
    <x v="4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31000"/>
    <n v="5166550"/>
    <n v="5166550"/>
    <n v="5166550"/>
    <n v="5166550"/>
    <n v="5166550"/>
    <n v="5166550"/>
    <n v="3227707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8301000"/>
  </r>
  <r>
    <x v="2"/>
    <x v="468"/>
    <x v="4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16893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1689324"/>
  </r>
  <r>
    <x v="2"/>
    <x v="469"/>
    <x v="4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554884"/>
    <n v="6665989"/>
    <n v="2893048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2525746"/>
  </r>
  <r>
    <x v="3"/>
    <x v="470"/>
    <x v="496"/>
    <n v="0"/>
    <n v="0"/>
    <n v="0"/>
    <n v="0"/>
    <n v="0"/>
    <n v="0"/>
    <n v="0"/>
    <n v="0"/>
    <n v="0"/>
    <n v="0"/>
    <n v="0"/>
    <n v="0"/>
    <n v="0"/>
    <n v="0"/>
    <n v="0"/>
    <n v="0"/>
    <n v="0"/>
    <n v="2280438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8043896"/>
  </r>
  <r>
    <x v="3"/>
    <x v="471"/>
    <x v="4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20508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2050872"/>
  </r>
  <r>
    <x v="3"/>
    <x v="472"/>
    <x v="4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2477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247737"/>
  </r>
  <r>
    <x v="3"/>
    <x v="473"/>
    <x v="4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9100000"/>
    <n v="0"/>
    <n v="0"/>
    <n v="43423713"/>
    <n v="30000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2523713"/>
  </r>
  <r>
    <x v="4"/>
    <x v="474"/>
    <x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623096"/>
    <n v="4623096"/>
    <n v="4623096"/>
    <n v="4623096"/>
    <n v="4623096"/>
    <n v="4623096"/>
    <n v="4623096"/>
    <n v="4623096"/>
    <n v="4623096"/>
    <n v="4623096"/>
    <n v="4623096"/>
    <n v="4623096"/>
    <n v="4623096"/>
    <n v="4623096"/>
    <n v="4623096"/>
    <n v="4623096"/>
    <n v="4623096"/>
    <n v="4623096"/>
    <n v="4623096"/>
    <n v="4623096"/>
    <n v="4623096"/>
    <n v="4623096"/>
    <n v="4623096"/>
    <n v="4623082"/>
    <n v="378432250"/>
    <n v="0"/>
    <n v="489386540"/>
  </r>
  <r>
    <x v="4"/>
    <x v="475"/>
    <x v="5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04773"/>
    <n v="3617197"/>
    <n v="3617197"/>
    <n v="3617197"/>
    <n v="3617197"/>
    <n v="3617197"/>
    <n v="3617197"/>
    <n v="3617197"/>
    <n v="3617197"/>
    <n v="3617197"/>
    <n v="3617197"/>
    <n v="3617197"/>
    <n v="3617197"/>
    <n v="3617197"/>
    <n v="3617197"/>
    <n v="3617197"/>
    <n v="3617197"/>
    <n v="3617197"/>
    <n v="3617197"/>
    <n v="3617197"/>
    <n v="3617197"/>
    <n v="3617197"/>
    <n v="3617197"/>
    <n v="3617197"/>
    <n v="3617196"/>
    <n v="301857500"/>
    <n v="392275000"/>
  </r>
  <r>
    <x v="4"/>
    <x v="476"/>
    <x v="5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94656"/>
    <n v="4295429"/>
    <n v="4295429"/>
    <n v="4295429"/>
    <n v="4295429"/>
    <n v="4295429"/>
    <n v="4295429"/>
    <n v="4295429"/>
    <n v="4295429"/>
    <n v="4295429"/>
    <n v="4295429"/>
    <n v="4295429"/>
    <n v="4295429"/>
    <n v="4295429"/>
    <n v="4295429"/>
    <n v="4295429"/>
    <n v="4295429"/>
    <n v="4295429"/>
    <n v="4295429"/>
    <n v="4295429"/>
    <n v="4295429"/>
    <n v="4295429"/>
    <n v="4295429"/>
    <n v="4295429"/>
    <n v="4295429"/>
    <n v="4295414"/>
    <n v="362460000"/>
    <n v="0"/>
    <n v="474140366"/>
  </r>
  <r>
    <x v="4"/>
    <x v="477"/>
    <x v="5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70727"/>
    <n v="3552303"/>
    <n v="3552303"/>
    <n v="3552303"/>
    <n v="3552303"/>
    <n v="3552303"/>
    <n v="3552303"/>
    <n v="3552303"/>
    <n v="3552303"/>
    <n v="3552303"/>
    <n v="3552303"/>
    <n v="3552303"/>
    <n v="3552303"/>
    <n v="3552303"/>
    <n v="3552303"/>
    <n v="3552303"/>
    <n v="3552303"/>
    <n v="3552303"/>
    <n v="3552303"/>
    <n v="3552303"/>
    <n v="3552303"/>
    <n v="3552303"/>
    <n v="3552303"/>
    <n v="3552303"/>
    <n v="3552304"/>
    <n v="285194000"/>
    <n v="0"/>
    <n v="373620000"/>
  </r>
  <r>
    <x v="4"/>
    <x v="478"/>
    <x v="5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50000"/>
    <n v="1950000"/>
    <n v="3800000"/>
    <n v="1950000"/>
    <n v="1950000"/>
    <n v="11100000"/>
    <n v="1950000"/>
    <n v="1950000"/>
    <n v="3800000"/>
    <n v="1950000"/>
    <n v="1950000"/>
    <n v="16800000"/>
    <n v="1950000"/>
    <n v="1950000"/>
    <n v="3800000"/>
    <n v="1950000"/>
    <n v="1950000"/>
    <n v="11100000"/>
    <n v="1950000"/>
    <n v="1950000"/>
    <n v="3800000"/>
    <n v="1950000"/>
    <n v="1950000"/>
    <n v="18838000"/>
    <n v="369572000"/>
    <n v="0"/>
    <n v="473810000"/>
  </r>
  <r>
    <x v="0"/>
    <x v="479"/>
    <x v="5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480"/>
    <x v="5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481"/>
    <x v="5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000000"/>
    <n v="302862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2862000"/>
  </r>
  <r>
    <x v="0"/>
    <x v="482"/>
    <x v="5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483"/>
    <x v="509"/>
    <n v="0"/>
    <n v="0"/>
    <n v="0"/>
    <n v="0"/>
    <n v="0"/>
    <n v="0"/>
    <n v="0"/>
    <n v="0"/>
    <n v="0"/>
    <n v="0"/>
    <n v="0"/>
    <n v="0"/>
    <n v="0"/>
    <n v="0"/>
    <n v="1097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9758"/>
  </r>
  <r>
    <x v="1"/>
    <x v="484"/>
    <x v="5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485"/>
    <x v="5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486"/>
    <x v="5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487"/>
    <x v="5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488"/>
    <x v="5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"/>
    <x v="489"/>
    <x v="5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19075"/>
    <n v="3419076"/>
    <n v="3419072"/>
    <n v="3317037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1960973"/>
  </r>
  <r>
    <x v="2"/>
    <x v="490"/>
    <x v="5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65718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6571850"/>
  </r>
  <r>
    <x v="2"/>
    <x v="491"/>
    <x v="5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49274"/>
    <n v="4219126"/>
    <n v="4219141"/>
    <n v="3243614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6948984"/>
  </r>
  <r>
    <x v="2"/>
    <x v="492"/>
    <x v="518"/>
    <n v="0"/>
    <n v="0"/>
    <n v="0"/>
    <n v="0"/>
    <n v="0"/>
    <n v="0"/>
    <n v="0"/>
    <n v="0"/>
    <n v="0"/>
    <n v="0"/>
    <n v="0"/>
    <n v="0"/>
    <n v="0"/>
    <n v="0"/>
    <n v="0"/>
    <n v="0"/>
    <n v="0"/>
    <n v="3718904"/>
    <n v="4173714"/>
    <n v="4173714"/>
    <n v="4173714"/>
    <n v="4173714"/>
    <n v="4173722"/>
    <n v="282016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6603482"/>
  </r>
  <r>
    <x v="3"/>
    <x v="493"/>
    <x v="519"/>
    <n v="0"/>
    <n v="0"/>
    <n v="0"/>
    <n v="0"/>
    <n v="0"/>
    <n v="0"/>
    <n v="0"/>
    <n v="0"/>
    <n v="0"/>
    <n v="0"/>
    <n v="0"/>
    <n v="0"/>
    <n v="0"/>
    <n v="0"/>
    <n v="0"/>
    <n v="0"/>
    <n v="3149815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4981578"/>
  </r>
  <r>
    <x v="3"/>
    <x v="494"/>
    <x v="5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68384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6838462"/>
  </r>
  <r>
    <x v="3"/>
    <x v="495"/>
    <x v="5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4466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4466993"/>
  </r>
  <r>
    <x v="3"/>
    <x v="496"/>
    <x v="5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29352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2935200"/>
  </r>
  <r>
    <x v="3"/>
    <x v="497"/>
    <x v="523"/>
    <n v="0"/>
    <n v="0"/>
    <n v="0"/>
    <n v="0"/>
    <n v="0"/>
    <n v="0"/>
    <n v="0"/>
    <n v="0"/>
    <n v="0"/>
    <n v="0"/>
    <n v="0"/>
    <n v="0"/>
    <n v="0"/>
    <n v="0"/>
    <n v="0"/>
    <n v="0"/>
    <n v="0"/>
    <n v="2836327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3632765"/>
  </r>
  <r>
    <x v="4"/>
    <x v="498"/>
    <x v="5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15330"/>
    <n v="5215330"/>
    <n v="5215330"/>
    <n v="5215330"/>
    <n v="5215330"/>
    <n v="5215330"/>
    <n v="5215330"/>
    <n v="5215330"/>
    <n v="5215330"/>
    <n v="5215330"/>
    <n v="5215330"/>
    <n v="5215330"/>
    <n v="5215330"/>
    <n v="5215330"/>
    <n v="5215330"/>
    <n v="5215330"/>
    <n v="5215330"/>
    <n v="5215330"/>
    <n v="5215330"/>
    <n v="5215330"/>
    <n v="5215330"/>
    <n v="5215330"/>
    <n v="5215330"/>
    <n v="5215330"/>
    <n v="5215331"/>
    <n v="372260000"/>
    <n v="0"/>
    <n v="502643251"/>
  </r>
  <r>
    <x v="4"/>
    <x v="499"/>
    <x v="5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6166667"/>
    <n v="0"/>
    <n v="1064786"/>
    <n v="2032393"/>
    <n v="2032393"/>
    <n v="2032393"/>
    <n v="2032393"/>
    <n v="2032393"/>
    <n v="2032393"/>
    <n v="2032393"/>
    <n v="2032393"/>
    <n v="2032393"/>
    <n v="2032393"/>
    <n v="2032393"/>
    <n v="2032393"/>
    <n v="2032393"/>
    <n v="2032393"/>
    <n v="2032393"/>
    <n v="2032393"/>
    <n v="2032393"/>
    <n v="2032393"/>
    <n v="2032393"/>
    <n v="2032393"/>
    <n v="2032393"/>
    <n v="2032393"/>
    <n v="2032401"/>
    <n v="310278500"/>
    <n v="0"/>
    <n v="434255000"/>
  </r>
  <r>
    <x v="4"/>
    <x v="500"/>
    <x v="526"/>
    <n v="0"/>
    <n v="0"/>
    <n v="0"/>
    <n v="0"/>
    <n v="0"/>
    <n v="0"/>
    <n v="0"/>
    <n v="0"/>
    <n v="0"/>
    <n v="0"/>
    <n v="0"/>
    <n v="0"/>
    <n v="0"/>
    <n v="0"/>
    <n v="0"/>
    <n v="0"/>
    <n v="0"/>
    <n v="967406"/>
    <n v="1300000"/>
    <n v="1300000"/>
    <n v="1300000"/>
    <n v="1300000"/>
    <n v="1300000"/>
    <n v="3500000"/>
    <n v="1400000"/>
    <n v="1400000"/>
    <n v="1400000"/>
    <n v="1400000"/>
    <n v="1400000"/>
    <n v="3500000"/>
    <n v="1400000"/>
    <n v="1400000"/>
    <n v="1400000"/>
    <n v="40000000"/>
    <n v="1400000"/>
    <n v="3500000"/>
    <n v="1500000"/>
    <n v="1500000"/>
    <n v="1500000"/>
    <n v="1500000"/>
    <n v="1500000"/>
    <n v="3500000"/>
    <n v="1500000"/>
    <n v="1500000"/>
    <n v="15654600"/>
    <n v="276627400"/>
    <n v="0"/>
    <n v="376849406"/>
  </r>
  <r>
    <x v="4"/>
    <x v="501"/>
    <x v="5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55713"/>
    <n v="4455714"/>
    <n v="4455714"/>
    <n v="4455714"/>
    <n v="4455714"/>
    <n v="4455714"/>
    <n v="4455714"/>
    <n v="4455714"/>
    <n v="4455714"/>
    <n v="4455714"/>
    <n v="4455714"/>
    <n v="4455714"/>
    <n v="4455714"/>
    <n v="4455714"/>
    <n v="4455714"/>
    <n v="4455714"/>
    <n v="4455714"/>
    <n v="4455714"/>
    <n v="4455714"/>
    <n v="4455714"/>
    <n v="4455714"/>
    <n v="4455714"/>
    <n v="4455724"/>
    <n v="375550000"/>
    <n v="0"/>
    <n v="478031431"/>
  </r>
  <r>
    <x v="0"/>
    <x v="502"/>
    <x v="5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68695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6869512"/>
  </r>
  <r>
    <x v="0"/>
    <x v="503"/>
    <x v="5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504"/>
    <x v="5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505"/>
    <x v="5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370"/>
    <x v="5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506"/>
    <x v="533"/>
    <n v="0"/>
    <n v="0"/>
    <n v="0"/>
    <n v="0"/>
    <n v="0"/>
    <n v="0"/>
    <n v="0"/>
    <n v="0"/>
    <n v="0"/>
    <n v="0"/>
    <n v="0"/>
    <n v="0"/>
    <n v="0"/>
    <n v="0"/>
    <n v="935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3534"/>
  </r>
  <r>
    <x v="1"/>
    <x v="45"/>
    <x v="534"/>
    <n v="0"/>
    <n v="0"/>
    <n v="0"/>
    <n v="0"/>
    <n v="0"/>
    <n v="0"/>
    <n v="0"/>
    <n v="0"/>
    <n v="0"/>
    <n v="0"/>
    <n v="0"/>
    <n v="0"/>
    <n v="0"/>
    <n v="0"/>
    <n v="1184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7212"/>
  </r>
  <r>
    <x v="1"/>
    <x v="507"/>
    <x v="5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487"/>
    <x v="536"/>
    <n v="0"/>
    <n v="0"/>
    <n v="0"/>
    <n v="0"/>
    <n v="0"/>
    <n v="0"/>
    <n v="0"/>
    <n v="0"/>
    <n v="0"/>
    <n v="0"/>
    <n v="0"/>
    <n v="0"/>
    <n v="0"/>
    <n v="0"/>
    <n v="5215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1547"/>
  </r>
  <r>
    <x v="1"/>
    <x v="45"/>
    <x v="5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"/>
    <x v="508"/>
    <x v="5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25541"/>
    <n v="4225541"/>
    <n v="4225544"/>
    <n v="3332390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5915721"/>
  </r>
  <r>
    <x v="2"/>
    <x v="509"/>
    <x v="5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175423"/>
    <n v="5175423"/>
    <n v="5175425"/>
    <n v="3223722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7898521"/>
  </r>
  <r>
    <x v="2"/>
    <x v="510"/>
    <x v="540"/>
    <n v="0"/>
    <n v="0"/>
    <n v="0"/>
    <n v="0"/>
    <n v="0"/>
    <n v="0"/>
    <n v="0"/>
    <n v="0"/>
    <n v="0"/>
    <n v="0"/>
    <n v="0"/>
    <n v="0"/>
    <n v="0"/>
    <n v="0"/>
    <n v="0"/>
    <n v="0"/>
    <n v="1852852"/>
    <n v="3850000"/>
    <n v="3850000"/>
    <n v="3850000"/>
    <n v="3672746"/>
    <n v="2785872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5662834"/>
  </r>
  <r>
    <x v="3"/>
    <x v="511"/>
    <x v="5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020689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0206890"/>
  </r>
  <r>
    <x v="3"/>
    <x v="512"/>
    <x v="5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999999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9999990"/>
  </r>
  <r>
    <x v="3"/>
    <x v="513"/>
    <x v="5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409213"/>
    <n v="27409213"/>
    <n v="27409213"/>
    <n v="264728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8700447"/>
  </r>
  <r>
    <x v="3"/>
    <x v="514"/>
    <x v="5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500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5000000"/>
  </r>
  <r>
    <x v="3"/>
    <x v="515"/>
    <x v="5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"/>
    <x v="516"/>
    <x v="5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4290"/>
    <n v="4505429"/>
    <n v="4505429"/>
    <n v="4505429"/>
    <n v="4505429"/>
    <n v="4505429"/>
    <n v="4505429"/>
    <n v="4505429"/>
    <n v="4505429"/>
    <n v="4505429"/>
    <n v="4505429"/>
    <n v="4505429"/>
    <n v="4505429"/>
    <n v="4505429"/>
    <n v="4505429"/>
    <n v="4505429"/>
    <n v="4505429"/>
    <n v="4505429"/>
    <n v="4505429"/>
    <n v="4505429"/>
    <n v="4505429"/>
    <n v="4505429"/>
    <n v="4505429"/>
    <n v="4505429"/>
    <n v="4505414"/>
    <n v="372610000"/>
    <n v="0"/>
    <n v="480794571"/>
  </r>
  <r>
    <x v="4"/>
    <x v="517"/>
    <x v="5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50000"/>
    <n v="3350000"/>
    <n v="3350000"/>
    <n v="3350000"/>
    <n v="3350000"/>
    <n v="3350000"/>
    <n v="3350000"/>
    <n v="3350000"/>
    <n v="3350000"/>
    <n v="3350000"/>
    <n v="3350000"/>
    <n v="3350000"/>
    <n v="3350000"/>
    <n v="3350000"/>
    <n v="3350000"/>
    <n v="3350000"/>
    <n v="3350000"/>
    <n v="3350000"/>
    <n v="3350000"/>
    <n v="3350000"/>
    <n v="3350000"/>
    <n v="3350000"/>
    <n v="3350000"/>
    <n v="3350000"/>
    <n v="3350000"/>
    <n v="278250000"/>
    <n v="0"/>
    <n v="361000000"/>
  </r>
  <r>
    <x v="4"/>
    <x v="518"/>
    <x v="5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39946"/>
    <n v="4349086"/>
    <n v="4349086"/>
    <n v="4349086"/>
    <n v="4349086"/>
    <n v="4349086"/>
    <n v="4349086"/>
    <n v="4349086"/>
    <n v="4349086"/>
    <n v="4349086"/>
    <n v="4349086"/>
    <n v="4349086"/>
    <n v="4349086"/>
    <n v="4349086"/>
    <n v="4349086"/>
    <n v="4349086"/>
    <n v="4349086"/>
    <n v="4349086"/>
    <n v="4349086"/>
    <n v="4349086"/>
    <n v="4349086"/>
    <n v="4349086"/>
    <n v="4349086"/>
    <n v="4349086"/>
    <n v="4349076"/>
    <n v="359842000"/>
    <n v="0"/>
    <n v="467560000"/>
  </r>
  <r>
    <x v="4"/>
    <x v="519"/>
    <x v="5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00000"/>
    <n v="5000000"/>
    <n v="1000000"/>
    <n v="4000000"/>
    <n v="1000000"/>
    <n v="1000000"/>
    <n v="1000000"/>
    <n v="1000000"/>
    <n v="1000000"/>
    <n v="4000000"/>
    <n v="1000000"/>
    <n v="1000000"/>
    <n v="1000000"/>
    <n v="1000000"/>
    <n v="1000000"/>
    <n v="5000000"/>
    <n v="1000000"/>
    <n v="1000000"/>
    <n v="200000000"/>
    <n v="1000000"/>
    <n v="1000000"/>
    <n v="5000000"/>
    <n v="1000000"/>
    <n v="1000000"/>
    <n v="3000000"/>
    <n v="136674500"/>
    <n v="0"/>
    <n v="380674500"/>
  </r>
  <r>
    <x v="4"/>
    <x v="520"/>
    <x v="550"/>
    <n v="0"/>
    <n v="0"/>
    <n v="0"/>
    <n v="0"/>
    <n v="0"/>
    <n v="0"/>
    <n v="0"/>
    <n v="0"/>
    <n v="0"/>
    <n v="0"/>
    <n v="0"/>
    <n v="0"/>
    <n v="0"/>
    <n v="0"/>
    <n v="0"/>
    <n v="0"/>
    <n v="1693012"/>
    <n v="4627463"/>
    <n v="4627463"/>
    <n v="4627463"/>
    <n v="4627463"/>
    <n v="4627463"/>
    <n v="4627463"/>
    <n v="4627463"/>
    <n v="4627463"/>
    <n v="4627463"/>
    <n v="4627463"/>
    <n v="4627463"/>
    <n v="4627463"/>
    <n v="4627463"/>
    <n v="4627463"/>
    <n v="4627463"/>
    <n v="4627463"/>
    <n v="4627463"/>
    <n v="4627463"/>
    <n v="4627463"/>
    <n v="4627463"/>
    <n v="4627463"/>
    <n v="4627463"/>
    <n v="4627463"/>
    <n v="4627463"/>
    <n v="4627463"/>
    <n v="4627463"/>
    <n v="4627463"/>
    <n v="4627471"/>
    <n v="378778750"/>
    <n v="0"/>
    <n v="510040734"/>
  </r>
  <r>
    <x v="0"/>
    <x v="521"/>
    <x v="5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522"/>
    <x v="5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40716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4071610"/>
  </r>
  <r>
    <x v="0"/>
    <x v="523"/>
    <x v="5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524"/>
    <x v="554"/>
    <n v="0"/>
    <n v="0"/>
    <n v="0"/>
    <n v="0"/>
    <n v="0"/>
    <n v="0"/>
    <n v="0"/>
    <n v="0"/>
    <n v="0"/>
    <n v="0"/>
    <n v="0"/>
    <n v="0"/>
    <n v="0"/>
    <n v="0"/>
    <n v="0"/>
    <n v="0"/>
    <n v="0"/>
    <n v="10415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40360"/>
  </r>
  <r>
    <x v="1"/>
    <x v="525"/>
    <x v="555"/>
    <n v="0"/>
    <n v="0"/>
    <n v="0"/>
    <n v="0"/>
    <n v="0"/>
    <n v="0"/>
    <n v="0"/>
    <n v="0"/>
    <n v="0"/>
    <n v="0"/>
    <n v="0"/>
    <n v="0"/>
    <n v="0"/>
    <n v="0"/>
    <n v="0"/>
    <n v="0"/>
    <n v="0"/>
    <n v="1247231"/>
    <n v="0"/>
    <n v="13825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29773"/>
  </r>
  <r>
    <x v="1"/>
    <x v="526"/>
    <x v="5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527"/>
    <x v="557"/>
    <n v="0"/>
    <n v="0"/>
    <n v="0"/>
    <n v="0"/>
    <n v="0"/>
    <n v="0"/>
    <n v="0"/>
    <n v="0"/>
    <n v="0"/>
    <n v="0"/>
    <n v="0"/>
    <n v="0"/>
    <n v="0"/>
    <n v="0"/>
    <n v="669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6952"/>
  </r>
  <r>
    <x v="1"/>
    <x v="487"/>
    <x v="558"/>
    <n v="0"/>
    <n v="0"/>
    <n v="0"/>
    <n v="0"/>
    <n v="0"/>
    <n v="0"/>
    <n v="0"/>
    <n v="0"/>
    <n v="0"/>
    <n v="0"/>
    <n v="0"/>
    <n v="0"/>
    <n v="0"/>
    <n v="0"/>
    <n v="6397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39707"/>
  </r>
  <r>
    <x v="1"/>
    <x v="528"/>
    <x v="559"/>
    <n v="0"/>
    <n v="0"/>
    <n v="0"/>
    <n v="0"/>
    <n v="0"/>
    <n v="0"/>
    <n v="0"/>
    <n v="0"/>
    <n v="0"/>
    <n v="0"/>
    <n v="0"/>
    <n v="0"/>
    <n v="0"/>
    <n v="131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1271"/>
  </r>
  <r>
    <x v="1"/>
    <x v="529"/>
    <x v="5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"/>
    <x v="530"/>
    <x v="5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95675"/>
    <n v="4911827"/>
    <n v="4911827"/>
    <n v="4911821"/>
    <n v="3298813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8912476"/>
  </r>
  <r>
    <x v="2"/>
    <x v="531"/>
    <x v="5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85928"/>
    <n v="15585928"/>
    <n v="15585928"/>
    <n v="15585928"/>
    <n v="3808774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0221192"/>
  </r>
  <r>
    <x v="2"/>
    <x v="532"/>
    <x v="563"/>
    <n v="0"/>
    <n v="0"/>
    <n v="0"/>
    <n v="0"/>
    <n v="0"/>
    <n v="3392140"/>
    <n v="8000000"/>
    <n v="8000000"/>
    <n v="4300000"/>
    <n v="4300000"/>
    <n v="4300000"/>
    <n v="4300000"/>
    <n v="4300000"/>
    <n v="4300000"/>
    <n v="4300000"/>
    <n v="4300000"/>
    <n v="4300000"/>
    <n v="8000000"/>
    <n v="11771973"/>
    <n v="8000000"/>
    <n v="10191167"/>
    <n v="10191167"/>
    <n v="3250579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1304390"/>
  </r>
  <r>
    <x v="2"/>
    <x v="533"/>
    <x v="5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875050"/>
    <n v="2718825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757647"/>
  </r>
  <r>
    <x v="3"/>
    <x v="534"/>
    <x v="5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36036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3603604"/>
  </r>
  <r>
    <x v="3"/>
    <x v="535"/>
    <x v="566"/>
    <n v="0"/>
    <n v="0"/>
    <n v="0"/>
    <n v="0"/>
    <n v="0"/>
    <n v="0"/>
    <n v="0"/>
    <n v="0"/>
    <n v="0"/>
    <n v="0"/>
    <n v="0"/>
    <n v="0"/>
    <n v="0"/>
    <n v="0"/>
    <n v="0"/>
    <n v="0"/>
    <n v="0"/>
    <n v="415540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554030"/>
  </r>
  <r>
    <x v="3"/>
    <x v="495"/>
    <x v="5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83310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8331098"/>
  </r>
  <r>
    <x v="3"/>
    <x v="536"/>
    <x v="5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96191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9619192"/>
  </r>
  <r>
    <x v="4"/>
    <x v="537"/>
    <x v="5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8140"/>
    <n v="110708140"/>
    <n v="2608140"/>
    <n v="2608140"/>
    <n v="2608140"/>
    <n v="2608140"/>
    <n v="2608140"/>
    <n v="2608140"/>
    <n v="2608140"/>
    <n v="2608140"/>
    <n v="2608140"/>
    <n v="2608140"/>
    <n v="2608140"/>
    <n v="2608140"/>
    <n v="2608140"/>
    <n v="2608140"/>
    <n v="2608140"/>
    <n v="2608140"/>
    <n v="2608140"/>
    <n v="2608140"/>
    <n v="2608140"/>
    <n v="2608140"/>
    <n v="2608140"/>
    <n v="2608140"/>
    <n v="2608140"/>
    <n v="416041500"/>
    <n v="0"/>
    <n v="589345000"/>
  </r>
  <r>
    <x v="4"/>
    <x v="538"/>
    <x v="57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37339"/>
    <n v="4026371"/>
    <n v="4026371"/>
    <n v="4026371"/>
    <n v="4026371"/>
    <n v="4026371"/>
    <n v="4026371"/>
    <n v="4026371"/>
    <n v="4026371"/>
    <n v="4026371"/>
    <n v="4026371"/>
    <n v="4026371"/>
    <n v="4026371"/>
    <n v="4026371"/>
    <n v="4026371"/>
    <n v="4026371"/>
    <n v="4026371"/>
    <n v="4026371"/>
    <n v="4026371"/>
    <n v="4026371"/>
    <n v="4026371"/>
    <n v="4026371"/>
    <n v="4026370"/>
    <n v="0"/>
    <n v="302907500"/>
    <n v="392725000"/>
  </r>
  <r>
    <x v="4"/>
    <x v="539"/>
    <x v="5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00000"/>
    <n v="3000000"/>
    <n v="11200000"/>
    <n v="3000000"/>
    <n v="3000000"/>
    <n v="21708000"/>
    <n v="3000000"/>
    <n v="3000000"/>
    <n v="3000000"/>
    <n v="9800000"/>
    <n v="3000000"/>
    <n v="3000000"/>
    <n v="3000000"/>
    <n v="13000000"/>
    <n v="14300000"/>
    <n v="3000000"/>
    <n v="3000000"/>
    <n v="7808000"/>
    <n v="3000000"/>
    <n v="3000000"/>
    <n v="3000000"/>
    <n v="9400000"/>
    <n v="3000000"/>
    <n v="2261053"/>
    <n v="399392122"/>
    <n v="0"/>
    <n v="536269175"/>
  </r>
  <r>
    <x v="4"/>
    <x v="540"/>
    <x v="5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70480"/>
    <n v="3570485"/>
    <n v="3570485"/>
    <n v="3570485"/>
    <n v="3570485"/>
    <n v="3570485"/>
    <n v="3570485"/>
    <n v="3570485"/>
    <n v="3570485"/>
    <n v="3570485"/>
    <n v="3570485"/>
    <n v="3570485"/>
    <n v="3570485"/>
    <n v="3570485"/>
    <n v="3570485"/>
    <n v="3570485"/>
    <n v="3570485"/>
    <n v="3570485"/>
    <n v="3570485"/>
    <n v="3570485"/>
    <n v="3570485"/>
    <n v="3570485"/>
    <n v="3570485"/>
    <n v="3570485"/>
    <n v="3570485"/>
    <n v="286594000"/>
    <n v="0"/>
    <n v="375856120"/>
  </r>
  <r>
    <x v="4"/>
    <x v="541"/>
    <x v="5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n v="4421429"/>
    <n v="4421429"/>
    <n v="4421429"/>
    <n v="4421429"/>
    <n v="4421429"/>
    <n v="4421429"/>
    <n v="4421429"/>
    <n v="4421429"/>
    <n v="4421429"/>
    <n v="4421429"/>
    <n v="4421429"/>
    <n v="4421429"/>
    <n v="4421429"/>
    <n v="4421429"/>
    <n v="4421429"/>
    <n v="4421429"/>
    <n v="4421429"/>
    <n v="4421429"/>
    <n v="4421429"/>
    <n v="4421429"/>
    <n v="4421429"/>
    <n v="4421429"/>
    <n v="4421429"/>
    <n v="4421429"/>
    <n v="4421414"/>
    <n v="372750000"/>
    <n v="0"/>
    <n v="483285713"/>
  </r>
  <r>
    <x v="3"/>
    <x v="523"/>
    <x v="5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436"/>
    <x v="5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292"/>
    <x v="5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00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000000"/>
  </r>
  <r>
    <x v="3"/>
    <x v="320"/>
    <x v="5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000"/>
    <n v="300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000000"/>
  </r>
  <r>
    <x v="3"/>
    <x v="507"/>
    <x v="5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00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000000"/>
  </r>
  <r>
    <x v="3"/>
    <x v="415"/>
    <x v="5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523"/>
    <x v="5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22"/>
    <x v="5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436"/>
    <x v="5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154"/>
    <x v="5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217"/>
    <x v="5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288"/>
    <x v="5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542"/>
    <x v="5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"/>
    <x v="543"/>
    <x v="587"/>
    <n v="0"/>
    <n v="0"/>
    <n v="0"/>
    <n v="0"/>
    <n v="0"/>
    <n v="3392140"/>
    <n v="382240661"/>
    <n v="7999975"/>
    <n v="237183003"/>
    <n v="5256599"/>
    <n v="4110204"/>
    <n v="6034324"/>
    <n v="22694034"/>
    <n v="5934263"/>
    <n v="13771755"/>
    <n v="20576319"/>
    <n v="843878425"/>
    <n v="6992693687"/>
    <n v="469975183"/>
    <n v="11279585028"/>
    <n v="1715738372"/>
    <n v="3693993084"/>
    <n v="13901518764"/>
    <n v="7578948659"/>
    <n v="2212209271"/>
    <n v="2155916703"/>
    <n v="7292895627"/>
    <n v="3476226661"/>
    <n v="469915825"/>
    <n v="1864481837"/>
    <n v="479686889"/>
    <n v="455086889"/>
    <n v="469936889"/>
    <n v="497686889"/>
    <n v="498637140"/>
    <n v="564828353"/>
    <n v="468679388"/>
    <n v="495526388"/>
    <n v="752307467"/>
    <n v="469130110"/>
    <n v="473130110"/>
    <n v="541379076"/>
    <n v="842240111"/>
    <n v="465312022"/>
    <n v="943535296"/>
    <n v="36274546612"/>
    <n v="2773312750"/>
    <n v="11212213278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87">
  <r>
    <x v="0"/>
    <x v="0"/>
    <x v="0"/>
    <m/>
    <m/>
    <m/>
    <m/>
    <m/>
    <m/>
    <m/>
    <m/>
    <x v="0"/>
    <m/>
    <n v="0"/>
    <n v="1"/>
  </r>
  <r>
    <x v="1"/>
    <x v="1"/>
    <x v="1"/>
    <n v="214272235"/>
    <n v="214272235"/>
    <n v="0"/>
    <n v="0"/>
    <n v="0"/>
    <n v="0"/>
    <n v="0"/>
    <n v="0"/>
    <x v="0"/>
    <n v="0"/>
    <n v="2"/>
    <n v="0"/>
  </r>
  <r>
    <x v="1"/>
    <x v="1"/>
    <x v="2"/>
    <n v="142000000"/>
    <n v="142000000"/>
    <n v="0"/>
    <n v="0"/>
    <n v="0"/>
    <n v="0"/>
    <n v="0"/>
    <n v="0"/>
    <x v="0"/>
    <n v="0"/>
    <n v="1"/>
    <n v="1"/>
  </r>
  <r>
    <x v="1"/>
    <x v="1"/>
    <x v="3"/>
    <n v="132437"/>
    <n v="0"/>
    <n v="132437"/>
    <n v="0"/>
    <n v="132437"/>
    <n v="0"/>
    <n v="0"/>
    <n v="0"/>
    <x v="0"/>
    <n v="132437"/>
    <n v="3"/>
    <n v="1"/>
  </r>
  <r>
    <x v="1"/>
    <x v="1"/>
    <x v="4"/>
    <n v="1666133"/>
    <n v="0"/>
    <n v="1666133"/>
    <n v="0"/>
    <n v="1666133"/>
    <n v="0"/>
    <n v="0"/>
    <n v="0"/>
    <x v="0"/>
    <n v="1666133"/>
    <n v="4"/>
    <n v="1"/>
  </r>
  <r>
    <x v="2"/>
    <x v="2"/>
    <x v="1"/>
    <n v="109529214"/>
    <n v="109529214"/>
    <n v="0"/>
    <n v="0"/>
    <n v="0"/>
    <n v="0"/>
    <n v="0"/>
    <n v="0"/>
    <x v="0"/>
    <n v="0"/>
    <n v="6"/>
    <n v="0"/>
  </r>
  <r>
    <x v="2"/>
    <x v="2"/>
    <x v="2"/>
    <n v="177500000"/>
    <n v="177500000"/>
    <n v="0"/>
    <n v="0"/>
    <n v="0"/>
    <n v="0"/>
    <n v="0"/>
    <n v="0"/>
    <x v="0"/>
    <n v="0"/>
    <n v="5"/>
    <n v="1"/>
  </r>
  <r>
    <x v="2"/>
    <x v="2"/>
    <x v="5"/>
    <n v="1242114"/>
    <n v="1242114"/>
    <n v="0"/>
    <n v="0"/>
    <n v="0"/>
    <n v="0"/>
    <n v="0"/>
    <n v="0"/>
    <x v="0"/>
    <n v="0"/>
    <n v="7"/>
    <n v="1"/>
  </r>
  <r>
    <x v="2"/>
    <x v="2"/>
    <x v="4"/>
    <n v="426000"/>
    <n v="426000"/>
    <n v="0"/>
    <n v="0"/>
    <n v="0"/>
    <n v="0"/>
    <n v="0"/>
    <n v="0"/>
    <x v="0"/>
    <n v="0"/>
    <n v="8"/>
    <n v="1"/>
  </r>
  <r>
    <x v="2"/>
    <x v="2"/>
    <x v="6"/>
    <n v="10005788"/>
    <n v="10005788"/>
    <n v="0"/>
    <n v="0"/>
    <n v="0"/>
    <n v="0"/>
    <n v="0"/>
    <n v="0"/>
    <x v="0"/>
    <n v="0"/>
    <n v="9"/>
    <n v="1"/>
  </r>
  <r>
    <x v="3"/>
    <x v="3"/>
    <x v="1"/>
    <n v="64802542"/>
    <n v="64802542"/>
    <n v="0"/>
    <n v="0"/>
    <n v="0"/>
    <n v="0"/>
    <n v="0"/>
    <n v="0"/>
    <x v="0"/>
    <n v="0"/>
    <n v="12"/>
    <n v="0"/>
  </r>
  <r>
    <x v="3"/>
    <x v="3"/>
    <x v="7"/>
    <n v="33000000"/>
    <n v="33000000"/>
    <n v="0"/>
    <n v="0"/>
    <n v="0"/>
    <n v="0"/>
    <n v="0"/>
    <n v="0"/>
    <x v="0"/>
    <n v="0"/>
    <n v="10"/>
    <n v="1"/>
  </r>
  <r>
    <x v="3"/>
    <x v="3"/>
    <x v="2"/>
    <n v="208000000"/>
    <n v="208000000"/>
    <n v="0"/>
    <n v="0"/>
    <n v="0"/>
    <n v="0"/>
    <n v="0"/>
    <n v="0"/>
    <x v="0"/>
    <n v="0"/>
    <n v="11"/>
    <n v="1"/>
  </r>
  <r>
    <x v="3"/>
    <x v="3"/>
    <x v="8"/>
    <n v="438845"/>
    <n v="438845"/>
    <n v="0"/>
    <n v="0"/>
    <n v="0"/>
    <n v="0"/>
    <n v="0"/>
    <n v="0"/>
    <x v="0"/>
    <n v="0"/>
    <n v="13"/>
    <n v="1"/>
  </r>
  <r>
    <x v="3"/>
    <x v="3"/>
    <x v="3"/>
    <n v="23510"/>
    <n v="23510"/>
    <n v="0"/>
    <n v="0"/>
    <n v="0"/>
    <n v="0"/>
    <n v="0"/>
    <n v="0"/>
    <x v="0"/>
    <n v="0"/>
    <n v="14"/>
    <n v="1"/>
  </r>
  <r>
    <x v="3"/>
    <x v="3"/>
    <x v="4"/>
    <n v="1168160"/>
    <n v="1168160"/>
    <n v="0"/>
    <n v="0"/>
    <n v="0"/>
    <n v="0"/>
    <n v="0"/>
    <n v="0"/>
    <x v="0"/>
    <n v="0"/>
    <n v="15"/>
    <n v="1"/>
  </r>
  <r>
    <x v="3"/>
    <x v="3"/>
    <x v="6"/>
    <n v="1512675"/>
    <n v="1512675"/>
    <n v="0"/>
    <n v="0"/>
    <n v="0"/>
    <n v="0"/>
    <n v="0"/>
    <n v="0"/>
    <x v="0"/>
    <n v="0"/>
    <n v="16"/>
    <n v="1"/>
  </r>
  <r>
    <x v="4"/>
    <x v="4"/>
    <x v="1"/>
    <n v="124455315"/>
    <n v="124455315"/>
    <n v="0"/>
    <n v="0"/>
    <n v="0"/>
    <n v="0"/>
    <n v="0"/>
    <n v="0"/>
    <x v="0"/>
    <n v="0"/>
    <n v="18"/>
    <n v="0"/>
  </r>
  <r>
    <x v="4"/>
    <x v="4"/>
    <x v="2"/>
    <n v="234821747"/>
    <n v="234821747"/>
    <n v="0"/>
    <n v="0"/>
    <n v="0"/>
    <n v="0"/>
    <n v="0"/>
    <n v="0"/>
    <x v="0"/>
    <n v="0"/>
    <n v="17"/>
    <n v="1"/>
  </r>
  <r>
    <x v="4"/>
    <x v="4"/>
    <x v="8"/>
    <n v="515806"/>
    <n v="515806"/>
    <n v="0"/>
    <n v="0"/>
    <n v="0"/>
    <n v="0"/>
    <n v="0"/>
    <n v="0"/>
    <x v="0"/>
    <n v="0"/>
    <n v="19"/>
    <n v="1"/>
  </r>
  <r>
    <x v="4"/>
    <x v="4"/>
    <x v="3"/>
    <n v="98442"/>
    <n v="98442"/>
    <n v="0"/>
    <n v="0"/>
    <n v="0"/>
    <n v="0"/>
    <n v="0"/>
    <n v="0"/>
    <x v="0"/>
    <n v="0"/>
    <n v="20"/>
    <n v="1"/>
  </r>
  <r>
    <x v="4"/>
    <x v="4"/>
    <x v="4"/>
    <n v="1440240"/>
    <n v="1440240"/>
    <n v="0"/>
    <n v="0"/>
    <n v="0"/>
    <n v="0"/>
    <n v="0"/>
    <n v="0"/>
    <x v="0"/>
    <n v="0"/>
    <n v="21"/>
    <n v="1"/>
  </r>
  <r>
    <x v="4"/>
    <x v="4"/>
    <x v="6"/>
    <n v="1931850"/>
    <n v="1931850"/>
    <n v="0"/>
    <n v="0"/>
    <n v="0"/>
    <n v="0"/>
    <n v="0"/>
    <n v="0"/>
    <x v="0"/>
    <n v="0"/>
    <n v="22"/>
    <n v="1"/>
  </r>
  <r>
    <x v="5"/>
    <x v="5"/>
    <x v="1"/>
    <n v="83180012"/>
    <n v="83180012"/>
    <n v="0"/>
    <n v="0"/>
    <n v="0"/>
    <n v="0"/>
    <n v="0"/>
    <n v="0"/>
    <x v="0"/>
    <n v="0"/>
    <n v="24"/>
    <n v="0"/>
  </r>
  <r>
    <x v="5"/>
    <x v="5"/>
    <x v="2"/>
    <n v="186919823"/>
    <n v="0"/>
    <n v="186919823"/>
    <n v="0"/>
    <n v="186919823"/>
    <n v="0"/>
    <n v="0"/>
    <n v="0"/>
    <x v="0"/>
    <n v="186919823"/>
    <n v="23"/>
    <n v="1"/>
  </r>
  <r>
    <x v="5"/>
    <x v="5"/>
    <x v="6"/>
    <n v="1120500"/>
    <n v="1120500"/>
    <n v="0"/>
    <n v="0"/>
    <n v="0"/>
    <n v="0"/>
    <n v="0"/>
    <n v="0"/>
    <x v="0"/>
    <n v="0"/>
    <n v="25"/>
    <n v="1"/>
  </r>
  <r>
    <x v="6"/>
    <x v="6"/>
    <x v="1"/>
    <n v="301653522"/>
    <n v="301653522"/>
    <n v="0"/>
    <n v="0"/>
    <n v="0"/>
    <n v="0"/>
    <n v="0"/>
    <n v="0"/>
    <x v="0"/>
    <n v="0"/>
    <n v="26"/>
    <n v="0"/>
  </r>
  <r>
    <x v="6"/>
    <x v="6"/>
    <x v="3"/>
    <n v="162752"/>
    <n v="0"/>
    <n v="162752"/>
    <n v="0"/>
    <n v="162752"/>
    <n v="0"/>
    <n v="0"/>
    <n v="0"/>
    <x v="0"/>
    <n v="162752"/>
    <n v="27"/>
    <n v="1"/>
  </r>
  <r>
    <x v="7"/>
    <x v="7"/>
    <x v="1"/>
    <n v="92391000"/>
    <n v="92391000"/>
    <n v="0"/>
    <n v="0"/>
    <n v="0"/>
    <n v="0"/>
    <n v="0"/>
    <n v="0"/>
    <x v="0"/>
    <n v="0"/>
    <n v="29"/>
    <n v="0"/>
  </r>
  <r>
    <x v="7"/>
    <x v="7"/>
    <x v="2"/>
    <n v="213609000"/>
    <n v="213609000"/>
    <n v="0"/>
    <n v="0"/>
    <n v="0"/>
    <n v="0"/>
    <n v="0"/>
    <n v="0"/>
    <x v="0"/>
    <n v="0"/>
    <n v="28"/>
    <n v="1"/>
  </r>
  <r>
    <x v="8"/>
    <x v="8"/>
    <x v="1"/>
    <n v="160796283"/>
    <n v="160796283"/>
    <n v="0"/>
    <n v="0"/>
    <n v="0"/>
    <n v="0"/>
    <n v="0"/>
    <n v="0"/>
    <x v="0"/>
    <n v="0"/>
    <n v="32"/>
    <n v="0"/>
  </r>
  <r>
    <x v="8"/>
    <x v="8"/>
    <x v="9"/>
    <n v="82210737"/>
    <n v="82210737"/>
    <n v="0"/>
    <n v="0"/>
    <n v="0"/>
    <n v="0"/>
    <n v="0"/>
    <n v="0"/>
    <x v="0"/>
    <n v="0"/>
    <n v="30"/>
    <n v="1"/>
  </r>
  <r>
    <x v="8"/>
    <x v="8"/>
    <x v="2"/>
    <n v="184525830"/>
    <n v="184525830"/>
    <n v="0"/>
    <n v="0"/>
    <n v="0"/>
    <n v="0"/>
    <n v="0"/>
    <n v="0"/>
    <x v="0"/>
    <n v="0"/>
    <n v="31"/>
    <n v="1"/>
  </r>
  <r>
    <x v="8"/>
    <x v="8"/>
    <x v="3"/>
    <n v="66115"/>
    <n v="0"/>
    <n v="66115"/>
    <n v="0"/>
    <n v="66115"/>
    <n v="0"/>
    <n v="0"/>
    <n v="0"/>
    <x v="0"/>
    <n v="66115"/>
    <n v="33"/>
    <n v="1"/>
  </r>
  <r>
    <x v="8"/>
    <x v="8"/>
    <x v="5"/>
    <n v="1330653"/>
    <n v="1330653"/>
    <n v="0"/>
    <n v="0"/>
    <n v="0"/>
    <n v="0"/>
    <n v="0"/>
    <n v="0"/>
    <x v="0"/>
    <n v="0"/>
    <n v="34"/>
    <n v="1"/>
  </r>
  <r>
    <x v="8"/>
    <x v="8"/>
    <x v="4"/>
    <n v="3033986"/>
    <n v="0"/>
    <n v="3033986"/>
    <n v="0"/>
    <n v="3033986"/>
    <n v="0"/>
    <n v="0"/>
    <n v="0"/>
    <x v="0"/>
    <n v="3033986"/>
    <n v="35"/>
    <n v="1"/>
  </r>
  <r>
    <x v="9"/>
    <x v="9"/>
    <x v="1"/>
    <n v="101639995"/>
    <n v="101639995"/>
    <n v="0"/>
    <n v="0"/>
    <n v="0"/>
    <n v="0"/>
    <n v="0"/>
    <n v="0"/>
    <x v="0"/>
    <n v="0"/>
    <n v="37"/>
    <n v="0"/>
  </r>
  <r>
    <x v="9"/>
    <x v="9"/>
    <x v="2"/>
    <n v="236596943"/>
    <n v="236596943"/>
    <n v="0"/>
    <n v="0"/>
    <n v="0"/>
    <n v="0"/>
    <n v="0"/>
    <n v="0"/>
    <x v="0"/>
    <n v="0"/>
    <n v="36"/>
    <n v="1"/>
  </r>
  <r>
    <x v="9"/>
    <x v="9"/>
    <x v="3"/>
    <n v="162653"/>
    <n v="1000"/>
    <n v="161653"/>
    <n v="0"/>
    <n v="161653"/>
    <n v="0"/>
    <n v="0"/>
    <n v="0"/>
    <x v="0"/>
    <n v="161653"/>
    <n v="38"/>
    <n v="1"/>
  </r>
  <r>
    <x v="9"/>
    <x v="9"/>
    <x v="4"/>
    <n v="1451128"/>
    <n v="0"/>
    <n v="1451128"/>
    <n v="0"/>
    <n v="1451128"/>
    <n v="0"/>
    <n v="1451128"/>
    <n v="0"/>
    <x v="0"/>
    <n v="0"/>
    <n v="39"/>
    <n v="1"/>
  </r>
  <r>
    <x v="9"/>
    <x v="9"/>
    <x v="6"/>
    <n v="1931850"/>
    <n v="1931850"/>
    <n v="0"/>
    <n v="0"/>
    <n v="0"/>
    <n v="0"/>
    <n v="0"/>
    <n v="0"/>
    <x v="0"/>
    <n v="0"/>
    <n v="40"/>
    <n v="1"/>
  </r>
  <r>
    <x v="10"/>
    <x v="10"/>
    <x v="1"/>
    <n v="88272000"/>
    <n v="88272000"/>
    <n v="0"/>
    <n v="0"/>
    <n v="0"/>
    <n v="0"/>
    <n v="0"/>
    <n v="0"/>
    <x v="0"/>
    <n v="0"/>
    <n v="42"/>
    <n v="0"/>
  </r>
  <r>
    <x v="10"/>
    <x v="10"/>
    <x v="2"/>
    <n v="190000000"/>
    <n v="190000000"/>
    <n v="0"/>
    <n v="0"/>
    <n v="0"/>
    <n v="0"/>
    <n v="0"/>
    <n v="0"/>
    <x v="0"/>
    <n v="0"/>
    <n v="41"/>
    <n v="1"/>
  </r>
  <r>
    <x v="10"/>
    <x v="10"/>
    <x v="5"/>
    <n v="431382"/>
    <n v="431382"/>
    <n v="0"/>
    <n v="0"/>
    <n v="0"/>
    <n v="0"/>
    <n v="0"/>
    <n v="0"/>
    <x v="0"/>
    <n v="0"/>
    <n v="43"/>
    <n v="1"/>
  </r>
  <r>
    <x v="11"/>
    <x v="11"/>
    <x v="1"/>
    <n v="131910275"/>
    <n v="131910275"/>
    <n v="0"/>
    <n v="0"/>
    <n v="0"/>
    <n v="0"/>
    <n v="0"/>
    <n v="0"/>
    <x v="0"/>
    <n v="0"/>
    <n v="45"/>
    <n v="0"/>
  </r>
  <r>
    <x v="11"/>
    <x v="11"/>
    <x v="2"/>
    <n v="174233052"/>
    <n v="174233052"/>
    <n v="0"/>
    <n v="0"/>
    <n v="0"/>
    <n v="0"/>
    <n v="0"/>
    <n v="0"/>
    <x v="0"/>
    <n v="0"/>
    <n v="44"/>
    <n v="1"/>
  </r>
  <r>
    <x v="11"/>
    <x v="11"/>
    <x v="3"/>
    <n v="76535"/>
    <n v="76535"/>
    <n v="0"/>
    <n v="0"/>
    <n v="0"/>
    <n v="0"/>
    <n v="0"/>
    <n v="0"/>
    <x v="0"/>
    <n v="0"/>
    <n v="46"/>
    <n v="1"/>
  </r>
  <r>
    <x v="11"/>
    <x v="11"/>
    <x v="4"/>
    <n v="1347402"/>
    <n v="1347402"/>
    <n v="0"/>
    <n v="0"/>
    <n v="0"/>
    <n v="0"/>
    <n v="0"/>
    <n v="0"/>
    <x v="0"/>
    <n v="0"/>
    <n v="47"/>
    <n v="1"/>
  </r>
  <r>
    <x v="12"/>
    <x v="12"/>
    <x v="1"/>
    <n v="94428962"/>
    <n v="94428962"/>
    <n v="0"/>
    <n v="0"/>
    <n v="0"/>
    <n v="0"/>
    <n v="0"/>
    <n v="0"/>
    <x v="0"/>
    <n v="0"/>
    <n v="49"/>
    <n v="0"/>
  </r>
  <r>
    <x v="12"/>
    <x v="12"/>
    <x v="2"/>
    <n v="216861292"/>
    <n v="0"/>
    <n v="216861292"/>
    <n v="0"/>
    <n v="216861292"/>
    <n v="0"/>
    <n v="0"/>
    <n v="0"/>
    <x v="0"/>
    <n v="216861292"/>
    <n v="48"/>
    <n v="1"/>
  </r>
  <r>
    <x v="12"/>
    <x v="12"/>
    <x v="3"/>
    <n v="613226"/>
    <n v="0"/>
    <n v="613226"/>
    <n v="0"/>
    <n v="613226"/>
    <n v="613226"/>
    <n v="0"/>
    <n v="0"/>
    <x v="0"/>
    <n v="0"/>
    <n v="50"/>
    <n v="1"/>
  </r>
  <r>
    <x v="12"/>
    <x v="12"/>
    <x v="6"/>
    <n v="1931850"/>
    <n v="1931850"/>
    <n v="0"/>
    <n v="0"/>
    <n v="0"/>
    <n v="0"/>
    <n v="0"/>
    <n v="0"/>
    <x v="0"/>
    <n v="0"/>
    <n v="51"/>
    <n v="1"/>
  </r>
  <r>
    <x v="13"/>
    <x v="12"/>
    <x v="1"/>
    <n v="81330000"/>
    <n v="81330000"/>
    <n v="0"/>
    <n v="0"/>
    <n v="0"/>
    <n v="0"/>
    <n v="0"/>
    <n v="0"/>
    <x v="0"/>
    <n v="0"/>
    <n v="53"/>
    <n v="0"/>
  </r>
  <r>
    <x v="13"/>
    <x v="12"/>
    <x v="2"/>
    <n v="189754552"/>
    <n v="189754552"/>
    <n v="0"/>
    <n v="0"/>
    <n v="0"/>
    <n v="0"/>
    <n v="0"/>
    <n v="0"/>
    <x v="0"/>
    <n v="0"/>
    <n v="52"/>
    <n v="1"/>
  </r>
  <r>
    <x v="13"/>
    <x v="12"/>
    <x v="5"/>
    <n v="2909987"/>
    <n v="2909987"/>
    <n v="0"/>
    <n v="0"/>
    <n v="0"/>
    <n v="0"/>
    <n v="0"/>
    <n v="0"/>
    <x v="0"/>
    <n v="0"/>
    <n v="54"/>
    <n v="1"/>
  </r>
  <r>
    <x v="14"/>
    <x v="13"/>
    <x v="1"/>
    <n v="104015698"/>
    <n v="104015698"/>
    <n v="0"/>
    <n v="0"/>
    <n v="0"/>
    <n v="0"/>
    <n v="0"/>
    <n v="0"/>
    <x v="0"/>
    <n v="0"/>
    <n v="56"/>
    <n v="0"/>
  </r>
  <r>
    <x v="14"/>
    <x v="13"/>
    <x v="2"/>
    <n v="242360302"/>
    <n v="242360302"/>
    <n v="0"/>
    <n v="0"/>
    <n v="0"/>
    <n v="0"/>
    <n v="0"/>
    <n v="0"/>
    <x v="0"/>
    <n v="0"/>
    <n v="55"/>
    <n v="1"/>
  </r>
  <r>
    <x v="14"/>
    <x v="13"/>
    <x v="8"/>
    <n v="494624"/>
    <n v="494624"/>
    <n v="0"/>
    <n v="0"/>
    <n v="0"/>
    <n v="0"/>
    <n v="0"/>
    <n v="0"/>
    <x v="0"/>
    <n v="0"/>
    <n v="57"/>
    <n v="1"/>
  </r>
  <r>
    <x v="14"/>
    <x v="13"/>
    <x v="3"/>
    <n v="66359"/>
    <n v="66359"/>
    <n v="0"/>
    <n v="0"/>
    <n v="0"/>
    <n v="0"/>
    <n v="0"/>
    <n v="0"/>
    <x v="0"/>
    <n v="0"/>
    <n v="58"/>
    <n v="1"/>
  </r>
  <r>
    <x v="14"/>
    <x v="13"/>
    <x v="5"/>
    <n v="2942922"/>
    <n v="2942922"/>
    <n v="0"/>
    <n v="0"/>
    <n v="0"/>
    <n v="0"/>
    <n v="0"/>
    <n v="0"/>
    <x v="0"/>
    <n v="0"/>
    <n v="59"/>
    <n v="1"/>
  </r>
  <r>
    <x v="15"/>
    <x v="14"/>
    <x v="1"/>
    <n v="103817100"/>
    <n v="103817100"/>
    <n v="0"/>
    <n v="0"/>
    <n v="0"/>
    <n v="0"/>
    <n v="0"/>
    <n v="0"/>
    <x v="0"/>
    <n v="0"/>
    <n v="61"/>
    <n v="0"/>
  </r>
  <r>
    <x v="15"/>
    <x v="14"/>
    <x v="2"/>
    <n v="242239900"/>
    <n v="242239900"/>
    <n v="0"/>
    <n v="0"/>
    <n v="0"/>
    <n v="0"/>
    <n v="0"/>
    <n v="0"/>
    <x v="0"/>
    <n v="0"/>
    <n v="60"/>
    <n v="1"/>
  </r>
  <r>
    <x v="15"/>
    <x v="14"/>
    <x v="4"/>
    <n v="4250000"/>
    <n v="4250000"/>
    <n v="0"/>
    <n v="0"/>
    <n v="0"/>
    <n v="0"/>
    <n v="0"/>
    <n v="0"/>
    <x v="0"/>
    <n v="0"/>
    <n v="62"/>
    <n v="1"/>
  </r>
  <r>
    <x v="16"/>
    <x v="15"/>
    <x v="1"/>
    <n v="83572342"/>
    <n v="83572342"/>
    <n v="0"/>
    <n v="0"/>
    <n v="0"/>
    <n v="0"/>
    <n v="0"/>
    <n v="0"/>
    <x v="0"/>
    <n v="0"/>
    <n v="64"/>
    <n v="0"/>
  </r>
  <r>
    <x v="16"/>
    <x v="15"/>
    <x v="2"/>
    <n v="194999658"/>
    <n v="194999658"/>
    <n v="0"/>
    <n v="0"/>
    <n v="0"/>
    <n v="0"/>
    <n v="0"/>
    <n v="0"/>
    <x v="0"/>
    <n v="0"/>
    <n v="63"/>
    <n v="1"/>
  </r>
  <r>
    <x v="16"/>
    <x v="15"/>
    <x v="3"/>
    <n v="98000"/>
    <n v="98000"/>
    <n v="0"/>
    <n v="0"/>
    <n v="0"/>
    <n v="0"/>
    <n v="0"/>
    <n v="0"/>
    <x v="0"/>
    <n v="0"/>
    <n v="65"/>
    <n v="1"/>
  </r>
  <r>
    <x v="17"/>
    <x v="16"/>
    <x v="1"/>
    <n v="326655996"/>
    <n v="326655996"/>
    <n v="0"/>
    <n v="0"/>
    <n v="0"/>
    <n v="0"/>
    <n v="0"/>
    <n v="0"/>
    <x v="0"/>
    <n v="0"/>
    <n v="66"/>
    <n v="0"/>
  </r>
  <r>
    <x v="17"/>
    <x v="16"/>
    <x v="3"/>
    <n v="124613"/>
    <n v="124613"/>
    <n v="0"/>
    <n v="0"/>
    <n v="0"/>
    <n v="0"/>
    <n v="0"/>
    <n v="0"/>
    <x v="0"/>
    <n v="0"/>
    <n v="67"/>
    <n v="1"/>
  </r>
  <r>
    <x v="18"/>
    <x v="17"/>
    <x v="1"/>
    <n v="123517227"/>
    <n v="123517227"/>
    <n v="0"/>
    <n v="0"/>
    <n v="0"/>
    <n v="0"/>
    <n v="0"/>
    <n v="0"/>
    <x v="0"/>
    <n v="0"/>
    <n v="69"/>
    <n v="0"/>
  </r>
  <r>
    <x v="18"/>
    <x v="17"/>
    <x v="2"/>
    <n v="175000000"/>
    <n v="175000000"/>
    <n v="0"/>
    <n v="0"/>
    <n v="0"/>
    <n v="0"/>
    <n v="0"/>
    <n v="0"/>
    <x v="0"/>
    <n v="0"/>
    <n v="68"/>
    <n v="1"/>
  </r>
  <r>
    <x v="18"/>
    <x v="17"/>
    <x v="3"/>
    <n v="114713"/>
    <n v="0"/>
    <n v="114713"/>
    <n v="0"/>
    <n v="114713"/>
    <n v="0"/>
    <n v="0"/>
    <n v="0"/>
    <x v="0"/>
    <n v="114713"/>
    <n v="70"/>
    <n v="1"/>
  </r>
  <r>
    <x v="19"/>
    <x v="18"/>
    <x v="1"/>
    <n v="81539888"/>
    <n v="81539888"/>
    <n v="0"/>
    <n v="0"/>
    <n v="0"/>
    <n v="0"/>
    <n v="0"/>
    <n v="0"/>
    <x v="0"/>
    <n v="0"/>
    <n v="72"/>
    <n v="0"/>
  </r>
  <r>
    <x v="19"/>
    <x v="18"/>
    <x v="2"/>
    <n v="184789640"/>
    <n v="184789640"/>
    <n v="0"/>
    <n v="0"/>
    <n v="0"/>
    <n v="0"/>
    <n v="0"/>
    <n v="0"/>
    <x v="0"/>
    <n v="0"/>
    <n v="71"/>
    <n v="1"/>
  </r>
  <r>
    <x v="19"/>
    <x v="18"/>
    <x v="3"/>
    <n v="105443"/>
    <n v="0"/>
    <n v="105443"/>
    <n v="0"/>
    <n v="105443"/>
    <n v="0"/>
    <n v="0"/>
    <n v="0"/>
    <x v="0"/>
    <n v="105443"/>
    <n v="73"/>
    <n v="1"/>
  </r>
  <r>
    <x v="20"/>
    <x v="19"/>
    <x v="1"/>
    <n v="322048531"/>
    <n v="322048531"/>
    <n v="0"/>
    <n v="0"/>
    <n v="0"/>
    <n v="0"/>
    <n v="0"/>
    <n v="0"/>
    <x v="0"/>
    <n v="0"/>
    <n v="74"/>
    <n v="0"/>
  </r>
  <r>
    <x v="20"/>
    <x v="19"/>
    <x v="3"/>
    <n v="167905"/>
    <n v="167905"/>
    <n v="0"/>
    <n v="0"/>
    <n v="0"/>
    <n v="0"/>
    <n v="0"/>
    <n v="0"/>
    <x v="0"/>
    <n v="0"/>
    <n v="75"/>
    <n v="1"/>
  </r>
  <r>
    <x v="20"/>
    <x v="19"/>
    <x v="6"/>
    <n v="1931850"/>
    <n v="1931850"/>
    <n v="0"/>
    <n v="0"/>
    <n v="0"/>
    <n v="0"/>
    <n v="0"/>
    <n v="0"/>
    <x v="0"/>
    <n v="0"/>
    <n v="76"/>
    <n v="1"/>
  </r>
  <r>
    <x v="21"/>
    <x v="20"/>
    <x v="1"/>
    <n v="94846488"/>
    <n v="94846488"/>
    <n v="0"/>
    <n v="0"/>
    <n v="0"/>
    <n v="0"/>
    <n v="0"/>
    <n v="0"/>
    <x v="0"/>
    <n v="0"/>
    <n v="78"/>
    <n v="0"/>
  </r>
  <r>
    <x v="21"/>
    <x v="20"/>
    <x v="2"/>
    <n v="225816123"/>
    <n v="225816123"/>
    <n v="0"/>
    <n v="0"/>
    <n v="0"/>
    <n v="0"/>
    <n v="0"/>
    <n v="0"/>
    <x v="0"/>
    <n v="0"/>
    <n v="77"/>
    <n v="1"/>
  </r>
  <r>
    <x v="21"/>
    <x v="20"/>
    <x v="8"/>
    <n v="460664"/>
    <n v="460664"/>
    <n v="0"/>
    <n v="0"/>
    <n v="0"/>
    <n v="0"/>
    <n v="0"/>
    <n v="0"/>
    <x v="0"/>
    <n v="0"/>
    <n v="79"/>
    <n v="1"/>
  </r>
  <r>
    <x v="21"/>
    <x v="20"/>
    <x v="3"/>
    <n v="119044"/>
    <n v="119044"/>
    <n v="0"/>
    <n v="0"/>
    <n v="0"/>
    <n v="0"/>
    <n v="0"/>
    <n v="0"/>
    <x v="0"/>
    <n v="0"/>
    <n v="80"/>
    <n v="1"/>
  </r>
  <r>
    <x v="21"/>
    <x v="20"/>
    <x v="5"/>
    <n v="279258"/>
    <n v="279258"/>
    <n v="0"/>
    <n v="0"/>
    <n v="0"/>
    <n v="0"/>
    <n v="0"/>
    <n v="0"/>
    <x v="0"/>
    <n v="0"/>
    <n v="81"/>
    <n v="1"/>
  </r>
  <r>
    <x v="21"/>
    <x v="20"/>
    <x v="4"/>
    <n v="541881"/>
    <n v="541881"/>
    <n v="0"/>
    <n v="0"/>
    <n v="0"/>
    <n v="0"/>
    <n v="0"/>
    <n v="0"/>
    <x v="0"/>
    <n v="0"/>
    <n v="82"/>
    <n v="1"/>
  </r>
  <r>
    <x v="21"/>
    <x v="20"/>
    <x v="6"/>
    <n v="1931850"/>
    <n v="1931850"/>
    <n v="0"/>
    <n v="0"/>
    <n v="0"/>
    <n v="0"/>
    <n v="0"/>
    <n v="0"/>
    <x v="0"/>
    <n v="0"/>
    <n v="83"/>
    <n v="1"/>
  </r>
  <r>
    <x v="22"/>
    <x v="21"/>
    <x v="1"/>
    <n v="89380462"/>
    <n v="89380462"/>
    <n v="0"/>
    <n v="0"/>
    <n v="0"/>
    <n v="0"/>
    <n v="0"/>
    <n v="0"/>
    <x v="0"/>
    <n v="0"/>
    <n v="85"/>
    <n v="0"/>
  </r>
  <r>
    <x v="22"/>
    <x v="21"/>
    <x v="2"/>
    <n v="229780877"/>
    <n v="229780877"/>
    <n v="0"/>
    <n v="0"/>
    <n v="0"/>
    <n v="0"/>
    <n v="0"/>
    <n v="0"/>
    <x v="0"/>
    <n v="0"/>
    <n v="84"/>
    <n v="1"/>
  </r>
  <r>
    <x v="22"/>
    <x v="21"/>
    <x v="3"/>
    <n v="89981"/>
    <n v="0"/>
    <n v="89981"/>
    <n v="0"/>
    <n v="89981"/>
    <n v="0"/>
    <n v="0"/>
    <n v="0"/>
    <x v="0"/>
    <n v="89981"/>
    <n v="86"/>
    <n v="1"/>
  </r>
  <r>
    <x v="22"/>
    <x v="21"/>
    <x v="6"/>
    <n v="9147381"/>
    <n v="9147381"/>
    <n v="0"/>
    <n v="0"/>
    <n v="0"/>
    <n v="0"/>
    <n v="0"/>
    <n v="0"/>
    <x v="0"/>
    <n v="0"/>
    <n v="87"/>
    <n v="1"/>
  </r>
  <r>
    <x v="23"/>
    <x v="22"/>
    <x v="1"/>
    <n v="93000000"/>
    <n v="49500000"/>
    <n v="43500000"/>
    <n v="22750000"/>
    <n v="20750000"/>
    <n v="20750000"/>
    <n v="0"/>
    <n v="0"/>
    <x v="0"/>
    <n v="0"/>
    <n v="89"/>
    <n v="0"/>
  </r>
  <r>
    <x v="23"/>
    <x v="22"/>
    <x v="2"/>
    <n v="307976000"/>
    <n v="0"/>
    <n v="307976000"/>
    <n v="307976000"/>
    <n v="0"/>
    <n v="0"/>
    <n v="0"/>
    <n v="0"/>
    <x v="0"/>
    <n v="0"/>
    <n v="88"/>
    <n v="1"/>
  </r>
  <r>
    <x v="23"/>
    <x v="22"/>
    <x v="6"/>
    <n v="14906392"/>
    <n v="2500000"/>
    <n v="12406392"/>
    <n v="11156392"/>
    <n v="1250000"/>
    <n v="1250000"/>
    <n v="0"/>
    <n v="0"/>
    <x v="0"/>
    <n v="0"/>
    <n v="90"/>
    <n v="1"/>
  </r>
  <r>
    <x v="24"/>
    <x v="23"/>
    <x v="1"/>
    <n v="293843906"/>
    <n v="293843906"/>
    <n v="0"/>
    <n v="0"/>
    <n v="0"/>
    <n v="0"/>
    <n v="0"/>
    <n v="0"/>
    <x v="0"/>
    <n v="0"/>
    <n v="91"/>
    <n v="0"/>
  </r>
  <r>
    <x v="24"/>
    <x v="23"/>
    <x v="6"/>
    <n v="1931850"/>
    <n v="1931850"/>
    <n v="0"/>
    <n v="0"/>
    <n v="0"/>
    <n v="0"/>
    <n v="0"/>
    <n v="0"/>
    <x v="0"/>
    <n v="0"/>
    <n v="92"/>
    <n v="1"/>
  </r>
  <r>
    <x v="25"/>
    <x v="24"/>
    <x v="1"/>
    <n v="82251600"/>
    <n v="82251600"/>
    <n v="0"/>
    <n v="0"/>
    <n v="0"/>
    <n v="0"/>
    <n v="0"/>
    <n v="0"/>
    <x v="0"/>
    <n v="0"/>
    <n v="94"/>
    <n v="0"/>
  </r>
  <r>
    <x v="25"/>
    <x v="24"/>
    <x v="2"/>
    <n v="191920400"/>
    <n v="191920400"/>
    <n v="0"/>
    <n v="0"/>
    <n v="0"/>
    <n v="0"/>
    <n v="0"/>
    <n v="0"/>
    <x v="0"/>
    <n v="0"/>
    <n v="93"/>
    <n v="1"/>
  </r>
  <r>
    <x v="25"/>
    <x v="24"/>
    <x v="3"/>
    <n v="134445"/>
    <n v="134445"/>
    <n v="0"/>
    <n v="0"/>
    <n v="0"/>
    <n v="0"/>
    <n v="0"/>
    <n v="0"/>
    <x v="0"/>
    <n v="0"/>
    <n v="95"/>
    <n v="1"/>
  </r>
  <r>
    <x v="25"/>
    <x v="24"/>
    <x v="4"/>
    <n v="614145"/>
    <n v="614145"/>
    <n v="0"/>
    <n v="0"/>
    <n v="0"/>
    <n v="0"/>
    <n v="0"/>
    <n v="0"/>
    <x v="0"/>
    <n v="0"/>
    <n v="96"/>
    <n v="1"/>
  </r>
  <r>
    <x v="26"/>
    <x v="25"/>
    <x v="1"/>
    <n v="337699997"/>
    <n v="337699997"/>
    <n v="0"/>
    <n v="0"/>
    <n v="0"/>
    <n v="0"/>
    <n v="0"/>
    <n v="0"/>
    <x v="0"/>
    <n v="0"/>
    <n v="97"/>
    <n v="0"/>
  </r>
  <r>
    <x v="26"/>
    <x v="25"/>
    <x v="3"/>
    <n v="180626"/>
    <n v="180626"/>
    <n v="0"/>
    <n v="0"/>
    <n v="0"/>
    <n v="0"/>
    <n v="0"/>
    <n v="0"/>
    <x v="0"/>
    <n v="0"/>
    <n v="98"/>
    <n v="1"/>
  </r>
  <r>
    <x v="26"/>
    <x v="25"/>
    <x v="6"/>
    <n v="1931850"/>
    <n v="1931850"/>
    <n v="0"/>
    <n v="0"/>
    <n v="0"/>
    <n v="0"/>
    <n v="0"/>
    <n v="0"/>
    <x v="0"/>
    <n v="0"/>
    <n v="99"/>
    <n v="1"/>
  </r>
  <r>
    <x v="27"/>
    <x v="26"/>
    <x v="1"/>
    <n v="91752518"/>
    <n v="91752518"/>
    <n v="0"/>
    <n v="0"/>
    <n v="0"/>
    <n v="0"/>
    <n v="0"/>
    <n v="0"/>
    <x v="0"/>
    <n v="0"/>
    <n v="102"/>
    <n v="0"/>
  </r>
  <r>
    <x v="27"/>
    <x v="26"/>
    <x v="2"/>
    <n v="240000000"/>
    <n v="240000000"/>
    <n v="0"/>
    <n v="0"/>
    <n v="0"/>
    <n v="0"/>
    <n v="0"/>
    <n v="0"/>
    <x v="0"/>
    <n v="0"/>
    <n v="100"/>
    <n v="1"/>
  </r>
  <r>
    <x v="27"/>
    <x v="26"/>
    <x v="10"/>
    <n v="14000000"/>
    <n v="14000000"/>
    <n v="0"/>
    <n v="0"/>
    <n v="0"/>
    <n v="0"/>
    <n v="0"/>
    <n v="0"/>
    <x v="0"/>
    <n v="0"/>
    <n v="101"/>
    <n v="1"/>
  </r>
  <r>
    <x v="27"/>
    <x v="26"/>
    <x v="3"/>
    <n v="128330"/>
    <n v="128330"/>
    <n v="0"/>
    <n v="0"/>
    <n v="0"/>
    <n v="0"/>
    <n v="0"/>
    <n v="0"/>
    <x v="0"/>
    <n v="0"/>
    <n v="103"/>
    <n v="1"/>
  </r>
  <r>
    <x v="27"/>
    <x v="26"/>
    <x v="6"/>
    <n v="1931850"/>
    <n v="1931850"/>
    <n v="0"/>
    <n v="0"/>
    <n v="0"/>
    <n v="0"/>
    <n v="0"/>
    <n v="0"/>
    <x v="0"/>
    <n v="0"/>
    <n v="104"/>
    <n v="1"/>
  </r>
  <r>
    <x v="28"/>
    <x v="27"/>
    <x v="1"/>
    <n v="253342611"/>
    <n v="253342611"/>
    <n v="0"/>
    <n v="0"/>
    <n v="0"/>
    <n v="0"/>
    <n v="0"/>
    <n v="0"/>
    <x v="0"/>
    <n v="0"/>
    <n v="105"/>
    <n v="0"/>
  </r>
  <r>
    <x v="28"/>
    <x v="27"/>
    <x v="3"/>
    <n v="101200"/>
    <n v="101200"/>
    <n v="0"/>
    <n v="0"/>
    <n v="0"/>
    <n v="0"/>
    <n v="0"/>
    <n v="0"/>
    <x v="0"/>
    <n v="0"/>
    <n v="106"/>
    <n v="1"/>
  </r>
  <r>
    <x v="29"/>
    <x v="28"/>
    <x v="1"/>
    <n v="94590000"/>
    <n v="94590000"/>
    <n v="0"/>
    <n v="0"/>
    <n v="0"/>
    <n v="0"/>
    <n v="0"/>
    <n v="0"/>
    <x v="0"/>
    <n v="0"/>
    <n v="108"/>
    <n v="0"/>
  </r>
  <r>
    <x v="29"/>
    <x v="28"/>
    <x v="2"/>
    <n v="220710000"/>
    <n v="220710000"/>
    <n v="0"/>
    <n v="0"/>
    <n v="0"/>
    <n v="0"/>
    <n v="0"/>
    <n v="0"/>
    <x v="0"/>
    <n v="0"/>
    <n v="107"/>
    <n v="1"/>
  </r>
  <r>
    <x v="29"/>
    <x v="28"/>
    <x v="6"/>
    <n v="81534992"/>
    <n v="81534992"/>
    <n v="0"/>
    <n v="0"/>
    <n v="0"/>
    <n v="0"/>
    <n v="0"/>
    <n v="0"/>
    <x v="0"/>
    <n v="0"/>
    <n v="109"/>
    <n v="1"/>
  </r>
  <r>
    <x v="30"/>
    <x v="29"/>
    <x v="1"/>
    <n v="97557840"/>
    <n v="97557840"/>
    <n v="0"/>
    <n v="0"/>
    <n v="0"/>
    <n v="0"/>
    <n v="0"/>
    <n v="0"/>
    <x v="0"/>
    <n v="0"/>
    <n v="111"/>
    <n v="0"/>
  </r>
  <r>
    <x v="30"/>
    <x v="29"/>
    <x v="2"/>
    <n v="227634960"/>
    <n v="227634960"/>
    <n v="0"/>
    <n v="0"/>
    <n v="0"/>
    <n v="0"/>
    <n v="0"/>
    <n v="0"/>
    <x v="0"/>
    <n v="0"/>
    <n v="110"/>
    <n v="1"/>
  </r>
  <r>
    <x v="30"/>
    <x v="29"/>
    <x v="8"/>
    <n v="464374"/>
    <n v="464374"/>
    <n v="0"/>
    <n v="0"/>
    <n v="0"/>
    <n v="0"/>
    <n v="0"/>
    <n v="0"/>
    <x v="0"/>
    <n v="0"/>
    <n v="112"/>
    <n v="1"/>
  </r>
  <r>
    <x v="30"/>
    <x v="29"/>
    <x v="3"/>
    <n v="1260402"/>
    <n v="1260402"/>
    <n v="0"/>
    <n v="0"/>
    <n v="0"/>
    <n v="0"/>
    <n v="0"/>
    <n v="0"/>
    <x v="0"/>
    <n v="0"/>
    <n v="113"/>
    <n v="1"/>
  </r>
  <r>
    <x v="30"/>
    <x v="29"/>
    <x v="5"/>
    <n v="696791"/>
    <n v="696791"/>
    <n v="0"/>
    <n v="0"/>
    <n v="0"/>
    <n v="0"/>
    <n v="0"/>
    <n v="0"/>
    <x v="0"/>
    <n v="0"/>
    <n v="114"/>
    <n v="1"/>
  </r>
  <r>
    <x v="30"/>
    <x v="29"/>
    <x v="4"/>
    <n v="5554293"/>
    <n v="5554293"/>
    <n v="0"/>
    <n v="0"/>
    <n v="0"/>
    <n v="0"/>
    <n v="0"/>
    <n v="0"/>
    <x v="0"/>
    <n v="0"/>
    <n v="115"/>
    <n v="1"/>
  </r>
  <r>
    <x v="31"/>
    <x v="30"/>
    <x v="1"/>
    <n v="212000000"/>
    <n v="212000000"/>
    <n v="0"/>
    <n v="0"/>
    <n v="0"/>
    <n v="0"/>
    <n v="0"/>
    <n v="0"/>
    <x v="0"/>
    <n v="0"/>
    <n v="117"/>
    <n v="0"/>
  </r>
  <r>
    <x v="31"/>
    <x v="30"/>
    <x v="2"/>
    <n v="59000000"/>
    <n v="59000000"/>
    <n v="0"/>
    <n v="0"/>
    <n v="0"/>
    <n v="0"/>
    <n v="0"/>
    <n v="0"/>
    <x v="0"/>
    <n v="0"/>
    <n v="116"/>
    <n v="1"/>
  </r>
  <r>
    <x v="31"/>
    <x v="30"/>
    <x v="3"/>
    <n v="114043"/>
    <n v="0"/>
    <n v="114043"/>
    <n v="0"/>
    <n v="114043"/>
    <n v="0"/>
    <n v="0"/>
    <n v="0"/>
    <x v="0"/>
    <n v="114043"/>
    <n v="118"/>
    <n v="1"/>
  </r>
  <r>
    <x v="31"/>
    <x v="30"/>
    <x v="4"/>
    <n v="173067"/>
    <n v="173067"/>
    <n v="0"/>
    <n v="0"/>
    <n v="0"/>
    <n v="0"/>
    <n v="0"/>
    <n v="0"/>
    <x v="0"/>
    <n v="0"/>
    <n v="119"/>
    <n v="1"/>
  </r>
  <r>
    <x v="31"/>
    <x v="30"/>
    <x v="6"/>
    <n v="1512675"/>
    <n v="1512675"/>
    <n v="0"/>
    <n v="0"/>
    <n v="0"/>
    <n v="0"/>
    <n v="0"/>
    <n v="0"/>
    <x v="0"/>
    <n v="0"/>
    <n v="120"/>
    <n v="1"/>
  </r>
  <r>
    <x v="32"/>
    <x v="31"/>
    <x v="1"/>
    <n v="112187608"/>
    <n v="112187608"/>
    <n v="0"/>
    <n v="0"/>
    <n v="0"/>
    <n v="0"/>
    <n v="0"/>
    <n v="0"/>
    <x v="0"/>
    <n v="0"/>
    <n v="122"/>
    <n v="0"/>
  </r>
  <r>
    <x v="32"/>
    <x v="31"/>
    <x v="2"/>
    <n v="232769392"/>
    <n v="232769392"/>
    <n v="0"/>
    <n v="0"/>
    <n v="0"/>
    <n v="0"/>
    <n v="0"/>
    <n v="0"/>
    <x v="0"/>
    <n v="0"/>
    <n v="121"/>
    <n v="1"/>
  </r>
  <r>
    <x v="32"/>
    <x v="31"/>
    <x v="3"/>
    <n v="1407978"/>
    <n v="1407978"/>
    <n v="0"/>
    <n v="0"/>
    <n v="0"/>
    <n v="0"/>
    <n v="0"/>
    <n v="0"/>
    <x v="0"/>
    <n v="0"/>
    <n v="123"/>
    <n v="1"/>
  </r>
  <r>
    <x v="32"/>
    <x v="31"/>
    <x v="4"/>
    <n v="5586500"/>
    <n v="5586500"/>
    <n v="0"/>
    <n v="0"/>
    <n v="0"/>
    <n v="0"/>
    <n v="0"/>
    <n v="0"/>
    <x v="0"/>
    <n v="0"/>
    <n v="124"/>
    <n v="1"/>
  </r>
  <r>
    <x v="33"/>
    <x v="32"/>
    <x v="1"/>
    <n v="112782801"/>
    <n v="112782801"/>
    <n v="0"/>
    <n v="0"/>
    <n v="0"/>
    <n v="0"/>
    <n v="0"/>
    <n v="0"/>
    <x v="0"/>
    <n v="0"/>
    <n v="126"/>
    <n v="0"/>
  </r>
  <r>
    <x v="33"/>
    <x v="32"/>
    <x v="2"/>
    <n v="236493199"/>
    <n v="236493199"/>
    <n v="0"/>
    <n v="0"/>
    <n v="0"/>
    <n v="0"/>
    <n v="0"/>
    <n v="0"/>
    <x v="0"/>
    <n v="0"/>
    <n v="125"/>
    <n v="1"/>
  </r>
  <r>
    <x v="33"/>
    <x v="32"/>
    <x v="5"/>
    <n v="2513301"/>
    <n v="2513301"/>
    <n v="0"/>
    <n v="0"/>
    <n v="0"/>
    <n v="0"/>
    <n v="0"/>
    <n v="0"/>
    <x v="0"/>
    <n v="0"/>
    <n v="127"/>
    <n v="1"/>
  </r>
  <r>
    <x v="34"/>
    <x v="33"/>
    <x v="1"/>
    <n v="163245187"/>
    <n v="163245187"/>
    <n v="0"/>
    <n v="0"/>
    <n v="0"/>
    <n v="0"/>
    <n v="0"/>
    <n v="0"/>
    <x v="0"/>
    <n v="0"/>
    <n v="129"/>
    <n v="0"/>
  </r>
  <r>
    <x v="34"/>
    <x v="33"/>
    <x v="2"/>
    <n v="125000000"/>
    <n v="125000000"/>
    <n v="0"/>
    <n v="0"/>
    <n v="0"/>
    <n v="0"/>
    <n v="0"/>
    <n v="0"/>
    <x v="0"/>
    <n v="0"/>
    <n v="128"/>
    <n v="1"/>
  </r>
  <r>
    <x v="34"/>
    <x v="33"/>
    <x v="5"/>
    <n v="3388374"/>
    <n v="3388374"/>
    <n v="0"/>
    <n v="0"/>
    <n v="0"/>
    <n v="0"/>
    <n v="0"/>
    <n v="0"/>
    <x v="0"/>
    <n v="0"/>
    <n v="130"/>
    <n v="1"/>
  </r>
  <r>
    <x v="34"/>
    <x v="33"/>
    <x v="4"/>
    <n v="2402536"/>
    <n v="2402536"/>
    <n v="0"/>
    <n v="0"/>
    <n v="0"/>
    <n v="0"/>
    <n v="0"/>
    <n v="0"/>
    <x v="0"/>
    <n v="0"/>
    <n v="131"/>
    <n v="1"/>
  </r>
  <r>
    <x v="35"/>
    <x v="34"/>
    <x v="1"/>
    <n v="392680000"/>
    <n v="392680000"/>
    <n v="0"/>
    <n v="0"/>
    <n v="0"/>
    <n v="0"/>
    <n v="0"/>
    <n v="0"/>
    <x v="0"/>
    <n v="0"/>
    <n v="132"/>
    <n v="0"/>
  </r>
  <r>
    <x v="35"/>
    <x v="34"/>
    <x v="3"/>
    <n v="1191026"/>
    <n v="0"/>
    <n v="1191026"/>
    <n v="0"/>
    <n v="1191026"/>
    <n v="0"/>
    <n v="0"/>
    <n v="0"/>
    <x v="0"/>
    <n v="1191026"/>
    <n v="133"/>
    <n v="1"/>
  </r>
  <r>
    <x v="36"/>
    <x v="12"/>
    <x v="1"/>
    <n v="96486000"/>
    <n v="96486000"/>
    <n v="0"/>
    <n v="0"/>
    <n v="0"/>
    <n v="0"/>
    <n v="0"/>
    <n v="0"/>
    <x v="0"/>
    <n v="0"/>
    <n v="135"/>
    <n v="0"/>
  </r>
  <r>
    <x v="36"/>
    <x v="12"/>
    <x v="2"/>
    <n v="225134000"/>
    <n v="225134000"/>
    <n v="0"/>
    <n v="0"/>
    <n v="0"/>
    <n v="0"/>
    <n v="0"/>
    <n v="0"/>
    <x v="0"/>
    <n v="0"/>
    <n v="134"/>
    <n v="1"/>
  </r>
  <r>
    <x v="36"/>
    <x v="12"/>
    <x v="5"/>
    <n v="4066135"/>
    <n v="4066135"/>
    <n v="0"/>
    <n v="0"/>
    <n v="0"/>
    <n v="0"/>
    <n v="0"/>
    <n v="0"/>
    <x v="0"/>
    <n v="0"/>
    <n v="136"/>
    <n v="1"/>
  </r>
  <r>
    <x v="36"/>
    <x v="12"/>
    <x v="4"/>
    <n v="3572126"/>
    <n v="576800"/>
    <n v="2995326"/>
    <n v="0"/>
    <n v="2995326"/>
    <n v="0"/>
    <n v="0"/>
    <n v="0"/>
    <x v="0"/>
    <n v="2995326"/>
    <n v="137"/>
    <n v="1"/>
  </r>
  <r>
    <x v="37"/>
    <x v="35"/>
    <x v="1"/>
    <n v="167300000"/>
    <n v="167300000"/>
    <n v="0"/>
    <n v="0"/>
    <n v="0"/>
    <n v="0"/>
    <n v="0"/>
    <n v="0"/>
    <x v="0"/>
    <n v="0"/>
    <n v="139"/>
    <n v="0"/>
  </r>
  <r>
    <x v="37"/>
    <x v="35"/>
    <x v="2"/>
    <n v="105000000"/>
    <n v="105000000"/>
    <n v="0"/>
    <n v="0"/>
    <n v="0"/>
    <n v="0"/>
    <n v="0"/>
    <n v="0"/>
    <x v="0"/>
    <n v="0"/>
    <n v="138"/>
    <n v="1"/>
  </r>
  <r>
    <x v="37"/>
    <x v="35"/>
    <x v="3"/>
    <n v="81079"/>
    <n v="0"/>
    <n v="81079"/>
    <n v="0"/>
    <n v="81079"/>
    <n v="0"/>
    <n v="0"/>
    <n v="0"/>
    <x v="0"/>
    <n v="81079"/>
    <n v="140"/>
    <n v="1"/>
  </r>
  <r>
    <x v="37"/>
    <x v="35"/>
    <x v="4"/>
    <n v="1456000"/>
    <n v="1456000"/>
    <n v="0"/>
    <n v="0"/>
    <n v="0"/>
    <n v="0"/>
    <n v="0"/>
    <n v="0"/>
    <x v="0"/>
    <n v="0"/>
    <n v="141"/>
    <n v="1"/>
  </r>
  <r>
    <x v="38"/>
    <x v="36"/>
    <x v="1"/>
    <n v="185613000"/>
    <n v="185613000"/>
    <n v="0"/>
    <n v="0"/>
    <n v="0"/>
    <n v="0"/>
    <n v="0"/>
    <n v="0"/>
    <x v="0"/>
    <n v="0"/>
    <n v="143"/>
    <n v="0"/>
  </r>
  <r>
    <x v="38"/>
    <x v="36"/>
    <x v="2"/>
    <n v="210000000"/>
    <n v="210000000"/>
    <n v="0"/>
    <n v="0"/>
    <n v="0"/>
    <n v="0"/>
    <n v="0"/>
    <n v="0"/>
    <x v="0"/>
    <n v="0"/>
    <n v="142"/>
    <n v="1"/>
  </r>
  <r>
    <x v="38"/>
    <x v="36"/>
    <x v="3"/>
    <n v="2033515"/>
    <n v="2033515"/>
    <n v="0"/>
    <n v="0"/>
    <n v="0"/>
    <n v="0"/>
    <n v="0"/>
    <n v="0"/>
    <x v="0"/>
    <n v="0"/>
    <n v="144"/>
    <n v="1"/>
  </r>
  <r>
    <x v="38"/>
    <x v="36"/>
    <x v="6"/>
    <n v="8466015"/>
    <n v="8466015"/>
    <n v="0"/>
    <n v="0"/>
    <n v="0"/>
    <n v="0"/>
    <n v="0"/>
    <n v="0"/>
    <x v="0"/>
    <n v="0"/>
    <n v="145"/>
    <n v="1"/>
  </r>
  <r>
    <x v="39"/>
    <x v="37"/>
    <x v="1"/>
    <n v="128987542"/>
    <n v="128987542"/>
    <n v="0"/>
    <n v="0"/>
    <n v="0"/>
    <n v="0"/>
    <n v="0"/>
    <n v="0"/>
    <x v="0"/>
    <n v="0"/>
    <n v="147"/>
    <n v="0"/>
  </r>
  <r>
    <x v="39"/>
    <x v="37"/>
    <x v="2"/>
    <n v="220000000"/>
    <n v="220000000"/>
    <n v="0"/>
    <n v="0"/>
    <n v="0"/>
    <n v="0"/>
    <n v="0"/>
    <n v="0"/>
    <x v="0"/>
    <n v="0"/>
    <n v="146"/>
    <n v="1"/>
  </r>
  <r>
    <x v="39"/>
    <x v="37"/>
    <x v="3"/>
    <n v="103334"/>
    <n v="103334"/>
    <n v="0"/>
    <n v="0"/>
    <n v="0"/>
    <n v="0"/>
    <n v="0"/>
    <n v="0"/>
    <x v="0"/>
    <n v="0"/>
    <n v="148"/>
    <n v="1"/>
  </r>
  <r>
    <x v="39"/>
    <x v="37"/>
    <x v="5"/>
    <n v="948361"/>
    <n v="948361"/>
    <n v="0"/>
    <n v="0"/>
    <n v="0"/>
    <n v="0"/>
    <n v="0"/>
    <n v="0"/>
    <x v="0"/>
    <n v="0"/>
    <n v="149"/>
    <n v="1"/>
  </r>
  <r>
    <x v="39"/>
    <x v="37"/>
    <x v="4"/>
    <n v="1026666"/>
    <n v="1026666"/>
    <n v="0"/>
    <n v="0"/>
    <n v="0"/>
    <n v="0"/>
    <n v="0"/>
    <n v="0"/>
    <x v="0"/>
    <n v="0"/>
    <n v="150"/>
    <n v="1"/>
  </r>
  <r>
    <x v="40"/>
    <x v="38"/>
    <x v="1"/>
    <n v="267324400"/>
    <n v="267324400"/>
    <n v="0"/>
    <n v="0"/>
    <n v="0"/>
    <n v="0"/>
    <n v="0"/>
    <n v="0"/>
    <x v="0"/>
    <n v="0"/>
    <n v="151"/>
    <n v="0"/>
  </r>
  <r>
    <x v="40"/>
    <x v="38"/>
    <x v="3"/>
    <n v="53062"/>
    <n v="53062"/>
    <n v="0"/>
    <n v="0"/>
    <n v="0"/>
    <n v="0"/>
    <n v="0"/>
    <n v="0"/>
    <x v="0"/>
    <n v="0"/>
    <n v="152"/>
    <n v="1"/>
  </r>
  <r>
    <x v="40"/>
    <x v="38"/>
    <x v="5"/>
    <n v="393055"/>
    <n v="393055"/>
    <n v="0"/>
    <n v="0"/>
    <n v="0"/>
    <n v="0"/>
    <n v="0"/>
    <n v="0"/>
    <x v="0"/>
    <n v="0"/>
    <n v="153"/>
    <n v="1"/>
  </r>
  <r>
    <x v="40"/>
    <x v="38"/>
    <x v="6"/>
    <n v="1512675"/>
    <n v="1512675"/>
    <n v="0"/>
    <n v="0"/>
    <n v="0"/>
    <n v="0"/>
    <n v="0"/>
    <n v="0"/>
    <x v="0"/>
    <n v="0"/>
    <n v="154"/>
    <n v="1"/>
  </r>
  <r>
    <x v="41"/>
    <x v="39"/>
    <x v="1"/>
    <n v="317500385"/>
    <n v="317500385"/>
    <n v="0"/>
    <n v="0"/>
    <n v="0"/>
    <n v="0"/>
    <n v="0"/>
    <n v="0"/>
    <x v="0"/>
    <n v="0"/>
    <n v="155"/>
    <n v="0"/>
  </r>
  <r>
    <x v="41"/>
    <x v="39"/>
    <x v="3"/>
    <n v="88396"/>
    <n v="0"/>
    <n v="88396"/>
    <n v="0"/>
    <n v="88396"/>
    <n v="0"/>
    <n v="0"/>
    <n v="0"/>
    <x v="0"/>
    <n v="88396"/>
    <n v="156"/>
    <n v="1"/>
  </r>
  <r>
    <x v="41"/>
    <x v="39"/>
    <x v="5"/>
    <n v="395529"/>
    <n v="395529"/>
    <n v="0"/>
    <n v="0"/>
    <n v="0"/>
    <n v="0"/>
    <n v="0"/>
    <n v="0"/>
    <x v="0"/>
    <n v="0"/>
    <n v="157"/>
    <n v="1"/>
  </r>
  <r>
    <x v="42"/>
    <x v="40"/>
    <x v="1"/>
    <n v="96212119"/>
    <n v="96212119"/>
    <n v="0"/>
    <n v="0"/>
    <n v="0"/>
    <n v="0"/>
    <n v="0"/>
    <n v="0"/>
    <x v="0"/>
    <n v="0"/>
    <n v="159"/>
    <n v="0"/>
  </r>
  <r>
    <x v="42"/>
    <x v="40"/>
    <x v="2"/>
    <n v="222850549"/>
    <n v="222850549"/>
    <n v="0"/>
    <n v="0"/>
    <n v="0"/>
    <n v="0"/>
    <n v="0"/>
    <n v="0"/>
    <x v="0"/>
    <n v="0"/>
    <n v="158"/>
    <n v="1"/>
  </r>
  <r>
    <x v="42"/>
    <x v="40"/>
    <x v="8"/>
    <n v="455621"/>
    <n v="455621"/>
    <n v="0"/>
    <n v="0"/>
    <n v="0"/>
    <n v="0"/>
    <n v="0"/>
    <n v="0"/>
    <x v="0"/>
    <n v="0"/>
    <n v="160"/>
    <n v="1"/>
  </r>
  <r>
    <x v="42"/>
    <x v="40"/>
    <x v="3"/>
    <n v="87187"/>
    <n v="0"/>
    <n v="87187"/>
    <n v="0"/>
    <n v="87187"/>
    <n v="0"/>
    <n v="0"/>
    <n v="0"/>
    <x v="0"/>
    <n v="87187"/>
    <n v="161"/>
    <n v="1"/>
  </r>
  <r>
    <x v="42"/>
    <x v="40"/>
    <x v="5"/>
    <n v="363869"/>
    <n v="363869"/>
    <n v="0"/>
    <n v="0"/>
    <n v="0"/>
    <n v="0"/>
    <n v="0"/>
    <n v="0"/>
    <x v="0"/>
    <n v="0"/>
    <n v="162"/>
    <n v="1"/>
  </r>
  <r>
    <x v="43"/>
    <x v="41"/>
    <x v="1"/>
    <n v="204896000"/>
    <n v="204896000"/>
    <n v="0"/>
    <n v="0"/>
    <n v="0"/>
    <n v="0"/>
    <n v="0"/>
    <n v="0"/>
    <x v="0"/>
    <n v="0"/>
    <n v="164"/>
    <n v="0"/>
  </r>
  <r>
    <x v="43"/>
    <x v="41"/>
    <x v="2"/>
    <n v="75000000"/>
    <n v="75000000"/>
    <n v="0"/>
    <n v="0"/>
    <n v="0"/>
    <n v="0"/>
    <n v="0"/>
    <n v="0"/>
    <x v="0"/>
    <n v="0"/>
    <n v="163"/>
    <n v="1"/>
  </r>
  <r>
    <x v="44"/>
    <x v="42"/>
    <x v="1"/>
    <n v="127601354"/>
    <n v="111651520"/>
    <n v="15949834"/>
    <n v="15949834"/>
    <n v="0"/>
    <n v="0"/>
    <n v="0"/>
    <n v="0"/>
    <x v="0"/>
    <n v="0"/>
    <n v="166"/>
    <n v="0"/>
  </r>
  <r>
    <x v="44"/>
    <x v="42"/>
    <x v="2"/>
    <n v="302244140"/>
    <n v="302244140"/>
    <n v="0"/>
    <n v="0"/>
    <n v="0"/>
    <n v="0"/>
    <n v="0"/>
    <n v="0"/>
    <x v="0"/>
    <n v="0"/>
    <n v="165"/>
    <n v="1"/>
  </r>
  <r>
    <x v="44"/>
    <x v="42"/>
    <x v="8"/>
    <n v="616577"/>
    <n v="616577"/>
    <n v="0"/>
    <n v="0"/>
    <n v="0"/>
    <n v="0"/>
    <n v="0"/>
    <n v="0"/>
    <x v="0"/>
    <n v="0"/>
    <n v="167"/>
    <n v="1"/>
  </r>
  <r>
    <x v="44"/>
    <x v="42"/>
    <x v="3"/>
    <n v="1335027"/>
    <n v="1335027"/>
    <n v="0"/>
    <n v="0"/>
    <n v="0"/>
    <n v="0"/>
    <n v="0"/>
    <n v="0"/>
    <x v="0"/>
    <n v="0"/>
    <n v="168"/>
    <n v="1"/>
  </r>
  <r>
    <x v="44"/>
    <x v="42"/>
    <x v="5"/>
    <n v="1491310"/>
    <n v="925976"/>
    <n v="565334"/>
    <n v="565334"/>
    <n v="0"/>
    <n v="0"/>
    <n v="0"/>
    <n v="0"/>
    <x v="0"/>
    <n v="0"/>
    <n v="169"/>
    <n v="1"/>
  </r>
  <r>
    <x v="44"/>
    <x v="42"/>
    <x v="6"/>
    <n v="1931850"/>
    <n v="1931850"/>
    <n v="0"/>
    <n v="0"/>
    <n v="0"/>
    <n v="0"/>
    <n v="0"/>
    <n v="0"/>
    <x v="0"/>
    <n v="0"/>
    <n v="170"/>
    <n v="1"/>
  </r>
  <r>
    <x v="45"/>
    <x v="34"/>
    <x v="1"/>
    <n v="426820000"/>
    <n v="426820000"/>
    <n v="0"/>
    <n v="0"/>
    <n v="0"/>
    <n v="0"/>
    <n v="0"/>
    <n v="0"/>
    <x v="0"/>
    <n v="0"/>
    <n v="171"/>
    <n v="0"/>
  </r>
  <r>
    <x v="45"/>
    <x v="34"/>
    <x v="3"/>
    <n v="1292417"/>
    <n v="0"/>
    <n v="1292417"/>
    <n v="0"/>
    <n v="1292417"/>
    <n v="0"/>
    <n v="0"/>
    <n v="0"/>
    <x v="0"/>
    <n v="1292417"/>
    <n v="172"/>
    <n v="1"/>
  </r>
  <r>
    <x v="46"/>
    <x v="43"/>
    <x v="1"/>
    <n v="270479247"/>
    <n v="270479247"/>
    <n v="0"/>
    <n v="0"/>
    <n v="0"/>
    <n v="0"/>
    <n v="0"/>
    <n v="0"/>
    <x v="0"/>
    <n v="0"/>
    <n v="173"/>
    <n v="0"/>
  </r>
  <r>
    <x v="46"/>
    <x v="43"/>
    <x v="3"/>
    <n v="81280"/>
    <n v="0"/>
    <n v="81280"/>
    <n v="0"/>
    <n v="81280"/>
    <n v="0"/>
    <n v="0"/>
    <n v="0"/>
    <x v="0"/>
    <n v="81280"/>
    <n v="174"/>
    <n v="1"/>
  </r>
  <r>
    <x v="46"/>
    <x v="43"/>
    <x v="5"/>
    <n v="1571579"/>
    <n v="1571579"/>
    <n v="0"/>
    <n v="0"/>
    <n v="0"/>
    <n v="0"/>
    <n v="0"/>
    <n v="0"/>
    <x v="0"/>
    <n v="0"/>
    <n v="175"/>
    <n v="1"/>
  </r>
  <r>
    <x v="47"/>
    <x v="44"/>
    <x v="1"/>
    <n v="93234162"/>
    <n v="93234162"/>
    <n v="0"/>
    <n v="0"/>
    <n v="0"/>
    <n v="0"/>
    <n v="0"/>
    <n v="0"/>
    <x v="0"/>
    <n v="0"/>
    <n v="177"/>
    <n v="0"/>
  </r>
  <r>
    <x v="47"/>
    <x v="44"/>
    <x v="2"/>
    <n v="217546378"/>
    <n v="217546378"/>
    <n v="0"/>
    <n v="0"/>
    <n v="0"/>
    <n v="0"/>
    <n v="0"/>
    <n v="0"/>
    <x v="0"/>
    <n v="0"/>
    <n v="176"/>
    <n v="1"/>
  </r>
  <r>
    <x v="47"/>
    <x v="44"/>
    <x v="6"/>
    <n v="1931850"/>
    <n v="1931850"/>
    <n v="0"/>
    <n v="0"/>
    <n v="0"/>
    <n v="0"/>
    <n v="0"/>
    <n v="0"/>
    <x v="0"/>
    <n v="0"/>
    <n v="178"/>
    <n v="1"/>
  </r>
  <r>
    <x v="48"/>
    <x v="45"/>
    <x v="1"/>
    <n v="96760652"/>
    <n v="96760652"/>
    <n v="0"/>
    <n v="0"/>
    <n v="0"/>
    <n v="0"/>
    <n v="0"/>
    <n v="0"/>
    <x v="0"/>
    <n v="0"/>
    <n v="180"/>
    <n v="0"/>
  </r>
  <r>
    <x v="48"/>
    <x v="45"/>
    <x v="2"/>
    <n v="226906295"/>
    <n v="226906295"/>
    <n v="0"/>
    <n v="0"/>
    <n v="0"/>
    <n v="0"/>
    <n v="0"/>
    <n v="0"/>
    <x v="0"/>
    <n v="0"/>
    <n v="179"/>
    <n v="1"/>
  </r>
  <r>
    <x v="48"/>
    <x v="45"/>
    <x v="5"/>
    <n v="528861"/>
    <n v="528861"/>
    <n v="0"/>
    <n v="0"/>
    <n v="0"/>
    <n v="0"/>
    <n v="0"/>
    <n v="0"/>
    <x v="0"/>
    <n v="0"/>
    <n v="181"/>
    <n v="1"/>
  </r>
  <r>
    <x v="48"/>
    <x v="45"/>
    <x v="4"/>
    <n v="1210167"/>
    <n v="0"/>
    <n v="1210167"/>
    <n v="0"/>
    <n v="1210167"/>
    <n v="0"/>
    <n v="0"/>
    <n v="0"/>
    <x v="0"/>
    <n v="1210167"/>
    <n v="182"/>
    <n v="1"/>
  </r>
  <r>
    <x v="48"/>
    <x v="45"/>
    <x v="6"/>
    <n v="1931860"/>
    <n v="1931860"/>
    <n v="0"/>
    <n v="0"/>
    <n v="0"/>
    <n v="0"/>
    <n v="0"/>
    <n v="0"/>
    <x v="0"/>
    <n v="0"/>
    <n v="183"/>
    <n v="1"/>
  </r>
  <r>
    <x v="49"/>
    <x v="46"/>
    <x v="1"/>
    <n v="82724000"/>
    <n v="82724000"/>
    <n v="0"/>
    <n v="0"/>
    <n v="0"/>
    <n v="0"/>
    <n v="0"/>
    <n v="0"/>
    <x v="0"/>
    <n v="0"/>
    <n v="185"/>
    <n v="0"/>
  </r>
  <r>
    <x v="49"/>
    <x v="46"/>
    <x v="2"/>
    <n v="192000000"/>
    <n v="192000000"/>
    <n v="0"/>
    <n v="0"/>
    <n v="0"/>
    <n v="0"/>
    <n v="0"/>
    <n v="0"/>
    <x v="0"/>
    <n v="0"/>
    <n v="184"/>
    <n v="1"/>
  </r>
  <r>
    <x v="49"/>
    <x v="46"/>
    <x v="3"/>
    <n v="61800"/>
    <n v="0"/>
    <n v="61800"/>
    <n v="0"/>
    <n v="61800"/>
    <n v="0"/>
    <n v="0"/>
    <n v="0"/>
    <x v="0"/>
    <n v="61800"/>
    <n v="186"/>
    <n v="1"/>
  </r>
  <r>
    <x v="49"/>
    <x v="46"/>
    <x v="4"/>
    <n v="870400"/>
    <n v="0"/>
    <n v="870400"/>
    <n v="0"/>
    <n v="870400"/>
    <n v="0"/>
    <n v="0"/>
    <n v="0"/>
    <x v="0"/>
    <n v="870400"/>
    <n v="187"/>
    <n v="1"/>
  </r>
  <r>
    <x v="50"/>
    <x v="47"/>
    <x v="1"/>
    <n v="209640981"/>
    <n v="209640981"/>
    <n v="0"/>
    <n v="0"/>
    <n v="0"/>
    <n v="0"/>
    <n v="0"/>
    <n v="0"/>
    <x v="0"/>
    <n v="0"/>
    <n v="189"/>
    <n v="0"/>
  </r>
  <r>
    <x v="50"/>
    <x v="47"/>
    <x v="2"/>
    <n v="174679317"/>
    <n v="174679317"/>
    <n v="0"/>
    <n v="0"/>
    <n v="0"/>
    <n v="0"/>
    <n v="0"/>
    <n v="0"/>
    <x v="0"/>
    <n v="0"/>
    <n v="188"/>
    <n v="1"/>
  </r>
  <r>
    <x v="50"/>
    <x v="47"/>
    <x v="3"/>
    <n v="162860"/>
    <n v="162860"/>
    <n v="0"/>
    <n v="0"/>
    <n v="0"/>
    <n v="0"/>
    <n v="0"/>
    <n v="0"/>
    <x v="0"/>
    <n v="0"/>
    <n v="190"/>
    <n v="1"/>
  </r>
  <r>
    <x v="51"/>
    <x v="48"/>
    <x v="1"/>
    <n v="101970072"/>
    <n v="101970072"/>
    <n v="0"/>
    <n v="0"/>
    <n v="0"/>
    <n v="0"/>
    <n v="0"/>
    <n v="0"/>
    <x v="0"/>
    <n v="0"/>
    <n v="192"/>
    <n v="0"/>
  </r>
  <r>
    <x v="51"/>
    <x v="48"/>
    <x v="2"/>
    <n v="237929928"/>
    <n v="0"/>
    <n v="237929928"/>
    <n v="0"/>
    <n v="237929928"/>
    <n v="0"/>
    <n v="0"/>
    <n v="0"/>
    <x v="0"/>
    <n v="237929928"/>
    <n v="191"/>
    <n v="1"/>
  </r>
  <r>
    <x v="51"/>
    <x v="48"/>
    <x v="3"/>
    <n v="925180"/>
    <n v="0"/>
    <n v="925180"/>
    <n v="0"/>
    <n v="925180"/>
    <n v="0"/>
    <n v="925180"/>
    <n v="0"/>
    <x v="0"/>
    <n v="0"/>
    <n v="193"/>
    <n v="1"/>
  </r>
  <r>
    <x v="52"/>
    <x v="49"/>
    <x v="1"/>
    <n v="82470000"/>
    <n v="82470000"/>
    <n v="0"/>
    <n v="0"/>
    <n v="0"/>
    <n v="0"/>
    <n v="0"/>
    <n v="0"/>
    <x v="0"/>
    <n v="0"/>
    <n v="195"/>
    <n v="0"/>
  </r>
  <r>
    <x v="52"/>
    <x v="49"/>
    <x v="2"/>
    <n v="192430000"/>
    <n v="192430000"/>
    <n v="0"/>
    <n v="0"/>
    <n v="0"/>
    <n v="0"/>
    <n v="0"/>
    <n v="0"/>
    <x v="0"/>
    <n v="0"/>
    <n v="194"/>
    <n v="1"/>
  </r>
  <r>
    <x v="52"/>
    <x v="49"/>
    <x v="3"/>
    <n v="89747"/>
    <n v="0"/>
    <n v="89747"/>
    <n v="0"/>
    <n v="89747"/>
    <n v="0"/>
    <n v="0"/>
    <n v="0"/>
    <x v="0"/>
    <n v="89747"/>
    <n v="196"/>
    <n v="1"/>
  </r>
  <r>
    <x v="52"/>
    <x v="49"/>
    <x v="6"/>
    <n v="1512675"/>
    <n v="1512675"/>
    <n v="0"/>
    <n v="0"/>
    <n v="0"/>
    <n v="0"/>
    <n v="0"/>
    <n v="0"/>
    <x v="0"/>
    <n v="0"/>
    <n v="197"/>
    <n v="1"/>
  </r>
  <r>
    <x v="53"/>
    <x v="50"/>
    <x v="1"/>
    <n v="263219927"/>
    <n v="263219927"/>
    <n v="0"/>
    <n v="0"/>
    <n v="0"/>
    <n v="0"/>
    <n v="0"/>
    <n v="0"/>
    <x v="0"/>
    <n v="0"/>
    <n v="198"/>
    <n v="0"/>
  </r>
  <r>
    <x v="53"/>
    <x v="50"/>
    <x v="3"/>
    <n v="139421"/>
    <n v="139421"/>
    <n v="0"/>
    <n v="0"/>
    <n v="0"/>
    <n v="0"/>
    <n v="0"/>
    <n v="0"/>
    <x v="0"/>
    <n v="0"/>
    <n v="199"/>
    <n v="1"/>
  </r>
  <r>
    <x v="53"/>
    <x v="50"/>
    <x v="5"/>
    <n v="189207"/>
    <n v="189207"/>
    <n v="0"/>
    <n v="0"/>
    <n v="0"/>
    <n v="0"/>
    <n v="0"/>
    <n v="0"/>
    <x v="0"/>
    <n v="0"/>
    <n v="200"/>
    <n v="1"/>
  </r>
  <r>
    <x v="54"/>
    <x v="51"/>
    <x v="1"/>
    <n v="96865280"/>
    <n v="96865280"/>
    <n v="0"/>
    <n v="0"/>
    <n v="0"/>
    <n v="0"/>
    <n v="0"/>
    <n v="0"/>
    <x v="0"/>
    <n v="0"/>
    <n v="202"/>
    <n v="0"/>
  </r>
  <r>
    <x v="54"/>
    <x v="51"/>
    <x v="2"/>
    <n v="225654720"/>
    <n v="225654720"/>
    <n v="0"/>
    <n v="0"/>
    <n v="0"/>
    <n v="0"/>
    <n v="0"/>
    <n v="0"/>
    <x v="0"/>
    <n v="0"/>
    <n v="201"/>
    <n v="1"/>
  </r>
  <r>
    <x v="54"/>
    <x v="51"/>
    <x v="8"/>
    <n v="460558"/>
    <n v="460558"/>
    <n v="0"/>
    <n v="0"/>
    <n v="0"/>
    <n v="0"/>
    <n v="0"/>
    <n v="0"/>
    <x v="0"/>
    <n v="0"/>
    <n v="203"/>
    <n v="1"/>
  </r>
  <r>
    <x v="54"/>
    <x v="51"/>
    <x v="3"/>
    <n v="82650"/>
    <n v="0"/>
    <n v="82650"/>
    <n v="0"/>
    <n v="82650"/>
    <n v="0"/>
    <n v="0"/>
    <n v="0"/>
    <x v="0"/>
    <n v="82650"/>
    <n v="204"/>
    <n v="1"/>
  </r>
  <r>
    <x v="55"/>
    <x v="52"/>
    <x v="1"/>
    <n v="81960000"/>
    <n v="81960000"/>
    <n v="0"/>
    <n v="0"/>
    <n v="0"/>
    <n v="0"/>
    <n v="0"/>
    <n v="0"/>
    <x v="0"/>
    <n v="0"/>
    <n v="206"/>
    <n v="0"/>
  </r>
  <r>
    <x v="55"/>
    <x v="52"/>
    <x v="2"/>
    <n v="191240000"/>
    <n v="191240000"/>
    <n v="0"/>
    <n v="0"/>
    <n v="0"/>
    <n v="0"/>
    <n v="0"/>
    <n v="0"/>
    <x v="0"/>
    <n v="0"/>
    <n v="205"/>
    <n v="1"/>
  </r>
  <r>
    <x v="55"/>
    <x v="52"/>
    <x v="3"/>
    <n v="105000"/>
    <n v="105000"/>
    <n v="0"/>
    <n v="0"/>
    <n v="0"/>
    <n v="0"/>
    <n v="0"/>
    <n v="0"/>
    <x v="0"/>
    <n v="0"/>
    <n v="207"/>
    <n v="1"/>
  </r>
  <r>
    <x v="55"/>
    <x v="52"/>
    <x v="4"/>
    <n v="101995"/>
    <n v="101995"/>
    <n v="0"/>
    <n v="0"/>
    <n v="0"/>
    <n v="0"/>
    <n v="0"/>
    <n v="0"/>
    <x v="0"/>
    <n v="0"/>
    <n v="208"/>
    <n v="1"/>
  </r>
  <r>
    <x v="56"/>
    <x v="53"/>
    <x v="1"/>
    <n v="93689768"/>
    <n v="93689768"/>
    <n v="0"/>
    <n v="0"/>
    <n v="0"/>
    <n v="0"/>
    <n v="0"/>
    <n v="0"/>
    <x v="0"/>
    <n v="0"/>
    <n v="210"/>
    <n v="0"/>
  </r>
  <r>
    <x v="56"/>
    <x v="53"/>
    <x v="2"/>
    <n v="254012927"/>
    <n v="254012927"/>
    <n v="0"/>
    <n v="0"/>
    <n v="0"/>
    <n v="0"/>
    <n v="0"/>
    <n v="0"/>
    <x v="0"/>
    <n v="0"/>
    <n v="209"/>
    <n v="1"/>
  </r>
  <r>
    <x v="56"/>
    <x v="53"/>
    <x v="8"/>
    <n v="538317"/>
    <n v="490000"/>
    <n v="48317"/>
    <n v="0"/>
    <n v="48317"/>
    <n v="0"/>
    <n v="0"/>
    <n v="0"/>
    <x v="0"/>
    <n v="48317"/>
    <n v="211"/>
    <n v="1"/>
  </r>
  <r>
    <x v="56"/>
    <x v="53"/>
    <x v="3"/>
    <n v="108144"/>
    <n v="0"/>
    <n v="108144"/>
    <n v="0"/>
    <n v="108144"/>
    <n v="0"/>
    <n v="0"/>
    <n v="0"/>
    <x v="0"/>
    <n v="108144"/>
    <n v="212"/>
    <n v="1"/>
  </r>
  <r>
    <x v="57"/>
    <x v="54"/>
    <x v="1"/>
    <n v="293657354"/>
    <n v="293657354"/>
    <n v="0"/>
    <n v="0"/>
    <n v="0"/>
    <n v="0"/>
    <n v="0"/>
    <n v="0"/>
    <x v="0"/>
    <n v="0"/>
    <n v="213"/>
    <n v="0"/>
  </r>
  <r>
    <x v="57"/>
    <x v="54"/>
    <x v="3"/>
    <n v="171008"/>
    <n v="0"/>
    <n v="171008"/>
    <n v="0"/>
    <n v="171008"/>
    <n v="0"/>
    <n v="0"/>
    <n v="0"/>
    <x v="0"/>
    <n v="171008"/>
    <n v="214"/>
    <n v="1"/>
  </r>
  <r>
    <x v="57"/>
    <x v="54"/>
    <x v="6"/>
    <n v="1931850"/>
    <n v="1931850"/>
    <n v="0"/>
    <n v="0"/>
    <n v="0"/>
    <n v="0"/>
    <n v="0"/>
    <n v="0"/>
    <x v="0"/>
    <n v="0"/>
    <n v="215"/>
    <n v="1"/>
  </r>
  <r>
    <x v="58"/>
    <x v="12"/>
    <x v="1"/>
    <n v="110693345"/>
    <n v="110693345"/>
    <n v="0"/>
    <n v="0"/>
    <n v="0"/>
    <n v="0"/>
    <n v="0"/>
    <n v="0"/>
    <x v="0"/>
    <n v="0"/>
    <n v="218"/>
    <n v="0"/>
  </r>
  <r>
    <x v="58"/>
    <x v="12"/>
    <x v="2"/>
    <n v="131882871"/>
    <n v="131882871"/>
    <n v="0"/>
    <n v="0"/>
    <n v="0"/>
    <n v="0"/>
    <n v="0"/>
    <n v="0"/>
    <x v="0"/>
    <n v="0"/>
    <n v="216"/>
    <n v="1"/>
  </r>
  <r>
    <x v="58"/>
    <x v="12"/>
    <x v="10"/>
    <n v="6000000"/>
    <n v="6000000"/>
    <n v="0"/>
    <n v="0"/>
    <n v="0"/>
    <n v="0"/>
    <n v="0"/>
    <n v="0"/>
    <x v="0"/>
    <n v="0"/>
    <n v="217"/>
    <n v="1"/>
  </r>
  <r>
    <x v="58"/>
    <x v="12"/>
    <x v="3"/>
    <n v="64543"/>
    <n v="64543"/>
    <n v="0"/>
    <n v="0"/>
    <n v="0"/>
    <n v="0"/>
    <n v="0"/>
    <n v="0"/>
    <x v="0"/>
    <n v="0"/>
    <n v="219"/>
    <n v="1"/>
  </r>
  <r>
    <x v="58"/>
    <x v="12"/>
    <x v="6"/>
    <n v="1120500"/>
    <n v="1120500"/>
    <n v="0"/>
    <n v="0"/>
    <n v="0"/>
    <n v="0"/>
    <n v="0"/>
    <n v="0"/>
    <x v="0"/>
    <n v="0"/>
    <n v="220"/>
    <n v="1"/>
  </r>
  <r>
    <x v="59"/>
    <x v="55"/>
    <x v="1"/>
    <n v="97732358"/>
    <n v="97732358"/>
    <n v="0"/>
    <n v="0"/>
    <n v="0"/>
    <n v="0"/>
    <n v="0"/>
    <n v="0"/>
    <x v="0"/>
    <n v="0"/>
    <n v="222"/>
    <n v="0"/>
  </r>
  <r>
    <x v="59"/>
    <x v="55"/>
    <x v="2"/>
    <n v="227500000"/>
    <n v="227500000"/>
    <n v="0"/>
    <n v="0"/>
    <n v="0"/>
    <n v="0"/>
    <n v="0"/>
    <n v="0"/>
    <x v="0"/>
    <n v="0"/>
    <n v="221"/>
    <n v="1"/>
  </r>
  <r>
    <x v="59"/>
    <x v="55"/>
    <x v="8"/>
    <n v="464431"/>
    <n v="0"/>
    <n v="464431"/>
    <n v="0"/>
    <n v="464431"/>
    <n v="0"/>
    <n v="0"/>
    <n v="0"/>
    <x v="0"/>
    <n v="464431"/>
    <n v="223"/>
    <n v="1"/>
  </r>
  <r>
    <x v="59"/>
    <x v="55"/>
    <x v="4"/>
    <n v="546000"/>
    <n v="0"/>
    <n v="546000"/>
    <n v="0"/>
    <n v="546000"/>
    <n v="0"/>
    <n v="0"/>
    <n v="0"/>
    <x v="0"/>
    <n v="546000"/>
    <n v="224"/>
    <n v="1"/>
  </r>
  <r>
    <x v="60"/>
    <x v="56"/>
    <x v="1"/>
    <n v="110985976"/>
    <n v="110985976"/>
    <n v="0"/>
    <n v="0"/>
    <n v="0"/>
    <n v="0"/>
    <n v="0"/>
    <n v="0"/>
    <x v="0"/>
    <n v="0"/>
    <n v="226"/>
    <n v="0"/>
  </r>
  <r>
    <x v="60"/>
    <x v="56"/>
    <x v="2"/>
    <n v="254425500"/>
    <n v="254425500"/>
    <n v="0"/>
    <n v="0"/>
    <n v="0"/>
    <n v="0"/>
    <n v="0"/>
    <n v="0"/>
    <x v="0"/>
    <n v="0"/>
    <n v="225"/>
    <n v="1"/>
  </r>
  <r>
    <x v="60"/>
    <x v="56"/>
    <x v="3"/>
    <n v="54548"/>
    <n v="54548"/>
    <n v="0"/>
    <n v="0"/>
    <n v="0"/>
    <n v="0"/>
    <n v="0"/>
    <n v="0"/>
    <x v="0"/>
    <n v="0"/>
    <n v="227"/>
    <n v="1"/>
  </r>
  <r>
    <x v="61"/>
    <x v="57"/>
    <x v="1"/>
    <n v="113608279"/>
    <n v="113608279"/>
    <n v="0"/>
    <n v="0"/>
    <n v="0"/>
    <n v="0"/>
    <n v="0"/>
    <n v="0"/>
    <x v="0"/>
    <n v="0"/>
    <n v="229"/>
    <n v="0"/>
  </r>
  <r>
    <x v="61"/>
    <x v="57"/>
    <x v="2"/>
    <n v="160000000"/>
    <n v="160000000"/>
    <n v="0"/>
    <n v="0"/>
    <n v="0"/>
    <n v="0"/>
    <n v="0"/>
    <n v="0"/>
    <x v="0"/>
    <n v="0"/>
    <n v="228"/>
    <n v="1"/>
  </r>
  <r>
    <x v="61"/>
    <x v="57"/>
    <x v="3"/>
    <n v="103264"/>
    <n v="0"/>
    <n v="103264"/>
    <n v="0"/>
    <n v="103264"/>
    <n v="0"/>
    <n v="0"/>
    <n v="0"/>
    <x v="0"/>
    <n v="103264"/>
    <n v="230"/>
    <n v="1"/>
  </r>
  <r>
    <x v="61"/>
    <x v="57"/>
    <x v="5"/>
    <n v="1979980"/>
    <n v="1979980"/>
    <n v="0"/>
    <n v="0"/>
    <n v="0"/>
    <n v="0"/>
    <n v="0"/>
    <n v="0"/>
    <x v="0"/>
    <n v="0"/>
    <n v="231"/>
    <n v="1"/>
  </r>
  <r>
    <x v="61"/>
    <x v="57"/>
    <x v="4"/>
    <n v="768000"/>
    <n v="1"/>
    <n v="767999"/>
    <n v="0"/>
    <n v="767999"/>
    <n v="0"/>
    <n v="0"/>
    <n v="0"/>
    <x v="0"/>
    <n v="767999"/>
    <n v="232"/>
    <n v="1"/>
  </r>
  <r>
    <x v="62"/>
    <x v="58"/>
    <x v="1"/>
    <n v="164428995"/>
    <n v="164428995"/>
    <n v="0"/>
    <n v="0"/>
    <n v="0"/>
    <n v="0"/>
    <n v="0"/>
    <n v="0"/>
    <x v="0"/>
    <n v="0"/>
    <n v="234"/>
    <n v="0"/>
  </r>
  <r>
    <x v="62"/>
    <x v="58"/>
    <x v="2"/>
    <n v="178247940"/>
    <n v="178247940"/>
    <n v="0"/>
    <n v="0"/>
    <n v="0"/>
    <n v="0"/>
    <n v="0"/>
    <n v="0"/>
    <x v="0"/>
    <n v="0"/>
    <n v="233"/>
    <n v="1"/>
  </r>
  <r>
    <x v="62"/>
    <x v="58"/>
    <x v="3"/>
    <n v="124838"/>
    <n v="124838"/>
    <n v="0"/>
    <n v="0"/>
    <n v="0"/>
    <n v="0"/>
    <n v="0"/>
    <n v="0"/>
    <x v="0"/>
    <n v="0"/>
    <n v="235"/>
    <n v="1"/>
  </r>
  <r>
    <x v="62"/>
    <x v="58"/>
    <x v="4"/>
    <n v="186162"/>
    <n v="186162"/>
    <n v="0"/>
    <n v="0"/>
    <n v="0"/>
    <n v="0"/>
    <n v="0"/>
    <n v="0"/>
    <x v="0"/>
    <n v="0"/>
    <n v="236"/>
    <n v="1"/>
  </r>
  <r>
    <x v="63"/>
    <x v="59"/>
    <x v="1"/>
    <n v="104537100"/>
    <n v="104537100"/>
    <n v="0"/>
    <n v="0"/>
    <n v="0"/>
    <n v="0"/>
    <n v="0"/>
    <n v="0"/>
    <x v="0"/>
    <n v="0"/>
    <n v="238"/>
    <n v="0"/>
  </r>
  <r>
    <x v="63"/>
    <x v="59"/>
    <x v="2"/>
    <n v="243919900"/>
    <n v="243919900"/>
    <n v="0"/>
    <n v="0"/>
    <n v="0"/>
    <n v="0"/>
    <n v="0"/>
    <n v="0"/>
    <x v="0"/>
    <n v="0"/>
    <n v="237"/>
    <n v="1"/>
  </r>
  <r>
    <x v="63"/>
    <x v="59"/>
    <x v="3"/>
    <n v="167266"/>
    <n v="167266"/>
    <n v="0"/>
    <n v="0"/>
    <n v="0"/>
    <n v="0"/>
    <n v="0"/>
    <n v="0"/>
    <x v="0"/>
    <n v="0"/>
    <n v="239"/>
    <n v="1"/>
  </r>
  <r>
    <x v="63"/>
    <x v="59"/>
    <x v="5"/>
    <n v="3323659"/>
    <n v="3323659"/>
    <n v="0"/>
    <n v="0"/>
    <n v="0"/>
    <n v="0"/>
    <n v="0"/>
    <n v="0"/>
    <x v="0"/>
    <n v="0"/>
    <n v="240"/>
    <n v="1"/>
  </r>
  <r>
    <x v="64"/>
    <x v="60"/>
    <x v="1"/>
    <n v="89061007"/>
    <n v="89061007"/>
    <n v="0"/>
    <n v="0"/>
    <n v="0"/>
    <n v="0"/>
    <n v="0"/>
    <n v="0"/>
    <x v="0"/>
    <n v="0"/>
    <n v="242"/>
    <n v="0"/>
  </r>
  <r>
    <x v="64"/>
    <x v="60"/>
    <x v="2"/>
    <n v="192848883"/>
    <n v="192848883"/>
    <n v="0"/>
    <n v="0"/>
    <n v="0"/>
    <n v="0"/>
    <n v="0"/>
    <n v="0"/>
    <x v="0"/>
    <n v="0"/>
    <n v="241"/>
    <n v="1"/>
  </r>
  <r>
    <x v="64"/>
    <x v="60"/>
    <x v="8"/>
    <n v="402000"/>
    <n v="402000"/>
    <n v="0"/>
    <n v="0"/>
    <n v="0"/>
    <n v="0"/>
    <n v="0"/>
    <n v="0"/>
    <x v="0"/>
    <n v="0"/>
    <n v="243"/>
    <n v="1"/>
  </r>
  <r>
    <x v="64"/>
    <x v="60"/>
    <x v="5"/>
    <n v="2028883"/>
    <n v="2028883"/>
    <n v="0"/>
    <n v="0"/>
    <n v="0"/>
    <n v="0"/>
    <n v="0"/>
    <n v="0"/>
    <x v="0"/>
    <n v="0"/>
    <n v="244"/>
    <n v="1"/>
  </r>
  <r>
    <x v="65"/>
    <x v="61"/>
    <x v="1"/>
    <n v="97100000"/>
    <n v="97100000"/>
    <n v="0"/>
    <n v="0"/>
    <n v="0"/>
    <n v="0"/>
    <n v="0"/>
    <n v="0"/>
    <x v="0"/>
    <n v="0"/>
    <n v="246"/>
    <n v="0"/>
  </r>
  <r>
    <x v="65"/>
    <x v="61"/>
    <x v="2"/>
    <n v="220000000"/>
    <n v="220000000"/>
    <n v="0"/>
    <n v="0"/>
    <n v="0"/>
    <n v="0"/>
    <n v="0"/>
    <n v="0"/>
    <x v="0"/>
    <n v="0"/>
    <n v="245"/>
    <n v="1"/>
  </r>
  <r>
    <x v="65"/>
    <x v="61"/>
    <x v="8"/>
    <n v="452818"/>
    <n v="452818"/>
    <n v="0"/>
    <n v="0"/>
    <n v="0"/>
    <n v="0"/>
    <n v="0"/>
    <n v="0"/>
    <x v="0"/>
    <n v="0"/>
    <n v="247"/>
    <n v="1"/>
  </r>
  <r>
    <x v="65"/>
    <x v="61"/>
    <x v="3"/>
    <n v="131332"/>
    <n v="0"/>
    <n v="131332"/>
    <n v="0"/>
    <n v="131332"/>
    <n v="0"/>
    <n v="0"/>
    <n v="0"/>
    <x v="0"/>
    <n v="131332"/>
    <n v="248"/>
    <n v="1"/>
  </r>
  <r>
    <x v="65"/>
    <x v="61"/>
    <x v="4"/>
    <n v="821333"/>
    <n v="821333"/>
    <n v="0"/>
    <n v="0"/>
    <n v="0"/>
    <n v="0"/>
    <n v="0"/>
    <n v="0"/>
    <x v="0"/>
    <n v="0"/>
    <n v="249"/>
    <n v="1"/>
  </r>
  <r>
    <x v="66"/>
    <x v="62"/>
    <x v="1"/>
    <n v="319905792"/>
    <n v="319905792"/>
    <n v="0"/>
    <n v="0"/>
    <n v="0"/>
    <n v="0"/>
    <n v="0"/>
    <n v="0"/>
    <x v="0"/>
    <n v="0"/>
    <n v="250"/>
    <n v="0"/>
  </r>
  <r>
    <x v="67"/>
    <x v="63"/>
    <x v="1"/>
    <n v="82140000"/>
    <n v="82140000"/>
    <n v="0"/>
    <n v="0"/>
    <n v="0"/>
    <n v="0"/>
    <n v="0"/>
    <n v="0"/>
    <x v="0"/>
    <n v="0"/>
    <n v="252"/>
    <n v="0"/>
  </r>
  <r>
    <x v="67"/>
    <x v="63"/>
    <x v="2"/>
    <n v="191660000"/>
    <n v="191660000"/>
    <n v="0"/>
    <n v="0"/>
    <n v="0"/>
    <n v="0"/>
    <n v="0"/>
    <n v="0"/>
    <x v="0"/>
    <n v="0"/>
    <n v="251"/>
    <n v="1"/>
  </r>
  <r>
    <x v="67"/>
    <x v="63"/>
    <x v="3"/>
    <n v="105226"/>
    <n v="0"/>
    <n v="105226"/>
    <n v="0"/>
    <n v="105226"/>
    <n v="0"/>
    <n v="0"/>
    <n v="0"/>
    <x v="0"/>
    <n v="105226"/>
    <n v="253"/>
    <n v="1"/>
  </r>
  <r>
    <x v="68"/>
    <x v="64"/>
    <x v="1"/>
    <n v="104722800"/>
    <n v="104722800"/>
    <n v="0"/>
    <n v="0"/>
    <n v="0"/>
    <n v="0"/>
    <n v="0"/>
    <n v="0"/>
    <x v="0"/>
    <n v="0"/>
    <n v="255"/>
    <n v="0"/>
  </r>
  <r>
    <x v="68"/>
    <x v="64"/>
    <x v="2"/>
    <n v="244353200"/>
    <n v="244353200"/>
    <n v="0"/>
    <n v="0"/>
    <n v="0"/>
    <n v="0"/>
    <n v="0"/>
    <n v="0"/>
    <x v="0"/>
    <n v="0"/>
    <n v="254"/>
    <n v="1"/>
  </r>
  <r>
    <x v="68"/>
    <x v="64"/>
    <x v="3"/>
    <n v="155254"/>
    <n v="155254"/>
    <n v="0"/>
    <n v="0"/>
    <n v="0"/>
    <n v="0"/>
    <n v="0"/>
    <n v="0"/>
    <x v="0"/>
    <n v="0"/>
    <n v="256"/>
    <n v="1"/>
  </r>
  <r>
    <x v="68"/>
    <x v="64"/>
    <x v="4"/>
    <n v="651609"/>
    <n v="651609"/>
    <n v="0"/>
    <n v="0"/>
    <n v="0"/>
    <n v="0"/>
    <n v="0"/>
    <n v="0"/>
    <x v="0"/>
    <n v="0"/>
    <n v="257"/>
    <n v="1"/>
  </r>
  <r>
    <x v="69"/>
    <x v="65"/>
    <x v="1"/>
    <n v="341800000"/>
    <n v="341800000"/>
    <n v="0"/>
    <n v="0"/>
    <n v="0"/>
    <n v="0"/>
    <n v="0"/>
    <n v="0"/>
    <x v="0"/>
    <n v="0"/>
    <n v="258"/>
    <n v="0"/>
  </r>
  <r>
    <x v="69"/>
    <x v="65"/>
    <x v="3"/>
    <n v="1317000"/>
    <n v="1317000"/>
    <n v="0"/>
    <n v="0"/>
    <n v="0"/>
    <n v="0"/>
    <n v="0"/>
    <n v="0"/>
    <x v="0"/>
    <n v="0"/>
    <n v="259"/>
    <n v="1"/>
  </r>
  <r>
    <x v="70"/>
    <x v="66"/>
    <x v="1"/>
    <n v="82800000"/>
    <n v="82800000"/>
    <n v="0"/>
    <n v="0"/>
    <n v="0"/>
    <n v="0"/>
    <n v="0"/>
    <n v="0"/>
    <x v="0"/>
    <n v="0"/>
    <n v="261"/>
    <n v="0"/>
  </r>
  <r>
    <x v="70"/>
    <x v="66"/>
    <x v="2"/>
    <n v="193000000"/>
    <n v="193000000"/>
    <n v="0"/>
    <n v="0"/>
    <n v="0"/>
    <n v="0"/>
    <n v="0"/>
    <n v="0"/>
    <x v="0"/>
    <n v="0"/>
    <n v="260"/>
    <n v="1"/>
  </r>
  <r>
    <x v="70"/>
    <x v="66"/>
    <x v="5"/>
    <n v="391718"/>
    <n v="391718"/>
    <n v="0"/>
    <n v="0"/>
    <n v="0"/>
    <n v="0"/>
    <n v="0"/>
    <n v="0"/>
    <x v="0"/>
    <n v="0"/>
    <n v="262"/>
    <n v="1"/>
  </r>
  <r>
    <x v="71"/>
    <x v="60"/>
    <x v="1"/>
    <n v="317400000"/>
    <n v="317400000"/>
    <n v="0"/>
    <n v="0"/>
    <n v="0"/>
    <n v="0"/>
    <n v="0"/>
    <n v="0"/>
    <x v="0"/>
    <n v="0"/>
    <n v="263"/>
    <n v="0"/>
  </r>
  <r>
    <x v="71"/>
    <x v="60"/>
    <x v="3"/>
    <n v="1321937"/>
    <n v="1321937"/>
    <n v="0"/>
    <n v="0"/>
    <n v="0"/>
    <n v="0"/>
    <n v="0"/>
    <n v="0"/>
    <x v="0"/>
    <n v="0"/>
    <n v="264"/>
    <n v="1"/>
  </r>
  <r>
    <x v="72"/>
    <x v="67"/>
    <x v="1"/>
    <n v="308344500"/>
    <n v="308344500"/>
    <n v="0"/>
    <n v="0"/>
    <n v="0"/>
    <n v="0"/>
    <n v="0"/>
    <n v="0"/>
    <x v="0"/>
    <n v="0"/>
    <n v="265"/>
    <n v="0"/>
  </r>
  <r>
    <x v="72"/>
    <x v="67"/>
    <x v="3"/>
    <n v="187454"/>
    <n v="187454"/>
    <n v="0"/>
    <n v="0"/>
    <n v="0"/>
    <n v="0"/>
    <n v="0"/>
    <n v="0"/>
    <x v="0"/>
    <n v="0"/>
    <n v="266"/>
    <n v="1"/>
  </r>
  <r>
    <x v="73"/>
    <x v="68"/>
    <x v="1"/>
    <n v="273978674"/>
    <n v="273978674"/>
    <n v="0"/>
    <n v="0"/>
    <n v="0"/>
    <n v="0"/>
    <n v="0"/>
    <n v="0"/>
    <x v="0"/>
    <n v="0"/>
    <n v="267"/>
    <n v="0"/>
  </r>
  <r>
    <x v="73"/>
    <x v="68"/>
    <x v="3"/>
    <n v="105628"/>
    <n v="105628"/>
    <n v="0"/>
    <n v="0"/>
    <n v="0"/>
    <n v="0"/>
    <n v="0"/>
    <n v="0"/>
    <x v="0"/>
    <n v="0"/>
    <n v="268"/>
    <n v="1"/>
  </r>
  <r>
    <x v="74"/>
    <x v="62"/>
    <x v="1"/>
    <n v="104812800"/>
    <n v="104812800"/>
    <n v="0"/>
    <n v="0"/>
    <n v="0"/>
    <n v="0"/>
    <n v="0"/>
    <n v="0"/>
    <x v="0"/>
    <n v="0"/>
    <n v="270"/>
    <n v="0"/>
  </r>
  <r>
    <x v="74"/>
    <x v="62"/>
    <x v="2"/>
    <n v="244563200"/>
    <n v="244563200"/>
    <n v="0"/>
    <n v="0"/>
    <n v="0"/>
    <n v="0"/>
    <n v="0"/>
    <n v="0"/>
    <x v="0"/>
    <n v="0"/>
    <n v="269"/>
    <n v="1"/>
  </r>
  <r>
    <x v="75"/>
    <x v="69"/>
    <x v="1"/>
    <n v="117818635"/>
    <n v="117818635"/>
    <n v="0"/>
    <n v="0"/>
    <n v="0"/>
    <n v="0"/>
    <n v="0"/>
    <n v="0"/>
    <x v="0"/>
    <n v="0"/>
    <n v="272"/>
    <n v="0"/>
  </r>
  <r>
    <x v="75"/>
    <x v="69"/>
    <x v="2"/>
    <n v="231500000"/>
    <n v="231500000"/>
    <n v="0"/>
    <n v="0"/>
    <n v="0"/>
    <n v="0"/>
    <n v="0"/>
    <n v="0"/>
    <x v="0"/>
    <n v="0"/>
    <n v="271"/>
    <n v="1"/>
  </r>
  <r>
    <x v="75"/>
    <x v="69"/>
    <x v="3"/>
    <n v="127280"/>
    <n v="0"/>
    <n v="127280"/>
    <n v="0"/>
    <n v="127280"/>
    <n v="0"/>
    <n v="0"/>
    <n v="0"/>
    <x v="0"/>
    <n v="127280"/>
    <n v="273"/>
    <n v="1"/>
  </r>
  <r>
    <x v="76"/>
    <x v="70"/>
    <x v="1"/>
    <n v="82830000"/>
    <n v="82830000"/>
    <n v="0"/>
    <n v="0"/>
    <n v="0"/>
    <n v="0"/>
    <n v="0"/>
    <n v="0"/>
    <x v="0"/>
    <n v="0"/>
    <n v="275"/>
    <n v="0"/>
  </r>
  <r>
    <x v="76"/>
    <x v="70"/>
    <x v="2"/>
    <n v="193270000"/>
    <n v="193270000"/>
    <n v="0"/>
    <n v="0"/>
    <n v="0"/>
    <n v="0"/>
    <n v="0"/>
    <n v="0"/>
    <x v="0"/>
    <n v="0"/>
    <n v="274"/>
    <n v="1"/>
  </r>
  <r>
    <x v="76"/>
    <x v="70"/>
    <x v="8"/>
    <n v="394270"/>
    <n v="394270"/>
    <n v="0"/>
    <n v="0"/>
    <n v="0"/>
    <n v="0"/>
    <n v="0"/>
    <n v="0"/>
    <x v="0"/>
    <n v="0"/>
    <n v="276"/>
    <n v="1"/>
  </r>
  <r>
    <x v="77"/>
    <x v="71"/>
    <x v="1"/>
    <n v="109700258"/>
    <n v="109700258"/>
    <n v="0"/>
    <n v="0"/>
    <n v="0"/>
    <n v="0"/>
    <n v="0"/>
    <n v="0"/>
    <x v="0"/>
    <n v="0"/>
    <n v="278"/>
    <n v="0"/>
  </r>
  <r>
    <x v="77"/>
    <x v="71"/>
    <x v="2"/>
    <n v="253281000"/>
    <n v="253281000"/>
    <n v="0"/>
    <n v="0"/>
    <n v="0"/>
    <n v="0"/>
    <n v="0"/>
    <n v="0"/>
    <x v="0"/>
    <n v="0"/>
    <n v="277"/>
    <n v="1"/>
  </r>
  <r>
    <x v="77"/>
    <x v="71"/>
    <x v="5"/>
    <n v="3141613"/>
    <n v="3141613"/>
    <n v="0"/>
    <n v="0"/>
    <n v="0"/>
    <n v="0"/>
    <n v="0"/>
    <n v="0"/>
    <x v="0"/>
    <n v="0"/>
    <n v="279"/>
    <n v="1"/>
  </r>
  <r>
    <x v="77"/>
    <x v="71"/>
    <x v="4"/>
    <n v="674667"/>
    <n v="0"/>
    <n v="674667"/>
    <n v="0"/>
    <n v="674667"/>
    <n v="0"/>
    <n v="0"/>
    <n v="0"/>
    <x v="0"/>
    <n v="674667"/>
    <n v="280"/>
    <n v="1"/>
  </r>
  <r>
    <x v="78"/>
    <x v="72"/>
    <x v="1"/>
    <n v="253292593"/>
    <n v="253292593"/>
    <n v="0"/>
    <n v="0"/>
    <n v="0"/>
    <n v="0"/>
    <n v="0"/>
    <n v="0"/>
    <x v="0"/>
    <n v="0"/>
    <n v="282"/>
    <n v="0"/>
  </r>
  <r>
    <x v="78"/>
    <x v="72"/>
    <x v="10"/>
    <n v="60000000"/>
    <n v="60000000"/>
    <n v="0"/>
    <n v="0"/>
    <n v="0"/>
    <n v="0"/>
    <n v="0"/>
    <n v="0"/>
    <x v="0"/>
    <n v="0"/>
    <n v="281"/>
    <n v="1"/>
  </r>
  <r>
    <x v="79"/>
    <x v="73"/>
    <x v="1"/>
    <n v="84540622"/>
    <n v="84540622"/>
    <n v="0"/>
    <n v="0"/>
    <n v="0"/>
    <n v="0"/>
    <n v="0"/>
    <n v="0"/>
    <x v="0"/>
    <n v="0"/>
    <n v="284"/>
    <n v="0"/>
  </r>
  <r>
    <x v="79"/>
    <x v="73"/>
    <x v="2"/>
    <n v="192080000"/>
    <n v="192080000"/>
    <n v="0"/>
    <n v="0"/>
    <n v="0"/>
    <n v="0"/>
    <n v="0"/>
    <n v="0"/>
    <x v="0"/>
    <n v="0"/>
    <n v="283"/>
    <n v="1"/>
  </r>
  <r>
    <x v="79"/>
    <x v="73"/>
    <x v="3"/>
    <n v="93919"/>
    <n v="0"/>
    <n v="93919"/>
    <n v="0"/>
    <n v="93919"/>
    <n v="0"/>
    <n v="0"/>
    <n v="0"/>
    <x v="0"/>
    <n v="93919"/>
    <n v="285"/>
    <n v="1"/>
  </r>
  <r>
    <x v="79"/>
    <x v="73"/>
    <x v="5"/>
    <n v="1909791"/>
    <n v="1909791"/>
    <n v="0"/>
    <n v="0"/>
    <n v="0"/>
    <n v="0"/>
    <n v="0"/>
    <n v="0"/>
    <x v="0"/>
    <n v="0"/>
    <n v="286"/>
    <n v="1"/>
  </r>
  <r>
    <x v="80"/>
    <x v="74"/>
    <x v="1"/>
    <n v="104902800"/>
    <n v="104902800"/>
    <n v="0"/>
    <n v="0"/>
    <n v="0"/>
    <n v="0"/>
    <n v="0"/>
    <n v="0"/>
    <x v="0"/>
    <n v="0"/>
    <n v="288"/>
    <n v="0"/>
  </r>
  <r>
    <x v="80"/>
    <x v="74"/>
    <x v="2"/>
    <n v="244773200"/>
    <n v="244773200"/>
    <n v="0"/>
    <n v="0"/>
    <n v="0"/>
    <n v="0"/>
    <n v="0"/>
    <n v="0"/>
    <x v="0"/>
    <n v="0"/>
    <n v="287"/>
    <n v="1"/>
  </r>
  <r>
    <x v="80"/>
    <x v="74"/>
    <x v="3"/>
    <n v="58596"/>
    <n v="0"/>
    <n v="58596"/>
    <n v="0"/>
    <n v="58596"/>
    <n v="0"/>
    <n v="0"/>
    <n v="0"/>
    <x v="0"/>
    <n v="58596"/>
    <n v="289"/>
    <n v="1"/>
  </r>
  <r>
    <x v="81"/>
    <x v="12"/>
    <x v="1"/>
    <n v="155658150"/>
    <n v="155658150"/>
    <n v="0"/>
    <n v="0"/>
    <n v="0"/>
    <n v="0"/>
    <n v="0"/>
    <n v="0"/>
    <x v="0"/>
    <n v="0"/>
    <n v="291"/>
    <n v="0"/>
  </r>
  <r>
    <x v="81"/>
    <x v="12"/>
    <x v="2"/>
    <n v="178000000"/>
    <n v="178000000"/>
    <n v="0"/>
    <n v="0"/>
    <n v="0"/>
    <n v="0"/>
    <n v="0"/>
    <n v="0"/>
    <x v="0"/>
    <n v="0"/>
    <n v="290"/>
    <n v="1"/>
  </r>
  <r>
    <x v="82"/>
    <x v="75"/>
    <x v="1"/>
    <n v="277306412"/>
    <n v="277306412"/>
    <n v="0"/>
    <n v="0"/>
    <n v="0"/>
    <n v="0"/>
    <n v="0"/>
    <n v="0"/>
    <x v="0"/>
    <n v="0"/>
    <n v="292"/>
    <n v="0"/>
  </r>
  <r>
    <x v="82"/>
    <x v="75"/>
    <x v="3"/>
    <n v="116363"/>
    <n v="0"/>
    <n v="116363"/>
    <n v="0"/>
    <n v="116363"/>
    <n v="0"/>
    <n v="0"/>
    <n v="0"/>
    <x v="0"/>
    <n v="116363"/>
    <n v="293"/>
    <n v="1"/>
  </r>
  <r>
    <x v="82"/>
    <x v="75"/>
    <x v="5"/>
    <n v="1456986"/>
    <n v="1456986"/>
    <n v="0"/>
    <n v="0"/>
    <n v="0"/>
    <n v="0"/>
    <n v="0"/>
    <n v="0"/>
    <x v="0"/>
    <n v="0"/>
    <n v="294"/>
    <n v="1"/>
  </r>
  <r>
    <x v="83"/>
    <x v="76"/>
    <x v="1"/>
    <n v="177989150"/>
    <n v="177989150"/>
    <n v="0"/>
    <n v="0"/>
    <n v="0"/>
    <n v="0"/>
    <n v="0"/>
    <n v="0"/>
    <x v="0"/>
    <n v="0"/>
    <n v="296"/>
    <n v="0"/>
  </r>
  <r>
    <x v="83"/>
    <x v="76"/>
    <x v="10"/>
    <n v="77159765"/>
    <n v="77159765"/>
    <n v="0"/>
    <n v="0"/>
    <n v="0"/>
    <n v="0"/>
    <n v="0"/>
    <n v="0"/>
    <x v="0"/>
    <n v="0"/>
    <n v="295"/>
    <n v="1"/>
  </r>
  <r>
    <x v="83"/>
    <x v="76"/>
    <x v="3"/>
    <n v="779000"/>
    <n v="779000"/>
    <n v="0"/>
    <n v="0"/>
    <n v="0"/>
    <n v="0"/>
    <n v="0"/>
    <n v="0"/>
    <x v="0"/>
    <n v="0"/>
    <n v="297"/>
    <n v="1"/>
  </r>
  <r>
    <x v="83"/>
    <x v="76"/>
    <x v="6"/>
    <n v="1931850"/>
    <n v="1931850"/>
    <n v="0"/>
    <n v="0"/>
    <n v="0"/>
    <n v="0"/>
    <n v="0"/>
    <n v="0"/>
    <x v="0"/>
    <n v="0"/>
    <n v="298"/>
    <n v="1"/>
  </r>
  <r>
    <x v="83"/>
    <x v="76"/>
    <x v="11"/>
    <n v="56632400"/>
    <n v="405055"/>
    <n v="56227345"/>
    <n v="0"/>
    <n v="56227345"/>
    <n v="0"/>
    <n v="0"/>
    <n v="0"/>
    <x v="0"/>
    <n v="56227345"/>
    <n v="299"/>
    <n v="1"/>
  </r>
  <r>
    <x v="84"/>
    <x v="34"/>
    <x v="1"/>
    <n v="393640000"/>
    <n v="393640000"/>
    <n v="0"/>
    <n v="0"/>
    <n v="0"/>
    <n v="0"/>
    <n v="0"/>
    <n v="0"/>
    <x v="0"/>
    <n v="0"/>
    <n v="300"/>
    <n v="0"/>
  </r>
  <r>
    <x v="85"/>
    <x v="77"/>
    <x v="1"/>
    <n v="272960910"/>
    <n v="272960910"/>
    <n v="0"/>
    <n v="0"/>
    <n v="0"/>
    <n v="0"/>
    <n v="0"/>
    <n v="0"/>
    <x v="0"/>
    <n v="0"/>
    <n v="301"/>
    <n v="0"/>
  </r>
  <r>
    <x v="85"/>
    <x v="77"/>
    <x v="6"/>
    <n v="1512675"/>
    <n v="1512675"/>
    <n v="0"/>
    <n v="0"/>
    <n v="0"/>
    <n v="0"/>
    <n v="0"/>
    <n v="0"/>
    <x v="0"/>
    <n v="0"/>
    <n v="302"/>
    <n v="1"/>
  </r>
  <r>
    <x v="86"/>
    <x v="78"/>
    <x v="1"/>
    <n v="101424120"/>
    <n v="101424120"/>
    <n v="0"/>
    <n v="0"/>
    <n v="0"/>
    <n v="0"/>
    <n v="0"/>
    <n v="0"/>
    <x v="0"/>
    <n v="0"/>
    <n v="304"/>
    <n v="0"/>
  </r>
  <r>
    <x v="86"/>
    <x v="78"/>
    <x v="2"/>
    <n v="236656280"/>
    <n v="3139646"/>
    <n v="233516634"/>
    <n v="0"/>
    <n v="233516634"/>
    <n v="0"/>
    <n v="0"/>
    <n v="0"/>
    <x v="0"/>
    <n v="233516634"/>
    <n v="303"/>
    <n v="1"/>
  </r>
  <r>
    <x v="86"/>
    <x v="78"/>
    <x v="6"/>
    <n v="1931850"/>
    <n v="1931850"/>
    <n v="0"/>
    <n v="0"/>
    <n v="0"/>
    <n v="0"/>
    <n v="0"/>
    <n v="0"/>
    <x v="0"/>
    <n v="0"/>
    <n v="305"/>
    <n v="1"/>
  </r>
  <r>
    <x v="87"/>
    <x v="79"/>
    <x v="1"/>
    <n v="191097567"/>
    <n v="191097567"/>
    <n v="0"/>
    <n v="0"/>
    <n v="0"/>
    <n v="0"/>
    <n v="0"/>
    <n v="0"/>
    <x v="0"/>
    <n v="0"/>
    <n v="307"/>
    <n v="0"/>
  </r>
  <r>
    <x v="87"/>
    <x v="79"/>
    <x v="2"/>
    <n v="158443223"/>
    <n v="158443223"/>
    <n v="0"/>
    <n v="0"/>
    <n v="0"/>
    <n v="0"/>
    <n v="0"/>
    <n v="0"/>
    <x v="0"/>
    <n v="0"/>
    <n v="306"/>
    <n v="1"/>
  </r>
  <r>
    <x v="87"/>
    <x v="79"/>
    <x v="3"/>
    <n v="52830"/>
    <n v="52830"/>
    <n v="0"/>
    <n v="0"/>
    <n v="0"/>
    <n v="0"/>
    <n v="0"/>
    <n v="0"/>
    <x v="0"/>
    <n v="0"/>
    <n v="308"/>
    <n v="1"/>
  </r>
  <r>
    <x v="87"/>
    <x v="79"/>
    <x v="4"/>
    <n v="2366085"/>
    <n v="2366085"/>
    <n v="0"/>
    <n v="0"/>
    <n v="0"/>
    <n v="0"/>
    <n v="0"/>
    <n v="0"/>
    <x v="0"/>
    <n v="0"/>
    <n v="309"/>
    <n v="1"/>
  </r>
  <r>
    <x v="88"/>
    <x v="12"/>
    <x v="1"/>
    <n v="90524000"/>
    <n v="90524000"/>
    <n v="0"/>
    <n v="0"/>
    <n v="0"/>
    <n v="0"/>
    <n v="0"/>
    <n v="0"/>
    <x v="0"/>
    <n v="0"/>
    <n v="311"/>
    <n v="0"/>
  </r>
  <r>
    <x v="88"/>
    <x v="12"/>
    <x v="2"/>
    <n v="188000000"/>
    <n v="188000000"/>
    <n v="0"/>
    <n v="0"/>
    <n v="0"/>
    <n v="0"/>
    <n v="0"/>
    <n v="0"/>
    <x v="0"/>
    <n v="0"/>
    <n v="310"/>
    <n v="1"/>
  </r>
  <r>
    <x v="88"/>
    <x v="12"/>
    <x v="5"/>
    <n v="2199540"/>
    <n v="2199540"/>
    <n v="0"/>
    <n v="0"/>
    <n v="0"/>
    <n v="0"/>
    <n v="0"/>
    <n v="0"/>
    <x v="0"/>
    <n v="0"/>
    <n v="312"/>
    <n v="1"/>
  </r>
  <r>
    <x v="89"/>
    <x v="80"/>
    <x v="1"/>
    <n v="164647857"/>
    <n v="164647857"/>
    <n v="0"/>
    <n v="0"/>
    <n v="0"/>
    <n v="0"/>
    <n v="0"/>
    <n v="0"/>
    <x v="0"/>
    <n v="0"/>
    <n v="314"/>
    <n v="0"/>
  </r>
  <r>
    <x v="89"/>
    <x v="80"/>
    <x v="2"/>
    <n v="150000000"/>
    <n v="150000000"/>
    <n v="0"/>
    <n v="0"/>
    <n v="0"/>
    <n v="0"/>
    <n v="0"/>
    <n v="0"/>
    <x v="0"/>
    <n v="0"/>
    <n v="313"/>
    <n v="1"/>
  </r>
  <r>
    <x v="89"/>
    <x v="80"/>
    <x v="3"/>
    <n v="105000"/>
    <n v="105000"/>
    <n v="0"/>
    <n v="0"/>
    <n v="0"/>
    <n v="0"/>
    <n v="0"/>
    <n v="0"/>
    <x v="0"/>
    <n v="0"/>
    <n v="315"/>
    <n v="1"/>
  </r>
  <r>
    <x v="89"/>
    <x v="80"/>
    <x v="4"/>
    <n v="800000"/>
    <n v="800000"/>
    <n v="0"/>
    <n v="0"/>
    <n v="0"/>
    <n v="0"/>
    <n v="0"/>
    <n v="0"/>
    <x v="0"/>
    <n v="0"/>
    <n v="316"/>
    <n v="1"/>
  </r>
  <r>
    <x v="90"/>
    <x v="81"/>
    <x v="1"/>
    <n v="315800000"/>
    <n v="315800000"/>
    <n v="0"/>
    <n v="0"/>
    <n v="0"/>
    <n v="0"/>
    <n v="0"/>
    <n v="0"/>
    <x v="0"/>
    <n v="0"/>
    <n v="317"/>
    <n v="0"/>
  </r>
  <r>
    <x v="90"/>
    <x v="81"/>
    <x v="3"/>
    <n v="120754"/>
    <n v="0"/>
    <n v="120754"/>
    <n v="0"/>
    <n v="120754"/>
    <n v="0"/>
    <n v="0"/>
    <n v="0"/>
    <x v="0"/>
    <n v="120754"/>
    <n v="318"/>
    <n v="1"/>
  </r>
  <r>
    <x v="90"/>
    <x v="81"/>
    <x v="5"/>
    <n v="732954"/>
    <n v="732954"/>
    <n v="0"/>
    <n v="0"/>
    <n v="0"/>
    <n v="0"/>
    <n v="0"/>
    <n v="0"/>
    <x v="0"/>
    <n v="0"/>
    <n v="319"/>
    <n v="1"/>
  </r>
  <r>
    <x v="90"/>
    <x v="81"/>
    <x v="6"/>
    <n v="1931850"/>
    <n v="1931850"/>
    <n v="0"/>
    <n v="0"/>
    <n v="0"/>
    <n v="0"/>
    <n v="0"/>
    <n v="0"/>
    <x v="0"/>
    <n v="0"/>
    <n v="320"/>
    <n v="1"/>
  </r>
  <r>
    <x v="91"/>
    <x v="82"/>
    <x v="1"/>
    <n v="84383147"/>
    <n v="84383147"/>
    <n v="0"/>
    <n v="0"/>
    <n v="0"/>
    <n v="0"/>
    <n v="0"/>
    <n v="0"/>
    <x v="0"/>
    <n v="0"/>
    <n v="323"/>
    <n v="0"/>
  </r>
  <r>
    <x v="91"/>
    <x v="82"/>
    <x v="9"/>
    <n v="65925346"/>
    <n v="65925346"/>
    <n v="0"/>
    <n v="0"/>
    <n v="0"/>
    <n v="0"/>
    <n v="0"/>
    <n v="0"/>
    <x v="0"/>
    <n v="0"/>
    <n v="321"/>
    <n v="1"/>
  </r>
  <r>
    <x v="91"/>
    <x v="82"/>
    <x v="2"/>
    <n v="196894012"/>
    <n v="196894012"/>
    <n v="0"/>
    <n v="0"/>
    <n v="0"/>
    <n v="0"/>
    <n v="0"/>
    <n v="0"/>
    <x v="0"/>
    <n v="0"/>
    <n v="322"/>
    <n v="1"/>
  </r>
  <r>
    <x v="91"/>
    <x v="82"/>
    <x v="4"/>
    <n v="259245"/>
    <n v="259245"/>
    <n v="0"/>
    <n v="0"/>
    <n v="0"/>
    <n v="0"/>
    <n v="0"/>
    <n v="0"/>
    <x v="0"/>
    <n v="0"/>
    <n v="324"/>
    <n v="1"/>
  </r>
  <r>
    <x v="92"/>
    <x v="83"/>
    <x v="1"/>
    <n v="346438716"/>
    <n v="346438716"/>
    <n v="0"/>
    <n v="0"/>
    <n v="0"/>
    <n v="0"/>
    <n v="0"/>
    <n v="0"/>
    <x v="0"/>
    <n v="0"/>
    <n v="325"/>
    <n v="0"/>
  </r>
  <r>
    <x v="92"/>
    <x v="83"/>
    <x v="3"/>
    <n v="1534811"/>
    <n v="1534811"/>
    <n v="0"/>
    <n v="0"/>
    <n v="0"/>
    <n v="0"/>
    <n v="0"/>
    <n v="0"/>
    <x v="0"/>
    <n v="0"/>
    <n v="326"/>
    <n v="1"/>
  </r>
  <r>
    <x v="92"/>
    <x v="83"/>
    <x v="4"/>
    <n v="14848000"/>
    <n v="14848000"/>
    <n v="0"/>
    <n v="0"/>
    <n v="0"/>
    <n v="0"/>
    <n v="0"/>
    <n v="0"/>
    <x v="0"/>
    <n v="0"/>
    <n v="327"/>
    <n v="1"/>
  </r>
  <r>
    <x v="93"/>
    <x v="84"/>
    <x v="1"/>
    <n v="213474090"/>
    <n v="213474090"/>
    <n v="0"/>
    <n v="0"/>
    <n v="0"/>
    <n v="0"/>
    <n v="0"/>
    <n v="0"/>
    <x v="0"/>
    <n v="0"/>
    <n v="329"/>
    <n v="0"/>
  </r>
  <r>
    <x v="93"/>
    <x v="84"/>
    <x v="2"/>
    <n v="138000000"/>
    <n v="138000000"/>
    <n v="0"/>
    <n v="0"/>
    <n v="0"/>
    <n v="0"/>
    <n v="0"/>
    <n v="0"/>
    <x v="0"/>
    <n v="0"/>
    <n v="328"/>
    <n v="1"/>
  </r>
  <r>
    <x v="93"/>
    <x v="84"/>
    <x v="3"/>
    <n v="148178"/>
    <n v="0"/>
    <n v="148178"/>
    <n v="0"/>
    <n v="148178"/>
    <n v="0"/>
    <n v="0"/>
    <n v="0"/>
    <x v="0"/>
    <n v="148178"/>
    <n v="330"/>
    <n v="1"/>
  </r>
  <r>
    <x v="93"/>
    <x v="84"/>
    <x v="5"/>
    <n v="419362"/>
    <n v="419362"/>
    <n v="0"/>
    <n v="0"/>
    <n v="0"/>
    <n v="0"/>
    <n v="0"/>
    <n v="0"/>
    <x v="0"/>
    <n v="0"/>
    <n v="331"/>
    <n v="1"/>
  </r>
  <r>
    <x v="93"/>
    <x v="84"/>
    <x v="4"/>
    <n v="294400"/>
    <n v="548"/>
    <n v="293852"/>
    <n v="0"/>
    <n v="293852"/>
    <n v="0"/>
    <n v="0"/>
    <n v="0"/>
    <x v="0"/>
    <n v="293852"/>
    <n v="332"/>
    <n v="1"/>
  </r>
  <r>
    <x v="94"/>
    <x v="85"/>
    <x v="1"/>
    <n v="89140000"/>
    <n v="89140000"/>
    <n v="0"/>
    <n v="0"/>
    <n v="0"/>
    <n v="0"/>
    <n v="0"/>
    <n v="0"/>
    <x v="0"/>
    <n v="0"/>
    <n v="334"/>
    <n v="0"/>
  </r>
  <r>
    <x v="94"/>
    <x v="85"/>
    <x v="2"/>
    <n v="193221803"/>
    <n v="193221803"/>
    <n v="0"/>
    <n v="0"/>
    <n v="0"/>
    <n v="0"/>
    <n v="0"/>
    <n v="0"/>
    <x v="0"/>
    <n v="0"/>
    <n v="333"/>
    <n v="1"/>
  </r>
  <r>
    <x v="94"/>
    <x v="85"/>
    <x v="3"/>
    <n v="599076"/>
    <n v="0"/>
    <n v="599076"/>
    <n v="0"/>
    <n v="599076"/>
    <n v="0"/>
    <n v="599076"/>
    <n v="0"/>
    <x v="0"/>
    <n v="0"/>
    <n v="335"/>
    <n v="1"/>
  </r>
  <r>
    <x v="94"/>
    <x v="85"/>
    <x v="4"/>
    <n v="11091566"/>
    <n v="11091566"/>
    <n v="0"/>
    <n v="0"/>
    <n v="0"/>
    <n v="0"/>
    <n v="0"/>
    <n v="0"/>
    <x v="0"/>
    <n v="0"/>
    <n v="336"/>
    <n v="1"/>
  </r>
  <r>
    <x v="95"/>
    <x v="86"/>
    <x v="1"/>
    <n v="111040506"/>
    <n v="111040506"/>
    <n v="0"/>
    <n v="0"/>
    <n v="0"/>
    <n v="0"/>
    <n v="0"/>
    <n v="0"/>
    <x v="0"/>
    <n v="0"/>
    <n v="338"/>
    <n v="0"/>
  </r>
  <r>
    <x v="95"/>
    <x v="86"/>
    <x v="2"/>
    <n v="259094513"/>
    <n v="259094513"/>
    <n v="0"/>
    <n v="0"/>
    <n v="0"/>
    <n v="0"/>
    <n v="0"/>
    <n v="0"/>
    <x v="0"/>
    <n v="0"/>
    <n v="337"/>
    <n v="1"/>
  </r>
  <r>
    <x v="95"/>
    <x v="86"/>
    <x v="3"/>
    <n v="158208"/>
    <n v="0"/>
    <n v="158208"/>
    <n v="0"/>
    <n v="158208"/>
    <n v="0"/>
    <n v="0"/>
    <n v="0"/>
    <x v="0"/>
    <n v="158208"/>
    <n v="339"/>
    <n v="1"/>
  </r>
  <r>
    <x v="95"/>
    <x v="86"/>
    <x v="4"/>
    <n v="2141848"/>
    <n v="0"/>
    <n v="2141848"/>
    <n v="0"/>
    <n v="2141848"/>
    <n v="0"/>
    <n v="0"/>
    <n v="0"/>
    <x v="0"/>
    <n v="2141848"/>
    <n v="340"/>
    <n v="1"/>
  </r>
  <r>
    <x v="96"/>
    <x v="87"/>
    <x v="1"/>
    <n v="97386000"/>
    <n v="97386000"/>
    <n v="0"/>
    <n v="0"/>
    <n v="0"/>
    <n v="0"/>
    <n v="0"/>
    <n v="0"/>
    <x v="0"/>
    <n v="0"/>
    <n v="342"/>
    <n v="0"/>
  </r>
  <r>
    <x v="96"/>
    <x v="87"/>
    <x v="2"/>
    <n v="227234000"/>
    <n v="227234000"/>
    <n v="0"/>
    <n v="0"/>
    <n v="0"/>
    <n v="0"/>
    <n v="0"/>
    <n v="0"/>
    <x v="0"/>
    <n v="0"/>
    <n v="341"/>
    <n v="1"/>
  </r>
  <r>
    <x v="96"/>
    <x v="87"/>
    <x v="8"/>
    <n v="463557"/>
    <n v="0"/>
    <n v="463557"/>
    <n v="0"/>
    <n v="463557"/>
    <n v="0"/>
    <n v="0"/>
    <n v="0"/>
    <x v="0"/>
    <n v="463557"/>
    <n v="343"/>
    <n v="1"/>
  </r>
  <r>
    <x v="96"/>
    <x v="87"/>
    <x v="3"/>
    <n v="108020"/>
    <n v="0"/>
    <n v="108020"/>
    <n v="0"/>
    <n v="108020"/>
    <n v="0"/>
    <n v="0"/>
    <n v="0"/>
    <x v="0"/>
    <n v="108020"/>
    <n v="344"/>
    <n v="1"/>
  </r>
  <r>
    <x v="96"/>
    <x v="87"/>
    <x v="4"/>
    <n v="293645"/>
    <n v="293645"/>
    <n v="0"/>
    <n v="0"/>
    <n v="0"/>
    <n v="0"/>
    <n v="0"/>
    <n v="0"/>
    <x v="0"/>
    <n v="0"/>
    <n v="345"/>
    <n v="1"/>
  </r>
  <r>
    <x v="97"/>
    <x v="88"/>
    <x v="1"/>
    <n v="273213733"/>
    <n v="273213733"/>
    <n v="0"/>
    <n v="0"/>
    <n v="0"/>
    <n v="0"/>
    <n v="0"/>
    <n v="0"/>
    <x v="0"/>
    <n v="0"/>
    <n v="346"/>
    <n v="0"/>
  </r>
  <r>
    <x v="97"/>
    <x v="88"/>
    <x v="3"/>
    <n v="127099"/>
    <n v="127099"/>
    <n v="0"/>
    <n v="0"/>
    <n v="0"/>
    <n v="0"/>
    <n v="0"/>
    <n v="0"/>
    <x v="0"/>
    <n v="0"/>
    <n v="347"/>
    <n v="1"/>
  </r>
  <r>
    <x v="98"/>
    <x v="36"/>
    <x v="1"/>
    <n v="102390000"/>
    <n v="102390000"/>
    <n v="0"/>
    <n v="0"/>
    <n v="0"/>
    <n v="0"/>
    <n v="0"/>
    <n v="0"/>
    <x v="0"/>
    <n v="0"/>
    <n v="349"/>
    <n v="0"/>
  </r>
  <r>
    <x v="98"/>
    <x v="36"/>
    <x v="2"/>
    <n v="238910000"/>
    <n v="238910000"/>
    <n v="0"/>
    <n v="0"/>
    <n v="0"/>
    <n v="0"/>
    <n v="0"/>
    <n v="0"/>
    <x v="0"/>
    <n v="0"/>
    <n v="348"/>
    <n v="1"/>
  </r>
  <r>
    <x v="98"/>
    <x v="36"/>
    <x v="8"/>
    <n v="487375"/>
    <n v="487375"/>
    <n v="0"/>
    <n v="0"/>
    <n v="0"/>
    <n v="0"/>
    <n v="0"/>
    <n v="0"/>
    <x v="0"/>
    <n v="0"/>
    <n v="350"/>
    <n v="1"/>
  </r>
  <r>
    <x v="98"/>
    <x v="36"/>
    <x v="3"/>
    <n v="1406367"/>
    <n v="0"/>
    <n v="1406367"/>
    <n v="0"/>
    <n v="1406367"/>
    <n v="0"/>
    <n v="0"/>
    <n v="0"/>
    <x v="0"/>
    <n v="1406367"/>
    <n v="351"/>
    <n v="1"/>
  </r>
  <r>
    <x v="98"/>
    <x v="36"/>
    <x v="5"/>
    <n v="1968755"/>
    <n v="1968755"/>
    <n v="0"/>
    <n v="0"/>
    <n v="0"/>
    <n v="0"/>
    <n v="0"/>
    <n v="0"/>
    <x v="0"/>
    <n v="0"/>
    <n v="352"/>
    <n v="1"/>
  </r>
  <r>
    <x v="98"/>
    <x v="36"/>
    <x v="4"/>
    <n v="4646768"/>
    <n v="1500000"/>
    <n v="3146768"/>
    <n v="0"/>
    <n v="3146768"/>
    <n v="0"/>
    <n v="1146768"/>
    <n v="0"/>
    <x v="0"/>
    <n v="2000000"/>
    <n v="353"/>
    <n v="1"/>
  </r>
  <r>
    <x v="99"/>
    <x v="89"/>
    <x v="1"/>
    <n v="341447367"/>
    <n v="341447367"/>
    <n v="0"/>
    <n v="0"/>
    <n v="0"/>
    <n v="0"/>
    <n v="0"/>
    <n v="0"/>
    <x v="0"/>
    <n v="0"/>
    <n v="354"/>
    <n v="0"/>
  </r>
  <r>
    <x v="99"/>
    <x v="89"/>
    <x v="3"/>
    <n v="132643"/>
    <n v="132643"/>
    <n v="0"/>
    <n v="0"/>
    <n v="0"/>
    <n v="0"/>
    <n v="0"/>
    <n v="0"/>
    <x v="0"/>
    <n v="0"/>
    <n v="355"/>
    <n v="1"/>
  </r>
  <r>
    <x v="100"/>
    <x v="90"/>
    <x v="1"/>
    <n v="89046695"/>
    <n v="89046695"/>
    <n v="0"/>
    <n v="0"/>
    <n v="0"/>
    <n v="0"/>
    <n v="0"/>
    <n v="0"/>
    <x v="0"/>
    <n v="0"/>
    <n v="357"/>
    <n v="0"/>
  </r>
  <r>
    <x v="100"/>
    <x v="90"/>
    <x v="2"/>
    <n v="193660000"/>
    <n v="193660000"/>
    <n v="0"/>
    <n v="0"/>
    <n v="0"/>
    <n v="0"/>
    <n v="0"/>
    <n v="0"/>
    <x v="0"/>
    <n v="0"/>
    <n v="356"/>
    <n v="1"/>
  </r>
  <r>
    <x v="100"/>
    <x v="90"/>
    <x v="8"/>
    <n v="403704"/>
    <n v="0"/>
    <n v="403704"/>
    <n v="0"/>
    <n v="403704"/>
    <n v="0"/>
    <n v="0"/>
    <n v="0"/>
    <x v="0"/>
    <n v="403704"/>
    <n v="358"/>
    <n v="1"/>
  </r>
  <r>
    <x v="100"/>
    <x v="90"/>
    <x v="5"/>
    <n v="6769474"/>
    <n v="6769474"/>
    <n v="0"/>
    <n v="0"/>
    <n v="0"/>
    <n v="0"/>
    <n v="0"/>
    <n v="0"/>
    <x v="0"/>
    <n v="0"/>
    <n v="359"/>
    <n v="1"/>
  </r>
  <r>
    <x v="101"/>
    <x v="91"/>
    <x v="1"/>
    <n v="110455164"/>
    <n v="110455164"/>
    <n v="0"/>
    <n v="0"/>
    <n v="0"/>
    <n v="0"/>
    <n v="0"/>
    <n v="0"/>
    <x v="0"/>
    <n v="0"/>
    <n v="361"/>
    <n v="0"/>
  </r>
  <r>
    <x v="101"/>
    <x v="91"/>
    <x v="2"/>
    <n v="219790436"/>
    <n v="219790436"/>
    <n v="0"/>
    <n v="0"/>
    <n v="0"/>
    <n v="0"/>
    <n v="0"/>
    <n v="0"/>
    <x v="0"/>
    <n v="0"/>
    <n v="360"/>
    <n v="1"/>
  </r>
  <r>
    <x v="101"/>
    <x v="91"/>
    <x v="3"/>
    <n v="109173"/>
    <n v="0"/>
    <n v="109173"/>
    <n v="0"/>
    <n v="109173"/>
    <n v="0"/>
    <n v="0"/>
    <n v="0"/>
    <x v="0"/>
    <n v="109173"/>
    <n v="362"/>
    <n v="1"/>
  </r>
  <r>
    <x v="101"/>
    <x v="91"/>
    <x v="5"/>
    <n v="590575"/>
    <n v="590575"/>
    <n v="0"/>
    <n v="0"/>
    <n v="0"/>
    <n v="0"/>
    <n v="0"/>
    <n v="0"/>
    <x v="0"/>
    <n v="0"/>
    <n v="363"/>
    <n v="1"/>
  </r>
  <r>
    <x v="101"/>
    <x v="91"/>
    <x v="4"/>
    <n v="2227210"/>
    <n v="0"/>
    <n v="2227210"/>
    <n v="0"/>
    <n v="2227210"/>
    <n v="0"/>
    <n v="0"/>
    <n v="0"/>
    <x v="0"/>
    <n v="2227210"/>
    <n v="364"/>
    <n v="1"/>
  </r>
  <r>
    <x v="102"/>
    <x v="92"/>
    <x v="1"/>
    <n v="289169830"/>
    <n v="289169830"/>
    <n v="0"/>
    <n v="0"/>
    <n v="0"/>
    <n v="0"/>
    <n v="0"/>
    <n v="0"/>
    <x v="0"/>
    <n v="0"/>
    <n v="365"/>
    <n v="0"/>
  </r>
  <r>
    <x v="102"/>
    <x v="92"/>
    <x v="3"/>
    <n v="158993"/>
    <n v="0"/>
    <n v="158993"/>
    <n v="0"/>
    <n v="158993"/>
    <n v="0"/>
    <n v="0"/>
    <n v="0"/>
    <x v="0"/>
    <n v="158993"/>
    <n v="366"/>
    <n v="1"/>
  </r>
  <r>
    <x v="103"/>
    <x v="93"/>
    <x v="1"/>
    <n v="82300000"/>
    <n v="82300000"/>
    <n v="0"/>
    <n v="0"/>
    <n v="0"/>
    <n v="0"/>
    <n v="0"/>
    <n v="0"/>
    <x v="0"/>
    <n v="0"/>
    <n v="368"/>
    <n v="0"/>
  </r>
  <r>
    <x v="103"/>
    <x v="93"/>
    <x v="2"/>
    <n v="192000000"/>
    <n v="192000000"/>
    <n v="0"/>
    <n v="0"/>
    <n v="0"/>
    <n v="0"/>
    <n v="0"/>
    <n v="0"/>
    <x v="0"/>
    <n v="0"/>
    <n v="367"/>
    <n v="1"/>
  </r>
  <r>
    <x v="103"/>
    <x v="93"/>
    <x v="3"/>
    <n v="121000"/>
    <n v="121000"/>
    <n v="0"/>
    <n v="0"/>
    <n v="0"/>
    <n v="0"/>
    <n v="0"/>
    <n v="0"/>
    <x v="0"/>
    <n v="0"/>
    <n v="369"/>
    <n v="1"/>
  </r>
  <r>
    <x v="104"/>
    <x v="94"/>
    <x v="1"/>
    <n v="105262800"/>
    <n v="105262800"/>
    <n v="0"/>
    <n v="0"/>
    <n v="0"/>
    <n v="0"/>
    <n v="0"/>
    <n v="0"/>
    <x v="0"/>
    <n v="0"/>
    <n v="371"/>
    <n v="0"/>
  </r>
  <r>
    <x v="104"/>
    <x v="94"/>
    <x v="2"/>
    <n v="245613200"/>
    <n v="245613200"/>
    <n v="0"/>
    <n v="0"/>
    <n v="0"/>
    <n v="0"/>
    <n v="0"/>
    <n v="0"/>
    <x v="0"/>
    <n v="0"/>
    <n v="370"/>
    <n v="1"/>
  </r>
  <r>
    <x v="104"/>
    <x v="94"/>
    <x v="8"/>
    <n v="503809"/>
    <n v="503809"/>
    <n v="0"/>
    <n v="0"/>
    <n v="0"/>
    <n v="0"/>
    <n v="0"/>
    <n v="0"/>
    <x v="0"/>
    <n v="0"/>
    <n v="372"/>
    <n v="1"/>
  </r>
  <r>
    <x v="104"/>
    <x v="94"/>
    <x v="3"/>
    <n v="1893913"/>
    <n v="1893913"/>
    <n v="0"/>
    <n v="0"/>
    <n v="0"/>
    <n v="0"/>
    <n v="0"/>
    <n v="0"/>
    <x v="0"/>
    <n v="0"/>
    <n v="373"/>
    <n v="1"/>
  </r>
  <r>
    <x v="104"/>
    <x v="94"/>
    <x v="6"/>
    <n v="1931850"/>
    <n v="1931850"/>
    <n v="0"/>
    <n v="0"/>
    <n v="0"/>
    <n v="0"/>
    <n v="0"/>
    <n v="0"/>
    <x v="0"/>
    <n v="0"/>
    <n v="374"/>
    <n v="1"/>
  </r>
  <r>
    <x v="105"/>
    <x v="95"/>
    <x v="1"/>
    <n v="103116150"/>
    <n v="103116150"/>
    <n v="0"/>
    <n v="0"/>
    <n v="0"/>
    <n v="0"/>
    <n v="0"/>
    <n v="0"/>
    <x v="0"/>
    <n v="0"/>
    <n v="376"/>
    <n v="0"/>
  </r>
  <r>
    <x v="105"/>
    <x v="95"/>
    <x v="2"/>
    <n v="240483850"/>
    <n v="240483850"/>
    <n v="0"/>
    <n v="0"/>
    <n v="0"/>
    <n v="0"/>
    <n v="0"/>
    <n v="0"/>
    <x v="0"/>
    <n v="0"/>
    <n v="375"/>
    <n v="1"/>
  </r>
  <r>
    <x v="105"/>
    <x v="95"/>
    <x v="8"/>
    <n v="493419"/>
    <n v="0"/>
    <n v="493419"/>
    <n v="0"/>
    <n v="493419"/>
    <n v="0"/>
    <n v="0"/>
    <n v="0"/>
    <x v="0"/>
    <n v="493419"/>
    <n v="377"/>
    <n v="1"/>
  </r>
  <r>
    <x v="105"/>
    <x v="95"/>
    <x v="3"/>
    <n v="127338"/>
    <n v="0"/>
    <n v="127338"/>
    <n v="0"/>
    <n v="127338"/>
    <n v="0"/>
    <n v="0"/>
    <n v="0"/>
    <x v="0"/>
    <n v="127338"/>
    <n v="378"/>
    <n v="1"/>
  </r>
  <r>
    <x v="105"/>
    <x v="95"/>
    <x v="6"/>
    <n v="1931850"/>
    <n v="1931850"/>
    <n v="0"/>
    <n v="0"/>
    <n v="0"/>
    <n v="0"/>
    <n v="0"/>
    <n v="0"/>
    <x v="0"/>
    <n v="0"/>
    <n v="379"/>
    <n v="1"/>
  </r>
  <r>
    <x v="106"/>
    <x v="96"/>
    <x v="1"/>
    <n v="276637525"/>
    <n v="276637525"/>
    <n v="0"/>
    <n v="0"/>
    <n v="0"/>
    <n v="0"/>
    <n v="0"/>
    <n v="0"/>
    <x v="0"/>
    <n v="0"/>
    <n v="380"/>
    <n v="0"/>
  </r>
  <r>
    <x v="106"/>
    <x v="96"/>
    <x v="6"/>
    <n v="1512675"/>
    <n v="1512675"/>
    <n v="0"/>
    <n v="0"/>
    <n v="0"/>
    <n v="0"/>
    <n v="0"/>
    <n v="0"/>
    <x v="0"/>
    <n v="0"/>
    <n v="381"/>
    <n v="1"/>
  </r>
  <r>
    <x v="107"/>
    <x v="97"/>
    <x v="1"/>
    <n v="111903143"/>
    <n v="111903143"/>
    <n v="0"/>
    <n v="0"/>
    <n v="0"/>
    <n v="0"/>
    <n v="0"/>
    <n v="0"/>
    <x v="0"/>
    <n v="0"/>
    <n v="383"/>
    <n v="0"/>
  </r>
  <r>
    <x v="107"/>
    <x v="97"/>
    <x v="2"/>
    <n v="261107333"/>
    <n v="261107333"/>
    <n v="0"/>
    <n v="0"/>
    <n v="0"/>
    <n v="0"/>
    <n v="0"/>
    <n v="0"/>
    <x v="0"/>
    <n v="0"/>
    <n v="382"/>
    <n v="1"/>
  </r>
  <r>
    <x v="107"/>
    <x v="97"/>
    <x v="5"/>
    <n v="1787747"/>
    <n v="1787747"/>
    <n v="0"/>
    <n v="0"/>
    <n v="0"/>
    <n v="0"/>
    <n v="0"/>
    <n v="0"/>
    <x v="0"/>
    <n v="0"/>
    <n v="384"/>
    <n v="1"/>
  </r>
  <r>
    <x v="108"/>
    <x v="98"/>
    <x v="1"/>
    <n v="92971758"/>
    <n v="92971758"/>
    <n v="0"/>
    <n v="0"/>
    <n v="0"/>
    <n v="0"/>
    <n v="0"/>
    <n v="0"/>
    <x v="0"/>
    <n v="0"/>
    <n v="386"/>
    <n v="0"/>
  </r>
  <r>
    <x v="108"/>
    <x v="98"/>
    <x v="2"/>
    <n v="215626500"/>
    <n v="215626500"/>
    <n v="0"/>
    <n v="0"/>
    <n v="0"/>
    <n v="0"/>
    <n v="0"/>
    <n v="0"/>
    <x v="0"/>
    <n v="0"/>
    <n v="385"/>
    <n v="1"/>
  </r>
  <r>
    <x v="108"/>
    <x v="98"/>
    <x v="3"/>
    <n v="66052"/>
    <n v="0"/>
    <n v="66052"/>
    <n v="0"/>
    <n v="66052"/>
    <n v="0"/>
    <n v="0"/>
    <n v="0"/>
    <x v="0"/>
    <n v="66052"/>
    <n v="387"/>
    <n v="1"/>
  </r>
  <r>
    <x v="108"/>
    <x v="98"/>
    <x v="6"/>
    <n v="1931850"/>
    <n v="1931850"/>
    <n v="0"/>
    <n v="0"/>
    <n v="0"/>
    <n v="0"/>
    <n v="0"/>
    <n v="0"/>
    <x v="0"/>
    <n v="0"/>
    <n v="388"/>
    <n v="1"/>
  </r>
  <r>
    <x v="109"/>
    <x v="99"/>
    <x v="1"/>
    <n v="232918349"/>
    <n v="232918349"/>
    <n v="0"/>
    <n v="0"/>
    <n v="0"/>
    <n v="0"/>
    <n v="0"/>
    <n v="0"/>
    <x v="0"/>
    <n v="0"/>
    <n v="390"/>
    <n v="0"/>
  </r>
  <r>
    <x v="109"/>
    <x v="99"/>
    <x v="10"/>
    <n v="12900000"/>
    <n v="12900000"/>
    <n v="0"/>
    <n v="0"/>
    <n v="0"/>
    <n v="0"/>
    <n v="0"/>
    <n v="0"/>
    <x v="0"/>
    <n v="0"/>
    <n v="389"/>
    <n v="1"/>
  </r>
  <r>
    <x v="109"/>
    <x v="99"/>
    <x v="3"/>
    <n v="116603"/>
    <n v="116603"/>
    <n v="0"/>
    <n v="0"/>
    <n v="0"/>
    <n v="0"/>
    <n v="0"/>
    <n v="0"/>
    <x v="0"/>
    <n v="0"/>
    <n v="391"/>
    <n v="1"/>
  </r>
  <r>
    <x v="109"/>
    <x v="99"/>
    <x v="6"/>
    <n v="1512675"/>
    <n v="1512675"/>
    <n v="0"/>
    <n v="0"/>
    <n v="0"/>
    <n v="0"/>
    <n v="0"/>
    <n v="0"/>
    <x v="0"/>
    <n v="0"/>
    <n v="392"/>
    <n v="1"/>
  </r>
  <r>
    <x v="110"/>
    <x v="100"/>
    <x v="1"/>
    <n v="105352800"/>
    <n v="105352800"/>
    <n v="0"/>
    <n v="0"/>
    <n v="0"/>
    <n v="0"/>
    <n v="0"/>
    <n v="0"/>
    <x v="0"/>
    <n v="0"/>
    <n v="394"/>
    <n v="0"/>
  </r>
  <r>
    <x v="110"/>
    <x v="100"/>
    <x v="2"/>
    <n v="245823200"/>
    <n v="245823200"/>
    <n v="0"/>
    <n v="0"/>
    <n v="0"/>
    <n v="0"/>
    <n v="0"/>
    <n v="0"/>
    <x v="0"/>
    <n v="0"/>
    <n v="393"/>
    <n v="1"/>
  </r>
  <r>
    <x v="110"/>
    <x v="100"/>
    <x v="8"/>
    <n v="504237"/>
    <n v="0"/>
    <n v="504237"/>
    <n v="0"/>
    <n v="504237"/>
    <n v="0"/>
    <n v="0"/>
    <n v="0"/>
    <x v="0"/>
    <n v="504237"/>
    <n v="395"/>
    <n v="1"/>
  </r>
  <r>
    <x v="110"/>
    <x v="100"/>
    <x v="5"/>
    <n v="627157"/>
    <n v="627157"/>
    <n v="0"/>
    <n v="0"/>
    <n v="0"/>
    <n v="0"/>
    <n v="0"/>
    <n v="0"/>
    <x v="0"/>
    <n v="0"/>
    <n v="396"/>
    <n v="1"/>
  </r>
  <r>
    <x v="110"/>
    <x v="100"/>
    <x v="6"/>
    <n v="1931850"/>
    <n v="1931850"/>
    <n v="0"/>
    <n v="0"/>
    <n v="0"/>
    <n v="0"/>
    <n v="0"/>
    <n v="0"/>
    <x v="0"/>
    <n v="0"/>
    <n v="397"/>
    <n v="1"/>
  </r>
  <r>
    <x v="111"/>
    <x v="101"/>
    <x v="1"/>
    <n v="343900000"/>
    <n v="343900000"/>
    <n v="0"/>
    <n v="0"/>
    <n v="0"/>
    <n v="0"/>
    <n v="0"/>
    <n v="0"/>
    <x v="0"/>
    <n v="0"/>
    <n v="398"/>
    <n v="0"/>
  </r>
  <r>
    <x v="111"/>
    <x v="101"/>
    <x v="3"/>
    <n v="94986"/>
    <n v="0"/>
    <n v="94986"/>
    <n v="0"/>
    <n v="94986"/>
    <n v="0"/>
    <n v="0"/>
    <n v="0"/>
    <x v="0"/>
    <n v="94986"/>
    <n v="399"/>
    <n v="1"/>
  </r>
  <r>
    <x v="111"/>
    <x v="101"/>
    <x v="6"/>
    <n v="1931850"/>
    <n v="1931850"/>
    <n v="0"/>
    <n v="0"/>
    <n v="0"/>
    <n v="0"/>
    <n v="0"/>
    <n v="0"/>
    <x v="0"/>
    <n v="0"/>
    <n v="400"/>
    <n v="1"/>
  </r>
  <r>
    <x v="112"/>
    <x v="102"/>
    <x v="1"/>
    <n v="85832028"/>
    <n v="85832028"/>
    <n v="0"/>
    <n v="0"/>
    <n v="0"/>
    <n v="0"/>
    <n v="0"/>
    <n v="0"/>
    <x v="0"/>
    <n v="0"/>
    <n v="402"/>
    <n v="0"/>
  </r>
  <r>
    <x v="112"/>
    <x v="102"/>
    <x v="2"/>
    <n v="199637200"/>
    <n v="199637200"/>
    <n v="0"/>
    <n v="0"/>
    <n v="0"/>
    <n v="0"/>
    <n v="0"/>
    <n v="0"/>
    <x v="0"/>
    <n v="0"/>
    <n v="401"/>
    <n v="1"/>
  </r>
  <r>
    <x v="112"/>
    <x v="102"/>
    <x v="3"/>
    <n v="96616"/>
    <n v="0"/>
    <n v="96616"/>
    <n v="0"/>
    <n v="96616"/>
    <n v="0"/>
    <n v="0"/>
    <n v="0"/>
    <x v="0"/>
    <n v="96616"/>
    <n v="403"/>
    <n v="1"/>
  </r>
  <r>
    <x v="113"/>
    <x v="103"/>
    <x v="1"/>
    <n v="98864123"/>
    <n v="98864123"/>
    <n v="0"/>
    <n v="0"/>
    <n v="0"/>
    <n v="0"/>
    <n v="0"/>
    <n v="0"/>
    <x v="0"/>
    <n v="0"/>
    <n v="405"/>
    <n v="0"/>
  </r>
  <r>
    <x v="113"/>
    <x v="103"/>
    <x v="2"/>
    <n v="230682955"/>
    <n v="230682954"/>
    <n v="1"/>
    <n v="0"/>
    <n v="1"/>
    <n v="0"/>
    <n v="0"/>
    <n v="0"/>
    <x v="0"/>
    <n v="1"/>
    <n v="404"/>
    <n v="1"/>
  </r>
  <r>
    <x v="113"/>
    <x v="103"/>
    <x v="3"/>
    <n v="1227080"/>
    <n v="0"/>
    <n v="1227080"/>
    <n v="0"/>
    <n v="1227080"/>
    <n v="0"/>
    <n v="0"/>
    <n v="0"/>
    <x v="0"/>
    <n v="1227080"/>
    <n v="406"/>
    <n v="1"/>
  </r>
  <r>
    <x v="113"/>
    <x v="103"/>
    <x v="5"/>
    <n v="2623150"/>
    <n v="2623150"/>
    <n v="0"/>
    <n v="0"/>
    <n v="0"/>
    <n v="0"/>
    <n v="0"/>
    <n v="0"/>
    <x v="0"/>
    <n v="0"/>
    <n v="407"/>
    <n v="1"/>
  </r>
  <r>
    <x v="113"/>
    <x v="103"/>
    <x v="4"/>
    <n v="5822927"/>
    <n v="5822927"/>
    <n v="0"/>
    <n v="0"/>
    <n v="0"/>
    <n v="0"/>
    <n v="0"/>
    <n v="0"/>
    <x v="0"/>
    <n v="0"/>
    <n v="408"/>
    <n v="1"/>
  </r>
  <r>
    <x v="114"/>
    <x v="104"/>
    <x v="1"/>
    <n v="312140067"/>
    <n v="312140067"/>
    <n v="0"/>
    <n v="0"/>
    <n v="0"/>
    <n v="0"/>
    <n v="0"/>
    <n v="0"/>
    <x v="0"/>
    <n v="0"/>
    <n v="409"/>
    <n v="0"/>
  </r>
  <r>
    <x v="114"/>
    <x v="104"/>
    <x v="3"/>
    <n v="157610"/>
    <n v="157610"/>
    <n v="0"/>
    <n v="0"/>
    <n v="0"/>
    <n v="0"/>
    <n v="0"/>
    <n v="0"/>
    <x v="0"/>
    <n v="0"/>
    <n v="410"/>
    <n v="1"/>
  </r>
  <r>
    <x v="115"/>
    <x v="105"/>
    <x v="1"/>
    <n v="278864929"/>
    <n v="278864929"/>
    <n v="0"/>
    <n v="0"/>
    <n v="0"/>
    <n v="0"/>
    <n v="0"/>
    <n v="0"/>
    <x v="0"/>
    <n v="0"/>
    <n v="411"/>
    <n v="0"/>
  </r>
  <r>
    <x v="115"/>
    <x v="105"/>
    <x v="3"/>
    <n v="1109000"/>
    <n v="1109000"/>
    <n v="0"/>
    <n v="0"/>
    <n v="0"/>
    <n v="0"/>
    <n v="0"/>
    <n v="0"/>
    <x v="0"/>
    <n v="0"/>
    <n v="412"/>
    <n v="1"/>
  </r>
  <r>
    <x v="116"/>
    <x v="106"/>
    <x v="1"/>
    <n v="352608351"/>
    <n v="352608351"/>
    <n v="0"/>
    <n v="0"/>
    <n v="0"/>
    <n v="0"/>
    <n v="0"/>
    <n v="0"/>
    <x v="0"/>
    <n v="0"/>
    <n v="413"/>
    <n v="0"/>
  </r>
  <r>
    <x v="116"/>
    <x v="106"/>
    <x v="3"/>
    <n v="1409515"/>
    <n v="1409515"/>
    <n v="0"/>
    <n v="0"/>
    <n v="0"/>
    <n v="0"/>
    <n v="0"/>
    <n v="0"/>
    <x v="0"/>
    <n v="0"/>
    <n v="414"/>
    <n v="1"/>
  </r>
  <r>
    <x v="116"/>
    <x v="106"/>
    <x v="5"/>
    <n v="1123819"/>
    <n v="1123819"/>
    <n v="0"/>
    <n v="0"/>
    <n v="0"/>
    <n v="0"/>
    <n v="0"/>
    <n v="0"/>
    <x v="0"/>
    <n v="0"/>
    <n v="415"/>
    <n v="1"/>
  </r>
  <r>
    <x v="116"/>
    <x v="106"/>
    <x v="6"/>
    <n v="1931850"/>
    <n v="1931850"/>
    <n v="0"/>
    <n v="0"/>
    <n v="0"/>
    <n v="0"/>
    <n v="0"/>
    <n v="0"/>
    <x v="0"/>
    <n v="0"/>
    <n v="416"/>
    <n v="1"/>
  </r>
  <r>
    <x v="117"/>
    <x v="107"/>
    <x v="1"/>
    <n v="340733421"/>
    <n v="340733421"/>
    <n v="0"/>
    <n v="0"/>
    <n v="0"/>
    <n v="0"/>
    <n v="0"/>
    <n v="0"/>
    <x v="0"/>
    <n v="0"/>
    <n v="417"/>
    <n v="0"/>
  </r>
  <r>
    <x v="117"/>
    <x v="107"/>
    <x v="3"/>
    <n v="162510"/>
    <n v="162510"/>
    <n v="0"/>
    <n v="0"/>
    <n v="0"/>
    <n v="0"/>
    <n v="0"/>
    <n v="0"/>
    <x v="0"/>
    <n v="0"/>
    <n v="418"/>
    <n v="1"/>
  </r>
  <r>
    <x v="118"/>
    <x v="108"/>
    <x v="1"/>
    <n v="101145451"/>
    <n v="101145451"/>
    <n v="0"/>
    <n v="0"/>
    <n v="0"/>
    <n v="0"/>
    <n v="0"/>
    <n v="0"/>
    <x v="0"/>
    <n v="0"/>
    <n v="421"/>
    <n v="0"/>
  </r>
  <r>
    <x v="118"/>
    <x v="108"/>
    <x v="9"/>
    <n v="68819215"/>
    <n v="68819215"/>
    <n v="0"/>
    <n v="0"/>
    <n v="0"/>
    <n v="0"/>
    <n v="0"/>
    <n v="0"/>
    <x v="0"/>
    <n v="0"/>
    <n v="419"/>
    <n v="1"/>
  </r>
  <r>
    <x v="118"/>
    <x v="108"/>
    <x v="2"/>
    <n v="182526549"/>
    <n v="182526549"/>
    <n v="0"/>
    <n v="0"/>
    <n v="0"/>
    <n v="0"/>
    <n v="0"/>
    <n v="0"/>
    <x v="0"/>
    <n v="0"/>
    <n v="420"/>
    <n v="1"/>
  </r>
  <r>
    <x v="119"/>
    <x v="109"/>
    <x v="1"/>
    <n v="101899057"/>
    <n v="101899057"/>
    <n v="0"/>
    <n v="0"/>
    <n v="0"/>
    <n v="0"/>
    <n v="0"/>
    <n v="0"/>
    <x v="0"/>
    <n v="0"/>
    <n v="423"/>
    <n v="0"/>
  </r>
  <r>
    <x v="119"/>
    <x v="109"/>
    <x v="2"/>
    <n v="226304623"/>
    <n v="226304623"/>
    <n v="0"/>
    <n v="0"/>
    <n v="0"/>
    <n v="0"/>
    <n v="0"/>
    <n v="0"/>
    <x v="0"/>
    <n v="0"/>
    <n v="422"/>
    <n v="1"/>
  </r>
  <r>
    <x v="119"/>
    <x v="109"/>
    <x v="4"/>
    <n v="724175"/>
    <n v="724175"/>
    <n v="0"/>
    <n v="0"/>
    <n v="0"/>
    <n v="0"/>
    <n v="0"/>
    <n v="0"/>
    <x v="0"/>
    <n v="0"/>
    <n v="424"/>
    <n v="1"/>
  </r>
  <r>
    <x v="119"/>
    <x v="109"/>
    <x v="6"/>
    <n v="1931850"/>
    <n v="1931850"/>
    <n v="0"/>
    <n v="0"/>
    <n v="0"/>
    <n v="0"/>
    <n v="0"/>
    <n v="0"/>
    <x v="0"/>
    <n v="0"/>
    <n v="425"/>
    <n v="1"/>
  </r>
  <r>
    <x v="120"/>
    <x v="110"/>
    <x v="1"/>
    <n v="98269000"/>
    <n v="98269000"/>
    <n v="0"/>
    <n v="0"/>
    <n v="0"/>
    <n v="0"/>
    <n v="0"/>
    <n v="0"/>
    <x v="0"/>
    <n v="0"/>
    <n v="427"/>
    <n v="0"/>
  </r>
  <r>
    <x v="120"/>
    <x v="110"/>
    <x v="2"/>
    <n v="225729348"/>
    <n v="225729348"/>
    <n v="0"/>
    <n v="0"/>
    <n v="0"/>
    <n v="0"/>
    <n v="0"/>
    <n v="0"/>
    <x v="0"/>
    <n v="0"/>
    <n v="426"/>
    <n v="1"/>
  </r>
  <r>
    <x v="121"/>
    <x v="111"/>
    <x v="1"/>
    <n v="80844120"/>
    <n v="80844120"/>
    <n v="0"/>
    <n v="0"/>
    <n v="0"/>
    <n v="0"/>
    <n v="0"/>
    <n v="0"/>
    <x v="0"/>
    <n v="0"/>
    <n v="429"/>
    <n v="0"/>
  </r>
  <r>
    <x v="121"/>
    <x v="111"/>
    <x v="2"/>
    <n v="188636280"/>
    <n v="0"/>
    <n v="188636280"/>
    <n v="0"/>
    <n v="188636280"/>
    <n v="0"/>
    <n v="0"/>
    <n v="0"/>
    <x v="0"/>
    <n v="188636280"/>
    <n v="428"/>
    <n v="1"/>
  </r>
  <r>
    <x v="122"/>
    <x v="112"/>
    <x v="1"/>
    <n v="352563156"/>
    <n v="352563156"/>
    <n v="0"/>
    <n v="0"/>
    <n v="0"/>
    <n v="0"/>
    <n v="0"/>
    <n v="0"/>
    <x v="0"/>
    <n v="0"/>
    <n v="430"/>
    <n v="0"/>
  </r>
  <r>
    <x v="122"/>
    <x v="112"/>
    <x v="3"/>
    <n v="143754"/>
    <n v="0"/>
    <n v="143754"/>
    <n v="0"/>
    <n v="143754"/>
    <n v="0"/>
    <n v="0"/>
    <n v="0"/>
    <x v="0"/>
    <n v="143754"/>
    <n v="431"/>
    <n v="1"/>
  </r>
  <r>
    <x v="123"/>
    <x v="113"/>
    <x v="1"/>
    <n v="181457000"/>
    <n v="181457000"/>
    <n v="0"/>
    <n v="0"/>
    <n v="0"/>
    <n v="0"/>
    <n v="0"/>
    <n v="0"/>
    <x v="0"/>
    <n v="0"/>
    <n v="433"/>
    <n v="0"/>
  </r>
  <r>
    <x v="123"/>
    <x v="113"/>
    <x v="2"/>
    <n v="167235895"/>
    <n v="167235895"/>
    <n v="0"/>
    <n v="0"/>
    <n v="0"/>
    <n v="0"/>
    <n v="0"/>
    <n v="0"/>
    <x v="0"/>
    <n v="0"/>
    <n v="432"/>
    <n v="1"/>
  </r>
  <r>
    <x v="124"/>
    <x v="114"/>
    <x v="1"/>
    <n v="85188719"/>
    <n v="85188719"/>
    <n v="0"/>
    <n v="0"/>
    <n v="0"/>
    <n v="0"/>
    <n v="0"/>
    <n v="0"/>
    <x v="0"/>
    <n v="0"/>
    <n v="435"/>
    <n v="0"/>
  </r>
  <r>
    <x v="124"/>
    <x v="114"/>
    <x v="2"/>
    <n v="198773677"/>
    <n v="198773677"/>
    <n v="0"/>
    <n v="0"/>
    <n v="0"/>
    <n v="0"/>
    <n v="0"/>
    <n v="0"/>
    <x v="0"/>
    <n v="0"/>
    <n v="434"/>
    <n v="1"/>
  </r>
  <r>
    <x v="124"/>
    <x v="114"/>
    <x v="8"/>
    <n v="408384"/>
    <n v="408384"/>
    <n v="0"/>
    <n v="0"/>
    <n v="0"/>
    <n v="0"/>
    <n v="0"/>
    <n v="0"/>
    <x v="0"/>
    <n v="0"/>
    <n v="436"/>
    <n v="1"/>
  </r>
  <r>
    <x v="124"/>
    <x v="114"/>
    <x v="3"/>
    <n v="83142"/>
    <n v="83142"/>
    <n v="0"/>
    <n v="0"/>
    <n v="0"/>
    <n v="0"/>
    <n v="0"/>
    <n v="0"/>
    <x v="0"/>
    <n v="0"/>
    <n v="437"/>
    <n v="1"/>
  </r>
  <r>
    <x v="124"/>
    <x v="114"/>
    <x v="4"/>
    <n v="1166139"/>
    <n v="1166139"/>
    <n v="0"/>
    <n v="0"/>
    <n v="0"/>
    <n v="0"/>
    <n v="0"/>
    <n v="0"/>
    <x v="0"/>
    <n v="0"/>
    <n v="438"/>
    <n v="1"/>
  </r>
  <r>
    <x v="125"/>
    <x v="12"/>
    <x v="1"/>
    <n v="199424367"/>
    <n v="199424367"/>
    <n v="0"/>
    <n v="0"/>
    <n v="0"/>
    <n v="0"/>
    <n v="0"/>
    <n v="0"/>
    <x v="0"/>
    <n v="0"/>
    <n v="440"/>
    <n v="0"/>
  </r>
  <r>
    <x v="125"/>
    <x v="12"/>
    <x v="2"/>
    <n v="168152633"/>
    <n v="168152633"/>
    <n v="0"/>
    <n v="0"/>
    <n v="0"/>
    <n v="0"/>
    <n v="0"/>
    <n v="0"/>
    <x v="0"/>
    <n v="0"/>
    <n v="439"/>
    <n v="1"/>
  </r>
  <r>
    <x v="125"/>
    <x v="12"/>
    <x v="4"/>
    <n v="1434902"/>
    <n v="0"/>
    <n v="1434902"/>
    <n v="0"/>
    <n v="1434902"/>
    <n v="0"/>
    <n v="0"/>
    <n v="0"/>
    <x v="0"/>
    <n v="1434902"/>
    <n v="441"/>
    <n v="1"/>
  </r>
  <r>
    <x v="126"/>
    <x v="115"/>
    <x v="1"/>
    <n v="100609123"/>
    <n v="100609123"/>
    <n v="0"/>
    <n v="0"/>
    <n v="0"/>
    <n v="0"/>
    <n v="0"/>
    <n v="0"/>
    <x v="0"/>
    <n v="0"/>
    <n v="443"/>
    <n v="0"/>
  </r>
  <r>
    <x v="126"/>
    <x v="115"/>
    <x v="2"/>
    <n v="225000000"/>
    <n v="225000000"/>
    <n v="0"/>
    <n v="0"/>
    <n v="0"/>
    <n v="0"/>
    <n v="0"/>
    <n v="0"/>
    <x v="0"/>
    <n v="0"/>
    <n v="442"/>
    <n v="1"/>
  </r>
  <r>
    <x v="126"/>
    <x v="115"/>
    <x v="3"/>
    <n v="111901"/>
    <n v="111901"/>
    <n v="0"/>
    <n v="0"/>
    <n v="0"/>
    <n v="0"/>
    <n v="0"/>
    <n v="0"/>
    <x v="0"/>
    <n v="0"/>
    <n v="444"/>
    <n v="1"/>
  </r>
  <r>
    <x v="126"/>
    <x v="115"/>
    <x v="5"/>
    <n v="71791"/>
    <n v="71791"/>
    <n v="0"/>
    <n v="0"/>
    <n v="0"/>
    <n v="0"/>
    <n v="0"/>
    <n v="0"/>
    <x v="0"/>
    <n v="0"/>
    <n v="445"/>
    <n v="1"/>
  </r>
  <r>
    <x v="127"/>
    <x v="116"/>
    <x v="1"/>
    <n v="261591999"/>
    <n v="261591999"/>
    <n v="0"/>
    <n v="0"/>
    <n v="0"/>
    <n v="0"/>
    <n v="0"/>
    <n v="0"/>
    <x v="0"/>
    <n v="0"/>
    <n v="446"/>
    <n v="0"/>
  </r>
  <r>
    <x v="128"/>
    <x v="117"/>
    <x v="1"/>
    <n v="347120750"/>
    <n v="347120750"/>
    <n v="0"/>
    <n v="0"/>
    <n v="0"/>
    <n v="0"/>
    <n v="0"/>
    <n v="0"/>
    <x v="0"/>
    <n v="0"/>
    <n v="447"/>
    <n v="0"/>
  </r>
  <r>
    <x v="128"/>
    <x v="117"/>
    <x v="3"/>
    <n v="19332"/>
    <n v="0"/>
    <n v="19332"/>
    <n v="0"/>
    <n v="19332"/>
    <n v="0"/>
    <n v="0"/>
    <n v="0"/>
    <x v="0"/>
    <n v="19332"/>
    <n v="448"/>
    <n v="1"/>
  </r>
  <r>
    <x v="128"/>
    <x v="117"/>
    <x v="5"/>
    <n v="2036444"/>
    <n v="2036444"/>
    <n v="0"/>
    <n v="0"/>
    <n v="0"/>
    <n v="0"/>
    <n v="0"/>
    <n v="0"/>
    <x v="0"/>
    <n v="0"/>
    <n v="449"/>
    <n v="1"/>
  </r>
  <r>
    <x v="129"/>
    <x v="118"/>
    <x v="1"/>
    <n v="344111805"/>
    <n v="344111805"/>
    <n v="0"/>
    <n v="0"/>
    <n v="0"/>
    <n v="0"/>
    <n v="0"/>
    <n v="0"/>
    <x v="0"/>
    <n v="0"/>
    <n v="450"/>
    <n v="0"/>
  </r>
  <r>
    <x v="129"/>
    <x v="118"/>
    <x v="3"/>
    <n v="163000"/>
    <n v="163000"/>
    <n v="0"/>
    <n v="0"/>
    <n v="0"/>
    <n v="0"/>
    <n v="0"/>
    <n v="0"/>
    <x v="0"/>
    <n v="0"/>
    <n v="451"/>
    <n v="1"/>
  </r>
  <r>
    <x v="129"/>
    <x v="118"/>
    <x v="5"/>
    <n v="497053"/>
    <n v="497053"/>
    <n v="0"/>
    <n v="0"/>
    <n v="0"/>
    <n v="0"/>
    <n v="0"/>
    <n v="0"/>
    <x v="0"/>
    <n v="0"/>
    <n v="452"/>
    <n v="1"/>
  </r>
  <r>
    <x v="130"/>
    <x v="119"/>
    <x v="1"/>
    <n v="253369524"/>
    <n v="253369524"/>
    <n v="0"/>
    <n v="0"/>
    <n v="0"/>
    <n v="0"/>
    <n v="0"/>
    <n v="0"/>
    <x v="0"/>
    <n v="0"/>
    <n v="453"/>
    <n v="0"/>
  </r>
  <r>
    <x v="130"/>
    <x v="119"/>
    <x v="3"/>
    <n v="134205"/>
    <n v="0"/>
    <n v="134205"/>
    <n v="0"/>
    <n v="134205"/>
    <n v="0"/>
    <n v="0"/>
    <n v="0"/>
    <x v="0"/>
    <n v="134205"/>
    <n v="454"/>
    <n v="1"/>
  </r>
  <r>
    <x v="130"/>
    <x v="119"/>
    <x v="5"/>
    <n v="431956"/>
    <n v="431956"/>
    <n v="0"/>
    <n v="0"/>
    <n v="0"/>
    <n v="0"/>
    <n v="0"/>
    <n v="0"/>
    <x v="0"/>
    <n v="0"/>
    <n v="455"/>
    <n v="1"/>
  </r>
  <r>
    <x v="131"/>
    <x v="6"/>
    <x v="1"/>
    <n v="126271421"/>
    <n v="126271421"/>
    <n v="0"/>
    <n v="0"/>
    <n v="0"/>
    <n v="0"/>
    <n v="0"/>
    <n v="0"/>
    <x v="0"/>
    <n v="0"/>
    <n v="457"/>
    <n v="0"/>
  </r>
  <r>
    <x v="131"/>
    <x v="6"/>
    <x v="2"/>
    <n v="200000000"/>
    <n v="200000000"/>
    <n v="0"/>
    <n v="0"/>
    <n v="0"/>
    <n v="0"/>
    <n v="0"/>
    <n v="0"/>
    <x v="0"/>
    <n v="0"/>
    <n v="456"/>
    <n v="1"/>
  </r>
  <r>
    <x v="132"/>
    <x v="120"/>
    <x v="1"/>
    <n v="188408144"/>
    <n v="188408144"/>
    <n v="0"/>
    <n v="0"/>
    <n v="0"/>
    <n v="0"/>
    <n v="0"/>
    <n v="0"/>
    <x v="0"/>
    <n v="0"/>
    <n v="459"/>
    <n v="0"/>
  </r>
  <r>
    <x v="132"/>
    <x v="120"/>
    <x v="2"/>
    <n v="120800000"/>
    <n v="120800000"/>
    <n v="0"/>
    <n v="0"/>
    <n v="0"/>
    <n v="0"/>
    <n v="0"/>
    <n v="0"/>
    <x v="0"/>
    <n v="0"/>
    <n v="458"/>
    <n v="1"/>
  </r>
  <r>
    <x v="132"/>
    <x v="120"/>
    <x v="3"/>
    <n v="109783"/>
    <n v="0"/>
    <n v="109783"/>
    <n v="0"/>
    <n v="109783"/>
    <n v="0"/>
    <n v="0"/>
    <n v="0"/>
    <x v="0"/>
    <n v="109783"/>
    <n v="460"/>
    <n v="1"/>
  </r>
  <r>
    <x v="132"/>
    <x v="120"/>
    <x v="6"/>
    <n v="1931850"/>
    <n v="1931850"/>
    <n v="0"/>
    <n v="0"/>
    <n v="0"/>
    <n v="0"/>
    <n v="0"/>
    <n v="0"/>
    <x v="0"/>
    <n v="0"/>
    <n v="461"/>
    <n v="1"/>
  </r>
  <r>
    <x v="133"/>
    <x v="121"/>
    <x v="1"/>
    <n v="197850283"/>
    <n v="197850283"/>
    <n v="0"/>
    <n v="0"/>
    <n v="0"/>
    <n v="0"/>
    <n v="0"/>
    <n v="0"/>
    <x v="0"/>
    <n v="0"/>
    <n v="463"/>
    <n v="0"/>
  </r>
  <r>
    <x v="133"/>
    <x v="121"/>
    <x v="2"/>
    <n v="79000000"/>
    <n v="79000000"/>
    <n v="0"/>
    <n v="0"/>
    <n v="0"/>
    <n v="0"/>
    <n v="0"/>
    <n v="0"/>
    <x v="0"/>
    <n v="0"/>
    <n v="462"/>
    <n v="1"/>
  </r>
  <r>
    <x v="133"/>
    <x v="121"/>
    <x v="3"/>
    <n v="105659"/>
    <n v="105659"/>
    <n v="0"/>
    <n v="0"/>
    <n v="0"/>
    <n v="0"/>
    <n v="0"/>
    <n v="0"/>
    <x v="0"/>
    <n v="0"/>
    <n v="464"/>
    <n v="1"/>
  </r>
  <r>
    <x v="133"/>
    <x v="121"/>
    <x v="5"/>
    <n v="82212"/>
    <n v="82212"/>
    <n v="0"/>
    <n v="0"/>
    <n v="0"/>
    <n v="0"/>
    <n v="0"/>
    <n v="0"/>
    <x v="0"/>
    <n v="0"/>
    <n v="465"/>
    <n v="1"/>
  </r>
  <r>
    <x v="134"/>
    <x v="122"/>
    <x v="1"/>
    <n v="340506333"/>
    <n v="340506333"/>
    <n v="0"/>
    <n v="0"/>
    <n v="0"/>
    <n v="0"/>
    <n v="0"/>
    <n v="0"/>
    <x v="0"/>
    <n v="0"/>
    <n v="466"/>
    <n v="0"/>
  </r>
  <r>
    <x v="134"/>
    <x v="122"/>
    <x v="3"/>
    <n v="111050"/>
    <n v="111050"/>
    <n v="0"/>
    <n v="0"/>
    <n v="0"/>
    <n v="0"/>
    <n v="0"/>
    <n v="0"/>
    <x v="0"/>
    <n v="0"/>
    <n v="467"/>
    <n v="1"/>
  </r>
  <r>
    <x v="135"/>
    <x v="123"/>
    <x v="1"/>
    <n v="107151558"/>
    <n v="107151558"/>
    <n v="0"/>
    <n v="0"/>
    <n v="0"/>
    <n v="0"/>
    <n v="0"/>
    <n v="0"/>
    <x v="0"/>
    <n v="0"/>
    <n v="469"/>
    <n v="0"/>
  </r>
  <r>
    <x v="135"/>
    <x v="123"/>
    <x v="2"/>
    <n v="246439900"/>
    <n v="246439900"/>
    <n v="0"/>
    <n v="0"/>
    <n v="0"/>
    <n v="0"/>
    <n v="0"/>
    <n v="0"/>
    <x v="0"/>
    <n v="0"/>
    <n v="468"/>
    <n v="1"/>
  </r>
  <r>
    <x v="135"/>
    <x v="123"/>
    <x v="3"/>
    <n v="95978"/>
    <n v="95978"/>
    <n v="0"/>
    <n v="0"/>
    <n v="0"/>
    <n v="0"/>
    <n v="0"/>
    <n v="0"/>
    <x v="0"/>
    <n v="0"/>
    <n v="470"/>
    <n v="1"/>
  </r>
  <r>
    <x v="135"/>
    <x v="123"/>
    <x v="4"/>
    <n v="328587"/>
    <n v="328587"/>
    <n v="0"/>
    <n v="0"/>
    <n v="0"/>
    <n v="0"/>
    <n v="0"/>
    <n v="0"/>
    <x v="0"/>
    <n v="0"/>
    <n v="471"/>
    <n v="1"/>
  </r>
  <r>
    <x v="136"/>
    <x v="124"/>
    <x v="1"/>
    <n v="83730000"/>
    <n v="83730000"/>
    <n v="0"/>
    <n v="0"/>
    <n v="0"/>
    <n v="0"/>
    <n v="0"/>
    <n v="0"/>
    <x v="0"/>
    <n v="0"/>
    <n v="473"/>
    <n v="0"/>
  </r>
  <r>
    <x v="136"/>
    <x v="124"/>
    <x v="2"/>
    <n v="195370000"/>
    <n v="195370000"/>
    <n v="0"/>
    <n v="0"/>
    <n v="0"/>
    <n v="0"/>
    <n v="0"/>
    <n v="0"/>
    <x v="0"/>
    <n v="0"/>
    <n v="472"/>
    <n v="1"/>
  </r>
  <r>
    <x v="137"/>
    <x v="125"/>
    <x v="1"/>
    <n v="94978432"/>
    <n v="94978432"/>
    <n v="0"/>
    <n v="0"/>
    <n v="0"/>
    <n v="0"/>
    <n v="0"/>
    <n v="0"/>
    <x v="0"/>
    <n v="0"/>
    <n v="475"/>
    <n v="0"/>
  </r>
  <r>
    <x v="137"/>
    <x v="125"/>
    <x v="2"/>
    <n v="221616342"/>
    <n v="221616342"/>
    <n v="0"/>
    <n v="0"/>
    <n v="0"/>
    <n v="0"/>
    <n v="0"/>
    <n v="0"/>
    <x v="0"/>
    <n v="0"/>
    <n v="474"/>
    <n v="1"/>
  </r>
  <r>
    <x v="137"/>
    <x v="125"/>
    <x v="3"/>
    <n v="95295"/>
    <n v="95295"/>
    <n v="0"/>
    <n v="0"/>
    <n v="0"/>
    <n v="0"/>
    <n v="0"/>
    <n v="0"/>
    <x v="0"/>
    <n v="0"/>
    <n v="476"/>
    <n v="1"/>
  </r>
  <r>
    <x v="138"/>
    <x v="126"/>
    <x v="1"/>
    <n v="94715481"/>
    <n v="94715481"/>
    <n v="0"/>
    <n v="0"/>
    <n v="0"/>
    <n v="0"/>
    <n v="0"/>
    <n v="0"/>
    <x v="0"/>
    <n v="0"/>
    <n v="478"/>
    <n v="0"/>
  </r>
  <r>
    <x v="138"/>
    <x v="126"/>
    <x v="2"/>
    <n v="221002789"/>
    <n v="221002789"/>
    <n v="0"/>
    <n v="0"/>
    <n v="0"/>
    <n v="0"/>
    <n v="0"/>
    <n v="0"/>
    <x v="0"/>
    <n v="0"/>
    <n v="477"/>
    <n v="1"/>
  </r>
  <r>
    <x v="138"/>
    <x v="126"/>
    <x v="6"/>
    <n v="1931850"/>
    <n v="1931850"/>
    <n v="0"/>
    <n v="0"/>
    <n v="0"/>
    <n v="0"/>
    <n v="0"/>
    <n v="0"/>
    <x v="0"/>
    <n v="0"/>
    <n v="479"/>
    <n v="1"/>
  </r>
  <r>
    <x v="139"/>
    <x v="127"/>
    <x v="1"/>
    <n v="86250221"/>
    <n v="86250221"/>
    <n v="0"/>
    <n v="0"/>
    <n v="0"/>
    <n v="0"/>
    <n v="0"/>
    <n v="0"/>
    <x v="0"/>
    <n v="0"/>
    <n v="481"/>
    <n v="0"/>
  </r>
  <r>
    <x v="139"/>
    <x v="127"/>
    <x v="2"/>
    <n v="192000000"/>
    <n v="192000000"/>
    <n v="0"/>
    <n v="0"/>
    <n v="0"/>
    <n v="0"/>
    <n v="0"/>
    <n v="0"/>
    <x v="0"/>
    <n v="0"/>
    <n v="480"/>
    <n v="1"/>
  </r>
  <r>
    <x v="139"/>
    <x v="127"/>
    <x v="3"/>
    <n v="93534"/>
    <n v="0"/>
    <n v="93534"/>
    <n v="0"/>
    <n v="93534"/>
    <n v="0"/>
    <n v="0"/>
    <n v="0"/>
    <x v="0"/>
    <n v="93534"/>
    <n v="482"/>
    <n v="1"/>
  </r>
  <r>
    <x v="140"/>
    <x v="12"/>
    <x v="1"/>
    <n v="105789413"/>
    <n v="105789413"/>
    <n v="0"/>
    <n v="0"/>
    <n v="0"/>
    <n v="0"/>
    <n v="0"/>
    <n v="0"/>
    <x v="0"/>
    <n v="0"/>
    <n v="484"/>
    <n v="0"/>
  </r>
  <r>
    <x v="140"/>
    <x v="12"/>
    <x v="2"/>
    <n v="246841963"/>
    <n v="246841963"/>
    <n v="0"/>
    <n v="0"/>
    <n v="0"/>
    <n v="0"/>
    <n v="0"/>
    <n v="0"/>
    <x v="0"/>
    <n v="0"/>
    <n v="483"/>
    <n v="1"/>
  </r>
  <r>
    <x v="140"/>
    <x v="12"/>
    <x v="3"/>
    <n v="118449"/>
    <n v="0"/>
    <n v="118449"/>
    <n v="0"/>
    <n v="118449"/>
    <n v="0"/>
    <n v="0"/>
    <n v="0"/>
    <x v="0"/>
    <n v="118449"/>
    <n v="485"/>
    <n v="1"/>
  </r>
  <r>
    <x v="140"/>
    <x v="12"/>
    <x v="4"/>
    <n v="2238317"/>
    <n v="2238317"/>
    <n v="0"/>
    <n v="0"/>
    <n v="0"/>
    <n v="0"/>
    <n v="0"/>
    <n v="0"/>
    <x v="0"/>
    <n v="0"/>
    <n v="486"/>
    <n v="1"/>
  </r>
  <r>
    <x v="141"/>
    <x v="128"/>
    <x v="1"/>
    <n v="225118082"/>
    <n v="225118082"/>
    <n v="0"/>
    <n v="0"/>
    <n v="0"/>
    <n v="0"/>
    <n v="0"/>
    <n v="0"/>
    <x v="0"/>
    <n v="0"/>
    <n v="488"/>
    <n v="0"/>
  </r>
  <r>
    <x v="141"/>
    <x v="128"/>
    <x v="2"/>
    <n v="100000000"/>
    <n v="100000000"/>
    <n v="0"/>
    <n v="0"/>
    <n v="0"/>
    <n v="0"/>
    <n v="0"/>
    <n v="0"/>
    <x v="0"/>
    <n v="0"/>
    <n v="487"/>
    <n v="1"/>
  </r>
  <r>
    <x v="141"/>
    <x v="128"/>
    <x v="4"/>
    <n v="1508133"/>
    <n v="1508133"/>
    <n v="0"/>
    <n v="0"/>
    <n v="0"/>
    <n v="0"/>
    <n v="0"/>
    <n v="0"/>
    <x v="0"/>
    <n v="0"/>
    <n v="489"/>
    <n v="1"/>
  </r>
  <r>
    <x v="141"/>
    <x v="128"/>
    <x v="6"/>
    <n v="1431000"/>
    <n v="1431000"/>
    <n v="0"/>
    <n v="0"/>
    <n v="0"/>
    <n v="0"/>
    <n v="0"/>
    <n v="0"/>
    <x v="0"/>
    <n v="0"/>
    <n v="490"/>
    <n v="1"/>
  </r>
  <r>
    <x v="142"/>
    <x v="124"/>
    <x v="1"/>
    <n v="83819992"/>
    <n v="83819992"/>
    <n v="0"/>
    <n v="0"/>
    <n v="0"/>
    <n v="0"/>
    <n v="0"/>
    <n v="0"/>
    <x v="0"/>
    <n v="0"/>
    <n v="492"/>
    <n v="0"/>
  </r>
  <r>
    <x v="142"/>
    <x v="124"/>
    <x v="2"/>
    <n v="195580008"/>
    <n v="195580008"/>
    <n v="0"/>
    <n v="0"/>
    <n v="0"/>
    <n v="0"/>
    <n v="0"/>
    <n v="0"/>
    <x v="0"/>
    <n v="0"/>
    <n v="491"/>
    <n v="1"/>
  </r>
  <r>
    <x v="142"/>
    <x v="124"/>
    <x v="4"/>
    <n v="521547"/>
    <n v="0"/>
    <n v="521547"/>
    <n v="0"/>
    <n v="521547"/>
    <n v="0"/>
    <n v="0"/>
    <n v="0"/>
    <x v="0"/>
    <n v="521547"/>
    <n v="493"/>
    <n v="1"/>
  </r>
  <r>
    <x v="142"/>
    <x v="124"/>
    <x v="6"/>
    <n v="1512675"/>
    <n v="1512675"/>
    <n v="0"/>
    <n v="0"/>
    <n v="0"/>
    <n v="0"/>
    <n v="0"/>
    <n v="0"/>
    <x v="0"/>
    <n v="0"/>
    <n v="494"/>
    <n v="1"/>
  </r>
  <r>
    <x v="143"/>
    <x v="12"/>
    <x v="1"/>
    <n v="160429149"/>
    <n v="160429149"/>
    <n v="0"/>
    <n v="0"/>
    <n v="0"/>
    <n v="0"/>
    <n v="0"/>
    <n v="0"/>
    <x v="0"/>
    <n v="0"/>
    <n v="497"/>
    <n v="0"/>
  </r>
  <r>
    <x v="143"/>
    <x v="12"/>
    <x v="2"/>
    <n v="111135695"/>
    <n v="111135695"/>
    <n v="0"/>
    <n v="0"/>
    <n v="0"/>
    <n v="0"/>
    <n v="0"/>
    <n v="0"/>
    <x v="0"/>
    <n v="0"/>
    <n v="495"/>
    <n v="1"/>
  </r>
  <r>
    <x v="143"/>
    <x v="12"/>
    <x v="10"/>
    <n v="51123000"/>
    <n v="51123000"/>
    <n v="0"/>
    <n v="0"/>
    <n v="0"/>
    <n v="0"/>
    <n v="0"/>
    <n v="0"/>
    <x v="0"/>
    <n v="0"/>
    <n v="496"/>
    <n v="1"/>
  </r>
  <r>
    <x v="143"/>
    <x v="12"/>
    <x v="3"/>
    <n v="90428"/>
    <n v="90428"/>
    <n v="0"/>
    <n v="0"/>
    <n v="0"/>
    <n v="0"/>
    <n v="0"/>
    <n v="0"/>
    <x v="0"/>
    <n v="0"/>
    <n v="498"/>
    <n v="1"/>
  </r>
  <r>
    <x v="143"/>
    <x v="12"/>
    <x v="4"/>
    <n v="829813"/>
    <n v="829813"/>
    <n v="0"/>
    <n v="0"/>
    <n v="0"/>
    <n v="0"/>
    <n v="0"/>
    <n v="0"/>
    <x v="0"/>
    <n v="0"/>
    <n v="499"/>
    <n v="1"/>
  </r>
  <r>
    <x v="144"/>
    <x v="129"/>
    <x v="1"/>
    <n v="100997406"/>
    <n v="100997406"/>
    <n v="0"/>
    <n v="0"/>
    <n v="0"/>
    <n v="0"/>
    <n v="0"/>
    <n v="0"/>
    <x v="0"/>
    <n v="0"/>
    <n v="501"/>
    <n v="0"/>
  </r>
  <r>
    <x v="144"/>
    <x v="129"/>
    <x v="2"/>
    <n v="235660611"/>
    <n v="235660611"/>
    <n v="0"/>
    <n v="0"/>
    <n v="0"/>
    <n v="0"/>
    <n v="0"/>
    <n v="0"/>
    <x v="0"/>
    <n v="0"/>
    <n v="500"/>
    <n v="1"/>
  </r>
  <r>
    <x v="144"/>
    <x v="129"/>
    <x v="3"/>
    <n v="1247231"/>
    <n v="0"/>
    <n v="1247231"/>
    <n v="0"/>
    <n v="1247231"/>
    <n v="0"/>
    <n v="0"/>
    <n v="0"/>
    <x v="0"/>
    <n v="1247231"/>
    <n v="502"/>
    <n v="1"/>
  </r>
  <r>
    <x v="144"/>
    <x v="129"/>
    <x v="4"/>
    <n v="10617608"/>
    <n v="9235066"/>
    <n v="1382542"/>
    <n v="0"/>
    <n v="1382542"/>
    <n v="0"/>
    <n v="1382542"/>
    <n v="0"/>
    <x v="0"/>
    <n v="0"/>
    <n v="503"/>
    <n v="1"/>
  </r>
  <r>
    <x v="145"/>
    <x v="130"/>
    <x v="1"/>
    <n v="97195000"/>
    <n v="97195000"/>
    <n v="0"/>
    <n v="0"/>
    <n v="0"/>
    <n v="0"/>
    <n v="0"/>
    <n v="0"/>
    <x v="0"/>
    <n v="0"/>
    <n v="505"/>
    <n v="0"/>
  </r>
  <r>
    <x v="145"/>
    <x v="130"/>
    <x v="2"/>
    <n v="180505000"/>
    <n v="180505000"/>
    <n v="0"/>
    <n v="0"/>
    <n v="0"/>
    <n v="0"/>
    <n v="0"/>
    <n v="0"/>
    <x v="0"/>
    <n v="0"/>
    <n v="504"/>
    <n v="1"/>
  </r>
  <r>
    <x v="146"/>
    <x v="131"/>
    <x v="1"/>
    <n v="345276157"/>
    <n v="345276157"/>
    <n v="0"/>
    <n v="0"/>
    <n v="0"/>
    <n v="0"/>
    <n v="0"/>
    <n v="0"/>
    <x v="0"/>
    <n v="0"/>
    <n v="506"/>
    <n v="0"/>
  </r>
  <r>
    <x v="146"/>
    <x v="131"/>
    <x v="3"/>
    <n v="66952"/>
    <n v="0"/>
    <n v="66952"/>
    <n v="0"/>
    <n v="66952"/>
    <n v="0"/>
    <n v="0"/>
    <n v="0"/>
    <x v="0"/>
    <n v="66952"/>
    <n v="507"/>
    <n v="1"/>
  </r>
  <r>
    <x v="146"/>
    <x v="131"/>
    <x v="5"/>
    <n v="513889"/>
    <n v="513889"/>
    <n v="0"/>
    <n v="0"/>
    <n v="0"/>
    <n v="0"/>
    <n v="0"/>
    <n v="0"/>
    <x v="0"/>
    <n v="0"/>
    <n v="508"/>
    <n v="1"/>
  </r>
  <r>
    <x v="147"/>
    <x v="124"/>
    <x v="1"/>
    <n v="102810006"/>
    <n v="102810006"/>
    <n v="0"/>
    <n v="0"/>
    <n v="0"/>
    <n v="0"/>
    <n v="0"/>
    <n v="0"/>
    <x v="0"/>
    <n v="0"/>
    <n v="510"/>
    <n v="0"/>
  </r>
  <r>
    <x v="147"/>
    <x v="124"/>
    <x v="2"/>
    <n v="239889994"/>
    <n v="239889994"/>
    <n v="0"/>
    <n v="0"/>
    <n v="0"/>
    <n v="0"/>
    <n v="0"/>
    <n v="0"/>
    <x v="0"/>
    <n v="0"/>
    <n v="509"/>
    <n v="1"/>
  </r>
  <r>
    <x v="147"/>
    <x v="124"/>
    <x v="4"/>
    <n v="639707"/>
    <n v="0"/>
    <n v="639707"/>
    <n v="0"/>
    <n v="639707"/>
    <n v="0"/>
    <n v="0"/>
    <n v="0"/>
    <x v="0"/>
    <n v="639707"/>
    <n v="511"/>
    <n v="1"/>
  </r>
  <r>
    <x v="147"/>
    <x v="124"/>
    <x v="6"/>
    <n v="1931850"/>
    <n v="1931850"/>
    <n v="0"/>
    <n v="0"/>
    <n v="0"/>
    <n v="0"/>
    <n v="0"/>
    <n v="0"/>
    <x v="0"/>
    <n v="0"/>
    <n v="512"/>
    <n v="1"/>
  </r>
  <r>
    <x v="148"/>
    <x v="132"/>
    <x v="1"/>
    <n v="139494246"/>
    <n v="139494246"/>
    <n v="0"/>
    <n v="0"/>
    <n v="0"/>
    <n v="0"/>
    <n v="0"/>
    <n v="0"/>
    <x v="0"/>
    <n v="0"/>
    <n v="514"/>
    <n v="0"/>
  </r>
  <r>
    <x v="148"/>
    <x v="132"/>
    <x v="2"/>
    <n v="140000000"/>
    <n v="140000000"/>
    <n v="0"/>
    <n v="0"/>
    <n v="0"/>
    <n v="0"/>
    <n v="0"/>
    <n v="0"/>
    <x v="0"/>
    <n v="0"/>
    <n v="513"/>
    <n v="1"/>
  </r>
  <r>
    <x v="148"/>
    <x v="132"/>
    <x v="3"/>
    <n v="131271"/>
    <n v="0"/>
    <n v="131271"/>
    <n v="0"/>
    <n v="131271"/>
    <n v="0"/>
    <n v="0"/>
    <n v="0"/>
    <x v="0"/>
    <n v="131271"/>
    <n v="515"/>
    <n v="1"/>
  </r>
  <r>
    <x v="149"/>
    <x v="133"/>
    <x v="1"/>
    <n v="134326161"/>
    <n v="134326161"/>
    <n v="0"/>
    <n v="0"/>
    <n v="0"/>
    <n v="0"/>
    <n v="0"/>
    <n v="0"/>
    <x v="0"/>
    <n v="0"/>
    <n v="517"/>
    <n v="0"/>
  </r>
  <r>
    <x v="149"/>
    <x v="133"/>
    <x v="2"/>
    <n v="187189132"/>
    <n v="187189132"/>
    <n v="0"/>
    <n v="0"/>
    <n v="0"/>
    <n v="0"/>
    <n v="0"/>
    <n v="0"/>
    <x v="0"/>
    <n v="0"/>
    <n v="516"/>
    <n v="1"/>
  </r>
  <r>
    <x v="149"/>
    <x v="133"/>
    <x v="3"/>
    <n v="54495"/>
    <n v="54495"/>
    <n v="0"/>
    <n v="0"/>
    <n v="0"/>
    <n v="0"/>
    <n v="0"/>
    <n v="0"/>
    <x v="0"/>
    <n v="0"/>
    <n v="518"/>
    <n v="1"/>
  </r>
  <r>
    <x v="149"/>
    <x v="133"/>
    <x v="4"/>
    <n v="2895192"/>
    <n v="2895192"/>
    <n v="0"/>
    <n v="0"/>
    <n v="0"/>
    <n v="0"/>
    <n v="0"/>
    <n v="0"/>
    <x v="0"/>
    <n v="0"/>
    <n v="519"/>
    <n v="1"/>
  </r>
  <r>
    <x v="149"/>
    <x v="133"/>
    <x v="6"/>
    <n v="1931850"/>
    <n v="1931850"/>
    <n v="0"/>
    <n v="0"/>
    <n v="0"/>
    <n v="0"/>
    <n v="0"/>
    <n v="0"/>
    <x v="0"/>
    <n v="0"/>
    <n v="520"/>
    <n v="1"/>
  </r>
  <r>
    <x v="150"/>
    <x v="133"/>
    <x v="0"/>
    <m/>
    <m/>
    <m/>
    <m/>
    <m/>
    <m/>
    <m/>
    <m/>
    <x v="1"/>
    <m/>
    <n v="521"/>
    <n v="1"/>
  </r>
  <r>
    <x v="151"/>
    <x v="134"/>
    <x v="1"/>
    <n v="216583786"/>
    <n v="216583786"/>
    <n v="0"/>
    <n v="0"/>
    <n v="0"/>
    <n v="0"/>
    <n v="0"/>
    <n v="0"/>
    <x v="1"/>
    <n v="0"/>
    <n v="523"/>
    <n v="0"/>
  </r>
  <r>
    <x v="151"/>
    <x v="134"/>
    <x v="2"/>
    <n v="183636093"/>
    <n v="183636093"/>
    <n v="0"/>
    <n v="0"/>
    <n v="0"/>
    <n v="0"/>
    <n v="0"/>
    <n v="0"/>
    <x v="1"/>
    <n v="0"/>
    <n v="522"/>
    <n v="1"/>
  </r>
  <r>
    <x v="151"/>
    <x v="134"/>
    <x v="8"/>
    <n v="574272"/>
    <n v="0"/>
    <n v="574272"/>
    <n v="0"/>
    <n v="574272"/>
    <n v="0"/>
    <n v="0"/>
    <n v="574272"/>
    <x v="1"/>
    <n v="0"/>
    <n v="524"/>
    <n v="1"/>
  </r>
  <r>
    <x v="151"/>
    <x v="134"/>
    <x v="3"/>
    <n v="1385473"/>
    <n v="1385473"/>
    <n v="0"/>
    <n v="0"/>
    <n v="0"/>
    <n v="0"/>
    <n v="0"/>
    <n v="0"/>
    <x v="1"/>
    <n v="0"/>
    <n v="525"/>
    <n v="1"/>
  </r>
  <r>
    <x v="151"/>
    <x v="134"/>
    <x v="6"/>
    <n v="1931850"/>
    <n v="1931850"/>
    <n v="0"/>
    <n v="0"/>
    <n v="0"/>
    <n v="0"/>
    <n v="0"/>
    <n v="0"/>
    <x v="1"/>
    <n v="0"/>
    <n v="526"/>
    <n v="1"/>
  </r>
  <r>
    <x v="152"/>
    <x v="135"/>
    <x v="1"/>
    <n v="90561480"/>
    <n v="90561480"/>
    <n v="0"/>
    <n v="0"/>
    <n v="0"/>
    <n v="0"/>
    <n v="0"/>
    <n v="0"/>
    <x v="1"/>
    <n v="0"/>
    <n v="529"/>
    <n v="0"/>
  </r>
  <r>
    <x v="152"/>
    <x v="135"/>
    <x v="9"/>
    <n v="68406567"/>
    <n v="68406567"/>
    <n v="0"/>
    <n v="0"/>
    <n v="0"/>
    <n v="0"/>
    <n v="0"/>
    <n v="0"/>
    <x v="1"/>
    <n v="0"/>
    <n v="527"/>
    <n v="1"/>
  </r>
  <r>
    <x v="152"/>
    <x v="135"/>
    <x v="2"/>
    <n v="210954193"/>
    <n v="210954193"/>
    <n v="0"/>
    <n v="0"/>
    <n v="0"/>
    <n v="0"/>
    <n v="0"/>
    <n v="0"/>
    <x v="1"/>
    <n v="0"/>
    <n v="528"/>
    <n v="1"/>
  </r>
  <r>
    <x v="152"/>
    <x v="135"/>
    <x v="3"/>
    <n v="1581443"/>
    <n v="1581443"/>
    <n v="0"/>
    <n v="0"/>
    <n v="0"/>
    <n v="0"/>
    <n v="0"/>
    <n v="0"/>
    <x v="1"/>
    <n v="0"/>
    <n v="530"/>
    <n v="1"/>
  </r>
  <r>
    <x v="153"/>
    <x v="136"/>
    <x v="1"/>
    <n v="151409833"/>
    <n v="151409833"/>
    <n v="0"/>
    <n v="0"/>
    <n v="0"/>
    <n v="0"/>
    <n v="0"/>
    <n v="0"/>
    <x v="1"/>
    <n v="0"/>
    <n v="532"/>
    <n v="0"/>
  </r>
  <r>
    <x v="153"/>
    <x v="136"/>
    <x v="2"/>
    <n v="190000000"/>
    <n v="0"/>
    <n v="190000000"/>
    <n v="0"/>
    <n v="190000000"/>
    <n v="0"/>
    <n v="0"/>
    <n v="0"/>
    <x v="1"/>
    <n v="190000000"/>
    <n v="531"/>
    <n v="1"/>
  </r>
  <r>
    <x v="153"/>
    <x v="136"/>
    <x v="8"/>
    <n v="490291"/>
    <n v="490291"/>
    <n v="0"/>
    <n v="0"/>
    <n v="0"/>
    <n v="0"/>
    <n v="0"/>
    <n v="0"/>
    <x v="1"/>
    <n v="0"/>
    <n v="533"/>
    <n v="1"/>
  </r>
  <r>
    <x v="153"/>
    <x v="136"/>
    <x v="3"/>
    <n v="60000"/>
    <n v="60000"/>
    <n v="0"/>
    <n v="0"/>
    <n v="0"/>
    <n v="0"/>
    <n v="0"/>
    <n v="0"/>
    <x v="1"/>
    <n v="0"/>
    <n v="534"/>
    <n v="1"/>
  </r>
  <r>
    <x v="153"/>
    <x v="136"/>
    <x v="6"/>
    <n v="1931850"/>
    <n v="1931850"/>
    <n v="0"/>
    <n v="0"/>
    <n v="0"/>
    <n v="0"/>
    <n v="0"/>
    <n v="0"/>
    <x v="1"/>
    <n v="0"/>
    <n v="535"/>
    <n v="1"/>
  </r>
  <r>
    <x v="154"/>
    <x v="137"/>
    <x v="1"/>
    <n v="101996334"/>
    <n v="101996334"/>
    <n v="0"/>
    <n v="0"/>
    <n v="0"/>
    <n v="0"/>
    <n v="0"/>
    <n v="0"/>
    <x v="1"/>
    <n v="0"/>
    <n v="537"/>
    <n v="0"/>
  </r>
  <r>
    <x v="154"/>
    <x v="137"/>
    <x v="2"/>
    <n v="232870924"/>
    <n v="232870924"/>
    <n v="0"/>
    <n v="0"/>
    <n v="0"/>
    <n v="0"/>
    <n v="0"/>
    <n v="0"/>
    <x v="1"/>
    <n v="0"/>
    <n v="536"/>
    <n v="1"/>
  </r>
  <r>
    <x v="154"/>
    <x v="137"/>
    <x v="8"/>
    <n v="574272"/>
    <n v="574272"/>
    <n v="0"/>
    <n v="0"/>
    <n v="0"/>
    <n v="0"/>
    <n v="0"/>
    <n v="0"/>
    <x v="1"/>
    <n v="0"/>
    <n v="538"/>
    <n v="1"/>
  </r>
  <r>
    <x v="154"/>
    <x v="137"/>
    <x v="3"/>
    <n v="1299234"/>
    <n v="1"/>
    <n v="1299233"/>
    <n v="0"/>
    <n v="1299233"/>
    <n v="0"/>
    <n v="0"/>
    <n v="0"/>
    <x v="1"/>
    <n v="1299233"/>
    <n v="539"/>
    <n v="1"/>
  </r>
  <r>
    <x v="155"/>
    <x v="138"/>
    <x v="1"/>
    <n v="127333812"/>
    <n v="127333812"/>
    <n v="0"/>
    <n v="0"/>
    <n v="0"/>
    <n v="0"/>
    <n v="0"/>
    <n v="0"/>
    <x v="1"/>
    <n v="0"/>
    <n v="541"/>
    <n v="0"/>
  </r>
  <r>
    <x v="155"/>
    <x v="138"/>
    <x v="2"/>
    <n v="163600000"/>
    <n v="163600000"/>
    <n v="0"/>
    <n v="0"/>
    <n v="0"/>
    <n v="0"/>
    <n v="0"/>
    <n v="0"/>
    <x v="1"/>
    <n v="0"/>
    <n v="540"/>
    <n v="1"/>
  </r>
  <r>
    <x v="155"/>
    <x v="138"/>
    <x v="6"/>
    <n v="1512675"/>
    <n v="1512675"/>
    <n v="0"/>
    <n v="0"/>
    <n v="0"/>
    <n v="0"/>
    <n v="0"/>
    <n v="0"/>
    <x v="1"/>
    <n v="0"/>
    <n v="542"/>
    <n v="1"/>
  </r>
  <r>
    <x v="156"/>
    <x v="139"/>
    <x v="1"/>
    <n v="380607900"/>
    <n v="380607900"/>
    <n v="0"/>
    <n v="0"/>
    <n v="0"/>
    <n v="0"/>
    <n v="0"/>
    <n v="0"/>
    <x v="1"/>
    <n v="0"/>
    <n v="543"/>
    <n v="0"/>
  </r>
  <r>
    <x v="156"/>
    <x v="139"/>
    <x v="6"/>
    <n v="1931850"/>
    <n v="1931850"/>
    <n v="0"/>
    <n v="0"/>
    <n v="0"/>
    <n v="0"/>
    <n v="0"/>
    <n v="0"/>
    <x v="1"/>
    <n v="0"/>
    <n v="544"/>
    <n v="1"/>
  </r>
  <r>
    <x v="157"/>
    <x v="140"/>
    <x v="1"/>
    <n v="333677340"/>
    <n v="333677340"/>
    <n v="0"/>
    <n v="0"/>
    <n v="0"/>
    <n v="0"/>
    <n v="0"/>
    <n v="0"/>
    <x v="1"/>
    <n v="0"/>
    <n v="545"/>
    <n v="0"/>
  </r>
  <r>
    <x v="157"/>
    <x v="140"/>
    <x v="3"/>
    <n v="88606"/>
    <n v="88606"/>
    <n v="0"/>
    <n v="0"/>
    <n v="0"/>
    <n v="0"/>
    <n v="0"/>
    <n v="0"/>
    <x v="1"/>
    <n v="0"/>
    <n v="546"/>
    <n v="1"/>
  </r>
  <r>
    <x v="158"/>
    <x v="141"/>
    <x v="1"/>
    <n v="223437191"/>
    <n v="223437191"/>
    <n v="0"/>
    <n v="0"/>
    <n v="0"/>
    <n v="0"/>
    <n v="0"/>
    <n v="0"/>
    <x v="1"/>
    <n v="0"/>
    <n v="548"/>
    <n v="0"/>
  </r>
  <r>
    <x v="158"/>
    <x v="141"/>
    <x v="2"/>
    <n v="101954830"/>
    <n v="101954830"/>
    <n v="0"/>
    <n v="0"/>
    <n v="0"/>
    <n v="0"/>
    <n v="0"/>
    <n v="0"/>
    <x v="1"/>
    <n v="0"/>
    <n v="547"/>
    <n v="1"/>
  </r>
  <r>
    <x v="158"/>
    <x v="141"/>
    <x v="4"/>
    <n v="299068"/>
    <n v="299068"/>
    <n v="0"/>
    <n v="0"/>
    <n v="0"/>
    <n v="0"/>
    <n v="0"/>
    <n v="0"/>
    <x v="1"/>
    <n v="0"/>
    <n v="549"/>
    <n v="1"/>
  </r>
  <r>
    <x v="159"/>
    <x v="142"/>
    <x v="1"/>
    <n v="88729680"/>
    <n v="88729680"/>
    <n v="0"/>
    <n v="0"/>
    <n v="0"/>
    <n v="0"/>
    <n v="0"/>
    <n v="0"/>
    <x v="1"/>
    <n v="0"/>
    <n v="551"/>
    <n v="0"/>
  </r>
  <r>
    <x v="159"/>
    <x v="142"/>
    <x v="2"/>
    <n v="207035920"/>
    <n v="207035920"/>
    <n v="0"/>
    <n v="0"/>
    <n v="0"/>
    <n v="0"/>
    <n v="0"/>
    <n v="0"/>
    <x v="1"/>
    <n v="0"/>
    <n v="550"/>
    <n v="1"/>
  </r>
  <r>
    <x v="159"/>
    <x v="142"/>
    <x v="5"/>
    <n v="1614698"/>
    <n v="1614698"/>
    <n v="0"/>
    <n v="0"/>
    <n v="0"/>
    <n v="0"/>
    <n v="0"/>
    <n v="0"/>
    <x v="1"/>
    <n v="0"/>
    <n v="552"/>
    <n v="1"/>
  </r>
  <r>
    <x v="160"/>
    <x v="12"/>
    <x v="1"/>
    <n v="175119992"/>
    <n v="175119992"/>
    <n v="0"/>
    <n v="0"/>
    <n v="0"/>
    <n v="0"/>
    <n v="0"/>
    <n v="0"/>
    <x v="1"/>
    <n v="0"/>
    <n v="554"/>
    <n v="0"/>
  </r>
  <r>
    <x v="160"/>
    <x v="12"/>
    <x v="2"/>
    <n v="165400000"/>
    <n v="165400000"/>
    <n v="0"/>
    <n v="0"/>
    <n v="0"/>
    <n v="0"/>
    <n v="0"/>
    <n v="0"/>
    <x v="1"/>
    <n v="0"/>
    <n v="553"/>
    <n v="1"/>
  </r>
  <r>
    <x v="160"/>
    <x v="12"/>
    <x v="6"/>
    <n v="1931850"/>
    <n v="1931850"/>
    <n v="0"/>
    <n v="0"/>
    <n v="0"/>
    <n v="0"/>
    <n v="0"/>
    <n v="0"/>
    <x v="1"/>
    <n v="0"/>
    <n v="555"/>
    <n v="1"/>
  </r>
  <r>
    <x v="161"/>
    <x v="143"/>
    <x v="1"/>
    <n v="364751526"/>
    <n v="364751526"/>
    <n v="0"/>
    <n v="0"/>
    <n v="0"/>
    <n v="0"/>
    <n v="0"/>
    <n v="0"/>
    <x v="1"/>
    <n v="0"/>
    <n v="557"/>
    <n v="0"/>
  </r>
  <r>
    <x v="161"/>
    <x v="143"/>
    <x v="9"/>
    <n v="77601742"/>
    <n v="77601742"/>
    <n v="0"/>
    <n v="0"/>
    <n v="0"/>
    <n v="0"/>
    <n v="0"/>
    <n v="0"/>
    <x v="1"/>
    <n v="0"/>
    <n v="556"/>
    <n v="1"/>
  </r>
  <r>
    <x v="161"/>
    <x v="143"/>
    <x v="3"/>
    <n v="71495"/>
    <n v="71495"/>
    <n v="0"/>
    <n v="0"/>
    <n v="0"/>
    <n v="0"/>
    <n v="0"/>
    <n v="0"/>
    <x v="1"/>
    <n v="0"/>
    <n v="558"/>
    <n v="1"/>
  </r>
  <r>
    <x v="161"/>
    <x v="143"/>
    <x v="6"/>
    <n v="1931850"/>
    <n v="1931850"/>
    <n v="0"/>
    <n v="0"/>
    <n v="0"/>
    <n v="0"/>
    <n v="0"/>
    <n v="0"/>
    <x v="1"/>
    <n v="0"/>
    <n v="559"/>
    <n v="1"/>
  </r>
  <r>
    <x v="162"/>
    <x v="144"/>
    <x v="1"/>
    <n v="103836288"/>
    <n v="103836288"/>
    <n v="0"/>
    <n v="0"/>
    <n v="0"/>
    <n v="0"/>
    <n v="0"/>
    <n v="0"/>
    <x v="1"/>
    <n v="0"/>
    <n v="561"/>
    <n v="0"/>
  </r>
  <r>
    <x v="162"/>
    <x v="144"/>
    <x v="2"/>
    <n v="239998046"/>
    <n v="239998046"/>
    <n v="0"/>
    <n v="0"/>
    <n v="0"/>
    <n v="0"/>
    <n v="0"/>
    <n v="0"/>
    <x v="1"/>
    <n v="0"/>
    <n v="560"/>
    <n v="1"/>
  </r>
  <r>
    <x v="162"/>
    <x v="144"/>
    <x v="3"/>
    <n v="1342492"/>
    <n v="0"/>
    <n v="1342492"/>
    <n v="0"/>
    <n v="1342492"/>
    <n v="0"/>
    <n v="0"/>
    <n v="0"/>
    <x v="1"/>
    <n v="1342492"/>
    <n v="562"/>
    <n v="1"/>
  </r>
  <r>
    <x v="162"/>
    <x v="144"/>
    <x v="5"/>
    <n v="462414"/>
    <n v="462414"/>
    <n v="0"/>
    <n v="0"/>
    <n v="0"/>
    <n v="0"/>
    <n v="0"/>
    <n v="0"/>
    <x v="1"/>
    <n v="0"/>
    <n v="563"/>
    <n v="1"/>
  </r>
  <r>
    <x v="162"/>
    <x v="144"/>
    <x v="6"/>
    <n v="1931850"/>
    <n v="1931850"/>
    <n v="0"/>
    <n v="0"/>
    <n v="0"/>
    <n v="0"/>
    <n v="0"/>
    <n v="0"/>
    <x v="1"/>
    <n v="0"/>
    <n v="564"/>
    <n v="1"/>
  </r>
  <r>
    <x v="163"/>
    <x v="145"/>
    <x v="1"/>
    <n v="144787400"/>
    <n v="144787400"/>
    <n v="0"/>
    <n v="0"/>
    <n v="0"/>
    <n v="0"/>
    <n v="0"/>
    <n v="0"/>
    <x v="1"/>
    <n v="0"/>
    <n v="567"/>
    <n v="0"/>
  </r>
  <r>
    <x v="163"/>
    <x v="145"/>
    <x v="9"/>
    <n v="68406567"/>
    <n v="68406567"/>
    <n v="0"/>
    <n v="0"/>
    <n v="0"/>
    <n v="0"/>
    <n v="0"/>
    <n v="0"/>
    <x v="1"/>
    <n v="0"/>
    <n v="565"/>
    <n v="1"/>
  </r>
  <r>
    <x v="163"/>
    <x v="145"/>
    <x v="2"/>
    <n v="150000000"/>
    <n v="150000000"/>
    <n v="0"/>
    <n v="0"/>
    <n v="0"/>
    <n v="0"/>
    <n v="0"/>
    <n v="0"/>
    <x v="1"/>
    <n v="0"/>
    <n v="566"/>
    <n v="1"/>
  </r>
  <r>
    <x v="164"/>
    <x v="146"/>
    <x v="1"/>
    <n v="108176505"/>
    <n v="108176505"/>
    <n v="0"/>
    <n v="0"/>
    <n v="0"/>
    <n v="0"/>
    <n v="0"/>
    <n v="0"/>
    <x v="1"/>
    <n v="0"/>
    <n v="569"/>
    <n v="0"/>
  </r>
  <r>
    <x v="164"/>
    <x v="146"/>
    <x v="2"/>
    <n v="275857310"/>
    <n v="275857310"/>
    <n v="0"/>
    <n v="0"/>
    <n v="0"/>
    <n v="0"/>
    <n v="0"/>
    <n v="0"/>
    <x v="1"/>
    <n v="0"/>
    <n v="568"/>
    <n v="1"/>
  </r>
  <r>
    <x v="164"/>
    <x v="146"/>
    <x v="6"/>
    <n v="11584872"/>
    <n v="11584872"/>
    <n v="0"/>
    <n v="0"/>
    <n v="0"/>
    <n v="0"/>
    <n v="0"/>
    <n v="0"/>
    <x v="1"/>
    <n v="0"/>
    <n v="570"/>
    <n v="1"/>
  </r>
  <r>
    <x v="165"/>
    <x v="147"/>
    <x v="1"/>
    <n v="361491358"/>
    <n v="361491358"/>
    <n v="0"/>
    <n v="0"/>
    <n v="0"/>
    <n v="0"/>
    <n v="0"/>
    <n v="0"/>
    <x v="1"/>
    <n v="0"/>
    <n v="571"/>
    <n v="0"/>
  </r>
  <r>
    <x v="165"/>
    <x v="147"/>
    <x v="6"/>
    <n v="1931850"/>
    <n v="1931850"/>
    <n v="0"/>
    <n v="0"/>
    <n v="0"/>
    <n v="0"/>
    <n v="0"/>
    <n v="0"/>
    <x v="1"/>
    <n v="0"/>
    <n v="572"/>
    <n v="1"/>
  </r>
  <r>
    <x v="166"/>
    <x v="148"/>
    <x v="1"/>
    <n v="332996531"/>
    <n v="332996531"/>
    <n v="0"/>
    <n v="0"/>
    <n v="0"/>
    <n v="0"/>
    <n v="0"/>
    <n v="0"/>
    <x v="1"/>
    <n v="0"/>
    <n v="573"/>
    <n v="0"/>
  </r>
  <r>
    <x v="167"/>
    <x v="12"/>
    <x v="1"/>
    <n v="88494138"/>
    <n v="88494138"/>
    <n v="0"/>
    <n v="0"/>
    <n v="0"/>
    <n v="0"/>
    <n v="0"/>
    <n v="0"/>
    <x v="1"/>
    <n v="0"/>
    <n v="575"/>
    <n v="0"/>
  </r>
  <r>
    <x v="167"/>
    <x v="12"/>
    <x v="2"/>
    <n v="205755229"/>
    <n v="205755229"/>
    <n v="0"/>
    <n v="0"/>
    <n v="0"/>
    <n v="0"/>
    <n v="0"/>
    <n v="0"/>
    <x v="1"/>
    <n v="0"/>
    <n v="574"/>
    <n v="1"/>
  </r>
  <r>
    <x v="167"/>
    <x v="12"/>
    <x v="3"/>
    <n v="1052746"/>
    <n v="1052746"/>
    <n v="0"/>
    <n v="0"/>
    <n v="0"/>
    <n v="0"/>
    <n v="0"/>
    <n v="0"/>
    <x v="1"/>
    <n v="0"/>
    <n v="576"/>
    <n v="1"/>
  </r>
  <r>
    <x v="168"/>
    <x v="149"/>
    <x v="1"/>
    <n v="109853767"/>
    <n v="109853767"/>
    <n v="0"/>
    <n v="0"/>
    <n v="0"/>
    <n v="0"/>
    <n v="0"/>
    <n v="0"/>
    <x v="1"/>
    <n v="0"/>
    <n v="578"/>
    <n v="0"/>
  </r>
  <r>
    <x v="168"/>
    <x v="149"/>
    <x v="2"/>
    <n v="229545186"/>
    <n v="229545186"/>
    <n v="0"/>
    <n v="0"/>
    <n v="0"/>
    <n v="0"/>
    <n v="0"/>
    <n v="0"/>
    <x v="1"/>
    <n v="0"/>
    <n v="577"/>
    <n v="1"/>
  </r>
  <r>
    <x v="169"/>
    <x v="150"/>
    <x v="1"/>
    <n v="142320740"/>
    <n v="142320740"/>
    <n v="0"/>
    <n v="0"/>
    <n v="0"/>
    <n v="0"/>
    <n v="0"/>
    <n v="0"/>
    <x v="1"/>
    <n v="0"/>
    <n v="580"/>
    <n v="0"/>
  </r>
  <r>
    <x v="169"/>
    <x v="150"/>
    <x v="2"/>
    <n v="200000000"/>
    <n v="200000000"/>
    <n v="0"/>
    <n v="0"/>
    <n v="0"/>
    <n v="0"/>
    <n v="0"/>
    <n v="0"/>
    <x v="1"/>
    <n v="0"/>
    <n v="579"/>
    <n v="1"/>
  </r>
  <r>
    <x v="169"/>
    <x v="150"/>
    <x v="5"/>
    <n v="3732330"/>
    <n v="3732330"/>
    <n v="0"/>
    <n v="0"/>
    <n v="0"/>
    <n v="0"/>
    <n v="0"/>
    <n v="0"/>
    <x v="1"/>
    <n v="0"/>
    <n v="581"/>
    <n v="1"/>
  </r>
  <r>
    <x v="170"/>
    <x v="151"/>
    <x v="1"/>
    <n v="87552825"/>
    <n v="87552825"/>
    <n v="0"/>
    <n v="0"/>
    <n v="0"/>
    <n v="0"/>
    <n v="0"/>
    <n v="0"/>
    <x v="1"/>
    <n v="0"/>
    <n v="583"/>
    <n v="0"/>
  </r>
  <r>
    <x v="170"/>
    <x v="151"/>
    <x v="2"/>
    <n v="204289926"/>
    <n v="204289926"/>
    <n v="0"/>
    <n v="0"/>
    <n v="0"/>
    <n v="0"/>
    <n v="0"/>
    <n v="0"/>
    <x v="1"/>
    <n v="0"/>
    <n v="582"/>
    <n v="1"/>
  </r>
  <r>
    <x v="170"/>
    <x v="151"/>
    <x v="4"/>
    <n v="1080000"/>
    <n v="1080000"/>
    <n v="0"/>
    <n v="0"/>
    <n v="0"/>
    <n v="0"/>
    <n v="0"/>
    <n v="0"/>
    <x v="1"/>
    <n v="0"/>
    <n v="584"/>
    <n v="1"/>
  </r>
  <r>
    <x v="171"/>
    <x v="152"/>
    <x v="1"/>
    <n v="105319689"/>
    <n v="105319689"/>
    <n v="0"/>
    <n v="0"/>
    <n v="0"/>
    <n v="0"/>
    <n v="0"/>
    <n v="0"/>
    <x v="1"/>
    <n v="0"/>
    <n v="586"/>
    <n v="0"/>
  </r>
  <r>
    <x v="171"/>
    <x v="152"/>
    <x v="2"/>
    <n v="271821699"/>
    <n v="271821699"/>
    <n v="0"/>
    <n v="0"/>
    <n v="0"/>
    <n v="0"/>
    <n v="0"/>
    <n v="0"/>
    <x v="1"/>
    <n v="0"/>
    <n v="585"/>
    <n v="1"/>
  </r>
  <r>
    <x v="171"/>
    <x v="152"/>
    <x v="4"/>
    <n v="3044403"/>
    <n v="3044403"/>
    <n v="0"/>
    <n v="0"/>
    <n v="0"/>
    <n v="0"/>
    <n v="0"/>
    <n v="0"/>
    <x v="1"/>
    <n v="0"/>
    <n v="587"/>
    <n v="1"/>
  </r>
  <r>
    <x v="171"/>
    <x v="152"/>
    <x v="6"/>
    <n v="11584872"/>
    <n v="11584872"/>
    <n v="0"/>
    <n v="0"/>
    <n v="0"/>
    <n v="0"/>
    <n v="0"/>
    <n v="0"/>
    <x v="1"/>
    <n v="0"/>
    <n v="588"/>
    <n v="1"/>
  </r>
  <r>
    <x v="172"/>
    <x v="153"/>
    <x v="1"/>
    <n v="362558193"/>
    <n v="362558193"/>
    <n v="0"/>
    <n v="0"/>
    <n v="0"/>
    <n v="0"/>
    <n v="0"/>
    <n v="0"/>
    <x v="1"/>
    <n v="0"/>
    <n v="589"/>
    <n v="0"/>
  </r>
  <r>
    <x v="173"/>
    <x v="154"/>
    <x v="1"/>
    <n v="327872200"/>
    <n v="327872200"/>
    <n v="0"/>
    <n v="0"/>
    <n v="0"/>
    <n v="0"/>
    <n v="0"/>
    <n v="0"/>
    <x v="1"/>
    <n v="0"/>
    <n v="590"/>
    <n v="0"/>
  </r>
  <r>
    <x v="173"/>
    <x v="154"/>
    <x v="3"/>
    <n v="1394027"/>
    <n v="1394027"/>
    <n v="0"/>
    <n v="0"/>
    <n v="0"/>
    <n v="0"/>
    <n v="0"/>
    <n v="0"/>
    <x v="1"/>
    <n v="0"/>
    <n v="591"/>
    <n v="1"/>
  </r>
  <r>
    <x v="174"/>
    <x v="155"/>
    <x v="1"/>
    <n v="90058683"/>
    <n v="90058683"/>
    <n v="0"/>
    <n v="0"/>
    <n v="0"/>
    <n v="0"/>
    <n v="0"/>
    <n v="0"/>
    <x v="1"/>
    <n v="0"/>
    <n v="593"/>
    <n v="0"/>
  </r>
  <r>
    <x v="174"/>
    <x v="155"/>
    <x v="2"/>
    <n v="204350517"/>
    <n v="204350517"/>
    <n v="0"/>
    <n v="0"/>
    <n v="0"/>
    <n v="0"/>
    <n v="0"/>
    <n v="0"/>
    <x v="1"/>
    <n v="0"/>
    <n v="592"/>
    <n v="1"/>
  </r>
  <r>
    <x v="174"/>
    <x v="155"/>
    <x v="3"/>
    <n v="626997"/>
    <n v="0"/>
    <n v="626997"/>
    <n v="0"/>
    <n v="626997"/>
    <n v="0"/>
    <n v="626997"/>
    <n v="0"/>
    <x v="1"/>
    <n v="0"/>
    <n v="594"/>
    <n v="1"/>
  </r>
  <r>
    <x v="174"/>
    <x v="155"/>
    <x v="4"/>
    <n v="9880444"/>
    <n v="9880444"/>
    <n v="0"/>
    <n v="0"/>
    <n v="0"/>
    <n v="0"/>
    <n v="0"/>
    <n v="0"/>
    <x v="1"/>
    <n v="0"/>
    <n v="595"/>
    <n v="1"/>
  </r>
  <r>
    <x v="175"/>
    <x v="156"/>
    <x v="1"/>
    <n v="167428970"/>
    <n v="167428970"/>
    <n v="0"/>
    <n v="0"/>
    <n v="0"/>
    <n v="0"/>
    <n v="0"/>
    <n v="0"/>
    <x v="1"/>
    <n v="0"/>
    <n v="598"/>
    <n v="0"/>
  </r>
  <r>
    <x v="175"/>
    <x v="156"/>
    <x v="9"/>
    <n v="77701739"/>
    <n v="77701739"/>
    <n v="0"/>
    <n v="0"/>
    <n v="0"/>
    <n v="0"/>
    <n v="0"/>
    <n v="0"/>
    <x v="1"/>
    <n v="0"/>
    <n v="596"/>
    <n v="1"/>
  </r>
  <r>
    <x v="175"/>
    <x v="156"/>
    <x v="2"/>
    <n v="184000930"/>
    <n v="184000930"/>
    <n v="0"/>
    <n v="0"/>
    <n v="0"/>
    <n v="0"/>
    <n v="0"/>
    <n v="0"/>
    <x v="1"/>
    <n v="0"/>
    <n v="597"/>
    <n v="1"/>
  </r>
  <r>
    <x v="175"/>
    <x v="156"/>
    <x v="8"/>
    <n v="612800"/>
    <n v="612800"/>
    <n v="0"/>
    <n v="0"/>
    <n v="0"/>
    <n v="0"/>
    <n v="0"/>
    <n v="0"/>
    <x v="1"/>
    <n v="0"/>
    <n v="599"/>
    <n v="1"/>
  </r>
  <r>
    <x v="176"/>
    <x v="157"/>
    <x v="1"/>
    <n v="108843710"/>
    <n v="108843710"/>
    <n v="0"/>
    <n v="0"/>
    <n v="0"/>
    <n v="0"/>
    <n v="0"/>
    <n v="0"/>
    <x v="1"/>
    <n v="0"/>
    <n v="601"/>
    <n v="0"/>
  </r>
  <r>
    <x v="176"/>
    <x v="157"/>
    <x v="2"/>
    <n v="241894634"/>
    <n v="241894634"/>
    <n v="0"/>
    <n v="0"/>
    <n v="0"/>
    <n v="0"/>
    <n v="0"/>
    <n v="0"/>
    <x v="1"/>
    <n v="0"/>
    <n v="600"/>
    <n v="1"/>
  </r>
  <r>
    <x v="176"/>
    <x v="157"/>
    <x v="3"/>
    <n v="1258696"/>
    <n v="1258696"/>
    <n v="0"/>
    <n v="0"/>
    <n v="0"/>
    <n v="0"/>
    <n v="0"/>
    <n v="0"/>
    <x v="1"/>
    <n v="0"/>
    <n v="602"/>
    <n v="1"/>
  </r>
  <r>
    <x v="177"/>
    <x v="158"/>
    <x v="1"/>
    <n v="165010000"/>
    <n v="165010000"/>
    <n v="0"/>
    <n v="0"/>
    <n v="0"/>
    <n v="0"/>
    <n v="0"/>
    <n v="0"/>
    <x v="1"/>
    <n v="0"/>
    <n v="604"/>
    <n v="0"/>
  </r>
  <r>
    <x v="177"/>
    <x v="158"/>
    <x v="2"/>
    <n v="220000000"/>
    <n v="220000000"/>
    <n v="0"/>
    <n v="0"/>
    <n v="0"/>
    <n v="0"/>
    <n v="0"/>
    <n v="0"/>
    <x v="1"/>
    <n v="0"/>
    <n v="603"/>
    <n v="1"/>
  </r>
  <r>
    <x v="177"/>
    <x v="158"/>
    <x v="3"/>
    <n v="63821"/>
    <n v="63821"/>
    <n v="0"/>
    <n v="0"/>
    <n v="0"/>
    <n v="0"/>
    <n v="0"/>
    <n v="0"/>
    <x v="1"/>
    <n v="0"/>
    <n v="605"/>
    <n v="1"/>
  </r>
  <r>
    <x v="177"/>
    <x v="158"/>
    <x v="5"/>
    <n v="186420"/>
    <n v="186420"/>
    <n v="0"/>
    <n v="0"/>
    <n v="0"/>
    <n v="0"/>
    <n v="0"/>
    <n v="0"/>
    <x v="1"/>
    <n v="0"/>
    <n v="606"/>
    <n v="1"/>
  </r>
  <r>
    <x v="177"/>
    <x v="158"/>
    <x v="4"/>
    <n v="2698667"/>
    <n v="2698667"/>
    <n v="0"/>
    <n v="0"/>
    <n v="0"/>
    <n v="0"/>
    <n v="0"/>
    <n v="0"/>
    <x v="1"/>
    <n v="0"/>
    <n v="607"/>
    <n v="1"/>
  </r>
  <r>
    <x v="178"/>
    <x v="159"/>
    <x v="1"/>
    <n v="88782374"/>
    <n v="88782374"/>
    <n v="0"/>
    <n v="0"/>
    <n v="0"/>
    <n v="0"/>
    <n v="0"/>
    <n v="0"/>
    <x v="1"/>
    <n v="0"/>
    <n v="609"/>
    <n v="0"/>
  </r>
  <r>
    <x v="178"/>
    <x v="159"/>
    <x v="2"/>
    <n v="206289414"/>
    <n v="206289414"/>
    <n v="0"/>
    <n v="0"/>
    <n v="0"/>
    <n v="0"/>
    <n v="0"/>
    <n v="0"/>
    <x v="1"/>
    <n v="0"/>
    <n v="608"/>
    <n v="1"/>
  </r>
  <r>
    <x v="178"/>
    <x v="159"/>
    <x v="3"/>
    <n v="1031045"/>
    <n v="1031045"/>
    <n v="0"/>
    <n v="0"/>
    <n v="0"/>
    <n v="0"/>
    <n v="0"/>
    <n v="0"/>
    <x v="1"/>
    <n v="0"/>
    <n v="610"/>
    <n v="1"/>
  </r>
  <r>
    <x v="179"/>
    <x v="160"/>
    <x v="1"/>
    <n v="415680000"/>
    <n v="415680000"/>
    <n v="0"/>
    <n v="0"/>
    <n v="0"/>
    <n v="0"/>
    <n v="0"/>
    <n v="0"/>
    <x v="1"/>
    <n v="0"/>
    <n v="612"/>
    <n v="0"/>
  </r>
  <r>
    <x v="179"/>
    <x v="160"/>
    <x v="9"/>
    <n v="80698355"/>
    <n v="80698355"/>
    <n v="0"/>
    <n v="0"/>
    <n v="0"/>
    <n v="0"/>
    <n v="0"/>
    <n v="0"/>
    <x v="1"/>
    <n v="0"/>
    <n v="611"/>
    <n v="1"/>
  </r>
  <r>
    <x v="180"/>
    <x v="161"/>
    <x v="1"/>
    <n v="105331661"/>
    <n v="105331661"/>
    <n v="0"/>
    <n v="0"/>
    <n v="0"/>
    <n v="0"/>
    <n v="0"/>
    <n v="0"/>
    <x v="1"/>
    <n v="0"/>
    <n v="614"/>
    <n v="0"/>
  </r>
  <r>
    <x v="180"/>
    <x v="161"/>
    <x v="2"/>
    <n v="236990339"/>
    <n v="236990339"/>
    <n v="0"/>
    <n v="0"/>
    <n v="0"/>
    <n v="0"/>
    <n v="0"/>
    <n v="0"/>
    <x v="1"/>
    <n v="0"/>
    <n v="613"/>
    <n v="1"/>
  </r>
  <r>
    <x v="180"/>
    <x v="161"/>
    <x v="6"/>
    <n v="1931850"/>
    <n v="1931850"/>
    <n v="0"/>
    <n v="0"/>
    <n v="0"/>
    <n v="0"/>
    <n v="0"/>
    <n v="0"/>
    <x v="1"/>
    <n v="0"/>
    <n v="615"/>
    <n v="1"/>
  </r>
  <r>
    <x v="181"/>
    <x v="162"/>
    <x v="1"/>
    <n v="340548519"/>
    <n v="340548519"/>
    <n v="0"/>
    <n v="0"/>
    <n v="0"/>
    <n v="0"/>
    <n v="0"/>
    <n v="0"/>
    <x v="1"/>
    <n v="0"/>
    <n v="616"/>
    <n v="0"/>
  </r>
  <r>
    <x v="181"/>
    <x v="162"/>
    <x v="3"/>
    <n v="56153"/>
    <n v="56153"/>
    <n v="0"/>
    <n v="0"/>
    <n v="0"/>
    <n v="0"/>
    <n v="0"/>
    <n v="0"/>
    <x v="1"/>
    <n v="0"/>
    <n v="617"/>
    <n v="1"/>
  </r>
  <r>
    <x v="182"/>
    <x v="12"/>
    <x v="1"/>
    <n v="152900000"/>
    <n v="152900000"/>
    <n v="0"/>
    <n v="0"/>
    <n v="0"/>
    <n v="0"/>
    <n v="0"/>
    <n v="0"/>
    <x v="1"/>
    <n v="0"/>
    <n v="619"/>
    <n v="0"/>
  </r>
  <r>
    <x v="182"/>
    <x v="12"/>
    <x v="2"/>
    <n v="142100000"/>
    <n v="0"/>
    <n v="142100000"/>
    <n v="0"/>
    <n v="142100000"/>
    <n v="0"/>
    <n v="0"/>
    <n v="0"/>
    <x v="1"/>
    <n v="142100000"/>
    <n v="618"/>
    <n v="1"/>
  </r>
  <r>
    <x v="182"/>
    <x v="12"/>
    <x v="3"/>
    <n v="563450"/>
    <n v="0"/>
    <n v="563450"/>
    <n v="0"/>
    <n v="563450"/>
    <n v="563450"/>
    <n v="0"/>
    <n v="0"/>
    <x v="1"/>
    <n v="0"/>
    <n v="620"/>
    <n v="1"/>
  </r>
  <r>
    <x v="182"/>
    <x v="12"/>
    <x v="5"/>
    <n v="472465"/>
    <n v="472465"/>
    <n v="0"/>
    <n v="0"/>
    <n v="0"/>
    <n v="0"/>
    <n v="0"/>
    <n v="0"/>
    <x v="1"/>
    <n v="0"/>
    <n v="621"/>
    <n v="1"/>
  </r>
  <r>
    <x v="182"/>
    <x v="12"/>
    <x v="4"/>
    <n v="3469200"/>
    <n v="3469200"/>
    <n v="0"/>
    <n v="0"/>
    <n v="0"/>
    <n v="0"/>
    <n v="0"/>
    <n v="0"/>
    <x v="1"/>
    <n v="0"/>
    <n v="622"/>
    <n v="1"/>
  </r>
  <r>
    <x v="183"/>
    <x v="163"/>
    <x v="1"/>
    <n v="215354936"/>
    <n v="215354936"/>
    <n v="0"/>
    <n v="0"/>
    <n v="0"/>
    <n v="0"/>
    <n v="0"/>
    <n v="0"/>
    <x v="1"/>
    <n v="0"/>
    <n v="624"/>
    <n v="0"/>
  </r>
  <r>
    <x v="183"/>
    <x v="163"/>
    <x v="2"/>
    <n v="120000000"/>
    <n v="120000000"/>
    <n v="0"/>
    <n v="0"/>
    <n v="0"/>
    <n v="0"/>
    <n v="0"/>
    <n v="0"/>
    <x v="1"/>
    <n v="0"/>
    <n v="623"/>
    <n v="1"/>
  </r>
  <r>
    <x v="183"/>
    <x v="163"/>
    <x v="3"/>
    <n v="1301017"/>
    <n v="1301017"/>
    <n v="0"/>
    <n v="0"/>
    <n v="0"/>
    <n v="0"/>
    <n v="0"/>
    <n v="0"/>
    <x v="1"/>
    <n v="0"/>
    <n v="625"/>
    <n v="1"/>
  </r>
  <r>
    <x v="184"/>
    <x v="12"/>
    <x v="1"/>
    <n v="101498650"/>
    <n v="101498650"/>
    <n v="0"/>
    <n v="0"/>
    <n v="0"/>
    <n v="0"/>
    <n v="0"/>
    <n v="0"/>
    <x v="1"/>
    <n v="0"/>
    <n v="627"/>
    <n v="0"/>
  </r>
  <r>
    <x v="184"/>
    <x v="12"/>
    <x v="2"/>
    <n v="281672420"/>
    <n v="281672420"/>
    <n v="0"/>
    <n v="0"/>
    <n v="0"/>
    <n v="0"/>
    <n v="0"/>
    <n v="0"/>
    <x v="1"/>
    <n v="0"/>
    <n v="626"/>
    <n v="1"/>
  </r>
  <r>
    <x v="184"/>
    <x v="12"/>
    <x v="3"/>
    <n v="1298367"/>
    <n v="0"/>
    <n v="1298367"/>
    <n v="0"/>
    <n v="1298367"/>
    <n v="0"/>
    <n v="0"/>
    <n v="0"/>
    <x v="1"/>
    <n v="1298367"/>
    <n v="628"/>
    <n v="1"/>
  </r>
  <r>
    <x v="184"/>
    <x v="12"/>
    <x v="4"/>
    <n v="733867"/>
    <n v="0"/>
    <n v="733867"/>
    <n v="0"/>
    <n v="733867"/>
    <n v="0"/>
    <n v="733867"/>
    <n v="0"/>
    <x v="1"/>
    <n v="0"/>
    <n v="629"/>
    <n v="1"/>
  </r>
  <r>
    <x v="184"/>
    <x v="12"/>
    <x v="6"/>
    <n v="1931850"/>
    <n v="1931850"/>
    <n v="0"/>
    <n v="0"/>
    <n v="0"/>
    <n v="0"/>
    <n v="0"/>
    <n v="0"/>
    <x v="1"/>
    <n v="0"/>
    <n v="630"/>
    <n v="1"/>
  </r>
  <r>
    <x v="185"/>
    <x v="164"/>
    <x v="1"/>
    <n v="103884145"/>
    <n v="103884145"/>
    <n v="0"/>
    <n v="0"/>
    <n v="0"/>
    <n v="0"/>
    <n v="0"/>
    <n v="0"/>
    <x v="1"/>
    <n v="0"/>
    <n v="632"/>
    <n v="0"/>
  </r>
  <r>
    <x v="185"/>
    <x v="164"/>
    <x v="2"/>
    <n v="242383255"/>
    <n v="242383255"/>
    <n v="0"/>
    <n v="0"/>
    <n v="0"/>
    <n v="0"/>
    <n v="0"/>
    <n v="0"/>
    <x v="1"/>
    <n v="0"/>
    <n v="631"/>
    <n v="1"/>
  </r>
  <r>
    <x v="185"/>
    <x v="164"/>
    <x v="8"/>
    <n v="513000"/>
    <n v="513000"/>
    <n v="0"/>
    <n v="0"/>
    <n v="0"/>
    <n v="0"/>
    <n v="0"/>
    <n v="0"/>
    <x v="1"/>
    <n v="0"/>
    <n v="633"/>
    <n v="1"/>
  </r>
  <r>
    <x v="185"/>
    <x v="164"/>
    <x v="6"/>
    <n v="12975565"/>
    <n v="12975565"/>
    <n v="0"/>
    <n v="0"/>
    <n v="0"/>
    <n v="0"/>
    <n v="0"/>
    <n v="0"/>
    <x v="1"/>
    <n v="0"/>
    <n v="634"/>
    <n v="1"/>
  </r>
  <r>
    <x v="186"/>
    <x v="165"/>
    <x v="1"/>
    <n v="88500000"/>
    <n v="88500000"/>
    <n v="0"/>
    <n v="0"/>
    <n v="0"/>
    <n v="0"/>
    <n v="0"/>
    <n v="0"/>
    <x v="1"/>
    <n v="0"/>
    <n v="636"/>
    <n v="0"/>
  </r>
  <r>
    <x v="186"/>
    <x v="165"/>
    <x v="2"/>
    <n v="206500000"/>
    <n v="0"/>
    <n v="206500000"/>
    <n v="0"/>
    <n v="206500000"/>
    <n v="0"/>
    <n v="0"/>
    <n v="0"/>
    <x v="1"/>
    <n v="206500000"/>
    <n v="635"/>
    <n v="1"/>
  </r>
  <r>
    <x v="186"/>
    <x v="165"/>
    <x v="3"/>
    <n v="707490"/>
    <n v="0"/>
    <n v="707490"/>
    <n v="0"/>
    <n v="707490"/>
    <n v="0"/>
    <n v="707490"/>
    <n v="0"/>
    <x v="1"/>
    <n v="0"/>
    <n v="637"/>
    <n v="1"/>
  </r>
  <r>
    <x v="186"/>
    <x v="165"/>
    <x v="5"/>
    <n v="1162175"/>
    <n v="1162175"/>
    <n v="0"/>
    <n v="0"/>
    <n v="0"/>
    <n v="0"/>
    <n v="0"/>
    <n v="0"/>
    <x v="1"/>
    <n v="0"/>
    <n v="638"/>
    <n v="1"/>
  </r>
  <r>
    <x v="186"/>
    <x v="165"/>
    <x v="4"/>
    <n v="3469200"/>
    <n v="3469200"/>
    <n v="0"/>
    <n v="0"/>
    <n v="0"/>
    <n v="0"/>
    <n v="0"/>
    <n v="0"/>
    <x v="1"/>
    <n v="0"/>
    <n v="639"/>
    <n v="1"/>
  </r>
  <r>
    <x v="187"/>
    <x v="166"/>
    <x v="1"/>
    <n v="162169704"/>
    <n v="162169704"/>
    <n v="0"/>
    <n v="0"/>
    <n v="0"/>
    <n v="0"/>
    <n v="0"/>
    <n v="0"/>
    <x v="1"/>
    <n v="0"/>
    <n v="641"/>
    <n v="0"/>
  </r>
  <r>
    <x v="187"/>
    <x v="166"/>
    <x v="2"/>
    <n v="181000000"/>
    <n v="181000000"/>
    <n v="0"/>
    <n v="0"/>
    <n v="0"/>
    <n v="0"/>
    <n v="0"/>
    <n v="0"/>
    <x v="1"/>
    <n v="0"/>
    <n v="640"/>
    <n v="1"/>
  </r>
  <r>
    <x v="187"/>
    <x v="166"/>
    <x v="8"/>
    <n v="492197"/>
    <n v="492197"/>
    <n v="0"/>
    <n v="0"/>
    <n v="0"/>
    <n v="0"/>
    <n v="0"/>
    <n v="0"/>
    <x v="1"/>
    <n v="0"/>
    <n v="642"/>
    <n v="1"/>
  </r>
  <r>
    <x v="187"/>
    <x v="166"/>
    <x v="4"/>
    <n v="241333"/>
    <n v="241333"/>
    <n v="0"/>
    <n v="0"/>
    <n v="0"/>
    <n v="0"/>
    <n v="0"/>
    <n v="0"/>
    <x v="1"/>
    <n v="0"/>
    <n v="643"/>
    <n v="1"/>
  </r>
  <r>
    <x v="188"/>
    <x v="167"/>
    <x v="1"/>
    <n v="313538386"/>
    <n v="313538386"/>
    <n v="0"/>
    <n v="0"/>
    <n v="0"/>
    <n v="0"/>
    <n v="0"/>
    <n v="0"/>
    <x v="1"/>
    <n v="0"/>
    <n v="644"/>
    <n v="0"/>
  </r>
  <r>
    <x v="188"/>
    <x v="167"/>
    <x v="3"/>
    <n v="58313"/>
    <n v="0"/>
    <n v="58313"/>
    <n v="0"/>
    <n v="58313"/>
    <n v="0"/>
    <n v="0"/>
    <n v="0"/>
    <x v="1"/>
    <n v="58313"/>
    <n v="645"/>
    <n v="1"/>
  </r>
  <r>
    <x v="189"/>
    <x v="168"/>
    <x v="1"/>
    <n v="342710032"/>
    <n v="342710032"/>
    <n v="0"/>
    <n v="0"/>
    <n v="0"/>
    <n v="0"/>
    <n v="0"/>
    <n v="0"/>
    <x v="1"/>
    <n v="0"/>
    <n v="646"/>
    <n v="0"/>
  </r>
  <r>
    <x v="189"/>
    <x v="168"/>
    <x v="3"/>
    <n v="90327"/>
    <n v="90327"/>
    <n v="0"/>
    <n v="0"/>
    <n v="0"/>
    <n v="0"/>
    <n v="0"/>
    <n v="0"/>
    <x v="1"/>
    <n v="0"/>
    <n v="647"/>
    <n v="1"/>
  </r>
  <r>
    <x v="189"/>
    <x v="168"/>
    <x v="5"/>
    <n v="847339"/>
    <n v="847339"/>
    <n v="0"/>
    <n v="0"/>
    <n v="0"/>
    <n v="0"/>
    <n v="0"/>
    <n v="0"/>
    <x v="1"/>
    <n v="0"/>
    <n v="648"/>
    <n v="1"/>
  </r>
  <r>
    <x v="190"/>
    <x v="169"/>
    <x v="1"/>
    <n v="292955042"/>
    <n v="292955042"/>
    <n v="0"/>
    <n v="0"/>
    <n v="0"/>
    <n v="0"/>
    <n v="0"/>
    <n v="0"/>
    <x v="1"/>
    <n v="0"/>
    <n v="649"/>
    <n v="0"/>
  </r>
  <r>
    <x v="190"/>
    <x v="169"/>
    <x v="6"/>
    <n v="68406567"/>
    <n v="68406567"/>
    <n v="0"/>
    <n v="0"/>
    <n v="0"/>
    <n v="0"/>
    <n v="0"/>
    <n v="0"/>
    <x v="1"/>
    <n v="0"/>
    <n v="650"/>
    <n v="1"/>
  </r>
  <r>
    <x v="191"/>
    <x v="170"/>
    <x v="1"/>
    <n v="103733461"/>
    <n v="103733461"/>
    <n v="0"/>
    <n v="0"/>
    <n v="0"/>
    <n v="0"/>
    <n v="0"/>
    <n v="0"/>
    <x v="1"/>
    <n v="0"/>
    <n v="652"/>
    <n v="0"/>
  </r>
  <r>
    <x v="191"/>
    <x v="170"/>
    <x v="2"/>
    <n v="239349560"/>
    <n v="239349560"/>
    <n v="0"/>
    <n v="0"/>
    <n v="0"/>
    <n v="0"/>
    <n v="0"/>
    <n v="0"/>
    <x v="1"/>
    <n v="0"/>
    <n v="651"/>
    <n v="1"/>
  </r>
  <r>
    <x v="192"/>
    <x v="171"/>
    <x v="1"/>
    <n v="105791100"/>
    <n v="105791100"/>
    <n v="0"/>
    <n v="0"/>
    <n v="0"/>
    <n v="0"/>
    <n v="0"/>
    <n v="0"/>
    <x v="1"/>
    <n v="0"/>
    <n v="654"/>
    <n v="0"/>
  </r>
  <r>
    <x v="192"/>
    <x v="171"/>
    <x v="2"/>
    <n v="246845900"/>
    <n v="246845900"/>
    <n v="0"/>
    <n v="0"/>
    <n v="0"/>
    <n v="0"/>
    <n v="0"/>
    <n v="0"/>
    <x v="1"/>
    <n v="0"/>
    <n v="653"/>
    <n v="1"/>
  </r>
  <r>
    <x v="192"/>
    <x v="171"/>
    <x v="3"/>
    <n v="1253277"/>
    <n v="1253277"/>
    <n v="0"/>
    <n v="0"/>
    <n v="0"/>
    <n v="0"/>
    <n v="0"/>
    <n v="0"/>
    <x v="1"/>
    <n v="0"/>
    <n v="655"/>
    <n v="1"/>
  </r>
  <r>
    <x v="192"/>
    <x v="171"/>
    <x v="4"/>
    <n v="460779"/>
    <n v="0"/>
    <n v="460779"/>
    <n v="0"/>
    <n v="460779"/>
    <n v="0"/>
    <n v="460779"/>
    <n v="0"/>
    <x v="1"/>
    <n v="0"/>
    <n v="656"/>
    <n v="1"/>
  </r>
  <r>
    <x v="193"/>
    <x v="172"/>
    <x v="1"/>
    <n v="159357780"/>
    <n v="159357780"/>
    <n v="0"/>
    <n v="0"/>
    <n v="0"/>
    <n v="0"/>
    <n v="0"/>
    <n v="0"/>
    <x v="1"/>
    <n v="0"/>
    <n v="658"/>
    <n v="0"/>
  </r>
  <r>
    <x v="193"/>
    <x v="172"/>
    <x v="2"/>
    <n v="183600000"/>
    <n v="183600000"/>
    <n v="0"/>
    <n v="0"/>
    <n v="0"/>
    <n v="0"/>
    <n v="0"/>
    <n v="0"/>
    <x v="1"/>
    <n v="0"/>
    <n v="657"/>
    <n v="1"/>
  </r>
  <r>
    <x v="193"/>
    <x v="172"/>
    <x v="3"/>
    <n v="1282607"/>
    <n v="1282607"/>
    <n v="0"/>
    <n v="0"/>
    <n v="0"/>
    <n v="0"/>
    <n v="0"/>
    <n v="0"/>
    <x v="1"/>
    <n v="0"/>
    <n v="659"/>
    <n v="1"/>
  </r>
  <r>
    <x v="193"/>
    <x v="172"/>
    <x v="5"/>
    <n v="1472185"/>
    <n v="1472185"/>
    <n v="0"/>
    <n v="0"/>
    <n v="0"/>
    <n v="0"/>
    <n v="0"/>
    <n v="0"/>
    <x v="1"/>
    <n v="0"/>
    <n v="660"/>
    <n v="1"/>
  </r>
  <r>
    <x v="194"/>
    <x v="173"/>
    <x v="1"/>
    <n v="94845335"/>
    <n v="94845335"/>
    <n v="0"/>
    <n v="0"/>
    <n v="0"/>
    <n v="0"/>
    <n v="0"/>
    <n v="0"/>
    <x v="1"/>
    <n v="0"/>
    <n v="662"/>
    <n v="0"/>
  </r>
  <r>
    <x v="194"/>
    <x v="173"/>
    <x v="2"/>
    <n v="200000000"/>
    <n v="80580000"/>
    <n v="119420000"/>
    <n v="0"/>
    <n v="119420000"/>
    <n v="0"/>
    <n v="0"/>
    <n v="0"/>
    <x v="1"/>
    <n v="119420000"/>
    <n v="661"/>
    <n v="1"/>
  </r>
  <r>
    <x v="194"/>
    <x v="173"/>
    <x v="6"/>
    <n v="1512675"/>
    <n v="1512675"/>
    <n v="0"/>
    <n v="0"/>
    <n v="0"/>
    <n v="0"/>
    <n v="0"/>
    <n v="0"/>
    <x v="1"/>
    <n v="0"/>
    <n v="663"/>
    <n v="1"/>
  </r>
  <r>
    <x v="195"/>
    <x v="174"/>
    <x v="1"/>
    <n v="116346000"/>
    <n v="116346000"/>
    <n v="0"/>
    <n v="0"/>
    <n v="0"/>
    <n v="0"/>
    <n v="0"/>
    <n v="0"/>
    <x v="1"/>
    <n v="0"/>
    <n v="665"/>
    <n v="0"/>
  </r>
  <r>
    <x v="195"/>
    <x v="174"/>
    <x v="2"/>
    <n v="271266500"/>
    <n v="271266500"/>
    <n v="0"/>
    <n v="0"/>
    <n v="0"/>
    <n v="0"/>
    <n v="0"/>
    <n v="0"/>
    <x v="1"/>
    <n v="0"/>
    <n v="664"/>
    <n v="1"/>
  </r>
  <r>
    <x v="195"/>
    <x v="174"/>
    <x v="3"/>
    <n v="1305528"/>
    <n v="0"/>
    <n v="1305528"/>
    <n v="0"/>
    <n v="1305528"/>
    <n v="0"/>
    <n v="0"/>
    <n v="0"/>
    <x v="1"/>
    <n v="1305528"/>
    <n v="666"/>
    <n v="1"/>
  </r>
  <r>
    <x v="196"/>
    <x v="175"/>
    <x v="1"/>
    <n v="337931017"/>
    <n v="337931017"/>
    <n v="0"/>
    <n v="0"/>
    <n v="0"/>
    <n v="0"/>
    <n v="0"/>
    <n v="0"/>
    <x v="1"/>
    <n v="0"/>
    <n v="667"/>
    <n v="0"/>
  </r>
  <r>
    <x v="196"/>
    <x v="175"/>
    <x v="3"/>
    <n v="74946"/>
    <n v="74946"/>
    <n v="0"/>
    <n v="0"/>
    <n v="0"/>
    <n v="0"/>
    <n v="0"/>
    <n v="0"/>
    <x v="1"/>
    <n v="0"/>
    <n v="668"/>
    <n v="1"/>
  </r>
  <r>
    <x v="196"/>
    <x v="175"/>
    <x v="6"/>
    <n v="1931850"/>
    <n v="1931850"/>
    <n v="0"/>
    <n v="0"/>
    <n v="0"/>
    <n v="0"/>
    <n v="0"/>
    <n v="0"/>
    <x v="1"/>
    <n v="0"/>
    <n v="669"/>
    <n v="1"/>
  </r>
  <r>
    <x v="197"/>
    <x v="176"/>
    <x v="1"/>
    <n v="120262362"/>
    <n v="120262362"/>
    <n v="0"/>
    <n v="0"/>
    <n v="0"/>
    <n v="0"/>
    <n v="0"/>
    <n v="0"/>
    <x v="1"/>
    <n v="0"/>
    <n v="671"/>
    <n v="0"/>
  </r>
  <r>
    <x v="197"/>
    <x v="176"/>
    <x v="2"/>
    <n v="225386838"/>
    <n v="225386838"/>
    <n v="0"/>
    <n v="0"/>
    <n v="0"/>
    <n v="0"/>
    <n v="0"/>
    <n v="0"/>
    <x v="1"/>
    <n v="0"/>
    <n v="670"/>
    <n v="1"/>
  </r>
  <r>
    <x v="197"/>
    <x v="176"/>
    <x v="8"/>
    <n v="496346"/>
    <n v="0"/>
    <n v="496346"/>
    <n v="0"/>
    <n v="496346"/>
    <n v="0"/>
    <n v="0"/>
    <n v="0"/>
    <x v="1"/>
    <n v="496346"/>
    <n v="672"/>
    <n v="1"/>
  </r>
  <r>
    <x v="197"/>
    <x v="176"/>
    <x v="4"/>
    <n v="781341"/>
    <n v="0"/>
    <n v="781341"/>
    <n v="0"/>
    <n v="781341"/>
    <n v="0"/>
    <n v="0"/>
    <n v="0"/>
    <x v="1"/>
    <n v="781341"/>
    <n v="673"/>
    <n v="1"/>
  </r>
  <r>
    <x v="197"/>
    <x v="176"/>
    <x v="6"/>
    <n v="1931850"/>
    <n v="1931850"/>
    <n v="0"/>
    <n v="0"/>
    <n v="0"/>
    <n v="0"/>
    <n v="0"/>
    <n v="0"/>
    <x v="1"/>
    <n v="0"/>
    <n v="674"/>
    <n v="1"/>
  </r>
  <r>
    <x v="198"/>
    <x v="177"/>
    <x v="1"/>
    <n v="114767918"/>
    <n v="114767918"/>
    <n v="0"/>
    <n v="0"/>
    <n v="0"/>
    <n v="0"/>
    <n v="0"/>
    <n v="0"/>
    <x v="1"/>
    <n v="0"/>
    <n v="676"/>
    <n v="0"/>
  </r>
  <r>
    <x v="198"/>
    <x v="177"/>
    <x v="2"/>
    <n v="181081000"/>
    <n v="181081000"/>
    <n v="0"/>
    <n v="0"/>
    <n v="0"/>
    <n v="0"/>
    <n v="0"/>
    <n v="0"/>
    <x v="1"/>
    <n v="0"/>
    <n v="675"/>
    <n v="1"/>
  </r>
  <r>
    <x v="198"/>
    <x v="177"/>
    <x v="4"/>
    <n v="1062342"/>
    <n v="1062342"/>
    <n v="0"/>
    <n v="0"/>
    <n v="0"/>
    <n v="0"/>
    <n v="0"/>
    <n v="0"/>
    <x v="1"/>
    <n v="0"/>
    <n v="677"/>
    <n v="1"/>
  </r>
  <r>
    <x v="199"/>
    <x v="178"/>
    <x v="1"/>
    <n v="128433319"/>
    <n v="128433319"/>
    <n v="0"/>
    <n v="0"/>
    <n v="0"/>
    <n v="0"/>
    <n v="0"/>
    <n v="0"/>
    <x v="1"/>
    <n v="0"/>
    <n v="679"/>
    <n v="0"/>
  </r>
  <r>
    <x v="199"/>
    <x v="178"/>
    <x v="2"/>
    <n v="250516000"/>
    <n v="250516000"/>
    <n v="0"/>
    <n v="0"/>
    <n v="0"/>
    <n v="0"/>
    <n v="0"/>
    <n v="0"/>
    <x v="1"/>
    <n v="0"/>
    <n v="678"/>
    <n v="1"/>
  </r>
  <r>
    <x v="199"/>
    <x v="178"/>
    <x v="8"/>
    <n v="543897"/>
    <n v="543897"/>
    <n v="0"/>
    <n v="0"/>
    <n v="0"/>
    <n v="0"/>
    <n v="0"/>
    <n v="0"/>
    <x v="1"/>
    <n v="0"/>
    <n v="680"/>
    <n v="1"/>
  </r>
  <r>
    <x v="199"/>
    <x v="178"/>
    <x v="3"/>
    <n v="1358242"/>
    <n v="1358242"/>
    <n v="0"/>
    <n v="0"/>
    <n v="0"/>
    <n v="0"/>
    <n v="0"/>
    <n v="0"/>
    <x v="1"/>
    <n v="0"/>
    <n v="681"/>
    <n v="1"/>
  </r>
  <r>
    <x v="199"/>
    <x v="178"/>
    <x v="4"/>
    <n v="556868"/>
    <n v="0"/>
    <n v="556868"/>
    <n v="0"/>
    <n v="556868"/>
    <n v="0"/>
    <n v="556868"/>
    <n v="0"/>
    <x v="1"/>
    <n v="0"/>
    <n v="682"/>
    <n v="1"/>
  </r>
  <r>
    <x v="199"/>
    <x v="178"/>
    <x v="6"/>
    <n v="1931850"/>
    <n v="1931850"/>
    <n v="0"/>
    <n v="0"/>
    <n v="0"/>
    <n v="0"/>
    <n v="0"/>
    <n v="0"/>
    <x v="1"/>
    <n v="0"/>
    <n v="683"/>
    <n v="1"/>
  </r>
  <r>
    <x v="200"/>
    <x v="179"/>
    <x v="1"/>
    <n v="201994795"/>
    <n v="201994795"/>
    <n v="0"/>
    <n v="0"/>
    <n v="0"/>
    <n v="0"/>
    <n v="0"/>
    <n v="0"/>
    <x v="1"/>
    <n v="0"/>
    <n v="685"/>
    <n v="0"/>
  </r>
  <r>
    <x v="200"/>
    <x v="179"/>
    <x v="2"/>
    <n v="140000000"/>
    <n v="140000000"/>
    <n v="0"/>
    <n v="0"/>
    <n v="0"/>
    <n v="0"/>
    <n v="0"/>
    <n v="0"/>
    <x v="1"/>
    <n v="0"/>
    <n v="684"/>
    <n v="1"/>
  </r>
  <r>
    <x v="200"/>
    <x v="179"/>
    <x v="8"/>
    <n v="543898"/>
    <n v="0"/>
    <n v="543898"/>
    <n v="0"/>
    <n v="543898"/>
    <n v="0"/>
    <n v="0"/>
    <n v="543898"/>
    <x v="1"/>
    <n v="0"/>
    <n v="686"/>
    <n v="1"/>
  </r>
  <r>
    <x v="200"/>
    <x v="179"/>
    <x v="3"/>
    <n v="1318193"/>
    <n v="1318193"/>
    <n v="0"/>
    <n v="0"/>
    <n v="0"/>
    <n v="0"/>
    <n v="0"/>
    <n v="0"/>
    <x v="1"/>
    <n v="0"/>
    <n v="687"/>
    <n v="1"/>
  </r>
  <r>
    <x v="201"/>
    <x v="180"/>
    <x v="1"/>
    <n v="104240220"/>
    <n v="104240220"/>
    <n v="0"/>
    <n v="0"/>
    <n v="0"/>
    <n v="0"/>
    <n v="0"/>
    <n v="0"/>
    <x v="1"/>
    <n v="0"/>
    <n v="689"/>
    <n v="0"/>
  </r>
  <r>
    <x v="201"/>
    <x v="180"/>
    <x v="2"/>
    <n v="243227180"/>
    <n v="243227180"/>
    <n v="0"/>
    <n v="0"/>
    <n v="0"/>
    <n v="0"/>
    <n v="0"/>
    <n v="0"/>
    <x v="1"/>
    <n v="0"/>
    <n v="688"/>
    <n v="1"/>
  </r>
  <r>
    <x v="201"/>
    <x v="180"/>
    <x v="5"/>
    <n v="229890"/>
    <n v="229890"/>
    <n v="0"/>
    <n v="0"/>
    <n v="0"/>
    <n v="0"/>
    <n v="0"/>
    <n v="0"/>
    <x v="1"/>
    <n v="0"/>
    <n v="690"/>
    <n v="1"/>
  </r>
  <r>
    <x v="201"/>
    <x v="180"/>
    <x v="6"/>
    <n v="1931850"/>
    <n v="1931850"/>
    <n v="0"/>
    <n v="0"/>
    <n v="0"/>
    <n v="0"/>
    <n v="0"/>
    <n v="0"/>
    <x v="1"/>
    <n v="0"/>
    <n v="691"/>
    <n v="1"/>
  </r>
  <r>
    <x v="202"/>
    <x v="181"/>
    <x v="1"/>
    <n v="206375704"/>
    <n v="206375704"/>
    <n v="0"/>
    <n v="0"/>
    <n v="0"/>
    <n v="0"/>
    <n v="0"/>
    <n v="0"/>
    <x v="1"/>
    <n v="0"/>
    <n v="694"/>
    <n v="0"/>
  </r>
  <r>
    <x v="202"/>
    <x v="181"/>
    <x v="9"/>
    <n v="10080975"/>
    <n v="10080975"/>
    <n v="0"/>
    <n v="0"/>
    <n v="0"/>
    <n v="0"/>
    <n v="0"/>
    <n v="0"/>
    <x v="1"/>
    <n v="0"/>
    <n v="692"/>
    <n v="1"/>
  </r>
  <r>
    <x v="202"/>
    <x v="181"/>
    <x v="2"/>
    <n v="82443333"/>
    <n v="82443333"/>
    <n v="0"/>
    <n v="0"/>
    <n v="0"/>
    <n v="0"/>
    <n v="0"/>
    <n v="0"/>
    <x v="1"/>
    <n v="0"/>
    <n v="693"/>
    <n v="1"/>
  </r>
  <r>
    <x v="202"/>
    <x v="181"/>
    <x v="4"/>
    <n v="596667"/>
    <n v="596667"/>
    <n v="0"/>
    <n v="0"/>
    <n v="0"/>
    <n v="0"/>
    <n v="0"/>
    <n v="0"/>
    <x v="1"/>
    <n v="0"/>
    <n v="695"/>
    <n v="1"/>
  </r>
  <r>
    <x v="203"/>
    <x v="182"/>
    <x v="1"/>
    <n v="346246000"/>
    <n v="346246000"/>
    <n v="0"/>
    <n v="0"/>
    <n v="0"/>
    <n v="0"/>
    <n v="0"/>
    <n v="0"/>
    <x v="1"/>
    <n v="0"/>
    <n v="696"/>
    <n v="0"/>
  </r>
  <r>
    <x v="203"/>
    <x v="182"/>
    <x v="3"/>
    <n v="1815998"/>
    <n v="1815998"/>
    <n v="0"/>
    <n v="0"/>
    <n v="0"/>
    <n v="0"/>
    <n v="0"/>
    <n v="0"/>
    <x v="1"/>
    <n v="0"/>
    <n v="697"/>
    <n v="1"/>
  </r>
  <r>
    <x v="203"/>
    <x v="182"/>
    <x v="5"/>
    <n v="1143324"/>
    <n v="1143324"/>
    <n v="0"/>
    <n v="0"/>
    <n v="0"/>
    <n v="0"/>
    <n v="0"/>
    <n v="0"/>
    <x v="1"/>
    <n v="0"/>
    <n v="698"/>
    <n v="1"/>
  </r>
  <r>
    <x v="204"/>
    <x v="183"/>
    <x v="1"/>
    <n v="347518220"/>
    <n v="347518220"/>
    <n v="0"/>
    <n v="0"/>
    <n v="0"/>
    <n v="0"/>
    <n v="0"/>
    <n v="0"/>
    <x v="1"/>
    <n v="0"/>
    <n v="699"/>
    <n v="0"/>
  </r>
  <r>
    <x v="204"/>
    <x v="183"/>
    <x v="5"/>
    <n v="255260"/>
    <n v="255260"/>
    <n v="0"/>
    <n v="0"/>
    <n v="0"/>
    <n v="0"/>
    <n v="0"/>
    <n v="0"/>
    <x v="1"/>
    <n v="0"/>
    <n v="700"/>
    <n v="1"/>
  </r>
  <r>
    <x v="204"/>
    <x v="183"/>
    <x v="4"/>
    <n v="14529623"/>
    <n v="14529623"/>
    <n v="0"/>
    <n v="0"/>
    <n v="0"/>
    <n v="0"/>
    <n v="0"/>
    <n v="0"/>
    <x v="1"/>
    <n v="0"/>
    <n v="701"/>
    <n v="1"/>
  </r>
  <r>
    <x v="205"/>
    <x v="184"/>
    <x v="1"/>
    <n v="149152411"/>
    <n v="149152411"/>
    <n v="0"/>
    <n v="0"/>
    <n v="0"/>
    <n v="0"/>
    <n v="0"/>
    <n v="0"/>
    <x v="1"/>
    <n v="0"/>
    <n v="703"/>
    <n v="0"/>
  </r>
  <r>
    <x v="205"/>
    <x v="184"/>
    <x v="7"/>
    <n v="160000000"/>
    <n v="160000000"/>
    <n v="0"/>
    <n v="0"/>
    <n v="0"/>
    <n v="0"/>
    <n v="0"/>
    <n v="0"/>
    <x v="1"/>
    <n v="0"/>
    <n v="702"/>
    <n v="1"/>
  </r>
  <r>
    <x v="205"/>
    <x v="184"/>
    <x v="5"/>
    <n v="686871"/>
    <n v="686871"/>
    <n v="0"/>
    <n v="0"/>
    <n v="0"/>
    <n v="0"/>
    <n v="0"/>
    <n v="0"/>
    <x v="1"/>
    <n v="0"/>
    <n v="704"/>
    <n v="1"/>
  </r>
  <r>
    <x v="206"/>
    <x v="185"/>
    <x v="1"/>
    <n v="289870177"/>
    <n v="119890596"/>
    <n v="169979581"/>
    <n v="94529581"/>
    <n v="75450000"/>
    <n v="35000000"/>
    <n v="0"/>
    <n v="0"/>
    <x v="1"/>
    <n v="40450000"/>
    <n v="705"/>
    <n v="0"/>
  </r>
  <r>
    <x v="206"/>
    <x v="185"/>
    <x v="5"/>
    <n v="9367935"/>
    <n v="3268114"/>
    <n v="6099821"/>
    <n v="3049913"/>
    <n v="3049908"/>
    <n v="1016636"/>
    <n v="0"/>
    <n v="0"/>
    <x v="1"/>
    <n v="2033272"/>
    <n v="706"/>
    <n v="1"/>
  </r>
  <r>
    <x v="207"/>
    <x v="186"/>
    <x v="1"/>
    <n v="106129690"/>
    <n v="106129690"/>
    <n v="0"/>
    <n v="0"/>
    <n v="0"/>
    <n v="0"/>
    <n v="0"/>
    <n v="0"/>
    <x v="1"/>
    <n v="0"/>
    <n v="708"/>
    <n v="0"/>
  </r>
  <r>
    <x v="207"/>
    <x v="186"/>
    <x v="2"/>
    <n v="273130480"/>
    <n v="273130480"/>
    <n v="0"/>
    <n v="0"/>
    <n v="0"/>
    <n v="0"/>
    <n v="0"/>
    <n v="0"/>
    <x v="1"/>
    <n v="0"/>
    <n v="707"/>
    <n v="1"/>
  </r>
  <r>
    <x v="207"/>
    <x v="186"/>
    <x v="8"/>
    <n v="558128"/>
    <n v="558128"/>
    <n v="0"/>
    <n v="0"/>
    <n v="0"/>
    <n v="0"/>
    <n v="0"/>
    <n v="0"/>
    <x v="1"/>
    <n v="0"/>
    <n v="709"/>
    <n v="1"/>
  </r>
  <r>
    <x v="207"/>
    <x v="186"/>
    <x v="6"/>
    <n v="11584872"/>
    <n v="11584872"/>
    <n v="0"/>
    <n v="0"/>
    <n v="0"/>
    <n v="0"/>
    <n v="0"/>
    <n v="0"/>
    <x v="1"/>
    <n v="0"/>
    <n v="710"/>
    <n v="1"/>
  </r>
  <r>
    <x v="208"/>
    <x v="187"/>
    <x v="1"/>
    <n v="201277450"/>
    <n v="201277450"/>
    <n v="0"/>
    <n v="0"/>
    <n v="0"/>
    <n v="0"/>
    <n v="0"/>
    <n v="0"/>
    <x v="1"/>
    <n v="0"/>
    <n v="713"/>
    <n v="0"/>
  </r>
  <r>
    <x v="208"/>
    <x v="187"/>
    <x v="2"/>
    <n v="111702801"/>
    <n v="111702801"/>
    <n v="0"/>
    <n v="0"/>
    <n v="0"/>
    <n v="0"/>
    <n v="0"/>
    <n v="0"/>
    <x v="1"/>
    <n v="0"/>
    <n v="711"/>
    <n v="1"/>
  </r>
  <r>
    <x v="208"/>
    <x v="187"/>
    <x v="10"/>
    <n v="24000000"/>
    <n v="24000000"/>
    <n v="0"/>
    <n v="0"/>
    <n v="0"/>
    <n v="0"/>
    <n v="0"/>
    <n v="0"/>
    <x v="1"/>
    <n v="0"/>
    <n v="712"/>
    <n v="1"/>
  </r>
  <r>
    <x v="208"/>
    <x v="187"/>
    <x v="4"/>
    <n v="1578733"/>
    <n v="1578733"/>
    <n v="0"/>
    <n v="0"/>
    <n v="0"/>
    <n v="0"/>
    <n v="0"/>
    <n v="0"/>
    <x v="1"/>
    <n v="0"/>
    <n v="714"/>
    <n v="1"/>
  </r>
  <r>
    <x v="209"/>
    <x v="188"/>
    <x v="1"/>
    <n v="104728738"/>
    <n v="104728738"/>
    <n v="0"/>
    <n v="0"/>
    <n v="0"/>
    <n v="0"/>
    <n v="0"/>
    <n v="0"/>
    <x v="1"/>
    <n v="0"/>
    <n v="716"/>
    <n v="0"/>
  </r>
  <r>
    <x v="209"/>
    <x v="188"/>
    <x v="2"/>
    <n v="244367042"/>
    <n v="244367042"/>
    <n v="0"/>
    <n v="0"/>
    <n v="0"/>
    <n v="0"/>
    <n v="0"/>
    <n v="0"/>
    <x v="1"/>
    <n v="0"/>
    <n v="715"/>
    <n v="1"/>
  </r>
  <r>
    <x v="209"/>
    <x v="188"/>
    <x v="4"/>
    <n v="2671746"/>
    <n v="2671746"/>
    <n v="0"/>
    <n v="0"/>
    <n v="0"/>
    <n v="0"/>
    <n v="0"/>
    <n v="0"/>
    <x v="1"/>
    <n v="0"/>
    <n v="717"/>
    <n v="1"/>
  </r>
  <r>
    <x v="210"/>
    <x v="189"/>
    <x v="1"/>
    <n v="123288120"/>
    <n v="123288120"/>
    <n v="0"/>
    <n v="0"/>
    <n v="0"/>
    <n v="0"/>
    <n v="0"/>
    <n v="0"/>
    <x v="1"/>
    <n v="0"/>
    <n v="720"/>
    <n v="0"/>
  </r>
  <r>
    <x v="210"/>
    <x v="189"/>
    <x v="9"/>
    <n v="68406567"/>
    <n v="68406567"/>
    <n v="0"/>
    <n v="0"/>
    <n v="0"/>
    <n v="0"/>
    <n v="0"/>
    <n v="0"/>
    <x v="1"/>
    <n v="0"/>
    <n v="718"/>
    <n v="1"/>
  </r>
  <r>
    <x v="210"/>
    <x v="189"/>
    <x v="2"/>
    <n v="172115403"/>
    <n v="172115403"/>
    <n v="0"/>
    <n v="0"/>
    <n v="0"/>
    <n v="0"/>
    <n v="0"/>
    <n v="0"/>
    <x v="1"/>
    <n v="0"/>
    <n v="719"/>
    <n v="1"/>
  </r>
  <r>
    <x v="210"/>
    <x v="189"/>
    <x v="3"/>
    <n v="1031648"/>
    <n v="1031648"/>
    <n v="0"/>
    <n v="0"/>
    <n v="0"/>
    <n v="0"/>
    <n v="0"/>
    <n v="0"/>
    <x v="1"/>
    <n v="0"/>
    <n v="721"/>
    <n v="1"/>
  </r>
  <r>
    <x v="210"/>
    <x v="189"/>
    <x v="6"/>
    <n v="1512675"/>
    <n v="1512675"/>
    <n v="0"/>
    <n v="0"/>
    <n v="0"/>
    <n v="0"/>
    <n v="0"/>
    <n v="0"/>
    <x v="1"/>
    <n v="0"/>
    <n v="722"/>
    <n v="1"/>
  </r>
  <r>
    <x v="211"/>
    <x v="190"/>
    <x v="1"/>
    <n v="112288439"/>
    <n v="112288439"/>
    <n v="0"/>
    <n v="0"/>
    <n v="0"/>
    <n v="0"/>
    <n v="0"/>
    <n v="0"/>
    <x v="1"/>
    <n v="0"/>
    <n v="724"/>
    <n v="0"/>
  </r>
  <r>
    <x v="211"/>
    <x v="190"/>
    <x v="2"/>
    <n v="228000000"/>
    <n v="228000000"/>
    <n v="0"/>
    <n v="0"/>
    <n v="0"/>
    <n v="0"/>
    <n v="0"/>
    <n v="0"/>
    <x v="1"/>
    <n v="0"/>
    <n v="723"/>
    <n v="1"/>
  </r>
  <r>
    <x v="211"/>
    <x v="190"/>
    <x v="8"/>
    <n v="485932"/>
    <n v="0"/>
    <n v="485932"/>
    <n v="0"/>
    <n v="485932"/>
    <n v="0"/>
    <n v="0"/>
    <n v="0"/>
    <x v="1"/>
    <n v="485932"/>
    <n v="725"/>
    <n v="1"/>
  </r>
  <r>
    <x v="211"/>
    <x v="190"/>
    <x v="4"/>
    <n v="1155200"/>
    <n v="0"/>
    <n v="1155200"/>
    <n v="0"/>
    <n v="1155200"/>
    <n v="0"/>
    <n v="0"/>
    <n v="0"/>
    <x v="1"/>
    <n v="1155200"/>
    <n v="726"/>
    <n v="1"/>
  </r>
  <r>
    <x v="212"/>
    <x v="191"/>
    <x v="1"/>
    <n v="104566320"/>
    <n v="104566320"/>
    <n v="0"/>
    <n v="0"/>
    <n v="0"/>
    <n v="0"/>
    <n v="0"/>
    <n v="0"/>
    <x v="1"/>
    <n v="0"/>
    <n v="728"/>
    <n v="0"/>
  </r>
  <r>
    <x v="212"/>
    <x v="191"/>
    <x v="2"/>
    <n v="243988080"/>
    <n v="243988080"/>
    <n v="0"/>
    <n v="0"/>
    <n v="0"/>
    <n v="0"/>
    <n v="0"/>
    <n v="0"/>
    <x v="1"/>
    <n v="0"/>
    <n v="727"/>
    <n v="1"/>
  </r>
  <r>
    <x v="213"/>
    <x v="192"/>
    <x v="1"/>
    <n v="140363254"/>
    <n v="140363254"/>
    <n v="0"/>
    <n v="0"/>
    <n v="0"/>
    <n v="0"/>
    <n v="0"/>
    <n v="0"/>
    <x v="1"/>
    <n v="0"/>
    <n v="730"/>
    <n v="0"/>
  </r>
  <r>
    <x v="213"/>
    <x v="192"/>
    <x v="2"/>
    <n v="207500000"/>
    <n v="207500000"/>
    <n v="0"/>
    <n v="0"/>
    <n v="0"/>
    <n v="0"/>
    <n v="0"/>
    <n v="0"/>
    <x v="1"/>
    <n v="0"/>
    <n v="729"/>
    <n v="1"/>
  </r>
  <r>
    <x v="213"/>
    <x v="192"/>
    <x v="8"/>
    <n v="499506"/>
    <n v="499506"/>
    <n v="0"/>
    <n v="0"/>
    <n v="0"/>
    <n v="0"/>
    <n v="0"/>
    <n v="0"/>
    <x v="1"/>
    <n v="0"/>
    <n v="731"/>
    <n v="1"/>
  </r>
  <r>
    <x v="213"/>
    <x v="192"/>
    <x v="6"/>
    <n v="1931850"/>
    <n v="1931850"/>
    <n v="0"/>
    <n v="0"/>
    <n v="0"/>
    <n v="0"/>
    <n v="0"/>
    <n v="0"/>
    <x v="1"/>
    <n v="0"/>
    <n v="732"/>
    <n v="1"/>
  </r>
  <r>
    <x v="214"/>
    <x v="193"/>
    <x v="1"/>
    <n v="89306231"/>
    <n v="89306231"/>
    <n v="0"/>
    <n v="0"/>
    <n v="0"/>
    <n v="0"/>
    <n v="0"/>
    <n v="0"/>
    <x v="1"/>
    <n v="0"/>
    <n v="734"/>
    <n v="0"/>
  </r>
  <r>
    <x v="214"/>
    <x v="193"/>
    <x v="2"/>
    <n v="208381169"/>
    <n v="0"/>
    <n v="208381169"/>
    <n v="0"/>
    <n v="208381169"/>
    <n v="0"/>
    <n v="0"/>
    <n v="0"/>
    <x v="1"/>
    <n v="208381169"/>
    <n v="733"/>
    <n v="1"/>
  </r>
  <r>
    <x v="214"/>
    <x v="193"/>
    <x v="3"/>
    <n v="653732"/>
    <n v="653732"/>
    <n v="0"/>
    <n v="0"/>
    <n v="0"/>
    <n v="0"/>
    <n v="0"/>
    <n v="0"/>
    <x v="1"/>
    <n v="0"/>
    <n v="735"/>
    <n v="1"/>
  </r>
  <r>
    <x v="215"/>
    <x v="194"/>
    <x v="1"/>
    <n v="375449883"/>
    <n v="375449883"/>
    <n v="0"/>
    <n v="0"/>
    <n v="0"/>
    <n v="0"/>
    <n v="0"/>
    <n v="0"/>
    <x v="1"/>
    <n v="0"/>
    <n v="736"/>
    <n v="0"/>
  </r>
  <r>
    <x v="215"/>
    <x v="194"/>
    <x v="6"/>
    <n v="11584872"/>
    <n v="11584872"/>
    <n v="0"/>
    <n v="0"/>
    <n v="0"/>
    <n v="0"/>
    <n v="0"/>
    <n v="0"/>
    <x v="1"/>
    <n v="0"/>
    <n v="737"/>
    <n v="1"/>
  </r>
  <r>
    <x v="216"/>
    <x v="195"/>
    <x v="1"/>
    <n v="104202780"/>
    <n v="104202780"/>
    <n v="0"/>
    <n v="0"/>
    <n v="0"/>
    <n v="0"/>
    <n v="0"/>
    <n v="0"/>
    <x v="1"/>
    <n v="0"/>
    <n v="739"/>
    <n v="0"/>
  </r>
  <r>
    <x v="216"/>
    <x v="195"/>
    <x v="2"/>
    <n v="243139820"/>
    <n v="243139820"/>
    <n v="0"/>
    <n v="0"/>
    <n v="0"/>
    <n v="0"/>
    <n v="0"/>
    <n v="0"/>
    <x v="1"/>
    <n v="0"/>
    <n v="738"/>
    <n v="1"/>
  </r>
  <r>
    <x v="216"/>
    <x v="195"/>
    <x v="3"/>
    <n v="1379784"/>
    <n v="0"/>
    <n v="1379784"/>
    <n v="0"/>
    <n v="1379784"/>
    <n v="0"/>
    <n v="0"/>
    <n v="0"/>
    <x v="1"/>
    <n v="1379784"/>
    <n v="740"/>
    <n v="1"/>
  </r>
  <r>
    <x v="216"/>
    <x v="195"/>
    <x v="5"/>
    <n v="643100"/>
    <n v="643100"/>
    <n v="0"/>
    <n v="0"/>
    <n v="0"/>
    <n v="0"/>
    <n v="0"/>
    <n v="0"/>
    <x v="1"/>
    <n v="0"/>
    <n v="741"/>
    <n v="1"/>
  </r>
  <r>
    <x v="216"/>
    <x v="195"/>
    <x v="4"/>
    <n v="1296746"/>
    <n v="0"/>
    <n v="1296746"/>
    <n v="0"/>
    <n v="1296746"/>
    <n v="0"/>
    <n v="1296746"/>
    <n v="0"/>
    <x v="1"/>
    <n v="0"/>
    <n v="742"/>
    <n v="1"/>
  </r>
  <r>
    <x v="217"/>
    <x v="196"/>
    <x v="1"/>
    <n v="176667400"/>
    <n v="176667400"/>
    <n v="0"/>
    <n v="0"/>
    <n v="0"/>
    <n v="0"/>
    <n v="0"/>
    <n v="0"/>
    <x v="1"/>
    <n v="0"/>
    <n v="744"/>
    <n v="0"/>
  </r>
  <r>
    <x v="217"/>
    <x v="196"/>
    <x v="2"/>
    <n v="172000000"/>
    <n v="172000000"/>
    <n v="0"/>
    <n v="0"/>
    <n v="0"/>
    <n v="0"/>
    <n v="0"/>
    <n v="0"/>
    <x v="1"/>
    <n v="0"/>
    <n v="743"/>
    <n v="1"/>
  </r>
  <r>
    <x v="217"/>
    <x v="196"/>
    <x v="3"/>
    <n v="1316035"/>
    <n v="0"/>
    <n v="1316035"/>
    <n v="0"/>
    <n v="1316035"/>
    <n v="0"/>
    <n v="0"/>
    <n v="0"/>
    <x v="1"/>
    <n v="1316035"/>
    <n v="745"/>
    <n v="1"/>
  </r>
  <r>
    <x v="218"/>
    <x v="197"/>
    <x v="1"/>
    <n v="276950688"/>
    <n v="276950688"/>
    <n v="0"/>
    <n v="0"/>
    <n v="0"/>
    <n v="0"/>
    <n v="0"/>
    <n v="0"/>
    <x v="1"/>
    <n v="0"/>
    <n v="746"/>
    <n v="0"/>
  </r>
  <r>
    <x v="219"/>
    <x v="198"/>
    <x v="1"/>
    <n v="109952160"/>
    <n v="109952160"/>
    <n v="0"/>
    <n v="0"/>
    <n v="0"/>
    <n v="0"/>
    <n v="0"/>
    <n v="0"/>
    <x v="1"/>
    <n v="0"/>
    <n v="748"/>
    <n v="0"/>
  </r>
  <r>
    <x v="219"/>
    <x v="198"/>
    <x v="2"/>
    <n v="281462540"/>
    <n v="281462540"/>
    <n v="0"/>
    <n v="0"/>
    <n v="0"/>
    <n v="0"/>
    <n v="0"/>
    <n v="0"/>
    <x v="1"/>
    <n v="0"/>
    <n v="747"/>
    <n v="1"/>
  </r>
  <r>
    <x v="219"/>
    <x v="198"/>
    <x v="5"/>
    <n v="3714755"/>
    <n v="3714755"/>
    <n v="0"/>
    <n v="0"/>
    <n v="0"/>
    <n v="0"/>
    <n v="0"/>
    <n v="0"/>
    <x v="1"/>
    <n v="0"/>
    <n v="749"/>
    <n v="1"/>
  </r>
  <r>
    <x v="219"/>
    <x v="198"/>
    <x v="6"/>
    <n v="11584872"/>
    <n v="11584872"/>
    <n v="0"/>
    <n v="0"/>
    <n v="0"/>
    <n v="0"/>
    <n v="0"/>
    <n v="0"/>
    <x v="1"/>
    <n v="0"/>
    <n v="750"/>
    <n v="1"/>
  </r>
  <r>
    <x v="220"/>
    <x v="199"/>
    <x v="1"/>
    <n v="117492000"/>
    <n v="117492000"/>
    <n v="0"/>
    <n v="0"/>
    <n v="0"/>
    <n v="0"/>
    <n v="0"/>
    <n v="0"/>
    <x v="1"/>
    <n v="0"/>
    <n v="752"/>
    <n v="0"/>
  </r>
  <r>
    <x v="220"/>
    <x v="199"/>
    <x v="2"/>
    <n v="271887214"/>
    <n v="271887214"/>
    <n v="0"/>
    <n v="0"/>
    <n v="0"/>
    <n v="0"/>
    <n v="0"/>
    <n v="0"/>
    <x v="1"/>
    <n v="0"/>
    <n v="751"/>
    <n v="1"/>
  </r>
  <r>
    <x v="220"/>
    <x v="199"/>
    <x v="8"/>
    <n v="556294"/>
    <n v="556294"/>
    <n v="0"/>
    <n v="0"/>
    <n v="0"/>
    <n v="0"/>
    <n v="0"/>
    <n v="0"/>
    <x v="1"/>
    <n v="0"/>
    <n v="753"/>
    <n v="1"/>
  </r>
  <r>
    <x v="220"/>
    <x v="199"/>
    <x v="3"/>
    <n v="1366706"/>
    <n v="1366706"/>
    <n v="0"/>
    <n v="0"/>
    <n v="0"/>
    <n v="0"/>
    <n v="0"/>
    <n v="0"/>
    <x v="1"/>
    <n v="0"/>
    <n v="754"/>
    <n v="1"/>
  </r>
  <r>
    <x v="221"/>
    <x v="200"/>
    <x v="1"/>
    <n v="123084621"/>
    <n v="123084621"/>
    <n v="0"/>
    <n v="0"/>
    <n v="0"/>
    <n v="0"/>
    <n v="0"/>
    <n v="0"/>
    <x v="1"/>
    <n v="0"/>
    <n v="756"/>
    <n v="0"/>
  </r>
  <r>
    <x v="221"/>
    <x v="200"/>
    <x v="2"/>
    <n v="200000000"/>
    <n v="200000000"/>
    <n v="0"/>
    <n v="0"/>
    <n v="0"/>
    <n v="0"/>
    <n v="0"/>
    <n v="0"/>
    <x v="1"/>
    <n v="0"/>
    <n v="755"/>
    <n v="1"/>
  </r>
  <r>
    <x v="221"/>
    <x v="200"/>
    <x v="8"/>
    <n v="464124"/>
    <n v="464124"/>
    <n v="0"/>
    <n v="0"/>
    <n v="0"/>
    <n v="0"/>
    <n v="0"/>
    <n v="0"/>
    <x v="1"/>
    <n v="0"/>
    <n v="757"/>
    <n v="1"/>
  </r>
  <r>
    <x v="221"/>
    <x v="200"/>
    <x v="6"/>
    <n v="1931850"/>
    <n v="1931850"/>
    <n v="0"/>
    <n v="0"/>
    <n v="0"/>
    <n v="0"/>
    <n v="0"/>
    <n v="0"/>
    <x v="1"/>
    <n v="0"/>
    <n v="758"/>
    <n v="1"/>
  </r>
  <r>
    <x v="222"/>
    <x v="201"/>
    <x v="1"/>
    <n v="92262677"/>
    <n v="92262677"/>
    <n v="0"/>
    <n v="0"/>
    <n v="0"/>
    <n v="0"/>
    <n v="0"/>
    <n v="0"/>
    <x v="1"/>
    <n v="0"/>
    <n v="760"/>
    <n v="0"/>
  </r>
  <r>
    <x v="222"/>
    <x v="201"/>
    <x v="2"/>
    <n v="207066193"/>
    <n v="207066193"/>
    <n v="0"/>
    <n v="0"/>
    <n v="0"/>
    <n v="0"/>
    <n v="0"/>
    <n v="0"/>
    <x v="1"/>
    <n v="0"/>
    <n v="759"/>
    <n v="1"/>
  </r>
  <r>
    <x v="222"/>
    <x v="201"/>
    <x v="8"/>
    <n v="427442"/>
    <n v="427442"/>
    <n v="0"/>
    <n v="0"/>
    <n v="0"/>
    <n v="0"/>
    <n v="0"/>
    <n v="0"/>
    <x v="1"/>
    <n v="0"/>
    <n v="761"/>
    <n v="1"/>
  </r>
  <r>
    <x v="223"/>
    <x v="202"/>
    <x v="1"/>
    <n v="138980000"/>
    <n v="37745000"/>
    <n v="101235000"/>
    <n v="33745000"/>
    <n v="67490000"/>
    <n v="33745000"/>
    <n v="33745000"/>
    <n v="0"/>
    <x v="1"/>
    <n v="0"/>
    <n v="764"/>
    <n v="0"/>
  </r>
  <r>
    <x v="223"/>
    <x v="202"/>
    <x v="9"/>
    <n v="15674347"/>
    <n v="3918587"/>
    <n v="11755760"/>
    <n v="3918586"/>
    <n v="7837174"/>
    <n v="3918587"/>
    <n v="3918587"/>
    <n v="0"/>
    <x v="1"/>
    <n v="0"/>
    <n v="762"/>
    <n v="1"/>
  </r>
  <r>
    <x v="223"/>
    <x v="202"/>
    <x v="2"/>
    <n v="280000000"/>
    <n v="0"/>
    <n v="280000000"/>
    <n v="280000000"/>
    <n v="0"/>
    <n v="0"/>
    <n v="0"/>
    <n v="0"/>
    <x v="1"/>
    <n v="0"/>
    <n v="763"/>
    <n v="1"/>
  </r>
  <r>
    <x v="224"/>
    <x v="203"/>
    <x v="1"/>
    <n v="345430800"/>
    <n v="345430800"/>
    <n v="0"/>
    <n v="0"/>
    <n v="0"/>
    <n v="0"/>
    <n v="0"/>
    <n v="0"/>
    <x v="1"/>
    <n v="0"/>
    <n v="765"/>
    <n v="0"/>
  </r>
  <r>
    <x v="224"/>
    <x v="203"/>
    <x v="3"/>
    <n v="1285740"/>
    <n v="1285740"/>
    <n v="0"/>
    <n v="0"/>
    <n v="0"/>
    <n v="0"/>
    <n v="0"/>
    <n v="0"/>
    <x v="1"/>
    <n v="0"/>
    <n v="766"/>
    <n v="1"/>
  </r>
  <r>
    <x v="224"/>
    <x v="203"/>
    <x v="5"/>
    <n v="703914"/>
    <n v="703914"/>
    <n v="0"/>
    <n v="0"/>
    <n v="0"/>
    <n v="0"/>
    <n v="0"/>
    <n v="0"/>
    <x v="1"/>
    <n v="0"/>
    <n v="767"/>
    <n v="1"/>
  </r>
  <r>
    <x v="224"/>
    <x v="203"/>
    <x v="4"/>
    <n v="4062260"/>
    <n v="4062260"/>
    <n v="0"/>
    <n v="0"/>
    <n v="0"/>
    <n v="0"/>
    <n v="0"/>
    <n v="0"/>
    <x v="1"/>
    <n v="0"/>
    <n v="768"/>
    <n v="1"/>
  </r>
  <r>
    <x v="225"/>
    <x v="204"/>
    <x v="1"/>
    <n v="105235680"/>
    <n v="105235680"/>
    <n v="0"/>
    <n v="0"/>
    <n v="0"/>
    <n v="0"/>
    <n v="0"/>
    <n v="0"/>
    <x v="1"/>
    <n v="0"/>
    <n v="771"/>
    <n v="0"/>
  </r>
  <r>
    <x v="225"/>
    <x v="204"/>
    <x v="9"/>
    <n v="12975565"/>
    <n v="12975565"/>
    <n v="0"/>
    <n v="0"/>
    <n v="0"/>
    <n v="0"/>
    <n v="0"/>
    <n v="0"/>
    <x v="1"/>
    <n v="0"/>
    <n v="769"/>
    <n v="1"/>
  </r>
  <r>
    <x v="225"/>
    <x v="204"/>
    <x v="2"/>
    <n v="245549920"/>
    <n v="245549920"/>
    <n v="0"/>
    <n v="0"/>
    <n v="0"/>
    <n v="0"/>
    <n v="0"/>
    <n v="0"/>
    <x v="1"/>
    <n v="0"/>
    <n v="770"/>
    <n v="1"/>
  </r>
  <r>
    <x v="225"/>
    <x v="204"/>
    <x v="3"/>
    <n v="79683"/>
    <n v="0"/>
    <n v="79683"/>
    <n v="0"/>
    <n v="79683"/>
    <n v="0"/>
    <n v="0"/>
    <n v="0"/>
    <x v="1"/>
    <n v="79683"/>
    <n v="772"/>
    <n v="1"/>
  </r>
  <r>
    <x v="226"/>
    <x v="205"/>
    <x v="1"/>
    <n v="89876220"/>
    <n v="89876220"/>
    <n v="0"/>
    <n v="0"/>
    <n v="0"/>
    <n v="0"/>
    <n v="0"/>
    <n v="0"/>
    <x v="1"/>
    <n v="0"/>
    <n v="775"/>
    <n v="0"/>
  </r>
  <r>
    <x v="226"/>
    <x v="205"/>
    <x v="9"/>
    <n v="10080975"/>
    <n v="10080975"/>
    <n v="0"/>
    <n v="0"/>
    <n v="0"/>
    <n v="0"/>
    <n v="0"/>
    <n v="0"/>
    <x v="1"/>
    <n v="0"/>
    <n v="773"/>
    <n v="1"/>
  </r>
  <r>
    <x v="226"/>
    <x v="205"/>
    <x v="2"/>
    <n v="209711180"/>
    <n v="209711180"/>
    <n v="0"/>
    <n v="0"/>
    <n v="0"/>
    <n v="0"/>
    <n v="0"/>
    <n v="0"/>
    <x v="1"/>
    <n v="0"/>
    <n v="774"/>
    <n v="1"/>
  </r>
  <r>
    <x v="226"/>
    <x v="205"/>
    <x v="3"/>
    <n v="68142"/>
    <n v="68142"/>
    <n v="0"/>
    <n v="0"/>
    <n v="0"/>
    <n v="0"/>
    <n v="0"/>
    <n v="0"/>
    <x v="1"/>
    <n v="0"/>
    <n v="776"/>
    <n v="1"/>
  </r>
  <r>
    <x v="227"/>
    <x v="206"/>
    <x v="1"/>
    <n v="186335500"/>
    <n v="186335500"/>
    <n v="0"/>
    <n v="0"/>
    <n v="0"/>
    <n v="0"/>
    <n v="0"/>
    <n v="0"/>
    <x v="1"/>
    <n v="0"/>
    <n v="778"/>
    <n v="0"/>
  </r>
  <r>
    <x v="227"/>
    <x v="206"/>
    <x v="2"/>
    <n v="157646918"/>
    <n v="157646918"/>
    <n v="0"/>
    <n v="0"/>
    <n v="0"/>
    <n v="0"/>
    <n v="0"/>
    <n v="0"/>
    <x v="1"/>
    <n v="0"/>
    <n v="777"/>
    <n v="1"/>
  </r>
  <r>
    <x v="227"/>
    <x v="206"/>
    <x v="8"/>
    <n v="491206"/>
    <n v="491206"/>
    <n v="0"/>
    <n v="0"/>
    <n v="0"/>
    <n v="0"/>
    <n v="0"/>
    <n v="0"/>
    <x v="1"/>
    <n v="0"/>
    <n v="779"/>
    <n v="1"/>
  </r>
  <r>
    <x v="228"/>
    <x v="207"/>
    <x v="1"/>
    <n v="105000000"/>
    <n v="105000000"/>
    <n v="0"/>
    <n v="0"/>
    <n v="0"/>
    <n v="0"/>
    <n v="0"/>
    <n v="0"/>
    <x v="1"/>
    <n v="0"/>
    <n v="781"/>
    <n v="0"/>
  </r>
  <r>
    <x v="228"/>
    <x v="207"/>
    <x v="2"/>
    <n v="245000000"/>
    <n v="245000000"/>
    <n v="0"/>
    <n v="0"/>
    <n v="0"/>
    <n v="0"/>
    <n v="0"/>
    <n v="0"/>
    <x v="1"/>
    <n v="0"/>
    <n v="780"/>
    <n v="1"/>
  </r>
  <r>
    <x v="228"/>
    <x v="207"/>
    <x v="8"/>
    <n v="453600"/>
    <n v="453600"/>
    <n v="0"/>
    <n v="0"/>
    <n v="0"/>
    <n v="0"/>
    <n v="0"/>
    <n v="0"/>
    <x v="1"/>
    <n v="0"/>
    <n v="782"/>
    <n v="1"/>
  </r>
  <r>
    <x v="228"/>
    <x v="207"/>
    <x v="5"/>
    <n v="119000"/>
    <n v="119000"/>
    <n v="0"/>
    <n v="0"/>
    <n v="0"/>
    <n v="0"/>
    <n v="0"/>
    <n v="0"/>
    <x v="1"/>
    <n v="0"/>
    <n v="783"/>
    <n v="1"/>
  </r>
  <r>
    <x v="228"/>
    <x v="207"/>
    <x v="4"/>
    <n v="134000"/>
    <n v="134000"/>
    <n v="0"/>
    <n v="0"/>
    <n v="0"/>
    <n v="0"/>
    <n v="0"/>
    <n v="0"/>
    <x v="1"/>
    <n v="0"/>
    <n v="784"/>
    <n v="1"/>
  </r>
  <r>
    <x v="229"/>
    <x v="208"/>
    <x v="1"/>
    <n v="89446183"/>
    <n v="89446183"/>
    <n v="0"/>
    <n v="0"/>
    <n v="0"/>
    <n v="0"/>
    <n v="0"/>
    <n v="0"/>
    <x v="1"/>
    <n v="0"/>
    <n v="787"/>
    <n v="0"/>
  </r>
  <r>
    <x v="229"/>
    <x v="208"/>
    <x v="9"/>
    <n v="10080975"/>
    <n v="10080975"/>
    <n v="0"/>
    <n v="0"/>
    <n v="0"/>
    <n v="0"/>
    <n v="0"/>
    <n v="0"/>
    <x v="1"/>
    <n v="0"/>
    <n v="785"/>
    <n v="1"/>
  </r>
  <r>
    <x v="229"/>
    <x v="208"/>
    <x v="2"/>
    <n v="208707761"/>
    <n v="208707761"/>
    <n v="0"/>
    <n v="0"/>
    <n v="0"/>
    <n v="0"/>
    <n v="0"/>
    <n v="0"/>
    <x v="1"/>
    <n v="0"/>
    <n v="786"/>
    <n v="1"/>
  </r>
  <r>
    <x v="229"/>
    <x v="208"/>
    <x v="3"/>
    <n v="1491160"/>
    <n v="0"/>
    <n v="1491160"/>
    <n v="0"/>
    <n v="1491160"/>
    <n v="0"/>
    <n v="0"/>
    <n v="0"/>
    <x v="1"/>
    <n v="1491160"/>
    <n v="788"/>
    <n v="1"/>
  </r>
  <r>
    <x v="229"/>
    <x v="208"/>
    <x v="6"/>
    <n v="1512675"/>
    <n v="1512675"/>
    <n v="0"/>
    <n v="0"/>
    <n v="0"/>
    <n v="0"/>
    <n v="0"/>
    <n v="0"/>
    <x v="1"/>
    <n v="0"/>
    <n v="789"/>
    <n v="1"/>
  </r>
  <r>
    <x v="230"/>
    <x v="209"/>
    <x v="1"/>
    <n v="381985931"/>
    <n v="381985931"/>
    <n v="0"/>
    <n v="0"/>
    <n v="0"/>
    <n v="0"/>
    <n v="0"/>
    <n v="0"/>
    <x v="1"/>
    <n v="0"/>
    <n v="790"/>
    <n v="0"/>
  </r>
  <r>
    <x v="230"/>
    <x v="209"/>
    <x v="8"/>
    <n v="492197"/>
    <n v="0"/>
    <n v="492197"/>
    <n v="0"/>
    <n v="492197"/>
    <n v="0"/>
    <n v="0"/>
    <n v="492197"/>
    <x v="1"/>
    <n v="0"/>
    <n v="791"/>
    <n v="1"/>
  </r>
  <r>
    <x v="230"/>
    <x v="209"/>
    <x v="6"/>
    <n v="11584872"/>
    <n v="11584872"/>
    <n v="0"/>
    <n v="0"/>
    <n v="0"/>
    <n v="0"/>
    <n v="0"/>
    <n v="0"/>
    <x v="1"/>
    <n v="0"/>
    <n v="792"/>
    <n v="1"/>
  </r>
  <r>
    <x v="231"/>
    <x v="210"/>
    <x v="1"/>
    <n v="104465094"/>
    <n v="104465094"/>
    <n v="0"/>
    <n v="0"/>
    <n v="0"/>
    <n v="0"/>
    <n v="0"/>
    <n v="0"/>
    <x v="1"/>
    <n v="0"/>
    <n v="794"/>
    <n v="0"/>
  </r>
  <r>
    <x v="231"/>
    <x v="210"/>
    <x v="2"/>
    <n v="241540021"/>
    <n v="241540021"/>
    <n v="0"/>
    <n v="0"/>
    <n v="0"/>
    <n v="0"/>
    <n v="0"/>
    <n v="0"/>
    <x v="1"/>
    <n v="0"/>
    <n v="793"/>
    <n v="1"/>
  </r>
  <r>
    <x v="231"/>
    <x v="210"/>
    <x v="5"/>
    <n v="2873739"/>
    <n v="2873739"/>
    <n v="0"/>
    <n v="0"/>
    <n v="0"/>
    <n v="0"/>
    <n v="0"/>
    <n v="0"/>
    <x v="1"/>
    <n v="0"/>
    <n v="795"/>
    <n v="1"/>
  </r>
  <r>
    <x v="232"/>
    <x v="211"/>
    <x v="1"/>
    <n v="351385600"/>
    <n v="351385600"/>
    <n v="0"/>
    <n v="0"/>
    <n v="0"/>
    <n v="0"/>
    <n v="0"/>
    <n v="0"/>
    <x v="1"/>
    <n v="0"/>
    <n v="796"/>
    <n v="0"/>
  </r>
  <r>
    <x v="233"/>
    <x v="212"/>
    <x v="1"/>
    <n v="302562856"/>
    <n v="302562856"/>
    <n v="0"/>
    <n v="0"/>
    <n v="0"/>
    <n v="0"/>
    <n v="0"/>
    <n v="0"/>
    <x v="1"/>
    <n v="0"/>
    <n v="797"/>
    <n v="0"/>
  </r>
  <r>
    <x v="233"/>
    <x v="212"/>
    <x v="3"/>
    <n v="585812"/>
    <n v="0"/>
    <n v="585812"/>
    <n v="0"/>
    <n v="585812"/>
    <n v="585812"/>
    <n v="0"/>
    <n v="0"/>
    <x v="1"/>
    <n v="0"/>
    <n v="798"/>
    <n v="1"/>
  </r>
  <r>
    <x v="233"/>
    <x v="212"/>
    <x v="4"/>
    <n v="6325144"/>
    <n v="6325144"/>
    <n v="0"/>
    <n v="0"/>
    <n v="0"/>
    <n v="0"/>
    <n v="0"/>
    <n v="0"/>
    <x v="1"/>
    <n v="0"/>
    <n v="799"/>
    <n v="1"/>
  </r>
  <r>
    <x v="234"/>
    <x v="213"/>
    <x v="1"/>
    <n v="156704500"/>
    <n v="156704500"/>
    <n v="0"/>
    <n v="0"/>
    <n v="0"/>
    <n v="0"/>
    <n v="0"/>
    <n v="0"/>
    <x v="1"/>
    <n v="0"/>
    <n v="801"/>
    <n v="0"/>
  </r>
  <r>
    <x v="234"/>
    <x v="213"/>
    <x v="2"/>
    <n v="240000000"/>
    <n v="240000000"/>
    <n v="0"/>
    <n v="0"/>
    <n v="0"/>
    <n v="0"/>
    <n v="0"/>
    <n v="0"/>
    <x v="1"/>
    <n v="0"/>
    <n v="800"/>
    <n v="1"/>
  </r>
  <r>
    <x v="234"/>
    <x v="213"/>
    <x v="3"/>
    <n v="1337697"/>
    <n v="1337697"/>
    <n v="0"/>
    <n v="0"/>
    <n v="0"/>
    <n v="0"/>
    <n v="0"/>
    <n v="0"/>
    <x v="1"/>
    <n v="0"/>
    <n v="802"/>
    <n v="1"/>
  </r>
  <r>
    <x v="234"/>
    <x v="213"/>
    <x v="4"/>
    <n v="1152000"/>
    <n v="1152000"/>
    <n v="0"/>
    <n v="0"/>
    <n v="0"/>
    <n v="0"/>
    <n v="0"/>
    <n v="0"/>
    <x v="1"/>
    <n v="0"/>
    <n v="803"/>
    <n v="1"/>
  </r>
  <r>
    <x v="234"/>
    <x v="213"/>
    <x v="6"/>
    <n v="11584872"/>
    <n v="11584872"/>
    <n v="0"/>
    <n v="0"/>
    <n v="0"/>
    <n v="0"/>
    <n v="0"/>
    <n v="0"/>
    <x v="1"/>
    <n v="0"/>
    <n v="804"/>
    <n v="1"/>
  </r>
  <r>
    <x v="235"/>
    <x v="214"/>
    <x v="1"/>
    <n v="325341427"/>
    <n v="325341427"/>
    <n v="0"/>
    <n v="0"/>
    <n v="0"/>
    <n v="0"/>
    <n v="0"/>
    <n v="0"/>
    <x v="1"/>
    <n v="0"/>
    <n v="805"/>
    <n v="0"/>
  </r>
  <r>
    <x v="235"/>
    <x v="214"/>
    <x v="3"/>
    <n v="45474"/>
    <n v="45474"/>
    <n v="0"/>
    <n v="0"/>
    <n v="0"/>
    <n v="0"/>
    <n v="0"/>
    <n v="0"/>
    <x v="1"/>
    <n v="0"/>
    <n v="806"/>
    <n v="1"/>
  </r>
  <r>
    <x v="236"/>
    <x v="215"/>
    <x v="1"/>
    <n v="109798000"/>
    <n v="109798000"/>
    <n v="0"/>
    <n v="0"/>
    <n v="0"/>
    <n v="0"/>
    <n v="0"/>
    <n v="0"/>
    <x v="1"/>
    <n v="0"/>
    <n v="809"/>
    <n v="0"/>
  </r>
  <r>
    <x v="236"/>
    <x v="215"/>
    <x v="2"/>
    <n v="302862000"/>
    <n v="0"/>
    <n v="302862000"/>
    <n v="0"/>
    <n v="302862000"/>
    <n v="302862000"/>
    <n v="0"/>
    <n v="0"/>
    <x v="1"/>
    <n v="0"/>
    <n v="807"/>
    <n v="1"/>
  </r>
  <r>
    <x v="236"/>
    <x v="215"/>
    <x v="10"/>
    <n v="20000000"/>
    <n v="0"/>
    <n v="20000000"/>
    <n v="0"/>
    <n v="20000000"/>
    <n v="0"/>
    <n v="20000000"/>
    <n v="0"/>
    <x v="1"/>
    <n v="0"/>
    <n v="808"/>
    <n v="1"/>
  </r>
  <r>
    <x v="237"/>
    <x v="216"/>
    <x v="1"/>
    <n v="90535657"/>
    <n v="90535657"/>
    <n v="0"/>
    <n v="0"/>
    <n v="0"/>
    <n v="0"/>
    <n v="0"/>
    <n v="0"/>
    <x v="1"/>
    <n v="0"/>
    <n v="811"/>
    <n v="0"/>
  </r>
  <r>
    <x v="237"/>
    <x v="216"/>
    <x v="2"/>
    <n v="211133061"/>
    <n v="211133061"/>
    <n v="0"/>
    <n v="0"/>
    <n v="0"/>
    <n v="0"/>
    <n v="0"/>
    <n v="0"/>
    <x v="1"/>
    <n v="0"/>
    <n v="810"/>
    <n v="1"/>
  </r>
  <r>
    <x v="238"/>
    <x v="217"/>
    <x v="1"/>
    <n v="103563320"/>
    <n v="103563320"/>
    <n v="0"/>
    <n v="0"/>
    <n v="0"/>
    <n v="0"/>
    <n v="0"/>
    <n v="0"/>
    <x v="1"/>
    <n v="0"/>
    <n v="814"/>
    <n v="0"/>
  </r>
  <r>
    <x v="238"/>
    <x v="217"/>
    <x v="9"/>
    <n v="79633589"/>
    <n v="23890078"/>
    <n v="55743511"/>
    <n v="0"/>
    <n v="55743511"/>
    <n v="0"/>
    <n v="0"/>
    <n v="55743511"/>
    <x v="1"/>
    <n v="0"/>
    <n v="812"/>
    <n v="1"/>
  </r>
  <r>
    <x v="238"/>
    <x v="217"/>
    <x v="2"/>
    <n v="301126001"/>
    <n v="0"/>
    <n v="301126001"/>
    <n v="0"/>
    <n v="301126001"/>
    <n v="0"/>
    <n v="0"/>
    <n v="301126001"/>
    <x v="1"/>
    <n v="0"/>
    <n v="813"/>
    <n v="1"/>
  </r>
  <r>
    <x v="239"/>
    <x v="218"/>
    <x v="1"/>
    <n v="104289240"/>
    <n v="104289240"/>
    <n v="0"/>
    <n v="0"/>
    <n v="0"/>
    <n v="0"/>
    <n v="0"/>
    <n v="0"/>
    <x v="1"/>
    <n v="0"/>
    <n v="816"/>
    <n v="0"/>
  </r>
  <r>
    <x v="239"/>
    <x v="218"/>
    <x v="2"/>
    <n v="243341560"/>
    <n v="243341560"/>
    <n v="0"/>
    <n v="0"/>
    <n v="0"/>
    <n v="0"/>
    <n v="0"/>
    <n v="0"/>
    <x v="1"/>
    <n v="0"/>
    <n v="815"/>
    <n v="1"/>
  </r>
  <r>
    <x v="239"/>
    <x v="218"/>
    <x v="8"/>
    <n v="496417"/>
    <n v="496417"/>
    <n v="0"/>
    <n v="0"/>
    <n v="0"/>
    <n v="0"/>
    <n v="0"/>
    <n v="0"/>
    <x v="1"/>
    <n v="0"/>
    <n v="817"/>
    <n v="1"/>
  </r>
  <r>
    <x v="240"/>
    <x v="219"/>
    <x v="1"/>
    <n v="105141030"/>
    <n v="105141030"/>
    <n v="0"/>
    <n v="0"/>
    <n v="0"/>
    <n v="0"/>
    <n v="0"/>
    <n v="0"/>
    <x v="1"/>
    <n v="0"/>
    <n v="819"/>
    <n v="0"/>
  </r>
  <r>
    <x v="240"/>
    <x v="219"/>
    <x v="2"/>
    <n v="244639182"/>
    <n v="244639182"/>
    <n v="0"/>
    <n v="0"/>
    <n v="0"/>
    <n v="0"/>
    <n v="0"/>
    <n v="0"/>
    <x v="1"/>
    <n v="0"/>
    <n v="818"/>
    <n v="1"/>
  </r>
  <r>
    <x v="240"/>
    <x v="219"/>
    <x v="8"/>
    <n v="488369"/>
    <n v="488369"/>
    <n v="0"/>
    <n v="0"/>
    <n v="0"/>
    <n v="0"/>
    <n v="0"/>
    <n v="0"/>
    <x v="1"/>
    <n v="0"/>
    <n v="820"/>
    <n v="1"/>
  </r>
  <r>
    <x v="240"/>
    <x v="219"/>
    <x v="3"/>
    <n v="1297156"/>
    <n v="1297156"/>
    <n v="0"/>
    <n v="0"/>
    <n v="0"/>
    <n v="0"/>
    <n v="0"/>
    <n v="0"/>
    <x v="1"/>
    <n v="0"/>
    <n v="821"/>
    <n v="1"/>
  </r>
  <r>
    <x v="240"/>
    <x v="219"/>
    <x v="5"/>
    <n v="197314"/>
    <n v="197314"/>
    <n v="0"/>
    <n v="0"/>
    <n v="0"/>
    <n v="0"/>
    <n v="0"/>
    <n v="0"/>
    <x v="1"/>
    <n v="0"/>
    <n v="822"/>
    <n v="1"/>
  </r>
  <r>
    <x v="241"/>
    <x v="220"/>
    <x v="1"/>
    <n v="90044944"/>
    <n v="90044944"/>
    <n v="0"/>
    <n v="0"/>
    <n v="0"/>
    <n v="0"/>
    <n v="0"/>
    <n v="0"/>
    <x v="1"/>
    <n v="0"/>
    <n v="824"/>
    <n v="0"/>
  </r>
  <r>
    <x v="241"/>
    <x v="220"/>
    <x v="2"/>
    <n v="209000000"/>
    <n v="209000000"/>
    <n v="0"/>
    <n v="0"/>
    <n v="0"/>
    <n v="0"/>
    <n v="0"/>
    <n v="0"/>
    <x v="1"/>
    <n v="0"/>
    <n v="823"/>
    <n v="1"/>
  </r>
  <r>
    <x v="242"/>
    <x v="221"/>
    <x v="1"/>
    <n v="133151502"/>
    <n v="133151502"/>
    <n v="0"/>
    <n v="0"/>
    <n v="0"/>
    <n v="0"/>
    <n v="0"/>
    <n v="0"/>
    <x v="1"/>
    <n v="0"/>
    <n v="826"/>
    <n v="0"/>
  </r>
  <r>
    <x v="242"/>
    <x v="221"/>
    <x v="2"/>
    <n v="215774249"/>
    <n v="0"/>
    <n v="215774249"/>
    <n v="0"/>
    <n v="215774249"/>
    <n v="0"/>
    <n v="0"/>
    <n v="0"/>
    <x v="1"/>
    <n v="215774249"/>
    <n v="825"/>
    <n v="1"/>
  </r>
  <r>
    <x v="242"/>
    <x v="221"/>
    <x v="3"/>
    <n v="814387"/>
    <n v="814387"/>
    <n v="0"/>
    <n v="0"/>
    <n v="0"/>
    <n v="0"/>
    <n v="0"/>
    <n v="0"/>
    <x v="1"/>
    <n v="0"/>
    <n v="827"/>
    <n v="1"/>
  </r>
  <r>
    <x v="242"/>
    <x v="221"/>
    <x v="5"/>
    <n v="2961977"/>
    <n v="2961977"/>
    <n v="0"/>
    <n v="0"/>
    <n v="0"/>
    <n v="0"/>
    <n v="0"/>
    <n v="0"/>
    <x v="1"/>
    <n v="0"/>
    <n v="828"/>
    <n v="1"/>
  </r>
  <r>
    <x v="242"/>
    <x v="221"/>
    <x v="4"/>
    <n v="4096416"/>
    <n v="4096416"/>
    <n v="0"/>
    <n v="0"/>
    <n v="0"/>
    <n v="0"/>
    <n v="0"/>
    <n v="0"/>
    <x v="1"/>
    <n v="0"/>
    <n v="829"/>
    <n v="1"/>
  </r>
  <r>
    <x v="243"/>
    <x v="222"/>
    <x v="1"/>
    <n v="123180679"/>
    <n v="111252448"/>
    <n v="11928231"/>
    <n v="0"/>
    <n v="11928231"/>
    <n v="0"/>
    <n v="11928231"/>
    <n v="0"/>
    <x v="1"/>
    <n v="0"/>
    <n v="832"/>
    <n v="0"/>
  </r>
  <r>
    <x v="243"/>
    <x v="222"/>
    <x v="7"/>
    <n v="8526792"/>
    <n v="8526792"/>
    <n v="0"/>
    <n v="0"/>
    <n v="0"/>
    <n v="0"/>
    <n v="0"/>
    <n v="0"/>
    <x v="1"/>
    <n v="0"/>
    <n v="830"/>
    <n v="1"/>
  </r>
  <r>
    <x v="243"/>
    <x v="222"/>
    <x v="2"/>
    <n v="212143379"/>
    <n v="0"/>
    <n v="212143379"/>
    <n v="0"/>
    <n v="212143379"/>
    <n v="0"/>
    <n v="212143379"/>
    <n v="0"/>
    <x v="1"/>
    <n v="0"/>
    <n v="831"/>
    <n v="1"/>
  </r>
  <r>
    <x v="243"/>
    <x v="222"/>
    <x v="5"/>
    <n v="592191"/>
    <n v="592191"/>
    <n v="0"/>
    <n v="0"/>
    <n v="0"/>
    <n v="0"/>
    <n v="0"/>
    <n v="0"/>
    <x v="1"/>
    <n v="0"/>
    <n v="833"/>
    <n v="1"/>
  </r>
  <r>
    <x v="243"/>
    <x v="222"/>
    <x v="4"/>
    <n v="5038243"/>
    <n v="5038243"/>
    <n v="0"/>
    <n v="0"/>
    <n v="0"/>
    <n v="0"/>
    <n v="0"/>
    <n v="0"/>
    <x v="1"/>
    <n v="0"/>
    <n v="834"/>
    <n v="1"/>
  </r>
  <r>
    <x v="244"/>
    <x v="223"/>
    <x v="1"/>
    <n v="110617513"/>
    <n v="110617513"/>
    <n v="0"/>
    <n v="0"/>
    <n v="0"/>
    <n v="0"/>
    <n v="0"/>
    <n v="0"/>
    <x v="1"/>
    <n v="0"/>
    <n v="836"/>
    <n v="0"/>
  </r>
  <r>
    <x v="244"/>
    <x v="223"/>
    <x v="2"/>
    <n v="240000000"/>
    <n v="240000000"/>
    <n v="0"/>
    <n v="0"/>
    <n v="0"/>
    <n v="0"/>
    <n v="0"/>
    <n v="0"/>
    <x v="1"/>
    <n v="0"/>
    <n v="835"/>
    <n v="1"/>
  </r>
  <r>
    <x v="245"/>
    <x v="224"/>
    <x v="1"/>
    <n v="101470817"/>
    <n v="101470817"/>
    <n v="0"/>
    <n v="0"/>
    <n v="0"/>
    <n v="0"/>
    <n v="0"/>
    <n v="0"/>
    <x v="1"/>
    <n v="0"/>
    <n v="838"/>
    <n v="0"/>
  </r>
  <r>
    <x v="245"/>
    <x v="224"/>
    <x v="2"/>
    <n v="236765241"/>
    <n v="236765241"/>
    <n v="0"/>
    <n v="0"/>
    <n v="0"/>
    <n v="0"/>
    <n v="0"/>
    <n v="0"/>
    <x v="1"/>
    <n v="0"/>
    <n v="837"/>
    <n v="1"/>
  </r>
  <r>
    <x v="245"/>
    <x v="224"/>
    <x v="3"/>
    <n v="1041502"/>
    <n v="0"/>
    <n v="1041502"/>
    <n v="0"/>
    <n v="1041502"/>
    <n v="0"/>
    <n v="0"/>
    <n v="0"/>
    <x v="1"/>
    <n v="1041502"/>
    <n v="839"/>
    <n v="1"/>
  </r>
  <r>
    <x v="246"/>
    <x v="223"/>
    <x v="1"/>
    <n v="10000000"/>
    <n v="10000000"/>
    <n v="0"/>
    <n v="0"/>
    <n v="0"/>
    <n v="0"/>
    <n v="0"/>
    <n v="0"/>
    <x v="1"/>
    <n v="0"/>
    <n v="840"/>
    <n v="0"/>
  </r>
  <r>
    <x v="247"/>
    <x v="137"/>
    <x v="1"/>
    <n v="5000000"/>
    <n v="5000000"/>
    <n v="0"/>
    <n v="0"/>
    <n v="0"/>
    <n v="0"/>
    <n v="0"/>
    <n v="0"/>
    <x v="1"/>
    <n v="0"/>
    <n v="841"/>
    <n v="0"/>
  </r>
  <r>
    <x v="248"/>
    <x v="206"/>
    <x v="1"/>
    <n v="5000000"/>
    <n v="5000000"/>
    <n v="0"/>
    <n v="0"/>
    <n v="0"/>
    <n v="0"/>
    <n v="0"/>
    <n v="0"/>
    <x v="1"/>
    <n v="0"/>
    <n v="842"/>
    <n v="0"/>
  </r>
  <r>
    <x v="249"/>
    <x v="158"/>
    <x v="1"/>
    <n v="10000000"/>
    <n v="10000000"/>
    <n v="0"/>
    <n v="0"/>
    <n v="0"/>
    <n v="0"/>
    <n v="0"/>
    <n v="0"/>
    <x v="1"/>
    <n v="0"/>
    <n v="843"/>
    <n v="0"/>
  </r>
  <r>
    <x v="250"/>
    <x v="167"/>
    <x v="1"/>
    <n v="5000000"/>
    <n v="5000000"/>
    <n v="0"/>
    <n v="0"/>
    <n v="0"/>
    <n v="0"/>
    <n v="0"/>
    <n v="0"/>
    <x v="1"/>
    <n v="0"/>
    <n v="844"/>
    <n v="0"/>
  </r>
  <r>
    <x v="251"/>
    <x v="72"/>
    <x v="1"/>
    <n v="5000000"/>
    <n v="5000000"/>
    <n v="0"/>
    <n v="0"/>
    <n v="0"/>
    <n v="0"/>
    <n v="0"/>
    <n v="0"/>
    <x v="1"/>
    <n v="0"/>
    <n v="845"/>
    <n v="0"/>
  </r>
  <r>
    <x v="252"/>
    <x v="225"/>
    <x v="1"/>
    <n v="5000000"/>
    <n v="5000000"/>
    <n v="0"/>
    <n v="0"/>
    <n v="0"/>
    <n v="0"/>
    <n v="0"/>
    <n v="0"/>
    <x v="1"/>
    <n v="0"/>
    <n v="846"/>
    <n v="0"/>
  </r>
  <r>
    <x v="253"/>
    <x v="225"/>
    <x v="0"/>
    <m/>
    <m/>
    <m/>
    <m/>
    <m/>
    <m/>
    <m/>
    <m/>
    <x v="2"/>
    <m/>
    <n v="847"/>
    <n v="1"/>
  </r>
  <r>
    <x v="254"/>
    <x v="226"/>
    <x v="1"/>
    <n v="165073500"/>
    <n v="32000000"/>
    <n v="133073500"/>
    <n v="128058802"/>
    <n v="5014698"/>
    <n v="5014698"/>
    <n v="0"/>
    <n v="0"/>
    <x v="2"/>
    <n v="0"/>
    <n v="849"/>
    <n v="0"/>
  </r>
  <r>
    <x v="254"/>
    <x v="226"/>
    <x v="2"/>
    <n v="385171500"/>
    <n v="0"/>
    <n v="385171500"/>
    <n v="385171500"/>
    <n v="0"/>
    <n v="0"/>
    <n v="0"/>
    <n v="0"/>
    <x v="2"/>
    <n v="0"/>
    <n v="848"/>
    <n v="1"/>
  </r>
  <r>
    <x v="255"/>
    <x v="227"/>
    <x v="1"/>
    <n v="131475000"/>
    <n v="13181000"/>
    <n v="118294000"/>
    <n v="104668965"/>
    <n v="13625035"/>
    <n v="4361207"/>
    <n v="4361207"/>
    <n v="4361207"/>
    <x v="2"/>
    <n v="541414"/>
    <n v="851"/>
    <n v="0"/>
  </r>
  <r>
    <x v="255"/>
    <x v="227"/>
    <x v="2"/>
    <n v="306775000"/>
    <n v="0"/>
    <n v="306775000"/>
    <n v="306775000"/>
    <n v="0"/>
    <n v="0"/>
    <n v="0"/>
    <n v="0"/>
    <x v="2"/>
    <n v="0"/>
    <n v="850"/>
    <n v="1"/>
  </r>
  <r>
    <x v="256"/>
    <x v="228"/>
    <x v="1"/>
    <n v="162276000"/>
    <n v="42455823"/>
    <n v="119820177"/>
    <n v="110603240"/>
    <n v="9216937"/>
    <n v="4608468"/>
    <n v="4608468"/>
    <n v="1"/>
    <x v="2"/>
    <n v="0"/>
    <n v="853"/>
    <n v="0"/>
  </r>
  <r>
    <x v="256"/>
    <x v="228"/>
    <x v="2"/>
    <n v="378644000"/>
    <n v="0"/>
    <n v="378644000"/>
    <n v="378644000"/>
    <n v="0"/>
    <n v="0"/>
    <n v="0"/>
    <n v="0"/>
    <x v="2"/>
    <n v="0"/>
    <n v="852"/>
    <n v="1"/>
  </r>
  <r>
    <x v="257"/>
    <x v="229"/>
    <x v="1"/>
    <n v="136867500"/>
    <n v="3000000"/>
    <n v="133867500"/>
    <n v="132867500"/>
    <n v="1000000"/>
    <n v="1000000"/>
    <n v="0"/>
    <n v="0"/>
    <x v="2"/>
    <n v="0"/>
    <n v="855"/>
    <n v="0"/>
  </r>
  <r>
    <x v="257"/>
    <x v="229"/>
    <x v="2"/>
    <n v="319357500"/>
    <n v="0"/>
    <n v="319357500"/>
    <n v="319357500"/>
    <n v="0"/>
    <n v="0"/>
    <n v="0"/>
    <n v="0"/>
    <x v="2"/>
    <n v="0"/>
    <n v="854"/>
    <n v="1"/>
  </r>
  <r>
    <x v="258"/>
    <x v="230"/>
    <x v="1"/>
    <n v="178905000"/>
    <n v="44690500"/>
    <n v="134214500"/>
    <n v="131524004"/>
    <n v="2690496"/>
    <n v="1345249"/>
    <n v="1345247"/>
    <n v="0"/>
    <x v="2"/>
    <n v="0"/>
    <n v="857"/>
    <n v="0"/>
  </r>
  <r>
    <x v="258"/>
    <x v="230"/>
    <x v="2"/>
    <n v="417445000"/>
    <n v="0"/>
    <n v="417445000"/>
    <n v="417445000"/>
    <n v="0"/>
    <n v="0"/>
    <n v="0"/>
    <n v="0"/>
    <x v="2"/>
    <n v="0"/>
    <n v="856"/>
    <n v="1"/>
  </r>
  <r>
    <x v="259"/>
    <x v="231"/>
    <x v="1"/>
    <n v="156390000"/>
    <n v="56905146"/>
    <n v="99484854"/>
    <n v="99484854"/>
    <n v="0"/>
    <n v="0"/>
    <n v="0"/>
    <n v="0"/>
    <x v="2"/>
    <n v="0"/>
    <n v="859"/>
    <n v="0"/>
  </r>
  <r>
    <x v="259"/>
    <x v="231"/>
    <x v="2"/>
    <n v="364910000"/>
    <n v="0"/>
    <n v="364910000"/>
    <n v="364910000"/>
    <n v="0"/>
    <n v="0"/>
    <n v="0"/>
    <n v="0"/>
    <x v="2"/>
    <n v="0"/>
    <n v="858"/>
    <n v="1"/>
  </r>
  <r>
    <x v="260"/>
    <x v="232"/>
    <x v="1"/>
    <n v="126367500"/>
    <n v="25227917"/>
    <n v="101139583"/>
    <n v="97094002"/>
    <n v="4045581"/>
    <n v="4045581"/>
    <n v="0"/>
    <n v="0"/>
    <x v="2"/>
    <n v="0"/>
    <n v="861"/>
    <n v="0"/>
  </r>
  <r>
    <x v="260"/>
    <x v="232"/>
    <x v="2"/>
    <n v="294857500"/>
    <n v="0"/>
    <n v="294857500"/>
    <n v="294857500"/>
    <n v="0"/>
    <n v="0"/>
    <n v="0"/>
    <n v="0"/>
    <x v="2"/>
    <n v="0"/>
    <n v="860"/>
    <n v="1"/>
  </r>
  <r>
    <x v="261"/>
    <x v="233"/>
    <x v="1"/>
    <n v="131154000"/>
    <n v="14344740"/>
    <n v="116809260"/>
    <n v="112136890"/>
    <n v="4672370"/>
    <n v="4672370"/>
    <n v="0"/>
    <n v="0"/>
    <x v="2"/>
    <n v="0"/>
    <n v="863"/>
    <n v="0"/>
  </r>
  <r>
    <x v="261"/>
    <x v="233"/>
    <x v="2"/>
    <n v="306026000"/>
    <n v="0"/>
    <n v="306026000"/>
    <n v="306026000"/>
    <n v="0"/>
    <n v="0"/>
    <n v="0"/>
    <n v="0"/>
    <x v="2"/>
    <n v="0"/>
    <n v="862"/>
    <n v="1"/>
  </r>
  <r>
    <x v="262"/>
    <x v="234"/>
    <x v="1"/>
    <n v="158257600"/>
    <n v="33258482"/>
    <n v="124999118"/>
    <n v="110732797"/>
    <n v="14266321"/>
    <n v="4613867"/>
    <n v="4613867"/>
    <n v="4613867"/>
    <x v="2"/>
    <n v="424720"/>
    <n v="865"/>
    <n v="0"/>
  </r>
  <r>
    <x v="262"/>
    <x v="234"/>
    <x v="2"/>
    <n v="365260000"/>
    <n v="0"/>
    <n v="365260000"/>
    <n v="365260000"/>
    <n v="0"/>
    <n v="0"/>
    <n v="0"/>
    <n v="0"/>
    <x v="2"/>
    <n v="0"/>
    <n v="864"/>
    <n v="1"/>
  </r>
  <r>
    <x v="262"/>
    <x v="234"/>
    <x v="5"/>
    <n v="1288518"/>
    <n v="1288518"/>
    <n v="0"/>
    <n v="0"/>
    <n v="0"/>
    <n v="0"/>
    <n v="0"/>
    <n v="0"/>
    <x v="2"/>
    <n v="0"/>
    <n v="866"/>
    <n v="1"/>
  </r>
  <r>
    <x v="263"/>
    <x v="235"/>
    <x v="1"/>
    <n v="126517500"/>
    <n v="28519538"/>
    <n v="97997962"/>
    <n v="94078067"/>
    <n v="3919895"/>
    <n v="3919895"/>
    <n v="0"/>
    <n v="0"/>
    <x v="2"/>
    <n v="0"/>
    <n v="868"/>
    <n v="0"/>
  </r>
  <r>
    <x v="263"/>
    <x v="235"/>
    <x v="2"/>
    <n v="295207500"/>
    <n v="0"/>
    <n v="295207500"/>
    <n v="295207500"/>
    <n v="0"/>
    <n v="0"/>
    <n v="0"/>
    <n v="0"/>
    <x v="2"/>
    <n v="0"/>
    <n v="867"/>
    <n v="1"/>
  </r>
  <r>
    <x v="264"/>
    <x v="236"/>
    <x v="1"/>
    <n v="169599750"/>
    <n v="22635689"/>
    <n v="146964061"/>
    <n v="141085498"/>
    <n v="5878563"/>
    <n v="5878563"/>
    <n v="0"/>
    <n v="0"/>
    <x v="2"/>
    <n v="0"/>
    <n v="870"/>
    <n v="0"/>
  </r>
  <r>
    <x v="264"/>
    <x v="236"/>
    <x v="2"/>
    <n v="395732750"/>
    <n v="0"/>
    <n v="395732750"/>
    <n v="395732750"/>
    <n v="0"/>
    <n v="0"/>
    <n v="0"/>
    <n v="0"/>
    <x v="2"/>
    <n v="0"/>
    <n v="869"/>
    <n v="1"/>
  </r>
  <r>
    <x v="265"/>
    <x v="237"/>
    <x v="1"/>
    <n v="127680000"/>
    <n v="32829677"/>
    <n v="94850323"/>
    <n v="94850323"/>
    <n v="0"/>
    <n v="0"/>
    <n v="0"/>
    <n v="0"/>
    <x v="2"/>
    <n v="0"/>
    <n v="872"/>
    <n v="0"/>
  </r>
  <r>
    <x v="265"/>
    <x v="237"/>
    <x v="2"/>
    <n v="297920000"/>
    <n v="0"/>
    <n v="297920000"/>
    <n v="297920000"/>
    <n v="0"/>
    <n v="0"/>
    <n v="0"/>
    <n v="0"/>
    <x v="2"/>
    <n v="0"/>
    <n v="871"/>
    <n v="1"/>
  </r>
  <r>
    <x v="266"/>
    <x v="238"/>
    <x v="1"/>
    <n v="157950000"/>
    <n v="44330000"/>
    <n v="113620000"/>
    <n v="104880000"/>
    <n v="8740000"/>
    <n v="4370000"/>
    <n v="4370000"/>
    <n v="0"/>
    <x v="2"/>
    <n v="0"/>
    <n v="874"/>
    <n v="0"/>
  </r>
  <r>
    <x v="266"/>
    <x v="238"/>
    <x v="2"/>
    <n v="368550000"/>
    <n v="0"/>
    <n v="368550000"/>
    <n v="368550000"/>
    <n v="0"/>
    <n v="0"/>
    <n v="0"/>
    <n v="0"/>
    <x v="2"/>
    <n v="0"/>
    <n v="873"/>
    <n v="1"/>
  </r>
  <r>
    <x v="267"/>
    <x v="239"/>
    <x v="1"/>
    <n v="169432500"/>
    <n v="40969612"/>
    <n v="128462888"/>
    <n v="123324372"/>
    <n v="5138516"/>
    <n v="5138516"/>
    <n v="0"/>
    <n v="0"/>
    <x v="2"/>
    <n v="0"/>
    <n v="876"/>
    <n v="0"/>
  </r>
  <r>
    <x v="267"/>
    <x v="239"/>
    <x v="2"/>
    <n v="395342500"/>
    <n v="0"/>
    <n v="395342500"/>
    <n v="395342500"/>
    <n v="0"/>
    <n v="0"/>
    <n v="0"/>
    <n v="0"/>
    <x v="2"/>
    <n v="0"/>
    <n v="875"/>
    <n v="1"/>
  </r>
  <r>
    <x v="268"/>
    <x v="240"/>
    <x v="1"/>
    <n v="116250000"/>
    <n v="36785710"/>
    <n v="79464290"/>
    <n v="76285719"/>
    <n v="3178571"/>
    <n v="3178571"/>
    <n v="0"/>
    <n v="0"/>
    <x v="2"/>
    <n v="0"/>
    <n v="878"/>
    <n v="0"/>
  </r>
  <r>
    <x v="268"/>
    <x v="240"/>
    <x v="2"/>
    <n v="271250000"/>
    <n v="0"/>
    <n v="271250000"/>
    <n v="271250000"/>
    <n v="0"/>
    <n v="0"/>
    <n v="0"/>
    <n v="0"/>
    <x v="2"/>
    <n v="0"/>
    <n v="877"/>
    <n v="1"/>
  </r>
  <r>
    <x v="269"/>
    <x v="241"/>
    <x v="1"/>
    <n v="151198000"/>
    <n v="44641000"/>
    <n v="106557000"/>
    <n v="102305000"/>
    <n v="4252000"/>
    <n v="4252000"/>
    <n v="0"/>
    <n v="0"/>
    <x v="2"/>
    <n v="0"/>
    <n v="880"/>
    <n v="0"/>
  </r>
  <r>
    <x v="269"/>
    <x v="241"/>
    <x v="2"/>
    <n v="352862000"/>
    <n v="0"/>
    <n v="352862000"/>
    <n v="352862000"/>
    <n v="0"/>
    <n v="0"/>
    <n v="0"/>
    <n v="0"/>
    <x v="2"/>
    <n v="0"/>
    <n v="879"/>
    <n v="1"/>
  </r>
  <r>
    <x v="270"/>
    <x v="242"/>
    <x v="1"/>
    <n v="117270000"/>
    <n v="37077141"/>
    <n v="80192859"/>
    <n v="76985146"/>
    <n v="3207713"/>
    <n v="3207713"/>
    <n v="0"/>
    <n v="0"/>
    <x v="2"/>
    <n v="0"/>
    <n v="882"/>
    <n v="0"/>
  </r>
  <r>
    <x v="270"/>
    <x v="242"/>
    <x v="2"/>
    <n v="273630000"/>
    <n v="0"/>
    <n v="273630000"/>
    <n v="273630000"/>
    <n v="0"/>
    <n v="0"/>
    <n v="0"/>
    <n v="0"/>
    <x v="2"/>
    <n v="0"/>
    <n v="881"/>
    <n v="1"/>
  </r>
  <r>
    <x v="271"/>
    <x v="243"/>
    <x v="1"/>
    <n v="160878812"/>
    <n v="39050000"/>
    <n v="121828812"/>
    <n v="117828812"/>
    <n v="4000000"/>
    <n v="4000000"/>
    <n v="0"/>
    <n v="0"/>
    <x v="2"/>
    <n v="0"/>
    <n v="884"/>
    <n v="0"/>
  </r>
  <r>
    <x v="271"/>
    <x v="243"/>
    <x v="2"/>
    <n v="368978750"/>
    <n v="0"/>
    <n v="368978750"/>
    <n v="368978750"/>
    <n v="0"/>
    <n v="0"/>
    <n v="0"/>
    <n v="0"/>
    <x v="2"/>
    <n v="0"/>
    <n v="883"/>
    <n v="1"/>
  </r>
  <r>
    <x v="272"/>
    <x v="244"/>
    <x v="1"/>
    <n v="131000000"/>
    <n v="33500000"/>
    <n v="97500000"/>
    <n v="95500000"/>
    <n v="2000000"/>
    <n v="2000000"/>
    <n v="0"/>
    <n v="0"/>
    <x v="2"/>
    <n v="0"/>
    <n v="886"/>
    <n v="0"/>
  </r>
  <r>
    <x v="272"/>
    <x v="244"/>
    <x v="2"/>
    <n v="256105000"/>
    <n v="0"/>
    <n v="256105000"/>
    <n v="256105000"/>
    <n v="0"/>
    <n v="0"/>
    <n v="0"/>
    <n v="0"/>
    <x v="2"/>
    <n v="0"/>
    <n v="885"/>
    <n v="1"/>
  </r>
  <r>
    <x v="273"/>
    <x v="245"/>
    <x v="1"/>
    <n v="151368000"/>
    <n v="51000000"/>
    <n v="100368000"/>
    <n v="97368000"/>
    <n v="3000000"/>
    <n v="3000000"/>
    <n v="0"/>
    <n v="0"/>
    <x v="2"/>
    <n v="0"/>
    <n v="888"/>
    <n v="0"/>
  </r>
  <r>
    <x v="273"/>
    <x v="245"/>
    <x v="2"/>
    <n v="353192000"/>
    <n v="0"/>
    <n v="353192000"/>
    <n v="353192000"/>
    <n v="0"/>
    <n v="0"/>
    <n v="0"/>
    <n v="0"/>
    <x v="2"/>
    <n v="0"/>
    <n v="887"/>
    <n v="1"/>
  </r>
  <r>
    <x v="274"/>
    <x v="246"/>
    <x v="1"/>
    <n v="117420000"/>
    <n v="33908000"/>
    <n v="83512000"/>
    <n v="77088000"/>
    <n v="6424000"/>
    <n v="3212000"/>
    <n v="3212000"/>
    <n v="0"/>
    <x v="2"/>
    <n v="0"/>
    <n v="890"/>
    <n v="0"/>
  </r>
  <r>
    <x v="274"/>
    <x v="246"/>
    <x v="2"/>
    <n v="273980000"/>
    <n v="0"/>
    <n v="273980000"/>
    <n v="273980000"/>
    <n v="0"/>
    <n v="0"/>
    <n v="0"/>
    <n v="0"/>
    <x v="2"/>
    <n v="0"/>
    <n v="889"/>
    <n v="1"/>
  </r>
  <r>
    <x v="275"/>
    <x v="247"/>
    <x v="1"/>
    <n v="170685000"/>
    <n v="32619191"/>
    <n v="138065809"/>
    <n v="132548002"/>
    <n v="5517807"/>
    <n v="5517807"/>
    <n v="0"/>
    <n v="0"/>
    <x v="2"/>
    <n v="0"/>
    <n v="892"/>
    <n v="0"/>
  </r>
  <r>
    <x v="275"/>
    <x v="247"/>
    <x v="2"/>
    <n v="398265000"/>
    <n v="0"/>
    <n v="398265000"/>
    <n v="398265000"/>
    <n v="0"/>
    <n v="0"/>
    <n v="0"/>
    <n v="0"/>
    <x v="2"/>
    <n v="0"/>
    <n v="891"/>
    <n v="1"/>
  </r>
  <r>
    <x v="276"/>
    <x v="248"/>
    <x v="1"/>
    <n v="117241674"/>
    <n v="31509074"/>
    <n v="85732600"/>
    <n v="79022865"/>
    <n v="6709735"/>
    <n v="3292619"/>
    <n v="3292619"/>
    <n v="124497"/>
    <x v="2"/>
    <n v="0"/>
    <n v="894"/>
    <n v="0"/>
  </r>
  <r>
    <x v="276"/>
    <x v="248"/>
    <x v="2"/>
    <n v="271950000"/>
    <n v="0"/>
    <n v="271950000"/>
    <n v="271950000"/>
    <n v="0"/>
    <n v="0"/>
    <n v="0"/>
    <n v="0"/>
    <x v="2"/>
    <n v="0"/>
    <n v="893"/>
    <n v="1"/>
  </r>
  <r>
    <x v="277"/>
    <x v="249"/>
    <x v="1"/>
    <n v="168849000"/>
    <n v="27600000"/>
    <n v="141249000"/>
    <n v="135599175"/>
    <n v="5649825"/>
    <n v="5649825"/>
    <n v="0"/>
    <n v="0"/>
    <x v="2"/>
    <n v="0"/>
    <n v="896"/>
    <n v="0"/>
  </r>
  <r>
    <x v="277"/>
    <x v="249"/>
    <x v="2"/>
    <n v="393981000"/>
    <n v="0"/>
    <n v="393981000"/>
    <n v="393981000"/>
    <n v="0"/>
    <n v="0"/>
    <n v="0"/>
    <n v="0"/>
    <x v="2"/>
    <n v="0"/>
    <n v="895"/>
    <n v="1"/>
  </r>
  <r>
    <x v="278"/>
    <x v="250"/>
    <x v="1"/>
    <n v="128130000"/>
    <n v="28831610"/>
    <n v="99298390"/>
    <n v="95326455"/>
    <n v="3971935"/>
    <n v="3971935"/>
    <n v="0"/>
    <n v="0"/>
    <x v="2"/>
    <n v="0"/>
    <n v="898"/>
    <n v="0"/>
  </r>
  <r>
    <x v="278"/>
    <x v="250"/>
    <x v="2"/>
    <n v="298970000"/>
    <n v="0"/>
    <n v="298970000"/>
    <n v="298970000"/>
    <n v="0"/>
    <n v="0"/>
    <n v="0"/>
    <n v="0"/>
    <x v="2"/>
    <n v="0"/>
    <n v="897"/>
    <n v="1"/>
  </r>
  <r>
    <x v="279"/>
    <x v="251"/>
    <x v="1"/>
    <n v="156900000"/>
    <n v="52740000"/>
    <n v="104160000"/>
    <n v="104160000"/>
    <n v="0"/>
    <n v="0"/>
    <n v="0"/>
    <n v="0"/>
    <x v="2"/>
    <n v="0"/>
    <n v="900"/>
    <n v="0"/>
  </r>
  <r>
    <x v="279"/>
    <x v="251"/>
    <x v="2"/>
    <n v="366100000"/>
    <n v="0"/>
    <n v="366100000"/>
    <n v="366100000"/>
    <n v="0"/>
    <n v="0"/>
    <n v="0"/>
    <n v="0"/>
    <x v="2"/>
    <n v="0"/>
    <n v="899"/>
    <n v="1"/>
  </r>
  <r>
    <x v="280"/>
    <x v="252"/>
    <x v="1"/>
    <n v="165894327"/>
    <n v="5000000"/>
    <n v="160894327"/>
    <n v="144894327"/>
    <n v="16000000"/>
    <n v="4000000"/>
    <n v="4000000"/>
    <n v="4000000"/>
    <x v="2"/>
    <n v="4000000"/>
    <n v="902"/>
    <n v="0"/>
  </r>
  <r>
    <x v="280"/>
    <x v="252"/>
    <x v="2"/>
    <n v="368060000"/>
    <n v="0"/>
    <n v="368060000"/>
    <n v="368060000"/>
    <n v="0"/>
    <n v="0"/>
    <n v="0"/>
    <n v="0"/>
    <x v="2"/>
    <n v="0"/>
    <n v="901"/>
    <n v="1"/>
  </r>
  <r>
    <x v="281"/>
    <x v="253"/>
    <x v="1"/>
    <n v="129681917"/>
    <n v="19000000"/>
    <n v="110681917"/>
    <n v="108681917"/>
    <n v="2000000"/>
    <n v="2000000"/>
    <n v="0"/>
    <n v="0"/>
    <x v="2"/>
    <n v="0"/>
    <n v="904"/>
    <n v="0"/>
  </r>
  <r>
    <x v="281"/>
    <x v="253"/>
    <x v="2"/>
    <n v="294490000"/>
    <n v="0"/>
    <n v="294490000"/>
    <n v="294490000"/>
    <n v="0"/>
    <n v="0"/>
    <n v="0"/>
    <n v="0"/>
    <x v="2"/>
    <n v="0"/>
    <n v="903"/>
    <n v="1"/>
  </r>
  <r>
    <x v="282"/>
    <x v="254"/>
    <x v="1"/>
    <n v="166597500"/>
    <n v="36912823"/>
    <n v="129684677"/>
    <n v="125107739"/>
    <n v="4576938"/>
    <n v="4576938"/>
    <n v="0"/>
    <n v="0"/>
    <x v="2"/>
    <n v="0"/>
    <n v="906"/>
    <n v="0"/>
  </r>
  <r>
    <x v="282"/>
    <x v="254"/>
    <x v="2"/>
    <n v="388727500"/>
    <n v="0"/>
    <n v="388727500"/>
    <n v="388727500"/>
    <n v="0"/>
    <n v="0"/>
    <n v="0"/>
    <n v="0"/>
    <x v="2"/>
    <n v="0"/>
    <n v="905"/>
    <n v="1"/>
  </r>
  <r>
    <x v="283"/>
    <x v="255"/>
    <x v="1"/>
    <n v="128280000"/>
    <n v="28860644"/>
    <n v="99419356"/>
    <n v="95442582"/>
    <n v="3976774"/>
    <n v="3976774"/>
    <n v="0"/>
    <n v="0"/>
    <x v="2"/>
    <n v="0"/>
    <n v="908"/>
    <n v="0"/>
  </r>
  <r>
    <x v="283"/>
    <x v="255"/>
    <x v="2"/>
    <n v="299320000"/>
    <n v="0"/>
    <n v="299320000"/>
    <n v="299320000"/>
    <n v="0"/>
    <n v="0"/>
    <n v="0"/>
    <n v="0"/>
    <x v="2"/>
    <n v="0"/>
    <n v="907"/>
    <n v="1"/>
  </r>
  <r>
    <x v="284"/>
    <x v="256"/>
    <x v="1"/>
    <n v="158883750"/>
    <n v="46985000"/>
    <n v="111898750"/>
    <n v="107252310"/>
    <n v="4646440"/>
    <n v="4646440"/>
    <n v="0"/>
    <n v="0"/>
    <x v="2"/>
    <n v="0"/>
    <n v="910"/>
    <n v="0"/>
  </r>
  <r>
    <x v="284"/>
    <x v="256"/>
    <x v="2"/>
    <n v="370728750"/>
    <n v="0"/>
    <n v="370728750"/>
    <n v="370728750"/>
    <n v="0"/>
    <n v="0"/>
    <n v="0"/>
    <n v="0"/>
    <x v="2"/>
    <n v="0"/>
    <n v="909"/>
    <n v="1"/>
  </r>
  <r>
    <x v="285"/>
    <x v="257"/>
    <x v="1"/>
    <n v="174548250"/>
    <n v="23225424"/>
    <n v="151322826"/>
    <n v="145269931"/>
    <n v="6052895"/>
    <n v="6052895"/>
    <n v="0"/>
    <n v="0"/>
    <x v="2"/>
    <n v="0"/>
    <n v="912"/>
    <n v="0"/>
  </r>
  <r>
    <x v="285"/>
    <x v="257"/>
    <x v="2"/>
    <n v="407279250"/>
    <n v="0"/>
    <n v="407279250"/>
    <n v="407279250"/>
    <n v="0"/>
    <n v="0"/>
    <n v="0"/>
    <n v="0"/>
    <x v="2"/>
    <n v="0"/>
    <n v="911"/>
    <n v="1"/>
  </r>
  <r>
    <x v="286"/>
    <x v="258"/>
    <x v="1"/>
    <n v="119212500"/>
    <n v="35232719"/>
    <n v="83979781"/>
    <n v="80620590"/>
    <n v="3359191"/>
    <n v="3359191"/>
    <n v="0"/>
    <n v="0"/>
    <x v="2"/>
    <n v="0"/>
    <n v="914"/>
    <n v="0"/>
  </r>
  <r>
    <x v="286"/>
    <x v="258"/>
    <x v="2"/>
    <n v="278162500"/>
    <n v="0"/>
    <n v="278162500"/>
    <n v="278162500"/>
    <n v="0"/>
    <n v="0"/>
    <n v="0"/>
    <n v="0"/>
    <x v="2"/>
    <n v="0"/>
    <n v="913"/>
    <n v="1"/>
  </r>
  <r>
    <x v="287"/>
    <x v="259"/>
    <x v="1"/>
    <n v="170049750"/>
    <n v="30980000"/>
    <n v="139069750"/>
    <n v="139069750"/>
    <n v="0"/>
    <n v="0"/>
    <n v="0"/>
    <n v="0"/>
    <x v="2"/>
    <n v="0"/>
    <n v="916"/>
    <n v="0"/>
  </r>
  <r>
    <x v="287"/>
    <x v="259"/>
    <x v="2"/>
    <n v="396782750"/>
    <n v="0"/>
    <n v="396782750"/>
    <n v="396782750"/>
    <n v="0"/>
    <n v="0"/>
    <n v="0"/>
    <n v="0"/>
    <x v="2"/>
    <n v="0"/>
    <n v="915"/>
    <n v="1"/>
  </r>
  <r>
    <x v="288"/>
    <x v="260"/>
    <x v="1"/>
    <n v="130242000"/>
    <n v="17956069"/>
    <n v="112285931"/>
    <n v="103648550"/>
    <n v="8637381"/>
    <n v="4318690"/>
    <n v="4318690"/>
    <n v="1"/>
    <x v="2"/>
    <n v="0"/>
    <n v="918"/>
    <n v="0"/>
  </r>
  <r>
    <x v="288"/>
    <x v="260"/>
    <x v="2"/>
    <n v="303898000"/>
    <n v="0"/>
    <n v="303898000"/>
    <n v="303898000"/>
    <n v="0"/>
    <n v="0"/>
    <n v="0"/>
    <n v="0"/>
    <x v="2"/>
    <n v="0"/>
    <n v="917"/>
    <n v="1"/>
  </r>
  <r>
    <x v="289"/>
    <x v="261"/>
    <x v="1"/>
    <n v="177569110"/>
    <n v="9000000"/>
    <n v="168569110"/>
    <n v="164569110"/>
    <n v="4000000"/>
    <n v="4000000"/>
    <n v="0"/>
    <n v="0"/>
    <x v="2"/>
    <n v="0"/>
    <n v="920"/>
    <n v="0"/>
  </r>
  <r>
    <x v="289"/>
    <x v="261"/>
    <x v="2"/>
    <n v="410837000"/>
    <n v="0"/>
    <n v="410837000"/>
    <n v="410837000"/>
    <n v="0"/>
    <n v="0"/>
    <n v="0"/>
    <n v="0"/>
    <x v="2"/>
    <n v="0"/>
    <n v="919"/>
    <n v="1"/>
  </r>
  <r>
    <x v="290"/>
    <x v="262"/>
    <x v="1"/>
    <n v="175903500"/>
    <n v="5000000"/>
    <n v="170903500"/>
    <n v="164067360"/>
    <n v="6836140"/>
    <n v="6836140"/>
    <n v="0"/>
    <n v="0"/>
    <x v="2"/>
    <n v="0"/>
    <n v="922"/>
    <n v="0"/>
  </r>
  <r>
    <x v="290"/>
    <x v="262"/>
    <x v="2"/>
    <n v="410441500"/>
    <n v="0"/>
    <n v="410441500"/>
    <n v="410441500"/>
    <n v="0"/>
    <n v="0"/>
    <n v="0"/>
    <n v="0"/>
    <x v="2"/>
    <n v="0"/>
    <n v="921"/>
    <n v="1"/>
  </r>
  <r>
    <x v="291"/>
    <x v="10"/>
    <x v="1"/>
    <n v="117000000"/>
    <n v="42200000"/>
    <n v="74800000"/>
    <n v="74800000"/>
    <n v="0"/>
    <n v="0"/>
    <n v="0"/>
    <n v="0"/>
    <x v="2"/>
    <n v="0"/>
    <n v="924"/>
    <n v="0"/>
  </r>
  <r>
    <x v="291"/>
    <x v="10"/>
    <x v="2"/>
    <n v="273000000"/>
    <n v="0"/>
    <n v="273000000"/>
    <n v="273000000"/>
    <n v="0"/>
    <n v="0"/>
    <n v="0"/>
    <n v="0"/>
    <x v="2"/>
    <n v="0"/>
    <n v="923"/>
    <n v="1"/>
  </r>
  <r>
    <x v="292"/>
    <x v="263"/>
    <x v="1"/>
    <n v="169299000"/>
    <n v="39944892"/>
    <n v="129354108"/>
    <n v="119399144"/>
    <n v="9954964"/>
    <n v="4974964"/>
    <n v="4974964"/>
    <n v="5036"/>
    <x v="2"/>
    <n v="0"/>
    <n v="926"/>
    <n v="0"/>
  </r>
  <r>
    <x v="292"/>
    <x v="263"/>
    <x v="2"/>
    <n v="395031000"/>
    <n v="0"/>
    <n v="395031000"/>
    <n v="395031000"/>
    <n v="0"/>
    <n v="0"/>
    <n v="0"/>
    <n v="0"/>
    <x v="2"/>
    <n v="0"/>
    <n v="925"/>
    <n v="1"/>
  </r>
  <r>
    <x v="293"/>
    <x v="264"/>
    <x v="1"/>
    <n v="116760000"/>
    <n v="32102191"/>
    <n v="84657809"/>
    <n v="84657809"/>
    <n v="0"/>
    <n v="0"/>
    <n v="0"/>
    <n v="0"/>
    <x v="2"/>
    <n v="0"/>
    <n v="928"/>
    <n v="0"/>
  </r>
  <r>
    <x v="293"/>
    <x v="264"/>
    <x v="2"/>
    <n v="272440000"/>
    <n v="0"/>
    <n v="272440000"/>
    <n v="272440000"/>
    <n v="0"/>
    <n v="0"/>
    <n v="0"/>
    <n v="0"/>
    <x v="2"/>
    <n v="0"/>
    <n v="927"/>
    <n v="1"/>
  </r>
  <r>
    <x v="294"/>
    <x v="265"/>
    <x v="1"/>
    <n v="159090000"/>
    <n v="49025772"/>
    <n v="110064228"/>
    <n v="105661719"/>
    <n v="4402509"/>
    <n v="4402509"/>
    <n v="0"/>
    <n v="0"/>
    <x v="2"/>
    <n v="0"/>
    <n v="930"/>
    <n v="0"/>
  </r>
  <r>
    <x v="294"/>
    <x v="265"/>
    <x v="2"/>
    <n v="371210000"/>
    <n v="0"/>
    <n v="371210000"/>
    <n v="371210000"/>
    <n v="0"/>
    <n v="0"/>
    <n v="0"/>
    <n v="0"/>
    <x v="2"/>
    <n v="0"/>
    <n v="929"/>
    <n v="1"/>
  </r>
  <r>
    <x v="295"/>
    <x v="266"/>
    <x v="1"/>
    <n v="117150000"/>
    <n v="34900000"/>
    <n v="82250000"/>
    <n v="78960000"/>
    <n v="3290000"/>
    <n v="3290000"/>
    <n v="0"/>
    <n v="0"/>
    <x v="2"/>
    <n v="0"/>
    <n v="932"/>
    <n v="0"/>
  </r>
  <r>
    <x v="295"/>
    <x v="266"/>
    <x v="2"/>
    <n v="273350000"/>
    <n v="0"/>
    <n v="273350000"/>
    <n v="273350000"/>
    <n v="0"/>
    <n v="0"/>
    <n v="0"/>
    <n v="0"/>
    <x v="2"/>
    <n v="0"/>
    <n v="931"/>
    <n v="1"/>
  </r>
  <r>
    <x v="296"/>
    <x v="267"/>
    <x v="1"/>
    <n v="152118000"/>
    <n v="56462288"/>
    <n v="95655712"/>
    <n v="93722926"/>
    <n v="1932786"/>
    <n v="1932786"/>
    <n v="0"/>
    <n v="0"/>
    <x v="2"/>
    <n v="0"/>
    <n v="934"/>
    <n v="0"/>
  </r>
  <r>
    <x v="296"/>
    <x v="267"/>
    <x v="2"/>
    <n v="354942000"/>
    <n v="0"/>
    <n v="354942000"/>
    <n v="354942000"/>
    <n v="0"/>
    <n v="0"/>
    <n v="0"/>
    <n v="0"/>
    <x v="2"/>
    <n v="0"/>
    <n v="933"/>
    <n v="1"/>
  </r>
  <r>
    <x v="297"/>
    <x v="268"/>
    <x v="1"/>
    <n v="148880457"/>
    <n v="68041576"/>
    <n v="80838881"/>
    <n v="77760000"/>
    <n v="3078881"/>
    <n v="3078881"/>
    <n v="0"/>
    <n v="0"/>
    <x v="2"/>
    <n v="0"/>
    <n v="936"/>
    <n v="0"/>
  </r>
  <r>
    <x v="297"/>
    <x v="268"/>
    <x v="2"/>
    <n v="240819543"/>
    <n v="0"/>
    <n v="240819543"/>
    <n v="240819543"/>
    <n v="0"/>
    <n v="0"/>
    <n v="0"/>
    <n v="0"/>
    <x v="2"/>
    <n v="0"/>
    <n v="935"/>
    <n v="1"/>
  </r>
  <r>
    <x v="298"/>
    <x v="269"/>
    <x v="1"/>
    <n v="159240000"/>
    <n v="31426671"/>
    <n v="127813329"/>
    <n v="105764573"/>
    <n v="22048756"/>
    <n v="4406857"/>
    <n v="4406857"/>
    <n v="4406857"/>
    <x v="2"/>
    <n v="8828185"/>
    <n v="938"/>
    <n v="0"/>
  </r>
  <r>
    <x v="298"/>
    <x v="269"/>
    <x v="2"/>
    <n v="371560000"/>
    <n v="0"/>
    <n v="371560000"/>
    <n v="371560000"/>
    <n v="0"/>
    <n v="0"/>
    <n v="0"/>
    <n v="0"/>
    <x v="2"/>
    <n v="0"/>
    <n v="937"/>
    <n v="1"/>
  </r>
  <r>
    <x v="298"/>
    <x v="269"/>
    <x v="5"/>
    <n v="1073329"/>
    <n v="1073329"/>
    <n v="0"/>
    <n v="0"/>
    <n v="0"/>
    <n v="0"/>
    <n v="0"/>
    <n v="0"/>
    <x v="2"/>
    <n v="0"/>
    <n v="939"/>
    <n v="1"/>
  </r>
  <r>
    <x v="299"/>
    <x v="270"/>
    <x v="1"/>
    <n v="117300000"/>
    <n v="37085710"/>
    <n v="80214290"/>
    <n v="77005719"/>
    <n v="3208571"/>
    <n v="3208571"/>
    <n v="0"/>
    <n v="0"/>
    <x v="2"/>
    <n v="0"/>
    <n v="941"/>
    <n v="0"/>
  </r>
  <r>
    <x v="299"/>
    <x v="270"/>
    <x v="2"/>
    <n v="273700000"/>
    <n v="0"/>
    <n v="273700000"/>
    <n v="273700000"/>
    <n v="0"/>
    <n v="0"/>
    <n v="0"/>
    <n v="0"/>
    <x v="2"/>
    <n v="0"/>
    <n v="940"/>
    <n v="1"/>
  </r>
  <r>
    <x v="300"/>
    <x v="271"/>
    <x v="1"/>
    <n v="156390750"/>
    <n v="51302500"/>
    <n v="105088250"/>
    <n v="105088250"/>
    <n v="0"/>
    <n v="0"/>
    <n v="0"/>
    <n v="0"/>
    <x v="2"/>
    <n v="0"/>
    <n v="943"/>
    <n v="0"/>
  </r>
  <r>
    <x v="300"/>
    <x v="271"/>
    <x v="2"/>
    <n v="364911750"/>
    <n v="0"/>
    <n v="364911750"/>
    <n v="364911750"/>
    <n v="0"/>
    <n v="0"/>
    <n v="0"/>
    <n v="0"/>
    <x v="2"/>
    <n v="0"/>
    <n v="942"/>
    <n v="1"/>
  </r>
  <r>
    <x v="301"/>
    <x v="272"/>
    <x v="1"/>
    <n v="134478000"/>
    <n v="31918000"/>
    <n v="102560000"/>
    <n v="101407000"/>
    <n v="1153000"/>
    <n v="1153000"/>
    <n v="0"/>
    <n v="0"/>
    <x v="2"/>
    <n v="0"/>
    <n v="945"/>
    <n v="0"/>
  </r>
  <r>
    <x v="301"/>
    <x v="272"/>
    <x v="2"/>
    <n v="295122000"/>
    <n v="0"/>
    <n v="295122000"/>
    <n v="295122000"/>
    <n v="0"/>
    <n v="0"/>
    <n v="0"/>
    <n v="0"/>
    <x v="2"/>
    <n v="0"/>
    <n v="944"/>
    <n v="1"/>
  </r>
  <r>
    <x v="302"/>
    <x v="273"/>
    <x v="1"/>
    <n v="176523000"/>
    <n v="17705408"/>
    <n v="158817592"/>
    <n v="152464888"/>
    <n v="6352704"/>
    <n v="6352704"/>
    <n v="0"/>
    <n v="0"/>
    <x v="2"/>
    <n v="0"/>
    <n v="947"/>
    <n v="0"/>
  </r>
  <r>
    <x v="302"/>
    <x v="273"/>
    <x v="2"/>
    <n v="411887000"/>
    <n v="0"/>
    <n v="411887000"/>
    <n v="411887000"/>
    <n v="0"/>
    <n v="0"/>
    <n v="0"/>
    <n v="0"/>
    <x v="2"/>
    <n v="0"/>
    <n v="946"/>
    <n v="1"/>
  </r>
  <r>
    <x v="303"/>
    <x v="274"/>
    <x v="1"/>
    <n v="117450000"/>
    <n v="37128570"/>
    <n v="80321430"/>
    <n v="77108573"/>
    <n v="3212857"/>
    <n v="3212857"/>
    <n v="0"/>
    <n v="0"/>
    <x v="2"/>
    <n v="0"/>
    <n v="949"/>
    <n v="0"/>
  </r>
  <r>
    <x v="303"/>
    <x v="274"/>
    <x v="2"/>
    <n v="274050000"/>
    <n v="0"/>
    <n v="274050000"/>
    <n v="274050000"/>
    <n v="0"/>
    <n v="0"/>
    <n v="0"/>
    <n v="0"/>
    <x v="2"/>
    <n v="0"/>
    <n v="948"/>
    <n v="1"/>
  </r>
  <r>
    <x v="304"/>
    <x v="275"/>
    <x v="1"/>
    <n v="167347500"/>
    <n v="37365403"/>
    <n v="129982097"/>
    <n v="121760628"/>
    <n v="8221469"/>
    <n v="5073359"/>
    <n v="3148110"/>
    <n v="0"/>
    <x v="2"/>
    <n v="0"/>
    <n v="951"/>
    <n v="0"/>
  </r>
  <r>
    <x v="304"/>
    <x v="275"/>
    <x v="10"/>
    <n v="390477500"/>
    <n v="0"/>
    <n v="390477500"/>
    <n v="390477500"/>
    <n v="0"/>
    <n v="0"/>
    <n v="0"/>
    <n v="0"/>
    <x v="2"/>
    <n v="0"/>
    <n v="950"/>
    <n v="1"/>
  </r>
  <r>
    <x v="305"/>
    <x v="276"/>
    <x v="1"/>
    <n v="129030000"/>
    <n v="29005808"/>
    <n v="100024192"/>
    <n v="96023224"/>
    <n v="4000968"/>
    <n v="4000968"/>
    <n v="0"/>
    <n v="0"/>
    <x v="2"/>
    <n v="0"/>
    <n v="953"/>
    <n v="0"/>
  </r>
  <r>
    <x v="305"/>
    <x v="276"/>
    <x v="2"/>
    <n v="301070000"/>
    <n v="0"/>
    <n v="301070000"/>
    <n v="301070000"/>
    <n v="0"/>
    <n v="0"/>
    <n v="0"/>
    <n v="0"/>
    <x v="2"/>
    <n v="0"/>
    <n v="952"/>
    <n v="1"/>
  </r>
  <r>
    <x v="306"/>
    <x v="277"/>
    <x v="1"/>
    <n v="176673000"/>
    <n v="19000000"/>
    <n v="157673000"/>
    <n v="152598223"/>
    <n v="5074777"/>
    <n v="5074777"/>
    <n v="0"/>
    <n v="0"/>
    <x v="2"/>
    <n v="0"/>
    <n v="955"/>
    <n v="0"/>
  </r>
  <r>
    <x v="306"/>
    <x v="277"/>
    <x v="2"/>
    <n v="412237000"/>
    <n v="0"/>
    <n v="412237000"/>
    <n v="412237000"/>
    <n v="0"/>
    <n v="0"/>
    <n v="0"/>
    <n v="0"/>
    <x v="2"/>
    <n v="0"/>
    <n v="954"/>
    <n v="1"/>
  </r>
  <r>
    <x v="307"/>
    <x v="278"/>
    <x v="1"/>
    <n v="160835250"/>
    <n v="46250510"/>
    <n v="114584740"/>
    <n v="110001350"/>
    <n v="4583390"/>
    <n v="4583390"/>
    <n v="0"/>
    <n v="0"/>
    <x v="2"/>
    <n v="0"/>
    <n v="957"/>
    <n v="0"/>
  </r>
  <r>
    <x v="307"/>
    <x v="278"/>
    <x v="10"/>
    <n v="375282250"/>
    <n v="0"/>
    <n v="375282250"/>
    <n v="375282250"/>
    <n v="0"/>
    <n v="0"/>
    <n v="0"/>
    <n v="0"/>
    <x v="2"/>
    <n v="0"/>
    <n v="956"/>
    <n v="1"/>
  </r>
  <r>
    <x v="308"/>
    <x v="279"/>
    <x v="1"/>
    <n v="117870000"/>
    <n v="40473427"/>
    <n v="77396573"/>
    <n v="77396573"/>
    <n v="0"/>
    <n v="0"/>
    <n v="0"/>
    <n v="0"/>
    <x v="2"/>
    <n v="0"/>
    <n v="959"/>
    <n v="0"/>
  </r>
  <r>
    <x v="308"/>
    <x v="279"/>
    <x v="2"/>
    <n v="275030000"/>
    <n v="0"/>
    <n v="275030000"/>
    <n v="275030000"/>
    <n v="0"/>
    <n v="0"/>
    <n v="0"/>
    <n v="0"/>
    <x v="2"/>
    <n v="0"/>
    <n v="958"/>
    <n v="1"/>
  </r>
  <r>
    <x v="309"/>
    <x v="280"/>
    <x v="1"/>
    <n v="155490000"/>
    <n v="47997140"/>
    <n v="107492860"/>
    <n v="103193146"/>
    <n v="4299714"/>
    <n v="4299714"/>
    <n v="0"/>
    <n v="0"/>
    <x v="2"/>
    <n v="0"/>
    <n v="961"/>
    <n v="0"/>
  </r>
  <r>
    <x v="309"/>
    <x v="280"/>
    <x v="2"/>
    <n v="362810000"/>
    <n v="0"/>
    <n v="362810000"/>
    <n v="362810000"/>
    <n v="0"/>
    <n v="0"/>
    <n v="0"/>
    <n v="0"/>
    <x v="2"/>
    <n v="0"/>
    <n v="960"/>
    <n v="1"/>
  </r>
  <r>
    <x v="310"/>
    <x v="281"/>
    <x v="1"/>
    <n v="132300000"/>
    <n v="45500000"/>
    <n v="86800000"/>
    <n v="86800000"/>
    <n v="0"/>
    <n v="0"/>
    <n v="0"/>
    <n v="0"/>
    <x v="2"/>
    <n v="0"/>
    <n v="963"/>
    <n v="0"/>
  </r>
  <r>
    <x v="310"/>
    <x v="281"/>
    <x v="2"/>
    <n v="308700000"/>
    <n v="0"/>
    <n v="308700000"/>
    <n v="308700000"/>
    <n v="0"/>
    <n v="0"/>
    <n v="0"/>
    <n v="0"/>
    <x v="2"/>
    <n v="0"/>
    <n v="962"/>
    <n v="1"/>
  </r>
  <r>
    <x v="311"/>
    <x v="282"/>
    <x v="1"/>
    <n v="173693767"/>
    <n v="17495834"/>
    <n v="156197933"/>
    <n v="149950016"/>
    <n v="6247917"/>
    <n v="6247917"/>
    <n v="0"/>
    <n v="0"/>
    <x v="2"/>
    <n v="0"/>
    <n v="965"/>
    <n v="0"/>
  </r>
  <r>
    <x v="311"/>
    <x v="282"/>
    <x v="2"/>
    <n v="405285458"/>
    <n v="0"/>
    <n v="405285458"/>
    <n v="405285458"/>
    <n v="0"/>
    <n v="0"/>
    <n v="0"/>
    <n v="0"/>
    <x v="2"/>
    <n v="0"/>
    <n v="964"/>
    <n v="1"/>
  </r>
  <r>
    <x v="312"/>
    <x v="283"/>
    <x v="1"/>
    <n v="126564608"/>
    <n v="19000000"/>
    <n v="107564608"/>
    <n v="106564608"/>
    <n v="1000000"/>
    <n v="1000000"/>
    <n v="0"/>
    <n v="0"/>
    <x v="2"/>
    <n v="0"/>
    <n v="967"/>
    <n v="0"/>
  </r>
  <r>
    <x v="312"/>
    <x v="283"/>
    <x v="2"/>
    <n v="274750000"/>
    <n v="0"/>
    <n v="274750000"/>
    <n v="274750000"/>
    <n v="0"/>
    <n v="0"/>
    <n v="0"/>
    <n v="0"/>
    <x v="2"/>
    <n v="0"/>
    <n v="966"/>
    <n v="1"/>
  </r>
  <r>
    <x v="313"/>
    <x v="284"/>
    <x v="1"/>
    <n v="156840750"/>
    <n v="45193138"/>
    <n v="111647612"/>
    <n v="107181710"/>
    <n v="4465902"/>
    <n v="4465902"/>
    <n v="0"/>
    <n v="0"/>
    <x v="2"/>
    <n v="0"/>
    <n v="969"/>
    <n v="0"/>
  </r>
  <r>
    <x v="313"/>
    <x v="284"/>
    <x v="2"/>
    <n v="365961750"/>
    <n v="0"/>
    <n v="365961750"/>
    <n v="365961750"/>
    <n v="0"/>
    <n v="0"/>
    <n v="0"/>
    <n v="0"/>
    <x v="2"/>
    <n v="0"/>
    <n v="968"/>
    <n v="1"/>
  </r>
  <r>
    <x v="314"/>
    <x v="285"/>
    <x v="1"/>
    <n v="130242000"/>
    <n v="25000000"/>
    <n v="105242000"/>
    <n v="103648550"/>
    <n v="1593450"/>
    <n v="1593450"/>
    <n v="0"/>
    <n v="0"/>
    <x v="2"/>
    <n v="0"/>
    <n v="971"/>
    <n v="0"/>
  </r>
  <r>
    <x v="314"/>
    <x v="285"/>
    <x v="2"/>
    <n v="303898000"/>
    <n v="0"/>
    <n v="303898000"/>
    <n v="303898000"/>
    <n v="0"/>
    <n v="0"/>
    <n v="0"/>
    <n v="0"/>
    <x v="2"/>
    <n v="0"/>
    <n v="970"/>
    <n v="1"/>
  </r>
  <r>
    <x v="315"/>
    <x v="286"/>
    <x v="1"/>
    <n v="172035000"/>
    <n v="40434478"/>
    <n v="131600522"/>
    <n v="126541664"/>
    <n v="5058858"/>
    <n v="5058858"/>
    <n v="0"/>
    <n v="0"/>
    <x v="2"/>
    <n v="0"/>
    <n v="973"/>
    <n v="0"/>
  </r>
  <r>
    <x v="315"/>
    <x v="286"/>
    <x v="2"/>
    <n v="401415000"/>
    <n v="0"/>
    <n v="401415000"/>
    <n v="401415000"/>
    <n v="0"/>
    <n v="0"/>
    <n v="0"/>
    <n v="0"/>
    <x v="2"/>
    <n v="0"/>
    <n v="972"/>
    <n v="1"/>
  </r>
  <r>
    <x v="315"/>
    <x v="286"/>
    <x v="5"/>
    <n v="377524"/>
    <n v="377524"/>
    <n v="0"/>
    <n v="0"/>
    <n v="0"/>
    <n v="0"/>
    <n v="0"/>
    <n v="0"/>
    <x v="2"/>
    <n v="0"/>
    <n v="974"/>
    <n v="1"/>
  </r>
  <r>
    <x v="316"/>
    <x v="287"/>
    <x v="1"/>
    <n v="158350000"/>
    <n v="48811430"/>
    <n v="109538570"/>
    <n v="105157427"/>
    <n v="4381143"/>
    <n v="4381143"/>
    <n v="0"/>
    <n v="0"/>
    <x v="2"/>
    <n v="0"/>
    <n v="976"/>
    <n v="0"/>
  </r>
  <r>
    <x v="316"/>
    <x v="287"/>
    <x v="2"/>
    <n v="369450000"/>
    <n v="0"/>
    <n v="369450000"/>
    <n v="369450000"/>
    <n v="0"/>
    <n v="0"/>
    <n v="0"/>
    <n v="0"/>
    <x v="2"/>
    <n v="0"/>
    <n v="975"/>
    <n v="1"/>
  </r>
  <r>
    <x v="317"/>
    <x v="288"/>
    <x v="1"/>
    <n v="119400000"/>
    <n v="39000000"/>
    <n v="80400000"/>
    <n v="78445719"/>
    <n v="1954281"/>
    <n v="1954281"/>
    <n v="0"/>
    <n v="0"/>
    <x v="2"/>
    <n v="0"/>
    <n v="978"/>
    <n v="0"/>
  </r>
  <r>
    <x v="317"/>
    <x v="288"/>
    <x v="2"/>
    <n v="278600000"/>
    <n v="0"/>
    <n v="278600000"/>
    <n v="278600000"/>
    <n v="0"/>
    <n v="0"/>
    <n v="0"/>
    <n v="0"/>
    <x v="2"/>
    <n v="0"/>
    <n v="977"/>
    <n v="1"/>
  </r>
  <r>
    <x v="318"/>
    <x v="289"/>
    <x v="1"/>
    <n v="152868000"/>
    <n v="96041718"/>
    <n v="56826282"/>
    <n v="56826282"/>
    <n v="0"/>
    <n v="0"/>
    <n v="0"/>
    <n v="0"/>
    <x v="2"/>
    <n v="0"/>
    <n v="980"/>
    <n v="0"/>
  </r>
  <r>
    <x v="318"/>
    <x v="289"/>
    <x v="2"/>
    <n v="356692000"/>
    <n v="0"/>
    <n v="356692000"/>
    <n v="356692000"/>
    <n v="0"/>
    <n v="0"/>
    <n v="0"/>
    <n v="0"/>
    <x v="2"/>
    <n v="0"/>
    <n v="979"/>
    <n v="1"/>
  </r>
  <r>
    <x v="319"/>
    <x v="290"/>
    <x v="1"/>
    <n v="129480000"/>
    <n v="50800000"/>
    <n v="78680000"/>
    <n v="78680000"/>
    <n v="0"/>
    <n v="0"/>
    <n v="0"/>
    <n v="0"/>
    <x v="2"/>
    <n v="0"/>
    <n v="982"/>
    <n v="0"/>
  </r>
  <r>
    <x v="319"/>
    <x v="290"/>
    <x v="2"/>
    <n v="302120000"/>
    <n v="0"/>
    <n v="302120000"/>
    <n v="302120000"/>
    <n v="0"/>
    <n v="0"/>
    <n v="0"/>
    <n v="0"/>
    <x v="2"/>
    <n v="0"/>
    <n v="981"/>
    <n v="1"/>
  </r>
  <r>
    <x v="320"/>
    <x v="291"/>
    <x v="1"/>
    <n v="172185000"/>
    <n v="45529697"/>
    <n v="126655303"/>
    <n v="121589092"/>
    <n v="5066211"/>
    <n v="5066211"/>
    <n v="0"/>
    <n v="0"/>
    <x v="2"/>
    <n v="0"/>
    <n v="984"/>
    <n v="0"/>
  </r>
  <r>
    <x v="320"/>
    <x v="291"/>
    <x v="2"/>
    <n v="401765000"/>
    <n v="0"/>
    <n v="401765000"/>
    <n v="401765000"/>
    <n v="0"/>
    <n v="0"/>
    <n v="0"/>
    <n v="0"/>
    <x v="2"/>
    <n v="0"/>
    <n v="983"/>
    <n v="1"/>
  </r>
  <r>
    <x v="321"/>
    <x v="292"/>
    <x v="1"/>
    <n v="175748250"/>
    <n v="55592073"/>
    <n v="120156177"/>
    <n v="120156177"/>
    <n v="0"/>
    <n v="0"/>
    <n v="0"/>
    <n v="0"/>
    <x v="2"/>
    <n v="0"/>
    <n v="986"/>
    <n v="0"/>
  </r>
  <r>
    <x v="321"/>
    <x v="292"/>
    <x v="2"/>
    <n v="410079250"/>
    <n v="0"/>
    <n v="410079250"/>
    <n v="410079250"/>
    <n v="0"/>
    <n v="0"/>
    <n v="0"/>
    <n v="0"/>
    <x v="2"/>
    <n v="0"/>
    <n v="985"/>
    <n v="1"/>
  </r>
  <r>
    <x v="322"/>
    <x v="293"/>
    <x v="1"/>
    <n v="118050000"/>
    <n v="37001300"/>
    <n v="81048700"/>
    <n v="77520000"/>
    <n v="3528700"/>
    <n v="3230000"/>
    <n v="298700"/>
    <n v="0"/>
    <x v="2"/>
    <n v="0"/>
    <n v="988"/>
    <n v="0"/>
  </r>
  <r>
    <x v="322"/>
    <x v="293"/>
    <x v="2"/>
    <n v="275450000"/>
    <n v="0"/>
    <n v="275450000"/>
    <n v="275450000"/>
    <n v="0"/>
    <n v="0"/>
    <n v="0"/>
    <n v="0"/>
    <x v="2"/>
    <n v="0"/>
    <n v="987"/>
    <n v="1"/>
  </r>
  <r>
    <x v="322"/>
    <x v="293"/>
    <x v="5"/>
    <n v="298700"/>
    <n v="298700"/>
    <n v="0"/>
    <n v="0"/>
    <n v="0"/>
    <n v="0"/>
    <n v="0"/>
    <n v="0"/>
    <x v="2"/>
    <n v="0"/>
    <n v="989"/>
    <n v="1"/>
  </r>
  <r>
    <x v="323"/>
    <x v="294"/>
    <x v="1"/>
    <n v="157140000"/>
    <n v="45275000"/>
    <n v="111865000"/>
    <n v="107392940"/>
    <n v="4472060"/>
    <n v="4472060"/>
    <n v="0"/>
    <n v="0"/>
    <x v="2"/>
    <n v="0"/>
    <n v="991"/>
    <n v="0"/>
  </r>
  <r>
    <x v="323"/>
    <x v="294"/>
    <x v="2"/>
    <n v="366660000"/>
    <n v="0"/>
    <n v="366660000"/>
    <n v="366660000"/>
    <n v="0"/>
    <n v="0"/>
    <n v="0"/>
    <n v="0"/>
    <x v="2"/>
    <n v="0"/>
    <n v="990"/>
    <n v="1"/>
  </r>
  <r>
    <x v="324"/>
    <x v="295"/>
    <x v="1"/>
    <n v="124194000"/>
    <n v="100038945"/>
    <n v="24155055"/>
    <n v="24155055"/>
    <n v="0"/>
    <n v="0"/>
    <n v="0"/>
    <n v="0"/>
    <x v="2"/>
    <n v="0"/>
    <n v="993"/>
    <n v="0"/>
  </r>
  <r>
    <x v="324"/>
    <x v="295"/>
    <x v="2"/>
    <n v="289786000"/>
    <n v="0"/>
    <n v="289786000"/>
    <n v="289786000"/>
    <n v="0"/>
    <n v="0"/>
    <n v="0"/>
    <n v="0"/>
    <x v="2"/>
    <n v="0"/>
    <n v="992"/>
    <n v="1"/>
  </r>
  <r>
    <x v="325"/>
    <x v="296"/>
    <x v="1"/>
    <n v="172335000"/>
    <n v="46771250"/>
    <n v="125563750"/>
    <n v="125563750"/>
    <n v="0"/>
    <n v="0"/>
    <n v="0"/>
    <n v="0"/>
    <x v="2"/>
    <n v="0"/>
    <n v="995"/>
    <n v="0"/>
  </r>
  <r>
    <x v="325"/>
    <x v="296"/>
    <x v="2"/>
    <n v="402115000"/>
    <n v="0"/>
    <n v="402115000"/>
    <n v="402115000"/>
    <n v="0"/>
    <n v="0"/>
    <n v="0"/>
    <n v="0"/>
    <x v="2"/>
    <n v="0"/>
    <n v="994"/>
    <n v="1"/>
  </r>
  <r>
    <x v="326"/>
    <x v="297"/>
    <x v="1"/>
    <n v="172282500"/>
    <n v="36270057"/>
    <n v="136012443"/>
    <n v="125461876"/>
    <n v="10550567"/>
    <n v="5227578"/>
    <n v="5227578"/>
    <n v="95411"/>
    <x v="2"/>
    <n v="0"/>
    <n v="997"/>
    <n v="0"/>
  </r>
  <r>
    <x v="326"/>
    <x v="297"/>
    <x v="2"/>
    <n v="401992500"/>
    <n v="0"/>
    <n v="401992500"/>
    <n v="401992500"/>
    <n v="0"/>
    <n v="0"/>
    <n v="0"/>
    <n v="0"/>
    <x v="2"/>
    <n v="0"/>
    <n v="996"/>
    <n v="1"/>
  </r>
  <r>
    <x v="326"/>
    <x v="297"/>
    <x v="5"/>
    <n v="329943"/>
    <n v="329943"/>
    <n v="0"/>
    <n v="0"/>
    <n v="0"/>
    <n v="0"/>
    <n v="0"/>
    <n v="0"/>
    <x v="2"/>
    <n v="0"/>
    <n v="998"/>
    <n v="1"/>
  </r>
  <r>
    <x v="327"/>
    <x v="298"/>
    <x v="1"/>
    <n v="122412269"/>
    <n v="26800000"/>
    <n v="95612269"/>
    <n v="88606135"/>
    <n v="7006134"/>
    <n v="7006134"/>
    <n v="0"/>
    <n v="0"/>
    <x v="2"/>
    <n v="0"/>
    <n v="1000"/>
    <n v="0"/>
  </r>
  <r>
    <x v="327"/>
    <x v="298"/>
    <x v="2"/>
    <n v="275800000"/>
    <n v="0"/>
    <n v="275800000"/>
    <n v="275800000"/>
    <n v="0"/>
    <n v="0"/>
    <n v="0"/>
    <n v="0"/>
    <x v="2"/>
    <n v="0"/>
    <n v="999"/>
    <n v="1"/>
  </r>
  <r>
    <x v="328"/>
    <x v="299"/>
    <x v="1"/>
    <n v="168097500"/>
    <n v="35050000"/>
    <n v="133047500"/>
    <n v="122323124"/>
    <n v="10724376"/>
    <n v="5096797"/>
    <n v="5096797"/>
    <n v="530782"/>
    <x v="2"/>
    <n v="0"/>
    <n v="1002"/>
    <n v="0"/>
  </r>
  <r>
    <x v="328"/>
    <x v="299"/>
    <x v="2"/>
    <n v="392227500"/>
    <n v="0"/>
    <n v="392227500"/>
    <n v="392227500"/>
    <n v="0"/>
    <n v="0"/>
    <n v="0"/>
    <n v="0"/>
    <x v="2"/>
    <n v="0"/>
    <n v="1001"/>
    <n v="1"/>
  </r>
  <r>
    <x v="329"/>
    <x v="126"/>
    <x v="1"/>
    <n v="117668100"/>
    <n v="37000000"/>
    <n v="80668100"/>
    <n v="77468100"/>
    <n v="3200000"/>
    <n v="3200000"/>
    <n v="0"/>
    <n v="0"/>
    <x v="2"/>
    <n v="0"/>
    <n v="1004"/>
    <n v="0"/>
  </r>
  <r>
    <x v="329"/>
    <x v="126"/>
    <x v="2"/>
    <n v="274558900"/>
    <n v="0"/>
    <n v="274558900"/>
    <n v="274558900"/>
    <n v="0"/>
    <n v="0"/>
    <n v="0"/>
    <n v="0"/>
    <x v="2"/>
    <n v="0"/>
    <n v="1003"/>
    <n v="1"/>
  </r>
  <r>
    <x v="330"/>
    <x v="126"/>
    <x v="1"/>
    <n v="157649250"/>
    <n v="48000000"/>
    <n v="109649250"/>
    <n v="105349250"/>
    <n v="4300000"/>
    <n v="4300000"/>
    <n v="0"/>
    <n v="0"/>
    <x v="2"/>
    <n v="0"/>
    <n v="1006"/>
    <n v="0"/>
  </r>
  <r>
    <x v="330"/>
    <x v="126"/>
    <x v="2"/>
    <n v="367848250"/>
    <n v="0"/>
    <n v="367848250"/>
    <n v="367848250"/>
    <n v="0"/>
    <n v="0"/>
    <n v="0"/>
    <n v="0"/>
    <x v="2"/>
    <n v="0"/>
    <n v="1005"/>
    <n v="1"/>
  </r>
  <r>
    <x v="331"/>
    <x v="300"/>
    <x v="1"/>
    <n v="160685250"/>
    <n v="47473879"/>
    <n v="113211371"/>
    <n v="113211371"/>
    <n v="0"/>
    <n v="0"/>
    <n v="0"/>
    <n v="0"/>
    <x v="2"/>
    <n v="0"/>
    <n v="1008"/>
    <n v="0"/>
  </r>
  <r>
    <x v="331"/>
    <x v="300"/>
    <x v="2"/>
    <n v="374932250"/>
    <n v="0"/>
    <n v="374932250"/>
    <n v="374932250"/>
    <n v="0"/>
    <n v="0"/>
    <n v="0"/>
    <n v="0"/>
    <x v="2"/>
    <n v="0"/>
    <n v="1007"/>
    <n v="1"/>
  </r>
  <r>
    <x v="332"/>
    <x v="301"/>
    <x v="1"/>
    <n v="128767500"/>
    <n v="75955000"/>
    <n v="52812500"/>
    <n v="52812500"/>
    <n v="0"/>
    <n v="0"/>
    <n v="0"/>
    <n v="0"/>
    <x v="2"/>
    <n v="0"/>
    <n v="1010"/>
    <n v="0"/>
  </r>
  <r>
    <x v="332"/>
    <x v="301"/>
    <x v="2"/>
    <n v="300457500"/>
    <n v="0"/>
    <n v="300457500"/>
    <n v="300457500"/>
    <n v="0"/>
    <n v="0"/>
    <n v="0"/>
    <n v="0"/>
    <x v="2"/>
    <n v="0"/>
    <n v="1009"/>
    <n v="1"/>
  </r>
  <r>
    <x v="333"/>
    <x v="302"/>
    <x v="1"/>
    <n v="154740000"/>
    <n v="47782860"/>
    <n v="106957140"/>
    <n v="102678854"/>
    <n v="4278286"/>
    <n v="4278286"/>
    <n v="0"/>
    <n v="0"/>
    <x v="2"/>
    <n v="0"/>
    <n v="1012"/>
    <n v="0"/>
  </r>
  <r>
    <x v="333"/>
    <x v="302"/>
    <x v="10"/>
    <n v="361060000"/>
    <n v="0"/>
    <n v="361060000"/>
    <n v="361060000"/>
    <n v="0"/>
    <n v="0"/>
    <n v="0"/>
    <n v="0"/>
    <x v="2"/>
    <n v="0"/>
    <n v="1011"/>
    <n v="1"/>
  </r>
  <r>
    <x v="334"/>
    <x v="303"/>
    <x v="1"/>
    <n v="132237345"/>
    <n v="33310669"/>
    <n v="98926676"/>
    <n v="95389342"/>
    <n v="3537334"/>
    <n v="3537334"/>
    <n v="0"/>
    <n v="0"/>
    <x v="2"/>
    <n v="0"/>
    <n v="1014"/>
    <n v="0"/>
  </r>
  <r>
    <x v="334"/>
    <x v="303"/>
    <x v="2"/>
    <n v="273682655"/>
    <n v="0"/>
    <n v="273682655"/>
    <n v="273682655"/>
    <n v="0"/>
    <n v="0"/>
    <n v="0"/>
    <n v="0"/>
    <x v="2"/>
    <n v="0"/>
    <n v="1013"/>
    <n v="1"/>
  </r>
  <r>
    <x v="335"/>
    <x v="304"/>
    <x v="1"/>
    <n v="157797000"/>
    <n v="39701425"/>
    <n v="118095575"/>
    <n v="114297000"/>
    <n v="3798575"/>
    <n v="3500000"/>
    <n v="298575"/>
    <n v="0"/>
    <x v="2"/>
    <n v="0"/>
    <n v="1016"/>
    <n v="0"/>
  </r>
  <r>
    <x v="335"/>
    <x v="304"/>
    <x v="2"/>
    <n v="368193000"/>
    <n v="0"/>
    <n v="368193000"/>
    <n v="368193000"/>
    <n v="0"/>
    <n v="0"/>
    <n v="0"/>
    <n v="0"/>
    <x v="2"/>
    <n v="0"/>
    <n v="1015"/>
    <n v="1"/>
  </r>
  <r>
    <x v="336"/>
    <x v="305"/>
    <x v="1"/>
    <n v="158940000"/>
    <n v="44586286"/>
    <n v="114353714"/>
    <n v="105558854"/>
    <n v="8794860"/>
    <n v="4398286"/>
    <n v="4396574"/>
    <n v="0"/>
    <x v="2"/>
    <n v="0"/>
    <n v="1018"/>
    <n v="0"/>
  </r>
  <r>
    <x v="336"/>
    <x v="305"/>
    <x v="2"/>
    <n v="370860000"/>
    <n v="0"/>
    <n v="370860000"/>
    <n v="370860000"/>
    <n v="0"/>
    <n v="0"/>
    <n v="0"/>
    <n v="0"/>
    <x v="2"/>
    <n v="0"/>
    <n v="1017"/>
    <n v="1"/>
  </r>
  <r>
    <x v="337"/>
    <x v="306"/>
    <x v="1"/>
    <n v="135833000"/>
    <n v="135833000"/>
    <n v="0"/>
    <n v="0"/>
    <n v="0"/>
    <n v="0"/>
    <n v="0"/>
    <n v="0"/>
    <x v="2"/>
    <n v="0"/>
    <n v="1020"/>
    <n v="0"/>
  </r>
  <r>
    <x v="337"/>
    <x v="306"/>
    <x v="2"/>
    <n v="264167000"/>
    <n v="67437000"/>
    <n v="196730000"/>
    <n v="196730000"/>
    <n v="0"/>
    <n v="0"/>
    <n v="0"/>
    <n v="0"/>
    <x v="2"/>
    <n v="0"/>
    <n v="1019"/>
    <n v="1"/>
  </r>
  <r>
    <x v="338"/>
    <x v="307"/>
    <x v="1"/>
    <n v="157590750"/>
    <n v="45391668"/>
    <n v="112199082"/>
    <n v="107711120"/>
    <n v="4487962"/>
    <n v="4487962"/>
    <n v="0"/>
    <n v="0"/>
    <x v="2"/>
    <n v="0"/>
    <n v="1022"/>
    <n v="0"/>
  </r>
  <r>
    <x v="338"/>
    <x v="307"/>
    <x v="2"/>
    <n v="367711750"/>
    <n v="0"/>
    <n v="367711750"/>
    <n v="367711750"/>
    <n v="0"/>
    <n v="0"/>
    <n v="0"/>
    <n v="0"/>
    <x v="2"/>
    <n v="0"/>
    <n v="1021"/>
    <n v="1"/>
  </r>
  <r>
    <x v="339"/>
    <x v="308"/>
    <x v="1"/>
    <n v="118260000"/>
    <n v="31895426"/>
    <n v="86364574"/>
    <n v="79721146"/>
    <n v="6643428"/>
    <n v="3321714"/>
    <n v="3321714"/>
    <n v="0"/>
    <x v="2"/>
    <n v="0"/>
    <n v="1024"/>
    <n v="0"/>
  </r>
  <r>
    <x v="339"/>
    <x v="308"/>
    <x v="2"/>
    <n v="275940000"/>
    <n v="0"/>
    <n v="275940000"/>
    <n v="275940000"/>
    <n v="0"/>
    <n v="0"/>
    <n v="0"/>
    <n v="0"/>
    <x v="2"/>
    <n v="0"/>
    <n v="1023"/>
    <n v="1"/>
  </r>
  <r>
    <x v="340"/>
    <x v="309"/>
    <x v="1"/>
    <n v="177723000"/>
    <n v="5000000"/>
    <n v="172723000"/>
    <n v="166079808"/>
    <n v="6643192"/>
    <n v="6643192"/>
    <n v="0"/>
    <n v="0"/>
    <x v="2"/>
    <n v="0"/>
    <n v="1026"/>
    <n v="0"/>
  </r>
  <r>
    <x v="340"/>
    <x v="309"/>
    <x v="2"/>
    <n v="414687000"/>
    <n v="0"/>
    <n v="414687000"/>
    <n v="414687000"/>
    <n v="0"/>
    <n v="0"/>
    <n v="0"/>
    <n v="0"/>
    <x v="2"/>
    <n v="0"/>
    <n v="1025"/>
    <n v="1"/>
  </r>
  <r>
    <x v="341"/>
    <x v="310"/>
    <x v="1"/>
    <n v="177553500"/>
    <n v="5000000"/>
    <n v="172553500"/>
    <n v="165916827"/>
    <n v="6636673"/>
    <n v="6636673"/>
    <n v="0"/>
    <n v="0"/>
    <x v="2"/>
    <n v="0"/>
    <n v="1028"/>
    <n v="0"/>
  </r>
  <r>
    <x v="341"/>
    <x v="310"/>
    <x v="2"/>
    <n v="414291500"/>
    <n v="0"/>
    <n v="414291500"/>
    <n v="414291500"/>
    <n v="0"/>
    <n v="0"/>
    <n v="0"/>
    <n v="0"/>
    <x v="2"/>
    <n v="0"/>
    <n v="1027"/>
    <n v="1"/>
  </r>
  <r>
    <x v="342"/>
    <x v="311"/>
    <x v="1"/>
    <n v="118650000"/>
    <n v="35328570"/>
    <n v="83321430"/>
    <n v="79988573"/>
    <n v="3332857"/>
    <n v="3332857"/>
    <n v="0"/>
    <n v="0"/>
    <x v="2"/>
    <n v="0"/>
    <n v="1030"/>
    <n v="0"/>
  </r>
  <r>
    <x v="342"/>
    <x v="311"/>
    <x v="2"/>
    <n v="276850000"/>
    <n v="0"/>
    <n v="276850000"/>
    <n v="276850000"/>
    <n v="0"/>
    <n v="0"/>
    <n v="0"/>
    <n v="0"/>
    <x v="2"/>
    <n v="0"/>
    <n v="1029"/>
    <n v="1"/>
  </r>
  <r>
    <x v="343"/>
    <x v="312"/>
    <x v="1"/>
    <n v="168547500"/>
    <n v="40777000"/>
    <n v="127770500"/>
    <n v="127770500"/>
    <n v="0"/>
    <n v="0"/>
    <n v="0"/>
    <n v="0"/>
    <x v="2"/>
    <n v="0"/>
    <n v="1032"/>
    <n v="0"/>
  </r>
  <r>
    <x v="343"/>
    <x v="312"/>
    <x v="2"/>
    <n v="393277500"/>
    <n v="0"/>
    <n v="393277500"/>
    <n v="393277500"/>
    <n v="0"/>
    <n v="0"/>
    <n v="0"/>
    <n v="0"/>
    <x v="2"/>
    <n v="0"/>
    <n v="1031"/>
    <n v="1"/>
  </r>
  <r>
    <x v="344"/>
    <x v="313"/>
    <x v="1"/>
    <n v="118410000"/>
    <n v="35260001"/>
    <n v="83149999"/>
    <n v="79824000"/>
    <n v="3325999"/>
    <n v="3325999"/>
    <n v="0"/>
    <n v="0"/>
    <x v="2"/>
    <n v="0"/>
    <n v="1034"/>
    <n v="0"/>
  </r>
  <r>
    <x v="344"/>
    <x v="313"/>
    <x v="2"/>
    <n v="276290000"/>
    <n v="0"/>
    <n v="276290000"/>
    <n v="276290000"/>
    <n v="0"/>
    <n v="0"/>
    <n v="0"/>
    <n v="0"/>
    <x v="2"/>
    <n v="0"/>
    <n v="1033"/>
    <n v="1"/>
  </r>
  <r>
    <x v="345"/>
    <x v="314"/>
    <x v="1"/>
    <n v="159000000"/>
    <n v="49000000"/>
    <n v="110000000"/>
    <n v="105600000"/>
    <n v="4400000"/>
    <n v="4400000"/>
    <n v="0"/>
    <n v="0"/>
    <x v="2"/>
    <n v="0"/>
    <n v="1036"/>
    <n v="0"/>
  </r>
  <r>
    <x v="345"/>
    <x v="314"/>
    <x v="2"/>
    <n v="371000000"/>
    <n v="0"/>
    <n v="371000000"/>
    <n v="371000000"/>
    <n v="0"/>
    <n v="0"/>
    <n v="0"/>
    <n v="0"/>
    <x v="2"/>
    <n v="0"/>
    <n v="1035"/>
    <n v="1"/>
  </r>
  <r>
    <x v="346"/>
    <x v="315"/>
    <x v="1"/>
    <n v="172882500"/>
    <n v="45698836"/>
    <n v="127183664"/>
    <n v="122096368"/>
    <n v="5087296"/>
    <n v="5087296"/>
    <n v="0"/>
    <n v="0"/>
    <x v="2"/>
    <n v="0"/>
    <n v="1038"/>
    <n v="0"/>
  </r>
  <r>
    <x v="346"/>
    <x v="315"/>
    <x v="2"/>
    <n v="403392500"/>
    <n v="0"/>
    <n v="403392500"/>
    <n v="403392500"/>
    <n v="0"/>
    <n v="0"/>
    <n v="0"/>
    <n v="0"/>
    <x v="2"/>
    <n v="0"/>
    <n v="1037"/>
    <n v="1"/>
  </r>
  <r>
    <x v="347"/>
    <x v="316"/>
    <x v="1"/>
    <n v="132676500"/>
    <n v="19181500"/>
    <n v="113495000"/>
    <n v="113491000"/>
    <n v="4000"/>
    <n v="4000"/>
    <n v="0"/>
    <n v="0"/>
    <x v="2"/>
    <n v="0"/>
    <n v="1040"/>
    <n v="0"/>
  </r>
  <r>
    <x v="347"/>
    <x v="316"/>
    <x v="2"/>
    <n v="309578500"/>
    <n v="0"/>
    <n v="309578500"/>
    <n v="309578500"/>
    <n v="0"/>
    <n v="0"/>
    <n v="0"/>
    <n v="0"/>
    <x v="2"/>
    <n v="0"/>
    <n v="1039"/>
    <n v="1"/>
  </r>
  <r>
    <x v="348"/>
    <x v="317"/>
    <x v="1"/>
    <n v="158793000"/>
    <n v="45000000"/>
    <n v="113793000"/>
    <n v="111849454"/>
    <n v="1943546"/>
    <n v="1943546"/>
    <n v="0"/>
    <n v="0"/>
    <x v="2"/>
    <n v="0"/>
    <n v="1042"/>
    <n v="0"/>
  </r>
  <r>
    <x v="348"/>
    <x v="317"/>
    <x v="2"/>
    <n v="370517000"/>
    <n v="0"/>
    <n v="370517000"/>
    <n v="370517000"/>
    <n v="0"/>
    <n v="0"/>
    <n v="0"/>
    <n v="0"/>
    <x v="2"/>
    <n v="0"/>
    <n v="1041"/>
    <n v="1"/>
  </r>
  <r>
    <x v="349"/>
    <x v="318"/>
    <x v="1"/>
    <n v="148000000"/>
    <n v="49650000"/>
    <n v="98350000"/>
    <n v="98350000"/>
    <n v="0"/>
    <n v="0"/>
    <n v="0"/>
    <n v="0"/>
    <x v="2"/>
    <n v="0"/>
    <n v="1044"/>
    <n v="0"/>
  </r>
  <r>
    <x v="349"/>
    <x v="318"/>
    <x v="2"/>
    <n v="259420000"/>
    <n v="0"/>
    <n v="259420000"/>
    <n v="259420000"/>
    <n v="0"/>
    <n v="0"/>
    <n v="0"/>
    <n v="0"/>
    <x v="2"/>
    <n v="0"/>
    <n v="1043"/>
    <n v="1"/>
  </r>
  <r>
    <x v="350"/>
    <x v="319"/>
    <x v="1"/>
    <n v="159240000"/>
    <n v="56555008"/>
    <n v="102684992"/>
    <n v="102684992"/>
    <n v="0"/>
    <n v="0"/>
    <n v="0"/>
    <n v="0"/>
    <x v="2"/>
    <n v="0"/>
    <n v="1046"/>
    <n v="0"/>
  </r>
  <r>
    <x v="350"/>
    <x v="319"/>
    <x v="2"/>
    <n v="371560000"/>
    <n v="0"/>
    <n v="371560000"/>
    <n v="371560000"/>
    <n v="0"/>
    <n v="0"/>
    <n v="0"/>
    <n v="0"/>
    <x v="2"/>
    <n v="0"/>
    <n v="1045"/>
    <n v="1"/>
  </r>
  <r>
    <x v="350"/>
    <x v="319"/>
    <x v="5"/>
    <n v="444992"/>
    <n v="444992"/>
    <n v="0"/>
    <n v="0"/>
    <n v="0"/>
    <n v="0"/>
    <n v="0"/>
    <n v="0"/>
    <x v="2"/>
    <n v="0"/>
    <n v="1047"/>
    <n v="1"/>
  </r>
  <r>
    <x v="351"/>
    <x v="320"/>
    <x v="1"/>
    <n v="162185250"/>
    <n v="46607864"/>
    <n v="115577386"/>
    <n v="110954290"/>
    <n v="4623096"/>
    <n v="4623096"/>
    <n v="0"/>
    <n v="0"/>
    <x v="2"/>
    <n v="0"/>
    <n v="1049"/>
    <n v="0"/>
  </r>
  <r>
    <x v="351"/>
    <x v="320"/>
    <x v="2"/>
    <n v="378432250"/>
    <n v="0"/>
    <n v="378432250"/>
    <n v="378432250"/>
    <n v="0"/>
    <n v="0"/>
    <n v="0"/>
    <n v="0"/>
    <x v="2"/>
    <n v="0"/>
    <n v="1048"/>
    <n v="1"/>
  </r>
  <r>
    <x v="352"/>
    <x v="321"/>
    <x v="1"/>
    <n v="129367500"/>
    <n v="36100000"/>
    <n v="93267500"/>
    <n v="90429924"/>
    <n v="2837576"/>
    <n v="2837576"/>
    <n v="0"/>
    <n v="0"/>
    <x v="2"/>
    <n v="0"/>
    <n v="1051"/>
    <n v="0"/>
  </r>
  <r>
    <x v="352"/>
    <x v="321"/>
    <x v="2"/>
    <n v="301857500"/>
    <n v="0"/>
    <n v="301857500"/>
    <n v="301857500"/>
    <n v="0"/>
    <n v="0"/>
    <n v="0"/>
    <n v="0"/>
    <x v="2"/>
    <n v="0"/>
    <n v="1050"/>
    <n v="1"/>
  </r>
  <r>
    <x v="353"/>
    <x v="322"/>
    <x v="1"/>
    <n v="155340000"/>
    <n v="43659634"/>
    <n v="111680366"/>
    <n v="103090281"/>
    <n v="8590085"/>
    <n v="4295429"/>
    <n v="4294656"/>
    <n v="0"/>
    <x v="2"/>
    <n v="0"/>
    <n v="1053"/>
    <n v="0"/>
  </r>
  <r>
    <x v="353"/>
    <x v="322"/>
    <x v="2"/>
    <n v="362460000"/>
    <n v="0"/>
    <n v="362460000"/>
    <n v="362460000"/>
    <n v="0"/>
    <n v="0"/>
    <n v="0"/>
    <n v="0"/>
    <x v="2"/>
    <n v="0"/>
    <n v="1052"/>
    <n v="1"/>
  </r>
  <r>
    <x v="353"/>
    <x v="322"/>
    <x v="5"/>
    <n v="313366"/>
    <n v="313366"/>
    <n v="0"/>
    <n v="0"/>
    <n v="0"/>
    <n v="0"/>
    <n v="0"/>
    <n v="0"/>
    <x v="2"/>
    <n v="0"/>
    <n v="1054"/>
    <n v="1"/>
  </r>
  <r>
    <x v="354"/>
    <x v="323"/>
    <x v="1"/>
    <n v="122226000"/>
    <n v="33800000"/>
    <n v="88426000"/>
    <n v="85255273"/>
    <n v="3170727"/>
    <n v="3170727"/>
    <n v="0"/>
    <n v="0"/>
    <x v="2"/>
    <n v="0"/>
    <n v="1056"/>
    <n v="0"/>
  </r>
  <r>
    <x v="354"/>
    <x v="323"/>
    <x v="2"/>
    <n v="285194000"/>
    <n v="0"/>
    <n v="285194000"/>
    <n v="285194000"/>
    <n v="0"/>
    <n v="0"/>
    <n v="0"/>
    <n v="0"/>
    <x v="2"/>
    <n v="0"/>
    <n v="1055"/>
    <n v="1"/>
  </r>
  <r>
    <x v="355"/>
    <x v="324"/>
    <x v="1"/>
    <n v="158388000"/>
    <n v="37350000"/>
    <n v="121038000"/>
    <n v="104238000"/>
    <n v="16800000"/>
    <n v="16800000"/>
    <n v="0"/>
    <n v="0"/>
    <x v="2"/>
    <n v="0"/>
    <n v="1058"/>
    <n v="0"/>
  </r>
  <r>
    <x v="355"/>
    <x v="324"/>
    <x v="2"/>
    <n v="369572000"/>
    <n v="0"/>
    <n v="369572000"/>
    <n v="369572000"/>
    <n v="0"/>
    <n v="0"/>
    <n v="0"/>
    <n v="0"/>
    <x v="2"/>
    <n v="0"/>
    <n v="1057"/>
    <n v="1"/>
  </r>
  <r>
    <x v="356"/>
    <x v="325"/>
    <x v="1"/>
    <n v="163959901"/>
    <n v="33576650"/>
    <n v="130383251"/>
    <n v="125167921"/>
    <n v="5215330"/>
    <n v="5215330"/>
    <n v="0"/>
    <n v="0"/>
    <x v="2"/>
    <n v="0"/>
    <n v="1060"/>
    <n v="0"/>
  </r>
  <r>
    <x v="356"/>
    <x v="325"/>
    <x v="2"/>
    <n v="372260000"/>
    <n v="0"/>
    <n v="372260000"/>
    <n v="372260000"/>
    <n v="0"/>
    <n v="0"/>
    <n v="0"/>
    <n v="0"/>
    <x v="2"/>
    <n v="0"/>
    <n v="1059"/>
    <n v="1"/>
  </r>
  <r>
    <x v="357"/>
    <x v="326"/>
    <x v="1"/>
    <n v="132976500"/>
    <n v="9000000"/>
    <n v="123976500"/>
    <n v="47809833"/>
    <n v="76166667"/>
    <n v="0"/>
    <n v="76166667"/>
    <n v="0"/>
    <x v="2"/>
    <n v="0"/>
    <n v="1062"/>
    <n v="0"/>
  </r>
  <r>
    <x v="357"/>
    <x v="326"/>
    <x v="2"/>
    <n v="310278500"/>
    <n v="0"/>
    <n v="310278500"/>
    <n v="310278500"/>
    <n v="0"/>
    <n v="0"/>
    <n v="0"/>
    <n v="0"/>
    <x v="2"/>
    <n v="0"/>
    <n v="1061"/>
    <n v="1"/>
  </r>
  <r>
    <x v="358"/>
    <x v="327"/>
    <x v="1"/>
    <n v="118554600"/>
    <n v="18332594"/>
    <n v="100222006"/>
    <n v="95354600"/>
    <n v="4867406"/>
    <n v="1300000"/>
    <n v="1300000"/>
    <n v="1300000"/>
    <x v="2"/>
    <n v="967406"/>
    <n v="1064"/>
    <n v="0"/>
  </r>
  <r>
    <x v="358"/>
    <x v="327"/>
    <x v="2"/>
    <n v="276627400"/>
    <n v="0"/>
    <n v="276627400"/>
    <n v="276627400"/>
    <n v="0"/>
    <n v="0"/>
    <n v="0"/>
    <n v="0"/>
    <x v="2"/>
    <n v="0"/>
    <n v="1063"/>
    <n v="1"/>
  </r>
  <r>
    <x v="358"/>
    <x v="327"/>
    <x v="5"/>
    <n v="67406"/>
    <n v="67406"/>
    <n v="0"/>
    <n v="0"/>
    <n v="0"/>
    <n v="0"/>
    <n v="0"/>
    <n v="0"/>
    <x v="2"/>
    <n v="0"/>
    <n v="1065"/>
    <n v="1"/>
  </r>
  <r>
    <x v="359"/>
    <x v="328"/>
    <x v="1"/>
    <n v="160950000"/>
    <n v="54012855"/>
    <n v="106937145"/>
    <n v="106937145"/>
    <n v="0"/>
    <n v="0"/>
    <n v="0"/>
    <n v="0"/>
    <x v="2"/>
    <n v="0"/>
    <n v="1067"/>
    <n v="0"/>
  </r>
  <r>
    <x v="359"/>
    <x v="328"/>
    <x v="2"/>
    <n v="375550000"/>
    <n v="0"/>
    <n v="375550000"/>
    <n v="375550000"/>
    <n v="0"/>
    <n v="0"/>
    <n v="0"/>
    <n v="0"/>
    <x v="2"/>
    <n v="0"/>
    <n v="1066"/>
    <n v="1"/>
  </r>
  <r>
    <x v="360"/>
    <x v="329"/>
    <x v="1"/>
    <n v="159690000"/>
    <n v="47005429"/>
    <n v="112684571"/>
    <n v="108130281"/>
    <n v="4554290"/>
    <n v="4505429"/>
    <n v="48861"/>
    <n v="0"/>
    <x v="2"/>
    <n v="0"/>
    <n v="1069"/>
    <n v="0"/>
  </r>
  <r>
    <x v="360"/>
    <x v="329"/>
    <x v="2"/>
    <n v="372610000"/>
    <n v="0"/>
    <n v="372610000"/>
    <n v="372610000"/>
    <n v="0"/>
    <n v="0"/>
    <n v="0"/>
    <n v="0"/>
    <x v="2"/>
    <n v="0"/>
    <n v="1068"/>
    <n v="1"/>
  </r>
  <r>
    <x v="361"/>
    <x v="330"/>
    <x v="1"/>
    <n v="119250000"/>
    <n v="36500000"/>
    <n v="82750000"/>
    <n v="78342854"/>
    <n v="4407146"/>
    <n v="3264286"/>
    <n v="1142860"/>
    <n v="0"/>
    <x v="2"/>
    <n v="0"/>
    <n v="1071"/>
    <n v="0"/>
  </r>
  <r>
    <x v="361"/>
    <x v="330"/>
    <x v="2"/>
    <n v="278250000"/>
    <n v="0"/>
    <n v="278250000"/>
    <n v="278250000"/>
    <n v="0"/>
    <n v="0"/>
    <n v="0"/>
    <n v="0"/>
    <x v="2"/>
    <n v="0"/>
    <n v="1070"/>
    <n v="1"/>
  </r>
  <r>
    <x v="362"/>
    <x v="331"/>
    <x v="1"/>
    <n v="154218000"/>
    <n v="46500000"/>
    <n v="107718000"/>
    <n v="104378054"/>
    <n v="3339946"/>
    <n v="3339946"/>
    <n v="0"/>
    <n v="0"/>
    <x v="2"/>
    <n v="0"/>
    <n v="1073"/>
    <n v="0"/>
  </r>
  <r>
    <x v="362"/>
    <x v="331"/>
    <x v="2"/>
    <n v="359842000"/>
    <n v="0"/>
    <n v="359842000"/>
    <n v="359842000"/>
    <n v="0"/>
    <n v="0"/>
    <n v="0"/>
    <n v="0"/>
    <x v="2"/>
    <n v="0"/>
    <n v="1072"/>
    <n v="1"/>
  </r>
  <r>
    <x v="363"/>
    <x v="332"/>
    <x v="1"/>
    <n v="259000000"/>
    <n v="15000000"/>
    <n v="244000000"/>
    <n v="243000000"/>
    <n v="1000000"/>
    <n v="1000000"/>
    <n v="0"/>
    <n v="0"/>
    <x v="2"/>
    <n v="0"/>
    <n v="1075"/>
    <n v="0"/>
  </r>
  <r>
    <x v="363"/>
    <x v="332"/>
    <x v="2"/>
    <n v="136674500"/>
    <n v="0"/>
    <n v="136674500"/>
    <n v="136674500"/>
    <n v="0"/>
    <n v="0"/>
    <n v="0"/>
    <n v="0"/>
    <x v="2"/>
    <n v="0"/>
    <n v="1074"/>
    <n v="1"/>
  </r>
  <r>
    <x v="364"/>
    <x v="333"/>
    <x v="1"/>
    <n v="162333750"/>
    <n v="26619288"/>
    <n v="135714462"/>
    <n v="111059120"/>
    <n v="24655342"/>
    <n v="4627463"/>
    <n v="4627463"/>
    <n v="4627463"/>
    <x v="2"/>
    <n v="10772953"/>
    <n v="1077"/>
    <n v="0"/>
  </r>
  <r>
    <x v="364"/>
    <x v="333"/>
    <x v="2"/>
    <n v="378778750"/>
    <n v="0"/>
    <n v="378778750"/>
    <n v="378778750"/>
    <n v="0"/>
    <n v="0"/>
    <n v="0"/>
    <n v="0"/>
    <x v="2"/>
    <n v="0"/>
    <n v="1076"/>
    <n v="1"/>
  </r>
  <r>
    <x v="364"/>
    <x v="333"/>
    <x v="5"/>
    <n v="1518027"/>
    <n v="1518027"/>
    <n v="0"/>
    <n v="0"/>
    <n v="0"/>
    <n v="0"/>
    <n v="0"/>
    <n v="0"/>
    <x v="2"/>
    <n v="0"/>
    <n v="1078"/>
    <n v="1"/>
  </r>
  <r>
    <x v="365"/>
    <x v="334"/>
    <x v="1"/>
    <n v="70203500"/>
    <n v="5000000"/>
    <n v="65203500"/>
    <n v="62595360"/>
    <n v="2608140"/>
    <n v="2608140"/>
    <n v="0"/>
    <n v="0"/>
    <x v="2"/>
    <n v="0"/>
    <n v="1081"/>
    <n v="0"/>
  </r>
  <r>
    <x v="365"/>
    <x v="334"/>
    <x v="7"/>
    <n v="108100000"/>
    <n v="0"/>
    <n v="108100000"/>
    <n v="108100000"/>
    <n v="0"/>
    <n v="0"/>
    <n v="0"/>
    <n v="0"/>
    <x v="2"/>
    <n v="0"/>
    <n v="1079"/>
    <n v="1"/>
  </r>
  <r>
    <x v="365"/>
    <x v="334"/>
    <x v="2"/>
    <n v="416041500"/>
    <n v="0"/>
    <n v="416041500"/>
    <n v="416041500"/>
    <n v="0"/>
    <n v="0"/>
    <n v="0"/>
    <n v="0"/>
    <x v="2"/>
    <n v="0"/>
    <n v="1080"/>
    <n v="1"/>
  </r>
  <r>
    <x v="366"/>
    <x v="335"/>
    <x v="1"/>
    <n v="129817500"/>
    <n v="35000000"/>
    <n v="94817500"/>
    <n v="94817500"/>
    <n v="0"/>
    <n v="0"/>
    <n v="0"/>
    <n v="0"/>
    <x v="2"/>
    <n v="0"/>
    <n v="1083"/>
    <n v="0"/>
  </r>
  <r>
    <x v="366"/>
    <x v="335"/>
    <x v="2"/>
    <n v="302907500"/>
    <n v="0"/>
    <n v="302907500"/>
    <n v="302907500"/>
    <n v="0"/>
    <n v="0"/>
    <n v="0"/>
    <n v="0"/>
    <x v="2"/>
    <n v="0"/>
    <n v="1082"/>
    <n v="1"/>
  </r>
  <r>
    <x v="367"/>
    <x v="336"/>
    <x v="1"/>
    <n v="171177053"/>
    <n v="25300000"/>
    <n v="145877053"/>
    <n v="145877053"/>
    <n v="0"/>
    <n v="0"/>
    <n v="0"/>
    <n v="0"/>
    <x v="2"/>
    <n v="0"/>
    <n v="1085"/>
    <n v="0"/>
  </r>
  <r>
    <x v="367"/>
    <x v="336"/>
    <x v="2"/>
    <n v="399392122"/>
    <n v="0"/>
    <n v="399392122"/>
    <n v="399392122"/>
    <n v="0"/>
    <n v="0"/>
    <n v="0"/>
    <n v="0"/>
    <x v="2"/>
    <n v="0"/>
    <n v="1084"/>
    <n v="1"/>
  </r>
  <r>
    <x v="368"/>
    <x v="337"/>
    <x v="1"/>
    <n v="122826000"/>
    <n v="33563880"/>
    <n v="89262120"/>
    <n v="85691640"/>
    <n v="3570480"/>
    <n v="3570480"/>
    <n v="0"/>
    <n v="0"/>
    <x v="2"/>
    <n v="0"/>
    <n v="1087"/>
    <n v="0"/>
  </r>
  <r>
    <x v="368"/>
    <x v="337"/>
    <x v="2"/>
    <n v="286594000"/>
    <n v="0"/>
    <n v="286594000"/>
    <n v="286594000"/>
    <n v="0"/>
    <n v="0"/>
    <n v="0"/>
    <n v="0"/>
    <x v="2"/>
    <n v="0"/>
    <n v="1086"/>
    <n v="1"/>
  </r>
  <r>
    <x v="369"/>
    <x v="338"/>
    <x v="1"/>
    <n v="159750000"/>
    <n v="49214287"/>
    <n v="110535713"/>
    <n v="106114281"/>
    <n v="4421432"/>
    <n v="4421429"/>
    <n v="3"/>
    <n v="0"/>
    <x v="2"/>
    <n v="0"/>
    <n v="1089"/>
    <n v="0"/>
  </r>
  <r>
    <x v="369"/>
    <x v="338"/>
    <x v="2"/>
    <n v="372750000"/>
    <n v="0"/>
    <n v="372750000"/>
    <n v="372750000"/>
    <n v="0"/>
    <n v="0"/>
    <n v="0"/>
    <n v="0"/>
    <x v="2"/>
    <n v="0"/>
    <n v="1088"/>
    <n v="1"/>
  </r>
  <r>
    <x v="370"/>
    <x v="338"/>
    <x v="0"/>
    <m/>
    <m/>
    <m/>
    <m/>
    <m/>
    <m/>
    <m/>
    <m/>
    <x v="3"/>
    <m/>
    <n v="1090"/>
    <n v="1"/>
  </r>
  <r>
    <x v="371"/>
    <x v="339"/>
    <x v="1"/>
    <n v="183277995"/>
    <n v="183277995"/>
    <n v="0"/>
    <n v="0"/>
    <n v="0"/>
    <n v="0"/>
    <n v="0"/>
    <n v="0"/>
    <x v="3"/>
    <n v="0"/>
    <n v="1092"/>
    <n v="0"/>
  </r>
  <r>
    <x v="371"/>
    <x v="339"/>
    <x v="2"/>
    <n v="273600000"/>
    <n v="0"/>
    <n v="273600000"/>
    <n v="0"/>
    <n v="273600000"/>
    <n v="0"/>
    <n v="273600000"/>
    <n v="0"/>
    <x v="3"/>
    <n v="0"/>
    <n v="1091"/>
    <n v="1"/>
  </r>
  <r>
    <x v="372"/>
    <x v="340"/>
    <x v="1"/>
    <n v="115177800"/>
    <n v="115177800"/>
    <n v="0"/>
    <n v="0"/>
    <n v="0"/>
    <n v="0"/>
    <n v="0"/>
    <n v="0"/>
    <x v="3"/>
    <n v="0"/>
    <n v="1094"/>
    <n v="0"/>
  </r>
  <r>
    <x v="372"/>
    <x v="340"/>
    <x v="2"/>
    <n v="268748200"/>
    <n v="6427325"/>
    <n v="262320875"/>
    <n v="0"/>
    <n v="262320875"/>
    <n v="0"/>
    <n v="0"/>
    <n v="0"/>
    <x v="3"/>
    <n v="262320875"/>
    <n v="1093"/>
    <n v="1"/>
  </r>
  <r>
    <x v="372"/>
    <x v="340"/>
    <x v="6"/>
    <n v="1512675"/>
    <n v="1512675"/>
    <n v="0"/>
    <n v="0"/>
    <n v="0"/>
    <n v="0"/>
    <n v="0"/>
    <n v="0"/>
    <x v="3"/>
    <n v="0"/>
    <n v="1095"/>
    <n v="1"/>
  </r>
  <r>
    <x v="373"/>
    <x v="341"/>
    <x v="1"/>
    <n v="143589405"/>
    <n v="131462631"/>
    <n v="12126774"/>
    <n v="0"/>
    <n v="12126774"/>
    <n v="0"/>
    <n v="0"/>
    <n v="0"/>
    <x v="3"/>
    <n v="12126774"/>
    <n v="1097"/>
    <n v="0"/>
  </r>
  <r>
    <x v="373"/>
    <x v="341"/>
    <x v="2"/>
    <n v="339549595"/>
    <n v="0"/>
    <n v="339549595"/>
    <n v="0"/>
    <n v="339549595"/>
    <n v="0"/>
    <n v="0"/>
    <n v="0"/>
    <x v="3"/>
    <n v="339549595"/>
    <n v="1096"/>
    <n v="1"/>
  </r>
  <r>
    <x v="373"/>
    <x v="341"/>
    <x v="6"/>
    <n v="1931850"/>
    <n v="1931850"/>
    <n v="0"/>
    <n v="0"/>
    <n v="0"/>
    <n v="0"/>
    <n v="0"/>
    <n v="0"/>
    <x v="3"/>
    <n v="0"/>
    <n v="1098"/>
    <n v="1"/>
  </r>
  <r>
    <x v="374"/>
    <x v="342"/>
    <x v="1"/>
    <n v="147549437"/>
    <n v="147549437"/>
    <n v="0"/>
    <n v="0"/>
    <n v="0"/>
    <n v="0"/>
    <n v="0"/>
    <n v="0"/>
    <x v="3"/>
    <n v="0"/>
    <n v="1100"/>
    <n v="0"/>
  </r>
  <r>
    <x v="374"/>
    <x v="342"/>
    <x v="2"/>
    <n v="343000000"/>
    <n v="0"/>
    <n v="343000000"/>
    <n v="0"/>
    <n v="343000000"/>
    <n v="0"/>
    <n v="343000000"/>
    <n v="0"/>
    <x v="3"/>
    <n v="0"/>
    <n v="1099"/>
    <n v="1"/>
  </r>
  <r>
    <x v="375"/>
    <x v="343"/>
    <x v="1"/>
    <n v="319630490"/>
    <n v="319630490"/>
    <n v="0"/>
    <n v="0"/>
    <n v="0"/>
    <n v="0"/>
    <n v="0"/>
    <n v="0"/>
    <x v="3"/>
    <n v="0"/>
    <n v="1101"/>
    <n v="0"/>
  </r>
  <r>
    <x v="375"/>
    <x v="343"/>
    <x v="3"/>
    <n v="75526"/>
    <n v="75526"/>
    <n v="0"/>
    <n v="0"/>
    <n v="0"/>
    <n v="0"/>
    <n v="0"/>
    <n v="0"/>
    <x v="3"/>
    <n v="0"/>
    <n v="1102"/>
    <n v="1"/>
  </r>
  <r>
    <x v="376"/>
    <x v="344"/>
    <x v="1"/>
    <n v="142606500"/>
    <n v="57625545"/>
    <n v="84980955"/>
    <n v="73787015"/>
    <n v="11193940"/>
    <n v="11193940"/>
    <n v="0"/>
    <n v="0"/>
    <x v="3"/>
    <n v="0"/>
    <n v="1105"/>
    <n v="0"/>
  </r>
  <r>
    <x v="376"/>
    <x v="344"/>
    <x v="9"/>
    <n v="38636392"/>
    <n v="6623380"/>
    <n v="32013012"/>
    <n v="30357167"/>
    <n v="1655845"/>
    <n v="1655845"/>
    <n v="0"/>
    <n v="0"/>
    <x v="3"/>
    <n v="0"/>
    <n v="1103"/>
    <n v="1"/>
  </r>
  <r>
    <x v="376"/>
    <x v="344"/>
    <x v="2"/>
    <n v="332748500"/>
    <n v="0"/>
    <n v="332748500"/>
    <n v="332748500"/>
    <n v="0"/>
    <n v="0"/>
    <n v="0"/>
    <n v="0"/>
    <x v="3"/>
    <n v="0"/>
    <n v="1104"/>
    <n v="1"/>
  </r>
  <r>
    <x v="377"/>
    <x v="345"/>
    <x v="1"/>
    <n v="117594501"/>
    <n v="117594501"/>
    <n v="0"/>
    <n v="0"/>
    <n v="0"/>
    <n v="0"/>
    <n v="0"/>
    <n v="0"/>
    <x v="3"/>
    <n v="0"/>
    <n v="1107"/>
    <n v="0"/>
  </r>
  <r>
    <x v="377"/>
    <x v="345"/>
    <x v="2"/>
    <n v="246557412"/>
    <n v="0"/>
    <n v="246557412"/>
    <n v="0"/>
    <n v="246557412"/>
    <n v="0"/>
    <n v="246557412"/>
    <n v="0"/>
    <x v="3"/>
    <n v="0"/>
    <n v="1106"/>
    <n v="1"/>
  </r>
  <r>
    <x v="378"/>
    <x v="346"/>
    <x v="1"/>
    <n v="98228000"/>
    <n v="98228000"/>
    <n v="0"/>
    <n v="0"/>
    <n v="0"/>
    <n v="0"/>
    <n v="0"/>
    <n v="0"/>
    <x v="3"/>
    <n v="0"/>
    <n v="1109"/>
    <n v="0"/>
  </r>
  <r>
    <x v="378"/>
    <x v="346"/>
    <x v="2"/>
    <n v="220123042"/>
    <n v="0"/>
    <n v="220123042"/>
    <n v="0"/>
    <n v="220123042"/>
    <n v="0"/>
    <n v="220123042"/>
    <n v="0"/>
    <x v="3"/>
    <n v="0"/>
    <n v="1108"/>
    <n v="1"/>
  </r>
  <r>
    <x v="379"/>
    <x v="347"/>
    <x v="1"/>
    <n v="369935319"/>
    <n v="369935319"/>
    <n v="0"/>
    <n v="0"/>
    <n v="0"/>
    <n v="0"/>
    <n v="0"/>
    <n v="0"/>
    <x v="3"/>
    <n v="0"/>
    <n v="1110"/>
    <n v="0"/>
  </r>
  <r>
    <x v="380"/>
    <x v="348"/>
    <x v="1"/>
    <n v="121375836"/>
    <n v="121345836"/>
    <n v="30000"/>
    <n v="0"/>
    <n v="30000"/>
    <n v="0"/>
    <n v="30000"/>
    <n v="0"/>
    <x v="3"/>
    <n v="0"/>
    <n v="1112"/>
    <n v="0"/>
  </r>
  <r>
    <x v="380"/>
    <x v="348"/>
    <x v="2"/>
    <n v="282000000"/>
    <n v="0"/>
    <n v="282000000"/>
    <n v="0"/>
    <n v="282000000"/>
    <n v="0"/>
    <n v="282000000"/>
    <n v="0"/>
    <x v="3"/>
    <n v="0"/>
    <n v="1111"/>
    <n v="1"/>
  </r>
  <r>
    <x v="381"/>
    <x v="349"/>
    <x v="1"/>
    <n v="81453130"/>
    <n v="11007356"/>
    <n v="70445774"/>
    <n v="70445774"/>
    <n v="0"/>
    <n v="0"/>
    <n v="0"/>
    <n v="0"/>
    <x v="3"/>
    <n v="0"/>
    <n v="1115"/>
    <n v="0"/>
  </r>
  <r>
    <x v="381"/>
    <x v="349"/>
    <x v="9"/>
    <n v="12438713"/>
    <n v="1492644"/>
    <n v="10946069"/>
    <n v="10946069"/>
    <n v="0"/>
    <n v="0"/>
    <n v="0"/>
    <n v="0"/>
    <x v="3"/>
    <n v="0"/>
    <n v="1113"/>
    <n v="1"/>
  </r>
  <r>
    <x v="381"/>
    <x v="349"/>
    <x v="2"/>
    <n v="332031870"/>
    <n v="0"/>
    <n v="332031870"/>
    <n v="332031870"/>
    <n v="0"/>
    <n v="0"/>
    <n v="0"/>
    <n v="0"/>
    <x v="3"/>
    <n v="0"/>
    <n v="1114"/>
    <n v="1"/>
  </r>
  <r>
    <x v="382"/>
    <x v="350"/>
    <x v="1"/>
    <n v="95499100"/>
    <n v="85328141"/>
    <n v="10170959"/>
    <n v="10170959"/>
    <n v="0"/>
    <n v="0"/>
    <n v="0"/>
    <n v="0"/>
    <x v="3"/>
    <n v="0"/>
    <n v="1117"/>
    <n v="0"/>
  </r>
  <r>
    <x v="382"/>
    <x v="350"/>
    <x v="2"/>
    <n v="389785900"/>
    <n v="4431290"/>
    <n v="385354610"/>
    <n v="385354610"/>
    <n v="0"/>
    <n v="0"/>
    <n v="0"/>
    <n v="0"/>
    <x v="3"/>
    <n v="0"/>
    <n v="1116"/>
    <n v="1"/>
  </r>
  <r>
    <x v="382"/>
    <x v="350"/>
    <x v="6"/>
    <n v="15572863"/>
    <n v="4671859"/>
    <n v="10901004"/>
    <n v="10901004"/>
    <n v="0"/>
    <n v="0"/>
    <n v="0"/>
    <n v="0"/>
    <x v="3"/>
    <n v="0"/>
    <n v="1118"/>
    <n v="1"/>
  </r>
  <r>
    <x v="383"/>
    <x v="351"/>
    <x v="1"/>
    <n v="98278486"/>
    <n v="98278486"/>
    <n v="0"/>
    <n v="0"/>
    <n v="0"/>
    <n v="0"/>
    <n v="0"/>
    <n v="0"/>
    <x v="3"/>
    <n v="0"/>
    <n v="1120"/>
    <n v="0"/>
  </r>
  <r>
    <x v="383"/>
    <x v="351"/>
    <x v="2"/>
    <n v="224062443"/>
    <n v="0"/>
    <n v="224062443"/>
    <n v="0"/>
    <n v="224062443"/>
    <n v="0"/>
    <n v="224062443"/>
    <n v="0"/>
    <x v="3"/>
    <n v="0"/>
    <n v="1119"/>
    <n v="1"/>
  </r>
  <r>
    <x v="383"/>
    <x v="351"/>
    <x v="5"/>
    <n v="3475859"/>
    <n v="3475859"/>
    <n v="0"/>
    <n v="0"/>
    <n v="0"/>
    <n v="0"/>
    <n v="0"/>
    <n v="0"/>
    <x v="3"/>
    <n v="0"/>
    <n v="1121"/>
    <n v="1"/>
  </r>
  <r>
    <x v="384"/>
    <x v="352"/>
    <x v="1"/>
    <n v="123144750"/>
    <n v="123144750"/>
    <n v="0"/>
    <n v="0"/>
    <n v="0"/>
    <n v="0"/>
    <n v="0"/>
    <n v="0"/>
    <x v="3"/>
    <n v="0"/>
    <n v="1123"/>
    <n v="0"/>
  </r>
  <r>
    <x v="384"/>
    <x v="352"/>
    <x v="2"/>
    <n v="287337750"/>
    <n v="110676987"/>
    <n v="176660763"/>
    <n v="0"/>
    <n v="176660763"/>
    <n v="0"/>
    <n v="0"/>
    <n v="0"/>
    <x v="3"/>
    <n v="176660763"/>
    <n v="1122"/>
    <n v="1"/>
  </r>
  <r>
    <x v="385"/>
    <x v="353"/>
    <x v="1"/>
    <n v="124077600"/>
    <n v="124077600"/>
    <n v="0"/>
    <n v="0"/>
    <n v="0"/>
    <n v="0"/>
    <n v="0"/>
    <n v="0"/>
    <x v="3"/>
    <n v="0"/>
    <n v="1125"/>
    <n v="0"/>
  </r>
  <r>
    <x v="385"/>
    <x v="353"/>
    <x v="2"/>
    <n v="289514400"/>
    <n v="226829361"/>
    <n v="62685039"/>
    <n v="0"/>
    <n v="62685039"/>
    <n v="0"/>
    <n v="0"/>
    <n v="0"/>
    <x v="3"/>
    <n v="62685039"/>
    <n v="1124"/>
    <n v="1"/>
  </r>
  <r>
    <x v="386"/>
    <x v="354"/>
    <x v="1"/>
    <n v="150311800"/>
    <n v="150311800"/>
    <n v="0"/>
    <n v="0"/>
    <n v="0"/>
    <n v="0"/>
    <n v="0"/>
    <n v="0"/>
    <x v="3"/>
    <n v="0"/>
    <n v="1127"/>
    <n v="0"/>
  </r>
  <r>
    <x v="386"/>
    <x v="354"/>
    <x v="2"/>
    <n v="160000000"/>
    <n v="0"/>
    <n v="160000000"/>
    <n v="0"/>
    <n v="160000000"/>
    <n v="0"/>
    <n v="160000000"/>
    <n v="0"/>
    <x v="3"/>
    <n v="0"/>
    <n v="1126"/>
    <n v="1"/>
  </r>
  <r>
    <x v="386"/>
    <x v="354"/>
    <x v="5"/>
    <n v="490947"/>
    <n v="490947"/>
    <n v="0"/>
    <n v="0"/>
    <n v="0"/>
    <n v="0"/>
    <n v="0"/>
    <n v="0"/>
    <x v="3"/>
    <n v="0"/>
    <n v="1128"/>
    <n v="1"/>
  </r>
  <r>
    <x v="387"/>
    <x v="355"/>
    <x v="1"/>
    <n v="375884059"/>
    <n v="375884059"/>
    <n v="0"/>
    <n v="0"/>
    <n v="0"/>
    <n v="0"/>
    <n v="0"/>
    <n v="0"/>
    <x v="3"/>
    <n v="0"/>
    <n v="1129"/>
    <n v="0"/>
  </r>
  <r>
    <x v="388"/>
    <x v="356"/>
    <x v="1"/>
    <n v="77564652"/>
    <n v="8221357"/>
    <n v="69343295"/>
    <n v="66121938"/>
    <n v="3221357"/>
    <n v="3221357"/>
    <n v="0"/>
    <n v="0"/>
    <x v="3"/>
    <n v="0"/>
    <n v="1134"/>
    <n v="0"/>
  </r>
  <r>
    <x v="388"/>
    <x v="356"/>
    <x v="9"/>
    <n v="15572863"/>
    <n v="778643"/>
    <n v="14794220"/>
    <n v="14015577"/>
    <n v="778643"/>
    <n v="778643"/>
    <n v="0"/>
    <n v="0"/>
    <x v="3"/>
    <n v="0"/>
    <n v="1130"/>
    <n v="1"/>
  </r>
  <r>
    <x v="388"/>
    <x v="356"/>
    <x v="2"/>
    <n v="289098995"/>
    <n v="0"/>
    <n v="289098995"/>
    <n v="289098995"/>
    <n v="0"/>
    <n v="0"/>
    <n v="0"/>
    <n v="0"/>
    <x v="3"/>
    <n v="0"/>
    <n v="1131"/>
    <n v="1"/>
  </r>
  <r>
    <x v="388"/>
    <x v="356"/>
    <x v="10"/>
    <n v="87000000"/>
    <n v="0"/>
    <n v="87000000"/>
    <n v="87000000"/>
    <n v="0"/>
    <n v="0"/>
    <n v="0"/>
    <n v="0"/>
    <x v="3"/>
    <n v="0"/>
    <n v="1132"/>
    <n v="1"/>
  </r>
  <r>
    <x v="388"/>
    <x v="356"/>
    <x v="12"/>
    <n v="35718853"/>
    <n v="35600000"/>
    <n v="118853"/>
    <n v="0"/>
    <n v="118853"/>
    <n v="0"/>
    <n v="0"/>
    <n v="118853"/>
    <x v="3"/>
    <n v="0"/>
    <n v="1133"/>
    <n v="1"/>
  </r>
  <r>
    <x v="389"/>
    <x v="357"/>
    <x v="1"/>
    <n v="95032715"/>
    <n v="95032715"/>
    <n v="0"/>
    <n v="0"/>
    <n v="0"/>
    <n v="0"/>
    <n v="0"/>
    <n v="0"/>
    <x v="3"/>
    <n v="0"/>
    <n v="1136"/>
    <n v="0"/>
  </r>
  <r>
    <x v="389"/>
    <x v="357"/>
    <x v="2"/>
    <n v="220219461"/>
    <n v="0"/>
    <n v="220219461"/>
    <n v="0"/>
    <n v="220219461"/>
    <n v="0"/>
    <n v="220219461"/>
    <n v="0"/>
    <x v="3"/>
    <n v="0"/>
    <n v="1135"/>
    <n v="1"/>
  </r>
  <r>
    <x v="389"/>
    <x v="357"/>
    <x v="6"/>
    <n v="1512675"/>
    <n v="1512675"/>
    <n v="0"/>
    <n v="0"/>
    <n v="0"/>
    <n v="0"/>
    <n v="0"/>
    <n v="0"/>
    <x v="3"/>
    <n v="0"/>
    <n v="1137"/>
    <n v="1"/>
  </r>
  <r>
    <x v="390"/>
    <x v="358"/>
    <x v="1"/>
    <n v="144183891"/>
    <n v="144183891"/>
    <n v="0"/>
    <n v="0"/>
    <n v="0"/>
    <n v="0"/>
    <n v="0"/>
    <n v="0"/>
    <x v="3"/>
    <n v="0"/>
    <n v="1139"/>
    <n v="0"/>
  </r>
  <r>
    <x v="390"/>
    <x v="358"/>
    <x v="2"/>
    <n v="294773136"/>
    <n v="294773136"/>
    <n v="0"/>
    <n v="0"/>
    <n v="0"/>
    <n v="0"/>
    <n v="0"/>
    <n v="0"/>
    <x v="3"/>
    <n v="0"/>
    <n v="1138"/>
    <n v="1"/>
  </r>
  <r>
    <x v="390"/>
    <x v="358"/>
    <x v="5"/>
    <n v="1539667"/>
    <n v="1539667"/>
    <n v="0"/>
    <n v="0"/>
    <n v="0"/>
    <n v="0"/>
    <n v="0"/>
    <n v="0"/>
    <x v="3"/>
    <n v="0"/>
    <n v="1140"/>
    <n v="1"/>
  </r>
  <r>
    <x v="391"/>
    <x v="359"/>
    <x v="1"/>
    <n v="123928000"/>
    <n v="123928000"/>
    <n v="0"/>
    <n v="0"/>
    <n v="0"/>
    <n v="0"/>
    <n v="0"/>
    <n v="0"/>
    <x v="3"/>
    <n v="0"/>
    <n v="1142"/>
    <n v="0"/>
  </r>
  <r>
    <x v="391"/>
    <x v="359"/>
    <x v="2"/>
    <n v="289164000"/>
    <n v="246027185"/>
    <n v="43136815"/>
    <n v="0"/>
    <n v="43136815"/>
    <n v="0"/>
    <n v="0"/>
    <n v="0"/>
    <x v="3"/>
    <n v="43136815"/>
    <n v="1141"/>
    <n v="1"/>
  </r>
  <r>
    <x v="391"/>
    <x v="359"/>
    <x v="5"/>
    <n v="631639"/>
    <n v="631639"/>
    <n v="0"/>
    <n v="0"/>
    <n v="0"/>
    <n v="0"/>
    <n v="0"/>
    <n v="0"/>
    <x v="3"/>
    <n v="0"/>
    <n v="1143"/>
    <n v="1"/>
  </r>
  <r>
    <x v="392"/>
    <x v="360"/>
    <x v="1"/>
    <n v="324663237"/>
    <n v="324663237"/>
    <n v="0"/>
    <n v="0"/>
    <n v="0"/>
    <n v="0"/>
    <n v="0"/>
    <n v="0"/>
    <x v="3"/>
    <n v="0"/>
    <n v="1144"/>
    <n v="0"/>
  </r>
  <r>
    <x v="392"/>
    <x v="360"/>
    <x v="3"/>
    <n v="61667"/>
    <n v="61667"/>
    <n v="0"/>
    <n v="0"/>
    <n v="0"/>
    <n v="0"/>
    <n v="0"/>
    <n v="0"/>
    <x v="3"/>
    <n v="0"/>
    <n v="1145"/>
    <n v="1"/>
  </r>
  <r>
    <x v="392"/>
    <x v="360"/>
    <x v="5"/>
    <n v="160357"/>
    <n v="160357"/>
    <n v="0"/>
    <n v="0"/>
    <n v="0"/>
    <n v="0"/>
    <n v="0"/>
    <n v="0"/>
    <x v="3"/>
    <n v="0"/>
    <n v="1146"/>
    <n v="1"/>
  </r>
  <r>
    <x v="393"/>
    <x v="153"/>
    <x v="1"/>
    <n v="351949273"/>
    <n v="351949269"/>
    <n v="4"/>
    <n v="0"/>
    <n v="4"/>
    <n v="0"/>
    <n v="4"/>
    <n v="0"/>
    <x v="3"/>
    <n v="0"/>
    <n v="1147"/>
    <n v="0"/>
  </r>
  <r>
    <x v="394"/>
    <x v="361"/>
    <x v="1"/>
    <n v="91934212"/>
    <n v="25155277"/>
    <n v="66778935"/>
    <n v="66778935"/>
    <n v="0"/>
    <n v="0"/>
    <n v="0"/>
    <n v="0"/>
    <x v="3"/>
    <n v="0"/>
    <n v="1150"/>
    <n v="0"/>
  </r>
  <r>
    <x v="394"/>
    <x v="361"/>
    <x v="9"/>
    <n v="82007888"/>
    <n v="17221659"/>
    <n v="64786229"/>
    <n v="64786229"/>
    <n v="0"/>
    <n v="0"/>
    <n v="0"/>
    <n v="0"/>
    <x v="3"/>
    <n v="0"/>
    <n v="1148"/>
    <n v="1"/>
  </r>
  <r>
    <x v="394"/>
    <x v="361"/>
    <x v="2"/>
    <n v="408740788"/>
    <n v="191711208"/>
    <n v="217029580"/>
    <n v="217029580"/>
    <n v="0"/>
    <n v="0"/>
    <n v="0"/>
    <n v="0"/>
    <x v="3"/>
    <n v="0"/>
    <n v="1149"/>
    <n v="1"/>
  </r>
  <r>
    <x v="395"/>
    <x v="104"/>
    <x v="1"/>
    <n v="314029672"/>
    <n v="314029672"/>
    <n v="0"/>
    <n v="0"/>
    <n v="0"/>
    <n v="0"/>
    <n v="0"/>
    <n v="0"/>
    <x v="3"/>
    <n v="0"/>
    <n v="1151"/>
    <n v="0"/>
  </r>
  <r>
    <x v="395"/>
    <x v="104"/>
    <x v="3"/>
    <n v="74113"/>
    <n v="74113"/>
    <n v="0"/>
    <n v="0"/>
    <n v="0"/>
    <n v="0"/>
    <n v="0"/>
    <n v="0"/>
    <x v="3"/>
    <n v="0"/>
    <n v="1152"/>
    <n v="1"/>
  </r>
  <r>
    <x v="395"/>
    <x v="104"/>
    <x v="6"/>
    <n v="1512675"/>
    <n v="1512675"/>
    <n v="0"/>
    <n v="0"/>
    <n v="0"/>
    <n v="0"/>
    <n v="0"/>
    <n v="0"/>
    <x v="3"/>
    <n v="0"/>
    <n v="1153"/>
    <n v="1"/>
  </r>
  <r>
    <x v="396"/>
    <x v="362"/>
    <x v="1"/>
    <n v="152000000"/>
    <n v="145518228"/>
    <n v="6481772"/>
    <n v="0"/>
    <n v="6481772"/>
    <n v="0"/>
    <n v="6481772"/>
    <n v="0"/>
    <x v="3"/>
    <n v="0"/>
    <n v="1155"/>
    <n v="0"/>
  </r>
  <r>
    <x v="396"/>
    <x v="362"/>
    <x v="2"/>
    <n v="277095000"/>
    <n v="0"/>
    <n v="277095000"/>
    <n v="0"/>
    <n v="277095000"/>
    <n v="0"/>
    <n v="277095000"/>
    <n v="0"/>
    <x v="3"/>
    <n v="0"/>
    <n v="1154"/>
    <n v="1"/>
  </r>
  <r>
    <x v="396"/>
    <x v="362"/>
    <x v="6"/>
    <n v="1931850"/>
    <n v="1931850"/>
    <n v="0"/>
    <n v="0"/>
    <n v="0"/>
    <n v="0"/>
    <n v="0"/>
    <n v="0"/>
    <x v="3"/>
    <n v="0"/>
    <n v="1156"/>
    <n v="1"/>
  </r>
  <r>
    <x v="397"/>
    <x v="363"/>
    <x v="1"/>
    <n v="402542265"/>
    <n v="402542265"/>
    <n v="0"/>
    <n v="0"/>
    <n v="0"/>
    <n v="0"/>
    <n v="0"/>
    <n v="0"/>
    <x v="3"/>
    <n v="0"/>
    <n v="1157"/>
    <n v="0"/>
  </r>
  <r>
    <x v="397"/>
    <x v="363"/>
    <x v="3"/>
    <n v="91527"/>
    <n v="91527"/>
    <n v="0"/>
    <n v="0"/>
    <n v="0"/>
    <n v="0"/>
    <n v="0"/>
    <n v="0"/>
    <x v="3"/>
    <n v="0"/>
    <n v="1158"/>
    <n v="1"/>
  </r>
  <r>
    <x v="397"/>
    <x v="363"/>
    <x v="6"/>
    <n v="1931850"/>
    <n v="1931850"/>
    <n v="0"/>
    <n v="0"/>
    <n v="0"/>
    <n v="0"/>
    <n v="0"/>
    <n v="0"/>
    <x v="3"/>
    <n v="0"/>
    <n v="1159"/>
    <n v="1"/>
  </r>
  <r>
    <x v="398"/>
    <x v="364"/>
    <x v="1"/>
    <n v="94939500"/>
    <n v="94939500"/>
    <n v="0"/>
    <n v="0"/>
    <n v="0"/>
    <n v="0"/>
    <n v="0"/>
    <n v="0"/>
    <x v="3"/>
    <n v="0"/>
    <n v="1161"/>
    <n v="0"/>
  </r>
  <r>
    <x v="398"/>
    <x v="364"/>
    <x v="2"/>
    <n v="221525500"/>
    <n v="0"/>
    <n v="221525500"/>
    <n v="0"/>
    <n v="221525500"/>
    <n v="0"/>
    <n v="221525500"/>
    <n v="0"/>
    <x v="3"/>
    <n v="0"/>
    <n v="1160"/>
    <n v="1"/>
  </r>
  <r>
    <x v="399"/>
    <x v="365"/>
    <x v="1"/>
    <n v="113351519"/>
    <n v="113195319"/>
    <n v="156200"/>
    <n v="0"/>
    <n v="156200"/>
    <n v="0"/>
    <n v="156200"/>
    <n v="0"/>
    <x v="3"/>
    <n v="0"/>
    <n v="1163"/>
    <n v="0"/>
  </r>
  <r>
    <x v="399"/>
    <x v="365"/>
    <x v="2"/>
    <n v="257000000"/>
    <n v="0"/>
    <n v="257000000"/>
    <n v="0"/>
    <n v="257000000"/>
    <n v="0"/>
    <n v="257000000"/>
    <n v="0"/>
    <x v="3"/>
    <n v="0"/>
    <n v="1162"/>
    <n v="1"/>
  </r>
  <r>
    <x v="400"/>
    <x v="366"/>
    <x v="1"/>
    <n v="92034212"/>
    <n v="5832000"/>
    <n v="86202212"/>
    <n v="83103999"/>
    <n v="3098213"/>
    <n v="3098213"/>
    <n v="0"/>
    <n v="0"/>
    <x v="3"/>
    <n v="0"/>
    <n v="1166"/>
    <n v="0"/>
  </r>
  <r>
    <x v="400"/>
    <x v="366"/>
    <x v="9"/>
    <n v="82007888"/>
    <n v="0"/>
    <n v="82007888"/>
    <n v="79274292"/>
    <n v="2733596"/>
    <n v="2733596"/>
    <n v="0"/>
    <n v="0"/>
    <x v="3"/>
    <n v="0"/>
    <n v="1164"/>
    <n v="1"/>
  </r>
  <r>
    <x v="400"/>
    <x v="366"/>
    <x v="2"/>
    <n v="409140788"/>
    <n v="0"/>
    <n v="409140788"/>
    <n v="409140788"/>
    <n v="0"/>
    <n v="0"/>
    <n v="0"/>
    <n v="0"/>
    <x v="3"/>
    <n v="0"/>
    <n v="1165"/>
    <n v="1"/>
  </r>
  <r>
    <x v="401"/>
    <x v="367"/>
    <x v="1"/>
    <n v="149225350"/>
    <n v="149225350"/>
    <n v="0"/>
    <n v="0"/>
    <n v="0"/>
    <n v="0"/>
    <n v="0"/>
    <n v="0"/>
    <x v="3"/>
    <n v="0"/>
    <n v="1168"/>
    <n v="0"/>
  </r>
  <r>
    <x v="401"/>
    <x v="367"/>
    <x v="2"/>
    <n v="170215625"/>
    <n v="0"/>
    <n v="170215625"/>
    <n v="0"/>
    <n v="170215625"/>
    <n v="0"/>
    <n v="170215625"/>
    <n v="0"/>
    <x v="3"/>
    <n v="0"/>
    <n v="1167"/>
    <n v="1"/>
  </r>
  <r>
    <x v="402"/>
    <x v="368"/>
    <x v="1"/>
    <n v="120041250"/>
    <n v="120041250"/>
    <n v="0"/>
    <n v="0"/>
    <n v="0"/>
    <n v="0"/>
    <n v="0"/>
    <n v="0"/>
    <x v="3"/>
    <n v="0"/>
    <n v="1170"/>
    <n v="0"/>
  </r>
  <r>
    <x v="402"/>
    <x v="368"/>
    <x v="2"/>
    <n v="280096250"/>
    <n v="0"/>
    <n v="280096250"/>
    <n v="0"/>
    <n v="280096250"/>
    <n v="0"/>
    <n v="0"/>
    <n v="0"/>
    <x v="3"/>
    <n v="280096250"/>
    <n v="1169"/>
    <n v="1"/>
  </r>
  <r>
    <x v="403"/>
    <x v="369"/>
    <x v="1"/>
    <n v="251584831"/>
    <n v="163776514"/>
    <n v="87808317"/>
    <n v="0"/>
    <n v="87808317"/>
    <n v="0"/>
    <n v="87808317"/>
    <n v="0"/>
    <x v="3"/>
    <n v="0"/>
    <n v="1172"/>
    <n v="0"/>
  </r>
  <r>
    <x v="403"/>
    <x v="369"/>
    <x v="2"/>
    <n v="140125991"/>
    <n v="0"/>
    <n v="140125991"/>
    <n v="0"/>
    <n v="140125991"/>
    <n v="0"/>
    <n v="140125991"/>
    <n v="0"/>
    <x v="3"/>
    <n v="0"/>
    <n v="1171"/>
    <n v="1"/>
  </r>
  <r>
    <x v="403"/>
    <x v="369"/>
    <x v="5"/>
    <n v="1069140"/>
    <n v="1069140"/>
    <n v="0"/>
    <n v="0"/>
    <n v="0"/>
    <n v="0"/>
    <n v="0"/>
    <n v="0"/>
    <x v="3"/>
    <n v="0"/>
    <n v="1173"/>
    <n v="1"/>
  </r>
  <r>
    <x v="403"/>
    <x v="369"/>
    <x v="6"/>
    <n v="1931850"/>
    <n v="1931850"/>
    <n v="0"/>
    <n v="0"/>
    <n v="0"/>
    <n v="0"/>
    <n v="0"/>
    <n v="0"/>
    <x v="3"/>
    <n v="0"/>
    <n v="1174"/>
    <n v="1"/>
  </r>
  <r>
    <x v="404"/>
    <x v="370"/>
    <x v="1"/>
    <n v="102859704"/>
    <n v="102859704"/>
    <n v="0"/>
    <n v="0"/>
    <n v="0"/>
    <n v="0"/>
    <n v="0"/>
    <n v="0"/>
    <x v="3"/>
    <n v="0"/>
    <n v="1176"/>
    <n v="0"/>
  </r>
  <r>
    <x v="404"/>
    <x v="370"/>
    <x v="2"/>
    <n v="238941500"/>
    <n v="205634"/>
    <n v="238735866"/>
    <n v="0"/>
    <n v="238735866"/>
    <n v="0"/>
    <n v="0"/>
    <n v="0"/>
    <x v="3"/>
    <n v="238735866"/>
    <n v="1175"/>
    <n v="1"/>
  </r>
  <r>
    <x v="404"/>
    <x v="370"/>
    <x v="5"/>
    <n v="139271"/>
    <n v="139271"/>
    <n v="0"/>
    <n v="0"/>
    <n v="0"/>
    <n v="0"/>
    <n v="0"/>
    <n v="0"/>
    <x v="3"/>
    <n v="0"/>
    <n v="1177"/>
    <n v="1"/>
  </r>
  <r>
    <x v="405"/>
    <x v="371"/>
    <x v="1"/>
    <n v="134691005"/>
    <n v="134691005"/>
    <n v="0"/>
    <n v="0"/>
    <n v="0"/>
    <n v="0"/>
    <n v="0"/>
    <n v="0"/>
    <x v="3"/>
    <n v="0"/>
    <n v="1179"/>
    <n v="0"/>
  </r>
  <r>
    <x v="405"/>
    <x v="371"/>
    <x v="2"/>
    <n v="305777241"/>
    <n v="0"/>
    <n v="305777241"/>
    <n v="0"/>
    <n v="305777241"/>
    <n v="0"/>
    <n v="305777241"/>
    <n v="0"/>
    <x v="3"/>
    <n v="0"/>
    <n v="1178"/>
    <n v="1"/>
  </r>
  <r>
    <x v="406"/>
    <x v="372"/>
    <x v="1"/>
    <n v="84759863"/>
    <n v="45923596"/>
    <n v="38836267"/>
    <n v="38836267"/>
    <n v="0"/>
    <n v="0"/>
    <n v="0"/>
    <n v="0"/>
    <x v="3"/>
    <n v="0"/>
    <n v="1181"/>
    <n v="0"/>
  </r>
  <r>
    <x v="406"/>
    <x v="372"/>
    <x v="2"/>
    <n v="345090137"/>
    <n v="263958"/>
    <n v="344826179"/>
    <n v="344826179"/>
    <n v="0"/>
    <n v="0"/>
    <n v="0"/>
    <n v="0"/>
    <x v="3"/>
    <n v="0"/>
    <n v="1180"/>
    <n v="1"/>
  </r>
  <r>
    <x v="406"/>
    <x v="372"/>
    <x v="6"/>
    <n v="1512671"/>
    <n v="1512671"/>
    <n v="0"/>
    <n v="0"/>
    <n v="0"/>
    <n v="0"/>
    <n v="0"/>
    <n v="0"/>
    <x v="3"/>
    <n v="0"/>
    <n v="1182"/>
    <n v="1"/>
  </r>
  <r>
    <x v="407"/>
    <x v="373"/>
    <x v="1"/>
    <n v="121691250"/>
    <n v="121691250"/>
    <n v="0"/>
    <n v="0"/>
    <n v="0"/>
    <n v="0"/>
    <n v="0"/>
    <n v="0"/>
    <x v="3"/>
    <n v="0"/>
    <n v="1184"/>
    <n v="0"/>
  </r>
  <r>
    <x v="407"/>
    <x v="373"/>
    <x v="2"/>
    <n v="283946250"/>
    <n v="2759711"/>
    <n v="281186539"/>
    <n v="0"/>
    <n v="281186539"/>
    <n v="0"/>
    <n v="0"/>
    <n v="0"/>
    <x v="3"/>
    <n v="281186539"/>
    <n v="1183"/>
    <n v="1"/>
  </r>
  <r>
    <x v="407"/>
    <x v="373"/>
    <x v="5"/>
    <n v="159643"/>
    <n v="159643"/>
    <n v="0"/>
    <n v="0"/>
    <n v="0"/>
    <n v="0"/>
    <n v="0"/>
    <n v="0"/>
    <x v="3"/>
    <n v="0"/>
    <n v="1185"/>
    <n v="1"/>
  </r>
  <r>
    <x v="408"/>
    <x v="374"/>
    <x v="1"/>
    <n v="401252145"/>
    <n v="401252145"/>
    <n v="0"/>
    <n v="0"/>
    <n v="0"/>
    <n v="0"/>
    <n v="0"/>
    <n v="0"/>
    <x v="3"/>
    <n v="0"/>
    <n v="1186"/>
    <n v="0"/>
  </r>
  <r>
    <x v="408"/>
    <x v="374"/>
    <x v="3"/>
    <n v="98372"/>
    <n v="98372"/>
    <n v="0"/>
    <n v="0"/>
    <n v="0"/>
    <n v="0"/>
    <n v="0"/>
    <n v="0"/>
    <x v="3"/>
    <n v="0"/>
    <n v="1187"/>
    <n v="1"/>
  </r>
  <r>
    <x v="409"/>
    <x v="375"/>
    <x v="1"/>
    <n v="105296250"/>
    <n v="105296250"/>
    <n v="0"/>
    <n v="0"/>
    <n v="0"/>
    <n v="0"/>
    <n v="0"/>
    <n v="0"/>
    <x v="3"/>
    <n v="0"/>
    <n v="1189"/>
    <n v="0"/>
  </r>
  <r>
    <x v="409"/>
    <x v="375"/>
    <x v="2"/>
    <n v="245691250"/>
    <n v="2670679"/>
    <n v="243020571"/>
    <n v="0"/>
    <n v="243020571"/>
    <n v="0"/>
    <n v="0"/>
    <n v="0"/>
    <x v="3"/>
    <n v="243020571"/>
    <n v="1188"/>
    <n v="1"/>
  </r>
  <r>
    <x v="409"/>
    <x v="375"/>
    <x v="5"/>
    <n v="816646"/>
    <n v="816646"/>
    <n v="0"/>
    <n v="0"/>
    <n v="0"/>
    <n v="0"/>
    <n v="0"/>
    <n v="0"/>
    <x v="3"/>
    <n v="0"/>
    <n v="1190"/>
    <n v="1"/>
  </r>
  <r>
    <x v="409"/>
    <x v="375"/>
    <x v="6"/>
    <n v="1512675"/>
    <n v="1512675"/>
    <n v="0"/>
    <n v="0"/>
    <n v="0"/>
    <n v="0"/>
    <n v="0"/>
    <n v="0"/>
    <x v="3"/>
    <n v="0"/>
    <n v="1191"/>
    <n v="1"/>
  </r>
  <r>
    <x v="410"/>
    <x v="376"/>
    <x v="1"/>
    <n v="114509335"/>
    <n v="114509335"/>
    <n v="0"/>
    <n v="0"/>
    <n v="0"/>
    <n v="0"/>
    <n v="0"/>
    <n v="0"/>
    <x v="3"/>
    <n v="0"/>
    <n v="1193"/>
    <n v="0"/>
  </r>
  <r>
    <x v="410"/>
    <x v="376"/>
    <x v="2"/>
    <n v="263302827"/>
    <n v="0"/>
    <n v="263302827"/>
    <n v="0"/>
    <n v="263302827"/>
    <n v="0"/>
    <n v="263302827"/>
    <n v="0"/>
    <x v="3"/>
    <n v="0"/>
    <n v="1192"/>
    <n v="1"/>
  </r>
  <r>
    <x v="410"/>
    <x v="376"/>
    <x v="6"/>
    <n v="1931850"/>
    <n v="1931850"/>
    <n v="0"/>
    <n v="0"/>
    <n v="0"/>
    <n v="0"/>
    <n v="0"/>
    <n v="0"/>
    <x v="3"/>
    <n v="0"/>
    <n v="1194"/>
    <n v="1"/>
  </r>
  <r>
    <x v="411"/>
    <x v="377"/>
    <x v="1"/>
    <n v="86644190"/>
    <n v="15666115"/>
    <n v="70978075"/>
    <n v="66114187"/>
    <n v="4863888"/>
    <n v="3194317"/>
    <n v="1669571"/>
    <n v="0"/>
    <x v="3"/>
    <n v="0"/>
    <n v="1197"/>
    <n v="0"/>
  </r>
  <r>
    <x v="411"/>
    <x v="377"/>
    <x v="9"/>
    <n v="13641013"/>
    <n v="4092303"/>
    <n v="9548710"/>
    <n v="6820508"/>
    <n v="2728202"/>
    <n v="1364101"/>
    <n v="1364101"/>
    <n v="0"/>
    <x v="3"/>
    <n v="0"/>
    <n v="1195"/>
    <n v="1"/>
  </r>
  <r>
    <x v="411"/>
    <x v="377"/>
    <x v="2"/>
    <n v="401140810"/>
    <n v="0"/>
    <n v="401140810"/>
    <n v="401140810"/>
    <n v="0"/>
    <n v="0"/>
    <n v="0"/>
    <n v="0"/>
    <x v="3"/>
    <n v="0"/>
    <n v="1196"/>
    <n v="1"/>
  </r>
  <r>
    <x v="412"/>
    <x v="378"/>
    <x v="1"/>
    <n v="94836720"/>
    <n v="94836720"/>
    <n v="0"/>
    <n v="0"/>
    <n v="0"/>
    <n v="0"/>
    <n v="0"/>
    <n v="0"/>
    <x v="3"/>
    <n v="0"/>
    <n v="1200"/>
    <n v="0"/>
  </r>
  <r>
    <x v="412"/>
    <x v="378"/>
    <x v="9"/>
    <n v="76584524"/>
    <n v="76584524"/>
    <n v="0"/>
    <n v="0"/>
    <n v="0"/>
    <n v="0"/>
    <n v="0"/>
    <n v="0"/>
    <x v="3"/>
    <n v="0"/>
    <n v="1198"/>
    <n v="1"/>
  </r>
  <r>
    <x v="412"/>
    <x v="378"/>
    <x v="2"/>
    <n v="221285680"/>
    <n v="221285680"/>
    <n v="0"/>
    <n v="0"/>
    <n v="0"/>
    <n v="0"/>
    <n v="0"/>
    <n v="0"/>
    <x v="3"/>
    <n v="0"/>
    <n v="1199"/>
    <n v="1"/>
  </r>
  <r>
    <x v="412"/>
    <x v="378"/>
    <x v="6"/>
    <n v="1512675"/>
    <n v="1512675"/>
    <n v="0"/>
    <n v="0"/>
    <n v="0"/>
    <n v="0"/>
    <n v="0"/>
    <n v="0"/>
    <x v="3"/>
    <n v="0"/>
    <n v="1201"/>
    <n v="1"/>
  </r>
  <r>
    <x v="413"/>
    <x v="379"/>
    <x v="1"/>
    <n v="124194750"/>
    <n v="124194750"/>
    <n v="0"/>
    <n v="0"/>
    <n v="0"/>
    <n v="0"/>
    <n v="0"/>
    <n v="0"/>
    <x v="3"/>
    <n v="0"/>
    <n v="1203"/>
    <n v="0"/>
  </r>
  <r>
    <x v="413"/>
    <x v="379"/>
    <x v="10"/>
    <n v="285362272"/>
    <n v="285362272"/>
    <n v="0"/>
    <n v="0"/>
    <n v="0"/>
    <n v="0"/>
    <n v="0"/>
    <n v="0"/>
    <x v="3"/>
    <n v="0"/>
    <n v="1202"/>
    <n v="1"/>
  </r>
  <r>
    <x v="413"/>
    <x v="379"/>
    <x v="3"/>
    <n v="90180"/>
    <n v="90180"/>
    <n v="0"/>
    <n v="0"/>
    <n v="0"/>
    <n v="0"/>
    <n v="0"/>
    <n v="0"/>
    <x v="3"/>
    <n v="0"/>
    <n v="1204"/>
    <n v="1"/>
  </r>
  <r>
    <x v="414"/>
    <x v="380"/>
    <x v="1"/>
    <n v="468290260"/>
    <n v="468290260"/>
    <n v="0"/>
    <n v="0"/>
    <n v="0"/>
    <n v="0"/>
    <n v="0"/>
    <n v="0"/>
    <x v="3"/>
    <n v="0"/>
    <n v="1205"/>
    <n v="0"/>
  </r>
  <r>
    <x v="414"/>
    <x v="380"/>
    <x v="3"/>
    <n v="109740"/>
    <n v="109740"/>
    <n v="0"/>
    <n v="0"/>
    <n v="0"/>
    <n v="0"/>
    <n v="0"/>
    <n v="0"/>
    <x v="3"/>
    <n v="0"/>
    <n v="1206"/>
    <n v="1"/>
  </r>
  <r>
    <x v="415"/>
    <x v="381"/>
    <x v="1"/>
    <n v="73830760"/>
    <n v="56556074"/>
    <n v="17274686"/>
    <n v="8320248"/>
    <n v="8954438"/>
    <n v="5125876"/>
    <n v="3828562"/>
    <n v="0"/>
    <x v="3"/>
    <n v="0"/>
    <n v="1208"/>
    <n v="0"/>
  </r>
  <r>
    <x v="415"/>
    <x v="381"/>
    <x v="2"/>
    <n v="303049040"/>
    <n v="0"/>
    <n v="303049040"/>
    <n v="303049040"/>
    <n v="0"/>
    <n v="0"/>
    <n v="0"/>
    <n v="0"/>
    <x v="3"/>
    <n v="0"/>
    <n v="1207"/>
    <n v="1"/>
  </r>
  <r>
    <x v="415"/>
    <x v="381"/>
    <x v="5"/>
    <n v="943926"/>
    <n v="943926"/>
    <n v="0"/>
    <n v="0"/>
    <n v="0"/>
    <n v="0"/>
    <n v="0"/>
    <n v="0"/>
    <x v="3"/>
    <n v="0"/>
    <n v="1209"/>
    <n v="1"/>
  </r>
  <r>
    <x v="415"/>
    <x v="381"/>
    <x v="6"/>
    <n v="1931500"/>
    <n v="0"/>
    <n v="1931500"/>
    <n v="1931500"/>
    <n v="0"/>
    <n v="0"/>
    <n v="0"/>
    <n v="0"/>
    <x v="3"/>
    <n v="0"/>
    <n v="1210"/>
    <n v="1"/>
  </r>
  <r>
    <x v="416"/>
    <x v="382"/>
    <x v="1"/>
    <n v="208730557"/>
    <n v="208730557"/>
    <n v="0"/>
    <n v="0"/>
    <n v="0"/>
    <n v="0"/>
    <n v="0"/>
    <n v="0"/>
    <x v="3"/>
    <n v="0"/>
    <n v="1212"/>
    <n v="0"/>
  </r>
  <r>
    <x v="416"/>
    <x v="382"/>
    <x v="2"/>
    <n v="170000000"/>
    <n v="0"/>
    <n v="170000000"/>
    <n v="0"/>
    <n v="170000000"/>
    <n v="0"/>
    <n v="170000000"/>
    <n v="0"/>
    <x v="3"/>
    <n v="0"/>
    <n v="1211"/>
    <n v="1"/>
  </r>
  <r>
    <x v="417"/>
    <x v="383"/>
    <x v="1"/>
    <n v="110189231"/>
    <n v="110189231"/>
    <n v="0"/>
    <n v="0"/>
    <n v="0"/>
    <n v="0"/>
    <n v="0"/>
    <n v="0"/>
    <x v="3"/>
    <n v="0"/>
    <n v="1214"/>
    <n v="0"/>
  </r>
  <r>
    <x v="417"/>
    <x v="383"/>
    <x v="2"/>
    <n v="253632400"/>
    <n v="0"/>
    <n v="253632400"/>
    <n v="0"/>
    <n v="253632400"/>
    <n v="0"/>
    <n v="253632400"/>
    <n v="0"/>
    <x v="3"/>
    <n v="0"/>
    <n v="1213"/>
    <n v="1"/>
  </r>
  <r>
    <x v="417"/>
    <x v="383"/>
    <x v="5"/>
    <n v="9551465"/>
    <n v="9551465"/>
    <n v="0"/>
    <n v="0"/>
    <n v="0"/>
    <n v="0"/>
    <n v="0"/>
    <n v="0"/>
    <x v="3"/>
    <n v="0"/>
    <n v="1215"/>
    <n v="1"/>
  </r>
  <r>
    <x v="418"/>
    <x v="384"/>
    <x v="1"/>
    <n v="99357600"/>
    <n v="99357600"/>
    <n v="0"/>
    <n v="0"/>
    <n v="0"/>
    <n v="0"/>
    <n v="0"/>
    <n v="0"/>
    <x v="3"/>
    <n v="0"/>
    <n v="1217"/>
    <n v="0"/>
  </r>
  <r>
    <x v="418"/>
    <x v="384"/>
    <x v="2"/>
    <n v="231834400"/>
    <n v="0"/>
    <n v="231834400"/>
    <n v="0"/>
    <n v="231834400"/>
    <n v="0"/>
    <n v="231834400"/>
    <n v="0"/>
    <x v="3"/>
    <n v="0"/>
    <n v="1216"/>
    <n v="1"/>
  </r>
  <r>
    <x v="419"/>
    <x v="385"/>
    <x v="1"/>
    <n v="120139618"/>
    <n v="120139618"/>
    <n v="0"/>
    <n v="0"/>
    <n v="0"/>
    <n v="0"/>
    <n v="0"/>
    <n v="0"/>
    <x v="3"/>
    <n v="0"/>
    <n v="1219"/>
    <n v="0"/>
  </r>
  <r>
    <x v="419"/>
    <x v="385"/>
    <x v="2"/>
    <n v="278512248"/>
    <n v="0"/>
    <n v="278512248"/>
    <n v="0"/>
    <n v="278512248"/>
    <n v="0"/>
    <n v="278512248"/>
    <n v="0"/>
    <x v="3"/>
    <n v="0"/>
    <n v="1218"/>
    <n v="1"/>
  </r>
  <r>
    <x v="419"/>
    <x v="385"/>
    <x v="5"/>
    <n v="434703"/>
    <n v="434703"/>
    <n v="0"/>
    <n v="0"/>
    <n v="0"/>
    <n v="0"/>
    <n v="0"/>
    <n v="0"/>
    <x v="3"/>
    <n v="0"/>
    <n v="1220"/>
    <n v="1"/>
  </r>
  <r>
    <x v="419"/>
    <x v="385"/>
    <x v="6"/>
    <n v="1931850"/>
    <n v="1931850"/>
    <n v="0"/>
    <n v="0"/>
    <n v="0"/>
    <n v="0"/>
    <n v="0"/>
    <n v="0"/>
    <x v="3"/>
    <n v="0"/>
    <n v="1221"/>
    <n v="1"/>
  </r>
  <r>
    <x v="420"/>
    <x v="386"/>
    <x v="1"/>
    <n v="158676000"/>
    <n v="49792889"/>
    <n v="108883111"/>
    <n v="108883111"/>
    <n v="0"/>
    <n v="0"/>
    <n v="0"/>
    <n v="0"/>
    <x v="3"/>
    <n v="0"/>
    <n v="1223"/>
    <n v="0"/>
  </r>
  <r>
    <x v="420"/>
    <x v="386"/>
    <x v="2"/>
    <n v="370244000"/>
    <n v="0"/>
    <n v="370244000"/>
    <n v="370244000"/>
    <n v="0"/>
    <n v="0"/>
    <n v="0"/>
    <n v="0"/>
    <x v="3"/>
    <n v="0"/>
    <n v="1222"/>
    <n v="1"/>
  </r>
  <r>
    <x v="421"/>
    <x v="296"/>
    <x v="1"/>
    <n v="83397000"/>
    <n v="34273875"/>
    <n v="49123125"/>
    <n v="48213894"/>
    <n v="909231"/>
    <n v="909231"/>
    <n v="0"/>
    <n v="0"/>
    <x v="3"/>
    <n v="0"/>
    <n v="1225"/>
    <n v="0"/>
  </r>
  <r>
    <x v="421"/>
    <x v="296"/>
    <x v="2"/>
    <n v="333588000"/>
    <n v="1083449"/>
    <n v="332504551"/>
    <n v="332504551"/>
    <n v="0"/>
    <n v="0"/>
    <n v="0"/>
    <n v="0"/>
    <x v="3"/>
    <n v="0"/>
    <n v="1224"/>
    <n v="1"/>
  </r>
  <r>
    <x v="422"/>
    <x v="387"/>
    <x v="1"/>
    <n v="97773483"/>
    <n v="26222240"/>
    <n v="71551243"/>
    <n v="69051243"/>
    <n v="2500000"/>
    <n v="2500000"/>
    <n v="0"/>
    <n v="0"/>
    <x v="3"/>
    <n v="0"/>
    <n v="1227"/>
    <n v="0"/>
  </r>
  <r>
    <x v="422"/>
    <x v="387"/>
    <x v="2"/>
    <n v="388389630"/>
    <n v="0"/>
    <n v="388389630"/>
    <n v="388389630"/>
    <n v="0"/>
    <n v="0"/>
    <n v="0"/>
    <n v="0"/>
    <x v="3"/>
    <n v="0"/>
    <n v="1226"/>
    <n v="1"/>
  </r>
  <r>
    <x v="422"/>
    <x v="387"/>
    <x v="6"/>
    <n v="1931850"/>
    <n v="0"/>
    <n v="1931850"/>
    <n v="1931850"/>
    <n v="0"/>
    <n v="0"/>
    <n v="0"/>
    <n v="0"/>
    <x v="3"/>
    <n v="0"/>
    <n v="1228"/>
    <n v="1"/>
  </r>
  <r>
    <x v="423"/>
    <x v="388"/>
    <x v="1"/>
    <n v="110462640"/>
    <n v="110462640"/>
    <n v="0"/>
    <n v="0"/>
    <n v="0"/>
    <n v="0"/>
    <n v="0"/>
    <n v="0"/>
    <x v="3"/>
    <n v="0"/>
    <n v="1231"/>
    <n v="0"/>
  </r>
  <r>
    <x v="423"/>
    <x v="388"/>
    <x v="9"/>
    <n v="90520738"/>
    <n v="27156221"/>
    <n v="63364517"/>
    <n v="0"/>
    <n v="63364517"/>
    <n v="0"/>
    <n v="63364517"/>
    <n v="0"/>
    <x v="3"/>
    <n v="0"/>
    <n v="1229"/>
    <n v="1"/>
  </r>
  <r>
    <x v="423"/>
    <x v="388"/>
    <x v="2"/>
    <n v="257746160"/>
    <n v="0"/>
    <n v="257746160"/>
    <n v="0"/>
    <n v="257746160"/>
    <n v="0"/>
    <n v="257746160"/>
    <n v="0"/>
    <x v="3"/>
    <n v="0"/>
    <n v="1230"/>
    <n v="1"/>
  </r>
  <r>
    <x v="424"/>
    <x v="389"/>
    <x v="1"/>
    <n v="94021260"/>
    <n v="94021260"/>
    <n v="0"/>
    <n v="0"/>
    <n v="0"/>
    <n v="0"/>
    <n v="0"/>
    <n v="0"/>
    <x v="3"/>
    <n v="0"/>
    <n v="1234"/>
    <n v="0"/>
  </r>
  <r>
    <x v="424"/>
    <x v="389"/>
    <x v="9"/>
    <n v="76584524"/>
    <n v="22945357"/>
    <n v="53639167"/>
    <n v="0"/>
    <n v="53639167"/>
    <n v="0"/>
    <n v="0"/>
    <n v="0"/>
    <x v="3"/>
    <n v="53639167"/>
    <n v="1232"/>
    <n v="1"/>
  </r>
  <r>
    <x v="424"/>
    <x v="389"/>
    <x v="2"/>
    <n v="219382940"/>
    <n v="5"/>
    <n v="219382935"/>
    <n v="0"/>
    <n v="219382935"/>
    <n v="0"/>
    <n v="0"/>
    <n v="0"/>
    <x v="3"/>
    <n v="219382935"/>
    <n v="1233"/>
    <n v="1"/>
  </r>
  <r>
    <x v="425"/>
    <x v="390"/>
    <x v="1"/>
    <n v="388699265"/>
    <n v="388699265"/>
    <n v="0"/>
    <n v="0"/>
    <n v="0"/>
    <n v="0"/>
    <n v="0"/>
    <n v="0"/>
    <x v="3"/>
    <n v="0"/>
    <n v="1235"/>
    <n v="0"/>
  </r>
  <r>
    <x v="425"/>
    <x v="390"/>
    <x v="3"/>
    <n v="99794"/>
    <n v="0"/>
    <n v="99794"/>
    <n v="0"/>
    <n v="99794"/>
    <n v="0"/>
    <n v="0"/>
    <n v="99794"/>
    <x v="3"/>
    <n v="0"/>
    <n v="1236"/>
    <n v="1"/>
  </r>
  <r>
    <x v="425"/>
    <x v="390"/>
    <x v="5"/>
    <n v="974856"/>
    <n v="974856"/>
    <n v="0"/>
    <n v="0"/>
    <n v="0"/>
    <n v="0"/>
    <n v="0"/>
    <n v="0"/>
    <x v="3"/>
    <n v="0"/>
    <n v="1237"/>
    <n v="1"/>
  </r>
  <r>
    <x v="426"/>
    <x v="391"/>
    <x v="1"/>
    <n v="118319400"/>
    <n v="118319400"/>
    <n v="0"/>
    <n v="0"/>
    <n v="0"/>
    <n v="0"/>
    <n v="0"/>
    <n v="0"/>
    <x v="3"/>
    <n v="0"/>
    <n v="1239"/>
    <n v="0"/>
  </r>
  <r>
    <x v="426"/>
    <x v="391"/>
    <x v="2"/>
    <n v="276078600"/>
    <n v="276078600"/>
    <n v="0"/>
    <n v="0"/>
    <n v="0"/>
    <n v="0"/>
    <n v="0"/>
    <n v="0"/>
    <x v="3"/>
    <n v="0"/>
    <n v="1238"/>
    <n v="1"/>
  </r>
  <r>
    <x v="426"/>
    <x v="391"/>
    <x v="3"/>
    <n v="99367"/>
    <n v="99367"/>
    <n v="0"/>
    <n v="0"/>
    <n v="0"/>
    <n v="0"/>
    <n v="0"/>
    <n v="0"/>
    <x v="3"/>
    <n v="0"/>
    <n v="1240"/>
    <n v="1"/>
  </r>
  <r>
    <x v="426"/>
    <x v="391"/>
    <x v="5"/>
    <n v="716248"/>
    <n v="716248"/>
    <n v="0"/>
    <n v="0"/>
    <n v="0"/>
    <n v="0"/>
    <n v="0"/>
    <n v="0"/>
    <x v="3"/>
    <n v="0"/>
    <n v="1241"/>
    <n v="1"/>
  </r>
  <r>
    <x v="427"/>
    <x v="392"/>
    <x v="1"/>
    <n v="93543540"/>
    <n v="93543540"/>
    <n v="0"/>
    <n v="0"/>
    <n v="0"/>
    <n v="0"/>
    <n v="0"/>
    <n v="0"/>
    <x v="3"/>
    <n v="0"/>
    <n v="1244"/>
    <n v="0"/>
  </r>
  <r>
    <x v="427"/>
    <x v="392"/>
    <x v="9"/>
    <n v="79052085"/>
    <n v="23715625"/>
    <n v="55336460"/>
    <n v="0"/>
    <n v="55336460"/>
    <n v="0"/>
    <n v="0"/>
    <n v="0"/>
    <x v="3"/>
    <n v="55336460"/>
    <n v="1242"/>
    <n v="1"/>
  </r>
  <r>
    <x v="427"/>
    <x v="392"/>
    <x v="2"/>
    <n v="218268260"/>
    <n v="12284385"/>
    <n v="205983875"/>
    <n v="0"/>
    <n v="205983875"/>
    <n v="0"/>
    <n v="0"/>
    <n v="0"/>
    <x v="3"/>
    <n v="205983875"/>
    <n v="1243"/>
    <n v="1"/>
  </r>
  <r>
    <x v="428"/>
    <x v="393"/>
    <x v="1"/>
    <n v="115143600"/>
    <n v="115143600"/>
    <n v="0"/>
    <n v="0"/>
    <n v="0"/>
    <n v="0"/>
    <n v="0"/>
    <n v="0"/>
    <x v="3"/>
    <n v="0"/>
    <n v="1246"/>
    <n v="0"/>
  </r>
  <r>
    <x v="428"/>
    <x v="393"/>
    <x v="2"/>
    <n v="268668400"/>
    <n v="268668400"/>
    <n v="0"/>
    <n v="0"/>
    <n v="0"/>
    <n v="0"/>
    <n v="0"/>
    <n v="0"/>
    <x v="3"/>
    <n v="0"/>
    <n v="1245"/>
    <n v="1"/>
  </r>
  <r>
    <x v="428"/>
    <x v="393"/>
    <x v="3"/>
    <n v="64777"/>
    <n v="64777"/>
    <n v="0"/>
    <n v="0"/>
    <n v="0"/>
    <n v="0"/>
    <n v="0"/>
    <n v="0"/>
    <x v="3"/>
    <n v="0"/>
    <n v="1247"/>
    <n v="1"/>
  </r>
  <r>
    <x v="429"/>
    <x v="394"/>
    <x v="1"/>
    <n v="147749485"/>
    <n v="95413815"/>
    <n v="52335670"/>
    <n v="0"/>
    <n v="52335670"/>
    <n v="0"/>
    <n v="52335670"/>
    <n v="0"/>
    <x v="3"/>
    <n v="0"/>
    <n v="1249"/>
    <n v="0"/>
  </r>
  <r>
    <x v="429"/>
    <x v="394"/>
    <x v="2"/>
    <n v="170000000"/>
    <n v="0"/>
    <n v="170000000"/>
    <n v="0"/>
    <n v="170000000"/>
    <n v="0"/>
    <n v="170000000"/>
    <n v="0"/>
    <x v="3"/>
    <n v="0"/>
    <n v="1248"/>
    <n v="1"/>
  </r>
  <r>
    <x v="430"/>
    <x v="395"/>
    <x v="1"/>
    <n v="122200000"/>
    <n v="122200000"/>
    <n v="0"/>
    <n v="0"/>
    <n v="0"/>
    <n v="0"/>
    <n v="0"/>
    <n v="0"/>
    <x v="3"/>
    <n v="0"/>
    <n v="1251"/>
    <n v="0"/>
  </r>
  <r>
    <x v="430"/>
    <x v="395"/>
    <x v="2"/>
    <n v="281996619"/>
    <n v="0"/>
    <n v="281996619"/>
    <n v="0"/>
    <n v="281996619"/>
    <n v="0"/>
    <n v="281996619"/>
    <n v="0"/>
    <x v="3"/>
    <n v="0"/>
    <n v="1250"/>
    <n v="1"/>
  </r>
  <r>
    <x v="431"/>
    <x v="396"/>
    <x v="1"/>
    <n v="400020962"/>
    <n v="400020962"/>
    <n v="0"/>
    <n v="0"/>
    <n v="0"/>
    <n v="0"/>
    <n v="0"/>
    <n v="0"/>
    <x v="3"/>
    <n v="0"/>
    <n v="1252"/>
    <n v="0"/>
  </r>
  <r>
    <x v="431"/>
    <x v="396"/>
    <x v="3"/>
    <n v="100000"/>
    <n v="100000"/>
    <n v="0"/>
    <n v="0"/>
    <n v="0"/>
    <n v="0"/>
    <n v="0"/>
    <n v="0"/>
    <x v="3"/>
    <n v="0"/>
    <n v="1253"/>
    <n v="1"/>
  </r>
  <r>
    <x v="432"/>
    <x v="397"/>
    <x v="1"/>
    <n v="94658880"/>
    <n v="94658880"/>
    <n v="0"/>
    <n v="0"/>
    <n v="0"/>
    <n v="0"/>
    <n v="0"/>
    <n v="0"/>
    <x v="3"/>
    <n v="0"/>
    <n v="1256"/>
    <n v="0"/>
  </r>
  <r>
    <x v="432"/>
    <x v="397"/>
    <x v="9"/>
    <n v="79052085"/>
    <n v="23715625"/>
    <n v="55336460"/>
    <n v="0"/>
    <n v="55336460"/>
    <n v="0"/>
    <n v="0"/>
    <n v="0"/>
    <x v="3"/>
    <n v="55336460"/>
    <n v="1254"/>
    <n v="1"/>
  </r>
  <r>
    <x v="432"/>
    <x v="397"/>
    <x v="2"/>
    <n v="220870720"/>
    <n v="622"/>
    <n v="220870098"/>
    <n v="0"/>
    <n v="220870098"/>
    <n v="0"/>
    <n v="0"/>
    <n v="0"/>
    <x v="3"/>
    <n v="220870098"/>
    <n v="1255"/>
    <n v="1"/>
  </r>
  <r>
    <x v="432"/>
    <x v="397"/>
    <x v="6"/>
    <n v="1512675"/>
    <n v="1512675"/>
    <n v="0"/>
    <n v="0"/>
    <n v="0"/>
    <n v="0"/>
    <n v="0"/>
    <n v="0"/>
    <x v="3"/>
    <n v="0"/>
    <n v="1257"/>
    <n v="1"/>
  </r>
  <r>
    <x v="433"/>
    <x v="398"/>
    <x v="1"/>
    <n v="97763815"/>
    <n v="27812210"/>
    <n v="69951605"/>
    <n v="66472744"/>
    <n v="3478861"/>
    <n v="3478861"/>
    <n v="0"/>
    <n v="0"/>
    <x v="3"/>
    <n v="0"/>
    <n v="1259"/>
    <n v="0"/>
  </r>
  <r>
    <x v="433"/>
    <x v="398"/>
    <x v="2"/>
    <n v="392021185"/>
    <n v="0"/>
    <n v="392021185"/>
    <n v="392021185"/>
    <n v="0"/>
    <n v="0"/>
    <n v="0"/>
    <n v="0"/>
    <x v="3"/>
    <n v="0"/>
    <n v="1258"/>
    <n v="1"/>
  </r>
  <r>
    <x v="433"/>
    <x v="398"/>
    <x v="6"/>
    <n v="1931850"/>
    <n v="0"/>
    <n v="1931850"/>
    <n v="1931850"/>
    <n v="0"/>
    <n v="0"/>
    <n v="0"/>
    <n v="0"/>
    <x v="3"/>
    <n v="0"/>
    <n v="1260"/>
    <n v="1"/>
  </r>
  <r>
    <x v="434"/>
    <x v="399"/>
    <x v="1"/>
    <n v="95884364"/>
    <n v="95884364"/>
    <n v="0"/>
    <n v="0"/>
    <n v="0"/>
    <n v="0"/>
    <n v="0"/>
    <n v="0"/>
    <x v="3"/>
    <n v="0"/>
    <n v="1263"/>
    <n v="0"/>
  </r>
  <r>
    <x v="434"/>
    <x v="399"/>
    <x v="9"/>
    <n v="76584524"/>
    <n v="22975357"/>
    <n v="53609167"/>
    <n v="0"/>
    <n v="53609167"/>
    <n v="0"/>
    <n v="0"/>
    <n v="0"/>
    <x v="3"/>
    <n v="53609167"/>
    <n v="1261"/>
    <n v="1"/>
  </r>
  <r>
    <x v="434"/>
    <x v="399"/>
    <x v="2"/>
    <n v="221832940"/>
    <n v="92183"/>
    <n v="221740757"/>
    <n v="0"/>
    <n v="221740757"/>
    <n v="0"/>
    <n v="0"/>
    <n v="0"/>
    <x v="3"/>
    <n v="221740757"/>
    <n v="1262"/>
    <n v="1"/>
  </r>
  <r>
    <x v="434"/>
    <x v="399"/>
    <x v="6"/>
    <n v="1512675"/>
    <n v="1512675"/>
    <n v="0"/>
    <n v="0"/>
    <n v="0"/>
    <n v="0"/>
    <n v="0"/>
    <n v="0"/>
    <x v="3"/>
    <n v="0"/>
    <n v="1264"/>
    <n v="1"/>
  </r>
  <r>
    <x v="435"/>
    <x v="400"/>
    <x v="1"/>
    <n v="120941250"/>
    <n v="120941250"/>
    <n v="0"/>
    <n v="0"/>
    <n v="0"/>
    <n v="0"/>
    <n v="0"/>
    <n v="0"/>
    <x v="3"/>
    <n v="0"/>
    <n v="1266"/>
    <n v="0"/>
  </r>
  <r>
    <x v="435"/>
    <x v="400"/>
    <x v="2"/>
    <n v="282196250"/>
    <n v="6896903"/>
    <n v="275299347"/>
    <n v="0"/>
    <n v="275299347"/>
    <n v="0"/>
    <n v="0"/>
    <n v="0"/>
    <x v="3"/>
    <n v="275299347"/>
    <n v="1265"/>
    <n v="1"/>
  </r>
  <r>
    <x v="435"/>
    <x v="400"/>
    <x v="5"/>
    <n v="385630"/>
    <n v="385630"/>
    <n v="0"/>
    <n v="0"/>
    <n v="0"/>
    <n v="0"/>
    <n v="0"/>
    <n v="0"/>
    <x v="3"/>
    <n v="0"/>
    <n v="1267"/>
    <n v="1"/>
  </r>
  <r>
    <x v="436"/>
    <x v="401"/>
    <x v="1"/>
    <n v="94610500"/>
    <n v="74779820"/>
    <n v="19830680"/>
    <n v="13220302"/>
    <n v="6610378"/>
    <n v="6610153"/>
    <n v="225"/>
    <n v="0"/>
    <x v="3"/>
    <n v="0"/>
    <n v="1269"/>
    <n v="0"/>
  </r>
  <r>
    <x v="436"/>
    <x v="401"/>
    <x v="2"/>
    <n v="384029548"/>
    <n v="0"/>
    <n v="384029548"/>
    <n v="384029548"/>
    <n v="0"/>
    <n v="0"/>
    <n v="0"/>
    <n v="0"/>
    <x v="3"/>
    <n v="0"/>
    <n v="1268"/>
    <n v="1"/>
  </r>
  <r>
    <x v="436"/>
    <x v="401"/>
    <x v="6"/>
    <n v="1931500"/>
    <n v="1931500"/>
    <n v="0"/>
    <n v="0"/>
    <n v="0"/>
    <n v="0"/>
    <n v="0"/>
    <n v="0"/>
    <x v="3"/>
    <n v="0"/>
    <n v="1270"/>
    <n v="1"/>
  </r>
  <r>
    <x v="437"/>
    <x v="402"/>
    <x v="1"/>
    <n v="165033025"/>
    <n v="165033025"/>
    <n v="0"/>
    <n v="0"/>
    <n v="0"/>
    <n v="0"/>
    <n v="0"/>
    <n v="0"/>
    <x v="3"/>
    <n v="0"/>
    <n v="1273"/>
    <n v="0"/>
  </r>
  <r>
    <x v="437"/>
    <x v="402"/>
    <x v="2"/>
    <n v="130000000"/>
    <n v="0"/>
    <n v="130000000"/>
    <n v="0"/>
    <n v="130000000"/>
    <n v="0"/>
    <n v="130000000"/>
    <n v="0"/>
    <x v="3"/>
    <n v="0"/>
    <n v="1271"/>
    <n v="1"/>
  </r>
  <r>
    <x v="437"/>
    <x v="402"/>
    <x v="10"/>
    <n v="20320595"/>
    <n v="20320595"/>
    <n v="0"/>
    <n v="0"/>
    <n v="0"/>
    <n v="0"/>
    <n v="0"/>
    <n v="0"/>
    <x v="3"/>
    <n v="0"/>
    <n v="1272"/>
    <n v="1"/>
  </r>
  <r>
    <x v="438"/>
    <x v="403"/>
    <x v="1"/>
    <n v="109967760"/>
    <n v="109967760"/>
    <n v="0"/>
    <n v="0"/>
    <n v="0"/>
    <n v="0"/>
    <n v="0"/>
    <n v="0"/>
    <x v="3"/>
    <n v="0"/>
    <n v="1276"/>
    <n v="0"/>
  </r>
  <r>
    <x v="438"/>
    <x v="403"/>
    <x v="9"/>
    <n v="91410412"/>
    <n v="19796823"/>
    <n v="71613589"/>
    <n v="0"/>
    <n v="71613589"/>
    <n v="0"/>
    <n v="0"/>
    <n v="0"/>
    <x v="3"/>
    <n v="71613589"/>
    <n v="1274"/>
    <n v="1"/>
  </r>
  <r>
    <x v="438"/>
    <x v="403"/>
    <x v="2"/>
    <n v="256591440"/>
    <n v="0"/>
    <n v="256591440"/>
    <n v="0"/>
    <n v="256591440"/>
    <n v="0"/>
    <n v="0"/>
    <n v="0"/>
    <x v="3"/>
    <n v="256591440"/>
    <n v="1275"/>
    <n v="1"/>
  </r>
  <r>
    <x v="438"/>
    <x v="403"/>
    <x v="5"/>
    <n v="8563587"/>
    <n v="8563587"/>
    <n v="0"/>
    <n v="0"/>
    <n v="0"/>
    <n v="0"/>
    <n v="0"/>
    <n v="0"/>
    <x v="3"/>
    <n v="0"/>
    <n v="1277"/>
    <n v="1"/>
  </r>
  <r>
    <x v="439"/>
    <x v="404"/>
    <x v="1"/>
    <n v="96511520"/>
    <n v="38283533"/>
    <n v="58227987"/>
    <n v="52758912"/>
    <n v="5469075"/>
    <n v="5469075"/>
    <n v="0"/>
    <n v="0"/>
    <x v="3"/>
    <n v="0"/>
    <n v="1279"/>
    <n v="0"/>
  </r>
  <r>
    <x v="439"/>
    <x v="404"/>
    <x v="2"/>
    <n v="393773480"/>
    <n v="0"/>
    <n v="393773480"/>
    <n v="393773480"/>
    <n v="0"/>
    <n v="0"/>
    <n v="0"/>
    <n v="0"/>
    <x v="3"/>
    <n v="0"/>
    <n v="1278"/>
    <n v="1"/>
  </r>
  <r>
    <x v="439"/>
    <x v="404"/>
    <x v="6"/>
    <n v="1931850"/>
    <n v="0"/>
    <n v="1931850"/>
    <n v="1931850"/>
    <n v="0"/>
    <n v="0"/>
    <n v="0"/>
    <n v="0"/>
    <x v="3"/>
    <n v="0"/>
    <n v="1280"/>
    <n v="1"/>
  </r>
  <r>
    <x v="440"/>
    <x v="405"/>
    <x v="1"/>
    <n v="94405800"/>
    <n v="94405800"/>
    <n v="0"/>
    <n v="0"/>
    <n v="0"/>
    <n v="0"/>
    <n v="0"/>
    <n v="0"/>
    <x v="3"/>
    <n v="0"/>
    <n v="1282"/>
    <n v="0"/>
  </r>
  <r>
    <x v="440"/>
    <x v="405"/>
    <x v="2"/>
    <n v="220280200"/>
    <n v="19346"/>
    <n v="220260854"/>
    <n v="0"/>
    <n v="220260854"/>
    <n v="0"/>
    <n v="0"/>
    <n v="0"/>
    <x v="3"/>
    <n v="220260854"/>
    <n v="1281"/>
    <n v="1"/>
  </r>
  <r>
    <x v="441"/>
    <x v="406"/>
    <x v="1"/>
    <n v="121114500"/>
    <n v="121114500"/>
    <n v="0"/>
    <n v="0"/>
    <n v="0"/>
    <n v="0"/>
    <n v="0"/>
    <n v="0"/>
    <x v="3"/>
    <n v="0"/>
    <n v="1284"/>
    <n v="0"/>
  </r>
  <r>
    <x v="441"/>
    <x v="406"/>
    <x v="2"/>
    <n v="282600500"/>
    <n v="282600500"/>
    <n v="0"/>
    <n v="0"/>
    <n v="0"/>
    <n v="0"/>
    <n v="0"/>
    <n v="0"/>
    <x v="3"/>
    <n v="0"/>
    <n v="1283"/>
    <n v="1"/>
  </r>
  <r>
    <x v="442"/>
    <x v="407"/>
    <x v="1"/>
    <n v="131052010"/>
    <n v="131052010"/>
    <n v="0"/>
    <n v="0"/>
    <n v="0"/>
    <n v="0"/>
    <n v="0"/>
    <n v="0"/>
    <x v="3"/>
    <n v="0"/>
    <n v="1286"/>
    <n v="0"/>
  </r>
  <r>
    <x v="442"/>
    <x v="407"/>
    <x v="2"/>
    <n v="305787990"/>
    <n v="0"/>
    <n v="305787990"/>
    <n v="0"/>
    <n v="305787990"/>
    <n v="0"/>
    <n v="305787990"/>
    <n v="0"/>
    <x v="3"/>
    <n v="0"/>
    <n v="1285"/>
    <n v="1"/>
  </r>
  <r>
    <x v="443"/>
    <x v="408"/>
    <x v="1"/>
    <n v="97053750"/>
    <n v="97053750"/>
    <n v="0"/>
    <n v="0"/>
    <n v="0"/>
    <n v="0"/>
    <n v="0"/>
    <n v="0"/>
    <x v="3"/>
    <n v="0"/>
    <n v="1288"/>
    <n v="0"/>
  </r>
  <r>
    <x v="443"/>
    <x v="408"/>
    <x v="2"/>
    <n v="226458750"/>
    <n v="142201"/>
    <n v="226316549"/>
    <n v="0"/>
    <n v="226316549"/>
    <n v="0"/>
    <n v="0"/>
    <n v="0"/>
    <x v="3"/>
    <n v="226316549"/>
    <n v="1287"/>
    <n v="1"/>
  </r>
  <r>
    <x v="443"/>
    <x v="408"/>
    <x v="5"/>
    <n v="1871830"/>
    <n v="1871830"/>
    <n v="0"/>
    <n v="0"/>
    <n v="0"/>
    <n v="0"/>
    <n v="0"/>
    <n v="0"/>
    <x v="3"/>
    <n v="0"/>
    <n v="1289"/>
    <n v="1"/>
  </r>
  <r>
    <x v="444"/>
    <x v="409"/>
    <x v="1"/>
    <n v="130412476"/>
    <n v="130412476"/>
    <n v="0"/>
    <n v="0"/>
    <n v="0"/>
    <n v="0"/>
    <n v="0"/>
    <n v="0"/>
    <x v="3"/>
    <n v="0"/>
    <n v="1291"/>
    <n v="0"/>
  </r>
  <r>
    <x v="444"/>
    <x v="409"/>
    <x v="2"/>
    <n v="304274744"/>
    <n v="0"/>
    <n v="304274744"/>
    <n v="0"/>
    <n v="304274744"/>
    <n v="0"/>
    <n v="304274744"/>
    <n v="0"/>
    <x v="3"/>
    <n v="0"/>
    <n v="1290"/>
    <n v="1"/>
  </r>
  <r>
    <x v="444"/>
    <x v="409"/>
    <x v="5"/>
    <n v="849580"/>
    <n v="849580"/>
    <n v="0"/>
    <n v="0"/>
    <n v="0"/>
    <n v="0"/>
    <n v="0"/>
    <n v="0"/>
    <x v="3"/>
    <n v="0"/>
    <n v="1292"/>
    <n v="1"/>
  </r>
  <r>
    <x v="445"/>
    <x v="410"/>
    <x v="1"/>
    <n v="130824653"/>
    <n v="129571250"/>
    <n v="1253403"/>
    <n v="0"/>
    <n v="1253403"/>
    <n v="0"/>
    <n v="1253403"/>
    <n v="0"/>
    <x v="3"/>
    <n v="0"/>
    <n v="1294"/>
    <n v="0"/>
  </r>
  <r>
    <x v="445"/>
    <x v="410"/>
    <x v="2"/>
    <n v="289000000"/>
    <n v="0"/>
    <n v="289000000"/>
    <n v="0"/>
    <n v="289000000"/>
    <n v="0"/>
    <n v="289000000"/>
    <n v="0"/>
    <x v="3"/>
    <n v="0"/>
    <n v="1293"/>
    <n v="1"/>
  </r>
  <r>
    <x v="446"/>
    <x v="411"/>
    <x v="1"/>
    <n v="112969452"/>
    <n v="112969452"/>
    <n v="0"/>
    <n v="0"/>
    <n v="0"/>
    <n v="0"/>
    <n v="0"/>
    <n v="0"/>
    <x v="3"/>
    <n v="0"/>
    <n v="1297"/>
    <n v="0"/>
  </r>
  <r>
    <x v="446"/>
    <x v="411"/>
    <x v="9"/>
    <n v="76584524"/>
    <n v="22975357"/>
    <n v="53609167"/>
    <n v="0"/>
    <n v="53609167"/>
    <n v="0"/>
    <n v="0"/>
    <n v="0"/>
    <x v="3"/>
    <n v="53609167"/>
    <n v="1295"/>
    <n v="1"/>
  </r>
  <r>
    <x v="446"/>
    <x v="411"/>
    <x v="2"/>
    <n v="265862100"/>
    <n v="92000643"/>
    <n v="173861457"/>
    <n v="0"/>
    <n v="173861457"/>
    <n v="0"/>
    <n v="0"/>
    <n v="0"/>
    <x v="3"/>
    <n v="173861457"/>
    <n v="1296"/>
    <n v="1"/>
  </r>
  <r>
    <x v="447"/>
    <x v="412"/>
    <x v="1"/>
    <n v="122741250"/>
    <n v="122741250"/>
    <n v="0"/>
    <n v="0"/>
    <n v="0"/>
    <n v="0"/>
    <n v="0"/>
    <n v="0"/>
    <x v="3"/>
    <n v="0"/>
    <n v="1299"/>
    <n v="0"/>
  </r>
  <r>
    <x v="447"/>
    <x v="412"/>
    <x v="2"/>
    <n v="286396250"/>
    <n v="14250"/>
    <n v="286382000"/>
    <n v="0"/>
    <n v="286382000"/>
    <n v="0"/>
    <n v="0"/>
    <n v="0"/>
    <x v="3"/>
    <n v="286382000"/>
    <n v="1298"/>
    <n v="1"/>
  </r>
  <r>
    <x v="447"/>
    <x v="412"/>
    <x v="5"/>
    <n v="2126835"/>
    <n v="2126835"/>
    <n v="0"/>
    <n v="0"/>
    <n v="0"/>
    <n v="0"/>
    <n v="0"/>
    <n v="0"/>
    <x v="3"/>
    <n v="0"/>
    <n v="1300"/>
    <n v="1"/>
  </r>
  <r>
    <x v="448"/>
    <x v="413"/>
    <x v="1"/>
    <n v="336550000"/>
    <n v="336550000"/>
    <n v="0"/>
    <n v="0"/>
    <n v="0"/>
    <n v="0"/>
    <n v="0"/>
    <n v="0"/>
    <x v="3"/>
    <n v="0"/>
    <n v="1302"/>
    <n v="0"/>
  </r>
  <r>
    <x v="448"/>
    <x v="413"/>
    <x v="2"/>
    <n v="99999196"/>
    <n v="0"/>
    <n v="99999196"/>
    <n v="0"/>
    <n v="99999196"/>
    <n v="0"/>
    <n v="99999196"/>
    <n v="0"/>
    <x v="3"/>
    <n v="0"/>
    <n v="1301"/>
    <n v="1"/>
  </r>
  <r>
    <x v="449"/>
    <x v="414"/>
    <x v="1"/>
    <n v="97975610"/>
    <n v="97975610"/>
    <n v="0"/>
    <n v="0"/>
    <n v="0"/>
    <n v="0"/>
    <n v="0"/>
    <n v="0"/>
    <x v="3"/>
    <n v="0"/>
    <n v="1304"/>
    <n v="0"/>
  </r>
  <r>
    <x v="449"/>
    <x v="414"/>
    <x v="2"/>
    <n v="225000000"/>
    <n v="678435"/>
    <n v="224321565"/>
    <n v="0"/>
    <n v="224321565"/>
    <n v="0"/>
    <n v="0"/>
    <n v="0"/>
    <x v="3"/>
    <n v="224321565"/>
    <n v="1303"/>
    <n v="1"/>
  </r>
  <r>
    <x v="449"/>
    <x v="414"/>
    <x v="5"/>
    <n v="675000"/>
    <n v="675000"/>
    <n v="0"/>
    <n v="0"/>
    <n v="0"/>
    <n v="0"/>
    <n v="0"/>
    <n v="0"/>
    <x v="3"/>
    <n v="0"/>
    <n v="1305"/>
    <n v="1"/>
  </r>
  <r>
    <x v="450"/>
    <x v="415"/>
    <x v="1"/>
    <n v="130554666"/>
    <n v="130554666"/>
    <n v="0"/>
    <n v="0"/>
    <n v="0"/>
    <n v="0"/>
    <n v="0"/>
    <n v="0"/>
    <x v="3"/>
    <n v="0"/>
    <n v="1307"/>
    <n v="0"/>
  </r>
  <r>
    <x v="450"/>
    <x v="415"/>
    <x v="2"/>
    <n v="304627554"/>
    <n v="0"/>
    <n v="304627554"/>
    <n v="0"/>
    <n v="304627554"/>
    <n v="0"/>
    <n v="304627554"/>
    <n v="0"/>
    <x v="3"/>
    <n v="0"/>
    <n v="1306"/>
    <n v="1"/>
  </r>
  <r>
    <x v="450"/>
    <x v="415"/>
    <x v="5"/>
    <n v="217964"/>
    <n v="217964"/>
    <n v="0"/>
    <n v="0"/>
    <n v="0"/>
    <n v="0"/>
    <n v="0"/>
    <n v="0"/>
    <x v="3"/>
    <n v="0"/>
    <n v="1308"/>
    <n v="1"/>
  </r>
  <r>
    <x v="451"/>
    <x v="416"/>
    <x v="1"/>
    <n v="131380623"/>
    <n v="131380623"/>
    <n v="0"/>
    <n v="0"/>
    <n v="0"/>
    <n v="0"/>
    <n v="0"/>
    <n v="0"/>
    <x v="3"/>
    <n v="0"/>
    <n v="1310"/>
    <n v="0"/>
  </r>
  <r>
    <x v="451"/>
    <x v="416"/>
    <x v="2"/>
    <n v="306554787"/>
    <n v="52988986"/>
    <n v="253565801"/>
    <n v="0"/>
    <n v="253565801"/>
    <n v="0"/>
    <n v="0"/>
    <n v="0"/>
    <x v="3"/>
    <n v="253565801"/>
    <n v="1309"/>
    <n v="1"/>
  </r>
  <r>
    <x v="451"/>
    <x v="416"/>
    <x v="5"/>
    <n v="273819"/>
    <n v="273819"/>
    <n v="0"/>
    <n v="0"/>
    <n v="0"/>
    <n v="0"/>
    <n v="0"/>
    <n v="0"/>
    <x v="3"/>
    <n v="0"/>
    <n v="1311"/>
    <n v="1"/>
  </r>
  <r>
    <x v="452"/>
    <x v="417"/>
    <x v="1"/>
    <n v="309426002"/>
    <n v="309426002"/>
    <n v="0"/>
    <n v="0"/>
    <n v="0"/>
    <n v="0"/>
    <n v="0"/>
    <n v="0"/>
    <x v="3"/>
    <n v="0"/>
    <n v="1312"/>
    <n v="0"/>
  </r>
  <r>
    <x v="452"/>
    <x v="417"/>
    <x v="3"/>
    <n v="70418"/>
    <n v="70418"/>
    <n v="0"/>
    <n v="0"/>
    <n v="0"/>
    <n v="0"/>
    <n v="0"/>
    <n v="0"/>
    <x v="3"/>
    <n v="0"/>
    <n v="1313"/>
    <n v="1"/>
  </r>
  <r>
    <x v="452"/>
    <x v="417"/>
    <x v="5"/>
    <n v="594782"/>
    <n v="594782"/>
    <n v="0"/>
    <n v="0"/>
    <n v="0"/>
    <n v="0"/>
    <n v="0"/>
    <n v="0"/>
    <x v="3"/>
    <n v="0"/>
    <n v="1314"/>
    <n v="1"/>
  </r>
  <r>
    <x v="453"/>
    <x v="418"/>
    <x v="1"/>
    <n v="119495040"/>
    <n v="119495040"/>
    <n v="0"/>
    <n v="0"/>
    <n v="0"/>
    <n v="0"/>
    <n v="0"/>
    <n v="0"/>
    <x v="3"/>
    <n v="0"/>
    <n v="1316"/>
    <n v="0"/>
  </r>
  <r>
    <x v="453"/>
    <x v="418"/>
    <x v="2"/>
    <n v="278821760"/>
    <n v="81502665"/>
    <n v="197319095"/>
    <n v="0"/>
    <n v="197319095"/>
    <n v="0"/>
    <n v="0"/>
    <n v="0"/>
    <x v="3"/>
    <n v="197319095"/>
    <n v="1315"/>
    <n v="1"/>
  </r>
  <r>
    <x v="454"/>
    <x v="419"/>
    <x v="1"/>
    <n v="214136881"/>
    <n v="214136881"/>
    <n v="0"/>
    <n v="0"/>
    <n v="0"/>
    <n v="0"/>
    <n v="0"/>
    <n v="0"/>
    <x v="3"/>
    <n v="0"/>
    <n v="1318"/>
    <n v="0"/>
  </r>
  <r>
    <x v="454"/>
    <x v="419"/>
    <x v="2"/>
    <n v="200000000"/>
    <n v="0"/>
    <n v="200000000"/>
    <n v="0"/>
    <n v="200000000"/>
    <n v="0"/>
    <n v="200000000"/>
    <n v="0"/>
    <x v="3"/>
    <n v="0"/>
    <n v="1317"/>
    <n v="1"/>
  </r>
  <r>
    <x v="455"/>
    <x v="420"/>
    <x v="1"/>
    <n v="95259244"/>
    <n v="95259244"/>
    <n v="0"/>
    <n v="0"/>
    <n v="0"/>
    <n v="0"/>
    <n v="0"/>
    <n v="0"/>
    <x v="3"/>
    <n v="0"/>
    <n v="1320"/>
    <n v="0"/>
  </r>
  <r>
    <x v="455"/>
    <x v="420"/>
    <x v="2"/>
    <n v="222270356"/>
    <n v="0"/>
    <n v="222270356"/>
    <n v="0"/>
    <n v="222270356"/>
    <n v="0"/>
    <n v="222270356"/>
    <n v="0"/>
    <x v="3"/>
    <n v="0"/>
    <n v="1319"/>
    <n v="1"/>
  </r>
  <r>
    <x v="455"/>
    <x v="420"/>
    <x v="5"/>
    <n v="3184756"/>
    <n v="3184756"/>
    <n v="0"/>
    <n v="0"/>
    <n v="0"/>
    <n v="0"/>
    <n v="0"/>
    <n v="0"/>
    <x v="3"/>
    <n v="0"/>
    <n v="1321"/>
    <n v="1"/>
  </r>
  <r>
    <x v="456"/>
    <x v="421"/>
    <x v="1"/>
    <n v="147785000"/>
    <n v="96847562"/>
    <n v="50937438"/>
    <n v="50937438"/>
    <n v="0"/>
    <n v="0"/>
    <n v="0"/>
    <n v="0"/>
    <x v="3"/>
    <n v="0"/>
    <n v="1323"/>
    <n v="0"/>
  </r>
  <r>
    <x v="456"/>
    <x v="421"/>
    <x v="2"/>
    <n v="344000000"/>
    <n v="2825647"/>
    <n v="341174353"/>
    <n v="341174353"/>
    <n v="0"/>
    <n v="0"/>
    <n v="0"/>
    <n v="0"/>
    <x v="3"/>
    <n v="0"/>
    <n v="1322"/>
    <n v="1"/>
  </r>
  <r>
    <x v="456"/>
    <x v="421"/>
    <x v="6"/>
    <n v="1931850"/>
    <n v="1931850"/>
    <n v="0"/>
    <n v="0"/>
    <n v="0"/>
    <n v="0"/>
    <n v="0"/>
    <n v="0"/>
    <x v="3"/>
    <n v="0"/>
    <n v="1324"/>
    <n v="1"/>
  </r>
  <r>
    <x v="457"/>
    <x v="422"/>
    <x v="1"/>
    <n v="97971813"/>
    <n v="97971813"/>
    <n v="0"/>
    <n v="0"/>
    <n v="0"/>
    <n v="0"/>
    <n v="0"/>
    <n v="0"/>
    <x v="3"/>
    <n v="0"/>
    <n v="1326"/>
    <n v="0"/>
  </r>
  <r>
    <x v="457"/>
    <x v="422"/>
    <x v="2"/>
    <n v="219622085"/>
    <n v="0"/>
    <n v="219622085"/>
    <n v="0"/>
    <n v="219622085"/>
    <n v="0"/>
    <n v="219622085"/>
    <n v="0"/>
    <x v="3"/>
    <n v="0"/>
    <n v="1325"/>
    <n v="1"/>
  </r>
  <r>
    <x v="457"/>
    <x v="422"/>
    <x v="5"/>
    <n v="366562"/>
    <n v="366562"/>
    <n v="0"/>
    <n v="0"/>
    <n v="0"/>
    <n v="0"/>
    <n v="0"/>
    <n v="0"/>
    <x v="3"/>
    <n v="0"/>
    <n v="1327"/>
    <n v="1"/>
  </r>
  <r>
    <x v="457"/>
    <x v="422"/>
    <x v="6"/>
    <n v="1512675"/>
    <n v="1512675"/>
    <n v="0"/>
    <n v="0"/>
    <n v="0"/>
    <n v="0"/>
    <n v="0"/>
    <n v="0"/>
    <x v="3"/>
    <n v="0"/>
    <n v="1328"/>
    <n v="1"/>
  </r>
  <r>
    <x v="458"/>
    <x v="423"/>
    <x v="1"/>
    <n v="133085090"/>
    <n v="126316545"/>
    <n v="6768545"/>
    <n v="0"/>
    <n v="6768545"/>
    <n v="0"/>
    <n v="0"/>
    <n v="0"/>
    <x v="3"/>
    <n v="6768545"/>
    <n v="1330"/>
    <n v="0"/>
  </r>
  <r>
    <x v="458"/>
    <x v="423"/>
    <x v="2"/>
    <n v="302816500"/>
    <n v="0"/>
    <n v="302816500"/>
    <n v="0"/>
    <n v="302816500"/>
    <n v="0"/>
    <n v="0"/>
    <n v="0"/>
    <x v="3"/>
    <n v="302816500"/>
    <n v="1329"/>
    <n v="1"/>
  </r>
  <r>
    <x v="458"/>
    <x v="423"/>
    <x v="5"/>
    <n v="6768543"/>
    <n v="6768543"/>
    <n v="0"/>
    <n v="0"/>
    <n v="0"/>
    <n v="0"/>
    <n v="0"/>
    <n v="0"/>
    <x v="3"/>
    <n v="0"/>
    <n v="1331"/>
    <n v="1"/>
  </r>
  <r>
    <x v="459"/>
    <x v="424"/>
    <x v="1"/>
    <n v="125792400"/>
    <n v="125792400"/>
    <n v="0"/>
    <n v="0"/>
    <n v="0"/>
    <n v="0"/>
    <n v="0"/>
    <n v="0"/>
    <x v="3"/>
    <n v="0"/>
    <n v="1333"/>
    <n v="0"/>
  </r>
  <r>
    <x v="459"/>
    <x v="424"/>
    <x v="2"/>
    <n v="293515600"/>
    <n v="11182863"/>
    <n v="282332737"/>
    <n v="0"/>
    <n v="282332737"/>
    <n v="0"/>
    <n v="0"/>
    <n v="0"/>
    <x v="3"/>
    <n v="282332737"/>
    <n v="1332"/>
    <n v="1"/>
  </r>
  <r>
    <x v="459"/>
    <x v="424"/>
    <x v="5"/>
    <n v="1478178"/>
    <n v="1478178"/>
    <n v="0"/>
    <n v="0"/>
    <n v="0"/>
    <n v="0"/>
    <n v="0"/>
    <n v="0"/>
    <x v="3"/>
    <n v="0"/>
    <n v="1334"/>
    <n v="1"/>
  </r>
  <r>
    <x v="460"/>
    <x v="420"/>
    <x v="1"/>
    <n v="95108880"/>
    <n v="95108880"/>
    <n v="0"/>
    <n v="0"/>
    <n v="0"/>
    <n v="0"/>
    <n v="0"/>
    <n v="0"/>
    <x v="3"/>
    <n v="0"/>
    <n v="1336"/>
    <n v="0"/>
  </r>
  <r>
    <x v="460"/>
    <x v="420"/>
    <x v="2"/>
    <n v="221920720"/>
    <n v="75225333"/>
    <n v="146695387"/>
    <n v="0"/>
    <n v="146695387"/>
    <n v="0"/>
    <n v="0"/>
    <n v="0"/>
    <x v="3"/>
    <n v="146695387"/>
    <n v="1335"/>
    <n v="1"/>
  </r>
  <r>
    <x v="460"/>
    <x v="420"/>
    <x v="5"/>
    <n v="795141"/>
    <n v="795141"/>
    <n v="0"/>
    <n v="0"/>
    <n v="0"/>
    <n v="0"/>
    <n v="0"/>
    <n v="0"/>
    <x v="3"/>
    <n v="0"/>
    <n v="1337"/>
    <n v="1"/>
  </r>
  <r>
    <x v="461"/>
    <x v="425"/>
    <x v="1"/>
    <n v="96911520"/>
    <n v="47489835"/>
    <n v="49421685"/>
    <n v="49421685"/>
    <n v="0"/>
    <n v="0"/>
    <n v="0"/>
    <n v="0"/>
    <x v="3"/>
    <n v="0"/>
    <n v="1339"/>
    <n v="0"/>
  </r>
  <r>
    <x v="461"/>
    <x v="425"/>
    <x v="2"/>
    <n v="395373480"/>
    <n v="1229971"/>
    <n v="394143509"/>
    <n v="394143509"/>
    <n v="0"/>
    <n v="0"/>
    <n v="0"/>
    <n v="0"/>
    <x v="3"/>
    <n v="0"/>
    <n v="1338"/>
    <n v="1"/>
  </r>
  <r>
    <x v="461"/>
    <x v="425"/>
    <x v="6"/>
    <n v="1931850"/>
    <n v="1931848"/>
    <n v="2"/>
    <n v="2"/>
    <n v="0"/>
    <n v="0"/>
    <n v="0"/>
    <n v="0"/>
    <x v="3"/>
    <n v="0"/>
    <n v="1340"/>
    <n v="1"/>
  </r>
  <r>
    <x v="462"/>
    <x v="426"/>
    <x v="1"/>
    <n v="195455800"/>
    <n v="195455800"/>
    <n v="0"/>
    <n v="0"/>
    <n v="0"/>
    <n v="0"/>
    <n v="0"/>
    <n v="0"/>
    <x v="3"/>
    <n v="0"/>
    <n v="1342"/>
    <n v="0"/>
  </r>
  <r>
    <x v="462"/>
    <x v="426"/>
    <x v="2"/>
    <n v="116209323"/>
    <n v="0"/>
    <n v="116209323"/>
    <n v="0"/>
    <n v="116209323"/>
    <n v="0"/>
    <n v="116209323"/>
    <n v="0"/>
    <x v="3"/>
    <n v="0"/>
    <n v="1341"/>
    <n v="1"/>
  </r>
  <r>
    <x v="462"/>
    <x v="426"/>
    <x v="5"/>
    <n v="259095"/>
    <n v="259095"/>
    <n v="0"/>
    <n v="0"/>
    <n v="0"/>
    <n v="0"/>
    <n v="0"/>
    <n v="0"/>
    <x v="3"/>
    <n v="0"/>
    <n v="1343"/>
    <n v="1"/>
  </r>
  <r>
    <x v="462"/>
    <x v="426"/>
    <x v="6"/>
    <n v="1512675"/>
    <n v="1512675"/>
    <n v="0"/>
    <n v="0"/>
    <n v="0"/>
    <n v="0"/>
    <n v="0"/>
    <n v="0"/>
    <x v="3"/>
    <n v="0"/>
    <n v="1344"/>
    <n v="1"/>
  </r>
  <r>
    <x v="463"/>
    <x v="427"/>
    <x v="1"/>
    <n v="118727820"/>
    <n v="118727820"/>
    <n v="0"/>
    <n v="0"/>
    <n v="0"/>
    <n v="0"/>
    <n v="0"/>
    <n v="0"/>
    <x v="3"/>
    <n v="0"/>
    <n v="1346"/>
    <n v="0"/>
  </r>
  <r>
    <x v="463"/>
    <x v="427"/>
    <x v="2"/>
    <n v="277031580"/>
    <n v="277031580"/>
    <n v="0"/>
    <n v="0"/>
    <n v="0"/>
    <n v="0"/>
    <n v="0"/>
    <n v="0"/>
    <x v="3"/>
    <n v="0"/>
    <n v="1345"/>
    <n v="1"/>
  </r>
  <r>
    <x v="463"/>
    <x v="427"/>
    <x v="3"/>
    <n v="92441"/>
    <n v="0"/>
    <n v="92441"/>
    <n v="0"/>
    <n v="92441"/>
    <n v="0"/>
    <n v="0"/>
    <n v="92441"/>
    <x v="3"/>
    <n v="0"/>
    <n v="1347"/>
    <n v="1"/>
  </r>
  <r>
    <x v="464"/>
    <x v="285"/>
    <x v="1"/>
    <n v="414269670"/>
    <n v="414269670"/>
    <n v="0"/>
    <n v="0"/>
    <n v="0"/>
    <n v="0"/>
    <n v="0"/>
    <n v="0"/>
    <x v="3"/>
    <n v="0"/>
    <n v="1348"/>
    <n v="0"/>
  </r>
  <r>
    <x v="464"/>
    <x v="285"/>
    <x v="3"/>
    <n v="100000"/>
    <n v="100000"/>
    <n v="0"/>
    <n v="0"/>
    <n v="0"/>
    <n v="0"/>
    <n v="0"/>
    <n v="0"/>
    <x v="3"/>
    <n v="0"/>
    <n v="1349"/>
    <n v="1"/>
  </r>
  <r>
    <x v="465"/>
    <x v="428"/>
    <x v="1"/>
    <n v="82953130"/>
    <n v="17864730"/>
    <n v="65088400"/>
    <n v="60738763"/>
    <n v="4349637"/>
    <n v="4349637"/>
    <n v="0"/>
    <n v="0"/>
    <x v="3"/>
    <n v="0"/>
    <n v="1352"/>
    <n v="0"/>
  </r>
  <r>
    <x v="465"/>
    <x v="428"/>
    <x v="9"/>
    <n v="12438713"/>
    <n v="1398546"/>
    <n v="11040167"/>
    <n v="10572905"/>
    <n v="467262"/>
    <n v="466452"/>
    <n v="810"/>
    <n v="0"/>
    <x v="3"/>
    <n v="0"/>
    <n v="1350"/>
    <n v="1"/>
  </r>
  <r>
    <x v="465"/>
    <x v="428"/>
    <x v="2"/>
    <n v="338031870"/>
    <n v="0"/>
    <n v="338031870"/>
    <n v="338031870"/>
    <n v="0"/>
    <n v="0"/>
    <n v="0"/>
    <n v="0"/>
    <x v="3"/>
    <n v="0"/>
    <n v="1351"/>
    <n v="1"/>
  </r>
  <r>
    <x v="466"/>
    <x v="429"/>
    <x v="1"/>
    <n v="97011520"/>
    <n v="24122640"/>
    <n v="72888880"/>
    <n v="68153040"/>
    <n v="4735840"/>
    <n v="4122640"/>
    <n v="613200"/>
    <n v="0"/>
    <x v="3"/>
    <n v="0"/>
    <n v="1354"/>
    <n v="0"/>
  </r>
  <r>
    <x v="466"/>
    <x v="429"/>
    <x v="2"/>
    <n v="395773480"/>
    <n v="217628"/>
    <n v="395555852"/>
    <n v="395555852"/>
    <n v="0"/>
    <n v="0"/>
    <n v="0"/>
    <n v="0"/>
    <x v="3"/>
    <n v="0"/>
    <n v="1353"/>
    <n v="1"/>
  </r>
  <r>
    <x v="466"/>
    <x v="429"/>
    <x v="6"/>
    <n v="1931850"/>
    <n v="0"/>
    <n v="1931850"/>
    <n v="1931850"/>
    <n v="0"/>
    <n v="0"/>
    <n v="0"/>
    <n v="0"/>
    <x v="3"/>
    <n v="0"/>
    <n v="1355"/>
    <n v="1"/>
  </r>
  <r>
    <x v="467"/>
    <x v="430"/>
    <x v="1"/>
    <n v="96458769"/>
    <n v="96458769"/>
    <n v="0"/>
    <n v="0"/>
    <n v="0"/>
    <n v="0"/>
    <n v="0"/>
    <n v="0"/>
    <x v="3"/>
    <n v="0"/>
    <n v="1357"/>
    <n v="0"/>
  </r>
  <r>
    <x v="467"/>
    <x v="430"/>
    <x v="2"/>
    <n v="225070461"/>
    <n v="0"/>
    <n v="225070461"/>
    <n v="0"/>
    <n v="225070461"/>
    <n v="0"/>
    <n v="225070461"/>
    <n v="0"/>
    <x v="3"/>
    <n v="0"/>
    <n v="1356"/>
    <n v="1"/>
  </r>
  <r>
    <x v="468"/>
    <x v="431"/>
    <x v="1"/>
    <n v="123341250"/>
    <n v="123341250"/>
    <n v="0"/>
    <n v="0"/>
    <n v="0"/>
    <n v="0"/>
    <n v="0"/>
    <n v="0"/>
    <x v="3"/>
    <n v="0"/>
    <n v="1359"/>
    <n v="0"/>
  </r>
  <r>
    <x v="468"/>
    <x v="431"/>
    <x v="2"/>
    <n v="287796250"/>
    <n v="86178883"/>
    <n v="201617367"/>
    <n v="0"/>
    <n v="201617367"/>
    <n v="0"/>
    <n v="0"/>
    <n v="0"/>
    <x v="3"/>
    <n v="201617367"/>
    <n v="1358"/>
    <n v="1"/>
  </r>
  <r>
    <x v="468"/>
    <x v="431"/>
    <x v="6"/>
    <n v="1931850"/>
    <n v="1931850"/>
    <n v="0"/>
    <n v="0"/>
    <n v="0"/>
    <n v="0"/>
    <n v="0"/>
    <n v="0"/>
    <x v="3"/>
    <n v="0"/>
    <n v="1360"/>
    <n v="1"/>
  </r>
  <r>
    <x v="469"/>
    <x v="432"/>
    <x v="1"/>
    <n v="131802000"/>
    <n v="131802000"/>
    <n v="0"/>
    <n v="0"/>
    <n v="0"/>
    <n v="0"/>
    <n v="0"/>
    <n v="0"/>
    <x v="3"/>
    <n v="0"/>
    <n v="1362"/>
    <n v="0"/>
  </r>
  <r>
    <x v="469"/>
    <x v="432"/>
    <x v="2"/>
    <n v="307538000"/>
    <n v="462322"/>
    <n v="307075678"/>
    <n v="0"/>
    <n v="307075678"/>
    <n v="0"/>
    <n v="0"/>
    <n v="0"/>
    <x v="3"/>
    <n v="307075678"/>
    <n v="1361"/>
    <n v="1"/>
  </r>
  <r>
    <x v="469"/>
    <x v="432"/>
    <x v="5"/>
    <n v="599564"/>
    <n v="599564"/>
    <n v="0"/>
    <n v="0"/>
    <n v="0"/>
    <n v="0"/>
    <n v="0"/>
    <n v="0"/>
    <x v="3"/>
    <n v="0"/>
    <n v="1363"/>
    <n v="1"/>
  </r>
  <r>
    <x v="470"/>
    <x v="433"/>
    <x v="1"/>
    <n v="83086859"/>
    <n v="23072866"/>
    <n v="60013993"/>
    <n v="56168828"/>
    <n v="3845165"/>
    <n v="3845165"/>
    <n v="0"/>
    <n v="0"/>
    <x v="3"/>
    <n v="0"/>
    <n v="1365"/>
    <n v="0"/>
  </r>
  <r>
    <x v="470"/>
    <x v="433"/>
    <x v="2"/>
    <n v="338020141"/>
    <n v="0"/>
    <n v="338020141"/>
    <n v="338020141"/>
    <n v="0"/>
    <n v="0"/>
    <n v="0"/>
    <n v="0"/>
    <x v="3"/>
    <n v="0"/>
    <n v="1364"/>
    <n v="1"/>
  </r>
  <r>
    <x v="470"/>
    <x v="433"/>
    <x v="6"/>
    <n v="1512675"/>
    <n v="0"/>
    <n v="1512675"/>
    <n v="1512675"/>
    <n v="0"/>
    <n v="0"/>
    <n v="0"/>
    <n v="0"/>
    <x v="3"/>
    <n v="0"/>
    <n v="1366"/>
    <n v="1"/>
  </r>
  <r>
    <x v="471"/>
    <x v="434"/>
    <x v="1"/>
    <n v="317904190"/>
    <n v="317904190"/>
    <n v="0"/>
    <n v="0"/>
    <n v="0"/>
    <n v="0"/>
    <n v="0"/>
    <n v="0"/>
    <x v="3"/>
    <n v="0"/>
    <n v="1367"/>
    <n v="0"/>
  </r>
  <r>
    <x v="471"/>
    <x v="434"/>
    <x v="3"/>
    <n v="70402"/>
    <n v="0"/>
    <n v="70402"/>
    <n v="0"/>
    <n v="70402"/>
    <n v="0"/>
    <n v="0"/>
    <n v="70402"/>
    <x v="3"/>
    <n v="0"/>
    <n v="1368"/>
    <n v="1"/>
  </r>
  <r>
    <x v="472"/>
    <x v="435"/>
    <x v="1"/>
    <n v="411637500"/>
    <n v="411637500"/>
    <n v="0"/>
    <n v="0"/>
    <n v="0"/>
    <n v="0"/>
    <n v="0"/>
    <n v="0"/>
    <x v="3"/>
    <n v="0"/>
    <n v="1369"/>
    <n v="0"/>
  </r>
  <r>
    <x v="473"/>
    <x v="436"/>
    <x v="1"/>
    <n v="120323610"/>
    <n v="120323610"/>
    <n v="0"/>
    <n v="0"/>
    <n v="0"/>
    <n v="0"/>
    <n v="0"/>
    <n v="0"/>
    <x v="3"/>
    <n v="0"/>
    <n v="1371"/>
    <n v="0"/>
  </r>
  <r>
    <x v="473"/>
    <x v="436"/>
    <x v="2"/>
    <n v="280755090"/>
    <n v="280755090"/>
    <n v="0"/>
    <n v="0"/>
    <n v="0"/>
    <n v="0"/>
    <n v="0"/>
    <n v="0"/>
    <x v="3"/>
    <n v="0"/>
    <n v="1370"/>
    <n v="1"/>
  </r>
  <r>
    <x v="473"/>
    <x v="436"/>
    <x v="3"/>
    <n v="90768"/>
    <n v="0"/>
    <n v="90768"/>
    <n v="0"/>
    <n v="90768"/>
    <n v="0"/>
    <n v="0"/>
    <n v="90768"/>
    <x v="3"/>
    <n v="0"/>
    <n v="1372"/>
    <n v="1"/>
  </r>
  <r>
    <x v="473"/>
    <x v="436"/>
    <x v="6"/>
    <n v="1931850"/>
    <n v="1931850"/>
    <n v="0"/>
    <n v="0"/>
    <n v="0"/>
    <n v="0"/>
    <n v="0"/>
    <n v="0"/>
    <x v="3"/>
    <n v="0"/>
    <n v="1373"/>
    <n v="1"/>
  </r>
  <r>
    <x v="474"/>
    <x v="437"/>
    <x v="1"/>
    <n v="106482198"/>
    <n v="106482198"/>
    <n v="0"/>
    <n v="0"/>
    <n v="0"/>
    <n v="0"/>
    <n v="0"/>
    <n v="0"/>
    <x v="3"/>
    <n v="0"/>
    <n v="1375"/>
    <n v="0"/>
  </r>
  <r>
    <x v="474"/>
    <x v="437"/>
    <x v="2"/>
    <n v="244191500"/>
    <n v="0"/>
    <n v="244191500"/>
    <n v="0"/>
    <n v="244191500"/>
    <n v="0"/>
    <n v="0"/>
    <n v="0"/>
    <x v="3"/>
    <n v="244191500"/>
    <n v="1374"/>
    <n v="1"/>
  </r>
  <r>
    <x v="475"/>
    <x v="438"/>
    <x v="1"/>
    <n v="148921485"/>
    <n v="148921485"/>
    <n v="0"/>
    <n v="0"/>
    <n v="0"/>
    <n v="0"/>
    <n v="0"/>
    <n v="0"/>
    <x v="3"/>
    <n v="0"/>
    <n v="1377"/>
    <n v="0"/>
  </r>
  <r>
    <x v="475"/>
    <x v="438"/>
    <x v="2"/>
    <n v="249999361"/>
    <n v="0"/>
    <n v="249999361"/>
    <n v="0"/>
    <n v="249999361"/>
    <n v="0"/>
    <n v="249999361"/>
    <n v="0"/>
    <x v="3"/>
    <n v="0"/>
    <n v="1376"/>
    <n v="1"/>
  </r>
  <r>
    <x v="476"/>
    <x v="439"/>
    <x v="1"/>
    <n v="313384644"/>
    <n v="313384644"/>
    <n v="0"/>
    <n v="0"/>
    <n v="0"/>
    <n v="0"/>
    <n v="0"/>
    <n v="0"/>
    <x v="3"/>
    <n v="0"/>
    <n v="1378"/>
    <n v="0"/>
  </r>
  <r>
    <x v="476"/>
    <x v="439"/>
    <x v="3"/>
    <n v="76967"/>
    <n v="76967"/>
    <n v="0"/>
    <n v="0"/>
    <n v="0"/>
    <n v="0"/>
    <n v="0"/>
    <n v="0"/>
    <x v="3"/>
    <n v="0"/>
    <n v="1379"/>
    <n v="1"/>
  </r>
  <r>
    <x v="476"/>
    <x v="439"/>
    <x v="6"/>
    <n v="1512675"/>
    <n v="1512675"/>
    <n v="0"/>
    <n v="0"/>
    <n v="0"/>
    <n v="0"/>
    <n v="0"/>
    <n v="0"/>
    <x v="3"/>
    <n v="0"/>
    <n v="1380"/>
    <n v="1"/>
  </r>
  <r>
    <x v="477"/>
    <x v="440"/>
    <x v="1"/>
    <n v="125000000"/>
    <n v="125000000"/>
    <n v="0"/>
    <n v="0"/>
    <n v="0"/>
    <n v="0"/>
    <n v="0"/>
    <n v="0"/>
    <x v="3"/>
    <n v="0"/>
    <n v="1382"/>
    <n v="0"/>
  </r>
  <r>
    <x v="477"/>
    <x v="440"/>
    <x v="2"/>
    <n v="282465915"/>
    <n v="0"/>
    <n v="282465915"/>
    <n v="0"/>
    <n v="282465915"/>
    <n v="0"/>
    <n v="0"/>
    <n v="0"/>
    <x v="3"/>
    <n v="282465915"/>
    <n v="1381"/>
    <n v="1"/>
  </r>
  <r>
    <x v="477"/>
    <x v="440"/>
    <x v="5"/>
    <n v="6988740"/>
    <n v="6988740"/>
    <n v="0"/>
    <n v="0"/>
    <n v="0"/>
    <n v="0"/>
    <n v="0"/>
    <n v="0"/>
    <x v="3"/>
    <n v="0"/>
    <n v="1383"/>
    <n v="1"/>
  </r>
  <r>
    <x v="478"/>
    <x v="441"/>
    <x v="1"/>
    <n v="126627600"/>
    <n v="126627600"/>
    <n v="0"/>
    <n v="0"/>
    <n v="0"/>
    <n v="0"/>
    <n v="0"/>
    <n v="0"/>
    <x v="3"/>
    <n v="0"/>
    <n v="1385"/>
    <n v="0"/>
  </r>
  <r>
    <x v="478"/>
    <x v="441"/>
    <x v="2"/>
    <n v="292838148"/>
    <n v="0"/>
    <n v="292838148"/>
    <n v="0"/>
    <n v="292838148"/>
    <n v="0"/>
    <n v="292838148"/>
    <n v="0"/>
    <x v="3"/>
    <n v="0"/>
    <n v="1384"/>
    <n v="1"/>
  </r>
  <r>
    <x v="478"/>
    <x v="441"/>
    <x v="5"/>
    <n v="483053"/>
    <n v="483053"/>
    <n v="0"/>
    <n v="0"/>
    <n v="0"/>
    <n v="0"/>
    <n v="0"/>
    <n v="0"/>
    <x v="3"/>
    <n v="0"/>
    <n v="1386"/>
    <n v="1"/>
  </r>
  <r>
    <x v="479"/>
    <x v="104"/>
    <x v="1"/>
    <n v="319349355"/>
    <n v="319349355"/>
    <n v="0"/>
    <n v="0"/>
    <n v="0"/>
    <n v="0"/>
    <n v="0"/>
    <n v="0"/>
    <x v="3"/>
    <n v="0"/>
    <n v="1387"/>
    <n v="0"/>
  </r>
  <r>
    <x v="479"/>
    <x v="104"/>
    <x v="3"/>
    <n v="74634"/>
    <n v="74634"/>
    <n v="0"/>
    <n v="0"/>
    <n v="0"/>
    <n v="0"/>
    <n v="0"/>
    <n v="0"/>
    <x v="3"/>
    <n v="0"/>
    <n v="1388"/>
    <n v="1"/>
  </r>
  <r>
    <x v="480"/>
    <x v="442"/>
    <x v="1"/>
    <n v="137915150"/>
    <n v="137915150"/>
    <n v="0"/>
    <n v="0"/>
    <n v="0"/>
    <n v="0"/>
    <n v="0"/>
    <n v="0"/>
    <x v="3"/>
    <n v="0"/>
    <n v="1390"/>
    <n v="0"/>
  </r>
  <r>
    <x v="480"/>
    <x v="442"/>
    <x v="2"/>
    <n v="311515294"/>
    <n v="0"/>
    <n v="311515294"/>
    <n v="0"/>
    <n v="311515294"/>
    <n v="0"/>
    <n v="311515294"/>
    <n v="0"/>
    <x v="3"/>
    <n v="0"/>
    <n v="1389"/>
    <n v="1"/>
  </r>
  <r>
    <x v="480"/>
    <x v="442"/>
    <x v="6"/>
    <n v="1931850"/>
    <n v="1931850"/>
    <n v="0"/>
    <n v="0"/>
    <n v="0"/>
    <n v="0"/>
    <n v="0"/>
    <n v="0"/>
    <x v="3"/>
    <n v="0"/>
    <n v="1391"/>
    <n v="1"/>
  </r>
  <r>
    <x v="481"/>
    <x v="443"/>
    <x v="1"/>
    <n v="313381512"/>
    <n v="313381512"/>
    <n v="0"/>
    <n v="0"/>
    <n v="0"/>
    <n v="0"/>
    <n v="0"/>
    <n v="0"/>
    <x v="3"/>
    <n v="0"/>
    <n v="1392"/>
    <n v="0"/>
  </r>
  <r>
    <x v="481"/>
    <x v="443"/>
    <x v="3"/>
    <n v="78310"/>
    <n v="78310"/>
    <n v="0"/>
    <n v="0"/>
    <n v="0"/>
    <n v="0"/>
    <n v="0"/>
    <n v="0"/>
    <x v="3"/>
    <n v="0"/>
    <n v="1393"/>
    <n v="1"/>
  </r>
  <r>
    <x v="481"/>
    <x v="443"/>
    <x v="6"/>
    <n v="1512675"/>
    <n v="1512675"/>
    <n v="0"/>
    <n v="0"/>
    <n v="0"/>
    <n v="0"/>
    <n v="0"/>
    <n v="0"/>
    <x v="3"/>
    <n v="0"/>
    <n v="1394"/>
    <n v="1"/>
  </r>
  <r>
    <x v="482"/>
    <x v="444"/>
    <x v="1"/>
    <n v="132309451"/>
    <n v="132309451"/>
    <n v="0"/>
    <n v="0"/>
    <n v="0"/>
    <n v="0"/>
    <n v="0"/>
    <n v="0"/>
    <x v="3"/>
    <n v="0"/>
    <n v="1396"/>
    <n v="0"/>
  </r>
  <r>
    <x v="482"/>
    <x v="444"/>
    <x v="2"/>
    <n v="288923353"/>
    <n v="288923353"/>
    <n v="0"/>
    <n v="0"/>
    <n v="0"/>
    <n v="0"/>
    <n v="0"/>
    <n v="0"/>
    <x v="3"/>
    <n v="0"/>
    <n v="1395"/>
    <n v="1"/>
  </r>
  <r>
    <x v="482"/>
    <x v="444"/>
    <x v="3"/>
    <n v="96573"/>
    <n v="0"/>
    <n v="96573"/>
    <n v="0"/>
    <n v="96573"/>
    <n v="0"/>
    <n v="0"/>
    <n v="96573"/>
    <x v="3"/>
    <n v="0"/>
    <n v="1397"/>
    <n v="1"/>
  </r>
  <r>
    <x v="483"/>
    <x v="445"/>
    <x v="1"/>
    <n v="481715827"/>
    <n v="481715827"/>
    <n v="0"/>
    <n v="0"/>
    <n v="0"/>
    <n v="0"/>
    <n v="0"/>
    <n v="0"/>
    <x v="3"/>
    <n v="0"/>
    <n v="1398"/>
    <n v="0"/>
  </r>
  <r>
    <x v="483"/>
    <x v="445"/>
    <x v="3"/>
    <n v="99977"/>
    <n v="0"/>
    <n v="99977"/>
    <n v="0"/>
    <n v="99977"/>
    <n v="0"/>
    <n v="0"/>
    <n v="99977"/>
    <x v="3"/>
    <n v="0"/>
    <n v="1399"/>
    <n v="1"/>
  </r>
  <r>
    <x v="484"/>
    <x v="446"/>
    <x v="1"/>
    <n v="83353129"/>
    <n v="26114766"/>
    <n v="57238363"/>
    <n v="57238363"/>
    <n v="0"/>
    <n v="0"/>
    <n v="0"/>
    <n v="0"/>
    <x v="3"/>
    <n v="0"/>
    <n v="1402"/>
    <n v="0"/>
  </r>
  <r>
    <x v="484"/>
    <x v="446"/>
    <x v="9"/>
    <n v="12438713"/>
    <n v="1399358"/>
    <n v="11039355"/>
    <n v="11039355"/>
    <n v="0"/>
    <n v="0"/>
    <n v="0"/>
    <n v="0"/>
    <x v="3"/>
    <n v="0"/>
    <n v="1400"/>
    <n v="1"/>
  </r>
  <r>
    <x v="484"/>
    <x v="446"/>
    <x v="2"/>
    <n v="339631871"/>
    <n v="0"/>
    <n v="339631871"/>
    <n v="339631871"/>
    <n v="0"/>
    <n v="0"/>
    <n v="0"/>
    <n v="0"/>
    <x v="3"/>
    <n v="0"/>
    <n v="1401"/>
    <n v="1"/>
  </r>
  <r>
    <x v="485"/>
    <x v="447"/>
    <x v="1"/>
    <n v="121179142"/>
    <n v="121179142"/>
    <n v="0"/>
    <n v="0"/>
    <n v="0"/>
    <n v="0"/>
    <n v="0"/>
    <n v="0"/>
    <x v="3"/>
    <n v="0"/>
    <n v="1404"/>
    <n v="0"/>
  </r>
  <r>
    <x v="485"/>
    <x v="447"/>
    <x v="2"/>
    <n v="269957100"/>
    <n v="15548192"/>
    <n v="254408908"/>
    <n v="0"/>
    <n v="254408908"/>
    <n v="0"/>
    <n v="0"/>
    <n v="0"/>
    <x v="3"/>
    <n v="254408908"/>
    <n v="1403"/>
    <n v="1"/>
  </r>
  <r>
    <x v="485"/>
    <x v="447"/>
    <x v="5"/>
    <n v="1008523"/>
    <n v="1008523"/>
    <n v="0"/>
    <n v="0"/>
    <n v="0"/>
    <n v="0"/>
    <n v="0"/>
    <n v="0"/>
    <x v="3"/>
    <n v="0"/>
    <n v="1405"/>
    <n v="1"/>
  </r>
  <r>
    <x v="486"/>
    <x v="448"/>
    <x v="1"/>
    <n v="97733100"/>
    <n v="97733100"/>
    <n v="0"/>
    <n v="0"/>
    <n v="0"/>
    <n v="0"/>
    <n v="0"/>
    <n v="0"/>
    <x v="3"/>
    <n v="0"/>
    <n v="1407"/>
    <n v="0"/>
  </r>
  <r>
    <x v="486"/>
    <x v="448"/>
    <x v="2"/>
    <n v="228043900"/>
    <n v="4"/>
    <n v="228043896"/>
    <n v="0"/>
    <n v="228043896"/>
    <n v="0"/>
    <n v="0"/>
    <n v="0"/>
    <x v="3"/>
    <n v="228043896"/>
    <n v="1406"/>
    <n v="1"/>
  </r>
  <r>
    <x v="486"/>
    <x v="448"/>
    <x v="6"/>
    <n v="1512675"/>
    <n v="1512675"/>
    <n v="0"/>
    <n v="0"/>
    <n v="0"/>
    <n v="0"/>
    <n v="0"/>
    <n v="0"/>
    <x v="3"/>
    <n v="0"/>
    <n v="1408"/>
    <n v="1"/>
  </r>
  <r>
    <x v="487"/>
    <x v="449"/>
    <x v="1"/>
    <n v="133000000"/>
    <n v="133000000"/>
    <n v="0"/>
    <n v="0"/>
    <n v="0"/>
    <n v="0"/>
    <n v="0"/>
    <n v="0"/>
    <x v="3"/>
    <n v="0"/>
    <n v="1410"/>
    <n v="0"/>
  </r>
  <r>
    <x v="487"/>
    <x v="449"/>
    <x v="2"/>
    <n v="307726844"/>
    <n v="25675972"/>
    <n v="282050872"/>
    <n v="0"/>
    <n v="282050872"/>
    <n v="0"/>
    <n v="0"/>
    <n v="0"/>
    <x v="3"/>
    <n v="282050872"/>
    <n v="1409"/>
    <n v="1"/>
  </r>
  <r>
    <x v="487"/>
    <x v="449"/>
    <x v="5"/>
    <n v="927770"/>
    <n v="927770"/>
    <n v="0"/>
    <n v="0"/>
    <n v="0"/>
    <n v="0"/>
    <n v="0"/>
    <n v="0"/>
    <x v="3"/>
    <n v="0"/>
    <n v="1411"/>
    <n v="1"/>
  </r>
  <r>
    <x v="488"/>
    <x v="450"/>
    <x v="1"/>
    <n v="126692408"/>
    <n v="126692408"/>
    <n v="0"/>
    <n v="0"/>
    <n v="0"/>
    <n v="0"/>
    <n v="0"/>
    <n v="0"/>
    <x v="3"/>
    <n v="0"/>
    <n v="1413"/>
    <n v="0"/>
  </r>
  <r>
    <x v="488"/>
    <x v="450"/>
    <x v="2"/>
    <n v="295615592"/>
    <n v="168557"/>
    <n v="295447035"/>
    <n v="0"/>
    <n v="295447035"/>
    <n v="0"/>
    <n v="0"/>
    <n v="0"/>
    <x v="3"/>
    <n v="295447035"/>
    <n v="1412"/>
    <n v="1"/>
  </r>
  <r>
    <x v="488"/>
    <x v="450"/>
    <x v="5"/>
    <n v="3509859"/>
    <n v="0"/>
    <n v="3509859"/>
    <n v="0"/>
    <n v="3509859"/>
    <n v="0"/>
    <n v="0"/>
    <n v="0"/>
    <x v="3"/>
    <n v="3509859"/>
    <n v="1414"/>
    <n v="1"/>
  </r>
  <r>
    <x v="488"/>
    <x v="450"/>
    <x v="6"/>
    <n v="1931850"/>
    <n v="641007"/>
    <n v="1290843"/>
    <n v="0"/>
    <n v="1290843"/>
    <n v="0"/>
    <n v="0"/>
    <n v="0"/>
    <x v="3"/>
    <n v="1290843"/>
    <n v="1415"/>
    <n v="1"/>
  </r>
  <r>
    <x v="489"/>
    <x v="451"/>
    <x v="1"/>
    <n v="132192100"/>
    <n v="9668387"/>
    <n v="122523713"/>
    <n v="43423713"/>
    <n v="79100000"/>
    <n v="0"/>
    <n v="0"/>
    <n v="79100000"/>
    <x v="3"/>
    <n v="0"/>
    <n v="1417"/>
    <n v="0"/>
  </r>
  <r>
    <x v="489"/>
    <x v="451"/>
    <x v="2"/>
    <n v="291292900"/>
    <n v="0"/>
    <n v="291292900"/>
    <n v="291292900"/>
    <n v="0"/>
    <n v="0"/>
    <n v="0"/>
    <n v="0"/>
    <x v="3"/>
    <n v="0"/>
    <n v="1416"/>
    <n v="1"/>
  </r>
  <r>
    <x v="489"/>
    <x v="451"/>
    <x v="6"/>
    <n v="12438713"/>
    <n v="3731613"/>
    <n v="8707100"/>
    <n v="8707100"/>
    <n v="0"/>
    <n v="0"/>
    <n v="0"/>
    <n v="0"/>
    <x v="3"/>
    <n v="0"/>
    <n v="1418"/>
    <n v="1"/>
  </r>
  <r>
    <x v="490"/>
    <x v="452"/>
    <x v="1"/>
    <n v="134997900"/>
    <n v="134997900"/>
    <n v="0"/>
    <n v="0"/>
    <n v="0"/>
    <n v="0"/>
    <n v="0"/>
    <n v="0"/>
    <x v="3"/>
    <n v="0"/>
    <n v="1420"/>
    <n v="0"/>
  </r>
  <r>
    <x v="490"/>
    <x v="452"/>
    <x v="2"/>
    <n v="314995100"/>
    <n v="13522"/>
    <n v="314981578"/>
    <n v="0"/>
    <n v="314981578"/>
    <n v="0"/>
    <n v="0"/>
    <n v="0"/>
    <x v="3"/>
    <n v="314981578"/>
    <n v="1419"/>
    <n v="1"/>
  </r>
  <r>
    <x v="490"/>
    <x v="452"/>
    <x v="5"/>
    <n v="1988478"/>
    <n v="1988478"/>
    <n v="0"/>
    <n v="0"/>
    <n v="0"/>
    <n v="0"/>
    <n v="0"/>
    <n v="0"/>
    <x v="3"/>
    <n v="0"/>
    <n v="1421"/>
    <n v="1"/>
  </r>
  <r>
    <x v="491"/>
    <x v="453"/>
    <x v="1"/>
    <n v="163338462"/>
    <n v="162500000"/>
    <n v="838462"/>
    <n v="0"/>
    <n v="838462"/>
    <n v="0"/>
    <n v="838462"/>
    <n v="0"/>
    <x v="3"/>
    <n v="0"/>
    <n v="1423"/>
    <n v="0"/>
  </r>
  <r>
    <x v="491"/>
    <x v="453"/>
    <x v="2"/>
    <n v="216000000"/>
    <n v="0"/>
    <n v="216000000"/>
    <n v="0"/>
    <n v="216000000"/>
    <n v="0"/>
    <n v="216000000"/>
    <n v="0"/>
    <x v="3"/>
    <n v="0"/>
    <n v="1422"/>
    <n v="1"/>
  </r>
  <r>
    <x v="492"/>
    <x v="454"/>
    <x v="1"/>
    <n v="122616300"/>
    <n v="122616300"/>
    <n v="0"/>
    <n v="0"/>
    <n v="0"/>
    <n v="0"/>
    <n v="0"/>
    <n v="0"/>
    <x v="3"/>
    <n v="0"/>
    <n v="1425"/>
    <n v="0"/>
  </r>
  <r>
    <x v="492"/>
    <x v="454"/>
    <x v="2"/>
    <n v="284466993"/>
    <n v="0"/>
    <n v="284466993"/>
    <n v="0"/>
    <n v="284466993"/>
    <n v="0"/>
    <n v="284466993"/>
    <n v="0"/>
    <x v="3"/>
    <n v="0"/>
    <n v="1424"/>
    <n v="1"/>
  </r>
  <r>
    <x v="492"/>
    <x v="454"/>
    <x v="6"/>
    <n v="1931850"/>
    <n v="1931850"/>
    <n v="0"/>
    <n v="0"/>
    <n v="0"/>
    <n v="0"/>
    <n v="0"/>
    <n v="0"/>
    <x v="3"/>
    <n v="0"/>
    <n v="1426"/>
    <n v="1"/>
  </r>
  <r>
    <x v="493"/>
    <x v="455"/>
    <x v="1"/>
    <n v="140504732"/>
    <n v="140504732"/>
    <n v="0"/>
    <n v="0"/>
    <n v="0"/>
    <n v="0"/>
    <n v="0"/>
    <n v="0"/>
    <x v="3"/>
    <n v="0"/>
    <n v="1428"/>
    <n v="0"/>
  </r>
  <r>
    <x v="493"/>
    <x v="455"/>
    <x v="2"/>
    <n v="332935200"/>
    <n v="0"/>
    <n v="332935200"/>
    <n v="0"/>
    <n v="332935200"/>
    <n v="0"/>
    <n v="332935200"/>
    <n v="0"/>
    <x v="3"/>
    <n v="0"/>
    <n v="1427"/>
    <n v="1"/>
  </r>
  <r>
    <x v="494"/>
    <x v="456"/>
    <x v="1"/>
    <n v="98882250"/>
    <n v="98882250"/>
    <n v="0"/>
    <n v="0"/>
    <n v="0"/>
    <n v="0"/>
    <n v="0"/>
    <n v="0"/>
    <x v="3"/>
    <n v="0"/>
    <n v="1431"/>
    <n v="0"/>
  </r>
  <r>
    <x v="494"/>
    <x v="456"/>
    <x v="9"/>
    <n v="79052085"/>
    <n v="24000000"/>
    <n v="55052085"/>
    <n v="0"/>
    <n v="55052085"/>
    <n v="0"/>
    <n v="0"/>
    <n v="0"/>
    <x v="3"/>
    <n v="55052085"/>
    <n v="1429"/>
    <n v="1"/>
  </r>
  <r>
    <x v="494"/>
    <x v="456"/>
    <x v="2"/>
    <n v="230725250"/>
    <n v="2144570"/>
    <n v="228580680"/>
    <n v="0"/>
    <n v="228580680"/>
    <n v="0"/>
    <n v="0"/>
    <n v="0"/>
    <x v="3"/>
    <n v="228580680"/>
    <n v="1430"/>
    <n v="1"/>
  </r>
  <r>
    <x v="495"/>
    <x v="457"/>
    <x v="1"/>
    <n v="124172787"/>
    <n v="124172787"/>
    <n v="0"/>
    <n v="0"/>
    <n v="0"/>
    <n v="0"/>
    <n v="0"/>
    <n v="0"/>
    <x v="3"/>
    <n v="0"/>
    <n v="1433"/>
    <n v="0"/>
  </r>
  <r>
    <x v="495"/>
    <x v="457"/>
    <x v="2"/>
    <n v="280487200"/>
    <n v="280310"/>
    <n v="280206890"/>
    <n v="0"/>
    <n v="280206890"/>
    <n v="0"/>
    <n v="0"/>
    <n v="0"/>
    <x v="3"/>
    <n v="280206890"/>
    <n v="1432"/>
    <n v="1"/>
  </r>
  <r>
    <x v="495"/>
    <x v="457"/>
    <x v="5"/>
    <n v="220694"/>
    <n v="220694"/>
    <n v="0"/>
    <n v="0"/>
    <n v="0"/>
    <n v="0"/>
    <n v="0"/>
    <n v="0"/>
    <x v="3"/>
    <n v="0"/>
    <n v="1434"/>
    <n v="1"/>
  </r>
  <r>
    <x v="496"/>
    <x v="458"/>
    <x v="1"/>
    <n v="219759190"/>
    <n v="219759190"/>
    <n v="0"/>
    <n v="0"/>
    <n v="0"/>
    <n v="0"/>
    <n v="0"/>
    <n v="0"/>
    <x v="3"/>
    <n v="0"/>
    <n v="1436"/>
    <n v="0"/>
  </r>
  <r>
    <x v="496"/>
    <x v="458"/>
    <x v="2"/>
    <n v="100000000"/>
    <n v="0"/>
    <n v="100000000"/>
    <n v="0"/>
    <n v="100000000"/>
    <n v="0"/>
    <n v="100000000"/>
    <n v="0"/>
    <x v="3"/>
    <n v="0"/>
    <n v="1435"/>
    <n v="1"/>
  </r>
  <r>
    <x v="497"/>
    <x v="459"/>
    <x v="1"/>
    <n v="400259400"/>
    <n v="312878724"/>
    <n v="87380676"/>
    <n v="59971463"/>
    <n v="27409213"/>
    <n v="27409213"/>
    <n v="0"/>
    <n v="0"/>
    <x v="3"/>
    <n v="0"/>
    <n v="1437"/>
    <n v="0"/>
  </r>
  <r>
    <x v="497"/>
    <x v="459"/>
    <x v="5"/>
    <n v="21319771"/>
    <n v="0"/>
    <n v="21319771"/>
    <n v="21319771"/>
    <n v="0"/>
    <n v="0"/>
    <n v="0"/>
    <n v="0"/>
    <x v="3"/>
    <n v="0"/>
    <n v="1438"/>
    <n v="1"/>
  </r>
  <r>
    <x v="498"/>
    <x v="460"/>
    <x v="1"/>
    <n v="123752584"/>
    <n v="123752584"/>
    <n v="0"/>
    <n v="0"/>
    <n v="0"/>
    <n v="0"/>
    <n v="0"/>
    <n v="0"/>
    <x v="3"/>
    <n v="0"/>
    <n v="1440"/>
    <n v="0"/>
  </r>
  <r>
    <x v="498"/>
    <x v="460"/>
    <x v="2"/>
    <n v="275000000"/>
    <n v="0"/>
    <n v="275000000"/>
    <n v="0"/>
    <n v="275000000"/>
    <n v="0"/>
    <n v="275000000"/>
    <n v="0"/>
    <x v="3"/>
    <n v="0"/>
    <n v="1439"/>
    <n v="1"/>
  </r>
  <r>
    <x v="499"/>
    <x v="461"/>
    <x v="1"/>
    <n v="345701319"/>
    <n v="345701319"/>
    <n v="0"/>
    <n v="0"/>
    <n v="0"/>
    <n v="0"/>
    <n v="0"/>
    <n v="0"/>
    <x v="3"/>
    <n v="0"/>
    <n v="1441"/>
    <n v="0"/>
  </r>
  <r>
    <x v="499"/>
    <x v="461"/>
    <x v="3"/>
    <n v="71369"/>
    <n v="71369"/>
    <n v="0"/>
    <n v="0"/>
    <n v="0"/>
    <n v="0"/>
    <n v="0"/>
    <n v="0"/>
    <x v="3"/>
    <n v="0"/>
    <n v="1442"/>
    <n v="1"/>
  </r>
  <r>
    <x v="500"/>
    <x v="462"/>
    <x v="1"/>
    <n v="140068150"/>
    <n v="140068150"/>
    <n v="0"/>
    <n v="0"/>
    <n v="0"/>
    <n v="0"/>
    <n v="0"/>
    <n v="0"/>
    <x v="3"/>
    <n v="0"/>
    <n v="1445"/>
    <n v="0"/>
  </r>
  <r>
    <x v="500"/>
    <x v="462"/>
    <x v="9"/>
    <n v="15420275"/>
    <n v="15420275"/>
    <n v="0"/>
    <n v="0"/>
    <n v="0"/>
    <n v="0"/>
    <n v="0"/>
    <n v="0"/>
    <x v="3"/>
    <n v="0"/>
    <n v="1443"/>
    <n v="1"/>
  </r>
  <r>
    <x v="500"/>
    <x v="462"/>
    <x v="2"/>
    <n v="308000000"/>
    <n v="34396396"/>
    <n v="273603604"/>
    <n v="273603604"/>
    <n v="0"/>
    <n v="0"/>
    <n v="0"/>
    <n v="0"/>
    <x v="3"/>
    <n v="0"/>
    <n v="1444"/>
    <n v="1"/>
  </r>
  <r>
    <x v="500"/>
    <x v="462"/>
    <x v="6"/>
    <n v="1931850"/>
    <n v="1931850"/>
    <n v="0"/>
    <n v="0"/>
    <n v="0"/>
    <n v="0"/>
    <n v="0"/>
    <n v="0"/>
    <x v="3"/>
    <n v="0"/>
    <n v="1446"/>
    <n v="1"/>
  </r>
  <r>
    <x v="501"/>
    <x v="463"/>
    <x v="1"/>
    <n v="98169000"/>
    <n v="98169000"/>
    <n v="0"/>
    <n v="0"/>
    <n v="0"/>
    <n v="0"/>
    <n v="0"/>
    <n v="0"/>
    <x v="3"/>
    <n v="0"/>
    <n v="1448"/>
    <n v="0"/>
  </r>
  <r>
    <x v="501"/>
    <x v="463"/>
    <x v="2"/>
    <n v="229061000"/>
    <n v="187506970"/>
    <n v="41554030"/>
    <n v="0"/>
    <n v="41554030"/>
    <n v="0"/>
    <n v="0"/>
    <n v="0"/>
    <x v="3"/>
    <n v="41554030"/>
    <n v="1447"/>
    <n v="1"/>
  </r>
  <r>
    <x v="502"/>
    <x v="454"/>
    <x v="1"/>
    <n v="119610600"/>
    <n v="119610600"/>
    <n v="0"/>
    <n v="0"/>
    <n v="0"/>
    <n v="0"/>
    <n v="0"/>
    <n v="0"/>
    <x v="3"/>
    <n v="0"/>
    <n v="1450"/>
    <n v="0"/>
  </r>
  <r>
    <x v="502"/>
    <x v="454"/>
    <x v="2"/>
    <n v="278331098"/>
    <n v="0"/>
    <n v="278331098"/>
    <n v="0"/>
    <n v="278331098"/>
    <n v="0"/>
    <n v="278331098"/>
    <n v="0"/>
    <x v="3"/>
    <n v="0"/>
    <n v="1449"/>
    <n v="1"/>
  </r>
  <r>
    <x v="502"/>
    <x v="454"/>
    <x v="6"/>
    <n v="1931850"/>
    <n v="1931850"/>
    <n v="0"/>
    <n v="0"/>
    <n v="0"/>
    <n v="0"/>
    <n v="0"/>
    <n v="0"/>
    <x v="3"/>
    <n v="0"/>
    <n v="1451"/>
    <n v="1"/>
  </r>
  <r>
    <x v="503"/>
    <x v="464"/>
    <x v="1"/>
    <n v="119819400"/>
    <n v="119819400"/>
    <n v="0"/>
    <n v="0"/>
    <n v="0"/>
    <n v="0"/>
    <n v="0"/>
    <n v="0"/>
    <x v="3"/>
    <n v="0"/>
    <n v="1454"/>
    <n v="0"/>
  </r>
  <r>
    <x v="503"/>
    <x v="464"/>
    <x v="9"/>
    <n v="92988932"/>
    <n v="27896680"/>
    <n v="65092252"/>
    <n v="0"/>
    <n v="65092252"/>
    <n v="0"/>
    <n v="0"/>
    <n v="0"/>
    <x v="3"/>
    <n v="65092252"/>
    <n v="1452"/>
    <n v="1"/>
  </r>
  <r>
    <x v="503"/>
    <x v="464"/>
    <x v="2"/>
    <n v="279578600"/>
    <n v="5051660"/>
    <n v="274526940"/>
    <n v="0"/>
    <n v="274526940"/>
    <n v="0"/>
    <n v="0"/>
    <n v="0"/>
    <x v="3"/>
    <n v="274526940"/>
    <n v="1453"/>
    <n v="1"/>
  </r>
  <r>
    <x v="503"/>
    <x v="464"/>
    <x v="6"/>
    <n v="1931850"/>
    <n v="1931850"/>
    <n v="0"/>
    <n v="0"/>
    <n v="0"/>
    <n v="0"/>
    <n v="0"/>
    <n v="0"/>
    <x v="3"/>
    <n v="0"/>
    <n v="1455"/>
    <n v="1"/>
  </r>
  <r>
    <x v="504"/>
    <x v="223"/>
    <x v="1"/>
    <n v="12000000"/>
    <n v="12000000"/>
    <n v="0"/>
    <n v="0"/>
    <n v="0"/>
    <n v="0"/>
    <n v="0"/>
    <n v="0"/>
    <x v="3"/>
    <n v="0"/>
    <n v="1456"/>
    <n v="0"/>
  </r>
  <r>
    <x v="505"/>
    <x v="206"/>
    <x v="1"/>
    <n v="12000000"/>
    <n v="12000000"/>
    <n v="0"/>
    <n v="0"/>
    <n v="0"/>
    <n v="0"/>
    <n v="0"/>
    <n v="0"/>
    <x v="3"/>
    <n v="0"/>
    <n v="1457"/>
    <n v="0"/>
  </r>
  <r>
    <x v="506"/>
    <x v="417"/>
    <x v="1"/>
    <n v="12000000"/>
    <n v="3000000"/>
    <n v="9000000"/>
    <n v="3000000"/>
    <n v="6000000"/>
    <n v="3000000"/>
    <n v="3000000"/>
    <n v="0"/>
    <x v="3"/>
    <n v="0"/>
    <n v="1458"/>
    <n v="0"/>
  </r>
  <r>
    <x v="507"/>
    <x v="128"/>
    <x v="1"/>
    <n v="12000000"/>
    <n v="5000000"/>
    <n v="7000000"/>
    <n v="0"/>
    <n v="7000000"/>
    <n v="0"/>
    <n v="0"/>
    <n v="7000000"/>
    <x v="3"/>
    <n v="0"/>
    <n v="1459"/>
    <n v="0"/>
  </r>
  <r>
    <x v="508"/>
    <x v="203"/>
    <x v="1"/>
    <n v="12000000"/>
    <n v="12000000"/>
    <n v="0"/>
    <n v="0"/>
    <n v="0"/>
    <n v="0"/>
    <n v="0"/>
    <n v="0"/>
    <x v="3"/>
    <n v="0"/>
    <n v="1460"/>
    <n v="0"/>
  </r>
  <r>
    <x v="509"/>
    <x v="203"/>
    <x v="0"/>
    <m/>
    <m/>
    <m/>
    <m/>
    <m/>
    <m/>
    <m/>
    <m/>
    <x v="4"/>
    <m/>
    <n v="1461"/>
    <n v="1"/>
  </r>
  <r>
    <x v="510"/>
    <x v="465"/>
    <x v="1"/>
    <n v="147859500"/>
    <n v="147859500"/>
    <n v="0"/>
    <n v="0"/>
    <n v="0"/>
    <n v="0"/>
    <n v="0"/>
    <n v="0"/>
    <x v="4"/>
    <n v="0"/>
    <n v="1463"/>
    <n v="0"/>
  </r>
  <r>
    <x v="510"/>
    <x v="465"/>
    <x v="2"/>
    <n v="345005500"/>
    <n v="0"/>
    <n v="345005500"/>
    <n v="345005500"/>
    <n v="0"/>
    <n v="0"/>
    <n v="0"/>
    <n v="0"/>
    <x v="4"/>
    <n v="0"/>
    <n v="1462"/>
    <n v="1"/>
  </r>
  <r>
    <x v="510"/>
    <x v="465"/>
    <x v="5"/>
    <n v="6747982"/>
    <n v="2640500"/>
    <n v="4107482"/>
    <n v="0"/>
    <n v="4107482"/>
    <n v="4107482"/>
    <n v="0"/>
    <n v="0"/>
    <x v="4"/>
    <n v="0"/>
    <n v="1464"/>
    <n v="1"/>
  </r>
  <r>
    <x v="511"/>
    <x v="466"/>
    <x v="1"/>
    <n v="143062500"/>
    <n v="143000000"/>
    <n v="62500"/>
    <n v="0"/>
    <n v="62500"/>
    <n v="62500"/>
    <n v="0"/>
    <n v="0"/>
    <x v="4"/>
    <n v="0"/>
    <n v="1466"/>
    <n v="0"/>
  </r>
  <r>
    <x v="511"/>
    <x v="466"/>
    <x v="2"/>
    <n v="333812500"/>
    <n v="103688647"/>
    <n v="230123853"/>
    <n v="230123853"/>
    <n v="0"/>
    <n v="0"/>
    <n v="0"/>
    <n v="0"/>
    <x v="4"/>
    <n v="0"/>
    <n v="1465"/>
    <n v="1"/>
  </r>
  <r>
    <x v="511"/>
    <x v="466"/>
    <x v="5"/>
    <n v="1027222"/>
    <n v="1027222"/>
    <n v="0"/>
    <n v="0"/>
    <n v="0"/>
    <n v="0"/>
    <n v="0"/>
    <n v="0"/>
    <x v="4"/>
    <n v="0"/>
    <n v="1467"/>
    <n v="1"/>
  </r>
  <r>
    <x v="512"/>
    <x v="467"/>
    <x v="1"/>
    <n v="130400000"/>
    <n v="124800000"/>
    <n v="5600000"/>
    <n v="2800000"/>
    <n v="2800000"/>
    <n v="2800000"/>
    <n v="0"/>
    <n v="0"/>
    <x v="4"/>
    <n v="0"/>
    <n v="1469"/>
    <n v="0"/>
  </r>
  <r>
    <x v="512"/>
    <x v="467"/>
    <x v="2"/>
    <n v="265298050"/>
    <n v="0"/>
    <n v="265298050"/>
    <n v="265298050"/>
    <n v="0"/>
    <n v="0"/>
    <n v="0"/>
    <n v="0"/>
    <x v="4"/>
    <n v="0"/>
    <n v="1468"/>
    <n v="1"/>
  </r>
  <r>
    <x v="513"/>
    <x v="468"/>
    <x v="1"/>
    <n v="136463355"/>
    <n v="110483645"/>
    <n v="25979710"/>
    <n v="21046910"/>
    <n v="4932800"/>
    <n v="4932800"/>
    <n v="0"/>
    <n v="0"/>
    <x v="4"/>
    <n v="0"/>
    <n v="1471"/>
    <n v="0"/>
  </r>
  <r>
    <x v="513"/>
    <x v="468"/>
    <x v="2"/>
    <n v="322922145"/>
    <n v="0"/>
    <n v="322922145"/>
    <n v="322922145"/>
    <n v="0"/>
    <n v="0"/>
    <n v="0"/>
    <n v="0"/>
    <x v="4"/>
    <n v="0"/>
    <n v="1470"/>
    <n v="1"/>
  </r>
  <r>
    <x v="513"/>
    <x v="468"/>
    <x v="6"/>
    <n v="1931850"/>
    <n v="579555"/>
    <n v="1352295"/>
    <n v="1352295"/>
    <n v="0"/>
    <n v="0"/>
    <n v="0"/>
    <n v="0"/>
    <x v="4"/>
    <n v="0"/>
    <n v="1472"/>
    <n v="1"/>
  </r>
  <r>
    <x v="514"/>
    <x v="469"/>
    <x v="1"/>
    <n v="140793555"/>
    <n v="113444846"/>
    <n v="27348709"/>
    <n v="13679351"/>
    <n v="13669358"/>
    <n v="6839678"/>
    <n v="6829680"/>
    <n v="0"/>
    <x v="4"/>
    <n v="0"/>
    <n v="1474"/>
    <n v="0"/>
  </r>
  <r>
    <x v="514"/>
    <x v="469"/>
    <x v="2"/>
    <n v="326586445"/>
    <n v="0"/>
    <n v="326586445"/>
    <n v="326586445"/>
    <n v="0"/>
    <n v="0"/>
    <n v="0"/>
    <n v="0"/>
    <x v="4"/>
    <n v="0"/>
    <n v="1473"/>
    <n v="1"/>
  </r>
  <r>
    <x v="514"/>
    <x v="469"/>
    <x v="6"/>
    <n v="1931850"/>
    <n v="0"/>
    <n v="1931850"/>
    <n v="1931850"/>
    <n v="0"/>
    <n v="0"/>
    <n v="0"/>
    <n v="0"/>
    <x v="4"/>
    <n v="0"/>
    <n v="1475"/>
    <n v="1"/>
  </r>
  <r>
    <x v="515"/>
    <x v="470"/>
    <x v="1"/>
    <n v="164699395"/>
    <n v="164699395"/>
    <n v="0"/>
    <n v="0"/>
    <n v="0"/>
    <n v="0"/>
    <n v="0"/>
    <n v="0"/>
    <x v="4"/>
    <n v="0"/>
    <n v="1477"/>
    <n v="0"/>
  </r>
  <r>
    <x v="515"/>
    <x v="470"/>
    <x v="2"/>
    <n v="302057387"/>
    <n v="22900446"/>
    <n v="279156941"/>
    <n v="279156941"/>
    <n v="0"/>
    <n v="0"/>
    <n v="0"/>
    <n v="0"/>
    <x v="4"/>
    <n v="0"/>
    <n v="1476"/>
    <n v="1"/>
  </r>
  <r>
    <x v="515"/>
    <x v="470"/>
    <x v="6"/>
    <n v="1931850"/>
    <n v="1931850"/>
    <n v="0"/>
    <n v="0"/>
    <n v="0"/>
    <n v="0"/>
    <n v="0"/>
    <n v="0"/>
    <x v="4"/>
    <n v="0"/>
    <n v="1478"/>
    <n v="1"/>
  </r>
  <r>
    <x v="516"/>
    <x v="471"/>
    <x v="1"/>
    <n v="139387200"/>
    <n v="139387200"/>
    <n v="0"/>
    <n v="0"/>
    <n v="0"/>
    <n v="0"/>
    <n v="0"/>
    <n v="0"/>
    <x v="4"/>
    <n v="0"/>
    <n v="1480"/>
    <n v="0"/>
  </r>
  <r>
    <x v="516"/>
    <x v="471"/>
    <x v="2"/>
    <n v="312546595"/>
    <n v="0"/>
    <n v="312546595"/>
    <n v="312546595"/>
    <n v="0"/>
    <n v="0"/>
    <n v="0"/>
    <n v="0"/>
    <x v="4"/>
    <n v="0"/>
    <n v="1479"/>
    <n v="1"/>
  </r>
  <r>
    <x v="517"/>
    <x v="471"/>
    <x v="1"/>
    <n v="144860000"/>
    <n v="131374000"/>
    <n v="13486000"/>
    <n v="13486000"/>
    <n v="0"/>
    <n v="0"/>
    <n v="0"/>
    <n v="0"/>
    <x v="4"/>
    <n v="0"/>
    <n v="1482"/>
    <n v="0"/>
  </r>
  <r>
    <x v="517"/>
    <x v="471"/>
    <x v="2"/>
    <n v="316927477"/>
    <n v="0"/>
    <n v="316927477"/>
    <n v="316927477"/>
    <n v="0"/>
    <n v="0"/>
    <n v="0"/>
    <n v="0"/>
    <x v="4"/>
    <n v="0"/>
    <n v="1481"/>
    <n v="1"/>
  </r>
  <r>
    <x v="518"/>
    <x v="472"/>
    <x v="1"/>
    <n v="117336000"/>
    <n v="92150223"/>
    <n v="25185777"/>
    <n v="12592888"/>
    <n v="12592889"/>
    <n v="12592889"/>
    <n v="0"/>
    <n v="0"/>
    <x v="4"/>
    <n v="0"/>
    <n v="1484"/>
    <n v="0"/>
  </r>
  <r>
    <x v="518"/>
    <x v="472"/>
    <x v="2"/>
    <n v="273784000"/>
    <n v="0"/>
    <n v="273784000"/>
    <n v="273784000"/>
    <n v="0"/>
    <n v="0"/>
    <n v="0"/>
    <n v="0"/>
    <x v="4"/>
    <n v="0"/>
    <n v="1483"/>
    <n v="1"/>
  </r>
  <r>
    <x v="519"/>
    <x v="473"/>
    <x v="1"/>
    <n v="138081150"/>
    <n v="123715325"/>
    <n v="14365825"/>
    <n v="9577212"/>
    <n v="4788613"/>
    <n v="4788613"/>
    <n v="0"/>
    <n v="0"/>
    <x v="4"/>
    <n v="0"/>
    <n v="1486"/>
    <n v="0"/>
  </r>
  <r>
    <x v="519"/>
    <x v="473"/>
    <x v="2"/>
    <n v="322189350"/>
    <n v="0"/>
    <n v="322189350"/>
    <n v="322189350"/>
    <n v="0"/>
    <n v="0"/>
    <n v="0"/>
    <n v="0"/>
    <x v="4"/>
    <n v="0"/>
    <n v="1485"/>
    <n v="1"/>
  </r>
  <r>
    <x v="520"/>
    <x v="474"/>
    <x v="1"/>
    <n v="93736864"/>
    <n v="11717108"/>
    <n v="82019756"/>
    <n v="58585540"/>
    <n v="23434216"/>
    <n v="5858554"/>
    <n v="5858554"/>
    <n v="5858554"/>
    <x v="4"/>
    <n v="5858554"/>
    <n v="1489"/>
    <n v="0"/>
  </r>
  <r>
    <x v="520"/>
    <x v="474"/>
    <x v="9"/>
    <n v="80931364"/>
    <n v="4020020"/>
    <n v="76911344"/>
    <n v="71826586"/>
    <n v="5084758"/>
    <n v="1517463"/>
    <n v="1517463"/>
    <n v="1517463"/>
    <x v="4"/>
    <n v="532369"/>
    <n v="1487"/>
    <n v="1"/>
  </r>
  <r>
    <x v="520"/>
    <x v="474"/>
    <x v="2"/>
    <n v="415413136"/>
    <n v="0"/>
    <n v="415413136"/>
    <n v="415413136"/>
    <n v="0"/>
    <n v="0"/>
    <n v="0"/>
    <n v="0"/>
    <x v="4"/>
    <n v="0"/>
    <n v="1488"/>
    <n v="1"/>
  </r>
  <r>
    <x v="521"/>
    <x v="475"/>
    <x v="1"/>
    <n v="136860600"/>
    <n v="128756291"/>
    <n v="8104309"/>
    <n v="4026072"/>
    <n v="4078237"/>
    <n v="4026079"/>
    <n v="52158"/>
    <n v="0"/>
    <x v="4"/>
    <n v="0"/>
    <n v="1491"/>
    <n v="0"/>
  </r>
  <r>
    <x v="521"/>
    <x v="475"/>
    <x v="2"/>
    <n v="319341400"/>
    <n v="0"/>
    <n v="319341400"/>
    <n v="319341400"/>
    <n v="0"/>
    <n v="0"/>
    <n v="0"/>
    <n v="0"/>
    <x v="4"/>
    <n v="0"/>
    <n v="1490"/>
    <n v="1"/>
  </r>
  <r>
    <x v="522"/>
    <x v="476"/>
    <x v="1"/>
    <n v="116418000"/>
    <n v="94771865"/>
    <n v="21646135"/>
    <n v="3211938"/>
    <n v="18434197"/>
    <n v="3211943"/>
    <n v="3211943"/>
    <n v="3211943"/>
    <x v="4"/>
    <n v="8798368"/>
    <n v="1494"/>
    <n v="0"/>
  </r>
  <r>
    <x v="522"/>
    <x v="476"/>
    <x v="9"/>
    <n v="80949512"/>
    <n v="12142428"/>
    <n v="68807084"/>
    <n v="58688394"/>
    <n v="10118690"/>
    <n v="2023738"/>
    <n v="2023738"/>
    <n v="2023738"/>
    <x v="4"/>
    <n v="4047476"/>
    <n v="1492"/>
    <n v="1"/>
  </r>
  <r>
    <x v="522"/>
    <x v="476"/>
    <x v="2"/>
    <n v="271642000"/>
    <n v="0"/>
    <n v="271642000"/>
    <n v="271642000"/>
    <n v="0"/>
    <n v="0"/>
    <n v="0"/>
    <n v="0"/>
    <x v="4"/>
    <n v="0"/>
    <n v="1493"/>
    <n v="1"/>
  </r>
  <r>
    <x v="522"/>
    <x v="476"/>
    <x v="5"/>
    <n v="3167882"/>
    <n v="3167882"/>
    <n v="0"/>
    <n v="0"/>
    <n v="0"/>
    <n v="0"/>
    <n v="0"/>
    <n v="0"/>
    <x v="4"/>
    <n v="0"/>
    <n v="1495"/>
    <n v="1"/>
  </r>
  <r>
    <x v="523"/>
    <x v="477"/>
    <x v="1"/>
    <n v="139775751"/>
    <n v="137957544"/>
    <n v="1818207"/>
    <n v="0"/>
    <n v="1818207"/>
    <n v="1818207"/>
    <n v="0"/>
    <n v="0"/>
    <x v="4"/>
    <n v="0"/>
    <n v="1497"/>
    <n v="0"/>
  </r>
  <r>
    <x v="523"/>
    <x v="477"/>
    <x v="2"/>
    <n v="311021725"/>
    <n v="0"/>
    <n v="311021725"/>
    <n v="311021725"/>
    <n v="0"/>
    <n v="0"/>
    <n v="0"/>
    <n v="0"/>
    <x v="4"/>
    <n v="0"/>
    <n v="1496"/>
    <n v="1"/>
  </r>
  <r>
    <x v="523"/>
    <x v="477"/>
    <x v="6"/>
    <n v="1931850"/>
    <n v="1818208"/>
    <n v="113642"/>
    <n v="0"/>
    <n v="113642"/>
    <n v="113642"/>
    <n v="0"/>
    <n v="0"/>
    <x v="4"/>
    <n v="0"/>
    <n v="1498"/>
    <n v="1"/>
  </r>
  <r>
    <x v="524"/>
    <x v="478"/>
    <x v="1"/>
    <n v="96856864"/>
    <n v="12096450"/>
    <n v="84760414"/>
    <n v="80728540"/>
    <n v="4031874"/>
    <n v="4031874"/>
    <n v="0"/>
    <n v="0"/>
    <x v="4"/>
    <n v="0"/>
    <n v="1501"/>
    <n v="0"/>
  </r>
  <r>
    <x v="524"/>
    <x v="478"/>
    <x v="9"/>
    <n v="80931364"/>
    <n v="8093136"/>
    <n v="72838228"/>
    <n v="70140516"/>
    <n v="2697712"/>
    <n v="2697712"/>
    <n v="0"/>
    <n v="0"/>
    <x v="4"/>
    <n v="0"/>
    <n v="1499"/>
    <n v="1"/>
  </r>
  <r>
    <x v="524"/>
    <x v="478"/>
    <x v="2"/>
    <n v="427893136"/>
    <n v="0"/>
    <n v="427893136"/>
    <n v="427893136"/>
    <n v="0"/>
    <n v="0"/>
    <n v="0"/>
    <n v="0"/>
    <x v="4"/>
    <n v="0"/>
    <n v="1500"/>
    <n v="1"/>
  </r>
  <r>
    <x v="525"/>
    <x v="479"/>
    <x v="1"/>
    <n v="117003120"/>
    <n v="117003120"/>
    <n v="0"/>
    <n v="0"/>
    <n v="0"/>
    <n v="0"/>
    <n v="0"/>
    <n v="0"/>
    <x v="4"/>
    <n v="0"/>
    <n v="1503"/>
    <n v="0"/>
  </r>
  <r>
    <x v="525"/>
    <x v="479"/>
    <x v="2"/>
    <n v="273007280"/>
    <n v="113646001"/>
    <n v="159361279"/>
    <n v="159361279"/>
    <n v="0"/>
    <n v="0"/>
    <n v="0"/>
    <n v="0"/>
    <x v="4"/>
    <n v="0"/>
    <n v="1502"/>
    <n v="1"/>
  </r>
  <r>
    <x v="525"/>
    <x v="479"/>
    <x v="5"/>
    <n v="1905256"/>
    <n v="1905256"/>
    <n v="0"/>
    <n v="0"/>
    <n v="0"/>
    <n v="0"/>
    <n v="0"/>
    <n v="0"/>
    <x v="4"/>
    <n v="0"/>
    <n v="1504"/>
    <n v="1"/>
  </r>
  <r>
    <x v="526"/>
    <x v="480"/>
    <x v="1"/>
    <n v="135250456"/>
    <n v="107546496"/>
    <n v="27703960"/>
    <n v="21927172"/>
    <n v="5776788"/>
    <n v="4385436"/>
    <n v="1391352"/>
    <n v="0"/>
    <x v="4"/>
    <n v="0"/>
    <n v="1506"/>
    <n v="0"/>
  </r>
  <r>
    <x v="526"/>
    <x v="480"/>
    <x v="2"/>
    <n v="318220700"/>
    <n v="161226"/>
    <n v="318059474"/>
    <n v="318059474"/>
    <n v="0"/>
    <n v="0"/>
    <n v="0"/>
    <n v="0"/>
    <x v="4"/>
    <n v="0"/>
    <n v="1505"/>
    <n v="1"/>
  </r>
  <r>
    <x v="526"/>
    <x v="480"/>
    <x v="5"/>
    <n v="511654"/>
    <n v="511654"/>
    <n v="0"/>
    <n v="0"/>
    <n v="0"/>
    <n v="0"/>
    <n v="0"/>
    <n v="0"/>
    <x v="4"/>
    <n v="0"/>
    <n v="1507"/>
    <n v="1"/>
  </r>
  <r>
    <x v="526"/>
    <x v="480"/>
    <x v="6"/>
    <n v="1931850"/>
    <n v="1931850"/>
    <n v="0"/>
    <n v="0"/>
    <n v="0"/>
    <n v="0"/>
    <n v="0"/>
    <n v="0"/>
    <x v="4"/>
    <n v="0"/>
    <n v="1508"/>
    <n v="1"/>
  </r>
  <r>
    <x v="527"/>
    <x v="481"/>
    <x v="1"/>
    <n v="94968164"/>
    <n v="18993636"/>
    <n v="75974528"/>
    <n v="71226119"/>
    <n v="4748409"/>
    <n v="4748409"/>
    <n v="0"/>
    <n v="0"/>
    <x v="4"/>
    <n v="0"/>
    <n v="1511"/>
    <n v="0"/>
  </r>
  <r>
    <x v="527"/>
    <x v="481"/>
    <x v="9"/>
    <n v="80698355"/>
    <n v="5906364"/>
    <n v="74791991"/>
    <n v="74645980"/>
    <n v="146011"/>
    <n v="146011"/>
    <n v="0"/>
    <n v="0"/>
    <x v="4"/>
    <n v="0"/>
    <n v="1509"/>
    <n v="1"/>
  </r>
  <r>
    <x v="527"/>
    <x v="481"/>
    <x v="2"/>
    <n v="420221836"/>
    <n v="0"/>
    <n v="420221836"/>
    <n v="420221836"/>
    <n v="0"/>
    <n v="0"/>
    <n v="0"/>
    <n v="0"/>
    <x v="4"/>
    <n v="0"/>
    <n v="1510"/>
    <n v="1"/>
  </r>
  <r>
    <x v="528"/>
    <x v="482"/>
    <x v="1"/>
    <n v="117426934"/>
    <n v="106800000"/>
    <n v="10626934"/>
    <n v="6073990"/>
    <n v="4552944"/>
    <n v="2647059"/>
    <n v="1905885"/>
    <n v="0"/>
    <x v="4"/>
    <n v="0"/>
    <n v="1513"/>
    <n v="0"/>
  </r>
  <r>
    <x v="528"/>
    <x v="482"/>
    <x v="2"/>
    <n v="273134850"/>
    <n v="0"/>
    <n v="273134850"/>
    <n v="273134850"/>
    <n v="0"/>
    <n v="0"/>
    <n v="0"/>
    <n v="0"/>
    <x v="4"/>
    <n v="0"/>
    <n v="1512"/>
    <n v="1"/>
  </r>
  <r>
    <x v="529"/>
    <x v="483"/>
    <x v="1"/>
    <n v="139431150"/>
    <n v="124383256"/>
    <n v="15047894"/>
    <n v="10031925"/>
    <n v="5015969"/>
    <n v="5015969"/>
    <n v="0"/>
    <n v="0"/>
    <x v="4"/>
    <n v="0"/>
    <n v="1515"/>
    <n v="0"/>
  </r>
  <r>
    <x v="529"/>
    <x v="483"/>
    <x v="2"/>
    <n v="325339350"/>
    <n v="0"/>
    <n v="325339350"/>
    <n v="325339350"/>
    <n v="0"/>
    <n v="0"/>
    <n v="0"/>
    <n v="0"/>
    <x v="4"/>
    <n v="0"/>
    <n v="1514"/>
    <n v="1"/>
  </r>
  <r>
    <x v="530"/>
    <x v="484"/>
    <x v="1"/>
    <n v="139944489"/>
    <n v="139944489"/>
    <n v="0"/>
    <n v="0"/>
    <n v="0"/>
    <n v="0"/>
    <n v="0"/>
    <n v="0"/>
    <x v="4"/>
    <n v="0"/>
    <n v="1517"/>
    <n v="0"/>
  </r>
  <r>
    <x v="530"/>
    <x v="484"/>
    <x v="2"/>
    <n v="327334700"/>
    <n v="94889994"/>
    <n v="232444706"/>
    <n v="232444706"/>
    <n v="0"/>
    <n v="0"/>
    <n v="0"/>
    <n v="0"/>
    <x v="4"/>
    <n v="0"/>
    <n v="1516"/>
    <n v="1"/>
  </r>
  <r>
    <x v="531"/>
    <x v="485"/>
    <x v="1"/>
    <n v="118764000"/>
    <n v="109582880"/>
    <n v="9181120"/>
    <n v="4590560"/>
    <n v="4590560"/>
    <n v="4590560"/>
    <n v="0"/>
    <n v="0"/>
    <x v="4"/>
    <n v="0"/>
    <n v="1519"/>
    <n v="0"/>
  </r>
  <r>
    <x v="531"/>
    <x v="485"/>
    <x v="2"/>
    <n v="277116000"/>
    <n v="0"/>
    <n v="277116000"/>
    <n v="277116000"/>
    <n v="0"/>
    <n v="0"/>
    <n v="0"/>
    <n v="0"/>
    <x v="4"/>
    <n v="0"/>
    <n v="1518"/>
    <n v="1"/>
  </r>
  <r>
    <x v="532"/>
    <x v="486"/>
    <x v="1"/>
    <n v="140140546"/>
    <n v="94718150"/>
    <n v="45422396"/>
    <n v="40140546"/>
    <n v="5281850"/>
    <n v="5281850"/>
    <n v="0"/>
    <n v="0"/>
    <x v="4"/>
    <n v="0"/>
    <n v="1521"/>
    <n v="0"/>
  </r>
  <r>
    <x v="532"/>
    <x v="486"/>
    <x v="2"/>
    <n v="318920700"/>
    <n v="0"/>
    <n v="318920700"/>
    <n v="318920700"/>
    <n v="0"/>
    <n v="0"/>
    <n v="0"/>
    <n v="0"/>
    <x v="4"/>
    <n v="0"/>
    <n v="1520"/>
    <n v="1"/>
  </r>
  <r>
    <x v="532"/>
    <x v="486"/>
    <x v="6"/>
    <n v="1931850"/>
    <n v="1931850"/>
    <n v="0"/>
    <n v="0"/>
    <n v="0"/>
    <n v="0"/>
    <n v="0"/>
    <n v="0"/>
    <x v="4"/>
    <n v="0"/>
    <n v="1522"/>
    <n v="1"/>
  </r>
  <r>
    <x v="533"/>
    <x v="487"/>
    <x v="1"/>
    <n v="92367720"/>
    <n v="81615673"/>
    <n v="10752047"/>
    <n v="4732076"/>
    <n v="6019971"/>
    <n v="6019971"/>
    <n v="0"/>
    <n v="0"/>
    <x v="4"/>
    <n v="0"/>
    <n v="1524"/>
    <n v="0"/>
  </r>
  <r>
    <x v="533"/>
    <x v="487"/>
    <x v="2"/>
    <n v="377198280"/>
    <n v="0"/>
    <n v="377198280"/>
    <n v="377198280"/>
    <n v="0"/>
    <n v="0"/>
    <n v="0"/>
    <n v="0"/>
    <x v="4"/>
    <n v="0"/>
    <n v="1523"/>
    <n v="1"/>
  </r>
  <r>
    <x v="533"/>
    <x v="487"/>
    <x v="6"/>
    <n v="1931850"/>
    <n v="643950"/>
    <n v="1287900"/>
    <n v="1287900"/>
    <n v="0"/>
    <n v="0"/>
    <n v="0"/>
    <n v="0"/>
    <x v="4"/>
    <n v="0"/>
    <n v="1525"/>
    <n v="1"/>
  </r>
  <r>
    <x v="534"/>
    <x v="488"/>
    <x v="1"/>
    <n v="117018000"/>
    <n v="117018000"/>
    <n v="0"/>
    <n v="0"/>
    <n v="0"/>
    <n v="0"/>
    <n v="0"/>
    <n v="0"/>
    <x v="4"/>
    <n v="0"/>
    <n v="1527"/>
    <n v="0"/>
  </r>
  <r>
    <x v="534"/>
    <x v="488"/>
    <x v="2"/>
    <n v="273042000"/>
    <n v="31484419"/>
    <n v="241557581"/>
    <n v="241557581"/>
    <n v="0"/>
    <n v="0"/>
    <n v="0"/>
    <n v="0"/>
    <x v="4"/>
    <n v="0"/>
    <n v="1526"/>
    <n v="1"/>
  </r>
  <r>
    <x v="535"/>
    <x v="334"/>
    <x v="1"/>
    <n v="145972825"/>
    <n v="103869534"/>
    <n v="42103291"/>
    <n v="18522331"/>
    <n v="23580960"/>
    <n v="9261166"/>
    <n v="9261166"/>
    <n v="5058628"/>
    <x v="4"/>
    <n v="0"/>
    <n v="1529"/>
    <n v="0"/>
  </r>
  <r>
    <x v="535"/>
    <x v="334"/>
    <x v="2"/>
    <n v="330788895"/>
    <n v="0"/>
    <n v="330788895"/>
    <n v="330788895"/>
    <n v="0"/>
    <n v="0"/>
    <n v="0"/>
    <n v="0"/>
    <x v="4"/>
    <n v="0"/>
    <n v="1528"/>
    <n v="1"/>
  </r>
  <r>
    <x v="535"/>
    <x v="334"/>
    <x v="5"/>
    <n v="4230466"/>
    <n v="4230466"/>
    <n v="0"/>
    <n v="0"/>
    <n v="0"/>
    <n v="0"/>
    <n v="0"/>
    <n v="0"/>
    <x v="4"/>
    <n v="0"/>
    <n v="1530"/>
    <n v="1"/>
  </r>
  <r>
    <x v="535"/>
    <x v="334"/>
    <x v="6"/>
    <n v="1931850"/>
    <n v="0"/>
    <n v="1931850"/>
    <n v="1931850"/>
    <n v="0"/>
    <n v="0"/>
    <n v="0"/>
    <n v="0"/>
    <x v="4"/>
    <n v="0"/>
    <n v="1531"/>
    <n v="1"/>
  </r>
  <r>
    <x v="536"/>
    <x v="489"/>
    <x v="1"/>
    <n v="136712070"/>
    <n v="123868980"/>
    <n v="12843090"/>
    <n v="4281020"/>
    <n v="8562070"/>
    <n v="4281035"/>
    <n v="4281035"/>
    <n v="0"/>
    <x v="4"/>
    <n v="0"/>
    <n v="1533"/>
    <n v="0"/>
  </r>
  <r>
    <x v="536"/>
    <x v="489"/>
    <x v="2"/>
    <n v="318994830"/>
    <n v="0"/>
    <n v="318994830"/>
    <n v="318994830"/>
    <n v="0"/>
    <n v="0"/>
    <n v="0"/>
    <n v="0"/>
    <x v="4"/>
    <n v="0"/>
    <n v="1532"/>
    <n v="1"/>
  </r>
  <r>
    <x v="536"/>
    <x v="489"/>
    <x v="6"/>
    <n v="1931850"/>
    <n v="1931850"/>
    <n v="0"/>
    <n v="0"/>
    <n v="0"/>
    <n v="0"/>
    <n v="0"/>
    <n v="0"/>
    <x v="4"/>
    <n v="0"/>
    <n v="1534"/>
    <n v="1"/>
  </r>
  <r>
    <x v="537"/>
    <x v="490"/>
    <x v="1"/>
    <n v="137610600"/>
    <n v="131500000"/>
    <n v="6110600"/>
    <n v="4048808"/>
    <n v="2061792"/>
    <n v="2061792"/>
    <n v="0"/>
    <n v="0"/>
    <x v="4"/>
    <n v="0"/>
    <n v="1536"/>
    <n v="0"/>
  </r>
  <r>
    <x v="537"/>
    <x v="490"/>
    <x v="2"/>
    <n v="321091400"/>
    <n v="0"/>
    <n v="321091400"/>
    <n v="321091400"/>
    <n v="0"/>
    <n v="0"/>
    <n v="0"/>
    <n v="0"/>
    <x v="4"/>
    <n v="0"/>
    <n v="1535"/>
    <n v="1"/>
  </r>
  <r>
    <x v="538"/>
    <x v="491"/>
    <x v="1"/>
    <n v="116100000"/>
    <n v="112897140"/>
    <n v="3202860"/>
    <n v="0"/>
    <n v="3202860"/>
    <n v="3202860"/>
    <n v="0"/>
    <n v="0"/>
    <x v="4"/>
    <n v="0"/>
    <n v="1539"/>
    <n v="0"/>
  </r>
  <r>
    <x v="538"/>
    <x v="491"/>
    <x v="9"/>
    <n v="80949512"/>
    <n v="23601717"/>
    <n v="57347795"/>
    <n v="56664658"/>
    <n v="683137"/>
    <n v="683137"/>
    <n v="0"/>
    <n v="0"/>
    <x v="4"/>
    <n v="0"/>
    <n v="1537"/>
    <n v="1"/>
  </r>
  <r>
    <x v="538"/>
    <x v="491"/>
    <x v="2"/>
    <n v="270900000"/>
    <n v="227625"/>
    <n v="270672375"/>
    <n v="270672375"/>
    <n v="0"/>
    <n v="0"/>
    <n v="0"/>
    <n v="0"/>
    <x v="4"/>
    <n v="0"/>
    <n v="1538"/>
    <n v="1"/>
  </r>
  <r>
    <x v="539"/>
    <x v="492"/>
    <x v="1"/>
    <n v="139881150"/>
    <n v="124783240"/>
    <n v="15097910"/>
    <n v="10065275"/>
    <n v="5032635"/>
    <n v="5032635"/>
    <n v="0"/>
    <n v="0"/>
    <x v="4"/>
    <n v="0"/>
    <n v="1541"/>
    <n v="0"/>
  </r>
  <r>
    <x v="539"/>
    <x v="492"/>
    <x v="2"/>
    <n v="326389350"/>
    <n v="0"/>
    <n v="326389350"/>
    <n v="326389350"/>
    <n v="0"/>
    <n v="0"/>
    <n v="0"/>
    <n v="0"/>
    <x v="4"/>
    <n v="0"/>
    <n v="1540"/>
    <n v="1"/>
  </r>
  <r>
    <x v="540"/>
    <x v="493"/>
    <x v="1"/>
    <n v="95091864"/>
    <n v="31906864"/>
    <n v="63185000"/>
    <n v="63185000"/>
    <n v="0"/>
    <n v="0"/>
    <n v="0"/>
    <n v="0"/>
    <x v="4"/>
    <n v="0"/>
    <n v="1544"/>
    <n v="0"/>
  </r>
  <r>
    <x v="540"/>
    <x v="493"/>
    <x v="9"/>
    <n v="80931364"/>
    <n v="8093136"/>
    <n v="72838228"/>
    <n v="72838228"/>
    <n v="0"/>
    <n v="0"/>
    <n v="0"/>
    <n v="0"/>
    <x v="4"/>
    <n v="0"/>
    <n v="1542"/>
    <n v="1"/>
  </r>
  <r>
    <x v="540"/>
    <x v="493"/>
    <x v="2"/>
    <n v="420833136"/>
    <n v="257667"/>
    <n v="420575469"/>
    <n v="420575469"/>
    <n v="0"/>
    <n v="0"/>
    <n v="0"/>
    <n v="0"/>
    <x v="4"/>
    <n v="0"/>
    <n v="1543"/>
    <n v="1"/>
  </r>
  <r>
    <x v="541"/>
    <x v="494"/>
    <x v="1"/>
    <n v="119814000"/>
    <n v="110162826"/>
    <n v="9651174"/>
    <n v="4825591"/>
    <n v="4825583"/>
    <n v="4825583"/>
    <n v="0"/>
    <n v="0"/>
    <x v="4"/>
    <n v="0"/>
    <n v="1546"/>
    <n v="0"/>
  </r>
  <r>
    <x v="541"/>
    <x v="494"/>
    <x v="2"/>
    <n v="279566000"/>
    <n v="0"/>
    <n v="279566000"/>
    <n v="279566000"/>
    <n v="0"/>
    <n v="0"/>
    <n v="0"/>
    <n v="0"/>
    <x v="4"/>
    <n v="0"/>
    <n v="1545"/>
    <n v="1"/>
  </r>
  <r>
    <x v="542"/>
    <x v="495"/>
    <x v="1"/>
    <n v="141630300"/>
    <n v="102644137"/>
    <n v="38986163"/>
    <n v="31760840"/>
    <n v="7225323"/>
    <n v="5293473"/>
    <n v="1931850"/>
    <n v="0"/>
    <x v="4"/>
    <n v="0"/>
    <n v="1548"/>
    <n v="0"/>
  </r>
  <r>
    <x v="542"/>
    <x v="495"/>
    <x v="2"/>
    <n v="330470700"/>
    <n v="0"/>
    <n v="330470700"/>
    <n v="330470700"/>
    <n v="0"/>
    <n v="0"/>
    <n v="0"/>
    <n v="0"/>
    <x v="4"/>
    <n v="0"/>
    <n v="1547"/>
    <n v="1"/>
  </r>
  <r>
    <x v="542"/>
    <x v="495"/>
    <x v="6"/>
    <n v="1931850"/>
    <n v="1931850"/>
    <n v="0"/>
    <n v="0"/>
    <n v="0"/>
    <n v="0"/>
    <n v="0"/>
    <n v="0"/>
    <x v="4"/>
    <n v="0"/>
    <n v="1549"/>
    <n v="1"/>
  </r>
  <r>
    <x v="543"/>
    <x v="496"/>
    <x v="1"/>
    <n v="137910600"/>
    <n v="130980000"/>
    <n v="6930600"/>
    <n v="4057896"/>
    <n v="2872704"/>
    <n v="2872704"/>
    <n v="0"/>
    <n v="0"/>
    <x v="4"/>
    <n v="0"/>
    <n v="1551"/>
    <n v="0"/>
  </r>
  <r>
    <x v="543"/>
    <x v="496"/>
    <x v="2"/>
    <n v="321791400"/>
    <n v="0"/>
    <n v="321791400"/>
    <n v="321791400"/>
    <n v="0"/>
    <n v="0"/>
    <n v="0"/>
    <n v="0"/>
    <x v="4"/>
    <n v="0"/>
    <n v="1550"/>
    <n v="1"/>
  </r>
  <r>
    <x v="544"/>
    <x v="497"/>
    <x v="1"/>
    <n v="117813960"/>
    <n v="106799704"/>
    <n v="11014256"/>
    <n v="3671420"/>
    <n v="7342836"/>
    <n v="3671418"/>
    <n v="3671418"/>
    <n v="0"/>
    <x v="4"/>
    <n v="0"/>
    <n v="1553"/>
    <n v="0"/>
  </r>
  <r>
    <x v="544"/>
    <x v="497"/>
    <x v="2"/>
    <n v="274899240"/>
    <n v="0"/>
    <n v="274899240"/>
    <n v="274899240"/>
    <n v="0"/>
    <n v="0"/>
    <n v="0"/>
    <n v="0"/>
    <x v="4"/>
    <n v="0"/>
    <n v="1552"/>
    <n v="1"/>
  </r>
  <r>
    <x v="545"/>
    <x v="498"/>
    <x v="1"/>
    <n v="137280300"/>
    <n v="101424000"/>
    <n v="35856300"/>
    <n v="30760300"/>
    <n v="5096000"/>
    <n v="5096000"/>
    <n v="0"/>
    <n v="0"/>
    <x v="4"/>
    <n v="0"/>
    <n v="1555"/>
    <n v="0"/>
  </r>
  <r>
    <x v="545"/>
    <x v="498"/>
    <x v="2"/>
    <n v="320320700"/>
    <n v="0"/>
    <n v="320320700"/>
    <n v="320320700"/>
    <n v="0"/>
    <n v="0"/>
    <n v="0"/>
    <n v="0"/>
    <x v="4"/>
    <n v="0"/>
    <n v="1554"/>
    <n v="1"/>
  </r>
  <r>
    <x v="546"/>
    <x v="499"/>
    <x v="1"/>
    <n v="92767720"/>
    <n v="79904686"/>
    <n v="12863034"/>
    <n v="4114788"/>
    <n v="8748246"/>
    <n v="6046638"/>
    <n v="2701608"/>
    <n v="0"/>
    <x v="4"/>
    <n v="0"/>
    <n v="1558"/>
    <n v="0"/>
  </r>
  <r>
    <x v="546"/>
    <x v="499"/>
    <x v="9"/>
    <n v="91224227"/>
    <n v="63155232"/>
    <n v="28068995"/>
    <n v="14034499"/>
    <n v="14034496"/>
    <n v="7017248"/>
    <n v="7017248"/>
    <n v="0"/>
    <x v="4"/>
    <n v="0"/>
    <n v="1556"/>
    <n v="1"/>
  </r>
  <r>
    <x v="546"/>
    <x v="499"/>
    <x v="2"/>
    <n v="378798280"/>
    <n v="0"/>
    <n v="378798280"/>
    <n v="378798280"/>
    <n v="0"/>
    <n v="0"/>
    <n v="0"/>
    <n v="0"/>
    <x v="4"/>
    <n v="0"/>
    <n v="1557"/>
    <n v="1"/>
  </r>
  <r>
    <x v="546"/>
    <x v="499"/>
    <x v="5"/>
    <n v="396720"/>
    <n v="396720"/>
    <n v="0"/>
    <n v="0"/>
    <n v="0"/>
    <n v="0"/>
    <n v="0"/>
    <n v="0"/>
    <x v="4"/>
    <n v="0"/>
    <n v="1559"/>
    <n v="1"/>
  </r>
  <r>
    <x v="546"/>
    <x v="499"/>
    <x v="6"/>
    <n v="1931850"/>
    <n v="0"/>
    <n v="1931850"/>
    <n v="1931850"/>
    <n v="0"/>
    <n v="0"/>
    <n v="0"/>
    <n v="0"/>
    <x v="4"/>
    <n v="0"/>
    <n v="1560"/>
    <n v="1"/>
  </r>
  <r>
    <x v="547"/>
    <x v="500"/>
    <x v="1"/>
    <n v="116850000"/>
    <n v="107177152"/>
    <n v="9672848"/>
    <n v="0"/>
    <n v="9672848"/>
    <n v="3224276"/>
    <n v="3224286"/>
    <n v="3224286"/>
    <x v="4"/>
    <n v="0"/>
    <n v="1562"/>
    <n v="0"/>
  </r>
  <r>
    <x v="547"/>
    <x v="500"/>
    <x v="2"/>
    <n v="272650000"/>
    <n v="0"/>
    <n v="272650000"/>
    <n v="272650000"/>
    <n v="0"/>
    <n v="0"/>
    <n v="0"/>
    <n v="0"/>
    <x v="4"/>
    <n v="0"/>
    <n v="1561"/>
    <n v="1"/>
  </r>
  <r>
    <x v="548"/>
    <x v="501"/>
    <x v="1"/>
    <n v="137797011"/>
    <n v="130000000"/>
    <n v="7797011"/>
    <n v="1797011"/>
    <n v="6000000"/>
    <n v="3000000"/>
    <n v="3000000"/>
    <n v="0"/>
    <x v="4"/>
    <n v="0"/>
    <n v="1564"/>
    <n v="0"/>
  </r>
  <r>
    <x v="548"/>
    <x v="501"/>
    <x v="2"/>
    <n v="321526359"/>
    <n v="0"/>
    <n v="321526359"/>
    <n v="321526359"/>
    <n v="0"/>
    <n v="0"/>
    <n v="0"/>
    <n v="0"/>
    <x v="4"/>
    <n v="0"/>
    <n v="1563"/>
    <n v="1"/>
  </r>
  <r>
    <x v="549"/>
    <x v="502"/>
    <x v="1"/>
    <n v="94636864"/>
    <n v="19150116"/>
    <n v="75486748"/>
    <n v="70977649"/>
    <n v="4509099"/>
    <n v="4509099"/>
    <n v="0"/>
    <n v="0"/>
    <x v="4"/>
    <n v="0"/>
    <n v="1567"/>
    <n v="0"/>
  </r>
  <r>
    <x v="549"/>
    <x v="502"/>
    <x v="9"/>
    <n v="80931364"/>
    <n v="4855884"/>
    <n v="76075480"/>
    <n v="74861509"/>
    <n v="1213971"/>
    <n v="1213971"/>
    <n v="0"/>
    <n v="0"/>
    <x v="4"/>
    <n v="0"/>
    <n v="1565"/>
    <n v="1"/>
  </r>
  <r>
    <x v="549"/>
    <x v="502"/>
    <x v="2"/>
    <n v="419013136"/>
    <n v="0"/>
    <n v="419013136"/>
    <n v="419013136"/>
    <n v="0"/>
    <n v="0"/>
    <n v="0"/>
    <n v="0"/>
    <x v="4"/>
    <n v="0"/>
    <n v="1566"/>
    <n v="1"/>
  </r>
  <r>
    <x v="550"/>
    <x v="503"/>
    <x v="1"/>
    <n v="139741800"/>
    <n v="121912315"/>
    <n v="17829485"/>
    <n v="8757528"/>
    <n v="9071957"/>
    <n v="4378768"/>
    <n v="4378768"/>
    <n v="314421"/>
    <x v="4"/>
    <n v="0"/>
    <n v="1569"/>
    <n v="0"/>
  </r>
  <r>
    <x v="550"/>
    <x v="503"/>
    <x v="2"/>
    <n v="326064200"/>
    <n v="0"/>
    <n v="326064200"/>
    <n v="326064200"/>
    <n v="0"/>
    <n v="0"/>
    <n v="0"/>
    <n v="0"/>
    <x v="4"/>
    <n v="0"/>
    <n v="1568"/>
    <n v="1"/>
  </r>
  <r>
    <x v="550"/>
    <x v="503"/>
    <x v="5"/>
    <n v="1623989"/>
    <n v="1623989"/>
    <n v="0"/>
    <n v="0"/>
    <n v="0"/>
    <n v="0"/>
    <n v="0"/>
    <n v="0"/>
    <x v="4"/>
    <n v="0"/>
    <n v="1570"/>
    <n v="1"/>
  </r>
  <r>
    <x v="551"/>
    <x v="504"/>
    <x v="1"/>
    <n v="117468000"/>
    <n v="117468000"/>
    <n v="0"/>
    <n v="0"/>
    <n v="0"/>
    <n v="0"/>
    <n v="0"/>
    <n v="0"/>
    <x v="4"/>
    <n v="0"/>
    <n v="1572"/>
    <n v="0"/>
  </r>
  <r>
    <x v="551"/>
    <x v="504"/>
    <x v="2"/>
    <n v="274092000"/>
    <n v="27453268"/>
    <n v="246638732"/>
    <n v="246638732"/>
    <n v="0"/>
    <n v="0"/>
    <n v="0"/>
    <n v="0"/>
    <x v="4"/>
    <n v="0"/>
    <n v="1571"/>
    <n v="1"/>
  </r>
  <r>
    <x v="552"/>
    <x v="505"/>
    <x v="1"/>
    <n v="139339058"/>
    <n v="133714332"/>
    <n v="5624726"/>
    <n v="5624726"/>
    <n v="0"/>
    <n v="0"/>
    <n v="0"/>
    <n v="0"/>
    <x v="4"/>
    <n v="0"/>
    <n v="1574"/>
    <n v="0"/>
  </r>
  <r>
    <x v="552"/>
    <x v="505"/>
    <x v="2"/>
    <n v="328553750"/>
    <n v="219396"/>
    <n v="328334354"/>
    <n v="328334354"/>
    <n v="0"/>
    <n v="0"/>
    <n v="0"/>
    <n v="0"/>
    <x v="4"/>
    <n v="0"/>
    <n v="1573"/>
    <n v="1"/>
  </r>
  <r>
    <x v="552"/>
    <x v="505"/>
    <x v="5"/>
    <n v="1290668"/>
    <n v="1290668"/>
    <n v="0"/>
    <n v="0"/>
    <n v="0"/>
    <n v="0"/>
    <n v="0"/>
    <n v="0"/>
    <x v="4"/>
    <n v="0"/>
    <n v="1575"/>
    <n v="1"/>
  </r>
  <r>
    <x v="553"/>
    <x v="506"/>
    <x v="1"/>
    <n v="103662565"/>
    <n v="21810088"/>
    <n v="81852477"/>
    <n v="78079505"/>
    <n v="3772972"/>
    <n v="3772972"/>
    <n v="0"/>
    <n v="0"/>
    <x v="4"/>
    <n v="0"/>
    <n v="1577"/>
    <n v="0"/>
  </r>
  <r>
    <x v="553"/>
    <x v="506"/>
    <x v="2"/>
    <n v="422487435"/>
    <n v="0"/>
    <n v="422487435"/>
    <n v="422487435"/>
    <n v="0"/>
    <n v="0"/>
    <n v="0"/>
    <n v="0"/>
    <x v="4"/>
    <n v="0"/>
    <n v="1576"/>
    <n v="1"/>
  </r>
  <r>
    <x v="553"/>
    <x v="506"/>
    <x v="6"/>
    <n v="15674347"/>
    <n v="2089912"/>
    <n v="13584435"/>
    <n v="13584435"/>
    <n v="0"/>
    <n v="0"/>
    <n v="0"/>
    <n v="0"/>
    <x v="4"/>
    <n v="0"/>
    <n v="1578"/>
    <n v="1"/>
  </r>
  <r>
    <x v="554"/>
    <x v="507"/>
    <x v="1"/>
    <n v="143462700"/>
    <n v="124625652"/>
    <n v="18837048"/>
    <n v="6295055"/>
    <n v="12541993"/>
    <n v="4200000"/>
    <n v="4200000"/>
    <n v="4141993"/>
    <x v="4"/>
    <n v="0"/>
    <n v="1580"/>
    <n v="0"/>
  </r>
  <r>
    <x v="554"/>
    <x v="507"/>
    <x v="2"/>
    <n v="322841400"/>
    <n v="0"/>
    <n v="322841400"/>
    <n v="322841400"/>
    <n v="0"/>
    <n v="0"/>
    <n v="0"/>
    <n v="0"/>
    <x v="4"/>
    <n v="0"/>
    <n v="1579"/>
    <n v="1"/>
  </r>
  <r>
    <x v="554"/>
    <x v="507"/>
    <x v="5"/>
    <n v="1210143"/>
    <n v="1210143"/>
    <n v="0"/>
    <n v="0"/>
    <n v="0"/>
    <n v="0"/>
    <n v="0"/>
    <n v="0"/>
    <x v="4"/>
    <n v="0"/>
    <n v="1581"/>
    <n v="1"/>
  </r>
  <r>
    <x v="554"/>
    <x v="507"/>
    <x v="6"/>
    <n v="1931850"/>
    <n v="1931850"/>
    <n v="0"/>
    <n v="0"/>
    <n v="0"/>
    <n v="0"/>
    <n v="0"/>
    <n v="0"/>
    <x v="4"/>
    <n v="0"/>
    <n v="1582"/>
    <n v="1"/>
  </r>
  <r>
    <x v="555"/>
    <x v="508"/>
    <x v="1"/>
    <n v="118639620"/>
    <n v="116761715"/>
    <n v="1877905"/>
    <n v="1877905"/>
    <n v="0"/>
    <n v="0"/>
    <n v="0"/>
    <n v="0"/>
    <x v="4"/>
    <n v="0"/>
    <n v="1585"/>
    <n v="0"/>
  </r>
  <r>
    <x v="555"/>
    <x v="508"/>
    <x v="9"/>
    <n v="80949512"/>
    <n v="56000000"/>
    <n v="24949512"/>
    <n v="11000000"/>
    <n v="13949512"/>
    <n v="7000000"/>
    <n v="6949512"/>
    <n v="0"/>
    <x v="4"/>
    <n v="0"/>
    <n v="1583"/>
    <n v="1"/>
  </r>
  <r>
    <x v="555"/>
    <x v="508"/>
    <x v="2"/>
    <n v="276825780"/>
    <n v="1659189"/>
    <n v="275166591"/>
    <n v="275166591"/>
    <n v="0"/>
    <n v="0"/>
    <n v="0"/>
    <n v="0"/>
    <x v="4"/>
    <n v="0"/>
    <n v="1584"/>
    <n v="1"/>
  </r>
  <r>
    <x v="555"/>
    <x v="508"/>
    <x v="5"/>
    <n v="275610"/>
    <n v="275610"/>
    <n v="0"/>
    <n v="0"/>
    <n v="0"/>
    <n v="0"/>
    <n v="0"/>
    <n v="0"/>
    <x v="4"/>
    <n v="0"/>
    <n v="1586"/>
    <n v="1"/>
  </r>
  <r>
    <x v="555"/>
    <x v="508"/>
    <x v="6"/>
    <n v="1512675"/>
    <n v="1512675"/>
    <n v="0"/>
    <n v="0"/>
    <n v="0"/>
    <n v="0"/>
    <n v="0"/>
    <n v="0"/>
    <x v="4"/>
    <n v="0"/>
    <n v="1587"/>
    <n v="1"/>
  </r>
  <r>
    <x v="556"/>
    <x v="509"/>
    <x v="1"/>
    <n v="166000000"/>
    <n v="160000000"/>
    <n v="6000000"/>
    <n v="6000000"/>
    <n v="0"/>
    <n v="0"/>
    <n v="0"/>
    <n v="0"/>
    <x v="4"/>
    <n v="0"/>
    <n v="1589"/>
    <n v="0"/>
  </r>
  <r>
    <x v="556"/>
    <x v="509"/>
    <x v="2"/>
    <n v="298085000"/>
    <n v="51210521"/>
    <n v="246874479"/>
    <n v="246874479"/>
    <n v="0"/>
    <n v="0"/>
    <n v="0"/>
    <n v="0"/>
    <x v="4"/>
    <n v="0"/>
    <n v="1588"/>
    <n v="1"/>
  </r>
  <r>
    <x v="557"/>
    <x v="510"/>
    <x v="1"/>
    <n v="144924245"/>
    <n v="133710440"/>
    <n v="11213805"/>
    <n v="7475870"/>
    <n v="3737935"/>
    <n v="3737935"/>
    <n v="0"/>
    <n v="0"/>
    <x v="4"/>
    <n v="0"/>
    <n v="1591"/>
    <n v="0"/>
  </r>
  <r>
    <x v="557"/>
    <x v="510"/>
    <x v="2"/>
    <n v="325036411"/>
    <n v="0"/>
    <n v="325036411"/>
    <n v="325036411"/>
    <n v="0"/>
    <n v="0"/>
    <n v="0"/>
    <n v="0"/>
    <x v="4"/>
    <n v="0"/>
    <n v="1590"/>
    <n v="1"/>
  </r>
  <r>
    <x v="557"/>
    <x v="510"/>
    <x v="6"/>
    <n v="1000000"/>
    <n v="1000000"/>
    <n v="0"/>
    <n v="0"/>
    <n v="0"/>
    <n v="0"/>
    <n v="0"/>
    <n v="0"/>
    <x v="4"/>
    <n v="0"/>
    <n v="1592"/>
    <n v="1"/>
  </r>
  <r>
    <x v="558"/>
    <x v="511"/>
    <x v="1"/>
    <n v="118711851"/>
    <n v="114000000"/>
    <n v="4711851"/>
    <n v="4711851"/>
    <n v="0"/>
    <n v="0"/>
    <n v="0"/>
    <n v="0"/>
    <x v="4"/>
    <n v="0"/>
    <n v="1594"/>
    <n v="0"/>
  </r>
  <r>
    <x v="558"/>
    <x v="511"/>
    <x v="2"/>
    <n v="274792000"/>
    <n v="1674609"/>
    <n v="273117391"/>
    <n v="273117391"/>
    <n v="0"/>
    <n v="0"/>
    <n v="0"/>
    <n v="0"/>
    <x v="4"/>
    <n v="0"/>
    <n v="1593"/>
    <n v="1"/>
  </r>
  <r>
    <x v="559"/>
    <x v="512"/>
    <x v="1"/>
    <n v="92593120"/>
    <n v="68026050"/>
    <n v="24567070"/>
    <n v="5178173"/>
    <n v="19388897"/>
    <n v="6466069"/>
    <n v="6466069"/>
    <n v="6456759"/>
    <x v="4"/>
    <n v="0"/>
    <n v="1596"/>
    <n v="0"/>
  </r>
  <r>
    <x v="559"/>
    <x v="512"/>
    <x v="2"/>
    <n v="378099880"/>
    <n v="0"/>
    <n v="378099880"/>
    <n v="378099880"/>
    <n v="0"/>
    <n v="0"/>
    <n v="0"/>
    <n v="0"/>
    <x v="4"/>
    <n v="0"/>
    <n v="1595"/>
    <n v="1"/>
  </r>
  <r>
    <x v="559"/>
    <x v="512"/>
    <x v="6"/>
    <n v="1931850"/>
    <n v="643950"/>
    <n v="1287900"/>
    <n v="1287900"/>
    <n v="0"/>
    <n v="0"/>
    <n v="0"/>
    <n v="0"/>
    <x v="4"/>
    <n v="0"/>
    <n v="1597"/>
    <n v="1"/>
  </r>
  <r>
    <x v="560"/>
    <x v="513"/>
    <x v="1"/>
    <n v="103030000"/>
    <n v="51515000"/>
    <n v="51515000"/>
    <n v="51515000"/>
    <n v="0"/>
    <n v="0"/>
    <n v="0"/>
    <n v="0"/>
    <x v="4"/>
    <n v="0"/>
    <n v="1599"/>
    <n v="0"/>
  </r>
  <r>
    <x v="560"/>
    <x v="513"/>
    <x v="2"/>
    <n v="412120000"/>
    <n v="87311956"/>
    <n v="324808044"/>
    <n v="324808044"/>
    <n v="0"/>
    <n v="0"/>
    <n v="0"/>
    <n v="0"/>
    <x v="4"/>
    <n v="0"/>
    <n v="1598"/>
    <n v="1"/>
  </r>
  <r>
    <x v="561"/>
    <x v="514"/>
    <x v="1"/>
    <n v="99654579"/>
    <n v="55461057"/>
    <n v="44193522"/>
    <n v="17677410"/>
    <n v="26516112"/>
    <n v="8838704"/>
    <n v="8838704"/>
    <n v="8838704"/>
    <x v="4"/>
    <n v="0"/>
    <n v="1601"/>
    <n v="0"/>
  </r>
  <r>
    <x v="561"/>
    <x v="514"/>
    <x v="2"/>
    <n v="385346216"/>
    <n v="0"/>
    <n v="385346216"/>
    <n v="385346216"/>
    <n v="0"/>
    <n v="0"/>
    <n v="0"/>
    <n v="0"/>
    <x v="4"/>
    <n v="0"/>
    <n v="1600"/>
    <n v="1"/>
  </r>
  <r>
    <x v="562"/>
    <x v="515"/>
    <x v="1"/>
    <n v="87329860"/>
    <n v="33315952"/>
    <n v="54013908"/>
    <n v="49849414"/>
    <n v="4164494"/>
    <n v="4164494"/>
    <n v="0"/>
    <n v="0"/>
    <x v="4"/>
    <n v="0"/>
    <n v="1603"/>
    <n v="0"/>
  </r>
  <r>
    <x v="562"/>
    <x v="515"/>
    <x v="2"/>
    <n v="355370140"/>
    <n v="0"/>
    <n v="355370140"/>
    <n v="355370140"/>
    <n v="0"/>
    <n v="0"/>
    <n v="0"/>
    <n v="0"/>
    <x v="4"/>
    <n v="0"/>
    <n v="1602"/>
    <n v="1"/>
  </r>
  <r>
    <x v="562"/>
    <x v="515"/>
    <x v="6"/>
    <n v="1512675"/>
    <n v="0"/>
    <n v="1512675"/>
    <n v="1512675"/>
    <n v="0"/>
    <n v="0"/>
    <n v="0"/>
    <n v="0"/>
    <x v="4"/>
    <n v="0"/>
    <n v="1604"/>
    <n v="1"/>
  </r>
  <r>
    <x v="563"/>
    <x v="516"/>
    <x v="1"/>
    <n v="138630300"/>
    <n v="99000000"/>
    <n v="39630300"/>
    <n v="31068540"/>
    <n v="8561760"/>
    <n v="5178088"/>
    <n v="3383672"/>
    <n v="0"/>
    <x v="4"/>
    <n v="0"/>
    <n v="1606"/>
    <n v="0"/>
  </r>
  <r>
    <x v="563"/>
    <x v="516"/>
    <x v="2"/>
    <n v="323470700"/>
    <n v="254109"/>
    <n v="323216591"/>
    <n v="323216591"/>
    <n v="0"/>
    <n v="0"/>
    <n v="0"/>
    <n v="0"/>
    <x v="4"/>
    <n v="0"/>
    <n v="1605"/>
    <n v="1"/>
  </r>
  <r>
    <x v="564"/>
    <x v="517"/>
    <x v="1"/>
    <n v="101584520"/>
    <n v="40256365"/>
    <n v="61328155"/>
    <n v="55577245"/>
    <n v="5750910"/>
    <n v="5750910"/>
    <n v="0"/>
    <n v="0"/>
    <x v="4"/>
    <n v="0"/>
    <n v="1608"/>
    <n v="0"/>
  </r>
  <r>
    <x v="564"/>
    <x v="517"/>
    <x v="2"/>
    <n v="414065480"/>
    <n v="0"/>
    <n v="414065480"/>
    <n v="414065480"/>
    <n v="0"/>
    <n v="0"/>
    <n v="0"/>
    <n v="0"/>
    <x v="4"/>
    <n v="0"/>
    <n v="1607"/>
    <n v="1"/>
  </r>
  <r>
    <x v="564"/>
    <x v="517"/>
    <x v="6"/>
    <n v="1931850"/>
    <n v="0"/>
    <n v="1931850"/>
    <n v="1931850"/>
    <n v="0"/>
    <n v="0"/>
    <n v="0"/>
    <n v="0"/>
    <x v="4"/>
    <n v="0"/>
    <n v="1609"/>
    <n v="1"/>
  </r>
  <r>
    <x v="565"/>
    <x v="518"/>
    <x v="1"/>
    <n v="139723005"/>
    <n v="116718866"/>
    <n v="23004139"/>
    <n v="14906795"/>
    <n v="8097344"/>
    <n v="8097344"/>
    <n v="0"/>
    <n v="0"/>
    <x v="4"/>
    <n v="0"/>
    <n v="1612"/>
    <n v="0"/>
  </r>
  <r>
    <x v="565"/>
    <x v="518"/>
    <x v="9"/>
    <n v="80698359"/>
    <n v="9683804"/>
    <n v="71014555"/>
    <n v="66172653"/>
    <n v="4841902"/>
    <n v="4841902"/>
    <n v="0"/>
    <n v="0"/>
    <x v="4"/>
    <n v="0"/>
    <n v="1610"/>
    <n v="1"/>
  </r>
  <r>
    <x v="565"/>
    <x v="518"/>
    <x v="2"/>
    <n v="330527995"/>
    <n v="0"/>
    <n v="330527995"/>
    <n v="330527995"/>
    <n v="0"/>
    <n v="0"/>
    <n v="0"/>
    <n v="0"/>
    <x v="4"/>
    <n v="0"/>
    <n v="1611"/>
    <n v="1"/>
  </r>
  <r>
    <x v="565"/>
    <x v="518"/>
    <x v="6"/>
    <n v="1931850"/>
    <n v="643950"/>
    <n v="1287900"/>
    <n v="1287900"/>
    <n v="0"/>
    <n v="0"/>
    <n v="0"/>
    <n v="0"/>
    <x v="4"/>
    <n v="0"/>
    <n v="1613"/>
    <n v="1"/>
  </r>
  <r>
    <x v="566"/>
    <x v="296"/>
    <x v="1"/>
    <n v="119904000"/>
    <n v="109038000"/>
    <n v="10866000"/>
    <n v="7244000"/>
    <n v="3622000"/>
    <n v="3622000"/>
    <n v="0"/>
    <n v="0"/>
    <x v="4"/>
    <n v="0"/>
    <n v="1615"/>
    <n v="0"/>
  </r>
  <r>
    <x v="566"/>
    <x v="296"/>
    <x v="2"/>
    <n v="279776000"/>
    <n v="0"/>
    <n v="279776000"/>
    <n v="279776000"/>
    <n v="0"/>
    <n v="0"/>
    <n v="0"/>
    <n v="0"/>
    <x v="4"/>
    <n v="0"/>
    <n v="1614"/>
    <n v="1"/>
  </r>
  <r>
    <x v="567"/>
    <x v="519"/>
    <x v="1"/>
    <n v="137420743"/>
    <n v="127110634"/>
    <n v="10310109"/>
    <n v="4169405"/>
    <n v="6140704"/>
    <n v="4169398"/>
    <n v="1971306"/>
    <n v="0"/>
    <x v="4"/>
    <n v="0"/>
    <n v="1617"/>
    <n v="0"/>
  </r>
  <r>
    <x v="567"/>
    <x v="519"/>
    <x v="2"/>
    <n v="320648402"/>
    <n v="0"/>
    <n v="320648402"/>
    <n v="320648402"/>
    <n v="0"/>
    <n v="0"/>
    <n v="0"/>
    <n v="0"/>
    <x v="4"/>
    <n v="0"/>
    <n v="1616"/>
    <n v="1"/>
  </r>
  <r>
    <x v="567"/>
    <x v="519"/>
    <x v="5"/>
    <n v="39456"/>
    <n v="39456"/>
    <n v="0"/>
    <n v="0"/>
    <n v="0"/>
    <n v="0"/>
    <n v="0"/>
    <n v="0"/>
    <x v="4"/>
    <n v="0"/>
    <n v="1618"/>
    <n v="1"/>
  </r>
  <r>
    <x v="567"/>
    <x v="519"/>
    <x v="6"/>
    <n v="1931850"/>
    <n v="1931850"/>
    <n v="0"/>
    <n v="0"/>
    <n v="0"/>
    <n v="0"/>
    <n v="0"/>
    <n v="0"/>
    <x v="4"/>
    <n v="0"/>
    <n v="1619"/>
    <n v="1"/>
  </r>
  <r>
    <x v="568"/>
    <x v="520"/>
    <x v="1"/>
    <n v="129000000"/>
    <n v="119000767"/>
    <n v="9999233"/>
    <n v="5000000"/>
    <n v="4999233"/>
    <n v="4999233"/>
    <n v="0"/>
    <n v="0"/>
    <x v="4"/>
    <n v="0"/>
    <n v="1621"/>
    <n v="0"/>
  </r>
  <r>
    <x v="568"/>
    <x v="520"/>
    <x v="2"/>
    <n v="273951128"/>
    <n v="0"/>
    <n v="273951128"/>
    <n v="273951128"/>
    <n v="0"/>
    <n v="0"/>
    <n v="0"/>
    <n v="0"/>
    <x v="4"/>
    <n v="0"/>
    <n v="1620"/>
    <n v="1"/>
  </r>
  <r>
    <x v="568"/>
    <x v="520"/>
    <x v="5"/>
    <n v="813233"/>
    <n v="813233"/>
    <n v="0"/>
    <n v="0"/>
    <n v="0"/>
    <n v="0"/>
    <n v="0"/>
    <n v="0"/>
    <x v="4"/>
    <n v="0"/>
    <n v="1622"/>
    <n v="1"/>
  </r>
  <r>
    <x v="569"/>
    <x v="521"/>
    <x v="1"/>
    <n v="141918943"/>
    <n v="123709850"/>
    <n v="18209093"/>
    <n v="12118943"/>
    <n v="6090150"/>
    <n v="4500000"/>
    <n v="1590150"/>
    <n v="0"/>
    <x v="4"/>
    <n v="0"/>
    <n v="1625"/>
    <n v="0"/>
  </r>
  <r>
    <x v="569"/>
    <x v="521"/>
    <x v="9"/>
    <n v="15426429"/>
    <n v="12858300"/>
    <n v="2568129"/>
    <n v="0"/>
    <n v="2568129"/>
    <n v="1282299"/>
    <n v="1285830"/>
    <n v="0"/>
    <x v="4"/>
    <n v="0"/>
    <n v="1623"/>
    <n v="1"/>
  </r>
  <r>
    <x v="569"/>
    <x v="521"/>
    <x v="2"/>
    <n v="329539350"/>
    <n v="0"/>
    <n v="329539350"/>
    <n v="329539350"/>
    <n v="0"/>
    <n v="0"/>
    <n v="0"/>
    <n v="0"/>
    <x v="4"/>
    <n v="0"/>
    <n v="1624"/>
    <n v="1"/>
  </r>
  <r>
    <x v="569"/>
    <x v="521"/>
    <x v="6"/>
    <n v="1931850"/>
    <n v="1931850"/>
    <n v="0"/>
    <n v="0"/>
    <n v="0"/>
    <n v="0"/>
    <n v="0"/>
    <n v="0"/>
    <x v="4"/>
    <n v="0"/>
    <n v="1626"/>
    <n v="1"/>
  </r>
  <r>
    <x v="570"/>
    <x v="522"/>
    <x v="1"/>
    <n v="123232860"/>
    <n v="108941386"/>
    <n v="14291474"/>
    <n v="3432860"/>
    <n v="10858614"/>
    <n v="10858614"/>
    <n v="0"/>
    <n v="0"/>
    <x v="4"/>
    <n v="0"/>
    <n v="1628"/>
    <n v="0"/>
  </r>
  <r>
    <x v="570"/>
    <x v="522"/>
    <x v="2"/>
    <n v="281568000"/>
    <n v="47772"/>
    <n v="281520228"/>
    <n v="281520228"/>
    <n v="0"/>
    <n v="0"/>
    <n v="0"/>
    <n v="0"/>
    <x v="4"/>
    <n v="0"/>
    <n v="1627"/>
    <n v="1"/>
  </r>
  <r>
    <x v="570"/>
    <x v="522"/>
    <x v="5"/>
    <n v="129650"/>
    <n v="129650"/>
    <n v="0"/>
    <n v="0"/>
    <n v="0"/>
    <n v="0"/>
    <n v="0"/>
    <n v="0"/>
    <x v="4"/>
    <n v="0"/>
    <n v="1629"/>
    <n v="1"/>
  </r>
  <r>
    <x v="571"/>
    <x v="523"/>
    <x v="1"/>
    <n v="92931834"/>
    <n v="16757078"/>
    <n v="76174756"/>
    <n v="73110484"/>
    <n v="3064272"/>
    <n v="3064272"/>
    <n v="0"/>
    <n v="0"/>
    <x v="4"/>
    <n v="0"/>
    <n v="1631"/>
    <n v="0"/>
  </r>
  <r>
    <x v="571"/>
    <x v="523"/>
    <x v="2"/>
    <n v="426313166"/>
    <n v="0"/>
    <n v="426313166"/>
    <n v="426313166"/>
    <n v="0"/>
    <n v="0"/>
    <n v="0"/>
    <n v="0"/>
    <x v="4"/>
    <n v="0"/>
    <n v="1630"/>
    <n v="1"/>
  </r>
  <r>
    <x v="571"/>
    <x v="523"/>
    <x v="6"/>
    <n v="13646457"/>
    <n v="5458580"/>
    <n v="8187877"/>
    <n v="6823232"/>
    <n v="1364645"/>
    <n v="1364645"/>
    <n v="0"/>
    <n v="0"/>
    <x v="4"/>
    <n v="0"/>
    <n v="1632"/>
    <n v="1"/>
  </r>
  <r>
    <x v="572"/>
    <x v="524"/>
    <x v="1"/>
    <n v="95369896"/>
    <n v="50000000"/>
    <n v="45369896"/>
    <n v="4000000"/>
    <n v="41369896"/>
    <n v="4000000"/>
    <n v="37369896"/>
    <n v="0"/>
    <x v="4"/>
    <n v="0"/>
    <n v="1634"/>
    <n v="0"/>
  </r>
  <r>
    <x v="572"/>
    <x v="524"/>
    <x v="2"/>
    <n v="381998280"/>
    <n v="0"/>
    <n v="381998280"/>
    <n v="381998280"/>
    <n v="0"/>
    <n v="0"/>
    <n v="0"/>
    <n v="0"/>
    <x v="4"/>
    <n v="0"/>
    <n v="1633"/>
    <n v="1"/>
  </r>
  <r>
    <x v="572"/>
    <x v="524"/>
    <x v="6"/>
    <n v="1931850"/>
    <n v="0"/>
    <n v="1931850"/>
    <n v="0"/>
    <n v="1931850"/>
    <n v="0"/>
    <n v="1931850"/>
    <n v="0"/>
    <x v="4"/>
    <n v="0"/>
    <n v="1635"/>
    <n v="1"/>
  </r>
  <r>
    <x v="573"/>
    <x v="525"/>
    <x v="1"/>
    <n v="118223910"/>
    <n v="106795746"/>
    <n v="11428164"/>
    <n v="3569503"/>
    <n v="7858661"/>
    <n v="3569497"/>
    <n v="3569497"/>
    <n v="719667"/>
    <x v="4"/>
    <n v="0"/>
    <n v="1637"/>
    <n v="0"/>
  </r>
  <r>
    <x v="573"/>
    <x v="525"/>
    <x v="2"/>
    <n v="275855790"/>
    <n v="0"/>
    <n v="275855790"/>
    <n v="275855790"/>
    <n v="0"/>
    <n v="0"/>
    <n v="0"/>
    <n v="0"/>
    <x v="4"/>
    <n v="0"/>
    <n v="1636"/>
    <n v="1"/>
  </r>
  <r>
    <x v="573"/>
    <x v="525"/>
    <x v="5"/>
    <n v="4289165"/>
    <n v="4289165"/>
    <n v="0"/>
    <n v="0"/>
    <n v="0"/>
    <n v="0"/>
    <n v="0"/>
    <n v="0"/>
    <x v="4"/>
    <n v="0"/>
    <n v="1638"/>
    <n v="1"/>
  </r>
  <r>
    <x v="574"/>
    <x v="526"/>
    <x v="1"/>
    <n v="138180300"/>
    <n v="113200000"/>
    <n v="24980300"/>
    <n v="24980300"/>
    <n v="0"/>
    <n v="0"/>
    <n v="0"/>
    <n v="0"/>
    <x v="4"/>
    <n v="0"/>
    <n v="1640"/>
    <n v="0"/>
  </r>
  <r>
    <x v="574"/>
    <x v="526"/>
    <x v="2"/>
    <n v="322420700"/>
    <n v="449366"/>
    <n v="321971334"/>
    <n v="321971334"/>
    <n v="0"/>
    <n v="0"/>
    <n v="0"/>
    <n v="0"/>
    <x v="4"/>
    <n v="0"/>
    <n v="1639"/>
    <n v="1"/>
  </r>
  <r>
    <x v="575"/>
    <x v="527"/>
    <x v="1"/>
    <n v="105184053"/>
    <n v="7521667"/>
    <n v="97662386"/>
    <n v="94140719"/>
    <n v="3521667"/>
    <n v="3521667"/>
    <n v="0"/>
    <n v="0"/>
    <x v="4"/>
    <n v="0"/>
    <n v="1643"/>
    <n v="0"/>
  </r>
  <r>
    <x v="575"/>
    <x v="527"/>
    <x v="9"/>
    <n v="15944436"/>
    <n v="478333"/>
    <n v="15466103"/>
    <n v="14987770"/>
    <n v="478333"/>
    <n v="478333"/>
    <n v="0"/>
    <n v="0"/>
    <x v="4"/>
    <n v="0"/>
    <n v="1641"/>
    <n v="1"/>
  </r>
  <r>
    <x v="575"/>
    <x v="527"/>
    <x v="2"/>
    <n v="427794443"/>
    <n v="0"/>
    <n v="427794443"/>
    <n v="427794443"/>
    <n v="0"/>
    <n v="0"/>
    <n v="0"/>
    <n v="0"/>
    <x v="4"/>
    <n v="0"/>
    <n v="1642"/>
    <n v="1"/>
  </r>
  <r>
    <x v="576"/>
    <x v="528"/>
    <x v="1"/>
    <n v="139488600"/>
    <n v="108222000"/>
    <n v="31266600"/>
    <n v="31266600"/>
    <n v="0"/>
    <n v="0"/>
    <n v="0"/>
    <n v="0"/>
    <x v="4"/>
    <n v="0"/>
    <n v="1645"/>
    <n v="0"/>
  </r>
  <r>
    <x v="576"/>
    <x v="528"/>
    <x v="2"/>
    <n v="325473400"/>
    <n v="4654757"/>
    <n v="320818643"/>
    <n v="320818643"/>
    <n v="0"/>
    <n v="0"/>
    <n v="0"/>
    <n v="0"/>
    <x v="4"/>
    <n v="0"/>
    <n v="1644"/>
    <n v="1"/>
  </r>
  <r>
    <x v="577"/>
    <x v="529"/>
    <x v="1"/>
    <n v="119298960"/>
    <n v="103947675"/>
    <n v="15351285"/>
    <n v="3719330"/>
    <n v="11631955"/>
    <n v="3719321"/>
    <n v="3719321"/>
    <n v="3719321"/>
    <x v="4"/>
    <n v="473992"/>
    <n v="1647"/>
    <n v="0"/>
  </r>
  <r>
    <x v="577"/>
    <x v="529"/>
    <x v="2"/>
    <n v="278364240"/>
    <n v="0"/>
    <n v="278364240"/>
    <n v="278364240"/>
    <n v="0"/>
    <n v="0"/>
    <n v="0"/>
    <n v="0"/>
    <x v="4"/>
    <n v="0"/>
    <n v="1646"/>
    <n v="1"/>
  </r>
  <r>
    <x v="577"/>
    <x v="529"/>
    <x v="5"/>
    <n v="2642325"/>
    <n v="2642325"/>
    <n v="0"/>
    <n v="0"/>
    <n v="0"/>
    <n v="0"/>
    <n v="0"/>
    <n v="0"/>
    <x v="4"/>
    <n v="0"/>
    <n v="1648"/>
    <n v="1"/>
  </r>
  <r>
    <x v="578"/>
    <x v="530"/>
    <x v="1"/>
    <n v="138330300"/>
    <n v="102800000"/>
    <n v="35530300"/>
    <n v="30999300"/>
    <n v="4531000"/>
    <n v="4531000"/>
    <n v="0"/>
    <n v="0"/>
    <x v="4"/>
    <n v="0"/>
    <n v="1650"/>
    <n v="0"/>
  </r>
  <r>
    <x v="578"/>
    <x v="530"/>
    <x v="2"/>
    <n v="322770700"/>
    <n v="0"/>
    <n v="322770700"/>
    <n v="322770700"/>
    <n v="0"/>
    <n v="0"/>
    <n v="0"/>
    <n v="0"/>
    <x v="4"/>
    <n v="0"/>
    <n v="1649"/>
    <n v="1"/>
  </r>
  <r>
    <x v="579"/>
    <x v="531"/>
    <x v="1"/>
    <n v="102084520"/>
    <n v="102084520"/>
    <n v="0"/>
    <n v="0"/>
    <n v="0"/>
    <n v="0"/>
    <n v="0"/>
    <n v="0"/>
    <x v="4"/>
    <n v="0"/>
    <n v="1652"/>
    <n v="0"/>
  </r>
  <r>
    <x v="579"/>
    <x v="531"/>
    <x v="2"/>
    <n v="416065480"/>
    <n v="104376156"/>
    <n v="311689324"/>
    <n v="311689324"/>
    <n v="0"/>
    <n v="0"/>
    <n v="0"/>
    <n v="0"/>
    <x v="4"/>
    <n v="0"/>
    <n v="1651"/>
    <n v="1"/>
  </r>
  <r>
    <x v="579"/>
    <x v="531"/>
    <x v="6"/>
    <n v="1931850"/>
    <n v="1931850"/>
    <n v="0"/>
    <n v="0"/>
    <n v="0"/>
    <n v="0"/>
    <n v="0"/>
    <n v="0"/>
    <x v="4"/>
    <n v="0"/>
    <n v="1653"/>
    <n v="1"/>
  </r>
  <r>
    <x v="580"/>
    <x v="532"/>
    <x v="1"/>
    <n v="122475127"/>
    <n v="104156496"/>
    <n v="18318631"/>
    <n v="11819303"/>
    <n v="6499328"/>
    <n v="6499328"/>
    <n v="0"/>
    <n v="0"/>
    <x v="4"/>
    <n v="0"/>
    <n v="1655"/>
    <n v="0"/>
  </r>
  <r>
    <x v="580"/>
    <x v="532"/>
    <x v="2"/>
    <n v="289304873"/>
    <n v="0"/>
    <n v="289304873"/>
    <n v="289304873"/>
    <n v="0"/>
    <n v="0"/>
    <n v="0"/>
    <n v="0"/>
    <x v="4"/>
    <n v="0"/>
    <n v="1654"/>
    <n v="1"/>
  </r>
  <r>
    <x v="580"/>
    <x v="532"/>
    <x v="6"/>
    <n v="1512675"/>
    <n v="0"/>
    <n v="1512675"/>
    <n v="1512675"/>
    <n v="0"/>
    <n v="0"/>
    <n v="0"/>
    <n v="0"/>
    <x v="4"/>
    <n v="0"/>
    <n v="1656"/>
    <n v="1"/>
  </r>
  <r>
    <x v="581"/>
    <x v="533"/>
    <x v="1"/>
    <n v="139962439"/>
    <n v="129705216"/>
    <n v="10257223"/>
    <n v="6838148"/>
    <n v="3419075"/>
    <n v="3419075"/>
    <n v="0"/>
    <n v="0"/>
    <x v="4"/>
    <n v="0"/>
    <n v="1658"/>
    <n v="0"/>
  </r>
  <r>
    <x v="581"/>
    <x v="533"/>
    <x v="2"/>
    <n v="331703750"/>
    <n v="0"/>
    <n v="331703750"/>
    <n v="331703750"/>
    <n v="0"/>
    <n v="0"/>
    <n v="0"/>
    <n v="0"/>
    <x v="4"/>
    <n v="0"/>
    <n v="1657"/>
    <n v="1"/>
  </r>
  <r>
    <x v="582"/>
    <x v="534"/>
    <x v="1"/>
    <n v="95838150"/>
    <n v="95838150"/>
    <n v="0"/>
    <n v="0"/>
    <n v="0"/>
    <n v="0"/>
    <n v="0"/>
    <n v="0"/>
    <x v="4"/>
    <n v="0"/>
    <n v="1660"/>
    <n v="0"/>
  </r>
  <r>
    <x v="582"/>
    <x v="534"/>
    <x v="2"/>
    <n v="386571850"/>
    <n v="0"/>
    <n v="386571850"/>
    <n v="386571850"/>
    <n v="0"/>
    <n v="0"/>
    <n v="0"/>
    <n v="0"/>
    <x v="4"/>
    <n v="0"/>
    <n v="1659"/>
    <n v="1"/>
  </r>
  <r>
    <x v="582"/>
    <x v="534"/>
    <x v="6"/>
    <n v="1931850"/>
    <n v="1931850"/>
    <n v="0"/>
    <n v="0"/>
    <n v="0"/>
    <n v="0"/>
    <n v="0"/>
    <n v="0"/>
    <x v="4"/>
    <n v="0"/>
    <n v="1661"/>
    <n v="1"/>
  </r>
  <r>
    <x v="583"/>
    <x v="535"/>
    <x v="1"/>
    <n v="139012047"/>
    <n v="126424506"/>
    <n v="12587541"/>
    <n v="4219141"/>
    <n v="8368400"/>
    <n v="4219126"/>
    <n v="4149274"/>
    <n v="0"/>
    <x v="4"/>
    <n v="0"/>
    <n v="1663"/>
    <n v="0"/>
  </r>
  <r>
    <x v="583"/>
    <x v="535"/>
    <x v="2"/>
    <n v="324361443"/>
    <n v="0"/>
    <n v="324361443"/>
    <n v="324361443"/>
    <n v="0"/>
    <n v="0"/>
    <n v="0"/>
    <n v="0"/>
    <x v="4"/>
    <n v="0"/>
    <n v="1662"/>
    <n v="1"/>
  </r>
  <r>
    <x v="583"/>
    <x v="535"/>
    <x v="5"/>
    <n v="2145494"/>
    <n v="2145494"/>
    <n v="0"/>
    <n v="0"/>
    <n v="0"/>
    <n v="0"/>
    <n v="0"/>
    <n v="0"/>
    <x v="4"/>
    <n v="0"/>
    <n v="1664"/>
    <n v="1"/>
  </r>
  <r>
    <x v="584"/>
    <x v="536"/>
    <x v="1"/>
    <n v="120864000"/>
    <n v="96276518"/>
    <n v="24587482"/>
    <n v="8347436"/>
    <n v="16240046"/>
    <n v="4173714"/>
    <n v="4173714"/>
    <n v="4173714"/>
    <x v="4"/>
    <n v="3718904"/>
    <n v="1666"/>
    <n v="0"/>
  </r>
  <r>
    <x v="584"/>
    <x v="536"/>
    <x v="2"/>
    <n v="282016000"/>
    <n v="0"/>
    <n v="282016000"/>
    <n v="282016000"/>
    <n v="0"/>
    <n v="0"/>
    <n v="0"/>
    <n v="0"/>
    <x v="4"/>
    <n v="0"/>
    <n v="1665"/>
    <n v="1"/>
  </r>
  <r>
    <x v="584"/>
    <x v="536"/>
    <x v="5"/>
    <n v="1665021"/>
    <n v="1665021"/>
    <n v="0"/>
    <n v="0"/>
    <n v="0"/>
    <n v="0"/>
    <n v="0"/>
    <n v="0"/>
    <x v="4"/>
    <n v="0"/>
    <n v="1667"/>
    <n v="1"/>
  </r>
  <r>
    <x v="585"/>
    <x v="537"/>
    <x v="1"/>
    <n v="136578973"/>
    <n v="121608656"/>
    <n v="14970317"/>
    <n v="10744776"/>
    <n v="4225541"/>
    <n v="4225541"/>
    <n v="0"/>
    <n v="0"/>
    <x v="4"/>
    <n v="0"/>
    <n v="1669"/>
    <n v="0"/>
  </r>
  <r>
    <x v="585"/>
    <x v="537"/>
    <x v="2"/>
    <n v="333239095"/>
    <n v="0"/>
    <n v="333239095"/>
    <n v="333239095"/>
    <n v="0"/>
    <n v="0"/>
    <n v="0"/>
    <n v="0"/>
    <x v="4"/>
    <n v="0"/>
    <n v="1668"/>
    <n v="1"/>
  </r>
  <r>
    <x v="585"/>
    <x v="537"/>
    <x v="6"/>
    <n v="1931850"/>
    <n v="0"/>
    <n v="1931850"/>
    <n v="1931850"/>
    <n v="0"/>
    <n v="0"/>
    <n v="0"/>
    <n v="0"/>
    <x v="4"/>
    <n v="0"/>
    <n v="1670"/>
    <n v="1"/>
  </r>
  <r>
    <x v="586"/>
    <x v="538"/>
    <x v="1"/>
    <n v="138561000"/>
    <n v="123034729"/>
    <n v="15526271"/>
    <n v="15526271"/>
    <n v="0"/>
    <n v="0"/>
    <n v="0"/>
    <n v="0"/>
    <x v="4"/>
    <n v="0"/>
    <n v="1672"/>
    <n v="0"/>
  </r>
  <r>
    <x v="586"/>
    <x v="538"/>
    <x v="2"/>
    <n v="323309000"/>
    <n v="936750"/>
    <n v="322372250"/>
    <n v="322372250"/>
    <n v="0"/>
    <n v="0"/>
    <n v="0"/>
    <n v="0"/>
    <x v="4"/>
    <n v="0"/>
    <n v="1671"/>
    <n v="1"/>
  </r>
  <r>
    <x v="587"/>
    <x v="539"/>
    <x v="1"/>
    <n v="123766656"/>
    <n v="103347945"/>
    <n v="20418711"/>
    <n v="0"/>
    <n v="20418711"/>
    <n v="3672746"/>
    <n v="3850000"/>
    <n v="3850000"/>
    <x v="4"/>
    <n v="9045965"/>
    <n v="1674"/>
    <n v="0"/>
  </r>
  <r>
    <x v="587"/>
    <x v="539"/>
    <x v="2"/>
    <n v="278587236"/>
    <n v="0"/>
    <n v="278587236"/>
    <n v="278587236"/>
    <n v="0"/>
    <n v="0"/>
    <n v="0"/>
    <n v="0"/>
    <x v="4"/>
    <n v="0"/>
    <n v="1673"/>
    <n v="1"/>
  </r>
  <r>
    <x v="587"/>
    <x v="539"/>
    <x v="5"/>
    <n v="5195965"/>
    <n v="5195965"/>
    <n v="0"/>
    <n v="0"/>
    <n v="0"/>
    <n v="0"/>
    <n v="0"/>
    <n v="0"/>
    <x v="4"/>
    <n v="0"/>
    <n v="1675"/>
    <n v="1"/>
  </r>
  <r>
    <x v="588"/>
    <x v="540"/>
    <x v="1"/>
    <n v="141531150"/>
    <n v="117000000"/>
    <n v="24531150"/>
    <n v="9823648"/>
    <n v="14707502"/>
    <n v="4911827"/>
    <n v="4911827"/>
    <n v="4883848"/>
    <x v="4"/>
    <n v="0"/>
    <n v="1677"/>
    <n v="0"/>
  </r>
  <r>
    <x v="588"/>
    <x v="540"/>
    <x v="2"/>
    <n v="330239350"/>
    <n v="358024"/>
    <n v="329881326"/>
    <n v="329881326"/>
    <n v="0"/>
    <n v="0"/>
    <n v="0"/>
    <n v="0"/>
    <x v="4"/>
    <n v="0"/>
    <n v="1676"/>
    <n v="1"/>
  </r>
  <r>
    <x v="589"/>
    <x v="541"/>
    <x v="1"/>
    <n v="106231989"/>
    <n v="56176177"/>
    <n v="50055812"/>
    <n v="14298028"/>
    <n v="35757784"/>
    <n v="15585928"/>
    <n v="15585928"/>
    <n v="4585928"/>
    <x v="4"/>
    <n v="0"/>
    <n v="1679"/>
    <n v="0"/>
  </r>
  <r>
    <x v="589"/>
    <x v="541"/>
    <x v="2"/>
    <n v="380877480"/>
    <n v="0"/>
    <n v="380877480"/>
    <n v="380877480"/>
    <n v="0"/>
    <n v="0"/>
    <n v="0"/>
    <n v="0"/>
    <x v="4"/>
    <n v="0"/>
    <n v="1678"/>
    <n v="1"/>
  </r>
  <r>
    <x v="589"/>
    <x v="541"/>
    <x v="6"/>
    <n v="1931850"/>
    <n v="643950"/>
    <n v="1287900"/>
    <n v="1287900"/>
    <n v="0"/>
    <n v="0"/>
    <n v="0"/>
    <n v="0"/>
    <x v="4"/>
    <n v="0"/>
    <n v="1680"/>
    <n v="1"/>
  </r>
  <r>
    <x v="590"/>
    <x v="542"/>
    <x v="1"/>
    <n v="147124609"/>
    <n v="44650135"/>
    <n v="102474474"/>
    <n v="10191167"/>
    <n v="92283307"/>
    <n v="10191167"/>
    <n v="8000000"/>
    <n v="8000000"/>
    <x v="4"/>
    <n v="66092140"/>
    <n v="1682"/>
    <n v="0"/>
  </r>
  <r>
    <x v="590"/>
    <x v="542"/>
    <x v="2"/>
    <n v="325057943"/>
    <n v="0"/>
    <n v="325057943"/>
    <n v="325057943"/>
    <n v="0"/>
    <n v="0"/>
    <n v="0"/>
    <n v="0"/>
    <x v="4"/>
    <n v="0"/>
    <n v="1681"/>
    <n v="1"/>
  </r>
  <r>
    <x v="590"/>
    <x v="542"/>
    <x v="5"/>
    <n v="9464113"/>
    <n v="5692140"/>
    <n v="3771973"/>
    <n v="0"/>
    <n v="3771973"/>
    <n v="0"/>
    <n v="0"/>
    <n v="3771973"/>
    <x v="4"/>
    <n v="0"/>
    <n v="1683"/>
    <n v="1"/>
  </r>
  <r>
    <x v="591"/>
    <x v="543"/>
    <x v="1"/>
    <n v="126875050"/>
    <n v="98000000"/>
    <n v="28875050"/>
    <n v="0"/>
    <n v="28875050"/>
    <n v="28875050"/>
    <n v="0"/>
    <n v="0"/>
    <x v="4"/>
    <n v="0"/>
    <n v="1685"/>
    <n v="0"/>
  </r>
  <r>
    <x v="591"/>
    <x v="543"/>
    <x v="2"/>
    <n v="273000000"/>
    <n v="1117403"/>
    <n v="271882597"/>
    <n v="271882597"/>
    <n v="0"/>
    <n v="0"/>
    <n v="0"/>
    <n v="0"/>
    <x v="4"/>
    <n v="0"/>
    <n v="1684"/>
    <n v="1"/>
  </r>
  <r>
    <x v="592"/>
    <x v="543"/>
    <x v="0"/>
    <n v="229685564829"/>
    <n v="114949307249"/>
    <n v="114736257580"/>
    <n v="90312813207"/>
    <n v="24423444373"/>
    <n v="1242103563"/>
    <n v="10857718803"/>
    <n v="543664749"/>
    <x v="4"/>
    <n v="11779957258"/>
    <n v="1686"/>
    <n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9">
  <r>
    <x v="0"/>
    <x v="0"/>
    <x v="0"/>
    <x v="0"/>
    <x v="0"/>
    <x v="0"/>
    <n v="378253500"/>
    <x v="0"/>
  </r>
  <r>
    <x v="0"/>
    <x v="0"/>
    <x v="1"/>
    <x v="1"/>
    <x v="0"/>
    <x v="0"/>
    <n v="274861600"/>
    <x v="0"/>
  </r>
  <r>
    <x v="0"/>
    <x v="0"/>
    <x v="2"/>
    <x v="2"/>
    <x v="1"/>
    <x v="0"/>
    <n v="0"/>
    <x v="1"/>
  </r>
  <r>
    <x v="0"/>
    <x v="0"/>
    <x v="3"/>
    <x v="3"/>
    <x v="0"/>
    <x v="0"/>
    <n v="317054400"/>
    <x v="0"/>
  </r>
  <r>
    <x v="0"/>
    <x v="0"/>
    <x v="4"/>
    <x v="4"/>
    <x v="0"/>
    <x v="0"/>
    <n v="321422000"/>
    <x v="0"/>
  </r>
  <r>
    <x v="0"/>
    <x v="0"/>
    <x v="5"/>
    <x v="1"/>
    <x v="0"/>
    <x v="0"/>
    <n v="271022000"/>
    <x v="0"/>
  </r>
  <r>
    <x v="0"/>
    <x v="0"/>
    <x v="6"/>
    <x v="2"/>
    <x v="0"/>
    <x v="0"/>
    <n v="368607900"/>
    <x v="0"/>
  </r>
  <r>
    <x v="0"/>
    <x v="0"/>
    <x v="7"/>
    <x v="3"/>
    <x v="0"/>
    <x v="0"/>
    <n v="327937000"/>
    <x v="0"/>
  </r>
  <r>
    <x v="0"/>
    <x v="0"/>
    <x v="8"/>
    <x v="5"/>
    <x v="0"/>
    <x v="0"/>
    <n v="315649200"/>
    <x v="0"/>
  </r>
  <r>
    <x v="0"/>
    <x v="0"/>
    <x v="9"/>
    <x v="1"/>
    <x v="0"/>
    <x v="0"/>
    <n v="268765600"/>
    <x v="0"/>
  </r>
  <r>
    <x v="0"/>
    <x v="0"/>
    <x v="10"/>
    <x v="6"/>
    <x v="0"/>
    <x v="0"/>
    <n v="323229900"/>
    <x v="0"/>
  </r>
  <r>
    <x v="0"/>
    <x v="0"/>
    <x v="11"/>
    <x v="3"/>
    <x v="0"/>
    <x v="0"/>
    <n v="354753529"/>
    <x v="0"/>
  </r>
  <r>
    <x v="0"/>
    <x v="0"/>
    <x v="12"/>
    <x v="5"/>
    <x v="0"/>
    <x v="0"/>
    <n v="316900364"/>
    <x v="0"/>
  </r>
  <r>
    <x v="0"/>
    <x v="0"/>
    <x v="13"/>
    <x v="1"/>
    <x v="0"/>
    <x v="0"/>
    <n v="267787400"/>
    <x v="0"/>
  </r>
  <r>
    <x v="0"/>
    <x v="0"/>
    <x v="14"/>
    <x v="2"/>
    <x v="0"/>
    <x v="0"/>
    <n v="367033815"/>
    <x v="0"/>
  </r>
  <r>
    <x v="0"/>
    <x v="0"/>
    <x v="15"/>
    <x v="3"/>
    <x v="0"/>
    <x v="0"/>
    <n v="357547679"/>
    <x v="0"/>
  </r>
  <r>
    <x v="0"/>
    <x v="0"/>
    <x v="16"/>
    <x v="5"/>
    <x v="0"/>
    <x v="0"/>
    <n v="322279331"/>
    <x v="0"/>
  </r>
  <r>
    <x v="0"/>
    <x v="0"/>
    <x v="17"/>
    <x v="7"/>
    <x v="0"/>
    <x v="0"/>
    <n v="267749367"/>
    <x v="0"/>
  </r>
  <r>
    <x v="0"/>
    <x v="0"/>
    <x v="18"/>
    <x v="2"/>
    <x v="1"/>
    <x v="0"/>
    <n v="0"/>
    <x v="2"/>
  </r>
  <r>
    <x v="0"/>
    <x v="0"/>
    <x v="19"/>
    <x v="8"/>
    <x v="0"/>
    <x v="0"/>
    <n v="316278000"/>
    <x v="0"/>
  </r>
  <r>
    <x v="0"/>
    <x v="0"/>
    <x v="20"/>
    <x v="4"/>
    <x v="0"/>
    <x v="0"/>
    <n v="319585600"/>
    <x v="0"/>
  </r>
  <r>
    <x v="0"/>
    <x v="0"/>
    <x v="21"/>
    <x v="7"/>
    <x v="0"/>
    <x v="0"/>
    <n v="268387400"/>
    <x v="0"/>
  </r>
  <r>
    <x v="0"/>
    <x v="0"/>
    <x v="22"/>
    <x v="2"/>
    <x v="0"/>
    <x v="0"/>
    <n v="366097000"/>
    <x v="0"/>
  </r>
  <r>
    <x v="0"/>
    <x v="0"/>
    <x v="23"/>
    <x v="3"/>
    <x v="0"/>
    <x v="0"/>
    <n v="336696000"/>
    <x v="0"/>
  </r>
  <r>
    <x v="0"/>
    <x v="0"/>
    <x v="24"/>
    <x v="4"/>
    <x v="0"/>
    <x v="0"/>
    <n v="319885600"/>
    <x v="0"/>
  </r>
  <r>
    <x v="0"/>
    <x v="0"/>
    <x v="25"/>
    <x v="7"/>
    <x v="0"/>
    <x v="0"/>
    <n v="267480517"/>
    <x v="0"/>
  </r>
  <r>
    <x v="0"/>
    <x v="0"/>
    <x v="26"/>
    <x v="6"/>
    <x v="0"/>
    <x v="0"/>
    <n v="324429900"/>
    <x v="0"/>
  </r>
  <r>
    <x v="0"/>
    <x v="0"/>
    <x v="27"/>
    <x v="8"/>
    <x v="0"/>
    <x v="0"/>
    <n v="324145700"/>
    <x v="0"/>
  </r>
  <r>
    <x v="0"/>
    <x v="0"/>
    <x v="28"/>
    <x v="4"/>
    <x v="0"/>
    <x v="0"/>
    <n v="363010000"/>
    <x v="0"/>
  </r>
  <r>
    <x v="0"/>
    <x v="0"/>
    <x v="29"/>
    <x v="7"/>
    <x v="0"/>
    <x v="0"/>
    <n v="268571788"/>
    <x v="0"/>
  </r>
  <r>
    <x v="0"/>
    <x v="0"/>
    <x v="30"/>
    <x v="2"/>
    <x v="0"/>
    <x v="0"/>
    <n v="398680000"/>
    <x v="0"/>
  </r>
  <r>
    <x v="0"/>
    <x v="0"/>
    <x v="31"/>
    <x v="3"/>
    <x v="0"/>
    <x v="0"/>
    <n v="317642600"/>
    <x v="0"/>
  </r>
  <r>
    <x v="0"/>
    <x v="0"/>
    <x v="32"/>
    <x v="5"/>
    <x v="0"/>
    <x v="0"/>
    <n v="318967400"/>
    <x v="0"/>
  </r>
  <r>
    <x v="0"/>
    <x v="0"/>
    <x v="33"/>
    <x v="1"/>
    <x v="0"/>
    <x v="0"/>
    <n v="269287400"/>
    <x v="0"/>
  </r>
  <r>
    <x v="0"/>
    <x v="0"/>
    <x v="34"/>
    <x v="2"/>
    <x v="0"/>
    <x v="0"/>
    <n v="318178200"/>
    <x v="0"/>
  </r>
  <r>
    <x v="0"/>
    <x v="0"/>
    <x v="35"/>
    <x v="3"/>
    <x v="0"/>
    <x v="0"/>
    <n v="369665000"/>
    <x v="0"/>
  </r>
  <r>
    <x v="0"/>
    <x v="0"/>
    <x v="36"/>
    <x v="4"/>
    <x v="0"/>
    <x v="0"/>
    <n v="319267400"/>
    <x v="0"/>
  </r>
  <r>
    <x v="0"/>
    <x v="0"/>
    <x v="37"/>
    <x v="1"/>
    <x v="0"/>
    <x v="0"/>
    <n v="269587400"/>
    <x v="0"/>
  </r>
  <r>
    <x v="0"/>
    <x v="0"/>
    <x v="38"/>
    <x v="6"/>
    <x v="0"/>
    <x v="0"/>
    <n v="318478200"/>
    <x v="0"/>
  </r>
  <r>
    <x v="0"/>
    <x v="0"/>
    <x v="39"/>
    <x v="3"/>
    <x v="0"/>
    <x v="0"/>
    <n v="322778000"/>
    <x v="0"/>
  </r>
  <r>
    <x v="0"/>
    <x v="0"/>
    <x v="40"/>
    <x v="4"/>
    <x v="0"/>
    <x v="0"/>
    <n v="324153997"/>
    <x v="0"/>
  </r>
  <r>
    <x v="0"/>
    <x v="0"/>
    <x v="41"/>
    <x v="7"/>
    <x v="0"/>
    <x v="0"/>
    <n v="269887400"/>
    <x v="0"/>
  </r>
  <r>
    <x v="0"/>
    <x v="0"/>
    <x v="42"/>
    <x v="6"/>
    <x v="0"/>
    <x v="0"/>
    <n v="318778200"/>
    <x v="0"/>
  </r>
  <r>
    <x v="0"/>
    <x v="0"/>
    <x v="43"/>
    <x v="3"/>
    <x v="0"/>
    <x v="0"/>
    <n v="330637000"/>
    <x v="0"/>
  </r>
  <r>
    <x v="0"/>
    <x v="0"/>
    <x v="44"/>
    <x v="4"/>
    <x v="0"/>
    <x v="0"/>
    <n v="324422000"/>
    <x v="0"/>
  </r>
  <r>
    <x v="0"/>
    <x v="0"/>
    <x v="45"/>
    <x v="7"/>
    <x v="0"/>
    <x v="0"/>
    <n v="270187400"/>
    <x v="0"/>
  </r>
  <r>
    <x v="0"/>
    <x v="0"/>
    <x v="46"/>
    <x v="2"/>
    <x v="0"/>
    <x v="0"/>
    <n v="365612500"/>
    <x v="0"/>
  </r>
  <r>
    <x v="0"/>
    <x v="0"/>
    <x v="47"/>
    <x v="8"/>
    <x v="0"/>
    <x v="0"/>
    <n v="318842600"/>
    <x v="0"/>
  </r>
  <r>
    <x v="0"/>
    <x v="0"/>
    <x v="48"/>
    <x v="5"/>
    <x v="0"/>
    <x v="0"/>
    <n v="318649200"/>
    <x v="0"/>
  </r>
  <r>
    <x v="0"/>
    <x v="0"/>
    <x v="49"/>
    <x v="1"/>
    <x v="0"/>
    <x v="0"/>
    <n v="270174980"/>
    <x v="0"/>
  </r>
  <r>
    <x v="0"/>
    <x v="0"/>
    <x v="50"/>
    <x v="2"/>
    <x v="0"/>
    <x v="0"/>
    <n v="366429900"/>
    <x v="0"/>
  </r>
  <r>
    <x v="0"/>
    <x v="0"/>
    <x v="51"/>
    <x v="8"/>
    <x v="0"/>
    <x v="0"/>
    <n v="323678000"/>
    <x v="0"/>
  </r>
  <r>
    <x v="0"/>
    <x v="0"/>
    <x v="52"/>
    <x v="4"/>
    <x v="0"/>
    <x v="0"/>
    <n v="320467400"/>
    <x v="0"/>
  </r>
  <r>
    <x v="0"/>
    <x v="0"/>
    <x v="53"/>
    <x v="7"/>
    <x v="0"/>
    <x v="0"/>
    <n v="270787400"/>
    <x v="0"/>
  </r>
  <r>
    <x v="0"/>
    <x v="0"/>
    <x v="54"/>
    <x v="2"/>
    <x v="0"/>
    <x v="0"/>
    <n v="324246000"/>
    <x v="0"/>
  </r>
  <r>
    <x v="0"/>
    <x v="0"/>
    <x v="55"/>
    <x v="3"/>
    <x v="0"/>
    <x v="0"/>
    <n v="323978000"/>
    <x v="0"/>
  </r>
  <r>
    <x v="0"/>
    <x v="0"/>
    <x v="56"/>
    <x v="5"/>
    <x v="0"/>
    <x v="0"/>
    <n v="320767400"/>
    <x v="0"/>
  </r>
  <r>
    <x v="0"/>
    <x v="0"/>
    <x v="57"/>
    <x v="7"/>
    <x v="0"/>
    <x v="0"/>
    <n v="269809200"/>
    <x v="0"/>
  </r>
  <r>
    <x v="0"/>
    <x v="0"/>
    <x v="58"/>
    <x v="2"/>
    <x v="0"/>
    <x v="0"/>
    <n v="368797000"/>
    <x v="0"/>
  </r>
  <r>
    <x v="0"/>
    <x v="0"/>
    <x v="59"/>
    <x v="8"/>
    <x v="0"/>
    <x v="0"/>
    <n v="319742600"/>
    <x v="0"/>
  </r>
  <r>
    <x v="0"/>
    <x v="0"/>
    <x v="60"/>
    <x v="4"/>
    <x v="0"/>
    <x v="0"/>
    <n v="325622000"/>
    <x v="0"/>
  </r>
  <r>
    <x v="0"/>
    <x v="0"/>
    <x v="61"/>
    <x v="1"/>
    <x v="0"/>
    <x v="0"/>
    <n v="271387397"/>
    <x v="0"/>
  </r>
  <r>
    <x v="0"/>
    <x v="0"/>
    <x v="62"/>
    <x v="6"/>
    <x v="0"/>
    <x v="0"/>
    <n v="324846000"/>
    <x v="0"/>
  </r>
  <r>
    <x v="0"/>
    <x v="0"/>
    <x v="63"/>
    <x v="8"/>
    <x v="0"/>
    <x v="0"/>
    <n v="321554400"/>
    <x v="0"/>
  </r>
  <r>
    <x v="0"/>
    <x v="0"/>
    <x v="64"/>
    <x v="4"/>
    <x v="0"/>
    <x v="0"/>
    <n v="325922000"/>
    <x v="0"/>
  </r>
  <r>
    <x v="0"/>
    <x v="0"/>
    <x v="65"/>
    <x v="7"/>
    <x v="0"/>
    <x v="0"/>
    <n v="271687400"/>
    <x v="0"/>
  </r>
  <r>
    <x v="0"/>
    <x v="0"/>
    <x v="66"/>
    <x v="2"/>
    <x v="0"/>
    <x v="0"/>
    <n v="369397000"/>
    <x v="0"/>
  </r>
  <r>
    <x v="0"/>
    <x v="0"/>
    <x v="67"/>
    <x v="8"/>
    <x v="0"/>
    <x v="0"/>
    <n v="320342600"/>
    <x v="0"/>
  </r>
  <r>
    <x v="0"/>
    <x v="0"/>
    <x v="68"/>
    <x v="4"/>
    <x v="0"/>
    <x v="0"/>
    <n v="321667400"/>
    <x v="0"/>
  </r>
  <r>
    <x v="0"/>
    <x v="0"/>
    <x v="69"/>
    <x v="1"/>
    <x v="0"/>
    <x v="0"/>
    <n v="271987400"/>
    <x v="0"/>
  </r>
  <r>
    <x v="0"/>
    <x v="0"/>
    <x v="70"/>
    <x v="2"/>
    <x v="0"/>
    <x v="0"/>
    <n v="374414700"/>
    <x v="0"/>
  </r>
  <r>
    <x v="0"/>
    <x v="0"/>
    <x v="71"/>
    <x v="8"/>
    <x v="0"/>
    <x v="0"/>
    <n v="364451074"/>
    <x v="0"/>
  </r>
  <r>
    <x v="0"/>
    <x v="0"/>
    <x v="72"/>
    <x v="4"/>
    <x v="0"/>
    <x v="0"/>
    <n v="323485600"/>
    <x v="0"/>
  </r>
  <r>
    <x v="0"/>
    <x v="0"/>
    <x v="73"/>
    <x v="7"/>
    <x v="0"/>
    <x v="0"/>
    <n v="275755605"/>
    <x v="0"/>
  </r>
  <r>
    <x v="0"/>
    <x v="0"/>
    <x v="74"/>
    <x v="2"/>
    <x v="0"/>
    <x v="0"/>
    <n v="401980000"/>
    <x v="0"/>
  </r>
  <r>
    <x v="0"/>
    <x v="0"/>
    <x v="75"/>
    <x v="8"/>
    <x v="0"/>
    <x v="0"/>
    <n v="319430800"/>
    <x v="0"/>
  </r>
  <r>
    <x v="0"/>
    <x v="0"/>
    <x v="76"/>
    <x v="5"/>
    <x v="0"/>
    <x v="0"/>
    <n v="323785600"/>
    <x v="0"/>
  </r>
  <r>
    <x v="0"/>
    <x v="0"/>
    <x v="77"/>
    <x v="1"/>
    <x v="0"/>
    <x v="0"/>
    <n v="272587400"/>
    <x v="0"/>
  </r>
  <r>
    <x v="0"/>
    <x v="0"/>
    <x v="78"/>
    <x v="2"/>
    <x v="1"/>
    <x v="0"/>
    <n v="0"/>
    <x v="3"/>
  </r>
  <r>
    <x v="0"/>
    <x v="0"/>
    <x v="79"/>
    <x v="3"/>
    <x v="0"/>
    <x v="0"/>
    <n v="325778000"/>
    <x v="0"/>
  </r>
  <r>
    <x v="0"/>
    <x v="0"/>
    <x v="80"/>
    <x v="4"/>
    <x v="0"/>
    <x v="0"/>
    <n v="324331124"/>
    <x v="0"/>
  </r>
  <r>
    <x v="0"/>
    <x v="0"/>
    <x v="81"/>
    <x v="7"/>
    <x v="0"/>
    <x v="0"/>
    <n v="279165600"/>
    <x v="0"/>
  </r>
  <r>
    <x v="0"/>
    <x v="0"/>
    <x v="82"/>
    <x v="6"/>
    <x v="0"/>
    <x v="0"/>
    <n v="374104500"/>
    <x v="0"/>
  </r>
  <r>
    <x v="0"/>
    <x v="0"/>
    <x v="83"/>
    <x v="8"/>
    <x v="0"/>
    <x v="0"/>
    <n v="322490541"/>
    <x v="0"/>
  </r>
  <r>
    <x v="0"/>
    <x v="0"/>
    <x v="84"/>
    <x v="4"/>
    <x v="0"/>
    <x v="0"/>
    <n v="324385600"/>
    <x v="0"/>
  </r>
  <r>
    <x v="0"/>
    <x v="0"/>
    <x v="85"/>
    <x v="7"/>
    <x v="0"/>
    <x v="0"/>
    <n v="276841056"/>
    <x v="0"/>
  </r>
  <r>
    <x v="0"/>
    <x v="0"/>
    <x v="86"/>
    <x v="2"/>
    <x v="0"/>
    <x v="0"/>
    <n v="374704500"/>
    <x v="0"/>
  </r>
  <r>
    <x v="0"/>
    <x v="0"/>
    <x v="87"/>
    <x v="9"/>
    <x v="0"/>
    <x v="0"/>
    <n v="321842600"/>
    <x v="0"/>
  </r>
  <r>
    <x v="0"/>
    <x v="0"/>
    <x v="88"/>
    <x v="5"/>
    <x v="0"/>
    <x v="0"/>
    <n v="405660000"/>
    <x v="0"/>
  </r>
  <r>
    <x v="0"/>
    <x v="0"/>
    <x v="89"/>
    <x v="7"/>
    <x v="0"/>
    <x v="0"/>
    <n v="274765600"/>
    <x v="0"/>
  </r>
  <r>
    <x v="0"/>
    <x v="0"/>
    <x v="90"/>
    <x v="2"/>
    <x v="0"/>
    <x v="0"/>
    <n v="403180000"/>
    <x v="0"/>
  </r>
  <r>
    <x v="0"/>
    <x v="0"/>
    <x v="91"/>
    <x v="8"/>
    <x v="0"/>
    <x v="0"/>
    <n v="320630800"/>
    <x v="0"/>
  </r>
  <r>
    <x v="0"/>
    <x v="0"/>
    <x v="92"/>
    <x v="4"/>
    <x v="0"/>
    <x v="0"/>
    <n v="323467400"/>
    <x v="0"/>
  </r>
  <r>
    <x v="0"/>
    <x v="0"/>
    <x v="93"/>
    <x v="7"/>
    <x v="0"/>
    <x v="0"/>
    <n v="275065600"/>
    <x v="0"/>
  </r>
  <r>
    <x v="0"/>
    <x v="0"/>
    <x v="94"/>
    <x v="6"/>
    <x v="0"/>
    <x v="0"/>
    <n v="323155600"/>
    <x v="0"/>
  </r>
  <r>
    <x v="0"/>
    <x v="0"/>
    <x v="95"/>
    <x v="8"/>
    <x v="0"/>
    <x v="0"/>
    <n v="320930800"/>
    <x v="0"/>
  </r>
  <r>
    <x v="0"/>
    <x v="0"/>
    <x v="96"/>
    <x v="5"/>
    <x v="0"/>
    <x v="0"/>
    <n v="323767400"/>
    <x v="0"/>
  </r>
  <r>
    <x v="0"/>
    <x v="0"/>
    <x v="97"/>
    <x v="7"/>
    <x v="0"/>
    <x v="0"/>
    <n v="313711600"/>
    <x v="0"/>
  </r>
  <r>
    <x v="0"/>
    <x v="1"/>
    <x v="98"/>
    <x v="10"/>
    <x v="0"/>
    <x v="0"/>
    <n v="22000000"/>
    <x v="0"/>
  </r>
  <r>
    <x v="0"/>
    <x v="1"/>
    <x v="99"/>
    <x v="10"/>
    <x v="0"/>
    <x v="0"/>
    <n v="22000000"/>
    <x v="0"/>
  </r>
  <r>
    <x v="0"/>
    <x v="1"/>
    <x v="100"/>
    <x v="10"/>
    <x v="0"/>
    <x v="0"/>
    <n v="22000000"/>
    <x v="0"/>
  </r>
  <r>
    <x v="0"/>
    <x v="1"/>
    <x v="101"/>
    <x v="10"/>
    <x v="0"/>
    <x v="0"/>
    <n v="22000000"/>
    <x v="0"/>
  </r>
  <r>
    <x v="0"/>
    <x v="1"/>
    <x v="102"/>
    <x v="10"/>
    <x v="0"/>
    <x v="0"/>
    <n v="22000000"/>
    <x v="0"/>
  </r>
  <r>
    <x v="0"/>
    <x v="1"/>
    <x v="103"/>
    <x v="10"/>
    <x v="0"/>
    <x v="0"/>
    <n v="22000000"/>
    <x v="0"/>
  </r>
  <r>
    <x v="0"/>
    <x v="1"/>
    <x v="104"/>
    <x v="10"/>
    <x v="0"/>
    <x v="0"/>
    <n v="22000000"/>
    <x v="0"/>
  </r>
  <r>
    <x v="0"/>
    <x v="1"/>
    <x v="105"/>
    <x v="10"/>
    <x v="0"/>
    <x v="0"/>
    <n v="22000000"/>
    <x v="0"/>
  </r>
  <r>
    <x v="0"/>
    <x v="1"/>
    <x v="106"/>
    <x v="10"/>
    <x v="0"/>
    <x v="0"/>
    <n v="27000000"/>
    <x v="0"/>
  </r>
  <r>
    <x v="0"/>
    <x v="1"/>
    <x v="107"/>
    <x v="10"/>
    <x v="0"/>
    <x v="0"/>
    <n v="27000000"/>
    <x v="0"/>
  </r>
  <r>
    <x v="0"/>
    <x v="1"/>
    <x v="108"/>
    <x v="10"/>
    <x v="0"/>
    <x v="0"/>
    <n v="27000000"/>
    <x v="0"/>
  </r>
  <r>
    <x v="0"/>
    <x v="1"/>
    <x v="109"/>
    <x v="10"/>
    <x v="0"/>
    <x v="0"/>
    <n v="27000000"/>
    <x v="0"/>
  </r>
  <r>
    <x v="0"/>
    <x v="1"/>
    <x v="110"/>
    <x v="10"/>
    <x v="0"/>
    <x v="0"/>
    <n v="27000000"/>
    <x v="0"/>
  </r>
  <r>
    <x v="0"/>
    <x v="1"/>
    <x v="111"/>
    <x v="10"/>
    <x v="0"/>
    <x v="0"/>
    <n v="27000000"/>
    <x v="0"/>
  </r>
  <r>
    <x v="0"/>
    <x v="1"/>
    <x v="112"/>
    <x v="10"/>
    <x v="0"/>
    <x v="0"/>
    <n v="27000000"/>
    <x v="0"/>
  </r>
  <r>
    <x v="0"/>
    <x v="1"/>
    <x v="113"/>
    <x v="10"/>
    <x v="0"/>
    <x v="0"/>
    <n v="27000000"/>
    <x v="0"/>
  </r>
  <r>
    <x v="0"/>
    <x v="1"/>
    <x v="114"/>
    <x v="10"/>
    <x v="0"/>
    <x v="0"/>
    <n v="27000000"/>
    <x v="0"/>
  </r>
  <r>
    <x v="0"/>
    <x v="1"/>
    <x v="115"/>
    <x v="10"/>
    <x v="0"/>
    <x v="0"/>
    <n v="22000000"/>
    <x v="0"/>
  </r>
  <r>
    <x v="0"/>
    <x v="1"/>
    <x v="116"/>
    <x v="10"/>
    <x v="0"/>
    <x v="0"/>
    <n v="22000000"/>
    <x v="0"/>
  </r>
  <r>
    <x v="0"/>
    <x v="1"/>
    <x v="117"/>
    <x v="10"/>
    <x v="0"/>
    <x v="0"/>
    <n v="22000000"/>
    <x v="0"/>
  </r>
  <r>
    <x v="0"/>
    <x v="1"/>
    <x v="118"/>
    <x v="10"/>
    <x v="0"/>
    <x v="0"/>
    <n v="22000000"/>
    <x v="0"/>
  </r>
  <r>
    <x v="0"/>
    <x v="1"/>
    <x v="119"/>
    <x v="10"/>
    <x v="0"/>
    <x v="0"/>
    <n v="22000000"/>
    <x v="0"/>
  </r>
  <r>
    <x v="0"/>
    <x v="1"/>
    <x v="120"/>
    <x v="10"/>
    <x v="0"/>
    <x v="0"/>
    <n v="22000000"/>
    <x v="0"/>
  </r>
  <r>
    <x v="0"/>
    <x v="1"/>
    <x v="121"/>
    <x v="10"/>
    <x v="0"/>
    <x v="0"/>
    <n v="22000000"/>
    <x v="0"/>
  </r>
  <r>
    <x v="0"/>
    <x v="1"/>
    <x v="122"/>
    <x v="10"/>
    <x v="0"/>
    <x v="0"/>
    <n v="22000000"/>
    <x v="0"/>
  </r>
  <r>
    <x v="0"/>
    <x v="1"/>
    <x v="123"/>
    <x v="10"/>
    <x v="0"/>
    <x v="0"/>
    <n v="22000000"/>
    <x v="0"/>
  </r>
  <r>
    <x v="0"/>
    <x v="1"/>
    <x v="124"/>
    <x v="10"/>
    <x v="0"/>
    <x v="0"/>
    <n v="22000000"/>
    <x v="0"/>
  </r>
  <r>
    <x v="0"/>
    <x v="1"/>
    <x v="125"/>
    <x v="10"/>
    <x v="0"/>
    <x v="0"/>
    <n v="22000000"/>
    <x v="0"/>
  </r>
  <r>
    <x v="0"/>
    <x v="1"/>
    <x v="126"/>
    <x v="10"/>
    <x v="0"/>
    <x v="0"/>
    <n v="22000000"/>
    <x v="0"/>
  </r>
  <r>
    <x v="0"/>
    <x v="1"/>
    <x v="127"/>
    <x v="10"/>
    <x v="0"/>
    <x v="0"/>
    <n v="22000000"/>
    <x v="0"/>
  </r>
  <r>
    <x v="0"/>
    <x v="1"/>
    <x v="128"/>
    <x v="10"/>
    <x v="0"/>
    <x v="0"/>
    <n v="22000000"/>
    <x v="0"/>
  </r>
  <r>
    <x v="0"/>
    <x v="1"/>
    <x v="129"/>
    <x v="10"/>
    <x v="0"/>
    <x v="0"/>
    <n v="27000000"/>
    <x v="0"/>
  </r>
  <r>
    <x v="0"/>
    <x v="1"/>
    <x v="130"/>
    <x v="10"/>
    <x v="0"/>
    <x v="0"/>
    <n v="22000000"/>
    <x v="0"/>
  </r>
  <r>
    <x v="0"/>
    <x v="1"/>
    <x v="131"/>
    <x v="10"/>
    <x v="0"/>
    <x v="0"/>
    <n v="22000000"/>
    <x v="0"/>
  </r>
  <r>
    <x v="0"/>
    <x v="1"/>
    <x v="132"/>
    <x v="10"/>
    <x v="0"/>
    <x v="0"/>
    <n v="27000000"/>
    <x v="0"/>
  </r>
  <r>
    <x v="0"/>
    <x v="1"/>
    <x v="133"/>
    <x v="10"/>
    <x v="0"/>
    <x v="0"/>
    <n v="27000000"/>
    <x v="0"/>
  </r>
  <r>
    <x v="0"/>
    <x v="1"/>
    <x v="134"/>
    <x v="10"/>
    <x v="0"/>
    <x v="0"/>
    <n v="22000000"/>
    <x v="0"/>
  </r>
  <r>
    <x v="0"/>
    <x v="1"/>
    <x v="135"/>
    <x v="10"/>
    <x v="0"/>
    <x v="0"/>
    <n v="27000000"/>
    <x v="0"/>
  </r>
  <r>
    <x v="0"/>
    <x v="1"/>
    <x v="136"/>
    <x v="10"/>
    <x v="0"/>
    <x v="0"/>
    <n v="22000000"/>
    <x v="0"/>
  </r>
  <r>
    <x v="0"/>
    <x v="1"/>
    <x v="137"/>
    <x v="10"/>
    <x v="0"/>
    <x v="0"/>
    <n v="22000000"/>
    <x v="0"/>
  </r>
  <r>
    <x v="0"/>
    <x v="1"/>
    <x v="138"/>
    <x v="10"/>
    <x v="0"/>
    <x v="0"/>
    <n v="22000000"/>
    <x v="0"/>
  </r>
  <r>
    <x v="0"/>
    <x v="1"/>
    <x v="139"/>
    <x v="10"/>
    <x v="0"/>
    <x v="0"/>
    <n v="22000000"/>
    <x v="0"/>
  </r>
  <r>
    <x v="0"/>
    <x v="1"/>
    <x v="140"/>
    <x v="10"/>
    <x v="0"/>
    <x v="0"/>
    <n v="22000000"/>
    <x v="0"/>
  </r>
  <r>
    <x v="0"/>
    <x v="1"/>
    <x v="141"/>
    <x v="10"/>
    <x v="0"/>
    <x v="0"/>
    <n v="22000000"/>
    <x v="0"/>
  </r>
  <r>
    <x v="0"/>
    <x v="1"/>
    <x v="142"/>
    <x v="10"/>
    <x v="0"/>
    <x v="0"/>
    <n v="22000000"/>
    <x v="0"/>
  </r>
  <r>
    <x v="0"/>
    <x v="1"/>
    <x v="143"/>
    <x v="10"/>
    <x v="0"/>
    <x v="0"/>
    <n v="22000000"/>
    <x v="0"/>
  </r>
  <r>
    <x v="0"/>
    <x v="1"/>
    <x v="144"/>
    <x v="10"/>
    <x v="0"/>
    <x v="0"/>
    <n v="22000000"/>
    <x v="0"/>
  </r>
  <r>
    <x v="0"/>
    <x v="1"/>
    <x v="145"/>
    <x v="10"/>
    <x v="0"/>
    <x v="0"/>
    <n v="22000000"/>
    <x v="0"/>
  </r>
  <r>
    <x v="0"/>
    <x v="1"/>
    <x v="146"/>
    <x v="10"/>
    <x v="0"/>
    <x v="0"/>
    <n v="27000000"/>
    <x v="0"/>
  </r>
  <r>
    <x v="0"/>
    <x v="1"/>
    <x v="147"/>
    <x v="10"/>
    <x v="0"/>
    <x v="0"/>
    <n v="22000000"/>
    <x v="0"/>
  </r>
  <r>
    <x v="0"/>
    <x v="1"/>
    <x v="148"/>
    <x v="10"/>
    <x v="0"/>
    <x v="0"/>
    <n v="22000000"/>
    <x v="0"/>
  </r>
  <r>
    <x v="0"/>
    <x v="1"/>
    <x v="149"/>
    <x v="10"/>
    <x v="0"/>
    <x v="0"/>
    <n v="27000000"/>
    <x v="0"/>
  </r>
  <r>
    <x v="0"/>
    <x v="1"/>
    <x v="150"/>
    <x v="10"/>
    <x v="0"/>
    <x v="0"/>
    <n v="27000000"/>
    <x v="0"/>
  </r>
  <r>
    <x v="0"/>
    <x v="1"/>
    <x v="151"/>
    <x v="10"/>
    <x v="0"/>
    <x v="0"/>
    <n v="27000000"/>
    <x v="0"/>
  </r>
  <r>
    <x v="0"/>
    <x v="1"/>
    <x v="152"/>
    <x v="10"/>
    <x v="0"/>
    <x v="0"/>
    <n v="22000000"/>
    <x v="0"/>
  </r>
  <r>
    <x v="0"/>
    <x v="1"/>
    <x v="153"/>
    <x v="10"/>
    <x v="0"/>
    <x v="0"/>
    <n v="22000000"/>
    <x v="0"/>
  </r>
  <r>
    <x v="0"/>
    <x v="1"/>
    <x v="154"/>
    <x v="10"/>
    <x v="0"/>
    <x v="0"/>
    <n v="22000000"/>
    <x v="0"/>
  </r>
  <r>
    <x v="0"/>
    <x v="1"/>
    <x v="155"/>
    <x v="10"/>
    <x v="0"/>
    <x v="0"/>
    <n v="22000000"/>
    <x v="0"/>
  </r>
  <r>
    <x v="0"/>
    <x v="1"/>
    <x v="156"/>
    <x v="10"/>
    <x v="0"/>
    <x v="0"/>
    <n v="22000000"/>
    <x v="0"/>
  </r>
  <r>
    <x v="0"/>
    <x v="1"/>
    <x v="157"/>
    <x v="10"/>
    <x v="0"/>
    <x v="0"/>
    <n v="22000000"/>
    <x v="0"/>
  </r>
  <r>
    <x v="0"/>
    <x v="1"/>
    <x v="158"/>
    <x v="10"/>
    <x v="0"/>
    <x v="0"/>
    <n v="22000000"/>
    <x v="0"/>
  </r>
  <r>
    <x v="0"/>
    <x v="1"/>
    <x v="159"/>
    <x v="10"/>
    <x v="0"/>
    <x v="0"/>
    <n v="22000000"/>
    <x v="0"/>
  </r>
  <r>
    <x v="0"/>
    <x v="1"/>
    <x v="160"/>
    <x v="10"/>
    <x v="0"/>
    <x v="0"/>
    <n v="22000000"/>
    <x v="0"/>
  </r>
  <r>
    <x v="0"/>
    <x v="1"/>
    <x v="161"/>
    <x v="10"/>
    <x v="0"/>
    <x v="0"/>
    <n v="22000000"/>
    <x v="0"/>
  </r>
  <r>
    <x v="0"/>
    <x v="1"/>
    <x v="162"/>
    <x v="10"/>
    <x v="0"/>
    <x v="0"/>
    <n v="27000000"/>
    <x v="0"/>
  </r>
  <r>
    <x v="0"/>
    <x v="1"/>
    <x v="163"/>
    <x v="10"/>
    <x v="0"/>
    <x v="0"/>
    <n v="27000000"/>
    <x v="0"/>
  </r>
  <r>
    <x v="0"/>
    <x v="1"/>
    <x v="164"/>
    <x v="10"/>
    <x v="0"/>
    <x v="0"/>
    <n v="27000000"/>
    <x v="0"/>
  </r>
  <r>
    <x v="0"/>
    <x v="1"/>
    <x v="165"/>
    <x v="10"/>
    <x v="0"/>
    <x v="0"/>
    <n v="22000000"/>
    <x v="0"/>
  </r>
  <r>
    <x v="0"/>
    <x v="1"/>
    <x v="166"/>
    <x v="10"/>
    <x v="0"/>
    <x v="0"/>
    <n v="22000000"/>
    <x v="0"/>
  </r>
  <r>
    <x v="0"/>
    <x v="1"/>
    <x v="167"/>
    <x v="10"/>
    <x v="0"/>
    <x v="0"/>
    <n v="22000000"/>
    <x v="0"/>
  </r>
  <r>
    <x v="0"/>
    <x v="1"/>
    <x v="168"/>
    <x v="10"/>
    <x v="0"/>
    <x v="0"/>
    <n v="27000000"/>
    <x v="0"/>
  </r>
  <r>
    <x v="0"/>
    <x v="1"/>
    <x v="169"/>
    <x v="10"/>
    <x v="0"/>
    <x v="0"/>
    <n v="27000000"/>
    <x v="0"/>
  </r>
  <r>
    <x v="0"/>
    <x v="1"/>
    <x v="170"/>
    <x v="10"/>
    <x v="0"/>
    <x v="0"/>
    <n v="27000000"/>
    <x v="0"/>
  </r>
  <r>
    <x v="0"/>
    <x v="1"/>
    <x v="171"/>
    <x v="10"/>
    <x v="0"/>
    <x v="0"/>
    <n v="27000000"/>
    <x v="0"/>
  </r>
  <r>
    <x v="0"/>
    <x v="1"/>
    <x v="172"/>
    <x v="10"/>
    <x v="0"/>
    <x v="0"/>
    <n v="27000000"/>
    <x v="0"/>
  </r>
  <r>
    <x v="0"/>
    <x v="1"/>
    <x v="173"/>
    <x v="10"/>
    <x v="0"/>
    <x v="0"/>
    <n v="27000000"/>
    <x v="0"/>
  </r>
  <r>
    <x v="0"/>
    <x v="1"/>
    <x v="174"/>
    <x v="10"/>
    <x v="0"/>
    <x v="0"/>
    <n v="27000000"/>
    <x v="0"/>
  </r>
  <r>
    <x v="0"/>
    <x v="1"/>
    <x v="175"/>
    <x v="10"/>
    <x v="0"/>
    <x v="0"/>
    <n v="27000000"/>
    <x v="0"/>
  </r>
  <r>
    <x v="0"/>
    <x v="1"/>
    <x v="176"/>
    <x v="10"/>
    <x v="0"/>
    <x v="0"/>
    <n v="22000000"/>
    <x v="0"/>
  </r>
  <r>
    <x v="0"/>
    <x v="1"/>
    <x v="177"/>
    <x v="10"/>
    <x v="0"/>
    <x v="0"/>
    <n v="22000000"/>
    <x v="0"/>
  </r>
  <r>
    <x v="0"/>
    <x v="1"/>
    <x v="178"/>
    <x v="10"/>
    <x v="0"/>
    <x v="0"/>
    <n v="22000000"/>
    <x v="0"/>
  </r>
  <r>
    <x v="0"/>
    <x v="1"/>
    <x v="179"/>
    <x v="10"/>
    <x v="0"/>
    <x v="0"/>
    <n v="22000000"/>
    <x v="0"/>
  </r>
  <r>
    <x v="0"/>
    <x v="1"/>
    <x v="180"/>
    <x v="10"/>
    <x v="0"/>
    <x v="0"/>
    <n v="22000000"/>
    <x v="0"/>
  </r>
  <r>
    <x v="0"/>
    <x v="1"/>
    <x v="181"/>
    <x v="10"/>
    <x v="1"/>
    <x v="0"/>
    <n v="0"/>
    <x v="4"/>
  </r>
  <r>
    <x v="0"/>
    <x v="1"/>
    <x v="182"/>
    <x v="10"/>
    <x v="0"/>
    <x v="0"/>
    <n v="22000000"/>
    <x v="0"/>
  </r>
  <r>
    <x v="0"/>
    <x v="1"/>
    <x v="183"/>
    <x v="10"/>
    <x v="0"/>
    <x v="0"/>
    <n v="22000000"/>
    <x v="0"/>
  </r>
  <r>
    <x v="0"/>
    <x v="1"/>
    <x v="184"/>
    <x v="10"/>
    <x v="0"/>
    <x v="0"/>
    <n v="22000000"/>
    <x v="0"/>
  </r>
  <r>
    <x v="0"/>
    <x v="1"/>
    <x v="185"/>
    <x v="10"/>
    <x v="0"/>
    <x v="0"/>
    <n v="22000000"/>
    <x v="0"/>
  </r>
  <r>
    <x v="0"/>
    <x v="1"/>
    <x v="186"/>
    <x v="10"/>
    <x v="0"/>
    <x v="0"/>
    <n v="27000000"/>
    <x v="0"/>
  </r>
  <r>
    <x v="0"/>
    <x v="1"/>
    <x v="187"/>
    <x v="10"/>
    <x v="0"/>
    <x v="0"/>
    <n v="27000000"/>
    <x v="0"/>
  </r>
  <r>
    <x v="0"/>
    <x v="1"/>
    <x v="188"/>
    <x v="10"/>
    <x v="0"/>
    <x v="0"/>
    <n v="22000000"/>
    <x v="0"/>
  </r>
  <r>
    <x v="0"/>
    <x v="1"/>
    <x v="189"/>
    <x v="10"/>
    <x v="1"/>
    <x v="0"/>
    <n v="0"/>
    <x v="4"/>
  </r>
  <r>
    <x v="0"/>
    <x v="1"/>
    <x v="190"/>
    <x v="10"/>
    <x v="0"/>
    <x v="0"/>
    <n v="22000000"/>
    <x v="0"/>
  </r>
  <r>
    <x v="0"/>
    <x v="1"/>
    <x v="191"/>
    <x v="10"/>
    <x v="1"/>
    <x v="0"/>
    <n v="0"/>
    <x v="4"/>
  </r>
  <r>
    <x v="0"/>
    <x v="1"/>
    <x v="192"/>
    <x v="10"/>
    <x v="0"/>
    <x v="0"/>
    <n v="22000000"/>
    <x v="0"/>
  </r>
  <r>
    <x v="0"/>
    <x v="1"/>
    <x v="193"/>
    <x v="10"/>
    <x v="0"/>
    <x v="0"/>
    <n v="22000000"/>
    <x v="0"/>
  </r>
  <r>
    <x v="0"/>
    <x v="1"/>
    <x v="194"/>
    <x v="10"/>
    <x v="0"/>
    <x v="0"/>
    <n v="22000000"/>
    <x v="0"/>
  </r>
  <r>
    <x v="0"/>
    <x v="1"/>
    <x v="195"/>
    <x v="10"/>
    <x v="0"/>
    <x v="0"/>
    <n v="22000000"/>
    <x v="0"/>
  </r>
  <r>
    <x v="0"/>
    <x v="2"/>
    <x v="196"/>
    <x v="10"/>
    <x v="0"/>
    <x v="0"/>
    <n v="5000000"/>
    <x v="0"/>
  </r>
  <r>
    <x v="0"/>
    <x v="2"/>
    <x v="197"/>
    <x v="10"/>
    <x v="0"/>
    <x v="0"/>
    <n v="5000000"/>
    <x v="0"/>
  </r>
  <r>
    <x v="0"/>
    <x v="2"/>
    <x v="198"/>
    <x v="10"/>
    <x v="0"/>
    <x v="0"/>
    <n v="5000000"/>
    <x v="0"/>
  </r>
  <r>
    <x v="0"/>
    <x v="2"/>
    <x v="199"/>
    <x v="10"/>
    <x v="0"/>
    <x v="0"/>
    <n v="5000000"/>
    <x v="0"/>
  </r>
  <r>
    <x v="0"/>
    <x v="2"/>
    <x v="200"/>
    <x v="10"/>
    <x v="0"/>
    <x v="0"/>
    <n v="5000000"/>
    <x v="0"/>
  </r>
  <r>
    <x v="0"/>
    <x v="2"/>
    <x v="201"/>
    <x v="10"/>
    <x v="0"/>
    <x v="0"/>
    <n v="5000000"/>
    <x v="0"/>
  </r>
  <r>
    <x v="0"/>
    <x v="2"/>
    <x v="202"/>
    <x v="10"/>
    <x v="0"/>
    <x v="0"/>
    <n v="5000000"/>
    <x v="0"/>
  </r>
  <r>
    <x v="0"/>
    <x v="2"/>
    <x v="203"/>
    <x v="10"/>
    <x v="0"/>
    <x v="0"/>
    <n v="5000000"/>
    <x v="0"/>
  </r>
  <r>
    <x v="0"/>
    <x v="2"/>
    <x v="204"/>
    <x v="10"/>
    <x v="0"/>
    <x v="0"/>
    <n v="5000000"/>
    <x v="0"/>
  </r>
  <r>
    <x v="0"/>
    <x v="2"/>
    <x v="205"/>
    <x v="10"/>
    <x v="0"/>
    <x v="0"/>
    <n v="5000000"/>
    <x v="0"/>
  </r>
  <r>
    <x v="0"/>
    <x v="2"/>
    <x v="206"/>
    <x v="10"/>
    <x v="0"/>
    <x v="0"/>
    <n v="5000000"/>
    <x v="0"/>
  </r>
  <r>
    <x v="0"/>
    <x v="2"/>
    <x v="207"/>
    <x v="10"/>
    <x v="0"/>
    <x v="0"/>
    <n v="5000000"/>
    <x v="0"/>
  </r>
  <r>
    <x v="0"/>
    <x v="2"/>
    <x v="208"/>
    <x v="10"/>
    <x v="0"/>
    <x v="0"/>
    <n v="5000000"/>
    <x v="0"/>
  </r>
  <r>
    <x v="0"/>
    <x v="2"/>
    <x v="209"/>
    <x v="10"/>
    <x v="0"/>
    <x v="0"/>
    <n v="5000000"/>
    <x v="0"/>
  </r>
  <r>
    <x v="0"/>
    <x v="2"/>
    <x v="210"/>
    <x v="10"/>
    <x v="0"/>
    <x v="0"/>
    <n v="5000000"/>
    <x v="0"/>
  </r>
  <r>
    <x v="0"/>
    <x v="2"/>
    <x v="211"/>
    <x v="10"/>
    <x v="0"/>
    <x v="0"/>
    <n v="5000000"/>
    <x v="0"/>
  </r>
  <r>
    <x v="0"/>
    <x v="2"/>
    <x v="212"/>
    <x v="10"/>
    <x v="0"/>
    <x v="0"/>
    <n v="5000000"/>
    <x v="0"/>
  </r>
  <r>
    <x v="0"/>
    <x v="2"/>
    <x v="213"/>
    <x v="10"/>
    <x v="0"/>
    <x v="0"/>
    <n v="5000000"/>
    <x v="0"/>
  </r>
  <r>
    <x v="0"/>
    <x v="2"/>
    <x v="214"/>
    <x v="10"/>
    <x v="0"/>
    <x v="0"/>
    <n v="5000000"/>
    <x v="0"/>
  </r>
  <r>
    <x v="0"/>
    <x v="2"/>
    <x v="215"/>
    <x v="10"/>
    <x v="0"/>
    <x v="0"/>
    <n v="5000000"/>
    <x v="0"/>
  </r>
  <r>
    <x v="0"/>
    <x v="2"/>
    <x v="216"/>
    <x v="10"/>
    <x v="0"/>
    <x v="0"/>
    <n v="5000000"/>
    <x v="0"/>
  </r>
  <r>
    <x v="0"/>
    <x v="2"/>
    <x v="217"/>
    <x v="10"/>
    <x v="1"/>
    <x v="0"/>
    <n v="0"/>
    <x v="5"/>
  </r>
  <r>
    <x v="0"/>
    <x v="2"/>
    <x v="218"/>
    <x v="10"/>
    <x v="1"/>
    <x v="0"/>
    <n v="0"/>
    <x v="5"/>
  </r>
  <r>
    <x v="0"/>
    <x v="2"/>
    <x v="219"/>
    <x v="10"/>
    <x v="0"/>
    <x v="0"/>
    <n v="5000000"/>
    <x v="0"/>
  </r>
  <r>
    <x v="0"/>
    <x v="2"/>
    <x v="220"/>
    <x v="10"/>
    <x v="1"/>
    <x v="0"/>
    <n v="0"/>
    <x v="5"/>
  </r>
  <r>
    <x v="0"/>
    <x v="2"/>
    <x v="221"/>
    <x v="10"/>
    <x v="1"/>
    <x v="0"/>
    <n v="0"/>
    <x v="5"/>
  </r>
  <r>
    <x v="0"/>
    <x v="2"/>
    <x v="222"/>
    <x v="10"/>
    <x v="1"/>
    <x v="0"/>
    <n v="0"/>
    <x v="5"/>
  </r>
  <r>
    <x v="0"/>
    <x v="2"/>
    <x v="223"/>
    <x v="10"/>
    <x v="1"/>
    <x v="0"/>
    <n v="0"/>
    <x v="5"/>
  </r>
  <r>
    <x v="0"/>
    <x v="2"/>
    <x v="224"/>
    <x v="10"/>
    <x v="1"/>
    <x v="0"/>
    <n v="0"/>
    <x v="5"/>
  </r>
  <r>
    <x v="0"/>
    <x v="2"/>
    <x v="225"/>
    <x v="10"/>
    <x v="1"/>
    <x v="0"/>
    <n v="0"/>
    <x v="5"/>
  </r>
  <r>
    <x v="0"/>
    <x v="2"/>
    <x v="226"/>
    <x v="10"/>
    <x v="1"/>
    <x v="0"/>
    <n v="0"/>
    <x v="5"/>
  </r>
  <r>
    <x v="0"/>
    <x v="2"/>
    <x v="227"/>
    <x v="10"/>
    <x v="0"/>
    <x v="0"/>
    <n v="5000000"/>
    <x v="0"/>
  </r>
  <r>
    <x v="0"/>
    <x v="2"/>
    <x v="228"/>
    <x v="10"/>
    <x v="0"/>
    <x v="0"/>
    <n v="5000000"/>
    <x v="0"/>
  </r>
  <r>
    <x v="0"/>
    <x v="2"/>
    <x v="229"/>
    <x v="10"/>
    <x v="1"/>
    <x v="0"/>
    <n v="0"/>
    <x v="5"/>
  </r>
  <r>
    <x v="0"/>
    <x v="2"/>
    <x v="230"/>
    <x v="10"/>
    <x v="0"/>
    <x v="0"/>
    <n v="5000000"/>
    <x v="0"/>
  </r>
  <r>
    <x v="0"/>
    <x v="2"/>
    <x v="231"/>
    <x v="10"/>
    <x v="0"/>
    <x v="0"/>
    <n v="5000000"/>
    <x v="0"/>
  </r>
  <r>
    <x v="0"/>
    <x v="2"/>
    <x v="232"/>
    <x v="10"/>
    <x v="1"/>
    <x v="0"/>
    <n v="0"/>
    <x v="5"/>
  </r>
  <r>
    <x v="0"/>
    <x v="2"/>
    <x v="233"/>
    <x v="10"/>
    <x v="1"/>
    <x v="0"/>
    <n v="0"/>
    <x v="5"/>
  </r>
  <r>
    <x v="0"/>
    <x v="2"/>
    <x v="234"/>
    <x v="10"/>
    <x v="0"/>
    <x v="0"/>
    <n v="5000000"/>
    <x v="0"/>
  </r>
  <r>
    <x v="0"/>
    <x v="2"/>
    <x v="235"/>
    <x v="10"/>
    <x v="0"/>
    <x v="0"/>
    <n v="5000000"/>
    <x v="0"/>
  </r>
  <r>
    <x v="0"/>
    <x v="2"/>
    <x v="236"/>
    <x v="10"/>
    <x v="0"/>
    <x v="0"/>
    <n v="5000000"/>
    <x v="0"/>
  </r>
  <r>
    <x v="0"/>
    <x v="2"/>
    <x v="237"/>
    <x v="10"/>
    <x v="0"/>
    <x v="0"/>
    <n v="5000000"/>
    <x v="0"/>
  </r>
  <r>
    <x v="0"/>
    <x v="2"/>
    <x v="238"/>
    <x v="10"/>
    <x v="0"/>
    <x v="0"/>
    <n v="5000000"/>
    <x v="0"/>
  </r>
  <r>
    <x v="0"/>
    <x v="2"/>
    <x v="239"/>
    <x v="10"/>
    <x v="0"/>
    <x v="0"/>
    <n v="5000000"/>
    <x v="0"/>
  </r>
  <r>
    <x v="0"/>
    <x v="2"/>
    <x v="240"/>
    <x v="10"/>
    <x v="0"/>
    <x v="0"/>
    <n v="5000000"/>
    <x v="0"/>
  </r>
  <r>
    <x v="0"/>
    <x v="2"/>
    <x v="241"/>
    <x v="10"/>
    <x v="0"/>
    <x v="0"/>
    <n v="5000000"/>
    <x v="0"/>
  </r>
  <r>
    <x v="0"/>
    <x v="2"/>
    <x v="242"/>
    <x v="10"/>
    <x v="0"/>
    <x v="0"/>
    <n v="5000000"/>
    <x v="0"/>
  </r>
  <r>
    <x v="0"/>
    <x v="2"/>
    <x v="243"/>
    <x v="10"/>
    <x v="0"/>
    <x v="0"/>
    <n v="5000000"/>
    <x v="0"/>
  </r>
  <r>
    <x v="0"/>
    <x v="2"/>
    <x v="244"/>
    <x v="10"/>
    <x v="0"/>
    <x v="0"/>
    <n v="5000000"/>
    <x v="0"/>
  </r>
  <r>
    <x v="0"/>
    <x v="2"/>
    <x v="245"/>
    <x v="10"/>
    <x v="0"/>
    <x v="0"/>
    <n v="5000000"/>
    <x v="0"/>
  </r>
  <r>
    <x v="0"/>
    <x v="2"/>
    <x v="246"/>
    <x v="10"/>
    <x v="0"/>
    <x v="0"/>
    <n v="5000000"/>
    <x v="0"/>
  </r>
  <r>
    <x v="0"/>
    <x v="2"/>
    <x v="247"/>
    <x v="10"/>
    <x v="0"/>
    <x v="0"/>
    <n v="5000000"/>
    <x v="0"/>
  </r>
  <r>
    <x v="0"/>
    <x v="2"/>
    <x v="248"/>
    <x v="10"/>
    <x v="0"/>
    <x v="0"/>
    <n v="5000000"/>
    <x v="0"/>
  </r>
  <r>
    <x v="0"/>
    <x v="2"/>
    <x v="249"/>
    <x v="10"/>
    <x v="0"/>
    <x v="0"/>
    <n v="5000000"/>
    <x v="0"/>
  </r>
  <r>
    <x v="0"/>
    <x v="2"/>
    <x v="250"/>
    <x v="10"/>
    <x v="0"/>
    <x v="0"/>
    <n v="5000000"/>
    <x v="0"/>
  </r>
  <r>
    <x v="0"/>
    <x v="2"/>
    <x v="251"/>
    <x v="10"/>
    <x v="0"/>
    <x v="0"/>
    <n v="5000000"/>
    <x v="0"/>
  </r>
  <r>
    <x v="0"/>
    <x v="2"/>
    <x v="252"/>
    <x v="10"/>
    <x v="0"/>
    <x v="0"/>
    <n v="5000000"/>
    <x v="0"/>
  </r>
  <r>
    <x v="0"/>
    <x v="2"/>
    <x v="253"/>
    <x v="10"/>
    <x v="0"/>
    <x v="0"/>
    <n v="5000000"/>
    <x v="0"/>
  </r>
  <r>
    <x v="0"/>
    <x v="2"/>
    <x v="254"/>
    <x v="10"/>
    <x v="0"/>
    <x v="0"/>
    <n v="5000000"/>
    <x v="0"/>
  </r>
  <r>
    <x v="0"/>
    <x v="2"/>
    <x v="255"/>
    <x v="10"/>
    <x v="0"/>
    <x v="0"/>
    <n v="5000000"/>
    <x v="0"/>
  </r>
  <r>
    <x v="0"/>
    <x v="2"/>
    <x v="256"/>
    <x v="10"/>
    <x v="0"/>
    <x v="0"/>
    <n v="5000000"/>
    <x v="0"/>
  </r>
  <r>
    <x v="0"/>
    <x v="2"/>
    <x v="257"/>
    <x v="10"/>
    <x v="0"/>
    <x v="0"/>
    <n v="5000000"/>
    <x v="0"/>
  </r>
  <r>
    <x v="0"/>
    <x v="2"/>
    <x v="258"/>
    <x v="10"/>
    <x v="0"/>
    <x v="0"/>
    <n v="5000000"/>
    <x v="0"/>
  </r>
  <r>
    <x v="0"/>
    <x v="2"/>
    <x v="259"/>
    <x v="10"/>
    <x v="0"/>
    <x v="0"/>
    <n v="5000000"/>
    <x v="0"/>
  </r>
  <r>
    <x v="0"/>
    <x v="2"/>
    <x v="260"/>
    <x v="10"/>
    <x v="0"/>
    <x v="0"/>
    <n v="5000000"/>
    <x v="0"/>
  </r>
  <r>
    <x v="0"/>
    <x v="2"/>
    <x v="261"/>
    <x v="10"/>
    <x v="0"/>
    <x v="0"/>
    <n v="5000000"/>
    <x v="0"/>
  </r>
  <r>
    <x v="0"/>
    <x v="2"/>
    <x v="262"/>
    <x v="10"/>
    <x v="0"/>
    <x v="0"/>
    <n v="5000000"/>
    <x v="0"/>
  </r>
  <r>
    <x v="0"/>
    <x v="2"/>
    <x v="263"/>
    <x v="10"/>
    <x v="0"/>
    <x v="0"/>
    <n v="5000000"/>
    <x v="0"/>
  </r>
  <r>
    <x v="0"/>
    <x v="2"/>
    <x v="264"/>
    <x v="10"/>
    <x v="0"/>
    <x v="0"/>
    <n v="5000000"/>
    <x v="0"/>
  </r>
  <r>
    <x v="0"/>
    <x v="2"/>
    <x v="265"/>
    <x v="10"/>
    <x v="0"/>
    <x v="0"/>
    <n v="5000000"/>
    <x v="0"/>
  </r>
  <r>
    <x v="0"/>
    <x v="2"/>
    <x v="266"/>
    <x v="10"/>
    <x v="0"/>
    <x v="0"/>
    <n v="5000000"/>
    <x v="0"/>
  </r>
  <r>
    <x v="0"/>
    <x v="2"/>
    <x v="267"/>
    <x v="10"/>
    <x v="0"/>
    <x v="0"/>
    <n v="5000000"/>
    <x v="0"/>
  </r>
  <r>
    <x v="0"/>
    <x v="2"/>
    <x v="268"/>
    <x v="10"/>
    <x v="0"/>
    <x v="0"/>
    <n v="5000000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5">
  <r>
    <x v="0"/>
    <x v="0"/>
    <x v="0"/>
    <x v="0"/>
    <x v="0"/>
    <x v="0"/>
    <n v="518245000"/>
    <x v="0"/>
  </r>
  <r>
    <x v="0"/>
    <x v="0"/>
    <x v="1"/>
    <x v="1"/>
    <x v="0"/>
    <x v="0"/>
    <n v="406250000"/>
    <x v="0"/>
  </r>
  <r>
    <x v="0"/>
    <x v="0"/>
    <x v="2"/>
    <x v="2"/>
    <x v="0"/>
    <x v="0"/>
    <n v="513920000"/>
    <x v="0"/>
  </r>
  <r>
    <x v="0"/>
    <x v="0"/>
    <x v="3"/>
    <x v="3"/>
    <x v="0"/>
    <x v="0"/>
    <n v="424225000"/>
    <x v="0"/>
  </r>
  <r>
    <x v="0"/>
    <x v="0"/>
    <x v="4"/>
    <x v="4"/>
    <x v="0"/>
    <x v="0"/>
    <n v="565350000"/>
    <x v="0"/>
  </r>
  <r>
    <x v="0"/>
    <x v="0"/>
    <x v="5"/>
    <x v="5"/>
    <x v="0"/>
    <x v="0"/>
    <n v="494300000"/>
    <x v="0"/>
  </r>
  <r>
    <x v="0"/>
    <x v="0"/>
    <x v="6"/>
    <x v="6"/>
    <x v="0"/>
    <x v="0"/>
    <n v="389225000"/>
    <x v="0"/>
  </r>
  <r>
    <x v="0"/>
    <x v="0"/>
    <x v="7"/>
    <x v="7"/>
    <x v="1"/>
    <x v="0"/>
    <n v="0"/>
    <x v="1"/>
  </r>
  <r>
    <x v="0"/>
    <x v="0"/>
    <x v="8"/>
    <x v="8"/>
    <x v="0"/>
    <x v="0"/>
    <n v="405180000"/>
    <x v="0"/>
  </r>
  <r>
    <x v="0"/>
    <x v="0"/>
    <x v="9"/>
    <x v="9"/>
    <x v="1"/>
    <x v="0"/>
    <n v="0"/>
    <x v="2"/>
  </r>
  <r>
    <x v="0"/>
    <x v="0"/>
    <x v="10"/>
    <x v="5"/>
    <x v="0"/>
    <x v="0"/>
    <n v="496517600"/>
    <x v="0"/>
  </r>
  <r>
    <x v="0"/>
    <x v="0"/>
    <x v="11"/>
    <x v="6"/>
    <x v="0"/>
    <x v="0"/>
    <n v="389725000"/>
    <x v="0"/>
  </r>
  <r>
    <x v="0"/>
    <x v="0"/>
    <x v="12"/>
    <x v="7"/>
    <x v="0"/>
    <x v="0"/>
    <n v="533332500"/>
    <x v="0"/>
  </r>
  <r>
    <x v="0"/>
    <x v="0"/>
    <x v="13"/>
    <x v="8"/>
    <x v="0"/>
    <x v="0"/>
    <n v="393600000"/>
    <x v="0"/>
  </r>
  <r>
    <x v="0"/>
    <x v="0"/>
    <x v="14"/>
    <x v="9"/>
    <x v="0"/>
    <x v="0"/>
    <n v="494500000"/>
    <x v="0"/>
  </r>
  <r>
    <x v="0"/>
    <x v="0"/>
    <x v="15"/>
    <x v="10"/>
    <x v="0"/>
    <x v="0"/>
    <n v="535775000"/>
    <x v="0"/>
  </r>
  <r>
    <x v="0"/>
    <x v="0"/>
    <x v="16"/>
    <x v="6"/>
    <x v="0"/>
    <x v="0"/>
    <n v="360500000"/>
    <x v="0"/>
  </r>
  <r>
    <x v="0"/>
    <x v="0"/>
    <x v="17"/>
    <x v="11"/>
    <x v="0"/>
    <x v="0"/>
    <n v="477060000"/>
    <x v="0"/>
  </r>
  <r>
    <x v="0"/>
    <x v="0"/>
    <x v="18"/>
    <x v="12"/>
    <x v="0"/>
    <x v="0"/>
    <n v="363900000"/>
    <x v="0"/>
  </r>
  <r>
    <x v="0"/>
    <x v="0"/>
    <x v="19"/>
    <x v="13"/>
    <x v="0"/>
    <x v="0"/>
    <n v="500857562"/>
    <x v="0"/>
  </r>
  <r>
    <x v="0"/>
    <x v="0"/>
    <x v="20"/>
    <x v="10"/>
    <x v="1"/>
    <x v="0"/>
    <n v="0"/>
    <x v="3"/>
  </r>
  <r>
    <x v="0"/>
    <x v="0"/>
    <x v="21"/>
    <x v="14"/>
    <x v="0"/>
    <x v="0"/>
    <n v="361000000"/>
    <x v="0"/>
  </r>
  <r>
    <x v="0"/>
    <x v="0"/>
    <x v="22"/>
    <x v="11"/>
    <x v="0"/>
    <x v="0"/>
    <n v="477560000"/>
    <x v="0"/>
  </r>
  <r>
    <x v="0"/>
    <x v="0"/>
    <x v="23"/>
    <x v="12"/>
    <x v="0"/>
    <x v="0"/>
    <n v="364400000"/>
    <x v="0"/>
  </r>
  <r>
    <x v="0"/>
    <x v="0"/>
    <x v="24"/>
    <x v="13"/>
    <x v="0"/>
    <x v="0"/>
    <n v="536950000"/>
    <x v="0"/>
  </r>
  <r>
    <x v="0"/>
    <x v="0"/>
    <x v="25"/>
    <x v="10"/>
    <x v="1"/>
    <x v="0"/>
    <n v="0"/>
    <x v="4"/>
  </r>
  <r>
    <x v="0"/>
    <x v="0"/>
    <x v="26"/>
    <x v="14"/>
    <x v="0"/>
    <x v="0"/>
    <n v="361500000"/>
    <x v="0"/>
  </r>
  <r>
    <x v="0"/>
    <x v="0"/>
    <x v="27"/>
    <x v="7"/>
    <x v="0"/>
    <x v="0"/>
    <n v="530830000"/>
    <x v="0"/>
  </r>
  <r>
    <x v="0"/>
    <x v="0"/>
    <x v="28"/>
    <x v="8"/>
    <x v="0"/>
    <x v="0"/>
    <n v="395100000"/>
    <x v="0"/>
  </r>
  <r>
    <x v="0"/>
    <x v="0"/>
    <x v="29"/>
    <x v="9"/>
    <x v="0"/>
    <x v="0"/>
    <n v="496000000"/>
    <x v="0"/>
  </r>
  <r>
    <x v="0"/>
    <x v="0"/>
    <x v="30"/>
    <x v="5"/>
    <x v="0"/>
    <x v="0"/>
    <n v="504954327"/>
    <x v="0"/>
  </r>
  <r>
    <x v="0"/>
    <x v="0"/>
    <x v="31"/>
    <x v="6"/>
    <x v="0"/>
    <x v="0"/>
    <n v="395171917"/>
    <x v="0"/>
  </r>
  <r>
    <x v="0"/>
    <x v="0"/>
    <x v="32"/>
    <x v="7"/>
    <x v="0"/>
    <x v="0"/>
    <n v="523325000"/>
    <x v="0"/>
  </r>
  <r>
    <x v="0"/>
    <x v="0"/>
    <x v="33"/>
    <x v="8"/>
    <x v="0"/>
    <x v="0"/>
    <n v="395600000"/>
    <x v="0"/>
  </r>
  <r>
    <x v="0"/>
    <x v="0"/>
    <x v="34"/>
    <x v="9"/>
    <x v="0"/>
    <x v="0"/>
    <n v="500612500"/>
    <x v="0"/>
  </r>
  <r>
    <x v="0"/>
    <x v="0"/>
    <x v="35"/>
    <x v="10"/>
    <x v="0"/>
    <x v="0"/>
    <n v="549827500"/>
    <x v="0"/>
  </r>
  <r>
    <x v="0"/>
    <x v="0"/>
    <x v="36"/>
    <x v="6"/>
    <x v="0"/>
    <x v="0"/>
    <n v="365375000"/>
    <x v="0"/>
  </r>
  <r>
    <x v="0"/>
    <x v="0"/>
    <x v="37"/>
    <x v="7"/>
    <x v="0"/>
    <x v="0"/>
    <n v="535832500"/>
    <x v="0"/>
  </r>
  <r>
    <x v="0"/>
    <x v="0"/>
    <x v="38"/>
    <x v="8"/>
    <x v="0"/>
    <x v="0"/>
    <n v="402140000"/>
    <x v="0"/>
  </r>
  <r>
    <x v="0"/>
    <x v="0"/>
    <x v="39"/>
    <x v="13"/>
    <x v="0"/>
    <x v="0"/>
    <n v="556406110"/>
    <x v="0"/>
  </r>
  <r>
    <x v="0"/>
    <x v="0"/>
    <x v="40"/>
    <x v="10"/>
    <x v="0"/>
    <x v="0"/>
    <n v="554345000"/>
    <x v="0"/>
  </r>
  <r>
    <x v="0"/>
    <x v="0"/>
    <x v="41"/>
    <x v="14"/>
    <x v="0"/>
    <x v="0"/>
    <n v="363000000"/>
    <x v="0"/>
  </r>
  <r>
    <x v="0"/>
    <x v="0"/>
    <x v="42"/>
    <x v="7"/>
    <x v="0"/>
    <x v="0"/>
    <n v="532330000"/>
    <x v="0"/>
  </r>
  <r>
    <x v="0"/>
    <x v="0"/>
    <x v="43"/>
    <x v="12"/>
    <x v="0"/>
    <x v="0"/>
    <n v="362200000"/>
    <x v="0"/>
  </r>
  <r>
    <x v="0"/>
    <x v="0"/>
    <x v="44"/>
    <x v="13"/>
    <x v="1"/>
    <x v="0"/>
    <n v="0"/>
    <x v="5"/>
  </r>
  <r>
    <x v="0"/>
    <x v="0"/>
    <x v="45"/>
    <x v="5"/>
    <x v="0"/>
    <x v="0"/>
    <n v="498300000"/>
    <x v="0"/>
  </r>
  <r>
    <x v="0"/>
    <x v="0"/>
    <x v="46"/>
    <x v="14"/>
    <x v="0"/>
    <x v="0"/>
    <n v="363500000"/>
    <x v="0"/>
  </r>
  <r>
    <x v="0"/>
    <x v="0"/>
    <x v="47"/>
    <x v="11"/>
    <x v="0"/>
    <x v="0"/>
    <n v="480060000"/>
    <x v="0"/>
  </r>
  <r>
    <x v="0"/>
    <x v="0"/>
    <x v="48"/>
    <x v="12"/>
    <x v="0"/>
    <x v="0"/>
    <n v="362700000"/>
    <x v="0"/>
  </r>
  <r>
    <x v="0"/>
    <x v="0"/>
    <x v="49"/>
    <x v="13"/>
    <x v="1"/>
    <x v="0"/>
    <n v="0"/>
    <x v="6"/>
  </r>
  <r>
    <x v="0"/>
    <x v="0"/>
    <x v="50"/>
    <x v="10"/>
    <x v="0"/>
    <x v="0"/>
    <n v="498800000"/>
    <x v="0"/>
  </r>
  <r>
    <x v="0"/>
    <x v="0"/>
    <x v="51"/>
    <x v="14"/>
    <x v="0"/>
    <x v="0"/>
    <n v="364000000"/>
    <x v="0"/>
  </r>
  <r>
    <x v="0"/>
    <x v="0"/>
    <x v="52"/>
    <x v="7"/>
    <x v="0"/>
    <x v="0"/>
    <n v="489302500"/>
    <x v="0"/>
  </r>
  <r>
    <x v="0"/>
    <x v="0"/>
    <x v="53"/>
    <x v="8"/>
    <x v="0"/>
    <x v="0"/>
    <n v="397600000"/>
    <x v="0"/>
  </r>
  <r>
    <x v="0"/>
    <x v="0"/>
    <x v="54"/>
    <x v="13"/>
    <x v="0"/>
    <x v="0"/>
    <n v="556410000"/>
    <x v="0"/>
  </r>
  <r>
    <x v="0"/>
    <x v="0"/>
    <x v="55"/>
    <x v="10"/>
    <x v="1"/>
    <x v="0"/>
    <n v="0"/>
    <x v="7"/>
  </r>
  <r>
    <x v="0"/>
    <x v="0"/>
    <x v="56"/>
    <x v="14"/>
    <x v="0"/>
    <x v="0"/>
    <n v="364500000"/>
    <x v="0"/>
  </r>
  <r>
    <x v="0"/>
    <x v="0"/>
    <x v="57"/>
    <x v="7"/>
    <x v="0"/>
    <x v="0"/>
    <n v="525825000"/>
    <x v="0"/>
  </r>
  <r>
    <x v="0"/>
    <x v="0"/>
    <x v="58"/>
    <x v="8"/>
    <x v="0"/>
    <x v="0"/>
    <n v="398100000"/>
    <x v="0"/>
  </r>
  <r>
    <x v="0"/>
    <x v="0"/>
    <x v="59"/>
    <x v="13"/>
    <x v="0"/>
    <x v="0"/>
    <n v="556910000"/>
    <x v="0"/>
  </r>
  <r>
    <x v="0"/>
    <x v="0"/>
    <x v="60"/>
    <x v="10"/>
    <x v="0"/>
    <x v="0"/>
    <n v="504117500"/>
    <x v="0"/>
  </r>
  <r>
    <x v="0"/>
    <x v="0"/>
    <x v="61"/>
    <x v="14"/>
    <x v="0"/>
    <x v="0"/>
    <n v="365900000"/>
    <x v="0"/>
  </r>
  <r>
    <x v="0"/>
    <x v="0"/>
    <x v="62"/>
    <x v="11"/>
    <x v="0"/>
    <x v="0"/>
    <n v="486300000"/>
    <x v="0"/>
  </r>
  <r>
    <x v="0"/>
    <x v="0"/>
    <x v="63"/>
    <x v="8"/>
    <x v="0"/>
    <x v="0"/>
    <n v="410680000"/>
    <x v="0"/>
  </r>
  <r>
    <x v="0"/>
    <x v="0"/>
    <x v="64"/>
    <x v="13"/>
    <x v="1"/>
    <x v="0"/>
    <n v="0"/>
    <x v="8"/>
  </r>
  <r>
    <x v="0"/>
    <x v="0"/>
    <x v="65"/>
    <x v="10"/>
    <x v="0"/>
    <x v="0"/>
    <n v="552827500"/>
    <x v="0"/>
  </r>
  <r>
    <x v="0"/>
    <x v="0"/>
    <x v="66"/>
    <x v="14"/>
    <x v="0"/>
    <x v="0"/>
    <n v="374314608"/>
    <x v="0"/>
  </r>
  <r>
    <x v="0"/>
    <x v="0"/>
    <x v="67"/>
    <x v="7"/>
    <x v="0"/>
    <x v="0"/>
    <n v="490802500"/>
    <x v="0"/>
  </r>
  <r>
    <x v="0"/>
    <x v="0"/>
    <x v="68"/>
    <x v="8"/>
    <x v="0"/>
    <x v="0"/>
    <n v="405140000"/>
    <x v="0"/>
  </r>
  <r>
    <x v="0"/>
    <x v="0"/>
    <x v="69"/>
    <x v="13"/>
    <x v="0"/>
    <x v="0"/>
    <n v="541450000"/>
    <x v="0"/>
  </r>
  <r>
    <x v="0"/>
    <x v="0"/>
    <x v="70"/>
    <x v="5"/>
    <x v="0"/>
    <x v="0"/>
    <n v="500800000"/>
    <x v="0"/>
  </r>
  <r>
    <x v="0"/>
    <x v="0"/>
    <x v="71"/>
    <x v="14"/>
    <x v="0"/>
    <x v="0"/>
    <n v="366000000"/>
    <x v="0"/>
  </r>
  <r>
    <x v="0"/>
    <x v="0"/>
    <x v="72"/>
    <x v="11"/>
    <x v="0"/>
    <x v="0"/>
    <n v="482560000"/>
    <x v="0"/>
  </r>
  <r>
    <x v="0"/>
    <x v="0"/>
    <x v="73"/>
    <x v="8"/>
    <x v="0"/>
    <x v="0"/>
    <n v="399600000"/>
    <x v="0"/>
  </r>
  <r>
    <x v="0"/>
    <x v="0"/>
    <x v="74"/>
    <x v="13"/>
    <x v="0"/>
    <x v="0"/>
    <n v="541950000"/>
    <x v="0"/>
  </r>
  <r>
    <x v="0"/>
    <x v="0"/>
    <x v="75"/>
    <x v="10"/>
    <x v="0"/>
    <x v="0"/>
    <n v="553827500"/>
    <x v="0"/>
  </r>
  <r>
    <x v="0"/>
    <x v="0"/>
    <x v="76"/>
    <x v="14"/>
    <x v="0"/>
    <x v="0"/>
    <n v="366500000"/>
    <x v="0"/>
  </r>
  <r>
    <x v="0"/>
    <x v="0"/>
    <x v="77"/>
    <x v="7"/>
    <x v="0"/>
    <x v="0"/>
    <n v="491800000"/>
    <x v="0"/>
  </r>
  <r>
    <x v="0"/>
    <x v="0"/>
    <x v="78"/>
    <x v="8"/>
    <x v="0"/>
    <x v="0"/>
    <n v="381980000"/>
    <x v="0"/>
  </r>
  <r>
    <x v="0"/>
    <x v="0"/>
    <x v="79"/>
    <x v="13"/>
    <x v="0"/>
    <x v="0"/>
    <n v="542450000"/>
    <x v="0"/>
  </r>
  <r>
    <x v="0"/>
    <x v="0"/>
    <x v="80"/>
    <x v="10"/>
    <x v="0"/>
    <x v="0"/>
    <n v="542275000"/>
    <x v="0"/>
  </r>
  <r>
    <x v="0"/>
    <x v="0"/>
    <x v="81"/>
    <x v="14"/>
    <x v="0"/>
    <x v="0"/>
    <n v="371212269"/>
    <x v="0"/>
  </r>
  <r>
    <x v="0"/>
    <x v="0"/>
    <x v="82"/>
    <x v="7"/>
    <x v="0"/>
    <x v="0"/>
    <n v="528325000"/>
    <x v="0"/>
  </r>
  <r>
    <x v="0"/>
    <x v="0"/>
    <x v="83"/>
    <x v="8"/>
    <x v="0"/>
    <x v="0"/>
    <n v="366200000"/>
    <x v="0"/>
  </r>
  <r>
    <x v="0"/>
    <x v="0"/>
    <x v="84"/>
    <x v="13"/>
    <x v="0"/>
    <x v="0"/>
    <n v="501500000"/>
    <x v="0"/>
  </r>
  <r>
    <x v="0"/>
    <x v="0"/>
    <x v="85"/>
    <x v="10"/>
    <x v="0"/>
    <x v="0"/>
    <n v="506617500"/>
    <x v="0"/>
  </r>
  <r>
    <x v="0"/>
    <x v="0"/>
    <x v="86"/>
    <x v="6"/>
    <x v="0"/>
    <x v="0"/>
    <n v="397225000"/>
    <x v="0"/>
  </r>
  <r>
    <x v="0"/>
    <x v="0"/>
    <x v="87"/>
    <x v="11"/>
    <x v="0"/>
    <x v="0"/>
    <n v="488800000"/>
    <x v="0"/>
  </r>
  <r>
    <x v="0"/>
    <x v="0"/>
    <x v="88"/>
    <x v="8"/>
    <x v="0"/>
    <x v="0"/>
    <n v="373920000"/>
    <x v="0"/>
  </r>
  <r>
    <x v="0"/>
    <x v="0"/>
    <x v="89"/>
    <x v="9"/>
    <x v="0"/>
    <x v="0"/>
    <n v="502000000"/>
    <x v="0"/>
  </r>
  <r>
    <x v="0"/>
    <x v="0"/>
    <x v="90"/>
    <x v="5"/>
    <x v="0"/>
    <x v="0"/>
    <n v="502800000"/>
    <x v="0"/>
  </r>
  <r>
    <x v="0"/>
    <x v="0"/>
    <x v="91"/>
    <x v="14"/>
    <x v="0"/>
    <x v="0"/>
    <n v="368000000"/>
    <x v="0"/>
  </r>
  <r>
    <x v="0"/>
    <x v="0"/>
    <x v="92"/>
    <x v="7"/>
    <x v="0"/>
    <x v="0"/>
    <n v="493302500"/>
    <x v="0"/>
  </r>
  <r>
    <x v="0"/>
    <x v="0"/>
    <x v="93"/>
    <x v="12"/>
    <x v="0"/>
    <x v="0"/>
    <n v="367200000"/>
    <x v="0"/>
  </r>
  <r>
    <x v="0"/>
    <x v="0"/>
    <x v="94"/>
    <x v="13"/>
    <x v="0"/>
    <x v="0"/>
    <n v="560410000"/>
    <x v="0"/>
  </r>
  <r>
    <x v="0"/>
    <x v="0"/>
    <x v="95"/>
    <x v="10"/>
    <x v="0"/>
    <x v="0"/>
    <n v="559845000"/>
    <x v="0"/>
  </r>
  <r>
    <x v="0"/>
    <x v="0"/>
    <x v="96"/>
    <x v="14"/>
    <x v="0"/>
    <x v="0"/>
    <n v="368500000"/>
    <x v="0"/>
  </r>
  <r>
    <x v="0"/>
    <x v="0"/>
    <x v="97"/>
    <x v="7"/>
    <x v="0"/>
    <x v="0"/>
    <n v="529825000"/>
    <x v="0"/>
  </r>
  <r>
    <x v="0"/>
    <x v="0"/>
    <x v="98"/>
    <x v="12"/>
    <x v="0"/>
    <x v="0"/>
    <n v="367700000"/>
    <x v="0"/>
  </r>
  <r>
    <x v="0"/>
    <x v="0"/>
    <x v="99"/>
    <x v="9"/>
    <x v="0"/>
    <x v="0"/>
    <n v="503000000"/>
    <x v="0"/>
  </r>
  <r>
    <x v="0"/>
    <x v="0"/>
    <x v="100"/>
    <x v="10"/>
    <x v="0"/>
    <x v="0"/>
    <n v="544275000"/>
    <x v="0"/>
  </r>
  <r>
    <x v="0"/>
    <x v="0"/>
    <x v="101"/>
    <x v="6"/>
    <x v="0"/>
    <x v="0"/>
    <n v="410255000"/>
    <x v="0"/>
  </r>
  <r>
    <x v="0"/>
    <x v="0"/>
    <x v="102"/>
    <x v="7"/>
    <x v="0"/>
    <x v="0"/>
    <n v="506310000"/>
    <x v="0"/>
  </r>
  <r>
    <x v="0"/>
    <x v="0"/>
    <x v="103"/>
    <x v="8"/>
    <x v="0"/>
    <x v="0"/>
    <n v="375420000"/>
    <x v="0"/>
  </r>
  <r>
    <x v="0"/>
    <x v="0"/>
    <x v="104"/>
    <x v="9"/>
    <x v="0"/>
    <x v="0"/>
    <n v="503800000"/>
    <x v="0"/>
  </r>
  <r>
    <x v="0"/>
    <x v="0"/>
    <x v="105"/>
    <x v="10"/>
    <x v="0"/>
    <x v="0"/>
    <n v="508617500"/>
    <x v="0"/>
  </r>
  <r>
    <x v="0"/>
    <x v="0"/>
    <x v="106"/>
    <x v="6"/>
    <x v="0"/>
    <x v="0"/>
    <n v="399225000"/>
    <x v="0"/>
  </r>
  <r>
    <x v="0"/>
    <x v="0"/>
    <x v="107"/>
    <x v="11"/>
    <x v="0"/>
    <x v="0"/>
    <n v="490800000"/>
    <x v="0"/>
  </r>
  <r>
    <x v="0"/>
    <x v="0"/>
    <x v="108"/>
    <x v="8"/>
    <x v="0"/>
    <x v="0"/>
    <n v="375920000"/>
    <x v="0"/>
  </r>
  <r>
    <x v="0"/>
    <x v="0"/>
    <x v="109"/>
    <x v="9"/>
    <x v="0"/>
    <x v="0"/>
    <n v="504000000"/>
    <x v="0"/>
  </r>
  <r>
    <x v="0"/>
    <x v="0"/>
    <x v="110"/>
    <x v="5"/>
    <x v="0"/>
    <x v="0"/>
    <n v="509219901"/>
    <x v="0"/>
  </r>
  <r>
    <x v="0"/>
    <x v="0"/>
    <x v="111"/>
    <x v="6"/>
    <x v="0"/>
    <x v="0"/>
    <n v="411255000"/>
    <x v="0"/>
  </r>
  <r>
    <x v="0"/>
    <x v="0"/>
    <x v="112"/>
    <x v="11"/>
    <x v="0"/>
    <x v="0"/>
    <n v="547335000"/>
    <x v="0"/>
  </r>
  <r>
    <x v="0"/>
    <x v="0"/>
    <x v="113"/>
    <x v="12"/>
    <x v="0"/>
    <x v="0"/>
    <n v="376372116"/>
    <x v="0"/>
  </r>
  <r>
    <x v="0"/>
    <x v="0"/>
    <x v="114"/>
    <x v="9"/>
    <x v="0"/>
    <x v="0"/>
    <n v="504500000"/>
    <x v="0"/>
  </r>
  <r>
    <x v="0"/>
    <x v="0"/>
    <x v="115"/>
    <x v="5"/>
    <x v="0"/>
    <x v="0"/>
    <n v="505300000"/>
    <x v="0"/>
  </r>
  <r>
    <x v="0"/>
    <x v="0"/>
    <x v="116"/>
    <x v="14"/>
    <x v="0"/>
    <x v="0"/>
    <n v="370500000"/>
    <x v="0"/>
  </r>
  <r>
    <x v="0"/>
    <x v="0"/>
    <x v="117"/>
    <x v="11"/>
    <x v="0"/>
    <x v="0"/>
    <n v="487060000"/>
    <x v="0"/>
  </r>
  <r>
    <x v="0"/>
    <x v="0"/>
    <x v="118"/>
    <x v="12"/>
    <x v="0"/>
    <x v="0"/>
    <n v="375674266"/>
    <x v="0"/>
  </r>
  <r>
    <x v="0"/>
    <x v="0"/>
    <x v="119"/>
    <x v="9"/>
    <x v="0"/>
    <x v="0"/>
    <n v="509112500"/>
    <x v="0"/>
  </r>
  <r>
    <x v="0"/>
    <x v="0"/>
    <x v="120"/>
    <x v="10"/>
    <x v="0"/>
    <x v="0"/>
    <n v="562345000"/>
    <x v="0"/>
  </r>
  <r>
    <x v="0"/>
    <x v="0"/>
    <x v="121"/>
    <x v="6"/>
    <x v="0"/>
    <x v="0"/>
    <n v="400725000"/>
    <x v="0"/>
  </r>
  <r>
    <x v="0"/>
    <x v="0"/>
    <x v="122"/>
    <x v="7"/>
    <x v="0"/>
    <x v="0"/>
    <n v="544332500"/>
    <x v="0"/>
  </r>
  <r>
    <x v="0"/>
    <x v="0"/>
    <x v="123"/>
    <x v="8"/>
    <x v="0"/>
    <x v="0"/>
    <n v="377420000"/>
    <x v="0"/>
  </r>
  <r>
    <x v="0"/>
    <x v="0"/>
    <x v="124"/>
    <x v="9"/>
    <x v="0"/>
    <x v="0"/>
    <n v="505500000"/>
    <x v="0"/>
  </r>
  <r>
    <x v="0"/>
    <x v="1"/>
    <x v="125"/>
    <x v="15"/>
    <x v="0"/>
    <x v="0"/>
    <n v="26000000"/>
    <x v="0"/>
  </r>
  <r>
    <x v="0"/>
    <x v="1"/>
    <x v="126"/>
    <x v="15"/>
    <x v="0"/>
    <x v="0"/>
    <n v="26000000"/>
    <x v="0"/>
  </r>
  <r>
    <x v="0"/>
    <x v="1"/>
    <x v="127"/>
    <x v="15"/>
    <x v="0"/>
    <x v="0"/>
    <n v="26000000"/>
    <x v="0"/>
  </r>
  <r>
    <x v="0"/>
    <x v="1"/>
    <x v="128"/>
    <x v="15"/>
    <x v="0"/>
    <x v="0"/>
    <n v="26000000"/>
    <x v="0"/>
  </r>
  <r>
    <x v="0"/>
    <x v="1"/>
    <x v="129"/>
    <x v="15"/>
    <x v="0"/>
    <x v="0"/>
    <n v="26000000"/>
    <x v="0"/>
  </r>
  <r>
    <x v="0"/>
    <x v="1"/>
    <x v="130"/>
    <x v="15"/>
    <x v="0"/>
    <x v="0"/>
    <n v="26000000"/>
    <x v="0"/>
  </r>
  <r>
    <x v="0"/>
    <x v="1"/>
    <x v="131"/>
    <x v="15"/>
    <x v="0"/>
    <x v="0"/>
    <n v="26000000"/>
    <x v="0"/>
  </r>
  <r>
    <x v="0"/>
    <x v="1"/>
    <x v="132"/>
    <x v="15"/>
    <x v="0"/>
    <x v="0"/>
    <n v="26000000"/>
    <x v="0"/>
  </r>
  <r>
    <x v="0"/>
    <x v="1"/>
    <x v="133"/>
    <x v="15"/>
    <x v="0"/>
    <x v="0"/>
    <n v="26000000"/>
    <x v="0"/>
  </r>
  <r>
    <x v="0"/>
    <x v="1"/>
    <x v="134"/>
    <x v="15"/>
    <x v="0"/>
    <x v="0"/>
    <n v="26000000"/>
    <x v="0"/>
  </r>
  <r>
    <x v="0"/>
    <x v="1"/>
    <x v="135"/>
    <x v="15"/>
    <x v="0"/>
    <x v="0"/>
    <n v="26000000"/>
    <x v="0"/>
  </r>
  <r>
    <x v="0"/>
    <x v="1"/>
    <x v="136"/>
    <x v="15"/>
    <x v="0"/>
    <x v="0"/>
    <n v="26000000"/>
    <x v="0"/>
  </r>
  <r>
    <x v="0"/>
    <x v="1"/>
    <x v="137"/>
    <x v="15"/>
    <x v="0"/>
    <x v="0"/>
    <n v="26000000"/>
    <x v="0"/>
  </r>
  <r>
    <x v="0"/>
    <x v="1"/>
    <x v="138"/>
    <x v="15"/>
    <x v="0"/>
    <x v="0"/>
    <n v="26000000"/>
    <x v="0"/>
  </r>
  <r>
    <x v="0"/>
    <x v="1"/>
    <x v="139"/>
    <x v="15"/>
    <x v="0"/>
    <x v="0"/>
    <n v="26000000"/>
    <x v="0"/>
  </r>
  <r>
    <x v="0"/>
    <x v="1"/>
    <x v="140"/>
    <x v="15"/>
    <x v="0"/>
    <x v="0"/>
    <n v="26000000"/>
    <x v="0"/>
  </r>
  <r>
    <x v="0"/>
    <x v="1"/>
    <x v="141"/>
    <x v="15"/>
    <x v="0"/>
    <x v="0"/>
    <n v="26000000"/>
    <x v="0"/>
  </r>
  <r>
    <x v="0"/>
    <x v="1"/>
    <x v="142"/>
    <x v="15"/>
    <x v="0"/>
    <x v="0"/>
    <n v="26000000"/>
    <x v="0"/>
  </r>
  <r>
    <x v="0"/>
    <x v="1"/>
    <x v="143"/>
    <x v="15"/>
    <x v="1"/>
    <x v="0"/>
    <n v="0"/>
    <x v="9"/>
  </r>
  <r>
    <x v="0"/>
    <x v="1"/>
    <x v="144"/>
    <x v="15"/>
    <x v="1"/>
    <x v="0"/>
    <n v="0"/>
    <x v="9"/>
  </r>
  <r>
    <x v="0"/>
    <x v="1"/>
    <x v="145"/>
    <x v="15"/>
    <x v="0"/>
    <x v="0"/>
    <n v="26000000"/>
    <x v="0"/>
  </r>
  <r>
    <x v="0"/>
    <x v="1"/>
    <x v="146"/>
    <x v="15"/>
    <x v="0"/>
    <x v="0"/>
    <n v="26000000"/>
    <x v="0"/>
  </r>
  <r>
    <x v="0"/>
    <x v="1"/>
    <x v="147"/>
    <x v="15"/>
    <x v="0"/>
    <x v="0"/>
    <n v="26000000"/>
    <x v="0"/>
  </r>
  <r>
    <x v="0"/>
    <x v="1"/>
    <x v="148"/>
    <x v="15"/>
    <x v="0"/>
    <x v="0"/>
    <n v="26000000"/>
    <x v="0"/>
  </r>
  <r>
    <x v="0"/>
    <x v="1"/>
    <x v="149"/>
    <x v="15"/>
    <x v="1"/>
    <x v="0"/>
    <n v="0"/>
    <x v="9"/>
  </r>
  <r>
    <x v="0"/>
    <x v="1"/>
    <x v="150"/>
    <x v="15"/>
    <x v="0"/>
    <x v="0"/>
    <n v="26000000"/>
    <x v="0"/>
  </r>
  <r>
    <x v="0"/>
    <x v="1"/>
    <x v="151"/>
    <x v="15"/>
    <x v="0"/>
    <x v="0"/>
    <n v="26000000"/>
    <x v="0"/>
  </r>
  <r>
    <x v="0"/>
    <x v="1"/>
    <x v="152"/>
    <x v="15"/>
    <x v="0"/>
    <x v="0"/>
    <n v="26000000"/>
    <x v="0"/>
  </r>
  <r>
    <x v="0"/>
    <x v="1"/>
    <x v="153"/>
    <x v="15"/>
    <x v="0"/>
    <x v="0"/>
    <n v="26000000"/>
    <x v="0"/>
  </r>
  <r>
    <x v="0"/>
    <x v="1"/>
    <x v="154"/>
    <x v="15"/>
    <x v="1"/>
    <x v="0"/>
    <n v="0"/>
    <x v="9"/>
  </r>
  <r>
    <x v="0"/>
    <x v="1"/>
    <x v="155"/>
    <x v="15"/>
    <x v="1"/>
    <x v="0"/>
    <n v="0"/>
    <x v="9"/>
  </r>
  <r>
    <x v="0"/>
    <x v="1"/>
    <x v="156"/>
    <x v="15"/>
    <x v="1"/>
    <x v="0"/>
    <n v="0"/>
    <x v="9"/>
  </r>
  <r>
    <x v="0"/>
    <x v="1"/>
    <x v="157"/>
    <x v="15"/>
    <x v="1"/>
    <x v="0"/>
    <n v="0"/>
    <x v="9"/>
  </r>
  <r>
    <x v="0"/>
    <x v="1"/>
    <x v="158"/>
    <x v="15"/>
    <x v="0"/>
    <x v="0"/>
    <n v="26000000"/>
    <x v="0"/>
  </r>
  <r>
    <x v="0"/>
    <x v="1"/>
    <x v="159"/>
    <x v="15"/>
    <x v="0"/>
    <x v="0"/>
    <n v="26000000"/>
    <x v="0"/>
  </r>
  <r>
    <x v="0"/>
    <x v="1"/>
    <x v="160"/>
    <x v="15"/>
    <x v="0"/>
    <x v="0"/>
    <n v="26000000"/>
    <x v="0"/>
  </r>
  <r>
    <x v="0"/>
    <x v="1"/>
    <x v="161"/>
    <x v="15"/>
    <x v="0"/>
    <x v="0"/>
    <n v="26000000"/>
    <x v="0"/>
  </r>
  <r>
    <x v="0"/>
    <x v="1"/>
    <x v="162"/>
    <x v="15"/>
    <x v="0"/>
    <x v="0"/>
    <n v="26000000"/>
    <x v="0"/>
  </r>
  <r>
    <x v="0"/>
    <x v="1"/>
    <x v="163"/>
    <x v="15"/>
    <x v="0"/>
    <x v="0"/>
    <n v="26000000"/>
    <x v="0"/>
  </r>
  <r>
    <x v="0"/>
    <x v="1"/>
    <x v="164"/>
    <x v="15"/>
    <x v="0"/>
    <x v="0"/>
    <n v="26000000"/>
    <x v="0"/>
  </r>
  <r>
    <x v="0"/>
    <x v="1"/>
    <x v="165"/>
    <x v="15"/>
    <x v="0"/>
    <x v="0"/>
    <n v="26000000"/>
    <x v="0"/>
  </r>
  <r>
    <x v="0"/>
    <x v="1"/>
    <x v="166"/>
    <x v="15"/>
    <x v="0"/>
    <x v="0"/>
    <n v="26000000"/>
    <x v="0"/>
  </r>
  <r>
    <x v="0"/>
    <x v="1"/>
    <x v="167"/>
    <x v="15"/>
    <x v="0"/>
    <x v="0"/>
    <n v="26000000"/>
    <x v="0"/>
  </r>
  <r>
    <x v="0"/>
    <x v="1"/>
    <x v="168"/>
    <x v="15"/>
    <x v="0"/>
    <x v="0"/>
    <n v="26000000"/>
    <x v="0"/>
  </r>
  <r>
    <x v="0"/>
    <x v="1"/>
    <x v="169"/>
    <x v="15"/>
    <x v="0"/>
    <x v="0"/>
    <n v="26000000"/>
    <x v="0"/>
  </r>
  <r>
    <x v="0"/>
    <x v="1"/>
    <x v="170"/>
    <x v="15"/>
    <x v="0"/>
    <x v="0"/>
    <n v="26000000"/>
    <x v="0"/>
  </r>
  <r>
    <x v="0"/>
    <x v="1"/>
    <x v="171"/>
    <x v="15"/>
    <x v="0"/>
    <x v="0"/>
    <n v="26000000"/>
    <x v="0"/>
  </r>
  <r>
    <x v="0"/>
    <x v="1"/>
    <x v="172"/>
    <x v="15"/>
    <x v="0"/>
    <x v="0"/>
    <n v="26000000"/>
    <x v="0"/>
  </r>
  <r>
    <x v="0"/>
    <x v="1"/>
    <x v="173"/>
    <x v="15"/>
    <x v="0"/>
    <x v="0"/>
    <n v="26000000"/>
    <x v="0"/>
  </r>
  <r>
    <x v="0"/>
    <x v="1"/>
    <x v="174"/>
    <x v="15"/>
    <x v="0"/>
    <x v="0"/>
    <n v="26000000"/>
    <x v="0"/>
  </r>
  <r>
    <x v="0"/>
    <x v="1"/>
    <x v="175"/>
    <x v="15"/>
    <x v="0"/>
    <x v="0"/>
    <n v="26000000"/>
    <x v="0"/>
  </r>
  <r>
    <x v="0"/>
    <x v="1"/>
    <x v="176"/>
    <x v="15"/>
    <x v="0"/>
    <x v="0"/>
    <n v="26000000"/>
    <x v="0"/>
  </r>
  <r>
    <x v="0"/>
    <x v="1"/>
    <x v="177"/>
    <x v="15"/>
    <x v="0"/>
    <x v="0"/>
    <n v="26000000"/>
    <x v="0"/>
  </r>
  <r>
    <x v="0"/>
    <x v="1"/>
    <x v="178"/>
    <x v="15"/>
    <x v="0"/>
    <x v="0"/>
    <n v="26000000"/>
    <x v="0"/>
  </r>
  <r>
    <x v="0"/>
    <x v="1"/>
    <x v="179"/>
    <x v="15"/>
    <x v="0"/>
    <x v="0"/>
    <n v="26000000"/>
    <x v="0"/>
  </r>
  <r>
    <x v="0"/>
    <x v="1"/>
    <x v="180"/>
    <x v="15"/>
    <x v="0"/>
    <x v="0"/>
    <n v="26000000"/>
    <x v="0"/>
  </r>
  <r>
    <x v="0"/>
    <x v="1"/>
    <x v="181"/>
    <x v="15"/>
    <x v="1"/>
    <x v="0"/>
    <n v="0"/>
    <x v="9"/>
  </r>
  <r>
    <x v="0"/>
    <x v="1"/>
    <x v="182"/>
    <x v="15"/>
    <x v="0"/>
    <x v="0"/>
    <n v="26000000"/>
    <x v="0"/>
  </r>
  <r>
    <x v="0"/>
    <x v="1"/>
    <x v="183"/>
    <x v="15"/>
    <x v="0"/>
    <x v="0"/>
    <n v="26000000"/>
    <x v="0"/>
  </r>
  <r>
    <x v="0"/>
    <x v="1"/>
    <x v="184"/>
    <x v="15"/>
    <x v="0"/>
    <x v="0"/>
    <n v="26000000"/>
    <x v="0"/>
  </r>
  <r>
    <x v="0"/>
    <x v="1"/>
    <x v="185"/>
    <x v="15"/>
    <x v="0"/>
    <x v="0"/>
    <n v="26000000"/>
    <x v="0"/>
  </r>
  <r>
    <x v="0"/>
    <x v="1"/>
    <x v="186"/>
    <x v="15"/>
    <x v="0"/>
    <x v="0"/>
    <n v="26000000"/>
    <x v="0"/>
  </r>
  <r>
    <x v="0"/>
    <x v="1"/>
    <x v="187"/>
    <x v="15"/>
    <x v="0"/>
    <x v="0"/>
    <n v="26000000"/>
    <x v="0"/>
  </r>
  <r>
    <x v="0"/>
    <x v="1"/>
    <x v="188"/>
    <x v="15"/>
    <x v="0"/>
    <x v="0"/>
    <n v="26000000"/>
    <x v="0"/>
  </r>
  <r>
    <x v="0"/>
    <x v="1"/>
    <x v="189"/>
    <x v="15"/>
    <x v="0"/>
    <x v="0"/>
    <n v="26000000"/>
    <x v="0"/>
  </r>
  <r>
    <x v="0"/>
    <x v="1"/>
    <x v="190"/>
    <x v="15"/>
    <x v="0"/>
    <x v="0"/>
    <n v="26000000"/>
    <x v="0"/>
  </r>
  <r>
    <x v="0"/>
    <x v="1"/>
    <x v="191"/>
    <x v="15"/>
    <x v="0"/>
    <x v="0"/>
    <n v="26000000"/>
    <x v="0"/>
  </r>
  <r>
    <x v="0"/>
    <x v="1"/>
    <x v="192"/>
    <x v="15"/>
    <x v="0"/>
    <x v="0"/>
    <n v="26000000"/>
    <x v="0"/>
  </r>
  <r>
    <x v="0"/>
    <x v="1"/>
    <x v="193"/>
    <x v="15"/>
    <x v="0"/>
    <x v="0"/>
    <n v="26000000"/>
    <x v="0"/>
  </r>
  <r>
    <x v="0"/>
    <x v="1"/>
    <x v="194"/>
    <x v="15"/>
    <x v="0"/>
    <x v="0"/>
    <n v="26000000"/>
    <x v="0"/>
  </r>
  <r>
    <x v="0"/>
    <x v="1"/>
    <x v="195"/>
    <x v="15"/>
    <x v="0"/>
    <x v="0"/>
    <n v="26000000"/>
    <x v="0"/>
  </r>
  <r>
    <x v="0"/>
    <x v="1"/>
    <x v="196"/>
    <x v="15"/>
    <x v="0"/>
    <x v="0"/>
    <n v="26000000"/>
    <x v="0"/>
  </r>
  <r>
    <x v="0"/>
    <x v="1"/>
    <x v="197"/>
    <x v="15"/>
    <x v="0"/>
    <x v="0"/>
    <n v="26000000"/>
    <x v="0"/>
  </r>
  <r>
    <x v="0"/>
    <x v="1"/>
    <x v="198"/>
    <x v="15"/>
    <x v="0"/>
    <x v="0"/>
    <n v="26000000"/>
    <x v="0"/>
  </r>
  <r>
    <x v="0"/>
    <x v="1"/>
    <x v="199"/>
    <x v="15"/>
    <x v="0"/>
    <x v="0"/>
    <n v="26000000"/>
    <x v="0"/>
  </r>
  <r>
    <x v="0"/>
    <x v="1"/>
    <x v="200"/>
    <x v="15"/>
    <x v="0"/>
    <x v="0"/>
    <n v="26000000"/>
    <x v="0"/>
  </r>
  <r>
    <x v="0"/>
    <x v="1"/>
    <x v="201"/>
    <x v="15"/>
    <x v="0"/>
    <x v="0"/>
    <n v="26000000"/>
    <x v="0"/>
  </r>
  <r>
    <x v="0"/>
    <x v="1"/>
    <x v="202"/>
    <x v="15"/>
    <x v="0"/>
    <x v="0"/>
    <n v="26000000"/>
    <x v="0"/>
  </r>
  <r>
    <x v="0"/>
    <x v="1"/>
    <x v="203"/>
    <x v="15"/>
    <x v="0"/>
    <x v="0"/>
    <n v="26000000"/>
    <x v="0"/>
  </r>
  <r>
    <x v="0"/>
    <x v="1"/>
    <x v="204"/>
    <x v="15"/>
    <x v="0"/>
    <x v="0"/>
    <n v="26000000"/>
    <x v="0"/>
  </r>
  <r>
    <x v="0"/>
    <x v="1"/>
    <x v="205"/>
    <x v="15"/>
    <x v="0"/>
    <x v="0"/>
    <n v="26000000"/>
    <x v="0"/>
  </r>
  <r>
    <x v="0"/>
    <x v="1"/>
    <x v="206"/>
    <x v="15"/>
    <x v="0"/>
    <x v="0"/>
    <n v="26000000"/>
    <x v="0"/>
  </r>
  <r>
    <x v="0"/>
    <x v="1"/>
    <x v="207"/>
    <x v="15"/>
    <x v="0"/>
    <x v="0"/>
    <n v="26000000"/>
    <x v="0"/>
  </r>
  <r>
    <x v="0"/>
    <x v="1"/>
    <x v="208"/>
    <x v="15"/>
    <x v="0"/>
    <x v="0"/>
    <n v="26000000"/>
    <x v="0"/>
  </r>
  <r>
    <x v="0"/>
    <x v="1"/>
    <x v="209"/>
    <x v="15"/>
    <x v="0"/>
    <x v="0"/>
    <n v="26000000"/>
    <x v="0"/>
  </r>
  <r>
    <x v="0"/>
    <x v="1"/>
    <x v="210"/>
    <x v="15"/>
    <x v="0"/>
    <x v="0"/>
    <n v="26000000"/>
    <x v="0"/>
  </r>
  <r>
    <x v="0"/>
    <x v="1"/>
    <x v="211"/>
    <x v="15"/>
    <x v="0"/>
    <x v="0"/>
    <n v="26000000"/>
    <x v="0"/>
  </r>
  <r>
    <x v="0"/>
    <x v="1"/>
    <x v="212"/>
    <x v="15"/>
    <x v="0"/>
    <x v="0"/>
    <n v="26000000"/>
    <x v="0"/>
  </r>
  <r>
    <x v="0"/>
    <x v="1"/>
    <x v="213"/>
    <x v="15"/>
    <x v="0"/>
    <x v="0"/>
    <n v="26000000"/>
    <x v="0"/>
  </r>
  <r>
    <x v="0"/>
    <x v="1"/>
    <x v="214"/>
    <x v="15"/>
    <x v="0"/>
    <x v="0"/>
    <n v="26000000"/>
    <x v="0"/>
  </r>
  <r>
    <x v="0"/>
    <x v="1"/>
    <x v="215"/>
    <x v="15"/>
    <x v="0"/>
    <x v="0"/>
    <n v="26000000"/>
    <x v="0"/>
  </r>
  <r>
    <x v="0"/>
    <x v="1"/>
    <x v="216"/>
    <x v="15"/>
    <x v="0"/>
    <x v="0"/>
    <n v="26000000"/>
    <x v="0"/>
  </r>
  <r>
    <x v="0"/>
    <x v="1"/>
    <x v="217"/>
    <x v="15"/>
    <x v="0"/>
    <x v="0"/>
    <n v="26000000"/>
    <x v="0"/>
  </r>
  <r>
    <x v="0"/>
    <x v="1"/>
    <x v="218"/>
    <x v="15"/>
    <x v="0"/>
    <x v="0"/>
    <n v="26000000"/>
    <x v="0"/>
  </r>
  <r>
    <x v="0"/>
    <x v="1"/>
    <x v="219"/>
    <x v="15"/>
    <x v="0"/>
    <x v="0"/>
    <n v="26000000"/>
    <x v="0"/>
  </r>
  <r>
    <x v="0"/>
    <x v="1"/>
    <x v="220"/>
    <x v="15"/>
    <x v="0"/>
    <x v="0"/>
    <n v="26000000"/>
    <x v="0"/>
  </r>
  <r>
    <x v="0"/>
    <x v="1"/>
    <x v="221"/>
    <x v="15"/>
    <x v="0"/>
    <x v="0"/>
    <n v="26000000"/>
    <x v="0"/>
  </r>
  <r>
    <x v="0"/>
    <x v="1"/>
    <x v="222"/>
    <x v="15"/>
    <x v="0"/>
    <x v="0"/>
    <n v="26000000"/>
    <x v="0"/>
  </r>
  <r>
    <x v="0"/>
    <x v="1"/>
    <x v="223"/>
    <x v="15"/>
    <x v="0"/>
    <x v="0"/>
    <n v="26000000"/>
    <x v="0"/>
  </r>
  <r>
    <x v="0"/>
    <x v="1"/>
    <x v="224"/>
    <x v="15"/>
    <x v="0"/>
    <x v="0"/>
    <n v="26000000"/>
    <x v="0"/>
  </r>
  <r>
    <x v="0"/>
    <x v="1"/>
    <x v="225"/>
    <x v="15"/>
    <x v="0"/>
    <x v="0"/>
    <n v="26000000"/>
    <x v="0"/>
  </r>
  <r>
    <x v="0"/>
    <x v="1"/>
    <x v="226"/>
    <x v="15"/>
    <x v="0"/>
    <x v="0"/>
    <n v="26000000"/>
    <x v="0"/>
  </r>
  <r>
    <x v="0"/>
    <x v="1"/>
    <x v="227"/>
    <x v="15"/>
    <x v="0"/>
    <x v="0"/>
    <n v="26000000"/>
    <x v="0"/>
  </r>
  <r>
    <x v="0"/>
    <x v="1"/>
    <x v="228"/>
    <x v="15"/>
    <x v="0"/>
    <x v="0"/>
    <n v="26000000"/>
    <x v="0"/>
  </r>
  <r>
    <x v="0"/>
    <x v="1"/>
    <x v="229"/>
    <x v="15"/>
    <x v="0"/>
    <x v="0"/>
    <n v="26000000"/>
    <x v="0"/>
  </r>
  <r>
    <x v="0"/>
    <x v="1"/>
    <x v="230"/>
    <x v="15"/>
    <x v="0"/>
    <x v="0"/>
    <n v="26000000"/>
    <x v="0"/>
  </r>
  <r>
    <x v="0"/>
    <x v="1"/>
    <x v="231"/>
    <x v="15"/>
    <x v="0"/>
    <x v="0"/>
    <n v="26000000"/>
    <x v="0"/>
  </r>
  <r>
    <x v="0"/>
    <x v="1"/>
    <x v="232"/>
    <x v="15"/>
    <x v="0"/>
    <x v="0"/>
    <n v="26000000"/>
    <x v="0"/>
  </r>
  <r>
    <x v="0"/>
    <x v="1"/>
    <x v="233"/>
    <x v="15"/>
    <x v="0"/>
    <x v="0"/>
    <n v="26000000"/>
    <x v="0"/>
  </r>
  <r>
    <x v="0"/>
    <x v="1"/>
    <x v="234"/>
    <x v="15"/>
    <x v="0"/>
    <x v="0"/>
    <n v="26000000"/>
    <x v="0"/>
  </r>
  <r>
    <x v="0"/>
    <x v="1"/>
    <x v="235"/>
    <x v="15"/>
    <x v="0"/>
    <x v="0"/>
    <n v="26000000"/>
    <x v="0"/>
  </r>
  <r>
    <x v="0"/>
    <x v="1"/>
    <x v="236"/>
    <x v="15"/>
    <x v="0"/>
    <x v="0"/>
    <n v="26000000"/>
    <x v="0"/>
  </r>
  <r>
    <x v="0"/>
    <x v="1"/>
    <x v="237"/>
    <x v="15"/>
    <x v="0"/>
    <x v="0"/>
    <n v="26000000"/>
    <x v="0"/>
  </r>
  <r>
    <x v="0"/>
    <x v="1"/>
    <x v="238"/>
    <x v="15"/>
    <x v="0"/>
    <x v="0"/>
    <n v="26000000"/>
    <x v="0"/>
  </r>
  <r>
    <x v="0"/>
    <x v="1"/>
    <x v="239"/>
    <x v="15"/>
    <x v="0"/>
    <x v="0"/>
    <n v="26000000"/>
    <x v="0"/>
  </r>
  <r>
    <x v="0"/>
    <x v="1"/>
    <x v="240"/>
    <x v="15"/>
    <x v="0"/>
    <x v="0"/>
    <n v="26000000"/>
    <x v="0"/>
  </r>
  <r>
    <x v="0"/>
    <x v="1"/>
    <x v="241"/>
    <x v="15"/>
    <x v="0"/>
    <x v="0"/>
    <n v="26000000"/>
    <x v="0"/>
  </r>
  <r>
    <x v="0"/>
    <x v="1"/>
    <x v="242"/>
    <x v="15"/>
    <x v="0"/>
    <x v="0"/>
    <n v="26000000"/>
    <x v="0"/>
  </r>
  <r>
    <x v="0"/>
    <x v="1"/>
    <x v="243"/>
    <x v="15"/>
    <x v="0"/>
    <x v="0"/>
    <n v="26000000"/>
    <x v="0"/>
  </r>
  <r>
    <x v="0"/>
    <x v="1"/>
    <x v="244"/>
    <x v="15"/>
    <x v="0"/>
    <x v="0"/>
    <n v="26000000"/>
    <x v="0"/>
  </r>
  <r>
    <x v="0"/>
    <x v="1"/>
    <x v="245"/>
    <x v="15"/>
    <x v="0"/>
    <x v="0"/>
    <n v="26000000"/>
    <x v="0"/>
  </r>
  <r>
    <x v="0"/>
    <x v="1"/>
    <x v="246"/>
    <x v="15"/>
    <x v="0"/>
    <x v="0"/>
    <n v="26000000"/>
    <x v="0"/>
  </r>
  <r>
    <x v="0"/>
    <x v="1"/>
    <x v="247"/>
    <x v="15"/>
    <x v="0"/>
    <x v="0"/>
    <n v="26000000"/>
    <x v="0"/>
  </r>
  <r>
    <x v="0"/>
    <x v="1"/>
    <x v="248"/>
    <x v="15"/>
    <x v="0"/>
    <x v="0"/>
    <n v="26000000"/>
    <x v="0"/>
  </r>
  <r>
    <x v="0"/>
    <x v="1"/>
    <x v="249"/>
    <x v="15"/>
    <x v="0"/>
    <x v="0"/>
    <n v="26000000"/>
    <x v="0"/>
  </r>
  <r>
    <x v="0"/>
    <x v="2"/>
    <x v="250"/>
    <x v="15"/>
    <x v="0"/>
    <x v="0"/>
    <n v="6000000"/>
    <x v="0"/>
  </r>
  <r>
    <x v="0"/>
    <x v="2"/>
    <x v="251"/>
    <x v="15"/>
    <x v="0"/>
    <x v="0"/>
    <n v="6000000"/>
    <x v="0"/>
  </r>
  <r>
    <x v="0"/>
    <x v="2"/>
    <x v="252"/>
    <x v="15"/>
    <x v="0"/>
    <x v="0"/>
    <n v="6000000"/>
    <x v="0"/>
  </r>
  <r>
    <x v="0"/>
    <x v="2"/>
    <x v="253"/>
    <x v="15"/>
    <x v="0"/>
    <x v="0"/>
    <n v="6000000"/>
    <x v="0"/>
  </r>
  <r>
    <x v="0"/>
    <x v="2"/>
    <x v="254"/>
    <x v="15"/>
    <x v="0"/>
    <x v="0"/>
    <n v="6000000"/>
    <x v="0"/>
  </r>
  <r>
    <x v="0"/>
    <x v="2"/>
    <x v="255"/>
    <x v="15"/>
    <x v="0"/>
    <x v="0"/>
    <n v="6000000"/>
    <x v="0"/>
  </r>
  <r>
    <x v="0"/>
    <x v="2"/>
    <x v="256"/>
    <x v="15"/>
    <x v="0"/>
    <x v="0"/>
    <n v="6000000"/>
    <x v="0"/>
  </r>
  <r>
    <x v="0"/>
    <x v="2"/>
    <x v="257"/>
    <x v="15"/>
    <x v="0"/>
    <x v="0"/>
    <n v="6000000"/>
    <x v="0"/>
  </r>
  <r>
    <x v="0"/>
    <x v="2"/>
    <x v="258"/>
    <x v="15"/>
    <x v="0"/>
    <x v="0"/>
    <n v="6000000"/>
    <x v="0"/>
  </r>
  <r>
    <x v="0"/>
    <x v="2"/>
    <x v="259"/>
    <x v="15"/>
    <x v="0"/>
    <x v="0"/>
    <n v="6000000"/>
    <x v="0"/>
  </r>
  <r>
    <x v="0"/>
    <x v="2"/>
    <x v="260"/>
    <x v="15"/>
    <x v="0"/>
    <x v="0"/>
    <n v="6000000"/>
    <x v="0"/>
  </r>
  <r>
    <x v="0"/>
    <x v="2"/>
    <x v="261"/>
    <x v="15"/>
    <x v="0"/>
    <x v="0"/>
    <n v="6000000"/>
    <x v="0"/>
  </r>
  <r>
    <x v="0"/>
    <x v="2"/>
    <x v="262"/>
    <x v="15"/>
    <x v="0"/>
    <x v="0"/>
    <n v="6000000"/>
    <x v="0"/>
  </r>
  <r>
    <x v="0"/>
    <x v="2"/>
    <x v="263"/>
    <x v="15"/>
    <x v="0"/>
    <x v="0"/>
    <n v="6000000"/>
    <x v="0"/>
  </r>
  <r>
    <x v="0"/>
    <x v="2"/>
    <x v="264"/>
    <x v="15"/>
    <x v="0"/>
    <x v="0"/>
    <n v="6000000"/>
    <x v="0"/>
  </r>
  <r>
    <x v="0"/>
    <x v="2"/>
    <x v="265"/>
    <x v="15"/>
    <x v="0"/>
    <x v="0"/>
    <n v="6000000"/>
    <x v="0"/>
  </r>
  <r>
    <x v="0"/>
    <x v="2"/>
    <x v="266"/>
    <x v="15"/>
    <x v="0"/>
    <x v="0"/>
    <n v="6000000"/>
    <x v="0"/>
  </r>
  <r>
    <x v="0"/>
    <x v="2"/>
    <x v="267"/>
    <x v="15"/>
    <x v="0"/>
    <x v="0"/>
    <n v="6000000"/>
    <x v="0"/>
  </r>
  <r>
    <x v="0"/>
    <x v="2"/>
    <x v="268"/>
    <x v="15"/>
    <x v="1"/>
    <x v="0"/>
    <n v="0"/>
    <x v="10"/>
  </r>
  <r>
    <x v="0"/>
    <x v="2"/>
    <x v="269"/>
    <x v="15"/>
    <x v="1"/>
    <x v="0"/>
    <n v="0"/>
    <x v="10"/>
  </r>
  <r>
    <x v="0"/>
    <x v="2"/>
    <x v="270"/>
    <x v="15"/>
    <x v="1"/>
    <x v="0"/>
    <n v="0"/>
    <x v="10"/>
  </r>
  <r>
    <x v="0"/>
    <x v="2"/>
    <x v="271"/>
    <x v="15"/>
    <x v="0"/>
    <x v="0"/>
    <n v="6000000"/>
    <x v="0"/>
  </r>
  <r>
    <x v="0"/>
    <x v="2"/>
    <x v="272"/>
    <x v="15"/>
    <x v="0"/>
    <x v="0"/>
    <n v="6000000"/>
    <x v="0"/>
  </r>
  <r>
    <x v="0"/>
    <x v="2"/>
    <x v="273"/>
    <x v="15"/>
    <x v="0"/>
    <x v="0"/>
    <n v="6000000"/>
    <x v="0"/>
  </r>
  <r>
    <x v="0"/>
    <x v="2"/>
    <x v="274"/>
    <x v="15"/>
    <x v="0"/>
    <x v="0"/>
    <n v="6000000"/>
    <x v="0"/>
  </r>
  <r>
    <x v="0"/>
    <x v="2"/>
    <x v="275"/>
    <x v="15"/>
    <x v="1"/>
    <x v="0"/>
    <n v="0"/>
    <x v="10"/>
  </r>
  <r>
    <x v="0"/>
    <x v="2"/>
    <x v="276"/>
    <x v="15"/>
    <x v="0"/>
    <x v="0"/>
    <n v="6000000"/>
    <x v="0"/>
  </r>
  <r>
    <x v="0"/>
    <x v="2"/>
    <x v="277"/>
    <x v="15"/>
    <x v="0"/>
    <x v="0"/>
    <n v="6000000"/>
    <x v="0"/>
  </r>
  <r>
    <x v="0"/>
    <x v="2"/>
    <x v="278"/>
    <x v="15"/>
    <x v="0"/>
    <x v="0"/>
    <n v="6000000"/>
    <x v="0"/>
  </r>
  <r>
    <x v="0"/>
    <x v="2"/>
    <x v="279"/>
    <x v="15"/>
    <x v="0"/>
    <x v="0"/>
    <n v="6000000"/>
    <x v="0"/>
  </r>
  <r>
    <x v="0"/>
    <x v="2"/>
    <x v="280"/>
    <x v="15"/>
    <x v="1"/>
    <x v="0"/>
    <n v="0"/>
    <x v="10"/>
  </r>
  <r>
    <x v="0"/>
    <x v="2"/>
    <x v="281"/>
    <x v="15"/>
    <x v="1"/>
    <x v="0"/>
    <n v="0"/>
    <x v="10"/>
  </r>
  <r>
    <x v="0"/>
    <x v="2"/>
    <x v="282"/>
    <x v="15"/>
    <x v="1"/>
    <x v="0"/>
    <n v="0"/>
    <x v="10"/>
  </r>
  <r>
    <x v="0"/>
    <x v="2"/>
    <x v="283"/>
    <x v="15"/>
    <x v="1"/>
    <x v="0"/>
    <n v="0"/>
    <x v="10"/>
  </r>
  <r>
    <x v="0"/>
    <x v="2"/>
    <x v="284"/>
    <x v="15"/>
    <x v="0"/>
    <x v="0"/>
    <n v="6000000"/>
    <x v="0"/>
  </r>
  <r>
    <x v="0"/>
    <x v="2"/>
    <x v="285"/>
    <x v="15"/>
    <x v="0"/>
    <x v="0"/>
    <n v="6000000"/>
    <x v="0"/>
  </r>
  <r>
    <x v="0"/>
    <x v="2"/>
    <x v="286"/>
    <x v="15"/>
    <x v="0"/>
    <x v="0"/>
    <n v="6000000"/>
    <x v="0"/>
  </r>
  <r>
    <x v="0"/>
    <x v="2"/>
    <x v="287"/>
    <x v="15"/>
    <x v="0"/>
    <x v="0"/>
    <n v="6000000"/>
    <x v="0"/>
  </r>
  <r>
    <x v="0"/>
    <x v="2"/>
    <x v="288"/>
    <x v="15"/>
    <x v="0"/>
    <x v="0"/>
    <n v="6000000"/>
    <x v="0"/>
  </r>
  <r>
    <x v="0"/>
    <x v="2"/>
    <x v="289"/>
    <x v="15"/>
    <x v="0"/>
    <x v="0"/>
    <n v="6000000"/>
    <x v="0"/>
  </r>
  <r>
    <x v="0"/>
    <x v="2"/>
    <x v="290"/>
    <x v="15"/>
    <x v="0"/>
    <x v="0"/>
    <n v="6000000"/>
    <x v="0"/>
  </r>
  <r>
    <x v="0"/>
    <x v="2"/>
    <x v="291"/>
    <x v="15"/>
    <x v="0"/>
    <x v="0"/>
    <n v="6000000"/>
    <x v="0"/>
  </r>
  <r>
    <x v="0"/>
    <x v="2"/>
    <x v="292"/>
    <x v="15"/>
    <x v="0"/>
    <x v="0"/>
    <n v="6000000"/>
    <x v="0"/>
  </r>
  <r>
    <x v="0"/>
    <x v="2"/>
    <x v="293"/>
    <x v="15"/>
    <x v="0"/>
    <x v="0"/>
    <n v="6000000"/>
    <x v="0"/>
  </r>
  <r>
    <x v="0"/>
    <x v="2"/>
    <x v="294"/>
    <x v="15"/>
    <x v="0"/>
    <x v="0"/>
    <n v="6000000"/>
    <x v="0"/>
  </r>
  <r>
    <x v="0"/>
    <x v="2"/>
    <x v="295"/>
    <x v="15"/>
    <x v="0"/>
    <x v="0"/>
    <n v="6000000"/>
    <x v="0"/>
  </r>
  <r>
    <x v="0"/>
    <x v="2"/>
    <x v="296"/>
    <x v="15"/>
    <x v="0"/>
    <x v="0"/>
    <n v="6000000"/>
    <x v="0"/>
  </r>
  <r>
    <x v="0"/>
    <x v="2"/>
    <x v="297"/>
    <x v="15"/>
    <x v="0"/>
    <x v="0"/>
    <n v="6000000"/>
    <x v="0"/>
  </r>
  <r>
    <x v="0"/>
    <x v="2"/>
    <x v="298"/>
    <x v="15"/>
    <x v="0"/>
    <x v="0"/>
    <n v="6000000"/>
    <x v="0"/>
  </r>
  <r>
    <x v="0"/>
    <x v="2"/>
    <x v="299"/>
    <x v="15"/>
    <x v="0"/>
    <x v="0"/>
    <n v="6000000"/>
    <x v="0"/>
  </r>
  <r>
    <x v="0"/>
    <x v="2"/>
    <x v="300"/>
    <x v="15"/>
    <x v="0"/>
    <x v="0"/>
    <n v="6000000"/>
    <x v="0"/>
  </r>
  <r>
    <x v="0"/>
    <x v="2"/>
    <x v="301"/>
    <x v="15"/>
    <x v="0"/>
    <x v="0"/>
    <n v="6000000"/>
    <x v="0"/>
  </r>
  <r>
    <x v="0"/>
    <x v="2"/>
    <x v="302"/>
    <x v="15"/>
    <x v="0"/>
    <x v="0"/>
    <n v="6000000"/>
    <x v="0"/>
  </r>
  <r>
    <x v="0"/>
    <x v="2"/>
    <x v="303"/>
    <x v="15"/>
    <x v="0"/>
    <x v="0"/>
    <n v="6000000"/>
    <x v="0"/>
  </r>
  <r>
    <x v="0"/>
    <x v="2"/>
    <x v="304"/>
    <x v="15"/>
    <x v="0"/>
    <x v="0"/>
    <n v="6000000"/>
    <x v="0"/>
  </r>
  <r>
    <x v="0"/>
    <x v="2"/>
    <x v="305"/>
    <x v="15"/>
    <x v="0"/>
    <x v="0"/>
    <n v="6000000"/>
    <x v="0"/>
  </r>
  <r>
    <x v="0"/>
    <x v="2"/>
    <x v="306"/>
    <x v="15"/>
    <x v="0"/>
    <x v="0"/>
    <n v="6000000"/>
    <x v="0"/>
  </r>
  <r>
    <x v="0"/>
    <x v="2"/>
    <x v="307"/>
    <x v="15"/>
    <x v="1"/>
    <x v="0"/>
    <n v="0"/>
    <x v="10"/>
  </r>
  <r>
    <x v="0"/>
    <x v="2"/>
    <x v="308"/>
    <x v="15"/>
    <x v="0"/>
    <x v="0"/>
    <n v="6000000"/>
    <x v="0"/>
  </r>
  <r>
    <x v="0"/>
    <x v="2"/>
    <x v="309"/>
    <x v="15"/>
    <x v="0"/>
    <x v="0"/>
    <n v="6000000"/>
    <x v="0"/>
  </r>
  <r>
    <x v="0"/>
    <x v="2"/>
    <x v="310"/>
    <x v="15"/>
    <x v="0"/>
    <x v="0"/>
    <n v="6000000"/>
    <x v="0"/>
  </r>
  <r>
    <x v="0"/>
    <x v="2"/>
    <x v="311"/>
    <x v="15"/>
    <x v="0"/>
    <x v="0"/>
    <n v="6000000"/>
    <x v="0"/>
  </r>
  <r>
    <x v="0"/>
    <x v="2"/>
    <x v="312"/>
    <x v="15"/>
    <x v="0"/>
    <x v="0"/>
    <n v="6000000"/>
    <x v="0"/>
  </r>
  <r>
    <x v="0"/>
    <x v="2"/>
    <x v="313"/>
    <x v="15"/>
    <x v="0"/>
    <x v="0"/>
    <n v="6000000"/>
    <x v="0"/>
  </r>
  <r>
    <x v="0"/>
    <x v="2"/>
    <x v="314"/>
    <x v="15"/>
    <x v="0"/>
    <x v="0"/>
    <n v="6000000"/>
    <x v="0"/>
  </r>
  <r>
    <x v="0"/>
    <x v="2"/>
    <x v="315"/>
    <x v="15"/>
    <x v="0"/>
    <x v="0"/>
    <n v="6000000"/>
    <x v="0"/>
  </r>
  <r>
    <x v="0"/>
    <x v="2"/>
    <x v="316"/>
    <x v="15"/>
    <x v="0"/>
    <x v="0"/>
    <n v="6000000"/>
    <x v="0"/>
  </r>
  <r>
    <x v="0"/>
    <x v="2"/>
    <x v="317"/>
    <x v="15"/>
    <x v="0"/>
    <x v="0"/>
    <n v="6000000"/>
    <x v="0"/>
  </r>
  <r>
    <x v="0"/>
    <x v="2"/>
    <x v="318"/>
    <x v="15"/>
    <x v="0"/>
    <x v="0"/>
    <n v="6000000"/>
    <x v="0"/>
  </r>
  <r>
    <x v="0"/>
    <x v="2"/>
    <x v="319"/>
    <x v="15"/>
    <x v="0"/>
    <x v="0"/>
    <n v="6000000"/>
    <x v="0"/>
  </r>
  <r>
    <x v="0"/>
    <x v="2"/>
    <x v="320"/>
    <x v="15"/>
    <x v="0"/>
    <x v="0"/>
    <n v="6000000"/>
    <x v="0"/>
  </r>
  <r>
    <x v="0"/>
    <x v="2"/>
    <x v="321"/>
    <x v="15"/>
    <x v="0"/>
    <x v="0"/>
    <n v="6000000"/>
    <x v="0"/>
  </r>
  <r>
    <x v="0"/>
    <x v="2"/>
    <x v="322"/>
    <x v="15"/>
    <x v="0"/>
    <x v="0"/>
    <n v="6000000"/>
    <x v="0"/>
  </r>
  <r>
    <x v="0"/>
    <x v="2"/>
    <x v="323"/>
    <x v="15"/>
    <x v="0"/>
    <x v="0"/>
    <n v="6000000"/>
    <x v="0"/>
  </r>
  <r>
    <x v="0"/>
    <x v="2"/>
    <x v="324"/>
    <x v="15"/>
    <x v="0"/>
    <x v="0"/>
    <n v="6000000"/>
    <x v="0"/>
  </r>
  <r>
    <x v="0"/>
    <x v="2"/>
    <x v="325"/>
    <x v="15"/>
    <x v="0"/>
    <x v="0"/>
    <n v="6000000"/>
    <x v="0"/>
  </r>
  <r>
    <x v="0"/>
    <x v="2"/>
    <x v="326"/>
    <x v="15"/>
    <x v="0"/>
    <x v="0"/>
    <n v="6000000"/>
    <x v="0"/>
  </r>
  <r>
    <x v="0"/>
    <x v="2"/>
    <x v="327"/>
    <x v="15"/>
    <x v="0"/>
    <x v="0"/>
    <n v="6000000"/>
    <x v="0"/>
  </r>
  <r>
    <x v="0"/>
    <x v="2"/>
    <x v="328"/>
    <x v="15"/>
    <x v="0"/>
    <x v="0"/>
    <n v="6000000"/>
    <x v="0"/>
  </r>
  <r>
    <x v="0"/>
    <x v="2"/>
    <x v="329"/>
    <x v="15"/>
    <x v="0"/>
    <x v="0"/>
    <n v="6000000"/>
    <x v="0"/>
  </r>
  <r>
    <x v="0"/>
    <x v="2"/>
    <x v="330"/>
    <x v="15"/>
    <x v="0"/>
    <x v="0"/>
    <n v="6000000"/>
    <x v="0"/>
  </r>
  <r>
    <x v="0"/>
    <x v="2"/>
    <x v="331"/>
    <x v="15"/>
    <x v="0"/>
    <x v="0"/>
    <n v="6000000"/>
    <x v="0"/>
  </r>
  <r>
    <x v="0"/>
    <x v="2"/>
    <x v="332"/>
    <x v="15"/>
    <x v="0"/>
    <x v="0"/>
    <n v="6000000"/>
    <x v="0"/>
  </r>
  <r>
    <x v="0"/>
    <x v="2"/>
    <x v="333"/>
    <x v="15"/>
    <x v="0"/>
    <x v="0"/>
    <n v="6000000"/>
    <x v="0"/>
  </r>
  <r>
    <x v="0"/>
    <x v="2"/>
    <x v="334"/>
    <x v="15"/>
    <x v="0"/>
    <x v="0"/>
    <n v="6000000"/>
    <x v="0"/>
  </r>
  <r>
    <x v="0"/>
    <x v="2"/>
    <x v="335"/>
    <x v="15"/>
    <x v="0"/>
    <x v="0"/>
    <n v="6000000"/>
    <x v="0"/>
  </r>
  <r>
    <x v="0"/>
    <x v="2"/>
    <x v="336"/>
    <x v="15"/>
    <x v="0"/>
    <x v="0"/>
    <n v="6000000"/>
    <x v="0"/>
  </r>
  <r>
    <x v="0"/>
    <x v="2"/>
    <x v="337"/>
    <x v="15"/>
    <x v="0"/>
    <x v="0"/>
    <n v="6000000"/>
    <x v="0"/>
  </r>
  <r>
    <x v="0"/>
    <x v="2"/>
    <x v="338"/>
    <x v="15"/>
    <x v="0"/>
    <x v="0"/>
    <n v="6000000"/>
    <x v="0"/>
  </r>
  <r>
    <x v="0"/>
    <x v="2"/>
    <x v="339"/>
    <x v="15"/>
    <x v="0"/>
    <x v="0"/>
    <n v="6000000"/>
    <x v="0"/>
  </r>
  <r>
    <x v="0"/>
    <x v="2"/>
    <x v="340"/>
    <x v="15"/>
    <x v="0"/>
    <x v="0"/>
    <n v="6000000"/>
    <x v="0"/>
  </r>
  <r>
    <x v="0"/>
    <x v="2"/>
    <x v="341"/>
    <x v="15"/>
    <x v="0"/>
    <x v="0"/>
    <n v="6000000"/>
    <x v="0"/>
  </r>
  <r>
    <x v="0"/>
    <x v="2"/>
    <x v="342"/>
    <x v="15"/>
    <x v="0"/>
    <x v="0"/>
    <n v="6000000"/>
    <x v="0"/>
  </r>
  <r>
    <x v="0"/>
    <x v="2"/>
    <x v="343"/>
    <x v="15"/>
    <x v="0"/>
    <x v="0"/>
    <n v="6000000"/>
    <x v="0"/>
  </r>
  <r>
    <x v="0"/>
    <x v="2"/>
    <x v="344"/>
    <x v="15"/>
    <x v="0"/>
    <x v="0"/>
    <n v="6000000"/>
    <x v="0"/>
  </r>
  <r>
    <x v="0"/>
    <x v="2"/>
    <x v="345"/>
    <x v="15"/>
    <x v="0"/>
    <x v="0"/>
    <n v="6000000"/>
    <x v="0"/>
  </r>
  <r>
    <x v="0"/>
    <x v="2"/>
    <x v="346"/>
    <x v="15"/>
    <x v="0"/>
    <x v="0"/>
    <n v="6000000"/>
    <x v="0"/>
  </r>
  <r>
    <x v="0"/>
    <x v="2"/>
    <x v="347"/>
    <x v="15"/>
    <x v="0"/>
    <x v="0"/>
    <n v="6000000"/>
    <x v="0"/>
  </r>
  <r>
    <x v="0"/>
    <x v="2"/>
    <x v="348"/>
    <x v="15"/>
    <x v="0"/>
    <x v="0"/>
    <n v="6000000"/>
    <x v="0"/>
  </r>
  <r>
    <x v="0"/>
    <x v="2"/>
    <x v="349"/>
    <x v="15"/>
    <x v="0"/>
    <x v="0"/>
    <n v="6000000"/>
    <x v="0"/>
  </r>
  <r>
    <x v="0"/>
    <x v="2"/>
    <x v="350"/>
    <x v="15"/>
    <x v="0"/>
    <x v="0"/>
    <n v="6000000"/>
    <x v="0"/>
  </r>
  <r>
    <x v="0"/>
    <x v="2"/>
    <x v="351"/>
    <x v="15"/>
    <x v="0"/>
    <x v="0"/>
    <n v="6000000"/>
    <x v="0"/>
  </r>
  <r>
    <x v="0"/>
    <x v="2"/>
    <x v="352"/>
    <x v="15"/>
    <x v="0"/>
    <x v="0"/>
    <n v="6000000"/>
    <x v="0"/>
  </r>
  <r>
    <x v="0"/>
    <x v="2"/>
    <x v="353"/>
    <x v="15"/>
    <x v="0"/>
    <x v="0"/>
    <n v="6000000"/>
    <x v="0"/>
  </r>
  <r>
    <x v="0"/>
    <x v="2"/>
    <x v="354"/>
    <x v="15"/>
    <x v="0"/>
    <x v="0"/>
    <n v="6000000"/>
    <x v="0"/>
  </r>
  <r>
    <x v="0"/>
    <x v="2"/>
    <x v="355"/>
    <x v="15"/>
    <x v="0"/>
    <x v="0"/>
    <n v="6000000"/>
    <x v="0"/>
  </r>
  <r>
    <x v="0"/>
    <x v="2"/>
    <x v="356"/>
    <x v="15"/>
    <x v="0"/>
    <x v="0"/>
    <n v="6000000"/>
    <x v="0"/>
  </r>
  <r>
    <x v="0"/>
    <x v="2"/>
    <x v="357"/>
    <x v="15"/>
    <x v="0"/>
    <x v="0"/>
    <n v="6000000"/>
    <x v="0"/>
  </r>
  <r>
    <x v="0"/>
    <x v="2"/>
    <x v="358"/>
    <x v="15"/>
    <x v="0"/>
    <x v="0"/>
    <n v="6000000"/>
    <x v="0"/>
  </r>
  <r>
    <x v="0"/>
    <x v="2"/>
    <x v="359"/>
    <x v="15"/>
    <x v="0"/>
    <x v="0"/>
    <n v="6000000"/>
    <x v="0"/>
  </r>
  <r>
    <x v="0"/>
    <x v="2"/>
    <x v="360"/>
    <x v="15"/>
    <x v="0"/>
    <x v="0"/>
    <n v="6000000"/>
    <x v="0"/>
  </r>
  <r>
    <x v="0"/>
    <x v="2"/>
    <x v="361"/>
    <x v="15"/>
    <x v="0"/>
    <x v="0"/>
    <n v="6000000"/>
    <x v="0"/>
  </r>
  <r>
    <x v="0"/>
    <x v="2"/>
    <x v="362"/>
    <x v="15"/>
    <x v="0"/>
    <x v="0"/>
    <n v="6000000"/>
    <x v="0"/>
  </r>
  <r>
    <x v="0"/>
    <x v="2"/>
    <x v="363"/>
    <x v="15"/>
    <x v="0"/>
    <x v="0"/>
    <n v="6000000"/>
    <x v="0"/>
  </r>
  <r>
    <x v="0"/>
    <x v="2"/>
    <x v="364"/>
    <x v="15"/>
    <x v="0"/>
    <x v="0"/>
    <n v="6000000"/>
    <x v="0"/>
  </r>
  <r>
    <x v="0"/>
    <x v="2"/>
    <x v="365"/>
    <x v="15"/>
    <x v="0"/>
    <x v="0"/>
    <n v="6000000"/>
    <x v="0"/>
  </r>
  <r>
    <x v="0"/>
    <x v="2"/>
    <x v="366"/>
    <x v="15"/>
    <x v="0"/>
    <x v="0"/>
    <n v="6000000"/>
    <x v="0"/>
  </r>
  <r>
    <x v="0"/>
    <x v="2"/>
    <x v="367"/>
    <x v="15"/>
    <x v="0"/>
    <x v="0"/>
    <n v="6000000"/>
    <x v="0"/>
  </r>
  <r>
    <x v="0"/>
    <x v="2"/>
    <x v="368"/>
    <x v="15"/>
    <x v="0"/>
    <x v="0"/>
    <n v="6000000"/>
    <x v="0"/>
  </r>
  <r>
    <x v="0"/>
    <x v="2"/>
    <x v="369"/>
    <x v="15"/>
    <x v="0"/>
    <x v="0"/>
    <n v="6000000"/>
    <x v="0"/>
  </r>
  <r>
    <x v="0"/>
    <x v="2"/>
    <x v="370"/>
    <x v="15"/>
    <x v="0"/>
    <x v="0"/>
    <n v="6000000"/>
    <x v="0"/>
  </r>
  <r>
    <x v="0"/>
    <x v="2"/>
    <x v="371"/>
    <x v="15"/>
    <x v="0"/>
    <x v="0"/>
    <n v="6000000"/>
    <x v="0"/>
  </r>
  <r>
    <x v="0"/>
    <x v="2"/>
    <x v="372"/>
    <x v="15"/>
    <x v="0"/>
    <x v="0"/>
    <n v="6000000"/>
    <x v="0"/>
  </r>
  <r>
    <x v="0"/>
    <x v="2"/>
    <x v="373"/>
    <x v="15"/>
    <x v="0"/>
    <x v="0"/>
    <n v="6000000"/>
    <x v="0"/>
  </r>
  <r>
    <x v="0"/>
    <x v="2"/>
    <x v="374"/>
    <x v="15"/>
    <x v="0"/>
    <x v="0"/>
    <n v="600000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3">
  <r>
    <x v="0"/>
    <x v="0"/>
    <x v="0"/>
    <x v="0"/>
    <x v="0"/>
    <x v="0"/>
    <n v="432878000"/>
    <x v="0"/>
  </r>
  <r>
    <x v="0"/>
    <x v="0"/>
    <x v="1"/>
    <x v="1"/>
    <x v="0"/>
    <x v="0"/>
    <n v="354926000"/>
    <x v="0"/>
  </r>
  <r>
    <x v="0"/>
    <x v="0"/>
    <x v="2"/>
    <x v="2"/>
    <x v="0"/>
    <x v="0"/>
    <n v="466139000"/>
    <x v="0"/>
  </r>
  <r>
    <x v="0"/>
    <x v="0"/>
    <x v="3"/>
    <x v="3"/>
    <x v="0"/>
    <x v="0"/>
    <n v="474914500"/>
    <x v="0"/>
  </r>
  <r>
    <x v="0"/>
    <x v="0"/>
    <x v="4"/>
    <x v="4"/>
    <x v="0"/>
    <x v="0"/>
    <n v="294836543"/>
    <x v="0"/>
  </r>
  <r>
    <x v="0"/>
    <x v="0"/>
    <x v="5"/>
    <x v="5"/>
    <x v="0"/>
    <x v="0"/>
    <n v="446355000"/>
    <x v="0"/>
  </r>
  <r>
    <x v="0"/>
    <x v="0"/>
    <x v="6"/>
    <x v="6"/>
    <x v="0"/>
    <x v="0"/>
    <n v="336208800"/>
    <x v="0"/>
  </r>
  <r>
    <x v="0"/>
    <x v="0"/>
    <x v="7"/>
    <x v="7"/>
    <x v="0"/>
    <x v="0"/>
    <n v="299832791"/>
    <x v="0"/>
  </r>
  <r>
    <x v="0"/>
    <x v="0"/>
    <x v="8"/>
    <x v="8"/>
    <x v="0"/>
    <x v="0"/>
    <n v="382982500"/>
    <x v="0"/>
  </r>
  <r>
    <x v="0"/>
    <x v="0"/>
    <x v="9"/>
    <x v="9"/>
    <x v="0"/>
    <x v="0"/>
    <n v="375375836"/>
    <x v="0"/>
  </r>
  <r>
    <x v="0"/>
    <x v="0"/>
    <x v="10"/>
    <x v="10"/>
    <x v="0"/>
    <x v="0"/>
    <n v="384485000"/>
    <x v="0"/>
  </r>
  <r>
    <x v="0"/>
    <x v="0"/>
    <x v="11"/>
    <x v="0"/>
    <x v="1"/>
    <x v="0"/>
    <n v="0"/>
    <x v="1"/>
  </r>
  <r>
    <x v="0"/>
    <x v="0"/>
    <x v="12"/>
    <x v="11"/>
    <x v="0"/>
    <x v="0"/>
    <n v="456285000"/>
    <x v="0"/>
  </r>
  <r>
    <x v="0"/>
    <x v="0"/>
    <x v="13"/>
    <x v="7"/>
    <x v="0"/>
    <x v="0"/>
    <n v="294470985"/>
    <x v="0"/>
  </r>
  <r>
    <x v="0"/>
    <x v="0"/>
    <x v="14"/>
    <x v="8"/>
    <x v="0"/>
    <x v="0"/>
    <n v="383482500"/>
    <x v="0"/>
  </r>
  <r>
    <x v="0"/>
    <x v="0"/>
    <x v="15"/>
    <x v="9"/>
    <x v="0"/>
    <x v="0"/>
    <n v="385592000"/>
    <x v="0"/>
  </r>
  <r>
    <x v="0"/>
    <x v="0"/>
    <x v="16"/>
    <x v="6"/>
    <x v="0"/>
    <x v="0"/>
    <n v="282311800"/>
    <x v="0"/>
  </r>
  <r>
    <x v="0"/>
    <x v="0"/>
    <x v="17"/>
    <x v="0"/>
    <x v="0"/>
    <x v="0"/>
    <n v="351969600"/>
    <x v="0"/>
  </r>
  <r>
    <x v="0"/>
    <x v="0"/>
    <x v="18"/>
    <x v="11"/>
    <x v="0"/>
    <x v="0"/>
    <n v="460382500"/>
    <x v="0"/>
  </r>
  <r>
    <x v="0"/>
    <x v="0"/>
    <x v="19"/>
    <x v="7"/>
    <x v="0"/>
    <x v="0"/>
    <n v="290429946"/>
    <x v="0"/>
  </r>
  <r>
    <x v="0"/>
    <x v="0"/>
    <x v="20"/>
    <x v="8"/>
    <x v="0"/>
    <x v="0"/>
    <n v="414457027"/>
    <x v="0"/>
  </r>
  <r>
    <x v="0"/>
    <x v="0"/>
    <x v="21"/>
    <x v="9"/>
    <x v="0"/>
    <x v="0"/>
    <n v="386092000"/>
    <x v="0"/>
  </r>
  <r>
    <x v="0"/>
    <x v="0"/>
    <x v="22"/>
    <x v="10"/>
    <x v="0"/>
    <x v="0"/>
    <n v="298326500"/>
    <x v="0"/>
  </r>
  <r>
    <x v="0"/>
    <x v="0"/>
    <x v="23"/>
    <x v="12"/>
    <x v="0"/>
    <x v="0"/>
    <n v="331688000"/>
    <x v="0"/>
  </r>
  <r>
    <x v="0"/>
    <x v="0"/>
    <x v="24"/>
    <x v="11"/>
    <x v="0"/>
    <x v="0"/>
    <n v="471675000"/>
    <x v="0"/>
  </r>
  <r>
    <x v="0"/>
    <x v="0"/>
    <x v="25"/>
    <x v="7"/>
    <x v="0"/>
    <x v="0"/>
    <n v="292322120"/>
    <x v="0"/>
  </r>
  <r>
    <x v="0"/>
    <x v="0"/>
    <x v="26"/>
    <x v="8"/>
    <x v="0"/>
    <x v="0"/>
    <n v="404095000"/>
    <x v="0"/>
  </r>
  <r>
    <x v="0"/>
    <x v="0"/>
    <x v="27"/>
    <x v="9"/>
    <x v="0"/>
    <x v="0"/>
    <n v="403840000"/>
    <x v="0"/>
  </r>
  <r>
    <x v="0"/>
    <x v="0"/>
    <x v="28"/>
    <x v="10"/>
    <x v="0"/>
    <x v="0"/>
    <n v="288465000"/>
    <x v="0"/>
  </r>
  <r>
    <x v="0"/>
    <x v="0"/>
    <x v="29"/>
    <x v="12"/>
    <x v="0"/>
    <x v="0"/>
    <n v="342351519"/>
    <x v="0"/>
  </r>
  <r>
    <x v="0"/>
    <x v="0"/>
    <x v="30"/>
    <x v="11"/>
    <x v="0"/>
    <x v="0"/>
    <n v="472175000"/>
    <x v="0"/>
  </r>
  <r>
    <x v="0"/>
    <x v="0"/>
    <x v="31"/>
    <x v="7"/>
    <x v="0"/>
    <x v="0"/>
    <n v="295467840"/>
    <x v="0"/>
  </r>
  <r>
    <x v="0"/>
    <x v="0"/>
    <x v="32"/>
    <x v="8"/>
    <x v="0"/>
    <x v="0"/>
    <n v="377137500"/>
    <x v="0"/>
  </r>
  <r>
    <x v="0"/>
    <x v="0"/>
    <x v="33"/>
    <x v="13"/>
    <x v="0"/>
    <x v="0"/>
    <n v="365956000"/>
    <x v="0"/>
  </r>
  <r>
    <x v="0"/>
    <x v="0"/>
    <x v="34"/>
    <x v="10"/>
    <x v="0"/>
    <x v="0"/>
    <n v="313801204"/>
    <x v="0"/>
  </r>
  <r>
    <x v="0"/>
    <x v="0"/>
    <x v="35"/>
    <x v="0"/>
    <x v="1"/>
    <x v="0"/>
    <n v="0"/>
    <x v="2"/>
  </r>
  <r>
    <x v="0"/>
    <x v="0"/>
    <x v="36"/>
    <x v="11"/>
    <x v="0"/>
    <x v="0"/>
    <n v="415880616"/>
    <x v="0"/>
  </r>
  <r>
    <x v="0"/>
    <x v="0"/>
    <x v="37"/>
    <x v="1"/>
    <x v="0"/>
    <x v="0"/>
    <n v="400850000"/>
    <x v="0"/>
  </r>
  <r>
    <x v="0"/>
    <x v="0"/>
    <x v="38"/>
    <x v="8"/>
    <x v="0"/>
    <x v="0"/>
    <n v="377637500"/>
    <x v="0"/>
  </r>
  <r>
    <x v="0"/>
    <x v="0"/>
    <x v="39"/>
    <x v="9"/>
    <x v="0"/>
    <x v="0"/>
    <n v="373480000"/>
    <x v="0"/>
  </r>
  <r>
    <x v="0"/>
    <x v="0"/>
    <x v="40"/>
    <x v="10"/>
    <x v="0"/>
    <x v="0"/>
    <n v="322987500"/>
    <x v="0"/>
  </r>
  <r>
    <x v="0"/>
    <x v="0"/>
    <x v="41"/>
    <x v="0"/>
    <x v="0"/>
    <x v="0"/>
    <n v="353153000"/>
    <x v="0"/>
  </r>
  <r>
    <x v="0"/>
    <x v="0"/>
    <x v="42"/>
    <x v="11"/>
    <x v="0"/>
    <x v="0"/>
    <n v="458785000"/>
    <x v="0"/>
  </r>
  <r>
    <x v="0"/>
    <x v="0"/>
    <x v="43"/>
    <x v="7"/>
    <x v="0"/>
    <x v="0"/>
    <n v="288122400"/>
    <x v="0"/>
  </r>
  <r>
    <x v="0"/>
    <x v="0"/>
    <x v="44"/>
    <x v="8"/>
    <x v="0"/>
    <x v="0"/>
    <n v="385982500"/>
    <x v="0"/>
  </r>
  <r>
    <x v="0"/>
    <x v="0"/>
    <x v="45"/>
    <x v="3"/>
    <x v="0"/>
    <x v="0"/>
    <n v="439836000"/>
    <x v="0"/>
  </r>
  <r>
    <x v="0"/>
    <x v="0"/>
    <x v="46"/>
    <x v="10"/>
    <x v="0"/>
    <x v="0"/>
    <n v="357879800"/>
    <x v="0"/>
  </r>
  <r>
    <x v="0"/>
    <x v="0"/>
    <x v="47"/>
    <x v="0"/>
    <x v="0"/>
    <x v="0"/>
    <n v="354469600"/>
    <x v="0"/>
  </r>
  <r>
    <x v="0"/>
    <x v="0"/>
    <x v="48"/>
    <x v="6"/>
    <x v="0"/>
    <x v="0"/>
    <n v="338321631"/>
    <x v="0"/>
  </r>
  <r>
    <x v="0"/>
    <x v="0"/>
    <x v="49"/>
    <x v="7"/>
    <x v="0"/>
    <x v="0"/>
    <n v="303192000"/>
    <x v="0"/>
  </r>
  <r>
    <x v="0"/>
    <x v="0"/>
    <x v="50"/>
    <x v="8"/>
    <x v="0"/>
    <x v="0"/>
    <n v="374715000"/>
    <x v="0"/>
  </r>
  <r>
    <x v="0"/>
    <x v="0"/>
    <x v="51"/>
    <x v="3"/>
    <x v="0"/>
    <x v="0"/>
    <n v="499920000"/>
    <x v="0"/>
  </r>
  <r>
    <x v="0"/>
    <x v="0"/>
    <x v="52"/>
    <x v="10"/>
    <x v="0"/>
    <x v="0"/>
    <n v="387985000"/>
    <x v="0"/>
  </r>
  <r>
    <x v="0"/>
    <x v="0"/>
    <x v="53"/>
    <x v="0"/>
    <x v="0"/>
    <x v="0"/>
    <n v="457163113"/>
    <x v="0"/>
  </r>
  <r>
    <x v="0"/>
    <x v="0"/>
    <x v="54"/>
    <x v="6"/>
    <x v="0"/>
    <x v="0"/>
    <n v="340208800"/>
    <x v="0"/>
  </r>
  <r>
    <x v="0"/>
    <x v="0"/>
    <x v="55"/>
    <x v="7"/>
    <x v="0"/>
    <x v="0"/>
    <n v="287904200"/>
    <x v="0"/>
  </r>
  <r>
    <x v="0"/>
    <x v="0"/>
    <x v="56"/>
    <x v="8"/>
    <x v="0"/>
    <x v="0"/>
    <n v="381336631"/>
    <x v="0"/>
  </r>
  <r>
    <x v="0"/>
    <x v="0"/>
    <x v="57"/>
    <x v="13"/>
    <x v="0"/>
    <x v="0"/>
    <n v="366398000"/>
    <x v="0"/>
  </r>
  <r>
    <x v="0"/>
    <x v="0"/>
    <x v="58"/>
    <x v="4"/>
    <x v="0"/>
    <x v="0"/>
    <n v="285811800"/>
    <x v="0"/>
  </r>
  <r>
    <x v="0"/>
    <x v="0"/>
    <x v="59"/>
    <x v="0"/>
    <x v="1"/>
    <x v="0"/>
    <n v="0"/>
    <x v="3"/>
  </r>
  <r>
    <x v="0"/>
    <x v="0"/>
    <x v="60"/>
    <x v="11"/>
    <x v="0"/>
    <x v="0"/>
    <n v="355812000"/>
    <x v="0"/>
  </r>
  <r>
    <x v="0"/>
    <x v="0"/>
    <x v="61"/>
    <x v="7"/>
    <x v="0"/>
    <x v="0"/>
    <n v="289749485"/>
    <x v="0"/>
  </r>
  <r>
    <x v="0"/>
    <x v="0"/>
    <x v="62"/>
    <x v="8"/>
    <x v="0"/>
    <x v="0"/>
    <n v="376196619"/>
    <x v="0"/>
  </r>
  <r>
    <x v="0"/>
    <x v="0"/>
    <x v="63"/>
    <x v="9"/>
    <x v="0"/>
    <x v="0"/>
    <n v="388808000"/>
    <x v="0"/>
  </r>
  <r>
    <x v="0"/>
    <x v="0"/>
    <x v="64"/>
    <x v="4"/>
    <x v="0"/>
    <x v="0"/>
    <n v="287529600"/>
    <x v="0"/>
  </r>
  <r>
    <x v="0"/>
    <x v="0"/>
    <x v="65"/>
    <x v="0"/>
    <x v="1"/>
    <x v="0"/>
    <n v="0"/>
    <x v="4"/>
  </r>
  <r>
    <x v="0"/>
    <x v="0"/>
    <x v="66"/>
    <x v="11"/>
    <x v="0"/>
    <x v="0"/>
    <n v="460785000"/>
    <x v="0"/>
  </r>
  <r>
    <x v="0"/>
    <x v="0"/>
    <x v="67"/>
    <x v="7"/>
    <x v="0"/>
    <x v="0"/>
    <n v="289717304"/>
    <x v="0"/>
  </r>
  <r>
    <x v="0"/>
    <x v="0"/>
    <x v="68"/>
    <x v="8"/>
    <x v="0"/>
    <x v="0"/>
    <n v="380137500"/>
    <x v="0"/>
  </r>
  <r>
    <x v="0"/>
    <x v="0"/>
    <x v="69"/>
    <x v="3"/>
    <x v="0"/>
    <x v="0"/>
    <n v="461489136"/>
    <x v="0"/>
  </r>
  <r>
    <x v="0"/>
    <x v="0"/>
    <x v="70"/>
    <x v="4"/>
    <x v="0"/>
    <x v="0"/>
    <n v="288029590"/>
    <x v="0"/>
  </r>
  <r>
    <x v="0"/>
    <x v="0"/>
    <x v="71"/>
    <x v="12"/>
    <x v="0"/>
    <x v="0"/>
    <n v="338559200"/>
    <x v="0"/>
  </r>
  <r>
    <x v="0"/>
    <x v="0"/>
    <x v="72"/>
    <x v="11"/>
    <x v="0"/>
    <x v="0"/>
    <n v="461285000"/>
    <x v="0"/>
  </r>
  <r>
    <x v="0"/>
    <x v="0"/>
    <x v="73"/>
    <x v="7"/>
    <x v="0"/>
    <x v="0"/>
    <n v="288186000"/>
    <x v="0"/>
  </r>
  <r>
    <x v="0"/>
    <x v="0"/>
    <x v="74"/>
    <x v="8"/>
    <x v="0"/>
    <x v="0"/>
    <n v="376715000"/>
    <x v="0"/>
  </r>
  <r>
    <x v="0"/>
    <x v="0"/>
    <x v="75"/>
    <x v="9"/>
    <x v="0"/>
    <x v="0"/>
    <n v="407840000"/>
    <x v="0"/>
  </r>
  <r>
    <x v="0"/>
    <x v="0"/>
    <x v="76"/>
    <x v="10"/>
    <x v="0"/>
    <x v="0"/>
    <n v="295512500"/>
    <x v="0"/>
  </r>
  <r>
    <x v="0"/>
    <x v="0"/>
    <x v="77"/>
    <x v="0"/>
    <x v="0"/>
    <x v="0"/>
    <n v="410078000"/>
    <x v="0"/>
  </r>
  <r>
    <x v="0"/>
    <x v="0"/>
    <x v="78"/>
    <x v="11"/>
    <x v="0"/>
    <x v="0"/>
    <n v="391237500"/>
    <x v="0"/>
  </r>
  <r>
    <x v="0"/>
    <x v="0"/>
    <x v="79"/>
    <x v="1"/>
    <x v="0"/>
    <x v="0"/>
    <n v="353803000"/>
    <x v="0"/>
  </r>
  <r>
    <x v="0"/>
    <x v="0"/>
    <x v="80"/>
    <x v="8"/>
    <x v="0"/>
    <x v="0"/>
    <n v="381137500"/>
    <x v="0"/>
  </r>
  <r>
    <x v="0"/>
    <x v="0"/>
    <x v="81"/>
    <x v="3"/>
    <x v="0"/>
    <x v="0"/>
    <n v="411104585"/>
    <x v="0"/>
  </r>
  <r>
    <x v="0"/>
    <x v="0"/>
    <x v="82"/>
    <x v="10"/>
    <x v="0"/>
    <x v="0"/>
    <n v="302107500"/>
    <x v="0"/>
  </r>
  <r>
    <x v="0"/>
    <x v="0"/>
    <x v="83"/>
    <x v="0"/>
    <x v="0"/>
    <x v="0"/>
    <n v="410578000"/>
    <x v="0"/>
  </r>
  <r>
    <x v="0"/>
    <x v="0"/>
    <x v="84"/>
    <x v="11"/>
    <x v="0"/>
    <x v="0"/>
    <n v="413359000"/>
    <x v="0"/>
  </r>
  <r>
    <x v="0"/>
    <x v="0"/>
    <x v="85"/>
    <x v="7"/>
    <x v="0"/>
    <x v="0"/>
    <n v="289186000"/>
    <x v="0"/>
  </r>
  <r>
    <x v="0"/>
    <x v="0"/>
    <x v="86"/>
    <x v="14"/>
    <x v="0"/>
    <x v="0"/>
    <n v="370316800"/>
    <x v="0"/>
  </r>
  <r>
    <x v="0"/>
    <x v="0"/>
    <x v="87"/>
    <x v="9"/>
    <x v="0"/>
    <x v="0"/>
    <n v="391736090"/>
    <x v="0"/>
  </r>
  <r>
    <x v="0"/>
    <x v="0"/>
    <x v="88"/>
    <x v="4"/>
    <x v="0"/>
    <x v="0"/>
    <n v="289529600"/>
    <x v="0"/>
  </r>
  <r>
    <x v="0"/>
    <x v="0"/>
    <x v="89"/>
    <x v="0"/>
    <x v="1"/>
    <x v="0"/>
    <n v="0"/>
    <x v="5"/>
  </r>
  <r>
    <x v="0"/>
    <x v="0"/>
    <x v="90"/>
    <x v="11"/>
    <x v="0"/>
    <x v="0"/>
    <n v="462785000"/>
    <x v="0"/>
  </r>
  <r>
    <x v="0"/>
    <x v="0"/>
    <x v="91"/>
    <x v="7"/>
    <x v="0"/>
    <x v="0"/>
    <n v="289686000"/>
    <x v="0"/>
  </r>
  <r>
    <x v="0"/>
    <x v="0"/>
    <x v="92"/>
    <x v="8"/>
    <x v="0"/>
    <x v="0"/>
    <n v="412901590"/>
    <x v="0"/>
  </r>
  <r>
    <x v="0"/>
    <x v="0"/>
    <x v="93"/>
    <x v="3"/>
    <x v="0"/>
    <x v="0"/>
    <n v="391308000"/>
    <x v="0"/>
  </r>
  <r>
    <x v="0"/>
    <x v="0"/>
    <x v="94"/>
    <x v="4"/>
    <x v="0"/>
    <x v="0"/>
    <n v="290029600"/>
    <x v="0"/>
  </r>
  <r>
    <x v="0"/>
    <x v="0"/>
    <x v="95"/>
    <x v="0"/>
    <x v="1"/>
    <x v="0"/>
    <n v="0"/>
    <x v="6"/>
  </r>
  <r>
    <x v="0"/>
    <x v="0"/>
    <x v="96"/>
    <x v="11"/>
    <x v="0"/>
    <x v="0"/>
    <n v="464285000"/>
    <x v="0"/>
  </r>
  <r>
    <x v="0"/>
    <x v="0"/>
    <x v="97"/>
    <x v="7"/>
    <x v="0"/>
    <x v="0"/>
    <n v="290186000"/>
    <x v="0"/>
  </r>
  <r>
    <x v="0"/>
    <x v="0"/>
    <x v="98"/>
    <x v="14"/>
    <x v="0"/>
    <x v="0"/>
    <n v="369759400"/>
    <x v="0"/>
  </r>
  <r>
    <x v="0"/>
    <x v="0"/>
    <x v="99"/>
    <x v="3"/>
    <x v="0"/>
    <x v="0"/>
    <n v="390240000"/>
    <x v="0"/>
  </r>
  <r>
    <x v="0"/>
    <x v="0"/>
    <x v="100"/>
    <x v="10"/>
    <x v="0"/>
    <x v="0"/>
    <n v="391985000"/>
    <x v="0"/>
  </r>
  <r>
    <x v="0"/>
    <x v="0"/>
    <x v="101"/>
    <x v="0"/>
    <x v="1"/>
    <x v="0"/>
    <n v="0"/>
    <x v="7"/>
  </r>
  <r>
    <x v="0"/>
    <x v="0"/>
    <x v="102"/>
    <x v="11"/>
    <x v="0"/>
    <x v="0"/>
    <n v="463785000"/>
    <x v="0"/>
  </r>
  <r>
    <x v="0"/>
    <x v="0"/>
    <x v="103"/>
    <x v="7"/>
    <x v="0"/>
    <x v="0"/>
    <n v="296777000"/>
    <x v="0"/>
  </r>
  <r>
    <x v="0"/>
    <x v="0"/>
    <x v="104"/>
    <x v="8"/>
    <x v="0"/>
    <x v="0"/>
    <n v="383137500"/>
    <x v="0"/>
  </r>
  <r>
    <x v="0"/>
    <x v="0"/>
    <x v="105"/>
    <x v="9"/>
    <x v="0"/>
    <x v="0"/>
    <n v="410340000"/>
    <x v="0"/>
  </r>
  <r>
    <x v="0"/>
    <x v="0"/>
    <x v="106"/>
    <x v="10"/>
    <x v="0"/>
    <x v="0"/>
    <n v="392107000"/>
    <x v="0"/>
  </r>
  <r>
    <x v="0"/>
    <x v="0"/>
    <x v="107"/>
    <x v="0"/>
    <x v="1"/>
    <x v="0"/>
    <n v="0"/>
    <x v="8"/>
  </r>
  <r>
    <x v="0"/>
    <x v="0"/>
    <x v="108"/>
    <x v="11"/>
    <x v="1"/>
    <x v="0"/>
    <n v="0"/>
    <x v="9"/>
  </r>
  <r>
    <x v="0"/>
    <x v="0"/>
    <x v="109"/>
    <x v="7"/>
    <x v="0"/>
    <x v="0"/>
    <n v="292404200"/>
    <x v="0"/>
  </r>
  <r>
    <x v="0"/>
    <x v="0"/>
    <x v="110"/>
    <x v="8"/>
    <x v="0"/>
    <x v="0"/>
    <n v="383637500"/>
    <x v="0"/>
  </r>
  <r>
    <x v="0"/>
    <x v="0"/>
    <x v="111"/>
    <x v="9"/>
    <x v="0"/>
    <x v="0"/>
    <n v="377130000"/>
    <x v="0"/>
  </r>
  <r>
    <x v="0"/>
    <x v="0"/>
    <x v="112"/>
    <x v="10"/>
    <x v="0"/>
    <x v="0"/>
    <n v="321673698"/>
    <x v="0"/>
  </r>
  <r>
    <x v="0"/>
    <x v="0"/>
    <x v="113"/>
    <x v="0"/>
    <x v="1"/>
    <x v="0"/>
    <n v="0"/>
    <x v="10"/>
  </r>
  <r>
    <x v="0"/>
    <x v="0"/>
    <x v="114"/>
    <x v="11"/>
    <x v="0"/>
    <x v="0"/>
    <n v="361821765"/>
    <x v="0"/>
  </r>
  <r>
    <x v="0"/>
    <x v="0"/>
    <x v="115"/>
    <x v="7"/>
    <x v="0"/>
    <x v="0"/>
    <n v="291686000"/>
    <x v="0"/>
  </r>
  <r>
    <x v="0"/>
    <x v="0"/>
    <x v="116"/>
    <x v="8"/>
    <x v="0"/>
    <x v="0"/>
    <n v="384465915"/>
    <x v="0"/>
  </r>
  <r>
    <x v="0"/>
    <x v="0"/>
    <x v="117"/>
    <x v="9"/>
    <x v="0"/>
    <x v="0"/>
    <n v="394092000"/>
    <x v="0"/>
  </r>
  <r>
    <x v="0"/>
    <x v="0"/>
    <x v="118"/>
    <x v="10"/>
    <x v="0"/>
    <x v="0"/>
    <n v="299012500"/>
    <x v="0"/>
  </r>
  <r>
    <x v="0"/>
    <x v="0"/>
    <x v="119"/>
    <x v="0"/>
    <x v="0"/>
    <x v="0"/>
    <n v="421535969"/>
    <x v="0"/>
  </r>
  <r>
    <x v="0"/>
    <x v="0"/>
    <x v="120"/>
    <x v="11"/>
    <x v="1"/>
    <x v="0"/>
    <n v="0"/>
    <x v="11"/>
  </r>
  <r>
    <x v="0"/>
    <x v="0"/>
    <x v="121"/>
    <x v="7"/>
    <x v="0"/>
    <x v="0"/>
    <n v="292186000"/>
    <x v="0"/>
  </r>
  <r>
    <x v="0"/>
    <x v="0"/>
    <x v="122"/>
    <x v="8"/>
    <x v="0"/>
    <x v="0"/>
    <n v="393232804"/>
    <x v="0"/>
  </r>
  <r>
    <x v="0"/>
    <x v="0"/>
    <x v="123"/>
    <x v="3"/>
    <x v="0"/>
    <x v="0"/>
    <n v="446336000"/>
    <x v="0"/>
  </r>
  <r>
    <x v="0"/>
    <x v="0"/>
    <x v="124"/>
    <x v="10"/>
    <x v="0"/>
    <x v="0"/>
    <n v="393985000"/>
    <x v="0"/>
  </r>
  <r>
    <x v="0"/>
    <x v="0"/>
    <x v="125"/>
    <x v="0"/>
    <x v="0"/>
    <x v="0"/>
    <n v="365636242"/>
    <x v="0"/>
  </r>
  <r>
    <x v="0"/>
    <x v="0"/>
    <x v="126"/>
    <x v="11"/>
    <x v="1"/>
    <x v="0"/>
    <n v="0"/>
    <x v="12"/>
  </r>
  <r>
    <x v="0"/>
    <x v="0"/>
    <x v="127"/>
    <x v="7"/>
    <x v="0"/>
    <x v="0"/>
    <n v="298777000"/>
    <x v="0"/>
  </r>
  <r>
    <x v="0"/>
    <x v="0"/>
    <x v="128"/>
    <x v="8"/>
    <x v="0"/>
    <x v="0"/>
    <n v="412595000"/>
    <x v="0"/>
  </r>
  <r>
    <x v="0"/>
    <x v="0"/>
    <x v="129"/>
    <x v="9"/>
    <x v="0"/>
    <x v="0"/>
    <n v="394308000"/>
    <x v="0"/>
  </r>
  <r>
    <x v="0"/>
    <x v="0"/>
    <x v="130"/>
    <x v="10"/>
    <x v="0"/>
    <x v="0"/>
    <n v="394485000"/>
    <x v="0"/>
  </r>
  <r>
    <x v="0"/>
    <x v="0"/>
    <x v="131"/>
    <x v="0"/>
    <x v="1"/>
    <x v="0"/>
    <n v="0"/>
    <x v="13"/>
  </r>
  <r>
    <x v="0"/>
    <x v="0"/>
    <x v="132"/>
    <x v="11"/>
    <x v="0"/>
    <x v="0"/>
    <n v="425993000"/>
    <x v="0"/>
  </r>
  <r>
    <x v="0"/>
    <x v="0"/>
    <x v="133"/>
    <x v="7"/>
    <x v="0"/>
    <x v="0"/>
    <n v="358303000"/>
    <x v="0"/>
  </r>
  <r>
    <x v="0"/>
    <x v="0"/>
    <x v="134"/>
    <x v="8"/>
    <x v="0"/>
    <x v="0"/>
    <n v="381715000"/>
    <x v="0"/>
  </r>
  <r>
    <x v="0"/>
    <x v="0"/>
    <x v="135"/>
    <x v="13"/>
    <x v="0"/>
    <x v="0"/>
    <n v="447336000"/>
    <x v="0"/>
  </r>
  <r>
    <x v="0"/>
    <x v="0"/>
    <x v="136"/>
    <x v="10"/>
    <x v="0"/>
    <x v="0"/>
    <n v="306607500"/>
    <x v="0"/>
  </r>
  <r>
    <x v="0"/>
    <x v="0"/>
    <x v="137"/>
    <x v="0"/>
    <x v="1"/>
    <x v="0"/>
    <n v="0"/>
    <x v="14"/>
  </r>
  <r>
    <x v="0"/>
    <x v="0"/>
    <x v="138"/>
    <x v="11"/>
    <x v="0"/>
    <x v="0"/>
    <n v="380659987"/>
    <x v="0"/>
  </r>
  <r>
    <x v="0"/>
    <x v="0"/>
    <x v="139"/>
    <x v="7"/>
    <x v="0"/>
    <x v="0"/>
    <n v="294904200"/>
    <x v="0"/>
  </r>
  <r>
    <x v="0"/>
    <x v="0"/>
    <x v="140"/>
    <x v="14"/>
    <x v="0"/>
    <x v="0"/>
    <n v="373259400"/>
    <x v="0"/>
  </r>
  <r>
    <x v="0"/>
    <x v="0"/>
    <x v="141"/>
    <x v="13"/>
    <x v="0"/>
    <x v="0"/>
    <n v="373398000"/>
    <x v="0"/>
  </r>
  <r>
    <x v="0"/>
    <x v="0"/>
    <x v="142"/>
    <x v="10"/>
    <x v="0"/>
    <x v="0"/>
    <n v="323345000"/>
    <x v="0"/>
  </r>
  <r>
    <x v="0"/>
    <x v="0"/>
    <x v="143"/>
    <x v="0"/>
    <x v="1"/>
    <x v="0"/>
    <n v="0"/>
    <x v="15"/>
  </r>
  <r>
    <x v="0"/>
    <x v="0"/>
    <x v="144"/>
    <x v="11"/>
    <x v="0"/>
    <x v="0"/>
    <n v="433468500"/>
    <x v="0"/>
  </r>
  <r>
    <x v="0"/>
    <x v="0"/>
    <x v="145"/>
    <x v="7"/>
    <x v="0"/>
    <x v="0"/>
    <n v="300230000"/>
    <x v="0"/>
  </r>
  <r>
    <x v="0"/>
    <x v="0"/>
    <x v="146"/>
    <x v="14"/>
    <x v="0"/>
    <x v="0"/>
    <n v="372202000"/>
    <x v="0"/>
  </r>
  <r>
    <x v="0"/>
    <x v="0"/>
    <x v="147"/>
    <x v="13"/>
    <x v="0"/>
    <x v="0"/>
    <n v="373898000"/>
    <x v="0"/>
  </r>
  <r>
    <x v="0"/>
    <x v="0"/>
    <x v="148"/>
    <x v="0"/>
    <x v="1"/>
    <x v="0"/>
    <n v="0"/>
    <x v="16"/>
  </r>
  <r>
    <x v="0"/>
    <x v="0"/>
    <x v="149"/>
    <x v="0"/>
    <x v="1"/>
    <x v="0"/>
    <n v="0"/>
    <x v="17"/>
  </r>
  <r>
    <x v="0"/>
    <x v="1"/>
    <x v="150"/>
    <x v="15"/>
    <x v="0"/>
    <x v="0"/>
    <n v="23000000"/>
    <x v="0"/>
  </r>
  <r>
    <x v="0"/>
    <x v="1"/>
    <x v="151"/>
    <x v="15"/>
    <x v="0"/>
    <x v="0"/>
    <n v="24000000"/>
    <x v="0"/>
  </r>
  <r>
    <x v="0"/>
    <x v="1"/>
    <x v="152"/>
    <x v="15"/>
    <x v="0"/>
    <x v="0"/>
    <n v="24000000"/>
    <x v="0"/>
  </r>
  <r>
    <x v="0"/>
    <x v="1"/>
    <x v="153"/>
    <x v="15"/>
    <x v="0"/>
    <x v="0"/>
    <n v="29000000"/>
    <x v="0"/>
  </r>
  <r>
    <x v="0"/>
    <x v="1"/>
    <x v="154"/>
    <x v="15"/>
    <x v="0"/>
    <x v="0"/>
    <n v="28000000"/>
    <x v="0"/>
  </r>
  <r>
    <x v="0"/>
    <x v="1"/>
    <x v="155"/>
    <x v="15"/>
    <x v="0"/>
    <x v="0"/>
    <n v="23000000"/>
    <x v="0"/>
  </r>
  <r>
    <x v="0"/>
    <x v="1"/>
    <x v="156"/>
    <x v="15"/>
    <x v="0"/>
    <x v="0"/>
    <n v="23000000"/>
    <x v="0"/>
  </r>
  <r>
    <x v="0"/>
    <x v="1"/>
    <x v="157"/>
    <x v="15"/>
    <x v="0"/>
    <x v="0"/>
    <n v="29000000"/>
    <x v="0"/>
  </r>
  <r>
    <x v="0"/>
    <x v="1"/>
    <x v="158"/>
    <x v="15"/>
    <x v="0"/>
    <x v="0"/>
    <n v="28000000"/>
    <x v="0"/>
  </r>
  <r>
    <x v="0"/>
    <x v="1"/>
    <x v="159"/>
    <x v="15"/>
    <x v="0"/>
    <x v="0"/>
    <n v="28000000"/>
    <x v="0"/>
  </r>
  <r>
    <x v="0"/>
    <x v="1"/>
    <x v="160"/>
    <x v="15"/>
    <x v="0"/>
    <x v="0"/>
    <n v="28000000"/>
    <x v="0"/>
  </r>
  <r>
    <x v="0"/>
    <x v="1"/>
    <x v="161"/>
    <x v="15"/>
    <x v="0"/>
    <x v="0"/>
    <n v="28000000"/>
    <x v="0"/>
  </r>
  <r>
    <x v="0"/>
    <x v="1"/>
    <x v="162"/>
    <x v="15"/>
    <x v="0"/>
    <x v="0"/>
    <n v="28000000"/>
    <x v="0"/>
  </r>
  <r>
    <x v="0"/>
    <x v="1"/>
    <x v="163"/>
    <x v="15"/>
    <x v="0"/>
    <x v="0"/>
    <n v="28000000"/>
    <x v="0"/>
  </r>
  <r>
    <x v="0"/>
    <x v="1"/>
    <x v="164"/>
    <x v="15"/>
    <x v="0"/>
    <x v="0"/>
    <n v="28000000"/>
    <x v="0"/>
  </r>
  <r>
    <x v="0"/>
    <x v="1"/>
    <x v="165"/>
    <x v="15"/>
    <x v="0"/>
    <x v="0"/>
    <n v="28000000"/>
    <x v="0"/>
  </r>
  <r>
    <x v="0"/>
    <x v="1"/>
    <x v="166"/>
    <x v="15"/>
    <x v="0"/>
    <x v="0"/>
    <n v="28000000"/>
    <x v="0"/>
  </r>
  <r>
    <x v="0"/>
    <x v="1"/>
    <x v="167"/>
    <x v="15"/>
    <x v="0"/>
    <x v="0"/>
    <n v="28000000"/>
    <x v="0"/>
  </r>
  <r>
    <x v="0"/>
    <x v="1"/>
    <x v="168"/>
    <x v="15"/>
    <x v="0"/>
    <x v="0"/>
    <n v="24000000"/>
    <x v="0"/>
  </r>
  <r>
    <x v="0"/>
    <x v="1"/>
    <x v="169"/>
    <x v="15"/>
    <x v="0"/>
    <x v="0"/>
    <n v="23000000"/>
    <x v="0"/>
  </r>
  <r>
    <x v="0"/>
    <x v="1"/>
    <x v="170"/>
    <x v="15"/>
    <x v="0"/>
    <x v="0"/>
    <n v="24000000"/>
    <x v="0"/>
  </r>
  <r>
    <x v="0"/>
    <x v="1"/>
    <x v="171"/>
    <x v="15"/>
    <x v="0"/>
    <x v="0"/>
    <n v="24000000"/>
    <x v="0"/>
  </r>
  <r>
    <x v="0"/>
    <x v="1"/>
    <x v="172"/>
    <x v="15"/>
    <x v="0"/>
    <x v="0"/>
    <n v="23000000"/>
    <x v="0"/>
  </r>
  <r>
    <x v="0"/>
    <x v="1"/>
    <x v="173"/>
    <x v="15"/>
    <x v="0"/>
    <x v="0"/>
    <n v="24000000"/>
    <x v="0"/>
  </r>
  <r>
    <x v="0"/>
    <x v="1"/>
    <x v="174"/>
    <x v="15"/>
    <x v="0"/>
    <x v="0"/>
    <n v="24000000"/>
    <x v="0"/>
  </r>
  <r>
    <x v="0"/>
    <x v="1"/>
    <x v="175"/>
    <x v="15"/>
    <x v="0"/>
    <x v="0"/>
    <n v="24000000"/>
    <x v="0"/>
  </r>
  <r>
    <x v="0"/>
    <x v="1"/>
    <x v="176"/>
    <x v="15"/>
    <x v="0"/>
    <x v="0"/>
    <n v="24000000"/>
    <x v="0"/>
  </r>
  <r>
    <x v="0"/>
    <x v="1"/>
    <x v="177"/>
    <x v="15"/>
    <x v="0"/>
    <x v="0"/>
    <n v="24000000"/>
    <x v="0"/>
  </r>
  <r>
    <x v="0"/>
    <x v="1"/>
    <x v="178"/>
    <x v="15"/>
    <x v="0"/>
    <x v="0"/>
    <n v="24000000"/>
    <x v="0"/>
  </r>
  <r>
    <x v="0"/>
    <x v="1"/>
    <x v="179"/>
    <x v="15"/>
    <x v="0"/>
    <x v="0"/>
    <n v="24000000"/>
    <x v="0"/>
  </r>
  <r>
    <x v="0"/>
    <x v="1"/>
    <x v="180"/>
    <x v="15"/>
    <x v="0"/>
    <x v="0"/>
    <n v="24000000"/>
    <x v="0"/>
  </r>
  <r>
    <x v="0"/>
    <x v="1"/>
    <x v="181"/>
    <x v="15"/>
    <x v="0"/>
    <x v="0"/>
    <n v="28000000"/>
    <x v="0"/>
  </r>
  <r>
    <x v="0"/>
    <x v="1"/>
    <x v="182"/>
    <x v="15"/>
    <x v="0"/>
    <x v="0"/>
    <n v="28000000"/>
    <x v="0"/>
  </r>
  <r>
    <x v="0"/>
    <x v="1"/>
    <x v="183"/>
    <x v="15"/>
    <x v="0"/>
    <x v="0"/>
    <n v="28000000"/>
    <x v="0"/>
  </r>
  <r>
    <x v="0"/>
    <x v="1"/>
    <x v="184"/>
    <x v="15"/>
    <x v="0"/>
    <x v="0"/>
    <n v="24000000"/>
    <x v="0"/>
  </r>
  <r>
    <x v="0"/>
    <x v="1"/>
    <x v="185"/>
    <x v="15"/>
    <x v="0"/>
    <x v="0"/>
    <n v="28000000"/>
    <x v="0"/>
  </r>
  <r>
    <x v="0"/>
    <x v="1"/>
    <x v="186"/>
    <x v="15"/>
    <x v="0"/>
    <x v="0"/>
    <n v="28000000"/>
    <x v="0"/>
  </r>
  <r>
    <x v="0"/>
    <x v="1"/>
    <x v="187"/>
    <x v="15"/>
    <x v="0"/>
    <x v="0"/>
    <n v="28000000"/>
    <x v="0"/>
  </r>
  <r>
    <x v="0"/>
    <x v="1"/>
    <x v="188"/>
    <x v="15"/>
    <x v="0"/>
    <x v="0"/>
    <n v="28000000"/>
    <x v="0"/>
  </r>
  <r>
    <x v="0"/>
    <x v="1"/>
    <x v="189"/>
    <x v="15"/>
    <x v="0"/>
    <x v="0"/>
    <n v="28000000"/>
    <x v="0"/>
  </r>
  <r>
    <x v="0"/>
    <x v="1"/>
    <x v="190"/>
    <x v="15"/>
    <x v="0"/>
    <x v="0"/>
    <n v="28000000"/>
    <x v="0"/>
  </r>
  <r>
    <x v="0"/>
    <x v="1"/>
    <x v="191"/>
    <x v="15"/>
    <x v="0"/>
    <x v="0"/>
    <n v="23000000"/>
    <x v="0"/>
  </r>
  <r>
    <x v="0"/>
    <x v="1"/>
    <x v="192"/>
    <x v="15"/>
    <x v="0"/>
    <x v="0"/>
    <n v="24000000"/>
    <x v="0"/>
  </r>
  <r>
    <x v="0"/>
    <x v="1"/>
    <x v="193"/>
    <x v="15"/>
    <x v="0"/>
    <x v="0"/>
    <n v="23000000"/>
    <x v="0"/>
  </r>
  <r>
    <x v="0"/>
    <x v="1"/>
    <x v="194"/>
    <x v="15"/>
    <x v="0"/>
    <x v="0"/>
    <n v="23000000"/>
    <x v="0"/>
  </r>
  <r>
    <x v="0"/>
    <x v="1"/>
    <x v="195"/>
    <x v="15"/>
    <x v="0"/>
    <x v="0"/>
    <n v="24000000"/>
    <x v="0"/>
  </r>
  <r>
    <x v="0"/>
    <x v="1"/>
    <x v="196"/>
    <x v="15"/>
    <x v="0"/>
    <x v="0"/>
    <n v="23000000"/>
    <x v="0"/>
  </r>
  <r>
    <x v="0"/>
    <x v="1"/>
    <x v="197"/>
    <x v="15"/>
    <x v="0"/>
    <x v="0"/>
    <n v="29000000"/>
    <x v="0"/>
  </r>
  <r>
    <x v="0"/>
    <x v="1"/>
    <x v="198"/>
    <x v="15"/>
    <x v="0"/>
    <x v="0"/>
    <n v="29000000"/>
    <x v="0"/>
  </r>
  <r>
    <x v="0"/>
    <x v="1"/>
    <x v="199"/>
    <x v="15"/>
    <x v="0"/>
    <x v="0"/>
    <n v="24000000"/>
    <x v="0"/>
  </r>
  <r>
    <x v="0"/>
    <x v="1"/>
    <x v="200"/>
    <x v="15"/>
    <x v="0"/>
    <x v="0"/>
    <n v="28000000"/>
    <x v="0"/>
  </r>
  <r>
    <x v="0"/>
    <x v="1"/>
    <x v="201"/>
    <x v="15"/>
    <x v="0"/>
    <x v="0"/>
    <n v="28000000"/>
    <x v="0"/>
  </r>
  <r>
    <x v="0"/>
    <x v="1"/>
    <x v="202"/>
    <x v="15"/>
    <x v="0"/>
    <x v="0"/>
    <n v="29000000"/>
    <x v="0"/>
  </r>
  <r>
    <x v="0"/>
    <x v="1"/>
    <x v="203"/>
    <x v="15"/>
    <x v="0"/>
    <x v="0"/>
    <n v="28000000"/>
    <x v="0"/>
  </r>
  <r>
    <x v="0"/>
    <x v="1"/>
    <x v="204"/>
    <x v="15"/>
    <x v="0"/>
    <x v="0"/>
    <n v="28000000"/>
    <x v="0"/>
  </r>
  <r>
    <x v="0"/>
    <x v="1"/>
    <x v="205"/>
    <x v="15"/>
    <x v="0"/>
    <x v="0"/>
    <n v="29000000"/>
    <x v="0"/>
  </r>
  <r>
    <x v="0"/>
    <x v="1"/>
    <x v="206"/>
    <x v="15"/>
    <x v="0"/>
    <x v="0"/>
    <n v="29000000"/>
    <x v="0"/>
  </r>
  <r>
    <x v="0"/>
    <x v="1"/>
    <x v="207"/>
    <x v="15"/>
    <x v="0"/>
    <x v="0"/>
    <n v="29000000"/>
    <x v="0"/>
  </r>
  <r>
    <x v="0"/>
    <x v="1"/>
    <x v="208"/>
    <x v="15"/>
    <x v="0"/>
    <x v="0"/>
    <n v="29000000"/>
    <x v="0"/>
  </r>
  <r>
    <x v="0"/>
    <x v="1"/>
    <x v="209"/>
    <x v="15"/>
    <x v="0"/>
    <x v="0"/>
    <n v="28000000"/>
    <x v="0"/>
  </r>
  <r>
    <x v="0"/>
    <x v="1"/>
    <x v="210"/>
    <x v="15"/>
    <x v="0"/>
    <x v="0"/>
    <n v="28000000"/>
    <x v="0"/>
  </r>
  <r>
    <x v="0"/>
    <x v="1"/>
    <x v="211"/>
    <x v="15"/>
    <x v="0"/>
    <x v="0"/>
    <n v="28000000"/>
    <x v="0"/>
  </r>
  <r>
    <x v="0"/>
    <x v="1"/>
    <x v="212"/>
    <x v="15"/>
    <x v="0"/>
    <x v="0"/>
    <n v="23000000"/>
    <x v="0"/>
  </r>
  <r>
    <x v="0"/>
    <x v="1"/>
    <x v="213"/>
    <x v="15"/>
    <x v="0"/>
    <x v="0"/>
    <n v="24000000"/>
    <x v="0"/>
  </r>
  <r>
    <x v="0"/>
    <x v="1"/>
    <x v="214"/>
    <x v="15"/>
    <x v="0"/>
    <x v="0"/>
    <n v="23000000"/>
    <x v="0"/>
  </r>
  <r>
    <x v="0"/>
    <x v="1"/>
    <x v="215"/>
    <x v="15"/>
    <x v="0"/>
    <x v="0"/>
    <n v="24000000"/>
    <x v="0"/>
  </r>
  <r>
    <x v="0"/>
    <x v="1"/>
    <x v="216"/>
    <x v="15"/>
    <x v="0"/>
    <x v="0"/>
    <n v="24000000"/>
    <x v="0"/>
  </r>
  <r>
    <x v="0"/>
    <x v="1"/>
    <x v="217"/>
    <x v="15"/>
    <x v="0"/>
    <x v="0"/>
    <n v="24000000"/>
    <x v="0"/>
  </r>
  <r>
    <x v="0"/>
    <x v="1"/>
    <x v="218"/>
    <x v="15"/>
    <x v="0"/>
    <x v="0"/>
    <n v="24000000"/>
    <x v="0"/>
  </r>
  <r>
    <x v="0"/>
    <x v="1"/>
    <x v="219"/>
    <x v="15"/>
    <x v="0"/>
    <x v="0"/>
    <n v="23000000"/>
    <x v="0"/>
  </r>
  <r>
    <x v="0"/>
    <x v="1"/>
    <x v="220"/>
    <x v="15"/>
    <x v="0"/>
    <x v="0"/>
    <n v="24000000"/>
    <x v="0"/>
  </r>
  <r>
    <x v="0"/>
    <x v="1"/>
    <x v="221"/>
    <x v="15"/>
    <x v="0"/>
    <x v="0"/>
    <n v="28000000"/>
    <x v="0"/>
  </r>
  <r>
    <x v="0"/>
    <x v="1"/>
    <x v="222"/>
    <x v="15"/>
    <x v="0"/>
    <x v="0"/>
    <n v="28000000"/>
    <x v="0"/>
  </r>
  <r>
    <x v="0"/>
    <x v="1"/>
    <x v="223"/>
    <x v="15"/>
    <x v="0"/>
    <x v="0"/>
    <n v="23000000"/>
    <x v="0"/>
  </r>
  <r>
    <x v="0"/>
    <x v="1"/>
    <x v="224"/>
    <x v="15"/>
    <x v="0"/>
    <x v="0"/>
    <n v="28000000"/>
    <x v="0"/>
  </r>
  <r>
    <x v="0"/>
    <x v="1"/>
    <x v="225"/>
    <x v="15"/>
    <x v="0"/>
    <x v="0"/>
    <n v="28000000"/>
    <x v="0"/>
  </r>
  <r>
    <x v="0"/>
    <x v="1"/>
    <x v="226"/>
    <x v="15"/>
    <x v="0"/>
    <x v="0"/>
    <n v="28000000"/>
    <x v="0"/>
  </r>
  <r>
    <x v="0"/>
    <x v="1"/>
    <x v="227"/>
    <x v="15"/>
    <x v="0"/>
    <x v="0"/>
    <n v="29000000"/>
    <x v="0"/>
  </r>
  <r>
    <x v="0"/>
    <x v="1"/>
    <x v="228"/>
    <x v="15"/>
    <x v="0"/>
    <x v="0"/>
    <n v="28000000"/>
    <x v="0"/>
  </r>
  <r>
    <x v="0"/>
    <x v="1"/>
    <x v="229"/>
    <x v="15"/>
    <x v="0"/>
    <x v="0"/>
    <n v="28000000"/>
    <x v="0"/>
  </r>
  <r>
    <x v="0"/>
    <x v="1"/>
    <x v="230"/>
    <x v="15"/>
    <x v="0"/>
    <x v="0"/>
    <n v="28000000"/>
    <x v="0"/>
  </r>
  <r>
    <x v="0"/>
    <x v="1"/>
    <x v="231"/>
    <x v="15"/>
    <x v="0"/>
    <x v="0"/>
    <n v="28000000"/>
    <x v="0"/>
  </r>
  <r>
    <x v="0"/>
    <x v="1"/>
    <x v="232"/>
    <x v="15"/>
    <x v="0"/>
    <x v="0"/>
    <n v="28000000"/>
    <x v="0"/>
  </r>
  <r>
    <x v="0"/>
    <x v="1"/>
    <x v="233"/>
    <x v="15"/>
    <x v="0"/>
    <x v="0"/>
    <n v="24000000"/>
    <x v="0"/>
  </r>
  <r>
    <x v="0"/>
    <x v="1"/>
    <x v="234"/>
    <x v="15"/>
    <x v="0"/>
    <x v="0"/>
    <n v="28000000"/>
    <x v="0"/>
  </r>
  <r>
    <x v="0"/>
    <x v="1"/>
    <x v="235"/>
    <x v="15"/>
    <x v="0"/>
    <x v="0"/>
    <n v="29000000"/>
    <x v="0"/>
  </r>
  <r>
    <x v="0"/>
    <x v="1"/>
    <x v="236"/>
    <x v="15"/>
    <x v="0"/>
    <x v="0"/>
    <n v="28000000"/>
    <x v="0"/>
  </r>
  <r>
    <x v="0"/>
    <x v="1"/>
    <x v="237"/>
    <x v="15"/>
    <x v="0"/>
    <x v="0"/>
    <n v="28000000"/>
    <x v="0"/>
  </r>
  <r>
    <x v="0"/>
    <x v="1"/>
    <x v="238"/>
    <x v="15"/>
    <x v="0"/>
    <x v="0"/>
    <n v="28000000"/>
    <x v="0"/>
  </r>
  <r>
    <x v="0"/>
    <x v="1"/>
    <x v="239"/>
    <x v="15"/>
    <x v="0"/>
    <x v="0"/>
    <n v="28000000"/>
    <x v="0"/>
  </r>
  <r>
    <x v="0"/>
    <x v="1"/>
    <x v="240"/>
    <x v="15"/>
    <x v="0"/>
    <x v="0"/>
    <n v="28000000"/>
    <x v="0"/>
  </r>
  <r>
    <x v="0"/>
    <x v="1"/>
    <x v="241"/>
    <x v="15"/>
    <x v="0"/>
    <x v="0"/>
    <n v="28000000"/>
    <x v="0"/>
  </r>
  <r>
    <x v="0"/>
    <x v="1"/>
    <x v="242"/>
    <x v="15"/>
    <x v="0"/>
    <x v="0"/>
    <n v="24000000"/>
    <x v="0"/>
  </r>
  <r>
    <x v="0"/>
    <x v="1"/>
    <x v="243"/>
    <x v="15"/>
    <x v="0"/>
    <x v="0"/>
    <n v="24000000"/>
    <x v="0"/>
  </r>
  <r>
    <x v="0"/>
    <x v="1"/>
    <x v="244"/>
    <x v="15"/>
    <x v="0"/>
    <x v="0"/>
    <n v="24000000"/>
    <x v="0"/>
  </r>
  <r>
    <x v="0"/>
    <x v="1"/>
    <x v="245"/>
    <x v="15"/>
    <x v="0"/>
    <x v="0"/>
    <n v="24000000"/>
    <x v="0"/>
  </r>
  <r>
    <x v="0"/>
    <x v="1"/>
    <x v="246"/>
    <x v="15"/>
    <x v="0"/>
    <x v="0"/>
    <n v="23000000"/>
    <x v="0"/>
  </r>
  <r>
    <x v="0"/>
    <x v="1"/>
    <x v="247"/>
    <x v="15"/>
    <x v="0"/>
    <x v="0"/>
    <n v="24000000"/>
    <x v="0"/>
  </r>
  <r>
    <x v="0"/>
    <x v="1"/>
    <x v="248"/>
    <x v="15"/>
    <x v="0"/>
    <x v="0"/>
    <n v="24000000"/>
    <x v="0"/>
  </r>
  <r>
    <x v="0"/>
    <x v="1"/>
    <x v="249"/>
    <x v="15"/>
    <x v="0"/>
    <x v="0"/>
    <n v="23000000"/>
    <x v="0"/>
  </r>
  <r>
    <x v="0"/>
    <x v="1"/>
    <x v="250"/>
    <x v="15"/>
    <x v="0"/>
    <x v="0"/>
    <n v="24000000"/>
    <x v="0"/>
  </r>
  <r>
    <x v="0"/>
    <x v="1"/>
    <x v="251"/>
    <x v="15"/>
    <x v="0"/>
    <x v="0"/>
    <n v="23000000"/>
    <x v="0"/>
  </r>
  <r>
    <x v="0"/>
    <x v="1"/>
    <x v="252"/>
    <x v="15"/>
    <x v="0"/>
    <x v="0"/>
    <n v="24000000"/>
    <x v="0"/>
  </r>
  <r>
    <x v="0"/>
    <x v="1"/>
    <x v="253"/>
    <x v="15"/>
    <x v="0"/>
    <x v="0"/>
    <n v="23000000"/>
    <x v="0"/>
  </r>
  <r>
    <x v="0"/>
    <x v="1"/>
    <x v="254"/>
    <x v="15"/>
    <x v="0"/>
    <x v="0"/>
    <n v="24000000"/>
    <x v="0"/>
  </r>
  <r>
    <x v="0"/>
    <x v="1"/>
    <x v="255"/>
    <x v="15"/>
    <x v="0"/>
    <x v="0"/>
    <n v="24000000"/>
    <x v="0"/>
  </r>
  <r>
    <x v="0"/>
    <x v="1"/>
    <x v="256"/>
    <x v="15"/>
    <x v="1"/>
    <x v="0"/>
    <n v="0"/>
    <x v="18"/>
  </r>
  <r>
    <x v="0"/>
    <x v="1"/>
    <x v="257"/>
    <x v="15"/>
    <x v="1"/>
    <x v="0"/>
    <n v="0"/>
    <x v="18"/>
  </r>
  <r>
    <x v="0"/>
    <x v="1"/>
    <x v="258"/>
    <x v="15"/>
    <x v="1"/>
    <x v="0"/>
    <n v="0"/>
    <x v="18"/>
  </r>
  <r>
    <x v="0"/>
    <x v="1"/>
    <x v="259"/>
    <x v="15"/>
    <x v="1"/>
    <x v="0"/>
    <n v="0"/>
    <x v="18"/>
  </r>
  <r>
    <x v="0"/>
    <x v="1"/>
    <x v="260"/>
    <x v="15"/>
    <x v="1"/>
    <x v="0"/>
    <n v="0"/>
    <x v="18"/>
  </r>
  <r>
    <x v="0"/>
    <x v="1"/>
    <x v="261"/>
    <x v="15"/>
    <x v="1"/>
    <x v="0"/>
    <n v="0"/>
    <x v="18"/>
  </r>
  <r>
    <x v="0"/>
    <x v="1"/>
    <x v="262"/>
    <x v="15"/>
    <x v="1"/>
    <x v="0"/>
    <n v="0"/>
    <x v="18"/>
  </r>
  <r>
    <x v="0"/>
    <x v="1"/>
    <x v="263"/>
    <x v="15"/>
    <x v="1"/>
    <x v="0"/>
    <n v="0"/>
    <x v="18"/>
  </r>
  <r>
    <x v="0"/>
    <x v="1"/>
    <x v="264"/>
    <x v="15"/>
    <x v="0"/>
    <x v="0"/>
    <n v="23000000"/>
    <x v="0"/>
  </r>
  <r>
    <x v="0"/>
    <x v="1"/>
    <x v="265"/>
    <x v="15"/>
    <x v="0"/>
    <x v="0"/>
    <n v="23000000"/>
    <x v="0"/>
  </r>
  <r>
    <x v="0"/>
    <x v="1"/>
    <x v="266"/>
    <x v="15"/>
    <x v="0"/>
    <x v="0"/>
    <n v="23000000"/>
    <x v="0"/>
  </r>
  <r>
    <x v="0"/>
    <x v="1"/>
    <x v="267"/>
    <x v="15"/>
    <x v="1"/>
    <x v="0"/>
    <n v="0"/>
    <x v="18"/>
  </r>
  <r>
    <x v="0"/>
    <x v="1"/>
    <x v="268"/>
    <x v="15"/>
    <x v="0"/>
    <x v="0"/>
    <n v="23000000"/>
    <x v="0"/>
  </r>
  <r>
    <x v="0"/>
    <x v="1"/>
    <x v="269"/>
    <x v="15"/>
    <x v="0"/>
    <x v="0"/>
    <n v="23000000"/>
    <x v="0"/>
  </r>
  <r>
    <x v="0"/>
    <x v="1"/>
    <x v="270"/>
    <x v="15"/>
    <x v="0"/>
    <x v="0"/>
    <n v="23000000"/>
    <x v="0"/>
  </r>
  <r>
    <x v="0"/>
    <x v="1"/>
    <x v="271"/>
    <x v="15"/>
    <x v="1"/>
    <x v="0"/>
    <n v="0"/>
    <x v="18"/>
  </r>
  <r>
    <x v="0"/>
    <x v="1"/>
    <x v="272"/>
    <x v="15"/>
    <x v="0"/>
    <x v="0"/>
    <n v="23000000"/>
    <x v="0"/>
  </r>
  <r>
    <x v="0"/>
    <x v="1"/>
    <x v="273"/>
    <x v="15"/>
    <x v="0"/>
    <x v="0"/>
    <n v="23000000"/>
    <x v="0"/>
  </r>
  <r>
    <x v="0"/>
    <x v="1"/>
    <x v="274"/>
    <x v="15"/>
    <x v="0"/>
    <x v="0"/>
    <n v="23000000"/>
    <x v="0"/>
  </r>
  <r>
    <x v="0"/>
    <x v="1"/>
    <x v="275"/>
    <x v="15"/>
    <x v="0"/>
    <x v="0"/>
    <n v="23000000"/>
    <x v="0"/>
  </r>
  <r>
    <x v="0"/>
    <x v="1"/>
    <x v="276"/>
    <x v="15"/>
    <x v="1"/>
    <x v="0"/>
    <n v="0"/>
    <x v="18"/>
  </r>
  <r>
    <x v="0"/>
    <x v="1"/>
    <x v="277"/>
    <x v="15"/>
    <x v="0"/>
    <x v="0"/>
    <n v="23000000"/>
    <x v="0"/>
  </r>
  <r>
    <x v="0"/>
    <x v="1"/>
    <x v="278"/>
    <x v="15"/>
    <x v="0"/>
    <x v="0"/>
    <n v="24000000"/>
    <x v="0"/>
  </r>
  <r>
    <x v="0"/>
    <x v="1"/>
    <x v="279"/>
    <x v="15"/>
    <x v="1"/>
    <x v="0"/>
    <n v="0"/>
    <x v="18"/>
  </r>
  <r>
    <x v="0"/>
    <x v="1"/>
    <x v="280"/>
    <x v="15"/>
    <x v="0"/>
    <x v="0"/>
    <n v="24000000"/>
    <x v="0"/>
  </r>
  <r>
    <x v="0"/>
    <x v="1"/>
    <x v="281"/>
    <x v="15"/>
    <x v="0"/>
    <x v="0"/>
    <n v="23000000"/>
    <x v="0"/>
  </r>
  <r>
    <x v="0"/>
    <x v="1"/>
    <x v="282"/>
    <x v="15"/>
    <x v="0"/>
    <x v="0"/>
    <n v="23000000"/>
    <x v="0"/>
  </r>
  <r>
    <x v="0"/>
    <x v="1"/>
    <x v="283"/>
    <x v="15"/>
    <x v="0"/>
    <x v="0"/>
    <n v="23000000"/>
    <x v="0"/>
  </r>
  <r>
    <x v="0"/>
    <x v="1"/>
    <x v="284"/>
    <x v="15"/>
    <x v="1"/>
    <x v="0"/>
    <n v="0"/>
    <x v="18"/>
  </r>
  <r>
    <x v="0"/>
    <x v="1"/>
    <x v="285"/>
    <x v="15"/>
    <x v="0"/>
    <x v="0"/>
    <n v="23000000"/>
    <x v="0"/>
  </r>
  <r>
    <x v="0"/>
    <x v="1"/>
    <x v="286"/>
    <x v="15"/>
    <x v="0"/>
    <x v="0"/>
    <n v="24000000"/>
    <x v="0"/>
  </r>
  <r>
    <x v="0"/>
    <x v="1"/>
    <x v="287"/>
    <x v="15"/>
    <x v="1"/>
    <x v="0"/>
    <n v="0"/>
    <x v="18"/>
  </r>
  <r>
    <x v="0"/>
    <x v="1"/>
    <x v="288"/>
    <x v="15"/>
    <x v="0"/>
    <x v="0"/>
    <n v="24000000"/>
    <x v="0"/>
  </r>
  <r>
    <x v="0"/>
    <x v="1"/>
    <x v="289"/>
    <x v="15"/>
    <x v="0"/>
    <x v="0"/>
    <n v="23000000"/>
    <x v="0"/>
  </r>
  <r>
    <x v="0"/>
    <x v="1"/>
    <x v="290"/>
    <x v="15"/>
    <x v="0"/>
    <x v="0"/>
    <n v="23000000"/>
    <x v="0"/>
  </r>
  <r>
    <x v="0"/>
    <x v="1"/>
    <x v="291"/>
    <x v="15"/>
    <x v="0"/>
    <x v="0"/>
    <n v="23000000"/>
    <x v="0"/>
  </r>
  <r>
    <x v="0"/>
    <x v="1"/>
    <x v="292"/>
    <x v="15"/>
    <x v="0"/>
    <x v="0"/>
    <n v="23000000"/>
    <x v="0"/>
  </r>
  <r>
    <x v="0"/>
    <x v="1"/>
    <x v="293"/>
    <x v="15"/>
    <x v="0"/>
    <x v="0"/>
    <n v="23000000"/>
    <x v="0"/>
  </r>
  <r>
    <x v="0"/>
    <x v="1"/>
    <x v="294"/>
    <x v="15"/>
    <x v="0"/>
    <x v="0"/>
    <n v="24000000"/>
    <x v="0"/>
  </r>
  <r>
    <x v="0"/>
    <x v="1"/>
    <x v="295"/>
    <x v="15"/>
    <x v="0"/>
    <x v="0"/>
    <n v="23000000"/>
    <x v="0"/>
  </r>
  <r>
    <x v="0"/>
    <x v="1"/>
    <x v="296"/>
    <x v="15"/>
    <x v="0"/>
    <x v="0"/>
    <n v="23000000"/>
    <x v="0"/>
  </r>
  <r>
    <x v="0"/>
    <x v="2"/>
    <x v="297"/>
    <x v="15"/>
    <x v="0"/>
    <x v="0"/>
    <n v="10000000"/>
    <x v="0"/>
  </r>
  <r>
    <x v="0"/>
    <x v="2"/>
    <x v="298"/>
    <x v="15"/>
    <x v="0"/>
    <x v="0"/>
    <n v="12000000"/>
    <x v="0"/>
  </r>
  <r>
    <x v="0"/>
    <x v="2"/>
    <x v="299"/>
    <x v="15"/>
    <x v="0"/>
    <x v="0"/>
    <n v="12000000"/>
    <x v="0"/>
  </r>
  <r>
    <x v="0"/>
    <x v="2"/>
    <x v="300"/>
    <x v="15"/>
    <x v="1"/>
    <x v="0"/>
    <n v="0"/>
    <x v="19"/>
  </r>
  <r>
    <x v="0"/>
    <x v="2"/>
    <x v="301"/>
    <x v="15"/>
    <x v="0"/>
    <x v="0"/>
    <n v="12000000"/>
    <x v="0"/>
  </r>
  <r>
    <x v="0"/>
    <x v="2"/>
    <x v="302"/>
    <x v="15"/>
    <x v="0"/>
    <x v="0"/>
    <n v="10000000"/>
    <x v="0"/>
  </r>
  <r>
    <x v="0"/>
    <x v="2"/>
    <x v="303"/>
    <x v="15"/>
    <x v="0"/>
    <x v="0"/>
    <n v="10000000"/>
    <x v="0"/>
  </r>
  <r>
    <x v="0"/>
    <x v="2"/>
    <x v="304"/>
    <x v="15"/>
    <x v="0"/>
    <x v="0"/>
    <n v="12000000"/>
    <x v="0"/>
  </r>
  <r>
    <x v="0"/>
    <x v="2"/>
    <x v="305"/>
    <x v="15"/>
    <x v="0"/>
    <x v="0"/>
    <n v="12000000"/>
    <x v="0"/>
  </r>
  <r>
    <x v="0"/>
    <x v="2"/>
    <x v="306"/>
    <x v="15"/>
    <x v="0"/>
    <x v="0"/>
    <n v="12000000"/>
    <x v="0"/>
  </r>
  <r>
    <x v="0"/>
    <x v="2"/>
    <x v="307"/>
    <x v="15"/>
    <x v="1"/>
    <x v="0"/>
    <n v="0"/>
    <x v="19"/>
  </r>
  <r>
    <x v="0"/>
    <x v="3"/>
    <x v="308"/>
    <x v="15"/>
    <x v="0"/>
    <x v="0"/>
    <n v="5000000"/>
    <x v="0"/>
  </r>
  <r>
    <x v="0"/>
    <x v="3"/>
    <x v="309"/>
    <x v="15"/>
    <x v="0"/>
    <x v="0"/>
    <n v="5000000"/>
    <x v="0"/>
  </r>
  <r>
    <x v="0"/>
    <x v="3"/>
    <x v="310"/>
    <x v="15"/>
    <x v="0"/>
    <x v="0"/>
    <n v="5000000"/>
    <x v="0"/>
  </r>
  <r>
    <x v="0"/>
    <x v="3"/>
    <x v="311"/>
    <x v="15"/>
    <x v="0"/>
    <x v="0"/>
    <n v="5000000"/>
    <x v="0"/>
  </r>
  <r>
    <x v="0"/>
    <x v="3"/>
    <x v="312"/>
    <x v="15"/>
    <x v="0"/>
    <x v="0"/>
    <n v="5000000"/>
    <x v="0"/>
  </r>
  <r>
    <x v="0"/>
    <x v="3"/>
    <x v="313"/>
    <x v="15"/>
    <x v="1"/>
    <x v="0"/>
    <n v="0"/>
    <x v="20"/>
  </r>
  <r>
    <x v="0"/>
    <x v="3"/>
    <x v="314"/>
    <x v="15"/>
    <x v="0"/>
    <x v="0"/>
    <n v="5000000"/>
    <x v="0"/>
  </r>
  <r>
    <x v="0"/>
    <x v="3"/>
    <x v="315"/>
    <x v="15"/>
    <x v="0"/>
    <x v="0"/>
    <n v="5000000"/>
    <x v="0"/>
  </r>
  <r>
    <x v="0"/>
    <x v="3"/>
    <x v="316"/>
    <x v="15"/>
    <x v="0"/>
    <x v="0"/>
    <n v="5000000"/>
    <x v="0"/>
  </r>
  <r>
    <x v="0"/>
    <x v="3"/>
    <x v="317"/>
    <x v="15"/>
    <x v="0"/>
    <x v="0"/>
    <n v="5000000"/>
    <x v="0"/>
  </r>
  <r>
    <x v="0"/>
    <x v="3"/>
    <x v="318"/>
    <x v="15"/>
    <x v="0"/>
    <x v="0"/>
    <n v="5000000"/>
    <x v="0"/>
  </r>
  <r>
    <x v="0"/>
    <x v="3"/>
    <x v="319"/>
    <x v="15"/>
    <x v="0"/>
    <x v="0"/>
    <n v="5000000"/>
    <x v="0"/>
  </r>
  <r>
    <x v="0"/>
    <x v="3"/>
    <x v="320"/>
    <x v="15"/>
    <x v="0"/>
    <x v="0"/>
    <n v="5000000"/>
    <x v="0"/>
  </r>
  <r>
    <x v="0"/>
    <x v="3"/>
    <x v="321"/>
    <x v="15"/>
    <x v="0"/>
    <x v="0"/>
    <n v="5000000"/>
    <x v="0"/>
  </r>
  <r>
    <x v="0"/>
    <x v="3"/>
    <x v="322"/>
    <x v="15"/>
    <x v="0"/>
    <x v="0"/>
    <n v="5000000"/>
    <x v="0"/>
  </r>
  <r>
    <x v="0"/>
    <x v="3"/>
    <x v="323"/>
    <x v="15"/>
    <x v="0"/>
    <x v="0"/>
    <n v="5000000"/>
    <x v="0"/>
  </r>
  <r>
    <x v="0"/>
    <x v="3"/>
    <x v="324"/>
    <x v="15"/>
    <x v="0"/>
    <x v="0"/>
    <n v="5000000"/>
    <x v="0"/>
  </r>
  <r>
    <x v="0"/>
    <x v="3"/>
    <x v="325"/>
    <x v="15"/>
    <x v="0"/>
    <x v="0"/>
    <n v="5000000"/>
    <x v="0"/>
  </r>
  <r>
    <x v="0"/>
    <x v="3"/>
    <x v="326"/>
    <x v="15"/>
    <x v="0"/>
    <x v="0"/>
    <n v="5000000"/>
    <x v="0"/>
  </r>
  <r>
    <x v="0"/>
    <x v="3"/>
    <x v="327"/>
    <x v="15"/>
    <x v="0"/>
    <x v="0"/>
    <n v="5000000"/>
    <x v="0"/>
  </r>
  <r>
    <x v="0"/>
    <x v="3"/>
    <x v="328"/>
    <x v="15"/>
    <x v="0"/>
    <x v="0"/>
    <n v="5000000"/>
    <x v="0"/>
  </r>
  <r>
    <x v="0"/>
    <x v="3"/>
    <x v="329"/>
    <x v="15"/>
    <x v="0"/>
    <x v="0"/>
    <n v="5000000"/>
    <x v="0"/>
  </r>
  <r>
    <x v="0"/>
    <x v="3"/>
    <x v="330"/>
    <x v="15"/>
    <x v="0"/>
    <x v="0"/>
    <n v="5000000"/>
    <x v="0"/>
  </r>
  <r>
    <x v="0"/>
    <x v="3"/>
    <x v="331"/>
    <x v="15"/>
    <x v="0"/>
    <x v="0"/>
    <n v="5000000"/>
    <x v="0"/>
  </r>
  <r>
    <x v="0"/>
    <x v="3"/>
    <x v="332"/>
    <x v="15"/>
    <x v="0"/>
    <x v="0"/>
    <n v="5000000"/>
    <x v="0"/>
  </r>
  <r>
    <x v="0"/>
    <x v="3"/>
    <x v="333"/>
    <x v="15"/>
    <x v="0"/>
    <x v="0"/>
    <n v="5000000"/>
    <x v="0"/>
  </r>
  <r>
    <x v="0"/>
    <x v="3"/>
    <x v="334"/>
    <x v="15"/>
    <x v="0"/>
    <x v="0"/>
    <n v="5000000"/>
    <x v="0"/>
  </r>
  <r>
    <x v="0"/>
    <x v="3"/>
    <x v="335"/>
    <x v="15"/>
    <x v="0"/>
    <x v="0"/>
    <n v="5000000"/>
    <x v="0"/>
  </r>
  <r>
    <x v="0"/>
    <x v="3"/>
    <x v="336"/>
    <x v="15"/>
    <x v="0"/>
    <x v="0"/>
    <n v="5000000"/>
    <x v="0"/>
  </r>
  <r>
    <x v="0"/>
    <x v="3"/>
    <x v="337"/>
    <x v="15"/>
    <x v="0"/>
    <x v="0"/>
    <n v="5000000"/>
    <x v="0"/>
  </r>
  <r>
    <x v="0"/>
    <x v="3"/>
    <x v="338"/>
    <x v="15"/>
    <x v="0"/>
    <x v="0"/>
    <n v="5000000"/>
    <x v="0"/>
  </r>
  <r>
    <x v="0"/>
    <x v="3"/>
    <x v="339"/>
    <x v="15"/>
    <x v="0"/>
    <x v="0"/>
    <n v="5000000"/>
    <x v="0"/>
  </r>
  <r>
    <x v="0"/>
    <x v="3"/>
    <x v="340"/>
    <x v="15"/>
    <x v="0"/>
    <x v="0"/>
    <n v="5000000"/>
    <x v="0"/>
  </r>
  <r>
    <x v="0"/>
    <x v="3"/>
    <x v="341"/>
    <x v="15"/>
    <x v="0"/>
    <x v="0"/>
    <n v="5000000"/>
    <x v="0"/>
  </r>
  <r>
    <x v="0"/>
    <x v="3"/>
    <x v="342"/>
    <x v="15"/>
    <x v="0"/>
    <x v="0"/>
    <n v="5000000"/>
    <x v="0"/>
  </r>
  <r>
    <x v="0"/>
    <x v="3"/>
    <x v="343"/>
    <x v="15"/>
    <x v="0"/>
    <x v="0"/>
    <n v="5000000"/>
    <x v="0"/>
  </r>
  <r>
    <x v="0"/>
    <x v="3"/>
    <x v="344"/>
    <x v="15"/>
    <x v="0"/>
    <x v="0"/>
    <n v="5000000"/>
    <x v="0"/>
  </r>
  <r>
    <x v="0"/>
    <x v="3"/>
    <x v="345"/>
    <x v="15"/>
    <x v="0"/>
    <x v="0"/>
    <n v="5000000"/>
    <x v="0"/>
  </r>
  <r>
    <x v="0"/>
    <x v="3"/>
    <x v="346"/>
    <x v="15"/>
    <x v="0"/>
    <x v="0"/>
    <n v="5000000"/>
    <x v="0"/>
  </r>
  <r>
    <x v="0"/>
    <x v="3"/>
    <x v="347"/>
    <x v="15"/>
    <x v="0"/>
    <x v="0"/>
    <n v="5000000"/>
    <x v="0"/>
  </r>
  <r>
    <x v="0"/>
    <x v="3"/>
    <x v="348"/>
    <x v="15"/>
    <x v="0"/>
    <x v="0"/>
    <n v="5000000"/>
    <x v="0"/>
  </r>
  <r>
    <x v="0"/>
    <x v="3"/>
    <x v="349"/>
    <x v="15"/>
    <x v="0"/>
    <x v="0"/>
    <n v="5000000"/>
    <x v="0"/>
  </r>
  <r>
    <x v="0"/>
    <x v="3"/>
    <x v="350"/>
    <x v="15"/>
    <x v="0"/>
    <x v="0"/>
    <n v="5000000"/>
    <x v="0"/>
  </r>
  <r>
    <x v="0"/>
    <x v="3"/>
    <x v="351"/>
    <x v="15"/>
    <x v="0"/>
    <x v="0"/>
    <n v="5000000"/>
    <x v="0"/>
  </r>
  <r>
    <x v="0"/>
    <x v="3"/>
    <x v="352"/>
    <x v="15"/>
    <x v="0"/>
    <x v="0"/>
    <n v="5000000"/>
    <x v="0"/>
  </r>
  <r>
    <x v="0"/>
    <x v="3"/>
    <x v="353"/>
    <x v="15"/>
    <x v="0"/>
    <x v="0"/>
    <n v="5000000"/>
    <x v="0"/>
  </r>
  <r>
    <x v="0"/>
    <x v="3"/>
    <x v="354"/>
    <x v="15"/>
    <x v="0"/>
    <x v="0"/>
    <n v="5000000"/>
    <x v="0"/>
  </r>
  <r>
    <x v="0"/>
    <x v="3"/>
    <x v="355"/>
    <x v="15"/>
    <x v="0"/>
    <x v="0"/>
    <n v="5000000"/>
    <x v="0"/>
  </r>
  <r>
    <x v="0"/>
    <x v="3"/>
    <x v="356"/>
    <x v="15"/>
    <x v="0"/>
    <x v="0"/>
    <n v="5000000"/>
    <x v="0"/>
  </r>
  <r>
    <x v="0"/>
    <x v="3"/>
    <x v="357"/>
    <x v="15"/>
    <x v="1"/>
    <x v="0"/>
    <n v="0"/>
    <x v="20"/>
  </r>
  <r>
    <x v="0"/>
    <x v="3"/>
    <x v="358"/>
    <x v="15"/>
    <x v="1"/>
    <x v="0"/>
    <n v="0"/>
    <x v="20"/>
  </r>
  <r>
    <x v="0"/>
    <x v="3"/>
    <x v="359"/>
    <x v="15"/>
    <x v="0"/>
    <x v="0"/>
    <n v="5000000"/>
    <x v="0"/>
  </r>
  <r>
    <x v="0"/>
    <x v="3"/>
    <x v="360"/>
    <x v="15"/>
    <x v="1"/>
    <x v="0"/>
    <n v="0"/>
    <x v="20"/>
  </r>
  <r>
    <x v="0"/>
    <x v="3"/>
    <x v="361"/>
    <x v="15"/>
    <x v="1"/>
    <x v="0"/>
    <n v="0"/>
    <x v="20"/>
  </r>
  <r>
    <x v="0"/>
    <x v="3"/>
    <x v="362"/>
    <x v="15"/>
    <x v="1"/>
    <x v="0"/>
    <n v="0"/>
    <x v="20"/>
  </r>
  <r>
    <x v="0"/>
    <x v="3"/>
    <x v="363"/>
    <x v="15"/>
    <x v="1"/>
    <x v="0"/>
    <n v="0"/>
    <x v="20"/>
  </r>
  <r>
    <x v="0"/>
    <x v="3"/>
    <x v="364"/>
    <x v="15"/>
    <x v="1"/>
    <x v="0"/>
    <n v="0"/>
    <x v="20"/>
  </r>
  <r>
    <x v="0"/>
    <x v="3"/>
    <x v="365"/>
    <x v="15"/>
    <x v="1"/>
    <x v="0"/>
    <n v="0"/>
    <x v="20"/>
  </r>
  <r>
    <x v="0"/>
    <x v="3"/>
    <x v="366"/>
    <x v="15"/>
    <x v="1"/>
    <x v="0"/>
    <n v="0"/>
    <x v="20"/>
  </r>
  <r>
    <x v="0"/>
    <x v="3"/>
    <x v="367"/>
    <x v="15"/>
    <x v="1"/>
    <x v="0"/>
    <n v="0"/>
    <x v="20"/>
  </r>
  <r>
    <x v="0"/>
    <x v="3"/>
    <x v="368"/>
    <x v="15"/>
    <x v="1"/>
    <x v="0"/>
    <n v="0"/>
    <x v="20"/>
  </r>
  <r>
    <x v="0"/>
    <x v="3"/>
    <x v="369"/>
    <x v="15"/>
    <x v="0"/>
    <x v="0"/>
    <n v="5000000"/>
    <x v="0"/>
  </r>
  <r>
    <x v="0"/>
    <x v="3"/>
    <x v="370"/>
    <x v="15"/>
    <x v="0"/>
    <x v="0"/>
    <n v="5000000"/>
    <x v="0"/>
  </r>
  <r>
    <x v="0"/>
    <x v="3"/>
    <x v="371"/>
    <x v="15"/>
    <x v="0"/>
    <x v="0"/>
    <n v="5000000"/>
    <x v="0"/>
  </r>
  <r>
    <x v="0"/>
    <x v="3"/>
    <x v="372"/>
    <x v="15"/>
    <x v="1"/>
    <x v="0"/>
    <n v="0"/>
    <x v="20"/>
  </r>
  <r>
    <x v="0"/>
    <x v="3"/>
    <x v="373"/>
    <x v="15"/>
    <x v="0"/>
    <x v="0"/>
    <n v="5000000"/>
    <x v="0"/>
  </r>
  <r>
    <x v="0"/>
    <x v="3"/>
    <x v="374"/>
    <x v="15"/>
    <x v="0"/>
    <x v="0"/>
    <n v="5000000"/>
    <x v="0"/>
  </r>
  <r>
    <x v="0"/>
    <x v="3"/>
    <x v="375"/>
    <x v="15"/>
    <x v="0"/>
    <x v="0"/>
    <n v="5000000"/>
    <x v="0"/>
  </r>
  <r>
    <x v="0"/>
    <x v="3"/>
    <x v="376"/>
    <x v="15"/>
    <x v="0"/>
    <x v="0"/>
    <n v="5000000"/>
    <x v="0"/>
  </r>
  <r>
    <x v="0"/>
    <x v="3"/>
    <x v="377"/>
    <x v="15"/>
    <x v="1"/>
    <x v="0"/>
    <n v="0"/>
    <x v="20"/>
  </r>
  <r>
    <x v="0"/>
    <x v="3"/>
    <x v="378"/>
    <x v="15"/>
    <x v="0"/>
    <x v="0"/>
    <n v="5000000"/>
    <x v="0"/>
  </r>
  <r>
    <x v="0"/>
    <x v="3"/>
    <x v="379"/>
    <x v="15"/>
    <x v="0"/>
    <x v="0"/>
    <n v="5000000"/>
    <x v="0"/>
  </r>
  <r>
    <x v="0"/>
    <x v="3"/>
    <x v="380"/>
    <x v="15"/>
    <x v="0"/>
    <x v="0"/>
    <n v="5000000"/>
    <x v="0"/>
  </r>
  <r>
    <x v="0"/>
    <x v="3"/>
    <x v="381"/>
    <x v="15"/>
    <x v="0"/>
    <x v="0"/>
    <n v="5000000"/>
    <x v="0"/>
  </r>
  <r>
    <x v="0"/>
    <x v="3"/>
    <x v="382"/>
    <x v="15"/>
    <x v="0"/>
    <x v="0"/>
    <n v="5000000"/>
    <x v="0"/>
  </r>
  <r>
    <x v="0"/>
    <x v="3"/>
    <x v="383"/>
    <x v="15"/>
    <x v="0"/>
    <x v="0"/>
    <n v="5000000"/>
    <x v="0"/>
  </r>
  <r>
    <x v="0"/>
    <x v="3"/>
    <x v="384"/>
    <x v="15"/>
    <x v="0"/>
    <x v="0"/>
    <n v="5000000"/>
    <x v="0"/>
  </r>
  <r>
    <x v="0"/>
    <x v="3"/>
    <x v="385"/>
    <x v="15"/>
    <x v="0"/>
    <x v="0"/>
    <n v="5000000"/>
    <x v="0"/>
  </r>
  <r>
    <x v="0"/>
    <x v="3"/>
    <x v="386"/>
    <x v="15"/>
    <x v="0"/>
    <x v="0"/>
    <n v="5000000"/>
    <x v="0"/>
  </r>
  <r>
    <x v="0"/>
    <x v="3"/>
    <x v="387"/>
    <x v="15"/>
    <x v="0"/>
    <x v="0"/>
    <n v="5000000"/>
    <x v="0"/>
  </r>
  <r>
    <x v="0"/>
    <x v="3"/>
    <x v="388"/>
    <x v="15"/>
    <x v="0"/>
    <x v="0"/>
    <n v="5000000"/>
    <x v="0"/>
  </r>
  <r>
    <x v="0"/>
    <x v="3"/>
    <x v="389"/>
    <x v="15"/>
    <x v="1"/>
    <x v="0"/>
    <n v="0"/>
    <x v="20"/>
  </r>
  <r>
    <x v="0"/>
    <x v="3"/>
    <x v="390"/>
    <x v="15"/>
    <x v="0"/>
    <x v="0"/>
    <n v="5000000"/>
    <x v="0"/>
  </r>
  <r>
    <x v="0"/>
    <x v="3"/>
    <x v="391"/>
    <x v="15"/>
    <x v="0"/>
    <x v="0"/>
    <n v="5000000"/>
    <x v="0"/>
  </r>
  <r>
    <x v="0"/>
    <x v="3"/>
    <x v="392"/>
    <x v="15"/>
    <x v="1"/>
    <x v="0"/>
    <n v="0"/>
    <x v="20"/>
  </r>
  <r>
    <x v="0"/>
    <x v="3"/>
    <x v="393"/>
    <x v="15"/>
    <x v="0"/>
    <x v="0"/>
    <n v="5000000"/>
    <x v="0"/>
  </r>
  <r>
    <x v="0"/>
    <x v="3"/>
    <x v="394"/>
    <x v="15"/>
    <x v="0"/>
    <x v="0"/>
    <n v="5000000"/>
    <x v="0"/>
  </r>
  <r>
    <x v="0"/>
    <x v="3"/>
    <x v="395"/>
    <x v="15"/>
    <x v="0"/>
    <x v="0"/>
    <n v="5000000"/>
    <x v="0"/>
  </r>
  <r>
    <x v="0"/>
    <x v="3"/>
    <x v="396"/>
    <x v="15"/>
    <x v="0"/>
    <x v="0"/>
    <n v="5000000"/>
    <x v="0"/>
  </r>
  <r>
    <x v="0"/>
    <x v="3"/>
    <x v="397"/>
    <x v="15"/>
    <x v="0"/>
    <x v="0"/>
    <n v="5000000"/>
    <x v="0"/>
  </r>
  <r>
    <x v="0"/>
    <x v="3"/>
    <x v="398"/>
    <x v="15"/>
    <x v="0"/>
    <x v="0"/>
    <n v="5000000"/>
    <x v="0"/>
  </r>
  <r>
    <x v="0"/>
    <x v="3"/>
    <x v="399"/>
    <x v="15"/>
    <x v="0"/>
    <x v="0"/>
    <n v="5000000"/>
    <x v="0"/>
  </r>
  <r>
    <x v="0"/>
    <x v="3"/>
    <x v="400"/>
    <x v="15"/>
    <x v="0"/>
    <x v="0"/>
    <n v="5000000"/>
    <x v="0"/>
  </r>
  <r>
    <x v="0"/>
    <x v="3"/>
    <x v="401"/>
    <x v="15"/>
    <x v="0"/>
    <x v="0"/>
    <n v="5000000"/>
    <x v="0"/>
  </r>
  <r>
    <x v="0"/>
    <x v="3"/>
    <x v="402"/>
    <x v="15"/>
    <x v="1"/>
    <x v="0"/>
    <n v="0"/>
    <x v="2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0">
  <r>
    <x v="0"/>
    <x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n v="0"/>
    <n v="0"/>
    <n v="0"/>
    <n v="0"/>
    <m/>
    <x v="0"/>
  </r>
  <r>
    <x v="0"/>
    <x v="1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n v="0"/>
    <n v="0"/>
    <n v="0"/>
    <n v="0"/>
    <m/>
    <x v="0"/>
  </r>
  <r>
    <x v="0"/>
    <x v="2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n v="0"/>
    <n v="0"/>
    <n v="0"/>
    <n v="0"/>
    <m/>
    <x v="0"/>
  </r>
  <r>
    <x v="0"/>
    <x v="3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n v="0"/>
    <n v="0"/>
    <n v="0"/>
    <n v="0"/>
    <m/>
    <x v="0"/>
  </r>
  <r>
    <x v="0"/>
    <x v="4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n v="0"/>
    <n v="0"/>
    <n v="0"/>
    <n v="0"/>
    <m/>
    <x v="0"/>
  </r>
  <r>
    <x v="0"/>
    <x v="5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n v="0"/>
    <n v="0"/>
    <n v="0"/>
    <n v="0"/>
    <m/>
    <x v="0"/>
  </r>
  <r>
    <x v="0"/>
    <x v="6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n v="0"/>
    <n v="0"/>
    <n v="0"/>
    <n v="0"/>
    <m/>
    <x v="0"/>
  </r>
  <r>
    <x v="0"/>
    <x v="7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n v="0"/>
    <n v="0"/>
    <n v="0"/>
    <n v="0"/>
    <m/>
    <x v="0"/>
  </r>
  <r>
    <x v="0"/>
    <x v="8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n v="0"/>
    <n v="0"/>
    <n v="0"/>
    <n v="0"/>
    <m/>
    <x v="0"/>
  </r>
  <r>
    <x v="0"/>
    <x v="9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n v="0"/>
    <n v="0"/>
    <n v="0"/>
    <n v="0"/>
    <m/>
    <x v="0"/>
  </r>
  <r>
    <x v="0"/>
    <x v="1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n v="0"/>
    <n v="0"/>
    <n v="0"/>
    <n v="0"/>
    <m/>
    <x v="0"/>
  </r>
  <r>
    <x v="0"/>
    <x v="11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n v="0"/>
    <n v="0"/>
    <n v="0"/>
    <n v="0"/>
    <m/>
    <x v="0"/>
  </r>
  <r>
    <x v="0"/>
    <x v="12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n v="0"/>
    <n v="0"/>
    <n v="0"/>
    <n v="0"/>
    <m/>
    <x v="0"/>
  </r>
  <r>
    <x v="0"/>
    <x v="13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n v="0"/>
    <n v="0"/>
    <n v="0"/>
    <n v="0"/>
    <m/>
    <x v="0"/>
  </r>
  <r>
    <x v="0"/>
    <x v="14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n v="0"/>
    <n v="0"/>
    <n v="0"/>
    <n v="0"/>
    <m/>
    <x v="0"/>
  </r>
  <r>
    <x v="0"/>
    <x v="15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n v="0"/>
    <n v="0"/>
    <n v="0"/>
    <n v="0"/>
    <m/>
    <x v="0"/>
  </r>
  <r>
    <x v="0"/>
    <x v="16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n v="0"/>
    <n v="0"/>
    <n v="0"/>
    <n v="0"/>
    <m/>
    <x v="0"/>
  </r>
  <r>
    <x v="0"/>
    <x v="17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n v="0"/>
    <n v="0"/>
    <n v="0"/>
    <n v="0"/>
    <m/>
    <x v="0"/>
  </r>
  <r>
    <x v="0"/>
    <x v="18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n v="0"/>
    <n v="0"/>
    <n v="0"/>
    <n v="0"/>
    <m/>
    <x v="0"/>
  </r>
  <r>
    <x v="0"/>
    <x v="19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n v="0"/>
    <n v="0"/>
    <n v="0"/>
    <n v="0"/>
    <m/>
    <x v="0"/>
  </r>
  <r>
    <x v="0"/>
    <x v="2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n v="0"/>
    <n v="0"/>
    <n v="0"/>
    <n v="0"/>
    <m/>
    <x v="0"/>
  </r>
  <r>
    <x v="0"/>
    <x v="21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n v="0"/>
    <n v="0"/>
    <n v="0"/>
    <n v="0"/>
    <m/>
    <x v="0"/>
  </r>
  <r>
    <x v="0"/>
    <x v="22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n v="0"/>
    <n v="0"/>
    <n v="0"/>
    <n v="0"/>
    <m/>
    <x v="0"/>
  </r>
  <r>
    <x v="0"/>
    <x v="23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n v="0"/>
    <n v="0"/>
    <n v="0"/>
    <n v="0"/>
    <m/>
    <x v="0"/>
  </r>
  <r>
    <x v="0"/>
    <x v="24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n v="0"/>
    <n v="0"/>
    <n v="0"/>
    <n v="0"/>
    <m/>
    <x v="0"/>
  </r>
  <r>
    <x v="0"/>
    <x v="25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n v="0"/>
    <n v="0"/>
    <n v="0"/>
    <n v="0"/>
    <m/>
    <x v="0"/>
  </r>
  <r>
    <x v="0"/>
    <x v="26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n v="0"/>
    <n v="0"/>
    <n v="0"/>
    <n v="0"/>
    <m/>
    <x v="0"/>
  </r>
  <r>
    <x v="0"/>
    <x v="27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n v="0"/>
    <n v="0"/>
    <n v="0"/>
    <n v="0"/>
    <m/>
    <x v="0"/>
  </r>
  <r>
    <x v="0"/>
    <x v="28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n v="0"/>
    <n v="0"/>
    <n v="0"/>
    <n v="0"/>
    <m/>
    <x v="0"/>
  </r>
  <r>
    <x v="0"/>
    <x v="29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n v="0"/>
    <n v="0"/>
    <n v="0"/>
    <n v="0"/>
    <m/>
    <x v="0"/>
  </r>
  <r>
    <x v="0"/>
    <x v="3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n v="0"/>
    <n v="0"/>
    <n v="0"/>
    <n v="0"/>
    <m/>
    <x v="0"/>
  </r>
  <r>
    <x v="0"/>
    <x v="31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n v="0"/>
    <n v="0"/>
    <n v="0"/>
    <n v="0"/>
    <m/>
    <x v="0"/>
  </r>
  <r>
    <x v="0"/>
    <x v="32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n v="0"/>
    <n v="0"/>
    <n v="0"/>
    <n v="0"/>
    <m/>
    <x v="0"/>
  </r>
  <r>
    <x v="0"/>
    <x v="33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n v="0"/>
    <n v="0"/>
    <n v="0"/>
    <n v="0"/>
    <m/>
    <x v="0"/>
  </r>
  <r>
    <x v="0"/>
    <x v="34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n v="0"/>
    <n v="0"/>
    <n v="0"/>
    <n v="0"/>
    <m/>
    <x v="0"/>
  </r>
  <r>
    <x v="0"/>
    <x v="35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n v="0"/>
    <n v="0"/>
    <n v="0"/>
    <n v="0"/>
    <m/>
    <x v="0"/>
  </r>
  <r>
    <x v="0"/>
    <x v="36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n v="0"/>
    <n v="0"/>
    <n v="0"/>
    <n v="0"/>
    <m/>
    <x v="0"/>
  </r>
  <r>
    <x v="0"/>
    <x v="37"/>
    <n v="375556103"/>
    <n v="0"/>
    <n v="0"/>
    <n v="375556103"/>
    <n v="0"/>
    <n v="0"/>
    <n v="0"/>
    <n v="0"/>
    <n v="0"/>
    <n v="0"/>
    <n v="0"/>
    <n v="0"/>
    <n v="0"/>
    <n v="0"/>
    <m/>
    <m/>
    <m/>
    <m/>
    <m/>
    <m/>
    <m/>
    <m/>
    <m/>
    <m/>
    <m/>
    <m/>
    <m/>
    <n v="0"/>
    <n v="375556103"/>
    <n v="0"/>
    <n v="0"/>
    <m/>
    <x v="1"/>
  </r>
  <r>
    <x v="0"/>
    <x v="38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n v="0"/>
    <n v="0"/>
    <n v="0"/>
    <n v="0"/>
    <m/>
    <x v="0"/>
  </r>
  <r>
    <x v="0"/>
    <x v="39"/>
    <n v="233516634"/>
    <n v="0"/>
    <n v="0"/>
    <n v="233516634"/>
    <n v="0"/>
    <n v="0"/>
    <n v="0"/>
    <n v="0"/>
    <n v="0"/>
    <n v="0"/>
    <n v="0"/>
    <n v="0"/>
    <n v="0"/>
    <n v="0"/>
    <m/>
    <m/>
    <m/>
    <m/>
    <m/>
    <m/>
    <m/>
    <m/>
    <m/>
    <m/>
    <m/>
    <m/>
    <m/>
    <n v="0"/>
    <n v="233516634"/>
    <n v="0"/>
    <n v="0"/>
    <m/>
    <x v="2"/>
  </r>
  <r>
    <x v="0"/>
    <x v="40"/>
    <n v="956976"/>
    <n v="0"/>
    <n v="0"/>
    <n v="0"/>
    <n v="0"/>
    <n v="0"/>
    <n v="0"/>
    <n v="956976"/>
    <n v="0"/>
    <n v="0"/>
    <n v="0"/>
    <n v="0"/>
    <n v="0"/>
    <n v="0"/>
    <m/>
    <m/>
    <m/>
    <m/>
    <m/>
    <m/>
    <m/>
    <m/>
    <m/>
    <m/>
    <m/>
    <m/>
    <m/>
    <n v="0"/>
    <n v="0"/>
    <n v="0"/>
    <n v="0"/>
    <m/>
    <x v="0"/>
  </r>
  <r>
    <x v="0"/>
    <x v="41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n v="0"/>
    <n v="0"/>
    <n v="0"/>
    <n v="0"/>
    <m/>
    <x v="0"/>
  </r>
  <r>
    <x v="0"/>
    <x v="42"/>
    <n v="2907941"/>
    <n v="0"/>
    <n v="0"/>
    <n v="0"/>
    <n v="0"/>
    <n v="0"/>
    <n v="0"/>
    <n v="907941"/>
    <n v="0"/>
    <n v="0"/>
    <n v="2000000"/>
    <n v="0"/>
    <n v="0"/>
    <n v="0"/>
    <m/>
    <m/>
    <m/>
    <m/>
    <m/>
    <m/>
    <m/>
    <m/>
    <m/>
    <m/>
    <m/>
    <m/>
    <m/>
    <n v="0"/>
    <n v="0"/>
    <n v="2000000"/>
    <n v="0"/>
    <m/>
    <x v="3"/>
  </r>
  <r>
    <x v="0"/>
    <x v="43"/>
    <n v="7097042"/>
    <n v="0"/>
    <n v="0"/>
    <n v="0"/>
    <n v="0"/>
    <n v="0"/>
    <n v="0"/>
    <n v="0"/>
    <n v="0"/>
    <n v="0"/>
    <n v="7097042"/>
    <n v="0"/>
    <n v="0"/>
    <n v="0"/>
    <m/>
    <m/>
    <m/>
    <m/>
    <m/>
    <m/>
    <m/>
    <m/>
    <m/>
    <m/>
    <m/>
    <m/>
    <m/>
    <n v="0"/>
    <n v="0"/>
    <n v="7097042"/>
    <n v="0"/>
    <m/>
    <x v="4"/>
  </r>
  <r>
    <x v="0"/>
    <x v="44"/>
    <n v="2232364"/>
    <n v="0"/>
    <n v="0"/>
    <n v="0"/>
    <n v="1"/>
    <n v="0"/>
    <n v="0"/>
    <n v="0"/>
    <n v="1361963"/>
    <n v="0"/>
    <n v="870400"/>
    <n v="0"/>
    <n v="0"/>
    <n v="0"/>
    <m/>
    <m/>
    <m/>
    <m/>
    <m/>
    <m/>
    <m/>
    <m/>
    <m/>
    <m/>
    <m/>
    <m/>
    <m/>
    <n v="0"/>
    <n v="1"/>
    <n v="870400"/>
    <n v="0"/>
    <m/>
    <x v="5"/>
  </r>
  <r>
    <x v="0"/>
    <x v="45"/>
    <n v="11786146"/>
    <n v="0"/>
    <n v="0"/>
    <n v="0"/>
    <n v="0"/>
    <n v="0"/>
    <n v="0"/>
    <n v="0"/>
    <n v="2710746"/>
    <n v="0"/>
    <n v="9075400"/>
    <n v="0"/>
    <n v="0"/>
    <n v="0"/>
    <m/>
    <m/>
    <m/>
    <m/>
    <m/>
    <m/>
    <m/>
    <m/>
    <m/>
    <m/>
    <m/>
    <m/>
    <m/>
    <n v="0"/>
    <n v="0"/>
    <n v="9075400"/>
    <n v="0"/>
    <m/>
    <x v="6"/>
  </r>
  <r>
    <x v="0"/>
    <x v="46"/>
    <n v="1434902"/>
    <n v="0"/>
    <n v="0"/>
    <n v="0"/>
    <n v="0"/>
    <n v="0"/>
    <n v="0"/>
    <n v="0"/>
    <n v="0"/>
    <n v="0"/>
    <n v="1434902"/>
    <n v="0"/>
    <n v="0"/>
    <n v="0"/>
    <m/>
    <m/>
    <m/>
    <m/>
    <m/>
    <m/>
    <m/>
    <m/>
    <m/>
    <m/>
    <m/>
    <m/>
    <m/>
    <n v="0"/>
    <n v="0"/>
    <n v="1434902"/>
    <n v="0"/>
    <m/>
    <x v="7"/>
  </r>
  <r>
    <x v="0"/>
    <x v="47"/>
    <n v="56227345"/>
    <n v="0"/>
    <n v="0"/>
    <n v="0"/>
    <n v="0"/>
    <n v="0"/>
    <n v="0"/>
    <n v="0"/>
    <n v="0"/>
    <n v="0"/>
    <n v="0"/>
    <n v="0"/>
    <n v="0"/>
    <n v="56227345"/>
    <m/>
    <m/>
    <m/>
    <m/>
    <m/>
    <m/>
    <m/>
    <m/>
    <m/>
    <m/>
    <m/>
    <m/>
    <m/>
    <n v="56227345"/>
    <n v="0"/>
    <n v="0"/>
    <n v="0"/>
    <m/>
    <x v="8"/>
  </r>
  <r>
    <x v="0"/>
    <x v="48"/>
    <n v="6364121"/>
    <n v="0"/>
    <n v="0"/>
    <n v="0"/>
    <n v="0"/>
    <n v="0"/>
    <n v="0"/>
    <n v="0"/>
    <n v="6364121"/>
    <n v="0"/>
    <n v="0"/>
    <n v="0"/>
    <n v="0"/>
    <n v="0"/>
    <m/>
    <m/>
    <m/>
    <m/>
    <m/>
    <m/>
    <m/>
    <m/>
    <m/>
    <m/>
    <m/>
    <m/>
    <m/>
    <n v="0"/>
    <n v="0"/>
    <n v="0"/>
    <n v="0"/>
    <m/>
    <x v="9"/>
  </r>
  <r>
    <x v="0"/>
    <x v="49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n v="0"/>
    <n v="0"/>
    <n v="0"/>
    <n v="0"/>
    <m/>
    <x v="0"/>
  </r>
  <r>
    <x v="0"/>
    <x v="50"/>
    <n v="5504694"/>
    <n v="0"/>
    <n v="0"/>
    <n v="0"/>
    <n v="0"/>
    <n v="0"/>
    <n v="0"/>
    <n v="0"/>
    <n v="1524256"/>
    <n v="0"/>
    <n v="3980438"/>
    <n v="0"/>
    <n v="0"/>
    <n v="0"/>
    <m/>
    <m/>
    <m/>
    <m/>
    <m/>
    <m/>
    <m/>
    <m/>
    <m/>
    <m/>
    <m/>
    <m/>
    <m/>
    <n v="0"/>
    <n v="0"/>
    <n v="3980438"/>
    <n v="0"/>
    <m/>
    <x v="10"/>
  </r>
  <r>
    <x v="0"/>
    <x v="51"/>
    <n v="12613226"/>
    <n v="0"/>
    <n v="0"/>
    <n v="0"/>
    <n v="0"/>
    <n v="0"/>
    <n v="12000000"/>
    <n v="0"/>
    <n v="613226"/>
    <n v="0"/>
    <n v="0"/>
    <n v="0"/>
    <n v="0"/>
    <n v="0"/>
    <m/>
    <m/>
    <m/>
    <m/>
    <m/>
    <m/>
    <m/>
    <m/>
    <m/>
    <m/>
    <m/>
    <m/>
    <m/>
    <n v="12000000"/>
    <n v="0"/>
    <n v="0"/>
    <n v="0"/>
    <m/>
    <x v="11"/>
  </r>
  <r>
    <x v="0"/>
    <x v="52"/>
    <n v="26817802"/>
    <n v="0"/>
    <n v="0"/>
    <n v="0"/>
    <n v="0"/>
    <n v="0"/>
    <n v="25408304"/>
    <n v="0"/>
    <n v="0"/>
    <n v="159498"/>
    <n v="0"/>
    <n v="1250000"/>
    <n v="0"/>
    <n v="0"/>
    <m/>
    <m/>
    <m/>
    <m/>
    <m/>
    <m/>
    <m/>
    <m/>
    <m/>
    <m/>
    <m/>
    <m/>
    <m/>
    <n v="25408304"/>
    <n v="0"/>
    <n v="159498"/>
    <n v="1250000"/>
    <m/>
    <x v="12"/>
  </r>
  <r>
    <x v="0"/>
    <x v="53"/>
    <n v="320678042"/>
    <n v="0"/>
    <n v="0"/>
    <n v="307976000"/>
    <n v="0"/>
    <n v="0"/>
    <n v="2658304"/>
    <n v="0"/>
    <n v="0"/>
    <n v="137346"/>
    <n v="0"/>
    <n v="9906392"/>
    <n v="0"/>
    <n v="0"/>
    <m/>
    <m/>
    <m/>
    <m/>
    <m/>
    <m/>
    <m/>
    <m/>
    <m/>
    <m/>
    <m/>
    <m/>
    <m/>
    <n v="2658304"/>
    <n v="307976000"/>
    <n v="137346"/>
    <n v="9906392"/>
    <m/>
    <x v="13"/>
  </r>
  <r>
    <x v="0"/>
    <x v="54"/>
    <n v="2764636"/>
    <n v="0"/>
    <n v="0"/>
    <n v="0"/>
    <n v="0"/>
    <n v="0"/>
    <n v="2658304"/>
    <n v="0"/>
    <n v="0"/>
    <n v="106332"/>
    <n v="0"/>
    <n v="0"/>
    <n v="0"/>
    <n v="0"/>
    <m/>
    <m/>
    <m/>
    <m/>
    <m/>
    <m/>
    <m/>
    <m/>
    <m/>
    <m/>
    <m/>
    <m/>
    <m/>
    <n v="2658304"/>
    <n v="0"/>
    <n v="106332"/>
    <n v="0"/>
    <m/>
    <x v="14"/>
  </r>
  <r>
    <x v="0"/>
    <x v="55"/>
    <n v="2740712"/>
    <n v="0"/>
    <n v="0"/>
    <n v="0"/>
    <n v="0"/>
    <n v="0"/>
    <n v="2658304"/>
    <n v="0"/>
    <n v="0"/>
    <n v="82408"/>
    <n v="0"/>
    <n v="0"/>
    <n v="0"/>
    <n v="0"/>
    <m/>
    <m/>
    <m/>
    <m/>
    <m/>
    <m/>
    <m/>
    <m/>
    <m/>
    <m/>
    <m/>
    <m/>
    <m/>
    <n v="2658304"/>
    <n v="0"/>
    <n v="82408"/>
    <n v="0"/>
    <m/>
    <x v="15"/>
  </r>
  <r>
    <x v="0"/>
    <x v="56"/>
    <n v="2713242"/>
    <n v="0"/>
    <n v="0"/>
    <n v="0"/>
    <n v="0"/>
    <n v="0"/>
    <n v="2658304"/>
    <n v="0"/>
    <n v="0"/>
    <n v="54938"/>
    <n v="0"/>
    <n v="0"/>
    <n v="0"/>
    <n v="0"/>
    <m/>
    <m/>
    <m/>
    <m/>
    <m/>
    <m/>
    <m/>
    <m/>
    <m/>
    <m/>
    <m/>
    <m/>
    <m/>
    <n v="2658304"/>
    <n v="0"/>
    <n v="54938"/>
    <n v="0"/>
    <m/>
    <x v="16"/>
  </r>
  <r>
    <x v="0"/>
    <x v="57"/>
    <n v="2683126"/>
    <n v="0"/>
    <n v="0"/>
    <n v="0"/>
    <n v="0"/>
    <n v="0"/>
    <n v="2658314"/>
    <n v="0"/>
    <n v="0"/>
    <n v="24812"/>
    <n v="0"/>
    <n v="0"/>
    <n v="0"/>
    <n v="0"/>
    <m/>
    <m/>
    <m/>
    <m/>
    <m/>
    <m/>
    <m/>
    <m/>
    <m/>
    <m/>
    <m/>
    <m/>
    <m/>
    <n v="2658314"/>
    <n v="0"/>
    <n v="24812"/>
    <n v="0"/>
    <m/>
    <x v="17"/>
  </r>
  <r>
    <x v="1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n v="0"/>
    <n v="0"/>
    <n v="0"/>
    <n v="0"/>
    <m/>
    <x v="0"/>
  </r>
  <r>
    <x v="1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n v="0"/>
    <n v="0"/>
    <n v="0"/>
    <n v="0"/>
    <m/>
    <x v="0"/>
  </r>
  <r>
    <x v="1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n v="0"/>
    <n v="0"/>
    <n v="0"/>
    <n v="0"/>
    <m/>
    <x v="0"/>
  </r>
  <r>
    <x v="1"/>
    <x v="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n v="0"/>
    <n v="0"/>
    <n v="0"/>
    <n v="0"/>
    <m/>
    <x v="0"/>
  </r>
  <r>
    <x v="1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n v="0"/>
    <n v="0"/>
    <n v="0"/>
    <n v="0"/>
    <m/>
    <x v="0"/>
  </r>
  <r>
    <x v="1"/>
    <x v="6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n v="0"/>
    <n v="0"/>
    <n v="0"/>
    <n v="0"/>
    <m/>
    <x v="0"/>
  </r>
  <r>
    <x v="1"/>
    <x v="7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n v="0"/>
    <n v="0"/>
    <n v="0"/>
    <n v="0"/>
    <m/>
    <x v="0"/>
  </r>
  <r>
    <x v="1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n v="0"/>
    <n v="0"/>
    <n v="0"/>
    <n v="0"/>
    <m/>
    <x v="0"/>
  </r>
  <r>
    <x v="1"/>
    <x v="9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n v="0"/>
    <n v="0"/>
    <n v="0"/>
    <n v="0"/>
    <m/>
    <x v="0"/>
  </r>
  <r>
    <x v="1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n v="0"/>
    <n v="0"/>
    <n v="0"/>
    <n v="0"/>
    <m/>
    <x v="0"/>
  </r>
  <r>
    <x v="1"/>
    <x v="1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n v="0"/>
    <n v="0"/>
    <n v="0"/>
    <n v="0"/>
    <m/>
    <x v="0"/>
  </r>
  <r>
    <x v="1"/>
    <x v="1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n v="0"/>
    <n v="0"/>
    <n v="0"/>
    <n v="0"/>
    <m/>
    <x v="0"/>
  </r>
  <r>
    <x v="1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n v="0"/>
    <n v="0"/>
    <n v="0"/>
    <n v="0"/>
    <m/>
    <x v="0"/>
  </r>
  <r>
    <x v="1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n v="0"/>
    <n v="0"/>
    <n v="0"/>
    <n v="0"/>
    <m/>
    <x v="0"/>
  </r>
  <r>
    <x v="1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n v="0"/>
    <n v="0"/>
    <n v="0"/>
    <n v="0"/>
    <m/>
    <x v="0"/>
  </r>
  <r>
    <x v="1"/>
    <x v="16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n v="0"/>
    <n v="0"/>
    <n v="0"/>
    <n v="0"/>
    <m/>
    <x v="0"/>
  </r>
  <r>
    <x v="1"/>
    <x v="17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n v="0"/>
    <n v="0"/>
    <n v="0"/>
    <n v="0"/>
    <m/>
    <x v="0"/>
  </r>
  <r>
    <x v="1"/>
    <x v="1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n v="0"/>
    <n v="0"/>
    <n v="0"/>
    <n v="0"/>
    <m/>
    <x v="0"/>
  </r>
  <r>
    <x v="1"/>
    <x v="19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n v="0"/>
    <n v="0"/>
    <n v="0"/>
    <n v="0"/>
    <m/>
    <x v="0"/>
  </r>
  <r>
    <x v="1"/>
    <x v="2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n v="0"/>
    <n v="0"/>
    <n v="0"/>
    <n v="0"/>
    <m/>
    <x v="0"/>
  </r>
  <r>
    <x v="1"/>
    <x v="2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n v="0"/>
    <n v="0"/>
    <n v="0"/>
    <n v="0"/>
    <m/>
    <x v="0"/>
  </r>
  <r>
    <x v="1"/>
    <x v="2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n v="0"/>
    <n v="0"/>
    <n v="0"/>
    <n v="0"/>
    <m/>
    <x v="0"/>
  </r>
  <r>
    <x v="1"/>
    <x v="2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n v="0"/>
    <n v="0"/>
    <n v="0"/>
    <n v="0"/>
    <m/>
    <x v="0"/>
  </r>
  <r>
    <x v="1"/>
    <x v="2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n v="0"/>
    <n v="0"/>
    <n v="0"/>
    <n v="0"/>
    <m/>
    <x v="0"/>
  </r>
  <r>
    <x v="1"/>
    <x v="2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n v="0"/>
    <n v="0"/>
    <n v="0"/>
    <n v="0"/>
    <m/>
    <x v="0"/>
  </r>
  <r>
    <x v="1"/>
    <x v="26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n v="0"/>
    <n v="0"/>
    <n v="0"/>
    <n v="0"/>
    <m/>
    <x v="0"/>
  </r>
  <r>
    <x v="1"/>
    <x v="27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n v="0"/>
    <n v="0"/>
    <n v="0"/>
    <n v="0"/>
    <m/>
    <x v="0"/>
  </r>
  <r>
    <x v="1"/>
    <x v="2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n v="0"/>
    <n v="0"/>
    <n v="0"/>
    <n v="0"/>
    <m/>
    <x v="0"/>
  </r>
  <r>
    <x v="1"/>
    <x v="29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n v="0"/>
    <n v="0"/>
    <n v="0"/>
    <n v="0"/>
    <m/>
    <x v="0"/>
  </r>
  <r>
    <x v="1"/>
    <x v="3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n v="0"/>
    <n v="0"/>
    <n v="0"/>
    <n v="0"/>
    <m/>
    <x v="0"/>
  </r>
  <r>
    <x v="1"/>
    <x v="3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n v="0"/>
    <n v="0"/>
    <n v="0"/>
    <n v="0"/>
    <m/>
    <x v="0"/>
  </r>
  <r>
    <x v="1"/>
    <x v="3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n v="0"/>
    <n v="0"/>
    <n v="0"/>
    <n v="0"/>
    <m/>
    <x v="0"/>
  </r>
  <r>
    <x v="1"/>
    <x v="3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n v="0"/>
    <n v="0"/>
    <n v="0"/>
    <n v="0"/>
    <m/>
    <x v="0"/>
  </r>
  <r>
    <x v="1"/>
    <x v="3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n v="0"/>
    <n v="0"/>
    <n v="0"/>
    <n v="0"/>
    <m/>
    <x v="0"/>
  </r>
  <r>
    <x v="1"/>
    <x v="3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n v="0"/>
    <n v="0"/>
    <n v="0"/>
    <n v="0"/>
    <m/>
    <x v="0"/>
  </r>
  <r>
    <x v="1"/>
    <x v="36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n v="0"/>
    <n v="0"/>
    <n v="0"/>
    <n v="0"/>
    <m/>
    <x v="0"/>
  </r>
  <r>
    <x v="1"/>
    <x v="37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n v="0"/>
    <n v="0"/>
    <n v="0"/>
    <n v="0"/>
    <m/>
    <x v="0"/>
  </r>
  <r>
    <x v="1"/>
    <x v="3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n v="0"/>
    <n v="0"/>
    <n v="0"/>
    <n v="0"/>
    <m/>
    <x v="0"/>
  </r>
  <r>
    <x v="1"/>
    <x v="39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n v="0"/>
    <n v="0"/>
    <n v="0"/>
    <n v="0"/>
    <m/>
    <x v="0"/>
  </r>
  <r>
    <x v="1"/>
    <x v="4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n v="0"/>
    <n v="0"/>
    <n v="0"/>
    <n v="0"/>
    <m/>
    <x v="0"/>
  </r>
  <r>
    <x v="1"/>
    <x v="4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n v="0"/>
    <n v="0"/>
    <n v="0"/>
    <n v="0"/>
    <m/>
    <x v="0"/>
  </r>
  <r>
    <x v="1"/>
    <x v="4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n v="0"/>
    <n v="0"/>
    <n v="0"/>
    <n v="0"/>
    <m/>
    <x v="0"/>
  </r>
  <r>
    <x v="1"/>
    <x v="4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n v="0"/>
    <n v="0"/>
    <n v="0"/>
    <n v="0"/>
    <m/>
    <x v="0"/>
  </r>
  <r>
    <x v="1"/>
    <x v="4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n v="0"/>
    <n v="0"/>
    <n v="0"/>
    <n v="0"/>
    <m/>
    <x v="0"/>
  </r>
  <r>
    <x v="1"/>
    <x v="45"/>
    <n v="1821932"/>
    <n v="0"/>
    <n v="0"/>
    <n v="0"/>
    <n v="0"/>
    <n v="0"/>
    <n v="0"/>
    <n v="982278"/>
    <n v="58313"/>
    <n v="0"/>
    <n v="781341"/>
    <n v="0"/>
    <n v="0"/>
    <m/>
    <m/>
    <m/>
    <m/>
    <m/>
    <m/>
    <m/>
    <m/>
    <m/>
    <m/>
    <m/>
    <m/>
    <m/>
    <m/>
    <n v="0"/>
    <n v="0"/>
    <n v="781341"/>
    <n v="0"/>
    <m/>
    <x v="18"/>
  </r>
  <r>
    <x v="1"/>
    <x v="46"/>
    <n v="2701519"/>
    <n v="0"/>
    <n v="0"/>
    <n v="0"/>
    <n v="0"/>
    <n v="0"/>
    <n v="450000"/>
    <n v="0"/>
    <n v="79683"/>
    <n v="1016636"/>
    <n v="1155200"/>
    <n v="0"/>
    <n v="0"/>
    <m/>
    <m/>
    <m/>
    <m/>
    <m/>
    <m/>
    <m/>
    <m/>
    <m/>
    <m/>
    <m/>
    <m/>
    <m/>
    <m/>
    <n v="450000"/>
    <n v="0"/>
    <n v="2171836"/>
    <n v="0"/>
    <m/>
    <x v="19"/>
  </r>
  <r>
    <x v="1"/>
    <x v="47"/>
    <n v="477294249"/>
    <n v="0"/>
    <n v="0"/>
    <n v="335194249"/>
    <n v="142100000"/>
    <n v="0"/>
    <n v="0"/>
    <n v="0"/>
    <n v="0"/>
    <n v="0"/>
    <n v="0"/>
    <n v="0"/>
    <n v="0"/>
    <m/>
    <m/>
    <m/>
    <m/>
    <m/>
    <m/>
    <m/>
    <m/>
    <m/>
    <m/>
    <m/>
    <m/>
    <m/>
    <m/>
    <n v="0"/>
    <n v="477294249"/>
    <n v="0"/>
    <n v="0"/>
    <m/>
    <x v="20"/>
  </r>
  <r>
    <x v="1"/>
    <x v="48"/>
    <n v="258380746"/>
    <n v="0"/>
    <n v="0"/>
    <n v="208381169"/>
    <n v="0"/>
    <n v="0"/>
    <n v="40000000"/>
    <n v="0"/>
    <n v="8982941"/>
    <n v="1016636"/>
    <n v="0"/>
    <n v="0"/>
    <n v="0"/>
    <m/>
    <m/>
    <m/>
    <m/>
    <m/>
    <m/>
    <m/>
    <m/>
    <m/>
    <m/>
    <m/>
    <m/>
    <m/>
    <m/>
    <n v="40000000"/>
    <n v="208381169"/>
    <n v="1016636"/>
    <n v="0"/>
    <m/>
    <x v="21"/>
  </r>
  <r>
    <x v="1"/>
    <x v="49"/>
    <n v="358479879"/>
    <n v="55743511"/>
    <n v="0"/>
    <n v="301126001"/>
    <n v="0"/>
    <n v="0"/>
    <n v="0"/>
    <n v="1610367"/>
    <n v="0"/>
    <n v="0"/>
    <n v="0"/>
    <n v="0"/>
    <n v="0"/>
    <m/>
    <m/>
    <m/>
    <m/>
    <m/>
    <m/>
    <m/>
    <m/>
    <m/>
    <m/>
    <m/>
    <m/>
    <m/>
    <m/>
    <n v="0"/>
    <n v="301126001"/>
    <n v="0"/>
    <n v="0"/>
    <m/>
    <x v="22"/>
  </r>
  <r>
    <x v="1"/>
    <x v="50"/>
    <n v="284853586"/>
    <n v="3918587"/>
    <n v="0"/>
    <n v="212143379"/>
    <n v="0"/>
    <n v="20000000"/>
    <n v="45673231"/>
    <n v="0"/>
    <n v="626997"/>
    <n v="0"/>
    <n v="2491392"/>
    <n v="0"/>
    <n v="0"/>
    <m/>
    <m/>
    <m/>
    <m/>
    <m/>
    <m/>
    <m/>
    <m/>
    <m/>
    <m/>
    <m/>
    <m/>
    <m/>
    <m/>
    <n v="45673231"/>
    <n v="212143379"/>
    <n v="2491392"/>
    <n v="0"/>
    <m/>
    <x v="23"/>
  </r>
  <r>
    <x v="1"/>
    <x v="51"/>
    <n v="377691485"/>
    <n v="3918587"/>
    <n v="0"/>
    <n v="302862000"/>
    <n v="0"/>
    <n v="0"/>
    <n v="68745000"/>
    <n v="0"/>
    <n v="1149262"/>
    <n v="1016636"/>
    <n v="0"/>
    <n v="0"/>
    <n v="0"/>
    <m/>
    <m/>
    <m/>
    <m/>
    <m/>
    <m/>
    <m/>
    <m/>
    <m/>
    <m/>
    <m/>
    <m/>
    <m/>
    <m/>
    <n v="68745000"/>
    <n v="302862000"/>
    <n v="1016636"/>
    <n v="0"/>
    <m/>
    <x v="24"/>
  </r>
  <r>
    <x v="1"/>
    <x v="52"/>
    <n v="37663586"/>
    <n v="3918586"/>
    <n v="0"/>
    <n v="0"/>
    <n v="0"/>
    <n v="0"/>
    <n v="33745000"/>
    <n v="0"/>
    <n v="0"/>
    <n v="0"/>
    <n v="0"/>
    <n v="0"/>
    <n v="0"/>
    <m/>
    <m/>
    <m/>
    <m/>
    <m/>
    <m/>
    <m/>
    <m/>
    <m/>
    <m/>
    <m/>
    <m/>
    <m/>
    <m/>
    <n v="33745000"/>
    <n v="0"/>
    <n v="0"/>
    <n v="0"/>
    <m/>
    <x v="25"/>
  </r>
  <r>
    <x v="1"/>
    <x v="53"/>
    <n v="306016636"/>
    <n v="0"/>
    <n v="0"/>
    <n v="280000000"/>
    <n v="0"/>
    <n v="0"/>
    <n v="25000000"/>
    <n v="0"/>
    <n v="0"/>
    <n v="1016636"/>
    <n v="0"/>
    <n v="0"/>
    <n v="0"/>
    <m/>
    <m/>
    <m/>
    <m/>
    <m/>
    <m/>
    <m/>
    <m/>
    <m/>
    <m/>
    <m/>
    <m/>
    <m/>
    <m/>
    <n v="25000000"/>
    <n v="280000000"/>
    <n v="1016636"/>
    <n v="0"/>
    <m/>
    <x v="26"/>
  </r>
  <r>
    <x v="1"/>
    <x v="55"/>
    <n v="36016636"/>
    <n v="0"/>
    <n v="0"/>
    <n v="0"/>
    <n v="0"/>
    <n v="0"/>
    <n v="35000000"/>
    <n v="0"/>
    <n v="0"/>
    <n v="1016636"/>
    <n v="0"/>
    <n v="0"/>
    <n v="0"/>
    <m/>
    <m/>
    <m/>
    <m/>
    <m/>
    <m/>
    <m/>
    <m/>
    <m/>
    <m/>
    <m/>
    <m/>
    <m/>
    <m/>
    <n v="35000000"/>
    <n v="0"/>
    <n v="1016636"/>
    <n v="0"/>
    <m/>
    <x v="27"/>
  </r>
  <r>
    <x v="1"/>
    <x v="57"/>
    <n v="35546222"/>
    <n v="0"/>
    <n v="0"/>
    <n v="0"/>
    <n v="0"/>
    <n v="0"/>
    <n v="34529581"/>
    <n v="0"/>
    <n v="0"/>
    <n v="1016641"/>
    <n v="0"/>
    <n v="0"/>
    <n v="0"/>
    <m/>
    <m/>
    <m/>
    <m/>
    <m/>
    <m/>
    <m/>
    <m/>
    <m/>
    <m/>
    <m/>
    <m/>
    <m/>
    <m/>
    <n v="34529581"/>
    <n v="0"/>
    <n v="1016641"/>
    <n v="0"/>
    <m/>
    <x v="28"/>
  </r>
  <r>
    <x v="2"/>
    <x v="40"/>
    <n v="0"/>
    <m/>
    <n v="0"/>
    <n v="0"/>
    <m/>
    <n v="0"/>
    <n v="0"/>
    <m/>
    <m/>
    <n v="0"/>
    <m/>
    <m/>
    <n v="0"/>
    <m/>
    <m/>
    <m/>
    <m/>
    <m/>
    <m/>
    <m/>
    <m/>
    <m/>
    <m/>
    <m/>
    <m/>
    <m/>
    <m/>
    <n v="0"/>
    <n v="0"/>
    <n v="0"/>
    <m/>
    <m/>
    <x v="0"/>
  </r>
  <r>
    <x v="2"/>
    <x v="41"/>
    <n v="0"/>
    <m/>
    <n v="0"/>
    <n v="0"/>
    <m/>
    <n v="0"/>
    <n v="0"/>
    <m/>
    <m/>
    <n v="0"/>
    <m/>
    <m/>
    <n v="0"/>
    <m/>
    <m/>
    <m/>
    <m/>
    <m/>
    <m/>
    <m/>
    <m/>
    <m/>
    <m/>
    <m/>
    <m/>
    <m/>
    <m/>
    <n v="0"/>
    <n v="0"/>
    <n v="0"/>
    <m/>
    <m/>
    <x v="0"/>
  </r>
  <r>
    <x v="2"/>
    <x v="42"/>
    <n v="0"/>
    <m/>
    <n v="0"/>
    <n v="0"/>
    <m/>
    <n v="0"/>
    <n v="0"/>
    <m/>
    <m/>
    <n v="0"/>
    <m/>
    <m/>
    <n v="0"/>
    <m/>
    <m/>
    <m/>
    <m/>
    <m/>
    <m/>
    <m/>
    <m/>
    <m/>
    <m/>
    <m/>
    <m/>
    <m/>
    <m/>
    <n v="0"/>
    <n v="0"/>
    <n v="0"/>
    <m/>
    <m/>
    <x v="0"/>
  </r>
  <r>
    <x v="2"/>
    <x v="43"/>
    <n v="0"/>
    <m/>
    <n v="0"/>
    <n v="0"/>
    <m/>
    <n v="0"/>
    <n v="0"/>
    <m/>
    <m/>
    <n v="0"/>
    <m/>
    <m/>
    <n v="0"/>
    <m/>
    <m/>
    <m/>
    <m/>
    <m/>
    <m/>
    <m/>
    <m/>
    <m/>
    <m/>
    <m/>
    <m/>
    <m/>
    <m/>
    <n v="0"/>
    <n v="0"/>
    <n v="0"/>
    <m/>
    <m/>
    <x v="0"/>
  </r>
  <r>
    <x v="2"/>
    <x v="44"/>
    <n v="0"/>
    <m/>
    <n v="0"/>
    <n v="0"/>
    <m/>
    <n v="0"/>
    <n v="0"/>
    <m/>
    <m/>
    <n v="0"/>
    <m/>
    <m/>
    <n v="0"/>
    <m/>
    <m/>
    <m/>
    <m/>
    <m/>
    <m/>
    <m/>
    <m/>
    <m/>
    <m/>
    <m/>
    <m/>
    <m/>
    <m/>
    <n v="0"/>
    <n v="0"/>
    <n v="0"/>
    <m/>
    <m/>
    <x v="0"/>
  </r>
  <r>
    <x v="2"/>
    <x v="45"/>
    <n v="0"/>
    <m/>
    <n v="0"/>
    <n v="0"/>
    <m/>
    <n v="0"/>
    <n v="0"/>
    <m/>
    <m/>
    <n v="0"/>
    <m/>
    <m/>
    <n v="0"/>
    <m/>
    <m/>
    <m/>
    <m/>
    <m/>
    <m/>
    <m/>
    <m/>
    <m/>
    <m/>
    <m/>
    <m/>
    <m/>
    <m/>
    <n v="0"/>
    <n v="0"/>
    <n v="0"/>
    <m/>
    <m/>
    <x v="0"/>
  </r>
  <r>
    <x v="2"/>
    <x v="46"/>
    <n v="14471"/>
    <m/>
    <n v="0"/>
    <n v="0"/>
    <m/>
    <n v="0"/>
    <n v="14471"/>
    <m/>
    <m/>
    <n v="0"/>
    <m/>
    <m/>
    <n v="0"/>
    <m/>
    <m/>
    <m/>
    <m/>
    <m/>
    <m/>
    <m/>
    <m/>
    <m/>
    <m/>
    <m/>
    <m/>
    <m/>
    <m/>
    <n v="14471"/>
    <n v="0"/>
    <n v="0"/>
    <m/>
    <m/>
    <x v="29"/>
  </r>
  <r>
    <x v="2"/>
    <x v="47"/>
    <n v="6099869"/>
    <m/>
    <n v="0"/>
    <n v="0"/>
    <m/>
    <n v="0"/>
    <n v="6099869"/>
    <m/>
    <m/>
    <n v="0"/>
    <m/>
    <m/>
    <n v="0"/>
    <m/>
    <m/>
    <m/>
    <m/>
    <m/>
    <m/>
    <m/>
    <m/>
    <m/>
    <m/>
    <m/>
    <m/>
    <m/>
    <m/>
    <n v="6099869"/>
    <n v="0"/>
    <n v="0"/>
    <m/>
    <m/>
    <x v="30"/>
  </r>
  <r>
    <x v="2"/>
    <x v="48"/>
    <n v="14967860"/>
    <m/>
    <n v="0"/>
    <n v="0"/>
    <m/>
    <n v="0"/>
    <n v="14967860"/>
    <m/>
    <m/>
    <n v="0"/>
    <m/>
    <m/>
    <n v="0"/>
    <m/>
    <m/>
    <m/>
    <m/>
    <m/>
    <m/>
    <m/>
    <m/>
    <m/>
    <m/>
    <m/>
    <m/>
    <m/>
    <m/>
    <n v="14967860"/>
    <n v="0"/>
    <n v="0"/>
    <m/>
    <m/>
    <x v="31"/>
  </r>
  <r>
    <x v="2"/>
    <x v="49"/>
    <n v="23409842"/>
    <m/>
    <n v="0"/>
    <n v="0"/>
    <m/>
    <n v="0"/>
    <n v="23409842"/>
    <m/>
    <m/>
    <n v="0"/>
    <m/>
    <m/>
    <n v="0"/>
    <m/>
    <m/>
    <m/>
    <m/>
    <m/>
    <m/>
    <m/>
    <m/>
    <m/>
    <m/>
    <m/>
    <m/>
    <m/>
    <m/>
    <n v="23409842"/>
    <n v="0"/>
    <n v="0"/>
    <m/>
    <m/>
    <x v="32"/>
  </r>
  <r>
    <x v="2"/>
    <x v="50"/>
    <n v="130981777"/>
    <m/>
    <n v="0"/>
    <n v="0"/>
    <m/>
    <n v="0"/>
    <n v="130981777"/>
    <m/>
    <m/>
    <n v="0"/>
    <m/>
    <m/>
    <n v="0"/>
    <m/>
    <m/>
    <m/>
    <m/>
    <m/>
    <m/>
    <m/>
    <m/>
    <m/>
    <m/>
    <m/>
    <m/>
    <m/>
    <m/>
    <n v="130981777"/>
    <n v="0"/>
    <n v="0"/>
    <m/>
    <m/>
    <x v="33"/>
  </r>
  <r>
    <x v="2"/>
    <x v="51"/>
    <n v="302766230"/>
    <m/>
    <n v="0"/>
    <n v="0"/>
    <m/>
    <n v="0"/>
    <n v="302766230"/>
    <m/>
    <m/>
    <n v="0"/>
    <m/>
    <m/>
    <n v="0"/>
    <m/>
    <m/>
    <m/>
    <m/>
    <m/>
    <m/>
    <m/>
    <m/>
    <m/>
    <m/>
    <m/>
    <m/>
    <m/>
    <m/>
    <n v="302766230"/>
    <n v="0"/>
    <n v="0"/>
    <m/>
    <m/>
    <x v="34"/>
  </r>
  <r>
    <x v="2"/>
    <x v="52"/>
    <n v="516390361"/>
    <m/>
    <n v="108100000"/>
    <n v="0"/>
    <m/>
    <n v="0"/>
    <n v="408290361"/>
    <m/>
    <m/>
    <n v="0"/>
    <m/>
    <m/>
    <n v="0"/>
    <m/>
    <m/>
    <m/>
    <m/>
    <m/>
    <m/>
    <m/>
    <m/>
    <m/>
    <m/>
    <m/>
    <m/>
    <m/>
    <m/>
    <n v="516390361"/>
    <n v="0"/>
    <n v="0"/>
    <m/>
    <m/>
    <x v="35"/>
  </r>
  <r>
    <x v="2"/>
    <x v="53"/>
    <n v="428740535"/>
    <m/>
    <n v="0"/>
    <n v="0"/>
    <m/>
    <n v="0"/>
    <n v="428740535"/>
    <m/>
    <m/>
    <n v="0"/>
    <m/>
    <m/>
    <n v="0"/>
    <m/>
    <m/>
    <m/>
    <m/>
    <m/>
    <m/>
    <m/>
    <m/>
    <m/>
    <m/>
    <m/>
    <m/>
    <m/>
    <m/>
    <n v="428740535"/>
    <n v="0"/>
    <n v="0"/>
    <m/>
    <m/>
    <x v="36"/>
  </r>
  <r>
    <x v="2"/>
    <x v="54"/>
    <n v="608059579"/>
    <m/>
    <n v="0"/>
    <n v="0"/>
    <m/>
    <n v="0"/>
    <n v="608059579"/>
    <m/>
    <m/>
    <n v="0"/>
    <m/>
    <m/>
    <n v="0"/>
    <m/>
    <m/>
    <m/>
    <m/>
    <m/>
    <m/>
    <m/>
    <m/>
    <m/>
    <m/>
    <m/>
    <m/>
    <m/>
    <m/>
    <n v="608059579"/>
    <n v="0"/>
    <n v="0"/>
    <m/>
    <m/>
    <x v="37"/>
  </r>
  <r>
    <x v="2"/>
    <x v="55"/>
    <n v="545474404"/>
    <m/>
    <n v="0"/>
    <n v="0"/>
    <m/>
    <n v="0"/>
    <n v="545474404"/>
    <m/>
    <m/>
    <n v="0"/>
    <m/>
    <m/>
    <n v="0"/>
    <m/>
    <m/>
    <m/>
    <m/>
    <m/>
    <m/>
    <m/>
    <m/>
    <m/>
    <m/>
    <m/>
    <m/>
    <m/>
    <m/>
    <n v="545474404"/>
    <n v="0"/>
    <n v="0"/>
    <m/>
    <m/>
    <x v="38"/>
  </r>
  <r>
    <x v="2"/>
    <x v="56"/>
    <n v="473677699"/>
    <m/>
    <n v="0"/>
    <n v="0"/>
    <m/>
    <n v="0"/>
    <n v="473677699"/>
    <m/>
    <m/>
    <n v="0"/>
    <m/>
    <m/>
    <n v="0"/>
    <m/>
    <m/>
    <m/>
    <m/>
    <m/>
    <m/>
    <m/>
    <m/>
    <m/>
    <m/>
    <m/>
    <m/>
    <m/>
    <m/>
    <n v="473677699"/>
    <n v="0"/>
    <n v="0"/>
    <m/>
    <m/>
    <x v="39"/>
  </r>
  <r>
    <x v="2"/>
    <x v="57"/>
    <n v="509142303"/>
    <m/>
    <n v="0"/>
    <n v="0"/>
    <m/>
    <n v="0"/>
    <n v="509142303"/>
    <m/>
    <m/>
    <n v="0"/>
    <m/>
    <m/>
    <n v="0"/>
    <m/>
    <m/>
    <m/>
    <m/>
    <m/>
    <m/>
    <m/>
    <m/>
    <m/>
    <m/>
    <m/>
    <m/>
    <m/>
    <m/>
    <n v="509142303"/>
    <n v="0"/>
    <n v="0"/>
    <m/>
    <m/>
    <x v="40"/>
  </r>
  <r>
    <x v="2"/>
    <x v="58"/>
    <n v="491660238"/>
    <m/>
    <n v="0"/>
    <n v="0"/>
    <m/>
    <n v="0"/>
    <n v="491660238"/>
    <m/>
    <m/>
    <n v="0"/>
    <m/>
    <m/>
    <n v="0"/>
    <m/>
    <m/>
    <m/>
    <m/>
    <m/>
    <m/>
    <m/>
    <m/>
    <m/>
    <m/>
    <m/>
    <m/>
    <m/>
    <m/>
    <n v="491660238"/>
    <n v="0"/>
    <n v="0"/>
    <m/>
    <m/>
    <x v="41"/>
  </r>
  <r>
    <x v="2"/>
    <x v="59"/>
    <n v="454786889"/>
    <m/>
    <n v="0"/>
    <n v="0"/>
    <m/>
    <n v="0"/>
    <n v="454786889"/>
    <m/>
    <m/>
    <n v="0"/>
    <m/>
    <m/>
    <n v="0"/>
    <m/>
    <m/>
    <m/>
    <m/>
    <m/>
    <m/>
    <m/>
    <m/>
    <m/>
    <m/>
    <m/>
    <m/>
    <m/>
    <m/>
    <n v="454786889"/>
    <n v="0"/>
    <n v="0"/>
    <m/>
    <m/>
    <x v="42"/>
  </r>
  <r>
    <x v="2"/>
    <x v="60"/>
    <n v="513088854"/>
    <m/>
    <n v="0"/>
    <n v="0"/>
    <m/>
    <n v="0"/>
    <n v="513088854"/>
    <m/>
    <m/>
    <n v="0"/>
    <m/>
    <m/>
    <n v="0"/>
    <m/>
    <m/>
    <m/>
    <m/>
    <m/>
    <m/>
    <m/>
    <m/>
    <m/>
    <m/>
    <m/>
    <m/>
    <m/>
    <m/>
    <n v="513088854"/>
    <n v="0"/>
    <n v="0"/>
    <m/>
    <m/>
    <x v="43"/>
  </r>
  <r>
    <x v="2"/>
    <x v="61"/>
    <n v="479686889"/>
    <m/>
    <n v="0"/>
    <n v="0"/>
    <m/>
    <n v="0"/>
    <n v="479686889"/>
    <m/>
    <m/>
    <n v="0"/>
    <m/>
    <m/>
    <n v="0"/>
    <m/>
    <m/>
    <m/>
    <m/>
    <m/>
    <m/>
    <m/>
    <m/>
    <m/>
    <m/>
    <m/>
    <m/>
    <m/>
    <m/>
    <n v="479686889"/>
    <n v="0"/>
    <n v="0"/>
    <m/>
    <m/>
    <x v="44"/>
  </r>
  <r>
    <x v="2"/>
    <x v="62"/>
    <n v="455086889"/>
    <m/>
    <n v="0"/>
    <n v="0"/>
    <m/>
    <n v="0"/>
    <n v="455086889"/>
    <m/>
    <m/>
    <n v="0"/>
    <m/>
    <m/>
    <n v="0"/>
    <m/>
    <m/>
    <m/>
    <m/>
    <m/>
    <m/>
    <m/>
    <m/>
    <m/>
    <m/>
    <m/>
    <m/>
    <m/>
    <m/>
    <n v="455086889"/>
    <n v="0"/>
    <n v="0"/>
    <m/>
    <m/>
    <x v="45"/>
  </r>
  <r>
    <x v="2"/>
    <x v="63"/>
    <n v="469936889"/>
    <m/>
    <n v="0"/>
    <n v="0"/>
    <m/>
    <n v="0"/>
    <n v="469936889"/>
    <m/>
    <m/>
    <n v="0"/>
    <m/>
    <m/>
    <n v="0"/>
    <m/>
    <m/>
    <m/>
    <m/>
    <m/>
    <m/>
    <m/>
    <m/>
    <m/>
    <m/>
    <m/>
    <m/>
    <m/>
    <m/>
    <n v="469936889"/>
    <n v="0"/>
    <n v="0"/>
    <m/>
    <m/>
    <x v="46"/>
  </r>
  <r>
    <x v="2"/>
    <x v="64"/>
    <n v="497686889"/>
    <m/>
    <n v="0"/>
    <n v="0"/>
    <m/>
    <n v="0"/>
    <n v="497686889"/>
    <m/>
    <m/>
    <n v="0"/>
    <m/>
    <m/>
    <n v="0"/>
    <m/>
    <m/>
    <m/>
    <m/>
    <m/>
    <m/>
    <m/>
    <m/>
    <m/>
    <m/>
    <m/>
    <m/>
    <m/>
    <m/>
    <n v="497686889"/>
    <n v="0"/>
    <n v="0"/>
    <m/>
    <m/>
    <x v="47"/>
  </r>
  <r>
    <x v="2"/>
    <x v="65"/>
    <n v="498637140"/>
    <m/>
    <n v="0"/>
    <n v="0"/>
    <m/>
    <n v="0"/>
    <n v="498637140"/>
    <m/>
    <m/>
    <n v="0"/>
    <m/>
    <m/>
    <n v="0"/>
    <m/>
    <m/>
    <m/>
    <m/>
    <m/>
    <m/>
    <m/>
    <m/>
    <m/>
    <m/>
    <m/>
    <m/>
    <m/>
    <m/>
    <n v="498637140"/>
    <n v="0"/>
    <n v="0"/>
    <m/>
    <m/>
    <x v="48"/>
  </r>
  <r>
    <x v="2"/>
    <x v="66"/>
    <n v="564828353"/>
    <m/>
    <n v="0"/>
    <n v="0"/>
    <m/>
    <n v="0"/>
    <n v="564828353"/>
    <m/>
    <m/>
    <n v="0"/>
    <m/>
    <m/>
    <n v="0"/>
    <m/>
    <m/>
    <m/>
    <m/>
    <m/>
    <m/>
    <m/>
    <m/>
    <m/>
    <m/>
    <m/>
    <m/>
    <m/>
    <m/>
    <n v="564828353"/>
    <n v="0"/>
    <n v="0"/>
    <m/>
    <m/>
    <x v="49"/>
  </r>
  <r>
    <x v="2"/>
    <x v="67"/>
    <n v="468679388"/>
    <m/>
    <n v="0"/>
    <n v="0"/>
    <m/>
    <n v="0"/>
    <n v="468679388"/>
    <m/>
    <m/>
    <n v="0"/>
    <m/>
    <m/>
    <n v="0"/>
    <m/>
    <m/>
    <m/>
    <m/>
    <m/>
    <m/>
    <m/>
    <m/>
    <m/>
    <m/>
    <m/>
    <m/>
    <m/>
    <m/>
    <n v="468679388"/>
    <n v="0"/>
    <n v="0"/>
    <m/>
    <m/>
    <x v="50"/>
  </r>
  <r>
    <x v="2"/>
    <x v="68"/>
    <n v="495526388"/>
    <m/>
    <n v="0"/>
    <n v="0"/>
    <m/>
    <n v="0"/>
    <n v="495526388"/>
    <m/>
    <m/>
    <n v="0"/>
    <m/>
    <m/>
    <n v="0"/>
    <m/>
    <m/>
    <m/>
    <m/>
    <m/>
    <m/>
    <m/>
    <m/>
    <m/>
    <m/>
    <m/>
    <m/>
    <m/>
    <m/>
    <n v="495526388"/>
    <n v="0"/>
    <n v="0"/>
    <m/>
    <m/>
    <x v="51"/>
  </r>
  <r>
    <x v="2"/>
    <x v="69"/>
    <n v="752307467"/>
    <m/>
    <n v="0"/>
    <n v="0"/>
    <m/>
    <n v="0"/>
    <n v="752307467"/>
    <m/>
    <m/>
    <n v="0"/>
    <m/>
    <m/>
    <n v="0"/>
    <m/>
    <m/>
    <m/>
    <m/>
    <m/>
    <m/>
    <m/>
    <m/>
    <m/>
    <m/>
    <m/>
    <m/>
    <m/>
    <m/>
    <n v="752307467"/>
    <n v="0"/>
    <n v="0"/>
    <m/>
    <m/>
    <x v="52"/>
  </r>
  <r>
    <x v="2"/>
    <x v="70"/>
    <n v="469130110"/>
    <m/>
    <n v="0"/>
    <n v="0"/>
    <m/>
    <n v="0"/>
    <n v="469130110"/>
    <m/>
    <m/>
    <n v="0"/>
    <m/>
    <m/>
    <n v="0"/>
    <m/>
    <m/>
    <m/>
    <m/>
    <m/>
    <m/>
    <m/>
    <m/>
    <m/>
    <m/>
    <m/>
    <m/>
    <m/>
    <m/>
    <n v="469130110"/>
    <n v="0"/>
    <n v="0"/>
    <m/>
    <m/>
    <x v="53"/>
  </r>
  <r>
    <x v="2"/>
    <x v="71"/>
    <n v="473130110"/>
    <m/>
    <n v="0"/>
    <n v="0"/>
    <m/>
    <n v="0"/>
    <n v="473130110"/>
    <m/>
    <m/>
    <n v="0"/>
    <m/>
    <m/>
    <n v="0"/>
    <m/>
    <m/>
    <m/>
    <m/>
    <m/>
    <m/>
    <m/>
    <m/>
    <m/>
    <m/>
    <m/>
    <m/>
    <m/>
    <m/>
    <n v="473130110"/>
    <n v="0"/>
    <n v="0"/>
    <m/>
    <m/>
    <x v="54"/>
  </r>
  <r>
    <x v="2"/>
    <x v="72"/>
    <n v="541379076"/>
    <m/>
    <n v="0"/>
    <n v="0"/>
    <m/>
    <n v="0"/>
    <n v="541379076"/>
    <m/>
    <m/>
    <n v="0"/>
    <m/>
    <m/>
    <n v="0"/>
    <m/>
    <m/>
    <m/>
    <m/>
    <m/>
    <m/>
    <m/>
    <m/>
    <m/>
    <m/>
    <m/>
    <m/>
    <m/>
    <m/>
    <n v="541379076"/>
    <n v="0"/>
    <n v="0"/>
    <m/>
    <m/>
    <x v="55"/>
  </r>
  <r>
    <x v="2"/>
    <x v="73"/>
    <n v="842240111"/>
    <m/>
    <n v="0"/>
    <n v="364910000"/>
    <m/>
    <n v="0"/>
    <n v="477330111"/>
    <m/>
    <m/>
    <n v="0"/>
    <m/>
    <m/>
    <n v="0"/>
    <m/>
    <m/>
    <m/>
    <m/>
    <m/>
    <m/>
    <m/>
    <m/>
    <m/>
    <m/>
    <m/>
    <m/>
    <m/>
    <m/>
    <n v="477330111"/>
    <n v="364910000"/>
    <n v="0"/>
    <m/>
    <m/>
    <x v="56"/>
  </r>
  <r>
    <x v="2"/>
    <x v="74"/>
    <n v="465312022"/>
    <m/>
    <n v="0"/>
    <n v="0"/>
    <m/>
    <n v="0"/>
    <n v="465312022"/>
    <m/>
    <m/>
    <n v="0"/>
    <m/>
    <m/>
    <n v="0"/>
    <m/>
    <m/>
    <m/>
    <m/>
    <m/>
    <m/>
    <m/>
    <m/>
    <m/>
    <m/>
    <m/>
    <m/>
    <m/>
    <m/>
    <n v="465312022"/>
    <n v="0"/>
    <n v="0"/>
    <m/>
    <m/>
    <x v="57"/>
  </r>
  <r>
    <x v="2"/>
    <x v="75"/>
    <n v="943535296"/>
    <m/>
    <n v="0"/>
    <n v="370728750"/>
    <m/>
    <n v="0"/>
    <n v="572806546"/>
    <m/>
    <m/>
    <n v="0"/>
    <m/>
    <m/>
    <n v="0"/>
    <m/>
    <m/>
    <m/>
    <m/>
    <m/>
    <m/>
    <m/>
    <m/>
    <m/>
    <m/>
    <m/>
    <m/>
    <m/>
    <m/>
    <n v="572806546"/>
    <n v="370728750"/>
    <n v="0"/>
    <m/>
    <m/>
    <x v="58"/>
  </r>
  <r>
    <x v="2"/>
    <x v="76"/>
    <n v="35841087134"/>
    <m/>
    <n v="0"/>
    <n v="34657276828"/>
    <m/>
    <n v="1126819750"/>
    <n v="56990556"/>
    <m/>
    <m/>
    <n v="0"/>
    <m/>
    <m/>
    <n v="0"/>
    <m/>
    <m/>
    <m/>
    <m/>
    <m/>
    <m/>
    <m/>
    <m/>
    <m/>
    <m/>
    <m/>
    <m/>
    <m/>
    <m/>
    <n v="56990556"/>
    <n v="34657276828"/>
    <n v="0"/>
    <m/>
    <m/>
    <x v="59"/>
  </r>
  <r>
    <x v="2"/>
    <x v="77"/>
    <n v="2773312750"/>
    <m/>
    <n v="0"/>
    <n v="2773312750"/>
    <m/>
    <n v="0"/>
    <n v="0"/>
    <m/>
    <m/>
    <n v="0"/>
    <m/>
    <m/>
    <n v="0"/>
    <m/>
    <m/>
    <m/>
    <m/>
    <m/>
    <m/>
    <m/>
    <m/>
    <m/>
    <m/>
    <m/>
    <m/>
    <m/>
    <m/>
    <n v="0"/>
    <n v="2773312750"/>
    <n v="0"/>
    <m/>
    <m/>
    <x v="60"/>
  </r>
  <r>
    <x v="3"/>
    <x v="8"/>
    <n v="0"/>
    <n v="0"/>
    <m/>
    <n v="0"/>
    <m/>
    <n v="0"/>
    <n v="0"/>
    <m/>
    <n v="0"/>
    <n v="0"/>
    <m/>
    <n v="0"/>
    <n v="0"/>
    <m/>
    <m/>
    <m/>
    <m/>
    <m/>
    <m/>
    <m/>
    <m/>
    <n v="0"/>
    <m/>
    <m/>
    <m/>
    <m/>
    <m/>
    <n v="0"/>
    <n v="0"/>
    <n v="0"/>
    <n v="0"/>
    <m/>
    <x v="0"/>
  </r>
  <r>
    <x v="3"/>
    <x v="9"/>
    <n v="0"/>
    <n v="0"/>
    <m/>
    <n v="0"/>
    <m/>
    <n v="0"/>
    <n v="0"/>
    <m/>
    <n v="0"/>
    <n v="0"/>
    <m/>
    <n v="0"/>
    <n v="0"/>
    <m/>
    <m/>
    <m/>
    <m/>
    <m/>
    <m/>
    <m/>
    <m/>
    <n v="0"/>
    <m/>
    <m/>
    <m/>
    <m/>
    <m/>
    <n v="0"/>
    <n v="0"/>
    <n v="0"/>
    <n v="0"/>
    <m/>
    <x v="0"/>
  </r>
  <r>
    <x v="3"/>
    <x v="10"/>
    <n v="0"/>
    <n v="0"/>
    <m/>
    <n v="0"/>
    <m/>
    <n v="0"/>
    <n v="0"/>
    <m/>
    <n v="0"/>
    <n v="0"/>
    <m/>
    <n v="0"/>
    <n v="0"/>
    <m/>
    <m/>
    <m/>
    <m/>
    <m/>
    <m/>
    <m/>
    <m/>
    <n v="0"/>
    <m/>
    <m/>
    <m/>
    <m/>
    <m/>
    <n v="0"/>
    <n v="0"/>
    <n v="0"/>
    <n v="0"/>
    <m/>
    <x v="0"/>
  </r>
  <r>
    <x v="3"/>
    <x v="11"/>
    <n v="0"/>
    <n v="0"/>
    <m/>
    <n v="0"/>
    <m/>
    <n v="0"/>
    <n v="0"/>
    <m/>
    <n v="0"/>
    <n v="0"/>
    <m/>
    <n v="0"/>
    <n v="0"/>
    <m/>
    <m/>
    <m/>
    <m/>
    <m/>
    <m/>
    <m/>
    <m/>
    <n v="0"/>
    <m/>
    <m/>
    <m/>
    <m/>
    <m/>
    <n v="0"/>
    <n v="0"/>
    <n v="0"/>
    <n v="0"/>
    <m/>
    <x v="0"/>
  </r>
  <r>
    <x v="3"/>
    <x v="12"/>
    <n v="0"/>
    <n v="0"/>
    <m/>
    <n v="0"/>
    <m/>
    <n v="0"/>
    <n v="0"/>
    <m/>
    <n v="0"/>
    <n v="0"/>
    <m/>
    <n v="0"/>
    <n v="0"/>
    <m/>
    <m/>
    <m/>
    <m/>
    <m/>
    <m/>
    <m/>
    <m/>
    <n v="0"/>
    <m/>
    <m/>
    <m/>
    <m/>
    <m/>
    <n v="0"/>
    <n v="0"/>
    <n v="0"/>
    <n v="0"/>
    <m/>
    <x v="0"/>
  </r>
  <r>
    <x v="3"/>
    <x v="13"/>
    <n v="0"/>
    <n v="0"/>
    <m/>
    <n v="0"/>
    <m/>
    <n v="0"/>
    <n v="0"/>
    <m/>
    <n v="0"/>
    <n v="0"/>
    <m/>
    <n v="0"/>
    <n v="0"/>
    <m/>
    <m/>
    <m/>
    <m/>
    <m/>
    <m/>
    <m/>
    <m/>
    <n v="0"/>
    <m/>
    <m/>
    <m/>
    <m/>
    <m/>
    <n v="0"/>
    <n v="0"/>
    <n v="0"/>
    <n v="0"/>
    <m/>
    <x v="0"/>
  </r>
  <r>
    <x v="3"/>
    <x v="14"/>
    <n v="0"/>
    <n v="0"/>
    <m/>
    <n v="0"/>
    <m/>
    <n v="0"/>
    <n v="0"/>
    <m/>
    <n v="0"/>
    <n v="0"/>
    <m/>
    <n v="0"/>
    <n v="0"/>
    <m/>
    <m/>
    <m/>
    <m/>
    <m/>
    <m/>
    <m/>
    <m/>
    <n v="0"/>
    <m/>
    <m/>
    <m/>
    <m/>
    <m/>
    <n v="0"/>
    <n v="0"/>
    <n v="0"/>
    <n v="0"/>
    <m/>
    <x v="0"/>
  </r>
  <r>
    <x v="3"/>
    <x v="15"/>
    <n v="0"/>
    <n v="0"/>
    <m/>
    <n v="0"/>
    <m/>
    <n v="0"/>
    <n v="0"/>
    <m/>
    <n v="0"/>
    <n v="0"/>
    <m/>
    <n v="0"/>
    <n v="0"/>
    <m/>
    <m/>
    <m/>
    <m/>
    <m/>
    <m/>
    <m/>
    <m/>
    <n v="0"/>
    <m/>
    <m/>
    <m/>
    <m/>
    <m/>
    <n v="0"/>
    <n v="0"/>
    <n v="0"/>
    <n v="0"/>
    <m/>
    <x v="0"/>
  </r>
  <r>
    <x v="3"/>
    <x v="16"/>
    <n v="0"/>
    <n v="0"/>
    <m/>
    <n v="0"/>
    <m/>
    <n v="0"/>
    <n v="0"/>
    <m/>
    <n v="0"/>
    <n v="0"/>
    <m/>
    <n v="0"/>
    <n v="0"/>
    <m/>
    <m/>
    <m/>
    <m/>
    <m/>
    <m/>
    <m/>
    <m/>
    <n v="0"/>
    <m/>
    <m/>
    <m/>
    <m/>
    <m/>
    <n v="0"/>
    <n v="0"/>
    <n v="0"/>
    <n v="0"/>
    <m/>
    <x v="0"/>
  </r>
  <r>
    <x v="3"/>
    <x v="17"/>
    <n v="0"/>
    <n v="0"/>
    <m/>
    <n v="0"/>
    <m/>
    <n v="0"/>
    <n v="0"/>
    <m/>
    <n v="0"/>
    <n v="0"/>
    <m/>
    <n v="0"/>
    <n v="0"/>
    <m/>
    <m/>
    <m/>
    <m/>
    <m/>
    <m/>
    <m/>
    <m/>
    <n v="0"/>
    <m/>
    <m/>
    <m/>
    <m/>
    <m/>
    <n v="0"/>
    <n v="0"/>
    <n v="0"/>
    <n v="0"/>
    <m/>
    <x v="0"/>
  </r>
  <r>
    <x v="3"/>
    <x v="18"/>
    <n v="0"/>
    <n v="0"/>
    <m/>
    <n v="0"/>
    <m/>
    <n v="0"/>
    <n v="0"/>
    <m/>
    <n v="0"/>
    <n v="0"/>
    <m/>
    <n v="0"/>
    <n v="0"/>
    <m/>
    <m/>
    <m/>
    <m/>
    <m/>
    <m/>
    <m/>
    <m/>
    <n v="0"/>
    <m/>
    <m/>
    <m/>
    <m/>
    <m/>
    <n v="0"/>
    <n v="0"/>
    <n v="0"/>
    <n v="0"/>
    <m/>
    <x v="0"/>
  </r>
  <r>
    <x v="3"/>
    <x v="19"/>
    <n v="0"/>
    <n v="0"/>
    <m/>
    <n v="0"/>
    <m/>
    <n v="0"/>
    <n v="0"/>
    <m/>
    <n v="0"/>
    <n v="0"/>
    <m/>
    <n v="0"/>
    <n v="0"/>
    <m/>
    <m/>
    <m/>
    <m/>
    <m/>
    <m/>
    <m/>
    <m/>
    <n v="0"/>
    <m/>
    <m/>
    <m/>
    <m/>
    <m/>
    <n v="0"/>
    <n v="0"/>
    <n v="0"/>
    <n v="0"/>
    <m/>
    <x v="0"/>
  </r>
  <r>
    <x v="3"/>
    <x v="20"/>
    <n v="0"/>
    <n v="0"/>
    <m/>
    <n v="0"/>
    <m/>
    <n v="0"/>
    <n v="0"/>
    <m/>
    <n v="0"/>
    <n v="0"/>
    <m/>
    <n v="0"/>
    <n v="0"/>
    <m/>
    <m/>
    <m/>
    <m/>
    <m/>
    <m/>
    <m/>
    <m/>
    <n v="0"/>
    <m/>
    <m/>
    <m/>
    <m/>
    <m/>
    <n v="0"/>
    <n v="0"/>
    <n v="0"/>
    <n v="0"/>
    <m/>
    <x v="0"/>
  </r>
  <r>
    <x v="3"/>
    <x v="21"/>
    <n v="0"/>
    <n v="0"/>
    <m/>
    <n v="0"/>
    <m/>
    <n v="0"/>
    <n v="0"/>
    <m/>
    <n v="0"/>
    <n v="0"/>
    <m/>
    <n v="0"/>
    <n v="0"/>
    <m/>
    <m/>
    <m/>
    <m/>
    <m/>
    <m/>
    <m/>
    <m/>
    <n v="0"/>
    <m/>
    <m/>
    <m/>
    <m/>
    <m/>
    <n v="0"/>
    <n v="0"/>
    <n v="0"/>
    <n v="0"/>
    <m/>
    <x v="0"/>
  </r>
  <r>
    <x v="3"/>
    <x v="22"/>
    <n v="0"/>
    <n v="0"/>
    <m/>
    <n v="0"/>
    <m/>
    <n v="0"/>
    <n v="0"/>
    <m/>
    <n v="0"/>
    <n v="0"/>
    <m/>
    <n v="0"/>
    <n v="0"/>
    <m/>
    <m/>
    <m/>
    <m/>
    <m/>
    <m/>
    <m/>
    <m/>
    <n v="0"/>
    <m/>
    <m/>
    <m/>
    <m/>
    <m/>
    <n v="0"/>
    <n v="0"/>
    <n v="0"/>
    <n v="0"/>
    <m/>
    <x v="0"/>
  </r>
  <r>
    <x v="3"/>
    <x v="23"/>
    <n v="0"/>
    <n v="0"/>
    <m/>
    <n v="0"/>
    <m/>
    <n v="0"/>
    <n v="0"/>
    <m/>
    <n v="0"/>
    <n v="0"/>
    <m/>
    <n v="0"/>
    <n v="0"/>
    <m/>
    <m/>
    <m/>
    <m/>
    <m/>
    <m/>
    <m/>
    <m/>
    <n v="0"/>
    <m/>
    <m/>
    <m/>
    <m/>
    <m/>
    <n v="0"/>
    <n v="0"/>
    <n v="0"/>
    <n v="0"/>
    <m/>
    <x v="0"/>
  </r>
  <r>
    <x v="3"/>
    <x v="24"/>
    <n v="0"/>
    <n v="0"/>
    <m/>
    <n v="0"/>
    <m/>
    <n v="0"/>
    <n v="0"/>
    <m/>
    <n v="0"/>
    <n v="0"/>
    <m/>
    <n v="0"/>
    <n v="0"/>
    <m/>
    <m/>
    <m/>
    <m/>
    <m/>
    <m/>
    <m/>
    <m/>
    <n v="0"/>
    <m/>
    <m/>
    <m/>
    <m/>
    <m/>
    <n v="0"/>
    <n v="0"/>
    <n v="0"/>
    <n v="0"/>
    <m/>
    <x v="0"/>
  </r>
  <r>
    <x v="3"/>
    <x v="25"/>
    <n v="0"/>
    <n v="0"/>
    <m/>
    <n v="0"/>
    <m/>
    <n v="0"/>
    <n v="0"/>
    <m/>
    <n v="0"/>
    <n v="0"/>
    <m/>
    <n v="0"/>
    <n v="0"/>
    <m/>
    <m/>
    <m/>
    <m/>
    <m/>
    <m/>
    <m/>
    <m/>
    <n v="0"/>
    <m/>
    <m/>
    <m/>
    <m/>
    <m/>
    <n v="0"/>
    <n v="0"/>
    <n v="0"/>
    <n v="0"/>
    <m/>
    <x v="0"/>
  </r>
  <r>
    <x v="3"/>
    <x v="26"/>
    <n v="0"/>
    <n v="0"/>
    <m/>
    <n v="0"/>
    <m/>
    <n v="0"/>
    <n v="0"/>
    <m/>
    <n v="0"/>
    <n v="0"/>
    <m/>
    <n v="0"/>
    <n v="0"/>
    <m/>
    <m/>
    <m/>
    <m/>
    <m/>
    <m/>
    <m/>
    <m/>
    <n v="0"/>
    <m/>
    <m/>
    <m/>
    <m/>
    <m/>
    <n v="0"/>
    <n v="0"/>
    <n v="0"/>
    <n v="0"/>
    <m/>
    <x v="0"/>
  </r>
  <r>
    <x v="3"/>
    <x v="27"/>
    <n v="0"/>
    <n v="0"/>
    <m/>
    <n v="0"/>
    <m/>
    <n v="0"/>
    <n v="0"/>
    <m/>
    <n v="0"/>
    <n v="0"/>
    <m/>
    <n v="0"/>
    <n v="0"/>
    <m/>
    <m/>
    <m/>
    <m/>
    <m/>
    <m/>
    <m/>
    <m/>
    <n v="0"/>
    <m/>
    <m/>
    <m/>
    <m/>
    <m/>
    <n v="0"/>
    <n v="0"/>
    <n v="0"/>
    <n v="0"/>
    <m/>
    <x v="0"/>
  </r>
  <r>
    <x v="3"/>
    <x v="28"/>
    <n v="0"/>
    <n v="0"/>
    <m/>
    <n v="0"/>
    <m/>
    <n v="0"/>
    <n v="0"/>
    <m/>
    <n v="0"/>
    <n v="0"/>
    <m/>
    <n v="0"/>
    <n v="0"/>
    <m/>
    <m/>
    <m/>
    <m/>
    <m/>
    <m/>
    <m/>
    <m/>
    <n v="0"/>
    <m/>
    <m/>
    <m/>
    <m/>
    <m/>
    <n v="0"/>
    <n v="0"/>
    <n v="0"/>
    <n v="0"/>
    <m/>
    <x v="0"/>
  </r>
  <r>
    <x v="3"/>
    <x v="29"/>
    <n v="0"/>
    <n v="0"/>
    <m/>
    <n v="0"/>
    <m/>
    <n v="0"/>
    <n v="0"/>
    <m/>
    <n v="0"/>
    <n v="0"/>
    <m/>
    <n v="0"/>
    <n v="0"/>
    <m/>
    <m/>
    <m/>
    <m/>
    <m/>
    <m/>
    <m/>
    <m/>
    <n v="0"/>
    <m/>
    <m/>
    <m/>
    <m/>
    <m/>
    <n v="0"/>
    <n v="0"/>
    <n v="0"/>
    <n v="0"/>
    <m/>
    <x v="0"/>
  </r>
  <r>
    <x v="3"/>
    <x v="30"/>
    <n v="0"/>
    <n v="0"/>
    <m/>
    <n v="0"/>
    <m/>
    <n v="0"/>
    <n v="0"/>
    <m/>
    <n v="0"/>
    <n v="0"/>
    <m/>
    <n v="0"/>
    <n v="0"/>
    <m/>
    <m/>
    <m/>
    <m/>
    <m/>
    <m/>
    <m/>
    <m/>
    <n v="0"/>
    <m/>
    <m/>
    <m/>
    <m/>
    <m/>
    <n v="0"/>
    <n v="0"/>
    <n v="0"/>
    <n v="0"/>
    <m/>
    <x v="0"/>
  </r>
  <r>
    <x v="3"/>
    <x v="31"/>
    <n v="0"/>
    <n v="0"/>
    <m/>
    <n v="0"/>
    <m/>
    <n v="0"/>
    <n v="0"/>
    <m/>
    <n v="0"/>
    <n v="0"/>
    <m/>
    <n v="0"/>
    <n v="0"/>
    <m/>
    <m/>
    <m/>
    <m/>
    <m/>
    <m/>
    <m/>
    <m/>
    <n v="0"/>
    <m/>
    <m/>
    <m/>
    <m/>
    <m/>
    <n v="0"/>
    <n v="0"/>
    <n v="0"/>
    <n v="0"/>
    <m/>
    <x v="0"/>
  </r>
  <r>
    <x v="3"/>
    <x v="32"/>
    <n v="0"/>
    <n v="0"/>
    <m/>
    <n v="0"/>
    <m/>
    <n v="0"/>
    <n v="0"/>
    <m/>
    <n v="0"/>
    <n v="0"/>
    <m/>
    <n v="0"/>
    <n v="0"/>
    <m/>
    <m/>
    <m/>
    <m/>
    <m/>
    <m/>
    <m/>
    <m/>
    <n v="0"/>
    <m/>
    <m/>
    <m/>
    <m/>
    <m/>
    <n v="0"/>
    <n v="0"/>
    <n v="0"/>
    <n v="0"/>
    <m/>
    <x v="0"/>
  </r>
  <r>
    <x v="3"/>
    <x v="33"/>
    <n v="0"/>
    <n v="0"/>
    <m/>
    <n v="0"/>
    <m/>
    <n v="0"/>
    <n v="0"/>
    <m/>
    <n v="0"/>
    <n v="0"/>
    <m/>
    <n v="0"/>
    <n v="0"/>
    <m/>
    <m/>
    <m/>
    <m/>
    <m/>
    <m/>
    <m/>
    <m/>
    <n v="0"/>
    <m/>
    <m/>
    <m/>
    <m/>
    <m/>
    <n v="0"/>
    <n v="0"/>
    <n v="0"/>
    <n v="0"/>
    <m/>
    <x v="0"/>
  </r>
  <r>
    <x v="3"/>
    <x v="34"/>
    <n v="0"/>
    <n v="0"/>
    <m/>
    <n v="0"/>
    <m/>
    <n v="0"/>
    <n v="0"/>
    <m/>
    <n v="0"/>
    <n v="0"/>
    <m/>
    <n v="0"/>
    <n v="0"/>
    <m/>
    <m/>
    <m/>
    <m/>
    <m/>
    <m/>
    <m/>
    <m/>
    <n v="0"/>
    <m/>
    <m/>
    <m/>
    <m/>
    <m/>
    <n v="0"/>
    <n v="0"/>
    <n v="0"/>
    <n v="0"/>
    <m/>
    <x v="0"/>
  </r>
  <r>
    <x v="3"/>
    <x v="35"/>
    <n v="0"/>
    <n v="0"/>
    <m/>
    <n v="0"/>
    <m/>
    <n v="0"/>
    <n v="0"/>
    <m/>
    <n v="0"/>
    <n v="0"/>
    <m/>
    <n v="0"/>
    <n v="0"/>
    <m/>
    <m/>
    <m/>
    <m/>
    <m/>
    <m/>
    <m/>
    <m/>
    <n v="0"/>
    <m/>
    <m/>
    <m/>
    <m/>
    <m/>
    <n v="0"/>
    <n v="0"/>
    <n v="0"/>
    <n v="0"/>
    <m/>
    <x v="0"/>
  </r>
  <r>
    <x v="3"/>
    <x v="36"/>
    <n v="0"/>
    <n v="0"/>
    <m/>
    <n v="0"/>
    <m/>
    <n v="0"/>
    <n v="0"/>
    <m/>
    <n v="0"/>
    <n v="0"/>
    <m/>
    <n v="0"/>
    <n v="0"/>
    <m/>
    <m/>
    <m/>
    <m/>
    <m/>
    <m/>
    <m/>
    <m/>
    <n v="0"/>
    <m/>
    <m/>
    <m/>
    <m/>
    <m/>
    <n v="0"/>
    <n v="0"/>
    <n v="0"/>
    <n v="0"/>
    <m/>
    <x v="0"/>
  </r>
  <r>
    <x v="3"/>
    <x v="37"/>
    <n v="0"/>
    <n v="0"/>
    <m/>
    <n v="0"/>
    <m/>
    <n v="0"/>
    <n v="0"/>
    <m/>
    <n v="0"/>
    <n v="0"/>
    <m/>
    <n v="0"/>
    <n v="0"/>
    <m/>
    <m/>
    <m/>
    <m/>
    <m/>
    <m/>
    <m/>
    <m/>
    <n v="0"/>
    <m/>
    <m/>
    <m/>
    <m/>
    <m/>
    <n v="0"/>
    <n v="0"/>
    <n v="0"/>
    <n v="0"/>
    <m/>
    <x v="0"/>
  </r>
  <r>
    <x v="3"/>
    <x v="38"/>
    <n v="0"/>
    <n v="0"/>
    <m/>
    <n v="0"/>
    <m/>
    <n v="0"/>
    <n v="0"/>
    <m/>
    <n v="0"/>
    <n v="0"/>
    <m/>
    <n v="0"/>
    <n v="0"/>
    <m/>
    <m/>
    <m/>
    <m/>
    <m/>
    <m/>
    <m/>
    <m/>
    <n v="0"/>
    <m/>
    <m/>
    <m/>
    <m/>
    <m/>
    <n v="0"/>
    <n v="0"/>
    <n v="0"/>
    <n v="0"/>
    <m/>
    <x v="0"/>
  </r>
  <r>
    <x v="3"/>
    <x v="39"/>
    <n v="0"/>
    <n v="0"/>
    <m/>
    <n v="0"/>
    <m/>
    <n v="0"/>
    <n v="0"/>
    <m/>
    <n v="0"/>
    <n v="0"/>
    <m/>
    <n v="0"/>
    <n v="0"/>
    <m/>
    <m/>
    <m/>
    <m/>
    <m/>
    <m/>
    <m/>
    <m/>
    <n v="0"/>
    <m/>
    <m/>
    <m/>
    <m/>
    <m/>
    <n v="0"/>
    <n v="0"/>
    <n v="0"/>
    <n v="0"/>
    <m/>
    <x v="0"/>
  </r>
  <r>
    <x v="3"/>
    <x v="40"/>
    <n v="0"/>
    <n v="0"/>
    <m/>
    <n v="0"/>
    <m/>
    <n v="0"/>
    <n v="0"/>
    <m/>
    <n v="0"/>
    <n v="0"/>
    <m/>
    <n v="0"/>
    <n v="0"/>
    <m/>
    <m/>
    <m/>
    <m/>
    <m/>
    <m/>
    <m/>
    <m/>
    <n v="0"/>
    <m/>
    <m/>
    <m/>
    <m/>
    <m/>
    <n v="0"/>
    <n v="0"/>
    <n v="0"/>
    <n v="0"/>
    <m/>
    <x v="0"/>
  </r>
  <r>
    <x v="3"/>
    <x v="41"/>
    <n v="0"/>
    <n v="0"/>
    <m/>
    <n v="0"/>
    <m/>
    <n v="0"/>
    <n v="0"/>
    <m/>
    <n v="0"/>
    <n v="0"/>
    <m/>
    <n v="0"/>
    <n v="0"/>
    <m/>
    <m/>
    <m/>
    <m/>
    <m/>
    <m/>
    <m/>
    <m/>
    <n v="0"/>
    <m/>
    <m/>
    <m/>
    <m/>
    <m/>
    <n v="0"/>
    <n v="0"/>
    <n v="0"/>
    <n v="0"/>
    <m/>
    <x v="0"/>
  </r>
  <r>
    <x v="3"/>
    <x v="42"/>
    <n v="0"/>
    <n v="0"/>
    <m/>
    <n v="0"/>
    <m/>
    <n v="0"/>
    <n v="0"/>
    <m/>
    <n v="0"/>
    <n v="0"/>
    <m/>
    <n v="0"/>
    <n v="0"/>
    <m/>
    <m/>
    <m/>
    <m/>
    <m/>
    <m/>
    <m/>
    <m/>
    <n v="0"/>
    <m/>
    <m/>
    <m/>
    <m/>
    <m/>
    <n v="0"/>
    <n v="0"/>
    <n v="0"/>
    <n v="0"/>
    <m/>
    <x v="0"/>
  </r>
  <r>
    <x v="3"/>
    <x v="43"/>
    <n v="14394846"/>
    <n v="7626301"/>
    <m/>
    <n v="0"/>
    <m/>
    <n v="0"/>
    <n v="6768545"/>
    <m/>
    <n v="0"/>
    <n v="0"/>
    <m/>
    <n v="0"/>
    <n v="0"/>
    <m/>
    <m/>
    <m/>
    <m/>
    <m/>
    <m/>
    <m/>
    <m/>
    <n v="0"/>
    <m/>
    <m/>
    <m/>
    <m/>
    <m/>
    <n v="6768545"/>
    <n v="0"/>
    <n v="0"/>
    <n v="0"/>
    <m/>
    <x v="61"/>
  </r>
  <r>
    <x v="3"/>
    <x v="44"/>
    <n v="0"/>
    <n v="0"/>
    <m/>
    <n v="0"/>
    <m/>
    <n v="0"/>
    <n v="0"/>
    <m/>
    <n v="0"/>
    <n v="0"/>
    <m/>
    <n v="0"/>
    <n v="0"/>
    <m/>
    <m/>
    <m/>
    <m/>
    <m/>
    <m/>
    <m/>
    <m/>
    <n v="0"/>
    <m/>
    <m/>
    <m/>
    <m/>
    <m/>
    <n v="0"/>
    <n v="0"/>
    <n v="0"/>
    <n v="0"/>
    <m/>
    <x v="0"/>
  </r>
  <r>
    <x v="3"/>
    <x v="45"/>
    <n v="0"/>
    <n v="0"/>
    <m/>
    <n v="0"/>
    <m/>
    <n v="0"/>
    <n v="0"/>
    <m/>
    <n v="0"/>
    <n v="0"/>
    <m/>
    <n v="0"/>
    <n v="0"/>
    <m/>
    <m/>
    <m/>
    <m/>
    <m/>
    <m/>
    <m/>
    <m/>
    <n v="0"/>
    <m/>
    <m/>
    <m/>
    <m/>
    <m/>
    <n v="0"/>
    <n v="0"/>
    <n v="0"/>
    <n v="0"/>
    <m/>
    <x v="0"/>
  </r>
  <r>
    <x v="3"/>
    <x v="46"/>
    <n v="12126774"/>
    <n v="0"/>
    <m/>
    <n v="0"/>
    <m/>
    <n v="0"/>
    <n v="12126774"/>
    <m/>
    <n v="0"/>
    <n v="0"/>
    <m/>
    <n v="0"/>
    <n v="0"/>
    <m/>
    <m/>
    <m/>
    <m/>
    <m/>
    <m/>
    <m/>
    <m/>
    <n v="0"/>
    <m/>
    <m/>
    <m/>
    <m/>
    <m/>
    <n v="12126774"/>
    <n v="0"/>
    <n v="0"/>
    <n v="0"/>
    <m/>
    <x v="62"/>
  </r>
  <r>
    <x v="3"/>
    <x v="47"/>
    <n v="654531173"/>
    <n v="0"/>
    <m/>
    <n v="654531173"/>
    <m/>
    <n v="0"/>
    <n v="0"/>
    <m/>
    <n v="0"/>
    <n v="0"/>
    <m/>
    <n v="0"/>
    <n v="0"/>
    <m/>
    <m/>
    <m/>
    <m/>
    <m/>
    <m/>
    <m/>
    <m/>
    <n v="0"/>
    <m/>
    <m/>
    <m/>
    <m/>
    <m/>
    <n v="0"/>
    <n v="654531173"/>
    <n v="0"/>
    <n v="0"/>
    <m/>
    <x v="63"/>
  </r>
  <r>
    <x v="3"/>
    <x v="48"/>
    <n v="6755627129"/>
    <n v="335233334"/>
    <m/>
    <n v="6420393795"/>
    <m/>
    <n v="0"/>
    <n v="0"/>
    <m/>
    <n v="0"/>
    <n v="0"/>
    <m/>
    <n v="0"/>
    <n v="0"/>
    <m/>
    <m/>
    <m/>
    <m/>
    <m/>
    <m/>
    <m/>
    <m/>
    <n v="0"/>
    <m/>
    <m/>
    <m/>
    <m/>
    <m/>
    <n v="0"/>
    <n v="6420393795"/>
    <n v="0"/>
    <n v="0"/>
    <m/>
    <x v="64"/>
  </r>
  <r>
    <x v="3"/>
    <x v="49"/>
    <n v="86768808"/>
    <n v="0"/>
    <m/>
    <n v="0"/>
    <m/>
    <n v="0"/>
    <n v="86100000"/>
    <m/>
    <n v="549955"/>
    <n v="0"/>
    <m/>
    <n v="0"/>
    <n v="0"/>
    <m/>
    <m/>
    <m/>
    <m/>
    <m/>
    <m/>
    <m/>
    <m/>
    <n v="118853"/>
    <m/>
    <m/>
    <m/>
    <m/>
    <m/>
    <n v="86218853"/>
    <n v="0"/>
    <n v="0"/>
    <n v="0"/>
    <m/>
    <x v="65"/>
  </r>
  <r>
    <x v="3"/>
    <x v="50"/>
    <n v="10882269230"/>
    <n v="64728618"/>
    <m/>
    <n v="10568531934"/>
    <m/>
    <n v="0"/>
    <n v="249008678"/>
    <m/>
    <n v="0"/>
    <n v="0"/>
    <m/>
    <n v="0"/>
    <n v="0"/>
    <m/>
    <m/>
    <m/>
    <m/>
    <m/>
    <m/>
    <m/>
    <m/>
    <n v="0"/>
    <m/>
    <m/>
    <m/>
    <m/>
    <m/>
    <n v="249008678"/>
    <n v="10568531934"/>
    <n v="0"/>
    <n v="0"/>
    <m/>
    <x v="66"/>
  </r>
  <r>
    <x v="3"/>
    <x v="51"/>
    <n v="853120645"/>
    <n v="59434157"/>
    <m/>
    <n v="430305440"/>
    <m/>
    <n v="0"/>
    <n v="363381048"/>
    <m/>
    <n v="0"/>
    <n v="0"/>
    <m/>
    <n v="0"/>
    <n v="0"/>
    <m/>
    <m/>
    <m/>
    <m/>
    <m/>
    <m/>
    <m/>
    <m/>
    <n v="0"/>
    <m/>
    <m/>
    <m/>
    <m/>
    <m/>
    <n v="363381048"/>
    <n v="430305440"/>
    <n v="0"/>
    <n v="0"/>
    <m/>
    <x v="67"/>
  </r>
  <r>
    <x v="3"/>
    <x v="52"/>
    <n v="504081819"/>
    <n v="72930500"/>
    <m/>
    <n v="274526940"/>
    <m/>
    <n v="0"/>
    <n v="154692527"/>
    <m/>
    <n v="0"/>
    <n v="0"/>
    <m/>
    <n v="1931852"/>
    <n v="0"/>
    <m/>
    <m/>
    <m/>
    <m/>
    <m/>
    <m/>
    <m/>
    <m/>
    <n v="0"/>
    <m/>
    <m/>
    <m/>
    <m/>
    <m/>
    <n v="154692527"/>
    <n v="274526940"/>
    <n v="0"/>
    <n v="1931852"/>
    <m/>
    <x v="68"/>
  </r>
  <r>
    <x v="3"/>
    <x v="53"/>
    <n v="1644940599"/>
    <n v="7059609"/>
    <m/>
    <n v="1300214366"/>
    <m/>
    <n v="87000000"/>
    <n v="240028024"/>
    <m/>
    <n v="0"/>
    <n v="0"/>
    <m/>
    <n v="10638600"/>
    <n v="0"/>
    <m/>
    <m/>
    <m/>
    <m/>
    <m/>
    <m/>
    <m/>
    <m/>
    <n v="0"/>
    <m/>
    <m/>
    <m/>
    <m/>
    <m/>
    <n v="240028024"/>
    <n v="1300214366"/>
    <n v="0"/>
    <n v="10638600"/>
    <m/>
    <x v="69"/>
  </r>
  <r>
    <x v="3"/>
    <x v="54"/>
    <n v="1224561065"/>
    <n v="6182405"/>
    <m/>
    <n v="1080852068"/>
    <m/>
    <n v="0"/>
    <n v="116206821"/>
    <m/>
    <n v="0"/>
    <n v="21319771"/>
    <m/>
    <n v="0"/>
    <n v="0"/>
    <m/>
    <m/>
    <m/>
    <m/>
    <m/>
    <m/>
    <m/>
    <m/>
    <n v="0"/>
    <m/>
    <m/>
    <m/>
    <m/>
    <m/>
    <n v="116206821"/>
    <n v="1080852068"/>
    <n v="21319771"/>
    <n v="0"/>
    <m/>
    <x v="70"/>
  </r>
  <r>
    <x v="3"/>
    <x v="55"/>
    <n v="420130835"/>
    <n v="33227877"/>
    <m/>
    <n v="332748500"/>
    <m/>
    <n v="0"/>
    <n v="52062228"/>
    <m/>
    <n v="0"/>
    <n v="0"/>
    <m/>
    <n v="2092230"/>
    <n v="0"/>
    <m/>
    <m/>
    <m/>
    <m/>
    <m/>
    <m/>
    <m/>
    <m/>
    <n v="0"/>
    <m/>
    <m/>
    <m/>
    <m/>
    <m/>
    <n v="52062228"/>
    <n v="332748500"/>
    <n v="0"/>
    <n v="2092230"/>
    <m/>
    <x v="71"/>
  </r>
  <r>
    <x v="3"/>
    <x v="56"/>
    <n v="524017220"/>
    <n v="14423054"/>
    <m/>
    <n v="338031870"/>
    <m/>
    <n v="0"/>
    <n v="169630446"/>
    <m/>
    <n v="0"/>
    <n v="0"/>
    <m/>
    <n v="1931850"/>
    <n v="0"/>
    <m/>
    <m/>
    <m/>
    <m/>
    <m/>
    <m/>
    <m/>
    <m/>
    <n v="0"/>
    <m/>
    <m/>
    <m/>
    <m/>
    <m/>
    <n v="169630446"/>
    <n v="338031870"/>
    <n v="0"/>
    <n v="1931850"/>
    <m/>
    <x v="72"/>
  </r>
  <r>
    <x v="3"/>
    <x v="57"/>
    <n v="4409665102"/>
    <n v="25175101"/>
    <m/>
    <n v="3976787824"/>
    <m/>
    <n v="0"/>
    <n v="393517028"/>
    <m/>
    <n v="0"/>
    <n v="0"/>
    <m/>
    <n v="14185149"/>
    <n v="0"/>
    <m/>
    <m/>
    <m/>
    <m/>
    <m/>
    <m/>
    <m/>
    <m/>
    <n v="0"/>
    <m/>
    <m/>
    <m/>
    <m/>
    <m/>
    <n v="393517028"/>
    <n v="3976787824"/>
    <n v="0"/>
    <n v="14185149"/>
    <m/>
    <x v="73"/>
  </r>
  <r>
    <x v="3"/>
    <x v="58"/>
    <n v="394606866"/>
    <n v="13900933"/>
    <m/>
    <n v="332031870"/>
    <m/>
    <n v="0"/>
    <n v="48674063"/>
    <m/>
    <n v="0"/>
    <n v="0"/>
    <m/>
    <n v="0"/>
    <n v="0"/>
    <m/>
    <m/>
    <m/>
    <m/>
    <m/>
    <m/>
    <m/>
    <m/>
    <n v="0"/>
    <m/>
    <m/>
    <m/>
    <m/>
    <m/>
    <n v="48674063"/>
    <n v="332031870"/>
    <n v="0"/>
    <n v="0"/>
    <m/>
    <x v="74"/>
  </r>
  <r>
    <x v="3"/>
    <x v="59"/>
    <n v="11128936"/>
    <n v="5193831"/>
    <m/>
    <n v="0"/>
    <m/>
    <n v="0"/>
    <n v="5935105"/>
    <m/>
    <n v="0"/>
    <n v="0"/>
    <m/>
    <n v="0"/>
    <n v="0"/>
    <m/>
    <m/>
    <m/>
    <m/>
    <m/>
    <m/>
    <m/>
    <m/>
    <n v="0"/>
    <m/>
    <m/>
    <m/>
    <m/>
    <m/>
    <n v="5935105"/>
    <n v="0"/>
    <n v="0"/>
    <n v="0"/>
    <m/>
    <x v="75"/>
  </r>
  <r>
    <x v="3"/>
    <x v="60"/>
    <n v="857567990"/>
    <n v="114811044"/>
    <m/>
    <n v="626170368"/>
    <m/>
    <n v="0"/>
    <n v="116586578"/>
    <m/>
    <n v="0"/>
    <n v="0"/>
    <m/>
    <n v="0"/>
    <n v="0"/>
    <m/>
    <m/>
    <m/>
    <m/>
    <m/>
    <m/>
    <m/>
    <m/>
    <n v="0"/>
    <m/>
    <m/>
    <m/>
    <m/>
    <m/>
    <n v="116586578"/>
    <n v="626170368"/>
    <n v="0"/>
    <n v="0"/>
    <m/>
    <x v="76"/>
  </r>
  <r>
    <x v="4"/>
    <x v="16"/>
    <n v="0"/>
    <n v="0"/>
    <m/>
    <n v="0"/>
    <m/>
    <m/>
    <n v="0"/>
    <m/>
    <m/>
    <n v="0"/>
    <m/>
    <n v="0"/>
    <n v="0"/>
    <m/>
    <m/>
    <m/>
    <m/>
    <m/>
    <m/>
    <m/>
    <m/>
    <m/>
    <m/>
    <m/>
    <m/>
    <m/>
    <m/>
    <n v="0"/>
    <n v="0"/>
    <n v="0"/>
    <n v="0"/>
    <m/>
    <x v="0"/>
  </r>
  <r>
    <x v="4"/>
    <x v="17"/>
    <n v="0"/>
    <n v="0"/>
    <m/>
    <n v="0"/>
    <m/>
    <m/>
    <n v="0"/>
    <m/>
    <m/>
    <n v="0"/>
    <m/>
    <n v="0"/>
    <n v="0"/>
    <m/>
    <m/>
    <m/>
    <m/>
    <m/>
    <m/>
    <m/>
    <m/>
    <m/>
    <m/>
    <m/>
    <m/>
    <m/>
    <m/>
    <n v="0"/>
    <n v="0"/>
    <n v="0"/>
    <n v="0"/>
    <m/>
    <x v="0"/>
  </r>
  <r>
    <x v="4"/>
    <x v="18"/>
    <n v="0"/>
    <n v="0"/>
    <m/>
    <n v="0"/>
    <m/>
    <m/>
    <n v="0"/>
    <m/>
    <m/>
    <n v="0"/>
    <m/>
    <n v="0"/>
    <n v="0"/>
    <m/>
    <m/>
    <m/>
    <m/>
    <m/>
    <m/>
    <m/>
    <m/>
    <m/>
    <m/>
    <m/>
    <m/>
    <m/>
    <m/>
    <n v="0"/>
    <n v="0"/>
    <n v="0"/>
    <n v="0"/>
    <m/>
    <x v="0"/>
  </r>
  <r>
    <x v="4"/>
    <x v="19"/>
    <n v="0"/>
    <n v="0"/>
    <m/>
    <n v="0"/>
    <m/>
    <m/>
    <n v="0"/>
    <m/>
    <m/>
    <n v="0"/>
    <m/>
    <n v="0"/>
    <n v="0"/>
    <m/>
    <m/>
    <m/>
    <m/>
    <m/>
    <m/>
    <m/>
    <m/>
    <m/>
    <m/>
    <m/>
    <m/>
    <m/>
    <m/>
    <n v="0"/>
    <n v="0"/>
    <n v="0"/>
    <n v="0"/>
    <m/>
    <x v="0"/>
  </r>
  <r>
    <x v="4"/>
    <x v="20"/>
    <n v="0"/>
    <n v="0"/>
    <m/>
    <n v="0"/>
    <m/>
    <m/>
    <n v="0"/>
    <m/>
    <m/>
    <n v="0"/>
    <m/>
    <n v="0"/>
    <n v="0"/>
    <m/>
    <m/>
    <m/>
    <m/>
    <m/>
    <m/>
    <m/>
    <m/>
    <m/>
    <m/>
    <m/>
    <m/>
    <m/>
    <m/>
    <n v="0"/>
    <n v="0"/>
    <n v="0"/>
    <n v="0"/>
    <m/>
    <x v="0"/>
  </r>
  <r>
    <x v="4"/>
    <x v="21"/>
    <n v="0"/>
    <n v="0"/>
    <m/>
    <n v="0"/>
    <m/>
    <m/>
    <n v="0"/>
    <m/>
    <m/>
    <n v="0"/>
    <m/>
    <n v="0"/>
    <n v="0"/>
    <m/>
    <m/>
    <m/>
    <m/>
    <m/>
    <m/>
    <m/>
    <m/>
    <m/>
    <m/>
    <m/>
    <m/>
    <m/>
    <m/>
    <n v="0"/>
    <n v="0"/>
    <n v="0"/>
    <n v="0"/>
    <m/>
    <x v="0"/>
  </r>
  <r>
    <x v="4"/>
    <x v="22"/>
    <n v="0"/>
    <n v="0"/>
    <m/>
    <n v="0"/>
    <m/>
    <m/>
    <n v="0"/>
    <m/>
    <m/>
    <n v="0"/>
    <m/>
    <n v="0"/>
    <n v="0"/>
    <m/>
    <m/>
    <m/>
    <m/>
    <m/>
    <m/>
    <m/>
    <m/>
    <m/>
    <m/>
    <m/>
    <m/>
    <m/>
    <m/>
    <n v="0"/>
    <n v="0"/>
    <n v="0"/>
    <n v="0"/>
    <m/>
    <x v="0"/>
  </r>
  <r>
    <x v="4"/>
    <x v="23"/>
    <n v="0"/>
    <n v="0"/>
    <m/>
    <n v="0"/>
    <m/>
    <m/>
    <n v="0"/>
    <m/>
    <m/>
    <n v="0"/>
    <m/>
    <n v="0"/>
    <n v="0"/>
    <m/>
    <m/>
    <m/>
    <m/>
    <m/>
    <m/>
    <m/>
    <m/>
    <m/>
    <m/>
    <m/>
    <m/>
    <m/>
    <m/>
    <n v="0"/>
    <n v="0"/>
    <n v="0"/>
    <n v="0"/>
    <m/>
    <x v="0"/>
  </r>
  <r>
    <x v="4"/>
    <x v="24"/>
    <n v="0"/>
    <n v="0"/>
    <m/>
    <n v="0"/>
    <m/>
    <m/>
    <n v="0"/>
    <m/>
    <m/>
    <n v="0"/>
    <m/>
    <n v="0"/>
    <n v="0"/>
    <m/>
    <m/>
    <m/>
    <m/>
    <m/>
    <m/>
    <m/>
    <m/>
    <m/>
    <m/>
    <m/>
    <m/>
    <m/>
    <m/>
    <n v="0"/>
    <n v="0"/>
    <n v="0"/>
    <n v="0"/>
    <m/>
    <x v="0"/>
  </r>
  <r>
    <x v="4"/>
    <x v="25"/>
    <n v="0"/>
    <n v="0"/>
    <m/>
    <n v="0"/>
    <m/>
    <m/>
    <n v="0"/>
    <m/>
    <m/>
    <n v="0"/>
    <m/>
    <n v="0"/>
    <n v="0"/>
    <m/>
    <m/>
    <m/>
    <m/>
    <m/>
    <m/>
    <m/>
    <m/>
    <m/>
    <m/>
    <m/>
    <m/>
    <m/>
    <m/>
    <n v="0"/>
    <n v="0"/>
    <n v="0"/>
    <n v="0"/>
    <m/>
    <x v="0"/>
  </r>
  <r>
    <x v="4"/>
    <x v="26"/>
    <n v="0"/>
    <n v="0"/>
    <m/>
    <n v="0"/>
    <m/>
    <m/>
    <n v="0"/>
    <m/>
    <m/>
    <n v="0"/>
    <m/>
    <n v="0"/>
    <n v="0"/>
    <m/>
    <m/>
    <m/>
    <m/>
    <m/>
    <m/>
    <m/>
    <m/>
    <m/>
    <m/>
    <m/>
    <m/>
    <m/>
    <m/>
    <n v="0"/>
    <n v="0"/>
    <n v="0"/>
    <n v="0"/>
    <m/>
    <x v="0"/>
  </r>
  <r>
    <x v="4"/>
    <x v="27"/>
    <n v="0"/>
    <n v="0"/>
    <m/>
    <n v="0"/>
    <m/>
    <m/>
    <n v="0"/>
    <m/>
    <m/>
    <n v="0"/>
    <m/>
    <n v="0"/>
    <n v="0"/>
    <m/>
    <m/>
    <m/>
    <m/>
    <m/>
    <m/>
    <m/>
    <m/>
    <m/>
    <m/>
    <m/>
    <m/>
    <m/>
    <m/>
    <n v="0"/>
    <n v="0"/>
    <n v="0"/>
    <n v="0"/>
    <m/>
    <x v="0"/>
  </r>
  <r>
    <x v="4"/>
    <x v="28"/>
    <n v="0"/>
    <n v="0"/>
    <m/>
    <n v="0"/>
    <m/>
    <m/>
    <n v="0"/>
    <m/>
    <m/>
    <n v="0"/>
    <m/>
    <n v="0"/>
    <n v="0"/>
    <m/>
    <m/>
    <m/>
    <m/>
    <m/>
    <m/>
    <m/>
    <m/>
    <m/>
    <m/>
    <m/>
    <m/>
    <m/>
    <m/>
    <n v="0"/>
    <n v="0"/>
    <n v="0"/>
    <n v="0"/>
    <m/>
    <x v="0"/>
  </r>
  <r>
    <x v="4"/>
    <x v="29"/>
    <n v="0"/>
    <n v="0"/>
    <m/>
    <n v="0"/>
    <m/>
    <m/>
    <n v="0"/>
    <m/>
    <m/>
    <n v="0"/>
    <m/>
    <n v="0"/>
    <n v="0"/>
    <m/>
    <m/>
    <m/>
    <m/>
    <m/>
    <m/>
    <m/>
    <m/>
    <m/>
    <m/>
    <m/>
    <m/>
    <m/>
    <m/>
    <n v="0"/>
    <n v="0"/>
    <n v="0"/>
    <n v="0"/>
    <m/>
    <x v="0"/>
  </r>
  <r>
    <x v="4"/>
    <x v="30"/>
    <n v="0"/>
    <n v="0"/>
    <m/>
    <n v="0"/>
    <m/>
    <m/>
    <n v="0"/>
    <m/>
    <m/>
    <n v="0"/>
    <m/>
    <n v="0"/>
    <n v="0"/>
    <m/>
    <m/>
    <m/>
    <m/>
    <m/>
    <m/>
    <m/>
    <m/>
    <m/>
    <m/>
    <m/>
    <m/>
    <m/>
    <m/>
    <n v="0"/>
    <n v="0"/>
    <n v="0"/>
    <n v="0"/>
    <m/>
    <x v="0"/>
  </r>
  <r>
    <x v="4"/>
    <x v="31"/>
    <n v="0"/>
    <n v="0"/>
    <m/>
    <n v="0"/>
    <m/>
    <m/>
    <n v="0"/>
    <m/>
    <m/>
    <n v="0"/>
    <m/>
    <n v="0"/>
    <n v="0"/>
    <m/>
    <m/>
    <m/>
    <m/>
    <m/>
    <m/>
    <m/>
    <m/>
    <m/>
    <m/>
    <m/>
    <m/>
    <m/>
    <m/>
    <n v="0"/>
    <n v="0"/>
    <n v="0"/>
    <n v="0"/>
    <m/>
    <x v="0"/>
  </r>
  <r>
    <x v="4"/>
    <x v="32"/>
    <n v="0"/>
    <n v="0"/>
    <m/>
    <n v="0"/>
    <m/>
    <m/>
    <n v="0"/>
    <m/>
    <m/>
    <n v="0"/>
    <m/>
    <n v="0"/>
    <n v="0"/>
    <m/>
    <m/>
    <m/>
    <m/>
    <m/>
    <m/>
    <m/>
    <m/>
    <m/>
    <m/>
    <m/>
    <m/>
    <m/>
    <m/>
    <n v="0"/>
    <n v="0"/>
    <n v="0"/>
    <n v="0"/>
    <m/>
    <x v="0"/>
  </r>
  <r>
    <x v="4"/>
    <x v="33"/>
    <n v="0"/>
    <n v="0"/>
    <m/>
    <n v="0"/>
    <m/>
    <m/>
    <n v="0"/>
    <m/>
    <m/>
    <n v="0"/>
    <m/>
    <n v="0"/>
    <n v="0"/>
    <m/>
    <m/>
    <m/>
    <m/>
    <m/>
    <m/>
    <m/>
    <m/>
    <m/>
    <m/>
    <m/>
    <m/>
    <m/>
    <m/>
    <n v="0"/>
    <n v="0"/>
    <n v="0"/>
    <n v="0"/>
    <m/>
    <x v="0"/>
  </r>
  <r>
    <x v="4"/>
    <x v="34"/>
    <n v="0"/>
    <n v="0"/>
    <m/>
    <n v="0"/>
    <m/>
    <m/>
    <n v="0"/>
    <m/>
    <m/>
    <n v="0"/>
    <m/>
    <n v="0"/>
    <n v="0"/>
    <m/>
    <m/>
    <m/>
    <m/>
    <m/>
    <m/>
    <m/>
    <m/>
    <m/>
    <m/>
    <m/>
    <m/>
    <m/>
    <m/>
    <n v="0"/>
    <n v="0"/>
    <n v="0"/>
    <n v="0"/>
    <m/>
    <x v="0"/>
  </r>
  <r>
    <x v="4"/>
    <x v="35"/>
    <n v="0"/>
    <n v="0"/>
    <m/>
    <n v="0"/>
    <m/>
    <m/>
    <n v="0"/>
    <m/>
    <m/>
    <n v="0"/>
    <m/>
    <n v="0"/>
    <n v="0"/>
    <m/>
    <m/>
    <m/>
    <m/>
    <m/>
    <m/>
    <m/>
    <m/>
    <m/>
    <m/>
    <m/>
    <m/>
    <m/>
    <m/>
    <n v="0"/>
    <n v="0"/>
    <n v="0"/>
    <n v="0"/>
    <m/>
    <x v="0"/>
  </r>
  <r>
    <x v="4"/>
    <x v="36"/>
    <n v="3392140"/>
    <n v="0"/>
    <m/>
    <n v="0"/>
    <m/>
    <m/>
    <n v="3392140"/>
    <m/>
    <m/>
    <n v="0"/>
    <m/>
    <n v="0"/>
    <n v="0"/>
    <m/>
    <m/>
    <m/>
    <m/>
    <m/>
    <m/>
    <m/>
    <m/>
    <m/>
    <m/>
    <m/>
    <m/>
    <m/>
    <m/>
    <n v="3392140"/>
    <n v="0"/>
    <n v="0"/>
    <n v="0"/>
    <m/>
    <x v="77"/>
  </r>
  <r>
    <x v="4"/>
    <x v="37"/>
    <n v="8000000"/>
    <n v="0"/>
    <m/>
    <n v="0"/>
    <m/>
    <m/>
    <n v="8000000"/>
    <m/>
    <m/>
    <n v="0"/>
    <m/>
    <n v="0"/>
    <n v="0"/>
    <m/>
    <m/>
    <m/>
    <m/>
    <m/>
    <m/>
    <m/>
    <m/>
    <m/>
    <m/>
    <m/>
    <m/>
    <m/>
    <m/>
    <n v="8000000"/>
    <n v="0"/>
    <n v="0"/>
    <n v="0"/>
    <m/>
    <x v="78"/>
  </r>
  <r>
    <x v="4"/>
    <x v="38"/>
    <n v="8000000"/>
    <n v="0"/>
    <m/>
    <n v="0"/>
    <m/>
    <m/>
    <n v="8000000"/>
    <m/>
    <m/>
    <n v="0"/>
    <m/>
    <n v="0"/>
    <n v="0"/>
    <m/>
    <m/>
    <m/>
    <m/>
    <m/>
    <m/>
    <m/>
    <m/>
    <m/>
    <m/>
    <m/>
    <m/>
    <m/>
    <m/>
    <n v="8000000"/>
    <n v="0"/>
    <n v="0"/>
    <n v="0"/>
    <m/>
    <x v="78"/>
  </r>
  <r>
    <x v="4"/>
    <x v="39"/>
    <n v="4300000"/>
    <n v="0"/>
    <m/>
    <n v="0"/>
    <m/>
    <m/>
    <n v="4300000"/>
    <m/>
    <m/>
    <n v="0"/>
    <m/>
    <n v="0"/>
    <n v="0"/>
    <m/>
    <m/>
    <m/>
    <m/>
    <m/>
    <m/>
    <m/>
    <m/>
    <m/>
    <m/>
    <m/>
    <m/>
    <m/>
    <m/>
    <n v="4300000"/>
    <n v="0"/>
    <n v="0"/>
    <n v="0"/>
    <m/>
    <x v="79"/>
  </r>
  <r>
    <x v="4"/>
    <x v="40"/>
    <n v="4300000"/>
    <n v="0"/>
    <m/>
    <n v="0"/>
    <m/>
    <m/>
    <n v="4300000"/>
    <m/>
    <m/>
    <n v="0"/>
    <m/>
    <n v="0"/>
    <n v="0"/>
    <m/>
    <m/>
    <m/>
    <m/>
    <m/>
    <m/>
    <m/>
    <m/>
    <m/>
    <m/>
    <m/>
    <m/>
    <m/>
    <m/>
    <n v="4300000"/>
    <n v="0"/>
    <n v="0"/>
    <n v="0"/>
    <m/>
    <x v="79"/>
  </r>
  <r>
    <x v="4"/>
    <x v="41"/>
    <n v="4300000"/>
    <n v="0"/>
    <m/>
    <n v="0"/>
    <m/>
    <m/>
    <n v="4300000"/>
    <m/>
    <m/>
    <n v="0"/>
    <m/>
    <n v="0"/>
    <n v="0"/>
    <m/>
    <m/>
    <m/>
    <m/>
    <m/>
    <m/>
    <m/>
    <m/>
    <m/>
    <m/>
    <m/>
    <m/>
    <m/>
    <m/>
    <n v="4300000"/>
    <n v="0"/>
    <n v="0"/>
    <n v="0"/>
    <m/>
    <x v="79"/>
  </r>
  <r>
    <x v="4"/>
    <x v="42"/>
    <n v="4300000"/>
    <n v="0"/>
    <m/>
    <n v="0"/>
    <m/>
    <m/>
    <n v="4300000"/>
    <m/>
    <m/>
    <n v="0"/>
    <m/>
    <n v="0"/>
    <n v="0"/>
    <m/>
    <m/>
    <m/>
    <m/>
    <m/>
    <m/>
    <m/>
    <m/>
    <m/>
    <m/>
    <m/>
    <m/>
    <m/>
    <m/>
    <n v="4300000"/>
    <n v="0"/>
    <n v="0"/>
    <n v="0"/>
    <m/>
    <x v="79"/>
  </r>
  <r>
    <x v="4"/>
    <x v="43"/>
    <n v="4300000"/>
    <n v="0"/>
    <m/>
    <n v="0"/>
    <m/>
    <m/>
    <n v="4300000"/>
    <m/>
    <m/>
    <n v="0"/>
    <m/>
    <n v="0"/>
    <n v="0"/>
    <m/>
    <m/>
    <m/>
    <m/>
    <m/>
    <m/>
    <m/>
    <m/>
    <m/>
    <m/>
    <m/>
    <m/>
    <m/>
    <m/>
    <n v="4300000"/>
    <n v="0"/>
    <n v="0"/>
    <n v="0"/>
    <m/>
    <x v="79"/>
  </r>
  <r>
    <x v="4"/>
    <x v="44"/>
    <n v="4300000"/>
    <n v="0"/>
    <m/>
    <n v="0"/>
    <m/>
    <m/>
    <n v="4300000"/>
    <m/>
    <m/>
    <n v="0"/>
    <m/>
    <n v="0"/>
    <n v="0"/>
    <m/>
    <m/>
    <m/>
    <m/>
    <m/>
    <m/>
    <m/>
    <m/>
    <m/>
    <m/>
    <m/>
    <m/>
    <m/>
    <m/>
    <n v="4300000"/>
    <n v="0"/>
    <n v="0"/>
    <n v="0"/>
    <m/>
    <x v="79"/>
  </r>
  <r>
    <x v="4"/>
    <x v="45"/>
    <n v="4300000"/>
    <n v="0"/>
    <m/>
    <n v="0"/>
    <m/>
    <m/>
    <n v="4300000"/>
    <m/>
    <m/>
    <n v="0"/>
    <m/>
    <n v="0"/>
    <n v="0"/>
    <m/>
    <m/>
    <m/>
    <m/>
    <m/>
    <m/>
    <m/>
    <m/>
    <m/>
    <m/>
    <m/>
    <m/>
    <m/>
    <m/>
    <n v="4300000"/>
    <n v="0"/>
    <n v="0"/>
    <n v="0"/>
    <m/>
    <x v="79"/>
  </r>
  <r>
    <x v="4"/>
    <x v="46"/>
    <n v="6674482"/>
    <n v="0"/>
    <m/>
    <n v="0"/>
    <m/>
    <m/>
    <n v="6674482"/>
    <m/>
    <m/>
    <n v="0"/>
    <m/>
    <n v="0"/>
    <n v="0"/>
    <m/>
    <m/>
    <m/>
    <m/>
    <m/>
    <m/>
    <m/>
    <m/>
    <m/>
    <m/>
    <m/>
    <m/>
    <m/>
    <m/>
    <n v="6674482"/>
    <n v="0"/>
    <n v="0"/>
    <n v="0"/>
    <m/>
    <x v="80"/>
  </r>
  <r>
    <x v="4"/>
    <x v="47"/>
    <n v="11388533"/>
    <n v="2023738"/>
    <m/>
    <n v="0"/>
    <m/>
    <m/>
    <n v="9364795"/>
    <m/>
    <m/>
    <n v="0"/>
    <m/>
    <n v="0"/>
    <n v="0"/>
    <m/>
    <m/>
    <m/>
    <m/>
    <m/>
    <m/>
    <m/>
    <m/>
    <m/>
    <m/>
    <m/>
    <m/>
    <m/>
    <m/>
    <n v="9364795"/>
    <n v="0"/>
    <n v="0"/>
    <n v="0"/>
    <m/>
    <x v="81"/>
  </r>
  <r>
    <x v="4"/>
    <x v="48"/>
    <n v="27195508"/>
    <n v="2556107"/>
    <m/>
    <n v="0"/>
    <m/>
    <m/>
    <n v="24639401"/>
    <m/>
    <m/>
    <n v="0"/>
    <m/>
    <n v="0"/>
    <n v="0"/>
    <m/>
    <m/>
    <m/>
    <m/>
    <m/>
    <m/>
    <m/>
    <m/>
    <m/>
    <m/>
    <m/>
    <m/>
    <m/>
    <m/>
    <n v="24639401"/>
    <n v="0"/>
    <n v="0"/>
    <n v="0"/>
    <m/>
    <x v="82"/>
  </r>
  <r>
    <x v="4"/>
    <x v="49"/>
    <n v="67451883"/>
    <n v="3541201"/>
    <m/>
    <n v="0"/>
    <m/>
    <m/>
    <n v="60138709"/>
    <m/>
    <m/>
    <n v="3771973"/>
    <m/>
    <n v="0"/>
    <n v="0"/>
    <m/>
    <m/>
    <m/>
    <m/>
    <m/>
    <m/>
    <m/>
    <m/>
    <m/>
    <m/>
    <m/>
    <m/>
    <m/>
    <m/>
    <n v="60138709"/>
    <n v="0"/>
    <n v="3771973"/>
    <n v="0"/>
    <m/>
    <x v="83"/>
  </r>
  <r>
    <x v="4"/>
    <x v="50"/>
    <n v="142119152"/>
    <n v="13209569"/>
    <m/>
    <n v="0"/>
    <m/>
    <m/>
    <n v="126977733"/>
    <m/>
    <m/>
    <n v="0"/>
    <m/>
    <n v="1931850"/>
    <n v="0"/>
    <m/>
    <m/>
    <m/>
    <m/>
    <m/>
    <m/>
    <m/>
    <m/>
    <m/>
    <m/>
    <m/>
    <m/>
    <m/>
    <m/>
    <n v="126977733"/>
    <n v="0"/>
    <n v="0"/>
    <n v="1931850"/>
    <m/>
    <x v="84"/>
  </r>
  <r>
    <x v="4"/>
    <x v="51"/>
    <n v="306758264"/>
    <n v="26204102"/>
    <m/>
    <n v="0"/>
    <m/>
    <m/>
    <n v="274968393"/>
    <m/>
    <m/>
    <n v="4107482"/>
    <m/>
    <n v="1478287"/>
    <n v="0"/>
    <m/>
    <m/>
    <m/>
    <m/>
    <m/>
    <m/>
    <m/>
    <m/>
    <m/>
    <m/>
    <m/>
    <m/>
    <m/>
    <m/>
    <n v="274968393"/>
    <n v="0"/>
    <n v="4107482"/>
    <n v="1478287"/>
    <m/>
    <x v="85"/>
  </r>
  <r>
    <x v="4"/>
    <x v="52"/>
    <n v="2627121136"/>
    <n v="88665291"/>
    <m/>
    <n v="2226582018"/>
    <m/>
    <m/>
    <n v="302259304"/>
    <m/>
    <m/>
    <n v="0"/>
    <m/>
    <n v="9614523"/>
    <n v="0"/>
    <m/>
    <m/>
    <m/>
    <m/>
    <m/>
    <m/>
    <m/>
    <m/>
    <m/>
    <m/>
    <m/>
    <m/>
    <m/>
    <m/>
    <n v="302259304"/>
    <n v="2226582018"/>
    <n v="0"/>
    <n v="9614523"/>
    <m/>
    <x v="86"/>
  </r>
  <r>
    <x v="4"/>
    <x v="53"/>
    <n v="11218013011"/>
    <n v="75641766"/>
    <m/>
    <n v="10866243729"/>
    <m/>
    <m/>
    <n v="269507968"/>
    <m/>
    <m/>
    <n v="0"/>
    <m/>
    <n v="6619548"/>
    <n v="0"/>
    <m/>
    <m/>
    <m/>
    <m/>
    <m/>
    <m/>
    <m/>
    <m/>
    <m/>
    <m/>
    <m/>
    <m/>
    <m/>
    <m/>
    <n v="269507968"/>
    <n v="10866243729"/>
    <n v="0"/>
    <n v="6619548"/>
    <m/>
    <x v="87"/>
  </r>
  <r>
    <x v="4"/>
    <x v="54"/>
    <n v="5756106543"/>
    <n v="74229044"/>
    <m/>
    <n v="5544350038"/>
    <m/>
    <m/>
    <n v="132356193"/>
    <m/>
    <m/>
    <n v="0"/>
    <m/>
    <n v="5171268"/>
    <n v="0"/>
    <m/>
    <m/>
    <m/>
    <m/>
    <m/>
    <m/>
    <m/>
    <m/>
    <m/>
    <m/>
    <m/>
    <m/>
    <m/>
    <m/>
    <n v="132356193"/>
    <n v="5544350038"/>
    <n v="0"/>
    <n v="5171268"/>
    <m/>
    <x v="88"/>
  </r>
  <r>
    <x v="4"/>
    <x v="55"/>
    <n v="1215023220"/>
    <n v="63601302"/>
    <m/>
    <n v="1071574376"/>
    <m/>
    <m/>
    <n v="77960419"/>
    <m/>
    <m/>
    <n v="0"/>
    <m/>
    <n v="1887123"/>
    <n v="0"/>
    <m/>
    <m/>
    <m/>
    <m/>
    <m/>
    <m/>
    <m/>
    <m/>
    <m/>
    <m/>
    <m/>
    <m/>
    <m/>
    <m/>
    <n v="77960419"/>
    <n v="1071574376"/>
    <n v="0"/>
    <n v="1887123"/>
    <m/>
    <x v="89"/>
  </r>
  <r>
    <x v="4"/>
    <x v="56"/>
    <n v="1166262928"/>
    <n v="75542949"/>
    <m/>
    <n v="846535002"/>
    <m/>
    <m/>
    <n v="242297845"/>
    <m/>
    <m/>
    <n v="0"/>
    <m/>
    <n v="1887132"/>
    <n v="0"/>
    <m/>
    <m/>
    <m/>
    <m/>
    <m/>
    <m/>
    <m/>
    <m/>
    <m/>
    <m/>
    <m/>
    <m/>
    <m/>
    <m/>
    <n v="242297845"/>
    <n v="846535002"/>
    <n v="0"/>
    <n v="1887132"/>
    <m/>
    <x v="90"/>
  </r>
  <r>
    <x v="4"/>
    <x v="57"/>
    <n v="2367455010"/>
    <n v="194713606"/>
    <m/>
    <n v="1940677046"/>
    <m/>
    <m/>
    <n v="230551683"/>
    <m/>
    <m/>
    <n v="0"/>
    <m/>
    <n v="1512675"/>
    <n v="0"/>
    <m/>
    <m/>
    <m/>
    <m/>
    <m/>
    <m/>
    <m/>
    <m/>
    <m/>
    <m/>
    <m/>
    <m/>
    <m/>
    <m/>
    <n v="230551683"/>
    <n v="1940677046"/>
    <n v="0"/>
    <n v="1512675"/>
    <m/>
    <x v="91"/>
  </r>
  <r>
    <x v="4"/>
    <x v="58"/>
    <n v="2589959557"/>
    <n v="478333"/>
    <m/>
    <n v="2580861618"/>
    <m/>
    <m/>
    <n v="8619606"/>
    <m/>
    <m/>
    <n v="0"/>
    <m/>
    <n v="0"/>
    <n v="0"/>
    <m/>
    <m/>
    <m/>
    <m/>
    <m/>
    <m/>
    <m/>
    <m/>
    <m/>
    <m/>
    <m/>
    <m/>
    <m/>
    <m/>
    <n v="8619606"/>
    <n v="2580861618"/>
    <n v="0"/>
    <n v="0"/>
    <m/>
    <x v="92"/>
  </r>
  <r>
    <x v="4"/>
    <x v="59"/>
    <n v="4000000"/>
    <n v="478333"/>
    <m/>
    <n v="0"/>
    <m/>
    <m/>
    <n v="3521667"/>
    <m/>
    <m/>
    <n v="0"/>
    <m/>
    <n v="0"/>
    <n v="0"/>
    <m/>
    <m/>
    <m/>
    <m/>
    <m/>
    <m/>
    <m/>
    <m/>
    <m/>
    <m/>
    <m/>
    <m/>
    <m/>
    <m/>
    <n v="3521667"/>
    <n v="0"/>
    <n v="0"/>
    <n v="0"/>
    <m/>
    <x v="93"/>
  </r>
  <r>
    <x v="4"/>
    <x v="60"/>
    <n v="493824993"/>
    <n v="11161106"/>
    <m/>
    <n v="427794443"/>
    <m/>
    <m/>
    <n v="54869444"/>
    <m/>
    <m/>
    <n v="0"/>
    <m/>
    <n v="0"/>
    <n v="0"/>
    <m/>
    <m/>
    <m/>
    <m/>
    <m/>
    <m/>
    <m/>
    <m/>
    <m/>
    <m/>
    <m/>
    <m/>
    <m/>
    <m/>
    <n v="54869444"/>
    <n v="427794443"/>
    <n v="0"/>
    <n v="0"/>
    <m/>
    <x v="94"/>
  </r>
  <r>
    <x v="4"/>
    <x v="76"/>
    <n v="433459478"/>
    <n v="0"/>
    <m/>
    <n v="422487435"/>
    <m/>
    <m/>
    <n v="0"/>
    <m/>
    <m/>
    <n v="0"/>
    <m/>
    <n v="10972043"/>
    <n v="0"/>
    <m/>
    <m/>
    <m/>
    <m/>
    <m/>
    <m/>
    <m/>
    <m/>
    <m/>
    <m/>
    <m/>
    <m/>
    <m/>
    <m/>
    <n v="0"/>
    <n v="422487435"/>
    <n v="0"/>
    <n v="10972043"/>
    <m/>
    <x v="95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9">
  <r>
    <x v="0"/>
    <x v="0"/>
    <x v="0"/>
    <x v="0"/>
    <x v="0"/>
    <n v="19762765"/>
    <n v="334272235"/>
    <x v="0"/>
  </r>
  <r>
    <x v="0"/>
    <x v="0"/>
    <x v="1"/>
    <x v="1"/>
    <x v="0"/>
    <n v="2887544"/>
    <n v="260029214"/>
    <x v="0"/>
  </r>
  <r>
    <x v="0"/>
    <x v="0"/>
    <x v="2"/>
    <x v="2"/>
    <x v="0"/>
    <n v="13278958"/>
    <n v="278802542"/>
    <x v="0"/>
  </r>
  <r>
    <x v="0"/>
    <x v="0"/>
    <x v="3"/>
    <x v="3"/>
    <x v="0"/>
    <n v="2183738"/>
    <n v="332277062"/>
    <x v="0"/>
  </r>
  <r>
    <x v="0"/>
    <x v="0"/>
    <x v="4"/>
    <x v="1"/>
    <x v="0"/>
    <n v="7324276"/>
    <n v="243099835"/>
    <x v="0"/>
  </r>
  <r>
    <x v="0"/>
    <x v="0"/>
    <x v="5"/>
    <x v="4"/>
    <x v="0"/>
    <n v="12076478"/>
    <n v="274653522"/>
    <x v="0"/>
  </r>
  <r>
    <x v="0"/>
    <x v="0"/>
    <x v="6"/>
    <x v="1"/>
    <x v="0"/>
    <n v="2834220"/>
    <n v="279000000"/>
    <x v="0"/>
  </r>
  <r>
    <x v="0"/>
    <x v="0"/>
    <x v="7"/>
    <x v="5"/>
    <x v="0"/>
    <n v="753887"/>
    <n v="318322113"/>
    <x v="0"/>
  </r>
  <r>
    <x v="0"/>
    <x v="0"/>
    <x v="8"/>
    <x v="3"/>
    <x v="0"/>
    <n v="563062"/>
    <n v="311236938"/>
    <x v="0"/>
  </r>
  <r>
    <x v="0"/>
    <x v="0"/>
    <x v="9"/>
    <x v="6"/>
    <x v="0"/>
    <n v="0"/>
    <n v="251272000"/>
    <x v="0"/>
  </r>
  <r>
    <x v="0"/>
    <x v="0"/>
    <x v="10"/>
    <x v="0"/>
    <x v="0"/>
    <n v="6476673"/>
    <n v="279143327"/>
    <x v="0"/>
  </r>
  <r>
    <x v="0"/>
    <x v="0"/>
    <x v="11"/>
    <x v="7"/>
    <x v="0"/>
    <n v="609746"/>
    <n v="284290254"/>
    <x v="0"/>
  </r>
  <r>
    <x v="0"/>
    <x v="0"/>
    <x v="12"/>
    <x v="8"/>
    <x v="0"/>
    <n v="15448"/>
    <n v="244084552"/>
    <x v="0"/>
  </r>
  <r>
    <x v="0"/>
    <x v="0"/>
    <x v="13"/>
    <x v="9"/>
    <x v="0"/>
    <n v="0"/>
    <n v="319376000"/>
    <x v="0"/>
  </r>
  <r>
    <x v="0"/>
    <x v="0"/>
    <x v="14"/>
    <x v="5"/>
    <x v="0"/>
    <n v="0"/>
    <n v="319057000"/>
    <x v="0"/>
  </r>
  <r>
    <x v="0"/>
    <x v="0"/>
    <x v="15"/>
    <x v="6"/>
    <x v="0"/>
    <n v="0"/>
    <n v="251572000"/>
    <x v="0"/>
  </r>
  <r>
    <x v="0"/>
    <x v="0"/>
    <x v="16"/>
    <x v="0"/>
    <x v="0"/>
    <n v="7296404"/>
    <n v="299655996"/>
    <x v="0"/>
  </r>
  <r>
    <x v="0"/>
    <x v="0"/>
    <x v="17"/>
    <x v="4"/>
    <x v="0"/>
    <n v="15088866"/>
    <n v="271517227"/>
    <x v="0"/>
  </r>
  <r>
    <x v="0"/>
    <x v="0"/>
    <x v="18"/>
    <x v="10"/>
    <x v="0"/>
    <n v="5190360"/>
    <n v="239329528"/>
    <x v="0"/>
  </r>
  <r>
    <x v="0"/>
    <x v="0"/>
    <x v="19"/>
    <x v="9"/>
    <x v="0"/>
    <n v="24627469"/>
    <n v="295048531"/>
    <x v="0"/>
  </r>
  <r>
    <x v="0"/>
    <x v="0"/>
    <x v="20"/>
    <x v="3"/>
    <x v="0"/>
    <n v="18779864"/>
    <n v="293662611"/>
    <x v="0"/>
  </r>
  <r>
    <x v="0"/>
    <x v="0"/>
    <x v="21"/>
    <x v="11"/>
    <x v="0"/>
    <n v="1949461"/>
    <n v="292161339"/>
    <x v="0"/>
  </r>
  <r>
    <x v="0"/>
    <x v="0"/>
    <x v="22"/>
    <x v="12"/>
    <x v="0"/>
    <n v="1000000"/>
    <n v="373976000"/>
    <x v="0"/>
  </r>
  <r>
    <x v="0"/>
    <x v="0"/>
    <x v="23"/>
    <x v="4"/>
    <x v="0"/>
    <n v="27176094"/>
    <n v="266843906"/>
    <x v="0"/>
  </r>
  <r>
    <x v="0"/>
    <x v="0"/>
    <x v="24"/>
    <x v="1"/>
    <x v="0"/>
    <n v="3217142"/>
    <n v="247172000"/>
    <x v="0"/>
  </r>
  <r>
    <x v="0"/>
    <x v="0"/>
    <x v="25"/>
    <x v="9"/>
    <x v="0"/>
    <n v="3"/>
    <n v="310699997"/>
    <x v="0"/>
  </r>
  <r>
    <x v="0"/>
    <x v="0"/>
    <x v="26"/>
    <x v="5"/>
    <x v="0"/>
    <n v="2139386"/>
    <n v="318752518"/>
    <x v="0"/>
  </r>
  <r>
    <x v="0"/>
    <x v="0"/>
    <x v="27"/>
    <x v="6"/>
    <x v="0"/>
    <n v="25829389"/>
    <n v="226342611"/>
    <x v="0"/>
  </r>
  <r>
    <x v="0"/>
    <x v="0"/>
    <x v="28"/>
    <x v="0"/>
    <x v="0"/>
    <n v="0"/>
    <n v="288300000"/>
    <x v="0"/>
  </r>
  <r>
    <x v="0"/>
    <x v="0"/>
    <x v="29"/>
    <x v="4"/>
    <x v="0"/>
    <n v="0"/>
    <n v="298192800"/>
    <x v="0"/>
  </r>
  <r>
    <x v="0"/>
    <x v="0"/>
    <x v="30"/>
    <x v="1"/>
    <x v="0"/>
    <n v="1000000"/>
    <n v="244000000"/>
    <x v="0"/>
  </r>
  <r>
    <x v="0"/>
    <x v="0"/>
    <x v="31"/>
    <x v="9"/>
    <x v="0"/>
    <n v="0"/>
    <n v="317957000"/>
    <x v="0"/>
  </r>
  <r>
    <x v="0"/>
    <x v="0"/>
    <x v="32"/>
    <x v="5"/>
    <x v="0"/>
    <n v="2000000"/>
    <n v="322276000"/>
    <x v="0"/>
  </r>
  <r>
    <x v="0"/>
    <x v="0"/>
    <x v="33"/>
    <x v="6"/>
    <x v="0"/>
    <n v="0"/>
    <n v="261245187"/>
    <x v="0"/>
  </r>
  <r>
    <x v="0"/>
    <x v="0"/>
    <x v="34"/>
    <x v="0"/>
    <x v="0"/>
    <n v="12000000"/>
    <n v="365680000"/>
    <x v="0"/>
  </r>
  <r>
    <x v="0"/>
    <x v="0"/>
    <x v="35"/>
    <x v="7"/>
    <x v="0"/>
    <n v="0"/>
    <n v="294620000"/>
    <x v="0"/>
  </r>
  <r>
    <x v="0"/>
    <x v="0"/>
    <x v="36"/>
    <x v="8"/>
    <x v="0"/>
    <n v="0"/>
    <n v="245300000"/>
    <x v="0"/>
  </r>
  <r>
    <x v="0"/>
    <x v="0"/>
    <x v="37"/>
    <x v="9"/>
    <x v="0"/>
    <n v="10000000"/>
    <n v="368613000"/>
    <x v="0"/>
  </r>
  <r>
    <x v="0"/>
    <x v="0"/>
    <x v="38"/>
    <x v="3"/>
    <x v="0"/>
    <n v="0"/>
    <n v="321987542"/>
    <x v="0"/>
  </r>
  <r>
    <x v="0"/>
    <x v="0"/>
    <x v="39"/>
    <x v="8"/>
    <x v="0"/>
    <n v="5455600"/>
    <n v="240324400"/>
    <x v="0"/>
  </r>
  <r>
    <x v="0"/>
    <x v="0"/>
    <x v="40"/>
    <x v="0"/>
    <x v="0"/>
    <n v="68490"/>
    <n v="290500385"/>
    <x v="0"/>
  </r>
  <r>
    <x v="0"/>
    <x v="0"/>
    <x v="41"/>
    <x v="4"/>
    <x v="0"/>
    <n v="2857332"/>
    <n v="292062668"/>
    <x v="0"/>
  </r>
  <r>
    <x v="0"/>
    <x v="0"/>
    <x v="42"/>
    <x v="1"/>
    <x v="0"/>
    <n v="158837"/>
    <n v="252896000"/>
    <x v="0"/>
  </r>
  <r>
    <x v="0"/>
    <x v="0"/>
    <x v="43"/>
    <x v="5"/>
    <x v="0"/>
    <n v="1514506"/>
    <n v="402845494"/>
    <x v="0"/>
  </r>
  <r>
    <x v="0"/>
    <x v="0"/>
    <x v="44"/>
    <x v="9"/>
    <x v="0"/>
    <n v="12000000"/>
    <n v="399820000"/>
    <x v="0"/>
  </r>
  <r>
    <x v="0"/>
    <x v="0"/>
    <x v="45"/>
    <x v="8"/>
    <x v="0"/>
    <n v="4120753"/>
    <n v="243479247"/>
    <x v="0"/>
  </r>
  <r>
    <x v="0"/>
    <x v="0"/>
    <x v="46"/>
    <x v="13"/>
    <x v="0"/>
    <n v="6342460"/>
    <n v="283780540"/>
    <x v="0"/>
  </r>
  <r>
    <x v="0"/>
    <x v="0"/>
    <x v="47"/>
    <x v="4"/>
    <x v="0"/>
    <n v="0"/>
    <n v="296666947"/>
    <x v="0"/>
  </r>
  <r>
    <x v="0"/>
    <x v="0"/>
    <x v="48"/>
    <x v="8"/>
    <x v="0"/>
    <n v="0"/>
    <n v="247724000"/>
    <x v="0"/>
  </r>
  <r>
    <x v="0"/>
    <x v="0"/>
    <x v="49"/>
    <x v="9"/>
    <x v="0"/>
    <n v="17542202"/>
    <n v="357320298"/>
    <x v="0"/>
  </r>
  <r>
    <x v="0"/>
    <x v="0"/>
    <x v="50"/>
    <x v="5"/>
    <x v="0"/>
    <n v="1000000"/>
    <n v="312900000"/>
    <x v="0"/>
  </r>
  <r>
    <x v="0"/>
    <x v="0"/>
    <x v="51"/>
    <x v="6"/>
    <x v="0"/>
    <n v="0"/>
    <n v="247900000"/>
    <x v="0"/>
  </r>
  <r>
    <x v="0"/>
    <x v="0"/>
    <x v="52"/>
    <x v="0"/>
    <x v="0"/>
    <n v="61824073"/>
    <n v="236219927"/>
    <x v="0"/>
  </r>
  <r>
    <x v="0"/>
    <x v="0"/>
    <x v="53"/>
    <x v="7"/>
    <x v="0"/>
    <n v="0"/>
    <n v="295520000"/>
    <x v="0"/>
  </r>
  <r>
    <x v="0"/>
    <x v="0"/>
    <x v="54"/>
    <x v="1"/>
    <x v="0"/>
    <n v="0"/>
    <n v="246200000"/>
    <x v="0"/>
  </r>
  <r>
    <x v="0"/>
    <x v="0"/>
    <x v="55"/>
    <x v="9"/>
    <x v="0"/>
    <n v="925473"/>
    <n v="320702695"/>
    <x v="0"/>
  </r>
  <r>
    <x v="0"/>
    <x v="0"/>
    <x v="56"/>
    <x v="5"/>
    <x v="0"/>
    <n v="50889774"/>
    <n v="266657354"/>
    <x v="0"/>
  </r>
  <r>
    <x v="0"/>
    <x v="0"/>
    <x v="57"/>
    <x v="6"/>
    <x v="0"/>
    <n v="25103784"/>
    <n v="221576216"/>
    <x v="0"/>
  </r>
  <r>
    <x v="0"/>
    <x v="0"/>
    <x v="58"/>
    <x v="13"/>
    <x v="0"/>
    <n v="111642"/>
    <n v="298232358"/>
    <x v="0"/>
  </r>
  <r>
    <x v="0"/>
    <x v="0"/>
    <x v="59"/>
    <x v="4"/>
    <x v="0"/>
    <n v="5000000"/>
    <n v="338411476"/>
    <x v="0"/>
  </r>
  <r>
    <x v="0"/>
    <x v="0"/>
    <x v="60"/>
    <x v="8"/>
    <x v="0"/>
    <n v="0"/>
    <n v="246608279"/>
    <x v="0"/>
  </r>
  <r>
    <x v="0"/>
    <x v="0"/>
    <x v="61"/>
    <x v="9"/>
    <x v="0"/>
    <n v="6099065"/>
    <n v="315676935"/>
    <x v="0"/>
  </r>
  <r>
    <x v="0"/>
    <x v="0"/>
    <x v="62"/>
    <x v="5"/>
    <x v="0"/>
    <n v="0"/>
    <n v="321457000"/>
    <x v="0"/>
  </r>
  <r>
    <x v="0"/>
    <x v="0"/>
    <x v="63"/>
    <x v="8"/>
    <x v="0"/>
    <n v="0"/>
    <n v="254909890"/>
    <x v="0"/>
  </r>
  <r>
    <x v="0"/>
    <x v="0"/>
    <x v="64"/>
    <x v="0"/>
    <x v="0"/>
    <n v="0"/>
    <n v="290100000"/>
    <x v="0"/>
  </r>
  <r>
    <x v="0"/>
    <x v="0"/>
    <x v="65"/>
    <x v="7"/>
    <x v="0"/>
    <n v="3214208"/>
    <n v="292905792"/>
    <x v="0"/>
  </r>
  <r>
    <x v="0"/>
    <x v="0"/>
    <x v="66"/>
    <x v="8"/>
    <x v="0"/>
    <n v="118984"/>
    <n v="246800000"/>
    <x v="0"/>
  </r>
  <r>
    <x v="0"/>
    <x v="0"/>
    <x v="67"/>
    <x v="5"/>
    <x v="0"/>
    <n v="0"/>
    <n v="322076000"/>
    <x v="0"/>
  </r>
  <r>
    <x v="0"/>
    <x v="0"/>
    <x v="68"/>
    <x v="5"/>
    <x v="0"/>
    <n v="0"/>
    <n v="314800000"/>
    <x v="0"/>
  </r>
  <r>
    <x v="0"/>
    <x v="0"/>
    <x v="69"/>
    <x v="8"/>
    <x v="0"/>
    <n v="0"/>
    <n v="248800000"/>
    <x v="0"/>
  </r>
  <r>
    <x v="0"/>
    <x v="0"/>
    <x v="70"/>
    <x v="13"/>
    <x v="0"/>
    <n v="0"/>
    <n v="290400000"/>
    <x v="0"/>
  </r>
  <r>
    <x v="0"/>
    <x v="0"/>
    <x v="71"/>
    <x v="4"/>
    <x v="0"/>
    <n v="15075500"/>
    <n v="281344500"/>
    <x v="0"/>
  </r>
  <r>
    <x v="0"/>
    <x v="0"/>
    <x v="72"/>
    <x v="8"/>
    <x v="0"/>
    <n v="240197"/>
    <n v="246978674"/>
    <x v="0"/>
  </r>
  <r>
    <x v="0"/>
    <x v="0"/>
    <x v="73"/>
    <x v="9"/>
    <x v="0"/>
    <n v="0"/>
    <n v="322376000"/>
    <x v="0"/>
  </r>
  <r>
    <x v="0"/>
    <x v="0"/>
    <x v="74"/>
    <x v="5"/>
    <x v="0"/>
    <n v="0"/>
    <n v="322318635"/>
    <x v="0"/>
  </r>
  <r>
    <x v="0"/>
    <x v="0"/>
    <x v="75"/>
    <x v="8"/>
    <x v="0"/>
    <n v="0"/>
    <n v="249100000"/>
    <x v="0"/>
  </r>
  <r>
    <x v="0"/>
    <x v="0"/>
    <x v="76"/>
    <x v="0"/>
    <x v="0"/>
    <n v="4595009"/>
    <n v="340981258"/>
    <x v="0"/>
  </r>
  <r>
    <x v="0"/>
    <x v="0"/>
    <x v="77"/>
    <x v="4"/>
    <x v="0"/>
    <n v="5427407"/>
    <n v="291292593"/>
    <x v="0"/>
  </r>
  <r>
    <x v="0"/>
    <x v="0"/>
    <x v="78"/>
    <x v="8"/>
    <x v="0"/>
    <n v="0"/>
    <n v="249620622"/>
    <x v="0"/>
  </r>
  <r>
    <x v="0"/>
    <x v="0"/>
    <x v="79"/>
    <x v="9"/>
    <x v="0"/>
    <n v="0"/>
    <n v="322676000"/>
    <x v="0"/>
  </r>
  <r>
    <x v="0"/>
    <x v="0"/>
    <x v="80"/>
    <x v="3"/>
    <x v="0"/>
    <n v="6809350"/>
    <n v="306658150"/>
    <x v="0"/>
  </r>
  <r>
    <x v="0"/>
    <x v="0"/>
    <x v="81"/>
    <x v="8"/>
    <x v="0"/>
    <n v="917588"/>
    <n v="250306412"/>
    <x v="0"/>
  </r>
  <r>
    <x v="0"/>
    <x v="0"/>
    <x v="82"/>
    <x v="0"/>
    <x v="0"/>
    <n v="7555113"/>
    <n v="284781315"/>
    <x v="0"/>
  </r>
  <r>
    <x v="0"/>
    <x v="0"/>
    <x v="83"/>
    <x v="4"/>
    <x v="0"/>
    <n v="12000000"/>
    <n v="366640000"/>
    <x v="0"/>
  </r>
  <r>
    <x v="0"/>
    <x v="0"/>
    <x v="84"/>
    <x v="1"/>
    <x v="0"/>
    <n v="1739090"/>
    <n v="245960910"/>
    <x v="0"/>
  </r>
  <r>
    <x v="0"/>
    <x v="0"/>
    <x v="85"/>
    <x v="5"/>
    <x v="0"/>
    <n v="6899600"/>
    <n v="311080400"/>
    <x v="0"/>
  </r>
  <r>
    <x v="0"/>
    <x v="0"/>
    <x v="86"/>
    <x v="3"/>
    <x v="0"/>
    <n v="4907210"/>
    <n v="322540790"/>
    <x v="0"/>
  </r>
  <r>
    <x v="0"/>
    <x v="0"/>
    <x v="87"/>
    <x v="8"/>
    <x v="0"/>
    <n v="0"/>
    <n v="251524000"/>
    <x v="0"/>
  </r>
  <r>
    <x v="0"/>
    <x v="0"/>
    <x v="88"/>
    <x v="13"/>
    <x v="0"/>
    <n v="12196143"/>
    <n v="287647857"/>
    <x v="0"/>
  </r>
  <r>
    <x v="0"/>
    <x v="0"/>
    <x v="89"/>
    <x v="7"/>
    <x v="0"/>
    <n v="0"/>
    <n v="288800000"/>
    <x v="0"/>
  </r>
  <r>
    <x v="0"/>
    <x v="0"/>
    <x v="90"/>
    <x v="1"/>
    <x v="0"/>
    <n v="274356"/>
    <n v="254277159"/>
    <x v="0"/>
  </r>
  <r>
    <x v="0"/>
    <x v="0"/>
    <x v="91"/>
    <x v="9"/>
    <x v="0"/>
    <n v="2820534"/>
    <n v="319438716"/>
    <x v="0"/>
  </r>
  <r>
    <x v="0"/>
    <x v="0"/>
    <x v="92"/>
    <x v="5"/>
    <x v="0"/>
    <n v="1732863"/>
    <n v="324474090"/>
    <x v="0"/>
  </r>
  <r>
    <x v="0"/>
    <x v="0"/>
    <x v="93"/>
    <x v="8"/>
    <x v="0"/>
    <n v="2181397"/>
    <n v="255361803"/>
    <x v="0"/>
  </r>
  <r>
    <x v="0"/>
    <x v="0"/>
    <x v="94"/>
    <x v="13"/>
    <x v="0"/>
    <n v="2000000"/>
    <n v="343135019"/>
    <x v="0"/>
  </r>
  <r>
    <x v="0"/>
    <x v="0"/>
    <x v="95"/>
    <x v="4"/>
    <x v="0"/>
    <n v="0"/>
    <n v="302620000"/>
    <x v="0"/>
  </r>
  <r>
    <x v="0"/>
    <x v="0"/>
    <x v="96"/>
    <x v="8"/>
    <x v="0"/>
    <n v="2086267"/>
    <n v="246213733"/>
    <x v="0"/>
  </r>
  <r>
    <x v="0"/>
    <x v="0"/>
    <x v="97"/>
    <x v="5"/>
    <x v="0"/>
    <n v="0"/>
    <n v="314300000"/>
    <x v="0"/>
  </r>
  <r>
    <x v="0"/>
    <x v="0"/>
    <x v="98"/>
    <x v="3"/>
    <x v="0"/>
    <n v="1852633"/>
    <n v="314447367"/>
    <x v="0"/>
  </r>
  <r>
    <x v="0"/>
    <x v="0"/>
    <x v="99"/>
    <x v="6"/>
    <x v="0"/>
    <n v="1000000"/>
    <n v="255706695"/>
    <x v="0"/>
  </r>
  <r>
    <x v="0"/>
    <x v="0"/>
    <x v="100"/>
    <x v="0"/>
    <x v="0"/>
    <n v="0"/>
    <n v="303245600"/>
    <x v="0"/>
  </r>
  <r>
    <x v="0"/>
    <x v="0"/>
    <x v="101"/>
    <x v="4"/>
    <x v="0"/>
    <n v="35750170"/>
    <n v="262169830"/>
    <x v="0"/>
  </r>
  <r>
    <x v="0"/>
    <x v="0"/>
    <x v="102"/>
    <x v="1"/>
    <x v="0"/>
    <n v="1300000"/>
    <n v="247300000"/>
    <x v="0"/>
  </r>
  <r>
    <x v="0"/>
    <x v="0"/>
    <x v="103"/>
    <x v="9"/>
    <x v="0"/>
    <n v="0"/>
    <n v="323876000"/>
    <x v="0"/>
  </r>
  <r>
    <x v="0"/>
    <x v="0"/>
    <x v="104"/>
    <x v="3"/>
    <x v="0"/>
    <n v="0"/>
    <n v="316600000"/>
    <x v="0"/>
  </r>
  <r>
    <x v="0"/>
    <x v="0"/>
    <x v="105"/>
    <x v="8"/>
    <x v="0"/>
    <n v="6434475"/>
    <n v="249637525"/>
    <x v="0"/>
  </r>
  <r>
    <x v="0"/>
    <x v="0"/>
    <x v="106"/>
    <x v="0"/>
    <x v="0"/>
    <n v="2000000"/>
    <n v="346010476"/>
    <x v="0"/>
  </r>
  <r>
    <x v="0"/>
    <x v="0"/>
    <x v="107"/>
    <x v="4"/>
    <x v="0"/>
    <n v="6326742"/>
    <n v="281598258"/>
    <x v="0"/>
  </r>
  <r>
    <x v="0"/>
    <x v="0"/>
    <x v="108"/>
    <x v="8"/>
    <x v="0"/>
    <n v="30909261"/>
    <n v="218818349"/>
    <x v="0"/>
  </r>
  <r>
    <x v="0"/>
    <x v="0"/>
    <x v="109"/>
    <x v="5"/>
    <x v="0"/>
    <n v="0"/>
    <n v="324176000"/>
    <x v="0"/>
  </r>
  <r>
    <x v="0"/>
    <x v="0"/>
    <x v="110"/>
    <x v="5"/>
    <x v="0"/>
    <n v="0"/>
    <n v="316900000"/>
    <x v="0"/>
  </r>
  <r>
    <x v="0"/>
    <x v="0"/>
    <x v="111"/>
    <x v="6"/>
    <x v="0"/>
    <n v="31330"/>
    <n v="258469228"/>
    <x v="0"/>
  </r>
  <r>
    <x v="0"/>
    <x v="0"/>
    <x v="112"/>
    <x v="13"/>
    <x v="0"/>
    <n v="1000000"/>
    <n v="302547078"/>
    <x v="0"/>
  </r>
  <r>
    <x v="0"/>
    <x v="0"/>
    <x v="113"/>
    <x v="4"/>
    <x v="0"/>
    <n v="11249933"/>
    <n v="285140067"/>
    <x v="0"/>
  </r>
  <r>
    <x v="0"/>
    <x v="0"/>
    <x v="114"/>
    <x v="8"/>
    <x v="0"/>
    <n v="5493600"/>
    <n v="251864929"/>
    <x v="0"/>
  </r>
  <r>
    <x v="0"/>
    <x v="0"/>
    <x v="115"/>
    <x v="5"/>
    <x v="0"/>
    <n v="185223"/>
    <n v="325608351"/>
    <x v="0"/>
  </r>
  <r>
    <x v="0"/>
    <x v="0"/>
    <x v="116"/>
    <x v="3"/>
    <x v="0"/>
    <n v="3466579"/>
    <n v="313733421"/>
    <x v="0"/>
  </r>
  <r>
    <x v="0"/>
    <x v="0"/>
    <x v="117"/>
    <x v="8"/>
    <x v="0"/>
    <n v="0"/>
    <n v="256672000"/>
    <x v="0"/>
  </r>
  <r>
    <x v="0"/>
    <x v="0"/>
    <x v="118"/>
    <x v="13"/>
    <x v="0"/>
    <n v="140320"/>
    <n v="301203680"/>
    <x v="0"/>
  </r>
  <r>
    <x v="0"/>
    <x v="0"/>
    <x v="119"/>
    <x v="4"/>
    <x v="0"/>
    <n v="1821652"/>
    <n v="296998348"/>
    <x v="0"/>
  </r>
  <r>
    <x v="0"/>
    <x v="0"/>
    <x v="120"/>
    <x v="1"/>
    <x v="0"/>
    <n v="6136571"/>
    <n v="242480400"/>
    <x v="0"/>
  </r>
  <r>
    <x v="0"/>
    <x v="0"/>
    <x v="121"/>
    <x v="14"/>
    <x v="0"/>
    <n v="3561244"/>
    <n v="325563156"/>
    <x v="0"/>
  </r>
  <r>
    <x v="0"/>
    <x v="0"/>
    <x v="122"/>
    <x v="3"/>
    <x v="0"/>
    <n v="2764105"/>
    <n v="321692895"/>
    <x v="0"/>
  </r>
  <r>
    <x v="0"/>
    <x v="0"/>
    <x v="123"/>
    <x v="8"/>
    <x v="0"/>
    <n v="9604"/>
    <n v="256962396"/>
    <x v="0"/>
  </r>
  <r>
    <x v="0"/>
    <x v="0"/>
    <x v="124"/>
    <x v="0"/>
    <x v="0"/>
    <n v="15000000"/>
    <n v="340577000"/>
    <x v="0"/>
  </r>
  <r>
    <x v="0"/>
    <x v="0"/>
    <x v="125"/>
    <x v="7"/>
    <x v="0"/>
    <n v="1327101"/>
    <n v="298609123"/>
    <x v="0"/>
  </r>
  <r>
    <x v="0"/>
    <x v="0"/>
    <x v="126"/>
    <x v="1"/>
    <x v="0"/>
    <n v="15861224"/>
    <n v="234591999"/>
    <x v="0"/>
  </r>
  <r>
    <x v="0"/>
    <x v="0"/>
    <x v="127"/>
    <x v="5"/>
    <x v="0"/>
    <n v="2636250"/>
    <n v="320120750"/>
    <x v="0"/>
  </r>
  <r>
    <x v="0"/>
    <x v="0"/>
    <x v="128"/>
    <x v="5"/>
    <x v="0"/>
    <n v="688195"/>
    <n v="317111805"/>
    <x v="0"/>
  </r>
  <r>
    <x v="0"/>
    <x v="0"/>
    <x v="129"/>
    <x v="6"/>
    <x v="0"/>
    <n v="30902476"/>
    <n v="226369524"/>
    <x v="0"/>
  </r>
  <r>
    <x v="0"/>
    <x v="0"/>
    <x v="130"/>
    <x v="13"/>
    <x v="0"/>
    <n v="2672579"/>
    <n v="299271421"/>
    <x v="0"/>
  </r>
  <r>
    <x v="0"/>
    <x v="0"/>
    <x v="131"/>
    <x v="4"/>
    <x v="0"/>
    <n v="8691856"/>
    <n v="282208144"/>
    <x v="0"/>
  </r>
  <r>
    <x v="0"/>
    <x v="0"/>
    <x v="132"/>
    <x v="1"/>
    <x v="0"/>
    <n v="249717"/>
    <n v="249850283"/>
    <x v="0"/>
  </r>
  <r>
    <x v="0"/>
    <x v="0"/>
    <x v="133"/>
    <x v="15"/>
    <x v="0"/>
    <n v="6244470"/>
    <n v="313506333"/>
    <x v="0"/>
  </r>
  <r>
    <x v="0"/>
    <x v="0"/>
    <x v="134"/>
    <x v="5"/>
    <x v="0"/>
    <n v="31743"/>
    <n v="326591458"/>
    <x v="0"/>
  </r>
  <r>
    <x v="0"/>
    <x v="0"/>
    <x v="135"/>
    <x v="6"/>
    <x v="0"/>
    <n v="0"/>
    <n v="252100000"/>
    <x v="0"/>
  </r>
  <r>
    <x v="0"/>
    <x v="0"/>
    <x v="136"/>
    <x v="13"/>
    <x v="0"/>
    <n v="7648746"/>
    <n v="294594774"/>
    <x v="0"/>
  </r>
  <r>
    <x v="0"/>
    <x v="0"/>
    <x v="137"/>
    <x v="7"/>
    <x v="0"/>
    <n v="6443230"/>
    <n v="288718270"/>
    <x v="0"/>
  </r>
  <r>
    <x v="0"/>
    <x v="0"/>
    <x v="138"/>
    <x v="1"/>
    <x v="0"/>
    <n v="6445779"/>
    <n v="251250221"/>
    <x v="0"/>
  </r>
  <r>
    <x v="0"/>
    <x v="0"/>
    <x v="139"/>
    <x v="5"/>
    <x v="0"/>
    <n v="44624"/>
    <n v="325631376"/>
    <x v="0"/>
  </r>
  <r>
    <x v="0"/>
    <x v="0"/>
    <x v="140"/>
    <x v="3"/>
    <x v="0"/>
    <n v="24046492"/>
    <n v="298118082"/>
    <x v="0"/>
  </r>
  <r>
    <x v="0"/>
    <x v="0"/>
    <x v="141"/>
    <x v="6"/>
    <x v="0"/>
    <n v="0"/>
    <n v="252400000"/>
    <x v="0"/>
  </r>
  <r>
    <x v="0"/>
    <x v="0"/>
    <x v="142"/>
    <x v="13"/>
    <x v="0"/>
    <n v="10408156"/>
    <n v="300687844"/>
    <x v="0"/>
  </r>
  <r>
    <x v="0"/>
    <x v="0"/>
    <x v="143"/>
    <x v="7"/>
    <x v="0"/>
    <n v="500000"/>
    <n v="309658017"/>
    <x v="0"/>
  </r>
  <r>
    <x v="0"/>
    <x v="0"/>
    <x v="144"/>
    <x v="10"/>
    <x v="0"/>
    <n v="0"/>
    <n v="250700000"/>
    <x v="0"/>
  </r>
  <r>
    <x v="0"/>
    <x v="0"/>
    <x v="145"/>
    <x v="9"/>
    <x v="0"/>
    <n v="7699843"/>
    <n v="323276157"/>
    <x v="0"/>
  </r>
  <r>
    <x v="0"/>
    <x v="0"/>
    <x v="146"/>
    <x v="5"/>
    <x v="0"/>
    <n v="3000000"/>
    <n v="315700000"/>
    <x v="0"/>
  </r>
  <r>
    <x v="0"/>
    <x v="0"/>
    <x v="147"/>
    <x v="8"/>
    <x v="0"/>
    <n v="205754"/>
    <n v="252494246"/>
    <x v="0"/>
  </r>
  <r>
    <x v="0"/>
    <x v="0"/>
    <x v="148"/>
    <x v="0"/>
    <x v="0"/>
    <n v="103942"/>
    <n v="294515293"/>
    <x v="0"/>
  </r>
  <r>
    <x v="0"/>
    <x v="1"/>
    <x v="149"/>
    <x v="16"/>
    <x v="0"/>
    <m/>
    <n v="27000000"/>
    <x v="0"/>
  </r>
  <r>
    <x v="0"/>
    <x v="1"/>
    <x v="150"/>
    <x v="16"/>
    <x v="0"/>
    <m/>
    <n v="22000000"/>
    <x v="0"/>
  </r>
  <r>
    <x v="0"/>
    <x v="1"/>
    <x v="151"/>
    <x v="16"/>
    <x v="0"/>
    <m/>
    <n v="27000000"/>
    <x v="0"/>
  </r>
  <r>
    <x v="0"/>
    <x v="1"/>
    <x v="152"/>
    <x v="16"/>
    <x v="0"/>
    <m/>
    <n v="22000000"/>
    <x v="0"/>
  </r>
  <r>
    <x v="0"/>
    <x v="1"/>
    <x v="153"/>
    <x v="16"/>
    <x v="0"/>
    <m/>
    <n v="27000000"/>
    <x v="0"/>
  </r>
  <r>
    <x v="0"/>
    <x v="1"/>
    <x v="154"/>
    <x v="16"/>
    <x v="0"/>
    <m/>
    <n v="27000000"/>
    <x v="0"/>
  </r>
  <r>
    <x v="0"/>
    <x v="1"/>
    <x v="155"/>
    <x v="16"/>
    <x v="0"/>
    <m/>
    <n v="27000000"/>
    <x v="0"/>
  </r>
  <r>
    <x v="0"/>
    <x v="1"/>
    <x v="156"/>
    <x v="16"/>
    <x v="0"/>
    <m/>
    <n v="27000000"/>
    <x v="0"/>
  </r>
  <r>
    <x v="0"/>
    <x v="1"/>
    <x v="157"/>
    <x v="16"/>
    <x v="0"/>
    <m/>
    <n v="27000000"/>
    <x v="0"/>
  </r>
  <r>
    <x v="0"/>
    <x v="1"/>
    <x v="158"/>
    <x v="16"/>
    <x v="0"/>
    <m/>
    <n v="27000000"/>
    <x v="0"/>
  </r>
  <r>
    <x v="0"/>
    <x v="1"/>
    <x v="159"/>
    <x v="16"/>
    <x v="0"/>
    <m/>
    <n v="27000000"/>
    <x v="0"/>
  </r>
  <r>
    <x v="0"/>
    <x v="1"/>
    <x v="160"/>
    <x v="16"/>
    <x v="0"/>
    <m/>
    <n v="27000000"/>
    <x v="0"/>
  </r>
  <r>
    <x v="0"/>
    <x v="1"/>
    <x v="161"/>
    <x v="16"/>
    <x v="0"/>
    <m/>
    <n v="27000000"/>
    <x v="0"/>
  </r>
  <r>
    <x v="0"/>
    <x v="1"/>
    <x v="162"/>
    <x v="16"/>
    <x v="0"/>
    <m/>
    <n v="22000000"/>
    <x v="0"/>
  </r>
  <r>
    <x v="0"/>
    <x v="1"/>
    <x v="163"/>
    <x v="16"/>
    <x v="0"/>
    <m/>
    <n v="27000000"/>
    <x v="0"/>
  </r>
  <r>
    <x v="0"/>
    <x v="1"/>
    <x v="164"/>
    <x v="16"/>
    <x v="0"/>
    <m/>
    <n v="27000000"/>
    <x v="0"/>
  </r>
  <r>
    <x v="0"/>
    <x v="1"/>
    <x v="165"/>
    <x v="16"/>
    <x v="0"/>
    <m/>
    <n v="27000000"/>
    <x v="0"/>
  </r>
  <r>
    <x v="0"/>
    <x v="1"/>
    <x v="166"/>
    <x v="16"/>
    <x v="0"/>
    <m/>
    <n v="27000000"/>
    <x v="0"/>
  </r>
  <r>
    <x v="0"/>
    <x v="1"/>
    <x v="167"/>
    <x v="16"/>
    <x v="0"/>
    <m/>
    <n v="27000000"/>
    <x v="0"/>
  </r>
  <r>
    <x v="0"/>
    <x v="1"/>
    <x v="168"/>
    <x v="16"/>
    <x v="0"/>
    <m/>
    <n v="27000000"/>
    <x v="0"/>
  </r>
  <r>
    <x v="0"/>
    <x v="1"/>
    <x v="169"/>
    <x v="16"/>
    <x v="0"/>
    <m/>
    <n v="22000000"/>
    <x v="0"/>
  </r>
  <r>
    <x v="0"/>
    <x v="1"/>
    <x v="170"/>
    <x v="16"/>
    <x v="0"/>
    <m/>
    <n v="22000000"/>
    <x v="0"/>
  </r>
  <r>
    <x v="0"/>
    <x v="1"/>
    <x v="171"/>
    <x v="16"/>
    <x v="0"/>
    <m/>
    <n v="22000000"/>
    <x v="0"/>
  </r>
  <r>
    <x v="0"/>
    <x v="1"/>
    <x v="172"/>
    <x v="16"/>
    <x v="0"/>
    <m/>
    <n v="22000000"/>
    <x v="0"/>
  </r>
  <r>
    <x v="0"/>
    <x v="1"/>
    <x v="173"/>
    <x v="16"/>
    <x v="0"/>
    <m/>
    <n v="22000000"/>
    <x v="0"/>
  </r>
  <r>
    <x v="0"/>
    <x v="1"/>
    <x v="174"/>
    <x v="16"/>
    <x v="0"/>
    <m/>
    <n v="22000000"/>
    <x v="0"/>
  </r>
  <r>
    <x v="0"/>
    <x v="1"/>
    <x v="175"/>
    <x v="16"/>
    <x v="0"/>
    <m/>
    <n v="22000000"/>
    <x v="0"/>
  </r>
  <r>
    <x v="0"/>
    <x v="1"/>
    <x v="176"/>
    <x v="16"/>
    <x v="0"/>
    <m/>
    <n v="22000000"/>
    <x v="0"/>
  </r>
  <r>
    <x v="0"/>
    <x v="1"/>
    <x v="177"/>
    <x v="16"/>
    <x v="0"/>
    <m/>
    <n v="22000000"/>
    <x v="0"/>
  </r>
  <r>
    <x v="0"/>
    <x v="1"/>
    <x v="178"/>
    <x v="16"/>
    <x v="0"/>
    <m/>
    <n v="22000000"/>
    <x v="0"/>
  </r>
  <r>
    <x v="0"/>
    <x v="1"/>
    <x v="179"/>
    <x v="16"/>
    <x v="0"/>
    <m/>
    <n v="22000000"/>
    <x v="0"/>
  </r>
  <r>
    <x v="0"/>
    <x v="1"/>
    <x v="180"/>
    <x v="16"/>
    <x v="0"/>
    <m/>
    <n v="22000000"/>
    <x v="0"/>
  </r>
  <r>
    <x v="0"/>
    <x v="1"/>
    <x v="181"/>
    <x v="16"/>
    <x v="0"/>
    <m/>
    <n v="22000000"/>
    <x v="0"/>
  </r>
  <r>
    <x v="0"/>
    <x v="1"/>
    <x v="182"/>
    <x v="16"/>
    <x v="0"/>
    <m/>
    <n v="22000000"/>
    <x v="0"/>
  </r>
  <r>
    <x v="0"/>
    <x v="1"/>
    <x v="183"/>
    <x v="16"/>
    <x v="0"/>
    <m/>
    <n v="27000000"/>
    <x v="0"/>
  </r>
  <r>
    <x v="0"/>
    <x v="1"/>
    <x v="184"/>
    <x v="16"/>
    <x v="0"/>
    <m/>
    <n v="27000000"/>
    <x v="0"/>
  </r>
  <r>
    <x v="0"/>
    <x v="1"/>
    <x v="185"/>
    <x v="16"/>
    <x v="0"/>
    <m/>
    <n v="22000000"/>
    <x v="0"/>
  </r>
  <r>
    <x v="0"/>
    <x v="1"/>
    <x v="186"/>
    <x v="16"/>
    <x v="0"/>
    <m/>
    <n v="27000000"/>
    <x v="0"/>
  </r>
  <r>
    <x v="0"/>
    <x v="1"/>
    <x v="187"/>
    <x v="16"/>
    <x v="0"/>
    <m/>
    <n v="27000000"/>
    <x v="0"/>
  </r>
  <r>
    <x v="0"/>
    <x v="1"/>
    <x v="188"/>
    <x v="16"/>
    <x v="0"/>
    <m/>
    <n v="27000000"/>
    <x v="0"/>
  </r>
  <r>
    <x v="0"/>
    <x v="1"/>
    <x v="189"/>
    <x v="16"/>
    <x v="0"/>
    <m/>
    <n v="27000000"/>
    <x v="0"/>
  </r>
  <r>
    <x v="0"/>
    <x v="1"/>
    <x v="190"/>
    <x v="16"/>
    <x v="0"/>
    <m/>
    <n v="27000000"/>
    <x v="0"/>
  </r>
  <r>
    <x v="0"/>
    <x v="1"/>
    <x v="191"/>
    <x v="16"/>
    <x v="0"/>
    <m/>
    <n v="22000000"/>
    <x v="0"/>
  </r>
  <r>
    <x v="0"/>
    <x v="1"/>
    <x v="192"/>
    <x v="16"/>
    <x v="0"/>
    <m/>
    <n v="27000000"/>
    <x v="0"/>
  </r>
  <r>
    <x v="0"/>
    <x v="1"/>
    <x v="193"/>
    <x v="16"/>
    <x v="0"/>
    <m/>
    <n v="27000000"/>
    <x v="0"/>
  </r>
  <r>
    <x v="0"/>
    <x v="1"/>
    <x v="194"/>
    <x v="16"/>
    <x v="0"/>
    <m/>
    <n v="27000000"/>
    <x v="0"/>
  </r>
  <r>
    <x v="0"/>
    <x v="1"/>
    <x v="195"/>
    <x v="16"/>
    <x v="0"/>
    <m/>
    <n v="27000000"/>
    <x v="0"/>
  </r>
  <r>
    <x v="0"/>
    <x v="1"/>
    <x v="196"/>
    <x v="16"/>
    <x v="0"/>
    <m/>
    <n v="22000000"/>
    <x v="0"/>
  </r>
  <r>
    <x v="0"/>
    <x v="1"/>
    <x v="197"/>
    <x v="16"/>
    <x v="0"/>
    <m/>
    <n v="27000000"/>
    <x v="0"/>
  </r>
  <r>
    <x v="0"/>
    <x v="1"/>
    <x v="198"/>
    <x v="16"/>
    <x v="0"/>
    <m/>
    <n v="27000000"/>
    <x v="0"/>
  </r>
  <r>
    <x v="0"/>
    <x v="1"/>
    <x v="199"/>
    <x v="16"/>
    <x v="0"/>
    <m/>
    <n v="27000000"/>
    <x v="0"/>
  </r>
  <r>
    <x v="0"/>
    <x v="1"/>
    <x v="200"/>
    <x v="16"/>
    <x v="0"/>
    <m/>
    <n v="22000000"/>
    <x v="0"/>
  </r>
  <r>
    <x v="0"/>
    <x v="1"/>
    <x v="201"/>
    <x v="16"/>
    <x v="0"/>
    <m/>
    <n v="22000000"/>
    <x v="0"/>
  </r>
  <r>
    <x v="0"/>
    <x v="1"/>
    <x v="202"/>
    <x v="16"/>
    <x v="0"/>
    <m/>
    <n v="22000000"/>
    <x v="0"/>
  </r>
  <r>
    <x v="0"/>
    <x v="1"/>
    <x v="203"/>
    <x v="16"/>
    <x v="0"/>
    <m/>
    <n v="22000000"/>
    <x v="0"/>
  </r>
  <r>
    <x v="0"/>
    <x v="1"/>
    <x v="204"/>
    <x v="16"/>
    <x v="0"/>
    <m/>
    <n v="22000000"/>
    <x v="0"/>
  </r>
  <r>
    <x v="0"/>
    <x v="1"/>
    <x v="205"/>
    <x v="16"/>
    <x v="0"/>
    <m/>
    <n v="22000000"/>
    <x v="0"/>
  </r>
  <r>
    <x v="0"/>
    <x v="1"/>
    <x v="206"/>
    <x v="16"/>
    <x v="0"/>
    <m/>
    <n v="22000000"/>
    <x v="0"/>
  </r>
  <r>
    <x v="0"/>
    <x v="1"/>
    <x v="207"/>
    <x v="16"/>
    <x v="0"/>
    <m/>
    <n v="27000000"/>
    <x v="0"/>
  </r>
  <r>
    <x v="0"/>
    <x v="1"/>
    <x v="208"/>
    <x v="16"/>
    <x v="0"/>
    <m/>
    <n v="27000000"/>
    <x v="0"/>
  </r>
  <r>
    <x v="0"/>
    <x v="1"/>
    <x v="209"/>
    <x v="16"/>
    <x v="0"/>
    <m/>
    <n v="27000000"/>
    <x v="0"/>
  </r>
  <r>
    <x v="0"/>
    <x v="1"/>
    <x v="210"/>
    <x v="16"/>
    <x v="0"/>
    <m/>
    <n v="22000000"/>
    <x v="0"/>
  </r>
  <r>
    <x v="0"/>
    <x v="1"/>
    <x v="211"/>
    <x v="16"/>
    <x v="0"/>
    <m/>
    <n v="22000000"/>
    <x v="0"/>
  </r>
  <r>
    <x v="0"/>
    <x v="1"/>
    <x v="212"/>
    <x v="16"/>
    <x v="0"/>
    <m/>
    <n v="27000000"/>
    <x v="0"/>
  </r>
  <r>
    <x v="0"/>
    <x v="1"/>
    <x v="213"/>
    <x v="16"/>
    <x v="0"/>
    <m/>
    <n v="27000000"/>
    <x v="0"/>
  </r>
  <r>
    <x v="0"/>
    <x v="1"/>
    <x v="214"/>
    <x v="16"/>
    <x v="0"/>
    <m/>
    <n v="27000000"/>
    <x v="0"/>
  </r>
  <r>
    <x v="0"/>
    <x v="1"/>
    <x v="215"/>
    <x v="16"/>
    <x v="0"/>
    <m/>
    <n v="22000000"/>
    <x v="0"/>
  </r>
  <r>
    <x v="0"/>
    <x v="1"/>
    <x v="216"/>
    <x v="16"/>
    <x v="0"/>
    <m/>
    <n v="27000000"/>
    <x v="0"/>
  </r>
  <r>
    <x v="0"/>
    <x v="1"/>
    <x v="217"/>
    <x v="16"/>
    <x v="0"/>
    <m/>
    <n v="27000000"/>
    <x v="0"/>
  </r>
  <r>
    <x v="0"/>
    <x v="1"/>
    <x v="218"/>
    <x v="16"/>
    <x v="0"/>
    <m/>
    <n v="27000000"/>
    <x v="0"/>
  </r>
  <r>
    <x v="0"/>
    <x v="1"/>
    <x v="219"/>
    <x v="16"/>
    <x v="0"/>
    <m/>
    <n v="22000000"/>
    <x v="0"/>
  </r>
  <r>
    <x v="0"/>
    <x v="1"/>
    <x v="220"/>
    <x v="16"/>
    <x v="0"/>
    <m/>
    <n v="27000000"/>
    <x v="0"/>
  </r>
  <r>
    <x v="0"/>
    <x v="1"/>
    <x v="221"/>
    <x v="16"/>
    <x v="0"/>
    <m/>
    <n v="27000000"/>
    <x v="0"/>
  </r>
  <r>
    <x v="0"/>
    <x v="1"/>
    <x v="222"/>
    <x v="16"/>
    <x v="0"/>
    <m/>
    <n v="22000000"/>
    <x v="0"/>
  </r>
  <r>
    <x v="0"/>
    <x v="1"/>
    <x v="223"/>
    <x v="16"/>
    <x v="0"/>
    <m/>
    <n v="27000000"/>
    <x v="0"/>
  </r>
  <r>
    <x v="0"/>
    <x v="1"/>
    <x v="224"/>
    <x v="16"/>
    <x v="0"/>
    <m/>
    <n v="27000000"/>
    <x v="0"/>
  </r>
  <r>
    <x v="0"/>
    <x v="1"/>
    <x v="225"/>
    <x v="16"/>
    <x v="0"/>
    <m/>
    <n v="27000000"/>
    <x v="0"/>
  </r>
  <r>
    <x v="0"/>
    <x v="1"/>
    <x v="226"/>
    <x v="16"/>
    <x v="0"/>
    <m/>
    <n v="27000000"/>
    <x v="0"/>
  </r>
  <r>
    <x v="0"/>
    <x v="1"/>
    <x v="227"/>
    <x v="16"/>
    <x v="0"/>
    <m/>
    <n v="22000000"/>
    <x v="0"/>
  </r>
  <r>
    <x v="0"/>
    <x v="1"/>
    <x v="228"/>
    <x v="16"/>
    <x v="0"/>
    <m/>
    <n v="27000000"/>
    <x v="0"/>
  </r>
  <r>
    <x v="0"/>
    <x v="1"/>
    <x v="229"/>
    <x v="16"/>
    <x v="0"/>
    <m/>
    <n v="22000000"/>
    <x v="0"/>
  </r>
  <r>
    <x v="0"/>
    <x v="1"/>
    <x v="230"/>
    <x v="16"/>
    <x v="0"/>
    <m/>
    <n v="22000000"/>
    <x v="0"/>
  </r>
  <r>
    <x v="0"/>
    <x v="1"/>
    <x v="231"/>
    <x v="16"/>
    <x v="0"/>
    <m/>
    <n v="22000000"/>
    <x v="0"/>
  </r>
  <r>
    <x v="0"/>
    <x v="1"/>
    <x v="232"/>
    <x v="16"/>
    <x v="0"/>
    <m/>
    <n v="22000000"/>
    <x v="0"/>
  </r>
  <r>
    <x v="0"/>
    <x v="1"/>
    <x v="233"/>
    <x v="16"/>
    <x v="0"/>
    <m/>
    <n v="22000000"/>
    <x v="0"/>
  </r>
  <r>
    <x v="0"/>
    <x v="1"/>
    <x v="234"/>
    <x v="16"/>
    <x v="0"/>
    <m/>
    <n v="22000000"/>
    <x v="0"/>
  </r>
  <r>
    <x v="0"/>
    <x v="1"/>
    <x v="235"/>
    <x v="16"/>
    <x v="0"/>
    <m/>
    <n v="22000000"/>
    <x v="0"/>
  </r>
  <r>
    <x v="0"/>
    <x v="1"/>
    <x v="236"/>
    <x v="16"/>
    <x v="0"/>
    <m/>
    <n v="22000000"/>
    <x v="0"/>
  </r>
  <r>
    <x v="0"/>
    <x v="1"/>
    <x v="237"/>
    <x v="16"/>
    <x v="0"/>
    <m/>
    <n v="22000000"/>
    <x v="0"/>
  </r>
  <r>
    <x v="0"/>
    <x v="1"/>
    <x v="238"/>
    <x v="16"/>
    <x v="0"/>
    <m/>
    <n v="22000000"/>
    <x v="0"/>
  </r>
  <r>
    <x v="0"/>
    <x v="1"/>
    <x v="239"/>
    <x v="16"/>
    <x v="0"/>
    <m/>
    <n v="27000000"/>
    <x v="0"/>
  </r>
  <r>
    <x v="0"/>
    <x v="1"/>
    <x v="240"/>
    <x v="16"/>
    <x v="0"/>
    <m/>
    <n v="27000000"/>
    <x v="0"/>
  </r>
  <r>
    <x v="0"/>
    <x v="1"/>
    <x v="241"/>
    <x v="16"/>
    <x v="0"/>
    <m/>
    <n v="27000000"/>
    <x v="0"/>
  </r>
  <r>
    <x v="0"/>
    <x v="1"/>
    <x v="242"/>
    <x v="16"/>
    <x v="0"/>
    <m/>
    <n v="27000000"/>
    <x v="0"/>
  </r>
  <r>
    <x v="0"/>
    <x v="1"/>
    <x v="243"/>
    <x v="16"/>
    <x v="0"/>
    <m/>
    <n v="27000000"/>
    <x v="0"/>
  </r>
  <r>
    <x v="0"/>
    <x v="1"/>
    <x v="244"/>
    <x v="16"/>
    <x v="0"/>
    <m/>
    <n v="27000000"/>
    <x v="0"/>
  </r>
  <r>
    <x v="0"/>
    <x v="1"/>
    <x v="245"/>
    <x v="16"/>
    <x v="0"/>
    <m/>
    <n v="27000000"/>
    <x v="0"/>
  </r>
  <r>
    <x v="0"/>
    <x v="1"/>
    <x v="246"/>
    <x v="16"/>
    <x v="0"/>
    <m/>
    <n v="27000000"/>
    <x v="0"/>
  </r>
  <r>
    <x v="0"/>
    <x v="1"/>
    <x v="247"/>
    <x v="16"/>
    <x v="0"/>
    <m/>
    <n v="27000000"/>
    <x v="0"/>
  </r>
  <r>
    <x v="0"/>
    <x v="1"/>
    <x v="248"/>
    <x v="16"/>
    <x v="0"/>
    <m/>
    <n v="22000000"/>
    <x v="0"/>
  </r>
  <r>
    <x v="0"/>
    <x v="1"/>
    <x v="249"/>
    <x v="16"/>
    <x v="0"/>
    <m/>
    <n v="27000000"/>
    <x v="0"/>
  </r>
  <r>
    <x v="0"/>
    <x v="1"/>
    <x v="250"/>
    <x v="16"/>
    <x v="0"/>
    <m/>
    <n v="27000000"/>
    <x v="0"/>
  </r>
  <r>
    <x v="0"/>
    <x v="1"/>
    <x v="251"/>
    <x v="16"/>
    <x v="0"/>
    <m/>
    <n v="27000000"/>
    <x v="0"/>
  </r>
  <r>
    <x v="0"/>
    <x v="1"/>
    <x v="252"/>
    <x v="16"/>
    <x v="0"/>
    <m/>
    <n v="27000000"/>
    <x v="0"/>
  </r>
  <r>
    <x v="0"/>
    <x v="1"/>
    <x v="253"/>
    <x v="16"/>
    <x v="0"/>
    <m/>
    <n v="27000000"/>
    <x v="0"/>
  </r>
  <r>
    <x v="0"/>
    <x v="1"/>
    <x v="254"/>
    <x v="16"/>
    <x v="0"/>
    <m/>
    <n v="27000000"/>
    <x v="0"/>
  </r>
  <r>
    <x v="0"/>
    <x v="1"/>
    <x v="255"/>
    <x v="16"/>
    <x v="0"/>
    <m/>
    <n v="27000000"/>
    <x v="0"/>
  </r>
  <r>
    <x v="0"/>
    <x v="1"/>
    <x v="256"/>
    <x v="16"/>
    <x v="1"/>
    <m/>
    <n v="0"/>
    <x v="1"/>
  </r>
  <r>
    <x v="0"/>
    <x v="1"/>
    <x v="257"/>
    <x v="16"/>
    <x v="0"/>
    <m/>
    <n v="27000000"/>
    <x v="0"/>
  </r>
  <r>
    <x v="0"/>
    <x v="1"/>
    <x v="258"/>
    <x v="16"/>
    <x v="0"/>
    <m/>
    <n v="27000000"/>
    <x v="0"/>
  </r>
  <r>
    <x v="0"/>
    <x v="1"/>
    <x v="259"/>
    <x v="16"/>
    <x v="0"/>
    <m/>
    <n v="27000000"/>
    <x v="0"/>
  </r>
  <r>
    <x v="0"/>
    <x v="1"/>
    <x v="260"/>
    <x v="16"/>
    <x v="0"/>
    <m/>
    <n v="27000000"/>
    <x v="0"/>
  </r>
  <r>
    <x v="0"/>
    <x v="1"/>
    <x v="261"/>
    <x v="16"/>
    <x v="0"/>
    <m/>
    <n v="27000000"/>
    <x v="0"/>
  </r>
  <r>
    <x v="0"/>
    <x v="1"/>
    <x v="262"/>
    <x v="16"/>
    <x v="0"/>
    <m/>
    <n v="22000000"/>
    <x v="0"/>
  </r>
  <r>
    <x v="0"/>
    <x v="1"/>
    <x v="263"/>
    <x v="16"/>
    <x v="0"/>
    <m/>
    <n v="22000000"/>
    <x v="0"/>
  </r>
  <r>
    <x v="0"/>
    <x v="1"/>
    <x v="264"/>
    <x v="16"/>
    <x v="0"/>
    <m/>
    <n v="22000000"/>
    <x v="0"/>
  </r>
  <r>
    <x v="0"/>
    <x v="1"/>
    <x v="265"/>
    <x v="16"/>
    <x v="0"/>
    <m/>
    <n v="22000000"/>
    <x v="0"/>
  </r>
  <r>
    <x v="0"/>
    <x v="1"/>
    <x v="266"/>
    <x v="16"/>
    <x v="0"/>
    <m/>
    <n v="22000000"/>
    <x v="0"/>
  </r>
  <r>
    <x v="0"/>
    <x v="1"/>
    <x v="267"/>
    <x v="16"/>
    <x v="0"/>
    <m/>
    <n v="22000000"/>
    <x v="0"/>
  </r>
  <r>
    <x v="0"/>
    <x v="1"/>
    <x v="268"/>
    <x v="16"/>
    <x v="0"/>
    <m/>
    <n v="22000000"/>
    <x v="0"/>
  </r>
  <r>
    <x v="0"/>
    <x v="1"/>
    <x v="269"/>
    <x v="16"/>
    <x v="0"/>
    <m/>
    <n v="27000000"/>
    <x v="0"/>
  </r>
  <r>
    <x v="0"/>
    <x v="1"/>
    <x v="270"/>
    <x v="16"/>
    <x v="1"/>
    <m/>
    <n v="0"/>
    <x v="1"/>
  </r>
  <r>
    <x v="0"/>
    <x v="1"/>
    <x v="271"/>
    <x v="16"/>
    <x v="0"/>
    <m/>
    <n v="27000000"/>
    <x v="0"/>
  </r>
  <r>
    <x v="0"/>
    <x v="1"/>
    <x v="272"/>
    <x v="16"/>
    <x v="0"/>
    <m/>
    <n v="22000000"/>
    <x v="0"/>
  </r>
  <r>
    <x v="0"/>
    <x v="1"/>
    <x v="273"/>
    <x v="16"/>
    <x v="0"/>
    <m/>
    <n v="27000000"/>
    <x v="0"/>
  </r>
  <r>
    <x v="0"/>
    <x v="1"/>
    <x v="274"/>
    <x v="16"/>
    <x v="0"/>
    <m/>
    <n v="27000000"/>
    <x v="0"/>
  </r>
  <r>
    <x v="0"/>
    <x v="1"/>
    <x v="275"/>
    <x v="16"/>
    <x v="0"/>
    <m/>
    <n v="27000000"/>
    <x v="0"/>
  </r>
  <r>
    <x v="0"/>
    <x v="1"/>
    <x v="276"/>
    <x v="16"/>
    <x v="0"/>
    <m/>
    <n v="27000000"/>
    <x v="0"/>
  </r>
  <r>
    <x v="0"/>
    <x v="1"/>
    <x v="277"/>
    <x v="16"/>
    <x v="0"/>
    <m/>
    <n v="27000000"/>
    <x v="0"/>
  </r>
  <r>
    <x v="0"/>
    <x v="1"/>
    <x v="278"/>
    <x v="16"/>
    <x v="0"/>
    <m/>
    <n v="27000000"/>
    <x v="0"/>
  </r>
  <r>
    <x v="0"/>
    <x v="1"/>
    <x v="279"/>
    <x v="16"/>
    <x v="0"/>
    <m/>
    <n v="27000000"/>
    <x v="0"/>
  </r>
  <r>
    <x v="0"/>
    <x v="1"/>
    <x v="280"/>
    <x v="16"/>
    <x v="0"/>
    <m/>
    <n v="27000000"/>
    <x v="0"/>
  </r>
  <r>
    <x v="0"/>
    <x v="1"/>
    <x v="281"/>
    <x v="16"/>
    <x v="0"/>
    <m/>
    <n v="27000000"/>
    <x v="0"/>
  </r>
  <r>
    <x v="0"/>
    <x v="1"/>
    <x v="282"/>
    <x v="16"/>
    <x v="0"/>
    <m/>
    <n v="27000000"/>
    <x v="0"/>
  </r>
  <r>
    <x v="0"/>
    <x v="1"/>
    <x v="283"/>
    <x v="16"/>
    <x v="0"/>
    <m/>
    <n v="27000000"/>
    <x v="0"/>
  </r>
  <r>
    <x v="0"/>
    <x v="1"/>
    <x v="284"/>
    <x v="16"/>
    <x v="0"/>
    <m/>
    <n v="27000000"/>
    <x v="0"/>
  </r>
  <r>
    <x v="0"/>
    <x v="1"/>
    <x v="285"/>
    <x v="16"/>
    <x v="1"/>
    <m/>
    <n v="0"/>
    <x v="1"/>
  </r>
  <r>
    <x v="0"/>
    <x v="1"/>
    <x v="286"/>
    <x v="16"/>
    <x v="0"/>
    <m/>
    <n v="22000000"/>
    <x v="0"/>
  </r>
  <r>
    <x v="0"/>
    <x v="1"/>
    <x v="287"/>
    <x v="16"/>
    <x v="0"/>
    <m/>
    <n v="22000000"/>
    <x v="0"/>
  </r>
  <r>
    <x v="0"/>
    <x v="1"/>
    <x v="288"/>
    <x v="16"/>
    <x v="0"/>
    <m/>
    <n v="22000000"/>
    <x v="0"/>
  </r>
  <r>
    <x v="0"/>
    <x v="1"/>
    <x v="289"/>
    <x v="16"/>
    <x v="0"/>
    <m/>
    <n v="27000000"/>
    <x v="0"/>
  </r>
  <r>
    <x v="0"/>
    <x v="1"/>
    <x v="290"/>
    <x v="16"/>
    <x v="0"/>
    <m/>
    <n v="22000000"/>
    <x v="0"/>
  </r>
  <r>
    <x v="0"/>
    <x v="1"/>
    <x v="291"/>
    <x v="16"/>
    <x v="0"/>
    <m/>
    <n v="22000000"/>
    <x v="0"/>
  </r>
  <r>
    <x v="0"/>
    <x v="1"/>
    <x v="292"/>
    <x v="16"/>
    <x v="0"/>
    <m/>
    <n v="22000000"/>
    <x v="0"/>
  </r>
  <r>
    <x v="0"/>
    <x v="1"/>
    <x v="293"/>
    <x v="16"/>
    <x v="0"/>
    <m/>
    <n v="27000000"/>
    <x v="0"/>
  </r>
  <r>
    <x v="0"/>
    <x v="1"/>
    <x v="294"/>
    <x v="16"/>
    <x v="0"/>
    <m/>
    <n v="27000000"/>
    <x v="0"/>
  </r>
  <r>
    <x v="0"/>
    <x v="1"/>
    <x v="295"/>
    <x v="16"/>
    <x v="0"/>
    <m/>
    <n v="27000000"/>
    <x v="0"/>
  </r>
  <r>
    <x v="0"/>
    <x v="1"/>
    <x v="296"/>
    <x v="16"/>
    <x v="0"/>
    <m/>
    <n v="22000000"/>
    <x v="0"/>
  </r>
  <r>
    <x v="0"/>
    <x v="1"/>
    <x v="297"/>
    <x v="16"/>
    <x v="0"/>
    <m/>
    <n v="22000000"/>
    <x v="0"/>
  </r>
  <r>
    <x v="0"/>
    <x v="1"/>
    <x v="298"/>
    <x v="16"/>
    <x v="0"/>
    <m/>
    <n v="22000000"/>
    <x v="0"/>
  </r>
  <r>
    <x v="0"/>
    <x v="1"/>
    <x v="299"/>
    <x v="16"/>
    <x v="0"/>
    <m/>
    <n v="22000000"/>
    <x v="0"/>
  </r>
  <r>
    <x v="0"/>
    <x v="1"/>
    <x v="300"/>
    <x v="16"/>
    <x v="0"/>
    <m/>
    <n v="22000000"/>
    <x v="0"/>
  </r>
  <r>
    <x v="0"/>
    <x v="2"/>
    <x v="301"/>
    <x v="16"/>
    <x v="0"/>
    <m/>
    <n v="5000000"/>
    <x v="0"/>
  </r>
  <r>
    <x v="0"/>
    <x v="2"/>
    <x v="302"/>
    <x v="16"/>
    <x v="0"/>
    <m/>
    <n v="5000000"/>
    <x v="0"/>
  </r>
  <r>
    <x v="0"/>
    <x v="2"/>
    <x v="303"/>
    <x v="16"/>
    <x v="0"/>
    <m/>
    <n v="5000000"/>
    <x v="0"/>
  </r>
  <r>
    <x v="0"/>
    <x v="2"/>
    <x v="304"/>
    <x v="16"/>
    <x v="0"/>
    <m/>
    <n v="5000000"/>
    <x v="0"/>
  </r>
  <r>
    <x v="0"/>
    <x v="2"/>
    <x v="305"/>
    <x v="16"/>
    <x v="0"/>
    <m/>
    <n v="5000000"/>
    <x v="0"/>
  </r>
  <r>
    <x v="0"/>
    <x v="2"/>
    <x v="306"/>
    <x v="16"/>
    <x v="0"/>
    <m/>
    <n v="5000000"/>
    <x v="0"/>
  </r>
  <r>
    <x v="0"/>
    <x v="2"/>
    <x v="307"/>
    <x v="16"/>
    <x v="0"/>
    <m/>
    <n v="5000000"/>
    <x v="0"/>
  </r>
  <r>
    <x v="0"/>
    <x v="2"/>
    <x v="308"/>
    <x v="16"/>
    <x v="0"/>
    <m/>
    <n v="5000000"/>
    <x v="0"/>
  </r>
  <r>
    <x v="0"/>
    <x v="2"/>
    <x v="309"/>
    <x v="16"/>
    <x v="0"/>
    <m/>
    <n v="5000000"/>
    <x v="0"/>
  </r>
  <r>
    <x v="0"/>
    <x v="2"/>
    <x v="310"/>
    <x v="16"/>
    <x v="0"/>
    <m/>
    <n v="5000000"/>
    <x v="0"/>
  </r>
  <r>
    <x v="0"/>
    <x v="2"/>
    <x v="311"/>
    <x v="16"/>
    <x v="0"/>
    <m/>
    <n v="5000000"/>
    <x v="0"/>
  </r>
  <r>
    <x v="0"/>
    <x v="2"/>
    <x v="312"/>
    <x v="16"/>
    <x v="0"/>
    <m/>
    <n v="5000000"/>
    <x v="0"/>
  </r>
  <r>
    <x v="0"/>
    <x v="2"/>
    <x v="313"/>
    <x v="16"/>
    <x v="0"/>
    <m/>
    <n v="5000000"/>
    <x v="0"/>
  </r>
  <r>
    <x v="0"/>
    <x v="2"/>
    <x v="314"/>
    <x v="16"/>
    <x v="0"/>
    <m/>
    <n v="5000000"/>
    <x v="0"/>
  </r>
  <r>
    <x v="0"/>
    <x v="2"/>
    <x v="315"/>
    <x v="16"/>
    <x v="0"/>
    <m/>
    <n v="5000000"/>
    <x v="0"/>
  </r>
  <r>
    <x v="0"/>
    <x v="2"/>
    <x v="316"/>
    <x v="16"/>
    <x v="0"/>
    <m/>
    <n v="5000000"/>
    <x v="0"/>
  </r>
  <r>
    <x v="0"/>
    <x v="2"/>
    <x v="317"/>
    <x v="16"/>
    <x v="0"/>
    <m/>
    <n v="5000000"/>
    <x v="0"/>
  </r>
  <r>
    <x v="0"/>
    <x v="2"/>
    <x v="318"/>
    <x v="16"/>
    <x v="0"/>
    <m/>
    <n v="5000000"/>
    <x v="0"/>
  </r>
  <r>
    <x v="0"/>
    <x v="2"/>
    <x v="319"/>
    <x v="16"/>
    <x v="0"/>
    <m/>
    <n v="5000000"/>
    <x v="0"/>
  </r>
  <r>
    <x v="0"/>
    <x v="2"/>
    <x v="320"/>
    <x v="16"/>
    <x v="0"/>
    <m/>
    <n v="5000000"/>
    <x v="0"/>
  </r>
  <r>
    <x v="0"/>
    <x v="2"/>
    <x v="321"/>
    <x v="16"/>
    <x v="0"/>
    <m/>
    <n v="5000000"/>
    <x v="0"/>
  </r>
  <r>
    <x v="0"/>
    <x v="2"/>
    <x v="322"/>
    <x v="16"/>
    <x v="0"/>
    <m/>
    <n v="5000000"/>
    <x v="0"/>
  </r>
  <r>
    <x v="0"/>
    <x v="2"/>
    <x v="323"/>
    <x v="16"/>
    <x v="0"/>
    <m/>
    <n v="5000000"/>
    <x v="0"/>
  </r>
  <r>
    <x v="0"/>
    <x v="2"/>
    <x v="324"/>
    <x v="16"/>
    <x v="0"/>
    <m/>
    <n v="5000000"/>
    <x v="0"/>
  </r>
  <r>
    <x v="0"/>
    <x v="2"/>
    <x v="325"/>
    <x v="16"/>
    <x v="0"/>
    <m/>
    <n v="5000000"/>
    <x v="0"/>
  </r>
  <r>
    <x v="0"/>
    <x v="2"/>
    <x v="326"/>
    <x v="16"/>
    <x v="0"/>
    <m/>
    <n v="5000000"/>
    <x v="0"/>
  </r>
  <r>
    <x v="0"/>
    <x v="2"/>
    <x v="327"/>
    <x v="16"/>
    <x v="0"/>
    <m/>
    <n v="5000000"/>
    <x v="0"/>
  </r>
  <r>
    <x v="0"/>
    <x v="2"/>
    <x v="328"/>
    <x v="16"/>
    <x v="0"/>
    <m/>
    <n v="5000000"/>
    <x v="0"/>
  </r>
  <r>
    <x v="0"/>
    <x v="2"/>
    <x v="329"/>
    <x v="16"/>
    <x v="0"/>
    <m/>
    <n v="5000000"/>
    <x v="0"/>
  </r>
  <r>
    <x v="0"/>
    <x v="2"/>
    <x v="330"/>
    <x v="16"/>
    <x v="0"/>
    <m/>
    <n v="5000000"/>
    <x v="0"/>
  </r>
  <r>
    <x v="0"/>
    <x v="2"/>
    <x v="331"/>
    <x v="16"/>
    <x v="0"/>
    <m/>
    <n v="5000000"/>
    <x v="0"/>
  </r>
  <r>
    <x v="0"/>
    <x v="2"/>
    <x v="332"/>
    <x v="16"/>
    <x v="0"/>
    <m/>
    <n v="5000000"/>
    <x v="0"/>
  </r>
  <r>
    <x v="0"/>
    <x v="2"/>
    <x v="333"/>
    <x v="16"/>
    <x v="0"/>
    <m/>
    <n v="5000000"/>
    <x v="0"/>
  </r>
  <r>
    <x v="0"/>
    <x v="2"/>
    <x v="334"/>
    <x v="16"/>
    <x v="0"/>
    <m/>
    <n v="5000000"/>
    <x v="0"/>
  </r>
  <r>
    <x v="0"/>
    <x v="2"/>
    <x v="335"/>
    <x v="16"/>
    <x v="0"/>
    <m/>
    <n v="5000000"/>
    <x v="0"/>
  </r>
  <r>
    <x v="0"/>
    <x v="2"/>
    <x v="336"/>
    <x v="16"/>
    <x v="1"/>
    <m/>
    <n v="0"/>
    <x v="2"/>
  </r>
  <r>
    <x v="0"/>
    <x v="2"/>
    <x v="337"/>
    <x v="16"/>
    <x v="1"/>
    <m/>
    <n v="0"/>
    <x v="2"/>
  </r>
  <r>
    <x v="0"/>
    <x v="2"/>
    <x v="338"/>
    <x v="16"/>
    <x v="0"/>
    <m/>
    <n v="5000000"/>
    <x v="0"/>
  </r>
  <r>
    <x v="0"/>
    <x v="2"/>
    <x v="339"/>
    <x v="16"/>
    <x v="0"/>
    <m/>
    <n v="5000000"/>
    <x v="0"/>
  </r>
  <r>
    <x v="0"/>
    <x v="2"/>
    <x v="340"/>
    <x v="16"/>
    <x v="0"/>
    <m/>
    <n v="5000000"/>
    <x v="0"/>
  </r>
  <r>
    <x v="0"/>
    <x v="2"/>
    <x v="341"/>
    <x v="16"/>
    <x v="0"/>
    <m/>
    <n v="5000000"/>
    <x v="0"/>
  </r>
  <r>
    <x v="0"/>
    <x v="2"/>
    <x v="342"/>
    <x v="16"/>
    <x v="0"/>
    <m/>
    <n v="5000000"/>
    <x v="0"/>
  </r>
  <r>
    <x v="0"/>
    <x v="2"/>
    <x v="343"/>
    <x v="16"/>
    <x v="0"/>
    <m/>
    <n v="5000000"/>
    <x v="0"/>
  </r>
  <r>
    <x v="0"/>
    <x v="2"/>
    <x v="344"/>
    <x v="16"/>
    <x v="0"/>
    <m/>
    <n v="5000000"/>
    <x v="0"/>
  </r>
  <r>
    <x v="0"/>
    <x v="2"/>
    <x v="345"/>
    <x v="16"/>
    <x v="0"/>
    <m/>
    <n v="5000000"/>
    <x v="0"/>
  </r>
  <r>
    <x v="0"/>
    <x v="2"/>
    <x v="346"/>
    <x v="16"/>
    <x v="0"/>
    <m/>
    <n v="5000000"/>
    <x v="0"/>
  </r>
  <r>
    <x v="0"/>
    <x v="2"/>
    <x v="347"/>
    <x v="16"/>
    <x v="0"/>
    <m/>
    <n v="5000000"/>
    <x v="0"/>
  </r>
  <r>
    <x v="0"/>
    <x v="2"/>
    <x v="348"/>
    <x v="16"/>
    <x v="0"/>
    <m/>
    <n v="5000000"/>
    <x v="0"/>
  </r>
  <r>
    <x v="0"/>
    <x v="2"/>
    <x v="349"/>
    <x v="16"/>
    <x v="0"/>
    <m/>
    <n v="5000000"/>
    <x v="0"/>
  </r>
  <r>
    <x v="0"/>
    <x v="2"/>
    <x v="350"/>
    <x v="16"/>
    <x v="0"/>
    <m/>
    <n v="5000000"/>
    <x v="0"/>
  </r>
  <r>
    <x v="0"/>
    <x v="2"/>
    <x v="351"/>
    <x v="16"/>
    <x v="0"/>
    <m/>
    <n v="5000000"/>
    <x v="0"/>
  </r>
  <r>
    <x v="0"/>
    <x v="2"/>
    <x v="352"/>
    <x v="16"/>
    <x v="0"/>
    <m/>
    <n v="5000000"/>
    <x v="0"/>
  </r>
  <r>
    <x v="0"/>
    <x v="2"/>
    <x v="353"/>
    <x v="16"/>
    <x v="0"/>
    <m/>
    <n v="5000000"/>
    <x v="0"/>
  </r>
  <r>
    <x v="0"/>
    <x v="2"/>
    <x v="354"/>
    <x v="16"/>
    <x v="0"/>
    <m/>
    <n v="5000000"/>
    <x v="0"/>
  </r>
  <r>
    <x v="0"/>
    <x v="2"/>
    <x v="355"/>
    <x v="16"/>
    <x v="0"/>
    <m/>
    <n v="5000000"/>
    <x v="0"/>
  </r>
  <r>
    <x v="0"/>
    <x v="2"/>
    <x v="356"/>
    <x v="16"/>
    <x v="0"/>
    <m/>
    <n v="5000000"/>
    <x v="0"/>
  </r>
  <r>
    <x v="0"/>
    <x v="2"/>
    <x v="357"/>
    <x v="16"/>
    <x v="0"/>
    <m/>
    <n v="5000000"/>
    <x v="0"/>
  </r>
  <r>
    <x v="0"/>
    <x v="2"/>
    <x v="358"/>
    <x v="16"/>
    <x v="0"/>
    <m/>
    <n v="50000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0E252E-484E-4307-9151-80D8FCE073F5}" name="TablaDinámica8" cacheId="6" applyNumberFormats="0" applyBorderFormats="0" applyFontFormats="0" applyPatternFormats="0" applyAlignmentFormats="0" applyWidthHeightFormats="1" dataCaption="Valores" updatedVersion="8" minRefreshableVersion="3" useAutoFormatting="1" colGrandTotals="0" itemPrintTitles="1" mergeItem="1" createdVersion="8" indent="0" compact="0" compactData="0" multipleFieldFilters="0" fieldListSortAscending="1">
  <location ref="S20:X426" firstHeaderRow="1" firstDataRow="3" firstDataCol="3"/>
  <pivotFields count="8">
    <pivotField axis="axisCol" compact="0" outline="0" showAll="0" defaultSubtotal="0">
      <items count="1">
        <item x="0"/>
      </items>
    </pivotField>
    <pivotField axis="axisRow" compact="0" outline="0" showAll="0" defaultSubtotal="0">
      <items count="4">
        <item x="0"/>
        <item x="1"/>
        <item x="2"/>
        <item x="3"/>
      </items>
    </pivotField>
    <pivotField axis="axisRow" compact="0" outline="0" showAll="0" defaultSubtotal="0">
      <items count="4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</items>
    </pivotField>
    <pivotField dataField="1" compact="0" outline="0" showAll="0" defaultSubtotal="0"/>
    <pivotField axis="axisRow" compact="0" outline="0" showAll="0" defaultSubtotal="0">
      <items count="2">
        <item x="1"/>
        <item x="0"/>
      </items>
    </pivotField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3">
    <field x="1"/>
    <field x="2"/>
    <field x="4"/>
  </rowFields>
  <rowItems count="404">
    <i>
      <x/>
      <x/>
      <x v="1"/>
    </i>
    <i r="1">
      <x v="1"/>
      <x v="1"/>
    </i>
    <i r="1">
      <x v="2"/>
      <x v="1"/>
    </i>
    <i r="1">
      <x v="3"/>
      <x v="1"/>
    </i>
    <i r="1">
      <x v="4"/>
      <x v="1"/>
    </i>
    <i r="1">
      <x v="5"/>
      <x v="1"/>
    </i>
    <i r="1">
      <x v="6"/>
      <x v="1"/>
    </i>
    <i r="1">
      <x v="7"/>
      <x v="1"/>
    </i>
    <i r="1">
      <x v="8"/>
      <x v="1"/>
    </i>
    <i r="1">
      <x v="9"/>
      <x v="1"/>
    </i>
    <i r="1">
      <x v="10"/>
      <x v="1"/>
    </i>
    <i r="1">
      <x v="11"/>
      <x/>
    </i>
    <i r="1">
      <x v="12"/>
      <x v="1"/>
    </i>
    <i r="1">
      <x v="13"/>
      <x v="1"/>
    </i>
    <i r="1">
      <x v="14"/>
      <x v="1"/>
    </i>
    <i r="1">
      <x v="15"/>
      <x v="1"/>
    </i>
    <i r="1">
      <x v="16"/>
      <x v="1"/>
    </i>
    <i r="1">
      <x v="17"/>
      <x v="1"/>
    </i>
    <i r="1">
      <x v="18"/>
      <x v="1"/>
    </i>
    <i r="1">
      <x v="19"/>
      <x v="1"/>
    </i>
    <i r="1">
      <x v="20"/>
      <x v="1"/>
    </i>
    <i r="1">
      <x v="21"/>
      <x v="1"/>
    </i>
    <i r="1">
      <x v="22"/>
      <x v="1"/>
    </i>
    <i r="1">
      <x v="23"/>
      <x v="1"/>
    </i>
    <i r="1">
      <x v="24"/>
      <x v="1"/>
    </i>
    <i r="1">
      <x v="25"/>
      <x v="1"/>
    </i>
    <i r="1">
      <x v="26"/>
      <x v="1"/>
    </i>
    <i r="1">
      <x v="27"/>
      <x v="1"/>
    </i>
    <i r="1">
      <x v="28"/>
      <x v="1"/>
    </i>
    <i r="1">
      <x v="29"/>
      <x v="1"/>
    </i>
    <i r="1">
      <x v="30"/>
      <x v="1"/>
    </i>
    <i r="1">
      <x v="31"/>
      <x v="1"/>
    </i>
    <i r="1">
      <x v="32"/>
      <x v="1"/>
    </i>
    <i r="1">
      <x v="33"/>
      <x v="1"/>
    </i>
    <i r="1">
      <x v="34"/>
      <x v="1"/>
    </i>
    <i r="1">
      <x v="35"/>
      <x/>
    </i>
    <i r="1">
      <x v="36"/>
      <x v="1"/>
    </i>
    <i r="1">
      <x v="37"/>
      <x v="1"/>
    </i>
    <i r="1">
      <x v="38"/>
      <x v="1"/>
    </i>
    <i r="1">
      <x v="39"/>
      <x v="1"/>
    </i>
    <i r="1">
      <x v="40"/>
      <x v="1"/>
    </i>
    <i r="1">
      <x v="41"/>
      <x v="1"/>
    </i>
    <i r="1">
      <x v="42"/>
      <x v="1"/>
    </i>
    <i r="1">
      <x v="43"/>
      <x v="1"/>
    </i>
    <i r="1">
      <x v="44"/>
      <x v="1"/>
    </i>
    <i r="1">
      <x v="45"/>
      <x v="1"/>
    </i>
    <i r="1">
      <x v="46"/>
      <x v="1"/>
    </i>
    <i r="1">
      <x v="47"/>
      <x v="1"/>
    </i>
    <i r="1">
      <x v="48"/>
      <x v="1"/>
    </i>
    <i r="1">
      <x v="49"/>
      <x v="1"/>
    </i>
    <i r="1">
      <x v="50"/>
      <x v="1"/>
    </i>
    <i r="1">
      <x v="51"/>
      <x v="1"/>
    </i>
    <i r="1">
      <x v="52"/>
      <x v="1"/>
    </i>
    <i r="1">
      <x v="53"/>
      <x v="1"/>
    </i>
    <i r="1">
      <x v="54"/>
      <x v="1"/>
    </i>
    <i r="1">
      <x v="55"/>
      <x v="1"/>
    </i>
    <i r="1">
      <x v="56"/>
      <x v="1"/>
    </i>
    <i r="1">
      <x v="57"/>
      <x v="1"/>
    </i>
    <i r="1">
      <x v="58"/>
      <x v="1"/>
    </i>
    <i r="1">
      <x v="59"/>
      <x/>
    </i>
    <i r="1">
      <x v="60"/>
      <x v="1"/>
    </i>
    <i r="1">
      <x v="61"/>
      <x v="1"/>
    </i>
    <i r="1">
      <x v="62"/>
      <x v="1"/>
    </i>
    <i r="1">
      <x v="63"/>
      <x v="1"/>
    </i>
    <i r="1">
      <x v="64"/>
      <x v="1"/>
    </i>
    <i r="1">
      <x v="65"/>
      <x/>
    </i>
    <i r="1">
      <x v="66"/>
      <x v="1"/>
    </i>
    <i r="1">
      <x v="67"/>
      <x v="1"/>
    </i>
    <i r="1">
      <x v="68"/>
      <x v="1"/>
    </i>
    <i r="1">
      <x v="69"/>
      <x v="1"/>
    </i>
    <i r="1">
      <x v="70"/>
      <x v="1"/>
    </i>
    <i r="1">
      <x v="71"/>
      <x v="1"/>
    </i>
    <i r="1">
      <x v="72"/>
      <x v="1"/>
    </i>
    <i r="1">
      <x v="73"/>
      <x v="1"/>
    </i>
    <i r="1">
      <x v="74"/>
      <x v="1"/>
    </i>
    <i r="1">
      <x v="75"/>
      <x v="1"/>
    </i>
    <i r="1">
      <x v="76"/>
      <x v="1"/>
    </i>
    <i r="1">
      <x v="77"/>
      <x v="1"/>
    </i>
    <i r="1">
      <x v="78"/>
      <x v="1"/>
    </i>
    <i r="1">
      <x v="79"/>
      <x v="1"/>
    </i>
    <i r="1">
      <x v="80"/>
      <x v="1"/>
    </i>
    <i r="1">
      <x v="81"/>
      <x v="1"/>
    </i>
    <i r="1">
      <x v="82"/>
      <x v="1"/>
    </i>
    <i r="1">
      <x v="83"/>
      <x v="1"/>
    </i>
    <i r="1">
      <x v="84"/>
      <x v="1"/>
    </i>
    <i r="1">
      <x v="85"/>
      <x v="1"/>
    </i>
    <i r="1">
      <x v="86"/>
      <x v="1"/>
    </i>
    <i r="1">
      <x v="87"/>
      <x v="1"/>
    </i>
    <i r="1">
      <x v="88"/>
      <x v="1"/>
    </i>
    <i r="1">
      <x v="89"/>
      <x/>
    </i>
    <i r="1">
      <x v="90"/>
      <x v="1"/>
    </i>
    <i r="1">
      <x v="91"/>
      <x v="1"/>
    </i>
    <i r="1">
      <x v="92"/>
      <x v="1"/>
    </i>
    <i r="1">
      <x v="93"/>
      <x v="1"/>
    </i>
    <i r="1">
      <x v="94"/>
      <x v="1"/>
    </i>
    <i r="1">
      <x v="95"/>
      <x/>
    </i>
    <i r="1">
      <x v="96"/>
      <x v="1"/>
    </i>
    <i r="1">
      <x v="97"/>
      <x v="1"/>
    </i>
    <i r="1">
      <x v="98"/>
      <x v="1"/>
    </i>
    <i r="1">
      <x v="99"/>
      <x v="1"/>
    </i>
    <i r="1">
      <x v="100"/>
      <x v="1"/>
    </i>
    <i r="1">
      <x v="101"/>
      <x/>
    </i>
    <i r="1">
      <x v="102"/>
      <x v="1"/>
    </i>
    <i r="1">
      <x v="103"/>
      <x v="1"/>
    </i>
    <i r="1">
      <x v="104"/>
      <x v="1"/>
    </i>
    <i r="1">
      <x v="105"/>
      <x v="1"/>
    </i>
    <i r="1">
      <x v="106"/>
      <x v="1"/>
    </i>
    <i r="1">
      <x v="107"/>
      <x/>
    </i>
    <i r="1">
      <x v="108"/>
      <x/>
    </i>
    <i r="1">
      <x v="109"/>
      <x v="1"/>
    </i>
    <i r="1">
      <x v="110"/>
      <x v="1"/>
    </i>
    <i r="1">
      <x v="111"/>
      <x v="1"/>
    </i>
    <i r="1">
      <x v="112"/>
      <x v="1"/>
    </i>
    <i r="1">
      <x v="113"/>
      <x/>
    </i>
    <i r="1">
      <x v="114"/>
      <x v="1"/>
    </i>
    <i r="1">
      <x v="115"/>
      <x v="1"/>
    </i>
    <i r="1">
      <x v="116"/>
      <x v="1"/>
    </i>
    <i r="1">
      <x v="117"/>
      <x v="1"/>
    </i>
    <i r="1">
      <x v="118"/>
      <x v="1"/>
    </i>
    <i r="1">
      <x v="119"/>
      <x v="1"/>
    </i>
    <i r="1">
      <x v="120"/>
      <x/>
    </i>
    <i r="1">
      <x v="121"/>
      <x v="1"/>
    </i>
    <i r="1">
      <x v="122"/>
      <x v="1"/>
    </i>
    <i r="1">
      <x v="123"/>
      <x v="1"/>
    </i>
    <i r="1">
      <x v="124"/>
      <x v="1"/>
    </i>
    <i r="1">
      <x v="125"/>
      <x v="1"/>
    </i>
    <i r="1">
      <x v="126"/>
      <x/>
    </i>
    <i r="1">
      <x v="127"/>
      <x v="1"/>
    </i>
    <i r="1">
      <x v="128"/>
      <x v="1"/>
    </i>
    <i r="1">
      <x v="129"/>
      <x v="1"/>
    </i>
    <i r="1">
      <x v="130"/>
      <x v="1"/>
    </i>
    <i r="1">
      <x v="131"/>
      <x/>
    </i>
    <i r="1">
      <x v="132"/>
      <x v="1"/>
    </i>
    <i r="1">
      <x v="133"/>
      <x v="1"/>
    </i>
    <i r="1">
      <x v="134"/>
      <x v="1"/>
    </i>
    <i r="1">
      <x v="135"/>
      <x v="1"/>
    </i>
    <i r="1">
      <x v="136"/>
      <x v="1"/>
    </i>
    <i r="1">
      <x v="137"/>
      <x/>
    </i>
    <i r="1">
      <x v="138"/>
      <x v="1"/>
    </i>
    <i r="1">
      <x v="139"/>
      <x v="1"/>
    </i>
    <i r="1">
      <x v="140"/>
      <x v="1"/>
    </i>
    <i r="1">
      <x v="141"/>
      <x v="1"/>
    </i>
    <i r="1">
      <x v="142"/>
      <x v="1"/>
    </i>
    <i r="1">
      <x v="143"/>
      <x/>
    </i>
    <i r="1">
      <x v="144"/>
      <x v="1"/>
    </i>
    <i r="1">
      <x v="145"/>
      <x v="1"/>
    </i>
    <i r="1">
      <x v="146"/>
      <x v="1"/>
    </i>
    <i r="1">
      <x v="147"/>
      <x v="1"/>
    </i>
    <i r="1">
      <x v="148"/>
      <x/>
    </i>
    <i r="1">
      <x v="149"/>
      <x/>
    </i>
    <i>
      <x v="1"/>
      <x v="161"/>
      <x v="1"/>
    </i>
    <i r="1">
      <x v="162"/>
      <x v="1"/>
    </i>
    <i r="1">
      <x v="163"/>
      <x v="1"/>
    </i>
    <i r="1">
      <x v="164"/>
      <x v="1"/>
    </i>
    <i r="1">
      <x v="165"/>
      <x v="1"/>
    </i>
    <i r="1">
      <x v="166"/>
      <x v="1"/>
    </i>
    <i r="1">
      <x v="167"/>
      <x v="1"/>
    </i>
    <i r="1">
      <x v="168"/>
      <x v="1"/>
    </i>
    <i r="1">
      <x v="169"/>
      <x v="1"/>
    </i>
    <i r="1">
      <x v="170"/>
      <x v="1"/>
    </i>
    <i r="1">
      <x v="171"/>
      <x v="1"/>
    </i>
    <i r="1">
      <x v="172"/>
      <x v="1"/>
    </i>
    <i r="1">
      <x v="173"/>
      <x v="1"/>
    </i>
    <i r="1">
      <x v="174"/>
      <x v="1"/>
    </i>
    <i r="1">
      <x v="175"/>
      <x v="1"/>
    </i>
    <i r="1">
      <x v="176"/>
      <x v="1"/>
    </i>
    <i r="1">
      <x v="177"/>
      <x v="1"/>
    </i>
    <i r="1">
      <x v="178"/>
      <x v="1"/>
    </i>
    <i r="1">
      <x v="179"/>
      <x v="1"/>
    </i>
    <i r="1">
      <x v="180"/>
      <x v="1"/>
    </i>
    <i r="1">
      <x v="181"/>
      <x v="1"/>
    </i>
    <i r="1">
      <x v="182"/>
      <x v="1"/>
    </i>
    <i r="1">
      <x v="183"/>
      <x v="1"/>
    </i>
    <i r="1">
      <x v="184"/>
      <x v="1"/>
    </i>
    <i r="1">
      <x v="185"/>
      <x v="1"/>
    </i>
    <i r="1">
      <x v="186"/>
      <x v="1"/>
    </i>
    <i r="1">
      <x v="187"/>
      <x v="1"/>
    </i>
    <i r="1">
      <x v="188"/>
      <x v="1"/>
    </i>
    <i r="1">
      <x v="189"/>
      <x v="1"/>
    </i>
    <i r="1">
      <x v="190"/>
      <x v="1"/>
    </i>
    <i r="1">
      <x v="191"/>
      <x v="1"/>
    </i>
    <i r="1">
      <x v="192"/>
      <x v="1"/>
    </i>
    <i r="1">
      <x v="193"/>
      <x v="1"/>
    </i>
    <i r="1">
      <x v="194"/>
      <x v="1"/>
    </i>
    <i r="1">
      <x v="195"/>
      <x v="1"/>
    </i>
    <i r="1">
      <x v="196"/>
      <x v="1"/>
    </i>
    <i r="1">
      <x v="197"/>
      <x v="1"/>
    </i>
    <i r="1">
      <x v="198"/>
      <x v="1"/>
    </i>
    <i r="1">
      <x v="199"/>
      <x v="1"/>
    </i>
    <i r="1">
      <x v="200"/>
      <x v="1"/>
    </i>
    <i r="1">
      <x v="201"/>
      <x v="1"/>
    </i>
    <i r="1">
      <x v="202"/>
      <x v="1"/>
    </i>
    <i r="1">
      <x v="203"/>
      <x v="1"/>
    </i>
    <i r="1">
      <x v="204"/>
      <x v="1"/>
    </i>
    <i r="1">
      <x v="205"/>
      <x v="1"/>
    </i>
    <i r="1">
      <x v="206"/>
      <x v="1"/>
    </i>
    <i r="1">
      <x v="207"/>
      <x v="1"/>
    </i>
    <i r="1">
      <x v="208"/>
      <x v="1"/>
    </i>
    <i r="1">
      <x v="209"/>
      <x v="1"/>
    </i>
    <i r="1">
      <x v="210"/>
      <x v="1"/>
    </i>
    <i r="1">
      <x v="211"/>
      <x v="1"/>
    </i>
    <i r="1">
      <x v="212"/>
      <x v="1"/>
    </i>
    <i r="1">
      <x v="213"/>
      <x v="1"/>
    </i>
    <i r="1">
      <x v="214"/>
      <x v="1"/>
    </i>
    <i r="1">
      <x v="215"/>
      <x v="1"/>
    </i>
    <i r="1">
      <x v="216"/>
      <x v="1"/>
    </i>
    <i r="1">
      <x v="217"/>
      <x v="1"/>
    </i>
    <i r="1">
      <x v="218"/>
      <x v="1"/>
    </i>
    <i r="1">
      <x v="219"/>
      <x v="1"/>
    </i>
    <i r="1">
      <x v="220"/>
      <x v="1"/>
    </i>
    <i r="1">
      <x v="221"/>
      <x v="1"/>
    </i>
    <i r="1">
      <x v="222"/>
      <x v="1"/>
    </i>
    <i r="1">
      <x v="223"/>
      <x v="1"/>
    </i>
    <i r="1">
      <x v="224"/>
      <x v="1"/>
    </i>
    <i r="1">
      <x v="225"/>
      <x v="1"/>
    </i>
    <i r="1">
      <x v="226"/>
      <x v="1"/>
    </i>
    <i r="1">
      <x v="227"/>
      <x v="1"/>
    </i>
    <i r="1">
      <x v="228"/>
      <x v="1"/>
    </i>
    <i r="1">
      <x v="229"/>
      <x v="1"/>
    </i>
    <i r="1">
      <x v="230"/>
      <x v="1"/>
    </i>
    <i r="1">
      <x v="231"/>
      <x v="1"/>
    </i>
    <i r="1">
      <x v="232"/>
      <x v="1"/>
    </i>
    <i r="1">
      <x v="233"/>
      <x v="1"/>
    </i>
    <i r="1">
      <x v="234"/>
      <x v="1"/>
    </i>
    <i r="1">
      <x v="235"/>
      <x v="1"/>
    </i>
    <i r="1">
      <x v="236"/>
      <x v="1"/>
    </i>
    <i r="1">
      <x v="237"/>
      <x v="1"/>
    </i>
    <i r="1">
      <x v="238"/>
      <x v="1"/>
    </i>
    <i r="1">
      <x v="239"/>
      <x v="1"/>
    </i>
    <i r="1">
      <x v="240"/>
      <x v="1"/>
    </i>
    <i r="1">
      <x v="241"/>
      <x v="1"/>
    </i>
    <i r="1">
      <x v="242"/>
      <x v="1"/>
    </i>
    <i r="1">
      <x v="243"/>
      <x v="1"/>
    </i>
    <i r="1">
      <x v="244"/>
      <x v="1"/>
    </i>
    <i r="1">
      <x v="245"/>
      <x v="1"/>
    </i>
    <i r="1">
      <x v="246"/>
      <x v="1"/>
    </i>
    <i r="1">
      <x v="247"/>
      <x v="1"/>
    </i>
    <i r="1">
      <x v="248"/>
      <x v="1"/>
    </i>
    <i r="1">
      <x v="249"/>
      <x v="1"/>
    </i>
    <i r="1">
      <x v="250"/>
      <x v="1"/>
    </i>
    <i r="1">
      <x v="251"/>
      <x v="1"/>
    </i>
    <i r="1">
      <x v="252"/>
      <x v="1"/>
    </i>
    <i r="1">
      <x v="253"/>
      <x v="1"/>
    </i>
    <i r="1">
      <x v="254"/>
      <x v="1"/>
    </i>
    <i r="1">
      <x v="255"/>
      <x v="1"/>
    </i>
    <i r="1">
      <x v="256"/>
      <x v="1"/>
    </i>
    <i r="1">
      <x v="257"/>
      <x v="1"/>
    </i>
    <i r="1">
      <x v="258"/>
      <x v="1"/>
    </i>
    <i r="1">
      <x v="259"/>
      <x v="1"/>
    </i>
    <i r="1">
      <x v="260"/>
      <x v="1"/>
    </i>
    <i r="1">
      <x v="261"/>
      <x v="1"/>
    </i>
    <i r="1">
      <x v="262"/>
      <x v="1"/>
    </i>
    <i r="1">
      <x v="263"/>
      <x v="1"/>
    </i>
    <i r="1">
      <x v="264"/>
      <x v="1"/>
    </i>
    <i r="1">
      <x v="265"/>
      <x v="1"/>
    </i>
    <i r="1">
      <x v="266"/>
      <x v="1"/>
    </i>
    <i r="1">
      <x v="267"/>
      <x/>
    </i>
    <i r="1">
      <x v="268"/>
      <x/>
    </i>
    <i r="1">
      <x v="269"/>
      <x/>
    </i>
    <i r="1">
      <x v="270"/>
      <x/>
    </i>
    <i r="1">
      <x v="271"/>
      <x/>
    </i>
    <i r="1">
      <x v="272"/>
      <x/>
    </i>
    <i r="1">
      <x v="273"/>
      <x/>
    </i>
    <i r="1">
      <x v="274"/>
      <x/>
    </i>
    <i r="1">
      <x v="275"/>
      <x v="1"/>
    </i>
    <i r="1">
      <x v="276"/>
      <x v="1"/>
    </i>
    <i r="1">
      <x v="277"/>
      <x v="1"/>
    </i>
    <i r="1">
      <x v="278"/>
      <x/>
    </i>
    <i r="1">
      <x v="279"/>
      <x v="1"/>
    </i>
    <i r="1">
      <x v="280"/>
      <x v="1"/>
    </i>
    <i r="1">
      <x v="281"/>
      <x v="1"/>
    </i>
    <i r="1">
      <x v="282"/>
      <x/>
    </i>
    <i r="1">
      <x v="283"/>
      <x v="1"/>
    </i>
    <i r="1">
      <x v="284"/>
      <x v="1"/>
    </i>
    <i r="1">
      <x v="285"/>
      <x v="1"/>
    </i>
    <i r="1">
      <x v="286"/>
      <x v="1"/>
    </i>
    <i r="1">
      <x v="287"/>
      <x/>
    </i>
    <i r="1">
      <x v="288"/>
      <x v="1"/>
    </i>
    <i r="1">
      <x v="289"/>
      <x v="1"/>
    </i>
    <i r="1">
      <x v="290"/>
      <x/>
    </i>
    <i r="1">
      <x v="291"/>
      <x v="1"/>
    </i>
    <i r="1">
      <x v="292"/>
      <x v="1"/>
    </i>
    <i r="1">
      <x v="293"/>
      <x v="1"/>
    </i>
    <i r="1">
      <x v="294"/>
      <x v="1"/>
    </i>
    <i r="1">
      <x v="295"/>
      <x/>
    </i>
    <i r="1">
      <x v="296"/>
      <x v="1"/>
    </i>
    <i r="1">
      <x v="297"/>
      <x v="1"/>
    </i>
    <i r="1">
      <x v="298"/>
      <x/>
    </i>
    <i r="1">
      <x v="299"/>
      <x v="1"/>
    </i>
    <i r="1">
      <x v="300"/>
      <x v="1"/>
    </i>
    <i r="1">
      <x v="301"/>
      <x v="1"/>
    </i>
    <i r="1">
      <x v="302"/>
      <x v="1"/>
    </i>
    <i r="1">
      <x v="303"/>
      <x v="1"/>
    </i>
    <i r="1">
      <x v="304"/>
      <x v="1"/>
    </i>
    <i r="1">
      <x v="305"/>
      <x v="1"/>
    </i>
    <i r="1">
      <x v="306"/>
      <x v="1"/>
    </i>
    <i r="1">
      <x v="307"/>
      <x v="1"/>
    </i>
    <i>
      <x v="2"/>
      <x v="150"/>
      <x v="1"/>
    </i>
    <i r="1">
      <x v="151"/>
      <x v="1"/>
    </i>
    <i r="1">
      <x v="152"/>
      <x v="1"/>
    </i>
    <i r="1">
      <x v="153"/>
      <x/>
    </i>
    <i r="1">
      <x v="154"/>
      <x v="1"/>
    </i>
    <i r="1">
      <x v="155"/>
      <x v="1"/>
    </i>
    <i r="1">
      <x v="156"/>
      <x v="1"/>
    </i>
    <i r="1">
      <x v="157"/>
      <x v="1"/>
    </i>
    <i r="1">
      <x v="158"/>
      <x v="1"/>
    </i>
    <i r="1">
      <x v="159"/>
      <x v="1"/>
    </i>
    <i r="1">
      <x v="160"/>
      <x/>
    </i>
    <i>
      <x v="3"/>
      <x v="308"/>
      <x v="1"/>
    </i>
    <i r="1">
      <x v="309"/>
      <x v="1"/>
    </i>
    <i r="1">
      <x v="310"/>
      <x v="1"/>
    </i>
    <i r="1">
      <x v="311"/>
      <x v="1"/>
    </i>
    <i r="1">
      <x v="312"/>
      <x v="1"/>
    </i>
    <i r="1">
      <x v="313"/>
      <x/>
    </i>
    <i r="1">
      <x v="314"/>
      <x v="1"/>
    </i>
    <i r="1">
      <x v="315"/>
      <x v="1"/>
    </i>
    <i r="1">
      <x v="316"/>
      <x v="1"/>
    </i>
    <i r="1">
      <x v="317"/>
      <x v="1"/>
    </i>
    <i r="1">
      <x v="318"/>
      <x v="1"/>
    </i>
    <i r="1">
      <x v="319"/>
      <x v="1"/>
    </i>
    <i r="1">
      <x v="320"/>
      <x v="1"/>
    </i>
    <i r="1">
      <x v="321"/>
      <x v="1"/>
    </i>
    <i r="1">
      <x v="322"/>
      <x v="1"/>
    </i>
    <i r="1">
      <x v="323"/>
      <x v="1"/>
    </i>
    <i r="1">
      <x v="324"/>
      <x v="1"/>
    </i>
    <i r="1">
      <x v="325"/>
      <x v="1"/>
    </i>
    <i r="1">
      <x v="326"/>
      <x v="1"/>
    </i>
    <i r="1">
      <x v="327"/>
      <x v="1"/>
    </i>
    <i r="1">
      <x v="328"/>
      <x v="1"/>
    </i>
    <i r="1">
      <x v="329"/>
      <x v="1"/>
    </i>
    <i r="1">
      <x v="330"/>
      <x v="1"/>
    </i>
    <i r="1">
      <x v="331"/>
      <x v="1"/>
    </i>
    <i r="1">
      <x v="332"/>
      <x v="1"/>
    </i>
    <i r="1">
      <x v="333"/>
      <x v="1"/>
    </i>
    <i r="1">
      <x v="334"/>
      <x v="1"/>
    </i>
    <i r="1">
      <x v="335"/>
      <x v="1"/>
    </i>
    <i r="1">
      <x v="336"/>
      <x v="1"/>
    </i>
    <i r="1">
      <x v="337"/>
      <x v="1"/>
    </i>
    <i r="1">
      <x v="338"/>
      <x v="1"/>
    </i>
    <i r="1">
      <x v="339"/>
      <x v="1"/>
    </i>
    <i r="1">
      <x v="340"/>
      <x v="1"/>
    </i>
    <i r="1">
      <x v="341"/>
      <x v="1"/>
    </i>
    <i r="1">
      <x v="342"/>
      <x v="1"/>
    </i>
    <i r="1">
      <x v="343"/>
      <x v="1"/>
    </i>
    <i r="1">
      <x v="344"/>
      <x v="1"/>
    </i>
    <i r="1">
      <x v="345"/>
      <x v="1"/>
    </i>
    <i r="1">
      <x v="346"/>
      <x v="1"/>
    </i>
    <i r="1">
      <x v="347"/>
      <x v="1"/>
    </i>
    <i r="1">
      <x v="348"/>
      <x v="1"/>
    </i>
    <i r="1">
      <x v="349"/>
      <x v="1"/>
    </i>
    <i r="1">
      <x v="350"/>
      <x v="1"/>
    </i>
    <i r="1">
      <x v="351"/>
      <x v="1"/>
    </i>
    <i r="1">
      <x v="352"/>
      <x v="1"/>
    </i>
    <i r="1">
      <x v="353"/>
      <x v="1"/>
    </i>
    <i r="1">
      <x v="354"/>
      <x v="1"/>
    </i>
    <i r="1">
      <x v="355"/>
      <x v="1"/>
    </i>
    <i r="1">
      <x v="356"/>
      <x v="1"/>
    </i>
    <i r="1">
      <x v="357"/>
      <x/>
    </i>
    <i r="1">
      <x v="358"/>
      <x/>
    </i>
    <i r="1">
      <x v="359"/>
      <x v="1"/>
    </i>
    <i r="1">
      <x v="360"/>
      <x/>
    </i>
    <i r="1">
      <x v="361"/>
      <x/>
    </i>
    <i r="1">
      <x v="362"/>
      <x/>
    </i>
    <i r="1">
      <x v="363"/>
      <x/>
    </i>
    <i r="1">
      <x v="364"/>
      <x/>
    </i>
    <i r="1">
      <x v="365"/>
      <x/>
    </i>
    <i r="1">
      <x v="366"/>
      <x/>
    </i>
    <i r="1">
      <x v="367"/>
      <x/>
    </i>
    <i r="1">
      <x v="368"/>
      <x/>
    </i>
    <i r="1">
      <x v="369"/>
      <x v="1"/>
    </i>
    <i r="1">
      <x v="370"/>
      <x v="1"/>
    </i>
    <i r="1">
      <x v="371"/>
      <x v="1"/>
    </i>
    <i r="1">
      <x v="372"/>
      <x/>
    </i>
    <i r="1">
      <x v="373"/>
      <x v="1"/>
    </i>
    <i r="1">
      <x v="374"/>
      <x v="1"/>
    </i>
    <i r="1">
      <x v="375"/>
      <x v="1"/>
    </i>
    <i r="1">
      <x v="376"/>
      <x v="1"/>
    </i>
    <i r="1">
      <x v="377"/>
      <x/>
    </i>
    <i r="1">
      <x v="378"/>
      <x v="1"/>
    </i>
    <i r="1">
      <x v="379"/>
      <x v="1"/>
    </i>
    <i r="1">
      <x v="380"/>
      <x v="1"/>
    </i>
    <i r="1">
      <x v="381"/>
      <x v="1"/>
    </i>
    <i r="1">
      <x v="382"/>
      <x v="1"/>
    </i>
    <i r="1">
      <x v="383"/>
      <x v="1"/>
    </i>
    <i r="1">
      <x v="384"/>
      <x v="1"/>
    </i>
    <i r="1">
      <x v="385"/>
      <x v="1"/>
    </i>
    <i r="1">
      <x v="386"/>
      <x v="1"/>
    </i>
    <i r="1">
      <x v="387"/>
      <x v="1"/>
    </i>
    <i r="1">
      <x v="388"/>
      <x v="1"/>
    </i>
    <i r="1">
      <x v="389"/>
      <x/>
    </i>
    <i r="1">
      <x v="390"/>
      <x v="1"/>
    </i>
    <i r="1">
      <x v="391"/>
      <x v="1"/>
    </i>
    <i r="1">
      <x v="392"/>
      <x/>
    </i>
    <i r="1">
      <x v="393"/>
      <x v="1"/>
    </i>
    <i r="1">
      <x v="394"/>
      <x v="1"/>
    </i>
    <i r="1">
      <x v="395"/>
      <x v="1"/>
    </i>
    <i r="1">
      <x v="396"/>
      <x v="1"/>
    </i>
    <i r="1">
      <x v="397"/>
      <x v="1"/>
    </i>
    <i r="1">
      <x v="398"/>
      <x v="1"/>
    </i>
    <i r="1">
      <x v="399"/>
      <x v="1"/>
    </i>
    <i r="1">
      <x v="400"/>
      <x v="1"/>
    </i>
    <i r="1">
      <x v="401"/>
      <x v="1"/>
    </i>
    <i r="1">
      <x v="402"/>
      <x/>
    </i>
    <i t="grand">
      <x/>
    </i>
  </rowItems>
  <colFields count="2">
    <field x="0"/>
    <field x="-2"/>
  </colFields>
  <colItems count="3">
    <i>
      <x/>
      <x/>
    </i>
    <i r="1" i="1">
      <x v="1"/>
    </i>
    <i r="1" i="2">
      <x v="2"/>
    </i>
  </colItems>
  <dataFields count="3">
    <dataField name="Suma de Area" fld="3" baseField="0" baseItem="0"/>
    <dataField name="Suma de Precio Lista" fld="7" baseField="0" baseItem="0"/>
    <dataField name="Suma de Precio Venta Sin Parq#" fld="6" baseField="0" baseItem="0"/>
  </dataFields>
  <formats count="5">
    <format dxfId="215">
      <pivotArea outline="0" fieldPosition="0">
        <references count="2">
          <reference field="4294967294" count="2" selected="0">
            <x v="1"/>
            <x v="2"/>
          </reference>
          <reference field="0" count="0" selected="0"/>
        </references>
      </pivotArea>
    </format>
    <format dxfId="214">
      <pivotArea field="1" type="button" dataOnly="0" labelOnly="1" outline="0" axis="axisRow" fieldPosition="0"/>
    </format>
    <format dxfId="213">
      <pivotArea field="2" type="button" dataOnly="0" labelOnly="1" outline="0" axis="axisRow" fieldPosition="1"/>
    </format>
    <format dxfId="212">
      <pivotArea field="4" type="button" dataOnly="0" labelOnly="1" outline="0" axis="axisRow" fieldPosition="2"/>
    </format>
    <format dxfId="211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0" count="0" selected="0"/>
        </references>
      </pivotArea>
    </format>
  </formats>
  <pivotTableStyleInfo name="PivotStyleLight8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3FD7C6-5184-4236-BD2D-7D24A130464F}" name="TablaDinámica7" cacheId="5" applyNumberFormats="0" applyBorderFormats="0" applyFontFormats="0" applyPatternFormats="0" applyAlignmentFormats="0" applyWidthHeightFormats="1" dataCaption="Valores" updatedVersion="8" minRefreshableVersion="3" useAutoFormatting="1" colGrandTotals="0" itemPrintTitles="1" mergeItem="1" createdVersion="8" indent="0" compact="0" compactData="0" multipleFieldFilters="0" fieldListSortAscending="1">
  <location ref="M20:R398" firstHeaderRow="1" firstDataRow="3" firstDataCol="3"/>
  <pivotFields count="8">
    <pivotField axis="axisCol" compact="0" outline="0" showAll="0" defaultSubtotal="0">
      <items count="1">
        <item x="0"/>
      </items>
    </pivotField>
    <pivotField axis="axisRow" compact="0" outline="0" showAll="0" defaultSubtotal="0">
      <items count="3">
        <item x="0"/>
        <item x="1"/>
        <item x="2"/>
      </items>
    </pivotField>
    <pivotField axis="axisRow" compact="0" outline="0" showAll="0" defaultSubtotal="0">
      <items count="37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</items>
    </pivotField>
    <pivotField dataField="1" compact="0" outline="0" showAll="0" defaultSubtotal="0"/>
    <pivotField axis="axisRow" compact="0" outline="0" showAll="0" defaultSubtotal="0">
      <items count="2">
        <item x="1"/>
        <item x="0"/>
      </items>
    </pivotField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3">
    <field x="1"/>
    <field x="2"/>
    <field x="4"/>
  </rowFields>
  <rowItems count="376">
    <i>
      <x/>
      <x/>
      <x v="1"/>
    </i>
    <i r="1">
      <x v="1"/>
      <x v="1"/>
    </i>
    <i r="1">
      <x v="2"/>
      <x v="1"/>
    </i>
    <i r="1">
      <x v="3"/>
      <x v="1"/>
    </i>
    <i r="1">
      <x v="4"/>
      <x v="1"/>
    </i>
    <i r="1">
      <x v="5"/>
      <x v="1"/>
    </i>
    <i r="1">
      <x v="6"/>
      <x v="1"/>
    </i>
    <i r="1">
      <x v="7"/>
      <x/>
    </i>
    <i r="1">
      <x v="8"/>
      <x v="1"/>
    </i>
    <i r="1">
      <x v="9"/>
      <x/>
    </i>
    <i r="1">
      <x v="10"/>
      <x v="1"/>
    </i>
    <i r="1">
      <x v="11"/>
      <x v="1"/>
    </i>
    <i r="1">
      <x v="12"/>
      <x v="1"/>
    </i>
    <i r="1">
      <x v="13"/>
      <x v="1"/>
    </i>
    <i r="1">
      <x v="14"/>
      <x v="1"/>
    </i>
    <i r="1">
      <x v="15"/>
      <x v="1"/>
    </i>
    <i r="1">
      <x v="16"/>
      <x v="1"/>
    </i>
    <i r="1">
      <x v="17"/>
      <x v="1"/>
    </i>
    <i r="1">
      <x v="18"/>
      <x v="1"/>
    </i>
    <i r="1">
      <x v="19"/>
      <x v="1"/>
    </i>
    <i r="1">
      <x v="20"/>
      <x/>
    </i>
    <i r="1">
      <x v="21"/>
      <x v="1"/>
    </i>
    <i r="1">
      <x v="22"/>
      <x v="1"/>
    </i>
    <i r="1">
      <x v="23"/>
      <x v="1"/>
    </i>
    <i r="1">
      <x v="24"/>
      <x v="1"/>
    </i>
    <i r="1">
      <x v="25"/>
      <x/>
    </i>
    <i r="1">
      <x v="26"/>
      <x v="1"/>
    </i>
    <i r="1">
      <x v="27"/>
      <x v="1"/>
    </i>
    <i r="1">
      <x v="28"/>
      <x v="1"/>
    </i>
    <i r="1">
      <x v="29"/>
      <x v="1"/>
    </i>
    <i r="1">
      <x v="30"/>
      <x v="1"/>
    </i>
    <i r="1">
      <x v="31"/>
      <x v="1"/>
    </i>
    <i r="1">
      <x v="32"/>
      <x v="1"/>
    </i>
    <i r="1">
      <x v="33"/>
      <x v="1"/>
    </i>
    <i r="1">
      <x v="34"/>
      <x v="1"/>
    </i>
    <i r="1">
      <x v="35"/>
      <x v="1"/>
    </i>
    <i r="1">
      <x v="36"/>
      <x v="1"/>
    </i>
    <i r="1">
      <x v="37"/>
      <x v="1"/>
    </i>
    <i r="1">
      <x v="38"/>
      <x v="1"/>
    </i>
    <i r="1">
      <x v="39"/>
      <x v="1"/>
    </i>
    <i r="1">
      <x v="40"/>
      <x v="1"/>
    </i>
    <i r="1">
      <x v="41"/>
      <x v="1"/>
    </i>
    <i r="1">
      <x v="42"/>
      <x v="1"/>
    </i>
    <i r="1">
      <x v="43"/>
      <x v="1"/>
    </i>
    <i r="1">
      <x v="44"/>
      <x/>
    </i>
    <i r="1">
      <x v="45"/>
      <x v="1"/>
    </i>
    <i r="1">
      <x v="46"/>
      <x v="1"/>
    </i>
    <i r="1">
      <x v="47"/>
      <x v="1"/>
    </i>
    <i r="1">
      <x v="48"/>
      <x v="1"/>
    </i>
    <i r="1">
      <x v="49"/>
      <x/>
    </i>
    <i r="1">
      <x v="50"/>
      <x v="1"/>
    </i>
    <i r="1">
      <x v="51"/>
      <x v="1"/>
    </i>
    <i r="1">
      <x v="52"/>
      <x v="1"/>
    </i>
    <i r="1">
      <x v="53"/>
      <x v="1"/>
    </i>
    <i r="1">
      <x v="54"/>
      <x v="1"/>
    </i>
    <i r="1">
      <x v="55"/>
      <x/>
    </i>
    <i r="1">
      <x v="56"/>
      <x v="1"/>
    </i>
    <i r="1">
      <x v="57"/>
      <x v="1"/>
    </i>
    <i r="1">
      <x v="58"/>
      <x v="1"/>
    </i>
    <i r="1">
      <x v="59"/>
      <x v="1"/>
    </i>
    <i r="1">
      <x v="60"/>
      <x v="1"/>
    </i>
    <i r="1">
      <x v="61"/>
      <x v="1"/>
    </i>
    <i r="1">
      <x v="62"/>
      <x v="1"/>
    </i>
    <i r="1">
      <x v="63"/>
      <x v="1"/>
    </i>
    <i r="1">
      <x v="64"/>
      <x/>
    </i>
    <i r="1">
      <x v="65"/>
      <x v="1"/>
    </i>
    <i r="1">
      <x v="66"/>
      <x v="1"/>
    </i>
    <i r="1">
      <x v="67"/>
      <x v="1"/>
    </i>
    <i r="1">
      <x v="68"/>
      <x v="1"/>
    </i>
    <i r="1">
      <x v="69"/>
      <x v="1"/>
    </i>
    <i r="1">
      <x v="70"/>
      <x v="1"/>
    </i>
    <i r="1">
      <x v="71"/>
      <x v="1"/>
    </i>
    <i r="1">
      <x v="72"/>
      <x v="1"/>
    </i>
    <i r="1">
      <x v="73"/>
      <x v="1"/>
    </i>
    <i r="1">
      <x v="74"/>
      <x v="1"/>
    </i>
    <i r="1">
      <x v="75"/>
      <x v="1"/>
    </i>
    <i r="1">
      <x v="76"/>
      <x v="1"/>
    </i>
    <i r="1">
      <x v="77"/>
      <x v="1"/>
    </i>
    <i r="1">
      <x v="78"/>
      <x v="1"/>
    </i>
    <i r="1">
      <x v="79"/>
      <x v="1"/>
    </i>
    <i r="1">
      <x v="80"/>
      <x v="1"/>
    </i>
    <i r="1">
      <x v="81"/>
      <x v="1"/>
    </i>
    <i r="1">
      <x v="82"/>
      <x v="1"/>
    </i>
    <i r="1">
      <x v="83"/>
      <x v="1"/>
    </i>
    <i r="1">
      <x v="84"/>
      <x v="1"/>
    </i>
    <i r="1">
      <x v="85"/>
      <x v="1"/>
    </i>
    <i r="1">
      <x v="86"/>
      <x v="1"/>
    </i>
    <i r="1">
      <x v="87"/>
      <x v="1"/>
    </i>
    <i r="1">
      <x v="88"/>
      <x v="1"/>
    </i>
    <i r="1">
      <x v="89"/>
      <x v="1"/>
    </i>
    <i r="1">
      <x v="90"/>
      <x v="1"/>
    </i>
    <i r="1">
      <x v="91"/>
      <x v="1"/>
    </i>
    <i r="1">
      <x v="92"/>
      <x v="1"/>
    </i>
    <i r="1">
      <x v="93"/>
      <x v="1"/>
    </i>
    <i r="1">
      <x v="94"/>
      <x v="1"/>
    </i>
    <i r="1">
      <x v="95"/>
      <x v="1"/>
    </i>
    <i r="1">
      <x v="96"/>
      <x v="1"/>
    </i>
    <i r="1">
      <x v="97"/>
      <x v="1"/>
    </i>
    <i r="1">
      <x v="98"/>
      <x v="1"/>
    </i>
    <i r="1">
      <x v="99"/>
      <x v="1"/>
    </i>
    <i r="1">
      <x v="100"/>
      <x v="1"/>
    </i>
    <i r="1">
      <x v="101"/>
      <x v="1"/>
    </i>
    <i r="1">
      <x v="102"/>
      <x v="1"/>
    </i>
    <i r="1">
      <x v="103"/>
      <x v="1"/>
    </i>
    <i r="1">
      <x v="104"/>
      <x v="1"/>
    </i>
    <i r="1">
      <x v="105"/>
      <x v="1"/>
    </i>
    <i r="1">
      <x v="106"/>
      <x v="1"/>
    </i>
    <i r="1">
      <x v="107"/>
      <x v="1"/>
    </i>
    <i r="1">
      <x v="108"/>
      <x v="1"/>
    </i>
    <i r="1">
      <x v="109"/>
      <x v="1"/>
    </i>
    <i r="1">
      <x v="110"/>
      <x v="1"/>
    </i>
    <i r="1">
      <x v="111"/>
      <x v="1"/>
    </i>
    <i r="1">
      <x v="112"/>
      <x v="1"/>
    </i>
    <i r="1">
      <x v="113"/>
      <x v="1"/>
    </i>
    <i r="1">
      <x v="114"/>
      <x v="1"/>
    </i>
    <i r="1">
      <x v="115"/>
      <x v="1"/>
    </i>
    <i r="1">
      <x v="116"/>
      <x v="1"/>
    </i>
    <i r="1">
      <x v="117"/>
      <x v="1"/>
    </i>
    <i r="1">
      <x v="118"/>
      <x v="1"/>
    </i>
    <i r="1">
      <x v="119"/>
      <x v="1"/>
    </i>
    <i r="1">
      <x v="120"/>
      <x v="1"/>
    </i>
    <i r="1">
      <x v="121"/>
      <x v="1"/>
    </i>
    <i r="1">
      <x v="122"/>
      <x v="1"/>
    </i>
    <i r="1">
      <x v="123"/>
      <x v="1"/>
    </i>
    <i r="1">
      <x v="124"/>
      <x v="1"/>
    </i>
    <i>
      <x v="1"/>
      <x v="250"/>
      <x v="1"/>
    </i>
    <i r="1">
      <x v="251"/>
      <x v="1"/>
    </i>
    <i r="1">
      <x v="252"/>
      <x v="1"/>
    </i>
    <i r="1">
      <x v="253"/>
      <x v="1"/>
    </i>
    <i r="1">
      <x v="254"/>
      <x v="1"/>
    </i>
    <i r="1">
      <x v="255"/>
      <x v="1"/>
    </i>
    <i r="1">
      <x v="256"/>
      <x v="1"/>
    </i>
    <i r="1">
      <x v="257"/>
      <x v="1"/>
    </i>
    <i r="1">
      <x v="258"/>
      <x v="1"/>
    </i>
    <i r="1">
      <x v="259"/>
      <x v="1"/>
    </i>
    <i r="1">
      <x v="260"/>
      <x v="1"/>
    </i>
    <i r="1">
      <x v="261"/>
      <x v="1"/>
    </i>
    <i r="1">
      <x v="262"/>
      <x v="1"/>
    </i>
    <i r="1">
      <x v="263"/>
      <x v="1"/>
    </i>
    <i r="1">
      <x v="264"/>
      <x v="1"/>
    </i>
    <i r="1">
      <x v="265"/>
      <x v="1"/>
    </i>
    <i r="1">
      <x v="266"/>
      <x v="1"/>
    </i>
    <i r="1">
      <x v="267"/>
      <x v="1"/>
    </i>
    <i r="1">
      <x v="268"/>
      <x/>
    </i>
    <i r="1">
      <x v="269"/>
      <x/>
    </i>
    <i r="1">
      <x v="270"/>
      <x v="1"/>
    </i>
    <i r="1">
      <x v="271"/>
      <x v="1"/>
    </i>
    <i r="1">
      <x v="272"/>
      <x v="1"/>
    </i>
    <i r="1">
      <x v="273"/>
      <x v="1"/>
    </i>
    <i r="1">
      <x v="274"/>
      <x/>
    </i>
    <i r="1">
      <x v="275"/>
      <x v="1"/>
    </i>
    <i r="1">
      <x v="276"/>
      <x v="1"/>
    </i>
    <i r="1">
      <x v="277"/>
      <x v="1"/>
    </i>
    <i r="1">
      <x v="278"/>
      <x v="1"/>
    </i>
    <i r="1">
      <x v="279"/>
      <x/>
    </i>
    <i r="1">
      <x v="280"/>
      <x/>
    </i>
    <i r="1">
      <x v="281"/>
      <x/>
    </i>
    <i r="1">
      <x v="282"/>
      <x/>
    </i>
    <i r="1">
      <x v="283"/>
      <x v="1"/>
    </i>
    <i r="1">
      <x v="284"/>
      <x v="1"/>
    </i>
    <i r="1">
      <x v="285"/>
      <x v="1"/>
    </i>
    <i r="1">
      <x v="286"/>
      <x v="1"/>
    </i>
    <i r="1">
      <x v="287"/>
      <x v="1"/>
    </i>
    <i r="1">
      <x v="288"/>
      <x v="1"/>
    </i>
    <i r="1">
      <x v="289"/>
      <x v="1"/>
    </i>
    <i r="1">
      <x v="290"/>
      <x v="1"/>
    </i>
    <i r="1">
      <x v="291"/>
      <x v="1"/>
    </i>
    <i r="1">
      <x v="292"/>
      <x v="1"/>
    </i>
    <i r="1">
      <x v="293"/>
      <x v="1"/>
    </i>
    <i r="1">
      <x v="294"/>
      <x v="1"/>
    </i>
    <i r="1">
      <x v="295"/>
      <x v="1"/>
    </i>
    <i r="1">
      <x v="296"/>
      <x v="1"/>
    </i>
    <i r="1">
      <x v="297"/>
      <x v="1"/>
    </i>
    <i r="1">
      <x v="298"/>
      <x v="1"/>
    </i>
    <i r="1">
      <x v="299"/>
      <x v="1"/>
    </i>
    <i r="1">
      <x v="300"/>
      <x v="1"/>
    </i>
    <i r="1">
      <x v="301"/>
      <x v="1"/>
    </i>
    <i r="1">
      <x v="302"/>
      <x v="1"/>
    </i>
    <i r="1">
      <x v="303"/>
      <x v="1"/>
    </i>
    <i r="1">
      <x v="304"/>
      <x v="1"/>
    </i>
    <i r="1">
      <x v="305"/>
      <x v="1"/>
    </i>
    <i r="1">
      <x v="306"/>
      <x/>
    </i>
    <i r="1">
      <x v="307"/>
      <x v="1"/>
    </i>
    <i r="1">
      <x v="308"/>
      <x v="1"/>
    </i>
    <i r="1">
      <x v="309"/>
      <x v="1"/>
    </i>
    <i r="1">
      <x v="310"/>
      <x v="1"/>
    </i>
    <i r="1">
      <x v="311"/>
      <x v="1"/>
    </i>
    <i r="1">
      <x v="312"/>
      <x v="1"/>
    </i>
    <i r="1">
      <x v="313"/>
      <x v="1"/>
    </i>
    <i r="1">
      <x v="314"/>
      <x v="1"/>
    </i>
    <i r="1">
      <x v="315"/>
      <x v="1"/>
    </i>
    <i r="1">
      <x v="316"/>
      <x v="1"/>
    </i>
    <i r="1">
      <x v="317"/>
      <x v="1"/>
    </i>
    <i r="1">
      <x v="318"/>
      <x v="1"/>
    </i>
    <i r="1">
      <x v="319"/>
      <x v="1"/>
    </i>
    <i r="1">
      <x v="320"/>
      <x v="1"/>
    </i>
    <i r="1">
      <x v="321"/>
      <x v="1"/>
    </i>
    <i r="1">
      <x v="322"/>
      <x v="1"/>
    </i>
    <i r="1">
      <x v="323"/>
      <x v="1"/>
    </i>
    <i r="1">
      <x v="324"/>
      <x v="1"/>
    </i>
    <i r="1">
      <x v="325"/>
      <x v="1"/>
    </i>
    <i r="1">
      <x v="326"/>
      <x v="1"/>
    </i>
    <i r="1">
      <x v="327"/>
      <x v="1"/>
    </i>
    <i r="1">
      <x v="328"/>
      <x v="1"/>
    </i>
    <i r="1">
      <x v="329"/>
      <x v="1"/>
    </i>
    <i r="1">
      <x v="330"/>
      <x v="1"/>
    </i>
    <i r="1">
      <x v="331"/>
      <x v="1"/>
    </i>
    <i r="1">
      <x v="332"/>
      <x v="1"/>
    </i>
    <i r="1">
      <x v="333"/>
      <x v="1"/>
    </i>
    <i r="1">
      <x v="334"/>
      <x v="1"/>
    </i>
    <i r="1">
      <x v="335"/>
      <x v="1"/>
    </i>
    <i r="1">
      <x v="336"/>
      <x v="1"/>
    </i>
    <i r="1">
      <x v="337"/>
      <x v="1"/>
    </i>
    <i r="1">
      <x v="338"/>
      <x v="1"/>
    </i>
    <i r="1">
      <x v="339"/>
      <x v="1"/>
    </i>
    <i r="1">
      <x v="340"/>
      <x v="1"/>
    </i>
    <i r="1">
      <x v="341"/>
      <x v="1"/>
    </i>
    <i r="1">
      <x v="342"/>
      <x v="1"/>
    </i>
    <i r="1">
      <x v="343"/>
      <x v="1"/>
    </i>
    <i r="1">
      <x v="344"/>
      <x v="1"/>
    </i>
    <i r="1">
      <x v="345"/>
      <x v="1"/>
    </i>
    <i r="1">
      <x v="346"/>
      <x v="1"/>
    </i>
    <i r="1">
      <x v="347"/>
      <x v="1"/>
    </i>
    <i r="1">
      <x v="348"/>
      <x v="1"/>
    </i>
    <i r="1">
      <x v="349"/>
      <x v="1"/>
    </i>
    <i r="1">
      <x v="350"/>
      <x v="1"/>
    </i>
    <i r="1">
      <x v="351"/>
      <x v="1"/>
    </i>
    <i r="1">
      <x v="352"/>
      <x v="1"/>
    </i>
    <i r="1">
      <x v="353"/>
      <x v="1"/>
    </i>
    <i r="1">
      <x v="354"/>
      <x v="1"/>
    </i>
    <i r="1">
      <x v="355"/>
      <x v="1"/>
    </i>
    <i r="1">
      <x v="356"/>
      <x v="1"/>
    </i>
    <i r="1">
      <x v="357"/>
      <x v="1"/>
    </i>
    <i r="1">
      <x v="358"/>
      <x v="1"/>
    </i>
    <i r="1">
      <x v="359"/>
      <x v="1"/>
    </i>
    <i r="1">
      <x v="360"/>
      <x v="1"/>
    </i>
    <i r="1">
      <x v="361"/>
      <x v="1"/>
    </i>
    <i r="1">
      <x v="362"/>
      <x v="1"/>
    </i>
    <i r="1">
      <x v="363"/>
      <x v="1"/>
    </i>
    <i r="1">
      <x v="364"/>
      <x v="1"/>
    </i>
    <i r="1">
      <x v="365"/>
      <x v="1"/>
    </i>
    <i r="1">
      <x v="366"/>
      <x v="1"/>
    </i>
    <i r="1">
      <x v="367"/>
      <x v="1"/>
    </i>
    <i r="1">
      <x v="368"/>
      <x v="1"/>
    </i>
    <i r="1">
      <x v="369"/>
      <x v="1"/>
    </i>
    <i r="1">
      <x v="370"/>
      <x v="1"/>
    </i>
    <i r="1">
      <x v="371"/>
      <x v="1"/>
    </i>
    <i r="1">
      <x v="372"/>
      <x v="1"/>
    </i>
    <i r="1">
      <x v="373"/>
      <x v="1"/>
    </i>
    <i r="1">
      <x v="374"/>
      <x v="1"/>
    </i>
    <i>
      <x v="2"/>
      <x v="125"/>
      <x v="1"/>
    </i>
    <i r="1">
      <x v="126"/>
      <x v="1"/>
    </i>
    <i r="1">
      <x v="127"/>
      <x v="1"/>
    </i>
    <i r="1">
      <x v="128"/>
      <x v="1"/>
    </i>
    <i r="1">
      <x v="129"/>
      <x v="1"/>
    </i>
    <i r="1">
      <x v="130"/>
      <x v="1"/>
    </i>
    <i r="1">
      <x v="131"/>
      <x v="1"/>
    </i>
    <i r="1">
      <x v="132"/>
      <x v="1"/>
    </i>
    <i r="1">
      <x v="133"/>
      <x v="1"/>
    </i>
    <i r="1">
      <x v="134"/>
      <x v="1"/>
    </i>
    <i r="1">
      <x v="135"/>
      <x v="1"/>
    </i>
    <i r="1">
      <x v="136"/>
      <x v="1"/>
    </i>
    <i r="1">
      <x v="137"/>
      <x v="1"/>
    </i>
    <i r="1">
      <x v="138"/>
      <x v="1"/>
    </i>
    <i r="1">
      <x v="139"/>
      <x v="1"/>
    </i>
    <i r="1">
      <x v="140"/>
      <x v="1"/>
    </i>
    <i r="1">
      <x v="141"/>
      <x v="1"/>
    </i>
    <i r="1">
      <x v="142"/>
      <x v="1"/>
    </i>
    <i r="1">
      <x v="143"/>
      <x/>
    </i>
    <i r="1">
      <x v="144"/>
      <x/>
    </i>
    <i r="1">
      <x v="145"/>
      <x/>
    </i>
    <i r="1">
      <x v="146"/>
      <x v="1"/>
    </i>
    <i r="1">
      <x v="147"/>
      <x v="1"/>
    </i>
    <i r="1">
      <x v="148"/>
      <x v="1"/>
    </i>
    <i r="1">
      <x v="149"/>
      <x v="1"/>
    </i>
    <i r="1">
      <x v="150"/>
      <x/>
    </i>
    <i r="1">
      <x v="151"/>
      <x v="1"/>
    </i>
    <i r="1">
      <x v="152"/>
      <x v="1"/>
    </i>
    <i r="1">
      <x v="153"/>
      <x v="1"/>
    </i>
    <i r="1">
      <x v="154"/>
      <x v="1"/>
    </i>
    <i r="1">
      <x v="155"/>
      <x/>
    </i>
    <i r="1">
      <x v="156"/>
      <x/>
    </i>
    <i r="1">
      <x v="157"/>
      <x/>
    </i>
    <i r="1">
      <x v="158"/>
      <x/>
    </i>
    <i r="1">
      <x v="159"/>
      <x v="1"/>
    </i>
    <i r="1">
      <x v="160"/>
      <x v="1"/>
    </i>
    <i r="1">
      <x v="161"/>
      <x v="1"/>
    </i>
    <i r="1">
      <x v="162"/>
      <x v="1"/>
    </i>
    <i r="1">
      <x v="163"/>
      <x v="1"/>
    </i>
    <i r="1">
      <x v="164"/>
      <x v="1"/>
    </i>
    <i r="1">
      <x v="165"/>
      <x v="1"/>
    </i>
    <i r="1">
      <x v="166"/>
      <x v="1"/>
    </i>
    <i r="1">
      <x v="167"/>
      <x v="1"/>
    </i>
    <i r="1">
      <x v="168"/>
      <x v="1"/>
    </i>
    <i r="1">
      <x v="169"/>
      <x v="1"/>
    </i>
    <i r="1">
      <x v="170"/>
      <x v="1"/>
    </i>
    <i r="1">
      <x v="171"/>
      <x v="1"/>
    </i>
    <i r="1">
      <x v="172"/>
      <x v="1"/>
    </i>
    <i r="1">
      <x v="173"/>
      <x v="1"/>
    </i>
    <i r="1">
      <x v="174"/>
      <x v="1"/>
    </i>
    <i r="1">
      <x v="175"/>
      <x v="1"/>
    </i>
    <i r="1">
      <x v="176"/>
      <x v="1"/>
    </i>
    <i r="1">
      <x v="177"/>
      <x v="1"/>
    </i>
    <i r="1">
      <x v="178"/>
      <x v="1"/>
    </i>
    <i r="1">
      <x v="179"/>
      <x v="1"/>
    </i>
    <i r="1">
      <x v="180"/>
      <x v="1"/>
    </i>
    <i r="1">
      <x v="181"/>
      <x v="1"/>
    </i>
    <i r="1">
      <x v="182"/>
      <x/>
    </i>
    <i r="1">
      <x v="183"/>
      <x v="1"/>
    </i>
    <i r="1">
      <x v="184"/>
      <x v="1"/>
    </i>
    <i r="1">
      <x v="185"/>
      <x v="1"/>
    </i>
    <i r="1">
      <x v="186"/>
      <x v="1"/>
    </i>
    <i r="1">
      <x v="187"/>
      <x v="1"/>
    </i>
    <i r="1">
      <x v="188"/>
      <x v="1"/>
    </i>
    <i r="1">
      <x v="189"/>
      <x v="1"/>
    </i>
    <i r="1">
      <x v="190"/>
      <x v="1"/>
    </i>
    <i r="1">
      <x v="191"/>
      <x v="1"/>
    </i>
    <i r="1">
      <x v="192"/>
      <x v="1"/>
    </i>
    <i r="1">
      <x v="193"/>
      <x v="1"/>
    </i>
    <i r="1">
      <x v="194"/>
      <x v="1"/>
    </i>
    <i r="1">
      <x v="195"/>
      <x v="1"/>
    </i>
    <i r="1">
      <x v="196"/>
      <x v="1"/>
    </i>
    <i r="1">
      <x v="197"/>
      <x v="1"/>
    </i>
    <i r="1">
      <x v="198"/>
      <x v="1"/>
    </i>
    <i r="1">
      <x v="199"/>
      <x v="1"/>
    </i>
    <i r="1">
      <x v="200"/>
      <x v="1"/>
    </i>
    <i r="1">
      <x v="201"/>
      <x v="1"/>
    </i>
    <i r="1">
      <x v="202"/>
      <x v="1"/>
    </i>
    <i r="1">
      <x v="203"/>
      <x v="1"/>
    </i>
    <i r="1">
      <x v="204"/>
      <x v="1"/>
    </i>
    <i r="1">
      <x v="205"/>
      <x v="1"/>
    </i>
    <i r="1">
      <x v="206"/>
      <x v="1"/>
    </i>
    <i r="1">
      <x v="207"/>
      <x v="1"/>
    </i>
    <i r="1">
      <x v="208"/>
      <x v="1"/>
    </i>
    <i r="1">
      <x v="209"/>
      <x v="1"/>
    </i>
    <i r="1">
      <x v="210"/>
      <x v="1"/>
    </i>
    <i r="1">
      <x v="211"/>
      <x v="1"/>
    </i>
    <i r="1">
      <x v="212"/>
      <x v="1"/>
    </i>
    <i r="1">
      <x v="213"/>
      <x v="1"/>
    </i>
    <i r="1">
      <x v="214"/>
      <x v="1"/>
    </i>
    <i r="1">
      <x v="215"/>
      <x v="1"/>
    </i>
    <i r="1">
      <x v="216"/>
      <x v="1"/>
    </i>
    <i r="1">
      <x v="217"/>
      <x v="1"/>
    </i>
    <i r="1">
      <x v="218"/>
      <x v="1"/>
    </i>
    <i r="1">
      <x v="219"/>
      <x v="1"/>
    </i>
    <i r="1">
      <x v="220"/>
      <x v="1"/>
    </i>
    <i r="1">
      <x v="221"/>
      <x v="1"/>
    </i>
    <i r="1">
      <x v="222"/>
      <x v="1"/>
    </i>
    <i r="1">
      <x v="223"/>
      <x v="1"/>
    </i>
    <i r="1">
      <x v="224"/>
      <x v="1"/>
    </i>
    <i r="1">
      <x v="225"/>
      <x v="1"/>
    </i>
    <i r="1">
      <x v="226"/>
      <x v="1"/>
    </i>
    <i r="1">
      <x v="227"/>
      <x v="1"/>
    </i>
    <i r="1">
      <x v="228"/>
      <x v="1"/>
    </i>
    <i r="1">
      <x v="229"/>
      <x v="1"/>
    </i>
    <i r="1">
      <x v="230"/>
      <x v="1"/>
    </i>
    <i r="1">
      <x v="231"/>
      <x v="1"/>
    </i>
    <i r="1">
      <x v="232"/>
      <x v="1"/>
    </i>
    <i r="1">
      <x v="233"/>
      <x v="1"/>
    </i>
    <i r="1">
      <x v="234"/>
      <x v="1"/>
    </i>
    <i r="1">
      <x v="235"/>
      <x v="1"/>
    </i>
    <i r="1">
      <x v="236"/>
      <x v="1"/>
    </i>
    <i r="1">
      <x v="237"/>
      <x v="1"/>
    </i>
    <i r="1">
      <x v="238"/>
      <x v="1"/>
    </i>
    <i r="1">
      <x v="239"/>
      <x v="1"/>
    </i>
    <i r="1">
      <x v="240"/>
      <x v="1"/>
    </i>
    <i r="1">
      <x v="241"/>
      <x v="1"/>
    </i>
    <i r="1">
      <x v="242"/>
      <x v="1"/>
    </i>
    <i r="1">
      <x v="243"/>
      <x v="1"/>
    </i>
    <i r="1">
      <x v="244"/>
      <x v="1"/>
    </i>
    <i r="1">
      <x v="245"/>
      <x v="1"/>
    </i>
    <i r="1">
      <x v="246"/>
      <x v="1"/>
    </i>
    <i r="1">
      <x v="247"/>
      <x v="1"/>
    </i>
    <i r="1">
      <x v="248"/>
      <x v="1"/>
    </i>
    <i r="1">
      <x v="249"/>
      <x v="1"/>
    </i>
    <i t="grand">
      <x/>
    </i>
  </rowItems>
  <colFields count="2">
    <field x="0"/>
    <field x="-2"/>
  </colFields>
  <colItems count="3">
    <i>
      <x/>
      <x/>
    </i>
    <i r="1" i="1">
      <x v="1"/>
    </i>
    <i r="1" i="2">
      <x v="2"/>
    </i>
  </colItems>
  <dataFields count="3">
    <dataField name="Suma de Area" fld="3" baseField="0" baseItem="0"/>
    <dataField name="Suma de Precio Lista" fld="7" baseField="0" baseItem="0"/>
    <dataField name="Suma de Precio Venta Sin Parq#" fld="6" baseField="0" baseItem="0"/>
  </dataFields>
  <formats count="5">
    <format dxfId="220">
      <pivotArea outline="0" fieldPosition="0">
        <references count="2">
          <reference field="4294967294" count="2" selected="0">
            <x v="1"/>
            <x v="2"/>
          </reference>
          <reference field="0" count="0" selected="0"/>
        </references>
      </pivotArea>
    </format>
    <format dxfId="219">
      <pivotArea field="1" type="button" dataOnly="0" labelOnly="1" outline="0" axis="axisRow" fieldPosition="0"/>
    </format>
    <format dxfId="218">
      <pivotArea field="2" type="button" dataOnly="0" labelOnly="1" outline="0" axis="axisRow" fieldPosition="1"/>
    </format>
    <format dxfId="217">
      <pivotArea field="4" type="button" dataOnly="0" labelOnly="1" outline="0" axis="axisRow" fieldPosition="2"/>
    </format>
    <format dxfId="216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0" count="0" selected="0"/>
        </references>
      </pivotArea>
    </format>
  </formats>
  <pivotTableStyleInfo name="PivotStyleLight8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EA70FA-58D6-4A28-B3B9-3A101CDCC676}" name="TablaDinámica6" cacheId="14" applyNumberFormats="0" applyBorderFormats="0" applyFontFormats="0" applyPatternFormats="0" applyAlignmentFormats="0" applyWidthHeightFormats="1" dataCaption="Valores" updatedVersion="8" minRefreshableVersion="3" useAutoFormatting="1" colGrandTotals="0" itemPrintTitles="1" mergeItem="1" createdVersion="8" indent="0" compact="0" compactData="0" fieldListSortAscending="1">
  <location ref="A20:F382" firstHeaderRow="1" firstDataRow="3" firstDataCol="3"/>
  <pivotFields count="8">
    <pivotField axis="axisCol" compact="0" outline="0" showAll="0" defaultSubtotal="0">
      <items count="1">
        <item x="0"/>
      </items>
    </pivotField>
    <pivotField axis="axisRow" compact="0" outline="0" showAll="0" defaultSubtotal="0">
      <items count="3">
        <item x="0"/>
        <item x="1"/>
        <item x="2"/>
      </items>
    </pivotField>
    <pivotField axis="axisRow" compact="0" outline="0" showAll="0" defaultSubtotal="0">
      <items count="35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</items>
    </pivotField>
    <pivotField dataField="1" compact="0" outline="0" showAll="0" defaultSubtotal="0"/>
    <pivotField axis="axisRow" compact="0" outline="0" showAll="0" defaultSubtotal="0">
      <items count="2">
        <item x="1"/>
        <item x="0"/>
      </items>
    </pivotField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3">
    <field x="1"/>
    <field x="2"/>
    <field x="4"/>
  </rowFields>
  <rowItems count="360">
    <i>
      <x/>
      <x/>
      <x v="1"/>
    </i>
    <i r="1">
      <x v="1"/>
      <x v="1"/>
    </i>
    <i r="1">
      <x v="2"/>
      <x v="1"/>
    </i>
    <i r="1">
      <x v="3"/>
      <x v="1"/>
    </i>
    <i r="1">
      <x v="4"/>
      <x v="1"/>
    </i>
    <i r="1">
      <x v="5"/>
      <x v="1"/>
    </i>
    <i r="1">
      <x v="6"/>
      <x v="1"/>
    </i>
    <i r="1">
      <x v="7"/>
      <x v="1"/>
    </i>
    <i r="1">
      <x v="8"/>
      <x v="1"/>
    </i>
    <i r="1">
      <x v="9"/>
      <x v="1"/>
    </i>
    <i r="1">
      <x v="10"/>
      <x v="1"/>
    </i>
    <i r="1">
      <x v="11"/>
      <x v="1"/>
    </i>
    <i r="1">
      <x v="12"/>
      <x v="1"/>
    </i>
    <i r="1">
      <x v="13"/>
      <x v="1"/>
    </i>
    <i r="1">
      <x v="14"/>
      <x v="1"/>
    </i>
    <i r="1">
      <x v="15"/>
      <x v="1"/>
    </i>
    <i r="1">
      <x v="16"/>
      <x v="1"/>
    </i>
    <i r="1">
      <x v="17"/>
      <x v="1"/>
    </i>
    <i r="1">
      <x v="18"/>
      <x v="1"/>
    </i>
    <i r="1">
      <x v="19"/>
      <x v="1"/>
    </i>
    <i r="1">
      <x v="20"/>
      <x v="1"/>
    </i>
    <i r="1">
      <x v="21"/>
      <x v="1"/>
    </i>
    <i r="1">
      <x v="22"/>
      <x v="1"/>
    </i>
    <i r="1">
      <x v="23"/>
      <x v="1"/>
    </i>
    <i r="1">
      <x v="24"/>
      <x v="1"/>
    </i>
    <i r="1">
      <x v="25"/>
      <x v="1"/>
    </i>
    <i r="1">
      <x v="26"/>
      <x v="1"/>
    </i>
    <i r="1">
      <x v="27"/>
      <x v="1"/>
    </i>
    <i r="1">
      <x v="28"/>
      <x v="1"/>
    </i>
    <i r="1">
      <x v="29"/>
      <x v="1"/>
    </i>
    <i r="1">
      <x v="30"/>
      <x v="1"/>
    </i>
    <i r="1">
      <x v="31"/>
      <x v="1"/>
    </i>
    <i r="1">
      <x v="32"/>
      <x v="1"/>
    </i>
    <i r="1">
      <x v="33"/>
      <x v="1"/>
    </i>
    <i r="1">
      <x v="34"/>
      <x v="1"/>
    </i>
    <i r="1">
      <x v="35"/>
      <x v="1"/>
    </i>
    <i r="1">
      <x v="36"/>
      <x v="1"/>
    </i>
    <i r="1">
      <x v="37"/>
      <x v="1"/>
    </i>
    <i r="1">
      <x v="38"/>
      <x v="1"/>
    </i>
    <i r="1">
      <x v="39"/>
      <x v="1"/>
    </i>
    <i r="1">
      <x v="40"/>
      <x v="1"/>
    </i>
    <i r="1">
      <x v="41"/>
      <x v="1"/>
    </i>
    <i r="1">
      <x v="42"/>
      <x v="1"/>
    </i>
    <i r="1">
      <x v="43"/>
      <x v="1"/>
    </i>
    <i r="1">
      <x v="44"/>
      <x v="1"/>
    </i>
    <i r="1">
      <x v="45"/>
      <x v="1"/>
    </i>
    <i r="1">
      <x v="46"/>
      <x v="1"/>
    </i>
    <i r="1">
      <x v="47"/>
      <x v="1"/>
    </i>
    <i r="1">
      <x v="48"/>
      <x v="1"/>
    </i>
    <i r="1">
      <x v="49"/>
      <x v="1"/>
    </i>
    <i r="1">
      <x v="50"/>
      <x v="1"/>
    </i>
    <i r="1">
      <x v="51"/>
      <x v="1"/>
    </i>
    <i r="1">
      <x v="52"/>
      <x v="1"/>
    </i>
    <i r="1">
      <x v="53"/>
      <x v="1"/>
    </i>
    <i r="1">
      <x v="54"/>
      <x v="1"/>
    </i>
    <i r="1">
      <x v="55"/>
      <x v="1"/>
    </i>
    <i r="1">
      <x v="56"/>
      <x v="1"/>
    </i>
    <i r="1">
      <x v="57"/>
      <x v="1"/>
    </i>
    <i r="1">
      <x v="58"/>
      <x v="1"/>
    </i>
    <i r="1">
      <x v="59"/>
      <x v="1"/>
    </i>
    <i r="1">
      <x v="60"/>
      <x v="1"/>
    </i>
    <i r="1">
      <x v="61"/>
      <x v="1"/>
    </i>
    <i r="1">
      <x v="62"/>
      <x v="1"/>
    </i>
    <i r="1">
      <x v="63"/>
      <x v="1"/>
    </i>
    <i r="1">
      <x v="64"/>
      <x v="1"/>
    </i>
    <i r="1">
      <x v="65"/>
      <x v="1"/>
    </i>
    <i r="1">
      <x v="66"/>
      <x v="1"/>
    </i>
    <i r="1">
      <x v="67"/>
      <x v="1"/>
    </i>
    <i r="1">
      <x v="68"/>
      <x v="1"/>
    </i>
    <i r="1">
      <x v="69"/>
      <x v="1"/>
    </i>
    <i r="1">
      <x v="70"/>
      <x v="1"/>
    </i>
    <i r="1">
      <x v="71"/>
      <x v="1"/>
    </i>
    <i r="1">
      <x v="72"/>
      <x v="1"/>
    </i>
    <i r="1">
      <x v="73"/>
      <x v="1"/>
    </i>
    <i r="1">
      <x v="74"/>
      <x v="1"/>
    </i>
    <i r="1">
      <x v="75"/>
      <x v="1"/>
    </i>
    <i r="1">
      <x v="76"/>
      <x v="1"/>
    </i>
    <i r="1">
      <x v="77"/>
      <x v="1"/>
    </i>
    <i r="1">
      <x v="78"/>
      <x v="1"/>
    </i>
    <i r="1">
      <x v="79"/>
      <x v="1"/>
    </i>
    <i r="1">
      <x v="80"/>
      <x v="1"/>
    </i>
    <i r="1">
      <x v="81"/>
      <x v="1"/>
    </i>
    <i r="1">
      <x v="82"/>
      <x v="1"/>
    </i>
    <i r="1">
      <x v="83"/>
      <x v="1"/>
    </i>
    <i r="1">
      <x v="84"/>
      <x v="1"/>
    </i>
    <i r="1">
      <x v="85"/>
      <x v="1"/>
    </i>
    <i r="1">
      <x v="86"/>
      <x v="1"/>
    </i>
    <i r="1">
      <x v="87"/>
      <x v="1"/>
    </i>
    <i r="1">
      <x v="88"/>
      <x v="1"/>
    </i>
    <i r="1">
      <x v="89"/>
      <x v="1"/>
    </i>
    <i r="1">
      <x v="90"/>
      <x v="1"/>
    </i>
    <i r="1">
      <x v="91"/>
      <x v="1"/>
    </i>
    <i r="1">
      <x v="92"/>
      <x v="1"/>
    </i>
    <i r="1">
      <x v="93"/>
      <x v="1"/>
    </i>
    <i r="1">
      <x v="94"/>
      <x v="1"/>
    </i>
    <i r="1">
      <x v="95"/>
      <x v="1"/>
    </i>
    <i r="1">
      <x v="96"/>
      <x v="1"/>
    </i>
    <i r="1">
      <x v="97"/>
      <x v="1"/>
    </i>
    <i r="1">
      <x v="98"/>
      <x v="1"/>
    </i>
    <i r="1">
      <x v="99"/>
      <x v="1"/>
    </i>
    <i r="1">
      <x v="100"/>
      <x v="1"/>
    </i>
    <i r="1">
      <x v="101"/>
      <x v="1"/>
    </i>
    <i r="1">
      <x v="102"/>
      <x v="1"/>
    </i>
    <i r="1">
      <x v="103"/>
      <x v="1"/>
    </i>
    <i r="1">
      <x v="104"/>
      <x v="1"/>
    </i>
    <i r="1">
      <x v="105"/>
      <x v="1"/>
    </i>
    <i r="1">
      <x v="106"/>
      <x v="1"/>
    </i>
    <i r="1">
      <x v="107"/>
      <x v="1"/>
    </i>
    <i r="1">
      <x v="108"/>
      <x v="1"/>
    </i>
    <i r="1">
      <x v="109"/>
      <x v="1"/>
    </i>
    <i r="1">
      <x v="110"/>
      <x v="1"/>
    </i>
    <i r="1">
      <x v="111"/>
      <x v="1"/>
    </i>
    <i r="1">
      <x v="112"/>
      <x v="1"/>
    </i>
    <i r="1">
      <x v="113"/>
      <x v="1"/>
    </i>
    <i r="1">
      <x v="114"/>
      <x v="1"/>
    </i>
    <i r="1">
      <x v="115"/>
      <x v="1"/>
    </i>
    <i r="1">
      <x v="116"/>
      <x v="1"/>
    </i>
    <i r="1">
      <x v="117"/>
      <x v="1"/>
    </i>
    <i r="1">
      <x v="118"/>
      <x v="1"/>
    </i>
    <i r="1">
      <x v="119"/>
      <x v="1"/>
    </i>
    <i r="1">
      <x v="120"/>
      <x v="1"/>
    </i>
    <i r="1">
      <x v="121"/>
      <x v="1"/>
    </i>
    <i r="1">
      <x v="122"/>
      <x v="1"/>
    </i>
    <i r="1">
      <x v="123"/>
      <x v="1"/>
    </i>
    <i r="1">
      <x v="124"/>
      <x v="1"/>
    </i>
    <i r="1">
      <x v="125"/>
      <x v="1"/>
    </i>
    <i r="1">
      <x v="126"/>
      <x v="1"/>
    </i>
    <i r="1">
      <x v="127"/>
      <x v="1"/>
    </i>
    <i r="1">
      <x v="128"/>
      <x v="1"/>
    </i>
    <i r="1">
      <x v="129"/>
      <x v="1"/>
    </i>
    <i r="1">
      <x v="130"/>
      <x v="1"/>
    </i>
    <i r="1">
      <x v="131"/>
      <x v="1"/>
    </i>
    <i r="1">
      <x v="132"/>
      <x v="1"/>
    </i>
    <i r="1">
      <x v="133"/>
      <x v="1"/>
    </i>
    <i r="1">
      <x v="134"/>
      <x v="1"/>
    </i>
    <i r="1">
      <x v="135"/>
      <x v="1"/>
    </i>
    <i r="1">
      <x v="136"/>
      <x v="1"/>
    </i>
    <i r="1">
      <x v="137"/>
      <x v="1"/>
    </i>
    <i r="1">
      <x v="138"/>
      <x v="1"/>
    </i>
    <i r="1">
      <x v="139"/>
      <x v="1"/>
    </i>
    <i r="1">
      <x v="140"/>
      <x v="1"/>
    </i>
    <i r="1">
      <x v="141"/>
      <x v="1"/>
    </i>
    <i r="1">
      <x v="142"/>
      <x v="1"/>
    </i>
    <i r="1">
      <x v="143"/>
      <x v="1"/>
    </i>
    <i r="1">
      <x v="144"/>
      <x v="1"/>
    </i>
    <i r="1">
      <x v="145"/>
      <x v="1"/>
    </i>
    <i r="1">
      <x v="146"/>
      <x v="1"/>
    </i>
    <i r="1">
      <x v="147"/>
      <x v="1"/>
    </i>
    <i r="1">
      <x v="148"/>
      <x v="1"/>
    </i>
    <i>
      <x v="1"/>
      <x v="149"/>
      <x v="1"/>
    </i>
    <i r="1">
      <x v="150"/>
      <x v="1"/>
    </i>
    <i r="1">
      <x v="151"/>
      <x v="1"/>
    </i>
    <i r="1">
      <x v="152"/>
      <x v="1"/>
    </i>
    <i r="1">
      <x v="153"/>
      <x v="1"/>
    </i>
    <i r="1">
      <x v="154"/>
      <x v="1"/>
    </i>
    <i r="1">
      <x v="155"/>
      <x v="1"/>
    </i>
    <i r="1">
      <x v="156"/>
      <x v="1"/>
    </i>
    <i r="1">
      <x v="157"/>
      <x v="1"/>
    </i>
    <i r="1">
      <x v="158"/>
      <x v="1"/>
    </i>
    <i r="1">
      <x v="159"/>
      <x v="1"/>
    </i>
    <i r="1">
      <x v="160"/>
      <x v="1"/>
    </i>
    <i r="1">
      <x v="161"/>
      <x v="1"/>
    </i>
    <i r="1">
      <x v="162"/>
      <x v="1"/>
    </i>
    <i r="1">
      <x v="163"/>
      <x v="1"/>
    </i>
    <i r="1">
      <x v="164"/>
      <x v="1"/>
    </i>
    <i r="1">
      <x v="165"/>
      <x v="1"/>
    </i>
    <i r="1">
      <x v="166"/>
      <x v="1"/>
    </i>
    <i r="1">
      <x v="167"/>
      <x v="1"/>
    </i>
    <i r="1">
      <x v="168"/>
      <x v="1"/>
    </i>
    <i r="1">
      <x v="169"/>
      <x v="1"/>
    </i>
    <i r="1">
      <x v="170"/>
      <x v="1"/>
    </i>
    <i r="1">
      <x v="171"/>
      <x v="1"/>
    </i>
    <i r="1">
      <x v="172"/>
      <x v="1"/>
    </i>
    <i r="1">
      <x v="173"/>
      <x v="1"/>
    </i>
    <i r="1">
      <x v="174"/>
      <x v="1"/>
    </i>
    <i r="1">
      <x v="175"/>
      <x v="1"/>
    </i>
    <i r="1">
      <x v="176"/>
      <x v="1"/>
    </i>
    <i r="1">
      <x v="177"/>
      <x v="1"/>
    </i>
    <i r="1">
      <x v="178"/>
      <x v="1"/>
    </i>
    <i r="1">
      <x v="179"/>
      <x v="1"/>
    </i>
    <i r="1">
      <x v="180"/>
      <x v="1"/>
    </i>
    <i r="1">
      <x v="181"/>
      <x v="1"/>
    </i>
    <i r="1">
      <x v="182"/>
      <x v="1"/>
    </i>
    <i r="1">
      <x v="183"/>
      <x v="1"/>
    </i>
    <i r="1">
      <x v="184"/>
      <x v="1"/>
    </i>
    <i r="1">
      <x v="185"/>
      <x v="1"/>
    </i>
    <i r="1">
      <x v="186"/>
      <x v="1"/>
    </i>
    <i r="1">
      <x v="187"/>
      <x v="1"/>
    </i>
    <i r="1">
      <x v="188"/>
      <x v="1"/>
    </i>
    <i r="1">
      <x v="189"/>
      <x v="1"/>
    </i>
    <i r="1">
      <x v="190"/>
      <x v="1"/>
    </i>
    <i r="1">
      <x v="191"/>
      <x v="1"/>
    </i>
    <i r="1">
      <x v="192"/>
      <x v="1"/>
    </i>
    <i r="1">
      <x v="193"/>
      <x v="1"/>
    </i>
    <i r="1">
      <x v="194"/>
      <x v="1"/>
    </i>
    <i r="1">
      <x v="195"/>
      <x v="1"/>
    </i>
    <i r="1">
      <x v="196"/>
      <x v="1"/>
    </i>
    <i r="1">
      <x v="197"/>
      <x v="1"/>
    </i>
    <i r="1">
      <x v="198"/>
      <x v="1"/>
    </i>
    <i r="1">
      <x v="199"/>
      <x v="1"/>
    </i>
    <i r="1">
      <x v="200"/>
      <x v="1"/>
    </i>
    <i r="1">
      <x v="201"/>
      <x v="1"/>
    </i>
    <i r="1">
      <x v="202"/>
      <x v="1"/>
    </i>
    <i r="1">
      <x v="203"/>
      <x v="1"/>
    </i>
    <i r="1">
      <x v="204"/>
      <x v="1"/>
    </i>
    <i r="1">
      <x v="205"/>
      <x v="1"/>
    </i>
    <i r="1">
      <x v="206"/>
      <x v="1"/>
    </i>
    <i r="1">
      <x v="207"/>
      <x v="1"/>
    </i>
    <i r="1">
      <x v="208"/>
      <x v="1"/>
    </i>
    <i r="1">
      <x v="209"/>
      <x v="1"/>
    </i>
    <i r="1">
      <x v="210"/>
      <x v="1"/>
    </i>
    <i r="1">
      <x v="211"/>
      <x v="1"/>
    </i>
    <i r="1">
      <x v="212"/>
      <x v="1"/>
    </i>
    <i r="1">
      <x v="213"/>
      <x v="1"/>
    </i>
    <i r="1">
      <x v="214"/>
      <x v="1"/>
    </i>
    <i r="1">
      <x v="215"/>
      <x v="1"/>
    </i>
    <i r="1">
      <x v="216"/>
      <x v="1"/>
    </i>
    <i r="1">
      <x v="217"/>
      <x v="1"/>
    </i>
    <i r="1">
      <x v="218"/>
      <x v="1"/>
    </i>
    <i r="1">
      <x v="219"/>
      <x v="1"/>
    </i>
    <i r="1">
      <x v="220"/>
      <x v="1"/>
    </i>
    <i r="1">
      <x v="221"/>
      <x v="1"/>
    </i>
    <i r="1">
      <x v="222"/>
      <x v="1"/>
    </i>
    <i r="1">
      <x v="223"/>
      <x v="1"/>
    </i>
    <i r="1">
      <x v="224"/>
      <x v="1"/>
    </i>
    <i r="1">
      <x v="225"/>
      <x v="1"/>
    </i>
    <i r="1">
      <x v="226"/>
      <x v="1"/>
    </i>
    <i r="1">
      <x v="227"/>
      <x v="1"/>
    </i>
    <i r="1">
      <x v="228"/>
      <x v="1"/>
    </i>
    <i r="1">
      <x v="229"/>
      <x v="1"/>
    </i>
    <i r="1">
      <x v="230"/>
      <x v="1"/>
    </i>
    <i r="1">
      <x v="231"/>
      <x v="1"/>
    </i>
    <i r="1">
      <x v="232"/>
      <x v="1"/>
    </i>
    <i r="1">
      <x v="233"/>
      <x v="1"/>
    </i>
    <i r="1">
      <x v="234"/>
      <x v="1"/>
    </i>
    <i r="1">
      <x v="235"/>
      <x v="1"/>
    </i>
    <i r="1">
      <x v="236"/>
      <x v="1"/>
    </i>
    <i r="1">
      <x v="237"/>
      <x v="1"/>
    </i>
    <i r="1">
      <x v="238"/>
      <x v="1"/>
    </i>
    <i r="1">
      <x v="239"/>
      <x v="1"/>
    </i>
    <i r="1">
      <x v="240"/>
      <x v="1"/>
    </i>
    <i r="1">
      <x v="241"/>
      <x v="1"/>
    </i>
    <i r="1">
      <x v="242"/>
      <x v="1"/>
    </i>
    <i r="1">
      <x v="243"/>
      <x v="1"/>
    </i>
    <i r="1">
      <x v="244"/>
      <x v="1"/>
    </i>
    <i r="1">
      <x v="245"/>
      <x v="1"/>
    </i>
    <i r="1">
      <x v="246"/>
      <x v="1"/>
    </i>
    <i r="1">
      <x v="247"/>
      <x v="1"/>
    </i>
    <i r="1">
      <x v="248"/>
      <x v="1"/>
    </i>
    <i r="1">
      <x v="249"/>
      <x v="1"/>
    </i>
    <i r="1">
      <x v="250"/>
      <x v="1"/>
    </i>
    <i r="1">
      <x v="251"/>
      <x v="1"/>
    </i>
    <i r="1">
      <x v="252"/>
      <x v="1"/>
    </i>
    <i r="1">
      <x v="253"/>
      <x v="1"/>
    </i>
    <i r="1">
      <x v="254"/>
      <x v="1"/>
    </i>
    <i r="1">
      <x v="255"/>
      <x v="1"/>
    </i>
    <i r="1">
      <x v="256"/>
      <x/>
    </i>
    <i r="1">
      <x v="257"/>
      <x v="1"/>
    </i>
    <i r="1">
      <x v="258"/>
      <x v="1"/>
    </i>
    <i r="1">
      <x v="259"/>
      <x v="1"/>
    </i>
    <i r="1">
      <x v="260"/>
      <x v="1"/>
    </i>
    <i r="1">
      <x v="261"/>
      <x v="1"/>
    </i>
    <i r="1">
      <x v="262"/>
      <x v="1"/>
    </i>
    <i r="1">
      <x v="263"/>
      <x v="1"/>
    </i>
    <i r="1">
      <x v="264"/>
      <x v="1"/>
    </i>
    <i r="1">
      <x v="265"/>
      <x v="1"/>
    </i>
    <i r="1">
      <x v="266"/>
      <x v="1"/>
    </i>
    <i r="1">
      <x v="267"/>
      <x v="1"/>
    </i>
    <i r="1">
      <x v="268"/>
      <x v="1"/>
    </i>
    <i r="1">
      <x v="269"/>
      <x v="1"/>
    </i>
    <i r="1">
      <x v="270"/>
      <x/>
    </i>
    <i r="1">
      <x v="271"/>
      <x v="1"/>
    </i>
    <i r="1">
      <x v="272"/>
      <x v="1"/>
    </i>
    <i r="1">
      <x v="273"/>
      <x v="1"/>
    </i>
    <i r="1">
      <x v="274"/>
      <x v="1"/>
    </i>
    <i r="1">
      <x v="275"/>
      <x v="1"/>
    </i>
    <i r="1">
      <x v="276"/>
      <x v="1"/>
    </i>
    <i r="1">
      <x v="277"/>
      <x v="1"/>
    </i>
    <i r="1">
      <x v="278"/>
      <x v="1"/>
    </i>
    <i r="1">
      <x v="279"/>
      <x v="1"/>
    </i>
    <i r="1">
      <x v="280"/>
      <x v="1"/>
    </i>
    <i r="1">
      <x v="281"/>
      <x v="1"/>
    </i>
    <i r="1">
      <x v="282"/>
      <x v="1"/>
    </i>
    <i r="1">
      <x v="283"/>
      <x v="1"/>
    </i>
    <i r="1">
      <x v="284"/>
      <x v="1"/>
    </i>
    <i r="1">
      <x v="285"/>
      <x/>
    </i>
    <i r="1">
      <x v="286"/>
      <x v="1"/>
    </i>
    <i r="1">
      <x v="287"/>
      <x v="1"/>
    </i>
    <i r="1">
      <x v="288"/>
      <x v="1"/>
    </i>
    <i r="1">
      <x v="289"/>
      <x v="1"/>
    </i>
    <i r="1">
      <x v="290"/>
      <x v="1"/>
    </i>
    <i r="1">
      <x v="291"/>
      <x v="1"/>
    </i>
    <i r="1">
      <x v="292"/>
      <x v="1"/>
    </i>
    <i r="1">
      <x v="293"/>
      <x v="1"/>
    </i>
    <i r="1">
      <x v="294"/>
      <x v="1"/>
    </i>
    <i r="1">
      <x v="295"/>
      <x v="1"/>
    </i>
    <i r="1">
      <x v="296"/>
      <x v="1"/>
    </i>
    <i r="1">
      <x v="297"/>
      <x v="1"/>
    </i>
    <i r="1">
      <x v="298"/>
      <x v="1"/>
    </i>
    <i r="1">
      <x v="299"/>
      <x v="1"/>
    </i>
    <i r="1">
      <x v="300"/>
      <x v="1"/>
    </i>
    <i>
      <x v="2"/>
      <x v="301"/>
      <x v="1"/>
    </i>
    <i r="1">
      <x v="302"/>
      <x v="1"/>
    </i>
    <i r="1">
      <x v="303"/>
      <x v="1"/>
    </i>
    <i r="1">
      <x v="304"/>
      <x v="1"/>
    </i>
    <i r="1">
      <x v="305"/>
      <x v="1"/>
    </i>
    <i r="1">
      <x v="306"/>
      <x v="1"/>
    </i>
    <i r="1">
      <x v="307"/>
      <x v="1"/>
    </i>
    <i r="1">
      <x v="308"/>
      <x v="1"/>
    </i>
    <i r="1">
      <x v="309"/>
      <x v="1"/>
    </i>
    <i r="1">
      <x v="310"/>
      <x v="1"/>
    </i>
    <i r="1">
      <x v="311"/>
      <x v="1"/>
    </i>
    <i r="1">
      <x v="312"/>
      <x v="1"/>
    </i>
    <i r="1">
      <x v="313"/>
      <x v="1"/>
    </i>
    <i r="1">
      <x v="314"/>
      <x v="1"/>
    </i>
    <i r="1">
      <x v="315"/>
      <x v="1"/>
    </i>
    <i r="1">
      <x v="316"/>
      <x v="1"/>
    </i>
    <i r="1">
      <x v="317"/>
      <x v="1"/>
    </i>
    <i r="1">
      <x v="318"/>
      <x v="1"/>
    </i>
    <i r="1">
      <x v="319"/>
      <x v="1"/>
    </i>
    <i r="1">
      <x v="320"/>
      <x v="1"/>
    </i>
    <i r="1">
      <x v="321"/>
      <x v="1"/>
    </i>
    <i r="1">
      <x v="322"/>
      <x v="1"/>
    </i>
    <i r="1">
      <x v="323"/>
      <x v="1"/>
    </i>
    <i r="1">
      <x v="324"/>
      <x v="1"/>
    </i>
    <i r="1">
      <x v="325"/>
      <x v="1"/>
    </i>
    <i r="1">
      <x v="326"/>
      <x v="1"/>
    </i>
    <i r="1">
      <x v="327"/>
      <x v="1"/>
    </i>
    <i r="1">
      <x v="328"/>
      <x v="1"/>
    </i>
    <i r="1">
      <x v="329"/>
      <x v="1"/>
    </i>
    <i r="1">
      <x v="330"/>
      <x v="1"/>
    </i>
    <i r="1">
      <x v="331"/>
      <x v="1"/>
    </i>
    <i r="1">
      <x v="332"/>
      <x v="1"/>
    </i>
    <i r="1">
      <x v="333"/>
      <x v="1"/>
    </i>
    <i r="1">
      <x v="334"/>
      <x v="1"/>
    </i>
    <i r="1">
      <x v="335"/>
      <x v="1"/>
    </i>
    <i r="1">
      <x v="336"/>
      <x/>
    </i>
    <i r="1">
      <x v="337"/>
      <x/>
    </i>
    <i r="1">
      <x v="338"/>
      <x v="1"/>
    </i>
    <i r="1">
      <x v="339"/>
      <x v="1"/>
    </i>
    <i r="1">
      <x v="340"/>
      <x v="1"/>
    </i>
    <i r="1">
      <x v="341"/>
      <x v="1"/>
    </i>
    <i r="1">
      <x v="342"/>
      <x v="1"/>
    </i>
    <i r="1">
      <x v="343"/>
      <x v="1"/>
    </i>
    <i r="1">
      <x v="344"/>
      <x v="1"/>
    </i>
    <i r="1">
      <x v="345"/>
      <x v="1"/>
    </i>
    <i r="1">
      <x v="346"/>
      <x v="1"/>
    </i>
    <i r="1">
      <x v="347"/>
      <x v="1"/>
    </i>
    <i r="1">
      <x v="348"/>
      <x v="1"/>
    </i>
    <i r="1">
      <x v="349"/>
      <x v="1"/>
    </i>
    <i r="1">
      <x v="350"/>
      <x v="1"/>
    </i>
    <i r="1">
      <x v="351"/>
      <x v="1"/>
    </i>
    <i r="1">
      <x v="352"/>
      <x v="1"/>
    </i>
    <i r="1">
      <x v="353"/>
      <x v="1"/>
    </i>
    <i r="1">
      <x v="354"/>
      <x v="1"/>
    </i>
    <i r="1">
      <x v="355"/>
      <x v="1"/>
    </i>
    <i r="1">
      <x v="356"/>
      <x v="1"/>
    </i>
    <i r="1">
      <x v="357"/>
      <x v="1"/>
    </i>
    <i r="1">
      <x v="358"/>
      <x v="1"/>
    </i>
    <i t="grand">
      <x/>
    </i>
  </rowItems>
  <colFields count="2">
    <field x="0"/>
    <field x="-2"/>
  </colFields>
  <colItems count="3">
    <i>
      <x/>
      <x/>
    </i>
    <i r="1" i="1">
      <x v="1"/>
    </i>
    <i r="1" i="2">
      <x v="2"/>
    </i>
  </colItems>
  <dataFields count="3">
    <dataField name="Suma de Area" fld="3" baseField="0" baseItem="0"/>
    <dataField name="Suma de Precio Lista" fld="7" baseField="0" baseItem="0"/>
    <dataField name="Suma de Precio Venta Sin Parq#" fld="6" baseField="0" baseItem="0"/>
  </dataFields>
  <formats count="6">
    <format dxfId="226">
      <pivotArea outline="0" collapsedLevelsAreSubtotals="1" fieldPosition="0"/>
    </format>
    <format dxfId="225">
      <pivotArea outline="0" fieldPosition="0">
        <references count="2">
          <reference field="4294967294" count="1" selected="0">
            <x v="0"/>
          </reference>
          <reference field="0" count="0" selected="0"/>
        </references>
      </pivotArea>
    </format>
    <format dxfId="224">
      <pivotArea field="1" type="button" dataOnly="0" labelOnly="1" outline="0" axis="axisRow" fieldPosition="0"/>
    </format>
    <format dxfId="223">
      <pivotArea field="2" type="button" dataOnly="0" labelOnly="1" outline="0" axis="axisRow" fieldPosition="1"/>
    </format>
    <format dxfId="222">
      <pivotArea field="4" type="button" dataOnly="0" labelOnly="1" outline="0" axis="axisRow" fieldPosition="2"/>
    </format>
    <format dxfId="221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0" count="0" selected="0"/>
        </references>
      </pivotArea>
    </format>
  </formats>
  <pivotTableStyleInfo name="PivotStyleLight8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2681C2-8781-4A27-9E76-64D478832F5B}" name="TablaDinámica5" cacheId="4" applyNumberFormats="0" applyBorderFormats="0" applyFontFormats="0" applyPatternFormats="0" applyAlignmentFormats="0" applyWidthHeightFormats="1" dataCaption="Valores" updatedVersion="8" minRefreshableVersion="3" useAutoFormatting="1" colGrandTotals="0" itemPrintTitles="1" mergeItem="1" createdVersion="8" indent="0" compact="0" compactData="0" multipleFieldFilters="0" fieldListSortAscending="1">
  <location ref="G20:L292" firstHeaderRow="1" firstDataRow="3" firstDataCol="3"/>
  <pivotFields count="8">
    <pivotField axis="axisCol" compact="0" outline="0" showAll="0" defaultSubtotal="0">
      <items count="1">
        <item x="0"/>
      </items>
    </pivotField>
    <pivotField axis="axisRow" compact="0" outline="0" showAll="0" defaultSubtotal="0">
      <items count="3">
        <item x="0"/>
        <item x="1"/>
        <item x="2"/>
      </items>
    </pivotField>
    <pivotField axis="axisRow" compact="0" outline="0" showAll="0" defaultSubtotal="0">
      <items count="2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</items>
    </pivotField>
    <pivotField dataField="1" compact="0" outline="0" showAll="0" defaultSubtotal="0"/>
    <pivotField axis="axisRow" compact="0" outline="0" showAll="0" defaultSubtotal="0">
      <items count="2">
        <item x="1"/>
        <item x="0"/>
      </items>
    </pivotField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3">
    <field x="1"/>
    <field x="2"/>
    <field x="4"/>
  </rowFields>
  <rowItems count="270">
    <i>
      <x/>
      <x/>
      <x v="1"/>
    </i>
    <i r="1">
      <x v="1"/>
      <x v="1"/>
    </i>
    <i r="1">
      <x v="2"/>
      <x/>
    </i>
    <i r="1">
      <x v="3"/>
      <x v="1"/>
    </i>
    <i r="1">
      <x v="4"/>
      <x v="1"/>
    </i>
    <i r="1">
      <x v="5"/>
      <x v="1"/>
    </i>
    <i r="1">
      <x v="6"/>
      <x v="1"/>
    </i>
    <i r="1">
      <x v="7"/>
      <x v="1"/>
    </i>
    <i r="1">
      <x v="8"/>
      <x v="1"/>
    </i>
    <i r="1">
      <x v="9"/>
      <x v="1"/>
    </i>
    <i r="1">
      <x v="10"/>
      <x v="1"/>
    </i>
    <i r="1">
      <x v="11"/>
      <x v="1"/>
    </i>
    <i r="1">
      <x v="12"/>
      <x v="1"/>
    </i>
    <i r="1">
      <x v="13"/>
      <x v="1"/>
    </i>
    <i r="1">
      <x v="14"/>
      <x v="1"/>
    </i>
    <i r="1">
      <x v="15"/>
      <x v="1"/>
    </i>
    <i r="1">
      <x v="16"/>
      <x v="1"/>
    </i>
    <i r="1">
      <x v="17"/>
      <x v="1"/>
    </i>
    <i r="1">
      <x v="18"/>
      <x/>
    </i>
    <i r="1">
      <x v="19"/>
      <x v="1"/>
    </i>
    <i r="1">
      <x v="20"/>
      <x v="1"/>
    </i>
    <i r="1">
      <x v="21"/>
      <x v="1"/>
    </i>
    <i r="1">
      <x v="22"/>
      <x v="1"/>
    </i>
    <i r="1">
      <x v="23"/>
      <x v="1"/>
    </i>
    <i r="1">
      <x v="24"/>
      <x v="1"/>
    </i>
    <i r="1">
      <x v="25"/>
      <x v="1"/>
    </i>
    <i r="1">
      <x v="26"/>
      <x v="1"/>
    </i>
    <i r="1">
      <x v="27"/>
      <x v="1"/>
    </i>
    <i r="1">
      <x v="28"/>
      <x v="1"/>
    </i>
    <i r="1">
      <x v="29"/>
      <x v="1"/>
    </i>
    <i r="1">
      <x v="30"/>
      <x v="1"/>
    </i>
    <i r="1">
      <x v="31"/>
      <x v="1"/>
    </i>
    <i r="1">
      <x v="32"/>
      <x v="1"/>
    </i>
    <i r="1">
      <x v="33"/>
      <x v="1"/>
    </i>
    <i r="1">
      <x v="34"/>
      <x v="1"/>
    </i>
    <i r="1">
      <x v="35"/>
      <x v="1"/>
    </i>
    <i r="1">
      <x v="36"/>
      <x v="1"/>
    </i>
    <i r="1">
      <x v="37"/>
      <x v="1"/>
    </i>
    <i r="1">
      <x v="38"/>
      <x v="1"/>
    </i>
    <i r="1">
      <x v="39"/>
      <x v="1"/>
    </i>
    <i r="1">
      <x v="40"/>
      <x v="1"/>
    </i>
    <i r="1">
      <x v="41"/>
      <x v="1"/>
    </i>
    <i r="1">
      <x v="42"/>
      <x v="1"/>
    </i>
    <i r="1">
      <x v="43"/>
      <x v="1"/>
    </i>
    <i r="1">
      <x v="44"/>
      <x v="1"/>
    </i>
    <i r="1">
      <x v="45"/>
      <x v="1"/>
    </i>
    <i r="1">
      <x v="46"/>
      <x v="1"/>
    </i>
    <i r="1">
      <x v="47"/>
      <x v="1"/>
    </i>
    <i r="1">
      <x v="48"/>
      <x v="1"/>
    </i>
    <i r="1">
      <x v="49"/>
      <x v="1"/>
    </i>
    <i r="1">
      <x v="50"/>
      <x v="1"/>
    </i>
    <i r="1">
      <x v="51"/>
      <x v="1"/>
    </i>
    <i r="1">
      <x v="52"/>
      <x v="1"/>
    </i>
    <i r="1">
      <x v="53"/>
      <x v="1"/>
    </i>
    <i r="1">
      <x v="54"/>
      <x v="1"/>
    </i>
    <i r="1">
      <x v="55"/>
      <x v="1"/>
    </i>
    <i r="1">
      <x v="56"/>
      <x v="1"/>
    </i>
    <i r="1">
      <x v="57"/>
      <x v="1"/>
    </i>
    <i r="1">
      <x v="58"/>
      <x v="1"/>
    </i>
    <i r="1">
      <x v="59"/>
      <x v="1"/>
    </i>
    <i r="1">
      <x v="60"/>
      <x v="1"/>
    </i>
    <i r="1">
      <x v="61"/>
      <x v="1"/>
    </i>
    <i r="1">
      <x v="62"/>
      <x v="1"/>
    </i>
    <i r="1">
      <x v="63"/>
      <x v="1"/>
    </i>
    <i r="1">
      <x v="64"/>
      <x v="1"/>
    </i>
    <i r="1">
      <x v="65"/>
      <x v="1"/>
    </i>
    <i r="1">
      <x v="66"/>
      <x v="1"/>
    </i>
    <i r="1">
      <x v="67"/>
      <x v="1"/>
    </i>
    <i r="1">
      <x v="68"/>
      <x v="1"/>
    </i>
    <i r="1">
      <x v="69"/>
      <x v="1"/>
    </i>
    <i r="1">
      <x v="70"/>
      <x v="1"/>
    </i>
    <i r="1">
      <x v="71"/>
      <x v="1"/>
    </i>
    <i r="1">
      <x v="72"/>
      <x v="1"/>
    </i>
    <i r="1">
      <x v="73"/>
      <x v="1"/>
    </i>
    <i r="1">
      <x v="74"/>
      <x v="1"/>
    </i>
    <i r="1">
      <x v="75"/>
      <x v="1"/>
    </i>
    <i r="1">
      <x v="76"/>
      <x v="1"/>
    </i>
    <i r="1">
      <x v="77"/>
      <x v="1"/>
    </i>
    <i r="1">
      <x v="78"/>
      <x/>
    </i>
    <i r="1">
      <x v="79"/>
      <x v="1"/>
    </i>
    <i r="1">
      <x v="80"/>
      <x v="1"/>
    </i>
    <i r="1">
      <x v="81"/>
      <x v="1"/>
    </i>
    <i r="1">
      <x v="82"/>
      <x v="1"/>
    </i>
    <i r="1">
      <x v="83"/>
      <x v="1"/>
    </i>
    <i r="1">
      <x v="84"/>
      <x v="1"/>
    </i>
    <i r="1">
      <x v="85"/>
      <x v="1"/>
    </i>
    <i r="1">
      <x v="86"/>
      <x v="1"/>
    </i>
    <i r="1">
      <x v="87"/>
      <x v="1"/>
    </i>
    <i r="1">
      <x v="88"/>
      <x v="1"/>
    </i>
    <i r="1">
      <x v="89"/>
      <x v="1"/>
    </i>
    <i r="1">
      <x v="90"/>
      <x v="1"/>
    </i>
    <i r="1">
      <x v="91"/>
      <x v="1"/>
    </i>
    <i r="1">
      <x v="92"/>
      <x v="1"/>
    </i>
    <i r="1">
      <x v="93"/>
      <x v="1"/>
    </i>
    <i r="1">
      <x v="94"/>
      <x v="1"/>
    </i>
    <i r="1">
      <x v="95"/>
      <x v="1"/>
    </i>
    <i r="1">
      <x v="96"/>
      <x v="1"/>
    </i>
    <i r="1">
      <x v="97"/>
      <x v="1"/>
    </i>
    <i>
      <x v="1"/>
      <x v="98"/>
      <x v="1"/>
    </i>
    <i r="1">
      <x v="99"/>
      <x v="1"/>
    </i>
    <i r="1">
      <x v="100"/>
      <x v="1"/>
    </i>
    <i r="1">
      <x v="101"/>
      <x v="1"/>
    </i>
    <i r="1">
      <x v="102"/>
      <x v="1"/>
    </i>
    <i r="1">
      <x v="103"/>
      <x v="1"/>
    </i>
    <i r="1">
      <x v="104"/>
      <x v="1"/>
    </i>
    <i r="1">
      <x v="105"/>
      <x v="1"/>
    </i>
    <i r="1">
      <x v="106"/>
      <x v="1"/>
    </i>
    <i r="1">
      <x v="107"/>
      <x v="1"/>
    </i>
    <i r="1">
      <x v="108"/>
      <x v="1"/>
    </i>
    <i r="1">
      <x v="109"/>
      <x v="1"/>
    </i>
    <i r="1">
      <x v="110"/>
      <x v="1"/>
    </i>
    <i r="1">
      <x v="111"/>
      <x v="1"/>
    </i>
    <i r="1">
      <x v="112"/>
      <x v="1"/>
    </i>
    <i r="1">
      <x v="113"/>
      <x v="1"/>
    </i>
    <i r="1">
      <x v="114"/>
      <x v="1"/>
    </i>
    <i r="1">
      <x v="115"/>
      <x v="1"/>
    </i>
    <i r="1">
      <x v="116"/>
      <x v="1"/>
    </i>
    <i r="1">
      <x v="117"/>
      <x v="1"/>
    </i>
    <i r="1">
      <x v="118"/>
      <x v="1"/>
    </i>
    <i r="1">
      <x v="119"/>
      <x v="1"/>
    </i>
    <i r="1">
      <x v="120"/>
      <x v="1"/>
    </i>
    <i r="1">
      <x v="121"/>
      <x v="1"/>
    </i>
    <i r="1">
      <x v="122"/>
      <x v="1"/>
    </i>
    <i r="1">
      <x v="123"/>
      <x v="1"/>
    </i>
    <i r="1">
      <x v="124"/>
      <x v="1"/>
    </i>
    <i r="1">
      <x v="125"/>
      <x v="1"/>
    </i>
    <i r="1">
      <x v="126"/>
      <x v="1"/>
    </i>
    <i r="1">
      <x v="127"/>
      <x v="1"/>
    </i>
    <i r="1">
      <x v="128"/>
      <x v="1"/>
    </i>
    <i r="1">
      <x v="129"/>
      <x v="1"/>
    </i>
    <i r="1">
      <x v="130"/>
      <x v="1"/>
    </i>
    <i r="1">
      <x v="131"/>
      <x v="1"/>
    </i>
    <i r="1">
      <x v="132"/>
      <x v="1"/>
    </i>
    <i r="1">
      <x v="133"/>
      <x v="1"/>
    </i>
    <i r="1">
      <x v="134"/>
      <x v="1"/>
    </i>
    <i r="1">
      <x v="135"/>
      <x v="1"/>
    </i>
    <i r="1">
      <x v="136"/>
      <x v="1"/>
    </i>
    <i r="1">
      <x v="137"/>
      <x v="1"/>
    </i>
    <i r="1">
      <x v="138"/>
      <x v="1"/>
    </i>
    <i r="1">
      <x v="139"/>
      <x v="1"/>
    </i>
    <i r="1">
      <x v="140"/>
      <x v="1"/>
    </i>
    <i r="1">
      <x v="141"/>
      <x v="1"/>
    </i>
    <i r="1">
      <x v="142"/>
      <x v="1"/>
    </i>
    <i r="1">
      <x v="143"/>
      <x v="1"/>
    </i>
    <i r="1">
      <x v="144"/>
      <x v="1"/>
    </i>
    <i r="1">
      <x v="145"/>
      <x v="1"/>
    </i>
    <i r="1">
      <x v="146"/>
      <x v="1"/>
    </i>
    <i r="1">
      <x v="147"/>
      <x v="1"/>
    </i>
    <i r="1">
      <x v="148"/>
      <x v="1"/>
    </i>
    <i r="1">
      <x v="149"/>
      <x v="1"/>
    </i>
    <i r="1">
      <x v="150"/>
      <x v="1"/>
    </i>
    <i r="1">
      <x v="151"/>
      <x v="1"/>
    </i>
    <i r="1">
      <x v="152"/>
      <x v="1"/>
    </i>
    <i r="1">
      <x v="153"/>
      <x v="1"/>
    </i>
    <i r="1">
      <x v="154"/>
      <x v="1"/>
    </i>
    <i r="1">
      <x v="155"/>
      <x v="1"/>
    </i>
    <i r="1">
      <x v="156"/>
      <x v="1"/>
    </i>
    <i r="1">
      <x v="157"/>
      <x v="1"/>
    </i>
    <i r="1">
      <x v="158"/>
      <x v="1"/>
    </i>
    <i r="1">
      <x v="159"/>
      <x v="1"/>
    </i>
    <i r="1">
      <x v="160"/>
      <x v="1"/>
    </i>
    <i r="1">
      <x v="161"/>
      <x v="1"/>
    </i>
    <i r="1">
      <x v="162"/>
      <x v="1"/>
    </i>
    <i r="1">
      <x v="163"/>
      <x v="1"/>
    </i>
    <i r="1">
      <x v="164"/>
      <x v="1"/>
    </i>
    <i r="1">
      <x v="165"/>
      <x v="1"/>
    </i>
    <i r="1">
      <x v="166"/>
      <x v="1"/>
    </i>
    <i r="1">
      <x v="167"/>
      <x v="1"/>
    </i>
    <i r="1">
      <x v="168"/>
      <x v="1"/>
    </i>
    <i r="1">
      <x v="169"/>
      <x v="1"/>
    </i>
    <i r="1">
      <x v="170"/>
      <x v="1"/>
    </i>
    <i r="1">
      <x v="171"/>
      <x v="1"/>
    </i>
    <i r="1">
      <x v="172"/>
      <x v="1"/>
    </i>
    <i r="1">
      <x v="173"/>
      <x v="1"/>
    </i>
    <i r="1">
      <x v="174"/>
      <x v="1"/>
    </i>
    <i r="1">
      <x v="175"/>
      <x v="1"/>
    </i>
    <i r="1">
      <x v="176"/>
      <x v="1"/>
    </i>
    <i r="1">
      <x v="177"/>
      <x v="1"/>
    </i>
    <i r="1">
      <x v="178"/>
      <x v="1"/>
    </i>
    <i r="1">
      <x v="179"/>
      <x v="1"/>
    </i>
    <i r="1">
      <x v="180"/>
      <x v="1"/>
    </i>
    <i r="1">
      <x v="181"/>
      <x/>
    </i>
    <i r="1">
      <x v="182"/>
      <x v="1"/>
    </i>
    <i r="1">
      <x v="183"/>
      <x v="1"/>
    </i>
    <i r="1">
      <x v="184"/>
      <x v="1"/>
    </i>
    <i r="1">
      <x v="185"/>
      <x v="1"/>
    </i>
    <i r="1">
      <x v="186"/>
      <x v="1"/>
    </i>
    <i r="1">
      <x v="187"/>
      <x v="1"/>
    </i>
    <i r="1">
      <x v="188"/>
      <x v="1"/>
    </i>
    <i r="1">
      <x v="189"/>
      <x/>
    </i>
    <i r="1">
      <x v="190"/>
      <x v="1"/>
    </i>
    <i r="1">
      <x v="191"/>
      <x/>
    </i>
    <i r="1">
      <x v="192"/>
      <x v="1"/>
    </i>
    <i r="1">
      <x v="193"/>
      <x v="1"/>
    </i>
    <i r="1">
      <x v="194"/>
      <x v="1"/>
    </i>
    <i r="1">
      <x v="195"/>
      <x v="1"/>
    </i>
    <i>
      <x v="2"/>
      <x v="196"/>
      <x v="1"/>
    </i>
    <i r="1">
      <x v="197"/>
      <x v="1"/>
    </i>
    <i r="1">
      <x v="198"/>
      <x v="1"/>
    </i>
    <i r="1">
      <x v="199"/>
      <x v="1"/>
    </i>
    <i r="1">
      <x v="200"/>
      <x v="1"/>
    </i>
    <i r="1">
      <x v="201"/>
      <x v="1"/>
    </i>
    <i r="1">
      <x v="202"/>
      <x v="1"/>
    </i>
    <i r="1">
      <x v="203"/>
      <x v="1"/>
    </i>
    <i r="1">
      <x v="204"/>
      <x v="1"/>
    </i>
    <i r="1">
      <x v="205"/>
      <x v="1"/>
    </i>
    <i r="1">
      <x v="206"/>
      <x v="1"/>
    </i>
    <i r="1">
      <x v="207"/>
      <x v="1"/>
    </i>
    <i r="1">
      <x v="208"/>
      <x v="1"/>
    </i>
    <i r="1">
      <x v="209"/>
      <x v="1"/>
    </i>
    <i r="1">
      <x v="210"/>
      <x v="1"/>
    </i>
    <i r="1">
      <x v="211"/>
      <x v="1"/>
    </i>
    <i r="1">
      <x v="212"/>
      <x v="1"/>
    </i>
    <i r="1">
      <x v="213"/>
      <x v="1"/>
    </i>
    <i r="1">
      <x v="214"/>
      <x v="1"/>
    </i>
    <i r="1">
      <x v="215"/>
      <x v="1"/>
    </i>
    <i r="1">
      <x v="216"/>
      <x v="1"/>
    </i>
    <i r="1">
      <x v="217"/>
      <x/>
    </i>
    <i r="1">
      <x v="218"/>
      <x/>
    </i>
    <i r="1">
      <x v="219"/>
      <x v="1"/>
    </i>
    <i r="1">
      <x v="220"/>
      <x/>
    </i>
    <i r="1">
      <x v="221"/>
      <x/>
    </i>
    <i r="1">
      <x v="222"/>
      <x/>
    </i>
    <i r="1">
      <x v="223"/>
      <x/>
    </i>
    <i r="1">
      <x v="224"/>
      <x/>
    </i>
    <i r="1">
      <x v="225"/>
      <x/>
    </i>
    <i r="1">
      <x v="226"/>
      <x/>
    </i>
    <i r="1">
      <x v="227"/>
      <x v="1"/>
    </i>
    <i r="1">
      <x v="228"/>
      <x v="1"/>
    </i>
    <i r="1">
      <x v="229"/>
      <x/>
    </i>
    <i r="1">
      <x v="230"/>
      <x v="1"/>
    </i>
    <i r="1">
      <x v="231"/>
      <x v="1"/>
    </i>
    <i r="1">
      <x v="232"/>
      <x/>
    </i>
    <i r="1">
      <x v="233"/>
      <x/>
    </i>
    <i r="1">
      <x v="234"/>
      <x v="1"/>
    </i>
    <i r="1">
      <x v="235"/>
      <x v="1"/>
    </i>
    <i r="1">
      <x v="236"/>
      <x v="1"/>
    </i>
    <i r="1">
      <x v="237"/>
      <x v="1"/>
    </i>
    <i r="1">
      <x v="238"/>
      <x v="1"/>
    </i>
    <i r="1">
      <x v="239"/>
      <x v="1"/>
    </i>
    <i r="1">
      <x v="240"/>
      <x v="1"/>
    </i>
    <i r="1">
      <x v="241"/>
      <x v="1"/>
    </i>
    <i r="1">
      <x v="242"/>
      <x v="1"/>
    </i>
    <i r="1">
      <x v="243"/>
      <x v="1"/>
    </i>
    <i r="1">
      <x v="244"/>
      <x v="1"/>
    </i>
    <i r="1">
      <x v="245"/>
      <x v="1"/>
    </i>
    <i r="1">
      <x v="246"/>
      <x v="1"/>
    </i>
    <i r="1">
      <x v="247"/>
      <x v="1"/>
    </i>
    <i r="1">
      <x v="248"/>
      <x v="1"/>
    </i>
    <i r="1">
      <x v="249"/>
      <x v="1"/>
    </i>
    <i r="1">
      <x v="250"/>
      <x v="1"/>
    </i>
    <i r="1">
      <x v="251"/>
      <x v="1"/>
    </i>
    <i r="1">
      <x v="252"/>
      <x v="1"/>
    </i>
    <i r="1">
      <x v="253"/>
      <x v="1"/>
    </i>
    <i r="1">
      <x v="254"/>
      <x v="1"/>
    </i>
    <i r="1">
      <x v="255"/>
      <x v="1"/>
    </i>
    <i r="1">
      <x v="256"/>
      <x v="1"/>
    </i>
    <i r="1">
      <x v="257"/>
      <x v="1"/>
    </i>
    <i r="1">
      <x v="258"/>
      <x v="1"/>
    </i>
    <i r="1">
      <x v="259"/>
      <x v="1"/>
    </i>
    <i r="1">
      <x v="260"/>
      <x v="1"/>
    </i>
    <i r="1">
      <x v="261"/>
      <x v="1"/>
    </i>
    <i r="1">
      <x v="262"/>
      <x v="1"/>
    </i>
    <i r="1">
      <x v="263"/>
      <x v="1"/>
    </i>
    <i r="1">
      <x v="264"/>
      <x v="1"/>
    </i>
    <i r="1">
      <x v="265"/>
      <x v="1"/>
    </i>
    <i r="1">
      <x v="266"/>
      <x v="1"/>
    </i>
    <i r="1">
      <x v="267"/>
      <x v="1"/>
    </i>
    <i r="1">
      <x v="268"/>
      <x v="1"/>
    </i>
    <i t="grand">
      <x/>
    </i>
  </rowItems>
  <colFields count="2">
    <field x="0"/>
    <field x="-2"/>
  </colFields>
  <colItems count="3">
    <i>
      <x/>
      <x/>
    </i>
    <i r="1" i="1">
      <x v="1"/>
    </i>
    <i r="1" i="2">
      <x v="2"/>
    </i>
  </colItems>
  <dataFields count="3">
    <dataField name="Suma de Area" fld="3" baseField="0" baseItem="0"/>
    <dataField name="Suma de Precio Lista" fld="7" baseField="0" baseItem="0"/>
    <dataField name="Suma de Precio Venta Sin Parq#" fld="6" baseField="0" baseItem="0"/>
  </dataFields>
  <formats count="5">
    <format dxfId="231">
      <pivotArea outline="0" fieldPosition="0">
        <references count="2">
          <reference field="4294967294" count="2" selected="0">
            <x v="1"/>
            <x v="2"/>
          </reference>
          <reference field="0" count="0" selected="0"/>
        </references>
      </pivotArea>
    </format>
    <format dxfId="230">
      <pivotArea field="1" type="button" dataOnly="0" labelOnly="1" outline="0" axis="axisRow" fieldPosition="0"/>
    </format>
    <format dxfId="229">
      <pivotArea field="2" type="button" dataOnly="0" labelOnly="1" outline="0" axis="axisRow" fieldPosition="1"/>
    </format>
    <format dxfId="228">
      <pivotArea field="4" type="button" dataOnly="0" labelOnly="1" outline="0" axis="axisRow" fieldPosition="2"/>
    </format>
    <format dxfId="227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0" count="0" selected="0"/>
        </references>
      </pivotArea>
    </format>
  </formats>
  <pivotTableStyleInfo name="PivotStyleLight8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7108E5-21DC-4B22-841B-91D7B473A1B2}" name="TablaDinámica9" cacheId="1" applyNumberFormats="0" applyBorderFormats="0" applyFontFormats="0" applyPatternFormats="0" applyAlignmentFormats="0" applyWidthHeightFormats="1" dataCaption="Valores" updatedVersion="8" minRefreshableVersion="3" useAutoFormatting="1" subtotalHiddenItems="1" colGrandTotals="0" itemPrintTitles="1" mergeItem="1" createdVersion="8" indent="0" compact="0" compactData="0" multipleFieldFilters="0">
  <location ref="Y20:AD305" firstHeaderRow="1" firstDataRow="3" firstDataCol="3"/>
  <pivotFields count="7">
    <pivotField axis="axisCol" compact="0" allDrilled="1" outline="0" subtotalTop="0" showAll="0" dataSourceSort="1" defaultSubtotal="0" defaultAttributeDrillState="1">
      <items count="1">
        <item x="0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28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</items>
    </pivotField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</pivotFields>
  <rowFields count="3">
    <field x="1"/>
    <field x="2"/>
    <field x="3"/>
  </rowFields>
  <rowItems count="283">
    <i>
      <x/>
      <x/>
      <x/>
    </i>
    <i r="1">
      <x v="1"/>
      <x/>
    </i>
    <i r="1">
      <x v="2"/>
      <x/>
    </i>
    <i r="1">
      <x v="3"/>
      <x/>
    </i>
    <i r="1">
      <x v="4"/>
      <x/>
    </i>
    <i r="1">
      <x v="5"/>
      <x/>
    </i>
    <i r="1">
      <x v="6"/>
      <x v="1"/>
    </i>
    <i r="1">
      <x v="7"/>
      <x/>
    </i>
    <i r="1">
      <x v="8"/>
      <x/>
    </i>
    <i r="1">
      <x v="9"/>
      <x v="1"/>
    </i>
    <i r="1">
      <x v="10"/>
      <x/>
    </i>
    <i r="1">
      <x v="11"/>
      <x/>
    </i>
    <i r="1">
      <x v="12"/>
      <x/>
    </i>
    <i r="1">
      <x v="13"/>
      <x/>
    </i>
    <i r="1">
      <x v="14"/>
      <x/>
    </i>
    <i r="1">
      <x v="15"/>
      <x/>
    </i>
    <i r="1">
      <x v="16"/>
      <x/>
    </i>
    <i r="1">
      <x v="17"/>
      <x v="1"/>
    </i>
    <i r="1">
      <x v="18"/>
      <x/>
    </i>
    <i r="1">
      <x v="19"/>
      <x/>
    </i>
    <i r="1">
      <x v="20"/>
      <x v="1"/>
    </i>
    <i r="1">
      <x v="21"/>
      <x/>
    </i>
    <i r="1">
      <x v="22"/>
      <x/>
    </i>
    <i r="1">
      <x v="23"/>
      <x/>
    </i>
    <i r="1">
      <x v="24"/>
      <x v="1"/>
    </i>
    <i r="1">
      <x v="25"/>
      <x/>
    </i>
    <i r="1">
      <x v="26"/>
      <x/>
    </i>
    <i r="1">
      <x v="27"/>
      <x/>
    </i>
    <i r="1">
      <x v="28"/>
      <x v="1"/>
    </i>
    <i r="1">
      <x v="29"/>
      <x/>
    </i>
    <i r="1">
      <x v="30"/>
      <x/>
    </i>
    <i r="1">
      <x v="31"/>
      <x v="1"/>
    </i>
    <i r="1">
      <x v="32"/>
      <x/>
    </i>
    <i r="1">
      <x v="33"/>
      <x/>
    </i>
    <i r="1">
      <x v="34"/>
      <x/>
    </i>
    <i r="1">
      <x v="35"/>
      <x/>
    </i>
    <i r="1">
      <x v="36"/>
      <x/>
    </i>
    <i r="1">
      <x v="37"/>
      <x v="1"/>
    </i>
    <i r="1">
      <x v="38"/>
      <x/>
    </i>
    <i r="1">
      <x v="39"/>
      <x/>
    </i>
    <i r="1">
      <x v="40"/>
      <x v="1"/>
    </i>
    <i r="1">
      <x v="41"/>
      <x/>
    </i>
    <i r="1">
      <x v="42"/>
      <x/>
    </i>
    <i r="1">
      <x v="43"/>
      <x/>
    </i>
    <i r="1">
      <x v="44"/>
      <x v="1"/>
    </i>
    <i r="1">
      <x v="45"/>
      <x/>
    </i>
    <i r="1">
      <x v="46"/>
      <x/>
    </i>
    <i r="1">
      <x v="47"/>
      <x/>
    </i>
    <i r="1">
      <x v="48"/>
      <x/>
    </i>
    <i r="1">
      <x v="49"/>
      <x/>
    </i>
    <i r="1">
      <x v="50"/>
      <x/>
    </i>
    <i r="1">
      <x v="51"/>
      <x/>
    </i>
    <i r="1">
      <x v="52"/>
      <x/>
    </i>
    <i r="1">
      <x v="53"/>
      <x/>
    </i>
    <i r="1">
      <x v="54"/>
      <x/>
    </i>
    <i r="1">
      <x v="55"/>
      <x v="1"/>
    </i>
    <i r="1">
      <x v="56"/>
      <x/>
    </i>
    <i r="1">
      <x v="57"/>
      <x/>
    </i>
    <i r="1">
      <x v="58"/>
      <x/>
    </i>
    <i r="1">
      <x v="59"/>
      <x/>
    </i>
    <i r="1">
      <x v="60"/>
      <x/>
    </i>
    <i r="1">
      <x v="61"/>
      <x/>
    </i>
    <i r="1">
      <x v="62"/>
      <x/>
    </i>
    <i r="1">
      <x v="63"/>
      <x/>
    </i>
    <i r="1">
      <x v="64"/>
      <x/>
    </i>
    <i r="1">
      <x v="65"/>
      <x/>
    </i>
    <i r="1">
      <x v="66"/>
      <x/>
    </i>
    <i r="1">
      <x v="67"/>
      <x/>
    </i>
    <i r="1">
      <x v="68"/>
      <x v="1"/>
    </i>
    <i r="1">
      <x v="69"/>
      <x v="1"/>
    </i>
    <i r="1">
      <x v="70"/>
      <x/>
    </i>
    <i r="1">
      <x v="71"/>
      <x/>
    </i>
    <i r="1">
      <x v="72"/>
      <x v="1"/>
    </i>
    <i r="1">
      <x v="73"/>
      <x v="1"/>
    </i>
    <i r="1">
      <x v="74"/>
      <x/>
    </i>
    <i r="1">
      <x v="75"/>
      <x/>
    </i>
    <i r="1">
      <x v="76"/>
      <x v="1"/>
    </i>
    <i r="1">
      <x v="77"/>
      <x/>
    </i>
    <i r="1">
      <x v="78"/>
      <x/>
    </i>
    <i r="1">
      <x v="79"/>
      <x/>
    </i>
    <i r="1">
      <x v="80"/>
      <x/>
    </i>
    <i r="1">
      <x v="81"/>
      <x/>
    </i>
    <i r="1">
      <x v="82"/>
      <x/>
    </i>
    <i r="1">
      <x v="83"/>
      <x/>
    </i>
    <i r="1">
      <x v="84"/>
      <x/>
    </i>
    <i r="1">
      <x v="85"/>
      <x v="1"/>
    </i>
    <i r="1">
      <x v="86"/>
      <x/>
    </i>
    <i r="1">
      <x v="87"/>
      <x/>
    </i>
    <i r="1">
      <x v="88"/>
      <x/>
    </i>
    <i r="1">
      <x v="89"/>
      <x/>
    </i>
    <i r="1">
      <x v="90"/>
      <x/>
    </i>
    <i r="1">
      <x v="91"/>
      <x/>
    </i>
    <i r="1">
      <x v="92"/>
      <x/>
    </i>
    <i r="1">
      <x v="93"/>
      <x v="1"/>
    </i>
    <i r="1">
      <x v="94"/>
      <x/>
    </i>
    <i r="1">
      <x v="95"/>
      <x/>
    </i>
    <i r="1">
      <x v="96"/>
      <x/>
    </i>
    <i r="1">
      <x v="97"/>
      <x/>
    </i>
    <i r="1">
      <x v="98"/>
      <x/>
    </i>
    <i>
      <x v="1"/>
      <x v="99"/>
      <x/>
    </i>
    <i r="1">
      <x v="100"/>
      <x/>
    </i>
    <i r="1">
      <x v="101"/>
      <x/>
    </i>
    <i r="1">
      <x v="102"/>
      <x/>
    </i>
    <i r="1">
      <x v="103"/>
      <x/>
    </i>
    <i r="1">
      <x v="104"/>
      <x/>
    </i>
    <i r="1">
      <x v="105"/>
      <x/>
    </i>
    <i r="1">
      <x v="106"/>
      <x/>
    </i>
    <i r="1">
      <x v="107"/>
      <x/>
    </i>
    <i r="1">
      <x v="108"/>
      <x/>
    </i>
    <i r="1">
      <x v="109"/>
      <x/>
    </i>
    <i r="1">
      <x v="110"/>
      <x/>
    </i>
    <i r="1">
      <x v="111"/>
      <x/>
    </i>
    <i r="1">
      <x v="112"/>
      <x/>
    </i>
    <i r="1">
      <x v="113"/>
      <x/>
    </i>
    <i r="1">
      <x v="114"/>
      <x/>
    </i>
    <i r="1">
      <x v="115"/>
      <x/>
    </i>
    <i r="1">
      <x v="116"/>
      <x/>
    </i>
    <i r="1">
      <x v="117"/>
      <x/>
    </i>
    <i r="1">
      <x v="118"/>
      <x/>
    </i>
    <i r="1">
      <x v="119"/>
      <x/>
    </i>
    <i r="1">
      <x v="120"/>
      <x v="1"/>
    </i>
    <i r="1">
      <x v="121"/>
      <x v="1"/>
    </i>
    <i r="1">
      <x v="122"/>
      <x/>
    </i>
    <i r="1">
      <x v="123"/>
      <x/>
    </i>
    <i r="1">
      <x v="124"/>
      <x v="1"/>
    </i>
    <i r="1">
      <x v="125"/>
      <x/>
    </i>
    <i r="1">
      <x v="126"/>
      <x/>
    </i>
    <i r="1">
      <x v="127"/>
      <x v="1"/>
    </i>
    <i r="1">
      <x v="128"/>
      <x/>
    </i>
    <i r="1">
      <x v="129"/>
      <x/>
    </i>
    <i r="1">
      <x v="130"/>
      <x/>
    </i>
    <i r="1">
      <x v="131"/>
      <x/>
    </i>
    <i r="1">
      <x v="132"/>
      <x/>
    </i>
    <i r="1">
      <x v="133"/>
      <x/>
    </i>
    <i r="1">
      <x v="134"/>
      <x/>
    </i>
    <i r="1">
      <x v="135"/>
      <x/>
    </i>
    <i r="1">
      <x v="136"/>
      <x/>
    </i>
    <i r="1">
      <x v="137"/>
      <x/>
    </i>
    <i r="1">
      <x v="138"/>
      <x/>
    </i>
    <i r="1">
      <x v="139"/>
      <x/>
    </i>
    <i r="1">
      <x v="140"/>
      <x v="1"/>
    </i>
    <i r="1">
      <x v="141"/>
      <x/>
    </i>
    <i r="1">
      <x v="142"/>
      <x v="1"/>
    </i>
    <i r="1">
      <x v="143"/>
      <x/>
    </i>
    <i r="1">
      <x v="144"/>
      <x/>
    </i>
    <i r="1">
      <x v="145"/>
      <x/>
    </i>
    <i r="1">
      <x v="146"/>
      <x/>
    </i>
    <i r="1">
      <x v="147"/>
      <x/>
    </i>
    <i r="1">
      <x v="148"/>
      <x/>
    </i>
    <i r="1">
      <x v="149"/>
      <x/>
    </i>
    <i r="1">
      <x v="150"/>
      <x/>
    </i>
    <i r="1">
      <x v="151"/>
      <x/>
    </i>
    <i r="1">
      <x v="152"/>
      <x/>
    </i>
    <i r="1">
      <x v="153"/>
      <x/>
    </i>
    <i r="1">
      <x v="154"/>
      <x/>
    </i>
    <i r="1">
      <x v="155"/>
      <x/>
    </i>
    <i r="1">
      <x v="156"/>
      <x/>
    </i>
    <i r="1">
      <x v="157"/>
      <x/>
    </i>
    <i r="1">
      <x v="158"/>
      <x/>
    </i>
    <i r="1">
      <x v="159"/>
      <x v="1"/>
    </i>
    <i r="1">
      <x v="160"/>
      <x/>
    </i>
    <i r="1">
      <x v="161"/>
      <x/>
    </i>
    <i r="1">
      <x v="162"/>
      <x/>
    </i>
    <i r="1">
      <x v="163"/>
      <x/>
    </i>
    <i r="1">
      <x v="164"/>
      <x/>
    </i>
    <i r="1">
      <x v="165"/>
      <x/>
    </i>
    <i r="1">
      <x v="166"/>
      <x/>
    </i>
    <i r="1">
      <x v="167"/>
      <x/>
    </i>
    <i r="1">
      <x v="168"/>
      <x v="1"/>
    </i>
    <i r="1">
      <x v="169"/>
      <x/>
    </i>
    <i r="1">
      <x v="170"/>
      <x/>
    </i>
    <i r="1">
      <x v="171"/>
      <x v="1"/>
    </i>
    <i r="1">
      <x v="172"/>
      <x/>
    </i>
    <i r="1">
      <x v="173"/>
      <x/>
    </i>
    <i r="1">
      <x v="174"/>
      <x/>
    </i>
    <i r="1">
      <x v="175"/>
      <x/>
    </i>
    <i r="1">
      <x v="176"/>
      <x/>
    </i>
    <i r="1">
      <x v="177"/>
      <x/>
    </i>
    <i r="1">
      <x v="178"/>
      <x/>
    </i>
    <i r="1">
      <x v="179"/>
      <x/>
    </i>
    <i r="1">
      <x v="180"/>
      <x/>
    </i>
    <i r="1">
      <x v="181"/>
      <x/>
    </i>
    <i r="1">
      <x v="182"/>
      <x/>
    </i>
    <i r="1">
      <x v="183"/>
      <x v="1"/>
    </i>
    <i r="1">
      <x v="184"/>
      <x/>
    </i>
    <i r="1">
      <x v="185"/>
      <x/>
    </i>
    <i r="1">
      <x v="186"/>
      <x/>
    </i>
    <i r="1">
      <x v="187"/>
      <x/>
    </i>
    <i r="1">
      <x v="188"/>
      <x/>
    </i>
    <i r="1">
      <x v="189"/>
      <x/>
    </i>
    <i>
      <x v="2"/>
      <x v="190"/>
      <x/>
    </i>
    <i r="1">
      <x v="191"/>
      <x/>
    </i>
    <i r="1">
      <x v="192"/>
      <x/>
    </i>
    <i r="1">
      <x v="193"/>
      <x/>
    </i>
    <i r="1">
      <x v="194"/>
      <x/>
    </i>
    <i r="1">
      <x v="195"/>
      <x/>
    </i>
    <i r="1">
      <x v="196"/>
      <x/>
    </i>
    <i r="1">
      <x v="197"/>
      <x/>
    </i>
    <i r="1">
      <x v="198"/>
      <x/>
    </i>
    <i r="1">
      <x v="199"/>
      <x/>
    </i>
    <i r="1">
      <x v="200"/>
      <x/>
    </i>
    <i r="1">
      <x v="201"/>
      <x/>
    </i>
    <i r="1">
      <x v="202"/>
      <x/>
    </i>
    <i r="1">
      <x v="203"/>
      <x/>
    </i>
    <i r="1">
      <x v="204"/>
      <x/>
    </i>
    <i r="1">
      <x v="205"/>
      <x/>
    </i>
    <i r="1">
      <x v="206"/>
      <x/>
    </i>
    <i r="1">
      <x v="207"/>
      <x v="1"/>
    </i>
    <i r="1">
      <x v="208"/>
      <x/>
    </i>
    <i r="1">
      <x v="209"/>
      <x/>
    </i>
    <i r="1">
      <x v="210"/>
      <x/>
    </i>
    <i r="1">
      <x v="211"/>
      <x v="1"/>
    </i>
    <i r="1">
      <x v="212"/>
      <x v="1"/>
    </i>
    <i r="1">
      <x v="213"/>
      <x/>
    </i>
    <i r="1">
      <x v="214"/>
      <x/>
    </i>
    <i r="1">
      <x v="215"/>
      <x/>
    </i>
    <i r="1">
      <x v="216"/>
      <x v="1"/>
    </i>
    <i r="1">
      <x v="217"/>
      <x/>
    </i>
    <i r="1">
      <x v="218"/>
      <x/>
    </i>
    <i r="1">
      <x v="219"/>
      <x v="1"/>
    </i>
    <i r="1">
      <x v="220"/>
      <x/>
    </i>
    <i r="1">
      <x v="221"/>
      <x/>
    </i>
    <i r="1">
      <x v="222"/>
      <x/>
    </i>
    <i r="1">
      <x v="223"/>
      <x/>
    </i>
    <i r="1">
      <x v="224"/>
      <x/>
    </i>
    <i r="1">
      <x v="225"/>
      <x/>
    </i>
    <i r="1">
      <x v="226"/>
      <x/>
    </i>
    <i r="1">
      <x v="227"/>
      <x/>
    </i>
    <i r="1">
      <x v="228"/>
      <x/>
    </i>
    <i r="1">
      <x v="229"/>
      <x/>
    </i>
    <i r="1">
      <x v="230"/>
      <x/>
    </i>
    <i r="1">
      <x v="231"/>
      <x/>
    </i>
    <i r="1">
      <x v="232"/>
      <x v="1"/>
    </i>
    <i r="1">
      <x v="233"/>
      <x/>
    </i>
    <i r="1">
      <x v="234"/>
      <x v="1"/>
    </i>
    <i r="1">
      <x v="235"/>
      <x/>
    </i>
    <i r="1">
      <x v="236"/>
      <x/>
    </i>
    <i r="1">
      <x v="237"/>
      <x/>
    </i>
    <i r="1">
      <x v="238"/>
      <x/>
    </i>
    <i r="1">
      <x v="239"/>
      <x/>
    </i>
    <i r="1">
      <x v="240"/>
      <x/>
    </i>
    <i r="1">
      <x v="241"/>
      <x/>
    </i>
    <i r="1">
      <x v="242"/>
      <x/>
    </i>
    <i r="1">
      <x v="243"/>
      <x/>
    </i>
    <i r="1">
      <x v="244"/>
      <x/>
    </i>
    <i r="1">
      <x v="245"/>
      <x/>
    </i>
    <i r="1">
      <x v="246"/>
      <x/>
    </i>
    <i r="1">
      <x v="247"/>
      <x/>
    </i>
    <i r="1">
      <x v="248"/>
      <x/>
    </i>
    <i r="1">
      <x v="249"/>
      <x/>
    </i>
    <i r="1">
      <x v="250"/>
      <x/>
    </i>
    <i r="1">
      <x v="251"/>
      <x v="1"/>
    </i>
    <i r="1">
      <x v="252"/>
      <x/>
    </i>
    <i r="1">
      <x v="253"/>
      <x/>
    </i>
    <i r="1">
      <x v="254"/>
      <x/>
    </i>
    <i r="1">
      <x v="255"/>
      <x/>
    </i>
    <i r="1">
      <x v="256"/>
      <x/>
    </i>
    <i r="1">
      <x v="257"/>
      <x/>
    </i>
    <i r="1">
      <x v="258"/>
      <x/>
    </i>
    <i r="1">
      <x v="259"/>
      <x/>
    </i>
    <i r="1">
      <x v="260"/>
      <x v="1"/>
    </i>
    <i r="1">
      <x v="261"/>
      <x/>
    </i>
    <i r="1">
      <x v="262"/>
      <x/>
    </i>
    <i r="1">
      <x v="263"/>
      <x v="1"/>
    </i>
    <i r="1">
      <x v="264"/>
      <x/>
    </i>
    <i r="1">
      <x v="265"/>
      <x/>
    </i>
    <i r="1">
      <x v="266"/>
      <x/>
    </i>
    <i r="1">
      <x v="267"/>
      <x/>
    </i>
    <i r="1">
      <x v="268"/>
      <x/>
    </i>
    <i r="1">
      <x v="269"/>
      <x/>
    </i>
    <i r="1">
      <x v="270"/>
      <x/>
    </i>
    <i r="1">
      <x v="271"/>
      <x/>
    </i>
    <i r="1">
      <x v="272"/>
      <x/>
    </i>
    <i r="1">
      <x v="273"/>
      <x/>
    </i>
    <i r="1">
      <x v="274"/>
      <x/>
    </i>
    <i r="1">
      <x v="275"/>
      <x v="1"/>
    </i>
    <i r="1">
      <x v="276"/>
      <x/>
    </i>
    <i r="1">
      <x v="277"/>
      <x/>
    </i>
    <i r="1">
      <x v="278"/>
      <x/>
    </i>
    <i r="1">
      <x v="279"/>
      <x/>
    </i>
    <i r="1">
      <x v="280"/>
      <x/>
    </i>
    <i r="1">
      <x v="281"/>
      <x/>
    </i>
    <i t="grand">
      <x/>
    </i>
  </rowItems>
  <colFields count="2">
    <field x="0"/>
    <field x="-2"/>
  </colFields>
  <colItems count="3">
    <i>
      <x/>
      <x/>
    </i>
    <i r="1" i="1">
      <x v="1"/>
    </i>
    <i r="1" i="2">
      <x v="2"/>
    </i>
  </colItems>
  <dataFields count="3">
    <dataField name="Suma de Area" fld="4" baseField="0" baseItem="0"/>
    <dataField name="Suma de Precio Lista" fld="5" baseField="0" baseItem="0"/>
    <dataField name="Suma de Precio Venta Sin Parq." fld="6" baseField="0" baseItem="0"/>
  </dataFields>
  <formats count="5">
    <format dxfId="236">
      <pivotArea outline="0" fieldPosition="0">
        <references count="2">
          <reference field="4294967294" count="2" selected="0">
            <x v="1"/>
            <x v="2"/>
          </reference>
          <reference field="0" count="0" selected="0"/>
        </references>
      </pivotArea>
    </format>
    <format dxfId="235">
      <pivotArea field="1" type="button" dataOnly="0" labelOnly="1" outline="0" axis="axisRow" fieldPosition="0"/>
    </format>
    <format dxfId="234">
      <pivotArea field="2" type="button" dataOnly="0" labelOnly="1" outline="0" axis="axisRow" fieldPosition="1"/>
    </format>
    <format dxfId="233">
      <pivotArea field="3" type="button" dataOnly="0" labelOnly="1" outline="0" axis="axisRow" fieldPosition="2"/>
    </format>
    <format dxfId="232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0" count="0" selected="0"/>
        </references>
      </pivotArea>
    </format>
  </formats>
  <pivotHierarchies count="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8 2" showRowHeaders="1" showColHeaders="1" showRowStripes="0" showColStripes="0" showLastColumn="1"/>
  <rowHierarchiesUsage count="3">
    <rowHierarchyUsage hierarchyUsage="15"/>
    <rowHierarchyUsage hierarchyUsage="16"/>
    <rowHierarchyUsage hierarchyUsage="18"/>
  </rowHierarchiesUsage>
  <colHierarchiesUsage count="2">
    <colHierarchyUsage hierarchyUsage="14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Torres.xlsx!TORRE_3B">
        <x15:activeTabTopLevelEntity name="[TORRE_3B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0104BD-4FE1-496A-AE1F-31AABF8FE281}" name="TablaDinámica1" cacheId="7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itemPrintTitles="1" mergeItem="1" createdVersion="8" indent="0" outline="1" outlineData="1">
  <location ref="A6:AW51" firstHeaderRow="1" firstDataRow="3" firstDataCol="1"/>
  <pivotFields count="36">
    <pivotField axis="axisCol" showAll="0" defaultSubtotal="0">
      <items count="5">
        <item x="0"/>
        <item x="1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7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96">
        <item h="1" x="0"/>
        <item x="29"/>
        <item x="18"/>
        <item x="7"/>
        <item x="3"/>
        <item x="5"/>
        <item x="17"/>
        <item x="19"/>
        <item x="16"/>
        <item x="15"/>
        <item x="14"/>
        <item x="77"/>
        <item x="93"/>
        <item x="79"/>
        <item x="10"/>
        <item x="30"/>
        <item x="9"/>
        <item x="80"/>
        <item x="4"/>
        <item x="78"/>
        <item x="75"/>
        <item x="81"/>
        <item x="6"/>
        <item x="62"/>
        <item x="11"/>
        <item x="61"/>
        <item x="31"/>
        <item x="32"/>
        <item x="12"/>
        <item x="82"/>
        <item x="28"/>
        <item x="27"/>
        <item x="25"/>
        <item x="8"/>
        <item x="83"/>
        <item x="65"/>
        <item x="33"/>
        <item x="84"/>
        <item x="2"/>
        <item x="21"/>
        <item x="23"/>
        <item x="34"/>
        <item x="26"/>
        <item x="85"/>
        <item x="13"/>
        <item x="22"/>
        <item x="1"/>
        <item x="24"/>
        <item x="74"/>
        <item x="71"/>
        <item x="36"/>
        <item x="95"/>
        <item x="42"/>
        <item x="45"/>
        <item x="57"/>
        <item x="50"/>
        <item x="53"/>
        <item x="46"/>
        <item x="54"/>
        <item x="39"/>
        <item x="20"/>
        <item x="44"/>
        <item x="41"/>
        <item x="94"/>
        <item x="51"/>
        <item x="47"/>
        <item x="48"/>
        <item x="68"/>
        <item x="40"/>
        <item x="43"/>
        <item x="35"/>
        <item x="72"/>
        <item x="55"/>
        <item x="38"/>
        <item x="49"/>
        <item x="37"/>
        <item x="63"/>
        <item x="52"/>
        <item x="56"/>
        <item x="67"/>
        <item x="76"/>
        <item x="58"/>
        <item x="90"/>
        <item x="89"/>
        <item x="70"/>
        <item x="69"/>
        <item x="91"/>
        <item x="92"/>
        <item x="86"/>
        <item x="60"/>
        <item x="73"/>
        <item x="88"/>
        <item x="64"/>
        <item x="66"/>
        <item x="87"/>
        <item x="5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4"/>
  </rowFields>
  <rowItems count="43"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 t="grand">
      <x/>
    </i>
  </rowItems>
  <colFields count="2">
    <field x="0"/>
    <field x="-2"/>
  </colFields>
  <colItems count="48">
    <i>
      <x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>
      <x v="1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>
      <x v="2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>
      <x v="3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>
      <x v="4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t="grand">
      <x/>
    </i>
    <i t="grand" i="1">
      <x/>
    </i>
    <i t="grand" i="2">
      <x/>
    </i>
    <i t="grand" i="3">
      <x/>
    </i>
    <i t="grand" i="4">
      <x/>
    </i>
    <i t="grand" i="5">
      <x/>
    </i>
    <i t="grand" i="6">
      <x/>
    </i>
    <i t="grand" i="7">
      <x/>
    </i>
  </colItems>
  <dataFields count="8">
    <dataField name="INICIAL" fld="29" baseField="1" baseItem="36"/>
    <dataField name=" Credito_t" fld="30" baseField="1" baseItem="36"/>
    <dataField name=" Reformas_t" fld="32" baseField="0" baseItem="0"/>
    <dataField name=" Acabados" fld="3" baseField="0" baseItem="0"/>
    <dataField name=" Intereses_t" fld="31" baseField="0" baseItem="0"/>
    <dataField name=" Estudio de Titulos" fld="9" baseField="0" baseItem="0"/>
    <dataField name=" Impuesto Predial" fld="10" baseField="0" baseItem="0"/>
    <dataField name="TOTAL " fld="2" baseField="1" baseItem="78"/>
  </dataFields>
  <formats count="169">
    <format dxfId="210">
      <pivotArea dataOnly="0" labelOnly="1" outline="0" fieldPosition="0">
        <references count="1">
          <reference field="0" count="1">
            <x v="0"/>
          </reference>
        </references>
      </pivotArea>
    </format>
    <format dxfId="209">
      <pivotArea outline="0" fieldPosition="0">
        <references count="1">
          <reference field="1" count="77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</reference>
        </references>
      </pivotArea>
    </format>
    <format dxfId="208">
      <pivotArea field="1" type="button" dataOnly="0" labelOnly="1" outline="0" axis="axisRow" fieldPosition="0"/>
    </format>
    <format dxfId="207">
      <pivotArea dataOnly="0" labelOnly="1" outline="0" fieldPosition="0">
        <references count="2">
          <reference field="1" count="1" selected="0">
            <x v="0"/>
          </reference>
          <reference field="34" count="1">
            <x v="0"/>
          </reference>
        </references>
      </pivotArea>
    </format>
    <format dxfId="206">
      <pivotArea dataOnly="0" labelOnly="1" outline="0" fieldPosition="0">
        <references count="2">
          <reference field="1" count="1" selected="0">
            <x v="1"/>
          </reference>
          <reference field="34" count="1">
            <x v="0"/>
          </reference>
        </references>
      </pivotArea>
    </format>
    <format dxfId="205">
      <pivotArea dataOnly="0" labelOnly="1" outline="0" fieldPosition="0">
        <references count="2">
          <reference field="1" count="1" selected="0">
            <x v="2"/>
          </reference>
          <reference field="34" count="1">
            <x v="0"/>
          </reference>
        </references>
      </pivotArea>
    </format>
    <format dxfId="204">
      <pivotArea dataOnly="0" labelOnly="1" outline="0" fieldPosition="0">
        <references count="2">
          <reference field="1" count="1" selected="0">
            <x v="3"/>
          </reference>
          <reference field="34" count="1">
            <x v="0"/>
          </reference>
        </references>
      </pivotArea>
    </format>
    <format dxfId="203">
      <pivotArea dataOnly="0" labelOnly="1" outline="0" fieldPosition="0">
        <references count="2">
          <reference field="1" count="1" selected="0">
            <x v="4"/>
          </reference>
          <reference field="34" count="1">
            <x v="0"/>
          </reference>
        </references>
      </pivotArea>
    </format>
    <format dxfId="202">
      <pivotArea dataOnly="0" labelOnly="1" outline="0" fieldPosition="0">
        <references count="2">
          <reference field="1" count="1" selected="0">
            <x v="5"/>
          </reference>
          <reference field="34" count="1">
            <x v="0"/>
          </reference>
        </references>
      </pivotArea>
    </format>
    <format dxfId="201">
      <pivotArea dataOnly="0" labelOnly="1" outline="0" fieldPosition="0">
        <references count="2">
          <reference field="1" count="1" selected="0">
            <x v="6"/>
          </reference>
          <reference field="34" count="1">
            <x v="0"/>
          </reference>
        </references>
      </pivotArea>
    </format>
    <format dxfId="200">
      <pivotArea dataOnly="0" labelOnly="1" outline="0" fieldPosition="0">
        <references count="2">
          <reference field="1" count="1" selected="0">
            <x v="7"/>
          </reference>
          <reference field="34" count="1">
            <x v="0"/>
          </reference>
        </references>
      </pivotArea>
    </format>
    <format dxfId="199">
      <pivotArea dataOnly="0" labelOnly="1" outline="0" fieldPosition="0">
        <references count="2">
          <reference field="1" count="1" selected="0">
            <x v="8"/>
          </reference>
          <reference field="34" count="1">
            <x v="0"/>
          </reference>
        </references>
      </pivotArea>
    </format>
    <format dxfId="198">
      <pivotArea dataOnly="0" labelOnly="1" outline="0" fieldPosition="0">
        <references count="2">
          <reference field="1" count="1" selected="0">
            <x v="9"/>
          </reference>
          <reference field="34" count="1">
            <x v="0"/>
          </reference>
        </references>
      </pivotArea>
    </format>
    <format dxfId="197">
      <pivotArea dataOnly="0" labelOnly="1" outline="0" fieldPosition="0">
        <references count="2">
          <reference field="1" count="1" selected="0">
            <x v="10"/>
          </reference>
          <reference field="34" count="1">
            <x v="0"/>
          </reference>
        </references>
      </pivotArea>
    </format>
    <format dxfId="196">
      <pivotArea dataOnly="0" labelOnly="1" outline="0" fieldPosition="0">
        <references count="2">
          <reference field="1" count="1" selected="0">
            <x v="11"/>
          </reference>
          <reference field="34" count="1">
            <x v="0"/>
          </reference>
        </references>
      </pivotArea>
    </format>
    <format dxfId="195">
      <pivotArea dataOnly="0" labelOnly="1" outline="0" fieldPosition="0">
        <references count="2">
          <reference field="1" count="1" selected="0">
            <x v="12"/>
          </reference>
          <reference field="34" count="1">
            <x v="0"/>
          </reference>
        </references>
      </pivotArea>
    </format>
    <format dxfId="194">
      <pivotArea dataOnly="0" labelOnly="1" outline="0" fieldPosition="0">
        <references count="2">
          <reference field="1" count="1" selected="0">
            <x v="13"/>
          </reference>
          <reference field="34" count="1">
            <x v="0"/>
          </reference>
        </references>
      </pivotArea>
    </format>
    <format dxfId="193">
      <pivotArea dataOnly="0" labelOnly="1" outline="0" fieldPosition="0">
        <references count="2">
          <reference field="1" count="1" selected="0">
            <x v="14"/>
          </reference>
          <reference field="34" count="1">
            <x v="0"/>
          </reference>
        </references>
      </pivotArea>
    </format>
    <format dxfId="192">
      <pivotArea dataOnly="0" labelOnly="1" outline="0" fieldPosition="0">
        <references count="2">
          <reference field="1" count="1" selected="0">
            <x v="15"/>
          </reference>
          <reference field="34" count="1">
            <x v="0"/>
          </reference>
        </references>
      </pivotArea>
    </format>
    <format dxfId="191">
      <pivotArea dataOnly="0" labelOnly="1" outline="0" fieldPosition="0">
        <references count="2">
          <reference field="1" count="1" selected="0">
            <x v="16"/>
          </reference>
          <reference field="34" count="1">
            <x v="0"/>
          </reference>
        </references>
      </pivotArea>
    </format>
    <format dxfId="190">
      <pivotArea dataOnly="0" labelOnly="1" outline="0" fieldPosition="0">
        <references count="2">
          <reference field="1" count="1" selected="0">
            <x v="17"/>
          </reference>
          <reference field="34" count="1">
            <x v="0"/>
          </reference>
        </references>
      </pivotArea>
    </format>
    <format dxfId="189">
      <pivotArea dataOnly="0" labelOnly="1" outline="0" fieldPosition="0">
        <references count="2">
          <reference field="1" count="1" selected="0">
            <x v="18"/>
          </reference>
          <reference field="34" count="1">
            <x v="0"/>
          </reference>
        </references>
      </pivotArea>
    </format>
    <format dxfId="188">
      <pivotArea dataOnly="0" labelOnly="1" outline="0" fieldPosition="0">
        <references count="2">
          <reference field="1" count="1" selected="0">
            <x v="19"/>
          </reference>
          <reference field="34" count="1">
            <x v="0"/>
          </reference>
        </references>
      </pivotArea>
    </format>
    <format dxfId="187">
      <pivotArea dataOnly="0" labelOnly="1" outline="0" fieldPosition="0">
        <references count="2">
          <reference field="1" count="1" selected="0">
            <x v="20"/>
          </reference>
          <reference field="34" count="1">
            <x v="0"/>
          </reference>
        </references>
      </pivotArea>
    </format>
    <format dxfId="186">
      <pivotArea dataOnly="0" labelOnly="1" outline="0" fieldPosition="0">
        <references count="2">
          <reference field="1" count="1" selected="0">
            <x v="21"/>
          </reference>
          <reference field="34" count="1">
            <x v="0"/>
          </reference>
        </references>
      </pivotArea>
    </format>
    <format dxfId="185">
      <pivotArea dataOnly="0" labelOnly="1" outline="0" fieldPosition="0">
        <references count="2">
          <reference field="1" count="1" selected="0">
            <x v="22"/>
          </reference>
          <reference field="34" count="1">
            <x v="0"/>
          </reference>
        </references>
      </pivotArea>
    </format>
    <format dxfId="184">
      <pivotArea dataOnly="0" labelOnly="1" outline="0" fieldPosition="0">
        <references count="2">
          <reference field="1" count="1" selected="0">
            <x v="23"/>
          </reference>
          <reference field="34" count="1">
            <x v="0"/>
          </reference>
        </references>
      </pivotArea>
    </format>
    <format dxfId="183">
      <pivotArea dataOnly="0" labelOnly="1" outline="0" fieldPosition="0">
        <references count="2">
          <reference field="1" count="1" selected="0">
            <x v="24"/>
          </reference>
          <reference field="34" count="1">
            <x v="0"/>
          </reference>
        </references>
      </pivotArea>
    </format>
    <format dxfId="182">
      <pivotArea dataOnly="0" labelOnly="1" outline="0" fieldPosition="0">
        <references count="2">
          <reference field="1" count="1" selected="0">
            <x v="25"/>
          </reference>
          <reference field="34" count="1">
            <x v="0"/>
          </reference>
        </references>
      </pivotArea>
    </format>
    <format dxfId="181">
      <pivotArea dataOnly="0" labelOnly="1" outline="0" fieldPosition="0">
        <references count="2">
          <reference field="1" count="1" selected="0">
            <x v="26"/>
          </reference>
          <reference field="34" count="1">
            <x v="0"/>
          </reference>
        </references>
      </pivotArea>
    </format>
    <format dxfId="180">
      <pivotArea dataOnly="0" labelOnly="1" outline="0" fieldPosition="0">
        <references count="2">
          <reference field="1" count="1" selected="0">
            <x v="27"/>
          </reference>
          <reference field="34" count="1">
            <x v="0"/>
          </reference>
        </references>
      </pivotArea>
    </format>
    <format dxfId="179">
      <pivotArea dataOnly="0" labelOnly="1" outline="0" fieldPosition="0">
        <references count="2">
          <reference field="1" count="1" selected="0">
            <x v="28"/>
          </reference>
          <reference field="34" count="1">
            <x v="0"/>
          </reference>
        </references>
      </pivotArea>
    </format>
    <format dxfId="178">
      <pivotArea dataOnly="0" labelOnly="1" outline="0" fieldPosition="0">
        <references count="2">
          <reference field="1" count="1" selected="0">
            <x v="29"/>
          </reference>
          <reference field="34" count="1">
            <x v="0"/>
          </reference>
        </references>
      </pivotArea>
    </format>
    <format dxfId="177">
      <pivotArea dataOnly="0" labelOnly="1" outline="0" fieldPosition="0">
        <references count="2">
          <reference field="1" count="1" selected="0">
            <x v="30"/>
          </reference>
          <reference field="34" count="1">
            <x v="0"/>
          </reference>
        </references>
      </pivotArea>
    </format>
    <format dxfId="176">
      <pivotArea dataOnly="0" labelOnly="1" outline="0" fieldPosition="0">
        <references count="2">
          <reference field="1" count="1" selected="0">
            <x v="31"/>
          </reference>
          <reference field="34" count="1">
            <x v="0"/>
          </reference>
        </references>
      </pivotArea>
    </format>
    <format dxfId="175">
      <pivotArea dataOnly="0" labelOnly="1" outline="0" fieldPosition="0">
        <references count="2">
          <reference field="1" count="1" selected="0">
            <x v="32"/>
          </reference>
          <reference field="34" count="1">
            <x v="0"/>
          </reference>
        </references>
      </pivotArea>
    </format>
    <format dxfId="174">
      <pivotArea dataOnly="0" labelOnly="1" outline="0" fieldPosition="0">
        <references count="2">
          <reference field="1" count="1" selected="0">
            <x v="33"/>
          </reference>
          <reference field="34" count="1">
            <x v="0"/>
          </reference>
        </references>
      </pivotArea>
    </format>
    <format dxfId="173">
      <pivotArea dataOnly="0" labelOnly="1" outline="0" fieldPosition="0">
        <references count="2">
          <reference field="1" count="1" selected="0">
            <x v="34"/>
          </reference>
          <reference field="34" count="1">
            <x v="0"/>
          </reference>
        </references>
      </pivotArea>
    </format>
    <format dxfId="172">
      <pivotArea dataOnly="0" labelOnly="1" outline="0" fieldPosition="0">
        <references count="2">
          <reference field="1" count="1" selected="0">
            <x v="35"/>
          </reference>
          <reference field="34" count="1">
            <x v="0"/>
          </reference>
        </references>
      </pivotArea>
    </format>
    <format dxfId="171">
      <pivotArea dataOnly="0" labelOnly="1" outline="0" fieldPosition="0">
        <references count="2">
          <reference field="1" count="1" selected="0">
            <x v="36"/>
          </reference>
          <reference field="34" count="2">
            <x v="0"/>
            <x v="11"/>
          </reference>
        </references>
      </pivotArea>
    </format>
    <format dxfId="170">
      <pivotArea dataOnly="0" labelOnly="1" outline="0" fieldPosition="0">
        <references count="2">
          <reference field="1" count="1" selected="0">
            <x v="37"/>
          </reference>
          <reference field="34" count="3">
            <x v="0"/>
            <x v="19"/>
            <x v="46"/>
          </reference>
        </references>
      </pivotArea>
    </format>
    <format dxfId="169">
      <pivotArea dataOnly="0" labelOnly="1" outline="0" fieldPosition="0">
        <references count="2">
          <reference field="1" count="1" selected="0">
            <x v="38"/>
          </reference>
          <reference field="34" count="2">
            <x v="0"/>
            <x v="19"/>
          </reference>
        </references>
      </pivotArea>
    </format>
    <format dxfId="168">
      <pivotArea dataOnly="0" labelOnly="1" outline="0" fieldPosition="0">
        <references count="2">
          <reference field="1" count="1" selected="0">
            <x v="39"/>
          </reference>
          <reference field="34" count="3">
            <x v="0"/>
            <x v="13"/>
            <x v="38"/>
          </reference>
        </references>
      </pivotArea>
    </format>
    <format dxfId="167">
      <pivotArea dataOnly="0" labelOnly="1" outline="0" fieldPosition="0">
        <references count="2">
          <reference field="1" count="1" selected="0">
            <x v="40"/>
          </reference>
          <reference field="34" count="2">
            <x v="0"/>
            <x v="13"/>
          </reference>
        </references>
      </pivotArea>
    </format>
    <format dxfId="166">
      <pivotArea dataOnly="0" labelOnly="1" outline="0" fieldPosition="0">
        <references count="2">
          <reference field="1" count="1" selected="0">
            <x v="41"/>
          </reference>
          <reference field="34" count="2">
            <x v="0"/>
            <x v="13"/>
          </reference>
        </references>
      </pivotArea>
    </format>
    <format dxfId="165">
      <pivotArea dataOnly="0" labelOnly="1" outline="0" fieldPosition="0">
        <references count="2">
          <reference field="1" count="1" selected="0">
            <x v="42"/>
          </reference>
          <reference field="34" count="3">
            <x v="0"/>
            <x v="4"/>
            <x v="13"/>
          </reference>
        </references>
      </pivotArea>
    </format>
    <format dxfId="164">
      <pivotArea dataOnly="0" labelOnly="1" outline="0" fieldPosition="0">
        <references count="2">
          <reference field="1" count="1" selected="0">
            <x v="43"/>
          </reference>
          <reference field="34" count="4">
            <x v="0"/>
            <x v="13"/>
            <x v="18"/>
            <x v="25"/>
          </reference>
        </references>
      </pivotArea>
    </format>
    <format dxfId="163">
      <pivotArea dataOnly="0" labelOnly="1" outline="0" fieldPosition="0">
        <references count="2">
          <reference field="1" count="1" selected="0">
            <x v="44"/>
          </reference>
          <reference field="34" count="3">
            <x v="0"/>
            <x v="5"/>
            <x v="13"/>
          </reference>
        </references>
      </pivotArea>
    </format>
    <format dxfId="162">
      <pivotArea dataOnly="0" labelOnly="1" outline="0" fieldPosition="0">
        <references count="2">
          <reference field="1" count="1" selected="0">
            <x v="45"/>
          </reference>
          <reference field="34" count="4">
            <x v="0"/>
            <x v="2"/>
            <x v="13"/>
            <x v="22"/>
          </reference>
        </references>
      </pivotArea>
    </format>
    <format dxfId="161">
      <pivotArea dataOnly="0" labelOnly="1" outline="0" fieldPosition="0">
        <references count="2">
          <reference field="1" count="1" selected="0">
            <x v="46"/>
          </reference>
          <reference field="34" count="5">
            <x v="1"/>
            <x v="3"/>
            <x v="7"/>
            <x v="17"/>
            <x v="23"/>
          </reference>
        </references>
      </pivotArea>
    </format>
    <format dxfId="160">
      <pivotArea dataOnly="0" labelOnly="1" outline="0" fieldPosition="0">
        <references count="2">
          <reference field="1" count="1" selected="0">
            <x v="47"/>
          </reference>
          <reference field="34" count="5">
            <x v="15"/>
            <x v="21"/>
            <x v="33"/>
            <x v="60"/>
            <x v="76"/>
          </reference>
        </references>
      </pivotArea>
    </format>
    <format dxfId="159">
      <pivotArea dataOnly="0" labelOnly="1" outline="0" fieldPosition="0">
        <references count="2">
          <reference field="1" count="1" selected="0">
            <x v="48"/>
          </reference>
          <reference field="34" count="5">
            <x v="16"/>
            <x v="26"/>
            <x v="29"/>
            <x v="39"/>
            <x v="92"/>
          </reference>
        </references>
      </pivotArea>
    </format>
    <format dxfId="158">
      <pivotArea dataOnly="0" labelOnly="1" outline="0" fieldPosition="0">
        <references count="2">
          <reference field="1" count="1" selected="0">
            <x v="49"/>
          </reference>
          <reference field="34" count="5">
            <x v="0"/>
            <x v="27"/>
            <x v="34"/>
            <x v="35"/>
            <x v="45"/>
          </reference>
        </references>
      </pivotArea>
    </format>
    <format dxfId="157">
      <pivotArea dataOnly="0" labelOnly="1" outline="0" fieldPosition="0">
        <references count="2">
          <reference field="1" count="1" selected="0">
            <x v="50"/>
          </reference>
          <reference field="34" count="5">
            <x v="14"/>
            <x v="36"/>
            <x v="37"/>
            <x v="40"/>
            <x v="93"/>
          </reference>
        </references>
      </pivotArea>
    </format>
    <format dxfId="156">
      <pivotArea dataOnly="0" labelOnly="1" outline="0" fieldPosition="0">
        <references count="2">
          <reference field="1" count="1" selected="0">
            <x v="51"/>
          </reference>
          <reference field="34" count="5">
            <x v="24"/>
            <x v="41"/>
            <x v="43"/>
            <x v="47"/>
            <x v="79"/>
          </reference>
        </references>
      </pivotArea>
    </format>
    <format dxfId="155">
      <pivotArea dataOnly="0" labelOnly="1" outline="0" fieldPosition="0">
        <references count="2">
          <reference field="1" count="1" selected="0">
            <x v="52"/>
          </reference>
          <reference field="34" count="5">
            <x v="28"/>
            <x v="32"/>
            <x v="67"/>
            <x v="70"/>
            <x v="88"/>
          </reference>
        </references>
      </pivotArea>
    </format>
    <format dxfId="154">
      <pivotArea dataOnly="0" labelOnly="1" outline="0" fieldPosition="0">
        <references count="2">
          <reference field="1" count="1" selected="0">
            <x v="53"/>
          </reference>
          <reference field="34" count="5">
            <x v="42"/>
            <x v="44"/>
            <x v="50"/>
            <x v="85"/>
            <x v="94"/>
          </reference>
        </references>
      </pivotArea>
    </format>
    <format dxfId="153">
      <pivotArea dataOnly="0" labelOnly="1" outline="0" fieldPosition="0">
        <references count="2">
          <reference field="1" count="1" selected="0">
            <x v="54"/>
          </reference>
          <reference field="34" count="4">
            <x v="10"/>
            <x v="75"/>
            <x v="84"/>
            <x v="91"/>
          </reference>
        </references>
      </pivotArea>
    </format>
    <format dxfId="152">
      <pivotArea dataOnly="0" labelOnly="1" outline="0" fieldPosition="0">
        <references count="2">
          <reference field="1" count="1" selected="0">
            <x v="55"/>
          </reference>
          <reference field="34" count="5">
            <x v="9"/>
            <x v="31"/>
            <x v="49"/>
            <x v="73"/>
            <x v="83"/>
          </reference>
        </references>
      </pivotArea>
    </format>
    <format dxfId="151">
      <pivotArea dataOnly="0" labelOnly="1" outline="0" fieldPosition="0">
        <references count="2">
          <reference field="1" count="1" selected="0">
            <x v="56"/>
          </reference>
          <reference field="34" count="4">
            <x v="8"/>
            <x v="59"/>
            <x v="71"/>
            <x v="82"/>
          </reference>
        </references>
      </pivotArea>
    </format>
    <format dxfId="150">
      <pivotArea dataOnly="0" labelOnly="1" outline="0" fieldPosition="0">
        <references count="2">
          <reference field="1" count="1" selected="0">
            <x v="57"/>
          </reference>
          <reference field="34" count="5">
            <x v="6"/>
            <x v="30"/>
            <x v="68"/>
            <x v="86"/>
            <x v="90"/>
          </reference>
        </references>
      </pivotArea>
    </format>
    <format dxfId="149">
      <pivotArea dataOnly="0" labelOnly="1" outline="0" fieldPosition="0">
        <references count="2">
          <reference field="1" count="1" selected="0">
            <x v="58"/>
          </reference>
          <reference field="34" count="3">
            <x v="48"/>
            <x v="62"/>
            <x v="87"/>
          </reference>
        </references>
      </pivotArea>
    </format>
    <format dxfId="148">
      <pivotArea dataOnly="0" labelOnly="1" outline="0" fieldPosition="0">
        <references count="2">
          <reference field="1" count="1" selected="0">
            <x v="59"/>
          </reference>
          <reference field="34" count="3">
            <x v="12"/>
            <x v="20"/>
            <x v="52"/>
          </reference>
        </references>
      </pivotArea>
    </format>
    <format dxfId="147">
      <pivotArea dataOnly="0" labelOnly="1" outline="0" fieldPosition="0">
        <references count="2">
          <reference field="1" count="1" selected="0">
            <x v="60"/>
          </reference>
          <reference field="34" count="3">
            <x v="63"/>
            <x v="69"/>
            <x v="80"/>
          </reference>
        </references>
      </pivotArea>
    </format>
    <format dxfId="146">
      <pivotArea dataOnly="0" labelOnly="1" outline="0" fieldPosition="0">
        <references count="2">
          <reference field="1" count="1" selected="0">
            <x v="61"/>
          </reference>
          <reference field="34" count="1">
            <x v="61"/>
          </reference>
        </references>
      </pivotArea>
    </format>
    <format dxfId="145">
      <pivotArea dataOnly="0" labelOnly="1" outline="0" fieldPosition="0">
        <references count="2">
          <reference field="1" count="1" selected="0">
            <x v="62"/>
          </reference>
          <reference field="34" count="1">
            <x v="53"/>
          </reference>
        </references>
      </pivotArea>
    </format>
    <format dxfId="144">
      <pivotArea dataOnly="0" labelOnly="1" outline="0" fieldPosition="0">
        <references count="2">
          <reference field="1" count="1" selected="0">
            <x v="63"/>
          </reference>
          <reference field="34" count="1">
            <x v="57"/>
          </reference>
        </references>
      </pivotArea>
    </format>
    <format dxfId="143">
      <pivotArea dataOnly="0" labelOnly="1" outline="0" fieldPosition="0">
        <references count="2">
          <reference field="1" count="1" selected="0">
            <x v="64"/>
          </reference>
          <reference field="34" count="1">
            <x v="65"/>
          </reference>
        </references>
      </pivotArea>
    </format>
    <format dxfId="142">
      <pivotArea dataOnly="0" labelOnly="1" outline="0" fieldPosition="0">
        <references count="2">
          <reference field="1" count="1" selected="0">
            <x v="65"/>
          </reference>
          <reference field="34" count="1">
            <x v="66"/>
          </reference>
        </references>
      </pivotArea>
    </format>
    <format dxfId="141">
      <pivotArea dataOnly="0" labelOnly="1" outline="0" fieldPosition="0">
        <references count="2">
          <reference field="1" count="1" selected="0">
            <x v="66"/>
          </reference>
          <reference field="34" count="1">
            <x v="74"/>
          </reference>
        </references>
      </pivotArea>
    </format>
    <format dxfId="140">
      <pivotArea dataOnly="0" labelOnly="1" outline="0" fieldPosition="0">
        <references count="2">
          <reference field="1" count="1" selected="0">
            <x v="67"/>
          </reference>
          <reference field="34" count="1">
            <x v="55"/>
          </reference>
        </references>
      </pivotArea>
    </format>
    <format dxfId="139">
      <pivotArea dataOnly="0" labelOnly="1" outline="0" fieldPosition="0">
        <references count="2">
          <reference field="1" count="1" selected="0">
            <x v="68"/>
          </reference>
          <reference field="34" count="1">
            <x v="64"/>
          </reference>
        </references>
      </pivotArea>
    </format>
    <format dxfId="138">
      <pivotArea dataOnly="0" labelOnly="1" outline="0" fieldPosition="0">
        <references count="2">
          <reference field="1" count="1" selected="0">
            <x v="69"/>
          </reference>
          <reference field="34" count="1">
            <x v="77"/>
          </reference>
        </references>
      </pivotArea>
    </format>
    <format dxfId="137">
      <pivotArea dataOnly="0" labelOnly="1" outline="0" fieldPosition="0">
        <references count="2">
          <reference field="1" count="1" selected="0">
            <x v="70"/>
          </reference>
          <reference field="34" count="1">
            <x v="56"/>
          </reference>
        </references>
      </pivotArea>
    </format>
    <format dxfId="136">
      <pivotArea dataOnly="0" labelOnly="1" outline="0" fieldPosition="0">
        <references count="2">
          <reference field="1" count="1" selected="0">
            <x v="71"/>
          </reference>
          <reference field="34" count="1">
            <x v="58"/>
          </reference>
        </references>
      </pivotArea>
    </format>
    <format dxfId="135">
      <pivotArea dataOnly="0" labelOnly="1" outline="0" fieldPosition="0">
        <references count="2">
          <reference field="1" count="1" selected="0">
            <x v="72"/>
          </reference>
          <reference field="34" count="1">
            <x v="72"/>
          </reference>
        </references>
      </pivotArea>
    </format>
    <format dxfId="134">
      <pivotArea dataOnly="0" labelOnly="1" outline="0" fieldPosition="0">
        <references count="2">
          <reference field="1" count="1" selected="0">
            <x v="73"/>
          </reference>
          <reference field="34" count="1">
            <x v="78"/>
          </reference>
        </references>
      </pivotArea>
    </format>
    <format dxfId="133">
      <pivotArea dataOnly="0" labelOnly="1" outline="0" fieldPosition="0">
        <references count="2">
          <reference field="1" count="1" selected="0">
            <x v="74"/>
          </reference>
          <reference field="34" count="1">
            <x v="54"/>
          </reference>
        </references>
      </pivotArea>
    </format>
    <format dxfId="132">
      <pivotArea dataOnly="0" labelOnly="1" outline="0" fieldPosition="0">
        <references count="2">
          <reference field="1" count="1" selected="0">
            <x v="75"/>
          </reference>
          <reference field="34" count="1">
            <x v="81"/>
          </reference>
        </references>
      </pivotArea>
    </format>
    <format dxfId="131">
      <pivotArea dataOnly="0" labelOnly="1" outline="0" fieldPosition="0">
        <references count="2">
          <reference field="1" count="1" selected="0">
            <x v="76"/>
          </reference>
          <reference field="34" count="2">
            <x v="51"/>
            <x v="95"/>
          </reference>
        </references>
      </pivotArea>
    </format>
    <format dxfId="130">
      <pivotArea dataOnly="0" labelOnly="1" outline="0" fieldPosition="0">
        <references count="2">
          <reference field="1" count="1" selected="0">
            <x v="77"/>
          </reference>
          <reference field="34" count="1">
            <x v="89"/>
          </reference>
        </references>
      </pivotArea>
    </format>
    <format dxfId="129">
      <pivotArea outline="0" collapsedLevelsAreSubtotals="1" fieldPosition="0"/>
    </format>
    <format dxfId="128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>
            <x v="36"/>
          </reference>
        </references>
      </pivotArea>
    </format>
    <format dxfId="127">
      <pivotArea dataOnly="0" labelOnly="1" fieldPosition="0">
        <references count="1">
          <reference field="1" count="42"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</reference>
        </references>
      </pivotArea>
    </format>
    <format dxfId="126">
      <pivotArea collapsedLevelsAreSubtotals="1" fieldPosition="0">
        <references count="3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0" count="3" selected="0">
            <x v="2"/>
            <x v="3"/>
            <x v="4"/>
          </reference>
          <reference field="1" count="1">
            <x v="36"/>
          </reference>
        </references>
      </pivotArea>
    </format>
    <format dxfId="125">
      <pivotArea field="1" grandCol="1" collapsedLevelsAreSubtotals="1" axis="axisRow" fieldPosition="0">
        <references count="2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1" count="1">
            <x v="36"/>
          </reference>
        </references>
      </pivotArea>
    </format>
    <format dxfId="124">
      <pivotArea collapsedLevelsAreSubtotals="1" fieldPosition="0">
        <references count="3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0" count="3" selected="0">
            <x v="2"/>
            <x v="3"/>
            <x v="4"/>
          </reference>
          <reference field="1" count="1">
            <x v="37"/>
          </reference>
        </references>
      </pivotArea>
    </format>
    <format dxfId="123">
      <pivotArea field="1" grandCol="1" collapsedLevelsAreSubtotals="1" axis="axisRow" fieldPosition="0">
        <references count="2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1" count="1">
            <x v="37"/>
          </reference>
        </references>
      </pivotArea>
    </format>
    <format dxfId="122">
      <pivotArea collapsedLevelsAreSubtotals="1" fieldPosition="0">
        <references count="3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0" count="3" selected="0">
            <x v="2"/>
            <x v="3"/>
            <x v="4"/>
          </reference>
          <reference field="1" count="1">
            <x v="38"/>
          </reference>
        </references>
      </pivotArea>
    </format>
    <format dxfId="121">
      <pivotArea field="1" grandCol="1" collapsedLevelsAreSubtotals="1" axis="axisRow" fieldPosition="0">
        <references count="2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1" count="1">
            <x v="38"/>
          </reference>
        </references>
      </pivotArea>
    </format>
    <format dxfId="120">
      <pivotArea collapsedLevelsAreSubtotals="1" fieldPosition="0">
        <references count="3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0" count="3" selected="0">
            <x v="2"/>
            <x v="3"/>
            <x v="4"/>
          </reference>
          <reference field="1" count="1">
            <x v="39"/>
          </reference>
        </references>
      </pivotArea>
    </format>
    <format dxfId="119">
      <pivotArea field="1" grandCol="1" collapsedLevelsAreSubtotals="1" axis="axisRow" fieldPosition="0">
        <references count="2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1" count="1">
            <x v="39"/>
          </reference>
        </references>
      </pivotArea>
    </format>
    <format dxfId="118">
      <pivotArea collapsedLevelsAreSubtotals="1" fieldPosition="0">
        <references count="3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0" count="3" selected="0">
            <x v="2"/>
            <x v="3"/>
            <x v="4"/>
          </reference>
          <reference field="1" count="1">
            <x v="40"/>
          </reference>
        </references>
      </pivotArea>
    </format>
    <format dxfId="117">
      <pivotArea field="1" grandCol="1" collapsedLevelsAreSubtotals="1" axis="axisRow" fieldPosition="0">
        <references count="2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1" count="1">
            <x v="40"/>
          </reference>
        </references>
      </pivotArea>
    </format>
    <format dxfId="116">
      <pivotArea collapsedLevelsAreSubtotals="1" fieldPosition="0">
        <references count="3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0" count="3" selected="0">
            <x v="2"/>
            <x v="3"/>
            <x v="4"/>
          </reference>
          <reference field="1" count="1">
            <x v="41"/>
          </reference>
        </references>
      </pivotArea>
    </format>
    <format dxfId="115">
      <pivotArea field="1" grandCol="1" collapsedLevelsAreSubtotals="1" axis="axisRow" fieldPosition="0">
        <references count="2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1" count="1">
            <x v="41"/>
          </reference>
        </references>
      </pivotArea>
    </format>
    <format dxfId="114">
      <pivotArea collapsedLevelsAreSubtotals="1" fieldPosition="0">
        <references count="3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0" count="3" selected="0">
            <x v="2"/>
            <x v="3"/>
            <x v="4"/>
          </reference>
          <reference field="1" count="1">
            <x v="42"/>
          </reference>
        </references>
      </pivotArea>
    </format>
    <format dxfId="113">
      <pivotArea field="1" grandCol="1" collapsedLevelsAreSubtotals="1" axis="axisRow" fieldPosition="0">
        <references count="2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1" count="1">
            <x v="42"/>
          </reference>
        </references>
      </pivotArea>
    </format>
    <format dxfId="112">
      <pivotArea collapsedLevelsAreSubtotals="1" fieldPosition="0">
        <references count="3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0" count="3" selected="0">
            <x v="2"/>
            <x v="3"/>
            <x v="4"/>
          </reference>
          <reference field="1" count="1">
            <x v="43"/>
          </reference>
        </references>
      </pivotArea>
    </format>
    <format dxfId="111">
      <pivotArea field="1" grandCol="1" collapsedLevelsAreSubtotals="1" axis="axisRow" fieldPosition="0">
        <references count="2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1" count="1">
            <x v="43"/>
          </reference>
        </references>
      </pivotArea>
    </format>
    <format dxfId="110">
      <pivotArea collapsedLevelsAreSubtotals="1" fieldPosition="0">
        <references count="3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0" count="3" selected="0">
            <x v="2"/>
            <x v="3"/>
            <x v="4"/>
          </reference>
          <reference field="1" count="1">
            <x v="44"/>
          </reference>
        </references>
      </pivotArea>
    </format>
    <format dxfId="109">
      <pivotArea field="1" grandCol="1" collapsedLevelsAreSubtotals="1" axis="axisRow" fieldPosition="0">
        <references count="2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1" count="1">
            <x v="44"/>
          </reference>
        </references>
      </pivotArea>
    </format>
    <format dxfId="108">
      <pivotArea collapsedLevelsAreSubtotals="1" fieldPosition="0">
        <references count="3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0" count="3" selected="0">
            <x v="2"/>
            <x v="3"/>
            <x v="4"/>
          </reference>
          <reference field="1" count="1">
            <x v="45"/>
          </reference>
        </references>
      </pivotArea>
    </format>
    <format dxfId="107">
      <pivotArea field="1" grandCol="1" collapsedLevelsAreSubtotals="1" axis="axisRow" fieldPosition="0">
        <references count="2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1" count="1">
            <x v="45"/>
          </reference>
        </references>
      </pivotArea>
    </format>
    <format dxfId="106">
      <pivotArea collapsedLevelsAreSubtotals="1" fieldPosition="0">
        <references count="3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0" count="3" selected="0">
            <x v="2"/>
            <x v="3"/>
            <x v="4"/>
          </reference>
          <reference field="1" count="1">
            <x v="46"/>
          </reference>
        </references>
      </pivotArea>
    </format>
    <format dxfId="105">
      <pivotArea field="1" grandCol="1" collapsedLevelsAreSubtotals="1" axis="axisRow" fieldPosition="0">
        <references count="2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1" count="1">
            <x v="46"/>
          </reference>
        </references>
      </pivotArea>
    </format>
    <format dxfId="104">
      <pivotArea collapsedLevelsAreSubtotals="1" fieldPosition="0">
        <references count="3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0" count="3" selected="0">
            <x v="2"/>
            <x v="3"/>
            <x v="4"/>
          </reference>
          <reference field="1" count="1">
            <x v="47"/>
          </reference>
        </references>
      </pivotArea>
    </format>
    <format dxfId="103">
      <pivotArea field="1" grandCol="1" collapsedLevelsAreSubtotals="1" axis="axisRow" fieldPosition="0">
        <references count="2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1" count="1">
            <x v="47"/>
          </reference>
        </references>
      </pivotArea>
    </format>
    <format dxfId="102">
      <pivotArea collapsedLevelsAreSubtotals="1" fieldPosition="0">
        <references count="3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0" count="3" selected="0">
            <x v="2"/>
            <x v="3"/>
            <x v="4"/>
          </reference>
          <reference field="1" count="1">
            <x v="48"/>
          </reference>
        </references>
      </pivotArea>
    </format>
    <format dxfId="101">
      <pivotArea field="1" grandCol="1" collapsedLevelsAreSubtotals="1" axis="axisRow" fieldPosition="0">
        <references count="2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1" count="1">
            <x v="48"/>
          </reference>
        </references>
      </pivotArea>
    </format>
    <format dxfId="100">
      <pivotArea collapsedLevelsAreSubtotals="1" fieldPosition="0">
        <references count="3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0" count="3" selected="0">
            <x v="2"/>
            <x v="3"/>
            <x v="4"/>
          </reference>
          <reference field="1" count="1">
            <x v="49"/>
          </reference>
        </references>
      </pivotArea>
    </format>
    <format dxfId="99">
      <pivotArea field="1" grandCol="1" collapsedLevelsAreSubtotals="1" axis="axisRow" fieldPosition="0">
        <references count="2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1" count="1">
            <x v="49"/>
          </reference>
        </references>
      </pivotArea>
    </format>
    <format dxfId="98">
      <pivotArea collapsedLevelsAreSubtotals="1" fieldPosition="0">
        <references count="3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0" count="3" selected="0">
            <x v="2"/>
            <x v="3"/>
            <x v="4"/>
          </reference>
          <reference field="1" count="1">
            <x v="50"/>
          </reference>
        </references>
      </pivotArea>
    </format>
    <format dxfId="97">
      <pivotArea field="1" grandCol="1" collapsedLevelsAreSubtotals="1" axis="axisRow" fieldPosition="0">
        <references count="2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1" count="1">
            <x v="50"/>
          </reference>
        </references>
      </pivotArea>
    </format>
    <format dxfId="96">
      <pivotArea collapsedLevelsAreSubtotals="1" fieldPosition="0">
        <references count="3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0" count="3" selected="0">
            <x v="2"/>
            <x v="3"/>
            <x v="4"/>
          </reference>
          <reference field="1" count="1">
            <x v="51"/>
          </reference>
        </references>
      </pivotArea>
    </format>
    <format dxfId="95">
      <pivotArea field="1" grandCol="1" collapsedLevelsAreSubtotals="1" axis="axisRow" fieldPosition="0">
        <references count="2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1" count="1">
            <x v="51"/>
          </reference>
        </references>
      </pivotArea>
    </format>
    <format dxfId="94">
      <pivotArea collapsedLevelsAreSubtotals="1" fieldPosition="0">
        <references count="3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0" count="3" selected="0">
            <x v="2"/>
            <x v="3"/>
            <x v="4"/>
          </reference>
          <reference field="1" count="1">
            <x v="52"/>
          </reference>
        </references>
      </pivotArea>
    </format>
    <format dxfId="93">
      <pivotArea field="1" grandCol="1" collapsedLevelsAreSubtotals="1" axis="axisRow" fieldPosition="0">
        <references count="2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1" count="1">
            <x v="52"/>
          </reference>
        </references>
      </pivotArea>
    </format>
    <format dxfId="92">
      <pivotArea collapsedLevelsAreSubtotals="1" fieldPosition="0">
        <references count="3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0" count="3" selected="0">
            <x v="2"/>
            <x v="3"/>
            <x v="4"/>
          </reference>
          <reference field="1" count="1">
            <x v="53"/>
          </reference>
        </references>
      </pivotArea>
    </format>
    <format dxfId="91">
      <pivotArea field="1" grandCol="1" collapsedLevelsAreSubtotals="1" axis="axisRow" fieldPosition="0">
        <references count="2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1" count="1">
            <x v="53"/>
          </reference>
        </references>
      </pivotArea>
    </format>
    <format dxfId="90">
      <pivotArea collapsedLevelsAreSubtotals="1" fieldPosition="0">
        <references count="3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0" count="3" selected="0">
            <x v="2"/>
            <x v="3"/>
            <x v="4"/>
          </reference>
          <reference field="1" count="1">
            <x v="54"/>
          </reference>
        </references>
      </pivotArea>
    </format>
    <format dxfId="89">
      <pivotArea field="1" grandCol="1" collapsedLevelsAreSubtotals="1" axis="axisRow" fieldPosition="0">
        <references count="2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1" count="1">
            <x v="54"/>
          </reference>
        </references>
      </pivotArea>
    </format>
    <format dxfId="88">
      <pivotArea collapsedLevelsAreSubtotals="1" fieldPosition="0">
        <references count="3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0" count="3" selected="0">
            <x v="2"/>
            <x v="3"/>
            <x v="4"/>
          </reference>
          <reference field="1" count="1">
            <x v="55"/>
          </reference>
        </references>
      </pivotArea>
    </format>
    <format dxfId="87">
      <pivotArea field="1" grandCol="1" collapsedLevelsAreSubtotals="1" axis="axisRow" fieldPosition="0">
        <references count="2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1" count="1">
            <x v="55"/>
          </reference>
        </references>
      </pivotArea>
    </format>
    <format dxfId="86">
      <pivotArea collapsedLevelsAreSubtotals="1" fieldPosition="0">
        <references count="3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0" count="3" selected="0">
            <x v="2"/>
            <x v="3"/>
            <x v="4"/>
          </reference>
          <reference field="1" count="1">
            <x v="56"/>
          </reference>
        </references>
      </pivotArea>
    </format>
    <format dxfId="85">
      <pivotArea field="1" grandCol="1" collapsedLevelsAreSubtotals="1" axis="axisRow" fieldPosition="0">
        <references count="2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1" count="1">
            <x v="56"/>
          </reference>
        </references>
      </pivotArea>
    </format>
    <format dxfId="84">
      <pivotArea collapsedLevelsAreSubtotals="1" fieldPosition="0">
        <references count="3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0" count="3" selected="0">
            <x v="2"/>
            <x v="3"/>
            <x v="4"/>
          </reference>
          <reference field="1" count="1">
            <x v="57"/>
          </reference>
        </references>
      </pivotArea>
    </format>
    <format dxfId="83">
      <pivotArea field="1" grandCol="1" collapsedLevelsAreSubtotals="1" axis="axisRow" fieldPosition="0">
        <references count="2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1" count="1">
            <x v="57"/>
          </reference>
        </references>
      </pivotArea>
    </format>
    <format dxfId="82">
      <pivotArea collapsedLevelsAreSubtotals="1" fieldPosition="0">
        <references count="3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0" count="3" selected="0">
            <x v="2"/>
            <x v="3"/>
            <x v="4"/>
          </reference>
          <reference field="1" count="1">
            <x v="58"/>
          </reference>
        </references>
      </pivotArea>
    </format>
    <format dxfId="81">
      <pivotArea field="1" grandCol="1" collapsedLevelsAreSubtotals="1" axis="axisRow" fieldPosition="0">
        <references count="2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1" count="1">
            <x v="58"/>
          </reference>
        </references>
      </pivotArea>
    </format>
    <format dxfId="80">
      <pivotArea collapsedLevelsAreSubtotals="1" fieldPosition="0">
        <references count="3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0" count="3" selected="0">
            <x v="2"/>
            <x v="3"/>
            <x v="4"/>
          </reference>
          <reference field="1" count="1">
            <x v="59"/>
          </reference>
        </references>
      </pivotArea>
    </format>
    <format dxfId="79">
      <pivotArea field="1" grandCol="1" collapsedLevelsAreSubtotals="1" axis="axisRow" fieldPosition="0">
        <references count="2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1" count="1">
            <x v="59"/>
          </reference>
        </references>
      </pivotArea>
    </format>
    <format dxfId="78">
      <pivotArea collapsedLevelsAreSubtotals="1" fieldPosition="0">
        <references count="3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0" count="3" selected="0">
            <x v="2"/>
            <x v="3"/>
            <x v="4"/>
          </reference>
          <reference field="1" count="1">
            <x v="60"/>
          </reference>
        </references>
      </pivotArea>
    </format>
    <format dxfId="77">
      <pivotArea field="1" grandCol="1" collapsedLevelsAreSubtotals="1" axis="axisRow" fieldPosition="0">
        <references count="2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1" count="1">
            <x v="60"/>
          </reference>
        </references>
      </pivotArea>
    </format>
    <format dxfId="76">
      <pivotArea collapsedLevelsAreSubtotals="1" fieldPosition="0">
        <references count="3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0" count="3" selected="0">
            <x v="2"/>
            <x v="3"/>
            <x v="4"/>
          </reference>
          <reference field="1" count="1">
            <x v="61"/>
          </reference>
        </references>
      </pivotArea>
    </format>
    <format dxfId="75">
      <pivotArea field="1" grandCol="1" collapsedLevelsAreSubtotals="1" axis="axisRow" fieldPosition="0">
        <references count="2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1" count="1">
            <x v="61"/>
          </reference>
        </references>
      </pivotArea>
    </format>
    <format dxfId="74">
      <pivotArea collapsedLevelsAreSubtotals="1" fieldPosition="0">
        <references count="3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0" count="3" selected="0">
            <x v="2"/>
            <x v="3"/>
            <x v="4"/>
          </reference>
          <reference field="1" count="1">
            <x v="62"/>
          </reference>
        </references>
      </pivotArea>
    </format>
    <format dxfId="73">
      <pivotArea field="1" grandCol="1" collapsedLevelsAreSubtotals="1" axis="axisRow" fieldPosition="0">
        <references count="2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1" count="1">
            <x v="62"/>
          </reference>
        </references>
      </pivotArea>
    </format>
    <format dxfId="72">
      <pivotArea collapsedLevelsAreSubtotals="1" fieldPosition="0">
        <references count="3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0" count="3" selected="0">
            <x v="2"/>
            <x v="3"/>
            <x v="4"/>
          </reference>
          <reference field="1" count="1">
            <x v="63"/>
          </reference>
        </references>
      </pivotArea>
    </format>
    <format dxfId="71">
      <pivotArea field="1" grandCol="1" collapsedLevelsAreSubtotals="1" axis="axisRow" fieldPosition="0">
        <references count="2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1" count="1">
            <x v="63"/>
          </reference>
        </references>
      </pivotArea>
    </format>
    <format dxfId="70">
      <pivotArea collapsedLevelsAreSubtotals="1" fieldPosition="0">
        <references count="3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0" count="3" selected="0">
            <x v="2"/>
            <x v="3"/>
            <x v="4"/>
          </reference>
          <reference field="1" count="1">
            <x v="64"/>
          </reference>
        </references>
      </pivotArea>
    </format>
    <format dxfId="69">
      <pivotArea field="1" grandCol="1" collapsedLevelsAreSubtotals="1" axis="axisRow" fieldPosition="0">
        <references count="2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1" count="1">
            <x v="64"/>
          </reference>
        </references>
      </pivotArea>
    </format>
    <format dxfId="68">
      <pivotArea collapsedLevelsAreSubtotals="1" fieldPosition="0">
        <references count="3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0" count="3" selected="0">
            <x v="2"/>
            <x v="3"/>
            <x v="4"/>
          </reference>
          <reference field="1" count="1">
            <x v="65"/>
          </reference>
        </references>
      </pivotArea>
    </format>
    <format dxfId="67">
      <pivotArea field="1" grandCol="1" collapsedLevelsAreSubtotals="1" axis="axisRow" fieldPosition="0">
        <references count="2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1" count="1">
            <x v="65"/>
          </reference>
        </references>
      </pivotArea>
    </format>
    <format dxfId="66">
      <pivotArea collapsedLevelsAreSubtotals="1" fieldPosition="0">
        <references count="3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0" count="3" selected="0">
            <x v="2"/>
            <x v="3"/>
            <x v="4"/>
          </reference>
          <reference field="1" count="1">
            <x v="66"/>
          </reference>
        </references>
      </pivotArea>
    </format>
    <format dxfId="65">
      <pivotArea field="1" grandCol="1" collapsedLevelsAreSubtotals="1" axis="axisRow" fieldPosition="0">
        <references count="2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1" count="1">
            <x v="66"/>
          </reference>
        </references>
      </pivotArea>
    </format>
    <format dxfId="64">
      <pivotArea collapsedLevelsAreSubtotals="1" fieldPosition="0">
        <references count="3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0" count="3" selected="0">
            <x v="2"/>
            <x v="3"/>
            <x v="4"/>
          </reference>
          <reference field="1" count="1">
            <x v="67"/>
          </reference>
        </references>
      </pivotArea>
    </format>
    <format dxfId="63">
      <pivotArea field="1" grandCol="1" collapsedLevelsAreSubtotals="1" axis="axisRow" fieldPosition="0">
        <references count="2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1" count="1">
            <x v="67"/>
          </reference>
        </references>
      </pivotArea>
    </format>
    <format dxfId="62">
      <pivotArea collapsedLevelsAreSubtotals="1" fieldPosition="0">
        <references count="3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0" count="3" selected="0">
            <x v="2"/>
            <x v="3"/>
            <x v="4"/>
          </reference>
          <reference field="1" count="1">
            <x v="68"/>
          </reference>
        </references>
      </pivotArea>
    </format>
    <format dxfId="61">
      <pivotArea field="1" grandCol="1" collapsedLevelsAreSubtotals="1" axis="axisRow" fieldPosition="0">
        <references count="2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1" count="1">
            <x v="68"/>
          </reference>
        </references>
      </pivotArea>
    </format>
    <format dxfId="60">
      <pivotArea collapsedLevelsAreSubtotals="1" fieldPosition="0">
        <references count="3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0" count="3" selected="0">
            <x v="2"/>
            <x v="3"/>
            <x v="4"/>
          </reference>
          <reference field="1" count="1">
            <x v="69"/>
          </reference>
        </references>
      </pivotArea>
    </format>
    <format dxfId="59">
      <pivotArea field="1" grandCol="1" collapsedLevelsAreSubtotals="1" axis="axisRow" fieldPosition="0">
        <references count="2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1" count="1">
            <x v="69"/>
          </reference>
        </references>
      </pivotArea>
    </format>
    <format dxfId="58">
      <pivotArea collapsedLevelsAreSubtotals="1" fieldPosition="0">
        <references count="3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0" count="3" selected="0">
            <x v="2"/>
            <x v="3"/>
            <x v="4"/>
          </reference>
          <reference field="1" count="1">
            <x v="70"/>
          </reference>
        </references>
      </pivotArea>
    </format>
    <format dxfId="57">
      <pivotArea field="1" grandCol="1" collapsedLevelsAreSubtotals="1" axis="axisRow" fieldPosition="0">
        <references count="2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1" count="1">
            <x v="70"/>
          </reference>
        </references>
      </pivotArea>
    </format>
    <format dxfId="56">
      <pivotArea collapsedLevelsAreSubtotals="1" fieldPosition="0">
        <references count="3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0" count="3" selected="0">
            <x v="2"/>
            <x v="3"/>
            <x v="4"/>
          </reference>
          <reference field="1" count="1">
            <x v="71"/>
          </reference>
        </references>
      </pivotArea>
    </format>
    <format dxfId="55">
      <pivotArea field="1" grandCol="1" collapsedLevelsAreSubtotals="1" axis="axisRow" fieldPosition="0">
        <references count="2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1" count="1">
            <x v="71"/>
          </reference>
        </references>
      </pivotArea>
    </format>
    <format dxfId="54">
      <pivotArea collapsedLevelsAreSubtotals="1" fieldPosition="0">
        <references count="3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0" count="3" selected="0">
            <x v="2"/>
            <x v="3"/>
            <x v="4"/>
          </reference>
          <reference field="1" count="1">
            <x v="72"/>
          </reference>
        </references>
      </pivotArea>
    </format>
    <format dxfId="53">
      <pivotArea field="1" grandCol="1" collapsedLevelsAreSubtotals="1" axis="axisRow" fieldPosition="0">
        <references count="2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1" count="1">
            <x v="72"/>
          </reference>
        </references>
      </pivotArea>
    </format>
    <format dxfId="52">
      <pivotArea collapsedLevelsAreSubtotals="1" fieldPosition="0">
        <references count="3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0" count="3" selected="0">
            <x v="2"/>
            <x v="3"/>
            <x v="4"/>
          </reference>
          <reference field="1" count="1">
            <x v="73"/>
          </reference>
        </references>
      </pivotArea>
    </format>
    <format dxfId="51">
      <pivotArea field="1" grandCol="1" collapsedLevelsAreSubtotals="1" axis="axisRow" fieldPosition="0">
        <references count="2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1" count="1">
            <x v="73"/>
          </reference>
        </references>
      </pivotArea>
    </format>
    <format dxfId="50">
      <pivotArea collapsedLevelsAreSubtotals="1" fieldPosition="0">
        <references count="3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0" count="3" selected="0">
            <x v="2"/>
            <x v="3"/>
            <x v="4"/>
          </reference>
          <reference field="1" count="1">
            <x v="74"/>
          </reference>
        </references>
      </pivotArea>
    </format>
    <format dxfId="49">
      <pivotArea field="1" grandCol="1" collapsedLevelsAreSubtotals="1" axis="axisRow" fieldPosition="0">
        <references count="2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1" count="1">
            <x v="74"/>
          </reference>
        </references>
      </pivotArea>
    </format>
    <format dxfId="48">
      <pivotArea collapsedLevelsAreSubtotals="1" fieldPosition="0">
        <references count="3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0" count="3" selected="0">
            <x v="2"/>
            <x v="3"/>
            <x v="4"/>
          </reference>
          <reference field="1" count="1">
            <x v="75"/>
          </reference>
        </references>
      </pivotArea>
    </format>
    <format dxfId="47">
      <pivotArea field="1" grandCol="1" collapsedLevelsAreSubtotals="1" axis="axisRow" fieldPosition="0">
        <references count="2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1" count="1">
            <x v="75"/>
          </reference>
        </references>
      </pivotArea>
    </format>
    <format dxfId="46">
      <pivotArea collapsedLevelsAreSubtotals="1" fieldPosition="0">
        <references count="3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0" count="3" selected="0">
            <x v="2"/>
            <x v="3"/>
            <x v="4"/>
          </reference>
          <reference field="1" count="1">
            <x v="76"/>
          </reference>
        </references>
      </pivotArea>
    </format>
    <format dxfId="45">
      <pivotArea field="1" grandCol="1" collapsedLevelsAreSubtotals="1" axis="axisRow" fieldPosition="0">
        <references count="2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1" count="1">
            <x v="76"/>
          </reference>
        </references>
      </pivotArea>
    </format>
    <format dxfId="44">
      <pivotArea collapsedLevelsAreSubtotals="1" fieldPosition="0">
        <references count="3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0" count="3" selected="0">
            <x v="2"/>
            <x v="3"/>
            <x v="4"/>
          </reference>
          <reference field="1" count="1">
            <x v="77"/>
          </reference>
        </references>
      </pivotArea>
    </format>
    <format dxfId="43">
      <pivotArea field="1" grandCol="1" collapsedLevelsAreSubtotals="1" axis="axisRow" fieldPosition="0">
        <references count="2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  <reference field="1" count="1">
            <x v="77"/>
          </reference>
        </references>
      </pivotArea>
    </format>
    <format dxfId="42">
      <pivotArea outline="0" collapsedLevelsAreSubtotals="1" fieldPosition="0"/>
    </format>
  </formats>
  <pivotTableStyleInfo name="Estilo TB Principal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6CA05A-A106-4999-A4D5-BBD846F993CA}" name="TablaDinámica1" cacheId="3" applyNumberFormats="0" applyBorderFormats="0" applyFontFormats="0" applyPatternFormats="0" applyAlignmentFormats="0" applyWidthHeightFormats="1" dataCaption="Valores" updatedVersion="8" minRefreshableVersion="3" useAutoFormatting="1" itemPrintTitles="1" mergeItem="1" createdVersion="8" indent="0" compact="0" compactData="0" multipleFieldFilters="0">
  <location ref="B7:N1695" firstHeaderRow="0" firstDataRow="1" firstDataCol="4"/>
  <pivotFields count="15">
    <pivotField axis="axisRow" compact="0" outline="0" showAll="0" defaultSubtotal="0">
      <items count="593">
        <item x="151"/>
        <item x="152"/>
        <item x="1"/>
        <item x="2"/>
        <item x="3"/>
        <item x="4"/>
        <item x="5"/>
        <item x="510"/>
        <item x="511"/>
        <item x="512"/>
        <item x="371"/>
        <item x="372"/>
        <item x="373"/>
        <item x="374"/>
        <item x="375"/>
        <item x="376"/>
        <item x="254"/>
        <item x="255"/>
        <item x="256"/>
        <item x="257"/>
        <item x="258"/>
        <item x="153"/>
        <item x="154"/>
        <item x="155"/>
        <item x="6"/>
        <item x="7"/>
        <item x="8"/>
        <item x="9"/>
        <item x="10"/>
        <item x="11"/>
        <item x="513"/>
        <item x="514"/>
        <item x="515"/>
        <item x="377"/>
        <item x="378"/>
        <item x="379"/>
        <item x="380"/>
        <item x="381"/>
        <item x="259"/>
        <item x="260"/>
        <item x="261"/>
        <item x="156"/>
        <item x="157"/>
        <item x="158"/>
        <item x="159"/>
        <item x="12"/>
        <item x="13"/>
        <item x="14"/>
        <item x="15"/>
        <item x="16"/>
        <item x="17"/>
        <item x="516"/>
        <item x="517"/>
        <item x="518"/>
        <item x="382"/>
        <item x="383"/>
        <item x="384"/>
        <item x="385"/>
        <item x="386"/>
        <item x="387"/>
        <item x="262"/>
        <item x="263"/>
        <item x="264"/>
        <item x="265"/>
        <item x="266"/>
        <item x="160"/>
        <item x="161"/>
        <item x="162"/>
        <item x="163"/>
        <item x="18"/>
        <item x="19"/>
        <item x="20"/>
        <item x="21"/>
        <item x="22"/>
        <item x="23"/>
        <item x="519"/>
        <item x="520"/>
        <item x="521"/>
        <item x="522"/>
        <item x="388"/>
        <item x="389"/>
        <item x="390"/>
        <item x="391"/>
        <item x="392"/>
        <item x="393"/>
        <item x="267"/>
        <item x="268"/>
        <item x="269"/>
        <item x="270"/>
        <item x="271"/>
        <item x="164"/>
        <item x="165"/>
        <item x="166"/>
        <item x="167"/>
        <item x="24"/>
        <item x="25"/>
        <item x="26"/>
        <item x="27"/>
        <item x="28"/>
        <item x="29"/>
        <item x="523"/>
        <item x="524"/>
        <item x="525"/>
        <item x="394"/>
        <item x="395"/>
        <item x="396"/>
        <item x="397"/>
        <item x="398"/>
        <item x="399"/>
        <item x="272"/>
        <item x="273"/>
        <item x="274"/>
        <item x="275"/>
        <item x="168"/>
        <item x="169"/>
        <item x="170"/>
        <item x="30"/>
        <item x="31"/>
        <item x="32"/>
        <item x="33"/>
        <item x="34"/>
        <item x="35"/>
        <item x="526"/>
        <item x="527"/>
        <item x="528"/>
        <item x="400"/>
        <item x="401"/>
        <item x="402"/>
        <item x="403"/>
        <item x="404"/>
        <item x="276"/>
        <item x="277"/>
        <item x="278"/>
        <item x="279"/>
        <item x="171"/>
        <item x="172"/>
        <item x="173"/>
        <item x="174"/>
        <item x="36"/>
        <item x="37"/>
        <item x="38"/>
        <item x="39"/>
        <item x="40"/>
        <item x="41"/>
        <item x="529"/>
        <item x="530"/>
        <item x="531"/>
        <item x="405"/>
        <item x="406"/>
        <item x="407"/>
        <item x="408"/>
        <item x="409"/>
        <item x="410"/>
        <item x="280"/>
        <item x="281"/>
        <item x="282"/>
        <item x="283"/>
        <item x="284"/>
        <item x="175"/>
        <item x="176"/>
        <item x="177"/>
        <item x="178"/>
        <item x="42"/>
        <item x="43"/>
        <item x="44"/>
        <item x="45"/>
        <item x="46"/>
        <item x="47"/>
        <item x="532"/>
        <item x="533"/>
        <item x="534"/>
        <item x="411"/>
        <item x="412"/>
        <item x="413"/>
        <item x="414"/>
        <item x="415"/>
        <item x="416"/>
        <item x="285"/>
        <item x="286"/>
        <item x="287"/>
        <item x="288"/>
        <item x="289"/>
        <item x="179"/>
        <item x="180"/>
        <item x="181"/>
        <item x="182"/>
        <item x="48"/>
        <item x="49"/>
        <item x="50"/>
        <item x="51"/>
        <item x="52"/>
        <item x="53"/>
        <item x="535"/>
        <item x="536"/>
        <item x="537"/>
        <item x="538"/>
        <item x="417"/>
        <item x="418"/>
        <item x="419"/>
        <item x="420"/>
        <item x="421"/>
        <item x="422"/>
        <item x="290"/>
        <item x="291"/>
        <item x="292"/>
        <item x="293"/>
        <item x="183"/>
        <item x="184"/>
        <item x="185"/>
        <item x="186"/>
        <item x="54"/>
        <item x="55"/>
        <item x="56"/>
        <item x="57"/>
        <item x="58"/>
        <item x="59"/>
        <item x="539"/>
        <item x="540"/>
        <item x="541"/>
        <item x="423"/>
        <item x="424"/>
        <item x="425"/>
        <item x="426"/>
        <item x="427"/>
        <item x="294"/>
        <item x="295"/>
        <item x="296"/>
        <item x="297"/>
        <item x="187"/>
        <item x="188"/>
        <item x="189"/>
        <item x="190"/>
        <item x="60"/>
        <item x="61"/>
        <item x="62"/>
        <item x="63"/>
        <item x="64"/>
        <item x="65"/>
        <item x="542"/>
        <item x="543"/>
        <item x="544"/>
        <item x="428"/>
        <item x="429"/>
        <item x="430"/>
        <item x="431"/>
        <item x="432"/>
        <item x="298"/>
        <item x="299"/>
        <item x="300"/>
        <item x="301"/>
        <item x="302"/>
        <item x="191"/>
        <item x="192"/>
        <item x="193"/>
        <item x="194"/>
        <item x="66"/>
        <item x="67"/>
        <item x="68"/>
        <item x="69"/>
        <item x="70"/>
        <item x="71"/>
        <item x="545"/>
        <item x="546"/>
        <item x="547"/>
        <item x="433"/>
        <item x="434"/>
        <item x="435"/>
        <item x="436"/>
        <item x="437"/>
        <item x="438"/>
        <item x="303"/>
        <item x="304"/>
        <item x="305"/>
        <item x="306"/>
        <item x="195"/>
        <item x="196"/>
        <item x="197"/>
        <item x="198"/>
        <item x="72"/>
        <item x="73"/>
        <item x="74"/>
        <item x="75"/>
        <item x="76"/>
        <item x="77"/>
        <item x="548"/>
        <item x="549"/>
        <item x="550"/>
        <item x="551"/>
        <item x="439"/>
        <item x="440"/>
        <item x="441"/>
        <item x="442"/>
        <item x="443"/>
        <item x="444"/>
        <item x="307"/>
        <item x="308"/>
        <item x="309"/>
        <item x="310"/>
        <item x="199"/>
        <item x="200"/>
        <item x="201"/>
        <item x="202"/>
        <item x="78"/>
        <item x="79"/>
        <item x="80"/>
        <item x="81"/>
        <item x="82"/>
        <item x="83"/>
        <item x="552"/>
        <item x="553"/>
        <item x="554"/>
        <item x="555"/>
        <item x="445"/>
        <item x="446"/>
        <item x="447"/>
        <item x="448"/>
        <item x="449"/>
        <item x="450"/>
        <item x="311"/>
        <item x="312"/>
        <item x="313"/>
        <item x="314"/>
        <item x="315"/>
        <item x="203"/>
        <item x="204"/>
        <item x="205"/>
        <item x="206"/>
        <item x="84"/>
        <item x="85"/>
        <item x="86"/>
        <item x="87"/>
        <item x="88"/>
        <item x="89"/>
        <item x="556"/>
        <item x="557"/>
        <item x="558"/>
        <item x="451"/>
        <item x="452"/>
        <item x="453"/>
        <item x="454"/>
        <item x="455"/>
        <item x="316"/>
        <item x="317"/>
        <item x="318"/>
        <item x="319"/>
        <item x="320"/>
        <item x="207"/>
        <item x="208"/>
        <item x="209"/>
        <item x="210"/>
        <item x="90"/>
        <item x="91"/>
        <item x="92"/>
        <item x="93"/>
        <item x="94"/>
        <item x="95"/>
        <item x="559"/>
        <item x="560"/>
        <item x="561"/>
        <item x="562"/>
        <item x="456"/>
        <item x="457"/>
        <item x="458"/>
        <item x="459"/>
        <item x="460"/>
        <item x="321"/>
        <item x="322"/>
        <item x="323"/>
        <item x="324"/>
        <item x="325"/>
        <item x="211"/>
        <item x="212"/>
        <item x="213"/>
        <item x="214"/>
        <item x="96"/>
        <item x="97"/>
        <item x="98"/>
        <item x="99"/>
        <item x="100"/>
        <item x="101"/>
        <item x="563"/>
        <item x="564"/>
        <item x="565"/>
        <item x="566"/>
        <item x="461"/>
        <item x="462"/>
        <item x="463"/>
        <item x="464"/>
        <item x="465"/>
        <item x="326"/>
        <item x="327"/>
        <item x="328"/>
        <item x="329"/>
        <item x="330"/>
        <item x="215"/>
        <item x="216"/>
        <item x="217"/>
        <item x="218"/>
        <item x="102"/>
        <item x="103"/>
        <item x="104"/>
        <item x="105"/>
        <item x="106"/>
        <item x="107"/>
        <item x="567"/>
        <item x="568"/>
        <item x="466"/>
        <item x="467"/>
        <item x="468"/>
        <item x="469"/>
        <item x="470"/>
        <item x="331"/>
        <item x="332"/>
        <item x="333"/>
        <item x="334"/>
        <item x="335"/>
        <item x="219"/>
        <item x="220"/>
        <item x="221"/>
        <item x="222"/>
        <item x="108"/>
        <item x="109"/>
        <item x="110"/>
        <item x="111"/>
        <item x="112"/>
        <item x="113"/>
        <item x="569"/>
        <item x="570"/>
        <item x="471"/>
        <item x="472"/>
        <item x="473"/>
        <item x="474"/>
        <item x="336"/>
        <item x="337"/>
        <item x="338"/>
        <item x="339"/>
        <item x="340"/>
        <item x="223"/>
        <item x="224"/>
        <item x="225"/>
        <item x="226"/>
        <item x="114"/>
        <item x="115"/>
        <item x="116"/>
        <item x="117"/>
        <item x="118"/>
        <item x="119"/>
        <item x="571"/>
        <item x="572"/>
        <item x="573"/>
        <item x="475"/>
        <item x="476"/>
        <item x="477"/>
        <item x="478"/>
        <item x="479"/>
        <item x="480"/>
        <item x="341"/>
        <item x="342"/>
        <item x="343"/>
        <item x="344"/>
        <item x="345"/>
        <item x="227"/>
        <item x="228"/>
        <item x="229"/>
        <item x="120"/>
        <item x="121"/>
        <item x="122"/>
        <item x="123"/>
        <item x="124"/>
        <item x="125"/>
        <item x="574"/>
        <item x="575"/>
        <item x="576"/>
        <item x="577"/>
        <item x="481"/>
        <item x="482"/>
        <item x="483"/>
        <item x="484"/>
        <item x="485"/>
        <item x="346"/>
        <item x="347"/>
        <item x="348"/>
        <item x="349"/>
        <item x="350"/>
        <item x="230"/>
        <item x="231"/>
        <item x="232"/>
        <item x="233"/>
        <item x="126"/>
        <item x="127"/>
        <item x="128"/>
        <item x="129"/>
        <item x="130"/>
        <item x="131"/>
        <item x="578"/>
        <item x="579"/>
        <item x="580"/>
        <item x="486"/>
        <item x="487"/>
        <item x="488"/>
        <item x="489"/>
        <item x="351"/>
        <item x="352"/>
        <item x="353"/>
        <item x="354"/>
        <item x="355"/>
        <item x="234"/>
        <item x="235"/>
        <item x="236"/>
        <item x="237"/>
        <item x="132"/>
        <item x="133"/>
        <item x="134"/>
        <item x="135"/>
        <item x="136"/>
        <item x="137"/>
        <item x="581"/>
        <item x="582"/>
        <item x="583"/>
        <item x="584"/>
        <item x="490"/>
        <item x="491"/>
        <item x="492"/>
        <item x="493"/>
        <item x="494"/>
        <item x="356"/>
        <item x="357"/>
        <item x="358"/>
        <item x="359"/>
        <item x="238"/>
        <item x="239"/>
        <item x="240"/>
        <item x="241"/>
        <item x="138"/>
        <item x="139"/>
        <item x="140"/>
        <item x="141"/>
        <item x="142"/>
        <item x="143"/>
        <item x="585"/>
        <item x="586"/>
        <item x="587"/>
        <item x="495"/>
        <item x="496"/>
        <item x="497"/>
        <item x="498"/>
        <item x="499"/>
        <item x="360"/>
        <item x="361"/>
        <item x="362"/>
        <item x="363"/>
        <item x="364"/>
        <item x="242"/>
        <item x="243"/>
        <item x="244"/>
        <item x="245"/>
        <item x="144"/>
        <item x="145"/>
        <item x="146"/>
        <item x="147"/>
        <item x="148"/>
        <item x="149"/>
        <item x="588"/>
        <item x="589"/>
        <item x="590"/>
        <item x="591"/>
        <item x="500"/>
        <item x="501"/>
        <item x="502"/>
        <item x="503"/>
        <item x="365"/>
        <item x="366"/>
        <item x="367"/>
        <item x="368"/>
        <item x="369"/>
        <item x="0"/>
        <item x="150"/>
        <item x="253"/>
        <item x="370"/>
        <item x="509"/>
        <item x="504"/>
        <item x="505"/>
        <item x="506"/>
        <item x="507"/>
        <item x="508"/>
        <item x="592"/>
        <item x="246"/>
        <item x="247"/>
        <item x="248"/>
        <item x="249"/>
        <item x="250"/>
        <item x="251"/>
        <item x="252"/>
      </items>
    </pivotField>
    <pivotField axis="axisRow" compact="0" outline="0" showAll="0" defaultSubtotal="0">
      <items count="544">
        <item x="78"/>
        <item x="418"/>
        <item x="257"/>
        <item x="232"/>
        <item x="202"/>
        <item x="310"/>
        <item x="343"/>
        <item x="26"/>
        <item x="218"/>
        <item x="468"/>
        <item x="106"/>
        <item x="27"/>
        <item x="136"/>
        <item x="184"/>
        <item x="275"/>
        <item x="204"/>
        <item x="312"/>
        <item x="417"/>
        <item x="245"/>
        <item x="242"/>
        <item x="370"/>
        <item x="372"/>
        <item x="393"/>
        <item x="281"/>
        <item x="251"/>
        <item x="196"/>
        <item x="521"/>
        <item x="219"/>
        <item x="179"/>
        <item x="474"/>
        <item x="38"/>
        <item x="35"/>
        <item x="143"/>
        <item x="49"/>
        <item x="377"/>
        <item x="378"/>
        <item x="485"/>
        <item x="294"/>
        <item x="287"/>
        <item x="504"/>
        <item x="396"/>
        <item x="508"/>
        <item x="472"/>
        <item x="9"/>
        <item x="373"/>
        <item x="10"/>
        <item x="483"/>
        <item x="470"/>
        <item x="88"/>
        <item x="270"/>
        <item x="280"/>
        <item x="254"/>
        <item x="500"/>
        <item x="269"/>
        <item x="464"/>
        <item x="118"/>
        <item x="496"/>
        <item x="380"/>
        <item x="44"/>
        <item x="330"/>
        <item x="12"/>
        <item x="36"/>
        <item x="240"/>
        <item x="111"/>
        <item x="389"/>
        <item x="505"/>
        <item x="334"/>
        <item x="440"/>
        <item x="169"/>
        <item x="53"/>
        <item x="533"/>
        <item x="264"/>
        <item x="255"/>
        <item x="537"/>
        <item x="43"/>
        <item x="314"/>
        <item x="160"/>
        <item x="423"/>
        <item x="359"/>
        <item x="454"/>
        <item x="213"/>
        <item x="103"/>
        <item x="518"/>
        <item x="301"/>
        <item x="288"/>
        <item x="40"/>
        <item x="230"/>
        <item x="235"/>
        <item x="421"/>
        <item x="473"/>
        <item x="3"/>
        <item x="360"/>
        <item x="513"/>
        <item x="104"/>
        <item x="435"/>
        <item x="150"/>
        <item x="453"/>
        <item x="311"/>
        <item x="258"/>
        <item x="209"/>
        <item x="194"/>
        <item x="522"/>
        <item x="332"/>
        <item x="499"/>
        <item x="200"/>
        <item x="116"/>
        <item x="183"/>
        <item x="58"/>
        <item x="340"/>
        <item x="363"/>
        <item x="220"/>
        <item x="387"/>
        <item x="283"/>
        <item x="31"/>
        <item x="357"/>
        <item x="156"/>
        <item x="101"/>
        <item x="458"/>
        <item x="289"/>
        <item x="76"/>
        <item x="50"/>
        <item x="390"/>
        <item x="403"/>
        <item x="329"/>
        <item x="279"/>
        <item x="164"/>
        <item x="305"/>
        <item x="445"/>
        <item x="68"/>
        <item x="121"/>
        <item x="63"/>
        <item x="18"/>
        <item x="57"/>
        <item x="383"/>
        <item x="318"/>
        <item x="368"/>
        <item x="67"/>
        <item x="177"/>
        <item x="211"/>
        <item x="263"/>
        <item x="492"/>
        <item x="350"/>
        <item x="520"/>
        <item x="107"/>
        <item x="414"/>
        <item x="512"/>
        <item x="71"/>
        <item x="398"/>
        <item x="437"/>
        <item x="105"/>
        <item x="244"/>
        <item x="268"/>
        <item x="37"/>
        <item x="1"/>
        <item x="391"/>
        <item x="540"/>
        <item x="374"/>
        <item x="75"/>
        <item x="20"/>
        <item x="167"/>
        <item x="94"/>
        <item x="79"/>
        <item x="191"/>
        <item x="100"/>
        <item x="29"/>
        <item x="510"/>
        <item x="276"/>
        <item x="457"/>
        <item x="404"/>
        <item x="234"/>
        <item x="176"/>
        <item x="140"/>
        <item x="456"/>
        <item x="22"/>
        <item x="82"/>
        <item x="299"/>
        <item x="170"/>
        <item x="137"/>
        <item x="395"/>
        <item x="517"/>
        <item x="406"/>
        <item x="411"/>
        <item x="247"/>
        <item x="253"/>
        <item x="416"/>
        <item x="81"/>
        <item x="543"/>
        <item x="369"/>
        <item x="451"/>
        <item x="328"/>
        <item x="353"/>
        <item x="208"/>
        <item x="367"/>
        <item x="507"/>
        <item x="203"/>
        <item x="320"/>
        <item x="113"/>
        <item x="433"/>
        <item x="379"/>
        <item x="408"/>
        <item x="48"/>
        <item x="285"/>
        <item x="425"/>
        <item x="430"/>
        <item x="237"/>
        <item x="142"/>
        <item x="97"/>
        <item x="123"/>
        <item x="526"/>
        <item x="530"/>
        <item x="495"/>
        <item x="286"/>
        <item x="384"/>
        <item x="386"/>
        <item x="365"/>
        <item x="134"/>
        <item x="229"/>
        <item x="506"/>
        <item x="519"/>
        <item x="542"/>
        <item x="239"/>
        <item x="207"/>
        <item x="511"/>
        <item x="55"/>
        <item x="217"/>
        <item x="388"/>
        <item x="482"/>
        <item x="462"/>
        <item x="290"/>
        <item x="187"/>
        <item x="99"/>
        <item x="138"/>
        <item x="397"/>
        <item x="41"/>
        <item x="205"/>
        <item x="95"/>
        <item x="60"/>
        <item x="323"/>
        <item x="324"/>
        <item x="223"/>
        <item x="206"/>
        <item x="282"/>
        <item x="349"/>
        <item x="189"/>
        <item x="228"/>
        <item x="309"/>
        <item x="459"/>
        <item x="72"/>
        <item x="227"/>
        <item x="486"/>
        <item x="336"/>
        <item x="34"/>
        <item x="278"/>
        <item x="471"/>
        <item x="185"/>
        <item x="477"/>
        <item x="212"/>
        <item x="307"/>
        <item x="488"/>
        <item x="354"/>
        <item x="64"/>
        <item x="74"/>
        <item x="201"/>
        <item x="514"/>
        <item x="110"/>
        <item x="24"/>
        <item x="144"/>
        <item x="16"/>
        <item x="8"/>
        <item x="394"/>
        <item x="271"/>
        <item x="432"/>
        <item x="109"/>
        <item x="39"/>
        <item x="157"/>
        <item x="193"/>
        <item x="165"/>
        <item x="129"/>
        <item x="480"/>
        <item x="13"/>
        <item x="186"/>
        <item x="525"/>
        <item x="108"/>
        <item x="308"/>
        <item x="428"/>
        <item x="515"/>
        <item x="498"/>
        <item x="19"/>
        <item x="145"/>
        <item x="17"/>
        <item x="131"/>
        <item x="463"/>
        <item x="333"/>
        <item x="449"/>
        <item x="87"/>
        <item x="180"/>
        <item x="166"/>
        <item x="479"/>
        <item x="130"/>
        <item x="424"/>
        <item x="181"/>
        <item x="438"/>
        <item x="455"/>
        <item x="221"/>
        <item x="337"/>
        <item x="51"/>
        <item x="315"/>
        <item x="291"/>
        <item x="93"/>
        <item x="528"/>
        <item x="316"/>
        <item x="381"/>
        <item x="98"/>
        <item x="415"/>
        <item x="120"/>
        <item x="273"/>
        <item x="385"/>
        <item x="159"/>
        <item x="4"/>
        <item x="197"/>
        <item x="346"/>
        <item x="371"/>
        <item x="426"/>
        <item x="296"/>
        <item x="192"/>
        <item x="262"/>
        <item x="476"/>
        <item x="210"/>
        <item x="2"/>
        <item x="172"/>
        <item x="532"/>
        <item x="490"/>
        <item x="489"/>
        <item x="252"/>
        <item x="494"/>
        <item x="538"/>
        <item x="524"/>
        <item x="175"/>
        <item x="246"/>
        <item x="80"/>
        <item x="467"/>
        <item x="199"/>
        <item x="501"/>
        <item x="161"/>
        <item x="261"/>
        <item x="358"/>
        <item x="11"/>
        <item x="62"/>
        <item x="338"/>
        <item x="536"/>
        <item x="405"/>
        <item x="348"/>
        <item x="168"/>
        <item x="91"/>
        <item x="465"/>
        <item x="466"/>
        <item x="190"/>
        <item x="317"/>
        <item x="413"/>
        <item x="448"/>
        <item x="325"/>
        <item x="21"/>
        <item x="32"/>
        <item x="122"/>
        <item x="516"/>
        <item x="295"/>
        <item x="92"/>
        <item x="460"/>
        <item x="419"/>
        <item x="267"/>
        <item x="313"/>
        <item x="25"/>
        <item x="302"/>
        <item x="341"/>
        <item x="274"/>
        <item x="127"/>
        <item x="409"/>
        <item x="535"/>
        <item x="534"/>
        <item x="52"/>
        <item x="326"/>
        <item x="158"/>
        <item x="450"/>
        <item x="481"/>
        <item x="487"/>
        <item x="66"/>
        <item x="493"/>
        <item x="352"/>
        <item x="265"/>
        <item x="238"/>
        <item x="347"/>
        <item x="298"/>
        <item x="434"/>
        <item x="173"/>
        <item x="392"/>
        <item x="444"/>
        <item x="412"/>
        <item x="83"/>
        <item x="441"/>
        <item x="33"/>
        <item x="410"/>
        <item x="442"/>
        <item x="45"/>
        <item x="322"/>
        <item x="28"/>
        <item x="431"/>
        <item x="77"/>
        <item x="361"/>
        <item x="376"/>
        <item x="277"/>
        <item x="248"/>
        <item x="523"/>
        <item x="231"/>
        <item x="84"/>
        <item x="90"/>
        <item x="85"/>
        <item x="155"/>
        <item x="15"/>
        <item x="7"/>
        <item x="70"/>
        <item x="272"/>
        <item x="497"/>
        <item x="5"/>
        <item x="146"/>
        <item x="531"/>
        <item x="478"/>
        <item x="452"/>
        <item x="475"/>
        <item x="362"/>
        <item x="339"/>
        <item x="259"/>
        <item x="331"/>
        <item x="236"/>
        <item x="119"/>
        <item x="216"/>
        <item x="54"/>
        <item x="154"/>
        <item x="14"/>
        <item x="30"/>
        <item x="260"/>
        <item x="135"/>
        <item x="243"/>
        <item x="215"/>
        <item x="335"/>
        <item x="420"/>
        <item x="96"/>
        <item x="447"/>
        <item x="461"/>
        <item x="124"/>
        <item x="6"/>
        <item x="401"/>
        <item x="89"/>
        <item x="163"/>
        <item x="539"/>
        <item x="293"/>
        <item x="195"/>
        <item x="491"/>
        <item x="151"/>
        <item x="133"/>
        <item x="355"/>
        <item x="407"/>
        <item x="147"/>
        <item x="182"/>
        <item x="224"/>
        <item x="300"/>
        <item x="56"/>
        <item x="402"/>
        <item x="23"/>
        <item x="284"/>
        <item x="249"/>
        <item x="178"/>
        <item x="469"/>
        <item x="344"/>
        <item x="233"/>
        <item x="148"/>
        <item x="256"/>
        <item x="297"/>
        <item x="241"/>
        <item x="292"/>
        <item x="115"/>
        <item x="250"/>
        <item x="446"/>
        <item x="436"/>
        <item x="375"/>
        <item x="503"/>
        <item x="399"/>
        <item x="366"/>
        <item x="162"/>
        <item x="171"/>
        <item x="61"/>
        <item x="225"/>
        <item x="266"/>
        <item x="139"/>
        <item x="527"/>
        <item x="226"/>
        <item x="400"/>
        <item x="125"/>
        <item x="439"/>
        <item x="356"/>
        <item x="443"/>
        <item x="484"/>
        <item x="422"/>
        <item x="117"/>
        <item x="46"/>
        <item x="153"/>
        <item x="42"/>
        <item x="529"/>
        <item x="214"/>
        <item x="112"/>
        <item x="342"/>
        <item x="188"/>
        <item x="541"/>
        <item x="427"/>
        <item x="65"/>
        <item x="321"/>
        <item x="304"/>
        <item x="152"/>
        <item x="327"/>
        <item x="128"/>
        <item x="509"/>
        <item x="351"/>
        <item x="47"/>
        <item x="345"/>
        <item x="502"/>
        <item x="174"/>
        <item x="364"/>
        <item x="141"/>
        <item x="126"/>
        <item x="102"/>
        <item x="382"/>
        <item x="114"/>
        <item x="69"/>
        <item x="198"/>
        <item x="222"/>
        <item x="73"/>
        <item x="149"/>
        <item x="319"/>
        <item x="59"/>
        <item x="429"/>
        <item x="306"/>
        <item x="132"/>
        <item x="86"/>
        <item x="303"/>
        <item x="0"/>
      </items>
    </pivotField>
    <pivotField axis="axisRow" compact="0" outline="0" showAll="0" defaultSubtotal="0">
      <items count="13">
        <item x="0"/>
        <item x="9"/>
        <item x="7"/>
        <item x="10"/>
        <item x="1"/>
        <item x="2"/>
        <item x="12"/>
        <item x="8"/>
        <item x="3"/>
        <item x="5"/>
        <item x="4"/>
        <item x="6"/>
        <item x="11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axis="axisRow" compact="0" outline="0" showAll="0" defaultSubtotal="0">
      <items count="5">
        <item x="0"/>
        <item x="1"/>
        <item x="2"/>
        <item x="3"/>
        <item x="4"/>
      </items>
    </pivotField>
    <pivotField dataField="1" compact="0" outline="0" showAll="0" defaultSubtotal="0"/>
    <pivotField compact="0" outline="0" showAll="0" defaultSubtotal="0"/>
    <pivotField compact="0" outline="0" showAll="0" defaultSubtotal="0"/>
  </pivotFields>
  <rowFields count="4">
    <field x="11"/>
    <field x="0"/>
    <field x="1"/>
    <field x="2"/>
  </rowFields>
  <rowItems count="1688">
    <i>
      <x/>
      <x v="2"/>
      <x v="153"/>
      <x v="4"/>
    </i>
    <i r="3">
      <x v="5"/>
    </i>
    <i r="3">
      <x v="8"/>
    </i>
    <i r="3">
      <x v="10"/>
    </i>
    <i r="1">
      <x v="3"/>
      <x v="328"/>
      <x v="4"/>
    </i>
    <i r="3">
      <x v="5"/>
    </i>
    <i r="3">
      <x v="9"/>
    </i>
    <i r="3">
      <x v="10"/>
    </i>
    <i r="3">
      <x v="11"/>
    </i>
    <i r="1">
      <x v="4"/>
      <x v="90"/>
      <x v="2"/>
    </i>
    <i r="3">
      <x v="4"/>
    </i>
    <i r="3">
      <x v="5"/>
    </i>
    <i r="3">
      <x v="7"/>
    </i>
    <i r="3">
      <x v="8"/>
    </i>
    <i r="3">
      <x v="10"/>
    </i>
    <i r="3">
      <x v="11"/>
    </i>
    <i r="1">
      <x v="5"/>
      <x v="318"/>
      <x v="4"/>
    </i>
    <i r="3">
      <x v="5"/>
    </i>
    <i r="3">
      <x v="7"/>
    </i>
    <i r="3">
      <x v="8"/>
    </i>
    <i r="3">
      <x v="10"/>
    </i>
    <i r="3">
      <x v="11"/>
    </i>
    <i r="1">
      <x v="6"/>
      <x v="422"/>
      <x v="4"/>
    </i>
    <i r="3">
      <x v="5"/>
    </i>
    <i r="3">
      <x v="11"/>
    </i>
    <i r="1">
      <x v="24"/>
      <x v="449"/>
      <x v="4"/>
    </i>
    <i r="3">
      <x v="8"/>
    </i>
    <i r="1">
      <x v="25"/>
      <x v="418"/>
      <x v="4"/>
    </i>
    <i r="3">
      <x v="5"/>
    </i>
    <i r="1">
      <x v="26"/>
      <x v="268"/>
      <x v="1"/>
    </i>
    <i r="3">
      <x v="4"/>
    </i>
    <i r="3">
      <x v="5"/>
    </i>
    <i r="3">
      <x v="8"/>
    </i>
    <i r="3">
      <x v="9"/>
    </i>
    <i r="3">
      <x v="10"/>
    </i>
    <i r="1">
      <x v="27"/>
      <x v="43"/>
      <x v="4"/>
    </i>
    <i r="3">
      <x v="5"/>
    </i>
    <i r="3">
      <x v="8"/>
    </i>
    <i r="3">
      <x v="10"/>
    </i>
    <i r="3">
      <x v="11"/>
    </i>
    <i r="1">
      <x v="28"/>
      <x v="45"/>
      <x v="4"/>
    </i>
    <i r="3">
      <x v="5"/>
    </i>
    <i r="3">
      <x v="9"/>
    </i>
    <i r="1">
      <x v="29"/>
      <x v="346"/>
      <x v="4"/>
    </i>
    <i r="3">
      <x v="5"/>
    </i>
    <i r="3">
      <x v="8"/>
    </i>
    <i r="3">
      <x v="10"/>
    </i>
    <i r="1">
      <x v="45"/>
      <x v="60"/>
      <x v="4"/>
    </i>
    <i r="3">
      <x v="5"/>
    </i>
    <i r="3">
      <x v="8"/>
    </i>
    <i r="3">
      <x v="11"/>
    </i>
    <i r="1">
      <x v="46"/>
      <x v="60"/>
      <x v="4"/>
    </i>
    <i r="3">
      <x v="5"/>
    </i>
    <i r="3">
      <x v="9"/>
    </i>
    <i r="1">
      <x v="47"/>
      <x v="279"/>
      <x v="4"/>
    </i>
    <i r="3">
      <x v="5"/>
    </i>
    <i r="3">
      <x v="7"/>
    </i>
    <i r="3">
      <x v="8"/>
    </i>
    <i r="3">
      <x v="9"/>
    </i>
    <i r="1">
      <x v="48"/>
      <x v="437"/>
      <x v="4"/>
    </i>
    <i r="3">
      <x v="5"/>
    </i>
    <i r="3">
      <x v="10"/>
    </i>
    <i r="1">
      <x v="49"/>
      <x v="417"/>
      <x v="4"/>
    </i>
    <i r="3">
      <x v="5"/>
    </i>
    <i r="3">
      <x v="8"/>
    </i>
    <i r="1">
      <x v="50"/>
      <x v="267"/>
      <x v="4"/>
    </i>
    <i r="3">
      <x v="8"/>
    </i>
    <i r="1">
      <x v="69"/>
      <x v="289"/>
      <x v="4"/>
    </i>
    <i r="3">
      <x v="5"/>
    </i>
    <i r="3">
      <x v="8"/>
    </i>
    <i r="1">
      <x v="70"/>
      <x v="131"/>
      <x v="4"/>
    </i>
    <i r="3">
      <x v="5"/>
    </i>
    <i r="3">
      <x v="8"/>
    </i>
    <i r="1">
      <x v="71"/>
      <x v="287"/>
      <x v="4"/>
    </i>
    <i r="3">
      <x v="8"/>
    </i>
    <i r="3">
      <x v="11"/>
    </i>
    <i r="1">
      <x v="72"/>
      <x v="158"/>
      <x v="4"/>
    </i>
    <i r="3">
      <x v="5"/>
    </i>
    <i r="3">
      <x v="7"/>
    </i>
    <i r="3">
      <x v="8"/>
    </i>
    <i r="3">
      <x v="9"/>
    </i>
    <i r="3">
      <x v="10"/>
    </i>
    <i r="3">
      <x v="11"/>
    </i>
    <i r="1">
      <x v="73"/>
      <x v="361"/>
      <x v="4"/>
    </i>
    <i r="3">
      <x v="5"/>
    </i>
    <i r="3">
      <x v="8"/>
    </i>
    <i r="3">
      <x v="11"/>
    </i>
    <i r="1">
      <x v="74"/>
      <x v="173"/>
      <x v="4"/>
    </i>
    <i r="3">
      <x v="5"/>
    </i>
    <i r="3">
      <x v="11"/>
    </i>
    <i r="1">
      <x v="94"/>
      <x v="467"/>
      <x v="4"/>
    </i>
    <i r="3">
      <x v="11"/>
    </i>
    <i r="1">
      <x v="95"/>
      <x v="265"/>
      <x v="4"/>
    </i>
    <i r="3">
      <x v="5"/>
    </i>
    <i r="3">
      <x v="8"/>
    </i>
    <i r="3">
      <x v="10"/>
    </i>
    <i r="1">
      <x v="96"/>
      <x v="371"/>
      <x v="4"/>
    </i>
    <i r="3">
      <x v="8"/>
    </i>
    <i r="3">
      <x v="11"/>
    </i>
    <i r="1">
      <x v="97"/>
      <x v="7"/>
      <x v="3"/>
    </i>
    <i r="3">
      <x v="4"/>
    </i>
    <i r="3">
      <x v="5"/>
    </i>
    <i r="3">
      <x v="8"/>
    </i>
    <i r="3">
      <x v="11"/>
    </i>
    <i r="1">
      <x v="98"/>
      <x v="11"/>
      <x v="4"/>
    </i>
    <i r="3">
      <x v="8"/>
    </i>
    <i r="1">
      <x v="99"/>
      <x v="404"/>
      <x v="4"/>
    </i>
    <i r="3">
      <x v="5"/>
    </i>
    <i r="3">
      <x v="11"/>
    </i>
    <i r="1">
      <x v="116"/>
      <x v="164"/>
      <x v="4"/>
    </i>
    <i r="3">
      <x v="5"/>
    </i>
    <i r="3">
      <x v="7"/>
    </i>
    <i r="3">
      <x v="8"/>
    </i>
    <i r="3">
      <x v="9"/>
    </i>
    <i r="3">
      <x v="10"/>
    </i>
    <i r="1">
      <x v="117"/>
      <x v="438"/>
      <x v="4"/>
    </i>
    <i r="3">
      <x v="5"/>
    </i>
    <i r="3">
      <x v="8"/>
    </i>
    <i r="3">
      <x v="10"/>
    </i>
    <i r="3">
      <x v="11"/>
    </i>
    <i r="1">
      <x v="118"/>
      <x v="113"/>
      <x v="4"/>
    </i>
    <i r="3">
      <x v="5"/>
    </i>
    <i r="3">
      <x v="8"/>
    </i>
    <i r="3">
      <x v="10"/>
    </i>
    <i r="1">
      <x v="119"/>
      <x v="362"/>
      <x v="4"/>
    </i>
    <i r="3">
      <x v="5"/>
    </i>
    <i r="3">
      <x v="9"/>
    </i>
    <i r="1">
      <x v="120"/>
      <x v="399"/>
      <x v="4"/>
    </i>
    <i r="3">
      <x v="5"/>
    </i>
    <i r="3">
      <x v="9"/>
    </i>
    <i r="3">
      <x v="10"/>
    </i>
    <i r="1">
      <x v="121"/>
      <x v="251"/>
      <x v="4"/>
    </i>
    <i r="3">
      <x v="8"/>
    </i>
    <i r="1">
      <x v="138"/>
      <x v="60"/>
      <x v="4"/>
    </i>
    <i r="3">
      <x v="5"/>
    </i>
    <i r="3">
      <x v="9"/>
    </i>
    <i r="3">
      <x v="10"/>
    </i>
    <i r="1">
      <x v="139"/>
      <x v="31"/>
      <x v="4"/>
    </i>
    <i r="3">
      <x v="5"/>
    </i>
    <i r="3">
      <x v="8"/>
    </i>
    <i r="3">
      <x v="10"/>
    </i>
    <i r="1">
      <x v="140"/>
      <x v="61"/>
      <x v="4"/>
    </i>
    <i r="3">
      <x v="5"/>
    </i>
    <i r="3">
      <x v="8"/>
    </i>
    <i r="3">
      <x v="11"/>
    </i>
    <i r="1">
      <x v="141"/>
      <x v="152"/>
      <x v="4"/>
    </i>
    <i r="3">
      <x v="5"/>
    </i>
    <i r="3">
      <x v="8"/>
    </i>
    <i r="3">
      <x v="9"/>
    </i>
    <i r="3">
      <x v="10"/>
    </i>
    <i r="1">
      <x v="142"/>
      <x v="30"/>
      <x v="4"/>
    </i>
    <i r="3">
      <x v="8"/>
    </i>
    <i r="3">
      <x v="9"/>
    </i>
    <i r="3">
      <x v="11"/>
    </i>
    <i r="1">
      <x v="143"/>
      <x v="273"/>
      <x v="4"/>
    </i>
    <i r="3">
      <x v="8"/>
    </i>
    <i r="3">
      <x v="9"/>
    </i>
    <i r="1">
      <x v="162"/>
      <x v="85"/>
      <x v="4"/>
    </i>
    <i r="3">
      <x v="5"/>
    </i>
    <i r="3">
      <x v="7"/>
    </i>
    <i r="3">
      <x v="8"/>
    </i>
    <i r="3">
      <x v="9"/>
    </i>
    <i r="1">
      <x v="163"/>
      <x v="233"/>
      <x v="4"/>
    </i>
    <i r="3">
      <x v="5"/>
    </i>
    <i r="1">
      <x v="164"/>
      <x v="505"/>
      <x v="4"/>
    </i>
    <i r="3">
      <x v="5"/>
    </i>
    <i r="3">
      <x v="7"/>
    </i>
    <i r="3">
      <x v="8"/>
    </i>
    <i r="3">
      <x v="9"/>
    </i>
    <i r="3">
      <x v="11"/>
    </i>
    <i r="1">
      <x v="165"/>
      <x v="251"/>
      <x v="4"/>
    </i>
    <i r="3">
      <x v="8"/>
    </i>
    <i r="1">
      <x v="166"/>
      <x v="74"/>
      <x v="4"/>
    </i>
    <i r="3">
      <x v="8"/>
    </i>
    <i r="3">
      <x v="9"/>
    </i>
    <i r="1">
      <x v="167"/>
      <x v="58"/>
      <x v="4"/>
    </i>
    <i r="3">
      <x v="5"/>
    </i>
    <i r="3">
      <x v="11"/>
    </i>
    <i r="1">
      <x v="186"/>
      <x v="402"/>
      <x v="4"/>
    </i>
    <i r="3">
      <x v="5"/>
    </i>
    <i r="3">
      <x v="9"/>
    </i>
    <i r="3">
      <x v="10"/>
    </i>
    <i r="3">
      <x v="11"/>
    </i>
    <i r="1">
      <x v="187"/>
      <x v="503"/>
      <x v="4"/>
    </i>
    <i r="3">
      <x v="5"/>
    </i>
    <i r="3">
      <x v="8"/>
    </i>
    <i r="3">
      <x v="10"/>
    </i>
    <i r="1">
      <x v="188"/>
      <x v="521"/>
      <x v="4"/>
    </i>
    <i r="3">
      <x v="5"/>
    </i>
    <i r="3">
      <x v="8"/>
    </i>
    <i r="1">
      <x v="189"/>
      <x v="200"/>
      <x v="4"/>
    </i>
    <i r="3">
      <x v="5"/>
    </i>
    <i r="3">
      <x v="8"/>
    </i>
    <i r="1">
      <x v="190"/>
      <x v="33"/>
      <x v="4"/>
    </i>
    <i r="3">
      <x v="5"/>
    </i>
    <i r="3">
      <x v="8"/>
    </i>
    <i r="3">
      <x v="11"/>
    </i>
    <i r="1">
      <x v="191"/>
      <x v="120"/>
      <x v="4"/>
    </i>
    <i r="3">
      <x v="8"/>
    </i>
    <i r="3">
      <x v="9"/>
    </i>
    <i r="1">
      <x v="210"/>
      <x v="305"/>
      <x v="4"/>
    </i>
    <i r="3">
      <x v="5"/>
    </i>
    <i r="3">
      <x v="7"/>
    </i>
    <i r="3">
      <x v="8"/>
    </i>
    <i r="1">
      <x v="211"/>
      <x v="379"/>
      <x v="4"/>
    </i>
    <i r="3">
      <x v="5"/>
    </i>
    <i r="3">
      <x v="8"/>
    </i>
    <i r="3">
      <x v="10"/>
    </i>
    <i r="1">
      <x v="212"/>
      <x v="69"/>
      <x v="4"/>
    </i>
    <i r="3">
      <x v="5"/>
    </i>
    <i r="3">
      <x v="7"/>
    </i>
    <i r="3">
      <x v="8"/>
    </i>
    <i r="1">
      <x v="213"/>
      <x v="435"/>
      <x v="4"/>
    </i>
    <i r="3">
      <x v="8"/>
    </i>
    <i r="3">
      <x v="11"/>
    </i>
    <i r="1">
      <x v="214"/>
      <x v="60"/>
      <x v="3"/>
    </i>
    <i r="3">
      <x v="4"/>
    </i>
    <i r="3">
      <x v="5"/>
    </i>
    <i r="3">
      <x v="8"/>
    </i>
    <i r="3">
      <x v="11"/>
    </i>
    <i r="1">
      <x v="215"/>
      <x v="223"/>
      <x v="4"/>
    </i>
    <i r="3">
      <x v="5"/>
    </i>
    <i r="3">
      <x v="7"/>
    </i>
    <i r="3">
      <x v="10"/>
    </i>
    <i r="1">
      <x v="232"/>
      <x v="465"/>
      <x v="4"/>
    </i>
    <i r="3">
      <x v="5"/>
    </i>
    <i r="3">
      <x v="8"/>
    </i>
    <i r="1">
      <x v="233"/>
      <x v="132"/>
      <x v="4"/>
    </i>
    <i r="3">
      <x v="5"/>
    </i>
    <i r="3">
      <x v="8"/>
    </i>
    <i r="3">
      <x v="9"/>
    </i>
    <i r="3">
      <x v="10"/>
    </i>
    <i r="1">
      <x v="234"/>
      <x v="107"/>
      <x v="4"/>
    </i>
    <i r="3">
      <x v="5"/>
    </i>
    <i r="3">
      <x v="8"/>
    </i>
    <i r="3">
      <x v="10"/>
    </i>
    <i r="1">
      <x v="235"/>
      <x v="537"/>
      <x v="4"/>
    </i>
    <i r="3">
      <x v="5"/>
    </i>
    <i r="3">
      <x v="8"/>
    </i>
    <i r="3">
      <x v="9"/>
    </i>
    <i r="1">
      <x v="236"/>
      <x v="236"/>
      <x v="4"/>
    </i>
    <i r="3">
      <x v="5"/>
    </i>
    <i r="3">
      <x v="7"/>
    </i>
    <i r="3">
      <x v="9"/>
    </i>
    <i r="1">
      <x v="237"/>
      <x v="489"/>
      <x v="4"/>
    </i>
    <i r="3">
      <x v="5"/>
    </i>
    <i r="3">
      <x v="7"/>
    </i>
    <i r="3">
      <x v="8"/>
    </i>
    <i r="3">
      <x v="10"/>
    </i>
    <i r="1">
      <x v="255"/>
      <x v="347"/>
      <x v="4"/>
    </i>
    <i r="1">
      <x v="256"/>
      <x v="130"/>
      <x v="4"/>
    </i>
    <i r="3">
      <x v="5"/>
    </i>
    <i r="3">
      <x v="8"/>
    </i>
    <i r="1">
      <x v="257"/>
      <x v="260"/>
      <x v="4"/>
    </i>
    <i r="3">
      <x v="5"/>
    </i>
    <i r="3">
      <x v="8"/>
    </i>
    <i r="3">
      <x v="10"/>
    </i>
    <i r="1">
      <x v="258"/>
      <x v="513"/>
      <x v="4"/>
    </i>
    <i r="3">
      <x v="8"/>
    </i>
    <i r="1">
      <x v="259"/>
      <x v="385"/>
      <x v="4"/>
    </i>
    <i r="3">
      <x v="5"/>
    </i>
    <i r="3">
      <x v="9"/>
    </i>
    <i r="1">
      <x v="260"/>
      <x v="236"/>
      <x v="4"/>
    </i>
    <i r="3">
      <x v="8"/>
    </i>
    <i r="1">
      <x v="278"/>
      <x v="136"/>
      <x v="4"/>
    </i>
    <i r="3">
      <x v="8"/>
    </i>
    <i r="1">
      <x v="279"/>
      <x v="128"/>
      <x v="4"/>
    </i>
    <i r="3">
      <x v="8"/>
    </i>
    <i r="1">
      <x v="280"/>
      <x v="347"/>
      <x v="4"/>
    </i>
    <i r="3">
      <x v="5"/>
    </i>
    <i r="1">
      <x v="281"/>
      <x v="531"/>
      <x v="4"/>
    </i>
    <i r="3">
      <x v="5"/>
    </i>
    <i r="3">
      <x v="8"/>
    </i>
    <i r="1">
      <x v="282"/>
      <x v="419"/>
      <x v="4"/>
    </i>
    <i r="3">
      <x v="5"/>
    </i>
    <i r="3">
      <x v="7"/>
    </i>
    <i r="1">
      <x v="283"/>
      <x v="146"/>
      <x v="4"/>
    </i>
    <i r="3">
      <x v="5"/>
    </i>
    <i r="3">
      <x v="9"/>
    </i>
    <i r="3">
      <x v="10"/>
    </i>
    <i r="1">
      <x v="302"/>
      <x v="247"/>
      <x v="3"/>
    </i>
    <i r="3">
      <x v="4"/>
    </i>
    <i r="1">
      <x v="303"/>
      <x v="534"/>
      <x v="4"/>
    </i>
    <i r="3">
      <x v="5"/>
    </i>
    <i r="3">
      <x v="8"/>
    </i>
    <i r="3">
      <x v="9"/>
    </i>
    <i r="1">
      <x v="304"/>
      <x v="261"/>
      <x v="4"/>
    </i>
    <i r="3">
      <x v="5"/>
    </i>
    <i r="3">
      <x v="8"/>
    </i>
    <i r="1">
      <x v="305"/>
      <x v="60"/>
      <x v="4"/>
    </i>
    <i r="3">
      <x v="5"/>
    </i>
    <i r="1">
      <x v="306"/>
      <x v="157"/>
      <x v="4"/>
    </i>
    <i r="3">
      <x v="8"/>
    </i>
    <i r="3">
      <x v="9"/>
    </i>
    <i r="1">
      <x v="307"/>
      <x v="119"/>
      <x v="3"/>
    </i>
    <i r="3">
      <x v="4"/>
    </i>
    <i r="3">
      <x v="8"/>
    </i>
    <i r="3">
      <x v="11"/>
    </i>
    <i r="3">
      <x v="12"/>
    </i>
    <i r="1">
      <x v="327"/>
      <x v="251"/>
      <x v="4"/>
    </i>
    <i r="1">
      <x v="328"/>
      <x v="406"/>
      <x v="4"/>
    </i>
    <i r="3">
      <x v="11"/>
    </i>
    <i r="1">
      <x v="329"/>
      <x/>
      <x v="4"/>
    </i>
    <i r="3">
      <x v="5"/>
    </i>
    <i r="3">
      <x v="11"/>
    </i>
    <i r="1">
      <x v="330"/>
      <x v="161"/>
      <x v="4"/>
    </i>
    <i r="3">
      <x v="5"/>
    </i>
    <i r="3">
      <x v="8"/>
    </i>
    <i r="3">
      <x v="10"/>
    </i>
    <i r="1">
      <x v="331"/>
      <x v="60"/>
      <x v="4"/>
    </i>
    <i r="3">
      <x v="5"/>
    </i>
    <i r="3">
      <x v="9"/>
    </i>
    <i r="1">
      <x v="332"/>
      <x v="339"/>
      <x v="4"/>
    </i>
    <i r="3">
      <x v="5"/>
    </i>
    <i r="3">
      <x v="8"/>
    </i>
    <i r="3">
      <x v="10"/>
    </i>
    <i r="1">
      <x v="350"/>
      <x v="185"/>
      <x v="4"/>
    </i>
    <i r="3">
      <x v="8"/>
    </i>
    <i r="3">
      <x v="9"/>
    </i>
    <i r="3">
      <x v="11"/>
    </i>
    <i r="1">
      <x v="351"/>
      <x v="174"/>
      <x v="1"/>
    </i>
    <i r="3">
      <x v="4"/>
    </i>
    <i r="3">
      <x v="5"/>
    </i>
    <i r="3">
      <x v="10"/>
    </i>
    <i r="1">
      <x v="352"/>
      <x v="397"/>
      <x v="4"/>
    </i>
    <i r="3">
      <x v="8"/>
    </i>
    <i r="3">
      <x v="10"/>
    </i>
    <i r="1">
      <x v="353"/>
      <x v="413"/>
      <x v="4"/>
    </i>
    <i r="3">
      <x v="5"/>
    </i>
    <i r="3">
      <x v="8"/>
    </i>
    <i r="3">
      <x v="9"/>
    </i>
    <i r="3">
      <x v="10"/>
    </i>
    <i r="1">
      <x v="354"/>
      <x v="415"/>
      <x v="4"/>
    </i>
    <i r="3">
      <x v="5"/>
    </i>
    <i r="3">
      <x v="8"/>
    </i>
    <i r="3">
      <x v="10"/>
    </i>
    <i r="1">
      <x v="355"/>
      <x v="541"/>
      <x v="4"/>
    </i>
    <i r="3">
      <x v="5"/>
    </i>
    <i r="3">
      <x v="8"/>
    </i>
    <i r="3">
      <x v="10"/>
    </i>
    <i r="1">
      <x v="374"/>
      <x v="294"/>
      <x v="4"/>
    </i>
    <i r="3">
      <x v="5"/>
    </i>
    <i r="3">
      <x v="7"/>
    </i>
    <i r="3">
      <x v="8"/>
    </i>
    <i r="3">
      <x v="10"/>
    </i>
    <i r="1">
      <x v="375"/>
      <x v="48"/>
      <x v="4"/>
    </i>
    <i r="3">
      <x v="8"/>
    </i>
    <i r="1">
      <x v="376"/>
      <x v="61"/>
      <x v="4"/>
    </i>
    <i r="3">
      <x v="5"/>
    </i>
    <i r="3">
      <x v="7"/>
    </i>
    <i r="3">
      <x v="8"/>
    </i>
    <i r="3">
      <x v="9"/>
    </i>
    <i r="3">
      <x v="10"/>
    </i>
    <i r="1">
      <x v="377"/>
      <x v="451"/>
      <x v="4"/>
    </i>
    <i r="3">
      <x v="8"/>
    </i>
    <i r="1">
      <x v="378"/>
      <x v="414"/>
      <x v="4"/>
    </i>
    <i r="3">
      <x v="5"/>
    </i>
    <i r="3">
      <x v="7"/>
    </i>
    <i r="3">
      <x v="9"/>
    </i>
    <i r="1">
      <x v="379"/>
      <x v="353"/>
      <x v="4"/>
    </i>
    <i r="3">
      <x v="5"/>
    </i>
    <i r="3">
      <x v="8"/>
    </i>
    <i r="3">
      <x v="9"/>
    </i>
    <i r="3">
      <x v="10"/>
    </i>
    <i r="1">
      <x v="398"/>
      <x v="366"/>
      <x v="4"/>
    </i>
    <i r="3">
      <x v="8"/>
    </i>
    <i r="1">
      <x v="399"/>
      <x v="308"/>
      <x v="4"/>
    </i>
    <i r="3">
      <x v="5"/>
    </i>
    <i r="3">
      <x v="8"/>
    </i>
    <i r="1">
      <x v="400"/>
      <x v="160"/>
      <x v="4"/>
    </i>
    <i r="3">
      <x v="5"/>
    </i>
    <i r="3">
      <x v="7"/>
    </i>
    <i r="3">
      <x v="8"/>
    </i>
    <i r="3">
      <x v="11"/>
    </i>
    <i r="1">
      <x v="401"/>
      <x v="235"/>
      <x v="4"/>
    </i>
    <i r="3">
      <x v="5"/>
    </i>
    <i r="3">
      <x v="7"/>
    </i>
    <i r="3">
      <x v="8"/>
    </i>
    <i r="3">
      <x v="11"/>
    </i>
    <i r="1">
      <x v="402"/>
      <x v="445"/>
      <x v="4"/>
    </i>
    <i r="3">
      <x v="11"/>
    </i>
    <i r="1">
      <x v="403"/>
      <x v="206"/>
      <x v="4"/>
    </i>
    <i r="3">
      <x v="5"/>
    </i>
    <i r="3">
      <x v="9"/>
    </i>
    <i r="1">
      <x v="420"/>
      <x v="312"/>
      <x v="4"/>
    </i>
    <i r="3">
      <x v="5"/>
    </i>
    <i r="3">
      <x v="8"/>
    </i>
    <i r="3">
      <x v="11"/>
    </i>
    <i r="1">
      <x v="421"/>
      <x v="230"/>
      <x v="3"/>
    </i>
    <i r="3">
      <x v="4"/>
    </i>
    <i r="3">
      <x v="8"/>
    </i>
    <i r="3">
      <x v="11"/>
    </i>
    <i r="1">
      <x v="422"/>
      <x v="163"/>
      <x v="4"/>
    </i>
    <i r="3">
      <x v="5"/>
    </i>
    <i r="3">
      <x v="7"/>
    </i>
    <i r="3">
      <x v="9"/>
    </i>
    <i r="3">
      <x v="11"/>
    </i>
    <i r="1">
      <x v="423"/>
      <x v="116"/>
      <x v="4"/>
    </i>
    <i r="3">
      <x v="8"/>
    </i>
    <i r="3">
      <x v="11"/>
    </i>
    <i r="1">
      <x v="424"/>
      <x v="528"/>
      <x v="4"/>
    </i>
    <i r="3">
      <x v="5"/>
    </i>
    <i r="3">
      <x v="8"/>
    </i>
    <i r="1">
      <x v="425"/>
      <x v="81"/>
      <x v="4"/>
    </i>
    <i r="3">
      <x v="5"/>
    </i>
    <i r="3">
      <x v="8"/>
    </i>
    <i r="3">
      <x v="9"/>
    </i>
    <i r="3">
      <x v="10"/>
    </i>
    <i r="1">
      <x v="441"/>
      <x v="93"/>
      <x v="4"/>
    </i>
    <i r="3">
      <x v="8"/>
    </i>
    <i r="1">
      <x v="442"/>
      <x v="149"/>
      <x v="4"/>
    </i>
    <i r="3">
      <x v="8"/>
    </i>
    <i r="1">
      <x v="443"/>
      <x v="10"/>
      <x v="4"/>
    </i>
    <i r="3">
      <x v="8"/>
    </i>
    <i r="3">
      <x v="9"/>
    </i>
    <i r="3">
      <x v="11"/>
    </i>
    <i r="1">
      <x v="444"/>
      <x v="143"/>
      <x v="4"/>
    </i>
    <i r="3">
      <x v="8"/>
    </i>
    <i r="1">
      <x v="445"/>
      <x v="282"/>
      <x v="1"/>
    </i>
    <i r="3">
      <x v="4"/>
    </i>
    <i r="3">
      <x v="5"/>
    </i>
    <i r="1">
      <x v="446"/>
      <x v="272"/>
      <x v="4"/>
    </i>
    <i r="3">
      <x v="5"/>
    </i>
    <i r="3">
      <x v="10"/>
    </i>
    <i r="3">
      <x v="11"/>
    </i>
    <i r="1">
      <x v="464"/>
      <x v="264"/>
      <x v="4"/>
    </i>
    <i r="3">
      <x v="5"/>
    </i>
    <i r="1">
      <x v="465"/>
      <x v="63"/>
      <x v="4"/>
    </i>
    <i r="3">
      <x v="5"/>
    </i>
    <i r="1">
      <x v="466"/>
      <x v="508"/>
      <x v="4"/>
    </i>
    <i r="3">
      <x v="8"/>
    </i>
    <i r="1">
      <x v="467"/>
      <x v="196"/>
      <x v="4"/>
    </i>
    <i r="3">
      <x v="5"/>
    </i>
    <i r="1">
      <x v="468"/>
      <x v="530"/>
      <x v="4"/>
    </i>
    <i r="3">
      <x v="5"/>
    </i>
    <i r="3">
      <x v="7"/>
    </i>
    <i r="3">
      <x v="8"/>
    </i>
    <i r="3">
      <x v="10"/>
    </i>
    <i r="1">
      <x v="469"/>
      <x v="60"/>
      <x v="4"/>
    </i>
    <i r="3">
      <x v="5"/>
    </i>
    <i r="3">
      <x v="10"/>
    </i>
    <i r="1">
      <x v="488"/>
      <x v="479"/>
      <x v="4"/>
    </i>
    <i r="3">
      <x v="5"/>
    </i>
    <i r="3">
      <x v="8"/>
    </i>
    <i r="3">
      <x v="9"/>
    </i>
    <i r="1">
      <x v="489"/>
      <x v="105"/>
      <x v="4"/>
    </i>
    <i r="1">
      <x v="490"/>
      <x v="502"/>
      <x v="4"/>
    </i>
    <i r="3">
      <x v="8"/>
    </i>
    <i r="3">
      <x v="9"/>
    </i>
    <i r="1">
      <x v="491"/>
      <x v="55"/>
      <x v="4"/>
    </i>
    <i r="3">
      <x v="8"/>
    </i>
    <i r="3">
      <x v="9"/>
    </i>
    <i r="1">
      <x v="492"/>
      <x v="433"/>
      <x v="4"/>
    </i>
    <i r="3">
      <x v="8"/>
    </i>
    <i r="3">
      <x v="9"/>
    </i>
    <i r="1">
      <x v="493"/>
      <x v="449"/>
      <x v="4"/>
    </i>
    <i r="3">
      <x v="5"/>
    </i>
    <i r="1">
      <x v="510"/>
      <x v="314"/>
      <x v="4"/>
    </i>
    <i r="3">
      <x v="5"/>
    </i>
    <i r="3">
      <x v="8"/>
    </i>
    <i r="3">
      <x v="11"/>
    </i>
    <i r="1">
      <x v="511"/>
      <x v="129"/>
      <x v="4"/>
    </i>
    <i r="3">
      <x v="5"/>
    </i>
    <i r="3">
      <x v="8"/>
    </i>
    <i r="3">
      <x v="9"/>
    </i>
    <i r="1">
      <x v="512"/>
      <x v="363"/>
      <x v="4"/>
    </i>
    <i r="3">
      <x v="8"/>
    </i>
    <i r="1">
      <x v="513"/>
      <x v="207"/>
      <x v="4"/>
    </i>
    <i r="3">
      <x v="5"/>
    </i>
    <i r="3">
      <x v="8"/>
    </i>
    <i r="3">
      <x v="10"/>
    </i>
    <i r="1">
      <x v="514"/>
      <x v="448"/>
      <x v="4"/>
    </i>
    <i r="3">
      <x v="5"/>
    </i>
    <i r="1">
      <x v="515"/>
      <x v="496"/>
      <x v="4"/>
    </i>
    <i r="3">
      <x v="5"/>
    </i>
    <i r="3">
      <x v="8"/>
    </i>
    <i r="1">
      <x v="533"/>
      <x v="527"/>
      <x v="4"/>
    </i>
    <i r="3">
      <x v="5"/>
    </i>
    <i r="3">
      <x v="11"/>
    </i>
    <i r="1">
      <x v="534"/>
      <x v="375"/>
      <x v="4"/>
    </i>
    <i r="3">
      <x v="5"/>
    </i>
    <i r="3">
      <x v="8"/>
    </i>
    <i r="1">
      <x v="535"/>
      <x v="60"/>
      <x v="4"/>
    </i>
    <i r="3">
      <x v="5"/>
    </i>
    <i r="3">
      <x v="8"/>
    </i>
    <i r="3">
      <x v="10"/>
    </i>
    <i r="1">
      <x v="536"/>
      <x v="518"/>
      <x v="4"/>
    </i>
    <i r="3">
      <x v="5"/>
    </i>
    <i r="3">
      <x v="10"/>
    </i>
    <i r="3">
      <x v="11"/>
    </i>
    <i r="1">
      <x v="537"/>
      <x v="448"/>
      <x v="4"/>
    </i>
    <i r="3">
      <x v="5"/>
    </i>
    <i r="3">
      <x v="10"/>
    </i>
    <i r="3">
      <x v="11"/>
    </i>
    <i r="1">
      <x v="538"/>
      <x v="60"/>
      <x v="3"/>
    </i>
    <i r="3">
      <x v="4"/>
    </i>
    <i r="3">
      <x v="5"/>
    </i>
    <i r="3">
      <x v="8"/>
    </i>
    <i r="3">
      <x v="10"/>
    </i>
    <i r="1">
      <x v="556"/>
      <x v="277"/>
      <x v="4"/>
    </i>
    <i r="3">
      <x v="5"/>
    </i>
    <i r="3">
      <x v="8"/>
    </i>
    <i r="3">
      <x v="10"/>
    </i>
    <i r="1">
      <x v="557"/>
      <x v="298"/>
      <x v="4"/>
    </i>
    <i r="3">
      <x v="5"/>
    </i>
    <i r="1">
      <x v="558"/>
      <x v="290"/>
      <x v="4"/>
    </i>
    <i r="3">
      <x v="8"/>
    </i>
    <i r="3">
      <x v="9"/>
    </i>
    <i r="1">
      <x v="559"/>
      <x v="448"/>
      <x v="4"/>
    </i>
    <i r="3">
      <x v="5"/>
    </i>
    <i r="3">
      <x v="10"/>
    </i>
    <i r="3">
      <x v="11"/>
    </i>
    <i r="1">
      <x v="560"/>
      <x v="540"/>
      <x v="4"/>
    </i>
    <i r="3">
      <x v="5"/>
    </i>
    <i r="3">
      <x v="8"/>
    </i>
    <i r="1">
      <x v="561"/>
      <x v="458"/>
      <x v="4"/>
    </i>
    <i r="3">
      <x v="5"/>
    </i>
    <i r="3">
      <x v="8"/>
    </i>
    <i r="3">
      <x v="10"/>
    </i>
    <i r="3">
      <x v="11"/>
    </i>
    <i r="1">
      <x v="575"/>
      <x v="543"/>
      <x/>
    </i>
    <i>
      <x v="1"/>
      <x/>
      <x v="215"/>
      <x v="4"/>
    </i>
    <i r="3">
      <x v="5"/>
    </i>
    <i r="3">
      <x v="7"/>
    </i>
    <i r="3">
      <x v="8"/>
    </i>
    <i r="3">
      <x v="11"/>
    </i>
    <i r="1">
      <x v="1"/>
      <x v="440"/>
      <x v="1"/>
    </i>
    <i r="3">
      <x v="4"/>
    </i>
    <i r="3">
      <x v="5"/>
    </i>
    <i r="3">
      <x v="8"/>
    </i>
    <i r="1">
      <x v="21"/>
      <x v="12"/>
      <x v="4"/>
    </i>
    <i r="3">
      <x v="5"/>
    </i>
    <i r="3">
      <x v="7"/>
    </i>
    <i r="3">
      <x v="8"/>
    </i>
    <i r="3">
      <x v="11"/>
    </i>
    <i r="1">
      <x v="22"/>
      <x v="177"/>
      <x v="4"/>
    </i>
    <i r="3">
      <x v="5"/>
    </i>
    <i r="3">
      <x v="7"/>
    </i>
    <i r="3">
      <x v="8"/>
    </i>
    <i r="1">
      <x v="23"/>
      <x v="231"/>
      <x v="4"/>
    </i>
    <i r="3">
      <x v="5"/>
    </i>
    <i r="3">
      <x v="11"/>
    </i>
    <i r="1">
      <x v="41"/>
      <x v="492"/>
      <x v="4"/>
    </i>
    <i r="3">
      <x v="11"/>
    </i>
    <i r="1">
      <x v="42"/>
      <x v="171"/>
      <x v="4"/>
    </i>
    <i r="3">
      <x v="8"/>
    </i>
    <i r="1">
      <x v="43"/>
      <x v="526"/>
      <x v="4"/>
    </i>
    <i r="3">
      <x v="5"/>
    </i>
    <i r="3">
      <x v="10"/>
    </i>
    <i r="1">
      <x v="44"/>
      <x v="205"/>
      <x v="4"/>
    </i>
    <i r="3">
      <x v="5"/>
    </i>
    <i r="3">
      <x v="9"/>
    </i>
    <i r="1">
      <x v="65"/>
      <x v="60"/>
      <x v="4"/>
    </i>
    <i r="3">
      <x v="5"/>
    </i>
    <i r="3">
      <x v="11"/>
    </i>
    <i r="1">
      <x v="66"/>
      <x v="32"/>
      <x v="1"/>
    </i>
    <i r="3">
      <x v="4"/>
    </i>
    <i r="3">
      <x v="8"/>
    </i>
    <i r="3">
      <x v="11"/>
    </i>
    <i r="1">
      <x v="67"/>
      <x v="266"/>
      <x v="4"/>
    </i>
    <i r="3">
      <x v="5"/>
    </i>
    <i r="3">
      <x v="8"/>
    </i>
    <i r="3">
      <x v="9"/>
    </i>
    <i r="3">
      <x v="11"/>
    </i>
    <i r="1">
      <x v="68"/>
      <x v="288"/>
      <x v="1"/>
    </i>
    <i r="3">
      <x v="4"/>
    </i>
    <i r="3">
      <x v="5"/>
    </i>
    <i r="1">
      <x v="90"/>
      <x v="423"/>
      <x v="4"/>
    </i>
    <i r="3">
      <x v="5"/>
    </i>
    <i r="3">
      <x v="11"/>
    </i>
    <i r="1">
      <x v="91"/>
      <x v="461"/>
      <x v="4"/>
    </i>
    <i r="3">
      <x v="11"/>
    </i>
    <i r="1">
      <x v="92"/>
      <x v="474"/>
      <x v="4"/>
    </i>
    <i r="1">
      <x v="93"/>
      <x v="60"/>
      <x v="4"/>
    </i>
    <i r="3">
      <x v="5"/>
    </i>
    <i r="3">
      <x v="8"/>
    </i>
    <i r="1">
      <x v="113"/>
      <x v="535"/>
      <x v="4"/>
    </i>
    <i r="3">
      <x v="5"/>
    </i>
    <i r="1">
      <x v="114"/>
      <x v="95"/>
      <x v="4"/>
    </i>
    <i r="3">
      <x v="5"/>
    </i>
    <i r="3">
      <x v="9"/>
    </i>
    <i r="1">
      <x v="115"/>
      <x v="457"/>
      <x v="4"/>
    </i>
    <i r="3">
      <x v="5"/>
    </i>
    <i r="3">
      <x v="10"/>
    </i>
    <i r="1">
      <x v="134"/>
      <x v="516"/>
      <x v="4"/>
    </i>
    <i r="3">
      <x v="5"/>
    </i>
    <i r="3">
      <x v="10"/>
    </i>
    <i r="3">
      <x v="11"/>
    </i>
    <i r="1">
      <x v="135"/>
      <x v="504"/>
      <x v="4"/>
    </i>
    <i r="1">
      <x v="136"/>
      <x v="436"/>
      <x v="4"/>
    </i>
    <i r="3">
      <x v="8"/>
    </i>
    <i r="1">
      <x v="137"/>
      <x v="416"/>
      <x v="4"/>
    </i>
    <i r="3">
      <x v="5"/>
    </i>
    <i r="3">
      <x v="8"/>
    </i>
    <i r="3">
      <x v="10"/>
    </i>
    <i r="1">
      <x v="158"/>
      <x v="115"/>
      <x v="1"/>
    </i>
    <i r="3">
      <x v="4"/>
    </i>
    <i r="3">
      <x v="5"/>
    </i>
    <i r="3">
      <x v="7"/>
    </i>
    <i r="1">
      <x v="159"/>
      <x v="274"/>
      <x v="4"/>
    </i>
    <i r="3">
      <x v="5"/>
    </i>
    <i r="3">
      <x v="8"/>
    </i>
    <i r="1">
      <x v="160"/>
      <x v="381"/>
      <x v="4"/>
    </i>
    <i r="3">
      <x v="5"/>
    </i>
    <i r="3">
      <x v="8"/>
    </i>
    <i r="3">
      <x v="9"/>
    </i>
    <i r="3">
      <x v="10"/>
    </i>
    <i r="1">
      <x v="161"/>
      <x v="317"/>
      <x v="4"/>
    </i>
    <i r="3">
      <x v="5"/>
    </i>
    <i r="3">
      <x v="8"/>
    </i>
    <i r="1">
      <x v="182"/>
      <x v="76"/>
      <x v="1"/>
    </i>
    <i r="3">
      <x v="4"/>
    </i>
    <i r="1">
      <x v="183"/>
      <x v="343"/>
      <x v="4"/>
    </i>
    <i r="3">
      <x v="5"/>
    </i>
    <i r="3">
      <x v="11"/>
    </i>
    <i r="1">
      <x v="184"/>
      <x v="487"/>
      <x v="4"/>
    </i>
    <i r="3">
      <x v="8"/>
    </i>
    <i r="1">
      <x v="185"/>
      <x v="60"/>
      <x v="4"/>
    </i>
    <i r="3">
      <x v="5"/>
    </i>
    <i r="3">
      <x v="8"/>
    </i>
    <i r="3">
      <x v="9"/>
    </i>
    <i r="3">
      <x v="10"/>
    </i>
    <i r="1">
      <x v="206"/>
      <x v="452"/>
      <x v="4"/>
    </i>
    <i r="3">
      <x v="5"/>
    </i>
    <i r="3">
      <x v="8"/>
    </i>
    <i r="1">
      <x v="207"/>
      <x v="60"/>
      <x v="4"/>
    </i>
    <i r="3">
      <x v="5"/>
    </i>
    <i r="3">
      <x v="8"/>
    </i>
    <i r="3">
      <x v="10"/>
    </i>
    <i r="3">
      <x v="11"/>
    </i>
    <i r="1">
      <x v="208"/>
      <x v="125"/>
      <x v="4"/>
    </i>
    <i r="3">
      <x v="5"/>
    </i>
    <i r="3">
      <x v="7"/>
    </i>
    <i r="3">
      <x v="11"/>
    </i>
    <i r="1">
      <x v="209"/>
      <x v="276"/>
      <x v="4"/>
    </i>
    <i r="3">
      <x v="5"/>
    </i>
    <i r="3">
      <x v="8"/>
    </i>
    <i r="3">
      <x v="9"/>
    </i>
    <i r="3">
      <x v="10"/>
    </i>
    <i r="1">
      <x v="228"/>
      <x v="296"/>
      <x v="4"/>
    </i>
    <i r="3">
      <x v="5"/>
    </i>
    <i r="3">
      <x v="7"/>
    </i>
    <i r="3">
      <x v="10"/>
    </i>
    <i r="1">
      <x v="229"/>
      <x v="159"/>
      <x v="4"/>
    </i>
    <i r="3">
      <x v="8"/>
    </i>
    <i r="1">
      <x v="230"/>
      <x v="352"/>
      <x v="4"/>
    </i>
    <i r="3">
      <x v="8"/>
    </i>
    <i r="3">
      <x v="9"/>
    </i>
    <i r="1">
      <x v="231"/>
      <x v="68"/>
      <x v="4"/>
    </i>
    <i r="3">
      <x v="11"/>
    </i>
    <i r="1">
      <x v="251"/>
      <x v="176"/>
      <x v="4"/>
    </i>
    <i r="3">
      <x v="5"/>
    </i>
    <i r="1">
      <x v="252"/>
      <x v="488"/>
      <x v="4"/>
    </i>
    <i r="3">
      <x v="5"/>
    </i>
    <i r="3">
      <x v="8"/>
    </i>
    <i r="3">
      <x v="10"/>
    </i>
    <i r="1">
      <x v="253"/>
      <x v="329"/>
      <x v="4"/>
    </i>
    <i r="3">
      <x v="5"/>
    </i>
    <i r="3">
      <x v="8"/>
    </i>
    <i r="3">
      <x v="9"/>
    </i>
    <i r="1">
      <x v="254"/>
      <x v="393"/>
      <x v="4"/>
    </i>
    <i r="3">
      <x v="5"/>
    </i>
    <i r="3">
      <x v="11"/>
    </i>
    <i r="1">
      <x v="274"/>
      <x v="524"/>
      <x v="4"/>
    </i>
    <i r="3">
      <x v="5"/>
    </i>
    <i r="3">
      <x v="8"/>
    </i>
    <i r="1">
      <x v="275"/>
      <x v="337"/>
      <x v="4"/>
    </i>
    <i r="3">
      <x v="8"/>
    </i>
    <i r="3">
      <x v="11"/>
    </i>
    <i r="1">
      <x v="276"/>
      <x v="170"/>
      <x v="4"/>
    </i>
    <i r="3">
      <x v="5"/>
    </i>
    <i r="3">
      <x v="7"/>
    </i>
    <i r="3">
      <x v="10"/>
    </i>
    <i r="3">
      <x v="11"/>
    </i>
    <i r="1">
      <x v="277"/>
      <x v="137"/>
      <x v="4"/>
    </i>
    <i r="3">
      <x v="5"/>
    </i>
    <i r="3">
      <x v="10"/>
    </i>
    <i r="1">
      <x v="298"/>
      <x v="470"/>
      <x v="4"/>
    </i>
    <i r="3">
      <x v="5"/>
    </i>
    <i r="3">
      <x v="7"/>
    </i>
    <i r="3">
      <x v="8"/>
    </i>
    <i r="3">
      <x v="10"/>
    </i>
    <i r="3">
      <x v="11"/>
    </i>
    <i r="1">
      <x v="299"/>
      <x v="28"/>
      <x v="4"/>
    </i>
    <i r="3">
      <x v="5"/>
    </i>
    <i r="3">
      <x v="7"/>
    </i>
    <i r="3">
      <x v="8"/>
    </i>
    <i r="1">
      <x v="300"/>
      <x v="295"/>
      <x v="4"/>
    </i>
    <i r="3">
      <x v="5"/>
    </i>
    <i r="3">
      <x v="9"/>
    </i>
    <i r="3">
      <x v="11"/>
    </i>
    <i r="1">
      <x v="301"/>
      <x v="300"/>
      <x v="1"/>
    </i>
    <i r="3">
      <x v="4"/>
    </i>
    <i r="3">
      <x v="5"/>
    </i>
    <i r="3">
      <x v="10"/>
    </i>
    <i r="1">
      <x v="323"/>
      <x v="462"/>
      <x v="4"/>
    </i>
    <i r="3">
      <x v="8"/>
    </i>
    <i r="3">
      <x v="9"/>
    </i>
    <i r="1">
      <x v="324"/>
      <x v="106"/>
      <x v="4"/>
    </i>
    <i r="3">
      <x v="9"/>
    </i>
    <i r="3">
      <x v="10"/>
    </i>
    <i r="1">
      <x v="325"/>
      <x v="13"/>
      <x v="2"/>
    </i>
    <i r="3">
      <x v="4"/>
    </i>
    <i r="3">
      <x v="9"/>
    </i>
    <i r="1">
      <x v="326"/>
      <x v="254"/>
      <x v="4"/>
    </i>
    <i r="3">
      <x v="9"/>
    </i>
    <i r="1">
      <x v="346"/>
      <x v="280"/>
      <x v="4"/>
    </i>
    <i r="3">
      <x v="5"/>
    </i>
    <i r="3">
      <x v="7"/>
    </i>
    <i r="3">
      <x v="11"/>
    </i>
    <i r="1">
      <x v="347"/>
      <x v="229"/>
      <x v="3"/>
    </i>
    <i r="3">
      <x v="4"/>
    </i>
    <i r="3">
      <x v="5"/>
    </i>
    <i r="3">
      <x v="10"/>
    </i>
    <i r="1">
      <x v="348"/>
      <x v="510"/>
      <x v="4"/>
    </i>
    <i r="3">
      <x v="5"/>
    </i>
    <i r="3">
      <x v="10"/>
    </i>
    <i r="1">
      <x v="349"/>
      <x v="243"/>
      <x v="1"/>
    </i>
    <i r="3">
      <x v="4"/>
    </i>
    <i r="3">
      <x v="5"/>
    </i>
    <i r="3">
      <x v="8"/>
    </i>
    <i r="3">
      <x v="11"/>
    </i>
    <i r="1">
      <x v="370"/>
      <x v="356"/>
      <x v="4"/>
    </i>
    <i r="3">
      <x v="5"/>
    </i>
    <i r="3">
      <x v="7"/>
    </i>
    <i r="3">
      <x v="10"/>
    </i>
    <i r="1">
      <x v="371"/>
      <x v="162"/>
      <x v="4"/>
    </i>
    <i r="3">
      <x v="5"/>
    </i>
    <i r="1">
      <x v="372"/>
      <x v="324"/>
      <x v="4"/>
    </i>
    <i r="3">
      <x v="5"/>
    </i>
    <i r="3">
      <x v="7"/>
    </i>
    <i r="3">
      <x v="11"/>
    </i>
    <i r="1">
      <x v="373"/>
      <x v="275"/>
      <x v="4"/>
    </i>
    <i r="3">
      <x v="5"/>
    </i>
    <i r="3">
      <x v="8"/>
    </i>
    <i r="1">
      <x v="394"/>
      <x v="100"/>
      <x v="4"/>
    </i>
    <i r="3">
      <x v="11"/>
    </i>
    <i r="1">
      <x v="395"/>
      <x v="455"/>
      <x v="4"/>
    </i>
    <i r="3">
      <x v="5"/>
    </i>
    <i r="3">
      <x v="8"/>
    </i>
    <i r="3">
      <x v="9"/>
    </i>
    <i r="3">
      <x v="10"/>
    </i>
    <i r="1">
      <x v="396"/>
      <x v="25"/>
      <x v="4"/>
    </i>
    <i r="3">
      <x v="5"/>
    </i>
    <i r="3">
      <x v="8"/>
    </i>
    <i r="1">
      <x v="397"/>
      <x v="319"/>
      <x v="4"/>
    </i>
    <i r="1">
      <x v="416"/>
      <x v="532"/>
      <x v="4"/>
    </i>
    <i r="3">
      <x v="5"/>
    </i>
    <i r="3">
      <x v="9"/>
    </i>
    <i r="3">
      <x v="11"/>
    </i>
    <i r="1">
      <x v="417"/>
      <x v="341"/>
      <x v="4"/>
    </i>
    <i r="3">
      <x v="5"/>
    </i>
    <i r="3">
      <x v="7"/>
    </i>
    <i r="3">
      <x v="8"/>
    </i>
    <i r="1">
      <x v="418"/>
      <x v="104"/>
      <x v="4"/>
    </i>
    <i r="3">
      <x v="5"/>
    </i>
    <i r="3">
      <x v="7"/>
    </i>
    <i r="3">
      <x v="11"/>
    </i>
    <i r="1">
      <x v="419"/>
      <x v="262"/>
      <x v="4"/>
    </i>
    <i r="3">
      <x v="5"/>
    </i>
    <i r="3">
      <x v="7"/>
    </i>
    <i r="1">
      <x v="437"/>
      <x v="4"/>
      <x v="1"/>
    </i>
    <i r="3">
      <x v="4"/>
    </i>
    <i r="3">
      <x v="5"/>
    </i>
    <i r="1">
      <x v="438"/>
      <x v="194"/>
      <x v="4"/>
    </i>
    <i r="3">
      <x v="8"/>
    </i>
    <i r="3">
      <x v="9"/>
    </i>
    <i r="3">
      <x v="10"/>
    </i>
    <i r="1">
      <x v="439"/>
      <x v="15"/>
      <x v="1"/>
    </i>
    <i r="3">
      <x v="4"/>
    </i>
    <i r="3">
      <x v="5"/>
    </i>
    <i r="3">
      <x v="8"/>
    </i>
    <i r="1">
      <x v="440"/>
      <x v="234"/>
      <x v="1"/>
    </i>
    <i r="3">
      <x v="4"/>
    </i>
    <i r="3">
      <x v="5"/>
    </i>
    <i r="3">
      <x v="8"/>
    </i>
    <i r="1">
      <x v="461"/>
      <x v="240"/>
      <x v="4"/>
    </i>
    <i r="3">
      <x v="5"/>
    </i>
    <i r="3">
      <x v="7"/>
    </i>
    <i r="1">
      <x v="462"/>
      <x v="221"/>
      <x v="4"/>
    </i>
    <i r="3">
      <x v="5"/>
    </i>
    <i r="3">
      <x v="7"/>
    </i>
    <i r="3">
      <x v="9"/>
    </i>
    <i r="3">
      <x v="10"/>
    </i>
    <i r="1">
      <x v="463"/>
      <x v="191"/>
      <x v="1"/>
    </i>
    <i r="3">
      <x v="4"/>
    </i>
    <i r="3">
      <x v="5"/>
    </i>
    <i r="3">
      <x v="8"/>
    </i>
    <i r="3">
      <x v="11"/>
    </i>
    <i r="1">
      <x v="484"/>
      <x v="99"/>
      <x v="4"/>
    </i>
    <i r="3">
      <x v="7"/>
    </i>
    <i r="3">
      <x v="11"/>
    </i>
    <i r="1">
      <x v="485"/>
      <x v="327"/>
      <x v="4"/>
    </i>
    <i r="3">
      <x v="5"/>
    </i>
    <i r="3">
      <x v="9"/>
    </i>
    <i r="1">
      <x v="486"/>
      <x v="138"/>
      <x v="4"/>
    </i>
    <i r="1">
      <x v="487"/>
      <x v="256"/>
      <x v="4"/>
    </i>
    <i r="3">
      <x v="8"/>
    </i>
    <i r="3">
      <x v="10"/>
    </i>
    <i r="1">
      <x v="506"/>
      <x v="80"/>
      <x v="4"/>
    </i>
    <i r="3">
      <x v="5"/>
    </i>
    <i r="3">
      <x v="8"/>
    </i>
    <i r="3">
      <x v="10"/>
    </i>
    <i r="3">
      <x v="11"/>
    </i>
    <i r="1">
      <x v="507"/>
      <x v="507"/>
      <x v="4"/>
    </i>
    <i r="3">
      <x v="8"/>
    </i>
    <i r="1">
      <x v="508"/>
      <x v="442"/>
      <x v="3"/>
    </i>
    <i r="3">
      <x v="4"/>
    </i>
    <i r="3">
      <x v="5"/>
    </i>
    <i r="1">
      <x v="509"/>
      <x v="434"/>
      <x v="4"/>
    </i>
    <i r="3">
      <x v="5"/>
    </i>
    <i r="1">
      <x v="529"/>
      <x v="224"/>
      <x v="1"/>
    </i>
    <i r="3">
      <x v="4"/>
    </i>
    <i r="3">
      <x v="5"/>
    </i>
    <i r="1">
      <x v="530"/>
      <x v="8"/>
      <x v="4"/>
    </i>
    <i r="3">
      <x v="5"/>
    </i>
    <i r="3">
      <x v="7"/>
    </i>
    <i r="1">
      <x v="531"/>
      <x v="27"/>
      <x v="4"/>
    </i>
    <i r="3">
      <x v="5"/>
    </i>
    <i r="3">
      <x v="7"/>
    </i>
    <i r="3">
      <x v="8"/>
    </i>
    <i r="3">
      <x v="9"/>
    </i>
    <i r="1">
      <x v="532"/>
      <x v="110"/>
      <x v="4"/>
    </i>
    <i r="3">
      <x v="5"/>
    </i>
    <i r="1">
      <x v="552"/>
      <x v="303"/>
      <x v="4"/>
    </i>
    <i r="3">
      <x v="5"/>
    </i>
    <i r="3">
      <x v="8"/>
    </i>
    <i r="3">
      <x v="9"/>
    </i>
    <i r="3">
      <x v="10"/>
    </i>
    <i r="1">
      <x v="553"/>
      <x v="533"/>
      <x v="2"/>
    </i>
    <i r="3">
      <x v="4"/>
    </i>
    <i r="3">
      <x v="5"/>
    </i>
    <i r="3">
      <x v="9"/>
    </i>
    <i r="3">
      <x v="10"/>
    </i>
    <i r="1">
      <x v="554"/>
      <x v="239"/>
      <x v="4"/>
    </i>
    <i r="3">
      <x v="5"/>
    </i>
    <i r="1">
      <x v="555"/>
      <x v="463"/>
      <x v="4"/>
    </i>
    <i r="3">
      <x v="5"/>
    </i>
    <i r="3">
      <x v="8"/>
    </i>
    <i r="1">
      <x v="576"/>
      <x v="458"/>
      <x/>
    </i>
    <i r="1">
      <x v="586"/>
      <x v="239"/>
      <x v="4"/>
    </i>
    <i r="1">
      <x v="587"/>
      <x v="177"/>
      <x v="4"/>
    </i>
    <i r="1">
      <x v="588"/>
      <x v="240"/>
      <x v="4"/>
    </i>
    <i r="1">
      <x v="589"/>
      <x v="381"/>
      <x v="4"/>
    </i>
    <i r="1">
      <x v="590"/>
      <x v="159"/>
      <x v="4"/>
    </i>
    <i r="1">
      <x v="591"/>
      <x v="247"/>
      <x v="4"/>
    </i>
    <i r="1">
      <x v="592"/>
      <x v="490"/>
      <x v="4"/>
    </i>
    <i>
      <x v="2"/>
      <x v="16"/>
      <x v="494"/>
      <x v="4"/>
    </i>
    <i r="3">
      <x v="5"/>
    </i>
    <i r="1">
      <x v="17"/>
      <x v="248"/>
      <x v="4"/>
    </i>
    <i r="3">
      <x v="5"/>
    </i>
    <i r="1">
      <x v="18"/>
      <x v="244"/>
      <x v="4"/>
    </i>
    <i r="3">
      <x v="5"/>
    </i>
    <i r="1">
      <x v="19"/>
      <x v="216"/>
      <x v="4"/>
    </i>
    <i r="3">
      <x v="5"/>
    </i>
    <i r="1">
      <x v="20"/>
      <x v="86"/>
      <x v="4"/>
    </i>
    <i r="3">
      <x v="5"/>
    </i>
    <i r="1">
      <x v="38"/>
      <x v="412"/>
      <x v="4"/>
    </i>
    <i r="3">
      <x v="5"/>
    </i>
    <i r="1">
      <x v="39"/>
      <x v="3"/>
      <x v="4"/>
    </i>
    <i r="3">
      <x v="5"/>
    </i>
    <i r="1">
      <x v="40"/>
      <x v="473"/>
      <x v="4"/>
    </i>
    <i r="3">
      <x v="5"/>
    </i>
    <i r="1">
      <x v="60"/>
      <x v="169"/>
      <x v="4"/>
    </i>
    <i r="3">
      <x v="5"/>
    </i>
    <i r="3">
      <x v="9"/>
    </i>
    <i r="1">
      <x v="61"/>
      <x v="87"/>
      <x v="4"/>
    </i>
    <i r="3">
      <x v="5"/>
    </i>
    <i r="1">
      <x v="62"/>
      <x v="432"/>
      <x v="4"/>
    </i>
    <i r="3">
      <x v="5"/>
    </i>
    <i r="1">
      <x v="63"/>
      <x v="204"/>
      <x v="4"/>
    </i>
    <i r="3">
      <x v="5"/>
    </i>
    <i r="1">
      <x v="64"/>
      <x v="389"/>
      <x v="4"/>
    </i>
    <i r="3">
      <x v="5"/>
    </i>
    <i r="1">
      <x v="85"/>
      <x v="220"/>
      <x v="4"/>
    </i>
    <i r="3">
      <x v="5"/>
    </i>
    <i r="1">
      <x v="86"/>
      <x v="62"/>
      <x v="4"/>
    </i>
    <i r="3">
      <x v="5"/>
    </i>
    <i r="1">
      <x v="87"/>
      <x v="477"/>
      <x v="4"/>
    </i>
    <i r="3">
      <x v="5"/>
    </i>
    <i r="1">
      <x v="88"/>
      <x v="19"/>
      <x v="4"/>
    </i>
    <i r="3">
      <x v="5"/>
    </i>
    <i r="1">
      <x v="89"/>
      <x v="441"/>
      <x v="4"/>
    </i>
    <i r="3">
      <x v="5"/>
    </i>
    <i r="1">
      <x v="109"/>
      <x v="150"/>
      <x v="4"/>
    </i>
    <i r="3">
      <x v="5"/>
    </i>
    <i r="1">
      <x v="110"/>
      <x v="18"/>
      <x v="4"/>
    </i>
    <i r="3">
      <x v="5"/>
    </i>
    <i r="1">
      <x v="111"/>
      <x v="338"/>
      <x v="4"/>
    </i>
    <i r="3">
      <x v="5"/>
    </i>
    <i r="1">
      <x v="112"/>
      <x v="182"/>
      <x v="4"/>
    </i>
    <i r="3">
      <x v="5"/>
    </i>
    <i r="1">
      <x v="130"/>
      <x v="410"/>
      <x v="4"/>
    </i>
    <i r="3">
      <x v="5"/>
    </i>
    <i r="1">
      <x v="131"/>
      <x v="469"/>
      <x v="4"/>
    </i>
    <i r="3">
      <x v="5"/>
    </i>
    <i r="1">
      <x v="132"/>
      <x v="480"/>
      <x v="4"/>
    </i>
    <i r="3">
      <x v="5"/>
    </i>
    <i r="1">
      <x v="133"/>
      <x v="24"/>
      <x v="4"/>
    </i>
    <i r="3">
      <x v="5"/>
    </i>
    <i r="1">
      <x v="153"/>
      <x v="333"/>
      <x v="4"/>
    </i>
    <i r="3">
      <x v="5"/>
    </i>
    <i r="1">
      <x v="154"/>
      <x v="183"/>
      <x v="4"/>
    </i>
    <i r="3">
      <x v="5"/>
    </i>
    <i r="1">
      <x v="155"/>
      <x v="51"/>
      <x v="4"/>
    </i>
    <i r="3">
      <x v="5"/>
    </i>
    <i r="1">
      <x v="156"/>
      <x v="72"/>
      <x v="4"/>
    </i>
    <i r="3">
      <x v="5"/>
    </i>
    <i r="1">
      <x v="157"/>
      <x v="475"/>
      <x v="4"/>
    </i>
    <i r="3">
      <x v="5"/>
    </i>
    <i r="1">
      <x v="177"/>
      <x v="2"/>
      <x v="4"/>
    </i>
    <i r="3">
      <x v="5"/>
    </i>
    <i r="1">
      <x v="178"/>
      <x v="98"/>
      <x v="4"/>
    </i>
    <i r="3">
      <x v="5"/>
    </i>
    <i r="1">
      <x v="179"/>
      <x v="430"/>
      <x v="4"/>
    </i>
    <i r="3">
      <x v="5"/>
    </i>
    <i r="1">
      <x v="180"/>
      <x v="439"/>
      <x v="4"/>
    </i>
    <i r="3">
      <x v="5"/>
    </i>
    <i r="1">
      <x v="181"/>
      <x v="344"/>
      <x v="4"/>
    </i>
    <i r="3">
      <x v="5"/>
    </i>
    <i r="1">
      <x v="202"/>
      <x v="325"/>
      <x v="4"/>
    </i>
    <i r="3">
      <x v="5"/>
    </i>
    <i r="1">
      <x v="203"/>
      <x v="45"/>
      <x v="4"/>
    </i>
    <i r="3">
      <x v="5"/>
    </i>
    <i r="1">
      <x v="204"/>
      <x v="139"/>
      <x v="4"/>
    </i>
    <i r="3">
      <x v="5"/>
    </i>
    <i r="1">
      <x v="205"/>
      <x v="71"/>
      <x v="4"/>
    </i>
    <i r="3">
      <x v="5"/>
    </i>
    <i r="1">
      <x v="224"/>
      <x v="388"/>
      <x v="4"/>
    </i>
    <i r="3">
      <x v="5"/>
    </i>
    <i r="1">
      <x v="225"/>
      <x v="491"/>
      <x v="4"/>
    </i>
    <i r="3">
      <x v="5"/>
    </i>
    <i r="1">
      <x v="226"/>
      <x v="369"/>
      <x v="4"/>
    </i>
    <i r="3">
      <x v="5"/>
    </i>
    <i r="1">
      <x v="227"/>
      <x v="151"/>
      <x v="4"/>
    </i>
    <i r="3">
      <x v="5"/>
    </i>
    <i r="1">
      <x v="246"/>
      <x v="53"/>
      <x v="4"/>
    </i>
    <i r="3">
      <x v="5"/>
    </i>
    <i r="3">
      <x v="9"/>
    </i>
    <i r="1">
      <x v="247"/>
      <x v="49"/>
      <x v="4"/>
    </i>
    <i r="3">
      <x v="5"/>
    </i>
    <i r="1">
      <x v="248"/>
      <x v="270"/>
      <x v="4"/>
    </i>
    <i r="3">
      <x v="5"/>
    </i>
    <i r="1">
      <x v="249"/>
      <x v="420"/>
      <x v="4"/>
    </i>
    <i r="3">
      <x v="5"/>
    </i>
    <i r="1">
      <x v="250"/>
      <x v="315"/>
      <x v="4"/>
    </i>
    <i r="3">
      <x v="5"/>
    </i>
    <i r="1">
      <x v="270"/>
      <x v="374"/>
      <x v="4"/>
    </i>
    <i r="3">
      <x v="5"/>
    </i>
    <i r="1">
      <x v="271"/>
      <x v="14"/>
      <x v="3"/>
    </i>
    <i r="3">
      <x v="4"/>
    </i>
    <i r="1">
      <x v="272"/>
      <x v="166"/>
      <x v="4"/>
    </i>
    <i r="3">
      <x v="5"/>
    </i>
    <i r="1">
      <x v="273"/>
      <x v="409"/>
      <x v="4"/>
    </i>
    <i r="3">
      <x v="5"/>
    </i>
    <i r="1">
      <x v="294"/>
      <x v="252"/>
      <x v="3"/>
    </i>
    <i r="3">
      <x v="4"/>
    </i>
    <i r="1">
      <x v="295"/>
      <x v="124"/>
      <x v="4"/>
    </i>
    <i r="3">
      <x v="5"/>
    </i>
    <i r="1">
      <x v="296"/>
      <x v="50"/>
      <x v="4"/>
    </i>
    <i r="3">
      <x v="5"/>
    </i>
    <i r="1">
      <x v="297"/>
      <x v="23"/>
      <x v="4"/>
    </i>
    <i r="3">
      <x v="5"/>
    </i>
    <i r="1">
      <x v="318"/>
      <x v="241"/>
      <x v="4"/>
    </i>
    <i r="3">
      <x v="5"/>
    </i>
    <i r="1">
      <x v="319"/>
      <x v="112"/>
      <x v="4"/>
    </i>
    <i r="3">
      <x v="5"/>
    </i>
    <i r="1">
      <x v="320"/>
      <x v="468"/>
      <x v="4"/>
    </i>
    <i r="3">
      <x v="5"/>
    </i>
    <i r="1">
      <x v="321"/>
      <x v="201"/>
      <x v="4"/>
    </i>
    <i r="3">
      <x v="5"/>
    </i>
    <i r="1">
      <x v="322"/>
      <x v="211"/>
      <x v="4"/>
    </i>
    <i r="3">
      <x v="5"/>
    </i>
    <i r="3">
      <x v="9"/>
    </i>
    <i r="1">
      <x v="341"/>
      <x v="38"/>
      <x v="4"/>
    </i>
    <i r="3">
      <x v="5"/>
    </i>
    <i r="1">
      <x v="342"/>
      <x v="84"/>
      <x v="4"/>
    </i>
    <i r="3">
      <x v="5"/>
    </i>
    <i r="1">
      <x v="343"/>
      <x v="118"/>
      <x v="4"/>
    </i>
    <i r="3">
      <x v="5"/>
    </i>
    <i r="1">
      <x v="344"/>
      <x v="228"/>
      <x v="4"/>
    </i>
    <i r="3">
      <x v="5"/>
    </i>
    <i r="1">
      <x v="345"/>
      <x v="307"/>
      <x v="4"/>
    </i>
    <i r="3">
      <x v="5"/>
    </i>
    <i r="1">
      <x v="365"/>
      <x v="478"/>
      <x v="4"/>
    </i>
    <i r="3">
      <x v="5"/>
    </i>
    <i r="1">
      <x v="366"/>
      <x v="454"/>
      <x v="4"/>
    </i>
    <i r="3">
      <x v="5"/>
    </i>
    <i r="3">
      <x v="9"/>
    </i>
    <i r="1">
      <x v="367"/>
      <x v="37"/>
      <x v="4"/>
    </i>
    <i r="3">
      <x v="5"/>
    </i>
    <i r="1">
      <x v="368"/>
      <x v="365"/>
      <x v="4"/>
    </i>
    <i r="3">
      <x v="5"/>
    </i>
    <i r="1">
      <x v="369"/>
      <x v="323"/>
      <x v="4"/>
    </i>
    <i r="3">
      <x v="5"/>
    </i>
    <i r="1">
      <x v="389"/>
      <x v="476"/>
      <x v="4"/>
    </i>
    <i r="3">
      <x v="5"/>
    </i>
    <i r="3">
      <x v="9"/>
    </i>
    <i r="1">
      <x v="390"/>
      <x v="391"/>
      <x v="4"/>
    </i>
    <i r="3">
      <x v="5"/>
    </i>
    <i r="1">
      <x v="391"/>
      <x v="175"/>
      <x v="4"/>
    </i>
    <i r="3">
      <x v="5"/>
    </i>
    <i r="1">
      <x v="392"/>
      <x v="527"/>
      <x v="4"/>
    </i>
    <i r="3">
      <x v="5"/>
    </i>
    <i r="1">
      <x v="393"/>
      <x v="527"/>
      <x v="4"/>
    </i>
    <i r="3">
      <x v="5"/>
    </i>
    <i r="1">
      <x v="411"/>
      <x v="464"/>
      <x v="4"/>
    </i>
    <i r="3">
      <x v="5"/>
    </i>
    <i r="1">
      <x v="412"/>
      <x v="83"/>
      <x v="4"/>
    </i>
    <i r="3">
      <x v="5"/>
    </i>
    <i r="1">
      <x v="413"/>
      <x v="372"/>
      <x v="3"/>
    </i>
    <i r="3">
      <x v="4"/>
    </i>
    <i r="1">
      <x v="414"/>
      <x v="542"/>
      <x v="4"/>
    </i>
    <i r="3">
      <x v="5"/>
    </i>
    <i r="1">
      <x v="415"/>
      <x v="515"/>
      <x v="4"/>
    </i>
    <i r="3">
      <x v="5"/>
    </i>
    <i r="1">
      <x v="432"/>
      <x v="126"/>
      <x v="4"/>
    </i>
    <i r="3">
      <x v="5"/>
    </i>
    <i r="1">
      <x v="433"/>
      <x v="539"/>
      <x v="4"/>
    </i>
    <i r="3">
      <x v="5"/>
    </i>
    <i r="1">
      <x v="434"/>
      <x v="257"/>
      <x v="4"/>
    </i>
    <i r="3">
      <x v="5"/>
    </i>
    <i r="1">
      <x v="435"/>
      <x v="283"/>
      <x v="4"/>
    </i>
    <i r="3">
      <x v="5"/>
    </i>
    <i r="1">
      <x v="436"/>
      <x v="245"/>
      <x v="4"/>
    </i>
    <i r="3">
      <x v="5"/>
    </i>
    <i r="1">
      <x v="456"/>
      <x v="5"/>
      <x v="4"/>
    </i>
    <i r="3">
      <x v="5"/>
    </i>
    <i r="1">
      <x v="457"/>
      <x v="97"/>
      <x v="4"/>
    </i>
    <i r="3">
      <x v="5"/>
    </i>
    <i r="1">
      <x v="458"/>
      <x v="16"/>
      <x v="4"/>
    </i>
    <i r="3">
      <x v="5"/>
    </i>
    <i r="1">
      <x v="459"/>
      <x v="370"/>
      <x v="4"/>
    </i>
    <i r="3">
      <x v="5"/>
    </i>
    <i r="1">
      <x v="460"/>
      <x v="75"/>
      <x v="4"/>
    </i>
    <i r="3">
      <x v="5"/>
    </i>
    <i r="1">
      <x v="479"/>
      <x v="306"/>
      <x v="4"/>
    </i>
    <i r="3">
      <x v="5"/>
    </i>
    <i r="1">
      <x v="480"/>
      <x v="310"/>
      <x v="4"/>
    </i>
    <i r="3">
      <x v="5"/>
    </i>
    <i r="1">
      <x v="481"/>
      <x v="357"/>
      <x v="4"/>
    </i>
    <i r="3">
      <x v="5"/>
    </i>
    <i r="1">
      <x v="482"/>
      <x v="134"/>
      <x v="4"/>
    </i>
    <i r="3">
      <x v="5"/>
    </i>
    <i r="1">
      <x v="483"/>
      <x v="536"/>
      <x v="4"/>
    </i>
    <i r="3">
      <x v="5"/>
    </i>
    <i r="3">
      <x v="9"/>
    </i>
    <i r="1">
      <x v="501"/>
      <x v="195"/>
      <x v="4"/>
    </i>
    <i r="3">
      <x v="5"/>
    </i>
    <i r="1">
      <x v="502"/>
      <x v="514"/>
      <x v="4"/>
    </i>
    <i r="3">
      <x v="5"/>
    </i>
    <i r="1">
      <x v="503"/>
      <x v="403"/>
      <x v="4"/>
    </i>
    <i r="3">
      <x v="5"/>
    </i>
    <i r="3">
      <x v="9"/>
    </i>
    <i r="1">
      <x v="504"/>
      <x v="237"/>
      <x v="4"/>
    </i>
    <i r="3">
      <x v="5"/>
    </i>
    <i r="1">
      <x v="505"/>
      <x v="238"/>
      <x v="4"/>
    </i>
    <i r="3">
      <x v="5"/>
    </i>
    <i r="1">
      <x v="525"/>
      <x v="360"/>
      <x v="4"/>
    </i>
    <i r="3">
      <x v="5"/>
    </i>
    <i r="1">
      <x v="526"/>
      <x v="380"/>
      <x v="4"/>
    </i>
    <i r="3">
      <x v="5"/>
    </i>
    <i r="1">
      <x v="527"/>
      <x v="517"/>
      <x v="4"/>
    </i>
    <i r="3">
      <x v="5"/>
    </i>
    <i r="3">
      <x v="9"/>
    </i>
    <i r="1">
      <x v="528"/>
      <x v="189"/>
      <x v="4"/>
    </i>
    <i r="3">
      <x v="5"/>
    </i>
    <i r="1">
      <x v="547"/>
      <x v="123"/>
      <x v="4"/>
    </i>
    <i r="3">
      <x v="5"/>
    </i>
    <i r="1">
      <x v="548"/>
      <x v="59"/>
      <x v="4"/>
    </i>
    <i r="3">
      <x v="5"/>
    </i>
    <i r="1">
      <x v="549"/>
      <x v="431"/>
      <x v="4"/>
    </i>
    <i r="3">
      <x v="5"/>
    </i>
    <i r="1">
      <x v="550"/>
      <x v="102"/>
      <x v="4"/>
    </i>
    <i r="3">
      <x v="5"/>
    </i>
    <i r="1">
      <x v="551"/>
      <x v="292"/>
      <x v="4"/>
    </i>
    <i r="3">
      <x v="5"/>
    </i>
    <i r="3">
      <x v="9"/>
    </i>
    <i r="1">
      <x v="570"/>
      <x v="66"/>
      <x v="2"/>
    </i>
    <i r="3">
      <x v="4"/>
    </i>
    <i r="3">
      <x v="5"/>
    </i>
    <i r="1">
      <x v="571"/>
      <x v="443"/>
      <x v="4"/>
    </i>
    <i r="3">
      <x v="5"/>
    </i>
    <i r="1">
      <x v="572"/>
      <x v="250"/>
      <x v="4"/>
    </i>
    <i r="3">
      <x v="5"/>
    </i>
    <i r="1">
      <x v="573"/>
      <x v="304"/>
      <x v="4"/>
    </i>
    <i r="3">
      <x v="5"/>
    </i>
    <i r="1">
      <x v="574"/>
      <x v="348"/>
      <x v="4"/>
    </i>
    <i r="3">
      <x v="5"/>
    </i>
    <i r="1">
      <x v="577"/>
      <x v="490"/>
      <x/>
    </i>
    <i>
      <x v="3"/>
      <x v="10"/>
      <x v="429"/>
      <x v="4"/>
    </i>
    <i r="3">
      <x v="5"/>
    </i>
    <i r="1">
      <x v="11"/>
      <x v="108"/>
      <x v="4"/>
    </i>
    <i r="3">
      <x v="5"/>
    </i>
    <i r="3">
      <x v="11"/>
    </i>
    <i r="1">
      <x v="12"/>
      <x v="373"/>
      <x v="4"/>
    </i>
    <i r="3">
      <x v="5"/>
    </i>
    <i r="3">
      <x v="11"/>
    </i>
    <i r="1">
      <x v="13"/>
      <x v="509"/>
      <x v="4"/>
    </i>
    <i r="3">
      <x v="5"/>
    </i>
    <i r="1">
      <x v="14"/>
      <x v="6"/>
      <x v="4"/>
    </i>
    <i r="3">
      <x v="8"/>
    </i>
    <i r="1">
      <x v="15"/>
      <x v="472"/>
      <x v="1"/>
    </i>
    <i r="3">
      <x v="4"/>
    </i>
    <i r="3">
      <x v="5"/>
    </i>
    <i r="1">
      <x v="33"/>
      <x v="522"/>
      <x v="4"/>
    </i>
    <i r="3">
      <x v="5"/>
    </i>
    <i r="1">
      <x v="34"/>
      <x v="320"/>
      <x v="4"/>
    </i>
    <i r="3">
      <x v="5"/>
    </i>
    <i r="1">
      <x v="35"/>
      <x v="390"/>
      <x v="4"/>
    </i>
    <i r="1">
      <x v="36"/>
      <x v="351"/>
      <x v="4"/>
    </i>
    <i r="3">
      <x v="5"/>
    </i>
    <i r="1">
      <x v="37"/>
      <x v="242"/>
      <x v="1"/>
    </i>
    <i r="3">
      <x v="4"/>
    </i>
    <i r="3">
      <x v="5"/>
    </i>
    <i r="1">
      <x v="54"/>
      <x v="141"/>
      <x v="4"/>
    </i>
    <i r="3">
      <x v="5"/>
    </i>
    <i r="3">
      <x v="11"/>
    </i>
    <i r="1">
      <x v="55"/>
      <x v="520"/>
      <x v="4"/>
    </i>
    <i r="3">
      <x v="5"/>
    </i>
    <i r="3">
      <x v="9"/>
    </i>
    <i r="1">
      <x v="56"/>
      <x v="387"/>
      <x v="4"/>
    </i>
    <i r="3">
      <x v="5"/>
    </i>
    <i r="1">
      <x v="57"/>
      <x v="190"/>
      <x v="4"/>
    </i>
    <i r="3">
      <x v="5"/>
    </i>
    <i r="1">
      <x v="58"/>
      <x v="259"/>
      <x v="4"/>
    </i>
    <i r="3">
      <x v="5"/>
    </i>
    <i r="3">
      <x v="9"/>
    </i>
    <i r="1">
      <x v="59"/>
      <x v="459"/>
      <x v="4"/>
    </i>
    <i r="1">
      <x v="79"/>
      <x v="498"/>
      <x v="1"/>
    </i>
    <i r="3">
      <x v="3"/>
    </i>
    <i r="3">
      <x v="4"/>
    </i>
    <i r="3">
      <x v="5"/>
    </i>
    <i r="3">
      <x v="6"/>
    </i>
    <i r="1">
      <x v="80"/>
      <x v="114"/>
      <x v="4"/>
    </i>
    <i r="3">
      <x v="5"/>
    </i>
    <i r="3">
      <x v="11"/>
    </i>
    <i r="1">
      <x v="81"/>
      <x v="345"/>
      <x v="4"/>
    </i>
    <i r="3">
      <x v="5"/>
    </i>
    <i r="3">
      <x v="9"/>
    </i>
    <i r="1">
      <x v="82"/>
      <x v="78"/>
      <x v="4"/>
    </i>
    <i r="3">
      <x v="5"/>
    </i>
    <i r="3">
      <x v="9"/>
    </i>
    <i r="1">
      <x v="83"/>
      <x v="91"/>
      <x v="4"/>
    </i>
    <i r="3">
      <x v="8"/>
    </i>
    <i r="3">
      <x v="9"/>
    </i>
    <i r="1">
      <x v="84"/>
      <x v="504"/>
      <x v="4"/>
    </i>
    <i r="1">
      <x v="103"/>
      <x v="407"/>
      <x v="1"/>
    </i>
    <i r="3">
      <x v="4"/>
    </i>
    <i r="3">
      <x v="5"/>
    </i>
    <i r="1">
      <x v="104"/>
      <x v="93"/>
      <x v="4"/>
    </i>
    <i r="3">
      <x v="8"/>
    </i>
    <i r="3">
      <x v="11"/>
    </i>
    <i r="1">
      <x v="105"/>
      <x v="428"/>
      <x v="4"/>
    </i>
    <i r="3">
      <x v="5"/>
    </i>
    <i r="3">
      <x v="11"/>
    </i>
    <i r="1">
      <x v="106"/>
      <x v="109"/>
      <x v="4"/>
    </i>
    <i r="3">
      <x v="8"/>
    </i>
    <i r="3">
      <x v="11"/>
    </i>
    <i r="1">
      <x v="107"/>
      <x v="525"/>
      <x v="4"/>
    </i>
    <i r="3">
      <x v="5"/>
    </i>
    <i r="1">
      <x v="108"/>
      <x v="214"/>
      <x v="4"/>
    </i>
    <i r="3">
      <x v="5"/>
    </i>
    <i r="1">
      <x v="125"/>
      <x v="486"/>
      <x v="1"/>
    </i>
    <i r="3">
      <x v="4"/>
    </i>
    <i r="3">
      <x v="5"/>
    </i>
    <i r="1">
      <x v="126"/>
      <x v="192"/>
      <x v="4"/>
    </i>
    <i r="3">
      <x v="5"/>
    </i>
    <i r="1">
      <x v="127"/>
      <x v="135"/>
      <x v="4"/>
    </i>
    <i r="3">
      <x v="5"/>
    </i>
    <i r="1">
      <x v="128"/>
      <x v="187"/>
      <x v="4"/>
    </i>
    <i r="3">
      <x v="5"/>
    </i>
    <i r="3">
      <x v="9"/>
    </i>
    <i r="3">
      <x v="11"/>
    </i>
    <i r="1">
      <x v="129"/>
      <x v="20"/>
      <x v="4"/>
    </i>
    <i r="3">
      <x v="5"/>
    </i>
    <i r="3">
      <x v="9"/>
    </i>
    <i r="1">
      <x v="147"/>
      <x v="321"/>
      <x v="4"/>
    </i>
    <i r="3">
      <x v="5"/>
    </i>
    <i r="1">
      <x v="148"/>
      <x v="21"/>
      <x v="4"/>
    </i>
    <i r="3">
      <x v="5"/>
    </i>
    <i r="3">
      <x v="11"/>
    </i>
    <i r="1">
      <x v="149"/>
      <x v="44"/>
      <x v="4"/>
    </i>
    <i r="3">
      <x v="5"/>
    </i>
    <i r="3">
      <x v="9"/>
    </i>
    <i r="1">
      <x v="150"/>
      <x v="156"/>
      <x v="4"/>
    </i>
    <i r="3">
      <x v="8"/>
    </i>
    <i r="1">
      <x v="151"/>
      <x v="483"/>
      <x v="4"/>
    </i>
    <i r="3">
      <x v="5"/>
    </i>
    <i r="3">
      <x v="9"/>
    </i>
    <i r="3">
      <x v="11"/>
    </i>
    <i r="1">
      <x v="152"/>
      <x v="408"/>
      <x v="4"/>
    </i>
    <i r="3">
      <x v="5"/>
    </i>
    <i r="3">
      <x v="11"/>
    </i>
    <i r="1">
      <x v="171"/>
      <x v="34"/>
      <x v="1"/>
    </i>
    <i r="3">
      <x v="4"/>
    </i>
    <i r="3">
      <x v="5"/>
    </i>
    <i r="1">
      <x v="172"/>
      <x v="35"/>
      <x v="1"/>
    </i>
    <i r="3">
      <x v="4"/>
    </i>
    <i r="3">
      <x v="5"/>
    </i>
    <i r="3">
      <x v="11"/>
    </i>
    <i r="1">
      <x v="173"/>
      <x v="198"/>
      <x v="3"/>
    </i>
    <i r="3">
      <x v="4"/>
    </i>
    <i r="3">
      <x v="8"/>
    </i>
    <i r="1">
      <x v="174"/>
      <x v="57"/>
      <x v="4"/>
    </i>
    <i r="3">
      <x v="8"/>
    </i>
    <i r="1">
      <x v="175"/>
      <x v="311"/>
      <x v="4"/>
    </i>
    <i r="3">
      <x v="5"/>
    </i>
    <i r="3">
      <x v="9"/>
    </i>
    <i r="3">
      <x v="11"/>
    </i>
    <i r="1">
      <x v="176"/>
      <x v="529"/>
      <x v="4"/>
    </i>
    <i r="3">
      <x v="5"/>
    </i>
    <i r="1">
      <x v="196"/>
      <x v="133"/>
      <x v="4"/>
    </i>
    <i r="3">
      <x v="5"/>
    </i>
    <i r="3">
      <x v="9"/>
    </i>
    <i r="1">
      <x v="197"/>
      <x v="212"/>
      <x v="4"/>
    </i>
    <i r="3">
      <x v="5"/>
    </i>
    <i r="1">
      <x v="198"/>
      <x v="316"/>
      <x v="4"/>
    </i>
    <i r="3">
      <x v="5"/>
    </i>
    <i r="3">
      <x v="9"/>
    </i>
    <i r="3">
      <x v="11"/>
    </i>
    <i r="1">
      <x v="199"/>
      <x v="213"/>
      <x v="4"/>
    </i>
    <i r="3">
      <x v="5"/>
    </i>
    <i r="1">
      <x v="200"/>
      <x v="323"/>
      <x v="4"/>
    </i>
    <i r="3">
      <x v="5"/>
    </i>
    <i r="1">
      <x v="201"/>
      <x v="111"/>
      <x v="4"/>
    </i>
    <i r="3">
      <x v="5"/>
    </i>
    <i r="3">
      <x v="11"/>
    </i>
    <i r="1">
      <x v="219"/>
      <x v="225"/>
      <x v="1"/>
    </i>
    <i r="3">
      <x v="4"/>
    </i>
    <i r="3">
      <x v="5"/>
    </i>
    <i r="1">
      <x v="220"/>
      <x v="64"/>
      <x v="1"/>
    </i>
    <i r="3">
      <x v="4"/>
    </i>
    <i r="3">
      <x v="5"/>
    </i>
    <i r="1">
      <x v="221"/>
      <x v="121"/>
      <x v="4"/>
    </i>
    <i r="3">
      <x v="8"/>
    </i>
    <i r="3">
      <x v="9"/>
    </i>
    <i r="1">
      <x v="222"/>
      <x v="154"/>
      <x v="4"/>
    </i>
    <i r="3">
      <x v="5"/>
    </i>
    <i r="3">
      <x v="8"/>
    </i>
    <i r="3">
      <x v="9"/>
    </i>
    <i r="1">
      <x v="223"/>
      <x v="394"/>
      <x v="1"/>
    </i>
    <i r="3">
      <x v="4"/>
    </i>
    <i r="3">
      <x v="5"/>
    </i>
    <i r="1">
      <x v="241"/>
      <x v="22"/>
      <x v="4"/>
    </i>
    <i r="3">
      <x v="5"/>
    </i>
    <i r="3">
      <x v="8"/>
    </i>
    <i r="1">
      <x v="242"/>
      <x v="269"/>
      <x v="4"/>
    </i>
    <i r="3">
      <x v="5"/>
    </i>
    <i r="1">
      <x v="243"/>
      <x v="178"/>
      <x v="4"/>
    </i>
    <i r="3">
      <x v="5"/>
    </i>
    <i r="1">
      <x v="244"/>
      <x v="40"/>
      <x v="4"/>
    </i>
    <i r="3">
      <x v="8"/>
    </i>
    <i r="1">
      <x v="245"/>
      <x v="232"/>
      <x v="1"/>
    </i>
    <i r="3">
      <x v="4"/>
    </i>
    <i r="3">
      <x v="5"/>
    </i>
    <i r="3">
      <x v="11"/>
    </i>
    <i r="1">
      <x v="264"/>
      <x v="147"/>
      <x v="4"/>
    </i>
    <i r="3">
      <x v="5"/>
    </i>
    <i r="3">
      <x v="11"/>
    </i>
    <i r="1">
      <x v="265"/>
      <x v="485"/>
      <x v="1"/>
    </i>
    <i r="3">
      <x v="4"/>
    </i>
    <i r="3">
      <x v="5"/>
    </i>
    <i r="3">
      <x v="11"/>
    </i>
    <i r="1">
      <x v="266"/>
      <x v="495"/>
      <x v="4"/>
    </i>
    <i r="3">
      <x v="5"/>
    </i>
    <i r="3">
      <x v="9"/>
    </i>
    <i r="1">
      <x v="267"/>
      <x v="450"/>
      <x v="4"/>
    </i>
    <i r="3">
      <x v="5"/>
    </i>
    <i r="3">
      <x v="11"/>
    </i>
    <i r="1">
      <x v="268"/>
      <x v="466"/>
      <x v="3"/>
    </i>
    <i r="3">
      <x v="4"/>
    </i>
    <i r="3">
      <x v="5"/>
    </i>
    <i r="1">
      <x v="269"/>
      <x v="122"/>
      <x v="1"/>
    </i>
    <i r="3">
      <x v="4"/>
    </i>
    <i r="3">
      <x v="5"/>
    </i>
    <i r="3">
      <x v="9"/>
    </i>
    <i r="1">
      <x v="288"/>
      <x v="168"/>
      <x v="4"/>
    </i>
    <i r="3">
      <x v="5"/>
    </i>
    <i r="3">
      <x v="11"/>
    </i>
    <i r="1">
      <x v="289"/>
      <x v="350"/>
      <x v="4"/>
    </i>
    <i r="3">
      <x v="5"/>
    </i>
    <i r="1">
      <x v="290"/>
      <x v="180"/>
      <x v="4"/>
    </i>
    <i r="3">
      <x v="5"/>
    </i>
    <i r="1">
      <x v="291"/>
      <x v="460"/>
      <x v="4"/>
    </i>
    <i r="3">
      <x v="5"/>
    </i>
    <i r="1">
      <x v="292"/>
      <x v="199"/>
      <x v="4"/>
    </i>
    <i r="3">
      <x v="5"/>
    </i>
    <i r="3">
      <x v="9"/>
    </i>
    <i r="1">
      <x v="293"/>
      <x v="376"/>
      <x v="4"/>
    </i>
    <i r="3">
      <x v="5"/>
    </i>
    <i r="3">
      <x v="9"/>
    </i>
    <i r="1">
      <x v="312"/>
      <x v="400"/>
      <x v="4"/>
    </i>
    <i r="3">
      <x v="5"/>
    </i>
    <i r="1">
      <x v="313"/>
      <x v="181"/>
      <x v="1"/>
    </i>
    <i r="3">
      <x v="4"/>
    </i>
    <i r="3">
      <x v="5"/>
    </i>
    <i r="1">
      <x v="314"/>
      <x v="396"/>
      <x v="4"/>
    </i>
    <i r="3">
      <x v="5"/>
    </i>
    <i r="3">
      <x v="9"/>
    </i>
    <i r="1">
      <x v="315"/>
      <x v="358"/>
      <x v="4"/>
    </i>
    <i r="3">
      <x v="5"/>
    </i>
    <i r="1">
      <x v="316"/>
      <x v="144"/>
      <x v="4"/>
    </i>
    <i r="3">
      <x v="5"/>
    </i>
    <i r="3">
      <x v="9"/>
    </i>
    <i r="1">
      <x v="317"/>
      <x v="313"/>
      <x v="4"/>
    </i>
    <i r="3">
      <x v="5"/>
    </i>
    <i r="3">
      <x v="9"/>
    </i>
    <i r="1">
      <x v="336"/>
      <x v="184"/>
      <x v="4"/>
    </i>
    <i r="3">
      <x v="5"/>
    </i>
    <i r="3">
      <x v="9"/>
    </i>
    <i r="1">
      <x v="337"/>
      <x v="17"/>
      <x v="4"/>
    </i>
    <i r="3">
      <x v="8"/>
    </i>
    <i r="3">
      <x v="9"/>
    </i>
    <i r="1">
      <x v="338"/>
      <x v="1"/>
      <x v="4"/>
    </i>
    <i r="3">
      <x v="5"/>
    </i>
    <i r="1">
      <x v="339"/>
      <x v="368"/>
      <x v="4"/>
    </i>
    <i r="3">
      <x v="5"/>
    </i>
    <i r="1">
      <x v="340"/>
      <x v="444"/>
      <x v="4"/>
    </i>
    <i r="3">
      <x v="5"/>
    </i>
    <i r="3">
      <x v="9"/>
    </i>
    <i r="1">
      <x v="360"/>
      <x v="88"/>
      <x v="4"/>
    </i>
    <i r="3">
      <x v="5"/>
    </i>
    <i r="3">
      <x v="11"/>
    </i>
    <i r="1">
      <x v="361"/>
      <x v="501"/>
      <x v="4"/>
    </i>
    <i r="3">
      <x v="5"/>
    </i>
    <i r="3">
      <x v="9"/>
    </i>
    <i r="3">
      <x v="11"/>
    </i>
    <i r="1">
      <x v="362"/>
      <x v="77"/>
      <x v="4"/>
    </i>
    <i r="3">
      <x v="5"/>
    </i>
    <i r="3">
      <x v="9"/>
    </i>
    <i r="1">
      <x v="363"/>
      <x v="299"/>
      <x v="4"/>
    </i>
    <i r="3">
      <x v="5"/>
    </i>
    <i r="3">
      <x v="9"/>
    </i>
    <i r="1">
      <x v="364"/>
      <x v="444"/>
      <x v="4"/>
    </i>
    <i r="3">
      <x v="5"/>
    </i>
    <i r="3">
      <x v="9"/>
    </i>
    <i r="1">
      <x v="384"/>
      <x v="202"/>
      <x v="4"/>
    </i>
    <i r="3">
      <x v="5"/>
    </i>
    <i r="3">
      <x v="11"/>
    </i>
    <i r="1">
      <x v="385"/>
      <x v="322"/>
      <x v="4"/>
    </i>
    <i r="3">
      <x v="5"/>
    </i>
    <i r="3">
      <x v="9"/>
    </i>
    <i r="3">
      <x v="11"/>
    </i>
    <i r="1">
      <x v="386"/>
      <x v="512"/>
      <x v="4"/>
    </i>
    <i r="3">
      <x v="5"/>
    </i>
    <i r="3">
      <x v="8"/>
    </i>
    <i r="1">
      <x v="387"/>
      <x v="201"/>
      <x v="4"/>
    </i>
    <i r="3">
      <x v="8"/>
    </i>
    <i r="1">
      <x v="388"/>
      <x v="284"/>
      <x v="1"/>
    </i>
    <i r="3">
      <x v="4"/>
    </i>
    <i r="3">
      <x v="5"/>
    </i>
    <i r="1">
      <x v="406"/>
      <x v="538"/>
      <x v="4"/>
    </i>
    <i r="3">
      <x v="5"/>
    </i>
    <i r="3">
      <x v="11"/>
    </i>
    <i r="1">
      <x v="407"/>
      <x v="203"/>
      <x v="4"/>
    </i>
    <i r="3">
      <x v="5"/>
    </i>
    <i r="1">
      <x v="408"/>
      <x v="405"/>
      <x v="4"/>
    </i>
    <i r="3">
      <x v="5"/>
    </i>
    <i r="3">
      <x v="11"/>
    </i>
    <i r="1">
      <x v="409"/>
      <x v="271"/>
      <x v="4"/>
    </i>
    <i r="3">
      <x v="5"/>
    </i>
    <i r="3">
      <x v="9"/>
    </i>
    <i r="1">
      <x v="410"/>
      <x v="197"/>
      <x v="4"/>
    </i>
    <i r="3">
      <x v="5"/>
    </i>
    <i r="3">
      <x v="11"/>
    </i>
    <i r="1">
      <x v="428"/>
      <x v="392"/>
      <x v="4"/>
    </i>
    <i r="3">
      <x v="8"/>
    </i>
    <i r="1">
      <x v="429"/>
      <x v="94"/>
      <x v="4"/>
    </i>
    <i r="1">
      <x v="430"/>
      <x v="482"/>
      <x v="4"/>
    </i>
    <i r="3">
      <x v="5"/>
    </i>
    <i r="3">
      <x v="8"/>
    </i>
    <i r="3">
      <x v="11"/>
    </i>
    <i r="1">
      <x v="431"/>
      <x v="148"/>
      <x v="4"/>
    </i>
    <i r="3">
      <x v="5"/>
    </i>
    <i r="1">
      <x v="450"/>
      <x v="301"/>
      <x v="4"/>
    </i>
    <i r="3">
      <x v="5"/>
    </i>
    <i r="1">
      <x v="451"/>
      <x v="497"/>
      <x v="4"/>
    </i>
    <i r="3">
      <x v="8"/>
    </i>
    <i r="3">
      <x v="11"/>
    </i>
    <i r="1">
      <x v="452"/>
      <x v="67"/>
      <x v="4"/>
    </i>
    <i r="3">
      <x v="5"/>
    </i>
    <i r="3">
      <x v="9"/>
    </i>
    <i r="1">
      <x v="453"/>
      <x v="398"/>
      <x v="4"/>
    </i>
    <i r="3">
      <x v="5"/>
    </i>
    <i r="3">
      <x v="9"/>
    </i>
    <i r="1">
      <x v="454"/>
      <x v="93"/>
      <x v="4"/>
    </i>
    <i r="3">
      <x v="8"/>
    </i>
    <i r="1">
      <x v="455"/>
      <x v="401"/>
      <x v="4"/>
    </i>
    <i r="3">
      <x v="5"/>
    </i>
    <i r="3">
      <x v="11"/>
    </i>
    <i r="1">
      <x v="474"/>
      <x v="499"/>
      <x v="4"/>
    </i>
    <i r="3">
      <x v="8"/>
    </i>
    <i r="3">
      <x v="11"/>
    </i>
    <i r="1">
      <x v="475"/>
      <x v="395"/>
      <x v="4"/>
    </i>
    <i r="3">
      <x v="5"/>
    </i>
    <i r="3">
      <x v="8"/>
    </i>
    <i r="1">
      <x v="476"/>
      <x v="127"/>
      <x v="4"/>
    </i>
    <i r="3">
      <x v="8"/>
    </i>
    <i r="1">
      <x v="477"/>
      <x v="481"/>
      <x v="1"/>
    </i>
    <i r="3">
      <x v="4"/>
    </i>
    <i r="3">
      <x v="5"/>
    </i>
    <i r="1">
      <x v="478"/>
      <x v="446"/>
      <x v="4"/>
    </i>
    <i r="3">
      <x v="5"/>
    </i>
    <i r="3">
      <x v="9"/>
    </i>
    <i r="1">
      <x v="497"/>
      <x v="359"/>
      <x v="4"/>
    </i>
    <i r="3">
      <x v="5"/>
    </i>
    <i r="3">
      <x v="11"/>
    </i>
    <i r="1">
      <x v="498"/>
      <x v="293"/>
      <x v="4"/>
    </i>
    <i r="3">
      <x v="5"/>
    </i>
    <i r="3">
      <x v="9"/>
    </i>
    <i r="1">
      <x v="499"/>
      <x v="382"/>
      <x v="4"/>
    </i>
    <i r="3">
      <x v="5"/>
    </i>
    <i r="3">
      <x v="9"/>
    </i>
    <i r="3">
      <x v="11"/>
    </i>
    <i r="1">
      <x v="500"/>
      <x v="188"/>
      <x v="4"/>
    </i>
    <i r="3">
      <x v="5"/>
    </i>
    <i r="3">
      <x v="11"/>
    </i>
    <i r="1">
      <x v="520"/>
      <x v="426"/>
      <x v="4"/>
    </i>
    <i r="3">
      <x v="5"/>
    </i>
    <i r="3">
      <x v="9"/>
    </i>
    <i r="1">
      <x v="521"/>
      <x v="96"/>
      <x v="4"/>
    </i>
    <i r="3">
      <x v="5"/>
    </i>
    <i r="1">
      <x v="522"/>
      <x v="79"/>
      <x v="4"/>
    </i>
    <i r="3">
      <x v="5"/>
    </i>
    <i r="3">
      <x v="11"/>
    </i>
    <i r="1">
      <x v="523"/>
      <x v="302"/>
      <x v="4"/>
    </i>
    <i r="3">
      <x v="5"/>
    </i>
    <i r="1">
      <x v="524"/>
      <x v="172"/>
      <x v="1"/>
    </i>
    <i r="3">
      <x v="4"/>
    </i>
    <i r="3">
      <x v="5"/>
    </i>
    <i r="1">
      <x v="542"/>
      <x v="167"/>
      <x v="4"/>
    </i>
    <i r="3">
      <x v="5"/>
    </i>
    <i r="3">
      <x v="9"/>
    </i>
    <i r="1">
      <x v="543"/>
      <x v="117"/>
      <x v="4"/>
    </i>
    <i r="3">
      <x v="5"/>
    </i>
    <i r="1">
      <x v="544"/>
      <x v="246"/>
      <x v="4"/>
    </i>
    <i r="3">
      <x v="9"/>
    </i>
    <i r="1">
      <x v="545"/>
      <x v="367"/>
      <x v="4"/>
    </i>
    <i r="3">
      <x v="5"/>
    </i>
    <i r="1">
      <x v="546"/>
      <x v="447"/>
      <x v="4"/>
    </i>
    <i r="3">
      <x v="8"/>
    </i>
    <i r="1">
      <x v="566"/>
      <x v="227"/>
      <x v="1"/>
    </i>
    <i r="3">
      <x v="4"/>
    </i>
    <i r="3">
      <x v="5"/>
    </i>
    <i r="3">
      <x v="11"/>
    </i>
    <i r="1">
      <x v="567"/>
      <x v="291"/>
      <x v="4"/>
    </i>
    <i r="3">
      <x v="5"/>
    </i>
    <i r="1">
      <x v="568"/>
      <x v="79"/>
      <x v="4"/>
    </i>
    <i r="3">
      <x v="5"/>
    </i>
    <i r="3">
      <x v="11"/>
    </i>
    <i r="1">
      <x v="569"/>
      <x v="54"/>
      <x v="1"/>
    </i>
    <i r="3">
      <x v="4"/>
    </i>
    <i r="3">
      <x v="5"/>
    </i>
    <i r="3">
      <x v="11"/>
    </i>
    <i r="1">
      <x v="578"/>
      <x v="348"/>
      <x/>
    </i>
    <i r="1">
      <x v="580"/>
      <x v="239"/>
      <x v="4"/>
    </i>
    <i r="1">
      <x v="581"/>
      <x v="240"/>
      <x v="4"/>
    </i>
    <i r="1">
      <x v="582"/>
      <x v="17"/>
      <x v="4"/>
    </i>
    <i r="1">
      <x v="583"/>
      <x v="518"/>
      <x v="4"/>
    </i>
    <i r="1">
      <x v="584"/>
      <x v="194"/>
      <x v="4"/>
    </i>
    <i>
      <x v="4"/>
      <x v="7"/>
      <x v="354"/>
      <x v="4"/>
    </i>
    <i r="3">
      <x v="5"/>
    </i>
    <i r="3">
      <x v="9"/>
    </i>
    <i r="1">
      <x v="8"/>
      <x v="355"/>
      <x v="4"/>
    </i>
    <i r="3">
      <x v="5"/>
    </i>
    <i r="3">
      <x v="9"/>
    </i>
    <i r="1">
      <x v="9"/>
      <x v="340"/>
      <x v="4"/>
    </i>
    <i r="3">
      <x v="5"/>
    </i>
    <i r="1">
      <x v="30"/>
      <x v="9"/>
      <x v="4"/>
    </i>
    <i r="3">
      <x v="5"/>
    </i>
    <i r="3">
      <x v="11"/>
    </i>
    <i r="1">
      <x v="31"/>
      <x v="471"/>
      <x v="4"/>
    </i>
    <i r="3">
      <x v="5"/>
    </i>
    <i r="3">
      <x v="11"/>
    </i>
    <i r="1">
      <x v="32"/>
      <x v="47"/>
      <x v="4"/>
    </i>
    <i r="3">
      <x v="5"/>
    </i>
    <i r="3">
      <x v="11"/>
    </i>
    <i r="1">
      <x v="51"/>
      <x v="253"/>
      <x v="4"/>
    </i>
    <i r="3">
      <x v="5"/>
    </i>
    <i r="1">
      <x v="52"/>
      <x v="253"/>
      <x v="4"/>
    </i>
    <i r="3">
      <x v="5"/>
    </i>
    <i r="1">
      <x v="53"/>
      <x v="42"/>
      <x v="4"/>
    </i>
    <i r="3">
      <x v="5"/>
    </i>
    <i r="1">
      <x v="75"/>
      <x v="89"/>
      <x v="4"/>
    </i>
    <i r="3">
      <x v="5"/>
    </i>
    <i r="1">
      <x v="76"/>
      <x v="29"/>
      <x v="1"/>
    </i>
    <i r="3">
      <x v="4"/>
    </i>
    <i r="3">
      <x v="5"/>
    </i>
    <i r="1">
      <x v="77"/>
      <x v="427"/>
      <x v="4"/>
    </i>
    <i r="3">
      <x v="5"/>
    </i>
    <i r="1">
      <x v="78"/>
      <x v="326"/>
      <x v="1"/>
    </i>
    <i r="3">
      <x v="4"/>
    </i>
    <i r="3">
      <x v="5"/>
    </i>
    <i r="3">
      <x v="9"/>
    </i>
    <i r="1">
      <x v="100"/>
      <x v="255"/>
      <x v="4"/>
    </i>
    <i r="3">
      <x v="5"/>
    </i>
    <i r="3">
      <x v="11"/>
    </i>
    <i r="1">
      <x v="101"/>
      <x v="425"/>
      <x v="1"/>
    </i>
    <i r="3">
      <x v="4"/>
    </i>
    <i r="3">
      <x v="5"/>
    </i>
    <i r="1">
      <x v="102"/>
      <x v="297"/>
      <x v="4"/>
    </i>
    <i r="3">
      <x v="5"/>
    </i>
    <i r="3">
      <x v="9"/>
    </i>
    <i r="1">
      <x v="122"/>
      <x v="278"/>
      <x v="4"/>
    </i>
    <i r="3">
      <x v="5"/>
    </i>
    <i r="3">
      <x v="9"/>
    </i>
    <i r="3">
      <x v="11"/>
    </i>
    <i r="1">
      <x v="123"/>
      <x v="383"/>
      <x v="1"/>
    </i>
    <i r="3">
      <x v="4"/>
    </i>
    <i r="3">
      <x v="5"/>
    </i>
    <i r="1">
      <x v="124"/>
      <x v="226"/>
      <x v="4"/>
    </i>
    <i r="3">
      <x v="5"/>
    </i>
    <i r="1">
      <x v="144"/>
      <x v="46"/>
      <x v="4"/>
    </i>
    <i r="3">
      <x v="5"/>
    </i>
    <i r="1">
      <x v="145"/>
      <x v="500"/>
      <x v="4"/>
    </i>
    <i r="3">
      <x v="5"/>
    </i>
    <i r="1">
      <x v="146"/>
      <x v="36"/>
      <x v="4"/>
    </i>
    <i r="3">
      <x v="5"/>
    </i>
    <i r="1">
      <x v="168"/>
      <x v="249"/>
      <x v="4"/>
    </i>
    <i r="3">
      <x v="5"/>
    </i>
    <i r="3">
      <x v="11"/>
    </i>
    <i r="1">
      <x v="169"/>
      <x v="384"/>
      <x v="4"/>
    </i>
    <i r="3">
      <x v="5"/>
    </i>
    <i r="3">
      <x v="11"/>
    </i>
    <i r="1">
      <x v="170"/>
      <x v="258"/>
      <x v="4"/>
    </i>
    <i r="3">
      <x v="5"/>
    </i>
    <i r="1">
      <x v="192"/>
      <x v="66"/>
      <x v="4"/>
    </i>
    <i r="3">
      <x v="5"/>
    </i>
    <i r="3">
      <x v="9"/>
    </i>
    <i r="3">
      <x v="11"/>
    </i>
    <i r="1">
      <x v="193"/>
      <x v="332"/>
      <x v="4"/>
    </i>
    <i r="3">
      <x v="5"/>
    </i>
    <i r="3">
      <x v="11"/>
    </i>
    <i r="1">
      <x v="194"/>
      <x v="331"/>
      <x v="4"/>
    </i>
    <i r="3">
      <x v="5"/>
    </i>
    <i r="1">
      <x v="195"/>
      <x v="456"/>
      <x v="1"/>
    </i>
    <i r="3">
      <x v="4"/>
    </i>
    <i r="3">
      <x v="5"/>
    </i>
    <i r="1">
      <x v="216"/>
      <x v="140"/>
      <x v="4"/>
    </i>
    <i r="3">
      <x v="5"/>
    </i>
    <i r="1">
      <x v="217"/>
      <x v="386"/>
      <x v="1"/>
    </i>
    <i r="3">
      <x v="4"/>
    </i>
    <i r="3">
      <x v="5"/>
    </i>
    <i r="1">
      <x v="218"/>
      <x v="334"/>
      <x v="4"/>
    </i>
    <i r="3">
      <x v="5"/>
    </i>
    <i r="1">
      <x v="238"/>
      <x v="210"/>
      <x v="4"/>
    </i>
    <i r="3">
      <x v="5"/>
    </i>
    <i r="3">
      <x v="11"/>
    </i>
    <i r="1">
      <x v="239"/>
      <x v="56"/>
      <x v="4"/>
    </i>
    <i r="3">
      <x v="5"/>
    </i>
    <i r="1">
      <x v="240"/>
      <x v="421"/>
      <x v="4"/>
    </i>
    <i r="3">
      <x v="5"/>
    </i>
    <i r="1">
      <x v="261"/>
      <x v="286"/>
      <x v="4"/>
    </i>
    <i r="3">
      <x v="5"/>
    </i>
    <i r="1">
      <x v="262"/>
      <x v="103"/>
      <x v="1"/>
    </i>
    <i r="3">
      <x v="4"/>
    </i>
    <i r="3">
      <x v="5"/>
    </i>
    <i r="3">
      <x v="9"/>
    </i>
    <i r="3">
      <x v="11"/>
    </i>
    <i r="1">
      <x v="263"/>
      <x v="52"/>
      <x v="4"/>
    </i>
    <i r="3">
      <x v="5"/>
    </i>
    <i r="1">
      <x v="284"/>
      <x v="342"/>
      <x v="4"/>
    </i>
    <i r="3">
      <x v="5"/>
    </i>
    <i r="1">
      <x v="285"/>
      <x v="523"/>
      <x v="1"/>
    </i>
    <i r="3">
      <x v="4"/>
    </i>
    <i r="3">
      <x v="5"/>
    </i>
    <i r="1">
      <x v="286"/>
      <x v="484"/>
      <x v="4"/>
    </i>
    <i r="3">
      <x v="5"/>
    </i>
    <i r="3">
      <x v="9"/>
    </i>
    <i r="1">
      <x v="287"/>
      <x v="39"/>
      <x v="4"/>
    </i>
    <i r="3">
      <x v="5"/>
    </i>
    <i r="1">
      <x v="308"/>
      <x v="65"/>
      <x v="4"/>
    </i>
    <i r="3">
      <x v="5"/>
    </i>
    <i r="3">
      <x v="9"/>
    </i>
    <i r="1">
      <x v="309"/>
      <x v="217"/>
      <x v="4"/>
    </i>
    <i r="3">
      <x v="5"/>
    </i>
    <i r="3">
      <x v="11"/>
    </i>
    <i r="1">
      <x v="310"/>
      <x v="193"/>
      <x v="4"/>
    </i>
    <i r="3">
      <x v="5"/>
    </i>
    <i r="3">
      <x v="9"/>
    </i>
    <i r="3">
      <x v="11"/>
    </i>
    <i r="1">
      <x v="311"/>
      <x v="41"/>
      <x v="1"/>
    </i>
    <i r="3">
      <x v="4"/>
    </i>
    <i r="3">
      <x v="5"/>
    </i>
    <i r="3">
      <x v="9"/>
    </i>
    <i r="3">
      <x v="11"/>
    </i>
    <i r="1">
      <x v="333"/>
      <x v="519"/>
      <x v="4"/>
    </i>
    <i r="3">
      <x v="5"/>
    </i>
    <i r="1">
      <x v="334"/>
      <x v="165"/>
      <x v="4"/>
    </i>
    <i r="3">
      <x v="5"/>
    </i>
    <i r="3">
      <x v="11"/>
    </i>
    <i r="1">
      <x v="335"/>
      <x v="222"/>
      <x v="4"/>
    </i>
    <i r="3">
      <x v="5"/>
    </i>
    <i r="1">
      <x v="356"/>
      <x v="145"/>
      <x v="4"/>
    </i>
    <i r="3">
      <x v="5"/>
    </i>
    <i r="3">
      <x v="11"/>
    </i>
    <i r="1">
      <x v="357"/>
      <x v="92"/>
      <x v="4"/>
    </i>
    <i r="3">
      <x v="5"/>
    </i>
    <i r="1">
      <x v="358"/>
      <x v="263"/>
      <x v="4"/>
    </i>
    <i r="3">
      <x v="5"/>
    </i>
    <i r="1">
      <x v="359"/>
      <x v="285"/>
      <x v="4"/>
    </i>
    <i r="3">
      <x v="5"/>
    </i>
    <i r="3">
      <x v="11"/>
    </i>
    <i r="1">
      <x v="380"/>
      <x v="364"/>
      <x v="4"/>
    </i>
    <i r="3">
      <x v="5"/>
    </i>
    <i r="1">
      <x v="381"/>
      <x v="179"/>
      <x v="4"/>
    </i>
    <i r="3">
      <x v="5"/>
    </i>
    <i r="3">
      <x v="11"/>
    </i>
    <i r="1">
      <x v="382"/>
      <x v="82"/>
      <x v="1"/>
    </i>
    <i r="3">
      <x v="4"/>
    </i>
    <i r="3">
      <x v="5"/>
    </i>
    <i r="3">
      <x v="11"/>
    </i>
    <i r="1">
      <x v="383"/>
      <x v="323"/>
      <x v="4"/>
    </i>
    <i r="3">
      <x v="5"/>
    </i>
    <i r="1">
      <x v="404"/>
      <x v="218"/>
      <x v="4"/>
    </i>
    <i r="3">
      <x v="5"/>
    </i>
    <i r="3">
      <x v="9"/>
    </i>
    <i r="3">
      <x v="11"/>
    </i>
    <i r="1">
      <x v="405"/>
      <x v="142"/>
      <x v="4"/>
    </i>
    <i r="3">
      <x v="5"/>
    </i>
    <i r="3">
      <x v="9"/>
    </i>
    <i r="1">
      <x v="426"/>
      <x v="26"/>
      <x v="1"/>
    </i>
    <i r="3">
      <x v="4"/>
    </i>
    <i r="3">
      <x v="5"/>
    </i>
    <i r="3">
      <x v="11"/>
    </i>
    <i r="1">
      <x v="427"/>
      <x v="101"/>
      <x v="4"/>
    </i>
    <i r="3">
      <x v="5"/>
    </i>
    <i r="3">
      <x v="9"/>
    </i>
    <i r="1">
      <x v="447"/>
      <x v="411"/>
      <x v="4"/>
    </i>
    <i r="3">
      <x v="5"/>
    </i>
    <i r="3">
      <x v="11"/>
    </i>
    <i r="1">
      <x v="448"/>
      <x v="336"/>
      <x v="4"/>
    </i>
    <i r="3">
      <x v="5"/>
    </i>
    <i r="3">
      <x v="11"/>
    </i>
    <i r="1">
      <x v="449"/>
      <x v="281"/>
      <x v="4"/>
    </i>
    <i r="3">
      <x v="5"/>
    </i>
    <i r="3">
      <x v="9"/>
    </i>
    <i r="1">
      <x v="470"/>
      <x v="208"/>
      <x v="4"/>
    </i>
    <i r="3">
      <x v="5"/>
    </i>
    <i r="1">
      <x v="471"/>
      <x v="493"/>
      <x v="1"/>
    </i>
    <i r="3">
      <x v="4"/>
    </i>
    <i r="3">
      <x v="5"/>
    </i>
    <i r="1">
      <x v="472"/>
      <x v="309"/>
      <x v="4"/>
    </i>
    <i r="3">
      <x v="5"/>
    </i>
    <i r="1">
      <x v="473"/>
      <x v="506"/>
      <x v="4"/>
    </i>
    <i r="3">
      <x v="5"/>
    </i>
    <i r="3">
      <x v="9"/>
    </i>
    <i r="1">
      <x v="494"/>
      <x v="209"/>
      <x v="4"/>
    </i>
    <i r="3">
      <x v="5"/>
    </i>
    <i r="1">
      <x v="495"/>
      <x v="424"/>
      <x v="4"/>
    </i>
    <i r="3">
      <x v="5"/>
    </i>
    <i r="3">
      <x v="11"/>
    </i>
    <i r="1">
      <x v="496"/>
      <x v="330"/>
      <x v="4"/>
    </i>
    <i r="3">
      <x v="5"/>
    </i>
    <i r="3">
      <x v="11"/>
    </i>
    <i r="1">
      <x v="516"/>
      <x v="70"/>
      <x v="4"/>
    </i>
    <i r="3">
      <x v="5"/>
    </i>
    <i r="1">
      <x v="517"/>
      <x v="378"/>
      <x v="4"/>
    </i>
    <i r="3">
      <x v="5"/>
    </i>
    <i r="3">
      <x v="11"/>
    </i>
    <i r="1">
      <x v="518"/>
      <x v="377"/>
      <x v="4"/>
    </i>
    <i r="3">
      <x v="5"/>
    </i>
    <i r="3">
      <x v="9"/>
    </i>
    <i r="1">
      <x v="519"/>
      <x v="349"/>
      <x v="4"/>
    </i>
    <i r="3">
      <x v="5"/>
    </i>
    <i r="3">
      <x v="9"/>
    </i>
    <i r="1">
      <x v="539"/>
      <x v="73"/>
      <x v="4"/>
    </i>
    <i r="3">
      <x v="5"/>
    </i>
    <i r="3">
      <x v="11"/>
    </i>
    <i r="1">
      <x v="540"/>
      <x v="335"/>
      <x v="4"/>
    </i>
    <i r="3">
      <x v="5"/>
    </i>
    <i r="1">
      <x v="541"/>
      <x v="453"/>
      <x v="4"/>
    </i>
    <i r="3">
      <x v="5"/>
    </i>
    <i r="3">
      <x v="9"/>
    </i>
    <i r="1">
      <x v="562"/>
      <x v="155"/>
      <x v="4"/>
    </i>
    <i r="3">
      <x v="5"/>
    </i>
    <i r="1">
      <x v="563"/>
      <x v="511"/>
      <x v="4"/>
    </i>
    <i r="3">
      <x v="5"/>
    </i>
    <i r="3">
      <x v="11"/>
    </i>
    <i r="1">
      <x v="564"/>
      <x v="219"/>
      <x v="4"/>
    </i>
    <i r="3">
      <x v="5"/>
    </i>
    <i r="3">
      <x v="9"/>
    </i>
    <i r="1">
      <x v="565"/>
      <x v="186"/>
      <x v="4"/>
    </i>
    <i r="3">
      <x v="5"/>
    </i>
    <i r="1">
      <x v="579"/>
      <x v="194"/>
      <x/>
    </i>
    <i r="1">
      <x v="585"/>
      <x v="186"/>
      <x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a de Pactado" fld="3" baseField="0" baseItem="0"/>
    <dataField name="Suma de Pagado" fld="4" baseField="0" baseItem="0"/>
    <dataField name="Suma de Saldo" fld="5" baseField="0" baseItem="0"/>
    <dataField name="Suma de Cartera Corriente" fld="6" baseField="0" baseItem="0"/>
    <dataField name="Suma de Vencido" fld="7" baseField="0" baseItem="0"/>
    <dataField name="Suma de 1/01/1930" fld="8" baseField="0" baseItem="0"/>
    <dataField name="Suma de 31-60" fld="9" baseField="0" baseItem="0"/>
    <dataField name="Suma de 61-90" fld="10" baseField="0" baseItem="0"/>
    <dataField name="Suma de 91-120" fld="12" baseField="0" baseItem="0"/>
  </dataFields>
  <formats count="14">
    <format dxfId="41">
      <pivotArea outline="0" fieldPosition="0">
        <references count="4">
          <reference field="0" count="149" selected="0">
            <x v="2"/>
            <x v="3"/>
            <x v="4"/>
            <x v="5"/>
            <x v="6"/>
            <x v="24"/>
            <x v="25"/>
            <x v="26"/>
            <x v="27"/>
            <x v="28"/>
            <x v="29"/>
            <x v="45"/>
            <x v="46"/>
            <x v="47"/>
            <x v="48"/>
            <x v="49"/>
            <x v="50"/>
            <x v="69"/>
            <x v="70"/>
            <x v="71"/>
            <x v="72"/>
            <x v="73"/>
            <x v="74"/>
            <x v="94"/>
            <x v="95"/>
            <x v="96"/>
            <x v="97"/>
            <x v="98"/>
            <x v="99"/>
            <x v="116"/>
            <x v="117"/>
            <x v="118"/>
            <x v="119"/>
            <x v="120"/>
            <x v="121"/>
            <x v="138"/>
            <x v="139"/>
            <x v="140"/>
            <x v="141"/>
            <x v="142"/>
            <x v="143"/>
            <x v="162"/>
            <x v="163"/>
            <x v="164"/>
            <x v="165"/>
            <x v="166"/>
            <x v="167"/>
            <x v="186"/>
            <x v="187"/>
            <x v="188"/>
            <x v="189"/>
            <x v="190"/>
            <x v="191"/>
            <x v="210"/>
            <x v="211"/>
            <x v="212"/>
            <x v="213"/>
            <x v="214"/>
            <x v="215"/>
            <x v="232"/>
            <x v="233"/>
            <x v="234"/>
            <x v="235"/>
            <x v="236"/>
            <x v="237"/>
            <x v="255"/>
            <x v="256"/>
            <x v="257"/>
            <x v="258"/>
            <x v="259"/>
            <x v="260"/>
            <x v="278"/>
            <x v="279"/>
            <x v="280"/>
            <x v="281"/>
            <x v="282"/>
            <x v="283"/>
            <x v="302"/>
            <x v="303"/>
            <x v="304"/>
            <x v="305"/>
            <x v="306"/>
            <x v="307"/>
            <x v="327"/>
            <x v="328"/>
            <x v="329"/>
            <x v="330"/>
            <x v="331"/>
            <x v="332"/>
            <x v="350"/>
            <x v="351"/>
            <x v="352"/>
            <x v="353"/>
            <x v="354"/>
            <x v="355"/>
            <x v="374"/>
            <x v="375"/>
            <x v="376"/>
            <x v="377"/>
            <x v="378"/>
            <x v="379"/>
            <x v="398"/>
            <x v="399"/>
            <x v="400"/>
            <x v="401"/>
            <x v="402"/>
            <x v="403"/>
            <x v="420"/>
            <x v="421"/>
            <x v="422"/>
            <x v="423"/>
            <x v="424"/>
            <x v="425"/>
            <x v="441"/>
            <x v="442"/>
            <x v="443"/>
            <x v="444"/>
            <x v="445"/>
            <x v="446"/>
            <x v="464"/>
            <x v="465"/>
            <x v="466"/>
            <x v="467"/>
            <x v="468"/>
            <x v="469"/>
            <x v="488"/>
            <x v="489"/>
            <x v="490"/>
            <x v="491"/>
            <x v="492"/>
            <x v="493"/>
            <x v="510"/>
            <x v="511"/>
            <x v="512"/>
            <x v="513"/>
            <x v="514"/>
            <x v="515"/>
            <x v="533"/>
            <x v="534"/>
            <x v="535"/>
            <x v="536"/>
            <x v="537"/>
            <x v="538"/>
            <x v="556"/>
            <x v="557"/>
            <x v="558"/>
            <x v="559"/>
            <x v="560"/>
            <x v="561"/>
          </reference>
          <reference field="1" count="133" selected="0">
            <x v="0"/>
            <x v="7"/>
            <x v="10"/>
            <x v="11"/>
            <x v="30"/>
            <x v="31"/>
            <x v="33"/>
            <x v="43"/>
            <x v="45"/>
            <x v="48"/>
            <x v="55"/>
            <x v="58"/>
            <x v="60"/>
            <x v="61"/>
            <x v="63"/>
            <x v="69"/>
            <x v="74"/>
            <x v="81"/>
            <x v="85"/>
            <x v="90"/>
            <x v="93"/>
            <x v="105"/>
            <x v="107"/>
            <x v="113"/>
            <x v="116"/>
            <x v="119"/>
            <x v="120"/>
            <x v="128"/>
            <x v="129"/>
            <x v="130"/>
            <x v="131"/>
            <x v="132"/>
            <x v="136"/>
            <x v="143"/>
            <x v="146"/>
            <x v="149"/>
            <x v="152"/>
            <x v="153"/>
            <x v="157"/>
            <x v="158"/>
            <x v="160"/>
            <x v="161"/>
            <x v="163"/>
            <x v="164"/>
            <x v="173"/>
            <x v="174"/>
            <x v="185"/>
            <x v="196"/>
            <x v="200"/>
            <x v="206"/>
            <x v="207"/>
            <x v="223"/>
            <x v="230"/>
            <x v="233"/>
            <x v="235"/>
            <x v="236"/>
            <x v="247"/>
            <x v="251"/>
            <x v="260"/>
            <x v="261"/>
            <x v="264"/>
            <x v="265"/>
            <x v="267"/>
            <x v="268"/>
            <x v="272"/>
            <x v="273"/>
            <x v="277"/>
            <x v="279"/>
            <x v="282"/>
            <x v="287"/>
            <x v="289"/>
            <x v="290"/>
            <x v="294"/>
            <x v="298"/>
            <x v="305"/>
            <x v="308"/>
            <x v="312"/>
            <x v="314"/>
            <x v="318"/>
            <x v="328"/>
            <x v="339"/>
            <x v="346"/>
            <x v="347"/>
            <x v="353"/>
            <x v="361"/>
            <x v="362"/>
            <x v="363"/>
            <x v="366"/>
            <x v="371"/>
            <x v="375"/>
            <x v="379"/>
            <x v="385"/>
            <x v="397"/>
            <x v="399"/>
            <x v="402"/>
            <x v="404"/>
            <x v="406"/>
            <x v="413"/>
            <x v="414"/>
            <x v="415"/>
            <x v="417"/>
            <x v="418"/>
            <x v="419"/>
            <x v="422"/>
            <x v="433"/>
            <x v="435"/>
            <x v="437"/>
            <x v="438"/>
            <x v="445"/>
            <x v="448"/>
            <x v="449"/>
            <x v="451"/>
            <x v="458"/>
            <x v="465"/>
            <x v="467"/>
            <x v="479"/>
            <x v="489"/>
            <x v="496"/>
            <x v="502"/>
            <x v="503"/>
            <x v="505"/>
            <x v="508"/>
            <x v="513"/>
            <x v="518"/>
            <x v="521"/>
            <x v="527"/>
            <x v="528"/>
            <x v="530"/>
            <x v="531"/>
            <x v="534"/>
            <x v="537"/>
            <x v="540"/>
            <x v="541"/>
          </reference>
          <reference field="2" count="11" selected="0">
            <x v="1"/>
            <x v="2"/>
            <x v="3"/>
            <x v="4"/>
            <x v="5"/>
            <x v="7"/>
            <x v="8"/>
            <x v="9"/>
            <x v="10"/>
            <x v="11"/>
            <x v="12"/>
          </reference>
          <reference field="11" count="1" selected="0">
            <x v="0"/>
          </reference>
        </references>
      </pivotArea>
    </format>
    <format dxfId="40">
      <pivotArea dataOnly="0" labelOnly="1" outline="0" fieldPosition="0">
        <references count="1">
          <reference field="4294967294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39">
      <pivotArea field="11" type="button" dataOnly="0" labelOnly="1" outline="0" axis="axisRow" fieldPosition="0"/>
    </format>
    <format dxfId="38">
      <pivotArea dataOnly="0" labelOnly="1" outline="0" fieldPosition="0">
        <references count="1">
          <reference field="11" count="0"/>
        </references>
      </pivotArea>
    </format>
    <format dxfId="37">
      <pivotArea dataOnly="0" labelOnly="1" grandRow="1" outline="0" fieldPosition="0"/>
    </format>
    <format dxfId="36">
      <pivotArea dataOnly="0" labelOnly="1" outline="0" fieldPosition="0">
        <references count="2">
          <reference field="0" count="1">
            <x v="2"/>
          </reference>
          <reference field="11" count="1" selected="0">
            <x v="0"/>
          </reference>
        </references>
      </pivotArea>
    </format>
    <format dxfId="35">
      <pivotArea dataOnly="0" labelOnly="1" outline="0" fieldPosition="0">
        <references count="3">
          <reference field="0" count="1" selected="0">
            <x v="2"/>
          </reference>
          <reference field="1" count="1">
            <x v="153"/>
          </reference>
          <reference field="11" count="1" selected="0">
            <x v="0"/>
          </reference>
        </references>
      </pivotArea>
    </format>
    <format dxfId="34">
      <pivotArea dataOnly="0" labelOnly="1" outline="0" fieldPosition="0">
        <references count="2">
          <reference field="0" count="1">
            <x v="2"/>
          </reference>
          <reference field="11" count="1" selected="0">
            <x v="0"/>
          </reference>
        </references>
      </pivotArea>
    </format>
    <format dxfId="33">
      <pivotArea dataOnly="0" labelOnly="1" outline="0" fieldPosition="0">
        <references count="3">
          <reference field="0" count="1" selected="0">
            <x v="2"/>
          </reference>
          <reference field="1" count="1">
            <x v="153"/>
          </reference>
          <reference field="11" count="1" selected="0">
            <x v="0"/>
          </reference>
        </references>
      </pivotArea>
    </format>
    <format dxfId="32">
      <pivotArea dataOnly="0" labelOnly="1" outline="0" fieldPosition="0">
        <references count="2">
          <reference field="0" count="1">
            <x v="2"/>
          </reference>
          <reference field="11" count="1" selected="0">
            <x v="0"/>
          </reference>
        </references>
      </pivotArea>
    </format>
    <format dxfId="31">
      <pivotArea dataOnly="0" labelOnly="1" outline="0" fieldPosition="0">
        <references count="3">
          <reference field="0" count="1" selected="0">
            <x v="2"/>
          </reference>
          <reference field="1" count="1">
            <x v="153"/>
          </reference>
          <reference field="11" count="1" selected="0">
            <x v="0"/>
          </reference>
        </references>
      </pivotArea>
    </format>
    <format dxfId="30">
      <pivotArea field="11" type="button" dataOnly="0" labelOnly="1" outline="0" axis="axisRow" fieldPosition="0"/>
    </format>
    <format dxfId="29">
      <pivotArea dataOnly="0" labelOnly="1" outline="0" fieldPosition="0">
        <references count="1">
          <reference field="11" count="0"/>
        </references>
      </pivotArea>
    </format>
    <format dxfId="28">
      <pivotArea dataOnly="0" labelOnly="1" grandRow="1" outline="0" fieldPosition="0"/>
    </format>
  </formats>
  <pivotTableStyleInfo name="PivotStyleLight8 2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B21929-5AC0-4756-B7FB-95613185FC38}" name="TablaDinámica1" cacheId="2" applyNumberFormats="0" applyBorderFormats="0" applyFontFormats="0" applyPatternFormats="0" applyAlignmentFormats="0" applyWidthHeightFormats="1" dataCaption="Valores" updatedVersion="8" minRefreshableVersion="3" useAutoFormatting="1" subtotalHiddenItems="1" colGrandTotals="0" itemPrintTitles="1" mergeItem="1" createdVersion="8" indent="0" outline="1" outlineData="1" multipleFieldFilters="0">
  <location ref="A22:J25" firstHeaderRow="1" firstDataRow="3" firstDataCol="0" rowPageCount="1" colPageCount="1"/>
  <pivotFields count="5">
    <pivotField axis="axisCol" allDrilled="1" showAll="0" dataSourceSort="1" defaultSubtotal="0" defaultAttributeDrillState="1">
      <items count="5">
        <item x="0"/>
        <item x="1"/>
        <item x="2"/>
        <item x="3"/>
        <item x="4"/>
      </items>
    </pivotField>
    <pivotField dataField="1" showAll="0" defaultSubtotal="0"/>
    <pivotField dataField="1" showAll="0" defaultSubtotal="0"/>
    <pivotField axis="axisPage" allDrilled="1" subtotalTop="0" showAll="0" dataSourceSort="1" defaultSubtotal="0" defaultAttributeDrillState="1"/>
    <pivotField allDrilled="1" subtotalTop="0" showAll="0" dataSourceSort="1" defaultSubtotal="0" defaultAttributeDrillState="1"/>
  </pivotFields>
  <rowItems count="1">
    <i/>
  </rowItems>
  <colFields count="2">
    <field x="0"/>
    <field x="-2"/>
  </colFields>
  <colItems count="10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</colItems>
  <pageFields count="1">
    <pageField fld="3" hier="11" name="[DESISTIMIENTOS].[Fecha desistimiento (año)].[All]" cap="All"/>
  </pageFields>
  <dataFields count="2">
    <dataField name="Recuento de Cód" fld="1" subtotal="count" baseField="0" baseItem="0"/>
    <dataField name="Suma de Valor venta neta" fld="2" baseField="0" baseItem="0"/>
  </dataFields>
  <formats count="9">
    <format dxfId="2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0"/>
          </reference>
        </references>
      </pivotArea>
    </format>
    <format dxfId="2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"/>
          </reference>
        </references>
      </pivotArea>
    </format>
    <format dxfId="2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"/>
          </reference>
        </references>
      </pivotArea>
    </format>
    <format dxfId="2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3"/>
          </reference>
        </references>
      </pivotArea>
    </format>
    <format dxfId="2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22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format>
    <format dxfId="21">
      <pivotArea dataOnly="0" outline="0" fieldPosition="0">
        <references count="1">
          <reference field="4294967294" count="1">
            <x v="1"/>
          </reference>
        </references>
      </pivotArea>
    </format>
    <format dxfId="20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format>
    <format dxfId="19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format>
  </formats>
  <pivotHierarchies count="32">
    <pivotHierarchy dragToData="1"/>
    <pivotHierarchy dragToData="1"/>
    <pivotHierarchy dragToData="1"/>
    <pivotHierarchy multipleItemSelectionAllowed="1" dragToData="1"/>
    <pivotHierarchy multipleItemSelectionAllowed="1" dragToData="1">
      <members count="5" level="1">
        <member name="[DESISTIMIENTOS].[Concepto].&amp;[CAMBIO EN EL PROYECTO]"/>
        <member name="[DESISTIMIENTOS].[Concepto].&amp;[MORA MAYOR A 90 DIAS]"/>
        <member name="[DESISTIMIENTOS].[Concepto].&amp;[OTROS]"/>
        <member name="[DESISTIMIENTOS].[Concepto].&amp;[POR DESEMPLEO]"/>
        <member name="[DESISTIMIENTOS].[Concepto].&amp;[PROBLEMAS ECONOMICOS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Recuento de Cód"/>
    <pivotHierarchy dragToData="1"/>
  </pivotHierarchies>
  <pivotTableStyleInfo name="PivotStyleLight8 2" showRowHeaders="1" showColHeaders="1" showRowStripes="0" showColStripes="0" showLastColumn="1"/>
  <colHierarchiesUsage count="2">
    <colHierarchyUsage hierarchyUsage="1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Ejemplo aut.xlsx!DESISTIMIENTOS">
        <x15:activeTabTopLevelEntity name="[DESISTIMIENT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53C688-2F2D-45C7-B448-F5084448098A}" name="TablaDinámica3" cacheId="0" applyNumberFormats="0" applyBorderFormats="0" applyFontFormats="0" applyPatternFormats="0" applyAlignmentFormats="0" applyWidthHeightFormats="1" dataCaption="Valores" updatedVersion="8" minRefreshableVersion="3" useAutoFormatting="1" itemPrintTitles="1" mergeItem="1" createdVersion="8" indent="0" compact="0" compactData="0" multipleFieldFilters="0">
  <location ref="A3:AT592" firstHeaderRow="0" firstDataRow="1" firstDataCol="3"/>
  <pivotFields count="51">
    <pivotField axis="axisRow" compact="0" outline="0" showAll="0" defaultSubtotal="0">
      <items count="6">
        <item x="1"/>
        <item x="0"/>
        <item x="4"/>
        <item x="3"/>
        <item x="2"/>
        <item x="5"/>
      </items>
    </pivotField>
    <pivotField axis="axisRow" compact="0" outline="0" showAll="0" defaultSubtotal="0">
      <items count="544">
        <item x="543"/>
        <item x="313"/>
        <item x="321"/>
        <item x="170"/>
        <item x="39"/>
        <item x="414"/>
        <item x="431"/>
        <item x="14"/>
        <item x="93"/>
        <item x="503"/>
        <item x="30"/>
        <item x="419"/>
        <item x="94"/>
        <item x="21"/>
        <item x="310"/>
        <item x="258"/>
        <item x="416"/>
        <item x="433"/>
        <item x="320"/>
        <item x="106"/>
        <item x="85"/>
        <item x="125"/>
        <item x="142"/>
        <item x="229"/>
        <item x="283"/>
        <item x="129"/>
        <item x="373"/>
        <item x="403"/>
        <item x="504"/>
        <item x="285"/>
        <item x="73"/>
        <item x="136"/>
        <item x="133"/>
        <item x="63"/>
        <item x="182"/>
        <item x="164"/>
        <item x="165"/>
        <item x="140"/>
        <item x="349"/>
        <item x="324"/>
        <item x="273"/>
        <item x="232"/>
        <item x="296"/>
        <item x="51"/>
        <item x="27"/>
        <item x="143"/>
        <item x="28"/>
        <item x="138"/>
        <item x="32"/>
        <item x="356"/>
        <item x="235"/>
        <item x="282"/>
        <item x="149"/>
        <item x="250"/>
        <item x="234"/>
        <item x="536"/>
        <item x="465"/>
        <item x="227"/>
        <item x="167"/>
        <item x="160"/>
        <item x="517"/>
        <item x="45"/>
        <item x="134"/>
        <item x="83"/>
        <item x="440"/>
        <item x="208"/>
        <item x="293"/>
        <item x="537"/>
        <item x="428"/>
        <item x="219"/>
        <item x="201"/>
        <item x="489"/>
        <item x="195"/>
        <item x="150"/>
        <item x="508"/>
        <item x="159"/>
        <item x="435"/>
        <item x="175"/>
        <item x="345"/>
        <item x="79"/>
        <item x="495"/>
        <item x="479"/>
        <item x="402"/>
        <item x="362"/>
        <item x="389"/>
        <item x="325"/>
        <item x="156"/>
        <item x="20"/>
        <item x="59"/>
        <item x="343"/>
        <item x="72"/>
        <item x="4"/>
        <item x="80"/>
        <item x="340"/>
        <item x="100"/>
        <item x="406"/>
        <item x="110"/>
        <item x="494"/>
        <item x="432"/>
        <item x="171"/>
        <item x="458"/>
        <item x="371"/>
        <item x="404"/>
        <item x="519"/>
        <item x="249"/>
        <item x="395"/>
        <item x="463"/>
        <item x="309"/>
        <item x="222"/>
        <item x="11"/>
        <item x="102"/>
        <item x="505"/>
        <item x="192"/>
        <item x="304"/>
        <item x="114"/>
        <item x="77"/>
        <item x="152"/>
        <item x="400"/>
        <item x="512"/>
        <item x="326"/>
        <item x="292"/>
        <item x="183"/>
        <item x="209"/>
        <item x="256"/>
        <item x="516"/>
        <item x="281"/>
        <item x="197"/>
        <item x="409"/>
        <item x="450"/>
        <item x="266"/>
        <item x="484"/>
        <item x="244"/>
        <item x="67"/>
        <item x="221"/>
        <item x="187"/>
        <item x="456"/>
        <item x="123"/>
        <item x="265"/>
        <item x="264"/>
        <item x="460"/>
        <item x="194"/>
        <item x="204"/>
        <item x="52"/>
        <item x="382"/>
        <item x="420"/>
        <item x="301"/>
        <item x="339"/>
        <item x="269"/>
        <item x="251"/>
        <item x="408"/>
        <item x="418"/>
        <item x="105"/>
        <item x="215"/>
        <item x="135"/>
        <item x="2"/>
        <item x="210"/>
        <item x="530"/>
        <item x="144"/>
        <item x="291"/>
        <item x="69"/>
        <item x="217"/>
        <item x="377"/>
        <item x="314"/>
        <item x="352"/>
        <item x="399"/>
        <item x="112"/>
        <item x="317"/>
        <item x="259"/>
        <item x="511"/>
        <item x="274"/>
        <item x="58"/>
        <item x="263"/>
        <item x="42"/>
        <item x="497"/>
        <item x="71"/>
        <item x="334"/>
        <item x="369"/>
        <item x="239"/>
        <item x="22"/>
        <item x="231"/>
        <item x="361"/>
        <item x="276"/>
        <item x="298"/>
        <item x="108"/>
        <item x="148"/>
        <item x="319"/>
        <item x="333"/>
        <item x="533"/>
        <item x="124"/>
        <item x="473"/>
        <item x="501"/>
        <item x="55"/>
        <item x="438"/>
        <item x="122"/>
        <item x="295"/>
        <item x="415"/>
        <item x="474"/>
        <item x="387"/>
        <item x="306"/>
        <item x="442"/>
        <item x="166"/>
        <item x="278"/>
        <item x="181"/>
        <item x="363"/>
        <item x="384"/>
        <item x="61"/>
        <item x="44"/>
        <item x="380"/>
        <item x="486"/>
        <item x="444"/>
        <item x="467"/>
        <item x="226"/>
        <item x="188"/>
        <item x="190"/>
        <item x="104"/>
        <item x="0"/>
        <item x="19"/>
        <item x="294"/>
        <item x="381"/>
        <item x="532"/>
        <item x="82"/>
        <item x="437"/>
        <item x="318"/>
        <item x="203"/>
        <item x="502"/>
        <item x="207"/>
        <item x="120"/>
        <item x="534"/>
        <item x="327"/>
        <item x="330"/>
        <item x="398"/>
        <item x="23"/>
        <item x="233"/>
        <item x="157"/>
        <item x="417"/>
        <item x="378"/>
        <item x="224"/>
        <item x="477"/>
        <item x="478"/>
        <item x="523"/>
        <item x="436"/>
        <item x="303"/>
        <item x="37"/>
        <item x="332"/>
        <item x="18"/>
        <item x="413"/>
        <item x="513"/>
        <item x="288"/>
        <item x="17"/>
        <item x="161"/>
        <item x="539"/>
        <item x="117"/>
        <item x="280"/>
        <item x="50"/>
        <item x="311"/>
        <item x="96"/>
        <item x="461"/>
        <item x="411"/>
        <item x="163"/>
        <item x="56"/>
        <item x="245"/>
        <item x="290"/>
        <item x="396"/>
        <item x="341"/>
        <item x="439"/>
        <item x="91"/>
        <item x="64"/>
        <item x="49"/>
        <item x="26"/>
        <item x="230"/>
        <item x="236"/>
        <item x="386"/>
        <item x="422"/>
        <item x="137"/>
        <item x="153"/>
        <item x="354"/>
        <item x="198"/>
        <item x="525"/>
        <item x="118"/>
        <item x="46"/>
        <item x="329"/>
        <item x="425"/>
        <item x="421"/>
        <item x="412"/>
        <item x="366"/>
        <item x="342"/>
        <item x="248"/>
        <item x="68"/>
        <item x="65"/>
        <item x="66"/>
        <item x="527"/>
        <item x="535"/>
        <item x="520"/>
        <item x="471"/>
        <item x="355"/>
        <item x="286"/>
        <item x="216"/>
        <item x="98"/>
        <item x="526"/>
        <item x="346"/>
        <item x="287"/>
        <item x="426"/>
        <item x="496"/>
        <item x="521"/>
        <item x="540"/>
        <item x="199"/>
        <item x="453"/>
        <item x="328"/>
        <item x="376"/>
        <item x="446"/>
        <item x="454"/>
        <item x="168"/>
        <item x="397"/>
        <item x="302"/>
        <item x="483"/>
        <item x="238"/>
        <item x="189"/>
        <item x="155"/>
        <item x="5"/>
        <item x="374"/>
        <item x="34"/>
        <item x="141"/>
        <item x="364"/>
        <item x="191"/>
        <item x="353"/>
        <item x="193"/>
        <item x="75"/>
        <item x="459"/>
        <item x="3"/>
        <item x="241"/>
        <item x="469"/>
        <item x="185"/>
        <item x="184"/>
        <item x="147"/>
        <item x="206"/>
        <item x="509"/>
        <item x="424"/>
        <item x="262"/>
        <item x="107"/>
        <item x="315"/>
        <item x="9"/>
        <item x="394"/>
        <item x="270"/>
        <item x="176"/>
        <item x="174"/>
        <item x="78"/>
        <item x="29"/>
        <item x="243"/>
        <item x="541"/>
        <item x="492"/>
        <item x="275"/>
        <item x="36"/>
        <item x="218"/>
        <item x="359"/>
        <item x="7"/>
        <item x="8"/>
        <item x="351"/>
        <item x="455"/>
        <item x="300"/>
        <item x="470"/>
        <item x="498"/>
        <item x="70"/>
        <item x="115"/>
        <item x="375"/>
        <item x="485"/>
        <item x="360"/>
        <item x="350"/>
        <item x="514"/>
        <item x="322"/>
        <item x="214"/>
        <item x="434"/>
        <item x="92"/>
        <item x="390"/>
        <item x="12"/>
        <item x="257"/>
        <item x="506"/>
        <item x="279"/>
        <item x="491"/>
        <item x="490"/>
        <item x="200"/>
        <item x="499"/>
        <item x="154"/>
        <item x="472"/>
        <item x="119"/>
        <item x="162"/>
        <item x="247"/>
        <item x="205"/>
        <item x="54"/>
        <item x="212"/>
        <item x="62"/>
        <item x="35"/>
        <item x="368"/>
        <item x="405"/>
        <item x="242"/>
        <item x="211"/>
        <item x="449"/>
        <item x="299"/>
        <item x="335"/>
        <item x="429"/>
        <item x="116"/>
        <item x="297"/>
        <item x="430"/>
        <item x="178"/>
        <item x="476"/>
        <item x="95"/>
        <item x="385"/>
        <item x="312"/>
        <item x="99"/>
        <item x="146"/>
        <item x="260"/>
        <item x="126"/>
        <item x="423"/>
        <item x="38"/>
        <item x="336"/>
        <item x="358"/>
        <item x="337"/>
        <item x="132"/>
        <item x="48"/>
        <item x="25"/>
        <item x="268"/>
        <item x="237"/>
        <item x="228"/>
        <item x="6"/>
        <item x="87"/>
        <item x="468"/>
        <item x="97"/>
        <item x="493"/>
        <item x="74"/>
        <item x="101"/>
        <item x="10"/>
        <item x="172"/>
        <item x="518"/>
        <item x="60"/>
        <item x="466"/>
        <item x="482"/>
        <item x="202"/>
        <item x="131"/>
        <item x="47"/>
        <item x="113"/>
        <item x="173"/>
        <item x="1"/>
        <item x="86"/>
        <item x="481"/>
        <item x="538"/>
        <item x="307"/>
        <item x="323"/>
        <item x="379"/>
        <item x="452"/>
        <item x="515"/>
        <item x="487"/>
        <item x="24"/>
        <item x="254"/>
        <item x="357"/>
        <item x="196"/>
        <item x="510"/>
        <item x="348"/>
        <item x="372"/>
        <item x="186"/>
        <item x="111"/>
        <item x="529"/>
        <item x="57"/>
        <item x="277"/>
        <item x="88"/>
        <item x="308"/>
        <item x="524"/>
        <item x="388"/>
        <item x="220"/>
        <item x="255"/>
        <item x="90"/>
        <item x="305"/>
        <item x="127"/>
        <item x="284"/>
        <item x="31"/>
        <item x="15"/>
        <item x="40"/>
        <item x="89"/>
        <item x="151"/>
        <item x="367"/>
        <item x="84"/>
        <item x="347"/>
        <item x="462"/>
        <item x="128"/>
        <item x="451"/>
        <item x="407"/>
        <item x="145"/>
        <item x="272"/>
        <item x="252"/>
        <item x="121"/>
        <item x="177"/>
        <item x="240"/>
        <item x="225"/>
        <item x="542"/>
        <item x="213"/>
        <item x="41"/>
        <item x="445"/>
        <item x="16"/>
        <item x="253"/>
        <item x="488"/>
        <item x="427"/>
        <item x="76"/>
        <item x="448"/>
        <item x="139"/>
        <item x="344"/>
        <item x="464"/>
        <item x="179"/>
        <item x="81"/>
        <item x="158"/>
        <item x="447"/>
        <item x="480"/>
        <item x="441"/>
        <item x="13"/>
        <item x="331"/>
        <item x="531"/>
        <item x="365"/>
        <item x="246"/>
        <item x="475"/>
        <item x="392"/>
        <item x="130"/>
        <item x="500"/>
        <item x="507"/>
        <item x="316"/>
        <item x="53"/>
        <item x="180"/>
        <item x="33"/>
        <item x="271"/>
        <item x="261"/>
        <item x="103"/>
        <item x="43"/>
        <item x="370"/>
        <item x="401"/>
        <item x="169"/>
        <item x="443"/>
        <item x="289"/>
        <item x="267"/>
        <item x="393"/>
        <item x="522"/>
        <item x="109"/>
        <item x="457"/>
        <item x="223"/>
        <item x="383"/>
        <item x="410"/>
        <item x="528"/>
        <item x="338"/>
        <item x="391"/>
      </items>
    </pivotField>
    <pivotField axis="axisRow" compact="0" outline="0" showAll="0" defaultSubtotal="0">
      <items count="588">
        <item x="58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</items>
    </pivotField>
    <pivotField compact="0" numFmtId="44" outline="0" showAll="0" defaultSubtotal="0"/>
    <pivotField compact="0" numFmtId="44" outline="0" showAll="0" defaultSubtotal="0"/>
    <pivotField compact="0" numFmtId="44" outline="0" showAll="0" defaultSubtotal="0"/>
    <pivotField compact="0" numFmtId="44" outline="0" showAll="0" defaultSubtotal="0"/>
    <pivotField compact="0" numFmtId="44" outline="0" showAll="0" defaultSubtotal="0"/>
    <pivotField dataField="1" compact="0" numFmtId="44" outline="0" showAll="0" defaultSubtotal="0"/>
    <pivotField dataField="1" compact="0" numFmtId="44" outline="0" showAll="0" defaultSubtotal="0"/>
    <pivotField dataField="1" compact="0" numFmtId="44" outline="0" showAll="0" defaultSubtotal="0"/>
    <pivotField dataField="1" compact="0" numFmtId="44" outline="0" showAll="0" defaultSubtotal="0"/>
    <pivotField dataField="1" compact="0" numFmtId="44" outline="0" showAll="0" defaultSubtotal="0"/>
    <pivotField dataField="1" compact="0" numFmtId="44" outline="0" showAll="0" defaultSubtotal="0"/>
    <pivotField dataField="1" compact="0" numFmtId="44" outline="0" showAll="0" defaultSubtotal="0"/>
    <pivotField dataField="1" compact="0" numFmtId="44" outline="0" showAll="0" defaultSubtotal="0"/>
    <pivotField dataField="1" compact="0" numFmtId="44" outline="0" showAll="0" defaultSubtotal="0"/>
    <pivotField dataField="1" compact="0" numFmtId="44" outline="0" showAll="0" defaultSubtotal="0"/>
    <pivotField dataField="1" compact="0" numFmtId="44" outline="0" showAll="0" defaultSubtotal="0"/>
    <pivotField dataField="1" compact="0" numFmtId="44" outline="0" showAll="0" defaultSubtotal="0"/>
    <pivotField dataField="1" compact="0" numFmtId="44" outline="0" showAll="0" defaultSubtotal="0"/>
    <pivotField dataField="1" compact="0" numFmtId="44" outline="0" showAll="0" defaultSubtotal="0"/>
    <pivotField dataField="1" compact="0" numFmtId="44" outline="0" showAll="0" defaultSubtotal="0"/>
    <pivotField dataField="1" compact="0" numFmtId="44" outline="0" showAll="0" defaultSubtotal="0"/>
    <pivotField dataField="1" compact="0" numFmtId="44" outline="0" showAll="0" defaultSubtotal="0"/>
    <pivotField dataField="1" compact="0" numFmtId="44" outline="0" showAll="0" defaultSubtotal="0"/>
    <pivotField dataField="1" compact="0" numFmtId="44" outline="0" showAll="0" defaultSubtotal="0"/>
    <pivotField dataField="1" compact="0" numFmtId="44" outline="0" showAll="0" defaultSubtotal="0"/>
    <pivotField dataField="1" compact="0" numFmtId="44" outline="0" showAll="0" defaultSubtotal="0"/>
    <pivotField dataField="1" compact="0" numFmtId="44" outline="0" showAll="0" defaultSubtotal="0"/>
    <pivotField dataField="1" compact="0" numFmtId="44" outline="0" showAll="0" defaultSubtotal="0"/>
    <pivotField dataField="1" compact="0" numFmtId="44" outline="0" showAll="0" defaultSubtotal="0"/>
    <pivotField dataField="1" compact="0" numFmtId="44" outline="0" showAll="0" defaultSubtotal="0"/>
    <pivotField dataField="1" compact="0" numFmtId="44" outline="0" showAll="0" defaultSubtotal="0"/>
    <pivotField dataField="1" compact="0" numFmtId="44" outline="0" showAll="0" defaultSubtotal="0"/>
    <pivotField dataField="1" compact="0" numFmtId="44" outline="0" showAll="0" defaultSubtotal="0"/>
    <pivotField dataField="1" compact="0" numFmtId="44" outline="0" showAll="0" defaultSubtotal="0"/>
    <pivotField dataField="1" compact="0" numFmtId="44" outline="0" showAll="0" defaultSubtotal="0"/>
    <pivotField dataField="1" compact="0" numFmtId="44" outline="0" showAll="0" defaultSubtotal="0"/>
    <pivotField dataField="1" compact="0" numFmtId="44" outline="0" showAll="0" defaultSubtotal="0"/>
    <pivotField dataField="1" compact="0" numFmtId="44" outline="0" showAll="0" defaultSubtotal="0"/>
    <pivotField dataField="1" compact="0" numFmtId="44" outline="0" showAll="0" defaultSubtotal="0"/>
    <pivotField dataField="1" compact="0" numFmtId="44" outline="0" showAll="0" defaultSubtotal="0"/>
    <pivotField dataField="1" compact="0" numFmtId="44" outline="0" showAll="0" defaultSubtotal="0"/>
    <pivotField dataField="1" compact="0" numFmtId="44" outline="0" showAll="0" defaultSubtotal="0"/>
    <pivotField dataField="1" compact="0" numFmtId="44" outline="0" showAll="0" defaultSubtotal="0"/>
    <pivotField dataField="1" compact="0" numFmtId="44" outline="0" showAll="0" defaultSubtotal="0"/>
    <pivotField dataField="1" compact="0" numFmtId="44" outline="0" showAll="0" defaultSubtotal="0"/>
    <pivotField dataField="1" compact="0" numFmtId="44" outline="0" showAll="0" defaultSubtotal="0"/>
    <pivotField dataField="1" compact="0" numFmtId="44" outline="0" showAll="0" defaultSubtotal="0"/>
    <pivotField dataField="1" compact="0" outline="0" showAll="0" defaultSubtotal="0"/>
  </pivotFields>
  <rowFields count="3">
    <field x="0"/>
    <field x="1"/>
    <field x="2"/>
  </rowFields>
  <rowItems count="589">
    <i>
      <x/>
      <x v="1"/>
      <x v="329"/>
    </i>
    <i r="1">
      <x v="8"/>
      <x v="98"/>
    </i>
    <i r="1">
      <x v="11"/>
      <x v="443"/>
    </i>
    <i r="1">
      <x v="12"/>
      <x v="99"/>
    </i>
    <i r="1">
      <x v="31"/>
      <x v="143"/>
    </i>
    <i r="1">
      <x v="32"/>
      <x v="140"/>
    </i>
    <i r="1">
      <x v="34"/>
      <x v="191"/>
    </i>
    <i r="1">
      <x v="44"/>
      <x v="28"/>
    </i>
    <i r="1">
      <x v="46"/>
      <x v="29"/>
    </i>
    <i r="1">
      <x v="49"/>
      <x v="375"/>
    </i>
    <i r="1">
      <x v="56"/>
      <x v="491"/>
    </i>
    <i r="1">
      <x v="59"/>
      <x v="168"/>
    </i>
    <i r="1">
      <x v="61"/>
      <x v="46"/>
    </i>
    <i r="2">
      <x v="47"/>
    </i>
    <i r="2">
      <x v="139"/>
    </i>
    <i r="2">
      <x v="214"/>
    </i>
    <i r="2">
      <x v="305"/>
    </i>
    <i r="2">
      <x v="331"/>
    </i>
    <i r="2">
      <x v="469"/>
    </i>
    <i r="2">
      <x v="535"/>
    </i>
    <i r="2">
      <x v="538"/>
    </i>
    <i r="1">
      <x v="62"/>
      <x v="141"/>
    </i>
    <i r="2">
      <x v="376"/>
    </i>
    <i r="1">
      <x v="64"/>
      <x v="465"/>
    </i>
    <i r="1">
      <x v="70"/>
      <x v="212"/>
    </i>
    <i r="1">
      <x v="75"/>
      <x v="167"/>
    </i>
    <i r="1">
      <x v="82"/>
      <x v="425"/>
    </i>
    <i r="1">
      <x v="86"/>
      <x v="163"/>
    </i>
    <i r="1">
      <x v="91"/>
      <x v="5"/>
    </i>
    <i r="1">
      <x v="94"/>
      <x v="441"/>
    </i>
    <i r="1">
      <x v="106"/>
      <x v="489"/>
    </i>
    <i r="1">
      <x v="108"/>
      <x v="234"/>
    </i>
    <i r="1">
      <x v="114"/>
      <x v="119"/>
    </i>
    <i r="1">
      <x v="117"/>
      <x v="423"/>
    </i>
    <i r="1">
      <x v="120"/>
      <x v="307"/>
    </i>
    <i r="1">
      <x v="121"/>
      <x v="192"/>
    </i>
    <i r="1">
      <x v="129"/>
      <x v="279"/>
    </i>
    <i r="1">
      <x v="130"/>
      <x v="511"/>
    </i>
    <i r="1">
      <x v="131"/>
      <x v="256"/>
    </i>
    <i r="1">
      <x v="132"/>
      <x v="71"/>
    </i>
    <i r="1">
      <x v="133"/>
      <x v="233"/>
    </i>
    <i r="1">
      <x v="137"/>
      <x v="278"/>
    </i>
    <i r="1">
      <x v="144"/>
      <x v="444"/>
    </i>
    <i r="1">
      <x v="147"/>
      <x v="283"/>
    </i>
    <i r="1">
      <x v="150"/>
      <x v="442"/>
    </i>
    <i r="1">
      <x v="153"/>
      <x v="142"/>
    </i>
    <i r="1">
      <x v="154"/>
      <x v="3"/>
    </i>
    <i r="1">
      <x v="158"/>
      <x v="306"/>
    </i>
    <i r="1">
      <x v="159"/>
      <x v="73"/>
    </i>
    <i r="1">
      <x v="161"/>
      <x v="400"/>
    </i>
    <i r="1">
      <x v="162"/>
      <x v="330"/>
    </i>
    <i r="1">
      <x v="164"/>
      <x v="422"/>
    </i>
    <i r="1">
      <x v="165"/>
      <x v="117"/>
    </i>
    <i r="1">
      <x v="174"/>
      <x v="75"/>
    </i>
    <i r="1">
      <x v="175"/>
      <x v="351"/>
    </i>
    <i r="1">
      <x v="186"/>
      <x v="350"/>
    </i>
    <i r="1">
      <x v="199"/>
      <x v="467"/>
    </i>
    <i r="1">
      <x v="202"/>
      <x v="190"/>
    </i>
    <i r="1">
      <x v="207"/>
      <x v="403"/>
    </i>
    <i r="1">
      <x v="208"/>
      <x v="513"/>
    </i>
    <i r="1">
      <x v="223"/>
      <x v="215"/>
    </i>
    <i r="1">
      <x v="230"/>
      <x v="421"/>
    </i>
    <i r="1">
      <x v="233"/>
      <x v="164"/>
    </i>
    <i r="1">
      <x v="235"/>
      <x v="401"/>
    </i>
    <i r="1">
      <x v="236"/>
      <x v="236"/>
    </i>
    <i r="2">
      <x v="260"/>
    </i>
    <i r="1">
      <x v="247"/>
      <x v="302"/>
    </i>
    <i r="1">
      <x v="251"/>
      <x v="122"/>
    </i>
    <i r="2">
      <x v="166"/>
    </i>
    <i r="2">
      <x v="327"/>
    </i>
    <i r="1">
      <x v="260"/>
      <x v="257"/>
    </i>
    <i r="1">
      <x v="261"/>
      <x v="304"/>
    </i>
    <i r="1">
      <x v="264"/>
      <x v="464"/>
    </i>
    <i r="1">
      <x v="265"/>
      <x v="96"/>
    </i>
    <i r="1">
      <x v="267"/>
      <x v="51"/>
    </i>
    <i r="1">
      <x v="268"/>
      <x v="27"/>
    </i>
    <i r="1">
      <x v="272"/>
      <x v="446"/>
    </i>
    <i r="1">
      <x v="273"/>
      <x v="144"/>
    </i>
    <i r="1">
      <x v="277"/>
      <x v="556"/>
    </i>
    <i r="1">
      <x v="279"/>
      <x v="48"/>
    </i>
    <i r="1">
      <x v="282"/>
      <x v="445"/>
    </i>
    <i r="1">
      <x v="287"/>
      <x v="72"/>
    </i>
    <i r="1">
      <x v="289"/>
      <x v="70"/>
    </i>
    <i r="1">
      <x v="290"/>
      <x v="558"/>
    </i>
    <i r="1">
      <x v="294"/>
      <x v="374"/>
    </i>
    <i r="1">
      <x v="298"/>
      <x v="557"/>
    </i>
    <i r="1">
      <x v="305"/>
      <x v="210"/>
    </i>
    <i r="1">
      <x v="308"/>
      <x v="399"/>
    </i>
    <i r="1">
      <x v="312"/>
      <x v="420"/>
    </i>
    <i r="1">
      <x v="314"/>
      <x v="510"/>
    </i>
    <i r="1">
      <x v="318"/>
      <x v="6"/>
    </i>
    <i r="1">
      <x v="328"/>
      <x v="4"/>
    </i>
    <i r="1">
      <x v="339"/>
      <x v="332"/>
    </i>
    <i r="1">
      <x v="346"/>
      <x v="30"/>
    </i>
    <i r="1">
      <x v="347"/>
      <x v="255"/>
    </i>
    <i r="2">
      <x v="280"/>
    </i>
    <i r="1">
      <x v="353"/>
      <x v="379"/>
    </i>
    <i r="1">
      <x v="361"/>
      <x v="74"/>
    </i>
    <i r="1">
      <x v="362"/>
      <x v="120"/>
    </i>
    <i r="1">
      <x v="363"/>
      <x v="398"/>
    </i>
    <i r="1">
      <x v="364"/>
      <x v="512"/>
    </i>
    <i r="1">
      <x v="371"/>
      <x v="97"/>
    </i>
    <i r="1">
      <x v="375"/>
      <x v="534"/>
    </i>
    <i r="1">
      <x v="379"/>
      <x v="211"/>
    </i>
    <i r="1">
      <x v="385"/>
      <x v="259"/>
    </i>
    <i r="1">
      <x v="397"/>
      <x v="352"/>
    </i>
    <i r="1">
      <x v="399"/>
      <x v="121"/>
    </i>
    <i r="1">
      <x v="402"/>
      <x v="187"/>
    </i>
    <i r="1">
      <x v="404"/>
      <x v="100"/>
    </i>
    <i r="1">
      <x v="406"/>
      <x v="328"/>
    </i>
    <i r="1">
      <x v="413"/>
      <x v="353"/>
    </i>
    <i r="1">
      <x v="414"/>
      <x v="378"/>
    </i>
    <i r="1">
      <x v="415"/>
      <x v="354"/>
    </i>
    <i r="1">
      <x v="417"/>
      <x v="50"/>
    </i>
    <i r="1">
      <x v="418"/>
      <x v="26"/>
    </i>
    <i r="1">
      <x v="419"/>
      <x v="282"/>
    </i>
    <i r="1">
      <x v="422"/>
      <x v="7"/>
    </i>
    <i r="1">
      <x v="433"/>
      <x v="492"/>
    </i>
    <i r="1">
      <x v="435"/>
      <x v="213"/>
    </i>
    <i r="1">
      <x v="437"/>
      <x v="49"/>
    </i>
    <i r="1">
      <x v="438"/>
      <x v="118"/>
    </i>
    <i r="1">
      <x v="446"/>
      <x v="402"/>
    </i>
    <i r="1">
      <x v="449"/>
      <x v="514"/>
    </i>
    <i r="2">
      <x v="537"/>
    </i>
    <i r="2">
      <x v="559"/>
    </i>
    <i r="1">
      <x v="450"/>
      <x v="25"/>
    </i>
    <i r="2">
      <x v="493"/>
    </i>
    <i r="1">
      <x v="452"/>
      <x v="377"/>
    </i>
    <i r="1">
      <x v="459"/>
      <x v="561"/>
    </i>
    <i r="1">
      <x v="466"/>
      <x v="232"/>
    </i>
    <i r="1">
      <x v="468"/>
      <x v="95"/>
    </i>
    <i r="1">
      <x v="480"/>
      <x v="488"/>
    </i>
    <i r="1">
      <x v="490"/>
      <x v="237"/>
    </i>
    <i r="1">
      <x v="497"/>
      <x v="515"/>
    </i>
    <i r="1">
      <x v="503"/>
      <x v="490"/>
    </i>
    <i r="1">
      <x v="504"/>
      <x v="188"/>
    </i>
    <i r="1">
      <x v="506"/>
      <x v="165"/>
    </i>
    <i r="1">
      <x v="509"/>
      <x v="466"/>
    </i>
    <i r="1">
      <x v="514"/>
      <x v="258"/>
    </i>
    <i r="1">
      <x v="519"/>
      <x v="536"/>
    </i>
    <i r="1">
      <x v="522"/>
      <x v="189"/>
    </i>
    <i r="1">
      <x v="528"/>
      <x v="533"/>
    </i>
    <i r="1">
      <x v="529"/>
      <x v="424"/>
    </i>
    <i r="1">
      <x v="531"/>
      <x v="468"/>
    </i>
    <i r="1">
      <x v="532"/>
      <x v="303"/>
    </i>
    <i r="1">
      <x v="533"/>
      <x v="281"/>
    </i>
    <i r="1">
      <x v="538"/>
      <x v="235"/>
    </i>
    <i r="1">
      <x v="541"/>
      <x v="560"/>
    </i>
    <i r="1">
      <x v="542"/>
      <x v="355"/>
    </i>
    <i>
      <x v="1"/>
      <x v="5"/>
      <x v="437"/>
    </i>
    <i r="1">
      <x v="9"/>
      <x v="530"/>
    </i>
    <i r="1">
      <x v="13"/>
      <x v="22"/>
    </i>
    <i r="1">
      <x v="14"/>
      <x v="325"/>
    </i>
    <i r="1">
      <x v="16"/>
      <x v="439"/>
    </i>
    <i r="1">
      <x v="26"/>
      <x v="396"/>
    </i>
    <i r="1">
      <x v="28"/>
      <x v="531"/>
    </i>
    <i r="1">
      <x v="29"/>
      <x v="299"/>
    </i>
    <i r="1">
      <x v="33"/>
      <x v="67"/>
    </i>
    <i r="1">
      <x v="61"/>
      <x v="66"/>
    </i>
    <i r="2">
      <x v="94"/>
    </i>
    <i r="2">
      <x v="186"/>
    </i>
    <i r="2">
      <x v="207"/>
    </i>
    <i r="1">
      <x v="69"/>
      <x v="231"/>
    </i>
    <i r="1">
      <x v="77"/>
      <x v="183"/>
    </i>
    <i r="1">
      <x v="81"/>
      <x v="506"/>
    </i>
    <i r="1">
      <x v="96"/>
      <x v="115"/>
    </i>
    <i r="1">
      <x v="100"/>
      <x v="484"/>
    </i>
    <i r="1">
      <x v="101"/>
      <x v="394"/>
    </i>
    <i r="1">
      <x v="105"/>
      <x v="418"/>
    </i>
    <i r="1">
      <x v="107"/>
      <x v="324"/>
    </i>
    <i r="1">
      <x v="111"/>
      <x v="532"/>
    </i>
    <i r="1">
      <x v="116"/>
      <x v="159"/>
    </i>
    <i r="1">
      <x v="126"/>
      <x v="208"/>
    </i>
    <i r="1">
      <x v="138"/>
      <x v="277"/>
    </i>
    <i r="1">
      <x v="139"/>
      <x v="486"/>
    </i>
    <i r="1">
      <x v="160"/>
      <x v="229"/>
    </i>
    <i r="2">
      <x v="585"/>
    </i>
    <i r="1">
      <x v="163"/>
      <x v="371"/>
    </i>
    <i r="1">
      <x v="171"/>
      <x v="276"/>
    </i>
    <i r="1">
      <x v="172"/>
      <x v="43"/>
    </i>
    <i r="1">
      <x v="177"/>
      <x v="251"/>
    </i>
    <i r="1">
      <x v="178"/>
      <x v="23"/>
    </i>
    <i r="2">
      <x v="582"/>
    </i>
    <i r="1">
      <x v="192"/>
      <x v="463"/>
    </i>
    <i r="1">
      <x v="195"/>
      <x v="438"/>
    </i>
    <i r="1">
      <x v="206"/>
      <x v="45"/>
    </i>
    <i r="1">
      <x v="215"/>
      <x v="1"/>
    </i>
    <i r="1">
      <x v="221"/>
      <x v="462"/>
    </i>
    <i r="1">
      <x v="224"/>
      <x v="529"/>
    </i>
    <i r="1">
      <x v="229"/>
      <x v="347"/>
    </i>
    <i r="1">
      <x v="231"/>
      <x v="24"/>
    </i>
    <i r="1">
      <x v="234"/>
      <x v="440"/>
    </i>
    <i r="1">
      <x v="239"/>
      <x v="554"/>
    </i>
    <i r="2">
      <x v="581"/>
    </i>
    <i r="1">
      <x v="240"/>
      <x v="461"/>
    </i>
    <i r="2">
      <x v="583"/>
    </i>
    <i r="1">
      <x v="243"/>
      <x v="349"/>
    </i>
    <i r="1">
      <x v="247"/>
      <x v="586"/>
    </i>
    <i r="1">
      <x v="254"/>
      <x v="326"/>
    </i>
    <i r="1">
      <x v="256"/>
      <x v="487"/>
    </i>
    <i r="1">
      <x v="262"/>
      <x v="419"/>
    </i>
    <i r="1">
      <x v="266"/>
      <x v="68"/>
    </i>
    <i r="1">
      <x v="274"/>
      <x v="160"/>
    </i>
    <i r="1">
      <x v="275"/>
      <x v="373"/>
    </i>
    <i r="1">
      <x v="276"/>
      <x v="209"/>
    </i>
    <i r="1">
      <x v="280"/>
      <x v="346"/>
    </i>
    <i r="1">
      <x v="288"/>
      <x v="69"/>
    </i>
    <i r="1">
      <x v="295"/>
      <x v="300"/>
    </i>
    <i r="1">
      <x v="296"/>
      <x v="228"/>
    </i>
    <i r="1">
      <x v="300"/>
      <x v="301"/>
    </i>
    <i r="1">
      <x v="303"/>
      <x v="552"/>
    </i>
    <i r="1">
      <x v="317"/>
      <x v="162"/>
    </i>
    <i r="1">
      <x v="319"/>
      <x v="397"/>
    </i>
    <i r="1">
      <x v="324"/>
      <x v="372"/>
    </i>
    <i r="1">
      <x v="327"/>
      <x v="485"/>
    </i>
    <i r="1">
      <x v="329"/>
      <x v="253"/>
    </i>
    <i r="1">
      <x v="337"/>
      <x v="275"/>
    </i>
    <i r="1">
      <x v="341"/>
      <x v="417"/>
    </i>
    <i r="1">
      <x v="343"/>
      <x v="184"/>
    </i>
    <i r="1">
      <x v="352"/>
      <x v="230"/>
    </i>
    <i r="1">
      <x v="356"/>
      <x v="370"/>
    </i>
    <i r="1">
      <x v="381"/>
      <x v="161"/>
    </i>
    <i r="2">
      <x v="584"/>
    </i>
    <i r="1">
      <x v="393"/>
      <x v="254"/>
    </i>
    <i r="1">
      <x v="416"/>
      <x v="138"/>
    </i>
    <i r="1">
      <x v="423"/>
      <x v="91"/>
    </i>
    <i r="1">
      <x v="434"/>
      <x v="509"/>
    </i>
    <i r="1">
      <x v="436"/>
      <x v="137"/>
    </i>
    <i r="1">
      <x v="440"/>
      <x v="2"/>
    </i>
    <i r="1">
      <x v="442"/>
      <x v="508"/>
    </i>
    <i r="1">
      <x v="453"/>
      <x v="206"/>
    </i>
    <i r="1">
      <x v="456"/>
      <x v="395"/>
    </i>
    <i r="1">
      <x v="458"/>
      <x v="116"/>
    </i>
    <i r="1">
      <x v="462"/>
      <x v="92"/>
    </i>
    <i r="1">
      <x v="463"/>
      <x v="323"/>
    </i>
    <i r="1">
      <x v="464"/>
      <x v="555"/>
    </i>
    <i r="1">
      <x v="471"/>
      <x v="298"/>
    </i>
    <i r="1">
      <x v="475"/>
      <x v="93"/>
    </i>
    <i r="1">
      <x v="488"/>
      <x v="185"/>
    </i>
    <i r="1">
      <x v="489"/>
      <x v="252"/>
    </i>
    <i r="1">
      <x v="491"/>
      <x v="587"/>
    </i>
    <i r="1">
      <x v="493"/>
      <x v="42"/>
    </i>
    <i r="1">
      <x v="505"/>
      <x v="136"/>
    </i>
    <i r="1">
      <x v="508"/>
      <x v="507"/>
    </i>
    <i r="1">
      <x v="511"/>
      <x v="348"/>
    </i>
    <i r="1">
      <x v="517"/>
      <x v="135"/>
    </i>
    <i r="1">
      <x v="525"/>
      <x v="274"/>
    </i>
    <i r="1">
      <x v="527"/>
      <x v="44"/>
    </i>
    <i r="1">
      <x v="534"/>
      <x v="416"/>
    </i>
    <i r="1">
      <x v="535"/>
      <x v="553"/>
    </i>
    <i r="1">
      <x v="536"/>
      <x v="114"/>
    </i>
    <i>
      <x v="2"/>
      <x v="3"/>
      <x v="178"/>
    </i>
    <i r="1">
      <x v="4"/>
      <x v="40"/>
    </i>
    <i r="1">
      <x v="6"/>
      <x v="456"/>
    </i>
    <i r="1">
      <x v="15"/>
      <x v="271"/>
    </i>
    <i r="1">
      <x v="17"/>
      <x v="458"/>
    </i>
    <i r="1">
      <x v="19"/>
      <x v="111"/>
    </i>
    <i r="1">
      <x v="20"/>
      <x v="89"/>
    </i>
    <i r="1">
      <x v="24"/>
      <x v="297"/>
    </i>
    <i r="1">
      <x v="25"/>
      <x v="134"/>
    </i>
    <i r="1">
      <x v="38"/>
      <x v="367"/>
    </i>
    <i r="1">
      <x v="39"/>
      <x v="341"/>
    </i>
    <i r="1">
      <x v="46"/>
      <x v="203"/>
    </i>
    <i r="1">
      <x v="50"/>
      <x v="247"/>
    </i>
    <i r="1">
      <x v="51"/>
      <x v="296"/>
    </i>
    <i r="1">
      <x v="52"/>
      <x v="156"/>
    </i>
    <i r="1">
      <x v="54"/>
      <x v="246"/>
    </i>
    <i r="1">
      <x v="60"/>
      <x v="548"/>
    </i>
    <i r="1">
      <x v="63"/>
      <x v="87"/>
    </i>
    <i r="1">
      <x v="67"/>
      <x v="570"/>
    </i>
    <i r="1">
      <x v="72"/>
      <x v="205"/>
    </i>
    <i r="1">
      <x v="73"/>
      <x v="157"/>
    </i>
    <i r="1">
      <x v="76"/>
      <x v="460"/>
    </i>
    <i r="1">
      <x v="84"/>
      <x v="412"/>
    </i>
    <i r="1">
      <x v="85"/>
      <x v="342"/>
    </i>
    <i r="1">
      <x v="87"/>
      <x v="21"/>
    </i>
    <i r="1">
      <x v="88"/>
      <x v="62"/>
    </i>
    <i r="1">
      <x v="98"/>
      <x v="457"/>
    </i>
    <i r="1">
      <x v="99"/>
      <x v="179"/>
    </i>
    <i r="1">
      <x v="103"/>
      <x v="550"/>
    </i>
    <i r="1">
      <x v="113"/>
      <x v="319"/>
    </i>
    <i r="1">
      <x v="119"/>
      <x v="343"/>
    </i>
    <i r="1">
      <x v="124"/>
      <x v="547"/>
    </i>
    <i r="1">
      <x v="125"/>
      <x v="295"/>
    </i>
    <i r="1">
      <x v="127"/>
      <x v="432"/>
    </i>
    <i r="1">
      <x v="135"/>
      <x v="482"/>
    </i>
    <i r="1">
      <x v="140"/>
      <x v="204"/>
    </i>
    <i r="1">
      <x v="151"/>
      <x v="110"/>
    </i>
    <i r="1">
      <x v="152"/>
      <x v="227"/>
    </i>
    <i r="1">
      <x v="167"/>
      <x v="272"/>
    </i>
    <i r="1">
      <x v="170"/>
      <x v="61"/>
    </i>
    <i r="1">
      <x v="176"/>
      <x v="391"/>
    </i>
    <i r="1">
      <x v="183"/>
      <x v="113"/>
    </i>
    <i r="1">
      <x v="184"/>
      <x v="155"/>
    </i>
    <i r="1">
      <x v="190"/>
      <x v="528"/>
    </i>
    <i r="1">
      <x v="196"/>
      <x v="501"/>
    </i>
    <i r="1">
      <x v="198"/>
      <x v="321"/>
    </i>
    <i r="1">
      <x v="205"/>
      <x v="64"/>
    </i>
    <i r="1">
      <x v="216"/>
      <x v="20"/>
    </i>
    <i r="1">
      <x v="220"/>
      <x v="86"/>
    </i>
    <i r="1">
      <x v="228"/>
      <x v="344"/>
    </i>
    <i r="1">
      <x v="237"/>
      <x v="504"/>
    </i>
    <i r="1">
      <x v="238"/>
      <x v="505"/>
    </i>
    <i r="1">
      <x v="241"/>
      <x v="318"/>
    </i>
    <i r="1">
      <x v="244"/>
      <x v="19"/>
    </i>
    <i r="1">
      <x v="245"/>
      <x v="436"/>
    </i>
    <i r="1">
      <x v="248"/>
      <x v="18"/>
    </i>
    <i r="1">
      <x v="250"/>
      <x v="572"/>
    </i>
    <i r="1">
      <x v="252"/>
      <x v="294"/>
    </i>
    <i r="1">
      <x v="257"/>
      <x v="434"/>
    </i>
    <i r="1">
      <x v="270"/>
      <x v="248"/>
    </i>
    <i r="1">
      <x v="283"/>
      <x v="435"/>
    </i>
    <i r="1">
      <x v="292"/>
      <x v="551"/>
    </i>
    <i r="1">
      <x v="304"/>
      <x v="573"/>
    </i>
    <i r="1">
      <x v="306"/>
      <x v="479"/>
    </i>
    <i r="1">
      <x v="307"/>
      <x v="345"/>
    </i>
    <i r="1">
      <x v="310"/>
      <x v="480"/>
    </i>
    <i r="1">
      <x v="315"/>
      <x v="250"/>
    </i>
    <i r="1">
      <x v="323"/>
      <x v="369"/>
    </i>
    <i r="1">
      <x v="325"/>
      <x v="202"/>
    </i>
    <i r="1">
      <x v="333"/>
      <x v="154"/>
    </i>
    <i r="1">
      <x v="338"/>
      <x v="112"/>
    </i>
    <i r="1">
      <x v="344"/>
      <x v="182"/>
    </i>
    <i r="1">
      <x v="348"/>
      <x v="574"/>
    </i>
    <i r="1">
      <x v="357"/>
      <x v="481"/>
    </i>
    <i r="1">
      <x v="360"/>
      <x v="525"/>
    </i>
    <i r="1">
      <x v="366"/>
      <x v="368"/>
    </i>
    <i r="1">
      <x v="369"/>
      <x v="226"/>
    </i>
    <i r="1">
      <x v="370"/>
      <x v="459"/>
    </i>
    <i r="1">
      <x v="372"/>
      <x v="413"/>
    </i>
    <i r="1">
      <x v="374"/>
      <x v="270"/>
    </i>
    <i r="1">
      <x v="380"/>
      <x v="526"/>
    </i>
    <i r="1">
      <x v="388"/>
      <x v="224"/>
    </i>
    <i r="1">
      <x v="389"/>
      <x v="65"/>
    </i>
    <i r="1">
      <x v="391"/>
      <x v="390"/>
    </i>
    <i r="1">
      <x v="403"/>
      <x v="503"/>
    </i>
    <i r="1">
      <x v="409"/>
      <x v="273"/>
    </i>
    <i r="1">
      <x v="410"/>
      <x v="131"/>
    </i>
    <i r="1">
      <x v="412"/>
      <x v="39"/>
    </i>
    <i r="1">
      <x v="420"/>
      <x v="249"/>
    </i>
    <i r="1">
      <x v="430"/>
      <x v="180"/>
    </i>
    <i r="1">
      <x v="431"/>
      <x v="549"/>
    </i>
    <i r="1">
      <x v="432"/>
      <x v="63"/>
    </i>
    <i r="1">
      <x v="439"/>
      <x v="181"/>
    </i>
    <i r="1">
      <x v="441"/>
      <x v="90"/>
    </i>
    <i r="1">
      <x v="443"/>
      <x v="571"/>
    </i>
    <i r="1">
      <x v="444"/>
      <x v="322"/>
    </i>
    <i r="1">
      <x v="455"/>
      <x v="366"/>
    </i>
    <i r="1">
      <x v="465"/>
      <x v="411"/>
    </i>
    <i r="1">
      <x v="469"/>
      <x v="320"/>
    </i>
    <i r="1">
      <x v="470"/>
      <x v="132"/>
    </i>
    <i r="1">
      <x v="474"/>
      <x v="41"/>
    </i>
    <i r="1">
      <x v="476"/>
      <x v="158"/>
    </i>
    <i r="1">
      <x v="477"/>
      <x v="389"/>
    </i>
    <i r="1">
      <x v="478"/>
      <x v="88"/>
    </i>
    <i r="1">
      <x v="479"/>
      <x v="365"/>
    </i>
    <i r="1">
      <x v="481"/>
      <x v="133"/>
    </i>
    <i r="1">
      <x v="492"/>
      <x v="225"/>
    </i>
    <i r="1">
      <x v="495"/>
      <x v="17"/>
    </i>
    <i r="1">
      <x v="515"/>
      <x v="502"/>
    </i>
    <i r="1">
      <x v="516"/>
      <x v="415"/>
    </i>
    <i r="1">
      <x v="518"/>
      <x v="527"/>
    </i>
    <i r="1">
      <x v="528"/>
      <x v="392"/>
    </i>
    <i r="2">
      <x v="393"/>
    </i>
    <i r="1">
      <x v="537"/>
      <x v="483"/>
    </i>
    <i r="1">
      <x v="540"/>
      <x v="433"/>
    </i>
    <i r="1">
      <x v="543"/>
      <x v="414"/>
    </i>
    <i>
      <x v="3"/>
      <x v="2"/>
      <x v="338"/>
    </i>
    <i r="1">
      <x v="7"/>
      <x v="15"/>
    </i>
    <i r="1">
      <x v="18"/>
      <x v="337"/>
    </i>
    <i r="2">
      <x v="578"/>
    </i>
    <i r="1">
      <x v="21"/>
      <x v="130"/>
    </i>
    <i r="1">
      <x v="22"/>
      <x v="149"/>
    </i>
    <i r="1">
      <x v="23"/>
      <x v="241"/>
    </i>
    <i r="1">
      <x v="35"/>
      <x v="172"/>
    </i>
    <i r="1">
      <x v="36"/>
      <x v="173"/>
    </i>
    <i r="1">
      <x v="41"/>
      <x v="244"/>
    </i>
    <i r="1">
      <x v="45"/>
      <x v="150"/>
    </i>
    <i r="1">
      <x v="55"/>
      <x v="569"/>
    </i>
    <i r="1">
      <x v="58"/>
      <x v="175"/>
    </i>
    <i r="1">
      <x v="65"/>
      <x v="220"/>
    </i>
    <i r="1">
      <x v="68"/>
      <x v="452"/>
    </i>
    <i r="1">
      <x v="78"/>
      <x v="362"/>
    </i>
    <i r="1">
      <x v="79"/>
      <x v="83"/>
    </i>
    <i r="1">
      <x v="80"/>
      <x v="522"/>
    </i>
    <i r="2">
      <x v="568"/>
    </i>
    <i r="1">
      <x v="89"/>
      <x v="360"/>
    </i>
    <i r="1">
      <x v="92"/>
      <x v="84"/>
    </i>
    <i r="1">
      <x v="94"/>
      <x v="105"/>
    </i>
    <i r="2">
      <x v="454"/>
    </i>
    <i r="1">
      <x v="95"/>
      <x v="429"/>
    </i>
    <i r="1">
      <x v="97"/>
      <x v="521"/>
    </i>
    <i r="1">
      <x v="109"/>
      <x v="12"/>
    </i>
    <i r="1">
      <x v="110"/>
      <x v="107"/>
    </i>
    <i r="1">
      <x v="112"/>
      <x v="201"/>
    </i>
    <i r="1">
      <x v="115"/>
      <x v="81"/>
    </i>
    <i r="1">
      <x v="118"/>
      <x v="543"/>
    </i>
    <i r="1">
      <x v="120"/>
      <x v="577"/>
    </i>
    <i r="1">
      <x v="122"/>
      <x v="221"/>
    </i>
    <i r="1">
      <x v="123"/>
      <x v="269"/>
    </i>
    <i r="1">
      <x v="128"/>
      <x v="476"/>
    </i>
    <i r="1">
      <x v="134"/>
      <x v="196"/>
    </i>
    <i r="1">
      <x v="136"/>
      <x v="128"/>
    </i>
    <i r="1">
      <x v="142"/>
      <x v="55"/>
    </i>
    <i r="1">
      <x v="145"/>
      <x v="316"/>
    </i>
    <i r="1">
      <x v="148"/>
      <x v="264"/>
    </i>
    <i r="1">
      <x v="149"/>
      <x v="431"/>
    </i>
    <i r="1">
      <x v="155"/>
      <x v="222"/>
    </i>
    <i r="1">
      <x v="157"/>
      <x v="151"/>
    </i>
    <i r="1">
      <x v="168"/>
      <x v="542"/>
    </i>
    <i r="1">
      <x v="169"/>
      <x v="288"/>
    </i>
    <i r="1">
      <x v="173"/>
      <x v="524"/>
    </i>
    <i r="1">
      <x v="179"/>
      <x v="243"/>
    </i>
    <i r="1">
      <x v="181"/>
      <x v="290"/>
    </i>
    <i r="1">
      <x v="182"/>
      <x v="313"/>
    </i>
    <i r="1">
      <x v="185"/>
      <x v="336"/>
    </i>
    <i r="1">
      <x v="188"/>
      <x v="129"/>
    </i>
    <i r="1">
      <x v="189"/>
      <x v="500"/>
    </i>
    <i r="1">
      <x v="191"/>
      <x v="58"/>
    </i>
    <i r="1">
      <x v="193"/>
      <x v="127"/>
    </i>
    <i r="1">
      <x v="195"/>
      <x v="580"/>
    </i>
    <i r="1">
      <x v="197"/>
      <x v="410"/>
    </i>
    <i r="1">
      <x v="198"/>
      <x v="387"/>
    </i>
    <i r="1">
      <x v="200"/>
      <x v="174"/>
    </i>
    <i r="1">
      <x v="201"/>
      <x v="292"/>
    </i>
    <i r="1">
      <x v="203"/>
      <x v="384"/>
    </i>
    <i r="1">
      <x v="204"/>
      <x v="407"/>
    </i>
    <i r="1">
      <x v="212"/>
      <x v="197"/>
    </i>
    <i r="1">
      <x v="213"/>
      <x v="199"/>
    </i>
    <i r="1">
      <x v="214"/>
      <x v="109"/>
    </i>
    <i r="1">
      <x v="225"/>
      <x v="219"/>
    </i>
    <i r="1">
      <x v="227"/>
      <x v="566"/>
    </i>
    <i r="1">
      <x v="232"/>
      <x v="245"/>
    </i>
    <i r="1">
      <x v="239"/>
      <x v="575"/>
    </i>
    <i r="1">
      <x v="240"/>
      <x v="576"/>
    </i>
    <i r="1">
      <x v="242"/>
      <x v="38"/>
    </i>
    <i r="1">
      <x v="246"/>
      <x v="544"/>
    </i>
    <i r="1">
      <x v="259"/>
      <x v="59"/>
    </i>
    <i r="1">
      <x v="269"/>
      <x v="242"/>
    </i>
    <i r="1">
      <x v="271"/>
      <x v="409"/>
    </i>
    <i r="1">
      <x v="284"/>
      <x v="388"/>
    </i>
    <i r="1">
      <x v="291"/>
      <x v="567"/>
    </i>
    <i r="1">
      <x v="293"/>
      <x v="498"/>
    </i>
    <i r="1">
      <x v="299"/>
      <x v="363"/>
    </i>
    <i r="1">
      <x v="301"/>
      <x v="450"/>
    </i>
    <i r="1">
      <x v="302"/>
      <x v="523"/>
    </i>
    <i r="1">
      <x v="311"/>
      <x v="176"/>
    </i>
    <i r="1">
      <x v="313"/>
      <x v="317"/>
    </i>
    <i r="1">
      <x v="316"/>
      <x v="198"/>
    </i>
    <i r="1">
      <x v="320"/>
      <x v="35"/>
    </i>
    <i r="1">
      <x v="321"/>
      <x v="148"/>
    </i>
    <i r="1">
      <x v="322"/>
      <x v="385"/>
    </i>
    <i r="1">
      <x v="323"/>
      <x v="200"/>
    </i>
    <i r="1">
      <x v="345"/>
      <x v="82"/>
    </i>
    <i r="1">
      <x v="350"/>
      <x v="289"/>
    </i>
    <i r="1">
      <x v="351"/>
      <x v="37"/>
    </i>
    <i r="1">
      <x v="358"/>
      <x v="315"/>
    </i>
    <i r="1">
      <x v="359"/>
      <x v="497"/>
    </i>
    <i r="1">
      <x v="367"/>
      <x v="545"/>
    </i>
    <i r="1">
      <x v="368"/>
      <x v="339"/>
    </i>
    <i r="1">
      <x v="373"/>
      <x v="13"/>
    </i>
    <i r="1">
      <x v="376"/>
      <x v="293"/>
    </i>
    <i r="1">
      <x v="382"/>
      <x v="499"/>
    </i>
    <i r="1">
      <x v="387"/>
      <x v="57"/>
    </i>
    <i r="1">
      <x v="390"/>
      <x v="36"/>
    </i>
    <i r="1">
      <x v="392"/>
      <x v="428"/>
    </i>
    <i r="1">
      <x v="394"/>
      <x v="223"/>
    </i>
    <i r="1">
      <x v="395"/>
      <x v="475"/>
    </i>
    <i r="1">
      <x v="396"/>
      <x v="314"/>
    </i>
    <i r="1">
      <x v="398"/>
      <x v="453"/>
    </i>
    <i r="1">
      <x v="400"/>
      <x v="312"/>
    </i>
    <i r="1">
      <x v="401"/>
      <x v="455"/>
    </i>
    <i r="1">
      <x v="405"/>
      <x v="408"/>
    </i>
    <i r="1">
      <x v="407"/>
      <x v="104"/>
    </i>
    <i r="1">
      <x v="408"/>
      <x v="153"/>
    </i>
    <i r="1">
      <x v="426"/>
      <x v="520"/>
    </i>
    <i r="1">
      <x v="428"/>
      <x v="106"/>
    </i>
    <i r="1">
      <x v="429"/>
      <x v="11"/>
    </i>
    <i r="1">
      <x v="445"/>
      <x v="340"/>
    </i>
    <i r="2">
      <x v="364"/>
    </i>
    <i r="1">
      <x v="447"/>
      <x v="478"/>
    </i>
    <i r="1">
      <x v="448"/>
      <x v="546"/>
    </i>
    <i r="1">
      <x v="451"/>
      <x v="267"/>
    </i>
    <i r="1">
      <x v="460"/>
      <x v="60"/>
    </i>
    <i r="1">
      <x v="461"/>
      <x v="291"/>
    </i>
    <i r="1">
      <x v="467"/>
      <x v="268"/>
    </i>
    <i r="1">
      <x v="473"/>
      <x v="16"/>
    </i>
    <i r="1">
      <x v="482"/>
      <x v="477"/>
    </i>
    <i r="1">
      <x v="483"/>
      <x v="430"/>
    </i>
    <i r="1">
      <x v="484"/>
      <x v="152"/>
    </i>
    <i r="1">
      <x v="486"/>
      <x v="265"/>
    </i>
    <i r="1">
      <x v="487"/>
      <x v="126"/>
    </i>
    <i r="1">
      <x v="496"/>
      <x v="266"/>
    </i>
    <i r="1">
      <x v="498"/>
      <x v="451"/>
    </i>
    <i r="1">
      <x v="499"/>
      <x v="80"/>
    </i>
    <i r="1">
      <x v="500"/>
      <x v="474"/>
    </i>
    <i r="1">
      <x v="502"/>
      <x v="361"/>
    </i>
    <i r="1">
      <x v="505"/>
      <x v="85"/>
    </i>
    <i r="1">
      <x v="510"/>
      <x v="14"/>
    </i>
    <i r="1">
      <x v="513"/>
      <x v="386"/>
    </i>
    <i r="1">
      <x v="519"/>
      <x v="579"/>
    </i>
    <i r="1">
      <x v="521"/>
      <x v="56"/>
    </i>
    <i r="1">
      <x v="523"/>
      <x v="34"/>
    </i>
    <i r="1">
      <x v="526"/>
      <x v="108"/>
    </i>
    <i r="1">
      <x v="530"/>
      <x v="177"/>
    </i>
    <i r="1">
      <x v="539"/>
      <x v="406"/>
    </i>
    <i>
      <x v="4"/>
      <x v="10"/>
      <x v="31"/>
    </i>
    <i r="1">
      <x v="27"/>
      <x v="426"/>
    </i>
    <i r="1">
      <x v="30"/>
      <x v="77"/>
    </i>
    <i r="1">
      <x v="37"/>
      <x v="147"/>
    </i>
    <i r="1">
      <x v="40"/>
      <x v="287"/>
    </i>
    <i r="1">
      <x v="42"/>
      <x v="311"/>
    </i>
    <i r="1">
      <x v="43"/>
      <x v="54"/>
    </i>
    <i r="1">
      <x v="47"/>
      <x v="145"/>
    </i>
    <i r="1">
      <x v="48"/>
      <x v="33"/>
    </i>
    <i r="1">
      <x v="53"/>
      <x v="263"/>
    </i>
    <i r="1">
      <x v="57"/>
      <x v="239"/>
    </i>
    <i r="1">
      <x v="66"/>
      <x v="308"/>
    </i>
    <i r="1">
      <x v="71"/>
      <x v="516"/>
    </i>
    <i r="1">
      <x v="74"/>
      <x v="539"/>
    </i>
    <i r="1">
      <x v="83"/>
      <x v="382"/>
    </i>
    <i r="1">
      <x v="90"/>
      <x v="76"/>
    </i>
    <i r="1">
      <x v="93"/>
      <x v="357"/>
    </i>
    <i r="1">
      <x v="102"/>
      <x v="427"/>
    </i>
    <i r="1">
      <x v="104"/>
      <x v="262"/>
    </i>
    <i r="1">
      <x v="141"/>
      <x v="216"/>
    </i>
    <i r="1">
      <x v="143"/>
      <x v="405"/>
    </i>
    <i r="1">
      <x v="146"/>
      <x v="356"/>
    </i>
    <i r="1">
      <x v="156"/>
      <x v="562"/>
    </i>
    <i r="1">
      <x v="166"/>
      <x v="334"/>
    </i>
    <i r="1">
      <x v="180"/>
      <x v="381"/>
    </i>
    <i r="1">
      <x v="187"/>
      <x v="565"/>
    </i>
    <i r="1">
      <x v="194"/>
      <x v="310"/>
    </i>
    <i r="1">
      <x v="209"/>
      <x v="470"/>
    </i>
    <i r="1">
      <x v="210"/>
      <x v="494"/>
    </i>
    <i r="1">
      <x v="211"/>
      <x v="238"/>
    </i>
    <i r="1">
      <x v="217"/>
      <x v="309"/>
    </i>
    <i r="1">
      <x v="218"/>
      <x v="404"/>
    </i>
    <i r="1">
      <x v="219"/>
      <x v="564"/>
    </i>
    <i r="1">
      <x v="222"/>
      <x v="335"/>
    </i>
    <i r="1">
      <x v="226"/>
      <x v="125"/>
    </i>
    <i r="1">
      <x v="249"/>
      <x v="169"/>
    </i>
    <i r="1">
      <x v="253"/>
      <x v="52"/>
    </i>
    <i r="2">
      <x v="53"/>
    </i>
    <i r="1">
      <x v="255"/>
      <x v="101"/>
    </i>
    <i r="1">
      <x v="258"/>
      <x v="171"/>
    </i>
    <i r="1">
      <x v="263"/>
      <x v="358"/>
    </i>
    <i r="1">
      <x v="278"/>
      <x v="123"/>
    </i>
    <i r="1">
      <x v="281"/>
      <x v="449"/>
    </i>
    <i r="1">
      <x v="285"/>
      <x v="359"/>
    </i>
    <i r="1">
      <x v="286"/>
      <x v="261"/>
    </i>
    <i r="1">
      <x v="297"/>
      <x v="103"/>
    </i>
    <i r="1">
      <x v="309"/>
      <x v="472"/>
    </i>
    <i r="1">
      <x v="323"/>
      <x v="383"/>
    </i>
    <i r="1">
      <x v="326"/>
      <x v="79"/>
    </i>
    <i r="1">
      <x v="330"/>
      <x v="496"/>
    </i>
    <i r="1">
      <x v="331"/>
      <x v="194"/>
    </i>
    <i r="1">
      <x v="332"/>
      <x v="193"/>
    </i>
    <i r="1">
      <x v="334"/>
      <x v="218"/>
    </i>
    <i r="1">
      <x v="335"/>
      <x v="540"/>
    </i>
    <i r="1">
      <x v="336"/>
      <x v="448"/>
    </i>
    <i r="1">
      <x v="340"/>
      <x v="10"/>
    </i>
    <i r="1">
      <x v="342"/>
      <x v="284"/>
    </i>
    <i r="1">
      <x v="349"/>
      <x v="519"/>
    </i>
    <i r="1">
      <x v="354"/>
      <x v="8"/>
    </i>
    <i r="1">
      <x v="355"/>
      <x v="9"/>
    </i>
    <i r="1">
      <x v="365"/>
      <x v="380"/>
    </i>
    <i r="1">
      <x v="377"/>
      <x v="518"/>
    </i>
    <i r="1">
      <x v="378"/>
      <x v="517"/>
    </i>
    <i r="1">
      <x v="383"/>
      <x v="124"/>
    </i>
    <i r="1">
      <x v="384"/>
      <x v="170"/>
    </i>
    <i r="1">
      <x v="386"/>
      <x v="217"/>
    </i>
    <i r="1">
      <x v="411"/>
      <x v="447"/>
    </i>
    <i r="1">
      <x v="421"/>
      <x v="240"/>
    </i>
    <i r="1">
      <x v="424"/>
      <x v="495"/>
    </i>
    <i r="1">
      <x v="425"/>
      <x v="102"/>
    </i>
    <i r="1">
      <x v="427"/>
      <x v="78"/>
    </i>
    <i r="1">
      <x v="454"/>
      <x v="541"/>
    </i>
    <i r="1">
      <x v="457"/>
      <x v="195"/>
    </i>
    <i r="1">
      <x v="472"/>
      <x v="32"/>
    </i>
    <i r="1">
      <x v="485"/>
      <x v="286"/>
    </i>
    <i r="1">
      <x v="494"/>
      <x v="471"/>
    </i>
    <i r="1">
      <x v="501"/>
      <x v="146"/>
    </i>
    <i r="1">
      <x v="507"/>
      <x v="473"/>
    </i>
    <i r="1">
      <x v="512"/>
      <x v="563"/>
    </i>
    <i r="1">
      <x v="520"/>
      <x v="333"/>
    </i>
    <i r="1">
      <x v="524"/>
      <x v="285"/>
    </i>
    <i>
      <x v="5"/>
      <x/>
      <x/>
    </i>
    <i t="grand">
      <x/>
    </i>
  </rowItems>
  <colFields count="1">
    <field x="-2"/>
  </colFields>
  <colItems count="4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  <i i="39">
      <x v="39"/>
    </i>
    <i i="40">
      <x v="40"/>
    </i>
    <i i="41">
      <x v="41"/>
    </i>
    <i i="42">
      <x v="42"/>
    </i>
  </colItems>
  <dataFields count="43">
    <dataField name="Suma de Jun-24" fld="8" baseField="0" baseItem="0" numFmtId="44"/>
    <dataField name="Suma de Jul-24" fld="9" baseField="0" baseItem="0" numFmtId="44"/>
    <dataField name="Suma de Ago-24" fld="10" baseField="0" baseItem="0" numFmtId="44"/>
    <dataField name="Suma de Sep-24" fld="11" baseField="0" baseItem="0" numFmtId="44"/>
    <dataField name="Suma de Oct-24" fld="12" baseField="0" baseItem="0" numFmtId="44"/>
    <dataField name="Suma de Nov-24" fld="13" baseField="0" baseItem="0" numFmtId="44"/>
    <dataField name="Suma de Dic-24" fld="14" baseField="0" baseItem="0" numFmtId="44"/>
    <dataField name="Suma de Ene-25" fld="15" baseField="0" baseItem="0" numFmtId="44"/>
    <dataField name="Suma de Feb-25" fld="16" baseField="0" baseItem="0" numFmtId="44"/>
    <dataField name="Suma de Mar-25" fld="17" baseField="0" baseItem="0" numFmtId="44"/>
    <dataField name="Suma de Abr-25" fld="18" baseField="0" baseItem="0" numFmtId="44"/>
    <dataField name="Suma de May-25" fld="19" baseField="0" baseItem="0" numFmtId="44"/>
    <dataField name="Suma de Jun-25" fld="20" baseField="0" baseItem="0" numFmtId="44"/>
    <dataField name="Suma de Jul-25" fld="21" baseField="0" baseItem="0" numFmtId="44"/>
    <dataField name="Suma de Ago-25" fld="22" baseField="0" baseItem="0" numFmtId="44"/>
    <dataField name="Suma de Sep-25" fld="23" baseField="0" baseItem="0" numFmtId="44"/>
    <dataField name="Suma de Oct-25" fld="24" baseField="0" baseItem="0" numFmtId="44"/>
    <dataField name="Suma de Nov-25" fld="25" baseField="0" baseItem="0" numFmtId="44"/>
    <dataField name="Suma de Dic-25" fld="26" baseField="0" baseItem="0" numFmtId="44"/>
    <dataField name="Suma de Ene-26" fld="27" baseField="0" baseItem="0" numFmtId="44"/>
    <dataField name="Suma de Feb-26" fld="28" baseField="0" baseItem="0" numFmtId="44"/>
    <dataField name="Suma de Mar-26" fld="29" baseField="0" baseItem="0" numFmtId="44"/>
    <dataField name="Suma de Abr-26" fld="30" baseField="0" baseItem="0" numFmtId="44"/>
    <dataField name="Suma de May-26" fld="31" baseField="0" baseItem="0" numFmtId="44"/>
    <dataField name="Suma de Jun-26" fld="32" baseField="0" baseItem="0" numFmtId="44"/>
    <dataField name="Suma de Jul-26" fld="33" baseField="0" baseItem="0" numFmtId="44"/>
    <dataField name="Suma de Ago-26" fld="34" baseField="0" baseItem="0" numFmtId="44"/>
    <dataField name="Suma de Sep-26" fld="35" baseField="0" baseItem="0" numFmtId="44"/>
    <dataField name="Suma de Oct-26" fld="36" baseField="0" baseItem="0" numFmtId="44"/>
    <dataField name="Suma de Nov-26" fld="37" baseField="0" baseItem="0" numFmtId="44"/>
    <dataField name="Suma de Dic-26" fld="38" baseField="0" baseItem="0" numFmtId="44"/>
    <dataField name="Suma de Ene-27" fld="39" baseField="0" baseItem="0" numFmtId="44"/>
    <dataField name="Suma de Feb-27" fld="40" baseField="0" baseItem="0" numFmtId="44"/>
    <dataField name="Suma de Mar-27" fld="41" baseField="0" baseItem="0" numFmtId="44"/>
    <dataField name="Suma de Abr-27" fld="42" baseField="0" baseItem="0" numFmtId="44"/>
    <dataField name="Suma de May-27" fld="43" baseField="0" baseItem="0" numFmtId="44"/>
    <dataField name="Suma de Jun-27" fld="44" baseField="0" baseItem="0" numFmtId="44"/>
    <dataField name="Suma de Jul-27" fld="45" baseField="0" baseItem="0" numFmtId="44"/>
    <dataField name="Suma de Ago-27" fld="46" baseField="0" baseItem="0" numFmtId="44"/>
    <dataField name="Suma de Sep-27" fld="47" baseField="0" baseItem="0" numFmtId="44"/>
    <dataField name="Suma de Oct-27" fld="48" baseField="0" baseItem="0" numFmtId="44"/>
    <dataField name="Suma de Nov-27" fld="49" baseField="0" baseItem="0" numFmtId="44"/>
    <dataField name="Suma de TOTAL" fld="50" baseField="0" baseItem="0"/>
  </dataFields>
  <formats count="4">
    <format dxfId="11">
      <pivotArea field="0" type="button" dataOnly="0" labelOnly="1" outline="0" axis="axisRow" fieldPosition="0"/>
    </format>
    <format dxfId="10">
      <pivotArea field="1" type="button" dataOnly="0" labelOnly="1" outline="0" axis="axisRow" fieldPosition="1"/>
    </format>
    <format dxfId="9">
      <pivotArea field="2" type="button" dataOnly="0" labelOnly="1" outline="0" axis="axisRow" fieldPosition="2"/>
    </format>
    <format dxfId="8">
      <pivotArea dataOnly="0" labelOnly="1" outline="0" fieldPosition="0">
        <references count="1">
          <reference field="4294967294" count="4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</reference>
        </references>
      </pivotArea>
    </format>
  </formats>
  <pivotTableStyleInfo name="PivotStyleLight8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de_Unidad" xr10:uid="{738279CE-0D86-4582-BE8A-60C6F0DDCC7E}" sourceName="Tipo de Unidad">
  <pivotTables>
    <pivotTable tabId="63" name="TablaDinámica6"/>
  </pivotTables>
  <data>
    <tabular pivotCacheId="186215194">
      <items count="3">
        <i x="0" s="1"/>
        <i x="1" s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de_Unidad1" xr10:uid="{EC13B70F-F5BD-4F7E-9513-2A1DE2EE2A93}" sourceName="Tipo de Unidad">
  <pivotTables>
    <pivotTable tabId="63" name="TablaDinámica5"/>
  </pivotTables>
  <data>
    <tabular pivotCacheId="657271747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de_Unidad2" xr10:uid="{9C3EAC3A-6340-417F-88DE-FE4E4E2A8DDA}" sourceName="Tipo de Unidad">
  <pivotTables>
    <pivotTable tabId="63" name="TablaDinámica7"/>
  </pivotTables>
  <data>
    <tabular pivotCacheId="1508929073">
      <items count="3">
        <i x="0" s="1"/>
        <i x="1" s="1"/>
        <i x="2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de_Unidad3" xr10:uid="{60E2826B-6370-43C6-9314-FB40580A46C6}" sourceName="Tipo de Unidad">
  <pivotTables>
    <pivotTable tabId="63" name="TablaDinámica8"/>
  </pivotTables>
  <data>
    <tabular pivotCacheId="345751840">
      <items count="4">
        <i x="0" s="1"/>
        <i x="1" s="1"/>
        <i x="2" s="1"/>
        <i x="3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de_Unidad4" xr10:uid="{FD09588E-C849-44B4-AE2A-BC86B5DAAB53}" sourceName="[TORRE_3B].[Tipo de Unidad]">
  <pivotTables>
    <pivotTable tabId="63" name="TablaDinámica9"/>
  </pivotTables>
  <data>
    <olap pivotCacheId="1315505504">
      <levels count="2">
        <level uniqueName="[TORRE_3B].[Tipo de Unidad].[(All)]" sourceCaption="(All)" count="0"/>
        <level uniqueName="[TORRE_3B].[Tipo de Unidad].[Tipo de Unidad]" sourceCaption="Tipo de Unidad" count="3">
          <ranges>
            <range startItem="0">
              <i n="[TORRE_3B].[Tipo de Unidad].&amp;[APARTAMENTO]" c="APARTAMENTO"/>
              <i n="[TORRE_3B].[Tipo de Unidad].&amp;[PARQUEADERO]" c="PARQUEADERO"/>
              <i n="[TORRE_3B].[Tipo de Unidad].&amp;[UTIL]" c="UTIL"/>
            </range>
          </ranges>
        </level>
      </levels>
      <selections count="1">
        <selection n="[TORRE_3B].[Tipo de Unidad].[All]"/>
      </selections>
    </olap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oncepto" xr10:uid="{9B1028BE-62BD-4E09-82B8-AF2E9EEBA4AC}" sourceName="[DESISTIMIENTOS].[Concepto]">
  <pivotTables>
    <pivotTable tabId="64" name="TablaDinámica1"/>
  </pivotTables>
  <data>
    <olap pivotCacheId="1086877919">
      <levels count="2">
        <level uniqueName="[DESISTIMIENTOS].[Concepto].[(All)]" sourceCaption="(All)" count="0"/>
        <level uniqueName="[DESISTIMIENTOS].[Concepto].[Concepto]" sourceCaption="Concepto" count="7">
          <ranges>
            <range startItem="0">
              <i n="[DESISTIMIENTOS].[Concepto].&amp;" c="(en blanco)"/>
              <i n="[DESISTIMIENTOS].[Concepto].&amp;[CAMBIO EN EL PROYECTO]" c="CAMBIO EN EL PROYECTO"/>
              <i n="[DESISTIMIENTOS].[Concepto].&amp;[MORA MAYOR A 90 DIAS]" c="MORA MAYOR A 90 DIAS"/>
              <i n="[DESISTIMIENTOS].[Concepto].&amp;[OTROS]" c="OTROS"/>
              <i n="[DESISTIMIENTOS].[Concepto].&amp;[POR DESEMPLEO]" c="POR DESEMPLEO"/>
              <i n="[DESISTIMIENTOS].[Concepto].&amp;[PROBLEMAS ECONOMICOS]" c="PROBLEMAS ECONOMICOS"/>
              <i n="[DESISTIMIENTOS].[Concepto].&amp;[TRASLADO]" c="TRASLADO"/>
            </range>
          </ranges>
        </level>
      </levels>
      <selections count="5">
        <selection n="[DESISTIMIENTOS].[Concepto].&amp;[CAMBIO EN EL PROYECTO]"/>
        <selection n="[DESISTIMIENTOS].[Concepto].&amp;[MORA MAYOR A 90 DIAS]"/>
        <selection n="[DESISTIMIENTOS].[Concepto].&amp;[OTROS]"/>
        <selection n="[DESISTIMIENTOS].[Concepto].&amp;[POR DESEMPLEO]"/>
        <selection n="[DESISTIMIENTOS].[Concepto].&amp;[PROBLEMAS ECONOMICOS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DESISTIMIENTOS].[Concepto].[Concepto]" count="0"/>
      </x15:slicerCacheHideItemsWithNoData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de Unidad" xr10:uid="{DA82E2C9-B541-42C3-8C44-7310FAF7A714}" cache="SegmentaciónDeDatos_Tipo_de_Unidad" caption="Tipo de Unidad" columnCount="3" rowHeight="225425"/>
  <slicer name="Tipo de Unidad 1" xr10:uid="{E3DE1CB4-D3FA-4553-8B14-22AB63A55E51}" cache="SegmentaciónDeDatos_Tipo_de_Unidad1" caption="Tipo de Unidad" columnCount="3" rowHeight="225425"/>
  <slicer name="Tipo de Unidad 2" xr10:uid="{52E902FA-B16A-420E-9B97-81AA0BDE480A}" cache="SegmentaciónDeDatos_Tipo_de_Unidad2" caption="Tipo de Unidad" columnCount="3" rowHeight="225425"/>
  <slicer name="Tipo de Unidad 3" xr10:uid="{A8E200C1-6840-477F-B1D2-CD7F3246A2AE}" cache="SegmentaciónDeDatos_Tipo_de_Unidad3" caption="Tipo de Unidad" columnCount="4" rowHeight="225425"/>
  <slicer name="Tipo de Unidad 4" xr10:uid="{A541F99B-A618-4952-97C4-66881D1F1D75}" cache="SegmentaciónDeDatos_Tipo_de_Unidad4" caption="Tipo de Unidad" columnCount="3" level="1" rowHeight="22542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oncepto" xr10:uid="{5ED87C60-9AF0-4E3B-9B31-4A4C6BC39778}" cache="SegmentaciónDeDatos_Concepto" caption="Concepto" columnCount="7" level="1" style="Estilo de segmentación de datos 1" rowHeight="22542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9536E2C-20A2-4854-A06B-CCFE5E7B33D3}" name="Tabla1" displayName="Tabla1" ref="C3:G9" totalsRowShown="0" headerRowDxfId="18" dataDxfId="17">
  <autoFilter ref="C3:G9" xr:uid="{F9536E2C-20A2-4854-A06B-CCFE5E7B33D3}"/>
  <tableColumns count="5">
    <tableColumn id="1" xr3:uid="{B3EB7B87-C639-46EC-9B3D-BD5A4DA717EA}" name="PROYECTO" dataDxfId="16"/>
    <tableColumn id="2" xr3:uid="{7A326478-5E04-4549-A17E-6BDBD4AA1135}" name="# DESISTIMIENTO" dataDxfId="15"/>
    <tableColumn id="3" xr3:uid="{155E4F5A-398E-4B12-B6E4-62966AF3D780}" name="$DESISTIMIENTO TOTAL" dataDxfId="14" dataCellStyle="Millares"/>
    <tableColumn id="4" xr3:uid="{A941B8DB-A9C1-4308-BBFC-28B113D0FECB}" name="Total ventas" dataDxfId="13">
      <calculatedColumnFormula>A34</calculatedColumnFormula>
    </tableColumn>
    <tableColumn id="5" xr3:uid="{D0B4950E-BE42-4914-B830-E1421566F50B}" name="Unidades Brutas Inm. Ppales." dataDxfId="1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microsoft.com/office/2007/relationships/slicer" Target="../slicers/slicer1.xml"/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8.xml"/><Relationship Id="rId5" Type="http://schemas.microsoft.com/office/2007/relationships/slicer" Target="../slicers/slicer2.xml"/><Relationship Id="rId4" Type="http://schemas.openxmlformats.org/officeDocument/2006/relationships/table" Target="../tables/table1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9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Q63"/>
  <sheetViews>
    <sheetView topLeftCell="A3" zoomScaleNormal="100" workbookViewId="0">
      <selection activeCell="G5" sqref="G5"/>
    </sheetView>
  </sheetViews>
  <sheetFormatPr baseColWidth="10" defaultColWidth="0" defaultRowHeight="0" customHeight="1" zeroHeight="1" x14ac:dyDescent="0.25"/>
  <cols>
    <col min="1" max="1" width="2" style="153" customWidth="1"/>
    <col min="2" max="2" width="11.85546875" style="153" customWidth="1"/>
    <col min="3" max="3" width="21.42578125" style="153" customWidth="1"/>
    <col min="4" max="4" width="1.42578125" style="153" customWidth="1"/>
    <col min="5" max="5" width="23.85546875" style="153" customWidth="1"/>
    <col min="6" max="6" width="15.5703125" style="153" bestFit="1" customWidth="1"/>
    <col min="7" max="7" width="12.5703125" style="153" bestFit="1" customWidth="1"/>
    <col min="8" max="8" width="17.5703125" style="153" customWidth="1"/>
    <col min="9" max="9" width="10" style="153" bestFit="1" customWidth="1"/>
    <col min="10" max="10" width="1.5703125" style="153" customWidth="1"/>
    <col min="11" max="11" width="13.42578125" style="153" customWidth="1"/>
    <col min="12" max="12" width="19.5703125" style="153" customWidth="1"/>
    <col min="13" max="13" width="12.42578125" style="153" customWidth="1"/>
    <col min="14" max="17" width="0" style="153" hidden="1" customWidth="1"/>
    <col min="18" max="16384" width="1.42578125" style="153" hidden="1"/>
  </cols>
  <sheetData>
    <row r="1" spans="1:13" ht="15" x14ac:dyDescent="0.25">
      <c r="A1" s="151"/>
      <c r="B1" s="152"/>
      <c r="C1" s="151"/>
      <c r="D1" s="152"/>
      <c r="E1" s="152"/>
      <c r="F1" s="152"/>
      <c r="G1" s="152"/>
      <c r="H1" s="152"/>
      <c r="I1" s="152"/>
      <c r="J1" s="152"/>
      <c r="K1" s="152"/>
      <c r="L1" s="152"/>
      <c r="M1" s="152"/>
    </row>
    <row r="2" spans="1:13" ht="18.75" x14ac:dyDescent="0.3">
      <c r="A2" s="151"/>
      <c r="B2" s="152"/>
      <c r="C2" s="154"/>
      <c r="D2" s="152"/>
      <c r="E2" s="152"/>
      <c r="F2" s="511" t="s">
        <v>25</v>
      </c>
      <c r="G2" s="511" t="s">
        <v>820</v>
      </c>
      <c r="H2" s="511" t="s">
        <v>806</v>
      </c>
      <c r="I2" s="155" t="s">
        <v>807</v>
      </c>
      <c r="J2" s="152"/>
      <c r="K2" s="152"/>
      <c r="L2" s="152"/>
      <c r="M2" s="152"/>
    </row>
    <row r="3" spans="1:13" ht="14.25" customHeight="1" x14ac:dyDescent="0.3">
      <c r="A3" s="151"/>
      <c r="B3" s="152"/>
      <c r="C3" s="154"/>
      <c r="D3" s="152"/>
      <c r="E3" s="480" t="s">
        <v>808</v>
      </c>
      <c r="F3" s="477">
        <f>+'Resumen Consolidado'!D44</f>
        <v>621</v>
      </c>
      <c r="G3" s="481">
        <f>+F3/$F$3</f>
        <v>1</v>
      </c>
      <c r="H3" s="477">
        <f>++'Resumen Consolidado'!E65</f>
        <v>252941439.93399999</v>
      </c>
      <c r="I3" s="477">
        <f>+'Resumen Consolidado'!F44</f>
        <v>44457</v>
      </c>
      <c r="J3" s="158"/>
      <c r="K3" s="158"/>
      <c r="L3" s="158"/>
      <c r="M3" s="152"/>
    </row>
    <row r="4" spans="1:13" ht="20.25" customHeight="1" thickBot="1" x14ac:dyDescent="0.3">
      <c r="A4" s="151"/>
      <c r="B4" s="152"/>
      <c r="C4" s="151"/>
      <c r="D4" s="152"/>
      <c r="E4" s="480" t="s">
        <v>809</v>
      </c>
      <c r="F4" s="479">
        <f>+'Resumen Consolidado'!L44</f>
        <v>576</v>
      </c>
      <c r="G4" s="482">
        <f>+F4/F3</f>
        <v>0.92753623188405798</v>
      </c>
      <c r="H4" s="479">
        <f>+'Resumen Consolidado'!M65</f>
        <v>229656632.93400002</v>
      </c>
      <c r="I4" s="479">
        <f>+'Resumen Consolidado'!N44</f>
        <v>41085.62999999999</v>
      </c>
      <c r="J4" s="152"/>
      <c r="K4" s="152"/>
      <c r="L4" s="152"/>
      <c r="M4" s="152"/>
    </row>
    <row r="5" spans="1:13" ht="15.75" customHeight="1" x14ac:dyDescent="0.25">
      <c r="A5" s="151"/>
      <c r="B5" s="817" t="s">
        <v>0</v>
      </c>
      <c r="C5" s="817"/>
      <c r="D5" s="151"/>
      <c r="E5" s="476" t="s">
        <v>977</v>
      </c>
      <c r="F5" s="478">
        <f>+'Resumen Consolidado'!L39</f>
        <v>149</v>
      </c>
      <c r="G5" s="483">
        <f>+F5/$F$3</f>
        <v>0.23993558776167473</v>
      </c>
      <c r="H5" s="478">
        <f>+'Resumen Consolidado'!M58</f>
        <v>47595636.469000004</v>
      </c>
      <c r="I5" s="478">
        <f>+'Resumen Consolidado'!N39</f>
        <v>10427.739999999998</v>
      </c>
      <c r="J5" s="151"/>
      <c r="K5" s="151"/>
      <c r="L5" s="151"/>
      <c r="M5" s="151"/>
    </row>
    <row r="6" spans="1:13" ht="15.75" customHeight="1" x14ac:dyDescent="0.25">
      <c r="A6" s="151"/>
      <c r="B6" s="151"/>
      <c r="C6" s="159"/>
      <c r="D6" s="160"/>
      <c r="E6" s="476" t="s">
        <v>978</v>
      </c>
      <c r="F6" s="475">
        <f>+'Resumen Consolidado'!L40</f>
        <v>95</v>
      </c>
      <c r="G6" s="483">
        <f>+F6/$F$3</f>
        <v>0.1529790660225443</v>
      </c>
      <c r="H6" s="478">
        <f>+'Resumen Consolidado'!M59</f>
        <v>33133239.864999998</v>
      </c>
      <c r="I6" s="478">
        <f>+'Resumen Consolidado'!N40</f>
        <v>6898.739999999998</v>
      </c>
      <c r="J6" s="151"/>
      <c r="K6" s="151"/>
      <c r="L6" s="151"/>
      <c r="M6" s="151"/>
    </row>
    <row r="7" spans="1:13" ht="15.75" customHeight="1" x14ac:dyDescent="0.25">
      <c r="A7" s="151"/>
      <c r="B7" s="151"/>
      <c r="C7" s="159"/>
      <c r="D7" s="160"/>
      <c r="E7" s="476" t="s">
        <v>2658</v>
      </c>
      <c r="F7" s="478">
        <f>+'Resumen Consolidado'!L41</f>
        <v>116</v>
      </c>
      <c r="G7" s="483">
        <f t="shared" ref="G7:G9" si="0">+F7/$F$3</f>
        <v>0.18679549114331723</v>
      </c>
      <c r="H7" s="478">
        <f>+'Resumen Consolidado'!M60</f>
        <v>56624315.368000001</v>
      </c>
      <c r="I7" s="478">
        <f>+'Resumen Consolidado'!N41</f>
        <v>8385.5300000000025</v>
      </c>
      <c r="J7" s="151"/>
      <c r="K7" s="151"/>
      <c r="L7" s="151"/>
      <c r="M7" s="151"/>
    </row>
    <row r="8" spans="1:13" ht="15" x14ac:dyDescent="0.25">
      <c r="A8" s="151"/>
      <c r="B8" s="151"/>
      <c r="C8" s="151"/>
      <c r="D8" s="160"/>
      <c r="E8" s="476" t="s">
        <v>1219</v>
      </c>
      <c r="F8" s="475">
        <f>+'Resumen Consolidado'!L42</f>
        <v>133</v>
      </c>
      <c r="G8" s="483">
        <f t="shared" si="0"/>
        <v>0.214170692431562</v>
      </c>
      <c r="H8" s="478">
        <f>+'Resumen Consolidado'!M61</f>
        <v>53709572.947000004</v>
      </c>
      <c r="I8" s="478">
        <f>+'Resumen Consolidado'!N42</f>
        <v>9352.9199999999964</v>
      </c>
      <c r="J8" s="151"/>
      <c r="K8" s="151"/>
      <c r="L8" s="151"/>
      <c r="M8" s="151"/>
    </row>
    <row r="9" spans="1:13" ht="15" x14ac:dyDescent="0.25">
      <c r="A9" s="151"/>
      <c r="B9" s="151"/>
      <c r="C9" s="151"/>
      <c r="D9" s="151"/>
      <c r="E9" s="476" t="s">
        <v>1220</v>
      </c>
      <c r="F9" s="478">
        <f>+'Resumen Consolidado'!L43</f>
        <v>83</v>
      </c>
      <c r="G9" s="483">
        <f t="shared" si="0"/>
        <v>0.13365539452495975</v>
      </c>
      <c r="H9" s="478">
        <f>+'Resumen Consolidado'!M62</f>
        <v>38593868.285000004</v>
      </c>
      <c r="I9" s="478">
        <f>+'Resumen Consolidado'!N43</f>
        <v>6020.7</v>
      </c>
      <c r="J9" s="151"/>
      <c r="K9" s="151"/>
      <c r="L9" s="151"/>
      <c r="M9" s="151"/>
    </row>
    <row r="10" spans="1:13" ht="18.75" x14ac:dyDescent="0.25">
      <c r="A10" s="151"/>
      <c r="B10" s="818">
        <v>45900</v>
      </c>
      <c r="C10" s="818"/>
      <c r="D10" s="151"/>
      <c r="E10" s="151"/>
      <c r="F10" s="151"/>
      <c r="G10" s="151"/>
      <c r="H10" s="151"/>
      <c r="I10" s="151"/>
      <c r="J10" s="160"/>
      <c r="K10" s="160" t="s">
        <v>196</v>
      </c>
      <c r="L10" s="160"/>
      <c r="M10" s="160"/>
    </row>
    <row r="11" spans="1:13" ht="15" x14ac:dyDescent="0.25">
      <c r="A11" s="151"/>
      <c r="B11" s="151"/>
      <c r="C11" s="151"/>
      <c r="D11" s="151"/>
      <c r="E11" s="151"/>
      <c r="F11" s="151"/>
      <c r="G11" s="151"/>
      <c r="H11" s="151"/>
      <c r="I11" s="151"/>
      <c r="J11" s="160"/>
      <c r="K11" s="160"/>
      <c r="L11" s="160"/>
      <c r="M11" s="160"/>
    </row>
    <row r="12" spans="1:13" ht="15" x14ac:dyDescent="0.25">
      <c r="A12" s="151"/>
      <c r="B12" s="161"/>
      <c r="C12" s="160"/>
      <c r="D12" s="160"/>
      <c r="E12" s="151"/>
      <c r="F12" s="151"/>
      <c r="G12" s="151"/>
      <c r="H12" s="151"/>
      <c r="I12" s="160"/>
      <c r="J12" s="151"/>
      <c r="K12" s="151"/>
      <c r="L12" s="151"/>
      <c r="M12" s="151"/>
    </row>
    <row r="13" spans="1:13" ht="15" x14ac:dyDescent="0.25">
      <c r="A13" s="151"/>
      <c r="B13" s="151"/>
      <c r="C13" s="151"/>
      <c r="D13" s="151"/>
      <c r="E13" s="151"/>
      <c r="F13" s="151"/>
      <c r="G13" s="151"/>
      <c r="H13" s="151"/>
      <c r="I13" s="160"/>
      <c r="J13" s="151"/>
      <c r="K13" s="151"/>
      <c r="L13" s="151"/>
      <c r="M13" s="151"/>
    </row>
    <row r="14" spans="1:13" ht="15" x14ac:dyDescent="0.25">
      <c r="A14" s="151"/>
      <c r="B14" s="151"/>
      <c r="C14" s="151"/>
      <c r="D14" s="151"/>
      <c r="E14" s="156" t="s">
        <v>810</v>
      </c>
      <c r="F14" s="155" t="s">
        <v>131</v>
      </c>
      <c r="G14" s="155" t="s">
        <v>811</v>
      </c>
      <c r="H14" s="155" t="s">
        <v>844</v>
      </c>
      <c r="I14" s="151"/>
      <c r="J14" s="151"/>
      <c r="K14" s="151"/>
      <c r="L14" s="151"/>
      <c r="M14" s="151"/>
    </row>
    <row r="15" spans="1:13" ht="15" x14ac:dyDescent="0.25">
      <c r="A15" s="151"/>
      <c r="B15" s="151"/>
      <c r="C15" s="151"/>
      <c r="D15" s="151"/>
      <c r="E15" s="161"/>
      <c r="F15" s="157">
        <f>++'Resumen Consolidado'!Q44+'Resumen Consolidado'!S44</f>
        <v>81842029.157000005</v>
      </c>
      <c r="G15" s="157">
        <f>+'Resumen Consolidado'!R65</f>
        <v>31142851.776000001</v>
      </c>
      <c r="H15" s="157">
        <f>+'Resumen Consolidado'!Q56+'Resumen Consolidado'!S56</f>
        <v>1379217.1819999998</v>
      </c>
      <c r="I15" s="151"/>
      <c r="J15" s="151"/>
      <c r="K15" s="151"/>
      <c r="L15" s="151"/>
      <c r="M15" s="151"/>
    </row>
    <row r="16" spans="1:13" ht="15" x14ac:dyDescent="0.25">
      <c r="A16" s="151"/>
      <c r="B16" s="151"/>
      <c r="C16" s="151"/>
      <c r="D16" s="151"/>
      <c r="J16" s="151"/>
      <c r="K16" s="151"/>
      <c r="L16" s="151"/>
      <c r="M16" s="151"/>
    </row>
    <row r="17" spans="1:13" ht="15" x14ac:dyDescent="0.25">
      <c r="A17" s="151"/>
      <c r="B17" s="151"/>
      <c r="C17" s="151"/>
      <c r="D17" s="151"/>
      <c r="E17" s="161"/>
      <c r="F17" s="155" t="s">
        <v>812</v>
      </c>
      <c r="G17" s="155" t="s">
        <v>813</v>
      </c>
      <c r="H17" s="155" t="s">
        <v>814</v>
      </c>
      <c r="I17" s="155" t="s">
        <v>825</v>
      </c>
      <c r="J17" s="151"/>
      <c r="K17" s="151"/>
      <c r="L17" s="151"/>
      <c r="M17" s="151"/>
    </row>
    <row r="18" spans="1:13" ht="15" x14ac:dyDescent="0.25">
      <c r="A18" s="151"/>
      <c r="B18" s="151"/>
      <c r="C18" s="151"/>
      <c r="D18" s="151"/>
      <c r="E18" s="156" t="s">
        <v>815</v>
      </c>
      <c r="F18" s="157">
        <f>+'Resumen Consolidado'!W44</f>
        <v>113720669</v>
      </c>
      <c r="G18" s="157">
        <f>+'Resumen Consolidado'!X44</f>
        <v>95250878.599000007</v>
      </c>
      <c r="H18" s="157">
        <f>+'Resumen Consolidado'!Y44</f>
        <v>17346081.420000002</v>
      </c>
      <c r="I18" s="157">
        <f>+'Resumen Consolidado'!Z44</f>
        <v>1123710</v>
      </c>
      <c r="J18" s="151"/>
      <c r="K18" s="151"/>
      <c r="L18" s="151"/>
      <c r="M18" s="151"/>
    </row>
    <row r="19" spans="1:13" ht="15" x14ac:dyDescent="0.25">
      <c r="A19" s="151"/>
      <c r="B19" s="151"/>
      <c r="C19" s="151"/>
      <c r="D19" s="151"/>
      <c r="E19" s="156" t="s">
        <v>816</v>
      </c>
      <c r="F19" s="477">
        <f>+'Resumen Consolidado'!W56</f>
        <v>1571863</v>
      </c>
      <c r="G19" s="477">
        <f>+'Resumen Consolidado'!X56</f>
        <v>0</v>
      </c>
      <c r="H19" s="477">
        <f>+'Resumen Consolidado'!Y56</f>
        <v>942137.49399999995</v>
      </c>
      <c r="I19" s="477">
        <f>+'Resumen Consolidado'!Z56</f>
        <v>629726</v>
      </c>
      <c r="J19" s="151"/>
      <c r="K19" s="151"/>
      <c r="L19" s="151"/>
      <c r="M19" s="151"/>
    </row>
    <row r="20" spans="1:13" ht="15.75" thickBot="1" x14ac:dyDescent="0.3">
      <c r="A20" s="151"/>
      <c r="B20" s="151"/>
      <c r="C20" s="151"/>
      <c r="D20" s="151"/>
      <c r="E20" s="156" t="s">
        <v>826</v>
      </c>
      <c r="F20" s="479">
        <f>SUM(F18:F19)</f>
        <v>115292532</v>
      </c>
      <c r="G20" s="479">
        <f t="shared" ref="G20:I20" si="1">SUM(G18:G19)</f>
        <v>95250878.599000007</v>
      </c>
      <c r="H20" s="479">
        <f t="shared" si="1"/>
        <v>18288218.914000001</v>
      </c>
      <c r="I20" s="479">
        <f t="shared" si="1"/>
        <v>1753436</v>
      </c>
      <c r="J20" s="151"/>
      <c r="K20" s="151"/>
      <c r="L20" s="151"/>
      <c r="M20" s="151"/>
    </row>
    <row r="21" spans="1:13" ht="15" x14ac:dyDescent="0.25">
      <c r="A21" s="151"/>
      <c r="B21" s="151"/>
      <c r="C21" s="151"/>
      <c r="D21" s="151"/>
      <c r="E21" s="151"/>
      <c r="F21" s="151"/>
      <c r="G21" s="510">
        <f>+G20/$F$20</f>
        <v>0.82616694200973928</v>
      </c>
      <c r="H21" s="510">
        <f>+H20/$F$20</f>
        <v>0.15862448847944463</v>
      </c>
      <c r="I21" s="510">
        <f>+I20/$F$20</f>
        <v>1.5208582633955858E-2</v>
      </c>
      <c r="J21" s="151"/>
      <c r="K21" s="151"/>
      <c r="L21" s="151"/>
      <c r="M21" s="151"/>
    </row>
    <row r="22" spans="1:13" ht="15" x14ac:dyDescent="0.25">
      <c r="A22" s="151"/>
      <c r="B22" s="151"/>
      <c r="C22" s="151"/>
      <c r="D22" s="151"/>
      <c r="K22" s="151"/>
      <c r="L22" s="151"/>
      <c r="M22" s="151"/>
    </row>
    <row r="23" spans="1:13" ht="15.75" x14ac:dyDescent="0.25">
      <c r="A23" s="151"/>
      <c r="B23" s="151"/>
      <c r="C23" s="151"/>
      <c r="D23" s="151"/>
      <c r="E23" s="162" t="s">
        <v>817</v>
      </c>
      <c r="F23" s="163" t="s">
        <v>37</v>
      </c>
      <c r="G23" s="163" t="s">
        <v>818</v>
      </c>
      <c r="H23" s="163" t="s">
        <v>819</v>
      </c>
      <c r="I23" s="163" t="s">
        <v>820</v>
      </c>
      <c r="J23" s="151"/>
      <c r="K23" s="151"/>
      <c r="L23" s="151"/>
      <c r="M23" s="151"/>
    </row>
    <row r="24" spans="1:13" ht="15" x14ac:dyDescent="0.25">
      <c r="A24" s="151"/>
      <c r="B24" s="151"/>
      <c r="C24" s="151"/>
      <c r="D24" s="151"/>
      <c r="E24" s="164"/>
      <c r="F24" s="165" t="s">
        <v>854</v>
      </c>
      <c r="G24" s="166">
        <f>+SUM('Resumen Consolidado'!M68:M72)</f>
        <v>415579.011</v>
      </c>
      <c r="H24" s="166">
        <f>+SUM('Resumen Consolidado'!U68:U72)+1</f>
        <v>344872</v>
      </c>
      <c r="I24" s="167">
        <f>IFERROR(+H24/G24,0)</f>
        <v>0.82985904213531125</v>
      </c>
      <c r="J24" s="151"/>
      <c r="K24" s="151"/>
      <c r="L24" s="151"/>
      <c r="M24" s="151"/>
    </row>
    <row r="25" spans="1:13" ht="15" x14ac:dyDescent="0.25">
      <c r="A25" s="151"/>
      <c r="B25" s="151"/>
      <c r="C25" s="151"/>
      <c r="D25" s="151"/>
      <c r="E25" s="164"/>
      <c r="F25" s="165" t="s">
        <v>1593</v>
      </c>
      <c r="G25" s="166">
        <f>+'Resumen Consolidado'!M81+'Resumen Consolidado'!E78+'Resumen Consolidado'!E79</f>
        <v>121860.386</v>
      </c>
      <c r="H25" s="166">
        <f>+'Resumen Consolidado'!U81+'Resumen Consolidado'!U78+'Resumen Consolidado'!U79</f>
        <v>121860</v>
      </c>
      <c r="I25" s="167">
        <f>IFERROR(+H25/G25,0)</f>
        <v>0.9999968324406916</v>
      </c>
      <c r="J25" s="151"/>
      <c r="K25" s="151"/>
      <c r="L25" s="151"/>
      <c r="M25" s="151"/>
    </row>
    <row r="26" spans="1:13" ht="15" hidden="1" x14ac:dyDescent="0.25">
      <c r="A26" s="151"/>
      <c r="B26" s="151"/>
      <c r="C26" s="151"/>
      <c r="D26" s="151"/>
      <c r="E26" s="164"/>
      <c r="F26" s="165" t="s">
        <v>823</v>
      </c>
      <c r="G26" s="166">
        <f>SUM('Resumen Consolidado'!M74:M75)</f>
        <v>42714.101000000002</v>
      </c>
      <c r="H26" s="166">
        <f>SUM('Resumen Consolidado'!U74:U75)</f>
        <v>27694</v>
      </c>
      <c r="I26" s="167">
        <f t="shared" ref="I26:I29" si="2">IFERROR(+H26/G26,0)</f>
        <v>0.64835731881609771</v>
      </c>
      <c r="J26" s="151"/>
      <c r="K26" s="151"/>
      <c r="L26" s="151"/>
      <c r="M26" s="151"/>
    </row>
    <row r="27" spans="1:13" ht="18.75" x14ac:dyDescent="0.3">
      <c r="A27" s="151"/>
      <c r="B27" s="161"/>
      <c r="C27" s="168"/>
      <c r="D27" s="168"/>
      <c r="E27" s="164"/>
      <c r="F27" s="165" t="s">
        <v>824</v>
      </c>
      <c r="G27" s="166">
        <f>'Resumen Consolidado'!M75+'Resumen Consolidado'!M76+'Resumen Consolidado'!M77</f>
        <v>71881.275000000009</v>
      </c>
      <c r="H27" s="166">
        <f>'Resumen Consolidado'!U75+'Resumen Consolidado'!U76+'Resumen Consolidado'!U77</f>
        <v>45808</v>
      </c>
      <c r="I27" s="167">
        <f t="shared" si="2"/>
        <v>0.6372730589433756</v>
      </c>
      <c r="J27" s="151"/>
      <c r="K27" s="151"/>
      <c r="L27" s="151"/>
      <c r="M27" s="151"/>
    </row>
    <row r="28" spans="1:13" ht="15" hidden="1" x14ac:dyDescent="0.25">
      <c r="A28" s="151"/>
      <c r="B28" s="151"/>
      <c r="C28" s="151"/>
      <c r="D28" s="151"/>
      <c r="E28" s="152"/>
      <c r="F28" s="165" t="s">
        <v>821</v>
      </c>
      <c r="G28" s="166"/>
      <c r="H28" s="166"/>
      <c r="I28" s="167">
        <f t="shared" si="2"/>
        <v>0</v>
      </c>
      <c r="J28" s="151"/>
      <c r="K28" s="151"/>
      <c r="L28" s="151"/>
      <c r="M28" s="151"/>
    </row>
    <row r="29" spans="1:13" ht="15" x14ac:dyDescent="0.25">
      <c r="A29" s="151"/>
      <c r="B29" s="151"/>
      <c r="C29" s="151"/>
      <c r="D29" s="151"/>
      <c r="E29" s="160"/>
      <c r="F29" s="165" t="s">
        <v>822</v>
      </c>
      <c r="G29" s="166">
        <f>+'Resumen Consolidado'!M73+'Resumen Consolidado'!E74</f>
        <v>19678.268</v>
      </c>
      <c r="H29" s="166">
        <f>+'Resumen Consolidado'!U73+'Resumen Consolidado'!U74</f>
        <v>14708</v>
      </c>
      <c r="I29" s="167">
        <f t="shared" si="2"/>
        <v>0.7474235029221068</v>
      </c>
      <c r="J29" s="151"/>
      <c r="K29" s="151"/>
      <c r="L29" s="151"/>
      <c r="M29" s="151"/>
    </row>
    <row r="30" spans="1:13" ht="15" x14ac:dyDescent="0.25">
      <c r="A30" s="151"/>
      <c r="B30" s="151"/>
      <c r="C30" s="151"/>
      <c r="D30" s="151"/>
      <c r="E30" s="160"/>
      <c r="F30" s="160"/>
      <c r="G30" s="160"/>
      <c r="H30" s="160"/>
      <c r="I30" s="160"/>
      <c r="J30" s="160"/>
      <c r="K30" s="151"/>
      <c r="L30" s="151"/>
      <c r="M30" s="151"/>
    </row>
    <row r="31" spans="1:13" ht="15" x14ac:dyDescent="0.25">
      <c r="A31" s="151"/>
      <c r="B31" s="151"/>
      <c r="C31" s="151"/>
      <c r="D31" s="151"/>
      <c r="E31" s="160"/>
      <c r="F31" s="160"/>
      <c r="G31" s="160"/>
      <c r="H31" s="160"/>
      <c r="I31" s="160"/>
      <c r="J31" s="160"/>
      <c r="K31" s="151"/>
      <c r="L31" s="151"/>
      <c r="M31" s="151"/>
    </row>
    <row r="32" spans="1:13" ht="15" hidden="1" x14ac:dyDescent="0.25">
      <c r="A32" s="151"/>
      <c r="B32" s="151"/>
      <c r="C32" s="151"/>
      <c r="D32" s="151"/>
      <c r="E32" s="160"/>
      <c r="F32" s="160"/>
      <c r="G32" s="160"/>
      <c r="H32" s="160"/>
      <c r="I32" s="160"/>
      <c r="J32" s="160"/>
      <c r="K32" s="151"/>
      <c r="L32" s="151"/>
      <c r="M32" s="151"/>
    </row>
    <row r="33" spans="1:13" ht="15" hidden="1" x14ac:dyDescent="0.25">
      <c r="A33" s="151"/>
      <c r="B33" s="151"/>
      <c r="C33" s="151"/>
      <c r="D33" s="151"/>
      <c r="E33" s="160"/>
      <c r="F33" s="160"/>
      <c r="G33" s="160"/>
      <c r="H33" s="160"/>
      <c r="I33" s="160"/>
      <c r="J33" s="160"/>
      <c r="K33" s="160"/>
      <c r="L33" s="160"/>
      <c r="M33" s="160"/>
    </row>
    <row r="34" spans="1:13" ht="15" hidden="1" x14ac:dyDescent="0.25">
      <c r="A34" s="151"/>
      <c r="B34" s="151"/>
      <c r="C34" s="151"/>
      <c r="D34" s="151"/>
      <c r="E34" s="151"/>
      <c r="F34" s="151"/>
      <c r="G34" s="151"/>
      <c r="H34" s="151"/>
      <c r="I34" s="151"/>
      <c r="J34" s="151"/>
      <c r="K34" s="151"/>
      <c r="L34" s="151"/>
      <c r="M34" s="151"/>
    </row>
    <row r="35" spans="1:13" ht="15" hidden="1" x14ac:dyDescent="0.25">
      <c r="A35" s="151"/>
      <c r="B35" s="151"/>
      <c r="C35" s="151"/>
      <c r="D35" s="151"/>
      <c r="E35" s="151"/>
      <c r="F35" s="151"/>
      <c r="G35" s="151"/>
      <c r="H35" s="151"/>
      <c r="I35" s="151"/>
      <c r="J35" s="151"/>
      <c r="K35" s="151"/>
      <c r="L35" s="151"/>
      <c r="M35" s="151"/>
    </row>
    <row r="36" spans="1:13" ht="15" hidden="1" x14ac:dyDescent="0.25">
      <c r="A36" s="151"/>
      <c r="B36" s="151"/>
      <c r="C36" s="151"/>
      <c r="D36" s="151"/>
      <c r="E36" s="151"/>
      <c r="F36" s="151"/>
      <c r="G36" s="151"/>
      <c r="H36" s="151"/>
      <c r="I36" s="151"/>
      <c r="J36" s="151"/>
      <c r="K36" s="151"/>
      <c r="L36" s="151"/>
      <c r="M36" s="151"/>
    </row>
    <row r="37" spans="1:13" ht="15" hidden="1" x14ac:dyDescent="0.25">
      <c r="A37" s="151"/>
      <c r="B37" s="151"/>
      <c r="C37" s="151"/>
      <c r="D37" s="151"/>
      <c r="E37" s="151"/>
      <c r="G37" s="151"/>
      <c r="H37" s="151"/>
      <c r="I37" s="151"/>
      <c r="J37" s="151"/>
      <c r="K37" s="151"/>
      <c r="L37" s="151"/>
      <c r="M37" s="151"/>
    </row>
    <row r="38" spans="1:13" ht="15" hidden="1" x14ac:dyDescent="0.25">
      <c r="A38" s="151"/>
      <c r="B38" s="151"/>
      <c r="C38" s="151"/>
      <c r="D38" s="151"/>
      <c r="E38" s="151"/>
      <c r="F38" s="151"/>
      <c r="G38" s="151"/>
      <c r="H38" s="151"/>
      <c r="I38" s="151"/>
      <c r="J38" s="151"/>
      <c r="K38" s="151"/>
      <c r="L38" s="151"/>
      <c r="M38" s="151"/>
    </row>
    <row r="39" spans="1:13" ht="15" hidden="1" x14ac:dyDescent="0.25">
      <c r="A39" s="151"/>
      <c r="B39" s="151"/>
      <c r="C39" s="151"/>
      <c r="D39" s="151"/>
      <c r="E39" s="151"/>
      <c r="F39" s="151"/>
      <c r="G39" s="151"/>
      <c r="H39" s="151"/>
      <c r="I39" s="151"/>
      <c r="J39" s="151"/>
      <c r="K39" s="151"/>
      <c r="L39" s="151"/>
      <c r="M39" s="151"/>
    </row>
    <row r="40" spans="1:13" ht="15" hidden="1" x14ac:dyDescent="0.25">
      <c r="B40" s="151"/>
      <c r="C40" s="151"/>
      <c r="D40" s="151"/>
      <c r="E40" s="151"/>
      <c r="F40" s="151"/>
      <c r="G40" s="151"/>
      <c r="H40" s="151"/>
      <c r="I40" s="151"/>
      <c r="J40" s="151"/>
      <c r="K40" s="151"/>
      <c r="L40" s="151"/>
      <c r="M40" s="151"/>
    </row>
    <row r="41" spans="1:13" ht="15" hidden="1" x14ac:dyDescent="0.25">
      <c r="B41" s="151"/>
      <c r="C41" s="151"/>
      <c r="D41" s="151"/>
      <c r="E41" s="151"/>
      <c r="F41" s="151"/>
      <c r="G41" s="151"/>
      <c r="H41" s="151"/>
      <c r="I41" s="151"/>
      <c r="J41" s="151"/>
      <c r="K41" s="151"/>
      <c r="L41" s="151"/>
      <c r="M41" s="151"/>
    </row>
    <row r="42" spans="1:13" ht="15" hidden="1" x14ac:dyDescent="0.25">
      <c r="E42" s="151"/>
      <c r="F42" s="151"/>
      <c r="G42" s="151"/>
      <c r="H42" s="151"/>
      <c r="I42" s="151"/>
    </row>
    <row r="43" spans="1:13" ht="15" hidden="1" x14ac:dyDescent="0.25">
      <c r="E43" s="151"/>
      <c r="F43" s="151"/>
      <c r="G43" s="151"/>
      <c r="H43" s="151"/>
      <c r="I43" s="151"/>
    </row>
    <row r="44" spans="1:13" ht="15" hidden="1" x14ac:dyDescent="0.25"/>
    <row r="45" spans="1:13" ht="15" hidden="1" x14ac:dyDescent="0.25"/>
    <row r="46" spans="1:13" ht="15" hidden="1" x14ac:dyDescent="0.25"/>
    <row r="47" spans="1:13" ht="15" hidden="1" x14ac:dyDescent="0.25"/>
    <row r="48" spans="1:13" ht="15" hidden="1" x14ac:dyDescent="0.25"/>
    <row r="49" ht="15" hidden="1" x14ac:dyDescent="0.25"/>
    <row r="50" ht="15" hidden="1" x14ac:dyDescent="0.25"/>
    <row r="51" ht="15" hidden="1" x14ac:dyDescent="0.25"/>
    <row r="52" ht="15" hidden="1" x14ac:dyDescent="0.25"/>
    <row r="53" ht="15" hidden="1" x14ac:dyDescent="0.25"/>
    <row r="54" ht="15" hidden="1" x14ac:dyDescent="0.25"/>
    <row r="55" ht="15" hidden="1" x14ac:dyDescent="0.25"/>
    <row r="56" ht="15" hidden="1" x14ac:dyDescent="0.25"/>
    <row r="57" ht="15" hidden="1" x14ac:dyDescent="0.25"/>
    <row r="58" ht="15" hidden="1" x14ac:dyDescent="0.25"/>
    <row r="59" ht="15" hidden="1" x14ac:dyDescent="0.25"/>
    <row r="60" ht="15" hidden="1" x14ac:dyDescent="0.25"/>
    <row r="61" ht="15" hidden="1" x14ac:dyDescent="0.25"/>
    <row r="62" ht="15" hidden="1" customHeight="1" x14ac:dyDescent="0.25"/>
    <row r="63" ht="15" hidden="1" customHeight="1" x14ac:dyDescent="0.25"/>
  </sheetData>
  <mergeCells count="2">
    <mergeCell ref="B5:C5"/>
    <mergeCell ref="B10:C10"/>
  </mergeCells>
  <printOptions horizontalCentered="1" verticalCentered="1"/>
  <pageMargins left="0.51181102362204722" right="0.51181102362204722" top="0.55118110236220474" bottom="0.55118110236220474" header="0.31496062992125984" footer="0.31496062992125984"/>
  <pageSetup scale="8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AF118"/>
  <sheetViews>
    <sheetView showGridLines="0" zoomScaleNormal="100" workbookViewId="0">
      <pane xSplit="2" ySplit="6" topLeftCell="R31" activePane="bottomRight" state="frozen"/>
      <selection activeCell="B9" sqref="B9:C9"/>
      <selection pane="topRight" activeCell="B9" sqref="B9:C9"/>
      <selection pane="bottomLeft" activeCell="B9" sqref="B9:C9"/>
      <selection pane="bottomRight" activeCell="AE41" sqref="AE41"/>
    </sheetView>
  </sheetViews>
  <sheetFormatPr baseColWidth="10" defaultColWidth="0" defaultRowHeight="12.75" x14ac:dyDescent="0.2"/>
  <cols>
    <col min="1" max="1" width="0.85546875" style="192" customWidth="1"/>
    <col min="2" max="2" width="23.5703125" style="188" customWidth="1"/>
    <col min="3" max="3" width="0.85546875" style="188" customWidth="1"/>
    <col min="4" max="4" width="7.42578125" style="188" bestFit="1" customWidth="1"/>
    <col min="5" max="5" width="15" style="188" bestFit="1" customWidth="1"/>
    <col min="6" max="6" width="8.5703125" style="188" bestFit="1" customWidth="1"/>
    <col min="7" max="7" width="0.140625" style="188" customWidth="1"/>
    <col min="8" max="8" width="7.140625" style="230" bestFit="1" customWidth="1"/>
    <col min="9" max="9" width="16.5703125" style="230" bestFit="1" customWidth="1"/>
    <col min="10" max="10" width="7.85546875" style="230" bestFit="1" customWidth="1"/>
    <col min="11" max="11" width="0.85546875" style="230" customWidth="1"/>
    <col min="12" max="12" width="7.42578125" style="233" bestFit="1" customWidth="1"/>
    <col min="13" max="13" width="15" style="230" customWidth="1"/>
    <col min="14" max="14" width="7.85546875" style="230" bestFit="1" customWidth="1"/>
    <col min="15" max="15" width="0.5703125" style="230" customWidth="1"/>
    <col min="16" max="16" width="0.140625" style="230" customWidth="1"/>
    <col min="17" max="17" width="15" style="230" customWidth="1"/>
    <col min="18" max="18" width="14.5703125" style="230" customWidth="1"/>
    <col min="19" max="19" width="14.42578125" style="230" bestFit="1" customWidth="1"/>
    <col min="20" max="20" width="7.140625" style="230" hidden="1" customWidth="1"/>
    <col min="21" max="21" width="15" style="230" bestFit="1" customWidth="1"/>
    <col min="22" max="22" width="0.85546875" style="230" customWidth="1"/>
    <col min="23" max="23" width="16" style="230" bestFit="1" customWidth="1"/>
    <col min="24" max="24" width="19.140625" style="230" bestFit="1" customWidth="1"/>
    <col min="25" max="25" width="13.85546875" style="230" customWidth="1"/>
    <col min="26" max="27" width="13.42578125" style="188" bestFit="1" customWidth="1"/>
    <col min="28" max="29" width="12.42578125" style="188" bestFit="1" customWidth="1"/>
    <col min="30" max="30" width="12.85546875" style="188" bestFit="1" customWidth="1"/>
    <col min="31" max="31" width="3.5703125" style="188" customWidth="1"/>
    <col min="32" max="32" width="11.42578125" style="192" customWidth="1"/>
    <col min="33" max="16384" width="11.42578125" style="192" hidden="1"/>
  </cols>
  <sheetData>
    <row r="1" spans="1:31" s="177" customFormat="1" ht="18.75" x14ac:dyDescent="0.2">
      <c r="A1" s="174"/>
      <c r="B1" s="175"/>
      <c r="C1" s="176"/>
      <c r="D1" s="819" t="s">
        <v>1</v>
      </c>
      <c r="E1" s="820"/>
      <c r="F1" s="820"/>
      <c r="G1" s="820"/>
      <c r="H1" s="820"/>
      <c r="I1" s="820"/>
      <c r="J1" s="820"/>
      <c r="K1" s="820"/>
      <c r="L1" s="820"/>
      <c r="M1" s="820"/>
      <c r="N1" s="820"/>
      <c r="O1" s="820"/>
      <c r="P1" s="820"/>
      <c r="Q1" s="820"/>
      <c r="R1" s="820"/>
      <c r="S1" s="820"/>
      <c r="T1" s="820"/>
      <c r="U1" s="820"/>
      <c r="V1" s="820"/>
      <c r="W1" s="820"/>
      <c r="X1" s="820"/>
      <c r="Y1" s="820"/>
      <c r="Z1" s="820"/>
      <c r="AA1" s="820"/>
      <c r="AB1" s="820"/>
      <c r="AC1" s="820"/>
      <c r="AD1" s="820"/>
      <c r="AE1" s="176"/>
    </row>
    <row r="2" spans="1:31" s="181" customFormat="1" ht="21" x14ac:dyDescent="0.2">
      <c r="A2" s="178"/>
      <c r="B2" s="179"/>
      <c r="C2" s="180"/>
      <c r="D2" s="820"/>
      <c r="E2" s="820"/>
      <c r="F2" s="820"/>
      <c r="G2" s="820"/>
      <c r="H2" s="820"/>
      <c r="I2" s="820"/>
      <c r="J2" s="820"/>
      <c r="K2" s="820"/>
      <c r="L2" s="820"/>
      <c r="M2" s="820"/>
      <c r="N2" s="820"/>
      <c r="O2" s="820"/>
      <c r="P2" s="820"/>
      <c r="Q2" s="820"/>
      <c r="R2" s="820"/>
      <c r="S2" s="820"/>
      <c r="T2" s="820"/>
      <c r="U2" s="820"/>
      <c r="V2" s="820"/>
      <c r="W2" s="820"/>
      <c r="X2" s="820"/>
      <c r="Y2" s="820"/>
      <c r="Z2" s="820"/>
      <c r="AA2" s="820"/>
      <c r="AB2" s="820"/>
      <c r="AC2" s="820"/>
      <c r="AD2" s="820"/>
      <c r="AE2" s="180"/>
    </row>
    <row r="3" spans="1:31" s="177" customFormat="1" ht="18.75" x14ac:dyDescent="0.2">
      <c r="A3" s="174"/>
      <c r="B3" s="182"/>
      <c r="C3" s="176"/>
      <c r="D3" s="183"/>
      <c r="E3" s="821">
        <f>+'Datos globales '!B10</f>
        <v>45900</v>
      </c>
      <c r="F3" s="821"/>
      <c r="G3" s="821"/>
      <c r="H3" s="821"/>
      <c r="I3" s="821"/>
      <c r="J3" s="821"/>
      <c r="K3" s="821"/>
      <c r="L3" s="821"/>
      <c r="M3" s="821"/>
      <c r="N3" s="821"/>
      <c r="O3" s="821"/>
      <c r="P3" s="821"/>
      <c r="Q3" s="821"/>
      <c r="R3" s="821"/>
      <c r="S3" s="821"/>
      <c r="T3" s="821"/>
      <c r="U3" s="821"/>
      <c r="V3" s="821"/>
      <c r="W3" s="821"/>
      <c r="X3" s="821"/>
      <c r="Y3" s="821"/>
      <c r="Z3" s="821"/>
      <c r="AA3" s="821"/>
      <c r="AB3" s="184"/>
      <c r="AC3" s="183"/>
      <c r="AD3" s="183"/>
      <c r="AE3" s="176"/>
    </row>
    <row r="4" spans="1:31" s="177" customFormat="1" ht="6.75" customHeight="1" x14ac:dyDescent="0.2">
      <c r="A4" s="174"/>
      <c r="B4" s="185"/>
      <c r="C4" s="176"/>
      <c r="D4" s="182"/>
      <c r="E4" s="182"/>
      <c r="F4" s="182"/>
      <c r="G4" s="176"/>
      <c r="H4" s="182"/>
      <c r="I4" s="182"/>
      <c r="J4" s="182"/>
      <c r="K4" s="176"/>
      <c r="L4" s="182"/>
      <c r="M4" s="182"/>
      <c r="N4" s="182"/>
      <c r="O4" s="182"/>
      <c r="P4" s="186"/>
      <c r="Q4" s="182"/>
      <c r="R4" s="182"/>
      <c r="S4" s="182"/>
      <c r="T4" s="182"/>
      <c r="U4" s="182"/>
      <c r="V4" s="176"/>
      <c r="W4" s="182"/>
      <c r="X4" s="182"/>
      <c r="Y4" s="182"/>
      <c r="Z4" s="182"/>
      <c r="AA4" s="182"/>
      <c r="AB4" s="182"/>
      <c r="AC4" s="182"/>
      <c r="AD4" s="182"/>
      <c r="AE4" s="176"/>
    </row>
    <row r="5" spans="1:31" ht="15.75" customHeight="1" x14ac:dyDescent="0.2">
      <c r="A5" s="187"/>
      <c r="B5" s="187"/>
      <c r="D5" s="822" t="s">
        <v>2</v>
      </c>
      <c r="E5" s="822"/>
      <c r="F5" s="822"/>
      <c r="H5" s="822" t="s">
        <v>3</v>
      </c>
      <c r="I5" s="822"/>
      <c r="J5" s="822"/>
      <c r="K5" s="188"/>
      <c r="L5" s="822" t="s">
        <v>4</v>
      </c>
      <c r="M5" s="822"/>
      <c r="N5" s="822"/>
      <c r="O5" s="187"/>
      <c r="P5" s="189"/>
      <c r="Q5" s="187"/>
      <c r="R5" s="187"/>
      <c r="S5" s="187"/>
      <c r="T5" s="187"/>
      <c r="U5" s="187"/>
      <c r="V5" s="188"/>
      <c r="W5" s="190" t="s">
        <v>5</v>
      </c>
      <c r="X5" s="190"/>
      <c r="Y5" s="187"/>
      <c r="Z5" s="187"/>
      <c r="AA5" s="187"/>
      <c r="AB5" s="187"/>
      <c r="AC5" s="187"/>
      <c r="AD5" s="187"/>
      <c r="AE5" s="191"/>
    </row>
    <row r="6" spans="1:31" ht="25.5" x14ac:dyDescent="0.2">
      <c r="A6" s="187"/>
      <c r="B6" s="193" t="s">
        <v>799</v>
      </c>
      <c r="D6" s="169" t="s">
        <v>6</v>
      </c>
      <c r="E6" s="169" t="s">
        <v>7</v>
      </c>
      <c r="F6" s="170" t="s">
        <v>8</v>
      </c>
      <c r="H6" s="169" t="s">
        <v>6</v>
      </c>
      <c r="I6" s="169" t="s">
        <v>9</v>
      </c>
      <c r="J6" s="170" t="s">
        <v>8</v>
      </c>
      <c r="K6" s="188"/>
      <c r="L6" s="169" t="s">
        <v>6</v>
      </c>
      <c r="M6" s="169" t="s">
        <v>10</v>
      </c>
      <c r="N6" s="170" t="s">
        <v>8</v>
      </c>
      <c r="O6" s="187"/>
      <c r="P6" s="189"/>
      <c r="Q6" s="169" t="s">
        <v>11</v>
      </c>
      <c r="R6" s="169" t="s">
        <v>801</v>
      </c>
      <c r="S6" s="169" t="s">
        <v>12</v>
      </c>
      <c r="T6" s="169" t="s">
        <v>66</v>
      </c>
      <c r="U6" s="169" t="s">
        <v>13</v>
      </c>
      <c r="V6" s="194"/>
      <c r="W6" s="169" t="s">
        <v>14</v>
      </c>
      <c r="X6" s="169" t="s">
        <v>802</v>
      </c>
      <c r="Y6" s="169" t="s">
        <v>15</v>
      </c>
      <c r="Z6" s="169" t="s">
        <v>16</v>
      </c>
      <c r="AA6" s="169" t="s">
        <v>17</v>
      </c>
      <c r="AB6" s="169" t="s">
        <v>858</v>
      </c>
      <c r="AC6" s="169" t="s">
        <v>19</v>
      </c>
      <c r="AD6" s="169" t="s">
        <v>20</v>
      </c>
      <c r="AE6" s="191"/>
    </row>
    <row r="7" spans="1:31" ht="3" customHeight="1" x14ac:dyDescent="0.2">
      <c r="A7" s="188"/>
      <c r="D7" s="195"/>
      <c r="E7" s="195"/>
      <c r="F7" s="196"/>
      <c r="H7" s="195"/>
      <c r="I7" s="195"/>
      <c r="J7" s="196"/>
      <c r="K7" s="188"/>
      <c r="L7" s="195"/>
      <c r="M7" s="195"/>
      <c r="N7" s="196"/>
      <c r="O7" s="188"/>
      <c r="P7" s="189"/>
      <c r="Q7" s="197"/>
      <c r="R7" s="197"/>
      <c r="S7" s="198"/>
      <c r="T7" s="198"/>
      <c r="U7" s="197"/>
      <c r="V7" s="194"/>
      <c r="W7" s="195"/>
      <c r="X7" s="195"/>
      <c r="Y7" s="195"/>
      <c r="Z7" s="195"/>
      <c r="AA7" s="195"/>
      <c r="AB7" s="195"/>
      <c r="AC7" s="195"/>
      <c r="AD7" s="195"/>
      <c r="AE7" s="191"/>
    </row>
    <row r="8" spans="1:31" s="204" customFormat="1" ht="15" x14ac:dyDescent="0.2">
      <c r="A8" s="199"/>
      <c r="B8" s="200" t="s">
        <v>941</v>
      </c>
      <c r="C8" s="188"/>
      <c r="D8" s="171">
        <f>+H8+L8</f>
        <v>149</v>
      </c>
      <c r="E8" s="171">
        <f>ROUND(+I8+M8,0)</f>
        <v>43200619</v>
      </c>
      <c r="F8" s="172">
        <f>ROUND(J8+N8,0)</f>
        <v>10428</v>
      </c>
      <c r="G8" s="173"/>
      <c r="H8" s="171">
        <f>+Inventario!C13</f>
        <v>0</v>
      </c>
      <c r="I8" s="171">
        <f>+Inventario!E13/1000</f>
        <v>0</v>
      </c>
      <c r="J8" s="172">
        <f>+Inventario!D13</f>
        <v>0</v>
      </c>
      <c r="K8" s="173"/>
      <c r="L8" s="171">
        <f>+'Detalle Inmueble'!C5</f>
        <v>149</v>
      </c>
      <c r="M8" s="171">
        <f>+'Detalle Inmueble'!E5/1000</f>
        <v>43200619.093000002</v>
      </c>
      <c r="N8" s="172">
        <f>+'Detalle Inmueble'!D5</f>
        <v>10427.739999999998</v>
      </c>
      <c r="O8" s="201"/>
      <c r="P8" s="189"/>
      <c r="Q8" s="171">
        <f>+Recaud!B6/1000+Recaud!B7/1000</f>
        <v>26542382.381000001</v>
      </c>
      <c r="R8" s="171">
        <f>+Recaud!B8/1000</f>
        <v>19139986.524</v>
      </c>
      <c r="S8" s="171">
        <f>16074747/1000</f>
        <v>16074.746999999999</v>
      </c>
      <c r="T8" s="171">
        <v>0</v>
      </c>
      <c r="U8" s="171">
        <f>ROUND(+Q8+S8+T8+R8,0)</f>
        <v>45698444</v>
      </c>
      <c r="V8" s="194"/>
      <c r="W8" s="171">
        <f>ROUND(+Y8+Z8+X8,0)</f>
        <v>1490175</v>
      </c>
      <c r="X8" s="171">
        <f>+'Proyeccion Recaudos'!C87/1000</f>
        <v>1371839.9580000001</v>
      </c>
      <c r="Y8" s="171">
        <f>SUM('Proyeccion Recaudos'!B59:B86)/1000</f>
        <v>62108.137999999999</v>
      </c>
      <c r="Z8" s="171">
        <f>ROUND(+AA8+AB8+AC8+AD8,0)</f>
        <v>56227</v>
      </c>
      <c r="AA8" s="171">
        <f>+'Proyeccion Recaudos'!B58/1000</f>
        <v>0</v>
      </c>
      <c r="AB8" s="171">
        <f>+'Proyeccion Recaudos'!B57/1000</f>
        <v>0</v>
      </c>
      <c r="AC8" s="171">
        <f>+'Proyeccion Recaudos'!B56/1000</f>
        <v>0</v>
      </c>
      <c r="AD8" s="171">
        <f>SUM('Proyeccion Recaudos'!B8:B55)/1000</f>
        <v>56227.345000000001</v>
      </c>
      <c r="AE8" s="203"/>
    </row>
    <row r="9" spans="1:31" s="204" customFormat="1" ht="15" x14ac:dyDescent="0.2">
      <c r="A9" s="199"/>
      <c r="B9" s="200" t="s">
        <v>942</v>
      </c>
      <c r="C9" s="188"/>
      <c r="D9" s="171">
        <f>+H9+L9</f>
        <v>98</v>
      </c>
      <c r="E9" s="171">
        <f>ROUND(+I9+M9,0)</f>
        <v>31007627</v>
      </c>
      <c r="F9" s="172">
        <f>ROUND(J9+N9,0)</f>
        <v>7127</v>
      </c>
      <c r="G9" s="173"/>
      <c r="H9" s="171">
        <f>+Inventario!H13</f>
        <v>3</v>
      </c>
      <c r="I9" s="171">
        <f>+Inventario!J13/1000</f>
        <v>1196640</v>
      </c>
      <c r="J9" s="172">
        <f>+Inventario!I13</f>
        <v>228.45000000000002</v>
      </c>
      <c r="K9" s="173"/>
      <c r="L9" s="171">
        <f>+'Detalle Inmueble'!I5</f>
        <v>95</v>
      </c>
      <c r="M9" s="171">
        <f>+'Detalle Inmueble'!K5/1000</f>
        <v>29810987.215999998</v>
      </c>
      <c r="N9" s="172">
        <f>+'Detalle Inmueble'!J5</f>
        <v>6898.739999999998</v>
      </c>
      <c r="O9" s="201"/>
      <c r="P9" s="189"/>
      <c r="Q9" s="171">
        <f>+Recaud!C6/1000+Recaud!C7/1000</f>
        <v>18147229.135000002</v>
      </c>
      <c r="R9" s="577">
        <f>Recaud!C8/1000</f>
        <v>11645112.948000001</v>
      </c>
      <c r="S9" s="171">
        <f>69195523/1000</f>
        <v>69195.523000000001</v>
      </c>
      <c r="T9" s="171">
        <v>0</v>
      </c>
      <c r="U9" s="171">
        <f>ROUND(+Q9+S9+T9+R9,0)-1</f>
        <v>29861537</v>
      </c>
      <c r="V9" s="194"/>
      <c r="W9" s="171">
        <f>ROUND(+Y9+Z9+X9,0)</f>
        <v>2494450</v>
      </c>
      <c r="X9" s="171">
        <f>+'Proyeccion Recaudos'!L87/1000</f>
        <v>2203235.0290000001</v>
      </c>
      <c r="Y9" s="171">
        <f>SUM('Proyeccion Recaudos'!K59:K86)/1000</f>
        <v>197019.58100000001</v>
      </c>
      <c r="Z9" s="171">
        <f>ROUND(+AA9+AB9+AC9+AD9,0)</f>
        <v>94195</v>
      </c>
      <c r="AA9" s="171">
        <f>+'Proyeccion Recaudos'!K58/1000</f>
        <v>53745</v>
      </c>
      <c r="AB9" s="171">
        <f>'Proyeccion Recaudos'!K57/1000</f>
        <v>0</v>
      </c>
      <c r="AC9" s="171">
        <f>+'Proyeccion Recaudos'!K56/1000</f>
        <v>40000</v>
      </c>
      <c r="AD9" s="171">
        <f>SUM('Proyeccion Recaudos'!K8:K55)/1000</f>
        <v>450</v>
      </c>
      <c r="AE9" s="203"/>
    </row>
    <row r="10" spans="1:31" s="204" customFormat="1" ht="15" x14ac:dyDescent="0.2">
      <c r="A10" s="199"/>
      <c r="B10" s="200" t="s">
        <v>53</v>
      </c>
      <c r="C10" s="188"/>
      <c r="D10" s="171">
        <f t="shared" ref="D10:D11" si="0">+H10+L10</f>
        <v>125</v>
      </c>
      <c r="E10" s="171">
        <f t="shared" ref="E10:E11" si="1">ROUND(+I10+M10,0)</f>
        <v>57878557</v>
      </c>
      <c r="F10" s="172">
        <f t="shared" ref="F10:F11" si="2">ROUND(J10+N10,0)</f>
        <v>9115</v>
      </c>
      <c r="G10" s="173"/>
      <c r="H10" s="171">
        <f>++Inventario!M13</f>
        <v>9</v>
      </c>
      <c r="I10" s="171">
        <f>++Inventario!O13/1000</f>
        <v>4960242</v>
      </c>
      <c r="J10" s="172">
        <f>++Inventario!N13</f>
        <v>729.51</v>
      </c>
      <c r="K10" s="173"/>
      <c r="L10" s="171">
        <f>++'Detalle Inmueble'!O5</f>
        <v>116</v>
      </c>
      <c r="M10" s="171">
        <f>++'Detalle Inmueble'!Q5/1000</f>
        <v>52918315.368000001</v>
      </c>
      <c r="N10" s="172">
        <f>++'Detalle Inmueble'!P5</f>
        <v>8385.5300000000025</v>
      </c>
      <c r="O10" s="201"/>
      <c r="P10" s="189"/>
      <c r="Q10" s="171">
        <f>SUM(Recaud!D6:D7)/1000</f>
        <v>4351900.801</v>
      </c>
      <c r="R10" s="577">
        <f>++Recaud!D8</f>
        <v>0</v>
      </c>
      <c r="S10" s="171">
        <v>0</v>
      </c>
      <c r="T10" s="171"/>
      <c r="U10" s="171">
        <f t="shared" ref="U10" si="3">ROUND(+Q10+S10+T10+R10,0)</f>
        <v>4351901</v>
      </c>
      <c r="V10" s="194"/>
      <c r="W10" s="171">
        <f>ROUND(+Y10+Z10+X10,0)-1</f>
        <v>52272414</v>
      </c>
      <c r="X10" s="171">
        <f>++'Proyeccion Recaudos'!T87/1000</f>
        <v>38179658.328000002</v>
      </c>
      <c r="Y10" s="171">
        <f>SUM('Proyeccion Recaudos'!S59:S86)/1000</f>
        <v>13862991.328</v>
      </c>
      <c r="Z10" s="171">
        <f>ROUND(+AA10+AB10+AC10+AD10,0)</f>
        <v>229765</v>
      </c>
      <c r="AA10" s="171">
        <f>+'Proyeccion Recaudos'!S58/1000</f>
        <v>177017.35800000001</v>
      </c>
      <c r="AB10" s="171">
        <f>++'Proyeccion Recaudos'!S57/1000</f>
        <v>27212.875</v>
      </c>
      <c r="AC10" s="171">
        <f>+'Proyeccion Recaudos'!S56/1000</f>
        <v>14967.86</v>
      </c>
      <c r="AD10" s="171">
        <f>SUM('Proyeccion Recaudos'!S35:S55)/1000</f>
        <v>10566.817999999999</v>
      </c>
      <c r="AE10" s="203"/>
    </row>
    <row r="11" spans="1:31" s="204" customFormat="1" ht="15" x14ac:dyDescent="0.2">
      <c r="A11" s="199"/>
      <c r="B11" s="200" t="s">
        <v>1009</v>
      </c>
      <c r="C11" s="188"/>
      <c r="D11" s="171">
        <f t="shared" si="0"/>
        <v>150</v>
      </c>
      <c r="E11" s="171">
        <f t="shared" si="1"/>
        <v>56670617</v>
      </c>
      <c r="F11" s="172">
        <f t="shared" si="2"/>
        <v>10564</v>
      </c>
      <c r="G11" s="173"/>
      <c r="H11" s="171">
        <f>+Inventario!R13</f>
        <v>17</v>
      </c>
      <c r="I11" s="171">
        <f>+Inventario!T13/1000</f>
        <v>8019750</v>
      </c>
      <c r="J11" s="172">
        <f>+Inventario!S13</f>
        <v>1211.5000000000002</v>
      </c>
      <c r="K11" s="173"/>
      <c r="L11" s="171">
        <f>+'Detalle Inmueble'!U5</f>
        <v>133</v>
      </c>
      <c r="M11" s="171">
        <f>+'Detalle Inmueble'!W5/1000</f>
        <v>48650867.034000002</v>
      </c>
      <c r="N11" s="172">
        <f>'Detalle Inmueble'!V5</f>
        <v>9352.9199999999964</v>
      </c>
      <c r="O11" s="201"/>
      <c r="P11" s="189"/>
      <c r="Q11" s="171">
        <f>SUM(Recaud!E6:E7)/1000</f>
        <v>23679154.726</v>
      </c>
      <c r="R11" s="577">
        <v>0</v>
      </c>
      <c r="S11" s="171">
        <f>157216292/1000</f>
        <v>157216.29199999999</v>
      </c>
      <c r="T11" s="171">
        <v>0</v>
      </c>
      <c r="U11" s="171">
        <f>ROUND(+Q11+S11+T11+R11,0)</f>
        <v>23836371</v>
      </c>
      <c r="V11" s="194"/>
      <c r="W11" s="171">
        <f>ROUND(+Y11+Z11+X11,0)</f>
        <v>28678496</v>
      </c>
      <c r="X11" s="171">
        <f>+'Proyeccion Recaudos'!AB87/1000</f>
        <v>26909672.517000001</v>
      </c>
      <c r="Y11" s="171">
        <f>SUM('Proyeccion Recaudos'!AA59:AA86)/1000</f>
        <v>1472120.034</v>
      </c>
      <c r="Z11" s="171">
        <f>ROUND(+AA11+AB11+AC11+AD11,0)</f>
        <v>296703</v>
      </c>
      <c r="AA11" s="171">
        <f>+'Proyeccion Recaudos'!AA58/1000</f>
        <v>189269.83100000001</v>
      </c>
      <c r="AB11" s="171">
        <f>+'Proyeccion Recaudos'!AA57/1000</f>
        <v>86218.853000000003</v>
      </c>
      <c r="AC11" s="171">
        <f>+'Proyeccion Recaudos'!AA56/1000</f>
        <v>31.341999999999999</v>
      </c>
      <c r="AD11" s="171">
        <f>SUM('Proyeccion Recaudos'!AA8:AA55)/1000</f>
        <v>21183.438999999998</v>
      </c>
      <c r="AE11" s="203"/>
    </row>
    <row r="12" spans="1:31" s="204" customFormat="1" ht="15" x14ac:dyDescent="0.2">
      <c r="A12" s="199"/>
      <c r="B12" s="200" t="s">
        <v>1203</v>
      </c>
      <c r="C12" s="188"/>
      <c r="D12" s="171">
        <f>+H12+L12</f>
        <v>99</v>
      </c>
      <c r="E12" s="171">
        <f>ROUND(+I12+M12,0)</f>
        <v>43099186</v>
      </c>
      <c r="F12" s="172">
        <f>ROUND(J12+N12,0)</f>
        <v>7223</v>
      </c>
      <c r="G12" s="173"/>
      <c r="H12" s="171">
        <f>+Inventario!W13</f>
        <v>16</v>
      </c>
      <c r="I12" s="171">
        <f>+Inventario!Y13/1000</f>
        <v>7935175</v>
      </c>
      <c r="J12" s="172">
        <f>+Inventario!X13</f>
        <v>1201.9499999999998</v>
      </c>
      <c r="K12" s="173"/>
      <c r="L12" s="171">
        <f>+'Detalle Inmueble'!AA5</f>
        <v>83</v>
      </c>
      <c r="M12" s="171">
        <f>+'Detalle Inmueble'!AC5/1000</f>
        <v>35164011.108000003</v>
      </c>
      <c r="N12" s="172">
        <f>++'Detalle Inmueble'!AB5</f>
        <v>6020.7</v>
      </c>
      <c r="O12" s="201"/>
      <c r="P12" s="189"/>
      <c r="Q12" s="171">
        <f>SUM(Recaud!F6:F7)/1000</f>
        <v>8817637.6630000006</v>
      </c>
      <c r="R12" s="577">
        <v>0</v>
      </c>
      <c r="S12" s="171">
        <f>61237889/1000</f>
        <v>61237.889000000003</v>
      </c>
      <c r="T12" s="171"/>
      <c r="U12" s="171">
        <f>ROUND(+Q12+S12+T12,0)</f>
        <v>8878876</v>
      </c>
      <c r="V12" s="194"/>
      <c r="W12" s="171">
        <f>ROUND(+Y12+Z12+X12,0)</f>
        <v>28785135</v>
      </c>
      <c r="X12" s="171">
        <f>++'Proyeccion Recaudos'!AI87/1000</f>
        <v>26586472.767000001</v>
      </c>
      <c r="Y12" s="171">
        <f>SUM('Proyeccion Recaudos'!AH59:AH86)/1000</f>
        <v>1751842.3389999999</v>
      </c>
      <c r="Z12" s="171">
        <f>ROUND(+AA12+AB12+AC12+AD12,0)</f>
        <v>446820</v>
      </c>
      <c r="AA12" s="171">
        <f>+'Proyeccion Recaudos'!AH58/1000</f>
        <v>226116.913</v>
      </c>
      <c r="AB12" s="171">
        <f>+'Proyeccion Recaudos'!AH57/1000</f>
        <v>83189.760999999999</v>
      </c>
      <c r="AC12" s="171">
        <f>+'Proyeccion Recaudos'!AH56/1000</f>
        <v>43358.722000000002</v>
      </c>
      <c r="AD12" s="171">
        <f>SUM('Proyeccion Recaudos'!AH5:AH55)/1000</f>
        <v>94155.054000000004</v>
      </c>
      <c r="AE12" s="203"/>
    </row>
    <row r="13" spans="1:31" s="254" customFormat="1" ht="18.75" x14ac:dyDescent="0.2">
      <c r="A13" s="251"/>
      <c r="B13" s="258" t="s">
        <v>828</v>
      </c>
      <c r="C13" s="252"/>
      <c r="D13" s="256">
        <f>SUM(D8:D12)</f>
        <v>621</v>
      </c>
      <c r="E13" s="255">
        <f>SUM(E8:E12)</f>
        <v>231856606</v>
      </c>
      <c r="F13" s="257">
        <f>SUM(F8:F12)</f>
        <v>44457</v>
      </c>
      <c r="G13" s="173"/>
      <c r="H13" s="256">
        <f>SUM(H8:H12)</f>
        <v>45</v>
      </c>
      <c r="I13" s="255">
        <f>SUM(I8:I12)</f>
        <v>22111807</v>
      </c>
      <c r="J13" s="257">
        <f>SUM(J8:J12)</f>
        <v>3371.41</v>
      </c>
      <c r="K13" s="173"/>
      <c r="L13" s="256">
        <f>SUM(L8:L12)</f>
        <v>576</v>
      </c>
      <c r="M13" s="255">
        <f>SUM(M8:M12)</f>
        <v>209744799.81900001</v>
      </c>
      <c r="N13" s="257">
        <f>SUM(N8:N12)</f>
        <v>41085.62999999999</v>
      </c>
      <c r="O13" s="253"/>
      <c r="P13" s="189"/>
      <c r="Q13" s="255">
        <f>SUM(Q8:Q12)</f>
        <v>81538304.706</v>
      </c>
      <c r="R13" s="255">
        <f>SUM(R8:R12)</f>
        <v>30785099.472000003</v>
      </c>
      <c r="S13" s="255">
        <f>SUM(S8:S12)</f>
        <v>303724.451</v>
      </c>
      <c r="T13" s="255">
        <f>SUM(T8:T11)</f>
        <v>0</v>
      </c>
      <c r="U13" s="255">
        <f>SUM(U8:U12)</f>
        <v>112627129</v>
      </c>
      <c r="V13" s="194"/>
      <c r="W13" s="255">
        <f t="shared" ref="W13:AD13" si="4">SUM(W8:W12)</f>
        <v>113720670</v>
      </c>
      <c r="X13" s="255">
        <f t="shared" si="4"/>
        <v>95250878.599000007</v>
      </c>
      <c r="Y13" s="255">
        <f t="shared" si="4"/>
        <v>17346081.420000002</v>
      </c>
      <c r="Z13" s="255">
        <f t="shared" si="4"/>
        <v>1123710</v>
      </c>
      <c r="AA13" s="255">
        <f t="shared" si="4"/>
        <v>646149.10199999996</v>
      </c>
      <c r="AB13" s="255">
        <f t="shared" si="4"/>
        <v>196621.489</v>
      </c>
      <c r="AC13" s="255">
        <f t="shared" si="4"/>
        <v>98357.923999999999</v>
      </c>
      <c r="AD13" s="255">
        <f t="shared" si="4"/>
        <v>182582.65600000002</v>
      </c>
    </row>
    <row r="14" spans="1:31" s="204" customFormat="1" ht="27" customHeight="1" x14ac:dyDescent="0.2">
      <c r="A14" s="203"/>
      <c r="B14" s="212" t="s">
        <v>203</v>
      </c>
      <c r="C14" s="188"/>
      <c r="D14" s="206"/>
      <c r="E14" s="207"/>
      <c r="F14" s="208"/>
      <c r="G14" s="188"/>
      <c r="H14" s="206"/>
      <c r="I14" s="207"/>
      <c r="J14" s="208"/>
      <c r="K14" s="188"/>
      <c r="L14" s="206"/>
      <c r="M14" s="207"/>
      <c r="N14" s="208"/>
      <c r="O14" s="209"/>
      <c r="P14" s="189"/>
      <c r="Q14" s="207"/>
      <c r="R14" s="207"/>
      <c r="S14" s="211"/>
      <c r="T14" s="211"/>
      <c r="U14" s="207"/>
      <c r="V14" s="194"/>
      <c r="W14" s="207"/>
      <c r="X14" s="207"/>
      <c r="Y14" s="207"/>
      <c r="Z14" s="207"/>
      <c r="AA14" s="207"/>
      <c r="AB14" s="207"/>
      <c r="AC14" s="207"/>
      <c r="AD14" s="207"/>
      <c r="AE14" s="203"/>
    </row>
    <row r="15" spans="1:31" s="204" customFormat="1" ht="27" hidden="1" customHeight="1" x14ac:dyDescent="0.2">
      <c r="A15" s="203"/>
      <c r="B15" s="263" t="s">
        <v>941</v>
      </c>
      <c r="C15" s="188"/>
      <c r="D15" s="206"/>
      <c r="E15" s="207"/>
      <c r="F15" s="208"/>
      <c r="G15" s="188"/>
      <c r="H15" s="206"/>
      <c r="I15" s="207"/>
      <c r="J15" s="208"/>
      <c r="K15" s="188"/>
      <c r="L15" s="206"/>
      <c r="M15" s="207"/>
      <c r="N15" s="208"/>
      <c r="O15" s="209"/>
      <c r="P15" s="189"/>
      <c r="Q15" s="207"/>
      <c r="R15" s="207"/>
      <c r="S15" s="211"/>
      <c r="T15" s="211"/>
      <c r="U15" s="207"/>
      <c r="V15" s="194"/>
      <c r="W15" s="207"/>
      <c r="X15" s="207"/>
      <c r="Y15" s="207"/>
      <c r="Z15" s="207"/>
      <c r="AA15" s="207"/>
      <c r="AB15" s="207"/>
      <c r="AC15" s="207"/>
      <c r="AD15" s="207"/>
      <c r="AE15" s="203"/>
    </row>
    <row r="16" spans="1:31" s="204" customFormat="1" ht="12.75" customHeight="1" x14ac:dyDescent="0.2">
      <c r="A16" s="203"/>
      <c r="B16" s="199" t="s">
        <v>969</v>
      </c>
      <c r="C16" s="188"/>
      <c r="D16" s="202">
        <f>+H16+L16</f>
        <v>152</v>
      </c>
      <c r="E16" s="202">
        <f>ROUND(+I16+M16,0)</f>
        <v>3774000</v>
      </c>
      <c r="F16" s="205"/>
      <c r="G16" s="188"/>
      <c r="H16" s="202">
        <f>SUM(Inventario!C14:C15)</f>
        <v>3</v>
      </c>
      <c r="I16" s="202">
        <f>SUM(Inventario!E14:E15)/1000</f>
        <v>66000</v>
      </c>
      <c r="J16" s="205"/>
      <c r="K16" s="188"/>
      <c r="L16" s="202">
        <f>+'Detalle Inmueble'!C6+'Detalle Inmueble'!C7</f>
        <v>149</v>
      </c>
      <c r="M16" s="202">
        <f>(+'Detalle Inmueble'!E6+'Detalle Inmueble'!E7)/1000</f>
        <v>3708000</v>
      </c>
      <c r="N16" s="205"/>
      <c r="O16" s="209"/>
      <c r="P16" s="189"/>
      <c r="Q16" s="207"/>
      <c r="R16" s="207"/>
      <c r="S16" s="211"/>
      <c r="T16" s="211"/>
      <c r="U16" s="207"/>
      <c r="V16" s="194"/>
      <c r="W16" s="207"/>
      <c r="X16" s="207"/>
      <c r="Y16" s="207"/>
      <c r="Z16" s="207"/>
      <c r="AA16" s="207"/>
      <c r="AB16" s="207"/>
      <c r="AC16" s="207"/>
      <c r="AD16" s="207"/>
      <c r="AE16" s="203"/>
    </row>
    <row r="17" spans="1:31" s="204" customFormat="1" ht="12.75" customHeight="1" x14ac:dyDescent="0.2">
      <c r="A17" s="203"/>
      <c r="B17" s="199" t="s">
        <v>970</v>
      </c>
      <c r="C17" s="188"/>
      <c r="D17" s="202">
        <f t="shared" ref="D17" si="5">+H17+L17</f>
        <v>58</v>
      </c>
      <c r="E17" s="202">
        <f>ROUND(+I17+M17,0)</f>
        <v>290000</v>
      </c>
      <c r="F17" s="205"/>
      <c r="G17" s="188"/>
      <c r="H17" s="202">
        <f>+Inventario!C16</f>
        <v>2</v>
      </c>
      <c r="I17" s="202">
        <f>Inventario!E16/1000</f>
        <v>10000</v>
      </c>
      <c r="J17" s="205"/>
      <c r="K17" s="188"/>
      <c r="L17" s="202">
        <f>+'Detalle Inmueble'!C8</f>
        <v>56</v>
      </c>
      <c r="M17" s="202">
        <f>+'Detalle Inmueble'!E8/1000</f>
        <v>280000</v>
      </c>
      <c r="N17" s="205"/>
      <c r="O17" s="209"/>
      <c r="P17" s="189"/>
      <c r="Q17" s="207"/>
      <c r="R17" s="207"/>
      <c r="S17" s="211"/>
      <c r="T17" s="211"/>
      <c r="U17" s="207"/>
      <c r="V17" s="194"/>
      <c r="W17" s="207"/>
      <c r="X17" s="207"/>
      <c r="Y17" s="207"/>
      <c r="Z17" s="207"/>
      <c r="AA17" s="207"/>
      <c r="AB17" s="207"/>
      <c r="AC17" s="207"/>
      <c r="AD17" s="207"/>
      <c r="AE17" s="203"/>
    </row>
    <row r="18" spans="1:31" s="204" customFormat="1" ht="15" x14ac:dyDescent="0.2">
      <c r="A18" s="203"/>
      <c r="B18" s="263" t="s">
        <v>971</v>
      </c>
      <c r="C18" s="188"/>
      <c r="D18" s="264">
        <f>+SUM(D16:D17)</f>
        <v>210</v>
      </c>
      <c r="E18" s="265">
        <f>+SUM(E16:E17)</f>
        <v>4064000</v>
      </c>
      <c r="F18" s="205"/>
      <c r="G18" s="188"/>
      <c r="H18" s="264">
        <f>+SUM(H16:H17)</f>
        <v>5</v>
      </c>
      <c r="I18" s="266">
        <f>+SUM(I16:I17)</f>
        <v>76000</v>
      </c>
      <c r="J18" s="267"/>
      <c r="K18" s="188"/>
      <c r="L18" s="264">
        <f>+SUM(L16:L17)</f>
        <v>205</v>
      </c>
      <c r="M18" s="266">
        <f>+SUM(M16:M17)</f>
        <v>3988000</v>
      </c>
      <c r="N18" s="267"/>
      <c r="O18" s="209"/>
      <c r="P18" s="189"/>
      <c r="Q18" s="207"/>
      <c r="R18" s="207"/>
      <c r="S18" s="211"/>
      <c r="T18" s="211"/>
      <c r="U18" s="207"/>
      <c r="V18" s="194"/>
      <c r="W18" s="207"/>
      <c r="X18" s="207"/>
      <c r="Y18" s="207"/>
      <c r="Z18" s="207"/>
      <c r="AA18" s="207"/>
      <c r="AB18" s="207"/>
      <c r="AC18" s="207"/>
      <c r="AD18" s="207"/>
      <c r="AE18" s="203"/>
    </row>
    <row r="19" spans="1:31" s="204" customFormat="1" ht="15" x14ac:dyDescent="0.2">
      <c r="A19" s="203"/>
      <c r="B19" s="207"/>
      <c r="C19" s="207"/>
      <c r="D19" s="207"/>
      <c r="E19" s="207"/>
      <c r="F19" s="207"/>
      <c r="G19" s="207"/>
      <c r="H19" s="207"/>
      <c r="I19" s="207"/>
      <c r="J19" s="207"/>
      <c r="K19" s="207"/>
      <c r="L19" s="207"/>
      <c r="M19" s="207"/>
      <c r="N19" s="207"/>
      <c r="O19" s="207"/>
      <c r="P19" s="207"/>
      <c r="Q19" s="207"/>
      <c r="R19" s="207"/>
      <c r="S19" s="211"/>
      <c r="T19" s="211"/>
      <c r="U19" s="207"/>
      <c r="V19" s="194"/>
      <c r="W19" s="207"/>
      <c r="X19" s="207"/>
      <c r="Y19" s="207"/>
      <c r="Z19" s="207"/>
      <c r="AA19" s="207"/>
      <c r="AB19" s="207"/>
      <c r="AC19" s="207"/>
      <c r="AD19" s="207"/>
      <c r="AE19" s="203"/>
    </row>
    <row r="20" spans="1:31" ht="15" x14ac:dyDescent="0.2">
      <c r="A20" s="187"/>
      <c r="B20" s="263" t="s">
        <v>942</v>
      </c>
      <c r="D20" s="214"/>
      <c r="E20" s="215"/>
      <c r="F20" s="216"/>
      <c r="H20" s="214"/>
      <c r="I20" s="215"/>
      <c r="J20" s="216"/>
      <c r="K20" s="188"/>
      <c r="L20" s="214"/>
      <c r="M20" s="215"/>
      <c r="N20" s="216"/>
      <c r="O20" s="187"/>
      <c r="P20" s="189"/>
      <c r="Q20" s="187"/>
      <c r="R20" s="187"/>
      <c r="S20" s="187"/>
      <c r="T20" s="187"/>
      <c r="U20" s="187"/>
      <c r="V20" s="194"/>
      <c r="W20" s="187"/>
      <c r="X20" s="187"/>
      <c r="Y20" s="187"/>
      <c r="Z20" s="187"/>
      <c r="AA20" s="187"/>
      <c r="AB20" s="187"/>
      <c r="AC20" s="187"/>
      <c r="AD20" s="187"/>
      <c r="AE20" s="210"/>
    </row>
    <row r="21" spans="1:31" s="204" customFormat="1" ht="15" x14ac:dyDescent="0.2">
      <c r="A21" s="203"/>
      <c r="B21" s="199" t="s">
        <v>973</v>
      </c>
      <c r="C21" s="188"/>
      <c r="D21" s="556">
        <f>+H21+L21</f>
        <v>98</v>
      </c>
      <c r="E21" s="556">
        <f>ROUND(+I21+M21,0)</f>
        <v>2306000</v>
      </c>
      <c r="F21" s="205"/>
      <c r="G21" s="188"/>
      <c r="H21" s="202">
        <f>SUM(Inventario!H14:H15)</f>
        <v>3</v>
      </c>
      <c r="I21" s="202">
        <f>SUM(Inventario!J14:J15)/1000</f>
        <v>66000</v>
      </c>
      <c r="J21" s="205"/>
      <c r="K21" s="188"/>
      <c r="L21" s="202">
        <f>+'Detalle Inmueble'!I6+'Detalle Inmueble'!I7</f>
        <v>95</v>
      </c>
      <c r="M21" s="202">
        <f>(+'Detalle Inmueble'!K6+'Detalle Inmueble'!K7)/1000</f>
        <v>2240000</v>
      </c>
      <c r="N21" s="205"/>
      <c r="O21" s="218"/>
      <c r="P21" s="189"/>
      <c r="Q21" s="187"/>
      <c r="R21" s="187"/>
      <c r="S21" s="187"/>
      <c r="T21" s="187"/>
      <c r="U21" s="187"/>
      <c r="V21" s="194"/>
      <c r="W21" s="187"/>
      <c r="X21" s="187"/>
      <c r="Y21" s="187"/>
      <c r="Z21" s="187"/>
      <c r="AA21" s="187"/>
      <c r="AB21" s="187"/>
      <c r="AC21" s="187"/>
      <c r="AD21" s="187"/>
      <c r="AE21" s="203"/>
    </row>
    <row r="22" spans="1:31" s="204" customFormat="1" ht="15" x14ac:dyDescent="0.2">
      <c r="A22" s="203"/>
      <c r="B22" s="199" t="s">
        <v>974</v>
      </c>
      <c r="C22" s="188"/>
      <c r="D22" s="556">
        <f>+H22+L22</f>
        <v>73</v>
      </c>
      <c r="E22" s="556">
        <f>ROUND(+I22+M22,0)</f>
        <v>365000</v>
      </c>
      <c r="F22" s="205"/>
      <c r="G22" s="188"/>
      <c r="H22" s="202">
        <f>+Inventario!H16</f>
        <v>12</v>
      </c>
      <c r="I22" s="202">
        <f>+Inventario!J16/1000</f>
        <v>60000</v>
      </c>
      <c r="J22" s="205"/>
      <c r="K22" s="188"/>
      <c r="L22" s="202">
        <f>+'Detalle Inmueble'!I8</f>
        <v>61</v>
      </c>
      <c r="M22" s="202">
        <f>+'Detalle Inmueble'!K8/1000</f>
        <v>305000</v>
      </c>
      <c r="N22" s="205"/>
      <c r="O22" s="218"/>
      <c r="P22" s="189"/>
      <c r="Q22" s="187"/>
      <c r="R22" s="187"/>
      <c r="S22" s="187"/>
      <c r="T22" s="187"/>
      <c r="U22" s="187"/>
      <c r="V22" s="194"/>
      <c r="W22" s="187"/>
      <c r="X22" s="187"/>
      <c r="Y22" s="187"/>
      <c r="Z22" s="187"/>
      <c r="AA22" s="187"/>
      <c r="AB22" s="187"/>
      <c r="AC22" s="187"/>
      <c r="AD22" s="187"/>
      <c r="AE22" s="203"/>
    </row>
    <row r="23" spans="1:31" s="204" customFormat="1" ht="15" x14ac:dyDescent="0.2">
      <c r="A23" s="203"/>
      <c r="B23" s="263" t="s">
        <v>975</v>
      </c>
      <c r="C23" s="188"/>
      <c r="D23" s="264">
        <f>+SUM(D21:D22)</f>
        <v>171</v>
      </c>
      <c r="E23" s="265">
        <f>+SUM(E21:E22)</f>
        <v>2671000</v>
      </c>
      <c r="F23" s="267"/>
      <c r="G23" s="188"/>
      <c r="H23" s="264">
        <f>+SUM(H21:H22)</f>
        <v>15</v>
      </c>
      <c r="I23" s="266">
        <f>+SUM(I21:I22)</f>
        <v>126000</v>
      </c>
      <c r="J23" s="267"/>
      <c r="K23" s="188"/>
      <c r="L23" s="264">
        <f>+SUM(L21:L22)</f>
        <v>156</v>
      </c>
      <c r="M23" s="266">
        <f>+SUM(M21:M22)</f>
        <v>2545000</v>
      </c>
      <c r="N23" s="267"/>
      <c r="O23" s="218"/>
      <c r="P23" s="189"/>
      <c r="Q23" s="187"/>
      <c r="R23" s="187"/>
      <c r="S23" s="187"/>
      <c r="T23" s="187"/>
      <c r="U23" s="187"/>
      <c r="V23" s="194"/>
      <c r="W23" s="187"/>
      <c r="X23" s="187"/>
      <c r="Y23" s="187"/>
      <c r="Z23" s="187"/>
      <c r="AA23" s="187"/>
      <c r="AB23" s="187"/>
      <c r="AC23" s="187"/>
      <c r="AD23" s="187"/>
      <c r="AE23" s="203"/>
    </row>
    <row r="24" spans="1:31" s="204" customFormat="1" ht="15" x14ac:dyDescent="0.2">
      <c r="A24" s="203"/>
      <c r="B24" s="263" t="s">
        <v>53</v>
      </c>
      <c r="C24" s="188"/>
      <c r="D24" s="214"/>
      <c r="E24" s="215"/>
      <c r="F24" s="216"/>
      <c r="G24" s="188"/>
      <c r="H24" s="214"/>
      <c r="I24" s="215"/>
      <c r="J24" s="216"/>
      <c r="K24" s="188"/>
      <c r="L24" s="214"/>
      <c r="M24" s="215"/>
      <c r="N24" s="216"/>
      <c r="O24" s="187"/>
      <c r="P24" s="187"/>
      <c r="Q24" s="187"/>
      <c r="R24" s="187"/>
      <c r="S24" s="187"/>
      <c r="T24" s="187"/>
      <c r="U24" s="187"/>
      <c r="V24" s="194"/>
      <c r="W24" s="187"/>
      <c r="X24" s="187"/>
      <c r="Y24" s="187"/>
      <c r="Z24" s="187"/>
      <c r="AA24" s="187"/>
      <c r="AB24" s="187"/>
      <c r="AC24" s="187"/>
      <c r="AD24" s="187"/>
      <c r="AE24" s="203"/>
    </row>
    <row r="25" spans="1:31" s="204" customFormat="1" ht="15" x14ac:dyDescent="0.2">
      <c r="A25" s="203"/>
      <c r="B25" s="199" t="s">
        <v>2650</v>
      </c>
      <c r="C25" s="188"/>
      <c r="D25" s="556">
        <f>+H25+L25</f>
        <v>125</v>
      </c>
      <c r="E25" s="556">
        <f>ROUND(+I25+M25,0)</f>
        <v>3250000</v>
      </c>
      <c r="F25" s="205"/>
      <c r="G25" s="188"/>
      <c r="H25" s="202">
        <f>++Inventario!M14+Inventario!M15</f>
        <v>9</v>
      </c>
      <c r="I25" s="202">
        <f>(++Inventario!O14+Inventario!O15)/1000</f>
        <v>234000</v>
      </c>
      <c r="J25" s="205"/>
      <c r="K25" s="188"/>
      <c r="L25" s="202">
        <f>++'Detalle Inmueble'!O6+'Detalle Inmueble'!O7</f>
        <v>116</v>
      </c>
      <c r="M25" s="202">
        <f>+(+'Detalle Inmueble'!Q6+'Detalle Inmueble'!Q7)/1000</f>
        <v>3016000</v>
      </c>
      <c r="N25" s="205"/>
      <c r="O25" s="187"/>
      <c r="P25" s="187"/>
      <c r="Q25" s="187"/>
      <c r="R25" s="187"/>
      <c r="S25" s="187"/>
      <c r="T25" s="187"/>
      <c r="U25" s="187"/>
      <c r="V25" s="194"/>
      <c r="W25" s="187"/>
      <c r="X25" s="187"/>
      <c r="Y25" s="187"/>
      <c r="Z25" s="187"/>
      <c r="AA25" s="187"/>
      <c r="AB25" s="187"/>
      <c r="AC25" s="187"/>
      <c r="AD25" s="187"/>
      <c r="AE25" s="203"/>
    </row>
    <row r="26" spans="1:31" s="204" customFormat="1" ht="15" x14ac:dyDescent="0.2">
      <c r="A26" s="203"/>
      <c r="B26" s="199" t="s">
        <v>122</v>
      </c>
      <c r="C26" s="188"/>
      <c r="D26" s="556">
        <f>+H26+L26</f>
        <v>125</v>
      </c>
      <c r="E26" s="556">
        <f>ROUND(+I26+M26,0)</f>
        <v>750000</v>
      </c>
      <c r="F26" s="205"/>
      <c r="G26" s="188"/>
      <c r="H26" s="202">
        <f>++Inventario!M16</f>
        <v>10</v>
      </c>
      <c r="I26" s="202">
        <f>++Inventario!O16/1000</f>
        <v>60000</v>
      </c>
      <c r="J26" s="205"/>
      <c r="K26" s="188"/>
      <c r="L26" s="202">
        <f>++'Detalle Inmueble'!O8</f>
        <v>115</v>
      </c>
      <c r="M26" s="202">
        <f>+'Detalle Inmueble'!Q8/1000</f>
        <v>690000</v>
      </c>
      <c r="N26" s="205"/>
      <c r="O26" s="187"/>
      <c r="P26" s="187"/>
      <c r="Q26" s="187"/>
      <c r="R26" s="187"/>
      <c r="S26" s="187"/>
      <c r="T26" s="187"/>
      <c r="U26" s="187"/>
      <c r="V26" s="194"/>
      <c r="W26" s="187"/>
      <c r="X26" s="187"/>
      <c r="Y26" s="187"/>
      <c r="Z26" s="187"/>
      <c r="AA26" s="187"/>
      <c r="AB26" s="187"/>
      <c r="AC26" s="187"/>
      <c r="AD26" s="187"/>
      <c r="AE26" s="203"/>
    </row>
    <row r="27" spans="1:31" s="204" customFormat="1" ht="15" x14ac:dyDescent="0.2">
      <c r="A27" s="203"/>
      <c r="B27" s="263" t="s">
        <v>2651</v>
      </c>
      <c r="C27" s="188"/>
      <c r="D27" s="264">
        <f>+SUM(D25:D26)</f>
        <v>250</v>
      </c>
      <c r="E27" s="265">
        <f>+SUM(E25:E26)</f>
        <v>4000000</v>
      </c>
      <c r="F27" s="267"/>
      <c r="G27" s="188"/>
      <c r="H27" s="264">
        <f>+SUM(H25:H26)</f>
        <v>19</v>
      </c>
      <c r="I27" s="266">
        <f>+SUM(I25:I26)</f>
        <v>294000</v>
      </c>
      <c r="J27" s="267"/>
      <c r="K27" s="188"/>
      <c r="L27" s="264">
        <f>+SUM(L25:L26)</f>
        <v>231</v>
      </c>
      <c r="M27" s="266">
        <f>+SUM(M25:M26)</f>
        <v>3706000</v>
      </c>
      <c r="N27" s="267"/>
      <c r="O27" s="187"/>
      <c r="P27" s="187"/>
      <c r="Q27" s="187"/>
      <c r="R27" s="187"/>
      <c r="S27" s="187"/>
      <c r="T27" s="187"/>
      <c r="U27" s="187"/>
      <c r="V27" s="194"/>
      <c r="W27" s="187"/>
      <c r="X27" s="187"/>
      <c r="Y27" s="187"/>
      <c r="Z27" s="187"/>
      <c r="AA27" s="187"/>
      <c r="AB27" s="187"/>
      <c r="AC27" s="187"/>
      <c r="AD27" s="187"/>
      <c r="AE27" s="203"/>
    </row>
    <row r="28" spans="1:31" s="204" customFormat="1" x14ac:dyDescent="0.2">
      <c r="A28" s="203"/>
      <c r="B28" s="187"/>
      <c r="C28" s="187"/>
      <c r="D28" s="187"/>
      <c r="E28" s="187"/>
      <c r="F28" s="187"/>
      <c r="G28" s="187"/>
      <c r="H28" s="187"/>
      <c r="I28" s="187"/>
      <c r="J28" s="187"/>
      <c r="K28" s="187"/>
      <c r="L28" s="187"/>
      <c r="M28" s="187"/>
      <c r="N28" s="187"/>
      <c r="O28" s="187"/>
      <c r="P28" s="187"/>
      <c r="Q28" s="187"/>
      <c r="R28" s="187"/>
      <c r="S28" s="187"/>
      <c r="T28" s="187"/>
      <c r="U28" s="187"/>
      <c r="V28" s="194"/>
      <c r="W28" s="187"/>
      <c r="X28" s="187"/>
      <c r="Y28" s="187"/>
      <c r="Z28" s="187"/>
      <c r="AA28" s="187"/>
      <c r="AB28" s="187"/>
      <c r="AC28" s="187"/>
      <c r="AD28" s="187"/>
      <c r="AE28" s="203"/>
    </row>
    <row r="29" spans="1:31" s="204" customFormat="1" x14ac:dyDescent="0.2">
      <c r="A29" s="203"/>
      <c r="B29" s="263" t="s">
        <v>1009</v>
      </c>
      <c r="C29" s="187"/>
      <c r="D29" s="187"/>
      <c r="E29" s="187"/>
      <c r="F29" s="187"/>
      <c r="G29" s="187"/>
      <c r="H29" s="187"/>
      <c r="I29" s="187"/>
      <c r="J29" s="187"/>
      <c r="K29" s="187"/>
      <c r="L29" s="187"/>
      <c r="M29" s="187"/>
      <c r="N29" s="187"/>
      <c r="O29" s="187"/>
      <c r="P29" s="187"/>
      <c r="Q29" s="187"/>
      <c r="R29" s="187"/>
      <c r="S29" s="187"/>
      <c r="T29" s="187"/>
      <c r="U29" s="187"/>
      <c r="V29" s="194"/>
      <c r="W29" s="187"/>
      <c r="X29" s="187"/>
      <c r="Y29" s="187"/>
      <c r="Z29" s="187"/>
      <c r="AA29" s="187"/>
      <c r="AB29" s="187"/>
      <c r="AC29" s="187"/>
      <c r="AD29" s="187"/>
      <c r="AE29" s="203"/>
    </row>
    <row r="30" spans="1:31" s="204" customFormat="1" ht="15" x14ac:dyDescent="0.2">
      <c r="A30" s="203"/>
      <c r="B30" s="199" t="s">
        <v>1013</v>
      </c>
      <c r="C30" s="188"/>
      <c r="D30" s="202">
        <f>+H30+L30</f>
        <v>158</v>
      </c>
      <c r="E30" s="202">
        <f>ROUND(+I30+M30,0)</f>
        <v>3771000</v>
      </c>
      <c r="F30" s="205"/>
      <c r="G30" s="188"/>
      <c r="H30" s="202">
        <f>+Inventario!R14+Inventario!R15</f>
        <v>17</v>
      </c>
      <c r="I30" s="202">
        <f>SUM(Inventario!T14:T15)/1000</f>
        <v>352000</v>
      </c>
      <c r="J30" s="205"/>
      <c r="K30" s="188"/>
      <c r="L30" s="202">
        <f>+'Detalle Inmueble'!U6+'Detalle Inmueble'!U7</f>
        <v>141</v>
      </c>
      <c r="M30" s="202">
        <f>('Detalle Inmueble'!W6+'Detalle Inmueble'!W7)/1000</f>
        <v>3419000</v>
      </c>
      <c r="N30" s="205"/>
      <c r="O30" s="215"/>
      <c r="P30" s="189"/>
      <c r="Q30" s="187"/>
      <c r="R30" s="187"/>
      <c r="S30" s="187"/>
      <c r="T30" s="187"/>
      <c r="U30" s="187"/>
      <c r="V30" s="194"/>
      <c r="W30" s="187"/>
      <c r="X30" s="187"/>
      <c r="Y30" s="187"/>
      <c r="Z30" s="187"/>
      <c r="AA30" s="187"/>
      <c r="AB30" s="187"/>
      <c r="AC30" s="187"/>
      <c r="AD30" s="187"/>
      <c r="AE30" s="203"/>
    </row>
    <row r="31" spans="1:31" s="204" customFormat="1" ht="15" x14ac:dyDescent="0.2">
      <c r="A31" s="203"/>
      <c r="B31" s="199" t="s">
        <v>1014</v>
      </c>
      <c r="C31" s="188"/>
      <c r="D31" s="202">
        <f t="shared" ref="D31" si="6">+H31+L31</f>
        <v>105</v>
      </c>
      <c r="E31" s="202">
        <f>ROUND(+I31+M31,0)</f>
        <v>525000</v>
      </c>
      <c r="F31" s="205"/>
      <c r="G31" s="188"/>
      <c r="H31" s="202">
        <f>+Inventario!R16</f>
        <v>16</v>
      </c>
      <c r="I31" s="202">
        <f>+Inventario!T16/1000</f>
        <v>80000</v>
      </c>
      <c r="J31" s="205"/>
      <c r="K31" s="188"/>
      <c r="L31" s="202">
        <f>'Detalle Inmueble'!U8</f>
        <v>89</v>
      </c>
      <c r="M31" s="202">
        <f>'Detalle Inmueble'!W8/1000</f>
        <v>445000</v>
      </c>
      <c r="N31" s="205"/>
      <c r="O31" s="215"/>
      <c r="P31" s="189"/>
      <c r="Q31" s="187"/>
      <c r="R31" s="187"/>
      <c r="S31" s="187"/>
      <c r="T31" s="187"/>
      <c r="U31" s="187"/>
      <c r="V31" s="194"/>
      <c r="W31" s="187"/>
      <c r="X31" s="187"/>
      <c r="Y31" s="187"/>
      <c r="Z31" s="187"/>
      <c r="AA31" s="187"/>
      <c r="AB31" s="187"/>
      <c r="AC31" s="187"/>
      <c r="AD31" s="187"/>
      <c r="AE31" s="203"/>
    </row>
    <row r="32" spans="1:31" s="204" customFormat="1" ht="15" x14ac:dyDescent="0.2">
      <c r="A32" s="203"/>
      <c r="B32" s="263" t="s">
        <v>1015</v>
      </c>
      <c r="C32" s="188"/>
      <c r="D32" s="264">
        <f>+SUM(D30:D31)</f>
        <v>263</v>
      </c>
      <c r="E32" s="265">
        <f>+SUM(E30:E31)</f>
        <v>4296000</v>
      </c>
      <c r="F32" s="205"/>
      <c r="G32" s="188"/>
      <c r="H32" s="264">
        <f>+SUM(H30:H31)</f>
        <v>33</v>
      </c>
      <c r="I32" s="266">
        <f>+SUM(I30:I31)</f>
        <v>432000</v>
      </c>
      <c r="J32" s="267"/>
      <c r="K32" s="188"/>
      <c r="L32" s="264">
        <f>+SUM(L30:L31)</f>
        <v>230</v>
      </c>
      <c r="M32" s="266">
        <f>+SUM(M30:M31)</f>
        <v>3864000</v>
      </c>
      <c r="N32" s="267"/>
      <c r="O32" s="215"/>
      <c r="P32" s="189"/>
      <c r="Q32" s="187"/>
      <c r="R32" s="187"/>
      <c r="S32" s="187"/>
      <c r="T32" s="187"/>
      <c r="U32" s="187"/>
      <c r="V32" s="194"/>
      <c r="W32" s="187"/>
      <c r="X32" s="187"/>
      <c r="Y32" s="187"/>
      <c r="Z32" s="187"/>
      <c r="AA32" s="187"/>
      <c r="AB32" s="187"/>
      <c r="AC32" s="187"/>
      <c r="AD32" s="187"/>
      <c r="AE32" s="203"/>
    </row>
    <row r="33" spans="1:31" s="204" customFormat="1" ht="15" x14ac:dyDescent="0.2">
      <c r="A33" s="203"/>
      <c r="B33" s="187"/>
      <c r="C33" s="187"/>
      <c r="D33" s="187"/>
      <c r="E33" s="187"/>
      <c r="F33" s="187"/>
      <c r="G33" s="187"/>
      <c r="H33" s="187"/>
      <c r="I33" s="187"/>
      <c r="J33" s="187"/>
      <c r="K33" s="187"/>
      <c r="L33" s="187"/>
      <c r="M33" s="187"/>
      <c r="N33" s="187"/>
      <c r="O33" s="215"/>
      <c r="P33" s="189"/>
      <c r="Q33" s="187"/>
      <c r="R33" s="187"/>
      <c r="S33" s="187"/>
      <c r="T33" s="187"/>
      <c r="U33" s="187"/>
      <c r="V33" s="194"/>
      <c r="W33" s="187"/>
      <c r="X33" s="187"/>
      <c r="Y33" s="187"/>
      <c r="Z33" s="187"/>
      <c r="AA33" s="187"/>
      <c r="AB33" s="187"/>
      <c r="AC33" s="187"/>
      <c r="AD33" s="187"/>
      <c r="AE33" s="203"/>
    </row>
    <row r="34" spans="1:31" s="204" customFormat="1" ht="15" x14ac:dyDescent="0.2">
      <c r="A34" s="203"/>
      <c r="B34" s="263" t="s">
        <v>1203</v>
      </c>
      <c r="C34" s="188"/>
      <c r="D34" s="214"/>
      <c r="E34" s="215"/>
      <c r="F34" s="216"/>
      <c r="G34" s="188"/>
      <c r="H34" s="214"/>
      <c r="I34" s="215"/>
      <c r="J34" s="216"/>
      <c r="K34" s="188"/>
      <c r="L34" s="214"/>
      <c r="M34" s="215"/>
      <c r="N34" s="216"/>
      <c r="O34" s="215"/>
      <c r="P34" s="189"/>
      <c r="Q34" s="187"/>
      <c r="R34" s="187"/>
      <c r="S34" s="187"/>
      <c r="T34" s="187"/>
      <c r="U34" s="187"/>
      <c r="V34" s="194"/>
      <c r="W34" s="187"/>
      <c r="X34" s="187"/>
      <c r="Y34" s="187"/>
      <c r="Z34" s="187"/>
      <c r="AA34" s="187"/>
      <c r="AB34" s="187"/>
      <c r="AC34" s="187"/>
      <c r="AD34" s="187"/>
      <c r="AE34" s="203"/>
    </row>
    <row r="35" spans="1:31" s="204" customFormat="1" ht="15" x14ac:dyDescent="0.2">
      <c r="A35" s="203"/>
      <c r="B35" s="199" t="s">
        <v>1288</v>
      </c>
      <c r="C35" s="188"/>
      <c r="D35" s="202">
        <f>+H35+L35</f>
        <v>91</v>
      </c>
      <c r="E35" s="202">
        <f>ROUND(+I35+M35,0)</f>
        <v>2285000</v>
      </c>
      <c r="F35" s="205"/>
      <c r="G35" s="188"/>
      <c r="H35" s="202">
        <f>+Inventario!W14+Inventario!W15</f>
        <v>8</v>
      </c>
      <c r="I35" s="202">
        <f>SUM(Inventario!Y14:Y15)/1000</f>
        <v>200000</v>
      </c>
      <c r="J35" s="205"/>
      <c r="K35" s="188"/>
      <c r="L35" s="202">
        <f>+'Detalle Inmueble'!AA6+'Detalle Inmueble'!AA7</f>
        <v>83</v>
      </c>
      <c r="M35" s="202">
        <f>'Detalle Inmueble'!AC6/1000</f>
        <v>2085000</v>
      </c>
      <c r="N35" s="205"/>
      <c r="O35" s="215"/>
      <c r="P35" s="189"/>
      <c r="Q35" s="187"/>
      <c r="R35" s="187"/>
      <c r="S35" s="187"/>
      <c r="T35" s="187"/>
      <c r="U35" s="187"/>
      <c r="V35" s="194"/>
      <c r="W35" s="187"/>
      <c r="X35" s="187"/>
      <c r="Y35" s="187"/>
      <c r="Z35" s="187"/>
      <c r="AA35" s="187"/>
      <c r="AB35" s="187"/>
      <c r="AC35" s="187"/>
      <c r="AD35" s="187"/>
      <c r="AE35" s="203"/>
    </row>
    <row r="36" spans="1:31" s="204" customFormat="1" ht="15" x14ac:dyDescent="0.2">
      <c r="A36" s="203"/>
      <c r="B36" s="199" t="s">
        <v>1289</v>
      </c>
      <c r="C36" s="188"/>
      <c r="D36" s="202">
        <f>+H36+L36</f>
        <v>92</v>
      </c>
      <c r="E36" s="202">
        <f>ROUND(+I36+M36,0)</f>
        <v>460000</v>
      </c>
      <c r="F36" s="205"/>
      <c r="G36" s="188"/>
      <c r="H36" s="202">
        <f>+Inventario!W16</f>
        <v>9</v>
      </c>
      <c r="I36" s="202">
        <f>++Inventario!Y16/1000</f>
        <v>45000</v>
      </c>
      <c r="J36" s="205"/>
      <c r="K36" s="188"/>
      <c r="L36" s="202">
        <f>+'Detalle Inmueble'!AA8</f>
        <v>83</v>
      </c>
      <c r="M36" s="202">
        <f>'Detalle Inmueble'!AC8/1000</f>
        <v>415000</v>
      </c>
      <c r="N36" s="205"/>
      <c r="O36" s="215"/>
      <c r="P36" s="189"/>
      <c r="Q36" s="187"/>
      <c r="R36" s="187"/>
      <c r="S36" s="187"/>
      <c r="T36" s="187"/>
      <c r="U36" s="187"/>
      <c r="V36" s="194"/>
      <c r="W36" s="187"/>
      <c r="X36" s="187"/>
      <c r="Y36" s="187"/>
      <c r="Z36" s="187"/>
      <c r="AA36" s="187"/>
      <c r="AB36" s="187"/>
      <c r="AC36" s="187"/>
      <c r="AD36" s="187"/>
      <c r="AE36" s="203"/>
    </row>
    <row r="37" spans="1:31" s="204" customFormat="1" ht="15" x14ac:dyDescent="0.2">
      <c r="A37" s="203"/>
      <c r="B37" s="263" t="s">
        <v>1290</v>
      </c>
      <c r="C37" s="188"/>
      <c r="D37" s="264">
        <f>+SUM(D35:D36)</f>
        <v>183</v>
      </c>
      <c r="E37" s="265">
        <f>+SUM(E35:E36)</f>
        <v>2745000</v>
      </c>
      <c r="F37" s="267"/>
      <c r="G37" s="188"/>
      <c r="H37" s="264">
        <f>+SUM(H35:H36)</f>
        <v>17</v>
      </c>
      <c r="I37" s="266">
        <f>+SUM(I35:I36)</f>
        <v>245000</v>
      </c>
      <c r="J37" s="267"/>
      <c r="K37" s="188"/>
      <c r="L37" s="264">
        <f>+SUM(L35:L36)</f>
        <v>166</v>
      </c>
      <c r="M37" s="266">
        <f>+SUM(M35:M36)</f>
        <v>2500000</v>
      </c>
      <c r="N37" s="267"/>
      <c r="O37" s="218"/>
      <c r="P37" s="189"/>
      <c r="Q37" s="187"/>
      <c r="R37" s="187"/>
      <c r="S37" s="187"/>
      <c r="T37" s="187"/>
      <c r="U37" s="187"/>
      <c r="V37" s="194"/>
      <c r="W37" s="187"/>
      <c r="X37" s="187"/>
      <c r="Y37" s="187"/>
      <c r="Z37" s="187"/>
      <c r="AA37" s="187"/>
      <c r="AB37" s="187"/>
      <c r="AC37" s="187"/>
      <c r="AD37" s="187"/>
      <c r="AE37" s="203"/>
    </row>
    <row r="38" spans="1:31" s="204" customFormat="1" ht="1.5" customHeight="1" x14ac:dyDescent="0.2">
      <c r="A38" s="203"/>
      <c r="B38" s="213"/>
      <c r="C38" s="188"/>
      <c r="D38" s="214"/>
      <c r="E38" s="215"/>
      <c r="F38" s="216"/>
      <c r="G38" s="188"/>
      <c r="H38" s="214"/>
      <c r="I38" s="215"/>
      <c r="J38" s="216"/>
      <c r="K38" s="188"/>
      <c r="L38" s="214"/>
      <c r="M38" s="215"/>
      <c r="N38" s="216"/>
      <c r="O38" s="215"/>
      <c r="P38" s="189"/>
      <c r="Q38" s="187"/>
      <c r="R38" s="187"/>
      <c r="S38" s="187"/>
      <c r="T38" s="187"/>
      <c r="U38" s="187"/>
      <c r="V38" s="194"/>
      <c r="W38" s="187"/>
      <c r="X38" s="187"/>
      <c r="Y38" s="187"/>
      <c r="Z38" s="187"/>
      <c r="AA38" s="187"/>
      <c r="AB38" s="187"/>
      <c r="AC38" s="187"/>
      <c r="AD38" s="187"/>
      <c r="AE38" s="203"/>
    </row>
    <row r="39" spans="1:31" s="204" customFormat="1" ht="15" x14ac:dyDescent="0.2">
      <c r="A39" s="199"/>
      <c r="B39" s="200" t="s">
        <v>972</v>
      </c>
      <c r="C39" s="188"/>
      <c r="D39" s="171">
        <f>+H39+L39</f>
        <v>149</v>
      </c>
      <c r="E39" s="171">
        <f>+I39+M39</f>
        <v>47264619.093000002</v>
      </c>
      <c r="F39" s="172">
        <f>+J39+N39</f>
        <v>10427.739999999998</v>
      </c>
      <c r="G39" s="173"/>
      <c r="H39" s="171">
        <f>+H8</f>
        <v>0</v>
      </c>
      <c r="I39" s="171">
        <f>++I8+I16+I17</f>
        <v>76000</v>
      </c>
      <c r="J39" s="172">
        <f>+J8</f>
        <v>0</v>
      </c>
      <c r="K39" s="173"/>
      <c r="L39" s="171">
        <f>+L8</f>
        <v>149</v>
      </c>
      <c r="M39" s="171">
        <f>++M8+M16+M17</f>
        <v>47188619.093000002</v>
      </c>
      <c r="N39" s="172">
        <f>+N8</f>
        <v>10427.739999999998</v>
      </c>
      <c r="O39" s="201"/>
      <c r="P39" s="189"/>
      <c r="Q39" s="171">
        <f t="shared" ref="Q39:U41" si="7">++Q8</f>
        <v>26542382.381000001</v>
      </c>
      <c r="R39" s="171">
        <f t="shared" si="7"/>
        <v>19139986.524</v>
      </c>
      <c r="S39" s="171">
        <f t="shared" si="7"/>
        <v>16074.746999999999</v>
      </c>
      <c r="T39" s="171">
        <f t="shared" si="7"/>
        <v>0</v>
      </c>
      <c r="U39" s="171">
        <f t="shared" si="7"/>
        <v>45698444</v>
      </c>
      <c r="V39" s="194"/>
      <c r="W39" s="171">
        <f t="shared" ref="W39:AD41" si="8">++W8</f>
        <v>1490175</v>
      </c>
      <c r="X39" s="171">
        <f t="shared" si="8"/>
        <v>1371839.9580000001</v>
      </c>
      <c r="Y39" s="171">
        <f t="shared" si="8"/>
        <v>62108.137999999999</v>
      </c>
      <c r="Z39" s="171">
        <f>ROUND(+AA39+AB39+AC39+AD39,0)</f>
        <v>56227</v>
      </c>
      <c r="AA39" s="171">
        <f t="shared" si="8"/>
        <v>0</v>
      </c>
      <c r="AB39" s="171">
        <f t="shared" si="8"/>
        <v>0</v>
      </c>
      <c r="AC39" s="171">
        <f t="shared" si="8"/>
        <v>0</v>
      </c>
      <c r="AD39" s="171">
        <f t="shared" si="8"/>
        <v>56227.345000000001</v>
      </c>
      <c r="AE39" s="203"/>
    </row>
    <row r="40" spans="1:31" s="204" customFormat="1" ht="15" x14ac:dyDescent="0.2">
      <c r="A40" s="199"/>
      <c r="B40" s="200" t="s">
        <v>976</v>
      </c>
      <c r="C40" s="188"/>
      <c r="D40" s="171">
        <f t="shared" ref="D40:D43" si="9">+H40+L40</f>
        <v>98</v>
      </c>
      <c r="E40" s="171">
        <f t="shared" ref="E40:E43" si="10">+I40+M40</f>
        <v>33678627.215999998</v>
      </c>
      <c r="F40" s="172">
        <f t="shared" ref="F40:F43" si="11">+J40+N40</f>
        <v>7127.1899999999978</v>
      </c>
      <c r="G40" s="173"/>
      <c r="H40" s="171">
        <f>+H9</f>
        <v>3</v>
      </c>
      <c r="I40" s="171">
        <f>+I9+I21+I22</f>
        <v>1322640</v>
      </c>
      <c r="J40" s="172">
        <f>+J9</f>
        <v>228.45000000000002</v>
      </c>
      <c r="K40" s="173"/>
      <c r="L40" s="171">
        <f>+L9</f>
        <v>95</v>
      </c>
      <c r="M40" s="171">
        <f>++M9+M21+M22</f>
        <v>32355987.215999998</v>
      </c>
      <c r="N40" s="172">
        <f>+N9</f>
        <v>6898.739999999998</v>
      </c>
      <c r="O40" s="201"/>
      <c r="P40" s="189"/>
      <c r="Q40" s="171">
        <f t="shared" si="7"/>
        <v>18147229.135000002</v>
      </c>
      <c r="R40" s="171">
        <f t="shared" si="7"/>
        <v>11645112.948000001</v>
      </c>
      <c r="S40" s="171">
        <f t="shared" si="7"/>
        <v>69195.523000000001</v>
      </c>
      <c r="T40" s="171">
        <f t="shared" si="7"/>
        <v>0</v>
      </c>
      <c r="U40" s="171">
        <f t="shared" si="7"/>
        <v>29861537</v>
      </c>
      <c r="V40" s="194"/>
      <c r="W40" s="171">
        <f t="shared" si="8"/>
        <v>2494450</v>
      </c>
      <c r="X40" s="171">
        <f t="shared" si="8"/>
        <v>2203235.0290000001</v>
      </c>
      <c r="Y40" s="171">
        <f t="shared" si="8"/>
        <v>197019.58100000001</v>
      </c>
      <c r="Z40" s="171">
        <f>ROUND(+AA40+AB40+AC40+AD40,0)</f>
        <v>94195</v>
      </c>
      <c r="AA40" s="171">
        <f t="shared" si="8"/>
        <v>53745</v>
      </c>
      <c r="AB40" s="171">
        <f t="shared" si="8"/>
        <v>0</v>
      </c>
      <c r="AC40" s="171">
        <f t="shared" si="8"/>
        <v>40000</v>
      </c>
      <c r="AD40" s="171">
        <f t="shared" si="8"/>
        <v>450</v>
      </c>
      <c r="AE40" s="203"/>
    </row>
    <row r="41" spans="1:31" s="204" customFormat="1" ht="15" x14ac:dyDescent="0.2">
      <c r="A41" s="199"/>
      <c r="B41" s="200" t="s">
        <v>2652</v>
      </c>
      <c r="C41" s="188"/>
      <c r="D41" s="171">
        <f t="shared" si="9"/>
        <v>125</v>
      </c>
      <c r="E41" s="171">
        <f t="shared" si="10"/>
        <v>61878557.368000001</v>
      </c>
      <c r="F41" s="172">
        <f t="shared" si="11"/>
        <v>9115.0400000000027</v>
      </c>
      <c r="G41" s="173"/>
      <c r="H41" s="171">
        <f>++H10</f>
        <v>9</v>
      </c>
      <c r="I41" s="171">
        <f>++I10+I25+I26</f>
        <v>5254242</v>
      </c>
      <c r="J41" s="172">
        <f t="shared" ref="J41" si="12">++J10</f>
        <v>729.51</v>
      </c>
      <c r="K41" s="173"/>
      <c r="L41" s="171">
        <f>++L10</f>
        <v>116</v>
      </c>
      <c r="M41" s="171">
        <f>++M10+M25+M26</f>
        <v>56624315.368000001</v>
      </c>
      <c r="N41" s="172">
        <f t="shared" ref="N41" si="13">++N10</f>
        <v>8385.5300000000025</v>
      </c>
      <c r="O41" s="201"/>
      <c r="P41" s="189"/>
      <c r="Q41" s="171">
        <f t="shared" si="7"/>
        <v>4351900.801</v>
      </c>
      <c r="R41" s="171">
        <f t="shared" si="7"/>
        <v>0</v>
      </c>
      <c r="S41" s="171">
        <f t="shared" si="7"/>
        <v>0</v>
      </c>
      <c r="T41" s="171">
        <f t="shared" si="7"/>
        <v>0</v>
      </c>
      <c r="U41" s="171">
        <f t="shared" si="7"/>
        <v>4351901</v>
      </c>
      <c r="V41" s="194"/>
      <c r="W41" s="171">
        <f t="shared" si="8"/>
        <v>52272414</v>
      </c>
      <c r="X41" s="171">
        <f t="shared" si="8"/>
        <v>38179658.328000002</v>
      </c>
      <c r="Y41" s="171">
        <f t="shared" si="8"/>
        <v>13862991.328</v>
      </c>
      <c r="Z41" s="171">
        <f>ROUND(+AA41+AB41+AC41+AD41,0)</f>
        <v>229765</v>
      </c>
      <c r="AA41" s="171">
        <f t="shared" si="8"/>
        <v>177017.35800000001</v>
      </c>
      <c r="AB41" s="171">
        <f t="shared" si="8"/>
        <v>27212.875</v>
      </c>
      <c r="AC41" s="171">
        <f t="shared" si="8"/>
        <v>14967.86</v>
      </c>
      <c r="AD41" s="171">
        <f t="shared" si="8"/>
        <v>10566.817999999999</v>
      </c>
      <c r="AE41" s="203"/>
    </row>
    <row r="42" spans="1:31" s="204" customFormat="1" ht="15" x14ac:dyDescent="0.2">
      <c r="A42" s="199"/>
      <c r="B42" s="200" t="s">
        <v>1016</v>
      </c>
      <c r="C42" s="188"/>
      <c r="D42" s="171">
        <f t="shared" si="9"/>
        <v>150</v>
      </c>
      <c r="E42" s="171">
        <f t="shared" si="10"/>
        <v>60966617.034000002</v>
      </c>
      <c r="F42" s="172">
        <f t="shared" si="11"/>
        <v>10564.419999999996</v>
      </c>
      <c r="G42" s="173"/>
      <c r="H42" s="171">
        <f>+H11</f>
        <v>17</v>
      </c>
      <c r="I42" s="171">
        <f>++I11+I30+I31</f>
        <v>8451750</v>
      </c>
      <c r="J42" s="172">
        <f>+J11</f>
        <v>1211.5000000000002</v>
      </c>
      <c r="K42" s="173"/>
      <c r="L42" s="171">
        <f>+L11</f>
        <v>133</v>
      </c>
      <c r="M42" s="171">
        <f>+M11+M30+M31</f>
        <v>52514867.034000002</v>
      </c>
      <c r="N42" s="172">
        <f>+N11</f>
        <v>9352.9199999999964</v>
      </c>
      <c r="O42" s="201"/>
      <c r="P42" s="189"/>
      <c r="Q42" s="171">
        <f t="shared" ref="Q42:U43" si="14">++Q11</f>
        <v>23679154.726</v>
      </c>
      <c r="R42" s="171">
        <f t="shared" si="14"/>
        <v>0</v>
      </c>
      <c r="S42" s="171">
        <f t="shared" si="14"/>
        <v>157216.29199999999</v>
      </c>
      <c r="T42" s="171">
        <f t="shared" si="14"/>
        <v>0</v>
      </c>
      <c r="U42" s="171">
        <f t="shared" si="14"/>
        <v>23836371</v>
      </c>
      <c r="V42" s="194"/>
      <c r="W42" s="171">
        <f t="shared" ref="W42:AD42" si="15">++W11</f>
        <v>28678496</v>
      </c>
      <c r="X42" s="171">
        <f t="shared" si="15"/>
        <v>26909672.517000001</v>
      </c>
      <c r="Y42" s="171">
        <f t="shared" si="15"/>
        <v>1472120.034</v>
      </c>
      <c r="Z42" s="171">
        <f>ROUND(+AA42+AB42+AC42+AD42,0)</f>
        <v>296703</v>
      </c>
      <c r="AA42" s="171">
        <f t="shared" si="15"/>
        <v>189269.83100000001</v>
      </c>
      <c r="AB42" s="171">
        <f t="shared" si="15"/>
        <v>86218.853000000003</v>
      </c>
      <c r="AC42" s="171">
        <f t="shared" si="15"/>
        <v>31.341999999999999</v>
      </c>
      <c r="AD42" s="171">
        <f t="shared" si="15"/>
        <v>21183.438999999998</v>
      </c>
      <c r="AE42" s="203"/>
    </row>
    <row r="43" spans="1:31" s="204" customFormat="1" ht="15" x14ac:dyDescent="0.2">
      <c r="A43" s="199"/>
      <c r="B43" s="200" t="s">
        <v>1202</v>
      </c>
      <c r="C43" s="188"/>
      <c r="D43" s="171">
        <f t="shared" si="9"/>
        <v>99</v>
      </c>
      <c r="E43" s="171">
        <f t="shared" si="10"/>
        <v>45844186.108000003</v>
      </c>
      <c r="F43" s="172">
        <f t="shared" si="11"/>
        <v>7222.65</v>
      </c>
      <c r="G43" s="173"/>
      <c r="H43" s="171">
        <f>+H12</f>
        <v>16</v>
      </c>
      <c r="I43" s="171">
        <f>+I12+I35+I36</f>
        <v>8180175</v>
      </c>
      <c r="J43" s="172">
        <f>+J12</f>
        <v>1201.9499999999998</v>
      </c>
      <c r="K43" s="173"/>
      <c r="L43" s="171">
        <f>+L12</f>
        <v>83</v>
      </c>
      <c r="M43" s="171">
        <f>M12+M35+M36</f>
        <v>37664011.108000003</v>
      </c>
      <c r="N43" s="172">
        <f>+N12</f>
        <v>6020.7</v>
      </c>
      <c r="O43" s="201"/>
      <c r="P43" s="189"/>
      <c r="Q43" s="171">
        <f t="shared" si="14"/>
        <v>8817637.6630000006</v>
      </c>
      <c r="R43" s="171">
        <f t="shared" si="14"/>
        <v>0</v>
      </c>
      <c r="S43" s="171">
        <f t="shared" si="14"/>
        <v>61237.889000000003</v>
      </c>
      <c r="T43" s="171">
        <f t="shared" si="14"/>
        <v>0</v>
      </c>
      <c r="U43" s="171">
        <f t="shared" si="14"/>
        <v>8878876</v>
      </c>
      <c r="V43" s="194"/>
      <c r="W43" s="171">
        <f>++W12</f>
        <v>28785135</v>
      </c>
      <c r="X43" s="171">
        <f>++X12</f>
        <v>26586472.767000001</v>
      </c>
      <c r="Y43" s="171">
        <f>++Y12</f>
        <v>1751842.3389999999</v>
      </c>
      <c r="Z43" s="171">
        <f>ROUND(+AA43+AB43+AC43+AD43,0)</f>
        <v>446820</v>
      </c>
      <c r="AA43" s="171">
        <f>++AA12</f>
        <v>226116.913</v>
      </c>
      <c r="AB43" s="171">
        <f>++AB12</f>
        <v>83189.760999999999</v>
      </c>
      <c r="AC43" s="171">
        <f>++AC12</f>
        <v>43358.722000000002</v>
      </c>
      <c r="AD43" s="171">
        <f>++AD12</f>
        <v>94155.054000000004</v>
      </c>
      <c r="AE43" s="203"/>
    </row>
    <row r="44" spans="1:31" s="254" customFormat="1" ht="18.75" x14ac:dyDescent="0.2">
      <c r="A44" s="251"/>
      <c r="B44" s="258" t="s">
        <v>827</v>
      </c>
      <c r="C44" s="252"/>
      <c r="D44" s="256">
        <f>+D13</f>
        <v>621</v>
      </c>
      <c r="E44" s="255">
        <f>SUM(E39:E43)</f>
        <v>249632606.81900001</v>
      </c>
      <c r="F44" s="257">
        <f>+F13</f>
        <v>44457</v>
      </c>
      <c r="G44" s="173"/>
      <c r="H44" s="256">
        <f>+H13</f>
        <v>45</v>
      </c>
      <c r="I44" s="255">
        <f>SUM(I39:I43)</f>
        <v>23284807</v>
      </c>
      <c r="J44" s="257">
        <f>+J13</f>
        <v>3371.41</v>
      </c>
      <c r="K44" s="173"/>
      <c r="L44" s="256">
        <f>+L13</f>
        <v>576</v>
      </c>
      <c r="M44" s="255">
        <f>SUM(M39:M43)</f>
        <v>226347799.81900001</v>
      </c>
      <c r="N44" s="257">
        <f>+N13</f>
        <v>41085.62999999999</v>
      </c>
      <c r="O44" s="253"/>
      <c r="P44" s="189"/>
      <c r="Q44" s="255">
        <f t="shared" ref="Q44:T44" si="16">SUM(Q39:Q43)</f>
        <v>81538304.706</v>
      </c>
      <c r="R44" s="255">
        <f t="shared" si="16"/>
        <v>30785099.472000003</v>
      </c>
      <c r="S44" s="255">
        <f t="shared" si="16"/>
        <v>303724.451</v>
      </c>
      <c r="T44" s="255">
        <f t="shared" si="16"/>
        <v>0</v>
      </c>
      <c r="U44" s="255">
        <f>SUM(U39:U43)</f>
        <v>112627129</v>
      </c>
      <c r="V44" s="194"/>
      <c r="W44" s="255">
        <f>SUM(W39:W43)-1</f>
        <v>113720669</v>
      </c>
      <c r="X44" s="255">
        <f t="shared" ref="X44:AD44" si="17">SUM(X39:X43)</f>
        <v>95250878.599000007</v>
      </c>
      <c r="Y44" s="255">
        <f t="shared" si="17"/>
        <v>17346081.420000002</v>
      </c>
      <c r="Z44" s="255">
        <f t="shared" si="17"/>
        <v>1123710</v>
      </c>
      <c r="AA44" s="255">
        <f t="shared" si="17"/>
        <v>646149.10199999996</v>
      </c>
      <c r="AB44" s="255">
        <f>SUM(AB39:AB43)</f>
        <v>196621.489</v>
      </c>
      <c r="AC44" s="255">
        <f t="shared" si="17"/>
        <v>98357.923999999999</v>
      </c>
      <c r="AD44" s="255">
        <f t="shared" si="17"/>
        <v>182582.65600000002</v>
      </c>
    </row>
    <row r="45" spans="1:31" s="254" customFormat="1" ht="5.25" customHeight="1" x14ac:dyDescent="0.2">
      <c r="A45" s="251"/>
      <c r="B45" s="501"/>
      <c r="C45" s="252"/>
      <c r="D45" s="502"/>
      <c r="E45" s="503"/>
      <c r="F45" s="504"/>
      <c r="G45" s="173"/>
      <c r="H45" s="502"/>
      <c r="I45" s="503"/>
      <c r="J45" s="504"/>
      <c r="K45" s="173"/>
      <c r="L45" s="502"/>
      <c r="M45" s="503"/>
      <c r="N45" s="504"/>
      <c r="O45" s="173"/>
      <c r="P45" s="210"/>
      <c r="Q45" s="503"/>
      <c r="R45" s="503"/>
      <c r="S45" s="503"/>
      <c r="T45" s="503"/>
      <c r="U45" s="503"/>
      <c r="V45" s="194"/>
      <c r="W45" s="503"/>
      <c r="X45" s="503"/>
      <c r="Y45" s="503"/>
      <c r="Z45" s="503"/>
      <c r="AA45" s="503"/>
      <c r="AB45" s="503"/>
      <c r="AC45" s="503"/>
      <c r="AD45" s="503"/>
    </row>
    <row r="46" spans="1:31" s="204" customFormat="1" ht="15" x14ac:dyDescent="0.2">
      <c r="A46" s="199"/>
      <c r="B46" s="220" t="s">
        <v>1291</v>
      </c>
      <c r="C46" s="188"/>
      <c r="D46" s="171"/>
      <c r="E46" s="171">
        <f>ROUND(+I46+M46,0)</f>
        <v>65087</v>
      </c>
      <c r="F46" s="172"/>
      <c r="G46" s="173"/>
      <c r="H46" s="171"/>
      <c r="I46" s="171"/>
      <c r="J46" s="172"/>
      <c r="K46" s="173"/>
      <c r="L46" s="171"/>
      <c r="M46" s="171">
        <f>++('Proyeccion Recaudos'!D87+Recaud!B9)/1000+S46</f>
        <v>65086.589</v>
      </c>
      <c r="N46" s="172"/>
      <c r="O46" s="201"/>
      <c r="P46" s="189"/>
      <c r="Q46" s="171">
        <f>+Recaud!B9/1000</f>
        <v>65086.589</v>
      </c>
      <c r="R46" s="171">
        <v>0</v>
      </c>
      <c r="S46" s="171">
        <v>0</v>
      </c>
      <c r="T46" s="171"/>
      <c r="U46" s="171">
        <f>SUM(Q46:T46)</f>
        <v>65086.589</v>
      </c>
      <c r="V46" s="194"/>
      <c r="W46" s="171">
        <f>ROUND(+Y46+Z46,0)</f>
        <v>0</v>
      </c>
      <c r="X46" s="171"/>
      <c r="Y46" s="171">
        <f>SUM('Proyeccion Recaudos'!D59:D86)/1000</f>
        <v>0</v>
      </c>
      <c r="Z46" s="171">
        <f t="shared" ref="Z46:Z55" si="18">ROUND(+AA46+AB46+AC46+AD46,0)</f>
        <v>0</v>
      </c>
      <c r="AA46" s="171">
        <f>+'Proyeccion Recaudos'!$D$58/1000</f>
        <v>0</v>
      </c>
      <c r="AB46" s="171">
        <f>+'Proyeccion Recaudos'!$D$57/1000</f>
        <v>0</v>
      </c>
      <c r="AC46" s="171">
        <f>+'Proyeccion Recaudos'!D$56/1000</f>
        <v>0</v>
      </c>
      <c r="AD46" s="171">
        <f>SUM('Proyeccion Recaudos'!$D$7:$D$55)/1000</f>
        <v>0</v>
      </c>
      <c r="AE46" s="203"/>
    </row>
    <row r="47" spans="1:31" s="204" customFormat="1" ht="15" x14ac:dyDescent="0.2">
      <c r="A47" s="199"/>
      <c r="B47" s="220" t="s">
        <v>1292</v>
      </c>
      <c r="C47" s="188"/>
      <c r="D47" s="171"/>
      <c r="E47" s="171">
        <f t="shared" ref="E47:E53" si="19">ROUND(+I47+M47,0)</f>
        <v>341931</v>
      </c>
      <c r="F47" s="172"/>
      <c r="G47" s="173"/>
      <c r="H47" s="171"/>
      <c r="I47" s="171"/>
      <c r="J47" s="172"/>
      <c r="K47" s="173"/>
      <c r="L47" s="171"/>
      <c r="M47" s="171">
        <f>++(Recaud!B10+'Proyeccion Recaudos'!E87)/1000+R47</f>
        <v>341930.78700000001</v>
      </c>
      <c r="N47" s="172"/>
      <c r="O47" s="201"/>
      <c r="P47" s="189"/>
      <c r="Q47" s="171">
        <f>+Recaud!B10/1000</f>
        <v>121933.48699999999</v>
      </c>
      <c r="R47" s="171">
        <f>+Recaud!B11/1000</f>
        <v>207590.908</v>
      </c>
      <c r="S47" s="171">
        <v>0</v>
      </c>
      <c r="T47" s="171"/>
      <c r="U47" s="171">
        <f>SUM(Q47:T47)</f>
        <v>329524.39500000002</v>
      </c>
      <c r="V47" s="194"/>
      <c r="W47" s="171">
        <f>ROUND(+Y47+Z47,0)</f>
        <v>12406</v>
      </c>
      <c r="X47" s="171"/>
      <c r="Y47" s="171">
        <f>SUM('Proyeccion Recaudos'!E59:E86)/1000</f>
        <v>12406.392</v>
      </c>
      <c r="Z47" s="171">
        <f t="shared" si="18"/>
        <v>0</v>
      </c>
      <c r="AA47" s="171">
        <f>+'Proyeccion Recaudos'!E58/1000</f>
        <v>0</v>
      </c>
      <c r="AB47" s="171">
        <f>+'Proyeccion Recaudos'!E57/1000</f>
        <v>0</v>
      </c>
      <c r="AC47" s="171">
        <f>+'Proyeccion Recaudos'!E56/1000</f>
        <v>0</v>
      </c>
      <c r="AD47" s="171">
        <f>SUM('Proyeccion Recaudos'!$E$7:$E$55)/1000</f>
        <v>0</v>
      </c>
      <c r="AE47" s="203"/>
    </row>
    <row r="48" spans="1:31" s="204" customFormat="1" ht="15" x14ac:dyDescent="0.2">
      <c r="A48" s="199"/>
      <c r="B48" s="220" t="s">
        <v>1297</v>
      </c>
      <c r="C48" s="188"/>
      <c r="D48" s="171"/>
      <c r="E48" s="171">
        <f t="shared" si="19"/>
        <v>429587</v>
      </c>
      <c r="F48" s="172"/>
      <c r="G48" s="173"/>
      <c r="H48" s="171"/>
      <c r="I48" s="171"/>
      <c r="J48" s="172"/>
      <c r="K48" s="173"/>
      <c r="L48" s="171"/>
      <c r="M48" s="171">
        <f>++(Recaud!C9+'Proyeccion Recaudos'!M87)/1000+S48</f>
        <v>429586.56699999998</v>
      </c>
      <c r="N48" s="172"/>
      <c r="O48" s="201"/>
      <c r="P48" s="189"/>
      <c r="Q48" s="171">
        <f>++Recaud!C9/1000</f>
        <v>362087.29599999997</v>
      </c>
      <c r="R48" s="171">
        <v>0</v>
      </c>
      <c r="S48" s="171">
        <v>0</v>
      </c>
      <c r="T48" s="171"/>
      <c r="U48" s="171">
        <f>SUM(Q48:T48)</f>
        <v>362087.29599999997</v>
      </c>
      <c r="V48" s="194"/>
      <c r="W48" s="171">
        <f>ROUND(+Y48+Z48,0)</f>
        <v>67499</v>
      </c>
      <c r="X48" s="171"/>
      <c r="Y48" s="171">
        <f>SUM('Proyeccion Recaudos'!M59:M86)/1000</f>
        <v>7837.1729999999998</v>
      </c>
      <c r="Z48" s="171">
        <f t="shared" si="18"/>
        <v>59662</v>
      </c>
      <c r="AA48" s="171">
        <f>+'Proyeccion Recaudos'!M58/1000</f>
        <v>3918.587</v>
      </c>
      <c r="AB48" s="171">
        <f>++'Proyeccion Recaudos'!M57/1000</f>
        <v>55743.510999999999</v>
      </c>
      <c r="AC48" s="171">
        <f>+'Proyeccion Recaudos'!M56/1000</f>
        <v>0</v>
      </c>
      <c r="AD48" s="171">
        <f>SUM('Proyeccion Recaudos'!M7:M55)/1000</f>
        <v>0</v>
      </c>
      <c r="AE48" s="203"/>
    </row>
    <row r="49" spans="1:31" s="204" customFormat="1" ht="15" x14ac:dyDescent="0.2">
      <c r="A49" s="199"/>
      <c r="B49" s="220" t="s">
        <v>1298</v>
      </c>
      <c r="C49" s="188"/>
      <c r="D49" s="171"/>
      <c r="E49" s="171">
        <f>ROUND(+I49+M49,0)</f>
        <v>347666</v>
      </c>
      <c r="F49" s="172"/>
      <c r="G49" s="173"/>
      <c r="H49" s="171"/>
      <c r="I49" s="171"/>
      <c r="J49" s="172"/>
      <c r="K49" s="173"/>
      <c r="L49" s="171"/>
      <c r="M49" s="171">
        <f>++(+Recaud!C10+'Proyeccion Recaudos'!N87)/1000+R49</f>
        <v>347666.08199999999</v>
      </c>
      <c r="N49" s="172"/>
      <c r="O49" s="201"/>
      <c r="P49" s="189"/>
      <c r="Q49" s="171">
        <f>++Recaud!C10/1000</f>
        <v>197504.68599999999</v>
      </c>
      <c r="R49" s="171">
        <f>++Recaud!C11/1000</f>
        <v>150161.39600000001</v>
      </c>
      <c r="S49" s="171">
        <v>0</v>
      </c>
      <c r="T49" s="171"/>
      <c r="U49" s="171">
        <f>SUM(Q49:T49)</f>
        <v>347666.08199999999</v>
      </c>
      <c r="V49" s="194"/>
      <c r="W49" s="171">
        <f>ROUND(+Y49+Z49,0)</f>
        <v>0</v>
      </c>
      <c r="X49" s="171"/>
      <c r="Y49" s="171">
        <f>SUM('Proyeccion Recaudos'!N59:N86)/1000</f>
        <v>0</v>
      </c>
      <c r="Z49" s="171">
        <f t="shared" si="18"/>
        <v>0</v>
      </c>
      <c r="AA49" s="171">
        <f>+'Proyeccion Recaudos'!N58/1000</f>
        <v>0</v>
      </c>
      <c r="AB49" s="171">
        <f>++'Proyeccion Recaudos'!N57/1000</f>
        <v>0</v>
      </c>
      <c r="AC49" s="171">
        <f>+'Proyeccion Recaudos'!N56/1000</f>
        <v>0</v>
      </c>
      <c r="AD49" s="171">
        <f>SUM('Proyeccion Recaudos'!N7:N55)/1000</f>
        <v>0</v>
      </c>
      <c r="AE49" s="203"/>
    </row>
    <row r="50" spans="1:31" s="204" customFormat="1" ht="15" x14ac:dyDescent="0.2">
      <c r="A50" s="199"/>
      <c r="B50" s="220" t="s">
        <v>2653</v>
      </c>
      <c r="C50" s="188"/>
      <c r="D50" s="171"/>
      <c r="E50" s="171">
        <f t="shared" ref="E50:E51" si="20">ROUND(+I50+M50,0)</f>
        <v>0</v>
      </c>
      <c r="F50" s="172"/>
      <c r="G50" s="173"/>
      <c r="H50" s="171"/>
      <c r="I50" s="171"/>
      <c r="J50" s="172"/>
      <c r="K50" s="173"/>
      <c r="L50" s="171"/>
      <c r="M50" s="171">
        <f>+(+Recaud!D9+'Proyeccion Recaudos'!U87)/1000</f>
        <v>0</v>
      </c>
      <c r="N50" s="172"/>
      <c r="O50" s="201"/>
      <c r="P50" s="189"/>
      <c r="Q50" s="171">
        <f>+Recaud!D9/1000</f>
        <v>0</v>
      </c>
      <c r="R50" s="171"/>
      <c r="S50" s="171"/>
      <c r="T50" s="171"/>
      <c r="U50" s="171">
        <f t="shared" ref="U50:U51" si="21">SUM(Q50:T50)</f>
        <v>0</v>
      </c>
      <c r="V50" s="194"/>
      <c r="W50" s="171">
        <f t="shared" ref="W50:W52" si="22">ROUND(+Y50+Z50,0)</f>
        <v>0</v>
      </c>
      <c r="X50" s="171"/>
      <c r="Y50" s="171">
        <f>SUM('Proyeccion Recaudos'!U59:U66)/1000</f>
        <v>0</v>
      </c>
      <c r="Z50" s="171">
        <f t="shared" si="18"/>
        <v>0</v>
      </c>
      <c r="AA50" s="171">
        <f>SUM('Proyeccion Recaudos'!U58/1000)</f>
        <v>0</v>
      </c>
      <c r="AB50" s="171">
        <f>SUM('Proyeccion Recaudos'!U57)/1000</f>
        <v>0</v>
      </c>
      <c r="AC50" s="171">
        <f>SUM('Proyeccion Recaudos'!U56/1000)</f>
        <v>0</v>
      </c>
      <c r="AD50" s="171">
        <f>SUM('Proyeccion Recaudos'!U35:U55)/1000</f>
        <v>0</v>
      </c>
      <c r="AE50" s="203"/>
    </row>
    <row r="51" spans="1:31" s="204" customFormat="1" ht="15" x14ac:dyDescent="0.2">
      <c r="A51" s="199"/>
      <c r="B51" s="220" t="s">
        <v>2654</v>
      </c>
      <c r="C51" s="188"/>
      <c r="D51" s="171"/>
      <c r="E51" s="171">
        <f t="shared" si="20"/>
        <v>0</v>
      </c>
      <c r="F51" s="172"/>
      <c r="G51" s="173"/>
      <c r="H51" s="171"/>
      <c r="I51" s="171"/>
      <c r="J51" s="172"/>
      <c r="K51" s="173"/>
      <c r="L51" s="171"/>
      <c r="M51" s="171">
        <f>++(Recaud!D10+Recaud!D11+'Proyeccion Recaudos'!V87)/1000</f>
        <v>0</v>
      </c>
      <c r="N51" s="172"/>
      <c r="O51" s="201"/>
      <c r="P51" s="189"/>
      <c r="Q51" s="171">
        <f>++Recaud!D10/1000</f>
        <v>0</v>
      </c>
      <c r="R51" s="171">
        <f>++Recaud!D11/1000</f>
        <v>0</v>
      </c>
      <c r="S51" s="171"/>
      <c r="T51" s="171"/>
      <c r="U51" s="171">
        <f t="shared" si="21"/>
        <v>0</v>
      </c>
      <c r="V51" s="194"/>
      <c r="W51" s="171">
        <f t="shared" si="22"/>
        <v>0</v>
      </c>
      <c r="X51" s="171"/>
      <c r="Y51" s="171">
        <f>SUM('Proyeccion Recaudos'!V59:V66)/1000</f>
        <v>0</v>
      </c>
      <c r="Z51" s="171">
        <f t="shared" si="18"/>
        <v>0</v>
      </c>
      <c r="AA51" s="171">
        <f>SUM('Proyeccion Recaudos'!V58)/1000</f>
        <v>0</v>
      </c>
      <c r="AB51" s="171">
        <f>SUM('Proyeccion Recaudos'!V57)/1000</f>
        <v>0</v>
      </c>
      <c r="AC51" s="171">
        <f>SUM('Proyeccion Recaudos'!V56/1000)</f>
        <v>0</v>
      </c>
      <c r="AD51" s="171">
        <f>SUM('Proyeccion Recaudos'!V35:V55)/1000</f>
        <v>0</v>
      </c>
      <c r="AE51" s="203"/>
    </row>
    <row r="52" spans="1:31" s="204" customFormat="1" ht="15" x14ac:dyDescent="0.2">
      <c r="A52" s="199"/>
      <c r="B52" s="220" t="s">
        <v>1299</v>
      </c>
      <c r="C52" s="188"/>
      <c r="D52" s="171"/>
      <c r="E52" s="171">
        <f t="shared" si="19"/>
        <v>1103017</v>
      </c>
      <c r="F52" s="172"/>
      <c r="G52" s="173"/>
      <c r="H52" s="171"/>
      <c r="I52" s="171"/>
      <c r="J52" s="172"/>
      <c r="K52" s="173"/>
      <c r="L52" s="171"/>
      <c r="M52" s="171">
        <f>++(+Recaud!E9+'Proyeccion Recaudos'!AC87)/1000+S52</f>
        <v>1103016.8910000001</v>
      </c>
      <c r="N52" s="172"/>
      <c r="O52" s="201"/>
      <c r="P52" s="189"/>
      <c r="Q52" s="171">
        <f>+Recaud!E9/1000</f>
        <v>338207.18300000002</v>
      </c>
      <c r="R52" s="171">
        <v>0</v>
      </c>
      <c r="S52" s="171">
        <v>0</v>
      </c>
      <c r="T52" s="171"/>
      <c r="U52" s="171">
        <f>SUM(Q52:T52)</f>
        <v>338207.18300000002</v>
      </c>
      <c r="V52" s="194"/>
      <c r="W52" s="171">
        <f t="shared" si="22"/>
        <v>764810</v>
      </c>
      <c r="X52" s="171"/>
      <c r="Y52" s="171">
        <f>SUM('Proyeccion Recaudos'!AC59:AC86)/1000</f>
        <v>235277.19200000001</v>
      </c>
      <c r="Z52" s="171">
        <f t="shared" si="18"/>
        <v>529533</v>
      </c>
      <c r="AA52" s="171">
        <f>+'Proyeccion Recaudos'!AC58/1000</f>
        <v>64729.428</v>
      </c>
      <c r="AB52" s="171">
        <f>++'Proyeccion Recaudos'!AC57/1000</f>
        <v>0</v>
      </c>
      <c r="AC52" s="171">
        <f>+'Proyeccion Recaudos'!AC56/1000</f>
        <v>455662.04599999997</v>
      </c>
      <c r="AD52" s="171">
        <f>SUM('Proyeccion Recaudos'!AC7:AC55)/1000</f>
        <v>9141.0419999999995</v>
      </c>
      <c r="AE52" s="203"/>
    </row>
    <row r="53" spans="1:31" s="204" customFormat="1" ht="15" x14ac:dyDescent="0.2">
      <c r="A53" s="199"/>
      <c r="B53" s="220" t="s">
        <v>1301</v>
      </c>
      <c r="C53" s="188"/>
      <c r="D53" s="171"/>
      <c r="E53" s="171">
        <f t="shared" si="19"/>
        <v>91689</v>
      </c>
      <c r="F53" s="172"/>
      <c r="G53" s="173"/>
      <c r="H53" s="171"/>
      <c r="I53" s="171"/>
      <c r="J53" s="172"/>
      <c r="K53" s="173"/>
      <c r="L53" s="171"/>
      <c r="M53" s="171">
        <f>++(+Recaud!E10+'Proyeccion Recaudos'!AD87)/1000+R53</f>
        <v>91689.021999999997</v>
      </c>
      <c r="N53" s="172"/>
      <c r="O53" s="201"/>
      <c r="P53" s="189"/>
      <c r="Q53" s="171">
        <f>+Recaud!E10/1000</f>
        <v>59618.498</v>
      </c>
      <c r="R53" s="171">
        <f>+Recaud!E11/1000</f>
        <v>0</v>
      </c>
      <c r="S53" s="171">
        <v>0</v>
      </c>
      <c r="T53" s="171"/>
      <c r="U53" s="171">
        <f t="shared" ref="U53" si="23">SUM(Q53:T53)</f>
        <v>59618.498</v>
      </c>
      <c r="V53" s="194"/>
      <c r="W53" s="171">
        <f t="shared" ref="W53" si="24">ROUND(+Y53+Z53,0)</f>
        <v>32071</v>
      </c>
      <c r="X53" s="171"/>
      <c r="Y53" s="171">
        <f>SUM('Proyeccion Recaudos'!AD59:AD86)/1000</f>
        <v>30779.681</v>
      </c>
      <c r="Z53" s="171">
        <f t="shared" si="18"/>
        <v>1291</v>
      </c>
      <c r="AA53" s="171">
        <f>+'Proyeccion Recaudos'!AD58/1000</f>
        <v>0</v>
      </c>
      <c r="AB53" s="171">
        <f>+'Proyeccion Recaudos'!AD57/1000</f>
        <v>0</v>
      </c>
      <c r="AC53" s="171">
        <f>+'Proyeccion Recaudos'!AD56/1000</f>
        <v>0</v>
      </c>
      <c r="AD53" s="171">
        <f>SUM('Proyeccion Recaudos'!AD7:AD55)/1000</f>
        <v>1290.8430000000001</v>
      </c>
      <c r="AE53" s="203"/>
    </row>
    <row r="54" spans="1:31" s="204" customFormat="1" ht="15" x14ac:dyDescent="0.2">
      <c r="A54" s="199"/>
      <c r="B54" s="220" t="s">
        <v>1302</v>
      </c>
      <c r="C54" s="188"/>
      <c r="D54" s="171"/>
      <c r="E54" s="171">
        <f>ROUND(+I54+M54,0)</f>
        <v>850566</v>
      </c>
      <c r="F54" s="172"/>
      <c r="G54" s="173"/>
      <c r="H54" s="171"/>
      <c r="I54" s="171"/>
      <c r="J54" s="172"/>
      <c r="K54" s="173"/>
      <c r="L54" s="171"/>
      <c r="M54" s="171">
        <f>++(+Recaud!F9+'Proyeccion Recaudos'!AJ87)/1000+S54</f>
        <v>850565.79799999995</v>
      </c>
      <c r="N54" s="172"/>
      <c r="O54" s="201"/>
      <c r="P54" s="189"/>
      <c r="Q54" s="171">
        <f>+Recaud!F9/1000</f>
        <v>198608.00099999999</v>
      </c>
      <c r="R54" s="171">
        <v>0</v>
      </c>
      <c r="S54" s="171">
        <v>0</v>
      </c>
      <c r="T54" s="171"/>
      <c r="U54" s="171">
        <f>SUM(Q54:T54)</f>
        <v>198608.00099999999</v>
      </c>
      <c r="V54" s="194"/>
      <c r="W54" s="171">
        <f>ROUND(+Y54+Z54,0)</f>
        <v>651958</v>
      </c>
      <c r="X54" s="171"/>
      <c r="Y54" s="171">
        <f>SUM('Proyeccion Recaudos'!AJ59:AJ86)/1000</f>
        <v>614762.60699999996</v>
      </c>
      <c r="Z54" s="171">
        <f t="shared" si="18"/>
        <v>37195</v>
      </c>
      <c r="AA54" s="171">
        <f>+'Proyeccion Recaudos'!AJ58/1000</f>
        <v>19322.612000000001</v>
      </c>
      <c r="AB54" s="171">
        <f>+'Proyeccion Recaudos'!AJ57/1000</f>
        <v>11245.683000000001</v>
      </c>
      <c r="AC54" s="171">
        <f>+'Proyeccion Recaudos'!AJ56/1000</f>
        <v>2556.107</v>
      </c>
      <c r="AD54" s="171">
        <f>SUM('Proyeccion Recaudos'!AJ7:AJ55)/1000</f>
        <v>4070.788</v>
      </c>
      <c r="AE54" s="203"/>
    </row>
    <row r="55" spans="1:31" s="204" customFormat="1" ht="15" x14ac:dyDescent="0.2">
      <c r="A55" s="199"/>
      <c r="B55" s="220" t="s">
        <v>1300</v>
      </c>
      <c r="C55" s="188"/>
      <c r="D55" s="171"/>
      <c r="E55" s="171">
        <f>ROUND(+I55+M55,0)</f>
        <v>79291</v>
      </c>
      <c r="F55" s="172"/>
      <c r="G55" s="173"/>
      <c r="H55" s="171"/>
      <c r="I55" s="171"/>
      <c r="J55" s="172"/>
      <c r="K55" s="173"/>
      <c r="L55" s="171"/>
      <c r="M55" s="171">
        <f>++(+Recaud!F10+'Proyeccion Recaudos'!AK87)/1000+R55</f>
        <v>79291.379000000001</v>
      </c>
      <c r="N55" s="172"/>
      <c r="O55" s="201"/>
      <c r="P55" s="189"/>
      <c r="Q55" s="171">
        <f>+Recaud!F10/1000</f>
        <v>36171.442000000003</v>
      </c>
      <c r="R55" s="171">
        <f>+Recaud!F11/1000</f>
        <v>0</v>
      </c>
      <c r="S55" s="171">
        <v>0</v>
      </c>
      <c r="T55" s="171"/>
      <c r="U55" s="171">
        <f t="shared" ref="U55" si="25">SUM(Q55:T55)</f>
        <v>36171.442000000003</v>
      </c>
      <c r="V55" s="194"/>
      <c r="W55" s="171">
        <f>ROUND(+Y55+Z55,0)</f>
        <v>43119</v>
      </c>
      <c r="X55" s="171"/>
      <c r="Y55" s="171">
        <f>SUM('Proyeccion Recaudos'!AK59:AK86)/1000</f>
        <v>41074.449000000001</v>
      </c>
      <c r="Z55" s="171">
        <f t="shared" si="18"/>
        <v>2045</v>
      </c>
      <c r="AA55" s="171">
        <f>+'Proyeccion Recaudos'!AK58/1000</f>
        <v>2045.4880000000001</v>
      </c>
      <c r="AB55" s="171">
        <f>+'Proyeccion Recaudos'!AK57/1000</f>
        <v>0</v>
      </c>
      <c r="AC55" s="171">
        <f>+'Proyeccion Recaudos'!AK56/1000</f>
        <v>0</v>
      </c>
      <c r="AD55" s="171">
        <f>SUM('Proyeccion Recaudos'!AK7:AK55)/1000</f>
        <v>0</v>
      </c>
      <c r="AE55" s="203"/>
    </row>
    <row r="56" spans="1:31" s="254" customFormat="1" ht="18.75" x14ac:dyDescent="0.2">
      <c r="A56" s="251"/>
      <c r="B56" s="259" t="s">
        <v>829</v>
      </c>
      <c r="C56" s="252"/>
      <c r="D56" s="256"/>
      <c r="E56" s="255">
        <f>SUM(E46:E55)</f>
        <v>3308834</v>
      </c>
      <c r="F56" s="257"/>
      <c r="G56" s="173"/>
      <c r="H56" s="256"/>
      <c r="I56" s="255">
        <f>SUM(I46:I48)</f>
        <v>0</v>
      </c>
      <c r="J56" s="257"/>
      <c r="K56" s="173"/>
      <c r="L56" s="256"/>
      <c r="M56" s="255">
        <f>SUM(M46:M55)</f>
        <v>3308833.1150000002</v>
      </c>
      <c r="N56" s="257"/>
      <c r="O56" s="253"/>
      <c r="P56" s="189"/>
      <c r="Q56" s="255">
        <f>SUM(Q46:Q55)</f>
        <v>1379217.1819999998</v>
      </c>
      <c r="R56" s="255">
        <f>SUM(R46:R55)</f>
        <v>357752.304</v>
      </c>
      <c r="S56" s="255">
        <f>SUM(S46:S55)</f>
        <v>0</v>
      </c>
      <c r="T56" s="255">
        <f>SUM(T46:T55)</f>
        <v>0</v>
      </c>
      <c r="U56" s="255">
        <f>SUM(U46:U55)</f>
        <v>1736969.4859999998</v>
      </c>
      <c r="V56" s="194"/>
      <c r="W56" s="255">
        <f>SUM(W46:W55)</f>
        <v>1571863</v>
      </c>
      <c r="X56" s="255">
        <f t="shared" ref="X56:AD56" si="26">SUM(X46:X55)</f>
        <v>0</v>
      </c>
      <c r="Y56" s="255">
        <f t="shared" si="26"/>
        <v>942137.49399999995</v>
      </c>
      <c r="Z56" s="255">
        <f t="shared" si="26"/>
        <v>629726</v>
      </c>
      <c r="AA56" s="255">
        <f t="shared" si="26"/>
        <v>90016.115000000005</v>
      </c>
      <c r="AB56" s="255">
        <f t="shared" si="26"/>
        <v>66989.194000000003</v>
      </c>
      <c r="AC56" s="255">
        <f t="shared" si="26"/>
        <v>458218.15299999999</v>
      </c>
      <c r="AD56" s="255">
        <f t="shared" si="26"/>
        <v>14502.673000000001</v>
      </c>
    </row>
    <row r="57" spans="1:31" x14ac:dyDescent="0.2">
      <c r="A57" s="187"/>
      <c r="B57" s="222"/>
      <c r="D57" s="223"/>
      <c r="E57" s="224"/>
      <c r="F57" s="225"/>
      <c r="H57" s="223"/>
      <c r="I57" s="226"/>
      <c r="J57" s="225"/>
      <c r="K57" s="188"/>
      <c r="L57" s="227"/>
      <c r="M57" s="228"/>
      <c r="N57" s="225"/>
      <c r="O57" s="253"/>
      <c r="P57" s="189"/>
      <c r="Q57" s="226"/>
      <c r="R57" s="226"/>
      <c r="S57" s="226"/>
      <c r="T57" s="226"/>
      <c r="U57" s="226"/>
      <c r="V57" s="194"/>
      <c r="W57" s="226"/>
      <c r="X57" s="226"/>
      <c r="Y57" s="226"/>
      <c r="Z57" s="226"/>
      <c r="AA57" s="226"/>
      <c r="AB57" s="226"/>
      <c r="AC57" s="226"/>
      <c r="AD57" s="226"/>
      <c r="AE57" s="217"/>
    </row>
    <row r="58" spans="1:31" x14ac:dyDescent="0.2">
      <c r="A58" s="187"/>
      <c r="B58" s="200" t="s">
        <v>1293</v>
      </c>
      <c r="D58" s="647">
        <f>+H58+L58</f>
        <v>149</v>
      </c>
      <c r="E58" s="648">
        <f>+I58+M58</f>
        <v>47671636.469000004</v>
      </c>
      <c r="F58" s="172">
        <f>+J58+N58</f>
        <v>10427.739999999998</v>
      </c>
      <c r="G58" s="649"/>
      <c r="H58" s="647">
        <f>++H39</f>
        <v>0</v>
      </c>
      <c r="I58" s="648">
        <f>++I39+I46+I47</f>
        <v>76000</v>
      </c>
      <c r="J58" s="172">
        <f>++J39</f>
        <v>0</v>
      </c>
      <c r="K58" s="649"/>
      <c r="L58" s="647">
        <f>++L39</f>
        <v>149</v>
      </c>
      <c r="M58" s="648">
        <f>++M39+M46+M47</f>
        <v>47595636.469000004</v>
      </c>
      <c r="N58" s="172">
        <f>++N39</f>
        <v>10427.739999999998</v>
      </c>
      <c r="O58" s="650"/>
      <c r="P58" s="651"/>
      <c r="Q58" s="648">
        <f>++Q39+Q46+Q47</f>
        <v>26729402.457000002</v>
      </c>
      <c r="R58" s="648">
        <f>++R39+R46+R47</f>
        <v>19347577.432</v>
      </c>
      <c r="S58" s="648">
        <f>+S39+S46+S47</f>
        <v>16074.746999999999</v>
      </c>
      <c r="T58" s="648">
        <f t="shared" ref="T58" si="27">++T39+T46+T47</f>
        <v>0</v>
      </c>
      <c r="U58" s="648">
        <f>SUM(Q58:T58)</f>
        <v>46093054.636</v>
      </c>
      <c r="V58" s="652"/>
      <c r="W58" s="653">
        <f>SUM(X58:Z58)</f>
        <v>1502581.4880000001</v>
      </c>
      <c r="X58" s="653">
        <f>++X39+X46+X47</f>
        <v>1371839.9580000001</v>
      </c>
      <c r="Y58" s="653">
        <f>++Y39+Y46+Y47</f>
        <v>74514.53</v>
      </c>
      <c r="Z58" s="653">
        <f t="shared" ref="Z58:AD58" si="28">++Z39+Z46+Z47</f>
        <v>56227</v>
      </c>
      <c r="AA58" s="653">
        <f t="shared" si="28"/>
        <v>0</v>
      </c>
      <c r="AB58" s="653">
        <f t="shared" si="28"/>
        <v>0</v>
      </c>
      <c r="AC58" s="653">
        <f t="shared" si="28"/>
        <v>0</v>
      </c>
      <c r="AD58" s="653">
        <f t="shared" si="28"/>
        <v>56227.345000000001</v>
      </c>
      <c r="AE58" s="217"/>
    </row>
    <row r="59" spans="1:31" x14ac:dyDescent="0.2">
      <c r="A59" s="187"/>
      <c r="B59" s="200" t="s">
        <v>1294</v>
      </c>
      <c r="D59" s="647">
        <f t="shared" ref="D59:D62" si="29">+H59+L59</f>
        <v>98</v>
      </c>
      <c r="E59" s="648">
        <f t="shared" ref="E59:E62" si="30">+I59+M59</f>
        <v>34455879.864999995</v>
      </c>
      <c r="F59" s="172">
        <f t="shared" ref="F59:F62" si="31">+J59+N59</f>
        <v>7127.1899999999978</v>
      </c>
      <c r="G59" s="649"/>
      <c r="H59" s="647">
        <f>++H40</f>
        <v>3</v>
      </c>
      <c r="I59" s="648">
        <f>++I40+I49+I48</f>
        <v>1322640</v>
      </c>
      <c r="J59" s="172">
        <f>++J40</f>
        <v>228.45000000000002</v>
      </c>
      <c r="K59" s="649"/>
      <c r="L59" s="647">
        <f>++L40</f>
        <v>95</v>
      </c>
      <c r="M59" s="648">
        <f>++M40+M49+M48</f>
        <v>33133239.864999998</v>
      </c>
      <c r="N59" s="172">
        <f>++N40</f>
        <v>6898.739999999998</v>
      </c>
      <c r="O59" s="650"/>
      <c r="P59" s="651"/>
      <c r="Q59" s="648">
        <f>++Q40+Q49+Q48</f>
        <v>18706821.117000002</v>
      </c>
      <c r="R59" s="648">
        <f>++R40+R49+R48</f>
        <v>11795274.344000001</v>
      </c>
      <c r="S59" s="648">
        <f t="shared" ref="S59" si="32">++S40+S49+S48</f>
        <v>69195.523000000001</v>
      </c>
      <c r="T59" s="648">
        <f t="shared" ref="T59" si="33">++T40+T49+T48</f>
        <v>0</v>
      </c>
      <c r="U59" s="648">
        <f t="shared" ref="U59:U62" si="34">SUM(Q59:T59)</f>
        <v>30571290.984000001</v>
      </c>
      <c r="V59" s="652"/>
      <c r="W59" s="653">
        <f t="shared" ref="W59:W64" si="35">SUM(X59:Z59)</f>
        <v>2561948.7830000003</v>
      </c>
      <c r="X59" s="653">
        <f>++X40+X49+X48</f>
        <v>2203235.0290000001</v>
      </c>
      <c r="Y59" s="653">
        <f>++Y40+Y49+Y48</f>
        <v>204856.75400000002</v>
      </c>
      <c r="Z59" s="653">
        <f t="shared" ref="Z59:AD59" si="36">++Z40+Z49+Z48</f>
        <v>153857</v>
      </c>
      <c r="AA59" s="653">
        <f t="shared" si="36"/>
        <v>57663.587</v>
      </c>
      <c r="AB59" s="653">
        <f t="shared" si="36"/>
        <v>55743.510999999999</v>
      </c>
      <c r="AC59" s="653">
        <f t="shared" si="36"/>
        <v>40000</v>
      </c>
      <c r="AD59" s="653">
        <f t="shared" si="36"/>
        <v>450</v>
      </c>
      <c r="AE59" s="217"/>
    </row>
    <row r="60" spans="1:31" x14ac:dyDescent="0.2">
      <c r="A60" s="187"/>
      <c r="B60" s="200" t="s">
        <v>2655</v>
      </c>
      <c r="D60" s="647">
        <f t="shared" si="29"/>
        <v>125</v>
      </c>
      <c r="E60" s="648">
        <f t="shared" si="30"/>
        <v>61878557.368000001</v>
      </c>
      <c r="F60" s="172">
        <f t="shared" si="31"/>
        <v>9115.0400000000027</v>
      </c>
      <c r="G60" s="649"/>
      <c r="H60" s="647">
        <f>++H41</f>
        <v>9</v>
      </c>
      <c r="I60" s="648">
        <f>++I41+I50+I51</f>
        <v>5254242</v>
      </c>
      <c r="J60" s="172">
        <f>+J41</f>
        <v>729.51</v>
      </c>
      <c r="K60" s="649"/>
      <c r="L60" s="647">
        <f>++L41</f>
        <v>116</v>
      </c>
      <c r="M60" s="648">
        <f>++M41+M50+M51</f>
        <v>56624315.368000001</v>
      </c>
      <c r="N60" s="172">
        <f>+N41</f>
        <v>8385.5300000000025</v>
      </c>
      <c r="O60" s="650"/>
      <c r="P60" s="651"/>
      <c r="Q60" s="648">
        <f>++Q41+Q50+Q51</f>
        <v>4351900.801</v>
      </c>
      <c r="R60" s="648">
        <f t="shared" ref="R60:T60" si="37">++R41+R50+R51</f>
        <v>0</v>
      </c>
      <c r="S60" s="648">
        <f>++S41+S50+S51</f>
        <v>0</v>
      </c>
      <c r="T60" s="648">
        <f t="shared" si="37"/>
        <v>0</v>
      </c>
      <c r="U60" s="648">
        <f t="shared" si="34"/>
        <v>4351900.801</v>
      </c>
      <c r="V60" s="652"/>
      <c r="W60" s="653">
        <f t="shared" si="35"/>
        <v>52272414.656000003</v>
      </c>
      <c r="X60" s="648">
        <f t="shared" ref="X60" si="38">++X41+X50+X51</f>
        <v>38179658.328000002</v>
      </c>
      <c r="Y60" s="648">
        <f t="shared" ref="Y60:Z60" si="39">++Y41+Y50+Y51</f>
        <v>13862991.328</v>
      </c>
      <c r="Z60" s="648">
        <f t="shared" si="39"/>
        <v>229765</v>
      </c>
      <c r="AA60" s="648">
        <f t="shared" ref="AA60:AD60" si="40">++AA41+AA50+AA51</f>
        <v>177017.35800000001</v>
      </c>
      <c r="AB60" s="648">
        <f t="shared" si="40"/>
        <v>27212.875</v>
      </c>
      <c r="AC60" s="648">
        <f t="shared" si="40"/>
        <v>14967.86</v>
      </c>
      <c r="AD60" s="648">
        <f t="shared" si="40"/>
        <v>10566.817999999999</v>
      </c>
      <c r="AE60" s="217"/>
    </row>
    <row r="61" spans="1:31" x14ac:dyDescent="0.2">
      <c r="A61" s="187"/>
      <c r="B61" s="200" t="s">
        <v>1295</v>
      </c>
      <c r="D61" s="647">
        <f t="shared" si="29"/>
        <v>150</v>
      </c>
      <c r="E61" s="648">
        <f t="shared" si="30"/>
        <v>62161322.947000004</v>
      </c>
      <c r="F61" s="172">
        <f t="shared" si="31"/>
        <v>10564.419999999996</v>
      </c>
      <c r="G61" s="649"/>
      <c r="H61" s="647">
        <f>++H42</f>
        <v>17</v>
      </c>
      <c r="I61" s="648">
        <f>++I42+I52+I53</f>
        <v>8451750</v>
      </c>
      <c r="J61" s="172">
        <f>++J42</f>
        <v>1211.5000000000002</v>
      </c>
      <c r="K61" s="649"/>
      <c r="L61" s="647">
        <f>++L42</f>
        <v>133</v>
      </c>
      <c r="M61" s="648">
        <f>++M42+M52+M53</f>
        <v>53709572.947000004</v>
      </c>
      <c r="N61" s="172">
        <f>++N42</f>
        <v>9352.9199999999964</v>
      </c>
      <c r="O61" s="650"/>
      <c r="P61" s="651"/>
      <c r="Q61" s="648">
        <f t="shared" ref="Q61:T61" si="41">++Q42+Q52+Q53</f>
        <v>24076980.406999998</v>
      </c>
      <c r="R61" s="648">
        <f>++R42+R52+R53</f>
        <v>0</v>
      </c>
      <c r="S61" s="648">
        <f>++S42+S52+R53</f>
        <v>157216.29199999999</v>
      </c>
      <c r="T61" s="648">
        <f t="shared" si="41"/>
        <v>0</v>
      </c>
      <c r="U61" s="648">
        <f t="shared" si="34"/>
        <v>24234196.698999997</v>
      </c>
      <c r="V61" s="652"/>
      <c r="W61" s="653">
        <f t="shared" si="35"/>
        <v>29475376.424000002</v>
      </c>
      <c r="X61" s="653">
        <f>++X42+X52+X53</f>
        <v>26909672.517000001</v>
      </c>
      <c r="Y61" s="653">
        <f>++Y42+Y52+Y53</f>
        <v>1738176.9070000001</v>
      </c>
      <c r="Z61" s="653">
        <f>++Z42+Z52+Z53</f>
        <v>827527</v>
      </c>
      <c r="AA61" s="653">
        <f t="shared" ref="AA61:AD61" si="42">++AA42+AA52+AA53</f>
        <v>253999.25900000002</v>
      </c>
      <c r="AB61" s="653">
        <f t="shared" si="42"/>
        <v>86218.853000000003</v>
      </c>
      <c r="AC61" s="653">
        <f t="shared" si="42"/>
        <v>455693.38799999998</v>
      </c>
      <c r="AD61" s="653">
        <f t="shared" si="42"/>
        <v>31615.324000000001</v>
      </c>
      <c r="AE61" s="217"/>
    </row>
    <row r="62" spans="1:31" x14ac:dyDescent="0.2">
      <c r="A62" s="187"/>
      <c r="B62" s="200" t="s">
        <v>1296</v>
      </c>
      <c r="D62" s="647">
        <f t="shared" si="29"/>
        <v>99</v>
      </c>
      <c r="E62" s="648">
        <f t="shared" si="30"/>
        <v>46774043.285000004</v>
      </c>
      <c r="F62" s="172">
        <f t="shared" si="31"/>
        <v>7222.65</v>
      </c>
      <c r="G62" s="649"/>
      <c r="H62" s="647">
        <f>++H43</f>
        <v>16</v>
      </c>
      <c r="I62" s="648">
        <f>++I43+I55+I54</f>
        <v>8180175</v>
      </c>
      <c r="J62" s="172">
        <f>++J43</f>
        <v>1201.9499999999998</v>
      </c>
      <c r="K62" s="649"/>
      <c r="L62" s="647">
        <f>++L43</f>
        <v>83</v>
      </c>
      <c r="M62" s="648">
        <f>++M43+M55+M54</f>
        <v>38593868.285000004</v>
      </c>
      <c r="N62" s="172">
        <f>++N43</f>
        <v>6020.7</v>
      </c>
      <c r="O62" s="650"/>
      <c r="P62" s="651"/>
      <c r="Q62" s="648">
        <f t="shared" ref="Q62:T62" si="43">++Q43+Q55+Q54</f>
        <v>9052417.1060000006</v>
      </c>
      <c r="R62" s="648">
        <f>++R43+R55+R54</f>
        <v>0</v>
      </c>
      <c r="S62" s="648">
        <f>++S43+R55+S54</f>
        <v>61237.889000000003</v>
      </c>
      <c r="T62" s="648">
        <f t="shared" si="43"/>
        <v>0</v>
      </c>
      <c r="U62" s="648">
        <f t="shared" si="34"/>
        <v>9113654.995000001</v>
      </c>
      <c r="V62" s="652"/>
      <c r="W62" s="653">
        <f t="shared" si="35"/>
        <v>29480212.162</v>
      </c>
      <c r="X62" s="653">
        <f>++X43+X55+X54</f>
        <v>26586472.767000001</v>
      </c>
      <c r="Y62" s="653">
        <f>++Y43+Y55+Y54</f>
        <v>2407679.395</v>
      </c>
      <c r="Z62" s="653">
        <f t="shared" ref="Z62:AD62" si="44">++Z43+Z55+Z54</f>
        <v>486060</v>
      </c>
      <c r="AA62" s="653">
        <f t="shared" si="44"/>
        <v>247485.01300000001</v>
      </c>
      <c r="AB62" s="653">
        <f t="shared" si="44"/>
        <v>94435.444000000003</v>
      </c>
      <c r="AC62" s="653">
        <f t="shared" si="44"/>
        <v>45914.828999999998</v>
      </c>
      <c r="AD62" s="653">
        <f t="shared" si="44"/>
        <v>98225.842000000004</v>
      </c>
      <c r="AE62" s="217"/>
    </row>
    <row r="63" spans="1:31" hidden="1" x14ac:dyDescent="0.2">
      <c r="A63" s="187"/>
      <c r="B63" s="222"/>
      <c r="D63" s="223"/>
      <c r="E63" s="224"/>
      <c r="F63" s="225"/>
      <c r="H63" s="223"/>
      <c r="I63" s="224"/>
      <c r="J63" s="225"/>
      <c r="K63" s="188"/>
      <c r="L63" s="223"/>
      <c r="M63" s="224"/>
      <c r="N63" s="225"/>
      <c r="O63" s="253"/>
      <c r="P63" s="189"/>
      <c r="Q63" s="224"/>
      <c r="R63" s="224"/>
      <c r="S63" s="224"/>
      <c r="T63" s="224"/>
      <c r="U63" s="224"/>
      <c r="V63" s="194"/>
      <c r="W63" s="653">
        <f t="shared" si="35"/>
        <v>0</v>
      </c>
      <c r="X63" s="224"/>
      <c r="Y63" s="224"/>
      <c r="Z63" s="224"/>
      <c r="AA63" s="224"/>
      <c r="AB63" s="224"/>
      <c r="AC63" s="224"/>
      <c r="AD63" s="224"/>
      <c r="AE63" s="217"/>
    </row>
    <row r="64" spans="1:31" hidden="1" x14ac:dyDescent="0.2">
      <c r="A64" s="187"/>
      <c r="B64" s="222"/>
      <c r="D64" s="223"/>
      <c r="E64" s="224"/>
      <c r="F64" s="225"/>
      <c r="H64" s="223"/>
      <c r="I64" s="224"/>
      <c r="J64" s="225"/>
      <c r="K64" s="188"/>
      <c r="L64" s="223"/>
      <c r="M64" s="224"/>
      <c r="N64" s="225"/>
      <c r="O64" s="253"/>
      <c r="P64" s="189"/>
      <c r="Q64" s="224"/>
      <c r="R64" s="224"/>
      <c r="S64" s="224"/>
      <c r="T64" s="224"/>
      <c r="U64" s="224"/>
      <c r="V64" s="194"/>
      <c r="W64" s="653">
        <f t="shared" si="35"/>
        <v>0</v>
      </c>
      <c r="X64" s="224"/>
      <c r="Y64" s="224"/>
      <c r="Z64" s="224"/>
      <c r="AA64" s="224"/>
      <c r="AB64" s="224"/>
      <c r="AC64" s="224"/>
      <c r="AD64" s="224"/>
      <c r="AE64" s="217"/>
    </row>
    <row r="65" spans="1:31" s="204" customFormat="1" ht="15.75" thickBot="1" x14ac:dyDescent="0.25">
      <c r="A65" s="199"/>
      <c r="B65" s="654" t="s">
        <v>1303</v>
      </c>
      <c r="C65" s="188"/>
      <c r="D65" s="260">
        <f>SUM(D58:D64)</f>
        <v>621</v>
      </c>
      <c r="E65" s="261">
        <f>SUM(E58:E62)</f>
        <v>252941439.93399999</v>
      </c>
      <c r="F65" s="262">
        <f>SUM(F58:F64)</f>
        <v>44457.04</v>
      </c>
      <c r="G65" s="188"/>
      <c r="H65" s="260">
        <f>SUM(H58:H64)</f>
        <v>45</v>
      </c>
      <c r="I65" s="261">
        <f>SUM(I58:I62)</f>
        <v>23284807</v>
      </c>
      <c r="J65" s="262">
        <f>SUM(J58:J64)</f>
        <v>3371.41</v>
      </c>
      <c r="K65" s="188"/>
      <c r="L65" s="260">
        <f>SUM(L58:L64)</f>
        <v>576</v>
      </c>
      <c r="M65" s="261">
        <f>SUM(M58:M62)</f>
        <v>229656632.93400002</v>
      </c>
      <c r="N65" s="262">
        <f>SUM(N58:N64)</f>
        <v>41085.62999999999</v>
      </c>
      <c r="O65" s="253"/>
      <c r="P65" s="189"/>
      <c r="Q65" s="261">
        <f>SUM(Q58:Q62)</f>
        <v>82917521.888000011</v>
      </c>
      <c r="R65" s="261">
        <f t="shared" ref="R65:AD65" si="45">SUM(R58:R62)</f>
        <v>31142851.776000001</v>
      </c>
      <c r="S65" s="261">
        <f t="shared" si="45"/>
        <v>303724.451</v>
      </c>
      <c r="T65" s="261">
        <f t="shared" si="45"/>
        <v>0</v>
      </c>
      <c r="U65" s="261">
        <f t="shared" si="45"/>
        <v>114364098.11500001</v>
      </c>
      <c r="V65" s="194"/>
      <c r="W65" s="261">
        <f t="shared" si="45"/>
        <v>115292533.51300001</v>
      </c>
      <c r="X65" s="261">
        <f t="shared" si="45"/>
        <v>95250878.599000007</v>
      </c>
      <c r="Y65" s="261">
        <f t="shared" si="45"/>
        <v>18288218.914000001</v>
      </c>
      <c r="Z65" s="261">
        <f t="shared" si="45"/>
        <v>1753436</v>
      </c>
      <c r="AA65" s="261">
        <f t="shared" si="45"/>
        <v>736165.21700000006</v>
      </c>
      <c r="AB65" s="261">
        <f t="shared" si="45"/>
        <v>263610.68300000002</v>
      </c>
      <c r="AC65" s="261">
        <f t="shared" si="45"/>
        <v>556576.07699999993</v>
      </c>
      <c r="AD65" s="261">
        <f t="shared" si="45"/>
        <v>197085.329</v>
      </c>
      <c r="AE65" s="203"/>
    </row>
    <row r="66" spans="1:31" s="204" customFormat="1" ht="13.5" thickTop="1" x14ac:dyDescent="0.2">
      <c r="A66" s="199"/>
      <c r="B66" s="203"/>
      <c r="C66" s="188"/>
      <c r="D66" s="203"/>
      <c r="E66" s="203"/>
      <c r="F66" s="203"/>
      <c r="G66" s="188"/>
      <c r="H66" s="203"/>
      <c r="I66" s="203"/>
      <c r="J66" s="203"/>
      <c r="K66" s="188"/>
      <c r="L66" s="203"/>
      <c r="M66" s="203"/>
      <c r="N66" s="203"/>
      <c r="O66" s="253"/>
      <c r="P66" s="189"/>
      <c r="Q66" s="203"/>
      <c r="R66" s="203"/>
      <c r="S66" s="203"/>
      <c r="T66" s="203"/>
      <c r="U66" s="203"/>
      <c r="V66" s="194"/>
      <c r="W66" s="203" t="s">
        <v>196</v>
      </c>
      <c r="X66" s="203"/>
      <c r="Y66" s="203"/>
      <c r="Z66" s="203"/>
      <c r="AA66" s="203"/>
      <c r="AB66" s="203"/>
      <c r="AC66" s="203"/>
      <c r="AD66" s="203"/>
      <c r="AE66" s="203"/>
    </row>
    <row r="67" spans="1:31" s="204" customFormat="1" x14ac:dyDescent="0.2">
      <c r="A67" s="199"/>
      <c r="B67" s="246" t="s">
        <v>817</v>
      </c>
      <c r="C67" s="188"/>
      <c r="D67" s="203"/>
      <c r="E67" s="203"/>
      <c r="F67" s="203"/>
      <c r="G67" s="188"/>
      <c r="H67" s="203"/>
      <c r="I67" s="203"/>
      <c r="J67" s="203"/>
      <c r="K67" s="188"/>
      <c r="L67" s="203"/>
      <c r="M67" s="203"/>
      <c r="N67" s="203"/>
      <c r="O67" s="253"/>
      <c r="P67" s="189"/>
      <c r="Q67" s="203"/>
      <c r="R67" s="203"/>
      <c r="S67" s="203"/>
      <c r="T67" s="203"/>
      <c r="U67" s="203"/>
      <c r="V67" s="194"/>
      <c r="W67" s="203"/>
      <c r="X67" s="203"/>
      <c r="Y67" s="203"/>
      <c r="Z67" s="203"/>
      <c r="AA67" s="203"/>
      <c r="AB67" s="203"/>
      <c r="AC67" s="203"/>
      <c r="AD67" s="203"/>
      <c r="AE67" s="203"/>
    </row>
    <row r="68" spans="1:31" s="204" customFormat="1" ht="15" x14ac:dyDescent="0.2">
      <c r="A68" s="199"/>
      <c r="B68" s="220" t="s">
        <v>1018</v>
      </c>
      <c r="C68" s="188"/>
      <c r="D68" s="171"/>
      <c r="E68" s="171">
        <f t="shared" ref="E68:E77" si="46">+I68+M68</f>
        <v>171627.80600000001</v>
      </c>
      <c r="F68" s="172"/>
      <c r="G68" s="173"/>
      <c r="H68" s="171"/>
      <c r="I68" s="171"/>
      <c r="J68" s="172"/>
      <c r="K68" s="173"/>
      <c r="L68" s="171"/>
      <c r="M68" s="582">
        <f>+Recaud!B12/1000+W68</f>
        <v>171627.80600000001</v>
      </c>
      <c r="N68" s="172"/>
      <c r="O68" s="253"/>
      <c r="P68" s="189"/>
      <c r="Q68" s="171">
        <f>+Recaud!B12/1000</f>
        <v>145865.80600000001</v>
      </c>
      <c r="R68" s="171"/>
      <c r="S68" s="171"/>
      <c r="T68" s="171"/>
      <c r="U68" s="171">
        <f>ROUND(+Q68+S68+T68+R68,0)</f>
        <v>145866</v>
      </c>
      <c r="V68" s="194"/>
      <c r="W68" s="221">
        <f>ROUND(+Y68+Z68,0)</f>
        <v>25762</v>
      </c>
      <c r="X68" s="171">
        <v>0</v>
      </c>
      <c r="Y68" s="221">
        <f>SUM('Proyeccion Recaudos'!F59:F86)/1000</f>
        <v>757.61800000000005</v>
      </c>
      <c r="Z68" s="221">
        <f>ROUND(+AA68+AB68+AC68+AD68,0)</f>
        <v>25004</v>
      </c>
      <c r="AA68" s="221">
        <f>SUM('Proyeccion Recaudos'!F58:G58)/1000</f>
        <v>3980.4380000000001</v>
      </c>
      <c r="AB68" s="221">
        <f>SUM('Proyeccion Recaudos'!F57:G57)/1000</f>
        <v>0</v>
      </c>
      <c r="AC68" s="221">
        <f>SUM('Proyeccion Recaudos'!F56:G56)/1000</f>
        <v>0</v>
      </c>
      <c r="AD68" s="221">
        <f>SUM('Proyeccion Recaudos'!F7:F55)/1000</f>
        <v>21023.743999999999</v>
      </c>
      <c r="AE68" s="203"/>
    </row>
    <row r="69" spans="1:31" s="204" customFormat="1" ht="15" x14ac:dyDescent="0.2">
      <c r="A69" s="199"/>
      <c r="B69" s="220" t="s">
        <v>1017</v>
      </c>
      <c r="C69" s="188"/>
      <c r="D69" s="171"/>
      <c r="E69" s="171">
        <f t="shared" si="46"/>
        <v>103853.96400000001</v>
      </c>
      <c r="F69" s="172"/>
      <c r="G69" s="173"/>
      <c r="H69" s="171"/>
      <c r="I69" s="171"/>
      <c r="J69" s="172"/>
      <c r="K69" s="173"/>
      <c r="L69" s="171"/>
      <c r="M69" s="582">
        <f>+Recaud!C12/1000+W69</f>
        <v>103853.96400000001</v>
      </c>
      <c r="N69" s="172"/>
      <c r="O69" s="253"/>
      <c r="P69" s="189"/>
      <c r="Q69" s="171">
        <f>Recaud!C12/1000</f>
        <v>91616.964000000007</v>
      </c>
      <c r="R69" s="171"/>
      <c r="S69" s="171"/>
      <c r="T69" s="171">
        <f>++T20</f>
        <v>0</v>
      </c>
      <c r="U69" s="171">
        <f t="shared" ref="U69:U73" si="47">ROUND(+Q69+S69+T69+R69,0)</f>
        <v>91617</v>
      </c>
      <c r="V69" s="194"/>
      <c r="W69" s="221">
        <f t="shared" ref="W69:W70" si="48">ROUND(+Y69+Z69,0)</f>
        <v>12237</v>
      </c>
      <c r="X69" s="171">
        <v>0</v>
      </c>
      <c r="Y69" s="221">
        <f>SUM('Proyeccion Recaudos'!O59:O85)/1000</f>
        <v>4066.549</v>
      </c>
      <c r="Z69" s="221">
        <f t="shared" ref="Z69:Z81" si="49">ROUND(+AA69+AB69+AC69+AD69,0)</f>
        <v>8170</v>
      </c>
      <c r="AA69" s="221">
        <f>SUM('Proyeccion Recaudos'!O58:O58)/1000</f>
        <v>4200.26</v>
      </c>
      <c r="AB69" s="221">
        <f>'Proyeccion Recaudos'!O57/1000</f>
        <v>0</v>
      </c>
      <c r="AC69" s="221">
        <f>SUM('Proyeccion Recaudos'!O56)/1000</f>
        <v>1016.636</v>
      </c>
      <c r="AD69" s="221">
        <f>SUM('Proyeccion Recaudos'!O8:O55)/1000</f>
        <v>2953.1770000000001</v>
      </c>
      <c r="AE69" s="203"/>
    </row>
    <row r="70" spans="1:31" s="204" customFormat="1" ht="15" x14ac:dyDescent="0.2">
      <c r="A70" s="199"/>
      <c r="B70" s="220" t="s">
        <v>2656</v>
      </c>
      <c r="C70" s="188"/>
      <c r="D70" s="171"/>
      <c r="E70" s="171">
        <f t="shared" si="46"/>
        <v>5711.8050000000003</v>
      </c>
      <c r="F70" s="172"/>
      <c r="G70" s="173"/>
      <c r="H70" s="171"/>
      <c r="I70" s="171"/>
      <c r="J70" s="172"/>
      <c r="K70" s="173"/>
      <c r="L70" s="171"/>
      <c r="M70" s="582">
        <f>Recaud!D12/1000</f>
        <v>5711.8050000000003</v>
      </c>
      <c r="N70" s="172"/>
      <c r="O70" s="253"/>
      <c r="P70" s="189"/>
      <c r="Q70" s="171">
        <f>+M70</f>
        <v>5711.8050000000003</v>
      </c>
      <c r="R70" s="171"/>
      <c r="S70" s="171"/>
      <c r="T70" s="171"/>
      <c r="U70" s="171">
        <f t="shared" si="47"/>
        <v>5712</v>
      </c>
      <c r="V70" s="194"/>
      <c r="W70" s="221">
        <f t="shared" si="48"/>
        <v>0</v>
      </c>
      <c r="X70" s="171">
        <v>0</v>
      </c>
      <c r="Y70" s="221">
        <v>0</v>
      </c>
      <c r="Z70" s="221">
        <v>0</v>
      </c>
      <c r="AA70" s="221">
        <v>0</v>
      </c>
      <c r="AB70" s="221">
        <v>0</v>
      </c>
      <c r="AC70" s="221">
        <v>0</v>
      </c>
      <c r="AD70" s="221">
        <v>0</v>
      </c>
      <c r="AE70" s="203"/>
    </row>
    <row r="71" spans="1:31" s="204" customFormat="1" ht="15" x14ac:dyDescent="0.2">
      <c r="A71" s="199"/>
      <c r="B71" s="220" t="s">
        <v>1019</v>
      </c>
      <c r="C71" s="188"/>
      <c r="D71" s="171"/>
      <c r="E71" s="171">
        <f t="shared" si="46"/>
        <v>86340.974000000002</v>
      </c>
      <c r="F71" s="172"/>
      <c r="G71" s="173"/>
      <c r="H71" s="171"/>
      <c r="I71" s="171"/>
      <c r="J71" s="172"/>
      <c r="K71" s="173"/>
      <c r="L71" s="171"/>
      <c r="M71" s="582">
        <f>++Recaud!E12/1000+W71</f>
        <v>86340.974000000002</v>
      </c>
      <c r="N71" s="172"/>
      <c r="O71" s="253"/>
      <c r="P71" s="189"/>
      <c r="Q71" s="171">
        <f>Recaud!E12/1000</f>
        <v>61510.974000000002</v>
      </c>
      <c r="R71" s="171"/>
      <c r="S71" s="171"/>
      <c r="T71" s="171"/>
      <c r="U71" s="171">
        <f t="shared" si="47"/>
        <v>61511</v>
      </c>
      <c r="V71" s="194"/>
      <c r="W71" s="221">
        <f>ROUND(+Y71+Z71,0)</f>
        <v>24830</v>
      </c>
      <c r="X71" s="171">
        <v>0</v>
      </c>
      <c r="Y71" s="221">
        <f>SUM('Proyeccion Recaudos'!AE59:AE86)/1000</f>
        <v>21319.771000000001</v>
      </c>
      <c r="Z71" s="221">
        <f t="shared" si="49"/>
        <v>3510</v>
      </c>
      <c r="AA71" s="221">
        <f>SUM('Proyeccion Recaudos'!AE58)/1000</f>
        <v>0</v>
      </c>
      <c r="AB71" s="221">
        <f>SUM('Proyeccion Recaudos'!AE57)/1000</f>
        <v>0</v>
      </c>
      <c r="AC71" s="221">
        <f>SUM('Proyeccion Recaudos'!AE56)/1000</f>
        <v>0</v>
      </c>
      <c r="AD71" s="221">
        <f>SUM('Proyeccion Recaudos'!AE9:AE55)/1000</f>
        <v>3509.8589999999999</v>
      </c>
      <c r="AE71" s="203"/>
    </row>
    <row r="72" spans="1:31" s="204" customFormat="1" ht="15" x14ac:dyDescent="0.2">
      <c r="A72" s="199"/>
      <c r="B72" s="220" t="s">
        <v>1218</v>
      </c>
      <c r="C72" s="188"/>
      <c r="D72" s="171"/>
      <c r="E72" s="171">
        <f t="shared" si="46"/>
        <v>48044.462</v>
      </c>
      <c r="F72" s="172"/>
      <c r="G72" s="173"/>
      <c r="H72" s="171"/>
      <c r="I72" s="171"/>
      <c r="J72" s="172"/>
      <c r="K72" s="173"/>
      <c r="L72" s="171"/>
      <c r="M72" s="582">
        <f>+Recaud!F12/1000+W72</f>
        <v>48044.462</v>
      </c>
      <c r="N72" s="172"/>
      <c r="O72" s="253"/>
      <c r="P72" s="189"/>
      <c r="Q72" s="171">
        <f>Recaud!F12/1000</f>
        <v>40165.462</v>
      </c>
      <c r="R72" s="171"/>
      <c r="S72" s="171"/>
      <c r="T72" s="171"/>
      <c r="U72" s="171">
        <f>ROUND(+Q72+S72+T72+R72,0)</f>
        <v>40165</v>
      </c>
      <c r="V72" s="194"/>
      <c r="W72" s="221">
        <f>ROUND(+Y72+Z72,0)</f>
        <v>7879</v>
      </c>
      <c r="X72" s="171">
        <v>0</v>
      </c>
      <c r="Y72" s="221">
        <f>SUM('Proyeccion Recaudos'!AL59:AL86)/1000</f>
        <v>4107.482</v>
      </c>
      <c r="Z72" s="221">
        <f t="shared" si="49"/>
        <v>3772</v>
      </c>
      <c r="AA72" s="221">
        <f>'Proyeccion Recaudos'!AL58/1000</f>
        <v>0</v>
      </c>
      <c r="AB72" s="221">
        <f>'Proyeccion Recaudos'!AL57/1000</f>
        <v>3771.973</v>
      </c>
      <c r="AC72" s="221">
        <f>SUM('Proyeccion Recaudos'!F28:G28)/1000</f>
        <v>0</v>
      </c>
      <c r="AD72" s="221">
        <f>SUM('Proyeccion Recaudos'!F10:G27)/1000</f>
        <v>0</v>
      </c>
      <c r="AE72" s="203"/>
    </row>
    <row r="73" spans="1:31" s="204" customFormat="1" ht="15" x14ac:dyDescent="0.2">
      <c r="A73" s="199"/>
      <c r="B73" s="220" t="s">
        <v>2949</v>
      </c>
      <c r="C73" s="188"/>
      <c r="D73" s="171"/>
      <c r="E73" s="171">
        <f t="shared" si="46"/>
        <v>9423.7250000000004</v>
      </c>
      <c r="F73" s="172"/>
      <c r="G73" s="173"/>
      <c r="H73" s="171"/>
      <c r="I73" s="171"/>
      <c r="J73" s="172"/>
      <c r="K73" s="173"/>
      <c r="L73" s="171"/>
      <c r="M73" s="582">
        <f>+Recaud!B13/1000+W73</f>
        <v>9423.7250000000004</v>
      </c>
      <c r="N73" s="172"/>
      <c r="O73" s="253"/>
      <c r="P73" s="189"/>
      <c r="Q73" s="171">
        <f>+Recaud!B13/1000</f>
        <v>7045.7250000000004</v>
      </c>
      <c r="R73" s="171"/>
      <c r="S73" s="171"/>
      <c r="T73" s="171"/>
      <c r="U73" s="171">
        <f t="shared" si="47"/>
        <v>7046</v>
      </c>
      <c r="V73" s="194"/>
      <c r="W73" s="221">
        <f>ROUND(+Y73+Z73,0)</f>
        <v>2378</v>
      </c>
      <c r="X73" s="171">
        <v>0</v>
      </c>
      <c r="Y73" s="221">
        <f>SUM('Proyeccion Recaudos'!H59:H86)/1000</f>
        <v>0</v>
      </c>
      <c r="Z73" s="221">
        <f t="shared" si="49"/>
        <v>2378</v>
      </c>
      <c r="AA73" s="221">
        <f>SUM('Proyeccion Recaudos'!H58:H58)/1000</f>
        <v>0</v>
      </c>
      <c r="AB73" s="221">
        <f>SUM('Proyeccion Recaudos'!H57:H57)/1000</f>
        <v>0</v>
      </c>
      <c r="AC73" s="221">
        <f>SUM('Proyeccion Recaudos'!H56:H56)/1000</f>
        <v>0</v>
      </c>
      <c r="AD73" s="221">
        <f>SUM('Proyeccion Recaudos'!H10:H55)/1000</f>
        <v>2377.665</v>
      </c>
      <c r="AE73" s="203"/>
    </row>
    <row r="74" spans="1:31" s="204" customFormat="1" ht="15" x14ac:dyDescent="0.2">
      <c r="A74" s="199"/>
      <c r="B74" s="220" t="s">
        <v>2950</v>
      </c>
      <c r="C74" s="188"/>
      <c r="D74" s="171"/>
      <c r="E74" s="171">
        <f t="shared" si="46"/>
        <v>10254.543</v>
      </c>
      <c r="F74" s="172"/>
      <c r="G74" s="173"/>
      <c r="H74" s="171"/>
      <c r="I74" s="171"/>
      <c r="J74" s="172"/>
      <c r="K74" s="173"/>
      <c r="L74" s="171"/>
      <c r="M74" s="582">
        <f>+Recaud!C13/1000+W74</f>
        <v>10254.543</v>
      </c>
      <c r="N74" s="172"/>
      <c r="O74" s="253"/>
      <c r="P74" s="189"/>
      <c r="Q74" s="171">
        <f>+Recaud!C13/1000</f>
        <v>7661.5429999999997</v>
      </c>
      <c r="R74" s="171"/>
      <c r="S74" s="171"/>
      <c r="T74" s="171"/>
      <c r="U74" s="171">
        <f t="shared" ref="U74" si="50">ROUND(+Q74+S74+T74+R74,0)</f>
        <v>7662</v>
      </c>
      <c r="V74" s="194"/>
      <c r="W74" s="221">
        <f t="shared" ref="W74:W77" si="51">ROUND(+Y74+Z74,0)</f>
        <v>2593</v>
      </c>
      <c r="X74" s="171">
        <v>0</v>
      </c>
      <c r="Y74" s="221">
        <f>SUM('Proyeccion Recaudos'!P59:P84)/1000</f>
        <v>0</v>
      </c>
      <c r="Z74" s="221">
        <f t="shared" si="49"/>
        <v>2593</v>
      </c>
      <c r="AA74" s="221">
        <f>'Proyeccion Recaudos'!P58/1000</f>
        <v>0</v>
      </c>
      <c r="AB74" s="221">
        <f>SUM('Proyeccion Recaudos'!P57)/1000</f>
        <v>1610.367</v>
      </c>
      <c r="AC74" s="221">
        <f>SUM('Proyeccion Recaudos'!P56)/1000</f>
        <v>0</v>
      </c>
      <c r="AD74" s="221">
        <f>SUM('Proyeccion Recaudos'!P12:P55)/1000</f>
        <v>982.27800000000002</v>
      </c>
      <c r="AE74" s="203"/>
    </row>
    <row r="75" spans="1:31" s="204" customFormat="1" ht="15" x14ac:dyDescent="0.2">
      <c r="A75" s="199"/>
      <c r="B75" s="220" t="s">
        <v>3259</v>
      </c>
      <c r="C75" s="188"/>
      <c r="D75" s="171"/>
      <c r="E75" s="171">
        <f t="shared" si="46"/>
        <v>32459.558000000001</v>
      </c>
      <c r="F75" s="172"/>
      <c r="G75" s="173"/>
      <c r="H75" s="171"/>
      <c r="I75" s="171"/>
      <c r="J75" s="172"/>
      <c r="K75" s="173"/>
      <c r="L75" s="171"/>
      <c r="M75" s="582">
        <f>Recaud!B14/1000+W75</f>
        <v>32459.558000000001</v>
      </c>
      <c r="N75" s="172"/>
      <c r="O75" s="253"/>
      <c r="P75" s="189"/>
      <c r="Q75" s="171">
        <f>+Recaud!B14/1000</f>
        <v>20031.558000000001</v>
      </c>
      <c r="R75" s="171"/>
      <c r="S75" s="171">
        <v>0</v>
      </c>
      <c r="T75" s="171"/>
      <c r="U75" s="171">
        <f>ROUND(+Q75+S75+T75+R75,0)</f>
        <v>20032</v>
      </c>
      <c r="V75" s="194"/>
      <c r="W75" s="221">
        <f t="shared" si="51"/>
        <v>12428</v>
      </c>
      <c r="X75" s="171">
        <v>0</v>
      </c>
      <c r="Y75" s="221">
        <f>SUM('Proyeccion Recaudos'!I59:I85)/1000</f>
        <v>0</v>
      </c>
      <c r="Z75" s="221">
        <f t="shared" si="49"/>
        <v>12428</v>
      </c>
      <c r="AA75" s="221">
        <f>SUM('Proyeccion Recaudos'!I58:I58)/1000</f>
        <v>1524.2560000000001</v>
      </c>
      <c r="AB75" s="221">
        <f>SUM('Proyeccion Recaudos'!I57:I57)/1000</f>
        <v>0</v>
      </c>
      <c r="AC75" s="221">
        <f>SUM('Proyeccion Recaudos'!I56:I56)/1000</f>
        <v>6364.1210000000001</v>
      </c>
      <c r="AD75" s="221">
        <f>SUM('Proyeccion Recaudos'!I13:I55)/1000</f>
        <v>4540.0060000000003</v>
      </c>
      <c r="AE75" s="203"/>
    </row>
    <row r="76" spans="1:31" s="204" customFormat="1" ht="15" x14ac:dyDescent="0.2">
      <c r="A76" s="199"/>
      <c r="B76" s="220" t="s">
        <v>3329</v>
      </c>
      <c r="C76" s="188"/>
      <c r="D76" s="171"/>
      <c r="E76" s="171">
        <f t="shared" si="46"/>
        <v>37534.794999999998</v>
      </c>
      <c r="F76" s="172"/>
      <c r="G76" s="173"/>
      <c r="H76" s="171"/>
      <c r="I76" s="171"/>
      <c r="J76" s="172"/>
      <c r="K76" s="173"/>
      <c r="L76" s="171"/>
      <c r="M76" s="582">
        <f>Recaud!C14/1000+W76+S76</f>
        <v>37534.794999999998</v>
      </c>
      <c r="N76" s="172"/>
      <c r="O76" s="253"/>
      <c r="P76" s="189"/>
      <c r="Q76" s="171">
        <f>Recaud!C14/1000</f>
        <v>23180.098999999998</v>
      </c>
      <c r="R76" s="171"/>
      <c r="S76" s="171">
        <f>1258696/1000</f>
        <v>1258.6959999999999</v>
      </c>
      <c r="T76" s="171"/>
      <c r="U76" s="171">
        <f>ROUND(+Q76+S76+T76+R76,0)</f>
        <v>24439</v>
      </c>
      <c r="V76" s="194"/>
      <c r="W76" s="221">
        <f t="shared" si="51"/>
        <v>13096</v>
      </c>
      <c r="X76" s="171">
        <v>0</v>
      </c>
      <c r="Y76" s="221">
        <f>SUM('Proyeccion Recaudos'!Q59:Q85)/1000</f>
        <v>1149.2619999999999</v>
      </c>
      <c r="Z76" s="221">
        <f t="shared" si="49"/>
        <v>11947</v>
      </c>
      <c r="AA76" s="221">
        <f>'Proyeccion Recaudos'!Q58/1000</f>
        <v>1334.4870000000001</v>
      </c>
      <c r="AB76" s="221">
        <f>'Proyeccion Recaudos'!Q57/1000</f>
        <v>0</v>
      </c>
      <c r="AC76" s="221">
        <f>'Proyeccion Recaudos'!Q56/1000</f>
        <v>10474.101000000001</v>
      </c>
      <c r="AD76" s="221">
        <f>SUM('Proyeccion Recaudos'!Q41:Q55)/1000</f>
        <v>137.99600000000001</v>
      </c>
      <c r="AE76" s="203"/>
    </row>
    <row r="77" spans="1:31" s="204" customFormat="1" ht="15" x14ac:dyDescent="0.2">
      <c r="A77" s="199"/>
      <c r="B77" s="220" t="s">
        <v>4361</v>
      </c>
      <c r="C77" s="188"/>
      <c r="D77" s="171"/>
      <c r="E77" s="171">
        <f t="shared" si="46"/>
        <v>1886.922</v>
      </c>
      <c r="F77" s="172"/>
      <c r="G77" s="173"/>
      <c r="H77" s="171"/>
      <c r="I77" s="171"/>
      <c r="J77" s="172"/>
      <c r="K77" s="173"/>
      <c r="L77" s="171"/>
      <c r="M77" s="582">
        <f>SUM(Recaud!E14,'Proyeccion Recaudos'!AF87)/1000</f>
        <v>1886.922</v>
      </c>
      <c r="N77" s="172"/>
      <c r="O77" s="253"/>
      <c r="P77" s="189"/>
      <c r="Q77" s="171">
        <f>Recaud!E14/1000</f>
        <v>1336.9670000000001</v>
      </c>
      <c r="R77" s="171"/>
      <c r="S77" s="171"/>
      <c r="T77" s="171"/>
      <c r="U77" s="171">
        <f>ROUND(+Q77+S77+T77+R77,0)</f>
        <v>1337</v>
      </c>
      <c r="V77" s="194"/>
      <c r="W77" s="221">
        <f t="shared" si="51"/>
        <v>550</v>
      </c>
      <c r="X77" s="171">
        <v>0</v>
      </c>
      <c r="Y77" s="221">
        <f>SUM('Proyeccion Recaudos'!AF59:AF84)/1000</f>
        <v>0</v>
      </c>
      <c r="Z77" s="221">
        <f t="shared" si="49"/>
        <v>550</v>
      </c>
      <c r="AA77" s="221">
        <f>'Proyeccion Recaudos'!AF58/1000</f>
        <v>0</v>
      </c>
      <c r="AB77" s="221">
        <f>'Proyeccion Recaudos'!AF57/1000</f>
        <v>549.95500000000004</v>
      </c>
      <c r="AC77" s="221">
        <v>0</v>
      </c>
      <c r="AD77" s="221">
        <v>0</v>
      </c>
      <c r="AE77" s="203"/>
    </row>
    <row r="78" spans="1:31" s="204" customFormat="1" ht="15" x14ac:dyDescent="0.2">
      <c r="A78" s="199"/>
      <c r="B78" s="220" t="s">
        <v>1465</v>
      </c>
      <c r="C78" s="188"/>
      <c r="D78" s="171"/>
      <c r="E78" s="171">
        <f>+I78+M78</f>
        <v>45671.152000000002</v>
      </c>
      <c r="F78" s="172"/>
      <c r="G78" s="173"/>
      <c r="H78" s="171"/>
      <c r="I78" s="171"/>
      <c r="J78" s="172"/>
      <c r="K78" s="173"/>
      <c r="L78" s="171"/>
      <c r="M78" s="582">
        <f>Recaud!B15/1000+W78</f>
        <v>45671.152000000002</v>
      </c>
      <c r="N78" s="172"/>
      <c r="O78" s="253"/>
      <c r="P78" s="189"/>
      <c r="Q78" s="171">
        <f>Recaud!B15/1000</f>
        <v>45671.152000000002</v>
      </c>
      <c r="R78" s="171"/>
      <c r="S78" s="171"/>
      <c r="T78" s="171"/>
      <c r="U78" s="171">
        <f>ROUND(+Q78+S78+T78+R78,0)</f>
        <v>45671</v>
      </c>
      <c r="V78" s="194"/>
      <c r="W78" s="221">
        <f>ROUND(+Y78+Z78,0)</f>
        <v>0</v>
      </c>
      <c r="X78" s="171">
        <v>0</v>
      </c>
      <c r="Y78" s="221">
        <v>0</v>
      </c>
      <c r="Z78" s="221">
        <f t="shared" si="49"/>
        <v>0</v>
      </c>
      <c r="AA78" s="221">
        <f>SUM('Proyeccion Recaudos'!F34:G35)/1000</f>
        <v>0</v>
      </c>
      <c r="AB78" s="221">
        <f>SUM('Proyeccion Recaudos'!F33:G34)/1000</f>
        <v>0</v>
      </c>
      <c r="AC78" s="221">
        <f>SUM('Proyeccion Recaudos'!F32:G32)/1000</f>
        <v>0</v>
      </c>
      <c r="AD78" s="221">
        <f>SUM('Proyeccion Recaudos'!F14:G31)/1000</f>
        <v>0</v>
      </c>
      <c r="AE78" s="203"/>
    </row>
    <row r="79" spans="1:31" s="204" customFormat="1" ht="15" x14ac:dyDescent="0.2">
      <c r="A79" s="199"/>
      <c r="B79" s="220" t="s">
        <v>2574</v>
      </c>
      <c r="C79" s="188"/>
      <c r="D79" s="171"/>
      <c r="E79" s="171">
        <f>+I79+M79</f>
        <v>4612.1850000000004</v>
      </c>
      <c r="F79" s="172"/>
      <c r="G79" s="173"/>
      <c r="H79" s="171"/>
      <c r="I79" s="171"/>
      <c r="J79" s="172"/>
      <c r="K79" s="173"/>
      <c r="L79" s="171"/>
      <c r="M79" s="582">
        <f>Recaud!C15/1000+W79</f>
        <v>4612.1850000000004</v>
      </c>
      <c r="N79" s="172"/>
      <c r="O79" s="253"/>
      <c r="P79" s="189"/>
      <c r="Q79" s="171">
        <f>Recaud!C15/1000</f>
        <v>4612.1850000000004</v>
      </c>
      <c r="R79" s="171"/>
      <c r="S79" s="171"/>
      <c r="T79" s="171"/>
      <c r="U79" s="171">
        <f>ROUND(+Q79+S79+T79+R79,0)</f>
        <v>4612</v>
      </c>
      <c r="V79" s="194"/>
      <c r="W79" s="221">
        <v>0</v>
      </c>
      <c r="X79" s="171">
        <v>0</v>
      </c>
      <c r="Y79" s="221">
        <v>0</v>
      </c>
      <c r="Z79" s="221">
        <v>0</v>
      </c>
      <c r="AA79" s="221">
        <v>0</v>
      </c>
      <c r="AB79" s="221">
        <v>0</v>
      </c>
      <c r="AC79" s="221">
        <v>0</v>
      </c>
      <c r="AD79" s="221">
        <v>0</v>
      </c>
      <c r="AE79" s="203"/>
    </row>
    <row r="80" spans="1:31" s="204" customFormat="1" ht="15" hidden="1" x14ac:dyDescent="0.2">
      <c r="A80" s="199"/>
      <c r="B80" s="220" t="s">
        <v>2657</v>
      </c>
      <c r="C80" s="188"/>
      <c r="D80" s="171"/>
      <c r="E80" s="171"/>
      <c r="F80" s="172"/>
      <c r="G80" s="173"/>
      <c r="H80" s="171"/>
      <c r="I80" s="171"/>
      <c r="J80" s="172"/>
      <c r="K80" s="173"/>
      <c r="L80" s="171"/>
      <c r="M80" s="582"/>
      <c r="N80" s="172"/>
      <c r="O80" s="253"/>
      <c r="P80" s="189"/>
      <c r="Q80" s="171"/>
      <c r="R80" s="171"/>
      <c r="S80" s="171"/>
      <c r="T80" s="171"/>
      <c r="U80" s="171"/>
      <c r="V80" s="194"/>
      <c r="W80" s="221">
        <v>0</v>
      </c>
      <c r="X80" s="171">
        <v>0</v>
      </c>
      <c r="Y80" s="221"/>
      <c r="Z80" s="221"/>
      <c r="AA80" s="221"/>
      <c r="AB80" s="221"/>
      <c r="AC80" s="221"/>
      <c r="AD80" s="221"/>
      <c r="AE80" s="203"/>
    </row>
    <row r="81" spans="1:31" s="204" customFormat="1" ht="15" x14ac:dyDescent="0.2">
      <c r="A81" s="199"/>
      <c r="B81" s="220" t="s">
        <v>1525</v>
      </c>
      <c r="C81" s="188"/>
      <c r="D81" s="662"/>
      <c r="E81" s="171">
        <f>+I81+M81</f>
        <v>71577.048999999999</v>
      </c>
      <c r="F81" s="663"/>
      <c r="G81" s="173"/>
      <c r="H81" s="662"/>
      <c r="I81" s="662"/>
      <c r="J81" s="663"/>
      <c r="K81" s="173"/>
      <c r="L81" s="662"/>
      <c r="M81" s="662">
        <f>Recaud!E15/1000</f>
        <v>71577.048999999999</v>
      </c>
      <c r="N81" s="663"/>
      <c r="O81" s="253"/>
      <c r="P81" s="189"/>
      <c r="Q81" s="171">
        <f>+M81</f>
        <v>71577.048999999999</v>
      </c>
      <c r="R81" s="662"/>
      <c r="S81" s="662"/>
      <c r="T81" s="662"/>
      <c r="U81" s="171">
        <f>ROUND(+Q81+S81+T81+R81,0)</f>
        <v>71577</v>
      </c>
      <c r="V81" s="194"/>
      <c r="W81" s="221">
        <f>ROUND(+Y81+Z81,0)</f>
        <v>0</v>
      </c>
      <c r="X81" s="662">
        <v>0</v>
      </c>
      <c r="Y81" s="221">
        <v>0</v>
      </c>
      <c r="Z81" s="221">
        <f t="shared" si="49"/>
        <v>0</v>
      </c>
      <c r="AA81" s="221">
        <f>SUM('Proyeccion Recaudos'!F35:G36)/1000</f>
        <v>0</v>
      </c>
      <c r="AB81" s="221">
        <f>SUM('Proyeccion Recaudos'!F34:G35)/1000</f>
        <v>0</v>
      </c>
      <c r="AC81" s="221">
        <f>SUM('Proyeccion Recaudos'!F33:G33)/1000</f>
        <v>0</v>
      </c>
      <c r="AD81" s="221">
        <f>SUM('Proyeccion Recaudos'!F15:G32)/1000</f>
        <v>0</v>
      </c>
      <c r="AE81" s="203"/>
    </row>
    <row r="82" spans="1:31" s="254" customFormat="1" ht="18.75" x14ac:dyDescent="0.2">
      <c r="A82" s="251"/>
      <c r="B82" s="259" t="s">
        <v>830</v>
      </c>
      <c r="C82" s="252"/>
      <c r="D82" s="256"/>
      <c r="E82" s="255">
        <f>SUM(E68:E81)</f>
        <v>628998.94000000006</v>
      </c>
      <c r="F82" s="257"/>
      <c r="G82" s="173"/>
      <c r="H82" s="256"/>
      <c r="I82" s="255">
        <f>SUM(I68:I81)</f>
        <v>0</v>
      </c>
      <c r="J82" s="257"/>
      <c r="K82" s="173"/>
      <c r="L82" s="256"/>
      <c r="M82" s="255">
        <f>SUM(M68:M81)</f>
        <v>628998.94000000006</v>
      </c>
      <c r="N82" s="257"/>
      <c r="O82" s="253"/>
      <c r="P82" s="189"/>
      <c r="Q82" s="255">
        <f>SUM(Q68:Q81)</f>
        <v>525987.28899999999</v>
      </c>
      <c r="R82" s="255">
        <f>SUM(R68:R81)</f>
        <v>0</v>
      </c>
      <c r="S82" s="255">
        <f>SUM(S68:S81)</f>
        <v>1258.6959999999999</v>
      </c>
      <c r="T82" s="255">
        <f>SUM(T68:T81)</f>
        <v>0</v>
      </c>
      <c r="U82" s="255">
        <f>SUM(U68:U81)+1</f>
        <v>527248</v>
      </c>
      <c r="V82" s="194"/>
      <c r="W82" s="255">
        <f>SUM(W68:W81)</f>
        <v>101753</v>
      </c>
      <c r="X82" s="255">
        <f t="shared" ref="X82:AD82" si="52">SUM(X68:X81)</f>
        <v>0</v>
      </c>
      <c r="Y82" s="255">
        <f t="shared" si="52"/>
        <v>31400.682000000001</v>
      </c>
      <c r="Z82" s="255">
        <f t="shared" si="52"/>
        <v>70352</v>
      </c>
      <c r="AA82" s="255">
        <f t="shared" si="52"/>
        <v>11039.440999999999</v>
      </c>
      <c r="AB82" s="255">
        <f>SUM(AB68:AB81)</f>
        <v>5932.2950000000001</v>
      </c>
      <c r="AC82" s="255">
        <f t="shared" si="52"/>
        <v>17854.858</v>
      </c>
      <c r="AD82" s="255">
        <f t="shared" si="52"/>
        <v>35524.724999999999</v>
      </c>
    </row>
    <row r="83" spans="1:31" s="204" customFormat="1" ht="27" customHeight="1" thickBot="1" x14ac:dyDescent="0.25">
      <c r="A83" s="199"/>
      <c r="B83" s="268" t="s">
        <v>23</v>
      </c>
      <c r="C83" s="188"/>
      <c r="D83" s="269">
        <f>+D13</f>
        <v>621</v>
      </c>
      <c r="E83" s="270">
        <f>+E56+E44+E82</f>
        <v>253570439.759</v>
      </c>
      <c r="F83" s="271">
        <f>+F13</f>
        <v>44457</v>
      </c>
      <c r="G83" s="188"/>
      <c r="H83" s="269">
        <f>+H13</f>
        <v>45</v>
      </c>
      <c r="I83" s="270">
        <f>+I56+I44+I82</f>
        <v>23284807</v>
      </c>
      <c r="J83" s="271">
        <f>+J13</f>
        <v>3371.41</v>
      </c>
      <c r="K83" s="188"/>
      <c r="L83" s="269">
        <f>+L13</f>
        <v>576</v>
      </c>
      <c r="M83" s="270">
        <f>+M56+M44+M82</f>
        <v>230285631.87400001</v>
      </c>
      <c r="N83" s="271">
        <f>+N13</f>
        <v>41085.62999999999</v>
      </c>
      <c r="O83" s="253"/>
      <c r="P83" s="232"/>
      <c r="Q83" s="270">
        <f>+Q56+Q44+Q82</f>
        <v>83443509.177000001</v>
      </c>
      <c r="R83" s="270">
        <f>+R56+R44+R82</f>
        <v>31142851.776000004</v>
      </c>
      <c r="S83" s="270">
        <f>+S56+S44+S82</f>
        <v>304983.147</v>
      </c>
      <c r="T83" s="270">
        <f>+T56+T44+T82</f>
        <v>0</v>
      </c>
      <c r="U83" s="270">
        <f>+U56+U44+U82</f>
        <v>114891346.486</v>
      </c>
      <c r="V83" s="194"/>
      <c r="W83" s="270">
        <f>+W56+W44+W82+1</f>
        <v>115394286</v>
      </c>
      <c r="X83" s="270">
        <f t="shared" ref="X83:AD83" si="53">+X56+X44+X82</f>
        <v>95250878.599000007</v>
      </c>
      <c r="Y83" s="270">
        <f t="shared" si="53"/>
        <v>18319619.596000001</v>
      </c>
      <c r="Z83" s="270">
        <f t="shared" si="53"/>
        <v>1823788</v>
      </c>
      <c r="AA83" s="270">
        <f t="shared" si="53"/>
        <v>747204.65799999994</v>
      </c>
      <c r="AB83" s="270">
        <f t="shared" si="53"/>
        <v>269542.978</v>
      </c>
      <c r="AC83" s="270">
        <f t="shared" si="53"/>
        <v>574430.93500000006</v>
      </c>
      <c r="AD83" s="270">
        <f t="shared" si="53"/>
        <v>232610.05400000003</v>
      </c>
      <c r="AE83" s="203"/>
    </row>
    <row r="84" spans="1:31" x14ac:dyDescent="0.2">
      <c r="A84" s="187"/>
      <c r="B84" s="229"/>
      <c r="C84" s="230"/>
      <c r="D84" s="223"/>
      <c r="E84" s="229"/>
      <c r="F84" s="229"/>
      <c r="G84" s="229"/>
      <c r="H84" s="229"/>
      <c r="I84" s="229"/>
      <c r="J84" s="229"/>
      <c r="K84" s="233"/>
      <c r="M84" s="234"/>
      <c r="N84" s="235"/>
      <c r="O84" s="219"/>
      <c r="P84" s="219"/>
      <c r="Q84" s="235"/>
      <c r="R84" s="235"/>
      <c r="S84" s="219"/>
      <c r="T84" s="219"/>
      <c r="U84" s="229"/>
      <c r="V84" s="194"/>
      <c r="W84" s="219"/>
      <c r="X84" s="219"/>
      <c r="Y84" s="229"/>
      <c r="Z84" s="578">
        <f>+Z83/W83</f>
        <v>1.5804838031581565E-2</v>
      </c>
      <c r="AA84" s="236">
        <f>+AA83/$Z$83</f>
        <v>0.40969929509350866</v>
      </c>
      <c r="AB84" s="236">
        <f>+AB83/$Z$83</f>
        <v>0.14779293316986405</v>
      </c>
      <c r="AC84" s="236">
        <f>+AC83/$Z$83</f>
        <v>0.31496584855257304</v>
      </c>
      <c r="AD84" s="236">
        <f>+AD83/$Z$83</f>
        <v>0.12754226587739367</v>
      </c>
    </row>
    <row r="85" spans="1:31" ht="12.75" customHeight="1" x14ac:dyDescent="0.2">
      <c r="A85" s="187"/>
      <c r="B85" s="229"/>
      <c r="C85" s="237"/>
      <c r="D85" s="223"/>
      <c r="E85" s="229"/>
      <c r="F85" s="244"/>
      <c r="G85" s="229"/>
      <c r="H85" s="229"/>
      <c r="I85" s="229"/>
      <c r="J85" s="238"/>
      <c r="K85" s="210"/>
      <c r="L85" s="239"/>
      <c r="M85" s="240"/>
      <c r="N85" s="219"/>
      <c r="O85" s="219"/>
      <c r="P85" s="219"/>
      <c r="Q85" s="219"/>
      <c r="R85" s="219"/>
      <c r="S85" s="219"/>
      <c r="T85" s="219"/>
      <c r="U85" s="241"/>
      <c r="V85" s="194"/>
      <c r="W85" s="229"/>
      <c r="X85" s="229"/>
      <c r="Y85" s="229"/>
      <c r="Z85" s="229"/>
      <c r="AA85" s="187"/>
      <c r="AB85" s="187"/>
      <c r="AC85" s="187"/>
      <c r="AD85" s="187"/>
      <c r="AE85" s="231"/>
    </row>
    <row r="86" spans="1:31" x14ac:dyDescent="0.2">
      <c r="A86" s="187"/>
      <c r="B86" s="229"/>
      <c r="D86" s="223"/>
      <c r="E86" s="229"/>
      <c r="G86" s="229"/>
      <c r="H86" s="229"/>
      <c r="I86" s="229"/>
      <c r="J86" s="199"/>
      <c r="K86" s="210"/>
      <c r="L86" s="242"/>
      <c r="M86" s="243"/>
      <c r="N86" s="219"/>
      <c r="O86" s="219"/>
      <c r="P86" s="219"/>
      <c r="Q86" s="241">
        <f>+U8+W8-M8-M18</f>
        <v>-9.3000002205371857E-2</v>
      </c>
      <c r="R86" s="219"/>
      <c r="S86" s="219"/>
      <c r="T86" s="219"/>
      <c r="U86" s="241">
        <f>++U39+W39-M39</f>
        <v>-9.3000002205371857E-2</v>
      </c>
      <c r="V86" s="194"/>
      <c r="W86" s="241"/>
      <c r="X86" s="241"/>
      <c r="Y86" s="229"/>
      <c r="Z86" s="229"/>
      <c r="AA86" s="187"/>
      <c r="AB86" s="187"/>
      <c r="AC86" s="187"/>
      <c r="AD86" s="187"/>
      <c r="AE86" s="231"/>
    </row>
    <row r="87" spans="1:31" x14ac:dyDescent="0.2">
      <c r="A87" s="187"/>
      <c r="B87" s="229"/>
      <c r="D87" s="223"/>
      <c r="E87" s="229"/>
      <c r="F87" s="229"/>
      <c r="G87" s="229"/>
      <c r="H87" s="229"/>
      <c r="I87" s="229"/>
      <c r="J87" s="199"/>
      <c r="K87" s="210"/>
      <c r="L87" s="242"/>
      <c r="M87" s="243"/>
      <c r="N87" s="219"/>
      <c r="O87" s="219"/>
      <c r="P87" s="244"/>
      <c r="Q87" s="241">
        <f>+U9+W9-M9-M23</f>
        <v>-0.21599999815225601</v>
      </c>
      <c r="R87" s="243"/>
      <c r="S87" s="219"/>
      <c r="T87" s="219"/>
      <c r="U87" s="241">
        <f>++U40+W40-M40</f>
        <v>-0.21599999815225601</v>
      </c>
      <c r="V87" s="194"/>
      <c r="W87" s="584"/>
      <c r="X87" s="584"/>
      <c r="Y87" s="584"/>
      <c r="Z87" s="229"/>
      <c r="AA87" s="187"/>
      <c r="AB87" s="187"/>
      <c r="AC87" s="187"/>
      <c r="AD87" s="187"/>
      <c r="AE87" s="231"/>
    </row>
    <row r="88" spans="1:31" x14ac:dyDescent="0.2">
      <c r="A88" s="187"/>
      <c r="B88" s="229"/>
      <c r="D88" s="223"/>
      <c r="E88" s="229"/>
      <c r="F88" s="229"/>
      <c r="G88" s="229"/>
      <c r="H88" s="229"/>
      <c r="I88" s="229"/>
      <c r="J88" s="199"/>
      <c r="K88" s="210"/>
      <c r="L88" s="242"/>
      <c r="M88" s="243"/>
      <c r="N88" s="219"/>
      <c r="O88" s="219"/>
      <c r="P88" s="244"/>
      <c r="Q88" s="243"/>
      <c r="R88" s="243"/>
      <c r="S88" s="219"/>
      <c r="T88" s="219"/>
      <c r="U88" s="241">
        <f>++U42+W42-M42</f>
        <v>-3.4000001847743988E-2</v>
      </c>
      <c r="V88" s="194"/>
      <c r="W88" s="229"/>
      <c r="X88" s="229"/>
      <c r="Y88" s="229"/>
      <c r="Z88" s="229"/>
      <c r="AA88" s="187"/>
      <c r="AB88" s="187"/>
      <c r="AC88" s="187"/>
      <c r="AD88" s="187"/>
      <c r="AE88" s="231"/>
    </row>
    <row r="89" spans="1:31" x14ac:dyDescent="0.2">
      <c r="A89" s="187"/>
      <c r="B89" s="229"/>
      <c r="D89" s="223"/>
      <c r="E89" s="229"/>
      <c r="F89" s="229"/>
      <c r="G89" s="229"/>
      <c r="H89" s="229"/>
      <c r="I89" s="229"/>
      <c r="J89" s="199"/>
      <c r="K89" s="210"/>
      <c r="L89" s="242"/>
      <c r="M89" s="243"/>
      <c r="N89" s="219"/>
      <c r="O89" s="219"/>
      <c r="P89" s="244"/>
      <c r="Q89" s="243"/>
      <c r="R89" s="243"/>
      <c r="S89" s="219"/>
      <c r="T89" s="219"/>
      <c r="U89" s="241">
        <f>++U43+W43-M43</f>
        <v>-0.1080000028014183</v>
      </c>
      <c r="V89" s="194"/>
      <c r="W89" s="229"/>
      <c r="X89" s="229"/>
      <c r="Y89" s="229"/>
      <c r="Z89" s="229"/>
      <c r="AA89" s="187"/>
      <c r="AB89" s="187"/>
      <c r="AC89" s="187"/>
      <c r="AD89" s="187"/>
      <c r="AE89" s="231"/>
    </row>
    <row r="90" spans="1:31" x14ac:dyDescent="0.2">
      <c r="B90" s="229"/>
      <c r="C90" s="237"/>
      <c r="D90" s="223"/>
      <c r="E90" s="229"/>
      <c r="F90" s="229"/>
      <c r="G90" s="229"/>
      <c r="H90" s="229"/>
      <c r="I90" s="229"/>
      <c r="J90" s="199"/>
      <c r="K90" s="210"/>
      <c r="L90" s="242"/>
      <c r="M90" s="243"/>
      <c r="N90" s="219"/>
      <c r="O90" s="219"/>
      <c r="P90" s="219"/>
      <c r="Q90" s="219"/>
      <c r="R90" s="219"/>
      <c r="S90" s="219"/>
      <c r="T90" s="245"/>
      <c r="U90" s="241">
        <f>++U46+W46-M46</f>
        <v>0</v>
      </c>
      <c r="V90" s="194"/>
      <c r="Z90" s="230"/>
    </row>
    <row r="91" spans="1:31" s="247" customFormat="1" x14ac:dyDescent="0.2">
      <c r="B91" s="230"/>
      <c r="C91" s="230"/>
      <c r="D91" s="230"/>
      <c r="E91" s="230"/>
      <c r="F91" s="245"/>
      <c r="G91" s="230"/>
      <c r="H91" s="230"/>
      <c r="I91" s="230"/>
      <c r="J91" s="230"/>
      <c r="K91" s="230"/>
      <c r="L91" s="248"/>
      <c r="M91" s="230"/>
      <c r="N91" s="230"/>
      <c r="O91" s="230"/>
      <c r="P91" s="230"/>
      <c r="Q91" s="230"/>
      <c r="R91" s="230"/>
      <c r="S91" s="230"/>
      <c r="T91" s="230"/>
      <c r="U91" s="241">
        <f>++U47+W47-M47</f>
        <v>-0.39199999999254942</v>
      </c>
      <c r="V91" s="194"/>
      <c r="W91" s="249"/>
      <c r="X91" s="249"/>
      <c r="Y91" s="230"/>
      <c r="Z91" s="230"/>
      <c r="AA91" s="175"/>
      <c r="AB91" s="175"/>
      <c r="AC91" s="175"/>
      <c r="AD91" s="175"/>
      <c r="AE91" s="175"/>
    </row>
    <row r="92" spans="1:31" s="247" customFormat="1" x14ac:dyDescent="0.2">
      <c r="B92" s="230"/>
      <c r="C92" s="230"/>
      <c r="D92" s="230"/>
      <c r="E92" s="230"/>
      <c r="F92" s="230"/>
      <c r="G92" s="230"/>
      <c r="H92" s="230"/>
      <c r="I92" s="249"/>
      <c r="J92" s="230"/>
      <c r="K92" s="230"/>
      <c r="L92" s="233"/>
      <c r="M92" s="230"/>
      <c r="N92" s="230"/>
      <c r="O92" s="230"/>
      <c r="P92" s="230"/>
      <c r="Q92" s="230"/>
      <c r="R92" s="230"/>
      <c r="S92" s="230"/>
      <c r="T92" s="230"/>
      <c r="U92" s="241">
        <f>++U48+W48-M48</f>
        <v>-0.27100000000791624</v>
      </c>
      <c r="V92" s="194"/>
      <c r="W92" s="249"/>
      <c r="X92" s="249"/>
      <c r="Y92" s="230"/>
      <c r="Z92" s="230"/>
      <c r="AA92" s="230"/>
      <c r="AB92" s="175"/>
      <c r="AC92" s="175"/>
      <c r="AD92" s="175"/>
      <c r="AE92" s="175"/>
    </row>
    <row r="93" spans="1:31" s="247" customFormat="1" x14ac:dyDescent="0.2">
      <c r="B93" s="230"/>
      <c r="C93" s="230"/>
      <c r="D93" s="230"/>
      <c r="E93" s="230"/>
      <c r="F93" s="230"/>
      <c r="G93" s="230"/>
      <c r="H93" s="230"/>
      <c r="I93" s="249"/>
      <c r="J93" s="230"/>
      <c r="K93" s="230"/>
      <c r="L93" s="233"/>
      <c r="M93" s="230"/>
      <c r="N93" s="230"/>
      <c r="O93" s="230"/>
      <c r="P93" s="230"/>
      <c r="Q93" s="246"/>
      <c r="R93" s="246"/>
      <c r="S93" s="230"/>
      <c r="T93" s="230"/>
      <c r="U93" s="241">
        <f>++U49+W49-M49</f>
        <v>0</v>
      </c>
      <c r="V93" s="194"/>
      <c r="W93" s="250"/>
      <c r="X93" s="250"/>
      <c r="Y93" s="230"/>
      <c r="Z93" s="230"/>
      <c r="AA93" s="230"/>
      <c r="AB93" s="175"/>
      <c r="AC93" s="175"/>
      <c r="AD93" s="175"/>
      <c r="AE93" s="175"/>
    </row>
    <row r="94" spans="1:31" s="247" customFormat="1" x14ac:dyDescent="0.2"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3"/>
      <c r="M94" s="230"/>
      <c r="N94" s="230"/>
      <c r="O94" s="230"/>
      <c r="P94" s="230"/>
      <c r="Q94" s="246"/>
      <c r="R94" s="246"/>
      <c r="S94" s="230"/>
      <c r="T94" s="230"/>
      <c r="U94" s="241">
        <f>++U52+W52-M52</f>
        <v>0.29199999989941716</v>
      </c>
      <c r="V94" s="194"/>
      <c r="W94" s="250"/>
      <c r="X94" s="250"/>
      <c r="Y94" s="230"/>
      <c r="Z94" s="230"/>
      <c r="AA94" s="230"/>
      <c r="AB94" s="175"/>
      <c r="AC94" s="175"/>
      <c r="AD94" s="175"/>
      <c r="AE94" s="175"/>
    </row>
    <row r="95" spans="1:31" s="247" customFormat="1" x14ac:dyDescent="0.2">
      <c r="B95" s="230"/>
      <c r="C95" s="230"/>
      <c r="D95" s="230"/>
      <c r="E95" s="230"/>
      <c r="F95" s="230"/>
      <c r="G95" s="230"/>
      <c r="H95" s="230"/>
      <c r="I95" s="230"/>
      <c r="J95" s="230"/>
      <c r="K95" s="230"/>
      <c r="L95" s="233"/>
      <c r="M95" s="230"/>
      <c r="N95" s="230"/>
      <c r="O95" s="230"/>
      <c r="P95" s="230"/>
      <c r="Q95" s="246"/>
      <c r="R95" s="246"/>
      <c r="S95" s="230"/>
      <c r="T95" s="230"/>
      <c r="U95" s="250"/>
      <c r="V95" s="194"/>
      <c r="W95" s="250"/>
      <c r="X95" s="250"/>
      <c r="Y95" s="230"/>
      <c r="Z95" s="230"/>
      <c r="AA95" s="230"/>
      <c r="AB95" s="175"/>
      <c r="AC95" s="175"/>
      <c r="AD95" s="175"/>
      <c r="AE95" s="175"/>
    </row>
    <row r="96" spans="1:31" s="247" customFormat="1" x14ac:dyDescent="0.2">
      <c r="B96" s="230"/>
      <c r="C96" s="230"/>
      <c r="D96" s="230"/>
      <c r="E96" s="230"/>
      <c r="F96" s="230"/>
      <c r="G96" s="230"/>
      <c r="H96" s="230"/>
      <c r="I96" s="230"/>
      <c r="J96" s="230"/>
      <c r="K96" s="230"/>
      <c r="L96" s="233"/>
      <c r="M96" s="230"/>
      <c r="N96" s="230"/>
      <c r="O96" s="230"/>
      <c r="P96" s="230"/>
      <c r="Q96" s="230"/>
      <c r="R96" s="230"/>
      <c r="S96" s="230"/>
      <c r="T96" s="230"/>
      <c r="U96" s="230"/>
      <c r="V96" s="194"/>
      <c r="W96" s="230"/>
      <c r="X96" s="230"/>
      <c r="Y96" s="230"/>
      <c r="Z96" s="230"/>
      <c r="AA96" s="230"/>
      <c r="AB96" s="175"/>
      <c r="AC96" s="175"/>
      <c r="AD96" s="175"/>
      <c r="AE96" s="175"/>
    </row>
    <row r="97" spans="2:31" s="247" customFormat="1" x14ac:dyDescent="0.2">
      <c r="B97" s="230"/>
      <c r="C97" s="230"/>
      <c r="D97" s="230"/>
      <c r="E97" s="230"/>
      <c r="F97" s="230"/>
      <c r="G97" s="230"/>
      <c r="H97" s="230"/>
      <c r="I97" s="230"/>
      <c r="J97" s="230"/>
      <c r="K97" s="230"/>
      <c r="L97" s="233"/>
      <c r="M97" s="230"/>
      <c r="N97" s="230"/>
      <c r="O97" s="230"/>
      <c r="P97" s="230"/>
      <c r="Q97" s="230"/>
      <c r="R97" s="230"/>
      <c r="S97" s="230"/>
      <c r="T97" s="230"/>
      <c r="U97" s="230"/>
      <c r="V97" s="194"/>
      <c r="W97" s="230"/>
      <c r="X97" s="230"/>
      <c r="Y97" s="230"/>
      <c r="Z97" s="230"/>
      <c r="AA97" s="230"/>
      <c r="AB97" s="175"/>
      <c r="AC97" s="175"/>
      <c r="AD97" s="175"/>
      <c r="AE97" s="175"/>
    </row>
    <row r="98" spans="2:31" s="247" customFormat="1" x14ac:dyDescent="0.2">
      <c r="B98" s="230"/>
      <c r="C98" s="230"/>
      <c r="D98" s="230"/>
      <c r="E98" s="230"/>
      <c r="F98" s="230"/>
      <c r="G98" s="230"/>
      <c r="H98" s="230"/>
      <c r="I98" s="230"/>
      <c r="J98" s="230"/>
      <c r="K98" s="230"/>
      <c r="L98" s="233"/>
      <c r="M98" s="230"/>
      <c r="N98" s="230"/>
      <c r="O98" s="230"/>
      <c r="P98" s="230"/>
      <c r="Q98" s="230"/>
      <c r="R98" s="230"/>
      <c r="S98" s="230"/>
      <c r="T98" s="230"/>
      <c r="U98" s="230"/>
      <c r="V98" s="194"/>
      <c r="W98" s="230"/>
      <c r="X98" s="230"/>
      <c r="Y98" s="230"/>
      <c r="Z98" s="230"/>
      <c r="AA98" s="230"/>
      <c r="AB98" s="175"/>
      <c r="AC98" s="175"/>
      <c r="AD98" s="175"/>
      <c r="AE98" s="175"/>
    </row>
    <row r="99" spans="2:31" s="247" customFormat="1" x14ac:dyDescent="0.2">
      <c r="B99" s="230"/>
      <c r="C99" s="230"/>
      <c r="D99" s="230"/>
      <c r="E99" s="230"/>
      <c r="F99" s="230"/>
      <c r="G99" s="230"/>
      <c r="H99" s="230"/>
      <c r="I99" s="230"/>
      <c r="J99" s="230"/>
      <c r="K99" s="230"/>
      <c r="L99" s="233"/>
      <c r="M99" s="230"/>
      <c r="N99" s="230"/>
      <c r="O99" s="230"/>
      <c r="P99" s="230"/>
      <c r="Q99" s="230"/>
      <c r="R99" s="230"/>
      <c r="S99" s="230"/>
      <c r="T99" s="230"/>
      <c r="U99" s="230"/>
      <c r="V99" s="194"/>
      <c r="W99" s="230"/>
      <c r="X99" s="230"/>
      <c r="Y99" s="230"/>
      <c r="Z99" s="230"/>
      <c r="AA99" s="230"/>
      <c r="AB99" s="175"/>
      <c r="AC99" s="175"/>
      <c r="AD99" s="175"/>
      <c r="AE99" s="175"/>
    </row>
    <row r="100" spans="2:31" s="247" customFormat="1" x14ac:dyDescent="0.2">
      <c r="B100" s="230"/>
      <c r="C100" s="230"/>
      <c r="D100" s="230"/>
      <c r="E100" s="230"/>
      <c r="F100" s="230"/>
      <c r="G100" s="230"/>
      <c r="H100" s="230"/>
      <c r="I100" s="230"/>
      <c r="J100" s="230"/>
      <c r="K100" s="230"/>
      <c r="L100" s="233"/>
      <c r="M100" s="230"/>
      <c r="N100" s="230"/>
      <c r="O100" s="230"/>
      <c r="P100" s="230"/>
      <c r="Q100" s="230"/>
      <c r="R100" s="230"/>
      <c r="S100" s="230"/>
      <c r="T100" s="230"/>
      <c r="U100" s="230"/>
      <c r="V100" s="194"/>
      <c r="W100" s="230"/>
      <c r="X100" s="230"/>
      <c r="Y100" s="230"/>
      <c r="Z100" s="230"/>
      <c r="AA100" s="230"/>
      <c r="AB100" s="175"/>
      <c r="AC100" s="175"/>
      <c r="AD100" s="175"/>
      <c r="AE100" s="175"/>
    </row>
    <row r="101" spans="2:31" s="247" customFormat="1" x14ac:dyDescent="0.2">
      <c r="B101" s="230"/>
      <c r="C101" s="230"/>
      <c r="D101" s="230"/>
      <c r="E101" s="230"/>
      <c r="F101" s="230"/>
      <c r="G101" s="230"/>
      <c r="H101" s="230"/>
      <c r="I101" s="230"/>
      <c r="J101" s="230"/>
      <c r="K101" s="230"/>
      <c r="L101" s="233"/>
      <c r="M101" s="230"/>
      <c r="N101" s="230"/>
      <c r="O101" s="230"/>
      <c r="P101" s="230"/>
      <c r="Q101" s="230"/>
      <c r="R101" s="230"/>
      <c r="S101" s="230"/>
      <c r="T101" s="230"/>
      <c r="U101" s="230"/>
      <c r="V101" s="194"/>
      <c r="W101" s="230"/>
      <c r="X101" s="230"/>
      <c r="Y101" s="230"/>
      <c r="Z101" s="230"/>
      <c r="AA101" s="230"/>
      <c r="AB101" s="175"/>
      <c r="AC101" s="175"/>
      <c r="AD101" s="175"/>
      <c r="AE101" s="175"/>
    </row>
    <row r="102" spans="2:31" s="247" customFormat="1" x14ac:dyDescent="0.2">
      <c r="B102" s="230"/>
      <c r="C102" s="230"/>
      <c r="D102" s="230"/>
      <c r="E102" s="230"/>
      <c r="F102" s="230"/>
      <c r="G102" s="230"/>
      <c r="H102" s="230"/>
      <c r="I102" s="230"/>
      <c r="J102" s="230"/>
      <c r="K102" s="230"/>
      <c r="L102" s="233"/>
      <c r="M102" s="230"/>
      <c r="N102" s="230"/>
      <c r="O102" s="230"/>
      <c r="P102" s="230"/>
      <c r="Q102" s="230"/>
      <c r="R102" s="230"/>
      <c r="S102" s="230"/>
      <c r="T102" s="230"/>
      <c r="U102" s="230"/>
      <c r="V102" s="230"/>
      <c r="W102" s="230"/>
      <c r="X102" s="230"/>
      <c r="Y102" s="230"/>
      <c r="Z102" s="230"/>
      <c r="AA102" s="230"/>
      <c r="AB102" s="175"/>
      <c r="AC102" s="175"/>
      <c r="AD102" s="175"/>
      <c r="AE102" s="175"/>
    </row>
    <row r="103" spans="2:31" s="247" customFormat="1" x14ac:dyDescent="0.2">
      <c r="B103" s="230"/>
      <c r="C103" s="230"/>
      <c r="D103" s="230"/>
      <c r="E103" s="230"/>
      <c r="F103" s="230"/>
      <c r="G103" s="230"/>
      <c r="H103" s="230"/>
      <c r="I103" s="230"/>
      <c r="J103" s="230"/>
      <c r="K103" s="230"/>
      <c r="L103" s="233"/>
      <c r="M103" s="230"/>
      <c r="N103" s="230"/>
      <c r="O103" s="230"/>
      <c r="P103" s="230"/>
      <c r="Q103" s="230"/>
      <c r="R103" s="230"/>
      <c r="S103" s="230"/>
      <c r="T103" s="230"/>
      <c r="U103" s="230"/>
      <c r="V103" s="230"/>
      <c r="W103" s="230"/>
      <c r="X103" s="230"/>
      <c r="Y103" s="230"/>
      <c r="Z103" s="230"/>
      <c r="AA103" s="230"/>
      <c r="AB103" s="175"/>
      <c r="AC103" s="175"/>
      <c r="AD103" s="175"/>
      <c r="AE103" s="175"/>
    </row>
    <row r="104" spans="2:31" s="247" customFormat="1" x14ac:dyDescent="0.2">
      <c r="B104" s="230"/>
      <c r="C104" s="230"/>
      <c r="D104" s="230"/>
      <c r="E104" s="230"/>
      <c r="F104" s="230"/>
      <c r="G104" s="230"/>
      <c r="H104" s="230"/>
      <c r="I104" s="230"/>
      <c r="J104" s="230"/>
      <c r="K104" s="230"/>
      <c r="L104" s="233"/>
      <c r="M104" s="230"/>
      <c r="N104" s="230"/>
      <c r="O104" s="230"/>
      <c r="P104" s="230"/>
      <c r="Q104" s="230"/>
      <c r="R104" s="230"/>
      <c r="S104" s="230"/>
      <c r="T104" s="230"/>
      <c r="U104" s="230"/>
      <c r="V104" s="230"/>
      <c r="W104" s="230"/>
      <c r="X104" s="230"/>
      <c r="Y104" s="230"/>
      <c r="Z104" s="230"/>
      <c r="AA104" s="230"/>
      <c r="AB104" s="175"/>
      <c r="AC104" s="175"/>
      <c r="AD104" s="175"/>
      <c r="AE104" s="175"/>
    </row>
    <row r="105" spans="2:31" s="247" customFormat="1" x14ac:dyDescent="0.2">
      <c r="B105" s="230"/>
      <c r="C105" s="230"/>
      <c r="D105" s="230"/>
      <c r="E105" s="230"/>
      <c r="F105" s="230"/>
      <c r="G105" s="230"/>
      <c r="H105" s="230"/>
      <c r="I105" s="230"/>
      <c r="J105" s="230"/>
      <c r="K105" s="230"/>
      <c r="L105" s="233"/>
      <c r="M105" s="230"/>
      <c r="N105" s="230"/>
      <c r="O105" s="230"/>
      <c r="P105" s="230"/>
      <c r="Q105" s="230"/>
      <c r="R105" s="230"/>
      <c r="S105" s="230"/>
      <c r="T105" s="230"/>
      <c r="U105" s="230"/>
      <c r="V105" s="230"/>
      <c r="W105" s="230"/>
      <c r="X105" s="230"/>
      <c r="Y105" s="230"/>
      <c r="Z105" s="230"/>
      <c r="AA105" s="230"/>
      <c r="AB105" s="175"/>
      <c r="AC105" s="175"/>
      <c r="AD105" s="175"/>
      <c r="AE105" s="175"/>
    </row>
    <row r="106" spans="2:31" s="247" customFormat="1" x14ac:dyDescent="0.2">
      <c r="B106" s="230"/>
      <c r="C106" s="230"/>
      <c r="D106" s="230"/>
      <c r="E106" s="230"/>
      <c r="F106" s="230"/>
      <c r="G106" s="230"/>
      <c r="H106" s="230"/>
      <c r="I106" s="230"/>
      <c r="J106" s="230"/>
      <c r="K106" s="230"/>
      <c r="L106" s="233"/>
      <c r="M106" s="230"/>
      <c r="N106" s="230"/>
      <c r="O106" s="230"/>
      <c r="P106" s="230"/>
      <c r="Q106" s="230"/>
      <c r="R106" s="230"/>
      <c r="S106" s="230"/>
      <c r="T106" s="230"/>
      <c r="U106" s="230"/>
      <c r="V106" s="230"/>
      <c r="W106" s="230"/>
      <c r="X106" s="230"/>
      <c r="Y106" s="230"/>
      <c r="Z106" s="230"/>
      <c r="AA106" s="230"/>
      <c r="AB106" s="175"/>
      <c r="AC106" s="175"/>
      <c r="AD106" s="175"/>
      <c r="AE106" s="175"/>
    </row>
    <row r="107" spans="2:31" s="247" customFormat="1" x14ac:dyDescent="0.2">
      <c r="B107" s="230"/>
      <c r="C107" s="230"/>
      <c r="D107" s="230"/>
      <c r="E107" s="230"/>
      <c r="F107" s="230"/>
      <c r="G107" s="230"/>
      <c r="H107" s="230"/>
      <c r="I107" s="230"/>
      <c r="J107" s="230"/>
      <c r="K107" s="230"/>
      <c r="L107" s="233"/>
      <c r="M107" s="230"/>
      <c r="N107" s="230"/>
      <c r="O107" s="230"/>
      <c r="P107" s="230"/>
      <c r="Q107" s="230"/>
      <c r="R107" s="230"/>
      <c r="S107" s="230"/>
      <c r="T107" s="230"/>
      <c r="U107" s="230"/>
      <c r="V107" s="230"/>
      <c r="W107" s="230"/>
      <c r="X107" s="230"/>
      <c r="Y107" s="230"/>
      <c r="Z107" s="230"/>
      <c r="AA107" s="230"/>
      <c r="AB107" s="175"/>
      <c r="AC107" s="175"/>
      <c r="AD107" s="175"/>
      <c r="AE107" s="175"/>
    </row>
    <row r="108" spans="2:31" s="247" customFormat="1" x14ac:dyDescent="0.2">
      <c r="B108" s="230"/>
      <c r="C108" s="230"/>
      <c r="D108" s="230"/>
      <c r="E108" s="230"/>
      <c r="F108" s="230"/>
      <c r="G108" s="230"/>
      <c r="H108" s="230"/>
      <c r="I108" s="230"/>
      <c r="J108" s="230"/>
      <c r="K108" s="230"/>
      <c r="L108" s="233"/>
      <c r="M108" s="230"/>
      <c r="N108" s="230"/>
      <c r="O108" s="230"/>
      <c r="P108" s="230"/>
      <c r="Q108" s="230"/>
      <c r="R108" s="230"/>
      <c r="S108" s="230"/>
      <c r="T108" s="230"/>
      <c r="U108" s="230"/>
      <c r="V108" s="230"/>
      <c r="W108" s="230"/>
      <c r="X108" s="230"/>
      <c r="Y108" s="230"/>
      <c r="Z108" s="230"/>
      <c r="AA108" s="230"/>
      <c r="AB108" s="175"/>
      <c r="AC108" s="175"/>
      <c r="AD108" s="175"/>
      <c r="AE108" s="175"/>
    </row>
    <row r="109" spans="2:31" s="247" customFormat="1" x14ac:dyDescent="0.2">
      <c r="B109" s="230"/>
      <c r="C109" s="230"/>
      <c r="D109" s="230"/>
      <c r="E109" s="230"/>
      <c r="F109" s="230"/>
      <c r="G109" s="230"/>
      <c r="H109" s="230"/>
      <c r="I109" s="230"/>
      <c r="J109" s="230"/>
      <c r="K109" s="230"/>
      <c r="L109" s="233"/>
      <c r="M109" s="230"/>
      <c r="N109" s="230"/>
      <c r="O109" s="230"/>
      <c r="P109" s="230"/>
      <c r="Q109" s="230"/>
      <c r="R109" s="230"/>
      <c r="S109" s="230"/>
      <c r="T109" s="230"/>
      <c r="U109" s="230"/>
      <c r="V109" s="230"/>
      <c r="W109" s="230"/>
      <c r="X109" s="230"/>
      <c r="Y109" s="230"/>
      <c r="Z109" s="230"/>
      <c r="AA109" s="230"/>
      <c r="AB109" s="175"/>
      <c r="AC109" s="175"/>
      <c r="AD109" s="175"/>
      <c r="AE109" s="175"/>
    </row>
    <row r="110" spans="2:31" s="247" customFormat="1" x14ac:dyDescent="0.2">
      <c r="B110" s="230"/>
      <c r="C110" s="230"/>
      <c r="D110" s="230"/>
      <c r="E110" s="230"/>
      <c r="F110" s="230"/>
      <c r="G110" s="230"/>
      <c r="H110" s="230"/>
      <c r="I110" s="230"/>
      <c r="J110" s="230"/>
      <c r="K110" s="230"/>
      <c r="L110" s="233"/>
      <c r="M110" s="230"/>
      <c r="N110" s="230"/>
      <c r="O110" s="230"/>
      <c r="P110" s="230"/>
      <c r="Q110" s="230"/>
      <c r="R110" s="230"/>
      <c r="S110" s="230"/>
      <c r="T110" s="230"/>
      <c r="U110" s="230"/>
      <c r="V110" s="230"/>
      <c r="W110" s="230"/>
      <c r="X110" s="230"/>
      <c r="Y110" s="230"/>
      <c r="Z110" s="230"/>
      <c r="AA110" s="230"/>
      <c r="AB110" s="175"/>
      <c r="AC110" s="175"/>
      <c r="AD110" s="175"/>
      <c r="AE110" s="175"/>
    </row>
    <row r="111" spans="2:31" s="247" customFormat="1" x14ac:dyDescent="0.2">
      <c r="B111" s="230"/>
      <c r="C111" s="230"/>
      <c r="D111" s="230"/>
      <c r="E111" s="230"/>
      <c r="F111" s="230"/>
      <c r="G111" s="230"/>
      <c r="H111" s="230"/>
      <c r="I111" s="230"/>
      <c r="J111" s="230"/>
      <c r="K111" s="230"/>
      <c r="L111" s="233"/>
      <c r="M111" s="230"/>
      <c r="N111" s="230"/>
      <c r="O111" s="230"/>
      <c r="P111" s="230"/>
      <c r="Q111" s="230"/>
      <c r="R111" s="230"/>
      <c r="S111" s="230"/>
      <c r="T111" s="230"/>
      <c r="U111" s="230"/>
      <c r="V111" s="230"/>
      <c r="W111" s="230"/>
      <c r="X111" s="230"/>
      <c r="Y111" s="230"/>
      <c r="Z111" s="230"/>
      <c r="AA111" s="230"/>
      <c r="AB111" s="175"/>
      <c r="AC111" s="175"/>
      <c r="AD111" s="175"/>
      <c r="AE111" s="175"/>
    </row>
    <row r="112" spans="2:31" s="247" customFormat="1" x14ac:dyDescent="0.2">
      <c r="B112" s="230"/>
      <c r="C112" s="230"/>
      <c r="D112" s="230"/>
      <c r="E112" s="230"/>
      <c r="F112" s="230"/>
      <c r="G112" s="230"/>
      <c r="H112" s="230"/>
      <c r="I112" s="230"/>
      <c r="J112" s="230"/>
      <c r="K112" s="230"/>
      <c r="L112" s="233"/>
      <c r="M112" s="230"/>
      <c r="N112" s="230"/>
      <c r="O112" s="230"/>
      <c r="P112" s="230"/>
      <c r="Q112" s="230"/>
      <c r="R112" s="230"/>
      <c r="S112" s="230"/>
      <c r="T112" s="230"/>
      <c r="U112" s="230"/>
      <c r="V112" s="230"/>
      <c r="W112" s="230"/>
      <c r="X112" s="230"/>
      <c r="Y112" s="230"/>
      <c r="Z112" s="230"/>
      <c r="AA112" s="230"/>
      <c r="AB112" s="175"/>
      <c r="AC112" s="175"/>
      <c r="AD112" s="175"/>
      <c r="AE112" s="175"/>
    </row>
    <row r="113" spans="2:31" s="247" customFormat="1" x14ac:dyDescent="0.2">
      <c r="B113" s="230"/>
      <c r="C113" s="230"/>
      <c r="D113" s="230"/>
      <c r="E113" s="230"/>
      <c r="F113" s="230"/>
      <c r="G113" s="230"/>
      <c r="H113" s="230"/>
      <c r="I113" s="230"/>
      <c r="J113" s="230"/>
      <c r="K113" s="230"/>
      <c r="L113" s="233"/>
      <c r="M113" s="230"/>
      <c r="N113" s="230"/>
      <c r="O113" s="230"/>
      <c r="P113" s="230"/>
      <c r="Q113" s="230"/>
      <c r="R113" s="230"/>
      <c r="S113" s="230"/>
      <c r="T113" s="230"/>
      <c r="U113" s="230"/>
      <c r="V113" s="230"/>
      <c r="W113" s="230"/>
      <c r="X113" s="230"/>
      <c r="Y113" s="230"/>
      <c r="Z113" s="230"/>
      <c r="AA113" s="230"/>
      <c r="AB113" s="175"/>
      <c r="AC113" s="175"/>
      <c r="AD113" s="175"/>
      <c r="AE113" s="175"/>
    </row>
    <row r="114" spans="2:31" s="247" customFormat="1" x14ac:dyDescent="0.2">
      <c r="B114" s="230"/>
      <c r="C114" s="230"/>
      <c r="D114" s="230"/>
      <c r="E114" s="230"/>
      <c r="F114" s="230"/>
      <c r="G114" s="230"/>
      <c r="H114" s="230"/>
      <c r="I114" s="230"/>
      <c r="J114" s="230"/>
      <c r="K114" s="230"/>
      <c r="L114" s="233"/>
      <c r="M114" s="230"/>
      <c r="N114" s="230"/>
      <c r="O114" s="230"/>
      <c r="P114" s="230"/>
      <c r="Q114" s="230"/>
      <c r="R114" s="230"/>
      <c r="S114" s="230"/>
      <c r="T114" s="230"/>
      <c r="U114" s="230"/>
      <c r="V114" s="230"/>
      <c r="W114" s="230"/>
      <c r="X114" s="230"/>
      <c r="Y114" s="230"/>
      <c r="Z114" s="230"/>
      <c r="AA114" s="230"/>
      <c r="AB114" s="175"/>
      <c r="AC114" s="175"/>
      <c r="AD114" s="175"/>
      <c r="AE114" s="175"/>
    </row>
    <row r="115" spans="2:31" s="247" customFormat="1" x14ac:dyDescent="0.2">
      <c r="B115" s="230"/>
      <c r="C115" s="230"/>
      <c r="D115" s="230"/>
      <c r="E115" s="230"/>
      <c r="F115" s="230"/>
      <c r="G115" s="230"/>
      <c r="H115" s="230"/>
      <c r="I115" s="230"/>
      <c r="J115" s="230"/>
      <c r="K115" s="230"/>
      <c r="L115" s="233"/>
      <c r="M115" s="230"/>
      <c r="N115" s="230"/>
      <c r="O115" s="230"/>
      <c r="P115" s="230"/>
      <c r="Q115" s="230"/>
      <c r="R115" s="230"/>
      <c r="S115" s="230"/>
      <c r="T115" s="230"/>
      <c r="U115" s="230"/>
      <c r="V115" s="230"/>
      <c r="W115" s="230"/>
      <c r="X115" s="230"/>
      <c r="Y115" s="230"/>
      <c r="Z115" s="230"/>
      <c r="AA115" s="230"/>
      <c r="AB115" s="175"/>
      <c r="AC115" s="175"/>
      <c r="AD115" s="175"/>
      <c r="AE115" s="175"/>
    </row>
    <row r="116" spans="2:31" s="247" customFormat="1" x14ac:dyDescent="0.2">
      <c r="B116" s="230"/>
      <c r="C116" s="230"/>
      <c r="D116" s="230"/>
      <c r="E116" s="230"/>
      <c r="F116" s="230"/>
      <c r="G116" s="230"/>
      <c r="H116" s="230"/>
      <c r="I116" s="230"/>
      <c r="J116" s="230"/>
      <c r="K116" s="230"/>
      <c r="L116" s="233"/>
      <c r="M116" s="230"/>
      <c r="N116" s="230"/>
      <c r="O116" s="230"/>
      <c r="P116" s="230"/>
      <c r="Q116" s="230"/>
      <c r="R116" s="230"/>
      <c r="S116" s="230"/>
      <c r="T116" s="230"/>
      <c r="U116" s="230"/>
      <c r="V116" s="230"/>
      <c r="W116" s="230"/>
      <c r="X116" s="230"/>
      <c r="Y116" s="230"/>
      <c r="Z116" s="230"/>
      <c r="AA116" s="230"/>
      <c r="AB116" s="175"/>
      <c r="AC116" s="175"/>
      <c r="AD116" s="175"/>
      <c r="AE116" s="175"/>
    </row>
    <row r="117" spans="2:31" s="247" customFormat="1" x14ac:dyDescent="0.2">
      <c r="B117" s="230"/>
      <c r="C117" s="230"/>
      <c r="D117" s="230"/>
      <c r="E117" s="230"/>
      <c r="F117" s="230"/>
      <c r="G117" s="230"/>
      <c r="H117" s="230"/>
      <c r="I117" s="230"/>
      <c r="J117" s="230"/>
      <c r="K117" s="230"/>
      <c r="L117" s="233"/>
      <c r="M117" s="230"/>
      <c r="N117" s="230"/>
      <c r="O117" s="230"/>
      <c r="P117" s="230"/>
      <c r="Q117" s="230"/>
      <c r="R117" s="230"/>
      <c r="S117" s="230"/>
      <c r="T117" s="230"/>
      <c r="U117" s="230"/>
      <c r="V117" s="230"/>
      <c r="W117" s="230"/>
      <c r="X117" s="230"/>
      <c r="Y117" s="230"/>
      <c r="Z117" s="230"/>
      <c r="AA117" s="230"/>
      <c r="AB117" s="175"/>
      <c r="AC117" s="175"/>
      <c r="AD117" s="175"/>
      <c r="AE117" s="175"/>
    </row>
    <row r="118" spans="2:31" s="247" customFormat="1" x14ac:dyDescent="0.2">
      <c r="B118" s="230"/>
      <c r="C118" s="230"/>
      <c r="D118" s="230"/>
      <c r="E118" s="230"/>
      <c r="F118" s="230"/>
      <c r="G118" s="230"/>
      <c r="H118" s="230"/>
      <c r="I118" s="230"/>
      <c r="J118" s="230"/>
      <c r="K118" s="230"/>
      <c r="L118" s="233"/>
      <c r="M118" s="230"/>
      <c r="N118" s="230"/>
      <c r="O118" s="230"/>
      <c r="P118" s="230"/>
      <c r="Q118" s="230"/>
      <c r="R118" s="230"/>
      <c r="S118" s="230"/>
      <c r="T118" s="230"/>
      <c r="U118" s="230"/>
      <c r="V118" s="230"/>
      <c r="W118" s="230"/>
      <c r="X118" s="230"/>
      <c r="Y118" s="230"/>
      <c r="Z118" s="230"/>
      <c r="AA118" s="230"/>
      <c r="AB118" s="175"/>
      <c r="AC118" s="175"/>
      <c r="AD118" s="175"/>
      <c r="AE118" s="175"/>
    </row>
  </sheetData>
  <mergeCells count="5">
    <mergeCell ref="D1:AD2"/>
    <mergeCell ref="E3:AA3"/>
    <mergeCell ref="D5:F5"/>
    <mergeCell ref="H5:J5"/>
    <mergeCell ref="L5:N5"/>
  </mergeCells>
  <phoneticPr fontId="62" type="noConversion"/>
  <printOptions horizontalCentered="1" verticalCentered="1"/>
  <pageMargins left="0.70866141732283472" right="0.47244094488188981" top="0.55118110236220474" bottom="0.98425196850393704" header="0" footer="0"/>
  <pageSetup scale="46" fitToHeight="2" orientation="landscape" r:id="rId1"/>
  <headerFooter alignWithMargins="0">
    <oddFooter>&amp;C&amp;P&amp;RElaborado por EQUILIBRIUM Inmobiliario S.A.S</oddFooter>
  </headerFooter>
  <ignoredErrors>
    <ignoredError sqref="U9 W10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C099E-8C38-483B-96F9-60BEF92583D3}">
  <sheetPr>
    <tabColor rgb="FFF6FA58"/>
    <pageSetUpPr fitToPage="1"/>
  </sheetPr>
  <dimension ref="A1:DP81"/>
  <sheetViews>
    <sheetView showGridLines="0" topLeftCell="A68" zoomScale="130" zoomScaleNormal="130" workbookViewId="0">
      <selection activeCell="B76" sqref="B76"/>
    </sheetView>
  </sheetViews>
  <sheetFormatPr baseColWidth="10" defaultColWidth="0" defaultRowHeight="12.75" x14ac:dyDescent="0.2"/>
  <cols>
    <col min="1" max="1" width="22.5703125" style="366" bestFit="1" customWidth="1"/>
    <col min="2" max="2" width="61.5703125" style="366" customWidth="1"/>
    <col min="3" max="3" width="18.42578125" style="366" bestFit="1" customWidth="1"/>
    <col min="4" max="4" width="18.42578125" style="366" customWidth="1"/>
    <col min="5" max="5" width="17.140625" style="366" bestFit="1" customWidth="1"/>
    <col min="6" max="6" width="16" style="366" bestFit="1" customWidth="1"/>
    <col min="7" max="7" width="16.42578125" style="366" bestFit="1" customWidth="1"/>
    <col min="8" max="8" width="16" style="366" bestFit="1" customWidth="1"/>
    <col min="9" max="9" width="16" style="366" customWidth="1"/>
    <col min="10" max="10" width="16.42578125" style="366" bestFit="1" customWidth="1"/>
    <col min="11" max="11" width="14.85546875" style="366" bestFit="1" customWidth="1"/>
    <col min="12" max="12" width="17.140625" style="366" bestFit="1" customWidth="1"/>
    <col min="13" max="13" width="16.7109375" style="366" bestFit="1" customWidth="1"/>
    <col min="14" max="14" width="7.85546875" style="366" hidden="1" customWidth="1"/>
    <col min="15" max="15" width="7.5703125" style="366" hidden="1" customWidth="1"/>
    <col min="16" max="16" width="13.42578125" style="366" customWidth="1"/>
    <col min="17" max="17" width="14.42578125" style="366" bestFit="1" customWidth="1"/>
    <col min="18" max="18" width="13.42578125" style="366" hidden="1" customWidth="1"/>
    <col min="19" max="24" width="14.42578125" style="366" bestFit="1" customWidth="1"/>
    <col min="25" max="26" width="12.5703125" style="366" hidden="1" customWidth="1"/>
    <col min="27" max="27" width="13.42578125" style="366" bestFit="1" customWidth="1"/>
    <col min="28" max="28" width="16" style="366" hidden="1" customWidth="1"/>
    <col min="29" max="29" width="13.42578125" style="366" bestFit="1" customWidth="1"/>
    <col min="30" max="30" width="12.5703125" style="366" hidden="1" customWidth="1"/>
    <col min="31" max="31" width="14.42578125" style="366" bestFit="1" customWidth="1"/>
    <col min="32" max="32" width="14.140625" style="366" bestFit="1" customWidth="1"/>
    <col min="33" max="33" width="13" style="366" bestFit="1" customWidth="1"/>
    <col min="34" max="35" width="13.42578125" style="366" bestFit="1" customWidth="1"/>
    <col min="36" max="36" width="12.7109375" style="366" bestFit="1" customWidth="1"/>
    <col min="37" max="37" width="13" style="366" bestFit="1" customWidth="1"/>
    <col min="38" max="38" width="6.5703125" style="366" hidden="1" customWidth="1"/>
    <col min="39" max="39" width="7.85546875" style="366" hidden="1" customWidth="1"/>
    <col min="40" max="40" width="7.5703125" style="366" hidden="1" customWidth="1"/>
    <col min="41" max="41" width="13.42578125" style="366" bestFit="1" customWidth="1"/>
    <col min="42" max="42" width="13.7109375" style="366" bestFit="1" customWidth="1"/>
    <col min="43" max="43" width="6.5703125" style="366" hidden="1" customWidth="1"/>
    <col min="44" max="44" width="11.42578125" style="366" bestFit="1" customWidth="1"/>
    <col min="45" max="45" width="7.5703125" style="366" hidden="1" customWidth="1"/>
    <col min="46" max="47" width="14.140625" style="366" bestFit="1" customWidth="1"/>
    <col min="48" max="48" width="11.42578125" style="366" hidden="1" customWidth="1"/>
    <col min="49" max="49" width="14.140625" style="366" bestFit="1" customWidth="1"/>
    <col min="50" max="50" width="7.5703125" style="366" bestFit="1" customWidth="1"/>
    <col min="51" max="51" width="18.42578125" style="366" bestFit="1" customWidth="1"/>
    <col min="52" max="52" width="7.85546875" style="366" hidden="1" customWidth="1"/>
    <col min="53" max="53" width="16.5703125" style="366" hidden="1" customWidth="1"/>
    <col min="54" max="54" width="12.5703125" style="366" customWidth="1"/>
    <col min="55" max="61" width="12.5703125" style="366" hidden="1" customWidth="1"/>
    <col min="62" max="62" width="14.5703125" style="366" hidden="1" customWidth="1"/>
    <col min="63" max="63" width="0.5703125" style="366" hidden="1" customWidth="1"/>
    <col min="64" max="65" width="13.5703125" style="366" hidden="1" customWidth="1"/>
    <col min="66" max="66" width="13.42578125" style="366" hidden="1" customWidth="1"/>
    <col min="67" max="68" width="12.140625" style="366" hidden="1" customWidth="1"/>
    <col min="69" max="70" width="10.85546875" style="366" hidden="1" customWidth="1"/>
    <col min="71" max="73" width="12.140625" style="366" hidden="1" customWidth="1"/>
    <col min="74" max="74" width="14" style="366" hidden="1" customWidth="1"/>
    <col min="75" max="75" width="12.140625" style="366" hidden="1" customWidth="1"/>
    <col min="76" max="76" width="8.140625" style="366" hidden="1" customWidth="1"/>
    <col min="77" max="79" width="10.140625" style="366" hidden="1" customWidth="1"/>
    <col min="80" max="80" width="11.42578125" style="366" hidden="1" customWidth="1"/>
    <col min="81" max="83" width="10.140625" style="366" hidden="1" customWidth="1"/>
    <col min="84" max="84" width="6.42578125" style="366" hidden="1" customWidth="1"/>
    <col min="85" max="85" width="0.140625" style="366" hidden="1" customWidth="1"/>
    <col min="86" max="86" width="8.140625" style="366" hidden="1" customWidth="1"/>
    <col min="87" max="87" width="6.42578125" style="366" hidden="1" customWidth="1"/>
    <col min="88" max="91" width="10.140625" style="366" hidden="1" customWidth="1"/>
    <col min="92" max="115" width="15.5703125" style="366" hidden="1" customWidth="1"/>
    <col min="116" max="116" width="19.85546875" style="366" hidden="1" customWidth="1"/>
    <col min="117" max="117" width="15.5703125" style="366" hidden="1" customWidth="1"/>
    <col min="118" max="119" width="16.5703125" style="366" hidden="1" customWidth="1"/>
    <col min="120" max="120" width="1" style="369" hidden="1" customWidth="1"/>
    <col min="121" max="16384" width="11.42578125" style="366" hidden="1"/>
  </cols>
  <sheetData>
    <row r="1" spans="1:120" s="333" customFormat="1" x14ac:dyDescent="0.2">
      <c r="A1" s="332"/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  <c r="O1" s="253"/>
      <c r="P1" s="253"/>
      <c r="Q1" s="253"/>
      <c r="R1" s="253"/>
      <c r="S1" s="253"/>
      <c r="T1" s="253"/>
      <c r="U1" s="253"/>
      <c r="V1" s="253"/>
      <c r="W1" s="253"/>
      <c r="X1" s="253"/>
      <c r="Y1" s="253"/>
      <c r="Z1" s="253"/>
      <c r="AA1" s="253"/>
      <c r="AB1" s="253"/>
      <c r="AC1" s="253"/>
      <c r="AD1" s="253"/>
      <c r="AE1" s="253"/>
      <c r="AF1" s="253"/>
      <c r="AG1" s="253"/>
      <c r="AH1" s="253"/>
      <c r="AI1" s="253"/>
      <c r="AJ1" s="253"/>
      <c r="AK1" s="253"/>
      <c r="AL1" s="253"/>
      <c r="AM1" s="253"/>
      <c r="AN1" s="253"/>
      <c r="AO1" s="253"/>
      <c r="AP1" s="253"/>
      <c r="AQ1" s="253"/>
      <c r="AR1" s="253"/>
      <c r="AS1" s="253"/>
      <c r="AT1" s="253"/>
      <c r="AU1" s="253"/>
      <c r="AV1" s="253"/>
      <c r="AW1" s="253"/>
      <c r="AX1" s="253"/>
      <c r="AY1" s="253"/>
      <c r="AZ1" s="253"/>
      <c r="BA1" s="253"/>
      <c r="BB1" s="253"/>
      <c r="DP1" s="334"/>
    </row>
    <row r="2" spans="1:120" s="340" customFormat="1" ht="26.25" x14ac:dyDescent="0.2">
      <c r="A2" s="335"/>
      <c r="B2" s="508" t="s">
        <v>35</v>
      </c>
      <c r="C2" s="336"/>
      <c r="D2" s="336"/>
      <c r="E2" s="337"/>
      <c r="F2" s="337"/>
      <c r="G2" s="337"/>
      <c r="H2" s="337"/>
      <c r="I2" s="337"/>
      <c r="J2" s="337"/>
      <c r="K2" s="337"/>
      <c r="L2" s="337"/>
      <c r="M2" s="337"/>
      <c r="N2" s="337"/>
      <c r="O2" s="337"/>
      <c r="P2" s="337"/>
      <c r="Q2" s="337"/>
      <c r="R2" s="337"/>
      <c r="S2" s="337"/>
      <c r="T2" s="337"/>
      <c r="U2" s="337"/>
      <c r="V2" s="337"/>
      <c r="W2" s="337"/>
      <c r="X2" s="337"/>
      <c r="Y2" s="337"/>
      <c r="Z2" s="337"/>
      <c r="AA2" s="337"/>
      <c r="AB2" s="337"/>
      <c r="AC2" s="337"/>
      <c r="AD2" s="337"/>
      <c r="AE2" s="337"/>
      <c r="AF2" s="337"/>
      <c r="AG2" s="337"/>
      <c r="AH2" s="337"/>
      <c r="AI2" s="337"/>
      <c r="AJ2" s="337"/>
      <c r="AK2" s="337"/>
      <c r="AL2" s="337"/>
      <c r="AM2" s="337"/>
      <c r="AN2" s="337"/>
      <c r="AO2" s="337"/>
      <c r="AP2" s="337"/>
      <c r="AQ2" s="337"/>
      <c r="AR2" s="337"/>
      <c r="AS2" s="337"/>
      <c r="AT2" s="337"/>
      <c r="AU2" s="337"/>
      <c r="AV2" s="337"/>
      <c r="AW2" s="337"/>
      <c r="AX2" s="337"/>
      <c r="AY2" s="337"/>
      <c r="AZ2" s="337"/>
      <c r="BA2" s="337"/>
      <c r="BB2" s="337"/>
      <c r="BC2" s="338"/>
      <c r="BD2" s="338"/>
      <c r="BE2" s="338"/>
      <c r="BF2" s="338"/>
      <c r="BG2" s="338"/>
      <c r="BH2" s="338"/>
      <c r="BI2" s="338"/>
      <c r="BJ2" s="338"/>
      <c r="BK2" s="338"/>
      <c r="BL2" s="338"/>
      <c r="BM2" s="338"/>
      <c r="BN2" s="338"/>
      <c r="BO2" s="338"/>
      <c r="BP2" s="338"/>
      <c r="BQ2" s="338"/>
      <c r="BR2" s="338"/>
      <c r="BS2" s="338"/>
      <c r="BT2" s="338"/>
      <c r="BU2" s="338"/>
      <c r="BV2" s="338"/>
      <c r="BW2" s="338"/>
      <c r="BX2" s="339"/>
      <c r="BY2" s="339"/>
      <c r="BZ2" s="339"/>
      <c r="CA2" s="339"/>
      <c r="CB2" s="339"/>
      <c r="CC2" s="339"/>
      <c r="DP2" s="341"/>
    </row>
    <row r="3" spans="1:120" s="347" customFormat="1" ht="18.75" x14ac:dyDescent="0.2">
      <c r="A3" s="342"/>
      <c r="B3" s="829">
        <f>++'Datos globales '!B10:C10</f>
        <v>45900</v>
      </c>
      <c r="C3" s="829"/>
      <c r="D3" s="829"/>
      <c r="E3" s="829"/>
      <c r="F3" s="343"/>
      <c r="G3" s="343"/>
      <c r="H3" s="343"/>
      <c r="I3" s="343"/>
      <c r="J3" s="344"/>
      <c r="K3" s="344"/>
      <c r="L3" s="344"/>
      <c r="M3" s="344"/>
      <c r="N3" s="344"/>
      <c r="O3" s="344"/>
      <c r="P3" s="344"/>
      <c r="Q3" s="344"/>
      <c r="R3" s="344"/>
      <c r="S3" s="344"/>
      <c r="T3" s="344"/>
      <c r="U3" s="344"/>
      <c r="V3" s="344"/>
      <c r="W3" s="344"/>
      <c r="X3" s="344"/>
      <c r="Y3" s="344"/>
      <c r="Z3" s="344"/>
      <c r="AA3" s="344"/>
      <c r="AB3" s="344"/>
      <c r="AC3" s="344"/>
      <c r="AD3" s="344"/>
      <c r="AE3" s="344"/>
      <c r="AF3" s="344"/>
      <c r="AG3" s="344"/>
      <c r="AH3" s="344"/>
      <c r="AI3" s="344"/>
      <c r="AJ3" s="344"/>
      <c r="AK3" s="344"/>
      <c r="AL3" s="344"/>
      <c r="AM3" s="344"/>
      <c r="AN3" s="344"/>
      <c r="AO3" s="344"/>
      <c r="AP3" s="344"/>
      <c r="AQ3" s="344"/>
      <c r="AR3" s="344"/>
      <c r="AS3" s="344"/>
      <c r="AT3" s="344"/>
      <c r="AU3" s="344"/>
      <c r="AV3" s="344"/>
      <c r="AW3" s="344"/>
      <c r="AX3" s="344"/>
      <c r="AY3" s="344"/>
      <c r="AZ3" s="344"/>
      <c r="BA3" s="344"/>
      <c r="BB3" s="344"/>
      <c r="BC3" s="345"/>
      <c r="BD3" s="345"/>
      <c r="BE3" s="345"/>
      <c r="BF3" s="345"/>
      <c r="BG3" s="345"/>
      <c r="BH3" s="345"/>
      <c r="BI3" s="345"/>
      <c r="BJ3" s="345"/>
      <c r="BK3" s="345"/>
      <c r="BL3" s="345"/>
      <c r="BM3" s="345"/>
      <c r="BN3" s="345"/>
      <c r="BO3" s="345"/>
      <c r="BP3" s="345"/>
      <c r="BQ3" s="345"/>
      <c r="BR3" s="345"/>
      <c r="BS3" s="345"/>
      <c r="BT3" s="345"/>
      <c r="BU3" s="345"/>
      <c r="BV3" s="345"/>
      <c r="BW3" s="345"/>
      <c r="BX3" s="346"/>
      <c r="BY3" s="346"/>
      <c r="BZ3" s="346"/>
      <c r="CA3" s="346"/>
      <c r="CB3" s="346"/>
      <c r="CC3" s="346"/>
      <c r="DP3" s="348"/>
    </row>
    <row r="4" spans="1:120" s="333" customFormat="1" ht="11.25" customHeight="1" x14ac:dyDescent="0.2">
      <c r="A4" s="253"/>
      <c r="B4" s="349"/>
      <c r="C4" s="349"/>
      <c r="D4" s="349"/>
      <c r="E4" s="349"/>
      <c r="F4" s="349"/>
      <c r="G4" s="349"/>
      <c r="H4" s="349"/>
      <c r="I4" s="349"/>
      <c r="J4" s="253"/>
      <c r="K4" s="253"/>
      <c r="L4" s="253"/>
      <c r="M4" s="253"/>
      <c r="N4" s="253"/>
      <c r="O4" s="253"/>
      <c r="P4" s="253"/>
      <c r="Q4" s="253"/>
      <c r="R4" s="253"/>
      <c r="S4" s="253"/>
      <c r="T4" s="253"/>
      <c r="U4" s="253"/>
      <c r="V4" s="253"/>
      <c r="W4" s="253"/>
      <c r="X4" s="253"/>
      <c r="Y4" s="253"/>
      <c r="Z4" s="253"/>
      <c r="AA4" s="253"/>
      <c r="AB4" s="253"/>
      <c r="AC4" s="253"/>
      <c r="AD4" s="253"/>
      <c r="AE4" s="344"/>
      <c r="AF4" s="344"/>
      <c r="AG4" s="344"/>
      <c r="AH4" s="344"/>
      <c r="AI4" s="344"/>
      <c r="AJ4" s="344"/>
      <c r="AK4" s="344"/>
      <c r="AL4" s="344"/>
      <c r="AM4" s="344"/>
      <c r="AN4" s="344"/>
      <c r="AO4" s="344"/>
      <c r="AP4" s="344"/>
      <c r="AQ4" s="344"/>
      <c r="AR4" s="344"/>
      <c r="AS4" s="344"/>
      <c r="AT4" s="344"/>
      <c r="AU4" s="344"/>
      <c r="AV4" s="344"/>
      <c r="AW4" s="344"/>
      <c r="AX4" s="344"/>
      <c r="AY4" s="344"/>
      <c r="AZ4" s="344"/>
      <c r="BA4" s="344"/>
      <c r="BB4" s="344"/>
      <c r="BC4" s="345"/>
      <c r="BD4" s="345"/>
      <c r="BE4" s="345"/>
      <c r="BF4" s="345"/>
      <c r="BG4" s="345"/>
      <c r="BH4" s="345"/>
      <c r="BI4" s="345"/>
      <c r="BJ4" s="345"/>
      <c r="BK4" s="345"/>
      <c r="BL4" s="345"/>
      <c r="BM4" s="345"/>
      <c r="DP4" s="334"/>
    </row>
    <row r="5" spans="1:120" s="333" customFormat="1" ht="18.75" x14ac:dyDescent="0.2">
      <c r="A5" s="370" t="s">
        <v>37</v>
      </c>
      <c r="B5" s="370" t="s">
        <v>941</v>
      </c>
      <c r="C5" s="370" t="s">
        <v>942</v>
      </c>
      <c r="D5" s="370" t="s">
        <v>53</v>
      </c>
      <c r="E5" s="370" t="s">
        <v>1009</v>
      </c>
      <c r="F5" s="370" t="s">
        <v>1203</v>
      </c>
      <c r="G5" s="370" t="s">
        <v>98</v>
      </c>
      <c r="H5" s="344"/>
      <c r="I5" s="344"/>
      <c r="J5" s="344"/>
      <c r="K5" s="344"/>
      <c r="L5" s="344"/>
      <c r="M5" s="344"/>
      <c r="N5" s="344"/>
      <c r="O5" s="344"/>
      <c r="P5" s="344"/>
      <c r="Q5" s="344"/>
      <c r="R5" s="344"/>
      <c r="S5" s="344"/>
      <c r="T5" s="344"/>
      <c r="U5" s="344"/>
      <c r="V5" s="344"/>
      <c r="W5" s="344"/>
      <c r="X5" s="344"/>
      <c r="Y5" s="344"/>
      <c r="Z5" s="344"/>
      <c r="AA5" s="344"/>
      <c r="AB5" s="344"/>
      <c r="AC5" s="344"/>
      <c r="AD5" s="344"/>
      <c r="AE5" s="344"/>
      <c r="AF5" s="344"/>
      <c r="AG5" s="344"/>
      <c r="AH5" s="344"/>
      <c r="AI5" s="344"/>
      <c r="AJ5" s="344"/>
      <c r="AK5" s="344"/>
      <c r="AL5" s="344"/>
      <c r="AM5" s="344"/>
      <c r="AN5" s="344"/>
      <c r="AO5" s="344"/>
      <c r="AP5" s="344"/>
      <c r="AQ5" s="344"/>
      <c r="AR5" s="344"/>
      <c r="AS5" s="344"/>
      <c r="AT5" s="344"/>
      <c r="AU5" s="344"/>
      <c r="AV5" s="344"/>
      <c r="AW5" s="344"/>
      <c r="AX5" s="344"/>
      <c r="AY5" s="344"/>
      <c r="AZ5" s="344"/>
      <c r="BA5" s="344"/>
      <c r="BB5" s="344"/>
      <c r="BC5" s="345"/>
      <c r="BD5" s="345"/>
      <c r="DJ5" s="334"/>
    </row>
    <row r="6" spans="1:120" s="333" customFormat="1" ht="14.45" customHeight="1" x14ac:dyDescent="0.2">
      <c r="A6" s="350" t="s">
        <v>852</v>
      </c>
      <c r="B6" s="632">
        <f>+B77</f>
        <v>25282539230</v>
      </c>
      <c r="C6" s="632">
        <f>+C77</f>
        <v>16552034867</v>
      </c>
      <c r="D6" s="632">
        <f>+D77</f>
        <v>4291163801</v>
      </c>
      <c r="E6" s="351">
        <f>+E77</f>
        <v>20197778549</v>
      </c>
      <c r="F6" s="351">
        <f>+F77</f>
        <v>8230065270</v>
      </c>
      <c r="G6" s="633">
        <f>SUM(B6:F6)</f>
        <v>74553581717</v>
      </c>
      <c r="H6" s="344"/>
      <c r="I6" s="344"/>
      <c r="J6" s="344"/>
      <c r="K6" s="344"/>
      <c r="L6" s="344"/>
      <c r="M6" s="344"/>
      <c r="N6" s="344"/>
      <c r="O6" s="344"/>
      <c r="P6" s="344"/>
      <c r="Q6" s="344"/>
      <c r="R6" s="344"/>
      <c r="S6" s="344"/>
      <c r="T6" s="344"/>
      <c r="U6" s="344"/>
      <c r="V6" s="344"/>
      <c r="W6" s="344"/>
      <c r="X6" s="344"/>
      <c r="Y6" s="344"/>
      <c r="Z6" s="344"/>
      <c r="AA6" s="344"/>
      <c r="AB6" s="344"/>
      <c r="AC6" s="344"/>
      <c r="AD6" s="344"/>
      <c r="AE6" s="344"/>
      <c r="AF6" s="344"/>
      <c r="AG6" s="344"/>
      <c r="AH6" s="344"/>
      <c r="AI6" s="344"/>
      <c r="AJ6" s="344"/>
      <c r="AK6" s="344"/>
      <c r="AL6" s="344"/>
      <c r="AM6" s="344"/>
      <c r="AN6" s="344"/>
      <c r="AO6" s="344"/>
      <c r="AP6" s="344"/>
      <c r="AQ6" s="344"/>
      <c r="AR6" s="344"/>
      <c r="AS6" s="344"/>
      <c r="AT6" s="344"/>
      <c r="AU6" s="344"/>
      <c r="AV6" s="344"/>
      <c r="AW6" s="344"/>
      <c r="AX6" s="344"/>
      <c r="AY6" s="344"/>
      <c r="AZ6" s="344"/>
      <c r="BA6" s="344"/>
      <c r="BB6" s="344"/>
      <c r="BC6" s="345"/>
      <c r="BD6" s="345"/>
      <c r="DJ6" s="334"/>
    </row>
    <row r="7" spans="1:120" s="333" customFormat="1" ht="18.75" x14ac:dyDescent="0.2">
      <c r="A7" s="350" t="s">
        <v>803</v>
      </c>
      <c r="B7" s="632">
        <f>+G77</f>
        <v>1259843151</v>
      </c>
      <c r="C7" s="632">
        <f>+H77</f>
        <v>1595194268</v>
      </c>
      <c r="D7" s="632">
        <f>+I77</f>
        <v>60737000</v>
      </c>
      <c r="E7" s="351">
        <f>+J77</f>
        <v>3481376177</v>
      </c>
      <c r="F7" s="351">
        <f>+K77</f>
        <v>587572393</v>
      </c>
      <c r="G7" s="633">
        <f t="shared" ref="G7:G17" si="0">SUM(B7:F7)</f>
        <v>6984722989</v>
      </c>
      <c r="H7" s="344"/>
      <c r="I7" s="344"/>
      <c r="J7" s="344"/>
      <c r="K7" s="344"/>
      <c r="L7" s="344"/>
      <c r="M7" s="344"/>
      <c r="N7" s="344"/>
      <c r="O7" s="344"/>
      <c r="P7" s="344"/>
      <c r="Q7" s="344"/>
      <c r="R7" s="344"/>
      <c r="S7" s="344"/>
      <c r="T7" s="344"/>
      <c r="U7" s="344"/>
      <c r="V7" s="344"/>
      <c r="W7" s="344"/>
      <c r="X7" s="344"/>
      <c r="Y7" s="344"/>
      <c r="Z7" s="344"/>
      <c r="AA7" s="344"/>
      <c r="AB7" s="344"/>
      <c r="AC7" s="344"/>
      <c r="AD7" s="344"/>
      <c r="AE7" s="344"/>
      <c r="AF7" s="344"/>
      <c r="AG7" s="344"/>
      <c r="AH7" s="344"/>
      <c r="AI7" s="344"/>
      <c r="AJ7" s="344"/>
      <c r="AK7" s="344"/>
      <c r="AL7" s="344"/>
      <c r="AM7" s="344"/>
      <c r="AN7" s="344"/>
      <c r="AO7" s="344"/>
      <c r="AP7" s="344"/>
      <c r="AQ7" s="344"/>
      <c r="AR7" s="344"/>
      <c r="AS7" s="344"/>
      <c r="AT7" s="344"/>
      <c r="AU7" s="344"/>
      <c r="AV7" s="344"/>
      <c r="AW7" s="344"/>
      <c r="AX7" s="344"/>
      <c r="AY7" s="344"/>
      <c r="AZ7" s="344"/>
      <c r="BA7" s="344"/>
      <c r="BB7" s="344"/>
      <c r="BC7" s="345"/>
      <c r="BD7" s="345"/>
      <c r="DJ7" s="334"/>
    </row>
    <row r="8" spans="1:120" s="333" customFormat="1" ht="18.75" x14ac:dyDescent="0.2">
      <c r="A8" s="350" t="s">
        <v>800</v>
      </c>
      <c r="B8" s="351">
        <f>++L77</f>
        <v>19139986524</v>
      </c>
      <c r="C8" s="351">
        <f>++M77</f>
        <v>11645112948</v>
      </c>
      <c r="D8" s="351">
        <f>++N77</f>
        <v>0</v>
      </c>
      <c r="E8" s="351">
        <f>++N77</f>
        <v>0</v>
      </c>
      <c r="F8" s="351">
        <f>+O77</f>
        <v>0</v>
      </c>
      <c r="G8" s="633">
        <f t="shared" si="0"/>
        <v>30785099472</v>
      </c>
      <c r="H8" s="344"/>
      <c r="I8" s="344"/>
      <c r="J8" s="344"/>
      <c r="K8" s="344"/>
      <c r="L8" s="344"/>
      <c r="M8" s="344"/>
      <c r="N8" s="344"/>
      <c r="O8" s="344"/>
      <c r="P8" s="344"/>
      <c r="Q8" s="344"/>
      <c r="R8" s="344"/>
      <c r="S8" s="344"/>
      <c r="T8" s="344"/>
      <c r="U8" s="344"/>
      <c r="V8" s="344"/>
      <c r="W8" s="344"/>
      <c r="X8" s="344"/>
      <c r="Y8" s="344"/>
      <c r="Z8" s="344"/>
      <c r="AA8" s="344"/>
      <c r="AB8" s="344"/>
      <c r="AC8" s="344"/>
      <c r="AD8" s="344"/>
      <c r="AE8" s="344"/>
      <c r="AF8" s="344"/>
      <c r="AG8" s="344"/>
      <c r="AH8" s="344"/>
      <c r="AI8" s="344"/>
      <c r="AJ8" s="344"/>
      <c r="AK8" s="344"/>
      <c r="AL8" s="344"/>
      <c r="AM8" s="344"/>
      <c r="AN8" s="344"/>
      <c r="AO8" s="344"/>
      <c r="AP8" s="344"/>
      <c r="AQ8" s="344"/>
      <c r="AR8" s="344"/>
      <c r="AS8" s="344"/>
      <c r="AT8" s="344"/>
      <c r="AU8" s="344"/>
      <c r="AV8" s="344"/>
      <c r="AW8" s="344"/>
      <c r="AX8" s="344"/>
      <c r="AY8" s="344"/>
      <c r="AZ8" s="344"/>
      <c r="BA8" s="344"/>
      <c r="BB8" s="344"/>
      <c r="BC8" s="345"/>
      <c r="BD8" s="345"/>
      <c r="DJ8" s="334"/>
    </row>
    <row r="9" spans="1:120" s="333" customFormat="1" ht="18.75" x14ac:dyDescent="0.2">
      <c r="A9" s="352" t="s">
        <v>22</v>
      </c>
      <c r="B9" s="351">
        <f>++P77</f>
        <v>65086589</v>
      </c>
      <c r="C9" s="351">
        <f>++Q77</f>
        <v>362087296</v>
      </c>
      <c r="D9" s="351">
        <f>++R77</f>
        <v>0</v>
      </c>
      <c r="E9" s="351">
        <f>++S77</f>
        <v>338207183</v>
      </c>
      <c r="F9" s="351">
        <f>++T77</f>
        <v>198608001</v>
      </c>
      <c r="G9" s="633">
        <f t="shared" si="0"/>
        <v>963989069</v>
      </c>
      <c r="H9" s="344"/>
      <c r="I9" s="344"/>
      <c r="J9" s="344"/>
      <c r="K9" s="344"/>
      <c r="L9" s="344"/>
      <c r="M9" s="344"/>
      <c r="N9" s="344"/>
      <c r="O9" s="344"/>
      <c r="P9" s="344"/>
      <c r="Q9" s="344"/>
      <c r="R9" s="344"/>
      <c r="S9" s="344"/>
      <c r="T9" s="344"/>
      <c r="U9" s="344"/>
      <c r="V9" s="344"/>
      <c r="W9" s="344"/>
      <c r="X9" s="344"/>
      <c r="Y9" s="344"/>
      <c r="Z9" s="344"/>
      <c r="AA9" s="344"/>
      <c r="AB9" s="344"/>
      <c r="AC9" s="344"/>
      <c r="AD9" s="344"/>
      <c r="AE9" s="344"/>
      <c r="AF9" s="344"/>
      <c r="AG9" s="344"/>
      <c r="AH9" s="344"/>
      <c r="AI9" s="344"/>
      <c r="AJ9" s="344"/>
      <c r="AK9" s="344"/>
      <c r="AL9" s="344"/>
      <c r="AM9" s="344"/>
      <c r="AN9" s="344"/>
      <c r="AO9" s="344"/>
      <c r="AP9" s="344"/>
      <c r="AQ9" s="344"/>
      <c r="AR9" s="344"/>
      <c r="AS9" s="344"/>
      <c r="AT9" s="344"/>
      <c r="AU9" s="344"/>
      <c r="AV9" s="344"/>
      <c r="AW9" s="344"/>
      <c r="AX9" s="344"/>
      <c r="AY9" s="344"/>
      <c r="AZ9" s="344"/>
      <c r="BA9" s="344"/>
      <c r="BB9" s="344"/>
      <c r="BC9" s="345"/>
      <c r="BD9" s="345"/>
      <c r="DJ9" s="334"/>
    </row>
    <row r="10" spans="1:120" s="333" customFormat="1" ht="18.75" x14ac:dyDescent="0.2">
      <c r="A10" s="350" t="s">
        <v>437</v>
      </c>
      <c r="B10" s="351">
        <f>+U77</f>
        <v>121933487</v>
      </c>
      <c r="C10" s="351">
        <f>+W77</f>
        <v>197504686</v>
      </c>
      <c r="D10" s="351">
        <f>++Y77</f>
        <v>0</v>
      </c>
      <c r="E10" s="351">
        <f>+AA77</f>
        <v>59618498</v>
      </c>
      <c r="F10" s="351">
        <f>+AC77</f>
        <v>36171442</v>
      </c>
      <c r="G10" s="633">
        <f t="shared" si="0"/>
        <v>415228113</v>
      </c>
      <c r="H10" s="344"/>
      <c r="I10" s="344"/>
      <c r="J10" s="344"/>
      <c r="K10" s="344"/>
      <c r="L10" s="344"/>
      <c r="M10" s="344"/>
      <c r="N10" s="344"/>
      <c r="O10" s="344"/>
      <c r="P10" s="344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344"/>
      <c r="AD10" s="344"/>
      <c r="AE10" s="344"/>
      <c r="AF10" s="344"/>
      <c r="AG10" s="344"/>
      <c r="AH10" s="344"/>
      <c r="AI10" s="344"/>
      <c r="AJ10" s="344"/>
      <c r="AK10" s="344"/>
      <c r="AL10" s="344"/>
      <c r="AM10" s="344"/>
      <c r="AN10" s="344"/>
      <c r="AO10" s="344"/>
      <c r="AP10" s="344"/>
      <c r="AQ10" s="344"/>
      <c r="AR10" s="344"/>
      <c r="AS10" s="344"/>
      <c r="AT10" s="344"/>
      <c r="AU10" s="344"/>
      <c r="AV10" s="344"/>
      <c r="AW10" s="344"/>
      <c r="AX10" s="344"/>
      <c r="AY10" s="344"/>
      <c r="AZ10" s="344"/>
      <c r="BA10" s="344"/>
      <c r="BB10" s="344"/>
      <c r="BC10" s="345"/>
      <c r="BD10" s="345"/>
      <c r="DJ10" s="334"/>
    </row>
    <row r="11" spans="1:120" s="333" customFormat="1" ht="18.75" x14ac:dyDescent="0.2">
      <c r="A11" s="678" t="s">
        <v>1761</v>
      </c>
      <c r="B11" s="351">
        <f>++V77</f>
        <v>207590908</v>
      </c>
      <c r="C11" s="351">
        <f>++X77</f>
        <v>150161396</v>
      </c>
      <c r="D11" s="351">
        <f>++Z77</f>
        <v>0</v>
      </c>
      <c r="E11" s="351">
        <f>+AB77</f>
        <v>0</v>
      </c>
      <c r="F11" s="351">
        <f>+AD77</f>
        <v>0</v>
      </c>
      <c r="G11" s="633">
        <f t="shared" si="0"/>
        <v>357752304</v>
      </c>
      <c r="H11" s="344"/>
      <c r="I11" s="344"/>
      <c r="J11" s="344"/>
      <c r="K11" s="344"/>
      <c r="L11" s="344"/>
      <c r="M11" s="344"/>
      <c r="N11" s="344"/>
      <c r="O11" s="344"/>
      <c r="P11" s="344"/>
      <c r="Q11" s="344"/>
      <c r="R11" s="344"/>
      <c r="S11" s="344"/>
      <c r="T11" s="344"/>
      <c r="U11" s="344"/>
      <c r="V11" s="344"/>
      <c r="W11" s="344"/>
      <c r="X11" s="344"/>
      <c r="Y11" s="344"/>
      <c r="Z11" s="344"/>
      <c r="AA11" s="344"/>
      <c r="AB11" s="344"/>
      <c r="AC11" s="344"/>
      <c r="AD11" s="344"/>
      <c r="AE11" s="344"/>
      <c r="AF11" s="344"/>
      <c r="AG11" s="344"/>
      <c r="AH11" s="344"/>
      <c r="AI11" s="344"/>
      <c r="AJ11" s="344"/>
      <c r="AK11" s="344"/>
      <c r="AL11" s="344"/>
      <c r="AM11" s="344"/>
      <c r="AN11" s="344"/>
      <c r="AO11" s="344"/>
      <c r="AP11" s="344"/>
      <c r="AQ11" s="344"/>
      <c r="AR11" s="344"/>
      <c r="AS11" s="344"/>
      <c r="AT11" s="344"/>
      <c r="AU11" s="344"/>
      <c r="AV11" s="344"/>
      <c r="AW11" s="344"/>
      <c r="AX11" s="344"/>
      <c r="AY11" s="344"/>
      <c r="AZ11" s="344"/>
      <c r="BA11" s="344"/>
      <c r="BB11" s="344"/>
      <c r="BC11" s="345"/>
      <c r="BD11" s="345"/>
      <c r="DJ11" s="334"/>
    </row>
    <row r="12" spans="1:120" s="333" customFormat="1" ht="18.75" x14ac:dyDescent="0.2">
      <c r="A12" s="350" t="s">
        <v>62</v>
      </c>
      <c r="B12" s="351">
        <f>+AE77</f>
        <v>145865806</v>
      </c>
      <c r="C12" s="351">
        <f>+AF77</f>
        <v>91616964</v>
      </c>
      <c r="D12" s="351">
        <f>+AG77</f>
        <v>5711805</v>
      </c>
      <c r="E12" s="351">
        <f>+AH77</f>
        <v>61510974</v>
      </c>
      <c r="F12" s="351">
        <f>+AI77</f>
        <v>40165462</v>
      </c>
      <c r="G12" s="633">
        <f t="shared" si="0"/>
        <v>344871011</v>
      </c>
      <c r="H12" s="474"/>
      <c r="I12" s="474"/>
      <c r="J12" s="344"/>
      <c r="K12" s="344"/>
      <c r="L12" s="344"/>
      <c r="M12" s="344"/>
      <c r="N12" s="344"/>
      <c r="O12" s="344"/>
      <c r="P12" s="344"/>
      <c r="Q12" s="344"/>
      <c r="R12" s="344"/>
      <c r="S12" s="344"/>
      <c r="T12" s="344"/>
      <c r="U12" s="344"/>
      <c r="V12" s="344"/>
      <c r="W12" s="344"/>
      <c r="X12" s="344"/>
      <c r="Y12" s="344"/>
      <c r="Z12" s="344"/>
      <c r="AA12" s="344"/>
      <c r="AB12" s="344"/>
      <c r="AC12" s="344"/>
      <c r="AD12" s="344"/>
      <c r="AE12" s="344"/>
      <c r="AF12" s="344"/>
      <c r="AG12" s="344"/>
      <c r="AH12" s="344"/>
      <c r="AI12" s="344"/>
      <c r="AJ12" s="344"/>
      <c r="AK12" s="344"/>
      <c r="AL12" s="344"/>
      <c r="AM12" s="344"/>
      <c r="AN12" s="344"/>
      <c r="AO12" s="344"/>
      <c r="AP12" s="344"/>
      <c r="AQ12" s="344"/>
      <c r="AR12" s="344"/>
      <c r="AS12" s="344"/>
      <c r="AT12" s="344"/>
      <c r="AU12" s="344"/>
      <c r="AV12" s="344"/>
      <c r="AW12" s="344"/>
      <c r="AX12" s="344"/>
      <c r="AY12" s="344"/>
      <c r="AZ12" s="344"/>
      <c r="BA12" s="344"/>
      <c r="BB12" s="344"/>
      <c r="BC12" s="345"/>
      <c r="BD12" s="345"/>
      <c r="DJ12" s="334"/>
    </row>
    <row r="13" spans="1:120" s="333" customFormat="1" ht="17.25" customHeight="1" x14ac:dyDescent="0.2">
      <c r="A13" s="350" t="s">
        <v>855</v>
      </c>
      <c r="B13" s="351">
        <f>+AJ77</f>
        <v>7045725</v>
      </c>
      <c r="C13" s="351">
        <f>+AK77</f>
        <v>7661543</v>
      </c>
      <c r="D13" s="351">
        <f>+AL77</f>
        <v>0</v>
      </c>
      <c r="E13" s="351">
        <f>+AM77</f>
        <v>0</v>
      </c>
      <c r="F13" s="351">
        <f>+AN77</f>
        <v>0</v>
      </c>
      <c r="G13" s="377">
        <f t="shared" si="0"/>
        <v>14707268</v>
      </c>
      <c r="H13" s="474"/>
      <c r="I13" s="474"/>
      <c r="J13" s="344"/>
      <c r="K13" s="344"/>
      <c r="L13" s="344"/>
      <c r="M13" s="344"/>
      <c r="N13" s="344"/>
      <c r="O13" s="344"/>
      <c r="P13" s="344"/>
      <c r="Q13" s="344"/>
      <c r="R13" s="344"/>
      <c r="S13" s="344"/>
      <c r="T13" s="344"/>
      <c r="U13" s="344"/>
      <c r="V13" s="344"/>
      <c r="W13" s="344"/>
      <c r="X13" s="344"/>
      <c r="Y13" s="344"/>
      <c r="Z13" s="344"/>
      <c r="AA13" s="344"/>
      <c r="AB13" s="344"/>
      <c r="AC13" s="344"/>
      <c r="AD13" s="344"/>
      <c r="AE13" s="344"/>
      <c r="AF13" s="344"/>
      <c r="AG13" s="344"/>
      <c r="AH13" s="344"/>
      <c r="AI13" s="344"/>
      <c r="AJ13" s="344"/>
      <c r="AK13" s="344"/>
      <c r="AL13" s="344"/>
      <c r="AM13" s="344"/>
      <c r="AN13" s="344"/>
      <c r="AO13" s="344"/>
      <c r="AP13" s="344"/>
      <c r="AQ13" s="344"/>
      <c r="AR13" s="344"/>
      <c r="AS13" s="344"/>
      <c r="AT13" s="344"/>
      <c r="AU13" s="344"/>
      <c r="AV13" s="344"/>
      <c r="AW13" s="344"/>
      <c r="AX13" s="344"/>
      <c r="AY13" s="344"/>
      <c r="AZ13" s="344"/>
      <c r="BA13" s="344"/>
      <c r="BB13" s="344"/>
      <c r="BC13" s="345"/>
      <c r="BD13" s="345"/>
      <c r="DJ13" s="334"/>
    </row>
    <row r="14" spans="1:120" s="333" customFormat="1" ht="19.5" customHeight="1" x14ac:dyDescent="0.2">
      <c r="A14" s="350" t="s">
        <v>861</v>
      </c>
      <c r="B14" s="351">
        <f>+AO77</f>
        <v>20031558</v>
      </c>
      <c r="C14" s="351">
        <f>+AP77</f>
        <v>23180099</v>
      </c>
      <c r="D14" s="351">
        <f>+AQ77</f>
        <v>0</v>
      </c>
      <c r="E14" s="351">
        <f>+AR77</f>
        <v>1336967</v>
      </c>
      <c r="F14" s="351">
        <f>+AX77</f>
        <v>0</v>
      </c>
      <c r="G14" s="377">
        <f t="shared" si="0"/>
        <v>44548624</v>
      </c>
      <c r="H14" s="474"/>
      <c r="I14" s="474"/>
      <c r="J14" s="344"/>
      <c r="K14" s="344"/>
      <c r="L14" s="344"/>
      <c r="M14" s="344"/>
      <c r="N14" s="344"/>
      <c r="O14" s="344"/>
      <c r="P14" s="344"/>
      <c r="Q14" s="344"/>
      <c r="R14" s="344"/>
      <c r="S14" s="344"/>
      <c r="T14" s="344"/>
      <c r="U14" s="344"/>
      <c r="V14" s="344"/>
      <c r="W14" s="344"/>
      <c r="X14" s="344"/>
      <c r="Y14" s="344"/>
      <c r="Z14" s="344"/>
      <c r="AA14" s="344"/>
      <c r="AB14" s="344"/>
      <c r="AC14" s="344"/>
      <c r="AD14" s="344"/>
      <c r="AE14" s="344"/>
      <c r="AF14" s="344"/>
      <c r="AG14" s="344"/>
      <c r="AH14" s="344"/>
      <c r="AI14" s="344"/>
      <c r="AJ14" s="344"/>
      <c r="AK14" s="344"/>
      <c r="AL14" s="344"/>
      <c r="AM14" s="344"/>
      <c r="AN14" s="344"/>
      <c r="AO14" s="344"/>
      <c r="AP14" s="344"/>
      <c r="AQ14" s="344"/>
      <c r="AR14" s="344"/>
      <c r="AS14" s="344"/>
      <c r="AT14" s="344"/>
      <c r="AU14" s="344"/>
      <c r="AV14" s="344"/>
      <c r="AW14" s="344"/>
      <c r="AX14" s="344"/>
      <c r="AY14" s="344"/>
      <c r="AZ14" s="344"/>
      <c r="BA14" s="344"/>
      <c r="BB14" s="344"/>
      <c r="BC14" s="345"/>
      <c r="BD14" s="345"/>
      <c r="DJ14" s="334"/>
    </row>
    <row r="15" spans="1:120" s="333" customFormat="1" ht="18.75" x14ac:dyDescent="0.2">
      <c r="A15" s="378" t="s">
        <v>64</v>
      </c>
      <c r="B15" s="377">
        <f>+AT77</f>
        <v>45671152</v>
      </c>
      <c r="C15" s="377">
        <f>+AU77</f>
        <v>4612185</v>
      </c>
      <c r="D15" s="377">
        <f>+AV77</f>
        <v>0</v>
      </c>
      <c r="E15" s="377">
        <f>+AW77</f>
        <v>71577049</v>
      </c>
      <c r="F15" s="377">
        <v>0</v>
      </c>
      <c r="G15" s="377">
        <f t="shared" si="0"/>
        <v>121860386</v>
      </c>
      <c r="H15" s="344"/>
      <c r="I15" s="344"/>
      <c r="J15" s="344"/>
      <c r="K15" s="344"/>
      <c r="L15" s="344"/>
      <c r="M15" s="344"/>
      <c r="N15" s="344"/>
      <c r="O15" s="344"/>
      <c r="P15" s="344"/>
      <c r="Q15" s="344"/>
      <c r="R15" s="344"/>
      <c r="S15" s="344"/>
      <c r="T15" s="344"/>
      <c r="U15" s="344"/>
      <c r="V15" s="344"/>
      <c r="W15" s="344"/>
      <c r="X15" s="344"/>
      <c r="Y15" s="344"/>
      <c r="Z15" s="344"/>
      <c r="AA15" s="344"/>
      <c r="AB15" s="344"/>
      <c r="AC15" s="344"/>
      <c r="AD15" s="344"/>
      <c r="AE15" s="344"/>
      <c r="AF15" s="344"/>
      <c r="AG15" s="344"/>
      <c r="AH15" s="344"/>
      <c r="AI15" s="344"/>
      <c r="AJ15" s="344"/>
      <c r="AK15" s="344"/>
      <c r="AL15" s="344"/>
      <c r="AM15" s="344"/>
      <c r="AN15" s="344"/>
      <c r="AO15" s="344"/>
      <c r="AP15" s="344"/>
      <c r="AQ15" s="344"/>
      <c r="AR15" s="344"/>
      <c r="AS15" s="344"/>
      <c r="AT15" s="344"/>
      <c r="AU15" s="344"/>
      <c r="AV15" s="344"/>
      <c r="AW15" s="344"/>
      <c r="AX15" s="344"/>
      <c r="AY15" s="344"/>
      <c r="AZ15" s="344"/>
      <c r="BA15" s="344"/>
      <c r="BB15" s="344"/>
      <c r="BC15" s="345"/>
      <c r="BD15" s="345"/>
      <c r="DJ15" s="334"/>
    </row>
    <row r="16" spans="1:120" s="333" customFormat="1" ht="18.75" hidden="1" x14ac:dyDescent="0.2">
      <c r="A16" s="352" t="s">
        <v>65</v>
      </c>
      <c r="B16" s="351"/>
      <c r="C16" s="351"/>
      <c r="D16" s="351"/>
      <c r="E16" s="351"/>
      <c r="F16" s="351" t="s">
        <v>196</v>
      </c>
      <c r="G16" s="377">
        <f t="shared" si="0"/>
        <v>0</v>
      </c>
      <c r="H16" s="344"/>
      <c r="I16" s="344"/>
      <c r="J16" s="344"/>
      <c r="K16" s="344"/>
      <c r="L16" s="344"/>
      <c r="M16" s="344"/>
      <c r="N16" s="344"/>
      <c r="O16" s="344"/>
      <c r="P16" s="344"/>
      <c r="Q16" s="344"/>
      <c r="R16" s="344"/>
      <c r="S16" s="344"/>
      <c r="T16" s="344"/>
      <c r="U16" s="344"/>
      <c r="V16" s="344"/>
      <c r="W16" s="344"/>
      <c r="X16" s="344"/>
      <c r="Y16" s="344"/>
      <c r="Z16" s="344"/>
      <c r="AA16" s="344"/>
      <c r="AB16" s="344"/>
      <c r="AC16" s="344"/>
      <c r="AD16" s="344"/>
      <c r="AE16" s="344"/>
      <c r="AF16" s="344"/>
      <c r="AG16" s="344"/>
      <c r="AH16" s="344"/>
      <c r="AI16" s="344"/>
      <c r="AJ16" s="344"/>
      <c r="AK16" s="344"/>
      <c r="AL16" s="344"/>
      <c r="AM16" s="344"/>
      <c r="AN16" s="344"/>
      <c r="AO16" s="344"/>
      <c r="AP16" s="344"/>
      <c r="AQ16" s="344"/>
      <c r="AR16" s="344"/>
      <c r="AS16" s="344"/>
      <c r="AT16" s="344"/>
      <c r="AU16" s="344"/>
      <c r="AV16" s="344"/>
      <c r="AW16" s="344"/>
      <c r="AX16" s="344"/>
      <c r="AY16" s="344"/>
      <c r="AZ16" s="344"/>
      <c r="BA16" s="344"/>
      <c r="BB16" s="344"/>
      <c r="BC16" s="345"/>
      <c r="BD16" s="345"/>
      <c r="DJ16" s="334"/>
    </row>
    <row r="17" spans="1:120" s="333" customFormat="1" ht="18.75" hidden="1" x14ac:dyDescent="0.2">
      <c r="A17" s="352" t="s">
        <v>101</v>
      </c>
      <c r="B17" s="351"/>
      <c r="C17" s="351"/>
      <c r="D17" s="351"/>
      <c r="E17" s="351"/>
      <c r="F17" s="351" t="s">
        <v>196</v>
      </c>
      <c r="G17" s="377">
        <f t="shared" si="0"/>
        <v>0</v>
      </c>
      <c r="H17" s="344"/>
      <c r="I17" s="344"/>
      <c r="J17" s="344"/>
      <c r="K17" s="344"/>
      <c r="L17" s="344"/>
      <c r="M17" s="344"/>
      <c r="N17" s="344"/>
      <c r="O17" s="344"/>
      <c r="P17" s="344"/>
      <c r="Q17" s="344"/>
      <c r="R17" s="344"/>
      <c r="S17" s="344"/>
      <c r="T17" s="344"/>
      <c r="U17" s="344"/>
      <c r="V17" s="344"/>
      <c r="W17" s="344"/>
      <c r="X17" s="344"/>
      <c r="Y17" s="344"/>
      <c r="Z17" s="344"/>
      <c r="AA17" s="344"/>
      <c r="AB17" s="344"/>
      <c r="AC17" s="344"/>
      <c r="AD17" s="344"/>
      <c r="AE17" s="344"/>
      <c r="AF17" s="344"/>
      <c r="AG17" s="344"/>
      <c r="AH17" s="344"/>
      <c r="AI17" s="344"/>
      <c r="AJ17" s="344"/>
      <c r="AK17" s="344"/>
      <c r="AL17" s="344"/>
      <c r="AM17" s="344"/>
      <c r="AN17" s="344"/>
      <c r="AO17" s="344"/>
      <c r="AP17" s="344"/>
      <c r="AQ17" s="344"/>
      <c r="AR17" s="344"/>
      <c r="AS17" s="344"/>
      <c r="AT17" s="344"/>
      <c r="AU17" s="344"/>
      <c r="AV17" s="344"/>
      <c r="AW17" s="344"/>
      <c r="AX17" s="344"/>
      <c r="AY17" s="344"/>
      <c r="AZ17" s="344"/>
      <c r="BA17" s="344"/>
      <c r="BB17" s="344"/>
      <c r="BC17" s="345"/>
      <c r="BD17" s="345"/>
      <c r="DJ17" s="334"/>
    </row>
    <row r="18" spans="1:120" s="333" customFormat="1" ht="18.75" x14ac:dyDescent="0.2">
      <c r="A18" s="375" t="s">
        <v>36</v>
      </c>
      <c r="B18" s="376">
        <f t="shared" ref="B18:G18" si="1">ROUND(SUM(B6:B17),0)</f>
        <v>46295594130</v>
      </c>
      <c r="C18" s="376">
        <f t="shared" si="1"/>
        <v>30629166252</v>
      </c>
      <c r="D18" s="376">
        <f t="shared" si="1"/>
        <v>4357612606</v>
      </c>
      <c r="E18" s="376">
        <f t="shared" si="1"/>
        <v>24211405397</v>
      </c>
      <c r="F18" s="376">
        <f t="shared" si="1"/>
        <v>9092582568</v>
      </c>
      <c r="G18" s="376">
        <f t="shared" si="1"/>
        <v>114586360953</v>
      </c>
      <c r="H18" s="344"/>
      <c r="I18" s="344"/>
      <c r="J18" s="344"/>
      <c r="K18" s="344"/>
      <c r="L18" s="344"/>
      <c r="M18" s="344"/>
      <c r="N18" s="344"/>
      <c r="O18" s="344"/>
      <c r="P18" s="344"/>
      <c r="Q18" s="344"/>
      <c r="R18" s="344"/>
      <c r="S18" s="344"/>
      <c r="T18" s="344"/>
      <c r="U18" s="344"/>
      <c r="V18" s="344"/>
      <c r="W18" s="344"/>
      <c r="X18" s="344"/>
      <c r="Y18" s="344"/>
      <c r="Z18" s="344"/>
      <c r="AA18" s="344"/>
      <c r="AB18" s="344"/>
      <c r="AC18" s="344"/>
      <c r="AD18" s="344"/>
      <c r="AE18" s="344"/>
      <c r="AF18" s="344"/>
      <c r="AG18" s="344"/>
      <c r="AH18" s="344"/>
      <c r="AI18" s="344"/>
      <c r="AJ18" s="344"/>
      <c r="AK18" s="344"/>
      <c r="AL18" s="344"/>
      <c r="AM18" s="344"/>
      <c r="AN18" s="344"/>
      <c r="AO18" s="344"/>
      <c r="AP18" s="344"/>
      <c r="AQ18" s="344"/>
      <c r="AR18" s="344"/>
      <c r="AS18" s="344"/>
      <c r="AT18" s="344"/>
      <c r="AU18" s="344"/>
      <c r="AV18" s="344"/>
      <c r="AW18" s="344"/>
      <c r="AX18" s="344"/>
      <c r="AY18" s="344"/>
      <c r="AZ18" s="344"/>
      <c r="BA18" s="344"/>
      <c r="BB18" s="344"/>
      <c r="BC18" s="345"/>
      <c r="BD18" s="345"/>
      <c r="DJ18" s="334"/>
    </row>
    <row r="19" spans="1:120" s="333" customFormat="1" ht="12" customHeight="1" x14ac:dyDescent="0.2">
      <c r="A19" s="353"/>
      <c r="B19" s="353"/>
      <c r="C19" s="353"/>
      <c r="D19" s="353"/>
      <c r="E19" s="353"/>
      <c r="F19" s="353"/>
      <c r="G19" s="353"/>
      <c r="H19" s="353"/>
      <c r="I19" s="353"/>
      <c r="J19" s="353"/>
      <c r="K19" s="353"/>
      <c r="L19" s="353"/>
      <c r="M19" s="353"/>
      <c r="N19" s="353"/>
      <c r="O19" s="353"/>
      <c r="P19" s="353"/>
      <c r="Q19" s="353"/>
      <c r="R19" s="353"/>
      <c r="S19" s="353"/>
      <c r="T19" s="353"/>
      <c r="U19" s="353"/>
      <c r="V19" s="353"/>
      <c r="W19" s="353"/>
      <c r="X19" s="353"/>
      <c r="Y19" s="353"/>
      <c r="Z19" s="353"/>
      <c r="AA19" s="353"/>
      <c r="AB19" s="353"/>
      <c r="AC19" s="353"/>
      <c r="AD19" s="353"/>
      <c r="AE19" s="353"/>
      <c r="AF19" s="353"/>
      <c r="AG19" s="353"/>
      <c r="AH19" s="353"/>
      <c r="AI19" s="353"/>
      <c r="AJ19" s="353"/>
      <c r="AK19" s="353"/>
      <c r="AL19" s="353"/>
      <c r="AM19" s="353"/>
      <c r="AN19" s="353"/>
      <c r="AO19" s="353"/>
      <c r="AP19" s="353"/>
      <c r="AQ19" s="353"/>
      <c r="AR19" s="353"/>
      <c r="AS19" s="353"/>
      <c r="AT19" s="353"/>
      <c r="AU19" s="353"/>
      <c r="AV19" s="353"/>
      <c r="AW19" s="353"/>
      <c r="AX19" s="353"/>
      <c r="AY19" s="353"/>
      <c r="AZ19" s="353"/>
      <c r="BA19" s="353"/>
      <c r="BB19" s="353"/>
      <c r="BC19" s="354"/>
      <c r="BD19" s="345"/>
      <c r="BE19" s="345"/>
      <c r="BF19" s="345"/>
      <c r="BG19" s="345"/>
      <c r="BH19" s="345"/>
      <c r="BI19" s="345"/>
      <c r="BJ19" s="345"/>
      <c r="BK19" s="345"/>
      <c r="BL19" s="354"/>
      <c r="BM19" s="354"/>
      <c r="BN19" s="354"/>
      <c r="BO19" s="354"/>
      <c r="BP19" s="354"/>
      <c r="BQ19" s="354"/>
      <c r="BR19" s="354"/>
      <c r="BS19" s="354"/>
      <c r="BT19" s="354"/>
      <c r="BU19" s="354"/>
      <c r="BV19" s="354"/>
      <c r="BW19" s="354"/>
      <c r="BX19" s="354"/>
      <c r="BY19" s="354"/>
      <c r="BZ19" s="354"/>
      <c r="CA19" s="354"/>
      <c r="CB19" s="354"/>
      <c r="CC19" s="354"/>
      <c r="CD19" s="354"/>
      <c r="CE19" s="354"/>
      <c r="CF19" s="354"/>
      <c r="CG19" s="354"/>
      <c r="CH19" s="354"/>
      <c r="CI19" s="354"/>
      <c r="CJ19" s="354"/>
      <c r="CK19" s="354"/>
      <c r="CL19" s="354"/>
      <c r="CM19" s="354"/>
      <c r="CN19" s="354"/>
      <c r="DP19" s="334"/>
    </row>
    <row r="20" spans="1:120" s="358" customFormat="1" ht="12" customHeight="1" x14ac:dyDescent="0.2">
      <c r="A20" s="575"/>
      <c r="B20" s="830" t="s">
        <v>154</v>
      </c>
      <c r="C20" s="830"/>
      <c r="D20" s="830"/>
      <c r="E20" s="830"/>
      <c r="F20" s="830"/>
      <c r="G20" s="831" t="s">
        <v>804</v>
      </c>
      <c r="H20" s="831"/>
      <c r="I20" s="831"/>
      <c r="J20" s="831"/>
      <c r="K20" s="831"/>
      <c r="L20" s="831" t="s">
        <v>843</v>
      </c>
      <c r="M20" s="831"/>
      <c r="N20" s="831"/>
      <c r="O20" s="831"/>
      <c r="P20" s="832" t="s">
        <v>22</v>
      </c>
      <c r="Q20" s="832"/>
      <c r="R20" s="832"/>
      <c r="S20" s="832"/>
      <c r="T20" s="832"/>
      <c r="U20" s="826" t="s">
        <v>437</v>
      </c>
      <c r="V20" s="827"/>
      <c r="W20" s="827"/>
      <c r="X20" s="827"/>
      <c r="Y20" s="827"/>
      <c r="Z20" s="827"/>
      <c r="AA20" s="827"/>
      <c r="AB20" s="827"/>
      <c r="AC20" s="827"/>
      <c r="AD20" s="828"/>
      <c r="AE20" s="823" t="s">
        <v>195</v>
      </c>
      <c r="AF20" s="824"/>
      <c r="AG20" s="824"/>
      <c r="AH20" s="824"/>
      <c r="AI20" s="825"/>
      <c r="AJ20" s="826" t="s">
        <v>822</v>
      </c>
      <c r="AK20" s="827"/>
      <c r="AL20" s="827"/>
      <c r="AM20" s="827"/>
      <c r="AN20" s="828"/>
      <c r="AO20" s="826" t="s">
        <v>861</v>
      </c>
      <c r="AP20" s="827"/>
      <c r="AQ20" s="827"/>
      <c r="AR20" s="827"/>
      <c r="AS20" s="827"/>
      <c r="AT20" s="826" t="s">
        <v>64</v>
      </c>
      <c r="AU20" s="827"/>
      <c r="AV20" s="827"/>
      <c r="AW20" s="827"/>
      <c r="AX20" s="827"/>
      <c r="AY20" s="576" t="s">
        <v>63</v>
      </c>
      <c r="AZ20" s="356"/>
      <c r="BA20" s="357" t="s">
        <v>59</v>
      </c>
      <c r="BB20" s="355"/>
    </row>
    <row r="21" spans="1:120" s="362" customFormat="1" x14ac:dyDescent="0.2">
      <c r="A21" s="359"/>
      <c r="B21" s="574" t="s">
        <v>941</v>
      </c>
      <c r="C21" s="574" t="s">
        <v>942</v>
      </c>
      <c r="D21" s="370" t="s">
        <v>53</v>
      </c>
      <c r="E21" s="574" t="s">
        <v>1009</v>
      </c>
      <c r="F21" s="370" t="s">
        <v>1203</v>
      </c>
      <c r="G21" s="574" t="s">
        <v>941</v>
      </c>
      <c r="H21" s="574" t="s">
        <v>942</v>
      </c>
      <c r="I21" s="574" t="s">
        <v>53</v>
      </c>
      <c r="J21" s="574" t="s">
        <v>1009</v>
      </c>
      <c r="K21" s="574" t="s">
        <v>1203</v>
      </c>
      <c r="L21" s="574" t="s">
        <v>941</v>
      </c>
      <c r="M21" s="574" t="s">
        <v>942</v>
      </c>
      <c r="N21" s="574" t="s">
        <v>1009</v>
      </c>
      <c r="O21" s="574" t="s">
        <v>1203</v>
      </c>
      <c r="P21" s="574" t="s">
        <v>941</v>
      </c>
      <c r="Q21" s="574" t="s">
        <v>942</v>
      </c>
      <c r="R21" s="574" t="s">
        <v>53</v>
      </c>
      <c r="S21" s="574" t="s">
        <v>1009</v>
      </c>
      <c r="T21" s="574" t="s">
        <v>1203</v>
      </c>
      <c r="U21" s="574" t="s">
        <v>941</v>
      </c>
      <c r="V21" s="679" t="s">
        <v>1757</v>
      </c>
      <c r="W21" s="574" t="s">
        <v>942</v>
      </c>
      <c r="X21" s="679" t="s">
        <v>1758</v>
      </c>
      <c r="Y21" s="574" t="s">
        <v>53</v>
      </c>
      <c r="Z21" s="679" t="s">
        <v>2671</v>
      </c>
      <c r="AA21" s="574" t="s">
        <v>1009</v>
      </c>
      <c r="AB21" s="679" t="s">
        <v>1759</v>
      </c>
      <c r="AC21" s="574" t="s">
        <v>1203</v>
      </c>
      <c r="AD21" s="679" t="s">
        <v>1760</v>
      </c>
      <c r="AE21" s="574" t="s">
        <v>941</v>
      </c>
      <c r="AF21" s="574" t="s">
        <v>942</v>
      </c>
      <c r="AG21" s="574" t="s">
        <v>53</v>
      </c>
      <c r="AH21" s="574" t="s">
        <v>1009</v>
      </c>
      <c r="AI21" s="574" t="s">
        <v>1203</v>
      </c>
      <c r="AJ21" s="574" t="s">
        <v>941</v>
      </c>
      <c r="AK21" s="574" t="s">
        <v>942</v>
      </c>
      <c r="AL21" s="574" t="s">
        <v>53</v>
      </c>
      <c r="AM21" s="574" t="s">
        <v>1009</v>
      </c>
      <c r="AN21" s="574" t="s">
        <v>1203</v>
      </c>
      <c r="AO21" s="574" t="s">
        <v>941</v>
      </c>
      <c r="AP21" s="574" t="s">
        <v>942</v>
      </c>
      <c r="AQ21" s="574" t="s">
        <v>53</v>
      </c>
      <c r="AR21" s="574" t="s">
        <v>1009</v>
      </c>
      <c r="AS21" s="574" t="s">
        <v>1203</v>
      </c>
      <c r="AT21" s="574" t="s">
        <v>941</v>
      </c>
      <c r="AU21" s="574" t="s">
        <v>942</v>
      </c>
      <c r="AV21" s="574" t="s">
        <v>53</v>
      </c>
      <c r="AW21" s="574" t="s">
        <v>1009</v>
      </c>
      <c r="AX21" s="574" t="s">
        <v>1203</v>
      </c>
      <c r="AY21" s="574" t="s">
        <v>34</v>
      </c>
      <c r="AZ21" s="360" t="s">
        <v>29</v>
      </c>
      <c r="BA21" s="361"/>
      <c r="BB21" s="359"/>
    </row>
    <row r="22" spans="1:120" s="362" customFormat="1" x14ac:dyDescent="0.2">
      <c r="A22" s="363">
        <v>44317</v>
      </c>
      <c r="B22" s="636">
        <v>0</v>
      </c>
      <c r="C22" s="630">
        <v>0</v>
      </c>
      <c r="D22" s="630">
        <v>0</v>
      </c>
      <c r="E22" s="364">
        <v>0</v>
      </c>
      <c r="F22" s="364">
        <v>0</v>
      </c>
      <c r="G22" s="630">
        <v>0</v>
      </c>
      <c r="H22" s="630">
        <v>0</v>
      </c>
      <c r="I22" s="630">
        <v>0</v>
      </c>
      <c r="J22" s="364">
        <v>0</v>
      </c>
      <c r="K22" s="364">
        <v>0</v>
      </c>
      <c r="L22" s="364">
        <v>0</v>
      </c>
      <c r="M22" s="364">
        <v>0</v>
      </c>
      <c r="N22" s="364">
        <v>0</v>
      </c>
      <c r="O22" s="364">
        <v>0</v>
      </c>
      <c r="P22" s="364">
        <v>0</v>
      </c>
      <c r="Q22" s="364">
        <v>0</v>
      </c>
      <c r="R22" s="364">
        <v>0</v>
      </c>
      <c r="S22" s="364">
        <v>0</v>
      </c>
      <c r="T22" s="364">
        <v>0</v>
      </c>
      <c r="U22" s="364">
        <v>0</v>
      </c>
      <c r="V22" s="364">
        <v>0</v>
      </c>
      <c r="W22" s="364">
        <v>0</v>
      </c>
      <c r="X22" s="364">
        <v>0</v>
      </c>
      <c r="Y22" s="364">
        <v>0</v>
      </c>
      <c r="Z22" s="364">
        <v>0</v>
      </c>
      <c r="AA22" s="364">
        <v>0</v>
      </c>
      <c r="AB22" s="364">
        <v>0</v>
      </c>
      <c r="AC22" s="364">
        <v>0</v>
      </c>
      <c r="AD22" s="364">
        <v>0</v>
      </c>
      <c r="AE22" s="364">
        <v>0</v>
      </c>
      <c r="AF22" s="364">
        <v>0</v>
      </c>
      <c r="AG22" s="364">
        <v>0</v>
      </c>
      <c r="AH22" s="364">
        <v>0</v>
      </c>
      <c r="AI22" s="364">
        <v>0</v>
      </c>
      <c r="AJ22" s="364">
        <v>0</v>
      </c>
      <c r="AK22" s="364">
        <v>0</v>
      </c>
      <c r="AL22" s="364">
        <v>0</v>
      </c>
      <c r="AM22" s="364">
        <v>0</v>
      </c>
      <c r="AN22" s="364">
        <v>0</v>
      </c>
      <c r="AO22" s="364">
        <v>0</v>
      </c>
      <c r="AP22" s="364">
        <v>0</v>
      </c>
      <c r="AQ22" s="364">
        <v>0</v>
      </c>
      <c r="AR22" s="364">
        <v>0</v>
      </c>
      <c r="AS22" s="364">
        <v>0</v>
      </c>
      <c r="AT22" s="364">
        <v>0</v>
      </c>
      <c r="AU22" s="364">
        <v>0</v>
      </c>
      <c r="AV22" s="364">
        <v>0</v>
      </c>
      <c r="AW22" s="364">
        <v>0</v>
      </c>
      <c r="AX22" s="364">
        <v>0</v>
      </c>
      <c r="AY22" s="626">
        <f t="shared" ref="AY22:AY53" si="2">SUM(B22:AX22)</f>
        <v>0</v>
      </c>
      <c r="AZ22" s="364" t="e">
        <f>++E22+J22+N22+S22+#REF!</f>
        <v>#REF!</v>
      </c>
      <c r="BA22" s="365" t="e">
        <f t="shared" ref="BA22:BA40" si="3">SUM(AY22:AZ22)</f>
        <v>#REF!</v>
      </c>
    </row>
    <row r="23" spans="1:120" s="362" customFormat="1" x14ac:dyDescent="0.2">
      <c r="A23" s="363">
        <v>44348</v>
      </c>
      <c r="B23" s="636">
        <v>178110998</v>
      </c>
      <c r="C23" s="630">
        <v>0</v>
      </c>
      <c r="D23" s="630">
        <v>0</v>
      </c>
      <c r="E23" s="364">
        <v>0</v>
      </c>
      <c r="F23" s="364">
        <v>0</v>
      </c>
      <c r="G23" s="630">
        <v>0</v>
      </c>
      <c r="H23" s="630">
        <v>0</v>
      </c>
      <c r="I23" s="630">
        <v>0</v>
      </c>
      <c r="J23" s="364">
        <v>0</v>
      </c>
      <c r="K23" s="364">
        <v>0</v>
      </c>
      <c r="L23" s="364">
        <v>0</v>
      </c>
      <c r="M23" s="364">
        <v>0</v>
      </c>
      <c r="N23" s="364">
        <v>0</v>
      </c>
      <c r="O23" s="364">
        <v>0</v>
      </c>
      <c r="P23" s="364">
        <v>0</v>
      </c>
      <c r="Q23" s="364">
        <v>0</v>
      </c>
      <c r="R23" s="364">
        <v>0</v>
      </c>
      <c r="S23" s="364">
        <v>0</v>
      </c>
      <c r="T23" s="364">
        <v>0</v>
      </c>
      <c r="U23" s="364">
        <v>0</v>
      </c>
      <c r="V23" s="364">
        <v>0</v>
      </c>
      <c r="W23" s="364">
        <v>0</v>
      </c>
      <c r="X23" s="364">
        <v>0</v>
      </c>
      <c r="Y23" s="364">
        <v>0</v>
      </c>
      <c r="Z23" s="364">
        <v>0</v>
      </c>
      <c r="AA23" s="364">
        <v>0</v>
      </c>
      <c r="AB23" s="364">
        <v>0</v>
      </c>
      <c r="AC23" s="364">
        <v>0</v>
      </c>
      <c r="AD23" s="364">
        <v>0</v>
      </c>
      <c r="AE23" s="364">
        <v>0</v>
      </c>
      <c r="AF23" s="364">
        <v>0</v>
      </c>
      <c r="AG23" s="364">
        <v>0</v>
      </c>
      <c r="AH23" s="364">
        <v>0</v>
      </c>
      <c r="AI23" s="364">
        <v>0</v>
      </c>
      <c r="AJ23" s="364">
        <v>0</v>
      </c>
      <c r="AK23" s="364">
        <v>0</v>
      </c>
      <c r="AL23" s="364">
        <v>0</v>
      </c>
      <c r="AM23" s="364">
        <v>0</v>
      </c>
      <c r="AN23" s="364">
        <v>0</v>
      </c>
      <c r="AO23" s="364">
        <v>0</v>
      </c>
      <c r="AP23" s="364">
        <v>0</v>
      </c>
      <c r="AQ23" s="364">
        <v>0</v>
      </c>
      <c r="AR23" s="364">
        <v>0</v>
      </c>
      <c r="AS23" s="364">
        <v>0</v>
      </c>
      <c r="AT23" s="364">
        <v>0</v>
      </c>
      <c r="AU23" s="364">
        <v>0</v>
      </c>
      <c r="AV23" s="364">
        <v>0</v>
      </c>
      <c r="AW23" s="364">
        <v>0</v>
      </c>
      <c r="AX23" s="364">
        <v>0</v>
      </c>
      <c r="AY23" s="631">
        <f t="shared" si="2"/>
        <v>178110998</v>
      </c>
      <c r="AZ23" s="364" t="e">
        <f>++E23+J23+N23+S23+#REF!</f>
        <v>#REF!</v>
      </c>
      <c r="BA23" s="365" t="e">
        <f>SUM(AY23:AZ23)</f>
        <v>#REF!</v>
      </c>
    </row>
    <row r="24" spans="1:120" s="362" customFormat="1" x14ac:dyDescent="0.2">
      <c r="A24" s="363">
        <v>44378</v>
      </c>
      <c r="B24" s="636">
        <v>611681847</v>
      </c>
      <c r="C24" s="630">
        <v>97001000</v>
      </c>
      <c r="D24" s="630">
        <v>0</v>
      </c>
      <c r="E24" s="364">
        <v>0</v>
      </c>
      <c r="F24" s="364">
        <v>0</v>
      </c>
      <c r="G24" s="630">
        <v>0</v>
      </c>
      <c r="H24" s="630">
        <v>0</v>
      </c>
      <c r="I24" s="630">
        <v>0</v>
      </c>
      <c r="J24" s="364">
        <v>0</v>
      </c>
      <c r="K24" s="364">
        <v>0</v>
      </c>
      <c r="L24" s="364">
        <v>0</v>
      </c>
      <c r="M24" s="364">
        <v>0</v>
      </c>
      <c r="N24" s="364">
        <v>0</v>
      </c>
      <c r="O24" s="364">
        <v>0</v>
      </c>
      <c r="P24" s="364">
        <v>0</v>
      </c>
      <c r="Q24" s="364">
        <v>0</v>
      </c>
      <c r="R24" s="364">
        <v>0</v>
      </c>
      <c r="S24" s="364">
        <v>0</v>
      </c>
      <c r="T24" s="364">
        <v>0</v>
      </c>
      <c r="U24" s="364">
        <v>0</v>
      </c>
      <c r="V24" s="364">
        <v>0</v>
      </c>
      <c r="W24" s="364">
        <v>0</v>
      </c>
      <c r="X24" s="364">
        <v>0</v>
      </c>
      <c r="Y24" s="364">
        <v>0</v>
      </c>
      <c r="Z24" s="364">
        <v>0</v>
      </c>
      <c r="AA24" s="364">
        <v>0</v>
      </c>
      <c r="AB24" s="364">
        <v>0</v>
      </c>
      <c r="AC24" s="364">
        <v>0</v>
      </c>
      <c r="AD24" s="364">
        <v>0</v>
      </c>
      <c r="AE24" s="364">
        <v>0</v>
      </c>
      <c r="AF24" s="364">
        <v>0</v>
      </c>
      <c r="AG24" s="364">
        <v>0</v>
      </c>
      <c r="AH24" s="364">
        <v>0</v>
      </c>
      <c r="AI24" s="364">
        <v>0</v>
      </c>
      <c r="AJ24" s="364">
        <v>0</v>
      </c>
      <c r="AK24" s="364">
        <v>0</v>
      </c>
      <c r="AL24" s="364">
        <v>0</v>
      </c>
      <c r="AM24" s="364">
        <v>0</v>
      </c>
      <c r="AN24" s="364">
        <v>0</v>
      </c>
      <c r="AO24" s="364">
        <v>0</v>
      </c>
      <c r="AP24" s="364">
        <v>0</v>
      </c>
      <c r="AQ24" s="364">
        <v>0</v>
      </c>
      <c r="AR24" s="364">
        <v>0</v>
      </c>
      <c r="AS24" s="364">
        <v>0</v>
      </c>
      <c r="AT24" s="364">
        <v>0</v>
      </c>
      <c r="AU24" s="364">
        <v>0</v>
      </c>
      <c r="AV24" s="364">
        <v>0</v>
      </c>
      <c r="AW24" s="364">
        <v>0</v>
      </c>
      <c r="AX24" s="364">
        <v>0</v>
      </c>
      <c r="AY24" s="631">
        <f t="shared" si="2"/>
        <v>708682847</v>
      </c>
      <c r="AZ24" s="364" t="e">
        <f>++E24+J24+N24+S24+#REF!</f>
        <v>#REF!</v>
      </c>
      <c r="BA24" s="365" t="e">
        <f t="shared" si="3"/>
        <v>#REF!</v>
      </c>
    </row>
    <row r="25" spans="1:120" s="362" customFormat="1" x14ac:dyDescent="0.2">
      <c r="A25" s="363">
        <v>44409</v>
      </c>
      <c r="B25" s="636">
        <v>311172326</v>
      </c>
      <c r="C25" s="630">
        <v>37248223</v>
      </c>
      <c r="D25" s="630">
        <v>0</v>
      </c>
      <c r="E25" s="364">
        <v>0</v>
      </c>
      <c r="F25" s="364">
        <v>0</v>
      </c>
      <c r="G25" s="630">
        <v>0</v>
      </c>
      <c r="H25" s="630">
        <v>7972316</v>
      </c>
      <c r="I25" s="630">
        <v>0</v>
      </c>
      <c r="J25" s="364">
        <v>0</v>
      </c>
      <c r="K25" s="364">
        <v>0</v>
      </c>
      <c r="L25" s="364">
        <v>0</v>
      </c>
      <c r="M25" s="364">
        <v>0</v>
      </c>
      <c r="N25" s="364">
        <v>0</v>
      </c>
      <c r="O25" s="364">
        <v>0</v>
      </c>
      <c r="P25" s="364">
        <v>0</v>
      </c>
      <c r="Q25" s="364">
        <v>0</v>
      </c>
      <c r="R25" s="364">
        <v>0</v>
      </c>
      <c r="S25" s="364">
        <v>0</v>
      </c>
      <c r="T25" s="364">
        <v>0</v>
      </c>
      <c r="U25" s="364">
        <v>0</v>
      </c>
      <c r="V25" s="364">
        <v>0</v>
      </c>
      <c r="W25" s="364">
        <v>0</v>
      </c>
      <c r="X25" s="364">
        <v>0</v>
      </c>
      <c r="Y25" s="364">
        <v>0</v>
      </c>
      <c r="Z25" s="364">
        <v>0</v>
      </c>
      <c r="AA25" s="364">
        <v>0</v>
      </c>
      <c r="AB25" s="364">
        <v>0</v>
      </c>
      <c r="AC25" s="364">
        <v>0</v>
      </c>
      <c r="AD25" s="364">
        <v>0</v>
      </c>
      <c r="AE25" s="364">
        <v>0</v>
      </c>
      <c r="AF25" s="364">
        <v>0</v>
      </c>
      <c r="AG25" s="364">
        <v>0</v>
      </c>
      <c r="AH25" s="364">
        <v>0</v>
      </c>
      <c r="AI25" s="364">
        <v>0</v>
      </c>
      <c r="AJ25" s="364">
        <v>0</v>
      </c>
      <c r="AK25" s="364">
        <v>0</v>
      </c>
      <c r="AL25" s="364">
        <v>0</v>
      </c>
      <c r="AM25" s="364">
        <v>0</v>
      </c>
      <c r="AN25" s="364">
        <v>0</v>
      </c>
      <c r="AO25" s="364">
        <v>0</v>
      </c>
      <c r="AP25" s="364">
        <v>0</v>
      </c>
      <c r="AQ25" s="364">
        <v>0</v>
      </c>
      <c r="AR25" s="364">
        <v>0</v>
      </c>
      <c r="AS25" s="364">
        <v>0</v>
      </c>
      <c r="AT25" s="364">
        <v>0</v>
      </c>
      <c r="AU25" s="364">
        <v>0</v>
      </c>
      <c r="AV25" s="364">
        <v>0</v>
      </c>
      <c r="AW25" s="364">
        <v>0</v>
      </c>
      <c r="AX25" s="364">
        <v>0</v>
      </c>
      <c r="AY25" s="631">
        <f t="shared" si="2"/>
        <v>356392865</v>
      </c>
      <c r="AZ25" s="364" t="e">
        <f>++E25+J25+N25+S25+#REF!</f>
        <v>#REF!</v>
      </c>
      <c r="BA25" s="365" t="e">
        <f t="shared" si="3"/>
        <v>#REF!</v>
      </c>
    </row>
    <row r="26" spans="1:120" s="362" customFormat="1" x14ac:dyDescent="0.2">
      <c r="A26" s="363">
        <v>44440</v>
      </c>
      <c r="B26" s="636">
        <v>304766879</v>
      </c>
      <c r="C26" s="630">
        <v>116360318</v>
      </c>
      <c r="D26" s="630">
        <v>0</v>
      </c>
      <c r="E26" s="364">
        <v>0</v>
      </c>
      <c r="F26" s="364">
        <v>0</v>
      </c>
      <c r="G26" s="630">
        <v>0</v>
      </c>
      <c r="H26" s="630">
        <v>64000000</v>
      </c>
      <c r="I26" s="630">
        <v>0</v>
      </c>
      <c r="J26" s="364">
        <v>0</v>
      </c>
      <c r="K26" s="364">
        <v>0</v>
      </c>
      <c r="L26" s="364">
        <v>0</v>
      </c>
      <c r="M26" s="364">
        <v>0</v>
      </c>
      <c r="N26" s="364">
        <v>0</v>
      </c>
      <c r="O26" s="364">
        <v>0</v>
      </c>
      <c r="P26" s="364">
        <v>0</v>
      </c>
      <c r="Q26" s="364">
        <v>0</v>
      </c>
      <c r="R26" s="364">
        <v>0</v>
      </c>
      <c r="S26" s="364">
        <v>0</v>
      </c>
      <c r="T26" s="364">
        <v>0</v>
      </c>
      <c r="U26" s="364">
        <v>0</v>
      </c>
      <c r="V26" s="364">
        <v>0</v>
      </c>
      <c r="W26" s="364">
        <v>0</v>
      </c>
      <c r="X26" s="364">
        <v>0</v>
      </c>
      <c r="Y26" s="364">
        <v>0</v>
      </c>
      <c r="Z26" s="364">
        <v>0</v>
      </c>
      <c r="AA26" s="364">
        <v>0</v>
      </c>
      <c r="AB26" s="364">
        <v>0</v>
      </c>
      <c r="AC26" s="364">
        <v>0</v>
      </c>
      <c r="AD26" s="364">
        <v>0</v>
      </c>
      <c r="AE26" s="364">
        <v>0</v>
      </c>
      <c r="AF26" s="364">
        <v>0</v>
      </c>
      <c r="AG26" s="364">
        <v>0</v>
      </c>
      <c r="AH26" s="364">
        <v>0</v>
      </c>
      <c r="AI26" s="364">
        <v>0</v>
      </c>
      <c r="AJ26" s="364">
        <v>0</v>
      </c>
      <c r="AK26" s="364">
        <v>0</v>
      </c>
      <c r="AL26" s="364">
        <v>0</v>
      </c>
      <c r="AM26" s="364">
        <v>0</v>
      </c>
      <c r="AN26" s="364">
        <v>0</v>
      </c>
      <c r="AO26" s="364">
        <v>0</v>
      </c>
      <c r="AP26" s="364">
        <v>0</v>
      </c>
      <c r="AQ26" s="364">
        <v>0</v>
      </c>
      <c r="AR26" s="364">
        <v>0</v>
      </c>
      <c r="AS26" s="364">
        <v>0</v>
      </c>
      <c r="AT26" s="364">
        <v>0</v>
      </c>
      <c r="AU26" s="364">
        <v>0</v>
      </c>
      <c r="AV26" s="364">
        <v>0</v>
      </c>
      <c r="AW26" s="364">
        <v>0</v>
      </c>
      <c r="AX26" s="364">
        <v>0</v>
      </c>
      <c r="AY26" s="631">
        <f t="shared" si="2"/>
        <v>485127197</v>
      </c>
      <c r="AZ26" s="364" t="e">
        <f>++E26+J26+N26+S26+#REF!</f>
        <v>#REF!</v>
      </c>
      <c r="BA26" s="365" t="e">
        <f t="shared" si="3"/>
        <v>#REF!</v>
      </c>
    </row>
    <row r="27" spans="1:120" s="362" customFormat="1" x14ac:dyDescent="0.2">
      <c r="A27" s="363">
        <v>44470</v>
      </c>
      <c r="B27" s="636">
        <v>343794241</v>
      </c>
      <c r="C27" s="630">
        <v>156411982</v>
      </c>
      <c r="D27" s="630">
        <v>0</v>
      </c>
      <c r="E27" s="364">
        <v>0</v>
      </c>
      <c r="F27" s="364">
        <v>0</v>
      </c>
      <c r="G27" s="630">
        <v>0</v>
      </c>
      <c r="H27" s="630">
        <v>0</v>
      </c>
      <c r="I27" s="630">
        <v>0</v>
      </c>
      <c r="J27" s="364">
        <v>0</v>
      </c>
      <c r="K27" s="364">
        <v>0</v>
      </c>
      <c r="L27" s="364">
        <v>0</v>
      </c>
      <c r="M27" s="364">
        <v>0</v>
      </c>
      <c r="N27" s="364">
        <v>0</v>
      </c>
      <c r="O27" s="364">
        <v>0</v>
      </c>
      <c r="P27" s="364">
        <v>0</v>
      </c>
      <c r="Q27" s="364">
        <v>0</v>
      </c>
      <c r="R27" s="364">
        <v>0</v>
      </c>
      <c r="S27" s="364">
        <v>0</v>
      </c>
      <c r="T27" s="364">
        <v>0</v>
      </c>
      <c r="U27" s="364">
        <v>0</v>
      </c>
      <c r="V27" s="364">
        <v>0</v>
      </c>
      <c r="W27" s="364">
        <v>0</v>
      </c>
      <c r="X27" s="364">
        <v>0</v>
      </c>
      <c r="Y27" s="364">
        <v>0</v>
      </c>
      <c r="Z27" s="364">
        <v>0</v>
      </c>
      <c r="AA27" s="364">
        <v>0</v>
      </c>
      <c r="AB27" s="364">
        <v>0</v>
      </c>
      <c r="AC27" s="364">
        <v>0</v>
      </c>
      <c r="AD27" s="364">
        <v>0</v>
      </c>
      <c r="AE27" s="630">
        <v>649950</v>
      </c>
      <c r="AF27" s="364">
        <v>0</v>
      </c>
      <c r="AG27" s="364">
        <v>0</v>
      </c>
      <c r="AH27" s="364">
        <v>0</v>
      </c>
      <c r="AI27" s="364">
        <v>0</v>
      </c>
      <c r="AJ27" s="364">
        <v>0</v>
      </c>
      <c r="AK27" s="364">
        <v>0</v>
      </c>
      <c r="AL27" s="364">
        <v>0</v>
      </c>
      <c r="AM27" s="364">
        <v>0</v>
      </c>
      <c r="AN27" s="364">
        <v>0</v>
      </c>
      <c r="AO27" s="364">
        <v>0</v>
      </c>
      <c r="AP27" s="364">
        <v>0</v>
      </c>
      <c r="AQ27" s="364">
        <v>0</v>
      </c>
      <c r="AR27" s="364">
        <v>0</v>
      </c>
      <c r="AS27" s="364">
        <v>0</v>
      </c>
      <c r="AT27" s="364">
        <v>0</v>
      </c>
      <c r="AU27" s="364">
        <v>0</v>
      </c>
      <c r="AV27" s="364">
        <v>0</v>
      </c>
      <c r="AW27" s="364">
        <v>0</v>
      </c>
      <c r="AX27" s="364">
        <v>0</v>
      </c>
      <c r="AY27" s="631">
        <f t="shared" si="2"/>
        <v>500856173</v>
      </c>
      <c r="AZ27" s="364" t="e">
        <f>++E27+J27+N27+S27+#REF!</f>
        <v>#REF!</v>
      </c>
      <c r="BA27" s="365" t="e">
        <f t="shared" si="3"/>
        <v>#REF!</v>
      </c>
    </row>
    <row r="28" spans="1:120" s="362" customFormat="1" x14ac:dyDescent="0.2">
      <c r="A28" s="363">
        <v>44501</v>
      </c>
      <c r="B28" s="636">
        <v>340013143</v>
      </c>
      <c r="C28" s="630">
        <v>416288630</v>
      </c>
      <c r="D28" s="630">
        <v>0</v>
      </c>
      <c r="E28" s="364">
        <v>0</v>
      </c>
      <c r="F28" s="364">
        <v>0</v>
      </c>
      <c r="G28" s="630">
        <v>0</v>
      </c>
      <c r="H28" s="630">
        <v>0</v>
      </c>
      <c r="I28" s="630">
        <v>0</v>
      </c>
      <c r="J28" s="364">
        <v>0</v>
      </c>
      <c r="K28" s="364">
        <v>0</v>
      </c>
      <c r="L28" s="364">
        <v>0</v>
      </c>
      <c r="M28" s="364">
        <v>0</v>
      </c>
      <c r="N28" s="364">
        <v>0</v>
      </c>
      <c r="O28" s="364">
        <v>0</v>
      </c>
      <c r="P28" s="364">
        <v>0</v>
      </c>
      <c r="Q28" s="364">
        <v>0</v>
      </c>
      <c r="R28" s="364">
        <v>0</v>
      </c>
      <c r="S28" s="364">
        <v>0</v>
      </c>
      <c r="T28" s="364">
        <v>0</v>
      </c>
      <c r="U28" s="364">
        <v>0</v>
      </c>
      <c r="V28" s="364">
        <v>0</v>
      </c>
      <c r="W28" s="364">
        <v>0</v>
      </c>
      <c r="X28" s="364">
        <v>0</v>
      </c>
      <c r="Y28" s="364">
        <v>0</v>
      </c>
      <c r="Z28" s="364">
        <v>0</v>
      </c>
      <c r="AA28" s="364">
        <v>0</v>
      </c>
      <c r="AB28" s="364">
        <v>0</v>
      </c>
      <c r="AC28" s="364">
        <v>0</v>
      </c>
      <c r="AD28" s="364">
        <v>0</v>
      </c>
      <c r="AE28" s="630">
        <v>1003096</v>
      </c>
      <c r="AF28" s="364">
        <v>0</v>
      </c>
      <c r="AG28" s="364">
        <v>0</v>
      </c>
      <c r="AH28" s="364">
        <v>0</v>
      </c>
      <c r="AI28" s="364">
        <v>0</v>
      </c>
      <c r="AJ28" s="364">
        <v>0</v>
      </c>
      <c r="AK28" s="364">
        <v>0</v>
      </c>
      <c r="AL28" s="364">
        <v>0</v>
      </c>
      <c r="AM28" s="364">
        <v>0</v>
      </c>
      <c r="AN28" s="364">
        <v>0</v>
      </c>
      <c r="AO28" s="364">
        <v>0</v>
      </c>
      <c r="AP28" s="364">
        <v>0</v>
      </c>
      <c r="AQ28" s="364">
        <v>0</v>
      </c>
      <c r="AR28" s="364">
        <v>0</v>
      </c>
      <c r="AS28" s="364">
        <v>0</v>
      </c>
      <c r="AT28" s="364">
        <v>0</v>
      </c>
      <c r="AU28" s="364">
        <v>0</v>
      </c>
      <c r="AV28" s="364">
        <v>0</v>
      </c>
      <c r="AW28" s="364">
        <v>0</v>
      </c>
      <c r="AX28" s="364">
        <v>0</v>
      </c>
      <c r="AY28" s="631">
        <f t="shared" si="2"/>
        <v>757304869</v>
      </c>
      <c r="AZ28" s="364" t="e">
        <f>++E28+J28+N28+S28+#REF!</f>
        <v>#REF!</v>
      </c>
      <c r="BA28" s="365" t="e">
        <f t="shared" si="3"/>
        <v>#REF!</v>
      </c>
    </row>
    <row r="29" spans="1:120" s="362" customFormat="1" x14ac:dyDescent="0.2">
      <c r="A29" s="363">
        <v>44531</v>
      </c>
      <c r="B29" s="636">
        <v>557681684</v>
      </c>
      <c r="C29" s="630">
        <v>214785536</v>
      </c>
      <c r="D29" s="630">
        <v>0</v>
      </c>
      <c r="E29" s="364">
        <v>0</v>
      </c>
      <c r="F29" s="364">
        <v>0</v>
      </c>
      <c r="G29" s="630">
        <v>9240000</v>
      </c>
      <c r="H29" s="630">
        <v>49515000</v>
      </c>
      <c r="I29" s="630">
        <v>0</v>
      </c>
      <c r="J29" s="364">
        <v>0</v>
      </c>
      <c r="K29" s="364">
        <v>0</v>
      </c>
      <c r="L29" s="364">
        <v>0</v>
      </c>
      <c r="M29" s="364">
        <v>0</v>
      </c>
      <c r="N29" s="364">
        <v>0</v>
      </c>
      <c r="O29" s="364">
        <v>0</v>
      </c>
      <c r="P29" s="364">
        <v>0</v>
      </c>
      <c r="Q29" s="364">
        <v>0</v>
      </c>
      <c r="R29" s="364">
        <v>0</v>
      </c>
      <c r="S29" s="364">
        <v>0</v>
      </c>
      <c r="T29" s="364">
        <v>0</v>
      </c>
      <c r="U29" s="364">
        <v>0</v>
      </c>
      <c r="V29" s="364">
        <v>0</v>
      </c>
      <c r="W29" s="364">
        <v>0</v>
      </c>
      <c r="X29" s="364">
        <v>0</v>
      </c>
      <c r="Y29" s="364">
        <v>0</v>
      </c>
      <c r="Z29" s="364">
        <v>0</v>
      </c>
      <c r="AA29" s="364">
        <v>0</v>
      </c>
      <c r="AB29" s="364">
        <v>0</v>
      </c>
      <c r="AC29" s="364">
        <v>0</v>
      </c>
      <c r="AD29" s="364">
        <v>0</v>
      </c>
      <c r="AE29" s="630">
        <v>1932962</v>
      </c>
      <c r="AF29" s="364">
        <v>0</v>
      </c>
      <c r="AG29" s="364">
        <v>0</v>
      </c>
      <c r="AH29" s="364">
        <v>0</v>
      </c>
      <c r="AI29" s="364">
        <v>0</v>
      </c>
      <c r="AJ29" s="364">
        <v>0</v>
      </c>
      <c r="AK29" s="364">
        <v>0</v>
      </c>
      <c r="AL29" s="364">
        <v>0</v>
      </c>
      <c r="AM29" s="364">
        <v>0</v>
      </c>
      <c r="AN29" s="364">
        <v>0</v>
      </c>
      <c r="AO29" s="364">
        <v>0</v>
      </c>
      <c r="AP29" s="364">
        <v>0</v>
      </c>
      <c r="AQ29" s="364">
        <v>0</v>
      </c>
      <c r="AR29" s="364">
        <v>0</v>
      </c>
      <c r="AS29" s="364">
        <v>0</v>
      </c>
      <c r="AT29" s="364">
        <v>0</v>
      </c>
      <c r="AU29" s="364">
        <v>0</v>
      </c>
      <c r="AV29" s="364">
        <v>0</v>
      </c>
      <c r="AW29" s="364">
        <v>0</v>
      </c>
      <c r="AX29" s="364">
        <v>0</v>
      </c>
      <c r="AY29" s="631">
        <f t="shared" si="2"/>
        <v>833155182</v>
      </c>
      <c r="AZ29" s="364" t="e">
        <f>++E29+J29+N29+S29+#REF!</f>
        <v>#REF!</v>
      </c>
      <c r="BA29" s="365" t="e">
        <f t="shared" si="3"/>
        <v>#REF!</v>
      </c>
    </row>
    <row r="30" spans="1:120" s="362" customFormat="1" x14ac:dyDescent="0.2">
      <c r="A30" s="363">
        <v>44562</v>
      </c>
      <c r="B30" s="636">
        <v>316233421</v>
      </c>
      <c r="C30" s="630">
        <v>330992994</v>
      </c>
      <c r="D30" s="630">
        <v>0</v>
      </c>
      <c r="E30" s="364">
        <v>0</v>
      </c>
      <c r="F30" s="364">
        <v>0</v>
      </c>
      <c r="G30" s="630">
        <v>10000000</v>
      </c>
      <c r="H30" s="630">
        <v>0</v>
      </c>
      <c r="I30" s="630">
        <v>0</v>
      </c>
      <c r="J30" s="364">
        <v>0</v>
      </c>
      <c r="K30" s="364">
        <v>0</v>
      </c>
      <c r="L30" s="364">
        <v>0</v>
      </c>
      <c r="M30" s="364">
        <v>0</v>
      </c>
      <c r="N30" s="364">
        <v>0</v>
      </c>
      <c r="O30" s="364">
        <v>0</v>
      </c>
      <c r="P30" s="364">
        <v>0</v>
      </c>
      <c r="Q30" s="364">
        <v>0</v>
      </c>
      <c r="R30" s="364">
        <v>0</v>
      </c>
      <c r="S30" s="364">
        <v>0</v>
      </c>
      <c r="T30" s="364">
        <v>0</v>
      </c>
      <c r="U30" s="364">
        <v>0</v>
      </c>
      <c r="V30" s="364">
        <v>0</v>
      </c>
      <c r="W30" s="364">
        <v>0</v>
      </c>
      <c r="X30" s="364">
        <v>0</v>
      </c>
      <c r="Y30" s="364">
        <v>0</v>
      </c>
      <c r="Z30" s="364">
        <v>0</v>
      </c>
      <c r="AA30" s="364">
        <v>0</v>
      </c>
      <c r="AB30" s="364">
        <v>0</v>
      </c>
      <c r="AC30" s="364">
        <v>0</v>
      </c>
      <c r="AD30" s="364">
        <v>0</v>
      </c>
      <c r="AE30" s="630">
        <v>-78264</v>
      </c>
      <c r="AF30" s="364">
        <v>0</v>
      </c>
      <c r="AG30" s="364">
        <v>0</v>
      </c>
      <c r="AH30" s="364">
        <v>0</v>
      </c>
      <c r="AI30" s="364">
        <v>0</v>
      </c>
      <c r="AJ30" s="364">
        <v>0</v>
      </c>
      <c r="AK30" s="364">
        <v>0</v>
      </c>
      <c r="AL30" s="364">
        <v>0</v>
      </c>
      <c r="AM30" s="364">
        <v>0</v>
      </c>
      <c r="AN30" s="364">
        <v>0</v>
      </c>
      <c r="AO30" s="364">
        <v>0</v>
      </c>
      <c r="AP30" s="364">
        <v>0</v>
      </c>
      <c r="AQ30" s="364">
        <v>0</v>
      </c>
      <c r="AR30" s="364">
        <v>0</v>
      </c>
      <c r="AS30" s="364">
        <v>0</v>
      </c>
      <c r="AT30" s="364">
        <v>0</v>
      </c>
      <c r="AU30" s="364">
        <v>0</v>
      </c>
      <c r="AV30" s="364">
        <v>0</v>
      </c>
      <c r="AW30" s="364">
        <v>0</v>
      </c>
      <c r="AX30" s="364">
        <v>0</v>
      </c>
      <c r="AY30" s="631">
        <f t="shared" si="2"/>
        <v>657148151</v>
      </c>
      <c r="AZ30" s="364" t="e">
        <f>++E30+J30+N30+S30+#REF!</f>
        <v>#REF!</v>
      </c>
      <c r="BA30" s="365" t="e">
        <f>SUM(AY30:AZ30)</f>
        <v>#REF!</v>
      </c>
    </row>
    <row r="31" spans="1:120" s="362" customFormat="1" x14ac:dyDescent="0.2">
      <c r="A31" s="363">
        <v>44593</v>
      </c>
      <c r="B31" s="364">
        <v>317134128</v>
      </c>
      <c r="C31" s="364">
        <v>260748846</v>
      </c>
      <c r="D31" s="364">
        <v>0</v>
      </c>
      <c r="E31" s="364">
        <v>36581244</v>
      </c>
      <c r="F31" s="364">
        <v>0</v>
      </c>
      <c r="G31" s="364">
        <v>3000000</v>
      </c>
      <c r="H31" s="364">
        <v>0</v>
      </c>
      <c r="I31" s="364">
        <v>0</v>
      </c>
      <c r="J31" s="364">
        <v>0</v>
      </c>
      <c r="K31" s="364">
        <v>0</v>
      </c>
      <c r="L31" s="364">
        <v>0</v>
      </c>
      <c r="M31" s="364">
        <v>0</v>
      </c>
      <c r="N31" s="364">
        <v>0</v>
      </c>
      <c r="O31" s="364">
        <v>0</v>
      </c>
      <c r="P31" s="364">
        <v>0</v>
      </c>
      <c r="Q31" s="364">
        <v>0</v>
      </c>
      <c r="R31" s="364">
        <v>0</v>
      </c>
      <c r="S31" s="364">
        <v>0</v>
      </c>
      <c r="T31" s="364">
        <v>0</v>
      </c>
      <c r="U31" s="364">
        <v>0</v>
      </c>
      <c r="V31" s="364">
        <v>0</v>
      </c>
      <c r="W31" s="364">
        <v>0</v>
      </c>
      <c r="X31" s="364">
        <v>0</v>
      </c>
      <c r="Y31" s="364">
        <v>0</v>
      </c>
      <c r="Z31" s="364">
        <v>0</v>
      </c>
      <c r="AA31" s="364">
        <v>0</v>
      </c>
      <c r="AB31" s="364">
        <v>0</v>
      </c>
      <c r="AC31" s="364">
        <v>0</v>
      </c>
      <c r="AD31" s="364">
        <v>0</v>
      </c>
      <c r="AE31" s="364">
        <v>503115</v>
      </c>
      <c r="AF31" s="364">
        <v>0</v>
      </c>
      <c r="AG31" s="364">
        <v>0</v>
      </c>
      <c r="AH31" s="364">
        <v>0</v>
      </c>
      <c r="AI31" s="364">
        <v>0</v>
      </c>
      <c r="AJ31" s="364">
        <v>0</v>
      </c>
      <c r="AK31" s="364">
        <v>0</v>
      </c>
      <c r="AL31" s="364">
        <v>0</v>
      </c>
      <c r="AM31" s="364">
        <v>0</v>
      </c>
      <c r="AN31" s="364">
        <v>0</v>
      </c>
      <c r="AO31" s="364">
        <v>0</v>
      </c>
      <c r="AP31" s="364">
        <v>0</v>
      </c>
      <c r="AQ31" s="364">
        <v>0</v>
      </c>
      <c r="AR31" s="364">
        <v>0</v>
      </c>
      <c r="AS31" s="364">
        <v>0</v>
      </c>
      <c r="AT31" s="364">
        <v>0</v>
      </c>
      <c r="AU31" s="364">
        <v>0</v>
      </c>
      <c r="AV31" s="364">
        <v>0</v>
      </c>
      <c r="AW31" s="364">
        <v>0</v>
      </c>
      <c r="AX31" s="364">
        <v>0</v>
      </c>
      <c r="AY31" s="626">
        <f t="shared" si="2"/>
        <v>617967333</v>
      </c>
      <c r="AZ31" s="364" t="e">
        <f>++E31+J31+N31+S31+#REF!</f>
        <v>#REF!</v>
      </c>
      <c r="BA31" s="365" t="e">
        <f t="shared" si="3"/>
        <v>#REF!</v>
      </c>
    </row>
    <row r="32" spans="1:120" s="362" customFormat="1" x14ac:dyDescent="0.2">
      <c r="A32" s="363">
        <v>44621</v>
      </c>
      <c r="B32" s="364">
        <v>377598324</v>
      </c>
      <c r="C32" s="364">
        <v>354431985</v>
      </c>
      <c r="D32" s="364">
        <v>0</v>
      </c>
      <c r="E32" s="364">
        <v>200193642</v>
      </c>
      <c r="F32" s="364">
        <v>0</v>
      </c>
      <c r="G32" s="364">
        <v>3000000</v>
      </c>
      <c r="H32" s="364">
        <v>17626832</v>
      </c>
      <c r="I32" s="364">
        <v>0</v>
      </c>
      <c r="J32" s="364">
        <v>0</v>
      </c>
      <c r="K32" s="364">
        <v>0</v>
      </c>
      <c r="L32" s="364">
        <v>0</v>
      </c>
      <c r="M32" s="364">
        <v>0</v>
      </c>
      <c r="N32" s="364">
        <v>0</v>
      </c>
      <c r="O32" s="364">
        <v>0</v>
      </c>
      <c r="P32" s="364">
        <v>0</v>
      </c>
      <c r="Q32" s="364">
        <v>0</v>
      </c>
      <c r="R32" s="364">
        <v>0</v>
      </c>
      <c r="S32" s="364">
        <v>0</v>
      </c>
      <c r="T32" s="364">
        <v>0</v>
      </c>
      <c r="U32" s="364">
        <v>0</v>
      </c>
      <c r="V32" s="364">
        <v>0</v>
      </c>
      <c r="W32" s="364">
        <v>0</v>
      </c>
      <c r="X32" s="364">
        <v>0</v>
      </c>
      <c r="Y32" s="364">
        <v>0</v>
      </c>
      <c r="Z32" s="364">
        <v>0</v>
      </c>
      <c r="AA32" s="364">
        <v>0</v>
      </c>
      <c r="AB32" s="364">
        <v>0</v>
      </c>
      <c r="AC32" s="364">
        <v>0</v>
      </c>
      <c r="AD32" s="364">
        <v>0</v>
      </c>
      <c r="AE32" s="364">
        <v>2348363</v>
      </c>
      <c r="AF32" s="364">
        <v>40819</v>
      </c>
      <c r="AG32" s="364">
        <v>0</v>
      </c>
      <c r="AH32" s="364">
        <v>0</v>
      </c>
      <c r="AI32" s="364">
        <v>0</v>
      </c>
      <c r="AJ32" s="364">
        <v>0</v>
      </c>
      <c r="AK32" s="364">
        <v>0</v>
      </c>
      <c r="AL32" s="364">
        <v>0</v>
      </c>
      <c r="AM32" s="364">
        <v>0</v>
      </c>
      <c r="AN32" s="364">
        <v>0</v>
      </c>
      <c r="AO32" s="364">
        <v>0</v>
      </c>
      <c r="AP32" s="364">
        <v>0</v>
      </c>
      <c r="AQ32" s="364">
        <v>0</v>
      </c>
      <c r="AR32" s="364">
        <v>0</v>
      </c>
      <c r="AS32" s="364">
        <v>0</v>
      </c>
      <c r="AT32" s="364">
        <v>0</v>
      </c>
      <c r="AU32" s="364">
        <v>0</v>
      </c>
      <c r="AV32" s="364">
        <v>0</v>
      </c>
      <c r="AW32" s="364">
        <v>0</v>
      </c>
      <c r="AX32" s="364">
        <v>0</v>
      </c>
      <c r="AY32" s="626">
        <f t="shared" si="2"/>
        <v>955239965</v>
      </c>
      <c r="AZ32" s="364" t="e">
        <f>++E32+J32+N32+S32+#REF!</f>
        <v>#REF!</v>
      </c>
      <c r="BA32" s="365" t="e">
        <f>SUM(AY32:AZ32)</f>
        <v>#REF!</v>
      </c>
    </row>
    <row r="33" spans="1:94" s="362" customFormat="1" x14ac:dyDescent="0.2">
      <c r="A33" s="363">
        <v>44652</v>
      </c>
      <c r="B33" s="364">
        <v>349145728</v>
      </c>
      <c r="C33" s="364">
        <v>232716867</v>
      </c>
      <c r="D33" s="364">
        <v>0</v>
      </c>
      <c r="E33" s="364">
        <v>270643232</v>
      </c>
      <c r="F33" s="364">
        <v>0</v>
      </c>
      <c r="G33" s="364">
        <v>13707103</v>
      </c>
      <c r="H33" s="364">
        <v>23069182</v>
      </c>
      <c r="I33" s="364">
        <v>0</v>
      </c>
      <c r="J33" s="364">
        <v>0</v>
      </c>
      <c r="K33" s="364">
        <v>0</v>
      </c>
      <c r="L33" s="364">
        <v>0</v>
      </c>
      <c r="M33" s="364">
        <v>0</v>
      </c>
      <c r="N33" s="364">
        <v>0</v>
      </c>
      <c r="O33" s="364">
        <v>0</v>
      </c>
      <c r="P33" s="364">
        <v>0</v>
      </c>
      <c r="Q33" s="364">
        <v>0</v>
      </c>
      <c r="R33" s="364">
        <v>0</v>
      </c>
      <c r="S33" s="364">
        <v>0</v>
      </c>
      <c r="T33" s="364">
        <v>0</v>
      </c>
      <c r="U33" s="364">
        <v>0</v>
      </c>
      <c r="V33" s="364">
        <v>0</v>
      </c>
      <c r="W33" s="364">
        <v>0</v>
      </c>
      <c r="X33" s="364">
        <v>0</v>
      </c>
      <c r="Y33" s="364">
        <v>0</v>
      </c>
      <c r="Z33" s="364">
        <v>0</v>
      </c>
      <c r="AA33" s="364">
        <v>0</v>
      </c>
      <c r="AB33" s="364">
        <v>0</v>
      </c>
      <c r="AC33" s="364">
        <v>0</v>
      </c>
      <c r="AD33" s="364">
        <v>0</v>
      </c>
      <c r="AE33" s="364">
        <v>2491792</v>
      </c>
      <c r="AF33" s="364">
        <v>0</v>
      </c>
      <c r="AG33" s="364">
        <v>0</v>
      </c>
      <c r="AH33" s="364">
        <v>0</v>
      </c>
      <c r="AI33" s="364">
        <v>0</v>
      </c>
      <c r="AJ33" s="364">
        <v>0</v>
      </c>
      <c r="AK33" s="364">
        <v>0</v>
      </c>
      <c r="AL33" s="364">
        <v>0</v>
      </c>
      <c r="AM33" s="364">
        <v>0</v>
      </c>
      <c r="AN33" s="364">
        <v>0</v>
      </c>
      <c r="AO33" s="364">
        <v>0</v>
      </c>
      <c r="AP33" s="364">
        <v>0</v>
      </c>
      <c r="AQ33" s="364">
        <v>0</v>
      </c>
      <c r="AR33" s="364">
        <v>0</v>
      </c>
      <c r="AS33" s="364">
        <v>0</v>
      </c>
      <c r="AT33" s="364">
        <v>0</v>
      </c>
      <c r="AU33" s="364">
        <v>0</v>
      </c>
      <c r="AV33" s="364">
        <v>0</v>
      </c>
      <c r="AW33" s="364">
        <v>0</v>
      </c>
      <c r="AX33" s="364">
        <v>0</v>
      </c>
      <c r="AY33" s="626">
        <f t="shared" si="2"/>
        <v>891773904</v>
      </c>
      <c r="AZ33" s="364" t="e">
        <f>++E33+J33+N33+S33+#REF!</f>
        <v>#REF!</v>
      </c>
      <c r="BA33" s="365" t="e">
        <f t="shared" si="3"/>
        <v>#REF!</v>
      </c>
    </row>
    <row r="34" spans="1:94" s="362" customFormat="1" x14ac:dyDescent="0.2">
      <c r="A34" s="363">
        <v>44682</v>
      </c>
      <c r="B34" s="364">
        <v>374272348</v>
      </c>
      <c r="C34" s="364">
        <v>337967886</v>
      </c>
      <c r="D34" s="364">
        <v>0</v>
      </c>
      <c r="E34" s="364">
        <v>257333669</v>
      </c>
      <c r="F34" s="364">
        <v>0</v>
      </c>
      <c r="G34" s="364">
        <v>22829262</v>
      </c>
      <c r="H34" s="364">
        <v>57279580</v>
      </c>
      <c r="I34" s="364">
        <v>0</v>
      </c>
      <c r="J34" s="364">
        <v>15163280</v>
      </c>
      <c r="K34" s="364">
        <v>0</v>
      </c>
      <c r="L34" s="364">
        <v>0</v>
      </c>
      <c r="M34" s="364">
        <v>0</v>
      </c>
      <c r="N34" s="364">
        <v>0</v>
      </c>
      <c r="O34" s="364">
        <v>0</v>
      </c>
      <c r="P34" s="364">
        <v>0</v>
      </c>
      <c r="Q34" s="364">
        <v>0</v>
      </c>
      <c r="R34" s="364">
        <v>0</v>
      </c>
      <c r="S34" s="364">
        <v>0</v>
      </c>
      <c r="T34" s="364">
        <v>0</v>
      </c>
      <c r="U34" s="364">
        <v>0</v>
      </c>
      <c r="V34" s="364">
        <v>0</v>
      </c>
      <c r="W34" s="364">
        <v>0</v>
      </c>
      <c r="X34" s="364">
        <v>0</v>
      </c>
      <c r="Y34" s="364">
        <v>0</v>
      </c>
      <c r="Z34" s="364">
        <v>0</v>
      </c>
      <c r="AA34" s="364">
        <v>0</v>
      </c>
      <c r="AB34" s="364">
        <v>0</v>
      </c>
      <c r="AC34" s="364">
        <v>0</v>
      </c>
      <c r="AD34" s="364">
        <v>0</v>
      </c>
      <c r="AE34" s="364">
        <v>-120051</v>
      </c>
      <c r="AF34" s="364">
        <v>336041</v>
      </c>
      <c r="AG34" s="364">
        <v>0</v>
      </c>
      <c r="AH34" s="364">
        <v>0</v>
      </c>
      <c r="AI34" s="364">
        <v>0</v>
      </c>
      <c r="AJ34" s="364">
        <v>0</v>
      </c>
      <c r="AK34" s="364">
        <v>0</v>
      </c>
      <c r="AL34" s="364">
        <v>0</v>
      </c>
      <c r="AM34" s="364">
        <v>0</v>
      </c>
      <c r="AN34" s="364">
        <v>0</v>
      </c>
      <c r="AO34" s="364">
        <v>0</v>
      </c>
      <c r="AP34" s="364">
        <v>0</v>
      </c>
      <c r="AQ34" s="364">
        <v>0</v>
      </c>
      <c r="AR34" s="364">
        <v>0</v>
      </c>
      <c r="AS34" s="364">
        <v>0</v>
      </c>
      <c r="AT34" s="364">
        <v>0</v>
      </c>
      <c r="AU34" s="364">
        <v>0</v>
      </c>
      <c r="AV34" s="364">
        <v>0</v>
      </c>
      <c r="AW34" s="364">
        <v>0</v>
      </c>
      <c r="AX34" s="364">
        <v>0</v>
      </c>
      <c r="AY34" s="626">
        <f t="shared" si="2"/>
        <v>1065062015</v>
      </c>
      <c r="AZ34" s="364">
        <v>0</v>
      </c>
      <c r="BA34" s="365">
        <f t="shared" si="3"/>
        <v>1065062015</v>
      </c>
    </row>
    <row r="35" spans="1:94" x14ac:dyDescent="0.2">
      <c r="A35" s="363">
        <v>44713</v>
      </c>
      <c r="B35" s="364">
        <v>421301869</v>
      </c>
      <c r="C35" s="364">
        <v>209212806</v>
      </c>
      <c r="D35" s="364">
        <v>0</v>
      </c>
      <c r="E35" s="364">
        <v>167678651</v>
      </c>
      <c r="F35" s="364">
        <v>0</v>
      </c>
      <c r="G35" s="364">
        <v>8000000</v>
      </c>
      <c r="H35" s="364">
        <v>20000000</v>
      </c>
      <c r="I35" s="364">
        <v>0</v>
      </c>
      <c r="J35" s="364">
        <v>12000000</v>
      </c>
      <c r="K35" s="364">
        <v>0</v>
      </c>
      <c r="L35" s="364">
        <v>0</v>
      </c>
      <c r="M35" s="364">
        <v>0</v>
      </c>
      <c r="N35" s="364">
        <v>0</v>
      </c>
      <c r="O35" s="364">
        <v>0</v>
      </c>
      <c r="P35" s="364">
        <v>0</v>
      </c>
      <c r="Q35" s="364">
        <v>0</v>
      </c>
      <c r="R35" s="364">
        <v>0</v>
      </c>
      <c r="S35" s="364">
        <v>0</v>
      </c>
      <c r="T35" s="364">
        <v>0</v>
      </c>
      <c r="U35" s="364">
        <v>0</v>
      </c>
      <c r="V35" s="364">
        <v>0</v>
      </c>
      <c r="W35" s="364">
        <v>0</v>
      </c>
      <c r="X35" s="364">
        <v>0</v>
      </c>
      <c r="Y35" s="364">
        <v>0</v>
      </c>
      <c r="Z35" s="364">
        <v>0</v>
      </c>
      <c r="AA35" s="364">
        <v>0</v>
      </c>
      <c r="AB35" s="364">
        <v>0</v>
      </c>
      <c r="AC35" s="364">
        <v>0</v>
      </c>
      <c r="AD35" s="364">
        <v>0</v>
      </c>
      <c r="AE35" s="364">
        <v>690420</v>
      </c>
      <c r="AF35" s="364">
        <v>231513</v>
      </c>
      <c r="AG35" s="364">
        <v>0</v>
      </c>
      <c r="AH35" s="364">
        <v>0</v>
      </c>
      <c r="AI35" s="364">
        <v>0</v>
      </c>
      <c r="AJ35" s="364">
        <v>0</v>
      </c>
      <c r="AK35" s="364">
        <v>0</v>
      </c>
      <c r="AL35" s="364">
        <v>0</v>
      </c>
      <c r="AM35" s="364">
        <v>0</v>
      </c>
      <c r="AN35" s="364">
        <v>0</v>
      </c>
      <c r="AO35" s="364">
        <v>0</v>
      </c>
      <c r="AP35" s="364">
        <v>0</v>
      </c>
      <c r="AQ35" s="364">
        <v>0</v>
      </c>
      <c r="AR35" s="364">
        <v>0</v>
      </c>
      <c r="AS35" s="364">
        <v>0</v>
      </c>
      <c r="AT35" s="364">
        <v>0</v>
      </c>
      <c r="AU35" s="364">
        <v>0</v>
      </c>
      <c r="AV35" s="364">
        <v>0</v>
      </c>
      <c r="AW35" s="364">
        <v>0</v>
      </c>
      <c r="AX35" s="364">
        <v>0</v>
      </c>
      <c r="AY35" s="626">
        <f t="shared" si="2"/>
        <v>839115259</v>
      </c>
      <c r="BA35" s="365">
        <f t="shared" si="3"/>
        <v>839115259</v>
      </c>
      <c r="BJ35" s="367"/>
      <c r="CP35" s="368"/>
    </row>
    <row r="36" spans="1:94" x14ac:dyDescent="0.2">
      <c r="A36" s="363">
        <v>44743</v>
      </c>
      <c r="B36" s="364">
        <v>346849201</v>
      </c>
      <c r="C36" s="364">
        <v>260491636</v>
      </c>
      <c r="D36" s="364">
        <v>0</v>
      </c>
      <c r="E36" s="364">
        <v>228926566</v>
      </c>
      <c r="F36" s="364">
        <v>0</v>
      </c>
      <c r="G36" s="364">
        <v>201913465</v>
      </c>
      <c r="H36" s="364">
        <v>72917120</v>
      </c>
      <c r="I36" s="364">
        <v>0</v>
      </c>
      <c r="J36" s="364">
        <v>27000000</v>
      </c>
      <c r="K36" s="364">
        <v>0</v>
      </c>
      <c r="L36" s="364">
        <v>0</v>
      </c>
      <c r="M36" s="364">
        <v>0</v>
      </c>
      <c r="N36" s="364">
        <v>0</v>
      </c>
      <c r="O36" s="364">
        <v>0</v>
      </c>
      <c r="P36" s="364">
        <v>0</v>
      </c>
      <c r="Q36" s="364">
        <v>0</v>
      </c>
      <c r="R36" s="364">
        <v>0</v>
      </c>
      <c r="S36" s="364">
        <v>0</v>
      </c>
      <c r="T36" s="364">
        <v>0</v>
      </c>
      <c r="U36" s="364">
        <v>0</v>
      </c>
      <c r="V36" s="364">
        <v>0</v>
      </c>
      <c r="W36" s="364">
        <v>0</v>
      </c>
      <c r="X36" s="364">
        <v>0</v>
      </c>
      <c r="Y36" s="364">
        <v>0</v>
      </c>
      <c r="Z36" s="364">
        <v>0</v>
      </c>
      <c r="AA36" s="364">
        <v>0</v>
      </c>
      <c r="AB36" s="364">
        <v>0</v>
      </c>
      <c r="AC36" s="364">
        <v>0</v>
      </c>
      <c r="AD36" s="364">
        <v>0</v>
      </c>
      <c r="AE36" s="364">
        <v>313767</v>
      </c>
      <c r="AF36" s="364">
        <v>424033</v>
      </c>
      <c r="AG36" s="364">
        <v>0</v>
      </c>
      <c r="AH36" s="364">
        <v>105769</v>
      </c>
      <c r="AI36" s="364">
        <v>0</v>
      </c>
      <c r="AJ36" s="364">
        <v>0</v>
      </c>
      <c r="AK36" s="364">
        <v>0</v>
      </c>
      <c r="AL36" s="364">
        <v>0</v>
      </c>
      <c r="AM36" s="364">
        <v>0</v>
      </c>
      <c r="AN36" s="364">
        <v>0</v>
      </c>
      <c r="AO36" s="364">
        <v>0</v>
      </c>
      <c r="AP36" s="364">
        <v>0</v>
      </c>
      <c r="AQ36" s="364">
        <v>0</v>
      </c>
      <c r="AR36" s="364">
        <v>0</v>
      </c>
      <c r="AS36" s="364">
        <v>0</v>
      </c>
      <c r="AT36" s="364">
        <v>0</v>
      </c>
      <c r="AU36" s="364">
        <v>0</v>
      </c>
      <c r="AV36" s="364">
        <v>0</v>
      </c>
      <c r="AW36" s="364">
        <v>0</v>
      </c>
      <c r="AX36" s="364">
        <v>0</v>
      </c>
      <c r="AY36" s="626">
        <f t="shared" si="2"/>
        <v>1138941557</v>
      </c>
      <c r="BA36" s="365">
        <f t="shared" si="3"/>
        <v>1138941557</v>
      </c>
      <c r="BJ36" s="367"/>
      <c r="CP36" s="368"/>
    </row>
    <row r="37" spans="1:94" x14ac:dyDescent="0.2">
      <c r="A37" s="363">
        <v>44774</v>
      </c>
      <c r="B37" s="364">
        <v>369918884</v>
      </c>
      <c r="C37" s="364">
        <v>215357935</v>
      </c>
      <c r="D37" s="364">
        <v>0</v>
      </c>
      <c r="E37" s="364">
        <v>338532644</v>
      </c>
      <c r="F37" s="364">
        <v>0</v>
      </c>
      <c r="G37" s="364">
        <v>31000000</v>
      </c>
      <c r="H37" s="364">
        <v>10700000</v>
      </c>
      <c r="I37" s="364">
        <v>0</v>
      </c>
      <c r="J37" s="364">
        <v>11000000</v>
      </c>
      <c r="K37" s="364">
        <v>0</v>
      </c>
      <c r="L37" s="364">
        <v>0</v>
      </c>
      <c r="M37" s="364">
        <v>0</v>
      </c>
      <c r="N37" s="364">
        <v>0</v>
      </c>
      <c r="O37" s="364">
        <v>0</v>
      </c>
      <c r="P37" s="364">
        <v>0</v>
      </c>
      <c r="Q37" s="364">
        <v>0</v>
      </c>
      <c r="R37" s="364">
        <v>0</v>
      </c>
      <c r="S37" s="364">
        <v>0</v>
      </c>
      <c r="T37" s="364">
        <v>0</v>
      </c>
      <c r="U37" s="364">
        <v>0</v>
      </c>
      <c r="V37" s="364">
        <v>0</v>
      </c>
      <c r="W37" s="364">
        <v>0</v>
      </c>
      <c r="X37" s="364">
        <v>0</v>
      </c>
      <c r="Y37" s="364">
        <v>0</v>
      </c>
      <c r="Z37" s="364">
        <v>0</v>
      </c>
      <c r="AA37" s="364">
        <v>0</v>
      </c>
      <c r="AB37" s="364">
        <v>0</v>
      </c>
      <c r="AC37" s="364">
        <v>0</v>
      </c>
      <c r="AD37" s="364">
        <v>0</v>
      </c>
      <c r="AE37" s="364">
        <v>1630033</v>
      </c>
      <c r="AF37" s="364">
        <v>672573</v>
      </c>
      <c r="AG37" s="364">
        <v>0</v>
      </c>
      <c r="AH37" s="364">
        <v>118763</v>
      </c>
      <c r="AI37" s="364">
        <v>0</v>
      </c>
      <c r="AJ37" s="364">
        <v>0</v>
      </c>
      <c r="AK37" s="364">
        <v>0</v>
      </c>
      <c r="AL37" s="364">
        <v>0</v>
      </c>
      <c r="AM37" s="364">
        <v>0</v>
      </c>
      <c r="AN37" s="364">
        <v>0</v>
      </c>
      <c r="AO37" s="364">
        <v>0</v>
      </c>
      <c r="AP37" s="364">
        <v>0</v>
      </c>
      <c r="AQ37" s="364">
        <v>0</v>
      </c>
      <c r="AR37" s="364">
        <v>0</v>
      </c>
      <c r="AS37" s="364">
        <v>0</v>
      </c>
      <c r="AT37" s="364">
        <v>0</v>
      </c>
      <c r="AU37" s="364">
        <v>0</v>
      </c>
      <c r="AV37" s="364">
        <v>0</v>
      </c>
      <c r="AW37" s="364">
        <v>0</v>
      </c>
      <c r="AX37" s="364">
        <v>0</v>
      </c>
      <c r="AY37" s="626">
        <f t="shared" si="2"/>
        <v>978930832</v>
      </c>
      <c r="BA37" s="365">
        <f t="shared" si="3"/>
        <v>978930832</v>
      </c>
      <c r="BJ37" s="367"/>
      <c r="CP37" s="368"/>
    </row>
    <row r="38" spans="1:94" x14ac:dyDescent="0.2">
      <c r="A38" s="363">
        <v>44805</v>
      </c>
      <c r="B38" s="364">
        <v>429372770</v>
      </c>
      <c r="C38" s="364">
        <v>200237880</v>
      </c>
      <c r="D38" s="364">
        <v>0</v>
      </c>
      <c r="E38" s="364">
        <v>234725933</v>
      </c>
      <c r="F38" s="364">
        <v>0</v>
      </c>
      <c r="G38" s="364">
        <v>232545893</v>
      </c>
      <c r="H38" s="364">
        <v>25000000</v>
      </c>
      <c r="I38" s="364">
        <v>0</v>
      </c>
      <c r="J38" s="364">
        <v>0</v>
      </c>
      <c r="K38" s="364">
        <v>0</v>
      </c>
      <c r="L38" s="364">
        <v>0</v>
      </c>
      <c r="M38" s="364">
        <v>0</v>
      </c>
      <c r="N38" s="364">
        <v>0</v>
      </c>
      <c r="O38" s="364">
        <v>0</v>
      </c>
      <c r="P38" s="364">
        <v>0</v>
      </c>
      <c r="Q38" s="364">
        <v>0</v>
      </c>
      <c r="R38" s="364">
        <v>0</v>
      </c>
      <c r="S38" s="364">
        <v>0</v>
      </c>
      <c r="T38" s="364">
        <v>0</v>
      </c>
      <c r="U38" s="364">
        <v>72030</v>
      </c>
      <c r="V38" s="364">
        <v>0</v>
      </c>
      <c r="W38" s="364">
        <v>0</v>
      </c>
      <c r="X38" s="364">
        <v>0</v>
      </c>
      <c r="Y38" s="364">
        <v>0</v>
      </c>
      <c r="Z38" s="364">
        <v>0</v>
      </c>
      <c r="AA38" s="364">
        <v>0</v>
      </c>
      <c r="AB38" s="364">
        <v>0</v>
      </c>
      <c r="AC38" s="364">
        <v>0</v>
      </c>
      <c r="AD38" s="364">
        <v>0</v>
      </c>
      <c r="AE38" s="364">
        <v>803599</v>
      </c>
      <c r="AF38" s="364">
        <v>668379</v>
      </c>
      <c r="AG38" s="364">
        <v>0</v>
      </c>
      <c r="AH38" s="364">
        <v>0</v>
      </c>
      <c r="AI38" s="364">
        <v>0</v>
      </c>
      <c r="AJ38" s="364">
        <v>0</v>
      </c>
      <c r="AK38" s="364">
        <v>0</v>
      </c>
      <c r="AL38" s="364">
        <v>0</v>
      </c>
      <c r="AM38" s="364">
        <v>0</v>
      </c>
      <c r="AN38" s="364">
        <v>0</v>
      </c>
      <c r="AO38" s="364">
        <v>0</v>
      </c>
      <c r="AP38" s="364">
        <v>0</v>
      </c>
      <c r="AQ38" s="364">
        <v>0</v>
      </c>
      <c r="AR38" s="364">
        <v>0</v>
      </c>
      <c r="AS38" s="364">
        <v>0</v>
      </c>
      <c r="AT38" s="364">
        <v>0</v>
      </c>
      <c r="AU38" s="364">
        <v>0</v>
      </c>
      <c r="AV38" s="364">
        <v>0</v>
      </c>
      <c r="AW38" s="364">
        <v>0</v>
      </c>
      <c r="AX38" s="364">
        <v>0</v>
      </c>
      <c r="AY38" s="626">
        <f t="shared" si="2"/>
        <v>1123426484</v>
      </c>
      <c r="BA38" s="365">
        <f t="shared" si="3"/>
        <v>1123426484</v>
      </c>
      <c r="BJ38" s="367"/>
      <c r="CP38" s="368"/>
    </row>
    <row r="39" spans="1:94" x14ac:dyDescent="0.2">
      <c r="A39" s="363">
        <v>44835</v>
      </c>
      <c r="B39" s="364">
        <v>370980194</v>
      </c>
      <c r="C39" s="364">
        <v>279167187</v>
      </c>
      <c r="D39" s="364">
        <v>0</v>
      </c>
      <c r="E39" s="364">
        <v>350069893</v>
      </c>
      <c r="F39" s="364">
        <v>24500000</v>
      </c>
      <c r="G39" s="364">
        <v>17500011</v>
      </c>
      <c r="H39" s="364">
        <v>82500000</v>
      </c>
      <c r="I39" s="364">
        <v>0</v>
      </c>
      <c r="J39" s="364">
        <v>10000000</v>
      </c>
      <c r="K39" s="364">
        <v>0</v>
      </c>
      <c r="L39" s="364">
        <v>0</v>
      </c>
      <c r="M39" s="364">
        <v>0</v>
      </c>
      <c r="N39" s="364">
        <v>0</v>
      </c>
      <c r="O39" s="364">
        <v>0</v>
      </c>
      <c r="P39" s="364">
        <v>0</v>
      </c>
      <c r="Q39" s="364">
        <v>0</v>
      </c>
      <c r="R39" s="364">
        <v>0</v>
      </c>
      <c r="S39" s="364">
        <v>0</v>
      </c>
      <c r="T39" s="364">
        <v>0</v>
      </c>
      <c r="U39" s="364">
        <v>0</v>
      </c>
      <c r="V39" s="364">
        <v>0</v>
      </c>
      <c r="W39" s="364">
        <v>0</v>
      </c>
      <c r="X39" s="364">
        <v>0</v>
      </c>
      <c r="Y39" s="364">
        <v>0</v>
      </c>
      <c r="Z39" s="364">
        <v>0</v>
      </c>
      <c r="AA39" s="364">
        <v>0</v>
      </c>
      <c r="AB39" s="364">
        <v>0</v>
      </c>
      <c r="AC39" s="364">
        <v>0</v>
      </c>
      <c r="AD39" s="364">
        <v>0</v>
      </c>
      <c r="AE39" s="364">
        <v>1263722</v>
      </c>
      <c r="AF39" s="364">
        <v>372780</v>
      </c>
      <c r="AG39" s="364">
        <v>0</v>
      </c>
      <c r="AH39" s="364">
        <v>0</v>
      </c>
      <c r="AI39" s="364">
        <v>0</v>
      </c>
      <c r="AJ39" s="364">
        <v>0</v>
      </c>
      <c r="AK39" s="364">
        <v>0</v>
      </c>
      <c r="AL39" s="364">
        <v>0</v>
      </c>
      <c r="AM39" s="364">
        <v>0</v>
      </c>
      <c r="AN39" s="364">
        <v>0</v>
      </c>
      <c r="AO39" s="364">
        <v>0</v>
      </c>
      <c r="AP39" s="364">
        <v>0</v>
      </c>
      <c r="AQ39" s="364">
        <v>0</v>
      </c>
      <c r="AR39" s="364">
        <v>0</v>
      </c>
      <c r="AS39" s="364">
        <v>0</v>
      </c>
      <c r="AT39" s="364">
        <v>0</v>
      </c>
      <c r="AU39" s="364">
        <v>0</v>
      </c>
      <c r="AV39" s="364">
        <v>0</v>
      </c>
      <c r="AW39" s="364">
        <v>0</v>
      </c>
      <c r="AX39" s="364">
        <v>0</v>
      </c>
      <c r="AY39" s="626">
        <f t="shared" si="2"/>
        <v>1136353787</v>
      </c>
      <c r="BA39" s="365">
        <f t="shared" si="3"/>
        <v>1136353787</v>
      </c>
      <c r="BJ39" s="367"/>
      <c r="CP39" s="368"/>
    </row>
    <row r="40" spans="1:94" x14ac:dyDescent="0.2">
      <c r="A40" s="363">
        <v>44866</v>
      </c>
      <c r="B40" s="364">
        <v>289867280</v>
      </c>
      <c r="C40" s="364">
        <v>212492749</v>
      </c>
      <c r="D40" s="364">
        <v>0</v>
      </c>
      <c r="E40" s="364">
        <v>314165672</v>
      </c>
      <c r="F40" s="364">
        <v>31501700</v>
      </c>
      <c r="G40" s="364">
        <v>213944656</v>
      </c>
      <c r="H40" s="364">
        <v>142237137</v>
      </c>
      <c r="I40" s="364">
        <v>0</v>
      </c>
      <c r="J40" s="364">
        <v>13000000</v>
      </c>
      <c r="K40" s="364">
        <v>0</v>
      </c>
      <c r="L40" s="364">
        <v>0</v>
      </c>
      <c r="M40" s="364">
        <v>0</v>
      </c>
      <c r="N40" s="364">
        <v>0</v>
      </c>
      <c r="O40" s="364">
        <v>0</v>
      </c>
      <c r="P40" s="364">
        <v>0</v>
      </c>
      <c r="Q40" s="364">
        <v>0</v>
      </c>
      <c r="R40" s="364">
        <v>0</v>
      </c>
      <c r="S40" s="364">
        <v>0</v>
      </c>
      <c r="T40" s="364">
        <v>0</v>
      </c>
      <c r="U40" s="364">
        <v>4905375</v>
      </c>
      <c r="V40" s="364">
        <v>0</v>
      </c>
      <c r="W40" s="364">
        <v>0</v>
      </c>
      <c r="X40" s="364">
        <v>0</v>
      </c>
      <c r="Y40" s="364">
        <v>0</v>
      </c>
      <c r="Z40" s="364">
        <v>0</v>
      </c>
      <c r="AA40" s="364">
        <v>0</v>
      </c>
      <c r="AB40" s="364">
        <v>0</v>
      </c>
      <c r="AC40" s="364">
        <v>0</v>
      </c>
      <c r="AD40" s="364">
        <v>0</v>
      </c>
      <c r="AE40" s="364">
        <v>1427099</v>
      </c>
      <c r="AF40" s="364">
        <v>-433555</v>
      </c>
      <c r="AG40" s="364">
        <v>0</v>
      </c>
      <c r="AH40" s="364">
        <v>861442</v>
      </c>
      <c r="AI40" s="364">
        <v>0</v>
      </c>
      <c r="AJ40" s="364">
        <v>0</v>
      </c>
      <c r="AK40" s="364">
        <v>0</v>
      </c>
      <c r="AL40" s="364">
        <v>0</v>
      </c>
      <c r="AM40" s="364">
        <v>0</v>
      </c>
      <c r="AN40" s="364">
        <v>0</v>
      </c>
      <c r="AO40" s="364">
        <v>0</v>
      </c>
      <c r="AP40" s="364">
        <v>0</v>
      </c>
      <c r="AQ40" s="364">
        <v>0</v>
      </c>
      <c r="AR40" s="364">
        <v>0</v>
      </c>
      <c r="AS40" s="364">
        <v>0</v>
      </c>
      <c r="AT40" s="364">
        <v>0</v>
      </c>
      <c r="AU40" s="364">
        <v>0</v>
      </c>
      <c r="AV40" s="364">
        <v>0</v>
      </c>
      <c r="AW40" s="364">
        <v>0</v>
      </c>
      <c r="AX40" s="364">
        <v>0</v>
      </c>
      <c r="AY40" s="626">
        <f t="shared" si="2"/>
        <v>1223969555</v>
      </c>
      <c r="BA40" s="365">
        <f t="shared" si="3"/>
        <v>1223969555</v>
      </c>
      <c r="BJ40" s="367"/>
      <c r="CP40" s="368"/>
    </row>
    <row r="41" spans="1:94" x14ac:dyDescent="0.2">
      <c r="A41" s="363">
        <v>44896</v>
      </c>
      <c r="B41" s="364">
        <v>587534163</v>
      </c>
      <c r="C41" s="364">
        <v>235602392</v>
      </c>
      <c r="D41" s="364">
        <v>0</v>
      </c>
      <c r="E41" s="364">
        <v>378291538</v>
      </c>
      <c r="F41" s="364">
        <v>46293143</v>
      </c>
      <c r="G41" s="364">
        <v>26747134</v>
      </c>
      <c r="H41" s="364">
        <v>24193135</v>
      </c>
      <c r="I41" s="364">
        <v>0</v>
      </c>
      <c r="J41" s="364">
        <v>18000709</v>
      </c>
      <c r="K41" s="364">
        <v>0</v>
      </c>
      <c r="L41" s="364">
        <v>0</v>
      </c>
      <c r="M41" s="364">
        <v>0</v>
      </c>
      <c r="N41" s="364">
        <v>0</v>
      </c>
      <c r="O41" s="364">
        <v>0</v>
      </c>
      <c r="P41" s="364">
        <v>0</v>
      </c>
      <c r="Q41" s="364">
        <v>0</v>
      </c>
      <c r="R41" s="364">
        <v>0</v>
      </c>
      <c r="S41" s="364">
        <v>0</v>
      </c>
      <c r="T41" s="364">
        <v>0</v>
      </c>
      <c r="U41" s="364">
        <v>8305063</v>
      </c>
      <c r="V41" s="364">
        <v>0</v>
      </c>
      <c r="W41" s="364">
        <v>418083</v>
      </c>
      <c r="X41" s="364">
        <v>0</v>
      </c>
      <c r="Y41" s="364">
        <v>0</v>
      </c>
      <c r="Z41" s="364">
        <v>0</v>
      </c>
      <c r="AA41" s="364">
        <v>0</v>
      </c>
      <c r="AB41" s="364">
        <v>0</v>
      </c>
      <c r="AC41" s="364">
        <v>0</v>
      </c>
      <c r="AD41" s="364">
        <v>0</v>
      </c>
      <c r="AE41" s="364">
        <v>2266576</v>
      </c>
      <c r="AF41" s="364">
        <v>506413</v>
      </c>
      <c r="AG41" s="364">
        <v>0</v>
      </c>
      <c r="AH41" s="364">
        <v>1721293</v>
      </c>
      <c r="AI41" s="364">
        <v>0</v>
      </c>
      <c r="AJ41" s="364">
        <v>0</v>
      </c>
      <c r="AK41" s="364">
        <v>0</v>
      </c>
      <c r="AL41" s="364">
        <v>0</v>
      </c>
      <c r="AM41" s="364">
        <v>0</v>
      </c>
      <c r="AN41" s="364">
        <v>0</v>
      </c>
      <c r="AO41" s="364">
        <v>0</v>
      </c>
      <c r="AP41" s="364">
        <v>0</v>
      </c>
      <c r="AQ41" s="364">
        <v>0</v>
      </c>
      <c r="AR41" s="364">
        <v>0</v>
      </c>
      <c r="AS41" s="364">
        <v>0</v>
      </c>
      <c r="AT41" s="364">
        <v>0</v>
      </c>
      <c r="AU41" s="364">
        <v>0</v>
      </c>
      <c r="AV41" s="364">
        <v>0</v>
      </c>
      <c r="AW41" s="364">
        <v>0</v>
      </c>
      <c r="AX41" s="364">
        <v>0</v>
      </c>
      <c r="AY41" s="626">
        <f t="shared" si="2"/>
        <v>1329879642</v>
      </c>
      <c r="BA41" s="365"/>
      <c r="BJ41" s="367"/>
      <c r="CP41" s="368"/>
    </row>
    <row r="42" spans="1:94" x14ac:dyDescent="0.2">
      <c r="A42" s="363">
        <v>44927</v>
      </c>
      <c r="B42" s="364">
        <v>402591421</v>
      </c>
      <c r="C42" s="364">
        <v>453325800</v>
      </c>
      <c r="D42" s="364">
        <v>0</v>
      </c>
      <c r="E42" s="364">
        <v>441075311</v>
      </c>
      <c r="F42" s="364">
        <v>36665872</v>
      </c>
      <c r="G42" s="364">
        <v>51000000</v>
      </c>
      <c r="H42" s="364">
        <v>-115677372</v>
      </c>
      <c r="I42" s="364">
        <v>0</v>
      </c>
      <c r="J42" s="364">
        <v>20676390</v>
      </c>
      <c r="K42" s="364">
        <v>0</v>
      </c>
      <c r="L42" s="364">
        <v>0</v>
      </c>
      <c r="M42" s="364">
        <v>0</v>
      </c>
      <c r="N42" s="364">
        <v>0</v>
      </c>
      <c r="O42" s="364">
        <v>0</v>
      </c>
      <c r="P42" s="364">
        <v>0</v>
      </c>
      <c r="Q42" s="364">
        <v>0</v>
      </c>
      <c r="R42" s="364">
        <v>0</v>
      </c>
      <c r="S42" s="364">
        <v>0</v>
      </c>
      <c r="T42" s="364">
        <v>0</v>
      </c>
      <c r="U42" s="364">
        <v>1623452</v>
      </c>
      <c r="V42" s="364">
        <v>0</v>
      </c>
      <c r="W42" s="364">
        <v>1706953</v>
      </c>
      <c r="X42" s="364">
        <v>0</v>
      </c>
      <c r="Y42" s="364">
        <v>0</v>
      </c>
      <c r="Z42" s="364">
        <v>0</v>
      </c>
      <c r="AA42" s="364">
        <v>0</v>
      </c>
      <c r="AB42" s="364">
        <v>0</v>
      </c>
      <c r="AC42" s="364">
        <v>0</v>
      </c>
      <c r="AD42" s="364">
        <v>0</v>
      </c>
      <c r="AE42" s="364">
        <v>3165105</v>
      </c>
      <c r="AF42" s="364">
        <v>549275</v>
      </c>
      <c r="AG42" s="364">
        <v>0</v>
      </c>
      <c r="AH42" s="364">
        <v>1897789</v>
      </c>
      <c r="AI42" s="364">
        <v>0</v>
      </c>
      <c r="AJ42" s="364">
        <v>0</v>
      </c>
      <c r="AK42" s="364">
        <v>0</v>
      </c>
      <c r="AL42" s="364">
        <v>0</v>
      </c>
      <c r="AM42" s="364">
        <v>0</v>
      </c>
      <c r="AN42" s="364">
        <v>0</v>
      </c>
      <c r="AO42" s="364">
        <v>0</v>
      </c>
      <c r="AP42" s="364">
        <v>0</v>
      </c>
      <c r="AQ42" s="364">
        <v>0</v>
      </c>
      <c r="AR42" s="364">
        <v>0</v>
      </c>
      <c r="AS42" s="364">
        <v>0</v>
      </c>
      <c r="AT42" s="364">
        <v>0</v>
      </c>
      <c r="AU42" s="364">
        <v>0</v>
      </c>
      <c r="AV42" s="364">
        <v>0</v>
      </c>
      <c r="AW42" s="364">
        <v>0</v>
      </c>
      <c r="AX42" s="364">
        <v>0</v>
      </c>
      <c r="AY42" s="626">
        <f t="shared" si="2"/>
        <v>1298599996</v>
      </c>
      <c r="BA42" s="365"/>
      <c r="BJ42" s="367"/>
      <c r="CP42" s="368"/>
    </row>
    <row r="43" spans="1:94" x14ac:dyDescent="0.2">
      <c r="A43" s="363">
        <v>44958</v>
      </c>
      <c r="B43" s="364">
        <v>383319807</v>
      </c>
      <c r="C43" s="364">
        <v>201829248</v>
      </c>
      <c r="D43" s="364">
        <v>0</v>
      </c>
      <c r="E43" s="364">
        <v>419732471</v>
      </c>
      <c r="F43" s="364">
        <v>65443000</v>
      </c>
      <c r="G43" s="364">
        <v>144378349</v>
      </c>
      <c r="H43" s="364">
        <v>6706402</v>
      </c>
      <c r="I43" s="364">
        <v>0</v>
      </c>
      <c r="J43" s="364">
        <v>52998970</v>
      </c>
      <c r="K43" s="364">
        <v>0</v>
      </c>
      <c r="L43" s="364">
        <v>0</v>
      </c>
      <c r="M43" s="364">
        <v>0</v>
      </c>
      <c r="N43" s="364">
        <v>0</v>
      </c>
      <c r="O43" s="364">
        <v>0</v>
      </c>
      <c r="P43" s="364">
        <v>0</v>
      </c>
      <c r="Q43" s="364">
        <v>0</v>
      </c>
      <c r="R43" s="364">
        <v>0</v>
      </c>
      <c r="S43" s="364">
        <v>0</v>
      </c>
      <c r="T43" s="364">
        <v>0</v>
      </c>
      <c r="U43" s="364">
        <v>3132575</v>
      </c>
      <c r="V43" s="364">
        <v>0</v>
      </c>
      <c r="W43" s="364">
        <v>96592</v>
      </c>
      <c r="X43" s="364">
        <v>0</v>
      </c>
      <c r="Y43" s="364">
        <v>0</v>
      </c>
      <c r="Z43" s="364">
        <v>0</v>
      </c>
      <c r="AA43" s="364">
        <v>0</v>
      </c>
      <c r="AB43" s="364">
        <v>0</v>
      </c>
      <c r="AC43" s="364">
        <v>0</v>
      </c>
      <c r="AD43" s="364">
        <v>0</v>
      </c>
      <c r="AE43" s="364">
        <v>3777516</v>
      </c>
      <c r="AF43" s="364">
        <v>1167751</v>
      </c>
      <c r="AG43" s="364">
        <v>0</v>
      </c>
      <c r="AH43" s="364">
        <v>2381960</v>
      </c>
      <c r="AI43" s="364">
        <v>0</v>
      </c>
      <c r="AJ43" s="364">
        <v>0</v>
      </c>
      <c r="AK43" s="364">
        <v>0</v>
      </c>
      <c r="AL43" s="364">
        <v>0</v>
      </c>
      <c r="AM43" s="364">
        <v>0</v>
      </c>
      <c r="AN43" s="364">
        <v>0</v>
      </c>
      <c r="AO43" s="364">
        <v>0</v>
      </c>
      <c r="AP43" s="364">
        <v>0</v>
      </c>
      <c r="AQ43" s="364">
        <v>0</v>
      </c>
      <c r="AR43" s="364">
        <v>0</v>
      </c>
      <c r="AS43" s="364">
        <v>0</v>
      </c>
      <c r="AT43" s="364">
        <v>1512675</v>
      </c>
      <c r="AU43" s="364">
        <v>0</v>
      </c>
      <c r="AV43" s="364">
        <v>0</v>
      </c>
      <c r="AW43" s="364">
        <v>0</v>
      </c>
      <c r="AX43" s="364">
        <v>0</v>
      </c>
      <c r="AY43" s="626">
        <f t="shared" si="2"/>
        <v>1286477316</v>
      </c>
      <c r="BA43" s="365"/>
      <c r="BJ43" s="367"/>
      <c r="CP43" s="368"/>
    </row>
    <row r="44" spans="1:94" x14ac:dyDescent="0.2">
      <c r="A44" s="363">
        <v>44986</v>
      </c>
      <c r="B44" s="364">
        <v>418505977</v>
      </c>
      <c r="C44" s="364">
        <v>283833765</v>
      </c>
      <c r="D44" s="364">
        <v>0</v>
      </c>
      <c r="E44" s="364">
        <v>368183310</v>
      </c>
      <c r="F44" s="364">
        <v>83630637</v>
      </c>
      <c r="G44" s="364">
        <v>59849098</v>
      </c>
      <c r="H44" s="364">
        <v>12200030</v>
      </c>
      <c r="I44" s="364">
        <v>0</v>
      </c>
      <c r="J44" s="364">
        <v>96000000</v>
      </c>
      <c r="K44" s="364">
        <v>0</v>
      </c>
      <c r="L44" s="364">
        <v>0</v>
      </c>
      <c r="M44" s="364">
        <v>0</v>
      </c>
      <c r="N44" s="364">
        <v>0</v>
      </c>
      <c r="O44" s="364">
        <v>0</v>
      </c>
      <c r="P44" s="364">
        <v>0</v>
      </c>
      <c r="Q44" s="364">
        <v>0</v>
      </c>
      <c r="R44" s="364">
        <v>0</v>
      </c>
      <c r="S44" s="364">
        <v>0</v>
      </c>
      <c r="T44" s="364">
        <v>0</v>
      </c>
      <c r="U44" s="364">
        <v>4864632</v>
      </c>
      <c r="V44" s="364">
        <v>0</v>
      </c>
      <c r="W44" s="364">
        <v>8792061</v>
      </c>
      <c r="X44" s="364">
        <v>0</v>
      </c>
      <c r="Y44" s="364">
        <v>0</v>
      </c>
      <c r="Z44" s="364">
        <v>0</v>
      </c>
      <c r="AA44" s="364">
        <v>0</v>
      </c>
      <c r="AB44" s="364">
        <v>0</v>
      </c>
      <c r="AC44" s="364">
        <v>0</v>
      </c>
      <c r="AD44" s="364">
        <v>0</v>
      </c>
      <c r="AE44" s="364">
        <v>1372484</v>
      </c>
      <c r="AF44" s="364">
        <v>364358</v>
      </c>
      <c r="AG44" s="364">
        <v>0</v>
      </c>
      <c r="AH44" s="364">
        <v>2456940</v>
      </c>
      <c r="AI44" s="364">
        <v>0</v>
      </c>
      <c r="AJ44" s="364">
        <v>0</v>
      </c>
      <c r="AK44" s="364">
        <v>0</v>
      </c>
      <c r="AL44" s="364">
        <v>0</v>
      </c>
      <c r="AM44" s="364">
        <v>0</v>
      </c>
      <c r="AN44" s="364">
        <v>0</v>
      </c>
      <c r="AO44" s="364">
        <v>0</v>
      </c>
      <c r="AP44" s="364">
        <v>0</v>
      </c>
      <c r="AQ44" s="364">
        <v>0</v>
      </c>
      <c r="AR44" s="364">
        <v>0</v>
      </c>
      <c r="AS44" s="364">
        <v>0</v>
      </c>
      <c r="AT44" s="364">
        <v>-1512675</v>
      </c>
      <c r="AU44" s="364">
        <v>0</v>
      </c>
      <c r="AV44" s="364">
        <v>0</v>
      </c>
      <c r="AW44" s="364">
        <v>0</v>
      </c>
      <c r="AX44" s="364">
        <v>0</v>
      </c>
      <c r="AY44" s="626">
        <f t="shared" si="2"/>
        <v>1338540617</v>
      </c>
      <c r="BA44" s="365"/>
      <c r="BJ44" s="367"/>
      <c r="CP44" s="368"/>
    </row>
    <row r="45" spans="1:94" x14ac:dyDescent="0.2">
      <c r="A45" s="363">
        <v>45017</v>
      </c>
      <c r="B45" s="364">
        <v>290753087</v>
      </c>
      <c r="C45" s="364">
        <v>213016600</v>
      </c>
      <c r="D45" s="364">
        <v>0</v>
      </c>
      <c r="E45" s="364">
        <v>342078263</v>
      </c>
      <c r="F45" s="364">
        <v>84328886</v>
      </c>
      <c r="G45" s="364">
        <v>36405027</v>
      </c>
      <c r="H45" s="364">
        <v>72018538</v>
      </c>
      <c r="I45" s="364">
        <v>0</v>
      </c>
      <c r="J45" s="364">
        <v>40939995</v>
      </c>
      <c r="K45" s="364">
        <v>0</v>
      </c>
      <c r="L45" s="364">
        <v>0</v>
      </c>
      <c r="M45" s="364">
        <v>0</v>
      </c>
      <c r="N45" s="364">
        <v>0</v>
      </c>
      <c r="O45" s="364">
        <v>0</v>
      </c>
      <c r="P45" s="364">
        <v>0</v>
      </c>
      <c r="Q45" s="364">
        <v>0</v>
      </c>
      <c r="R45" s="364">
        <v>0</v>
      </c>
      <c r="S45" s="364">
        <v>0</v>
      </c>
      <c r="T45" s="364">
        <v>0</v>
      </c>
      <c r="U45" s="364">
        <v>3179676</v>
      </c>
      <c r="V45" s="364">
        <v>0</v>
      </c>
      <c r="W45" s="364">
        <v>1031920</v>
      </c>
      <c r="X45" s="364">
        <v>0</v>
      </c>
      <c r="Y45" s="364">
        <v>0</v>
      </c>
      <c r="Z45" s="364">
        <v>0</v>
      </c>
      <c r="AA45" s="364">
        <v>0</v>
      </c>
      <c r="AB45" s="364">
        <v>0</v>
      </c>
      <c r="AC45" s="364">
        <v>0</v>
      </c>
      <c r="AD45" s="364">
        <v>0</v>
      </c>
      <c r="AE45" s="364">
        <v>925133</v>
      </c>
      <c r="AF45" s="364">
        <v>283459</v>
      </c>
      <c r="AG45" s="364">
        <v>0</v>
      </c>
      <c r="AH45" s="364">
        <v>1787028</v>
      </c>
      <c r="AI45" s="364">
        <v>220242</v>
      </c>
      <c r="AJ45" s="364">
        <v>0</v>
      </c>
      <c r="AK45" s="364">
        <v>0</v>
      </c>
      <c r="AL45" s="364">
        <v>0</v>
      </c>
      <c r="AM45" s="364">
        <v>0</v>
      </c>
      <c r="AN45" s="364">
        <v>0</v>
      </c>
      <c r="AO45" s="364">
        <v>0</v>
      </c>
      <c r="AP45" s="364">
        <v>0</v>
      </c>
      <c r="AQ45" s="364">
        <v>0</v>
      </c>
      <c r="AR45" s="364">
        <v>0</v>
      </c>
      <c r="AS45" s="364">
        <v>0</v>
      </c>
      <c r="AT45" s="364">
        <v>0</v>
      </c>
      <c r="AU45" s="364">
        <v>0</v>
      </c>
      <c r="AV45" s="364">
        <v>0</v>
      </c>
      <c r="AW45" s="364">
        <v>3060005</v>
      </c>
      <c r="AX45" s="364">
        <v>0</v>
      </c>
      <c r="AY45" s="626">
        <f t="shared" si="2"/>
        <v>1090027859</v>
      </c>
      <c r="BA45" s="365"/>
      <c r="BJ45" s="367"/>
      <c r="CP45" s="368"/>
    </row>
    <row r="46" spans="1:94" x14ac:dyDescent="0.2">
      <c r="A46" s="363">
        <v>45047</v>
      </c>
      <c r="B46" s="364">
        <v>399154807</v>
      </c>
      <c r="C46" s="364">
        <v>346657137</v>
      </c>
      <c r="D46" s="364">
        <v>0</v>
      </c>
      <c r="E46" s="364">
        <v>352205620</v>
      </c>
      <c r="F46" s="364">
        <v>141652943</v>
      </c>
      <c r="G46" s="364">
        <v>42885428</v>
      </c>
      <c r="H46" s="364">
        <v>-39951730</v>
      </c>
      <c r="I46" s="364">
        <v>0</v>
      </c>
      <c r="J46" s="364">
        <v>86000000</v>
      </c>
      <c r="K46" s="364">
        <v>0</v>
      </c>
      <c r="L46" s="364">
        <v>0</v>
      </c>
      <c r="M46" s="364">
        <v>0</v>
      </c>
      <c r="N46" s="364">
        <v>0</v>
      </c>
      <c r="O46" s="364">
        <v>0</v>
      </c>
      <c r="P46" s="364">
        <v>0</v>
      </c>
      <c r="Q46" s="364">
        <v>0</v>
      </c>
      <c r="R46" s="364">
        <v>0</v>
      </c>
      <c r="S46" s="364">
        <v>0</v>
      </c>
      <c r="T46" s="364">
        <v>0</v>
      </c>
      <c r="U46" s="364">
        <v>3633734</v>
      </c>
      <c r="V46" s="364">
        <v>0</v>
      </c>
      <c r="W46" s="364">
        <v>2144603</v>
      </c>
      <c r="X46" s="364">
        <v>0</v>
      </c>
      <c r="Y46" s="364">
        <v>0</v>
      </c>
      <c r="Z46" s="364">
        <v>0</v>
      </c>
      <c r="AA46" s="364">
        <v>0</v>
      </c>
      <c r="AB46" s="364">
        <v>0</v>
      </c>
      <c r="AC46" s="364">
        <v>0</v>
      </c>
      <c r="AD46" s="364">
        <v>0</v>
      </c>
      <c r="AE46" s="364">
        <v>4601161</v>
      </c>
      <c r="AF46" s="364">
        <v>-92430</v>
      </c>
      <c r="AG46" s="364">
        <v>0</v>
      </c>
      <c r="AH46" s="364">
        <v>1851031</v>
      </c>
      <c r="AI46" s="364">
        <v>0</v>
      </c>
      <c r="AJ46" s="364">
        <v>0</v>
      </c>
      <c r="AK46" s="364">
        <v>0</v>
      </c>
      <c r="AL46" s="364">
        <v>0</v>
      </c>
      <c r="AM46" s="364">
        <v>0</v>
      </c>
      <c r="AN46" s="364">
        <v>0</v>
      </c>
      <c r="AO46" s="364">
        <v>0</v>
      </c>
      <c r="AP46" s="364">
        <v>0</v>
      </c>
      <c r="AQ46" s="364">
        <v>0</v>
      </c>
      <c r="AR46" s="364">
        <v>0</v>
      </c>
      <c r="AS46" s="364">
        <v>0</v>
      </c>
      <c r="AT46" s="364">
        <v>0</v>
      </c>
      <c r="AU46" s="364">
        <v>0</v>
      </c>
      <c r="AV46" s="364">
        <v>0</v>
      </c>
      <c r="AW46" s="364">
        <v>0</v>
      </c>
      <c r="AX46" s="364">
        <v>0</v>
      </c>
      <c r="AY46" s="626">
        <f t="shared" si="2"/>
        <v>1340742304</v>
      </c>
      <c r="BA46" s="365"/>
      <c r="BJ46" s="367"/>
      <c r="CP46" s="368"/>
    </row>
    <row r="47" spans="1:94" x14ac:dyDescent="0.2">
      <c r="A47" s="363">
        <v>45078</v>
      </c>
      <c r="B47" s="364">
        <v>368051992</v>
      </c>
      <c r="C47" s="364">
        <v>262171112</v>
      </c>
      <c r="D47" s="364">
        <v>0</v>
      </c>
      <c r="E47" s="364">
        <v>392800962</v>
      </c>
      <c r="F47" s="364">
        <v>122593033</v>
      </c>
      <c r="G47" s="364">
        <v>44766366</v>
      </c>
      <c r="H47" s="364">
        <v>10971518</v>
      </c>
      <c r="I47" s="364">
        <v>0</v>
      </c>
      <c r="J47" s="364">
        <v>16115064</v>
      </c>
      <c r="K47" s="364">
        <v>0</v>
      </c>
      <c r="L47" s="364">
        <v>0</v>
      </c>
      <c r="M47" s="364">
        <v>0</v>
      </c>
      <c r="N47" s="364">
        <v>0</v>
      </c>
      <c r="O47" s="364">
        <v>0</v>
      </c>
      <c r="P47" s="364">
        <v>0</v>
      </c>
      <c r="Q47" s="364">
        <v>0</v>
      </c>
      <c r="R47" s="364">
        <v>0</v>
      </c>
      <c r="S47" s="364">
        <v>0</v>
      </c>
      <c r="T47" s="364">
        <v>0</v>
      </c>
      <c r="U47" s="364">
        <v>1776820</v>
      </c>
      <c r="V47" s="364">
        <v>0</v>
      </c>
      <c r="W47" s="364">
        <v>2000895</v>
      </c>
      <c r="X47" s="364">
        <v>0</v>
      </c>
      <c r="Y47" s="364">
        <v>0</v>
      </c>
      <c r="Z47" s="364">
        <v>0</v>
      </c>
      <c r="AA47" s="364">
        <v>0</v>
      </c>
      <c r="AB47" s="364">
        <v>0</v>
      </c>
      <c r="AC47" s="364">
        <v>0</v>
      </c>
      <c r="AD47" s="364">
        <v>0</v>
      </c>
      <c r="AE47" s="364">
        <v>1118873</v>
      </c>
      <c r="AF47" s="364">
        <v>609807</v>
      </c>
      <c r="AG47" s="364">
        <v>0</v>
      </c>
      <c r="AH47" s="364">
        <v>-987542</v>
      </c>
      <c r="AI47" s="364">
        <v>686662</v>
      </c>
      <c r="AJ47" s="364">
        <v>0</v>
      </c>
      <c r="AK47" s="364">
        <v>0</v>
      </c>
      <c r="AL47" s="364">
        <v>0</v>
      </c>
      <c r="AM47" s="364">
        <v>0</v>
      </c>
      <c r="AN47" s="364">
        <v>0</v>
      </c>
      <c r="AO47" s="364">
        <v>0</v>
      </c>
      <c r="AP47" s="364">
        <v>0</v>
      </c>
      <c r="AQ47" s="364">
        <v>0</v>
      </c>
      <c r="AR47" s="364">
        <v>0</v>
      </c>
      <c r="AS47" s="364">
        <v>0</v>
      </c>
      <c r="AT47" s="364">
        <v>0</v>
      </c>
      <c r="AU47" s="364">
        <v>0</v>
      </c>
      <c r="AV47" s="364">
        <v>0</v>
      </c>
      <c r="AW47" s="364">
        <v>0</v>
      </c>
      <c r="AX47" s="364">
        <v>0</v>
      </c>
      <c r="AY47" s="626">
        <f t="shared" si="2"/>
        <v>1222675562</v>
      </c>
      <c r="BA47" s="365"/>
      <c r="BJ47" s="367"/>
      <c r="CP47" s="368"/>
    </row>
    <row r="48" spans="1:94" x14ac:dyDescent="0.2">
      <c r="A48" s="363">
        <v>45108</v>
      </c>
      <c r="B48" s="364">
        <v>309030109</v>
      </c>
      <c r="C48" s="364">
        <v>220620077</v>
      </c>
      <c r="D48" s="364">
        <v>0</v>
      </c>
      <c r="E48" s="364">
        <v>336817496</v>
      </c>
      <c r="F48" s="364">
        <v>164463317</v>
      </c>
      <c r="G48" s="364">
        <v>89272366</v>
      </c>
      <c r="H48" s="364">
        <v>20485954</v>
      </c>
      <c r="I48" s="364">
        <v>0</v>
      </c>
      <c r="J48" s="364">
        <v>21000000</v>
      </c>
      <c r="K48" s="364">
        <v>0</v>
      </c>
      <c r="L48" s="364">
        <v>0</v>
      </c>
      <c r="M48" s="364">
        <v>0</v>
      </c>
      <c r="N48" s="364">
        <v>0</v>
      </c>
      <c r="O48" s="364">
        <v>0</v>
      </c>
      <c r="P48" s="364">
        <v>0</v>
      </c>
      <c r="Q48" s="364">
        <v>0</v>
      </c>
      <c r="R48" s="364">
        <v>0</v>
      </c>
      <c r="S48" s="364">
        <v>0</v>
      </c>
      <c r="T48" s="364">
        <v>0</v>
      </c>
      <c r="U48" s="364">
        <v>1412345</v>
      </c>
      <c r="V48" s="364">
        <v>0</v>
      </c>
      <c r="W48" s="364">
        <v>307144</v>
      </c>
      <c r="X48" s="364">
        <v>0</v>
      </c>
      <c r="Y48" s="364">
        <v>0</v>
      </c>
      <c r="Z48" s="364">
        <v>0</v>
      </c>
      <c r="AA48" s="364">
        <v>0</v>
      </c>
      <c r="AB48" s="364">
        <v>0</v>
      </c>
      <c r="AC48" s="364">
        <v>0</v>
      </c>
      <c r="AD48" s="364">
        <v>0</v>
      </c>
      <c r="AE48" s="364">
        <v>1576794</v>
      </c>
      <c r="AF48" s="364">
        <v>1089447</v>
      </c>
      <c r="AG48" s="364">
        <v>0</v>
      </c>
      <c r="AH48" s="364">
        <v>2580895</v>
      </c>
      <c r="AI48" s="364">
        <v>208000</v>
      </c>
      <c r="AJ48" s="364">
        <v>0</v>
      </c>
      <c r="AK48" s="364">
        <v>0</v>
      </c>
      <c r="AL48" s="364">
        <v>0</v>
      </c>
      <c r="AM48" s="364">
        <v>0</v>
      </c>
      <c r="AN48" s="364">
        <v>0</v>
      </c>
      <c r="AO48" s="364">
        <v>0</v>
      </c>
      <c r="AP48" s="364">
        <v>0</v>
      </c>
      <c r="AQ48" s="364">
        <v>0</v>
      </c>
      <c r="AR48" s="364">
        <v>0</v>
      </c>
      <c r="AS48" s="364">
        <v>0</v>
      </c>
      <c r="AT48" s="364">
        <v>0</v>
      </c>
      <c r="AU48" s="364">
        <v>0</v>
      </c>
      <c r="AV48" s="364">
        <v>0</v>
      </c>
      <c r="AW48" s="364">
        <v>0</v>
      </c>
      <c r="AX48" s="364">
        <v>0</v>
      </c>
      <c r="AY48" s="626">
        <f t="shared" si="2"/>
        <v>1168863944</v>
      </c>
      <c r="BA48" s="540"/>
      <c r="BJ48" s="367"/>
      <c r="CP48" s="368"/>
    </row>
    <row r="49" spans="1:94" x14ac:dyDescent="0.2">
      <c r="A49" s="363">
        <v>45139</v>
      </c>
      <c r="B49" s="364">
        <v>387811573</v>
      </c>
      <c r="C49" s="364">
        <v>246241029</v>
      </c>
      <c r="D49" s="364">
        <v>0</v>
      </c>
      <c r="E49" s="364">
        <v>378163865</v>
      </c>
      <c r="F49" s="364">
        <v>168246524</v>
      </c>
      <c r="G49" s="364">
        <v>97986646</v>
      </c>
      <c r="H49" s="364">
        <v>31051786</v>
      </c>
      <c r="I49" s="364">
        <v>0</v>
      </c>
      <c r="J49" s="364">
        <v>87309076</v>
      </c>
      <c r="K49" s="364">
        <v>0</v>
      </c>
      <c r="L49" s="364">
        <v>0</v>
      </c>
      <c r="M49" s="364">
        <v>0</v>
      </c>
      <c r="N49" s="364">
        <v>0</v>
      </c>
      <c r="O49" s="364">
        <v>0</v>
      </c>
      <c r="P49" s="364">
        <v>0</v>
      </c>
      <c r="Q49" s="364">
        <v>0</v>
      </c>
      <c r="R49" s="364">
        <v>0</v>
      </c>
      <c r="S49" s="364">
        <v>0</v>
      </c>
      <c r="T49" s="364">
        <v>0</v>
      </c>
      <c r="U49" s="364">
        <v>1137403</v>
      </c>
      <c r="V49" s="364">
        <v>0</v>
      </c>
      <c r="W49" s="364">
        <v>3073931</v>
      </c>
      <c r="X49" s="364">
        <v>0</v>
      </c>
      <c r="Y49" s="364">
        <v>0</v>
      </c>
      <c r="Z49" s="364">
        <v>0</v>
      </c>
      <c r="AA49" s="364">
        <v>0</v>
      </c>
      <c r="AB49" s="364">
        <v>0</v>
      </c>
      <c r="AC49" s="364">
        <v>0</v>
      </c>
      <c r="AD49" s="364">
        <v>0</v>
      </c>
      <c r="AE49" s="364">
        <v>387963</v>
      </c>
      <c r="AF49" s="364">
        <v>64129</v>
      </c>
      <c r="AG49" s="364">
        <v>0</v>
      </c>
      <c r="AH49" s="364">
        <v>1491332</v>
      </c>
      <c r="AI49" s="364">
        <v>158716</v>
      </c>
      <c r="AJ49" s="364">
        <v>0</v>
      </c>
      <c r="AK49" s="364">
        <v>0</v>
      </c>
      <c r="AL49" s="364">
        <v>0</v>
      </c>
      <c r="AM49" s="364">
        <v>0</v>
      </c>
      <c r="AN49" s="364">
        <v>0</v>
      </c>
      <c r="AO49" s="364">
        <v>0</v>
      </c>
      <c r="AP49" s="364">
        <v>0</v>
      </c>
      <c r="AQ49" s="364">
        <v>0</v>
      </c>
      <c r="AR49" s="364">
        <v>0</v>
      </c>
      <c r="AS49" s="364">
        <v>0</v>
      </c>
      <c r="AT49" s="364">
        <v>0</v>
      </c>
      <c r="AU49" s="364">
        <v>0</v>
      </c>
      <c r="AV49" s="364">
        <v>0</v>
      </c>
      <c r="AW49" s="364">
        <v>0</v>
      </c>
      <c r="AX49" s="364">
        <v>0</v>
      </c>
      <c r="AY49" s="626">
        <f t="shared" si="2"/>
        <v>1403123973</v>
      </c>
      <c r="BA49" s="540"/>
      <c r="BJ49" s="367"/>
      <c r="CP49" s="368"/>
    </row>
    <row r="50" spans="1:94" x14ac:dyDescent="0.2">
      <c r="A50" s="363">
        <v>45170</v>
      </c>
      <c r="B50" s="364">
        <v>232905022</v>
      </c>
      <c r="C50" s="364">
        <v>233503635</v>
      </c>
      <c r="D50" s="364">
        <v>0</v>
      </c>
      <c r="E50" s="364">
        <v>332726700</v>
      </c>
      <c r="F50" s="364">
        <v>117145518</v>
      </c>
      <c r="G50" s="364">
        <v>26672366</v>
      </c>
      <c r="H50" s="364">
        <v>8278594</v>
      </c>
      <c r="I50" s="364">
        <v>0</v>
      </c>
      <c r="J50" s="364">
        <v>62451076</v>
      </c>
      <c r="K50" s="364">
        <v>0</v>
      </c>
      <c r="L50" s="364">
        <v>0</v>
      </c>
      <c r="M50" s="364">
        <v>0</v>
      </c>
      <c r="N50" s="364">
        <v>0</v>
      </c>
      <c r="O50" s="364">
        <v>0</v>
      </c>
      <c r="P50" s="364">
        <v>0</v>
      </c>
      <c r="Q50" s="364">
        <v>0</v>
      </c>
      <c r="R50" s="364">
        <v>0</v>
      </c>
      <c r="S50" s="364">
        <v>0</v>
      </c>
      <c r="T50" s="364">
        <v>0</v>
      </c>
      <c r="U50" s="364">
        <v>1722494</v>
      </c>
      <c r="V50" s="364">
        <v>0</v>
      </c>
      <c r="W50" s="364">
        <v>3409951</v>
      </c>
      <c r="X50" s="364">
        <v>0</v>
      </c>
      <c r="Y50" s="364">
        <v>0</v>
      </c>
      <c r="Z50" s="364">
        <v>0</v>
      </c>
      <c r="AA50" s="364">
        <v>0</v>
      </c>
      <c r="AB50" s="364">
        <v>0</v>
      </c>
      <c r="AC50" s="364">
        <v>0</v>
      </c>
      <c r="AD50" s="364">
        <v>0</v>
      </c>
      <c r="AE50" s="364">
        <v>-755998</v>
      </c>
      <c r="AF50" s="364">
        <v>-848140</v>
      </c>
      <c r="AG50" s="364">
        <v>0</v>
      </c>
      <c r="AH50" s="364">
        <v>1720467</v>
      </c>
      <c r="AI50" s="364">
        <v>-172905</v>
      </c>
      <c r="AJ50" s="364">
        <v>0</v>
      </c>
      <c r="AK50" s="364">
        <v>0</v>
      </c>
      <c r="AL50" s="364">
        <v>0</v>
      </c>
      <c r="AM50" s="364">
        <v>0</v>
      </c>
      <c r="AN50" s="364">
        <v>0</v>
      </c>
      <c r="AO50" s="364">
        <v>0</v>
      </c>
      <c r="AP50" s="364">
        <v>0</v>
      </c>
      <c r="AQ50" s="364">
        <v>0</v>
      </c>
      <c r="AR50" s="364">
        <v>0</v>
      </c>
      <c r="AS50" s="364">
        <v>0</v>
      </c>
      <c r="AT50" s="364">
        <v>0</v>
      </c>
      <c r="AU50" s="364">
        <v>0</v>
      </c>
      <c r="AV50" s="364">
        <v>0</v>
      </c>
      <c r="AW50" s="364">
        <v>0</v>
      </c>
      <c r="AX50" s="364">
        <v>0</v>
      </c>
      <c r="AY50" s="626">
        <f t="shared" si="2"/>
        <v>1018758780</v>
      </c>
      <c r="BA50" s="540"/>
      <c r="BJ50" s="367"/>
      <c r="CP50" s="368"/>
    </row>
    <row r="51" spans="1:94" x14ac:dyDescent="0.2">
      <c r="A51" s="363">
        <v>45200</v>
      </c>
      <c r="B51" s="364">
        <v>342218315</v>
      </c>
      <c r="C51" s="364">
        <v>185767121</v>
      </c>
      <c r="D51" s="364">
        <v>0</v>
      </c>
      <c r="E51" s="364">
        <v>282643412</v>
      </c>
      <c r="F51" s="364">
        <v>137615532</v>
      </c>
      <c r="G51" s="364">
        <v>73852366</v>
      </c>
      <c r="H51" s="364">
        <v>158970415</v>
      </c>
      <c r="I51" s="364">
        <v>0</v>
      </c>
      <c r="J51" s="364">
        <v>30037959</v>
      </c>
      <c r="K51" s="364">
        <v>0</v>
      </c>
      <c r="L51" s="364">
        <v>0</v>
      </c>
      <c r="M51" s="364">
        <v>0</v>
      </c>
      <c r="N51" s="364">
        <v>0</v>
      </c>
      <c r="O51" s="364">
        <v>0</v>
      </c>
      <c r="P51" s="364">
        <v>0</v>
      </c>
      <c r="Q51" s="364">
        <v>7052197</v>
      </c>
      <c r="R51" s="364">
        <v>0</v>
      </c>
      <c r="S51" s="364">
        <v>0</v>
      </c>
      <c r="T51" s="364">
        <v>0</v>
      </c>
      <c r="U51" s="364">
        <v>1385554</v>
      </c>
      <c r="V51" s="364">
        <v>0</v>
      </c>
      <c r="W51" s="364">
        <v>3816866</v>
      </c>
      <c r="X51" s="364">
        <v>0</v>
      </c>
      <c r="Y51" s="364">
        <v>0</v>
      </c>
      <c r="Z51" s="364">
        <v>0</v>
      </c>
      <c r="AA51" s="364">
        <v>0</v>
      </c>
      <c r="AB51" s="364">
        <v>0</v>
      </c>
      <c r="AC51" s="364">
        <v>0</v>
      </c>
      <c r="AD51" s="364">
        <v>0</v>
      </c>
      <c r="AE51" s="364">
        <v>2598659</v>
      </c>
      <c r="AF51" s="364">
        <v>396974</v>
      </c>
      <c r="AG51" s="364">
        <v>0</v>
      </c>
      <c r="AH51" s="364">
        <v>718771</v>
      </c>
      <c r="AI51" s="364">
        <v>513690</v>
      </c>
      <c r="AJ51" s="364">
        <v>0</v>
      </c>
      <c r="AK51" s="364">
        <v>0</v>
      </c>
      <c r="AL51" s="364">
        <v>0</v>
      </c>
      <c r="AM51" s="364">
        <v>0</v>
      </c>
      <c r="AN51" s="364">
        <v>0</v>
      </c>
      <c r="AO51" s="364">
        <v>0</v>
      </c>
      <c r="AP51" s="364">
        <v>0</v>
      </c>
      <c r="AQ51" s="364">
        <v>0</v>
      </c>
      <c r="AR51" s="364">
        <v>0</v>
      </c>
      <c r="AS51" s="364">
        <v>0</v>
      </c>
      <c r="AT51" s="364">
        <v>0</v>
      </c>
      <c r="AU51" s="364">
        <v>0</v>
      </c>
      <c r="AV51" s="364">
        <v>0</v>
      </c>
      <c r="AW51" s="364">
        <v>0</v>
      </c>
      <c r="AX51" s="364">
        <v>0</v>
      </c>
      <c r="AY51" s="626">
        <f t="shared" si="2"/>
        <v>1227587831</v>
      </c>
      <c r="BA51" s="540"/>
      <c r="BJ51" s="367"/>
      <c r="CP51" s="368"/>
    </row>
    <row r="52" spans="1:94" x14ac:dyDescent="0.2">
      <c r="A52" s="363">
        <v>45231</v>
      </c>
      <c r="B52" s="364">
        <v>347906224</v>
      </c>
      <c r="C52" s="364">
        <v>293027699</v>
      </c>
      <c r="D52" s="364">
        <v>0</v>
      </c>
      <c r="E52" s="364">
        <v>475821253</v>
      </c>
      <c r="F52" s="364">
        <v>211586519</v>
      </c>
      <c r="G52" s="364">
        <v>99314377</v>
      </c>
      <c r="H52" s="364">
        <v>92852912</v>
      </c>
      <c r="I52" s="364">
        <v>0</v>
      </c>
      <c r="J52" s="364">
        <v>1451076</v>
      </c>
      <c r="K52" s="364">
        <v>0</v>
      </c>
      <c r="L52" s="364">
        <v>0</v>
      </c>
      <c r="M52" s="364">
        <v>0</v>
      </c>
      <c r="N52" s="364">
        <v>0</v>
      </c>
      <c r="O52" s="364">
        <v>0</v>
      </c>
      <c r="P52" s="364">
        <v>3523317</v>
      </c>
      <c r="Q52" s="364">
        <v>4052197</v>
      </c>
      <c r="R52" s="364">
        <v>0</v>
      </c>
      <c r="S52" s="364">
        <v>0</v>
      </c>
      <c r="T52" s="364">
        <v>0</v>
      </c>
      <c r="U52" s="364">
        <v>1959304</v>
      </c>
      <c r="V52" s="364">
        <v>0</v>
      </c>
      <c r="W52" s="364">
        <v>420462</v>
      </c>
      <c r="X52" s="364">
        <v>0</v>
      </c>
      <c r="Y52" s="364">
        <v>0</v>
      </c>
      <c r="Z52" s="364">
        <v>0</v>
      </c>
      <c r="AA52" s="364">
        <v>0</v>
      </c>
      <c r="AB52" s="364">
        <v>0</v>
      </c>
      <c r="AC52" s="364">
        <v>0</v>
      </c>
      <c r="AD52" s="364">
        <v>0</v>
      </c>
      <c r="AE52" s="364">
        <v>-427608</v>
      </c>
      <c r="AF52" s="364">
        <v>368597</v>
      </c>
      <c r="AG52" s="364">
        <v>0</v>
      </c>
      <c r="AH52" s="364">
        <v>2084385</v>
      </c>
      <c r="AI52" s="364">
        <v>523662</v>
      </c>
      <c r="AJ52" s="364">
        <v>0</v>
      </c>
      <c r="AK52" s="364">
        <v>0</v>
      </c>
      <c r="AL52" s="364">
        <v>0</v>
      </c>
      <c r="AM52" s="364">
        <v>0</v>
      </c>
      <c r="AN52" s="364">
        <v>0</v>
      </c>
      <c r="AO52" s="364">
        <v>0</v>
      </c>
      <c r="AP52" s="364">
        <v>0</v>
      </c>
      <c r="AQ52" s="364">
        <v>0</v>
      </c>
      <c r="AR52" s="364">
        <v>0</v>
      </c>
      <c r="AS52" s="364">
        <v>0</v>
      </c>
      <c r="AT52" s="364">
        <v>0</v>
      </c>
      <c r="AU52" s="364">
        <v>0</v>
      </c>
      <c r="AV52" s="364">
        <v>0</v>
      </c>
      <c r="AW52" s="364">
        <v>0</v>
      </c>
      <c r="AX52" s="364">
        <v>0</v>
      </c>
      <c r="AY52" s="626">
        <f t="shared" si="2"/>
        <v>1534464376</v>
      </c>
      <c r="BA52" s="540"/>
      <c r="BJ52" s="367"/>
      <c r="CP52" s="368"/>
    </row>
    <row r="53" spans="1:94" x14ac:dyDescent="0.2">
      <c r="A53" s="363">
        <v>45261</v>
      </c>
      <c r="B53" s="364">
        <v>472956750</v>
      </c>
      <c r="C53" s="364">
        <v>406230571</v>
      </c>
      <c r="D53" s="364">
        <v>0</v>
      </c>
      <c r="E53" s="364">
        <v>418802813</v>
      </c>
      <c r="F53" s="364">
        <v>227274275</v>
      </c>
      <c r="G53" s="364">
        <v>82172366</v>
      </c>
      <c r="H53" s="364">
        <v>26838563</v>
      </c>
      <c r="I53" s="364">
        <v>0</v>
      </c>
      <c r="J53" s="364">
        <v>150122483</v>
      </c>
      <c r="K53" s="364">
        <v>0</v>
      </c>
      <c r="L53" s="364">
        <v>0</v>
      </c>
      <c r="M53" s="364">
        <v>0</v>
      </c>
      <c r="N53" s="364">
        <v>0</v>
      </c>
      <c r="O53" s="364">
        <v>0</v>
      </c>
      <c r="P53" s="364">
        <v>7148011</v>
      </c>
      <c r="Q53" s="364">
        <v>2430234</v>
      </c>
      <c r="R53" s="364">
        <v>0</v>
      </c>
      <c r="S53" s="364">
        <v>0</v>
      </c>
      <c r="T53" s="364">
        <v>0</v>
      </c>
      <c r="U53" s="364">
        <v>4862311</v>
      </c>
      <c r="V53" s="364">
        <v>0</v>
      </c>
      <c r="W53" s="364">
        <v>2602262</v>
      </c>
      <c r="X53" s="364">
        <v>0</v>
      </c>
      <c r="Y53" s="364">
        <v>0</v>
      </c>
      <c r="Z53" s="364">
        <v>0</v>
      </c>
      <c r="AA53" s="364">
        <v>0</v>
      </c>
      <c r="AB53" s="364">
        <v>0</v>
      </c>
      <c r="AC53" s="364">
        <v>0</v>
      </c>
      <c r="AD53" s="364">
        <v>0</v>
      </c>
      <c r="AE53" s="364">
        <v>3805652</v>
      </c>
      <c r="AF53" s="364">
        <v>2499584</v>
      </c>
      <c r="AG53" s="364">
        <v>0</v>
      </c>
      <c r="AH53" s="364">
        <v>2219765</v>
      </c>
      <c r="AI53" s="364">
        <v>546034</v>
      </c>
      <c r="AJ53" s="364">
        <v>0</v>
      </c>
      <c r="AK53" s="364">
        <v>0</v>
      </c>
      <c r="AL53" s="364">
        <v>0</v>
      </c>
      <c r="AM53" s="364">
        <v>0</v>
      </c>
      <c r="AN53" s="364">
        <v>0</v>
      </c>
      <c r="AO53" s="364">
        <v>0</v>
      </c>
      <c r="AP53" s="364">
        <v>0</v>
      </c>
      <c r="AQ53" s="364">
        <v>0</v>
      </c>
      <c r="AR53" s="364">
        <v>0</v>
      </c>
      <c r="AS53" s="364">
        <v>0</v>
      </c>
      <c r="AT53" s="364">
        <v>0</v>
      </c>
      <c r="AU53" s="364">
        <v>0</v>
      </c>
      <c r="AV53" s="364">
        <v>0</v>
      </c>
      <c r="AW53" s="364">
        <v>0</v>
      </c>
      <c r="AX53" s="364">
        <v>0</v>
      </c>
      <c r="AY53" s="626">
        <f t="shared" si="2"/>
        <v>1810511674</v>
      </c>
      <c r="BA53" s="540"/>
      <c r="BJ53" s="367"/>
      <c r="CP53" s="368"/>
    </row>
    <row r="54" spans="1:94" x14ac:dyDescent="0.2">
      <c r="A54" s="363">
        <v>45292</v>
      </c>
      <c r="B54" s="364">
        <v>406364992</v>
      </c>
      <c r="C54" s="364">
        <v>370733422</v>
      </c>
      <c r="D54" s="364">
        <v>0</v>
      </c>
      <c r="E54" s="364">
        <v>395672404</v>
      </c>
      <c r="F54" s="364">
        <v>286586157</v>
      </c>
      <c r="G54" s="364">
        <v>444054333</v>
      </c>
      <c r="H54" s="364">
        <v>220128973</v>
      </c>
      <c r="I54" s="364">
        <v>0</v>
      </c>
      <c r="J54" s="364">
        <v>6745531</v>
      </c>
      <c r="K54" s="364">
        <v>0</v>
      </c>
      <c r="L54" s="364">
        <v>0</v>
      </c>
      <c r="M54" s="364">
        <v>0</v>
      </c>
      <c r="N54" s="364">
        <v>0</v>
      </c>
      <c r="O54" s="364">
        <v>0</v>
      </c>
      <c r="P54" s="364">
        <v>1818446</v>
      </c>
      <c r="Q54" s="364">
        <v>9454524</v>
      </c>
      <c r="R54" s="364">
        <v>0</v>
      </c>
      <c r="S54" s="364">
        <v>0</v>
      </c>
      <c r="T54" s="364">
        <v>0</v>
      </c>
      <c r="U54" s="364">
        <v>7675158</v>
      </c>
      <c r="V54" s="364">
        <v>0</v>
      </c>
      <c r="W54" s="364">
        <v>7252946</v>
      </c>
      <c r="X54" s="364">
        <v>0</v>
      </c>
      <c r="Y54" s="364">
        <v>0</v>
      </c>
      <c r="Z54" s="364">
        <v>0</v>
      </c>
      <c r="AA54" s="364">
        <v>0</v>
      </c>
      <c r="AB54" s="364">
        <v>0</v>
      </c>
      <c r="AC54" s="364">
        <v>0</v>
      </c>
      <c r="AD54" s="364">
        <v>0</v>
      </c>
      <c r="AE54" s="364">
        <v>1444625</v>
      </c>
      <c r="AF54" s="364">
        <v>2536524</v>
      </c>
      <c r="AG54" s="364">
        <v>0</v>
      </c>
      <c r="AH54" s="364">
        <v>3773325</v>
      </c>
      <c r="AI54" s="364">
        <v>2294466</v>
      </c>
      <c r="AJ54" s="364">
        <v>0</v>
      </c>
      <c r="AK54" s="364">
        <v>0</v>
      </c>
      <c r="AL54" s="364">
        <v>0</v>
      </c>
      <c r="AM54" s="364">
        <v>0</v>
      </c>
      <c r="AN54" s="364">
        <v>0</v>
      </c>
      <c r="AO54" s="364">
        <v>0</v>
      </c>
      <c r="AP54" s="364">
        <v>0</v>
      </c>
      <c r="AQ54" s="364">
        <v>0</v>
      </c>
      <c r="AR54" s="364">
        <v>0</v>
      </c>
      <c r="AS54" s="364">
        <v>0</v>
      </c>
      <c r="AT54" s="364">
        <v>0</v>
      </c>
      <c r="AU54" s="364">
        <v>0</v>
      </c>
      <c r="AV54" s="364">
        <v>0</v>
      </c>
      <c r="AW54" s="364">
        <v>0</v>
      </c>
      <c r="AX54" s="364">
        <v>0</v>
      </c>
      <c r="AY54" s="626">
        <f t="shared" ref="AY54:AY75" si="4">SUM(B54:AX54)</f>
        <v>2166535826</v>
      </c>
      <c r="BA54" s="540"/>
      <c r="BJ54" s="367"/>
      <c r="CP54" s="368"/>
    </row>
    <row r="55" spans="1:94" x14ac:dyDescent="0.2">
      <c r="A55" s="363">
        <v>45323</v>
      </c>
      <c r="B55" s="364">
        <v>358437398</v>
      </c>
      <c r="C55" s="364">
        <v>317205628</v>
      </c>
      <c r="D55" s="364">
        <v>0</v>
      </c>
      <c r="E55" s="364">
        <v>429961958</v>
      </c>
      <c r="F55" s="364">
        <v>347698232</v>
      </c>
      <c r="G55" s="364">
        <v>536868074</v>
      </c>
      <c r="H55" s="364">
        <v>197435873</v>
      </c>
      <c r="I55" s="364">
        <v>0</v>
      </c>
      <c r="J55" s="364">
        <v>11942455</v>
      </c>
      <c r="K55" s="364">
        <v>0</v>
      </c>
      <c r="L55" s="364">
        <v>0</v>
      </c>
      <c r="M55" s="364">
        <v>0</v>
      </c>
      <c r="N55" s="364">
        <v>0</v>
      </c>
      <c r="O55" s="364">
        <v>0</v>
      </c>
      <c r="P55" s="364">
        <v>18334464</v>
      </c>
      <c r="Q55" s="364">
        <v>9361944</v>
      </c>
      <c r="R55" s="364">
        <v>0</v>
      </c>
      <c r="S55" s="364">
        <v>0</v>
      </c>
      <c r="T55" s="364">
        <v>0</v>
      </c>
      <c r="U55" s="364">
        <v>2482274</v>
      </c>
      <c r="V55" s="364">
        <v>0</v>
      </c>
      <c r="W55" s="364">
        <v>1095965</v>
      </c>
      <c r="X55" s="364">
        <v>0</v>
      </c>
      <c r="Y55" s="364">
        <v>0</v>
      </c>
      <c r="Z55" s="364">
        <v>0</v>
      </c>
      <c r="AA55" s="364">
        <v>0</v>
      </c>
      <c r="AB55" s="364">
        <v>0</v>
      </c>
      <c r="AC55" s="364">
        <v>0</v>
      </c>
      <c r="AD55" s="364">
        <v>0</v>
      </c>
      <c r="AE55" s="364">
        <v>550987</v>
      </c>
      <c r="AF55" s="364">
        <v>1610016</v>
      </c>
      <c r="AG55" s="364">
        <v>0</v>
      </c>
      <c r="AH55" s="364">
        <v>166547</v>
      </c>
      <c r="AI55" s="364">
        <v>3913892</v>
      </c>
      <c r="AJ55" s="364">
        <v>0</v>
      </c>
      <c r="AK55" s="364">
        <v>0</v>
      </c>
      <c r="AL55" s="364">
        <v>0</v>
      </c>
      <c r="AM55" s="364">
        <v>0</v>
      </c>
      <c r="AN55" s="364">
        <v>0</v>
      </c>
      <c r="AO55" s="364">
        <v>0</v>
      </c>
      <c r="AP55" s="364">
        <v>0</v>
      </c>
      <c r="AQ55" s="364">
        <v>0</v>
      </c>
      <c r="AR55" s="364">
        <v>0</v>
      </c>
      <c r="AS55" s="364">
        <v>0</v>
      </c>
      <c r="AT55" s="364">
        <v>0</v>
      </c>
      <c r="AU55" s="364">
        <v>0</v>
      </c>
      <c r="AV55" s="364">
        <v>0</v>
      </c>
      <c r="AW55" s="364">
        <v>0</v>
      </c>
      <c r="AX55" s="364">
        <v>0</v>
      </c>
      <c r="AY55" s="626">
        <f t="shared" si="4"/>
        <v>2237065707</v>
      </c>
      <c r="BA55" s="540"/>
      <c r="BJ55" s="367"/>
      <c r="CP55" s="368"/>
    </row>
    <row r="56" spans="1:94" x14ac:dyDescent="0.2">
      <c r="A56" s="363">
        <v>45352</v>
      </c>
      <c r="B56" s="364">
        <v>391785246</v>
      </c>
      <c r="C56" s="364">
        <v>212588611</v>
      </c>
      <c r="D56" s="364">
        <v>0</v>
      </c>
      <c r="E56" s="364">
        <v>340927897</v>
      </c>
      <c r="F56" s="364">
        <v>314754210</v>
      </c>
      <c r="G56" s="364">
        <v>314510961</v>
      </c>
      <c r="H56" s="364">
        <v>97559934</v>
      </c>
      <c r="I56" s="364">
        <v>0</v>
      </c>
      <c r="J56" s="364">
        <v>122294455</v>
      </c>
      <c r="K56" s="364">
        <v>0</v>
      </c>
      <c r="L56" s="364">
        <v>0</v>
      </c>
      <c r="M56" s="364">
        <v>0</v>
      </c>
      <c r="N56" s="364">
        <v>0</v>
      </c>
      <c r="O56" s="364">
        <v>0</v>
      </c>
      <c r="P56" s="364">
        <v>1681035</v>
      </c>
      <c r="Q56" s="364">
        <v>9481172</v>
      </c>
      <c r="R56" s="364">
        <v>0</v>
      </c>
      <c r="S56" s="364">
        <v>0</v>
      </c>
      <c r="T56" s="364">
        <v>0</v>
      </c>
      <c r="U56" s="364">
        <v>3410942</v>
      </c>
      <c r="V56" s="364">
        <v>0</v>
      </c>
      <c r="W56" s="364">
        <v>5244130</v>
      </c>
      <c r="X56" s="364">
        <v>0</v>
      </c>
      <c r="Y56" s="364">
        <v>0</v>
      </c>
      <c r="Z56" s="364">
        <v>0</v>
      </c>
      <c r="AA56" s="364">
        <v>4155245</v>
      </c>
      <c r="AB56" s="364">
        <v>0</v>
      </c>
      <c r="AC56" s="364">
        <v>0</v>
      </c>
      <c r="AD56" s="364">
        <v>0</v>
      </c>
      <c r="AE56" s="364">
        <v>3541821</v>
      </c>
      <c r="AF56" s="364">
        <v>-2301608</v>
      </c>
      <c r="AG56" s="364">
        <v>0</v>
      </c>
      <c r="AH56" s="364">
        <v>1713087</v>
      </c>
      <c r="AI56" s="364">
        <v>-631645</v>
      </c>
      <c r="AJ56" s="364">
        <v>0</v>
      </c>
      <c r="AK56" s="364">
        <v>0</v>
      </c>
      <c r="AL56" s="364">
        <v>0</v>
      </c>
      <c r="AM56" s="364">
        <v>0</v>
      </c>
      <c r="AN56" s="364">
        <v>0</v>
      </c>
      <c r="AO56" s="364">
        <v>0</v>
      </c>
      <c r="AP56" s="364">
        <v>0</v>
      </c>
      <c r="AQ56" s="364">
        <v>0</v>
      </c>
      <c r="AR56" s="364">
        <v>0</v>
      </c>
      <c r="AS56" s="364">
        <v>0</v>
      </c>
      <c r="AT56" s="364">
        <v>0</v>
      </c>
      <c r="AU56" s="364">
        <v>0</v>
      </c>
      <c r="AV56" s="364">
        <v>0</v>
      </c>
      <c r="AW56" s="364">
        <v>-1512675</v>
      </c>
      <c r="AX56" s="364">
        <v>0</v>
      </c>
      <c r="AY56" s="626">
        <f t="shared" si="4"/>
        <v>1819202818</v>
      </c>
      <c r="BA56" s="540"/>
      <c r="BJ56" s="367"/>
      <c r="CP56" s="368"/>
    </row>
    <row r="57" spans="1:94" x14ac:dyDescent="0.2">
      <c r="A57" s="363">
        <v>45383</v>
      </c>
      <c r="B57" s="364">
        <v>349922012</v>
      </c>
      <c r="C57" s="364">
        <v>281321492</v>
      </c>
      <c r="D57" s="364">
        <v>0</v>
      </c>
      <c r="E57" s="364">
        <v>441635081</v>
      </c>
      <c r="F57" s="364">
        <v>331992597</v>
      </c>
      <c r="G57" s="364">
        <v>345437684</v>
      </c>
      <c r="H57" s="364">
        <v>266876975</v>
      </c>
      <c r="I57" s="364">
        <v>0</v>
      </c>
      <c r="J57" s="364">
        <v>322731650</v>
      </c>
      <c r="K57" s="364">
        <v>0</v>
      </c>
      <c r="L57" s="364">
        <v>0</v>
      </c>
      <c r="M57" s="364">
        <v>0</v>
      </c>
      <c r="N57" s="364">
        <v>0</v>
      </c>
      <c r="O57" s="364">
        <v>0</v>
      </c>
      <c r="P57" s="364">
        <v>6135242</v>
      </c>
      <c r="Q57" s="364">
        <v>50347660</v>
      </c>
      <c r="R57" s="364">
        <v>0</v>
      </c>
      <c r="S57" s="364">
        <v>0</v>
      </c>
      <c r="T57" s="364">
        <v>0</v>
      </c>
      <c r="U57" s="364">
        <v>4443543</v>
      </c>
      <c r="V57" s="364">
        <v>0</v>
      </c>
      <c r="W57" s="364">
        <v>7427826</v>
      </c>
      <c r="X57" s="364">
        <v>0</v>
      </c>
      <c r="Y57" s="364">
        <v>0</v>
      </c>
      <c r="Z57" s="364">
        <v>0</v>
      </c>
      <c r="AA57" s="364">
        <v>6278330</v>
      </c>
      <c r="AB57" s="364">
        <v>0</v>
      </c>
      <c r="AC57" s="364">
        <v>441396</v>
      </c>
      <c r="AD57" s="364">
        <v>0</v>
      </c>
      <c r="AE57" s="364">
        <v>2789806</v>
      </c>
      <c r="AF57" s="364">
        <v>715332</v>
      </c>
      <c r="AG57" s="364">
        <v>0</v>
      </c>
      <c r="AH57" s="364">
        <v>4632730</v>
      </c>
      <c r="AI57" s="364">
        <v>1236493</v>
      </c>
      <c r="AJ57" s="364">
        <v>0</v>
      </c>
      <c r="AK57" s="364">
        <v>0</v>
      </c>
      <c r="AL57" s="364">
        <v>0</v>
      </c>
      <c r="AM57" s="364">
        <v>0</v>
      </c>
      <c r="AN57" s="364">
        <v>0</v>
      </c>
      <c r="AO57" s="364">
        <v>0</v>
      </c>
      <c r="AP57" s="364">
        <v>0</v>
      </c>
      <c r="AQ57" s="364">
        <v>0</v>
      </c>
      <c r="AR57" s="364">
        <v>0</v>
      </c>
      <c r="AS57" s="364">
        <v>0</v>
      </c>
      <c r="AT57" s="364">
        <v>0</v>
      </c>
      <c r="AU57" s="364">
        <v>52573</v>
      </c>
      <c r="AV57" s="364">
        <v>0</v>
      </c>
      <c r="AW57" s="364">
        <v>0</v>
      </c>
      <c r="AX57" s="364">
        <v>0</v>
      </c>
      <c r="AY57" s="626">
        <f t="shared" si="4"/>
        <v>2424418422</v>
      </c>
      <c r="BA57" s="540"/>
      <c r="BJ57" s="367"/>
      <c r="CP57" s="368"/>
    </row>
    <row r="58" spans="1:94" x14ac:dyDescent="0.2">
      <c r="A58" s="363">
        <v>45413</v>
      </c>
      <c r="B58" s="364">
        <v>1141365065</v>
      </c>
      <c r="C58" s="364">
        <v>359725185</v>
      </c>
      <c r="D58" s="364">
        <v>0</v>
      </c>
      <c r="E58" s="364">
        <v>356715665</v>
      </c>
      <c r="F58" s="364">
        <v>260414681</v>
      </c>
      <c r="G58" s="364">
        <v>-383776733</v>
      </c>
      <c r="H58" s="364">
        <v>223055059</v>
      </c>
      <c r="I58" s="364">
        <v>0</v>
      </c>
      <c r="J58" s="364">
        <v>152976011</v>
      </c>
      <c r="K58" s="364">
        <v>0</v>
      </c>
      <c r="L58" s="364">
        <v>0</v>
      </c>
      <c r="M58" s="364">
        <v>0</v>
      </c>
      <c r="N58" s="364">
        <v>0</v>
      </c>
      <c r="O58" s="364">
        <v>0</v>
      </c>
      <c r="P58" s="364">
        <v>9091431</v>
      </c>
      <c r="Q58" s="364">
        <v>9879003</v>
      </c>
      <c r="R58" s="364">
        <v>0</v>
      </c>
      <c r="S58" s="364">
        <v>0</v>
      </c>
      <c r="T58" s="364">
        <v>0</v>
      </c>
      <c r="U58" s="364">
        <v>4856225</v>
      </c>
      <c r="V58" s="364">
        <v>0</v>
      </c>
      <c r="W58" s="364">
        <v>7194347</v>
      </c>
      <c r="X58" s="364">
        <v>0</v>
      </c>
      <c r="Y58" s="364">
        <v>0</v>
      </c>
      <c r="Z58" s="364">
        <v>0</v>
      </c>
      <c r="AA58" s="364">
        <v>3495793</v>
      </c>
      <c r="AB58" s="364">
        <v>0</v>
      </c>
      <c r="AC58" s="364">
        <v>4442379</v>
      </c>
      <c r="AD58" s="364">
        <v>0</v>
      </c>
      <c r="AE58" s="364">
        <v>4418166</v>
      </c>
      <c r="AF58" s="364">
        <v>2954566</v>
      </c>
      <c r="AG58" s="364">
        <v>0</v>
      </c>
      <c r="AH58" s="364">
        <v>2228116</v>
      </c>
      <c r="AI58" s="364">
        <v>2174726</v>
      </c>
      <c r="AJ58" s="364">
        <v>0</v>
      </c>
      <c r="AK58" s="364">
        <v>0</v>
      </c>
      <c r="AL58" s="364">
        <v>0</v>
      </c>
      <c r="AM58" s="364">
        <v>0</v>
      </c>
      <c r="AN58" s="364">
        <v>0</v>
      </c>
      <c r="AO58" s="364">
        <v>0</v>
      </c>
      <c r="AP58" s="364">
        <v>0</v>
      </c>
      <c r="AQ58" s="364">
        <v>0</v>
      </c>
      <c r="AR58" s="364">
        <v>0</v>
      </c>
      <c r="AS58" s="364">
        <v>0</v>
      </c>
      <c r="AT58" s="364">
        <v>0</v>
      </c>
      <c r="AU58" s="364">
        <v>0</v>
      </c>
      <c r="AV58" s="364">
        <v>0</v>
      </c>
      <c r="AW58" s="364">
        <v>0</v>
      </c>
      <c r="AX58" s="364">
        <v>0</v>
      </c>
      <c r="AY58" s="626">
        <f t="shared" si="4"/>
        <v>2161209685</v>
      </c>
      <c r="AZ58" s="364">
        <f>SUM(C58:AY58)</f>
        <v>3181054305</v>
      </c>
      <c r="BA58" s="364">
        <f>SUM(E58:AZ58)</f>
        <v>6002383425</v>
      </c>
      <c r="BJ58" s="367"/>
      <c r="CP58" s="368"/>
    </row>
    <row r="59" spans="1:94" x14ac:dyDescent="0.2">
      <c r="A59" s="363">
        <v>45444</v>
      </c>
      <c r="B59" s="364">
        <v>654598594</v>
      </c>
      <c r="C59" s="364">
        <v>296599821</v>
      </c>
      <c r="D59" s="364">
        <v>0</v>
      </c>
      <c r="E59" s="364">
        <v>239125740</v>
      </c>
      <c r="F59" s="364">
        <v>363389431</v>
      </c>
      <c r="G59" s="364">
        <v>722755345</v>
      </c>
      <c r="H59" s="364">
        <v>492681231</v>
      </c>
      <c r="I59" s="364">
        <v>0</v>
      </c>
      <c r="J59" s="364">
        <v>178402959</v>
      </c>
      <c r="K59" s="364">
        <v>20403943</v>
      </c>
      <c r="L59" s="364">
        <v>0</v>
      </c>
      <c r="M59" s="364">
        <v>0</v>
      </c>
      <c r="N59" s="364">
        <v>0</v>
      </c>
      <c r="O59" s="364">
        <v>0</v>
      </c>
      <c r="P59" s="364">
        <v>16136782</v>
      </c>
      <c r="Q59" s="364">
        <v>41651395</v>
      </c>
      <c r="R59" s="364">
        <v>0</v>
      </c>
      <c r="S59" s="364">
        <v>0</v>
      </c>
      <c r="T59" s="364">
        <v>0</v>
      </c>
      <c r="U59" s="364">
        <v>11449893</v>
      </c>
      <c r="V59" s="364">
        <v>0</v>
      </c>
      <c r="W59" s="364">
        <v>6222669</v>
      </c>
      <c r="X59" s="364">
        <v>0</v>
      </c>
      <c r="Y59" s="364">
        <v>0</v>
      </c>
      <c r="Z59" s="364">
        <v>0</v>
      </c>
      <c r="AA59" s="364">
        <v>2513682</v>
      </c>
      <c r="AB59" s="364">
        <v>0</v>
      </c>
      <c r="AC59" s="364">
        <v>3009081</v>
      </c>
      <c r="AD59" s="364">
        <v>0</v>
      </c>
      <c r="AE59" s="364">
        <v>3596562</v>
      </c>
      <c r="AF59" s="364">
        <v>1716490</v>
      </c>
      <c r="AG59" s="364">
        <v>0</v>
      </c>
      <c r="AH59" s="364">
        <v>-4498468</v>
      </c>
      <c r="AI59" s="364">
        <v>1136165</v>
      </c>
      <c r="AJ59" s="364">
        <v>0</v>
      </c>
      <c r="AK59" s="364">
        <v>0</v>
      </c>
      <c r="AL59" s="364">
        <v>0</v>
      </c>
      <c r="AM59" s="364">
        <v>0</v>
      </c>
      <c r="AN59" s="364">
        <v>0</v>
      </c>
      <c r="AO59" s="364">
        <v>0</v>
      </c>
      <c r="AP59" s="364">
        <v>0</v>
      </c>
      <c r="AQ59" s="364">
        <v>0</v>
      </c>
      <c r="AR59" s="364">
        <v>0</v>
      </c>
      <c r="AS59" s="364">
        <v>0</v>
      </c>
      <c r="AT59" s="364">
        <v>2202645</v>
      </c>
      <c r="AU59" s="364">
        <v>0</v>
      </c>
      <c r="AV59" s="364">
        <v>0</v>
      </c>
      <c r="AW59" s="364">
        <v>8000000</v>
      </c>
      <c r="AX59" s="364">
        <v>0</v>
      </c>
      <c r="AY59" s="626">
        <f t="shared" si="4"/>
        <v>3061093960</v>
      </c>
      <c r="BA59" s="540"/>
      <c r="BJ59" s="367"/>
      <c r="CP59" s="368"/>
    </row>
    <row r="60" spans="1:94" x14ac:dyDescent="0.2">
      <c r="A60" s="363">
        <v>45474</v>
      </c>
      <c r="B60" s="364">
        <v>630047157</v>
      </c>
      <c r="C60" s="364">
        <v>287535999</v>
      </c>
      <c r="D60" s="364">
        <v>0</v>
      </c>
      <c r="E60" s="364">
        <v>436457352</v>
      </c>
      <c r="F60" s="364">
        <v>362162217</v>
      </c>
      <c r="G60" s="364">
        <v>1289966333</v>
      </c>
      <c r="H60" s="364">
        <v>466616607</v>
      </c>
      <c r="I60" s="364">
        <v>0</v>
      </c>
      <c r="J60" s="364">
        <v>172662605</v>
      </c>
      <c r="K60" s="364">
        <v>0</v>
      </c>
      <c r="L60" s="364">
        <v>0</v>
      </c>
      <c r="M60" s="364">
        <v>0</v>
      </c>
      <c r="N60" s="364">
        <v>0</v>
      </c>
      <c r="O60" s="364">
        <v>0</v>
      </c>
      <c r="P60" s="364">
        <v>1217861</v>
      </c>
      <c r="Q60" s="364">
        <v>10339988</v>
      </c>
      <c r="R60" s="364">
        <v>0</v>
      </c>
      <c r="S60" s="364">
        <v>0</v>
      </c>
      <c r="T60" s="364">
        <v>0</v>
      </c>
      <c r="U60" s="364">
        <v>24185159</v>
      </c>
      <c r="V60" s="364">
        <v>0</v>
      </c>
      <c r="W60" s="364">
        <v>8204490</v>
      </c>
      <c r="X60" s="364">
        <v>0</v>
      </c>
      <c r="Y60" s="364">
        <v>0</v>
      </c>
      <c r="Z60" s="364">
        <v>0</v>
      </c>
      <c r="AA60" s="364">
        <v>6560950</v>
      </c>
      <c r="AB60" s="364">
        <v>0</v>
      </c>
      <c r="AC60" s="364">
        <v>5817321</v>
      </c>
      <c r="AD60" s="364">
        <v>0</v>
      </c>
      <c r="AE60" s="364">
        <v>2469266</v>
      </c>
      <c r="AF60" s="364">
        <v>2860217</v>
      </c>
      <c r="AG60" s="364">
        <v>0</v>
      </c>
      <c r="AH60" s="364">
        <v>5606941</v>
      </c>
      <c r="AI60" s="364">
        <v>1314070</v>
      </c>
      <c r="AJ60" s="364">
        <v>0</v>
      </c>
      <c r="AK60" s="364">
        <v>0</v>
      </c>
      <c r="AL60" s="364">
        <v>0</v>
      </c>
      <c r="AM60" s="364">
        <v>0</v>
      </c>
      <c r="AN60" s="364">
        <v>0</v>
      </c>
      <c r="AO60" s="364">
        <v>0</v>
      </c>
      <c r="AP60" s="364">
        <v>0</v>
      </c>
      <c r="AQ60" s="364">
        <v>0</v>
      </c>
      <c r="AR60" s="364">
        <v>0</v>
      </c>
      <c r="AS60" s="364">
        <v>0</v>
      </c>
      <c r="AT60" s="364">
        <v>92619614</v>
      </c>
      <c r="AU60" s="364">
        <v>1315063</v>
      </c>
      <c r="AV60" s="364">
        <v>0</v>
      </c>
      <c r="AW60" s="364">
        <v>0</v>
      </c>
      <c r="AX60" s="364">
        <v>0</v>
      </c>
      <c r="AY60" s="626">
        <f t="shared" si="4"/>
        <v>3807959210</v>
      </c>
      <c r="BA60" s="540"/>
      <c r="BJ60" s="367"/>
      <c r="CP60" s="368"/>
    </row>
    <row r="61" spans="1:94" x14ac:dyDescent="0.2">
      <c r="A61" s="363">
        <v>45505</v>
      </c>
      <c r="B61" s="364">
        <v>1573791415</v>
      </c>
      <c r="C61" s="364">
        <v>-4626617</v>
      </c>
      <c r="D61" s="364">
        <v>0</v>
      </c>
      <c r="E61" s="364">
        <v>617250326</v>
      </c>
      <c r="F61" s="364">
        <v>284967296</v>
      </c>
      <c r="G61" s="364">
        <v>-44445126</v>
      </c>
      <c r="H61" s="364">
        <v>361689878</v>
      </c>
      <c r="I61" s="364">
        <v>0</v>
      </c>
      <c r="J61" s="364">
        <v>-208321057</v>
      </c>
      <c r="K61" s="364">
        <v>0</v>
      </c>
      <c r="L61" s="364">
        <v>0</v>
      </c>
      <c r="M61" s="364">
        <v>0</v>
      </c>
      <c r="N61" s="364">
        <v>0</v>
      </c>
      <c r="O61" s="364">
        <v>0</v>
      </c>
      <c r="P61" s="364">
        <v>0</v>
      </c>
      <c r="Q61" s="364">
        <v>52884597</v>
      </c>
      <c r="R61" s="364">
        <v>0</v>
      </c>
      <c r="S61" s="364">
        <v>0</v>
      </c>
      <c r="T61" s="364">
        <v>0</v>
      </c>
      <c r="U61" s="364">
        <v>4634977</v>
      </c>
      <c r="V61" s="364">
        <v>0</v>
      </c>
      <c r="W61" s="364">
        <v>17476613</v>
      </c>
      <c r="X61" s="364">
        <v>0</v>
      </c>
      <c r="Y61" s="364">
        <v>0</v>
      </c>
      <c r="Z61" s="364">
        <v>0</v>
      </c>
      <c r="AA61" s="364">
        <v>537638</v>
      </c>
      <c r="AB61" s="364">
        <v>0</v>
      </c>
      <c r="AC61" s="364">
        <v>2511086</v>
      </c>
      <c r="AD61" s="364">
        <v>0</v>
      </c>
      <c r="AE61" s="364">
        <v>2492025</v>
      </c>
      <c r="AF61" s="364">
        <v>-1927170</v>
      </c>
      <c r="AG61" s="364">
        <v>0</v>
      </c>
      <c r="AH61" s="364">
        <v>-1007219</v>
      </c>
      <c r="AI61" s="364">
        <v>1682922</v>
      </c>
      <c r="AJ61" s="364">
        <v>0</v>
      </c>
      <c r="AK61" s="364">
        <v>0</v>
      </c>
      <c r="AL61" s="364">
        <v>0</v>
      </c>
      <c r="AM61" s="364">
        <v>0</v>
      </c>
      <c r="AN61" s="364">
        <v>0</v>
      </c>
      <c r="AO61" s="364">
        <v>0</v>
      </c>
      <c r="AP61" s="364">
        <v>0</v>
      </c>
      <c r="AQ61" s="364">
        <v>0</v>
      </c>
      <c r="AR61" s="364">
        <v>0</v>
      </c>
      <c r="AS61" s="364">
        <v>0</v>
      </c>
      <c r="AT61" s="364">
        <v>-257</v>
      </c>
      <c r="AU61" s="364">
        <v>0</v>
      </c>
      <c r="AV61" s="364">
        <v>0</v>
      </c>
      <c r="AW61" s="364">
        <v>0</v>
      </c>
      <c r="AX61" s="364">
        <v>0</v>
      </c>
      <c r="AY61" s="626">
        <f t="shared" si="4"/>
        <v>2659591327</v>
      </c>
      <c r="BA61" s="540"/>
      <c r="BJ61" s="367"/>
      <c r="CP61" s="368"/>
    </row>
    <row r="62" spans="1:94" x14ac:dyDescent="0.2">
      <c r="A62" s="363">
        <v>45536</v>
      </c>
      <c r="B62" s="364">
        <v>2800924025</v>
      </c>
      <c r="C62" s="364">
        <v>548687505</v>
      </c>
      <c r="D62" s="364">
        <v>0</v>
      </c>
      <c r="E62" s="364">
        <v>437096466</v>
      </c>
      <c r="F62" s="364">
        <v>381845116</v>
      </c>
      <c r="G62" s="364">
        <v>-1925806508</v>
      </c>
      <c r="H62" s="364">
        <v>682401012</v>
      </c>
      <c r="I62" s="364">
        <v>0</v>
      </c>
      <c r="J62" s="364">
        <v>130927870</v>
      </c>
      <c r="K62" s="364">
        <v>0</v>
      </c>
      <c r="L62" s="364">
        <v>2245668480</v>
      </c>
      <c r="M62" s="364">
        <v>0</v>
      </c>
      <c r="N62" s="364">
        <v>0</v>
      </c>
      <c r="O62" s="364">
        <v>0</v>
      </c>
      <c r="P62" s="364">
        <v>0</v>
      </c>
      <c r="Q62" s="364">
        <v>24558593</v>
      </c>
      <c r="R62" s="364">
        <v>0</v>
      </c>
      <c r="S62" s="364">
        <v>0</v>
      </c>
      <c r="T62" s="364">
        <v>0</v>
      </c>
      <c r="U62" s="364">
        <v>3489648</v>
      </c>
      <c r="V62" s="364">
        <v>0</v>
      </c>
      <c r="W62" s="364">
        <v>18721379</v>
      </c>
      <c r="X62" s="364">
        <v>0</v>
      </c>
      <c r="Y62" s="364">
        <v>0</v>
      </c>
      <c r="Z62" s="364">
        <v>0</v>
      </c>
      <c r="AA62" s="364">
        <v>2995378</v>
      </c>
      <c r="AB62" s="364">
        <v>0</v>
      </c>
      <c r="AC62" s="364">
        <v>3118094</v>
      </c>
      <c r="AD62" s="364">
        <v>0</v>
      </c>
      <c r="AE62" s="364">
        <v>4945324</v>
      </c>
      <c r="AF62" s="364">
        <v>839905</v>
      </c>
      <c r="AG62" s="364">
        <v>0</v>
      </c>
      <c r="AH62" s="364">
        <v>4137894</v>
      </c>
      <c r="AI62" s="364">
        <v>2709868</v>
      </c>
      <c r="AJ62" s="364">
        <v>515806</v>
      </c>
      <c r="AK62" s="364">
        <v>0</v>
      </c>
      <c r="AL62" s="364">
        <v>0</v>
      </c>
      <c r="AM62" s="364">
        <v>0</v>
      </c>
      <c r="AN62" s="364">
        <v>0</v>
      </c>
      <c r="AO62" s="364">
        <v>0</v>
      </c>
      <c r="AP62" s="364">
        <v>0</v>
      </c>
      <c r="AQ62" s="364">
        <v>0</v>
      </c>
      <c r="AR62" s="364">
        <v>0</v>
      </c>
      <c r="AS62" s="364">
        <v>0</v>
      </c>
      <c r="AT62" s="364">
        <v>801138</v>
      </c>
      <c r="AU62" s="364">
        <v>6923781</v>
      </c>
      <c r="AV62" s="364">
        <v>0</v>
      </c>
      <c r="AW62" s="364">
        <v>0</v>
      </c>
      <c r="AX62" s="364">
        <v>0</v>
      </c>
      <c r="AY62" s="626">
        <f t="shared" si="4"/>
        <v>5375500774</v>
      </c>
      <c r="BA62" s="540"/>
      <c r="BJ62" s="367"/>
      <c r="CP62" s="368"/>
    </row>
    <row r="63" spans="1:94" x14ac:dyDescent="0.2">
      <c r="A63" s="363">
        <v>45566</v>
      </c>
      <c r="B63" s="364">
        <v>11327585</v>
      </c>
      <c r="C63" s="364">
        <v>645711910</v>
      </c>
      <c r="D63" s="364">
        <v>163001425</v>
      </c>
      <c r="E63" s="364">
        <v>470458029</v>
      </c>
      <c r="F63" s="364">
        <v>121922824</v>
      </c>
      <c r="G63" s="364">
        <v>518307101</v>
      </c>
      <c r="H63" s="364">
        <v>308592287</v>
      </c>
      <c r="I63" s="364"/>
      <c r="J63" s="364">
        <v>64570471</v>
      </c>
      <c r="K63" s="364">
        <v>0</v>
      </c>
      <c r="L63" s="364">
        <v>2312621020</v>
      </c>
      <c r="M63" s="364">
        <v>0</v>
      </c>
      <c r="N63" s="364">
        <v>0</v>
      </c>
      <c r="O63" s="364">
        <v>0</v>
      </c>
      <c r="P63" s="364">
        <v>0</v>
      </c>
      <c r="Q63" s="364">
        <v>7975565</v>
      </c>
      <c r="R63" s="364"/>
      <c r="S63" s="364">
        <v>26747330</v>
      </c>
      <c r="T63" s="364">
        <v>3207289</v>
      </c>
      <c r="U63" s="364">
        <v>184656</v>
      </c>
      <c r="V63" s="364"/>
      <c r="W63" s="364">
        <v>47884600</v>
      </c>
      <c r="X63" s="364"/>
      <c r="Y63" s="364"/>
      <c r="Z63" s="364"/>
      <c r="AA63" s="364">
        <v>3431967</v>
      </c>
      <c r="AB63" s="364"/>
      <c r="AC63" s="364">
        <v>2158130</v>
      </c>
      <c r="AD63" s="364"/>
      <c r="AE63" s="364">
        <v>2289016</v>
      </c>
      <c r="AF63" s="364">
        <v>2494722</v>
      </c>
      <c r="AG63" s="364"/>
      <c r="AH63" s="364">
        <v>3716382</v>
      </c>
      <c r="AI63" s="364">
        <v>2085539</v>
      </c>
      <c r="AJ63" s="364">
        <v>1779538</v>
      </c>
      <c r="AK63" s="364"/>
      <c r="AL63" s="364">
        <v>0</v>
      </c>
      <c r="AM63" s="364">
        <v>0</v>
      </c>
      <c r="AN63" s="364">
        <v>0</v>
      </c>
      <c r="AO63" s="364">
        <v>0</v>
      </c>
      <c r="AP63" s="364"/>
      <c r="AQ63" s="364">
        <v>0</v>
      </c>
      <c r="AR63" s="364">
        <v>0</v>
      </c>
      <c r="AS63" s="364"/>
      <c r="AT63" s="364">
        <v>5540785</v>
      </c>
      <c r="AU63" s="364">
        <v>773454</v>
      </c>
      <c r="AV63" s="364"/>
      <c r="AW63" s="364">
        <v>-1547330</v>
      </c>
      <c r="AX63" s="364">
        <v>0</v>
      </c>
      <c r="AY63" s="626">
        <f t="shared" si="4"/>
        <v>4725234295</v>
      </c>
      <c r="BA63" s="540"/>
      <c r="BJ63" s="367"/>
      <c r="CP63" s="368"/>
    </row>
    <row r="64" spans="1:94" x14ac:dyDescent="0.2">
      <c r="A64" s="363">
        <v>45597</v>
      </c>
      <c r="B64" s="364">
        <v>1291420867</v>
      </c>
      <c r="C64" s="364">
        <v>2070244977</v>
      </c>
      <c r="D64" s="364">
        <v>312247471</v>
      </c>
      <c r="E64" s="364">
        <v>390934218</v>
      </c>
      <c r="F64" s="364">
        <v>170322839</v>
      </c>
      <c r="G64" s="364">
        <v>-1028854582</v>
      </c>
      <c r="H64" s="364">
        <v>-1652395388</v>
      </c>
      <c r="I64" s="364"/>
      <c r="J64" s="364">
        <v>50393505</v>
      </c>
      <c r="K64" s="364">
        <v>19224669</v>
      </c>
      <c r="L64" s="364">
        <v>2556837931</v>
      </c>
      <c r="M64" s="364">
        <v>0</v>
      </c>
      <c r="N64" s="364">
        <v>0</v>
      </c>
      <c r="O64" s="364">
        <v>0</v>
      </c>
      <c r="P64" s="364">
        <v>0</v>
      </c>
      <c r="Q64" s="364">
        <v>27056685</v>
      </c>
      <c r="R64" s="364"/>
      <c r="S64" s="364">
        <v>26614661</v>
      </c>
      <c r="T64" s="364">
        <v>6797143</v>
      </c>
      <c r="U64" s="364">
        <v>1512675</v>
      </c>
      <c r="V64" s="364"/>
      <c r="W64" s="364">
        <v>6394699</v>
      </c>
      <c r="X64" s="364"/>
      <c r="Y64" s="364"/>
      <c r="Z64" s="364"/>
      <c r="AA64" s="364">
        <v>2944248</v>
      </c>
      <c r="AB64" s="364"/>
      <c r="AC64" s="364">
        <v>-38040</v>
      </c>
      <c r="AD64" s="364"/>
      <c r="AE64" s="364">
        <v>3455745</v>
      </c>
      <c r="AF64" s="364">
        <v>0</v>
      </c>
      <c r="AG64" s="364"/>
      <c r="AH64" s="364">
        <v>2362838</v>
      </c>
      <c r="AI64" s="364">
        <v>985005</v>
      </c>
      <c r="AJ64" s="364">
        <v>847347</v>
      </c>
      <c r="AK64" s="364">
        <v>490291</v>
      </c>
      <c r="AL64" s="364">
        <v>0</v>
      </c>
      <c r="AM64" s="364">
        <v>0</v>
      </c>
      <c r="AN64" s="364">
        <v>0</v>
      </c>
      <c r="AO64" s="364">
        <v>0</v>
      </c>
      <c r="AP64" s="364"/>
      <c r="AQ64" s="364">
        <v>0</v>
      </c>
      <c r="AR64" s="364">
        <v>0</v>
      </c>
      <c r="AS64" s="364"/>
      <c r="AT64" s="364">
        <v>30233714</v>
      </c>
      <c r="AU64" s="364">
        <v>-6450000</v>
      </c>
      <c r="AV64" s="364"/>
      <c r="AW64" s="364"/>
      <c r="AX64" s="364">
        <v>0</v>
      </c>
      <c r="AY64" s="626">
        <f t="shared" si="4"/>
        <v>4283583518</v>
      </c>
      <c r="BA64" s="540"/>
      <c r="BJ64" s="367"/>
      <c r="CP64" s="368"/>
    </row>
    <row r="65" spans="1:94" x14ac:dyDescent="0.2">
      <c r="A65" s="363">
        <v>45627</v>
      </c>
      <c r="B65" s="364">
        <v>906647412</v>
      </c>
      <c r="C65" s="364">
        <v>144313037</v>
      </c>
      <c r="D65" s="364">
        <v>411873924</v>
      </c>
      <c r="E65" s="364">
        <v>428261763</v>
      </c>
      <c r="F65" s="364">
        <v>526261923</v>
      </c>
      <c r="G65" s="364">
        <v>-622801027</v>
      </c>
      <c r="H65" s="364">
        <v>195115532</v>
      </c>
      <c r="I65" s="364"/>
      <c r="J65" s="364">
        <v>319073240</v>
      </c>
      <c r="K65" s="364">
        <v>-19224669</v>
      </c>
      <c r="L65" s="364">
        <v>1313490720</v>
      </c>
      <c r="M65" s="364">
        <v>0</v>
      </c>
      <c r="N65" s="364">
        <v>0</v>
      </c>
      <c r="O65" s="364">
        <v>0</v>
      </c>
      <c r="P65" s="364">
        <v>0</v>
      </c>
      <c r="Q65" s="364">
        <v>0</v>
      </c>
      <c r="R65" s="364"/>
      <c r="S65" s="364">
        <v>68192775</v>
      </c>
      <c r="T65" s="364">
        <v>1483143</v>
      </c>
      <c r="U65" s="364">
        <v>0</v>
      </c>
      <c r="V65" s="364">
        <v>48173451</v>
      </c>
      <c r="W65" s="364">
        <v>21626132</v>
      </c>
      <c r="X65" s="364"/>
      <c r="Y65" s="364"/>
      <c r="Z65" s="364"/>
      <c r="AA65" s="364">
        <v>2962784</v>
      </c>
      <c r="AB65" s="364"/>
      <c r="AC65" s="364">
        <v>5683699</v>
      </c>
      <c r="AD65" s="364"/>
      <c r="AE65" s="364">
        <v>2160553</v>
      </c>
      <c r="AF65" s="364">
        <v>1440835</v>
      </c>
      <c r="AG65" s="364"/>
      <c r="AH65" s="364">
        <v>6116886</v>
      </c>
      <c r="AI65" s="364">
        <v>4108638</v>
      </c>
      <c r="AJ65" s="364">
        <v>843731</v>
      </c>
      <c r="AK65" s="364"/>
      <c r="AL65" s="364">
        <v>0</v>
      </c>
      <c r="AM65" s="364">
        <v>0</v>
      </c>
      <c r="AN65" s="364">
        <v>0</v>
      </c>
      <c r="AO65" s="364">
        <v>0</v>
      </c>
      <c r="AP65" s="364"/>
      <c r="AQ65" s="364">
        <v>0</v>
      </c>
      <c r="AR65" s="364">
        <v>0</v>
      </c>
      <c r="AS65" s="364"/>
      <c r="AT65" s="364">
        <v>-440385</v>
      </c>
      <c r="AU65" s="364">
        <v>1110628</v>
      </c>
      <c r="AV65" s="364"/>
      <c r="AW65" s="364"/>
      <c r="AX65" s="364">
        <v>0</v>
      </c>
      <c r="AY65" s="626">
        <f t="shared" si="4"/>
        <v>3766474725</v>
      </c>
      <c r="BA65" s="540"/>
      <c r="BJ65" s="367"/>
      <c r="CP65" s="368"/>
    </row>
    <row r="66" spans="1:94" x14ac:dyDescent="0.2">
      <c r="A66" s="363">
        <v>45658</v>
      </c>
      <c r="B66" s="364">
        <v>-5828883</v>
      </c>
      <c r="C66" s="364">
        <v>456942962</v>
      </c>
      <c r="D66" s="364">
        <v>311361494</v>
      </c>
      <c r="E66" s="364">
        <v>318409888</v>
      </c>
      <c r="F66" s="364">
        <v>310380884</v>
      </c>
      <c r="G66" s="364">
        <v>250651523</v>
      </c>
      <c r="H66" s="364">
        <v>-265459229</v>
      </c>
      <c r="I66" s="364"/>
      <c r="J66" s="364">
        <v>550846079</v>
      </c>
      <c r="K66" s="364">
        <v>45911000</v>
      </c>
      <c r="L66" s="364">
        <v>4119962950</v>
      </c>
      <c r="M66" s="364">
        <v>1371922751</v>
      </c>
      <c r="N66" s="364">
        <v>0</v>
      </c>
      <c r="O66" s="364">
        <v>0</v>
      </c>
      <c r="P66" s="364">
        <v>0</v>
      </c>
      <c r="Q66" s="364">
        <v>0</v>
      </c>
      <c r="R66" s="364"/>
      <c r="S66" s="364">
        <v>69482555</v>
      </c>
      <c r="T66" s="364">
        <v>17471531</v>
      </c>
      <c r="U66" s="364"/>
      <c r="V66" s="364">
        <v>159417457</v>
      </c>
      <c r="W66" s="364">
        <v>0</v>
      </c>
      <c r="X66" s="364">
        <v>54391217</v>
      </c>
      <c r="Y66" s="364"/>
      <c r="Z66" s="364"/>
      <c r="AA66" s="364">
        <v>5716377</v>
      </c>
      <c r="AB66" s="364"/>
      <c r="AC66" s="364">
        <v>-1279362</v>
      </c>
      <c r="AD66" s="364"/>
      <c r="AE66" s="364">
        <v>9050340</v>
      </c>
      <c r="AF66" s="364">
        <v>4863993</v>
      </c>
      <c r="AG66" s="364">
        <v>127599</v>
      </c>
      <c r="AH66" s="364">
        <v>67157</v>
      </c>
      <c r="AI66" s="364">
        <v>1430878</v>
      </c>
      <c r="AJ66" s="364">
        <v>1096707</v>
      </c>
      <c r="AK66" s="364">
        <v>427442</v>
      </c>
      <c r="AL66" s="364">
        <v>0</v>
      </c>
      <c r="AM66" s="364">
        <v>0</v>
      </c>
      <c r="AN66" s="364">
        <v>0</v>
      </c>
      <c r="AO66" s="364">
        <v>64543</v>
      </c>
      <c r="AP66" s="364"/>
      <c r="AQ66" s="364">
        <v>0</v>
      </c>
      <c r="AR66" s="364">
        <v>0</v>
      </c>
      <c r="AS66" s="364"/>
      <c r="AT66" s="364">
        <v>-94282308</v>
      </c>
      <c r="AU66" s="364">
        <v>0</v>
      </c>
      <c r="AV66" s="364"/>
      <c r="AW66" s="364">
        <v>1431721</v>
      </c>
      <c r="AX66" s="364">
        <v>0</v>
      </c>
      <c r="AY66" s="626">
        <f t="shared" si="4"/>
        <v>7694579266</v>
      </c>
      <c r="BA66" s="540"/>
      <c r="BJ66" s="367"/>
      <c r="CP66" s="368"/>
    </row>
    <row r="67" spans="1:94" x14ac:dyDescent="0.2">
      <c r="A67" s="363">
        <v>45689</v>
      </c>
      <c r="B67" s="364">
        <v>247960979</v>
      </c>
      <c r="C67" s="364">
        <v>1066544829</v>
      </c>
      <c r="D67" s="364">
        <v>401549901</v>
      </c>
      <c r="E67" s="364">
        <v>508593091</v>
      </c>
      <c r="F67" s="364">
        <v>394343088</v>
      </c>
      <c r="G67" s="364">
        <v>-153811674</v>
      </c>
      <c r="H67" s="364">
        <v>-994565257</v>
      </c>
      <c r="I67" s="364">
        <v>12650000</v>
      </c>
      <c r="J67" s="364">
        <v>471084300</v>
      </c>
      <c r="K67" s="364">
        <v>179548905</v>
      </c>
      <c r="L67" s="364">
        <v>1740903188</v>
      </c>
      <c r="M67" s="364">
        <v>4442000900</v>
      </c>
      <c r="N67" s="364">
        <v>0</v>
      </c>
      <c r="O67" s="364">
        <v>0</v>
      </c>
      <c r="P67" s="364">
        <v>0</v>
      </c>
      <c r="Q67" s="364">
        <v>-12945478</v>
      </c>
      <c r="R67" s="364"/>
      <c r="S67" s="364">
        <v>91365083</v>
      </c>
      <c r="T67" s="364">
        <v>11403989</v>
      </c>
      <c r="U67" s="364">
        <v>7004052</v>
      </c>
      <c r="V67" s="364">
        <v>0</v>
      </c>
      <c r="W67" s="364">
        <v>1931850</v>
      </c>
      <c r="X67" s="364">
        <v>47885582</v>
      </c>
      <c r="Y67" s="364"/>
      <c r="Z67" s="364"/>
      <c r="AA67" s="364">
        <v>1153088</v>
      </c>
      <c r="AB67" s="364"/>
      <c r="AC67" s="364">
        <v>145488</v>
      </c>
      <c r="AD67" s="364"/>
      <c r="AE67" s="364">
        <v>18555129</v>
      </c>
      <c r="AF67" s="364">
        <v>134000</v>
      </c>
      <c r="AG67" s="364"/>
      <c r="AH67" s="364">
        <v>2595353</v>
      </c>
      <c r="AI67" s="364">
        <v>1656006</v>
      </c>
      <c r="AJ67" s="364">
        <v>487375</v>
      </c>
      <c r="AK67" s="364">
        <v>2969785</v>
      </c>
      <c r="AL67" s="364">
        <v>0</v>
      </c>
      <c r="AM67" s="364">
        <v>0</v>
      </c>
      <c r="AN67" s="364">
        <v>0</v>
      </c>
      <c r="AO67" s="364">
        <v>285054</v>
      </c>
      <c r="AP67" s="364">
        <v>90327</v>
      </c>
      <c r="AQ67" s="364">
        <v>0</v>
      </c>
      <c r="AR67" s="364">
        <v>0</v>
      </c>
      <c r="AS67" s="364"/>
      <c r="AT67" s="364">
        <v>-28005274</v>
      </c>
      <c r="AU67" s="364">
        <v>35022954</v>
      </c>
      <c r="AV67" s="364"/>
      <c r="AW67" s="364">
        <v>0</v>
      </c>
      <c r="AX67" s="364">
        <v>0</v>
      </c>
      <c r="AY67" s="626">
        <f t="shared" si="4"/>
        <v>8498536613</v>
      </c>
      <c r="BA67" s="540"/>
      <c r="BJ67" s="367"/>
      <c r="CP67" s="368"/>
    </row>
    <row r="68" spans="1:94" x14ac:dyDescent="0.2">
      <c r="A68" s="363">
        <v>45717</v>
      </c>
      <c r="B68" s="364">
        <v>247334021</v>
      </c>
      <c r="C68" s="364">
        <v>231739763</v>
      </c>
      <c r="D68" s="364">
        <v>422717583</v>
      </c>
      <c r="E68" s="364">
        <v>508665447</v>
      </c>
      <c r="F68" s="364">
        <v>331699964</v>
      </c>
      <c r="G68" s="364">
        <v>407285247</v>
      </c>
      <c r="H68" s="364">
        <v>118486074</v>
      </c>
      <c r="I68" s="364">
        <v>6800000</v>
      </c>
      <c r="J68" s="364">
        <v>995982986</v>
      </c>
      <c r="K68" s="364">
        <v>8000003</v>
      </c>
      <c r="L68" s="364">
        <v>193270000</v>
      </c>
      <c r="M68" s="364">
        <v>0</v>
      </c>
      <c r="N68" s="364">
        <v>0</v>
      </c>
      <c r="O68" s="364">
        <v>0</v>
      </c>
      <c r="P68" s="364">
        <v>0</v>
      </c>
      <c r="Q68" s="364">
        <v>0</v>
      </c>
      <c r="R68" s="364"/>
      <c r="S68" s="364">
        <v>989746</v>
      </c>
      <c r="T68" s="364">
        <v>37868299</v>
      </c>
      <c r="U68" s="364">
        <v>2063367</v>
      </c>
      <c r="V68" s="364"/>
      <c r="W68" s="364">
        <v>11584872</v>
      </c>
      <c r="X68" s="364"/>
      <c r="Y68" s="364"/>
      <c r="Z68" s="364"/>
      <c r="AA68" s="364">
        <v>-311895</v>
      </c>
      <c r="AB68" s="364"/>
      <c r="AC68" s="364">
        <v>113638</v>
      </c>
      <c r="AD68" s="364"/>
      <c r="AE68" s="364">
        <v>14848000</v>
      </c>
      <c r="AF68" s="364">
        <v>7348347</v>
      </c>
      <c r="AG68" s="364"/>
      <c r="AH68" s="364">
        <v>507636</v>
      </c>
      <c r="AI68" s="364">
        <v>-5006999</v>
      </c>
      <c r="AJ68" s="364">
        <v>394270</v>
      </c>
      <c r="AK68" s="364">
        <v>45887</v>
      </c>
      <c r="AL68" s="364">
        <v>0</v>
      </c>
      <c r="AM68" s="364">
        <v>0</v>
      </c>
      <c r="AN68" s="364">
        <v>0</v>
      </c>
      <c r="AO68" s="364">
        <v>1353475</v>
      </c>
      <c r="AP68" s="364">
        <v>45474</v>
      </c>
      <c r="AQ68" s="364">
        <v>0</v>
      </c>
      <c r="AR68" s="364">
        <v>0</v>
      </c>
      <c r="AS68" s="364"/>
      <c r="AT68" s="364">
        <v>-105659</v>
      </c>
      <c r="AU68" s="364">
        <v>-375339</v>
      </c>
      <c r="AV68" s="364"/>
      <c r="AW68" s="364">
        <v>13631648</v>
      </c>
      <c r="AX68" s="364">
        <v>0</v>
      </c>
      <c r="AY68" s="626">
        <f t="shared" si="4"/>
        <v>3556975855</v>
      </c>
      <c r="BA68" s="540"/>
      <c r="BJ68" s="367"/>
      <c r="CP68" s="368"/>
    </row>
    <row r="69" spans="1:94" x14ac:dyDescent="0.2">
      <c r="A69" s="363">
        <v>45748</v>
      </c>
      <c r="B69" s="364">
        <v>1248886238</v>
      </c>
      <c r="C69" s="364">
        <v>925794325</v>
      </c>
      <c r="D69" s="364">
        <v>348240665</v>
      </c>
      <c r="E69" s="364">
        <v>335612102</v>
      </c>
      <c r="F69" s="364">
        <v>374130591</v>
      </c>
      <c r="G69" s="364">
        <v>-174668021</v>
      </c>
      <c r="H69" s="364">
        <v>-572354593</v>
      </c>
      <c r="I69" s="364"/>
      <c r="J69" s="364">
        <v>437674170</v>
      </c>
      <c r="K69" s="364">
        <v>33900000</v>
      </c>
      <c r="L69" s="364">
        <v>0</v>
      </c>
      <c r="M69" s="364">
        <v>0</v>
      </c>
      <c r="N69" s="364">
        <v>0</v>
      </c>
      <c r="O69" s="364">
        <v>0</v>
      </c>
      <c r="P69" s="364">
        <v>0</v>
      </c>
      <c r="Q69" s="364">
        <v>23890078</v>
      </c>
      <c r="R69" s="364"/>
      <c r="S69" s="364">
        <v>6881749</v>
      </c>
      <c r="T69" s="364">
        <v>6550647</v>
      </c>
      <c r="U69" s="364">
        <v>0</v>
      </c>
      <c r="V69" s="364"/>
      <c r="W69" s="364">
        <v>0</v>
      </c>
      <c r="X69" s="364"/>
      <c r="Y69" s="364"/>
      <c r="Z69" s="364"/>
      <c r="AA69" s="364">
        <v>9068535</v>
      </c>
      <c r="AB69" s="364"/>
      <c r="AC69" s="364">
        <v>113638</v>
      </c>
      <c r="AD69" s="364"/>
      <c r="AE69" s="364">
        <v>16309770</v>
      </c>
      <c r="AF69" s="364">
        <v>12971166</v>
      </c>
      <c r="AG69" s="364">
        <v>958255</v>
      </c>
      <c r="AH69" s="364">
        <v>-951472</v>
      </c>
      <c r="AI69" s="364">
        <v>2311290</v>
      </c>
      <c r="AJ69" s="364">
        <v>0</v>
      </c>
      <c r="AK69" s="364">
        <v>1125800</v>
      </c>
      <c r="AL69" s="364">
        <v>0</v>
      </c>
      <c r="AM69" s="364">
        <v>0</v>
      </c>
      <c r="AN69" s="364">
        <v>0</v>
      </c>
      <c r="AO69" s="364">
        <v>435738</v>
      </c>
      <c r="AP69" s="364">
        <v>394557</v>
      </c>
      <c r="AQ69" s="364">
        <v>0</v>
      </c>
      <c r="AR69" s="364"/>
      <c r="AS69" s="364"/>
      <c r="AT69" s="364">
        <v>-1850029</v>
      </c>
      <c r="AU69" s="364">
        <v>-34586790</v>
      </c>
      <c r="AV69" s="364"/>
      <c r="AW69" s="364"/>
      <c r="AX69" s="364"/>
      <c r="AY69" s="626">
        <f t="shared" si="4"/>
        <v>3000838409</v>
      </c>
      <c r="BA69" s="540"/>
      <c r="BJ69" s="367"/>
      <c r="CP69" s="368"/>
    </row>
    <row r="70" spans="1:94" x14ac:dyDescent="0.2">
      <c r="A70" s="363">
        <v>45778</v>
      </c>
      <c r="B70" s="364">
        <v>951240863</v>
      </c>
      <c r="C70" s="364">
        <v>213304728</v>
      </c>
      <c r="D70" s="364">
        <v>441054557</v>
      </c>
      <c r="E70" s="364">
        <v>4759642</v>
      </c>
      <c r="F70" s="364">
        <v>371602137</v>
      </c>
      <c r="G70" s="364">
        <v>-589489698</v>
      </c>
      <c r="H70" s="364">
        <v>7033642</v>
      </c>
      <c r="I70" s="364">
        <v>13500000</v>
      </c>
      <c r="J70" s="364">
        <v>1065584568</v>
      </c>
      <c r="K70" s="364">
        <v>30950000</v>
      </c>
      <c r="L70" s="364">
        <v>0</v>
      </c>
      <c r="M70" s="364">
        <v>0</v>
      </c>
      <c r="N70" s="364">
        <v>0</v>
      </c>
      <c r="O70" s="364">
        <v>0</v>
      </c>
      <c r="P70" s="364">
        <v>0</v>
      </c>
      <c r="Q70" s="364">
        <v>0</v>
      </c>
      <c r="R70" s="364"/>
      <c r="S70" s="364">
        <v>11302195</v>
      </c>
      <c r="T70" s="364">
        <v>28268200</v>
      </c>
      <c r="U70" s="364">
        <v>-1931850</v>
      </c>
      <c r="V70" s="364"/>
      <c r="W70" s="364">
        <v>-579555</v>
      </c>
      <c r="X70" s="364"/>
      <c r="Y70" s="364"/>
      <c r="Z70" s="364"/>
      <c r="AA70" s="364">
        <v>3099812</v>
      </c>
      <c r="AB70" s="364"/>
      <c r="AC70" s="364">
        <v>1479368</v>
      </c>
      <c r="AD70" s="364"/>
      <c r="AE70" s="364">
        <v>4237484</v>
      </c>
      <c r="AF70" s="364">
        <v>22303590</v>
      </c>
      <c r="AG70" s="364">
        <v>950740</v>
      </c>
      <c r="AH70" s="364">
        <v>3367249</v>
      </c>
      <c r="AI70" s="364">
        <v>5370884</v>
      </c>
      <c r="AJ70" s="364">
        <v>616577</v>
      </c>
      <c r="AK70" s="364">
        <v>491206</v>
      </c>
      <c r="AL70" s="364">
        <v>0</v>
      </c>
      <c r="AM70" s="364">
        <v>0</v>
      </c>
      <c r="AN70" s="364">
        <v>0</v>
      </c>
      <c r="AO70" s="364">
        <v>3113244</v>
      </c>
      <c r="AP70" s="364"/>
      <c r="AQ70" s="364">
        <v>0</v>
      </c>
      <c r="AR70" s="625"/>
      <c r="AS70" s="625"/>
      <c r="AT70" s="625">
        <v>405053</v>
      </c>
      <c r="AU70" s="625">
        <v>-473373</v>
      </c>
      <c r="AV70" s="625"/>
      <c r="AW70" s="625">
        <v>2143534</v>
      </c>
      <c r="AX70" s="625"/>
      <c r="AY70" s="626">
        <f t="shared" si="4"/>
        <v>2593704797</v>
      </c>
      <c r="BA70" s="540"/>
      <c r="BJ70" s="367"/>
      <c r="CP70" s="368"/>
    </row>
    <row r="71" spans="1:94" x14ac:dyDescent="0.2">
      <c r="A71" s="363">
        <v>45809</v>
      </c>
      <c r="B71" s="364">
        <v>391298304</v>
      </c>
      <c r="C71" s="364">
        <v>18590990</v>
      </c>
      <c r="D71" s="364">
        <v>419346620</v>
      </c>
      <c r="E71" s="364">
        <v>187805024</v>
      </c>
      <c r="F71" s="364">
        <v>317664785</v>
      </c>
      <c r="G71" s="364">
        <v>-288322360</v>
      </c>
      <c r="H71" s="364">
        <v>279866890</v>
      </c>
      <c r="I71" s="364">
        <v>13000000</v>
      </c>
      <c r="J71" s="364">
        <v>691321883</v>
      </c>
      <c r="K71" s="364">
        <v>20353667</v>
      </c>
      <c r="L71" s="364">
        <v>2562008802</v>
      </c>
      <c r="M71" s="364">
        <v>3238605843</v>
      </c>
      <c r="N71" s="364">
        <v>0</v>
      </c>
      <c r="O71" s="364">
        <v>0</v>
      </c>
      <c r="P71" s="364">
        <v>0</v>
      </c>
      <c r="Q71" s="364"/>
      <c r="R71" s="364">
        <v>0</v>
      </c>
      <c r="S71" s="364">
        <v>6245411</v>
      </c>
      <c r="T71" s="364">
        <v>24891838</v>
      </c>
      <c r="U71" s="364">
        <v>0</v>
      </c>
      <c r="V71" s="364">
        <v>0</v>
      </c>
      <c r="W71" s="364">
        <v>0</v>
      </c>
      <c r="X71" s="364">
        <v>47884597</v>
      </c>
      <c r="Y71" s="364">
        <v>0</v>
      </c>
      <c r="Z71" s="364">
        <v>0</v>
      </c>
      <c r="AA71" s="364">
        <v>3503895</v>
      </c>
      <c r="AB71" s="364">
        <v>0</v>
      </c>
      <c r="AC71" s="364">
        <v>2001846</v>
      </c>
      <c r="AD71" s="364">
        <v>0</v>
      </c>
      <c r="AE71" s="364">
        <v>7191646</v>
      </c>
      <c r="AF71" s="364">
        <v>9880444</v>
      </c>
      <c r="AG71" s="364">
        <v>462261</v>
      </c>
      <c r="AH71" s="364">
        <v>411577</v>
      </c>
      <c r="AI71" s="364">
        <v>2785815</v>
      </c>
      <c r="AJ71" s="364">
        <v>0</v>
      </c>
      <c r="AK71" s="364">
        <v>0</v>
      </c>
      <c r="AL71" s="364">
        <v>0</v>
      </c>
      <c r="AM71" s="364">
        <v>0</v>
      </c>
      <c r="AN71" s="364">
        <v>0</v>
      </c>
      <c r="AO71" s="364">
        <v>10088318</v>
      </c>
      <c r="AP71" s="364">
        <v>18332282</v>
      </c>
      <c r="AQ71" s="364">
        <v>0</v>
      </c>
      <c r="AR71" s="364">
        <v>0</v>
      </c>
      <c r="AS71" s="364">
        <v>0</v>
      </c>
      <c r="AT71" s="364">
        <v>0</v>
      </c>
      <c r="AU71" s="364">
        <v>1299234</v>
      </c>
      <c r="AV71" s="364">
        <v>0</v>
      </c>
      <c r="AW71" s="364">
        <v>7806821</v>
      </c>
      <c r="AX71" s="364">
        <v>0</v>
      </c>
      <c r="AY71" s="626">
        <f t="shared" si="4"/>
        <v>7994326433</v>
      </c>
      <c r="BA71" s="540"/>
      <c r="BJ71" s="367"/>
      <c r="CP71" s="368"/>
    </row>
    <row r="72" spans="1:94" x14ac:dyDescent="0.2">
      <c r="A72" s="363">
        <v>45839</v>
      </c>
      <c r="B72" s="364">
        <v>108568069</v>
      </c>
      <c r="C72" s="364">
        <v>165691054</v>
      </c>
      <c r="D72" s="364">
        <v>571616420</v>
      </c>
      <c r="E72" s="364">
        <v>4450369428</v>
      </c>
      <c r="F72" s="364">
        <v>418431720</v>
      </c>
      <c r="G72" s="364">
        <v>0</v>
      </c>
      <c r="H72" s="364">
        <v>120000000</v>
      </c>
      <c r="I72" s="364">
        <v>11187000</v>
      </c>
      <c r="J72" s="364">
        <v>-2501779082</v>
      </c>
      <c r="K72" s="364">
        <v>129838146</v>
      </c>
      <c r="L72" s="364">
        <v>278000000</v>
      </c>
      <c r="M72" s="364">
        <v>1860580893</v>
      </c>
      <c r="N72" s="364">
        <v>0</v>
      </c>
      <c r="O72" s="364">
        <v>0</v>
      </c>
      <c r="P72" s="364">
        <v>0</v>
      </c>
      <c r="Q72" s="364">
        <v>3918587</v>
      </c>
      <c r="R72" s="364">
        <v>0</v>
      </c>
      <c r="S72" s="364">
        <v>14616518</v>
      </c>
      <c r="T72" s="364">
        <v>27647197</v>
      </c>
      <c r="U72" s="364">
        <v>1250000</v>
      </c>
      <c r="V72" s="364">
        <v>0</v>
      </c>
      <c r="W72" s="364">
        <v>0</v>
      </c>
      <c r="X72" s="364">
        <v>0</v>
      </c>
      <c r="Y72" s="364">
        <v>0</v>
      </c>
      <c r="Z72" s="364">
        <v>0</v>
      </c>
      <c r="AA72" s="364">
        <v>1931850</v>
      </c>
      <c r="AB72" s="364">
        <v>0</v>
      </c>
      <c r="AC72" s="364">
        <v>3610848</v>
      </c>
      <c r="AD72" s="364">
        <v>0</v>
      </c>
      <c r="AE72" s="364">
        <v>1452075</v>
      </c>
      <c r="AF72" s="364">
        <v>5337311</v>
      </c>
      <c r="AG72" s="364">
        <v>2029522</v>
      </c>
      <c r="AH72" s="364">
        <v>482278</v>
      </c>
      <c r="AI72" s="364">
        <v>5502549</v>
      </c>
      <c r="AJ72" s="364">
        <v>464374</v>
      </c>
      <c r="AK72" s="364">
        <v>1062641</v>
      </c>
      <c r="AL72" s="364">
        <v>0</v>
      </c>
      <c r="AM72" s="364">
        <v>0</v>
      </c>
      <c r="AN72" s="364">
        <v>0</v>
      </c>
      <c r="AO72" s="364">
        <v>2163341</v>
      </c>
      <c r="AP72" s="364">
        <v>88607</v>
      </c>
      <c r="AQ72" s="364">
        <v>0</v>
      </c>
      <c r="AR72" s="364">
        <v>770985</v>
      </c>
      <c r="AS72" s="364">
        <v>0</v>
      </c>
      <c r="AT72" s="364">
        <v>0</v>
      </c>
      <c r="AU72" s="364">
        <v>0</v>
      </c>
      <c r="AV72" s="364">
        <v>0</v>
      </c>
      <c r="AW72" s="364">
        <v>49854008</v>
      </c>
      <c r="AX72" s="364">
        <v>0</v>
      </c>
      <c r="AY72" s="626">
        <f t="shared" si="4"/>
        <v>5734686339</v>
      </c>
      <c r="BA72" s="540"/>
      <c r="BJ72" s="367"/>
      <c r="CP72" s="368"/>
    </row>
    <row r="73" spans="1:94" x14ac:dyDescent="0.2">
      <c r="A73" s="363">
        <v>45870</v>
      </c>
      <c r="B73" s="364">
        <v>23813359</v>
      </c>
      <c r="C73" s="364">
        <v>429644600</v>
      </c>
      <c r="D73" s="364">
        <v>488153741</v>
      </c>
      <c r="E73" s="364">
        <v>1580872868</v>
      </c>
      <c r="F73" s="364">
        <v>296553679</v>
      </c>
      <c r="G73" s="364">
        <v>0</v>
      </c>
      <c r="H73" s="364">
        <v>160672856</v>
      </c>
      <c r="I73" s="364">
        <v>3600000</v>
      </c>
      <c r="J73" s="364">
        <v>-325004500</v>
      </c>
      <c r="K73" s="364">
        <v>118666729</v>
      </c>
      <c r="L73" s="364">
        <v>1817223433</v>
      </c>
      <c r="M73" s="364">
        <v>732002561</v>
      </c>
      <c r="N73" s="364">
        <v>0</v>
      </c>
      <c r="O73" s="364">
        <v>0</v>
      </c>
      <c r="P73" s="364">
        <v>0</v>
      </c>
      <c r="Q73" s="364">
        <v>80698355</v>
      </c>
      <c r="R73" s="364">
        <v>0</v>
      </c>
      <c r="S73" s="364">
        <v>15769160</v>
      </c>
      <c r="T73" s="364">
        <v>33018725</v>
      </c>
      <c r="U73" s="364">
        <v>1250000</v>
      </c>
      <c r="V73" s="364">
        <v>0</v>
      </c>
      <c r="W73" s="364">
        <v>0</v>
      </c>
      <c r="X73" s="364">
        <v>0</v>
      </c>
      <c r="Y73" s="364">
        <v>0</v>
      </c>
      <c r="Z73" s="364">
        <v>0</v>
      </c>
      <c r="AA73" s="364">
        <v>-419179</v>
      </c>
      <c r="AB73" s="364">
        <v>0</v>
      </c>
      <c r="AC73" s="364">
        <v>2842832</v>
      </c>
      <c r="AD73" s="364">
        <v>0</v>
      </c>
      <c r="AE73" s="364">
        <v>795553</v>
      </c>
      <c r="AF73" s="364">
        <v>6566477</v>
      </c>
      <c r="AG73" s="364">
        <v>1183428</v>
      </c>
      <c r="AH73" s="364">
        <v>3072049</v>
      </c>
      <c r="AI73" s="364">
        <v>420799</v>
      </c>
      <c r="AJ73" s="364">
        <v>0</v>
      </c>
      <c r="AK73" s="364">
        <v>1048491</v>
      </c>
      <c r="AL73" s="364">
        <v>0</v>
      </c>
      <c r="AM73" s="364">
        <v>0</v>
      </c>
      <c r="AN73" s="364">
        <v>0</v>
      </c>
      <c r="AO73" s="364">
        <v>2527845</v>
      </c>
      <c r="AP73" s="364">
        <v>4228852</v>
      </c>
      <c r="AQ73" s="364">
        <v>0</v>
      </c>
      <c r="AR73" s="364">
        <v>565982</v>
      </c>
      <c r="AS73" s="364">
        <v>0</v>
      </c>
      <c r="AT73" s="364">
        <v>38552115</v>
      </c>
      <c r="AU73" s="364">
        <v>0</v>
      </c>
      <c r="AV73" s="364">
        <v>0</v>
      </c>
      <c r="AW73" s="364">
        <v>-11290683</v>
      </c>
      <c r="AX73" s="364">
        <v>0</v>
      </c>
      <c r="AY73" s="626">
        <f t="shared" si="4"/>
        <v>5507030127</v>
      </c>
      <c r="BA73" s="540"/>
      <c r="BJ73" s="367"/>
      <c r="CP73" s="368"/>
    </row>
    <row r="74" spans="1:94" hidden="1" x14ac:dyDescent="0.2">
      <c r="A74" s="363">
        <v>45901</v>
      </c>
      <c r="B74" s="364">
        <v>0</v>
      </c>
      <c r="C74" s="364">
        <v>0</v>
      </c>
      <c r="D74" s="364">
        <v>0</v>
      </c>
      <c r="E74" s="364">
        <v>0</v>
      </c>
      <c r="F74" s="364">
        <v>0</v>
      </c>
      <c r="G74" s="364">
        <v>0</v>
      </c>
      <c r="H74" s="364">
        <v>0</v>
      </c>
      <c r="I74" s="364">
        <v>0</v>
      </c>
      <c r="J74" s="364">
        <v>0</v>
      </c>
      <c r="K74" s="364">
        <v>0</v>
      </c>
      <c r="L74" s="364">
        <v>0</v>
      </c>
      <c r="M74" s="364">
        <v>0</v>
      </c>
      <c r="N74" s="364">
        <v>0</v>
      </c>
      <c r="O74" s="364">
        <v>0</v>
      </c>
      <c r="P74" s="364">
        <v>0</v>
      </c>
      <c r="Q74" s="364">
        <v>0</v>
      </c>
      <c r="R74" s="364">
        <v>0</v>
      </c>
      <c r="S74" s="364">
        <v>0</v>
      </c>
      <c r="T74" s="364">
        <v>0</v>
      </c>
      <c r="U74" s="364">
        <v>0</v>
      </c>
      <c r="V74" s="364">
        <v>0</v>
      </c>
      <c r="W74" s="364">
        <v>0</v>
      </c>
      <c r="X74" s="364">
        <v>0</v>
      </c>
      <c r="Y74" s="364">
        <v>0</v>
      </c>
      <c r="Z74" s="364">
        <v>0</v>
      </c>
      <c r="AA74" s="364">
        <v>0</v>
      </c>
      <c r="AB74" s="364">
        <v>0</v>
      </c>
      <c r="AC74" s="364">
        <v>0</v>
      </c>
      <c r="AD74" s="364">
        <v>0</v>
      </c>
      <c r="AE74" s="364">
        <v>0</v>
      </c>
      <c r="AF74" s="364">
        <v>0</v>
      </c>
      <c r="AG74" s="364">
        <v>0</v>
      </c>
      <c r="AH74" s="364">
        <v>0</v>
      </c>
      <c r="AI74" s="364">
        <v>0</v>
      </c>
      <c r="AJ74" s="364">
        <v>0</v>
      </c>
      <c r="AK74" s="364">
        <v>0</v>
      </c>
      <c r="AL74" s="364">
        <v>0</v>
      </c>
      <c r="AM74" s="364">
        <v>0</v>
      </c>
      <c r="AN74" s="364">
        <v>0</v>
      </c>
      <c r="AO74" s="364">
        <v>0</v>
      </c>
      <c r="AP74" s="364">
        <v>0</v>
      </c>
      <c r="AQ74" s="364">
        <v>0</v>
      </c>
      <c r="AR74" s="364">
        <v>0</v>
      </c>
      <c r="AS74" s="364">
        <v>0</v>
      </c>
      <c r="AT74" s="364">
        <v>0</v>
      </c>
      <c r="AU74" s="364">
        <v>0</v>
      </c>
      <c r="AV74" s="364">
        <v>0</v>
      </c>
      <c r="AW74" s="364">
        <v>0</v>
      </c>
      <c r="AX74" s="364">
        <v>0</v>
      </c>
      <c r="AY74" s="626">
        <f t="shared" si="4"/>
        <v>0</v>
      </c>
      <c r="BA74" s="540"/>
      <c r="BJ74" s="367"/>
      <c r="CP74" s="368"/>
    </row>
    <row r="75" spans="1:94" hidden="1" x14ac:dyDescent="0.2">
      <c r="A75" s="363">
        <v>45931</v>
      </c>
      <c r="B75" s="364">
        <v>0</v>
      </c>
      <c r="C75" s="364">
        <v>0</v>
      </c>
      <c r="D75" s="364">
        <v>0</v>
      </c>
      <c r="E75" s="364">
        <v>0</v>
      </c>
      <c r="F75" s="364">
        <v>0</v>
      </c>
      <c r="G75" s="364">
        <v>0</v>
      </c>
      <c r="H75" s="364">
        <v>0</v>
      </c>
      <c r="I75" s="364">
        <v>0</v>
      </c>
      <c r="J75" s="364">
        <v>0</v>
      </c>
      <c r="K75" s="364">
        <v>0</v>
      </c>
      <c r="L75" s="364">
        <v>0</v>
      </c>
      <c r="M75" s="364">
        <v>0</v>
      </c>
      <c r="N75" s="364">
        <v>0</v>
      </c>
      <c r="O75" s="364">
        <v>0</v>
      </c>
      <c r="P75" s="364">
        <v>0</v>
      </c>
      <c r="Q75" s="364">
        <v>0</v>
      </c>
      <c r="R75" s="364">
        <v>0</v>
      </c>
      <c r="S75" s="364">
        <v>0</v>
      </c>
      <c r="T75" s="364">
        <v>0</v>
      </c>
      <c r="U75" s="364">
        <v>0</v>
      </c>
      <c r="V75" s="364">
        <v>0</v>
      </c>
      <c r="W75" s="364">
        <v>0</v>
      </c>
      <c r="X75" s="364">
        <v>0</v>
      </c>
      <c r="Y75" s="364">
        <v>0</v>
      </c>
      <c r="Z75" s="364">
        <v>0</v>
      </c>
      <c r="AA75" s="364">
        <v>0</v>
      </c>
      <c r="AB75" s="364">
        <v>0</v>
      </c>
      <c r="AC75" s="364">
        <v>0</v>
      </c>
      <c r="AD75" s="364">
        <v>0</v>
      </c>
      <c r="AE75" s="364">
        <v>0</v>
      </c>
      <c r="AF75" s="364">
        <v>0</v>
      </c>
      <c r="AG75" s="364">
        <v>0</v>
      </c>
      <c r="AH75" s="364">
        <v>0</v>
      </c>
      <c r="AI75" s="364">
        <v>0</v>
      </c>
      <c r="AJ75" s="364">
        <v>0</v>
      </c>
      <c r="AK75" s="364">
        <v>0</v>
      </c>
      <c r="AL75" s="364">
        <v>0</v>
      </c>
      <c r="AM75" s="364">
        <v>0</v>
      </c>
      <c r="AN75" s="364">
        <v>0</v>
      </c>
      <c r="AO75" s="364">
        <v>0</v>
      </c>
      <c r="AP75" s="364">
        <v>0</v>
      </c>
      <c r="AQ75" s="364">
        <v>0</v>
      </c>
      <c r="AR75" s="364">
        <v>0</v>
      </c>
      <c r="AS75" s="364">
        <v>0</v>
      </c>
      <c r="AT75" s="364">
        <v>0</v>
      </c>
      <c r="AU75" s="364">
        <v>0</v>
      </c>
      <c r="AV75" s="364">
        <v>0</v>
      </c>
      <c r="AW75" s="364">
        <v>0</v>
      </c>
      <c r="AX75" s="364">
        <v>0</v>
      </c>
      <c r="AY75" s="626">
        <f t="shared" si="4"/>
        <v>0</v>
      </c>
      <c r="BA75" s="540"/>
      <c r="BJ75" s="367"/>
      <c r="CP75" s="368"/>
    </row>
    <row r="76" spans="1:94" x14ac:dyDescent="0.2">
      <c r="A76" s="363">
        <v>45901</v>
      </c>
      <c r="B76" s="625"/>
      <c r="C76" s="625"/>
      <c r="D76" s="625"/>
      <c r="E76" s="625"/>
      <c r="F76" s="625"/>
      <c r="G76" s="625"/>
      <c r="H76" s="625"/>
      <c r="I76" s="625"/>
      <c r="J76" s="625"/>
      <c r="K76" s="625"/>
      <c r="L76" s="625"/>
      <c r="M76" s="625"/>
      <c r="N76" s="625"/>
      <c r="O76" s="625"/>
      <c r="P76" s="625"/>
      <c r="Q76" s="625"/>
      <c r="R76" s="625"/>
      <c r="S76" s="625"/>
      <c r="T76" s="625"/>
      <c r="U76" s="625" t="e">
        <f>GETPIVOTDATA("Total (Soc+Fid)",'[3]REC TODAS LAS TORRES'!$L$4,"Concepto","Acabados","Torre","REDCAUDO T1A")-U77</f>
        <v>#REF!</v>
      </c>
      <c r="V76" s="625"/>
      <c r="W76" s="625"/>
      <c r="X76" s="625"/>
      <c r="Y76" s="625"/>
      <c r="Z76" s="625"/>
      <c r="AA76" s="625"/>
      <c r="AB76" s="625"/>
      <c r="AC76" s="625"/>
      <c r="AD76" s="625"/>
      <c r="AE76" s="625"/>
      <c r="AF76" s="625"/>
      <c r="AG76" s="625"/>
      <c r="AH76" s="625"/>
      <c r="AI76" s="625"/>
      <c r="AJ76" s="625"/>
      <c r="AK76" s="625"/>
      <c r="AL76" s="625"/>
      <c r="AM76" s="625"/>
      <c r="AN76" s="625"/>
      <c r="AO76" s="625"/>
      <c r="AP76" s="625"/>
      <c r="AQ76" s="625"/>
      <c r="AR76" s="625"/>
      <c r="AS76" s="625"/>
      <c r="AT76" s="625"/>
      <c r="AU76" s="625"/>
      <c r="AV76" s="625"/>
      <c r="AW76" s="625"/>
      <c r="AX76" s="625"/>
      <c r="AY76" s="735"/>
      <c r="BA76" s="540"/>
      <c r="BJ76" s="367"/>
      <c r="CP76" s="368"/>
    </row>
    <row r="77" spans="1:94" s="362" customFormat="1" x14ac:dyDescent="0.2">
      <c r="A77" s="529" t="s">
        <v>24</v>
      </c>
      <c r="B77" s="530">
        <f t="shared" ref="B77:AG77" si="5">+SUM(B22:B75)</f>
        <v>25282539230</v>
      </c>
      <c r="C77" s="530">
        <f t="shared" si="5"/>
        <v>16552034867</v>
      </c>
      <c r="D77" s="530">
        <f t="shared" si="5"/>
        <v>4291163801</v>
      </c>
      <c r="E77" s="530">
        <f t="shared" si="5"/>
        <v>20197778549</v>
      </c>
      <c r="F77" s="530">
        <f t="shared" si="5"/>
        <v>8230065270</v>
      </c>
      <c r="G77" s="530">
        <f t="shared" si="5"/>
        <v>1259843151</v>
      </c>
      <c r="H77" s="530">
        <f t="shared" si="5"/>
        <v>1595194268</v>
      </c>
      <c r="I77" s="530">
        <f t="shared" si="5"/>
        <v>60737000</v>
      </c>
      <c r="J77" s="530">
        <f t="shared" si="5"/>
        <v>3481376177</v>
      </c>
      <c r="K77" s="530">
        <f t="shared" si="5"/>
        <v>587572393</v>
      </c>
      <c r="L77" s="530">
        <f t="shared" si="5"/>
        <v>19139986524</v>
      </c>
      <c r="M77" s="530">
        <f t="shared" si="5"/>
        <v>11645112948</v>
      </c>
      <c r="N77" s="530">
        <f t="shared" si="5"/>
        <v>0</v>
      </c>
      <c r="O77" s="530">
        <f t="shared" si="5"/>
        <v>0</v>
      </c>
      <c r="P77" s="530">
        <f t="shared" si="5"/>
        <v>65086589</v>
      </c>
      <c r="Q77" s="530">
        <f t="shared" si="5"/>
        <v>362087296</v>
      </c>
      <c r="R77" s="530">
        <f t="shared" si="5"/>
        <v>0</v>
      </c>
      <c r="S77" s="530">
        <f t="shared" si="5"/>
        <v>338207183</v>
      </c>
      <c r="T77" s="530">
        <f t="shared" si="5"/>
        <v>198608001</v>
      </c>
      <c r="U77" s="530">
        <f t="shared" si="5"/>
        <v>121933487</v>
      </c>
      <c r="V77" s="530">
        <f t="shared" si="5"/>
        <v>207590908</v>
      </c>
      <c r="W77" s="530">
        <f t="shared" si="5"/>
        <v>197504686</v>
      </c>
      <c r="X77" s="530">
        <f t="shared" si="5"/>
        <v>150161396</v>
      </c>
      <c r="Y77" s="530">
        <f t="shared" si="5"/>
        <v>0</v>
      </c>
      <c r="Z77" s="530">
        <f t="shared" si="5"/>
        <v>0</v>
      </c>
      <c r="AA77" s="530">
        <f t="shared" si="5"/>
        <v>59618498</v>
      </c>
      <c r="AB77" s="530">
        <f t="shared" si="5"/>
        <v>0</v>
      </c>
      <c r="AC77" s="530">
        <f t="shared" si="5"/>
        <v>36171442</v>
      </c>
      <c r="AD77" s="530">
        <f t="shared" si="5"/>
        <v>0</v>
      </c>
      <c r="AE77" s="530">
        <f t="shared" si="5"/>
        <v>145865806</v>
      </c>
      <c r="AF77" s="530">
        <f t="shared" si="5"/>
        <v>91616964</v>
      </c>
      <c r="AG77" s="530">
        <f t="shared" si="5"/>
        <v>5711805</v>
      </c>
      <c r="AH77" s="530">
        <f t="shared" ref="AH77:AY77" si="6">+SUM(AH22:AH75)</f>
        <v>61510974</v>
      </c>
      <c r="AI77" s="530">
        <f t="shared" si="6"/>
        <v>40165462</v>
      </c>
      <c r="AJ77" s="530">
        <f t="shared" si="6"/>
        <v>7045725</v>
      </c>
      <c r="AK77" s="530">
        <f t="shared" si="6"/>
        <v>7661543</v>
      </c>
      <c r="AL77" s="530">
        <f t="shared" si="6"/>
        <v>0</v>
      </c>
      <c r="AM77" s="530">
        <f t="shared" si="6"/>
        <v>0</v>
      </c>
      <c r="AN77" s="530">
        <f t="shared" si="6"/>
        <v>0</v>
      </c>
      <c r="AO77" s="530">
        <f t="shared" si="6"/>
        <v>20031558</v>
      </c>
      <c r="AP77" s="530">
        <f t="shared" si="6"/>
        <v>23180099</v>
      </c>
      <c r="AQ77" s="530">
        <f t="shared" si="6"/>
        <v>0</v>
      </c>
      <c r="AR77" s="530">
        <f t="shared" si="6"/>
        <v>1336967</v>
      </c>
      <c r="AS77" s="530">
        <f t="shared" si="6"/>
        <v>0</v>
      </c>
      <c r="AT77" s="530">
        <f t="shared" si="6"/>
        <v>45671152</v>
      </c>
      <c r="AU77" s="530">
        <f t="shared" si="6"/>
        <v>4612185</v>
      </c>
      <c r="AV77" s="530">
        <f t="shared" si="6"/>
        <v>0</v>
      </c>
      <c r="AW77" s="530">
        <f t="shared" si="6"/>
        <v>71577049</v>
      </c>
      <c r="AX77" s="530">
        <f t="shared" si="6"/>
        <v>0</v>
      </c>
      <c r="AY77" s="530">
        <f t="shared" si="6"/>
        <v>114586360953</v>
      </c>
      <c r="AZ77" s="530" t="e">
        <f t="shared" ref="AZ77:BA77" si="7">+SUM(AZ22:AZ44)</f>
        <v>#REF!</v>
      </c>
      <c r="BA77" s="530" t="e">
        <f t="shared" si="7"/>
        <v>#REF!</v>
      </c>
    </row>
    <row r="78" spans="1:94" x14ac:dyDescent="0.2">
      <c r="B78" s="461"/>
      <c r="C78" s="461"/>
      <c r="D78" s="461"/>
      <c r="E78" s="461"/>
      <c r="F78" s="461"/>
      <c r="G78" s="550"/>
      <c r="H78" s="461"/>
      <c r="I78" s="461"/>
      <c r="J78" s="461"/>
      <c r="K78" s="461"/>
      <c r="L78" s="461"/>
      <c r="M78" s="461"/>
      <c r="N78" s="461"/>
      <c r="O78" s="461"/>
      <c r="P78" s="550"/>
      <c r="Q78" s="461"/>
      <c r="R78" s="461"/>
      <c r="S78" s="461"/>
      <c r="T78" s="638"/>
      <c r="U78" s="638"/>
      <c r="V78" s="461"/>
      <c r="W78" s="461"/>
      <c r="X78" s="461"/>
      <c r="Y78" s="461"/>
      <c r="Z78" s="461"/>
      <c r="AA78" s="461"/>
      <c r="AB78" s="461"/>
      <c r="AC78" s="461"/>
      <c r="AD78" s="461"/>
      <c r="AE78" s="461"/>
      <c r="AF78" s="644"/>
      <c r="AG78" s="644"/>
      <c r="AI78" s="638"/>
      <c r="AJ78" s="638"/>
      <c r="AK78" s="638"/>
      <c r="AL78" s="638"/>
      <c r="AM78" s="638"/>
      <c r="AN78" s="638"/>
      <c r="AO78" s="638"/>
      <c r="AP78" s="638"/>
      <c r="AQ78" s="638"/>
      <c r="AR78" s="638"/>
      <c r="AS78" s="638"/>
      <c r="AT78" s="638"/>
      <c r="AU78" s="638"/>
      <c r="AV78" s="638"/>
      <c r="AW78" s="638"/>
      <c r="AY78" s="638">
        <f>G18-AY77</f>
        <v>0</v>
      </c>
    </row>
    <row r="79" spans="1:94" x14ac:dyDescent="0.2">
      <c r="B79" s="638"/>
      <c r="C79" s="638"/>
      <c r="D79" s="638"/>
      <c r="E79" s="638"/>
      <c r="F79" s="638"/>
      <c r="G79" s="638"/>
      <c r="H79" s="638"/>
      <c r="I79" s="638"/>
      <c r="J79" s="638"/>
      <c r="K79" s="638"/>
      <c r="L79" s="638"/>
      <c r="M79" s="638"/>
      <c r="N79" s="638"/>
      <c r="O79" s="638"/>
      <c r="P79" s="638"/>
      <c r="Q79" s="638"/>
      <c r="R79" s="638"/>
      <c r="S79" s="638"/>
      <c r="T79" s="638"/>
      <c r="U79" s="638"/>
      <c r="V79" s="550"/>
      <c r="W79" s="638"/>
      <c r="X79" s="638"/>
      <c r="Y79" s="638"/>
      <c r="Z79" s="638"/>
      <c r="AA79" s="638"/>
      <c r="AB79" s="638"/>
      <c r="AC79" s="638"/>
      <c r="AD79" s="638"/>
      <c r="AE79" s="638"/>
      <c r="AF79" s="638"/>
      <c r="AG79" s="638"/>
      <c r="AH79" s="638"/>
      <c r="AI79" s="638"/>
      <c r="AJ79" s="638"/>
      <c r="AK79" s="638"/>
      <c r="AO79" s="638"/>
      <c r="AP79" s="638"/>
      <c r="AR79" s="638"/>
      <c r="AT79" s="638"/>
      <c r="AU79" s="638"/>
      <c r="AV79" s="638"/>
      <c r="AW79" s="638"/>
    </row>
    <row r="80" spans="1:94" x14ac:dyDescent="0.2">
      <c r="B80" s="734"/>
    </row>
    <row r="81" spans="2:9" x14ac:dyDescent="0.2">
      <c r="B81" s="638"/>
      <c r="G81" s="550"/>
      <c r="H81" s="638"/>
      <c r="I81" s="638"/>
    </row>
  </sheetData>
  <mergeCells count="10">
    <mergeCell ref="AE20:AI20"/>
    <mergeCell ref="AJ20:AN20"/>
    <mergeCell ref="AO20:AS20"/>
    <mergeCell ref="AT20:AX20"/>
    <mergeCell ref="B3:E3"/>
    <mergeCell ref="B20:F20"/>
    <mergeCell ref="G20:K20"/>
    <mergeCell ref="L20:O20"/>
    <mergeCell ref="P20:T20"/>
    <mergeCell ref="U20:AD20"/>
  </mergeCells>
  <printOptions horizontalCentered="1" verticalCentered="1"/>
  <pageMargins left="0.70866141732283472" right="0.47244094488188981" top="0.55118110236220474" bottom="0.98425196850393704" header="0" footer="0"/>
  <pageSetup orientation="landscape" r:id="rId1"/>
  <headerFooter alignWithMargins="0">
    <oddFooter>&amp;C&amp;P&amp;RElaborado por EQUILIBRIUM Inmobiliario S.A.S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7">
    <pageSetUpPr fitToPage="1"/>
  </sheetPr>
  <dimension ref="A1:DP80"/>
  <sheetViews>
    <sheetView showGridLines="0" zoomScale="85" zoomScaleNormal="85" workbookViewId="0">
      <pane xSplit="1" ySplit="21" topLeftCell="B54" activePane="bottomRight" state="frozen"/>
      <selection pane="topRight" activeCell="B1" sqref="B1"/>
      <selection pane="bottomLeft" activeCell="A22" sqref="A22"/>
      <selection pane="bottomRight" activeCell="B9" sqref="B9"/>
    </sheetView>
  </sheetViews>
  <sheetFormatPr baseColWidth="10" defaultColWidth="0" defaultRowHeight="12.75" x14ac:dyDescent="0.2"/>
  <cols>
    <col min="1" max="1" width="22.5703125" style="366" bestFit="1" customWidth="1"/>
    <col min="2" max="2" width="18.85546875" style="366" customWidth="1"/>
    <col min="3" max="3" width="18.42578125" style="366" bestFit="1" customWidth="1"/>
    <col min="4" max="4" width="18.42578125" style="366" customWidth="1"/>
    <col min="5" max="5" width="17.140625" style="366" bestFit="1" customWidth="1"/>
    <col min="6" max="6" width="16" style="366" bestFit="1" customWidth="1"/>
    <col min="7" max="7" width="16.42578125" style="366" bestFit="1" customWidth="1"/>
    <col min="8" max="8" width="16" style="366" bestFit="1" customWidth="1"/>
    <col min="9" max="9" width="16" style="366" customWidth="1"/>
    <col min="10" max="10" width="16.42578125" style="366" bestFit="1" customWidth="1"/>
    <col min="11" max="11" width="14.85546875" style="366" bestFit="1" customWidth="1"/>
    <col min="12" max="12" width="17.140625" style="366" bestFit="1" customWidth="1"/>
    <col min="13" max="13" width="16.7109375" style="366" bestFit="1" customWidth="1"/>
    <col min="14" max="14" width="7.85546875" style="366" hidden="1" customWidth="1"/>
    <col min="15" max="15" width="7.5703125" style="366" hidden="1" customWidth="1"/>
    <col min="16" max="16" width="13.42578125" style="366" customWidth="1"/>
    <col min="17" max="17" width="14.42578125" style="366" bestFit="1" customWidth="1"/>
    <col min="18" max="18" width="13.42578125" style="366" hidden="1" customWidth="1"/>
    <col min="19" max="24" width="14.42578125" style="366" bestFit="1" customWidth="1"/>
    <col min="25" max="26" width="12.5703125" style="366" hidden="1" customWidth="1"/>
    <col min="27" max="27" width="13.42578125" style="366" bestFit="1" customWidth="1"/>
    <col min="28" max="28" width="16" style="366" hidden="1" customWidth="1"/>
    <col min="29" max="29" width="13.42578125" style="366" bestFit="1" customWidth="1"/>
    <col min="30" max="30" width="12.5703125" style="366" hidden="1" customWidth="1"/>
    <col min="31" max="31" width="14.42578125" style="366" bestFit="1" customWidth="1"/>
    <col min="32" max="32" width="14.140625" style="366" bestFit="1" customWidth="1"/>
    <col min="33" max="33" width="13" style="366" bestFit="1" customWidth="1"/>
    <col min="34" max="35" width="13.42578125" style="366" bestFit="1" customWidth="1"/>
    <col min="36" max="36" width="12.7109375" style="366" bestFit="1" customWidth="1"/>
    <col min="37" max="37" width="13" style="366" bestFit="1" customWidth="1"/>
    <col min="38" max="38" width="6.5703125" style="366" hidden="1" customWidth="1"/>
    <col min="39" max="39" width="7.85546875" style="366" hidden="1" customWidth="1"/>
    <col min="40" max="40" width="7.5703125" style="366" hidden="1" customWidth="1"/>
    <col min="41" max="41" width="13.42578125" style="366" bestFit="1" customWidth="1"/>
    <col min="42" max="42" width="13.7109375" style="366" bestFit="1" customWidth="1"/>
    <col min="43" max="43" width="6.5703125" style="366" hidden="1" customWidth="1"/>
    <col min="44" max="44" width="11.42578125" style="366" bestFit="1" customWidth="1"/>
    <col min="45" max="45" width="7.5703125" style="366" hidden="1" customWidth="1"/>
    <col min="46" max="47" width="14.140625" style="366" bestFit="1" customWidth="1"/>
    <col min="48" max="48" width="11.42578125" style="366" hidden="1" customWidth="1"/>
    <col min="49" max="49" width="14.140625" style="366" bestFit="1" customWidth="1"/>
    <col min="50" max="50" width="7.5703125" style="366" bestFit="1" customWidth="1"/>
    <col min="51" max="51" width="18.42578125" style="366" bestFit="1" customWidth="1"/>
    <col min="52" max="52" width="7.85546875" style="366" hidden="1" customWidth="1"/>
    <col min="53" max="53" width="16.5703125" style="366" hidden="1" customWidth="1"/>
    <col min="54" max="54" width="12.5703125" style="366" customWidth="1"/>
    <col min="55" max="61" width="12.5703125" style="366" hidden="1" customWidth="1"/>
    <col min="62" max="62" width="14.5703125" style="366" hidden="1" customWidth="1"/>
    <col min="63" max="63" width="0.5703125" style="366" hidden="1" customWidth="1"/>
    <col min="64" max="65" width="13.5703125" style="366" hidden="1" customWidth="1"/>
    <col min="66" max="66" width="13.42578125" style="366" hidden="1" customWidth="1"/>
    <col min="67" max="68" width="12.140625" style="366" hidden="1" customWidth="1"/>
    <col min="69" max="70" width="10.85546875" style="366" hidden="1" customWidth="1"/>
    <col min="71" max="73" width="12.140625" style="366" hidden="1" customWidth="1"/>
    <col min="74" max="74" width="14" style="366" hidden="1" customWidth="1"/>
    <col min="75" max="75" width="12.140625" style="366" hidden="1" customWidth="1"/>
    <col min="76" max="76" width="8.140625" style="366" hidden="1" customWidth="1"/>
    <col min="77" max="79" width="10.140625" style="366" hidden="1" customWidth="1"/>
    <col min="80" max="80" width="11.42578125" style="366" hidden="1" customWidth="1"/>
    <col min="81" max="83" width="10.140625" style="366" hidden="1" customWidth="1"/>
    <col min="84" max="84" width="6.42578125" style="366" hidden="1" customWidth="1"/>
    <col min="85" max="85" width="0.140625" style="366" hidden="1" customWidth="1"/>
    <col min="86" max="86" width="8.140625" style="366" hidden="1" customWidth="1"/>
    <col min="87" max="87" width="6.42578125" style="366" hidden="1" customWidth="1"/>
    <col min="88" max="91" width="10.140625" style="366" hidden="1" customWidth="1"/>
    <col min="92" max="115" width="15.5703125" style="366" hidden="1" customWidth="1"/>
    <col min="116" max="116" width="19.85546875" style="366" hidden="1" customWidth="1"/>
    <col min="117" max="117" width="15.5703125" style="366" hidden="1" customWidth="1"/>
    <col min="118" max="119" width="16.5703125" style="366" hidden="1" customWidth="1"/>
    <col min="120" max="120" width="1" style="369" hidden="1" customWidth="1"/>
    <col min="121" max="16384" width="11.42578125" style="366" hidden="1"/>
  </cols>
  <sheetData>
    <row r="1" spans="1:120" s="333" customFormat="1" x14ac:dyDescent="0.2">
      <c r="A1" s="332"/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  <c r="O1" s="253"/>
      <c r="P1" s="253"/>
      <c r="Q1" s="253"/>
      <c r="R1" s="253"/>
      <c r="S1" s="253"/>
      <c r="T1" s="253"/>
      <c r="U1" s="253"/>
      <c r="V1" s="253"/>
      <c r="W1" s="253"/>
      <c r="X1" s="253"/>
      <c r="Y1" s="253"/>
      <c r="Z1" s="253"/>
      <c r="AA1" s="253"/>
      <c r="AB1" s="253"/>
      <c r="AC1" s="253"/>
      <c r="AD1" s="253"/>
      <c r="AE1" s="253"/>
      <c r="AF1" s="253"/>
      <c r="AG1" s="253"/>
      <c r="AH1" s="253"/>
      <c r="AI1" s="253"/>
      <c r="AJ1" s="253"/>
      <c r="AK1" s="253"/>
      <c r="AL1" s="253"/>
      <c r="AM1" s="253"/>
      <c r="AN1" s="253"/>
      <c r="AO1" s="253"/>
      <c r="AP1" s="253"/>
      <c r="AQ1" s="253"/>
      <c r="AR1" s="253"/>
      <c r="AS1" s="253"/>
      <c r="AT1" s="253"/>
      <c r="AU1" s="253"/>
      <c r="AV1" s="253"/>
      <c r="AW1" s="253"/>
      <c r="AX1" s="253"/>
      <c r="AY1" s="253"/>
      <c r="AZ1" s="253"/>
      <c r="BA1" s="253"/>
      <c r="BB1" s="253"/>
      <c r="DP1" s="334"/>
    </row>
    <row r="2" spans="1:120" s="340" customFormat="1" ht="26.25" x14ac:dyDescent="0.2">
      <c r="A2" s="335"/>
      <c r="B2" s="508" t="s">
        <v>35</v>
      </c>
      <c r="C2" s="336"/>
      <c r="D2" s="336"/>
      <c r="E2" s="337"/>
      <c r="F2" s="337"/>
      <c r="G2" s="337"/>
      <c r="H2" s="337"/>
      <c r="I2" s="337"/>
      <c r="J2" s="337"/>
      <c r="K2" s="337"/>
      <c r="L2" s="337"/>
      <c r="M2" s="337"/>
      <c r="N2" s="337"/>
      <c r="O2" s="337"/>
      <c r="P2" s="337"/>
      <c r="Q2" s="337"/>
      <c r="R2" s="337"/>
      <c r="S2" s="337"/>
      <c r="T2" s="337"/>
      <c r="U2" s="337"/>
      <c r="V2" s="337"/>
      <c r="W2" s="337"/>
      <c r="X2" s="337"/>
      <c r="Y2" s="337"/>
      <c r="Z2" s="337"/>
      <c r="AA2" s="337"/>
      <c r="AB2" s="337"/>
      <c r="AC2" s="337"/>
      <c r="AD2" s="337"/>
      <c r="AE2" s="337"/>
      <c r="AF2" s="337"/>
      <c r="AG2" s="337"/>
      <c r="AH2" s="337"/>
      <c r="AI2" s="337"/>
      <c r="AJ2" s="337"/>
      <c r="AK2" s="337"/>
      <c r="AL2" s="337"/>
      <c r="AM2" s="337"/>
      <c r="AN2" s="337"/>
      <c r="AO2" s="337"/>
      <c r="AP2" s="337"/>
      <c r="AQ2" s="337"/>
      <c r="AR2" s="337"/>
      <c r="AS2" s="337"/>
      <c r="AT2" s="337"/>
      <c r="AU2" s="337"/>
      <c r="AV2" s="337"/>
      <c r="AW2" s="337"/>
      <c r="AX2" s="337"/>
      <c r="AY2" s="337"/>
      <c r="AZ2" s="337"/>
      <c r="BA2" s="337"/>
      <c r="BB2" s="337"/>
      <c r="BC2" s="338"/>
      <c r="BD2" s="338"/>
      <c r="BE2" s="338"/>
      <c r="BF2" s="338"/>
      <c r="BG2" s="338"/>
      <c r="BH2" s="338"/>
      <c r="BI2" s="338"/>
      <c r="BJ2" s="338"/>
      <c r="BK2" s="338"/>
      <c r="BL2" s="338"/>
      <c r="BM2" s="338"/>
      <c r="BN2" s="338"/>
      <c r="BO2" s="338"/>
      <c r="BP2" s="338"/>
      <c r="BQ2" s="338"/>
      <c r="BR2" s="338"/>
      <c r="BS2" s="338"/>
      <c r="BT2" s="338"/>
      <c r="BU2" s="338"/>
      <c r="BV2" s="338"/>
      <c r="BW2" s="338"/>
      <c r="BX2" s="339"/>
      <c r="BY2" s="339"/>
      <c r="BZ2" s="339"/>
      <c r="CA2" s="339"/>
      <c r="CB2" s="339"/>
      <c r="CC2" s="339"/>
      <c r="DP2" s="341"/>
    </row>
    <row r="3" spans="1:120" s="347" customFormat="1" ht="18.75" x14ac:dyDescent="0.2">
      <c r="A3" s="342"/>
      <c r="B3" s="829">
        <f>++'Datos globales '!B10:C10</f>
        <v>45900</v>
      </c>
      <c r="C3" s="829"/>
      <c r="D3" s="829"/>
      <c r="E3" s="829"/>
      <c r="F3" s="343"/>
      <c r="G3" s="343"/>
      <c r="H3" s="343"/>
      <c r="I3" s="343"/>
      <c r="J3" s="344"/>
      <c r="K3" s="344"/>
      <c r="L3" s="344"/>
      <c r="M3" s="344"/>
      <c r="N3" s="344"/>
      <c r="O3" s="344"/>
      <c r="P3" s="344"/>
      <c r="Q3" s="344"/>
      <c r="R3" s="344"/>
      <c r="S3" s="344"/>
      <c r="T3" s="344"/>
      <c r="U3" s="344"/>
      <c r="V3" s="344"/>
      <c r="W3" s="344"/>
      <c r="X3" s="344"/>
      <c r="Y3" s="344"/>
      <c r="Z3" s="344"/>
      <c r="AA3" s="344"/>
      <c r="AB3" s="344"/>
      <c r="AC3" s="344"/>
      <c r="AD3" s="344"/>
      <c r="AE3" s="344"/>
      <c r="AF3" s="344"/>
      <c r="AG3" s="344"/>
      <c r="AH3" s="344"/>
      <c r="AI3" s="344"/>
      <c r="AJ3" s="344"/>
      <c r="AK3" s="344"/>
      <c r="AL3" s="344"/>
      <c r="AM3" s="344"/>
      <c r="AN3" s="344"/>
      <c r="AO3" s="344"/>
      <c r="AP3" s="344"/>
      <c r="AQ3" s="344"/>
      <c r="AR3" s="344"/>
      <c r="AS3" s="344"/>
      <c r="AT3" s="344"/>
      <c r="AU3" s="344"/>
      <c r="AV3" s="344"/>
      <c r="AW3" s="344"/>
      <c r="AX3" s="344"/>
      <c r="AY3" s="344"/>
      <c r="AZ3" s="344"/>
      <c r="BA3" s="344"/>
      <c r="BB3" s="344"/>
      <c r="BC3" s="345"/>
      <c r="BD3" s="345"/>
      <c r="BE3" s="345"/>
      <c r="BF3" s="345"/>
      <c r="BG3" s="345"/>
      <c r="BH3" s="345"/>
      <c r="BI3" s="345"/>
      <c r="BJ3" s="345"/>
      <c r="BK3" s="345"/>
      <c r="BL3" s="345"/>
      <c r="BM3" s="345"/>
      <c r="BN3" s="345"/>
      <c r="BO3" s="345"/>
      <c r="BP3" s="345"/>
      <c r="BQ3" s="345"/>
      <c r="BR3" s="345"/>
      <c r="BS3" s="345"/>
      <c r="BT3" s="345"/>
      <c r="BU3" s="345"/>
      <c r="BV3" s="345"/>
      <c r="BW3" s="345"/>
      <c r="BX3" s="346"/>
      <c r="BY3" s="346"/>
      <c r="BZ3" s="346"/>
      <c r="CA3" s="346"/>
      <c r="CB3" s="346"/>
      <c r="CC3" s="346"/>
      <c r="DP3" s="348"/>
    </row>
    <row r="4" spans="1:120" s="333" customFormat="1" ht="11.25" customHeight="1" x14ac:dyDescent="0.2">
      <c r="A4" s="253"/>
      <c r="B4" s="349"/>
      <c r="C4" s="349"/>
      <c r="D4" s="349"/>
      <c r="E4" s="349"/>
      <c r="F4" s="349"/>
      <c r="G4" s="349"/>
      <c r="H4" s="349"/>
      <c r="I4" s="349"/>
      <c r="J4" s="253"/>
      <c r="K4" s="253"/>
      <c r="L4" s="253"/>
      <c r="M4" s="253"/>
      <c r="N4" s="253"/>
      <c r="O4" s="253"/>
      <c r="P4" s="253"/>
      <c r="Q4" s="253"/>
      <c r="R4" s="253"/>
      <c r="S4" s="253"/>
      <c r="T4" s="253"/>
      <c r="U4" s="253"/>
      <c r="V4" s="253"/>
      <c r="W4" s="253"/>
      <c r="X4" s="253"/>
      <c r="Y4" s="253"/>
      <c r="Z4" s="253"/>
      <c r="AA4" s="253"/>
      <c r="AB4" s="253"/>
      <c r="AC4" s="253"/>
      <c r="AD4" s="253"/>
      <c r="AE4" s="344"/>
      <c r="AF4" s="344"/>
      <c r="AG4" s="344"/>
      <c r="AH4" s="344"/>
      <c r="AI4" s="344"/>
      <c r="AJ4" s="344"/>
      <c r="AK4" s="344"/>
      <c r="AL4" s="344"/>
      <c r="AM4" s="344"/>
      <c r="AN4" s="344"/>
      <c r="AO4" s="344"/>
      <c r="AP4" s="344"/>
      <c r="AQ4" s="344"/>
      <c r="AR4" s="344"/>
      <c r="AS4" s="344"/>
      <c r="AT4" s="344"/>
      <c r="AU4" s="344"/>
      <c r="AV4" s="344"/>
      <c r="AW4" s="344"/>
      <c r="AX4" s="344"/>
      <c r="AY4" s="344"/>
      <c r="AZ4" s="344"/>
      <c r="BA4" s="344"/>
      <c r="BB4" s="344"/>
      <c r="BC4" s="345"/>
      <c r="BD4" s="345"/>
      <c r="BE4" s="345"/>
      <c r="BF4" s="345"/>
      <c r="BG4" s="345"/>
      <c r="BH4" s="345"/>
      <c r="BI4" s="345"/>
      <c r="BJ4" s="345"/>
      <c r="BK4" s="345"/>
      <c r="BL4" s="345"/>
      <c r="BM4" s="345"/>
      <c r="DP4" s="334"/>
    </row>
    <row r="5" spans="1:120" s="333" customFormat="1" ht="18.75" x14ac:dyDescent="0.2">
      <c r="A5" s="370" t="s">
        <v>37</v>
      </c>
      <c r="B5" s="370" t="s">
        <v>941</v>
      </c>
      <c r="C5" s="370" t="s">
        <v>942</v>
      </c>
      <c r="D5" s="370" t="s">
        <v>53</v>
      </c>
      <c r="E5" s="370" t="s">
        <v>1009</v>
      </c>
      <c r="F5" s="370" t="s">
        <v>1203</v>
      </c>
      <c r="G5" s="370" t="s">
        <v>98</v>
      </c>
      <c r="H5" s="344"/>
      <c r="I5" s="344"/>
      <c r="J5" s="344"/>
      <c r="K5" s="344"/>
      <c r="L5" s="344"/>
      <c r="M5" s="344"/>
      <c r="N5" s="344"/>
      <c r="O5" s="344"/>
      <c r="P5" s="344"/>
      <c r="Q5" s="344"/>
      <c r="R5" s="344"/>
      <c r="S5" s="344"/>
      <c r="T5" s="344"/>
      <c r="U5" s="344"/>
      <c r="V5" s="344"/>
      <c r="W5" s="344"/>
      <c r="X5" s="344"/>
      <c r="Y5" s="344"/>
      <c r="Z5" s="344"/>
      <c r="AA5" s="344"/>
      <c r="AB5" s="344"/>
      <c r="AC5" s="344"/>
      <c r="AD5" s="344"/>
      <c r="AE5" s="344"/>
      <c r="AF5" s="344"/>
      <c r="AG5" s="344"/>
      <c r="AH5" s="344"/>
      <c r="AI5" s="344"/>
      <c r="AJ5" s="344"/>
      <c r="AK5" s="344"/>
      <c r="AL5" s="344"/>
      <c r="AM5" s="344"/>
      <c r="AN5" s="344"/>
      <c r="AO5" s="344"/>
      <c r="AP5" s="344"/>
      <c r="AQ5" s="344"/>
      <c r="AR5" s="344"/>
      <c r="AS5" s="344"/>
      <c r="AT5" s="344"/>
      <c r="AU5" s="344"/>
      <c r="AV5" s="344"/>
      <c r="AW5" s="344"/>
      <c r="AX5" s="344"/>
      <c r="AY5" s="344"/>
      <c r="AZ5" s="344"/>
      <c r="BA5" s="344"/>
      <c r="BB5" s="344"/>
      <c r="BC5" s="345"/>
      <c r="BD5" s="345"/>
      <c r="DJ5" s="334"/>
    </row>
    <row r="6" spans="1:120" s="333" customFormat="1" ht="14.45" customHeight="1" x14ac:dyDescent="0.2">
      <c r="A6" s="350" t="s">
        <v>852</v>
      </c>
      <c r="B6" s="632">
        <f>+B76</f>
        <v>25282539230</v>
      </c>
      <c r="C6" s="632">
        <f>+C76</f>
        <v>16552034867</v>
      </c>
      <c r="D6" s="632">
        <f>+D76</f>
        <v>4291163801</v>
      </c>
      <c r="E6" s="351">
        <f>+E76</f>
        <v>20197778549</v>
      </c>
      <c r="F6" s="351">
        <f>+F76</f>
        <v>8230065270</v>
      </c>
      <c r="G6" s="633">
        <f>SUM(B6:F6)</f>
        <v>74553581717</v>
      </c>
      <c r="H6" s="344"/>
      <c r="I6" s="344"/>
      <c r="J6" s="344"/>
      <c r="K6" s="344"/>
      <c r="L6" s="344"/>
      <c r="M6" s="344"/>
      <c r="N6" s="344"/>
      <c r="O6" s="344"/>
      <c r="P6" s="344"/>
      <c r="Q6" s="344"/>
      <c r="R6" s="344"/>
      <c r="S6" s="344"/>
      <c r="T6" s="344"/>
      <c r="U6" s="344"/>
      <c r="V6" s="344"/>
      <c r="W6" s="344"/>
      <c r="X6" s="344"/>
      <c r="Y6" s="344"/>
      <c r="Z6" s="344"/>
      <c r="AA6" s="344"/>
      <c r="AB6" s="344"/>
      <c r="AC6" s="344"/>
      <c r="AD6" s="344"/>
      <c r="AE6" s="344"/>
      <c r="AF6" s="344"/>
      <c r="AG6" s="344"/>
      <c r="AH6" s="344"/>
      <c r="AI6" s="344"/>
      <c r="AJ6" s="344"/>
      <c r="AK6" s="344"/>
      <c r="AL6" s="344"/>
      <c r="AM6" s="344"/>
      <c r="AN6" s="344"/>
      <c r="AO6" s="344"/>
      <c r="AP6" s="344"/>
      <c r="AQ6" s="344"/>
      <c r="AR6" s="344"/>
      <c r="AS6" s="344"/>
      <c r="AT6" s="344"/>
      <c r="AU6" s="344"/>
      <c r="AV6" s="344"/>
      <c r="AW6" s="344"/>
      <c r="AX6" s="344"/>
      <c r="AY6" s="344"/>
      <c r="AZ6" s="344"/>
      <c r="BA6" s="344"/>
      <c r="BB6" s="344"/>
      <c r="BC6" s="345"/>
      <c r="BD6" s="345"/>
      <c r="DJ6" s="334"/>
    </row>
    <row r="7" spans="1:120" s="333" customFormat="1" ht="18.75" x14ac:dyDescent="0.2">
      <c r="A7" s="350" t="s">
        <v>803</v>
      </c>
      <c r="B7" s="632">
        <f>+G76</f>
        <v>1259843151</v>
      </c>
      <c r="C7" s="632">
        <f>+H76</f>
        <v>1595194268</v>
      </c>
      <c r="D7" s="632">
        <f>+I76</f>
        <v>60737000</v>
      </c>
      <c r="E7" s="351">
        <f>+J76</f>
        <v>3481376177</v>
      </c>
      <c r="F7" s="351">
        <f>+K76</f>
        <v>587572393</v>
      </c>
      <c r="G7" s="633">
        <f t="shared" ref="G7:G17" si="0">SUM(B7:F7)</f>
        <v>6984722989</v>
      </c>
      <c r="H7" s="344"/>
      <c r="I7" s="344"/>
      <c r="J7" s="344"/>
      <c r="K7" s="344"/>
      <c r="L7" s="344"/>
      <c r="M7" s="344"/>
      <c r="N7" s="344"/>
      <c r="O7" s="344"/>
      <c r="P7" s="344"/>
      <c r="Q7" s="344"/>
      <c r="R7" s="344"/>
      <c r="S7" s="344"/>
      <c r="T7" s="344"/>
      <c r="U7" s="344"/>
      <c r="V7" s="344"/>
      <c r="W7" s="344"/>
      <c r="X7" s="344"/>
      <c r="Y7" s="344"/>
      <c r="Z7" s="344"/>
      <c r="AA7" s="344"/>
      <c r="AB7" s="344"/>
      <c r="AC7" s="344"/>
      <c r="AD7" s="344"/>
      <c r="AE7" s="344"/>
      <c r="AF7" s="344"/>
      <c r="AG7" s="344"/>
      <c r="AH7" s="344"/>
      <c r="AI7" s="344"/>
      <c r="AJ7" s="344"/>
      <c r="AK7" s="344"/>
      <c r="AL7" s="344"/>
      <c r="AM7" s="344"/>
      <c r="AN7" s="344"/>
      <c r="AO7" s="344"/>
      <c r="AP7" s="344"/>
      <c r="AQ7" s="344"/>
      <c r="AR7" s="344"/>
      <c r="AS7" s="344"/>
      <c r="AT7" s="344"/>
      <c r="AU7" s="344"/>
      <c r="AV7" s="344"/>
      <c r="AW7" s="344"/>
      <c r="AX7" s="344"/>
      <c r="AY7" s="344"/>
      <c r="AZ7" s="344"/>
      <c r="BA7" s="344"/>
      <c r="BB7" s="344"/>
      <c r="BC7" s="345"/>
      <c r="BD7" s="345"/>
      <c r="DJ7" s="334"/>
    </row>
    <row r="8" spans="1:120" s="333" customFormat="1" ht="18.75" x14ac:dyDescent="0.2">
      <c r="A8" s="350" t="s">
        <v>800</v>
      </c>
      <c r="B8" s="351">
        <f>++L76</f>
        <v>19139986524</v>
      </c>
      <c r="C8" s="351">
        <f>++M76</f>
        <v>11645112948</v>
      </c>
      <c r="D8" s="351">
        <f>++N76</f>
        <v>0</v>
      </c>
      <c r="E8" s="351">
        <f>++N76</f>
        <v>0</v>
      </c>
      <c r="F8" s="351">
        <f>+O76</f>
        <v>0</v>
      </c>
      <c r="G8" s="633">
        <f t="shared" si="0"/>
        <v>30785099472</v>
      </c>
      <c r="H8" s="344"/>
      <c r="I8" s="344"/>
      <c r="J8" s="344"/>
      <c r="K8" s="344"/>
      <c r="L8" s="344"/>
      <c r="M8" s="344"/>
      <c r="N8" s="344"/>
      <c r="O8" s="344"/>
      <c r="P8" s="344"/>
      <c r="Q8" s="344"/>
      <c r="R8" s="344"/>
      <c r="S8" s="344"/>
      <c r="T8" s="344"/>
      <c r="U8" s="344"/>
      <c r="V8" s="344"/>
      <c r="W8" s="344"/>
      <c r="X8" s="344"/>
      <c r="Y8" s="344"/>
      <c r="Z8" s="344"/>
      <c r="AA8" s="344"/>
      <c r="AB8" s="344"/>
      <c r="AC8" s="344"/>
      <c r="AD8" s="344"/>
      <c r="AE8" s="344"/>
      <c r="AF8" s="344"/>
      <c r="AG8" s="344"/>
      <c r="AH8" s="344"/>
      <c r="AI8" s="344"/>
      <c r="AJ8" s="344"/>
      <c r="AK8" s="344"/>
      <c r="AL8" s="344"/>
      <c r="AM8" s="344"/>
      <c r="AN8" s="344"/>
      <c r="AO8" s="344"/>
      <c r="AP8" s="344"/>
      <c r="AQ8" s="344"/>
      <c r="AR8" s="344"/>
      <c r="AS8" s="344"/>
      <c r="AT8" s="344"/>
      <c r="AU8" s="344"/>
      <c r="AV8" s="344"/>
      <c r="AW8" s="344"/>
      <c r="AX8" s="344"/>
      <c r="AY8" s="344"/>
      <c r="AZ8" s="344"/>
      <c r="BA8" s="344"/>
      <c r="BB8" s="344"/>
      <c r="BC8" s="345"/>
      <c r="BD8" s="345"/>
      <c r="DJ8" s="334"/>
    </row>
    <row r="9" spans="1:120" s="333" customFormat="1" ht="18.75" x14ac:dyDescent="0.2">
      <c r="A9" s="352" t="s">
        <v>22</v>
      </c>
      <c r="B9" s="351">
        <f>++P76</f>
        <v>65086589</v>
      </c>
      <c r="C9" s="351">
        <f>++Q76</f>
        <v>362087296</v>
      </c>
      <c r="D9" s="351">
        <f>++R76</f>
        <v>0</v>
      </c>
      <c r="E9" s="351">
        <f>++S76</f>
        <v>338207183</v>
      </c>
      <c r="F9" s="351">
        <f>++T76</f>
        <v>198608001</v>
      </c>
      <c r="G9" s="633">
        <f t="shared" si="0"/>
        <v>963989069</v>
      </c>
      <c r="H9" s="344"/>
      <c r="I9" s="344"/>
      <c r="J9" s="344"/>
      <c r="K9" s="344"/>
      <c r="L9" s="344"/>
      <c r="M9" s="344"/>
      <c r="N9" s="344"/>
      <c r="O9" s="344"/>
      <c r="P9" s="344"/>
      <c r="Q9" s="344"/>
      <c r="R9" s="344"/>
      <c r="S9" s="344"/>
      <c r="T9" s="344"/>
      <c r="U9" s="344"/>
      <c r="V9" s="344"/>
      <c r="W9" s="344"/>
      <c r="X9" s="344"/>
      <c r="Y9" s="344"/>
      <c r="Z9" s="344"/>
      <c r="AA9" s="344"/>
      <c r="AB9" s="344"/>
      <c r="AC9" s="344"/>
      <c r="AD9" s="344"/>
      <c r="AE9" s="344"/>
      <c r="AF9" s="344"/>
      <c r="AG9" s="344"/>
      <c r="AH9" s="344"/>
      <c r="AI9" s="344"/>
      <c r="AJ9" s="344"/>
      <c r="AK9" s="344"/>
      <c r="AL9" s="344"/>
      <c r="AM9" s="344"/>
      <c r="AN9" s="344"/>
      <c r="AO9" s="344"/>
      <c r="AP9" s="344"/>
      <c r="AQ9" s="344"/>
      <c r="AR9" s="344"/>
      <c r="AS9" s="344"/>
      <c r="AT9" s="344"/>
      <c r="AU9" s="344"/>
      <c r="AV9" s="344"/>
      <c r="AW9" s="344"/>
      <c r="AX9" s="344"/>
      <c r="AY9" s="344"/>
      <c r="AZ9" s="344"/>
      <c r="BA9" s="344"/>
      <c r="BB9" s="344"/>
      <c r="BC9" s="345"/>
      <c r="BD9" s="345"/>
      <c r="DJ9" s="334"/>
    </row>
    <row r="10" spans="1:120" s="333" customFormat="1" ht="18.75" x14ac:dyDescent="0.2">
      <c r="A10" s="350" t="s">
        <v>437</v>
      </c>
      <c r="B10" s="351">
        <f>+U76</f>
        <v>121933487</v>
      </c>
      <c r="C10" s="351">
        <f>+W76</f>
        <v>197504686</v>
      </c>
      <c r="D10" s="351">
        <f>++Y76</f>
        <v>0</v>
      </c>
      <c r="E10" s="351">
        <f>+AA76</f>
        <v>59618498</v>
      </c>
      <c r="F10" s="351">
        <f>+AC76</f>
        <v>36171442</v>
      </c>
      <c r="G10" s="633">
        <f t="shared" si="0"/>
        <v>415228113</v>
      </c>
      <c r="H10" s="344"/>
      <c r="I10" s="344"/>
      <c r="J10" s="344"/>
      <c r="K10" s="344"/>
      <c r="L10" s="344"/>
      <c r="M10" s="344"/>
      <c r="N10" s="344"/>
      <c r="O10" s="344"/>
      <c r="P10" s="344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344"/>
      <c r="AD10" s="344"/>
      <c r="AE10" s="344"/>
      <c r="AF10" s="344"/>
      <c r="AG10" s="344"/>
      <c r="AH10" s="344"/>
      <c r="AI10" s="344"/>
      <c r="AJ10" s="344"/>
      <c r="AK10" s="344"/>
      <c r="AL10" s="344"/>
      <c r="AM10" s="344"/>
      <c r="AN10" s="344"/>
      <c r="AO10" s="344"/>
      <c r="AP10" s="344"/>
      <c r="AQ10" s="344"/>
      <c r="AR10" s="344"/>
      <c r="AS10" s="344"/>
      <c r="AT10" s="344"/>
      <c r="AU10" s="344"/>
      <c r="AV10" s="344"/>
      <c r="AW10" s="344"/>
      <c r="AX10" s="344"/>
      <c r="AY10" s="344"/>
      <c r="AZ10" s="344"/>
      <c r="BA10" s="344"/>
      <c r="BB10" s="344"/>
      <c r="BC10" s="345"/>
      <c r="BD10" s="345"/>
      <c r="DJ10" s="334"/>
    </row>
    <row r="11" spans="1:120" s="333" customFormat="1" ht="18.75" x14ac:dyDescent="0.2">
      <c r="A11" s="678" t="s">
        <v>1761</v>
      </c>
      <c r="B11" s="351">
        <f>++V76</f>
        <v>207590908</v>
      </c>
      <c r="C11" s="351">
        <f>++X76</f>
        <v>150161396</v>
      </c>
      <c r="D11" s="351">
        <f>++Z76</f>
        <v>0</v>
      </c>
      <c r="E11" s="351">
        <f>+AB76</f>
        <v>0</v>
      </c>
      <c r="F11" s="351">
        <f>+AD76</f>
        <v>0</v>
      </c>
      <c r="G11" s="633">
        <f t="shared" si="0"/>
        <v>357752304</v>
      </c>
      <c r="H11" s="344"/>
      <c r="I11" s="344"/>
      <c r="J11" s="344"/>
      <c r="K11" s="344"/>
      <c r="L11" s="344"/>
      <c r="M11" s="344"/>
      <c r="N11" s="344"/>
      <c r="O11" s="344"/>
      <c r="P11" s="344"/>
      <c r="Q11" s="344"/>
      <c r="R11" s="344"/>
      <c r="S11" s="344"/>
      <c r="T11" s="344"/>
      <c r="U11" s="344"/>
      <c r="V11" s="344"/>
      <c r="W11" s="344"/>
      <c r="X11" s="344"/>
      <c r="Y11" s="344"/>
      <c r="Z11" s="344"/>
      <c r="AA11" s="344"/>
      <c r="AB11" s="344"/>
      <c r="AC11" s="344"/>
      <c r="AD11" s="344"/>
      <c r="AE11" s="344"/>
      <c r="AF11" s="344"/>
      <c r="AG11" s="344"/>
      <c r="AH11" s="344"/>
      <c r="AI11" s="344"/>
      <c r="AJ11" s="344"/>
      <c r="AK11" s="344"/>
      <c r="AL11" s="344"/>
      <c r="AM11" s="344"/>
      <c r="AN11" s="344"/>
      <c r="AO11" s="344"/>
      <c r="AP11" s="344"/>
      <c r="AQ11" s="344"/>
      <c r="AR11" s="344"/>
      <c r="AS11" s="344"/>
      <c r="AT11" s="344"/>
      <c r="AU11" s="344"/>
      <c r="AV11" s="344"/>
      <c r="AW11" s="344"/>
      <c r="AX11" s="344"/>
      <c r="AY11" s="344"/>
      <c r="AZ11" s="344"/>
      <c r="BA11" s="344"/>
      <c r="BB11" s="344"/>
      <c r="BC11" s="345"/>
      <c r="BD11" s="345"/>
      <c r="DJ11" s="334"/>
    </row>
    <row r="12" spans="1:120" s="333" customFormat="1" ht="18.75" x14ac:dyDescent="0.2">
      <c r="A12" s="350" t="s">
        <v>62</v>
      </c>
      <c r="B12" s="351">
        <f>+AE76</f>
        <v>145865806</v>
      </c>
      <c r="C12" s="351">
        <f>+AF76</f>
        <v>91616964</v>
      </c>
      <c r="D12" s="351">
        <f>+AG76</f>
        <v>5711805</v>
      </c>
      <c r="E12" s="351">
        <f>+AH76</f>
        <v>61510974</v>
      </c>
      <c r="F12" s="351">
        <f>+AI76</f>
        <v>40165462</v>
      </c>
      <c r="G12" s="633">
        <f t="shared" si="0"/>
        <v>344871011</v>
      </c>
      <c r="H12" s="474"/>
      <c r="I12" s="474"/>
      <c r="J12" s="344"/>
      <c r="K12" s="344"/>
      <c r="L12" s="344"/>
      <c r="M12" s="344"/>
      <c r="N12" s="344"/>
      <c r="O12" s="344"/>
      <c r="P12" s="344"/>
      <c r="Q12" s="344"/>
      <c r="R12" s="344"/>
      <c r="S12" s="344"/>
      <c r="T12" s="344"/>
      <c r="U12" s="344"/>
      <c r="V12" s="344"/>
      <c r="W12" s="344"/>
      <c r="X12" s="344"/>
      <c r="Y12" s="344"/>
      <c r="Z12" s="344"/>
      <c r="AA12" s="344"/>
      <c r="AB12" s="344"/>
      <c r="AC12" s="344"/>
      <c r="AD12" s="344"/>
      <c r="AE12" s="344"/>
      <c r="AF12" s="344"/>
      <c r="AG12" s="344"/>
      <c r="AH12" s="344"/>
      <c r="AI12" s="344"/>
      <c r="AJ12" s="344"/>
      <c r="AK12" s="344"/>
      <c r="AL12" s="344"/>
      <c r="AM12" s="344"/>
      <c r="AN12" s="344"/>
      <c r="AO12" s="344"/>
      <c r="AP12" s="344"/>
      <c r="AQ12" s="344"/>
      <c r="AR12" s="344"/>
      <c r="AS12" s="344"/>
      <c r="AT12" s="344"/>
      <c r="AU12" s="344"/>
      <c r="AV12" s="344"/>
      <c r="AW12" s="344"/>
      <c r="AX12" s="344"/>
      <c r="AY12" s="344"/>
      <c r="AZ12" s="344"/>
      <c r="BA12" s="344"/>
      <c r="BB12" s="344"/>
      <c r="BC12" s="345"/>
      <c r="BD12" s="345"/>
      <c r="DJ12" s="334"/>
    </row>
    <row r="13" spans="1:120" s="333" customFormat="1" ht="17.25" customHeight="1" x14ac:dyDescent="0.2">
      <c r="A13" s="350" t="s">
        <v>855</v>
      </c>
      <c r="B13" s="351">
        <f>+AJ76</f>
        <v>7045725</v>
      </c>
      <c r="C13" s="351">
        <f>+AK76</f>
        <v>7661543</v>
      </c>
      <c r="D13" s="351">
        <f>+AL76</f>
        <v>0</v>
      </c>
      <c r="E13" s="351">
        <f>+AM76</f>
        <v>0</v>
      </c>
      <c r="F13" s="351">
        <f>+AN76</f>
        <v>0</v>
      </c>
      <c r="G13" s="377">
        <f t="shared" ref="G13:G15" si="1">SUM(B13:F13)</f>
        <v>14707268</v>
      </c>
      <c r="H13" s="474"/>
      <c r="I13" s="474"/>
      <c r="J13" s="344"/>
      <c r="K13" s="344"/>
      <c r="L13" s="344"/>
      <c r="M13" s="344"/>
      <c r="N13" s="344"/>
      <c r="O13" s="344"/>
      <c r="P13" s="344"/>
      <c r="Q13" s="344"/>
      <c r="R13" s="344"/>
      <c r="S13" s="344"/>
      <c r="T13" s="344"/>
      <c r="U13" s="344"/>
      <c r="V13" s="344"/>
      <c r="W13" s="344"/>
      <c r="X13" s="344"/>
      <c r="Y13" s="344"/>
      <c r="Z13" s="344"/>
      <c r="AA13" s="344"/>
      <c r="AB13" s="344"/>
      <c r="AC13" s="344"/>
      <c r="AD13" s="344"/>
      <c r="AE13" s="344"/>
      <c r="AF13" s="344"/>
      <c r="AG13" s="344"/>
      <c r="AH13" s="344"/>
      <c r="AI13" s="344"/>
      <c r="AJ13" s="344"/>
      <c r="AK13" s="344"/>
      <c r="AL13" s="344"/>
      <c r="AM13" s="344"/>
      <c r="AN13" s="344"/>
      <c r="AO13" s="344"/>
      <c r="AP13" s="344"/>
      <c r="AQ13" s="344"/>
      <c r="AR13" s="344"/>
      <c r="AS13" s="344"/>
      <c r="AT13" s="344"/>
      <c r="AU13" s="344"/>
      <c r="AV13" s="344"/>
      <c r="AW13" s="344"/>
      <c r="AX13" s="344"/>
      <c r="AY13" s="344"/>
      <c r="AZ13" s="344"/>
      <c r="BA13" s="344"/>
      <c r="BB13" s="344"/>
      <c r="BC13" s="345"/>
      <c r="BD13" s="345"/>
      <c r="DJ13" s="334"/>
    </row>
    <row r="14" spans="1:120" s="333" customFormat="1" ht="19.5" customHeight="1" x14ac:dyDescent="0.2">
      <c r="A14" s="350" t="s">
        <v>861</v>
      </c>
      <c r="B14" s="351">
        <f>+AO76</f>
        <v>20031558</v>
      </c>
      <c r="C14" s="351">
        <f>+AP76</f>
        <v>23180099</v>
      </c>
      <c r="D14" s="351">
        <f>+AQ76</f>
        <v>0</v>
      </c>
      <c r="E14" s="351">
        <f>+AR76</f>
        <v>1336967</v>
      </c>
      <c r="F14" s="351">
        <f>+AX76</f>
        <v>0</v>
      </c>
      <c r="G14" s="377">
        <f t="shared" si="1"/>
        <v>44548624</v>
      </c>
      <c r="H14" s="474"/>
      <c r="I14" s="474"/>
      <c r="J14" s="344"/>
      <c r="K14" s="344"/>
      <c r="L14" s="344"/>
      <c r="M14" s="344"/>
      <c r="N14" s="344"/>
      <c r="O14" s="344"/>
      <c r="P14" s="344"/>
      <c r="Q14" s="344"/>
      <c r="R14" s="344"/>
      <c r="S14" s="344"/>
      <c r="T14" s="344"/>
      <c r="U14" s="344"/>
      <c r="V14" s="344"/>
      <c r="W14" s="344"/>
      <c r="X14" s="344"/>
      <c r="Y14" s="344"/>
      <c r="Z14" s="344"/>
      <c r="AA14" s="344"/>
      <c r="AB14" s="344"/>
      <c r="AC14" s="344"/>
      <c r="AD14" s="344"/>
      <c r="AE14" s="344"/>
      <c r="AF14" s="344"/>
      <c r="AG14" s="344"/>
      <c r="AH14" s="344"/>
      <c r="AI14" s="344"/>
      <c r="AJ14" s="344"/>
      <c r="AK14" s="344"/>
      <c r="AL14" s="344"/>
      <c r="AM14" s="344"/>
      <c r="AN14" s="344"/>
      <c r="AO14" s="344"/>
      <c r="AP14" s="344"/>
      <c r="AQ14" s="344"/>
      <c r="AR14" s="344"/>
      <c r="AS14" s="344"/>
      <c r="AT14" s="344"/>
      <c r="AU14" s="344"/>
      <c r="AV14" s="344"/>
      <c r="AW14" s="344"/>
      <c r="AX14" s="344"/>
      <c r="AY14" s="344"/>
      <c r="AZ14" s="344"/>
      <c r="BA14" s="344"/>
      <c r="BB14" s="344"/>
      <c r="BC14" s="345"/>
      <c r="BD14" s="345"/>
      <c r="DJ14" s="334"/>
    </row>
    <row r="15" spans="1:120" s="333" customFormat="1" ht="18.75" x14ac:dyDescent="0.2">
      <c r="A15" s="378" t="s">
        <v>64</v>
      </c>
      <c r="B15" s="377">
        <f>+AT76</f>
        <v>45671152</v>
      </c>
      <c r="C15" s="377">
        <f>+AU76</f>
        <v>4612185</v>
      </c>
      <c r="D15" s="377">
        <f>+AV76</f>
        <v>0</v>
      </c>
      <c r="E15" s="377">
        <f>+AW76</f>
        <v>71577049</v>
      </c>
      <c r="F15" s="377">
        <v>0</v>
      </c>
      <c r="G15" s="377">
        <f t="shared" si="1"/>
        <v>121860386</v>
      </c>
      <c r="H15" s="344"/>
      <c r="I15" s="344"/>
      <c r="J15" s="344"/>
      <c r="K15" s="344"/>
      <c r="L15" s="344"/>
      <c r="M15" s="344"/>
      <c r="N15" s="344"/>
      <c r="O15" s="344"/>
      <c r="P15" s="344"/>
      <c r="Q15" s="344"/>
      <c r="R15" s="344"/>
      <c r="S15" s="344"/>
      <c r="T15" s="344"/>
      <c r="U15" s="344"/>
      <c r="V15" s="344"/>
      <c r="W15" s="344"/>
      <c r="X15" s="344"/>
      <c r="Y15" s="344"/>
      <c r="Z15" s="344"/>
      <c r="AA15" s="344"/>
      <c r="AB15" s="344"/>
      <c r="AC15" s="344"/>
      <c r="AD15" s="344"/>
      <c r="AE15" s="344"/>
      <c r="AF15" s="344"/>
      <c r="AG15" s="344"/>
      <c r="AH15" s="344"/>
      <c r="AI15" s="344"/>
      <c r="AJ15" s="344"/>
      <c r="AK15" s="344"/>
      <c r="AL15" s="344"/>
      <c r="AM15" s="344"/>
      <c r="AN15" s="344"/>
      <c r="AO15" s="344"/>
      <c r="AP15" s="344"/>
      <c r="AQ15" s="344"/>
      <c r="AR15" s="344"/>
      <c r="AS15" s="344"/>
      <c r="AT15" s="344"/>
      <c r="AU15" s="344"/>
      <c r="AV15" s="344"/>
      <c r="AW15" s="344"/>
      <c r="AX15" s="344"/>
      <c r="AY15" s="344"/>
      <c r="AZ15" s="344"/>
      <c r="BA15" s="344"/>
      <c r="BB15" s="344"/>
      <c r="BC15" s="345"/>
      <c r="BD15" s="345"/>
      <c r="DJ15" s="334"/>
    </row>
    <row r="16" spans="1:120" s="333" customFormat="1" ht="18.75" hidden="1" x14ac:dyDescent="0.2">
      <c r="A16" s="352" t="s">
        <v>65</v>
      </c>
      <c r="B16" s="351"/>
      <c r="C16" s="351"/>
      <c r="D16" s="351"/>
      <c r="E16" s="351"/>
      <c r="F16" s="351" t="s">
        <v>196</v>
      </c>
      <c r="G16" s="377">
        <f t="shared" si="0"/>
        <v>0</v>
      </c>
      <c r="H16" s="344"/>
      <c r="I16" s="344"/>
      <c r="J16" s="344"/>
      <c r="K16" s="344"/>
      <c r="L16" s="344"/>
      <c r="M16" s="344"/>
      <c r="N16" s="344"/>
      <c r="O16" s="344"/>
      <c r="P16" s="344"/>
      <c r="Q16" s="344"/>
      <c r="R16" s="344"/>
      <c r="S16" s="344"/>
      <c r="T16" s="344"/>
      <c r="U16" s="344"/>
      <c r="V16" s="344"/>
      <c r="W16" s="344"/>
      <c r="X16" s="344"/>
      <c r="Y16" s="344"/>
      <c r="Z16" s="344"/>
      <c r="AA16" s="344"/>
      <c r="AB16" s="344"/>
      <c r="AC16" s="344"/>
      <c r="AD16" s="344"/>
      <c r="AE16" s="344"/>
      <c r="AF16" s="344"/>
      <c r="AG16" s="344"/>
      <c r="AH16" s="344"/>
      <c r="AI16" s="344"/>
      <c r="AJ16" s="344"/>
      <c r="AK16" s="344"/>
      <c r="AL16" s="344"/>
      <c r="AM16" s="344"/>
      <c r="AN16" s="344"/>
      <c r="AO16" s="344"/>
      <c r="AP16" s="344"/>
      <c r="AQ16" s="344"/>
      <c r="AR16" s="344"/>
      <c r="AS16" s="344"/>
      <c r="AT16" s="344"/>
      <c r="AU16" s="344"/>
      <c r="AV16" s="344"/>
      <c r="AW16" s="344"/>
      <c r="AX16" s="344"/>
      <c r="AY16" s="344"/>
      <c r="AZ16" s="344"/>
      <c r="BA16" s="344"/>
      <c r="BB16" s="344"/>
      <c r="BC16" s="345"/>
      <c r="BD16" s="345"/>
      <c r="DJ16" s="334"/>
    </row>
    <row r="17" spans="1:120" s="333" customFormat="1" ht="18.75" hidden="1" x14ac:dyDescent="0.2">
      <c r="A17" s="352" t="s">
        <v>101</v>
      </c>
      <c r="B17" s="351"/>
      <c r="C17" s="351"/>
      <c r="D17" s="351"/>
      <c r="E17" s="351"/>
      <c r="F17" s="351" t="s">
        <v>196</v>
      </c>
      <c r="G17" s="377">
        <f t="shared" si="0"/>
        <v>0</v>
      </c>
      <c r="H17" s="344"/>
      <c r="I17" s="344"/>
      <c r="J17" s="344"/>
      <c r="K17" s="344"/>
      <c r="L17" s="344"/>
      <c r="M17" s="344"/>
      <c r="N17" s="344"/>
      <c r="O17" s="344"/>
      <c r="P17" s="344"/>
      <c r="Q17" s="344"/>
      <c r="R17" s="344"/>
      <c r="S17" s="344"/>
      <c r="T17" s="344"/>
      <c r="U17" s="344"/>
      <c r="V17" s="344"/>
      <c r="W17" s="344"/>
      <c r="X17" s="344"/>
      <c r="Y17" s="344"/>
      <c r="Z17" s="344"/>
      <c r="AA17" s="344"/>
      <c r="AB17" s="344"/>
      <c r="AC17" s="344"/>
      <c r="AD17" s="344"/>
      <c r="AE17" s="344"/>
      <c r="AF17" s="344"/>
      <c r="AG17" s="344"/>
      <c r="AH17" s="344"/>
      <c r="AI17" s="344"/>
      <c r="AJ17" s="344"/>
      <c r="AK17" s="344"/>
      <c r="AL17" s="344"/>
      <c r="AM17" s="344"/>
      <c r="AN17" s="344"/>
      <c r="AO17" s="344"/>
      <c r="AP17" s="344"/>
      <c r="AQ17" s="344"/>
      <c r="AR17" s="344"/>
      <c r="AS17" s="344"/>
      <c r="AT17" s="344"/>
      <c r="AU17" s="344"/>
      <c r="AV17" s="344"/>
      <c r="AW17" s="344"/>
      <c r="AX17" s="344"/>
      <c r="AY17" s="344"/>
      <c r="AZ17" s="344"/>
      <c r="BA17" s="344"/>
      <c r="BB17" s="344"/>
      <c r="BC17" s="345"/>
      <c r="BD17" s="345"/>
      <c r="DJ17" s="334"/>
    </row>
    <row r="18" spans="1:120" s="333" customFormat="1" ht="18.75" x14ac:dyDescent="0.2">
      <c r="A18" s="375" t="s">
        <v>36</v>
      </c>
      <c r="B18" s="376">
        <f t="shared" ref="B18:G18" si="2">ROUND(SUM(B6:B17),0)</f>
        <v>46295594130</v>
      </c>
      <c r="C18" s="376">
        <f t="shared" si="2"/>
        <v>30629166252</v>
      </c>
      <c r="D18" s="376">
        <f t="shared" si="2"/>
        <v>4357612606</v>
      </c>
      <c r="E18" s="376">
        <f t="shared" si="2"/>
        <v>24211405397</v>
      </c>
      <c r="F18" s="376">
        <f t="shared" si="2"/>
        <v>9092582568</v>
      </c>
      <c r="G18" s="376">
        <f t="shared" si="2"/>
        <v>114586360953</v>
      </c>
      <c r="H18" s="344"/>
      <c r="I18" s="344"/>
      <c r="J18" s="344"/>
      <c r="K18" s="344"/>
      <c r="L18" s="344"/>
      <c r="M18" s="344"/>
      <c r="N18" s="344"/>
      <c r="O18" s="344"/>
      <c r="P18" s="344"/>
      <c r="Q18" s="344"/>
      <c r="R18" s="344"/>
      <c r="S18" s="344"/>
      <c r="T18" s="344"/>
      <c r="U18" s="344"/>
      <c r="V18" s="344"/>
      <c r="W18" s="344"/>
      <c r="X18" s="344"/>
      <c r="Y18" s="344"/>
      <c r="Z18" s="344"/>
      <c r="AA18" s="344"/>
      <c r="AB18" s="344"/>
      <c r="AC18" s="344"/>
      <c r="AD18" s="344"/>
      <c r="AE18" s="344"/>
      <c r="AF18" s="344"/>
      <c r="AG18" s="344"/>
      <c r="AH18" s="344"/>
      <c r="AI18" s="344"/>
      <c r="AJ18" s="344"/>
      <c r="AK18" s="344"/>
      <c r="AL18" s="344"/>
      <c r="AM18" s="344"/>
      <c r="AN18" s="344"/>
      <c r="AO18" s="344"/>
      <c r="AP18" s="344"/>
      <c r="AQ18" s="344"/>
      <c r="AR18" s="344"/>
      <c r="AS18" s="344"/>
      <c r="AT18" s="344"/>
      <c r="AU18" s="344"/>
      <c r="AV18" s="344"/>
      <c r="AW18" s="344"/>
      <c r="AX18" s="344"/>
      <c r="AY18" s="344"/>
      <c r="AZ18" s="344"/>
      <c r="BA18" s="344"/>
      <c r="BB18" s="344"/>
      <c r="BC18" s="345"/>
      <c r="BD18" s="345"/>
      <c r="DJ18" s="334"/>
    </row>
    <row r="19" spans="1:120" s="333" customFormat="1" ht="12" customHeight="1" x14ac:dyDescent="0.2">
      <c r="A19" s="353"/>
      <c r="B19" s="353"/>
      <c r="C19" s="353"/>
      <c r="D19" s="353"/>
      <c r="E19" s="353"/>
      <c r="F19" s="353"/>
      <c r="G19" s="353"/>
      <c r="H19" s="353"/>
      <c r="I19" s="353"/>
      <c r="J19" s="353"/>
      <c r="K19" s="353"/>
      <c r="L19" s="353"/>
      <c r="M19" s="353"/>
      <c r="N19" s="353"/>
      <c r="O19" s="353"/>
      <c r="P19" s="353"/>
      <c r="Q19" s="353"/>
      <c r="R19" s="353"/>
      <c r="S19" s="353"/>
      <c r="T19" s="353"/>
      <c r="U19" s="353"/>
      <c r="V19" s="353"/>
      <c r="W19" s="353"/>
      <c r="X19" s="353"/>
      <c r="Y19" s="353"/>
      <c r="Z19" s="353"/>
      <c r="AA19" s="353"/>
      <c r="AB19" s="353"/>
      <c r="AC19" s="353"/>
      <c r="AD19" s="353"/>
      <c r="AE19" s="353"/>
      <c r="AF19" s="353"/>
      <c r="AG19" s="353"/>
      <c r="AH19" s="353"/>
      <c r="AI19" s="353"/>
      <c r="AJ19" s="353"/>
      <c r="AK19" s="353"/>
      <c r="AL19" s="353"/>
      <c r="AM19" s="353"/>
      <c r="AN19" s="353"/>
      <c r="AO19" s="353"/>
      <c r="AP19" s="353"/>
      <c r="AQ19" s="353"/>
      <c r="AR19" s="353"/>
      <c r="AS19" s="353"/>
      <c r="AT19" s="353"/>
      <c r="AU19" s="353"/>
      <c r="AV19" s="353"/>
      <c r="AW19" s="353"/>
      <c r="AX19" s="353"/>
      <c r="AY19" s="353"/>
      <c r="AZ19" s="353"/>
      <c r="BA19" s="353"/>
      <c r="BB19" s="353"/>
      <c r="BC19" s="354"/>
      <c r="BD19" s="345"/>
      <c r="BE19" s="345"/>
      <c r="BF19" s="345"/>
      <c r="BG19" s="345"/>
      <c r="BH19" s="345"/>
      <c r="BI19" s="345"/>
      <c r="BJ19" s="345"/>
      <c r="BK19" s="345"/>
      <c r="BL19" s="354"/>
      <c r="BM19" s="354"/>
      <c r="BN19" s="354"/>
      <c r="BO19" s="354"/>
      <c r="BP19" s="354"/>
      <c r="BQ19" s="354"/>
      <c r="BR19" s="354"/>
      <c r="BS19" s="354"/>
      <c r="BT19" s="354"/>
      <c r="BU19" s="354"/>
      <c r="BV19" s="354"/>
      <c r="BW19" s="354"/>
      <c r="BX19" s="354"/>
      <c r="BY19" s="354"/>
      <c r="BZ19" s="354"/>
      <c r="CA19" s="354"/>
      <c r="CB19" s="354"/>
      <c r="CC19" s="354"/>
      <c r="CD19" s="354"/>
      <c r="CE19" s="354"/>
      <c r="CF19" s="354"/>
      <c r="CG19" s="354"/>
      <c r="CH19" s="354"/>
      <c r="CI19" s="354"/>
      <c r="CJ19" s="354"/>
      <c r="CK19" s="354"/>
      <c r="CL19" s="354"/>
      <c r="CM19" s="354"/>
      <c r="CN19" s="354"/>
      <c r="DP19" s="334"/>
    </row>
    <row r="20" spans="1:120" s="358" customFormat="1" ht="12" customHeight="1" x14ac:dyDescent="0.2">
      <c r="A20" s="575"/>
      <c r="B20" s="830" t="s">
        <v>154</v>
      </c>
      <c r="C20" s="830"/>
      <c r="D20" s="830"/>
      <c r="E20" s="830"/>
      <c r="F20" s="830"/>
      <c r="G20" s="831" t="s">
        <v>804</v>
      </c>
      <c r="H20" s="831"/>
      <c r="I20" s="831"/>
      <c r="J20" s="831"/>
      <c r="K20" s="831"/>
      <c r="L20" s="831" t="s">
        <v>843</v>
      </c>
      <c r="M20" s="831"/>
      <c r="N20" s="831"/>
      <c r="O20" s="831"/>
      <c r="P20" s="832" t="s">
        <v>22</v>
      </c>
      <c r="Q20" s="832"/>
      <c r="R20" s="832"/>
      <c r="S20" s="832"/>
      <c r="T20" s="832"/>
      <c r="U20" s="826" t="s">
        <v>437</v>
      </c>
      <c r="V20" s="827"/>
      <c r="W20" s="827"/>
      <c r="X20" s="827"/>
      <c r="Y20" s="827"/>
      <c r="Z20" s="827"/>
      <c r="AA20" s="827"/>
      <c r="AB20" s="827"/>
      <c r="AC20" s="827"/>
      <c r="AD20" s="828"/>
      <c r="AE20" s="823" t="s">
        <v>195</v>
      </c>
      <c r="AF20" s="824"/>
      <c r="AG20" s="824"/>
      <c r="AH20" s="824"/>
      <c r="AI20" s="825"/>
      <c r="AJ20" s="826" t="s">
        <v>822</v>
      </c>
      <c r="AK20" s="827"/>
      <c r="AL20" s="827"/>
      <c r="AM20" s="827"/>
      <c r="AN20" s="828"/>
      <c r="AO20" s="826" t="s">
        <v>861</v>
      </c>
      <c r="AP20" s="827"/>
      <c r="AQ20" s="827"/>
      <c r="AR20" s="827"/>
      <c r="AS20" s="827"/>
      <c r="AT20" s="826" t="s">
        <v>64</v>
      </c>
      <c r="AU20" s="827"/>
      <c r="AV20" s="827"/>
      <c r="AW20" s="827"/>
      <c r="AX20" s="827"/>
      <c r="AY20" s="576" t="s">
        <v>63</v>
      </c>
      <c r="AZ20" s="356"/>
      <c r="BA20" s="357" t="s">
        <v>59</v>
      </c>
      <c r="BB20" s="355"/>
    </row>
    <row r="21" spans="1:120" s="362" customFormat="1" x14ac:dyDescent="0.2">
      <c r="A21" s="359"/>
      <c r="B21" s="574" t="s">
        <v>941</v>
      </c>
      <c r="C21" s="574" t="s">
        <v>942</v>
      </c>
      <c r="D21" s="370" t="s">
        <v>53</v>
      </c>
      <c r="E21" s="574" t="s">
        <v>1009</v>
      </c>
      <c r="F21" s="370" t="s">
        <v>1203</v>
      </c>
      <c r="G21" s="574" t="s">
        <v>941</v>
      </c>
      <c r="H21" s="574" t="s">
        <v>942</v>
      </c>
      <c r="I21" s="574" t="s">
        <v>53</v>
      </c>
      <c r="J21" s="574" t="s">
        <v>1009</v>
      </c>
      <c r="K21" s="574" t="s">
        <v>1203</v>
      </c>
      <c r="L21" s="574" t="s">
        <v>941</v>
      </c>
      <c r="M21" s="574" t="s">
        <v>942</v>
      </c>
      <c r="N21" s="574" t="s">
        <v>1009</v>
      </c>
      <c r="O21" s="574" t="s">
        <v>1203</v>
      </c>
      <c r="P21" s="574" t="s">
        <v>941</v>
      </c>
      <c r="Q21" s="574" t="s">
        <v>942</v>
      </c>
      <c r="R21" s="574" t="s">
        <v>53</v>
      </c>
      <c r="S21" s="574" t="s">
        <v>1009</v>
      </c>
      <c r="T21" s="574" t="s">
        <v>1203</v>
      </c>
      <c r="U21" s="574" t="s">
        <v>941</v>
      </c>
      <c r="V21" s="679" t="s">
        <v>1757</v>
      </c>
      <c r="W21" s="574" t="s">
        <v>942</v>
      </c>
      <c r="X21" s="679" t="s">
        <v>1758</v>
      </c>
      <c r="Y21" s="574" t="s">
        <v>53</v>
      </c>
      <c r="Z21" s="679" t="s">
        <v>2671</v>
      </c>
      <c r="AA21" s="574" t="s">
        <v>1009</v>
      </c>
      <c r="AB21" s="679" t="s">
        <v>1759</v>
      </c>
      <c r="AC21" s="574" t="s">
        <v>1203</v>
      </c>
      <c r="AD21" s="679" t="s">
        <v>1760</v>
      </c>
      <c r="AE21" s="574" t="s">
        <v>941</v>
      </c>
      <c r="AF21" s="574" t="s">
        <v>942</v>
      </c>
      <c r="AG21" s="574" t="s">
        <v>53</v>
      </c>
      <c r="AH21" s="574" t="s">
        <v>1009</v>
      </c>
      <c r="AI21" s="574" t="s">
        <v>1203</v>
      </c>
      <c r="AJ21" s="574" t="s">
        <v>941</v>
      </c>
      <c r="AK21" s="574" t="s">
        <v>942</v>
      </c>
      <c r="AL21" s="574" t="s">
        <v>53</v>
      </c>
      <c r="AM21" s="574" t="s">
        <v>1009</v>
      </c>
      <c r="AN21" s="574" t="s">
        <v>1203</v>
      </c>
      <c r="AO21" s="574" t="s">
        <v>941</v>
      </c>
      <c r="AP21" s="574" t="s">
        <v>942</v>
      </c>
      <c r="AQ21" s="574" t="s">
        <v>53</v>
      </c>
      <c r="AR21" s="574" t="s">
        <v>1009</v>
      </c>
      <c r="AS21" s="574" t="s">
        <v>1203</v>
      </c>
      <c r="AT21" s="574" t="s">
        <v>941</v>
      </c>
      <c r="AU21" s="574" t="s">
        <v>942</v>
      </c>
      <c r="AV21" s="574" t="s">
        <v>53</v>
      </c>
      <c r="AW21" s="574" t="s">
        <v>1009</v>
      </c>
      <c r="AX21" s="574" t="s">
        <v>1203</v>
      </c>
      <c r="AY21" s="574" t="s">
        <v>34</v>
      </c>
      <c r="AZ21" s="360" t="s">
        <v>29</v>
      </c>
      <c r="BA21" s="361"/>
      <c r="BB21" s="359"/>
    </row>
    <row r="22" spans="1:120" s="362" customFormat="1" x14ac:dyDescent="0.2">
      <c r="A22" s="363">
        <v>44317</v>
      </c>
      <c r="B22" s="636">
        <v>0</v>
      </c>
      <c r="C22" s="630">
        <v>0</v>
      </c>
      <c r="D22" s="630">
        <v>0</v>
      </c>
      <c r="E22" s="364">
        <v>0</v>
      </c>
      <c r="F22" s="364">
        <v>0</v>
      </c>
      <c r="G22" s="630">
        <v>0</v>
      </c>
      <c r="H22" s="630">
        <v>0</v>
      </c>
      <c r="I22" s="630">
        <v>0</v>
      </c>
      <c r="J22" s="364">
        <v>0</v>
      </c>
      <c r="K22" s="364">
        <v>0</v>
      </c>
      <c r="L22" s="364">
        <v>0</v>
      </c>
      <c r="M22" s="364">
        <v>0</v>
      </c>
      <c r="N22" s="364">
        <v>0</v>
      </c>
      <c r="O22" s="364">
        <v>0</v>
      </c>
      <c r="P22" s="364">
        <v>0</v>
      </c>
      <c r="Q22" s="364">
        <v>0</v>
      </c>
      <c r="R22" s="364">
        <v>0</v>
      </c>
      <c r="S22" s="364">
        <v>0</v>
      </c>
      <c r="T22" s="364">
        <v>0</v>
      </c>
      <c r="U22" s="364">
        <v>0</v>
      </c>
      <c r="V22" s="364">
        <v>0</v>
      </c>
      <c r="W22" s="364">
        <v>0</v>
      </c>
      <c r="X22" s="364">
        <v>0</v>
      </c>
      <c r="Y22" s="364">
        <v>0</v>
      </c>
      <c r="Z22" s="364">
        <v>0</v>
      </c>
      <c r="AA22" s="364">
        <v>0</v>
      </c>
      <c r="AB22" s="364">
        <v>0</v>
      </c>
      <c r="AC22" s="364">
        <v>0</v>
      </c>
      <c r="AD22" s="364">
        <v>0</v>
      </c>
      <c r="AE22" s="364">
        <v>0</v>
      </c>
      <c r="AF22" s="364">
        <v>0</v>
      </c>
      <c r="AG22" s="364">
        <v>0</v>
      </c>
      <c r="AH22" s="364">
        <v>0</v>
      </c>
      <c r="AI22" s="364">
        <v>0</v>
      </c>
      <c r="AJ22" s="364">
        <v>0</v>
      </c>
      <c r="AK22" s="364">
        <v>0</v>
      </c>
      <c r="AL22" s="364">
        <v>0</v>
      </c>
      <c r="AM22" s="364">
        <v>0</v>
      </c>
      <c r="AN22" s="364">
        <v>0</v>
      </c>
      <c r="AO22" s="364">
        <v>0</v>
      </c>
      <c r="AP22" s="364">
        <v>0</v>
      </c>
      <c r="AQ22" s="364">
        <v>0</v>
      </c>
      <c r="AR22" s="364">
        <v>0</v>
      </c>
      <c r="AS22" s="364">
        <v>0</v>
      </c>
      <c r="AT22" s="364">
        <v>0</v>
      </c>
      <c r="AU22" s="364">
        <v>0</v>
      </c>
      <c r="AV22" s="364">
        <v>0</v>
      </c>
      <c r="AW22" s="364">
        <v>0</v>
      </c>
      <c r="AX22" s="364">
        <v>0</v>
      </c>
      <c r="AY22" s="626">
        <f t="shared" ref="AY22:AY53" si="3">SUM(B22:AX22)</f>
        <v>0</v>
      </c>
      <c r="AZ22" s="364" t="e">
        <f>++E22+J22+N22+S22+#REF!</f>
        <v>#REF!</v>
      </c>
      <c r="BA22" s="365" t="e">
        <f t="shared" ref="BA22:BA40" si="4">SUM(AY22:AZ22)</f>
        <v>#REF!</v>
      </c>
    </row>
    <row r="23" spans="1:120" s="362" customFormat="1" x14ac:dyDescent="0.2">
      <c r="A23" s="363">
        <v>44348</v>
      </c>
      <c r="B23" s="636">
        <v>178110998</v>
      </c>
      <c r="C23" s="630">
        <v>0</v>
      </c>
      <c r="D23" s="630">
        <v>0</v>
      </c>
      <c r="E23" s="364">
        <v>0</v>
      </c>
      <c r="F23" s="364">
        <v>0</v>
      </c>
      <c r="G23" s="630">
        <v>0</v>
      </c>
      <c r="H23" s="630">
        <v>0</v>
      </c>
      <c r="I23" s="630">
        <v>0</v>
      </c>
      <c r="J23" s="364">
        <v>0</v>
      </c>
      <c r="K23" s="364">
        <v>0</v>
      </c>
      <c r="L23" s="364">
        <v>0</v>
      </c>
      <c r="M23" s="364">
        <v>0</v>
      </c>
      <c r="N23" s="364">
        <v>0</v>
      </c>
      <c r="O23" s="364">
        <v>0</v>
      </c>
      <c r="P23" s="364">
        <v>0</v>
      </c>
      <c r="Q23" s="364">
        <v>0</v>
      </c>
      <c r="R23" s="364">
        <v>0</v>
      </c>
      <c r="S23" s="364">
        <v>0</v>
      </c>
      <c r="T23" s="364">
        <v>0</v>
      </c>
      <c r="U23" s="364">
        <v>0</v>
      </c>
      <c r="V23" s="364">
        <v>0</v>
      </c>
      <c r="W23" s="364">
        <v>0</v>
      </c>
      <c r="X23" s="364">
        <v>0</v>
      </c>
      <c r="Y23" s="364">
        <v>0</v>
      </c>
      <c r="Z23" s="364">
        <v>0</v>
      </c>
      <c r="AA23" s="364">
        <v>0</v>
      </c>
      <c r="AB23" s="364">
        <v>0</v>
      </c>
      <c r="AC23" s="364">
        <v>0</v>
      </c>
      <c r="AD23" s="364">
        <v>0</v>
      </c>
      <c r="AE23" s="364">
        <v>0</v>
      </c>
      <c r="AF23" s="364">
        <v>0</v>
      </c>
      <c r="AG23" s="364">
        <v>0</v>
      </c>
      <c r="AH23" s="364">
        <v>0</v>
      </c>
      <c r="AI23" s="364">
        <v>0</v>
      </c>
      <c r="AJ23" s="364">
        <v>0</v>
      </c>
      <c r="AK23" s="364">
        <v>0</v>
      </c>
      <c r="AL23" s="364">
        <v>0</v>
      </c>
      <c r="AM23" s="364">
        <v>0</v>
      </c>
      <c r="AN23" s="364">
        <v>0</v>
      </c>
      <c r="AO23" s="364">
        <v>0</v>
      </c>
      <c r="AP23" s="364">
        <v>0</v>
      </c>
      <c r="AQ23" s="364">
        <v>0</v>
      </c>
      <c r="AR23" s="364">
        <v>0</v>
      </c>
      <c r="AS23" s="364">
        <v>0</v>
      </c>
      <c r="AT23" s="364">
        <v>0</v>
      </c>
      <c r="AU23" s="364">
        <v>0</v>
      </c>
      <c r="AV23" s="364">
        <v>0</v>
      </c>
      <c r="AW23" s="364">
        <v>0</v>
      </c>
      <c r="AX23" s="364">
        <v>0</v>
      </c>
      <c r="AY23" s="631">
        <f t="shared" si="3"/>
        <v>178110998</v>
      </c>
      <c r="AZ23" s="364" t="e">
        <f>++E23+J23+N23+S23+#REF!</f>
        <v>#REF!</v>
      </c>
      <c r="BA23" s="365" t="e">
        <f>SUM(AY23:AZ23)</f>
        <v>#REF!</v>
      </c>
    </row>
    <row r="24" spans="1:120" s="362" customFormat="1" x14ac:dyDescent="0.2">
      <c r="A24" s="363">
        <v>44378</v>
      </c>
      <c r="B24" s="636">
        <v>611681847</v>
      </c>
      <c r="C24" s="630">
        <v>97001000</v>
      </c>
      <c r="D24" s="630">
        <v>0</v>
      </c>
      <c r="E24" s="364">
        <v>0</v>
      </c>
      <c r="F24" s="364">
        <v>0</v>
      </c>
      <c r="G24" s="630">
        <v>0</v>
      </c>
      <c r="H24" s="630">
        <v>0</v>
      </c>
      <c r="I24" s="630">
        <v>0</v>
      </c>
      <c r="J24" s="364">
        <v>0</v>
      </c>
      <c r="K24" s="364">
        <v>0</v>
      </c>
      <c r="L24" s="364">
        <v>0</v>
      </c>
      <c r="M24" s="364">
        <v>0</v>
      </c>
      <c r="N24" s="364">
        <v>0</v>
      </c>
      <c r="O24" s="364">
        <v>0</v>
      </c>
      <c r="P24" s="364">
        <v>0</v>
      </c>
      <c r="Q24" s="364">
        <v>0</v>
      </c>
      <c r="R24" s="364">
        <v>0</v>
      </c>
      <c r="S24" s="364">
        <v>0</v>
      </c>
      <c r="T24" s="364">
        <v>0</v>
      </c>
      <c r="U24" s="364">
        <v>0</v>
      </c>
      <c r="V24" s="364">
        <v>0</v>
      </c>
      <c r="W24" s="364">
        <v>0</v>
      </c>
      <c r="X24" s="364">
        <v>0</v>
      </c>
      <c r="Y24" s="364">
        <v>0</v>
      </c>
      <c r="Z24" s="364">
        <v>0</v>
      </c>
      <c r="AA24" s="364">
        <v>0</v>
      </c>
      <c r="AB24" s="364">
        <v>0</v>
      </c>
      <c r="AC24" s="364">
        <v>0</v>
      </c>
      <c r="AD24" s="364">
        <v>0</v>
      </c>
      <c r="AE24" s="364">
        <v>0</v>
      </c>
      <c r="AF24" s="364">
        <v>0</v>
      </c>
      <c r="AG24" s="364">
        <v>0</v>
      </c>
      <c r="AH24" s="364">
        <v>0</v>
      </c>
      <c r="AI24" s="364">
        <v>0</v>
      </c>
      <c r="AJ24" s="364">
        <v>0</v>
      </c>
      <c r="AK24" s="364">
        <v>0</v>
      </c>
      <c r="AL24" s="364">
        <v>0</v>
      </c>
      <c r="AM24" s="364">
        <v>0</v>
      </c>
      <c r="AN24" s="364">
        <v>0</v>
      </c>
      <c r="AO24" s="364">
        <v>0</v>
      </c>
      <c r="AP24" s="364">
        <v>0</v>
      </c>
      <c r="AQ24" s="364">
        <v>0</v>
      </c>
      <c r="AR24" s="364">
        <v>0</v>
      </c>
      <c r="AS24" s="364">
        <v>0</v>
      </c>
      <c r="AT24" s="364">
        <v>0</v>
      </c>
      <c r="AU24" s="364">
        <v>0</v>
      </c>
      <c r="AV24" s="364">
        <v>0</v>
      </c>
      <c r="AW24" s="364">
        <v>0</v>
      </c>
      <c r="AX24" s="364">
        <v>0</v>
      </c>
      <c r="AY24" s="631">
        <f t="shared" si="3"/>
        <v>708682847</v>
      </c>
      <c r="AZ24" s="364" t="e">
        <f>++E24+J24+N24+S24+#REF!</f>
        <v>#REF!</v>
      </c>
      <c r="BA24" s="365" t="e">
        <f t="shared" si="4"/>
        <v>#REF!</v>
      </c>
    </row>
    <row r="25" spans="1:120" s="362" customFormat="1" x14ac:dyDescent="0.2">
      <c r="A25" s="363">
        <v>44409</v>
      </c>
      <c r="B25" s="636">
        <v>311172326</v>
      </c>
      <c r="C25" s="630">
        <v>37248223</v>
      </c>
      <c r="D25" s="630">
        <v>0</v>
      </c>
      <c r="E25" s="364">
        <v>0</v>
      </c>
      <c r="F25" s="364">
        <v>0</v>
      </c>
      <c r="G25" s="630">
        <v>0</v>
      </c>
      <c r="H25" s="630">
        <v>7972316</v>
      </c>
      <c r="I25" s="630">
        <v>0</v>
      </c>
      <c r="J25" s="364">
        <v>0</v>
      </c>
      <c r="K25" s="364">
        <v>0</v>
      </c>
      <c r="L25" s="364">
        <v>0</v>
      </c>
      <c r="M25" s="364">
        <v>0</v>
      </c>
      <c r="N25" s="364">
        <v>0</v>
      </c>
      <c r="O25" s="364">
        <v>0</v>
      </c>
      <c r="P25" s="364">
        <v>0</v>
      </c>
      <c r="Q25" s="364">
        <v>0</v>
      </c>
      <c r="R25" s="364">
        <v>0</v>
      </c>
      <c r="S25" s="364">
        <v>0</v>
      </c>
      <c r="T25" s="364">
        <v>0</v>
      </c>
      <c r="U25" s="364">
        <v>0</v>
      </c>
      <c r="V25" s="364">
        <v>0</v>
      </c>
      <c r="W25" s="364">
        <v>0</v>
      </c>
      <c r="X25" s="364">
        <v>0</v>
      </c>
      <c r="Y25" s="364">
        <v>0</v>
      </c>
      <c r="Z25" s="364">
        <v>0</v>
      </c>
      <c r="AA25" s="364">
        <v>0</v>
      </c>
      <c r="AB25" s="364">
        <v>0</v>
      </c>
      <c r="AC25" s="364">
        <v>0</v>
      </c>
      <c r="AD25" s="364">
        <v>0</v>
      </c>
      <c r="AE25" s="364">
        <v>0</v>
      </c>
      <c r="AF25" s="364">
        <v>0</v>
      </c>
      <c r="AG25" s="364">
        <v>0</v>
      </c>
      <c r="AH25" s="364">
        <v>0</v>
      </c>
      <c r="AI25" s="364">
        <v>0</v>
      </c>
      <c r="AJ25" s="364">
        <v>0</v>
      </c>
      <c r="AK25" s="364">
        <v>0</v>
      </c>
      <c r="AL25" s="364">
        <v>0</v>
      </c>
      <c r="AM25" s="364">
        <v>0</v>
      </c>
      <c r="AN25" s="364">
        <v>0</v>
      </c>
      <c r="AO25" s="364">
        <v>0</v>
      </c>
      <c r="AP25" s="364">
        <v>0</v>
      </c>
      <c r="AQ25" s="364">
        <v>0</v>
      </c>
      <c r="AR25" s="364">
        <v>0</v>
      </c>
      <c r="AS25" s="364">
        <v>0</v>
      </c>
      <c r="AT25" s="364">
        <v>0</v>
      </c>
      <c r="AU25" s="364">
        <v>0</v>
      </c>
      <c r="AV25" s="364">
        <v>0</v>
      </c>
      <c r="AW25" s="364">
        <v>0</v>
      </c>
      <c r="AX25" s="364">
        <v>0</v>
      </c>
      <c r="AY25" s="631">
        <f t="shared" si="3"/>
        <v>356392865</v>
      </c>
      <c r="AZ25" s="364" t="e">
        <f>++E25+J25+N25+S25+#REF!</f>
        <v>#REF!</v>
      </c>
      <c r="BA25" s="365" t="e">
        <f t="shared" si="4"/>
        <v>#REF!</v>
      </c>
    </row>
    <row r="26" spans="1:120" s="362" customFormat="1" x14ac:dyDescent="0.2">
      <c r="A26" s="363">
        <v>44440</v>
      </c>
      <c r="B26" s="636">
        <v>304766879</v>
      </c>
      <c r="C26" s="630">
        <v>116360318</v>
      </c>
      <c r="D26" s="630">
        <v>0</v>
      </c>
      <c r="E26" s="364">
        <v>0</v>
      </c>
      <c r="F26" s="364">
        <v>0</v>
      </c>
      <c r="G26" s="630">
        <v>0</v>
      </c>
      <c r="H26" s="630">
        <v>64000000</v>
      </c>
      <c r="I26" s="630">
        <v>0</v>
      </c>
      <c r="J26" s="364">
        <v>0</v>
      </c>
      <c r="K26" s="364">
        <v>0</v>
      </c>
      <c r="L26" s="364">
        <v>0</v>
      </c>
      <c r="M26" s="364">
        <v>0</v>
      </c>
      <c r="N26" s="364">
        <v>0</v>
      </c>
      <c r="O26" s="364">
        <v>0</v>
      </c>
      <c r="P26" s="364">
        <v>0</v>
      </c>
      <c r="Q26" s="364">
        <v>0</v>
      </c>
      <c r="R26" s="364">
        <v>0</v>
      </c>
      <c r="S26" s="364">
        <v>0</v>
      </c>
      <c r="T26" s="364">
        <v>0</v>
      </c>
      <c r="U26" s="364">
        <v>0</v>
      </c>
      <c r="V26" s="364">
        <v>0</v>
      </c>
      <c r="W26" s="364">
        <v>0</v>
      </c>
      <c r="X26" s="364">
        <v>0</v>
      </c>
      <c r="Y26" s="364">
        <v>0</v>
      </c>
      <c r="Z26" s="364">
        <v>0</v>
      </c>
      <c r="AA26" s="364">
        <v>0</v>
      </c>
      <c r="AB26" s="364">
        <v>0</v>
      </c>
      <c r="AC26" s="364">
        <v>0</v>
      </c>
      <c r="AD26" s="364">
        <v>0</v>
      </c>
      <c r="AE26" s="364">
        <v>0</v>
      </c>
      <c r="AF26" s="364">
        <v>0</v>
      </c>
      <c r="AG26" s="364">
        <v>0</v>
      </c>
      <c r="AH26" s="364">
        <v>0</v>
      </c>
      <c r="AI26" s="364">
        <v>0</v>
      </c>
      <c r="AJ26" s="364">
        <v>0</v>
      </c>
      <c r="AK26" s="364">
        <v>0</v>
      </c>
      <c r="AL26" s="364">
        <v>0</v>
      </c>
      <c r="AM26" s="364">
        <v>0</v>
      </c>
      <c r="AN26" s="364">
        <v>0</v>
      </c>
      <c r="AO26" s="364">
        <v>0</v>
      </c>
      <c r="AP26" s="364">
        <v>0</v>
      </c>
      <c r="AQ26" s="364">
        <v>0</v>
      </c>
      <c r="AR26" s="364">
        <v>0</v>
      </c>
      <c r="AS26" s="364">
        <v>0</v>
      </c>
      <c r="AT26" s="364">
        <v>0</v>
      </c>
      <c r="AU26" s="364">
        <v>0</v>
      </c>
      <c r="AV26" s="364">
        <v>0</v>
      </c>
      <c r="AW26" s="364">
        <v>0</v>
      </c>
      <c r="AX26" s="364">
        <v>0</v>
      </c>
      <c r="AY26" s="631">
        <f t="shared" si="3"/>
        <v>485127197</v>
      </c>
      <c r="AZ26" s="364" t="e">
        <f>++E26+J26+N26+S26+#REF!</f>
        <v>#REF!</v>
      </c>
      <c r="BA26" s="365" t="e">
        <f t="shared" si="4"/>
        <v>#REF!</v>
      </c>
    </row>
    <row r="27" spans="1:120" s="362" customFormat="1" x14ac:dyDescent="0.2">
      <c r="A27" s="363">
        <v>44470</v>
      </c>
      <c r="B27" s="636">
        <v>343794241</v>
      </c>
      <c r="C27" s="630">
        <v>156411982</v>
      </c>
      <c r="D27" s="630">
        <v>0</v>
      </c>
      <c r="E27" s="364">
        <v>0</v>
      </c>
      <c r="F27" s="364">
        <v>0</v>
      </c>
      <c r="G27" s="630">
        <v>0</v>
      </c>
      <c r="H27" s="630">
        <v>0</v>
      </c>
      <c r="I27" s="630">
        <v>0</v>
      </c>
      <c r="J27" s="364">
        <v>0</v>
      </c>
      <c r="K27" s="364">
        <v>0</v>
      </c>
      <c r="L27" s="364">
        <v>0</v>
      </c>
      <c r="M27" s="364">
        <v>0</v>
      </c>
      <c r="N27" s="364">
        <v>0</v>
      </c>
      <c r="O27" s="364">
        <v>0</v>
      </c>
      <c r="P27" s="364">
        <v>0</v>
      </c>
      <c r="Q27" s="364">
        <v>0</v>
      </c>
      <c r="R27" s="364">
        <v>0</v>
      </c>
      <c r="S27" s="364">
        <v>0</v>
      </c>
      <c r="T27" s="364">
        <v>0</v>
      </c>
      <c r="U27" s="364">
        <v>0</v>
      </c>
      <c r="V27" s="364">
        <v>0</v>
      </c>
      <c r="W27" s="364">
        <v>0</v>
      </c>
      <c r="X27" s="364">
        <v>0</v>
      </c>
      <c r="Y27" s="364">
        <v>0</v>
      </c>
      <c r="Z27" s="364">
        <v>0</v>
      </c>
      <c r="AA27" s="364">
        <v>0</v>
      </c>
      <c r="AB27" s="364">
        <v>0</v>
      </c>
      <c r="AC27" s="364">
        <v>0</v>
      </c>
      <c r="AD27" s="364">
        <v>0</v>
      </c>
      <c r="AE27" s="630">
        <v>649950</v>
      </c>
      <c r="AF27" s="364">
        <v>0</v>
      </c>
      <c r="AG27" s="364">
        <v>0</v>
      </c>
      <c r="AH27" s="364">
        <v>0</v>
      </c>
      <c r="AI27" s="364">
        <v>0</v>
      </c>
      <c r="AJ27" s="364">
        <v>0</v>
      </c>
      <c r="AK27" s="364">
        <v>0</v>
      </c>
      <c r="AL27" s="364">
        <v>0</v>
      </c>
      <c r="AM27" s="364">
        <v>0</v>
      </c>
      <c r="AN27" s="364">
        <v>0</v>
      </c>
      <c r="AO27" s="364">
        <v>0</v>
      </c>
      <c r="AP27" s="364">
        <v>0</v>
      </c>
      <c r="AQ27" s="364">
        <v>0</v>
      </c>
      <c r="AR27" s="364">
        <v>0</v>
      </c>
      <c r="AS27" s="364">
        <v>0</v>
      </c>
      <c r="AT27" s="364">
        <v>0</v>
      </c>
      <c r="AU27" s="364">
        <v>0</v>
      </c>
      <c r="AV27" s="364">
        <v>0</v>
      </c>
      <c r="AW27" s="364">
        <v>0</v>
      </c>
      <c r="AX27" s="364">
        <v>0</v>
      </c>
      <c r="AY27" s="631">
        <f t="shared" si="3"/>
        <v>500856173</v>
      </c>
      <c r="AZ27" s="364" t="e">
        <f>++E27+J27+N27+S27+#REF!</f>
        <v>#REF!</v>
      </c>
      <c r="BA27" s="365" t="e">
        <f t="shared" si="4"/>
        <v>#REF!</v>
      </c>
    </row>
    <row r="28" spans="1:120" s="362" customFormat="1" x14ac:dyDescent="0.2">
      <c r="A28" s="363">
        <v>44501</v>
      </c>
      <c r="B28" s="636">
        <v>340013143</v>
      </c>
      <c r="C28" s="630">
        <v>416288630</v>
      </c>
      <c r="D28" s="630">
        <v>0</v>
      </c>
      <c r="E28" s="364">
        <v>0</v>
      </c>
      <c r="F28" s="364">
        <v>0</v>
      </c>
      <c r="G28" s="630">
        <v>0</v>
      </c>
      <c r="H28" s="630">
        <v>0</v>
      </c>
      <c r="I28" s="630">
        <v>0</v>
      </c>
      <c r="J28" s="364">
        <v>0</v>
      </c>
      <c r="K28" s="364">
        <v>0</v>
      </c>
      <c r="L28" s="364">
        <v>0</v>
      </c>
      <c r="M28" s="364">
        <v>0</v>
      </c>
      <c r="N28" s="364">
        <v>0</v>
      </c>
      <c r="O28" s="364">
        <v>0</v>
      </c>
      <c r="P28" s="364">
        <v>0</v>
      </c>
      <c r="Q28" s="364">
        <v>0</v>
      </c>
      <c r="R28" s="364">
        <v>0</v>
      </c>
      <c r="S28" s="364">
        <v>0</v>
      </c>
      <c r="T28" s="364">
        <v>0</v>
      </c>
      <c r="U28" s="364">
        <v>0</v>
      </c>
      <c r="V28" s="364">
        <v>0</v>
      </c>
      <c r="W28" s="364">
        <v>0</v>
      </c>
      <c r="X28" s="364">
        <v>0</v>
      </c>
      <c r="Y28" s="364">
        <v>0</v>
      </c>
      <c r="Z28" s="364">
        <v>0</v>
      </c>
      <c r="AA28" s="364">
        <v>0</v>
      </c>
      <c r="AB28" s="364">
        <v>0</v>
      </c>
      <c r="AC28" s="364">
        <v>0</v>
      </c>
      <c r="AD28" s="364">
        <v>0</v>
      </c>
      <c r="AE28" s="630">
        <v>1003096</v>
      </c>
      <c r="AF28" s="364">
        <v>0</v>
      </c>
      <c r="AG28" s="364">
        <v>0</v>
      </c>
      <c r="AH28" s="364">
        <v>0</v>
      </c>
      <c r="AI28" s="364">
        <v>0</v>
      </c>
      <c r="AJ28" s="364">
        <v>0</v>
      </c>
      <c r="AK28" s="364">
        <v>0</v>
      </c>
      <c r="AL28" s="364">
        <v>0</v>
      </c>
      <c r="AM28" s="364">
        <v>0</v>
      </c>
      <c r="AN28" s="364">
        <v>0</v>
      </c>
      <c r="AO28" s="364">
        <v>0</v>
      </c>
      <c r="AP28" s="364">
        <v>0</v>
      </c>
      <c r="AQ28" s="364">
        <v>0</v>
      </c>
      <c r="AR28" s="364">
        <v>0</v>
      </c>
      <c r="AS28" s="364">
        <v>0</v>
      </c>
      <c r="AT28" s="364">
        <v>0</v>
      </c>
      <c r="AU28" s="364">
        <v>0</v>
      </c>
      <c r="AV28" s="364">
        <v>0</v>
      </c>
      <c r="AW28" s="364">
        <v>0</v>
      </c>
      <c r="AX28" s="364">
        <v>0</v>
      </c>
      <c r="AY28" s="631">
        <f t="shared" si="3"/>
        <v>757304869</v>
      </c>
      <c r="AZ28" s="364" t="e">
        <f>++E28+J28+N28+S28+#REF!</f>
        <v>#REF!</v>
      </c>
      <c r="BA28" s="365" t="e">
        <f t="shared" si="4"/>
        <v>#REF!</v>
      </c>
    </row>
    <row r="29" spans="1:120" s="362" customFormat="1" x14ac:dyDescent="0.2">
      <c r="A29" s="363">
        <v>44531</v>
      </c>
      <c r="B29" s="636">
        <v>557681684</v>
      </c>
      <c r="C29" s="630">
        <v>214785536</v>
      </c>
      <c r="D29" s="630">
        <v>0</v>
      </c>
      <c r="E29" s="364">
        <v>0</v>
      </c>
      <c r="F29" s="364">
        <v>0</v>
      </c>
      <c r="G29" s="630">
        <v>9240000</v>
      </c>
      <c r="H29" s="630">
        <v>49515000</v>
      </c>
      <c r="I29" s="630">
        <v>0</v>
      </c>
      <c r="J29" s="364">
        <v>0</v>
      </c>
      <c r="K29" s="364">
        <v>0</v>
      </c>
      <c r="L29" s="364">
        <v>0</v>
      </c>
      <c r="M29" s="364">
        <v>0</v>
      </c>
      <c r="N29" s="364">
        <v>0</v>
      </c>
      <c r="O29" s="364">
        <v>0</v>
      </c>
      <c r="P29" s="364">
        <v>0</v>
      </c>
      <c r="Q29" s="364">
        <v>0</v>
      </c>
      <c r="R29" s="364">
        <v>0</v>
      </c>
      <c r="S29" s="364">
        <v>0</v>
      </c>
      <c r="T29" s="364">
        <v>0</v>
      </c>
      <c r="U29" s="364">
        <v>0</v>
      </c>
      <c r="V29" s="364">
        <v>0</v>
      </c>
      <c r="W29" s="364">
        <v>0</v>
      </c>
      <c r="X29" s="364">
        <v>0</v>
      </c>
      <c r="Y29" s="364">
        <v>0</v>
      </c>
      <c r="Z29" s="364">
        <v>0</v>
      </c>
      <c r="AA29" s="364">
        <v>0</v>
      </c>
      <c r="AB29" s="364">
        <v>0</v>
      </c>
      <c r="AC29" s="364">
        <v>0</v>
      </c>
      <c r="AD29" s="364">
        <v>0</v>
      </c>
      <c r="AE29" s="630">
        <v>1932962</v>
      </c>
      <c r="AF29" s="364">
        <v>0</v>
      </c>
      <c r="AG29" s="364">
        <v>0</v>
      </c>
      <c r="AH29" s="364">
        <v>0</v>
      </c>
      <c r="AI29" s="364">
        <v>0</v>
      </c>
      <c r="AJ29" s="364">
        <v>0</v>
      </c>
      <c r="AK29" s="364">
        <v>0</v>
      </c>
      <c r="AL29" s="364">
        <v>0</v>
      </c>
      <c r="AM29" s="364">
        <v>0</v>
      </c>
      <c r="AN29" s="364">
        <v>0</v>
      </c>
      <c r="AO29" s="364">
        <v>0</v>
      </c>
      <c r="AP29" s="364">
        <v>0</v>
      </c>
      <c r="AQ29" s="364">
        <v>0</v>
      </c>
      <c r="AR29" s="364">
        <v>0</v>
      </c>
      <c r="AS29" s="364">
        <v>0</v>
      </c>
      <c r="AT29" s="364">
        <v>0</v>
      </c>
      <c r="AU29" s="364">
        <v>0</v>
      </c>
      <c r="AV29" s="364">
        <v>0</v>
      </c>
      <c r="AW29" s="364">
        <v>0</v>
      </c>
      <c r="AX29" s="364">
        <v>0</v>
      </c>
      <c r="AY29" s="631">
        <f t="shared" si="3"/>
        <v>833155182</v>
      </c>
      <c r="AZ29" s="364" t="e">
        <f>++E29+J29+N29+S29+#REF!</f>
        <v>#REF!</v>
      </c>
      <c r="BA29" s="365" t="e">
        <f t="shared" si="4"/>
        <v>#REF!</v>
      </c>
    </row>
    <row r="30" spans="1:120" s="362" customFormat="1" x14ac:dyDescent="0.2">
      <c r="A30" s="363">
        <v>44562</v>
      </c>
      <c r="B30" s="636">
        <v>316233421</v>
      </c>
      <c r="C30" s="630">
        <v>330992994</v>
      </c>
      <c r="D30" s="630">
        <v>0</v>
      </c>
      <c r="E30" s="364">
        <v>0</v>
      </c>
      <c r="F30" s="364">
        <v>0</v>
      </c>
      <c r="G30" s="630">
        <v>10000000</v>
      </c>
      <c r="H30" s="630">
        <v>0</v>
      </c>
      <c r="I30" s="630">
        <v>0</v>
      </c>
      <c r="J30" s="364">
        <v>0</v>
      </c>
      <c r="K30" s="364">
        <v>0</v>
      </c>
      <c r="L30" s="364">
        <v>0</v>
      </c>
      <c r="M30" s="364">
        <v>0</v>
      </c>
      <c r="N30" s="364">
        <v>0</v>
      </c>
      <c r="O30" s="364">
        <v>0</v>
      </c>
      <c r="P30" s="364">
        <v>0</v>
      </c>
      <c r="Q30" s="364">
        <v>0</v>
      </c>
      <c r="R30" s="364">
        <v>0</v>
      </c>
      <c r="S30" s="364">
        <v>0</v>
      </c>
      <c r="T30" s="364">
        <v>0</v>
      </c>
      <c r="U30" s="364">
        <v>0</v>
      </c>
      <c r="V30" s="364">
        <v>0</v>
      </c>
      <c r="W30" s="364">
        <v>0</v>
      </c>
      <c r="X30" s="364">
        <v>0</v>
      </c>
      <c r="Y30" s="364">
        <v>0</v>
      </c>
      <c r="Z30" s="364">
        <v>0</v>
      </c>
      <c r="AA30" s="364">
        <v>0</v>
      </c>
      <c r="AB30" s="364">
        <v>0</v>
      </c>
      <c r="AC30" s="364">
        <v>0</v>
      </c>
      <c r="AD30" s="364">
        <v>0</v>
      </c>
      <c r="AE30" s="630">
        <v>-78264</v>
      </c>
      <c r="AF30" s="364">
        <v>0</v>
      </c>
      <c r="AG30" s="364">
        <v>0</v>
      </c>
      <c r="AH30" s="364">
        <v>0</v>
      </c>
      <c r="AI30" s="364">
        <v>0</v>
      </c>
      <c r="AJ30" s="364">
        <v>0</v>
      </c>
      <c r="AK30" s="364">
        <v>0</v>
      </c>
      <c r="AL30" s="364">
        <v>0</v>
      </c>
      <c r="AM30" s="364">
        <v>0</v>
      </c>
      <c r="AN30" s="364">
        <v>0</v>
      </c>
      <c r="AO30" s="364">
        <v>0</v>
      </c>
      <c r="AP30" s="364">
        <v>0</v>
      </c>
      <c r="AQ30" s="364">
        <v>0</v>
      </c>
      <c r="AR30" s="364">
        <v>0</v>
      </c>
      <c r="AS30" s="364">
        <v>0</v>
      </c>
      <c r="AT30" s="364">
        <v>0</v>
      </c>
      <c r="AU30" s="364">
        <v>0</v>
      </c>
      <c r="AV30" s="364">
        <v>0</v>
      </c>
      <c r="AW30" s="364">
        <v>0</v>
      </c>
      <c r="AX30" s="364">
        <v>0</v>
      </c>
      <c r="AY30" s="631">
        <f t="shared" si="3"/>
        <v>657148151</v>
      </c>
      <c r="AZ30" s="364" t="e">
        <f>++E30+J30+N30+S30+#REF!</f>
        <v>#REF!</v>
      </c>
      <c r="BA30" s="365" t="e">
        <f>SUM(AY30:AZ30)</f>
        <v>#REF!</v>
      </c>
    </row>
    <row r="31" spans="1:120" s="362" customFormat="1" x14ac:dyDescent="0.2">
      <c r="A31" s="363">
        <v>44593</v>
      </c>
      <c r="B31" s="364">
        <v>317134128</v>
      </c>
      <c r="C31" s="364">
        <v>260748846</v>
      </c>
      <c r="D31" s="364">
        <v>0</v>
      </c>
      <c r="E31" s="364">
        <v>36581244</v>
      </c>
      <c r="F31" s="364">
        <v>0</v>
      </c>
      <c r="G31" s="364">
        <v>3000000</v>
      </c>
      <c r="H31" s="364">
        <v>0</v>
      </c>
      <c r="I31" s="364">
        <v>0</v>
      </c>
      <c r="J31" s="364">
        <v>0</v>
      </c>
      <c r="K31" s="364">
        <v>0</v>
      </c>
      <c r="L31" s="364">
        <v>0</v>
      </c>
      <c r="M31" s="364">
        <v>0</v>
      </c>
      <c r="N31" s="364">
        <v>0</v>
      </c>
      <c r="O31" s="364">
        <v>0</v>
      </c>
      <c r="P31" s="364">
        <v>0</v>
      </c>
      <c r="Q31" s="364">
        <v>0</v>
      </c>
      <c r="R31" s="364">
        <v>0</v>
      </c>
      <c r="S31" s="364">
        <v>0</v>
      </c>
      <c r="T31" s="364">
        <v>0</v>
      </c>
      <c r="U31" s="364">
        <v>0</v>
      </c>
      <c r="V31" s="364">
        <v>0</v>
      </c>
      <c r="W31" s="364">
        <v>0</v>
      </c>
      <c r="X31" s="364">
        <v>0</v>
      </c>
      <c r="Y31" s="364">
        <v>0</v>
      </c>
      <c r="Z31" s="364">
        <v>0</v>
      </c>
      <c r="AA31" s="364">
        <v>0</v>
      </c>
      <c r="AB31" s="364">
        <v>0</v>
      </c>
      <c r="AC31" s="364">
        <v>0</v>
      </c>
      <c r="AD31" s="364">
        <v>0</v>
      </c>
      <c r="AE31" s="364">
        <v>503115</v>
      </c>
      <c r="AF31" s="364">
        <v>0</v>
      </c>
      <c r="AG31" s="364">
        <v>0</v>
      </c>
      <c r="AH31" s="364">
        <v>0</v>
      </c>
      <c r="AI31" s="364">
        <v>0</v>
      </c>
      <c r="AJ31" s="364">
        <v>0</v>
      </c>
      <c r="AK31" s="364">
        <v>0</v>
      </c>
      <c r="AL31" s="364">
        <v>0</v>
      </c>
      <c r="AM31" s="364">
        <v>0</v>
      </c>
      <c r="AN31" s="364">
        <v>0</v>
      </c>
      <c r="AO31" s="364">
        <v>0</v>
      </c>
      <c r="AP31" s="364">
        <v>0</v>
      </c>
      <c r="AQ31" s="364">
        <v>0</v>
      </c>
      <c r="AR31" s="364">
        <v>0</v>
      </c>
      <c r="AS31" s="364">
        <v>0</v>
      </c>
      <c r="AT31" s="364">
        <v>0</v>
      </c>
      <c r="AU31" s="364">
        <v>0</v>
      </c>
      <c r="AV31" s="364">
        <v>0</v>
      </c>
      <c r="AW31" s="364">
        <v>0</v>
      </c>
      <c r="AX31" s="364">
        <v>0</v>
      </c>
      <c r="AY31" s="626">
        <f t="shared" si="3"/>
        <v>617967333</v>
      </c>
      <c r="AZ31" s="364" t="e">
        <f>++E31+J31+N31+S31+#REF!</f>
        <v>#REF!</v>
      </c>
      <c r="BA31" s="365" t="e">
        <f t="shared" si="4"/>
        <v>#REF!</v>
      </c>
    </row>
    <row r="32" spans="1:120" s="362" customFormat="1" x14ac:dyDescent="0.2">
      <c r="A32" s="363">
        <v>44621</v>
      </c>
      <c r="B32" s="364">
        <v>377598324</v>
      </c>
      <c r="C32" s="364">
        <v>354431985</v>
      </c>
      <c r="D32" s="364">
        <v>0</v>
      </c>
      <c r="E32" s="364">
        <v>200193642</v>
      </c>
      <c r="F32" s="364">
        <v>0</v>
      </c>
      <c r="G32" s="364">
        <v>3000000</v>
      </c>
      <c r="H32" s="364">
        <v>17626832</v>
      </c>
      <c r="I32" s="364">
        <v>0</v>
      </c>
      <c r="J32" s="364">
        <v>0</v>
      </c>
      <c r="K32" s="364">
        <v>0</v>
      </c>
      <c r="L32" s="364">
        <v>0</v>
      </c>
      <c r="M32" s="364">
        <v>0</v>
      </c>
      <c r="N32" s="364">
        <v>0</v>
      </c>
      <c r="O32" s="364">
        <v>0</v>
      </c>
      <c r="P32" s="364">
        <v>0</v>
      </c>
      <c r="Q32" s="364">
        <v>0</v>
      </c>
      <c r="R32" s="364">
        <v>0</v>
      </c>
      <c r="S32" s="364">
        <v>0</v>
      </c>
      <c r="T32" s="364">
        <v>0</v>
      </c>
      <c r="U32" s="364">
        <v>0</v>
      </c>
      <c r="V32" s="364">
        <v>0</v>
      </c>
      <c r="W32" s="364">
        <v>0</v>
      </c>
      <c r="X32" s="364">
        <v>0</v>
      </c>
      <c r="Y32" s="364">
        <v>0</v>
      </c>
      <c r="Z32" s="364">
        <v>0</v>
      </c>
      <c r="AA32" s="364">
        <v>0</v>
      </c>
      <c r="AB32" s="364">
        <v>0</v>
      </c>
      <c r="AC32" s="364">
        <v>0</v>
      </c>
      <c r="AD32" s="364">
        <v>0</v>
      </c>
      <c r="AE32" s="364">
        <v>2348363</v>
      </c>
      <c r="AF32" s="364">
        <v>40819</v>
      </c>
      <c r="AG32" s="364">
        <v>0</v>
      </c>
      <c r="AH32" s="364">
        <v>0</v>
      </c>
      <c r="AI32" s="364">
        <v>0</v>
      </c>
      <c r="AJ32" s="364">
        <v>0</v>
      </c>
      <c r="AK32" s="364">
        <v>0</v>
      </c>
      <c r="AL32" s="364">
        <v>0</v>
      </c>
      <c r="AM32" s="364">
        <v>0</v>
      </c>
      <c r="AN32" s="364">
        <v>0</v>
      </c>
      <c r="AO32" s="364">
        <v>0</v>
      </c>
      <c r="AP32" s="364">
        <v>0</v>
      </c>
      <c r="AQ32" s="364">
        <v>0</v>
      </c>
      <c r="AR32" s="364">
        <v>0</v>
      </c>
      <c r="AS32" s="364">
        <v>0</v>
      </c>
      <c r="AT32" s="364">
        <v>0</v>
      </c>
      <c r="AU32" s="364">
        <v>0</v>
      </c>
      <c r="AV32" s="364">
        <v>0</v>
      </c>
      <c r="AW32" s="364">
        <v>0</v>
      </c>
      <c r="AX32" s="364">
        <v>0</v>
      </c>
      <c r="AY32" s="626">
        <f t="shared" si="3"/>
        <v>955239965</v>
      </c>
      <c r="AZ32" s="364" t="e">
        <f>++E32+J32+N32+S32+#REF!</f>
        <v>#REF!</v>
      </c>
      <c r="BA32" s="365" t="e">
        <f>SUM(AY32:AZ32)</f>
        <v>#REF!</v>
      </c>
    </row>
    <row r="33" spans="1:94" s="362" customFormat="1" x14ac:dyDescent="0.2">
      <c r="A33" s="363">
        <v>44652</v>
      </c>
      <c r="B33" s="364">
        <v>349145728</v>
      </c>
      <c r="C33" s="364">
        <v>232716867</v>
      </c>
      <c r="D33" s="364">
        <v>0</v>
      </c>
      <c r="E33" s="364">
        <v>270643232</v>
      </c>
      <c r="F33" s="364">
        <v>0</v>
      </c>
      <c r="G33" s="364">
        <v>13707103</v>
      </c>
      <c r="H33" s="364">
        <v>23069182</v>
      </c>
      <c r="I33" s="364">
        <v>0</v>
      </c>
      <c r="J33" s="364">
        <v>0</v>
      </c>
      <c r="K33" s="364">
        <v>0</v>
      </c>
      <c r="L33" s="364">
        <v>0</v>
      </c>
      <c r="M33" s="364">
        <v>0</v>
      </c>
      <c r="N33" s="364">
        <v>0</v>
      </c>
      <c r="O33" s="364">
        <v>0</v>
      </c>
      <c r="P33" s="364">
        <v>0</v>
      </c>
      <c r="Q33" s="364">
        <v>0</v>
      </c>
      <c r="R33" s="364">
        <v>0</v>
      </c>
      <c r="S33" s="364">
        <v>0</v>
      </c>
      <c r="T33" s="364">
        <v>0</v>
      </c>
      <c r="U33" s="364">
        <v>0</v>
      </c>
      <c r="V33" s="364">
        <v>0</v>
      </c>
      <c r="W33" s="364">
        <v>0</v>
      </c>
      <c r="X33" s="364">
        <v>0</v>
      </c>
      <c r="Y33" s="364">
        <v>0</v>
      </c>
      <c r="Z33" s="364">
        <v>0</v>
      </c>
      <c r="AA33" s="364">
        <v>0</v>
      </c>
      <c r="AB33" s="364">
        <v>0</v>
      </c>
      <c r="AC33" s="364">
        <v>0</v>
      </c>
      <c r="AD33" s="364">
        <v>0</v>
      </c>
      <c r="AE33" s="364">
        <v>2491792</v>
      </c>
      <c r="AF33" s="364">
        <v>0</v>
      </c>
      <c r="AG33" s="364">
        <v>0</v>
      </c>
      <c r="AH33" s="364">
        <v>0</v>
      </c>
      <c r="AI33" s="364">
        <v>0</v>
      </c>
      <c r="AJ33" s="364">
        <v>0</v>
      </c>
      <c r="AK33" s="364">
        <v>0</v>
      </c>
      <c r="AL33" s="364">
        <v>0</v>
      </c>
      <c r="AM33" s="364">
        <v>0</v>
      </c>
      <c r="AN33" s="364">
        <v>0</v>
      </c>
      <c r="AO33" s="364">
        <v>0</v>
      </c>
      <c r="AP33" s="364">
        <v>0</v>
      </c>
      <c r="AQ33" s="364">
        <v>0</v>
      </c>
      <c r="AR33" s="364">
        <v>0</v>
      </c>
      <c r="AS33" s="364">
        <v>0</v>
      </c>
      <c r="AT33" s="364">
        <v>0</v>
      </c>
      <c r="AU33" s="364">
        <v>0</v>
      </c>
      <c r="AV33" s="364">
        <v>0</v>
      </c>
      <c r="AW33" s="364">
        <v>0</v>
      </c>
      <c r="AX33" s="364">
        <v>0</v>
      </c>
      <c r="AY33" s="626">
        <f t="shared" si="3"/>
        <v>891773904</v>
      </c>
      <c r="AZ33" s="364" t="e">
        <f>++E33+J33+N33+S33+#REF!</f>
        <v>#REF!</v>
      </c>
      <c r="BA33" s="365" t="e">
        <f t="shared" si="4"/>
        <v>#REF!</v>
      </c>
    </row>
    <row r="34" spans="1:94" s="362" customFormat="1" x14ac:dyDescent="0.2">
      <c r="A34" s="363">
        <v>44682</v>
      </c>
      <c r="B34" s="364">
        <v>374272348</v>
      </c>
      <c r="C34" s="364">
        <v>337967886</v>
      </c>
      <c r="D34" s="364">
        <v>0</v>
      </c>
      <c r="E34" s="364">
        <v>257333669</v>
      </c>
      <c r="F34" s="364">
        <v>0</v>
      </c>
      <c r="G34" s="364">
        <v>22829262</v>
      </c>
      <c r="H34" s="364">
        <v>57279580</v>
      </c>
      <c r="I34" s="364">
        <v>0</v>
      </c>
      <c r="J34" s="364">
        <v>15163280</v>
      </c>
      <c r="K34" s="364">
        <v>0</v>
      </c>
      <c r="L34" s="364">
        <v>0</v>
      </c>
      <c r="M34" s="364">
        <v>0</v>
      </c>
      <c r="N34" s="364">
        <v>0</v>
      </c>
      <c r="O34" s="364">
        <v>0</v>
      </c>
      <c r="P34" s="364">
        <v>0</v>
      </c>
      <c r="Q34" s="364">
        <v>0</v>
      </c>
      <c r="R34" s="364">
        <v>0</v>
      </c>
      <c r="S34" s="364">
        <v>0</v>
      </c>
      <c r="T34" s="364">
        <v>0</v>
      </c>
      <c r="U34" s="364">
        <v>0</v>
      </c>
      <c r="V34" s="364">
        <v>0</v>
      </c>
      <c r="W34" s="364">
        <v>0</v>
      </c>
      <c r="X34" s="364">
        <v>0</v>
      </c>
      <c r="Y34" s="364">
        <v>0</v>
      </c>
      <c r="Z34" s="364">
        <v>0</v>
      </c>
      <c r="AA34" s="364">
        <v>0</v>
      </c>
      <c r="AB34" s="364">
        <v>0</v>
      </c>
      <c r="AC34" s="364">
        <v>0</v>
      </c>
      <c r="AD34" s="364">
        <v>0</v>
      </c>
      <c r="AE34" s="364">
        <v>-120051</v>
      </c>
      <c r="AF34" s="364">
        <v>336041</v>
      </c>
      <c r="AG34" s="364">
        <v>0</v>
      </c>
      <c r="AH34" s="364">
        <v>0</v>
      </c>
      <c r="AI34" s="364">
        <v>0</v>
      </c>
      <c r="AJ34" s="364">
        <v>0</v>
      </c>
      <c r="AK34" s="364">
        <v>0</v>
      </c>
      <c r="AL34" s="364">
        <v>0</v>
      </c>
      <c r="AM34" s="364">
        <v>0</v>
      </c>
      <c r="AN34" s="364">
        <v>0</v>
      </c>
      <c r="AO34" s="364">
        <v>0</v>
      </c>
      <c r="AP34" s="364">
        <v>0</v>
      </c>
      <c r="AQ34" s="364">
        <v>0</v>
      </c>
      <c r="AR34" s="364">
        <v>0</v>
      </c>
      <c r="AS34" s="364">
        <v>0</v>
      </c>
      <c r="AT34" s="364">
        <v>0</v>
      </c>
      <c r="AU34" s="364">
        <v>0</v>
      </c>
      <c r="AV34" s="364">
        <v>0</v>
      </c>
      <c r="AW34" s="364">
        <v>0</v>
      </c>
      <c r="AX34" s="364">
        <v>0</v>
      </c>
      <c r="AY34" s="626">
        <f t="shared" si="3"/>
        <v>1065062015</v>
      </c>
      <c r="AZ34" s="364">
        <v>0</v>
      </c>
      <c r="BA34" s="365">
        <f t="shared" si="4"/>
        <v>1065062015</v>
      </c>
    </row>
    <row r="35" spans="1:94" x14ac:dyDescent="0.2">
      <c r="A35" s="363">
        <v>44713</v>
      </c>
      <c r="B35" s="364">
        <v>421301869</v>
      </c>
      <c r="C35" s="364">
        <v>209212806</v>
      </c>
      <c r="D35" s="364">
        <v>0</v>
      </c>
      <c r="E35" s="364">
        <v>167678651</v>
      </c>
      <c r="F35" s="364">
        <v>0</v>
      </c>
      <c r="G35" s="364">
        <v>8000000</v>
      </c>
      <c r="H35" s="364">
        <v>20000000</v>
      </c>
      <c r="I35" s="364">
        <v>0</v>
      </c>
      <c r="J35" s="364">
        <v>12000000</v>
      </c>
      <c r="K35" s="364">
        <v>0</v>
      </c>
      <c r="L35" s="364">
        <v>0</v>
      </c>
      <c r="M35" s="364">
        <v>0</v>
      </c>
      <c r="N35" s="364">
        <v>0</v>
      </c>
      <c r="O35" s="364">
        <v>0</v>
      </c>
      <c r="P35" s="364">
        <v>0</v>
      </c>
      <c r="Q35" s="364">
        <v>0</v>
      </c>
      <c r="R35" s="364">
        <v>0</v>
      </c>
      <c r="S35" s="364">
        <v>0</v>
      </c>
      <c r="T35" s="364">
        <v>0</v>
      </c>
      <c r="U35" s="364">
        <v>0</v>
      </c>
      <c r="V35" s="364">
        <v>0</v>
      </c>
      <c r="W35" s="364">
        <v>0</v>
      </c>
      <c r="X35" s="364">
        <v>0</v>
      </c>
      <c r="Y35" s="364">
        <v>0</v>
      </c>
      <c r="Z35" s="364">
        <v>0</v>
      </c>
      <c r="AA35" s="364">
        <v>0</v>
      </c>
      <c r="AB35" s="364">
        <v>0</v>
      </c>
      <c r="AC35" s="364">
        <v>0</v>
      </c>
      <c r="AD35" s="364">
        <v>0</v>
      </c>
      <c r="AE35" s="364">
        <v>690420</v>
      </c>
      <c r="AF35" s="364">
        <v>231513</v>
      </c>
      <c r="AG35" s="364">
        <v>0</v>
      </c>
      <c r="AH35" s="364">
        <v>0</v>
      </c>
      <c r="AI35" s="364">
        <v>0</v>
      </c>
      <c r="AJ35" s="364">
        <v>0</v>
      </c>
      <c r="AK35" s="364">
        <v>0</v>
      </c>
      <c r="AL35" s="364">
        <v>0</v>
      </c>
      <c r="AM35" s="364">
        <v>0</v>
      </c>
      <c r="AN35" s="364">
        <v>0</v>
      </c>
      <c r="AO35" s="364">
        <v>0</v>
      </c>
      <c r="AP35" s="364">
        <v>0</v>
      </c>
      <c r="AQ35" s="364">
        <v>0</v>
      </c>
      <c r="AR35" s="364">
        <v>0</v>
      </c>
      <c r="AS35" s="364">
        <v>0</v>
      </c>
      <c r="AT35" s="364">
        <v>0</v>
      </c>
      <c r="AU35" s="364">
        <v>0</v>
      </c>
      <c r="AV35" s="364">
        <v>0</v>
      </c>
      <c r="AW35" s="364">
        <v>0</v>
      </c>
      <c r="AX35" s="364">
        <v>0</v>
      </c>
      <c r="AY35" s="626">
        <f t="shared" si="3"/>
        <v>839115259</v>
      </c>
      <c r="BA35" s="365">
        <f t="shared" si="4"/>
        <v>839115259</v>
      </c>
      <c r="BJ35" s="367"/>
      <c r="CP35" s="368"/>
    </row>
    <row r="36" spans="1:94" x14ac:dyDescent="0.2">
      <c r="A36" s="363">
        <v>44743</v>
      </c>
      <c r="B36" s="364">
        <v>346849201</v>
      </c>
      <c r="C36" s="364">
        <v>260491636</v>
      </c>
      <c r="D36" s="364">
        <v>0</v>
      </c>
      <c r="E36" s="364">
        <v>228926566</v>
      </c>
      <c r="F36" s="364">
        <v>0</v>
      </c>
      <c r="G36" s="364">
        <v>201913465</v>
      </c>
      <c r="H36" s="364">
        <v>72917120</v>
      </c>
      <c r="I36" s="364">
        <v>0</v>
      </c>
      <c r="J36" s="364">
        <v>27000000</v>
      </c>
      <c r="K36" s="364">
        <v>0</v>
      </c>
      <c r="L36" s="364">
        <v>0</v>
      </c>
      <c r="M36" s="364">
        <v>0</v>
      </c>
      <c r="N36" s="364">
        <v>0</v>
      </c>
      <c r="O36" s="364">
        <v>0</v>
      </c>
      <c r="P36" s="364">
        <v>0</v>
      </c>
      <c r="Q36" s="364">
        <v>0</v>
      </c>
      <c r="R36" s="364">
        <v>0</v>
      </c>
      <c r="S36" s="364">
        <v>0</v>
      </c>
      <c r="T36" s="364">
        <v>0</v>
      </c>
      <c r="U36" s="364">
        <v>0</v>
      </c>
      <c r="V36" s="364">
        <v>0</v>
      </c>
      <c r="W36" s="364">
        <v>0</v>
      </c>
      <c r="X36" s="364">
        <v>0</v>
      </c>
      <c r="Y36" s="364">
        <v>0</v>
      </c>
      <c r="Z36" s="364">
        <v>0</v>
      </c>
      <c r="AA36" s="364">
        <v>0</v>
      </c>
      <c r="AB36" s="364">
        <v>0</v>
      </c>
      <c r="AC36" s="364">
        <v>0</v>
      </c>
      <c r="AD36" s="364">
        <v>0</v>
      </c>
      <c r="AE36" s="364">
        <v>313767</v>
      </c>
      <c r="AF36" s="364">
        <v>424033</v>
      </c>
      <c r="AG36" s="364">
        <v>0</v>
      </c>
      <c r="AH36" s="364">
        <v>105769</v>
      </c>
      <c r="AI36" s="364">
        <v>0</v>
      </c>
      <c r="AJ36" s="364">
        <v>0</v>
      </c>
      <c r="AK36" s="364">
        <v>0</v>
      </c>
      <c r="AL36" s="364">
        <v>0</v>
      </c>
      <c r="AM36" s="364">
        <v>0</v>
      </c>
      <c r="AN36" s="364">
        <v>0</v>
      </c>
      <c r="AO36" s="364">
        <v>0</v>
      </c>
      <c r="AP36" s="364">
        <v>0</v>
      </c>
      <c r="AQ36" s="364">
        <v>0</v>
      </c>
      <c r="AR36" s="364">
        <v>0</v>
      </c>
      <c r="AS36" s="364">
        <v>0</v>
      </c>
      <c r="AT36" s="364">
        <v>0</v>
      </c>
      <c r="AU36" s="364">
        <v>0</v>
      </c>
      <c r="AV36" s="364">
        <v>0</v>
      </c>
      <c r="AW36" s="364">
        <v>0</v>
      </c>
      <c r="AX36" s="364">
        <v>0</v>
      </c>
      <c r="AY36" s="626">
        <f t="shared" si="3"/>
        <v>1138941557</v>
      </c>
      <c r="BA36" s="365">
        <f t="shared" si="4"/>
        <v>1138941557</v>
      </c>
      <c r="BJ36" s="367"/>
      <c r="CP36" s="368"/>
    </row>
    <row r="37" spans="1:94" x14ac:dyDescent="0.2">
      <c r="A37" s="363">
        <v>44774</v>
      </c>
      <c r="B37" s="364">
        <v>369918884</v>
      </c>
      <c r="C37" s="364">
        <v>215357935</v>
      </c>
      <c r="D37" s="364">
        <v>0</v>
      </c>
      <c r="E37" s="364">
        <v>338532644</v>
      </c>
      <c r="F37" s="364">
        <v>0</v>
      </c>
      <c r="G37" s="364">
        <v>31000000</v>
      </c>
      <c r="H37" s="364">
        <v>10700000</v>
      </c>
      <c r="I37" s="364">
        <v>0</v>
      </c>
      <c r="J37" s="364">
        <v>11000000</v>
      </c>
      <c r="K37" s="364">
        <v>0</v>
      </c>
      <c r="L37" s="364">
        <v>0</v>
      </c>
      <c r="M37" s="364">
        <v>0</v>
      </c>
      <c r="N37" s="364">
        <v>0</v>
      </c>
      <c r="O37" s="364">
        <v>0</v>
      </c>
      <c r="P37" s="364">
        <v>0</v>
      </c>
      <c r="Q37" s="364">
        <v>0</v>
      </c>
      <c r="R37" s="364">
        <v>0</v>
      </c>
      <c r="S37" s="364">
        <v>0</v>
      </c>
      <c r="T37" s="364">
        <v>0</v>
      </c>
      <c r="U37" s="364">
        <v>0</v>
      </c>
      <c r="V37" s="364">
        <v>0</v>
      </c>
      <c r="W37" s="364">
        <v>0</v>
      </c>
      <c r="X37" s="364">
        <v>0</v>
      </c>
      <c r="Y37" s="364">
        <v>0</v>
      </c>
      <c r="Z37" s="364">
        <v>0</v>
      </c>
      <c r="AA37" s="364">
        <v>0</v>
      </c>
      <c r="AB37" s="364">
        <v>0</v>
      </c>
      <c r="AC37" s="364">
        <v>0</v>
      </c>
      <c r="AD37" s="364">
        <v>0</v>
      </c>
      <c r="AE37" s="364">
        <v>1630033</v>
      </c>
      <c r="AF37" s="364">
        <v>672573</v>
      </c>
      <c r="AG37" s="364">
        <v>0</v>
      </c>
      <c r="AH37" s="364">
        <v>118763</v>
      </c>
      <c r="AI37" s="364">
        <v>0</v>
      </c>
      <c r="AJ37" s="364">
        <v>0</v>
      </c>
      <c r="AK37" s="364">
        <v>0</v>
      </c>
      <c r="AL37" s="364">
        <v>0</v>
      </c>
      <c r="AM37" s="364">
        <v>0</v>
      </c>
      <c r="AN37" s="364">
        <v>0</v>
      </c>
      <c r="AO37" s="364">
        <v>0</v>
      </c>
      <c r="AP37" s="364">
        <v>0</v>
      </c>
      <c r="AQ37" s="364">
        <v>0</v>
      </c>
      <c r="AR37" s="364">
        <v>0</v>
      </c>
      <c r="AS37" s="364">
        <v>0</v>
      </c>
      <c r="AT37" s="364">
        <v>0</v>
      </c>
      <c r="AU37" s="364">
        <v>0</v>
      </c>
      <c r="AV37" s="364">
        <v>0</v>
      </c>
      <c r="AW37" s="364">
        <v>0</v>
      </c>
      <c r="AX37" s="364">
        <v>0</v>
      </c>
      <c r="AY37" s="626">
        <f t="shared" si="3"/>
        <v>978930832</v>
      </c>
      <c r="BA37" s="365">
        <f t="shared" si="4"/>
        <v>978930832</v>
      </c>
      <c r="BJ37" s="367"/>
      <c r="CP37" s="368"/>
    </row>
    <row r="38" spans="1:94" x14ac:dyDescent="0.2">
      <c r="A38" s="363">
        <v>44805</v>
      </c>
      <c r="B38" s="364">
        <v>429372770</v>
      </c>
      <c r="C38" s="364">
        <v>200237880</v>
      </c>
      <c r="D38" s="364">
        <v>0</v>
      </c>
      <c r="E38" s="364">
        <v>234725933</v>
      </c>
      <c r="F38" s="364">
        <v>0</v>
      </c>
      <c r="G38" s="364">
        <v>232545893</v>
      </c>
      <c r="H38" s="364">
        <v>25000000</v>
      </c>
      <c r="I38" s="364">
        <v>0</v>
      </c>
      <c r="J38" s="364">
        <v>0</v>
      </c>
      <c r="K38" s="364">
        <v>0</v>
      </c>
      <c r="L38" s="364">
        <v>0</v>
      </c>
      <c r="M38" s="364">
        <v>0</v>
      </c>
      <c r="N38" s="364">
        <v>0</v>
      </c>
      <c r="O38" s="364">
        <v>0</v>
      </c>
      <c r="P38" s="364">
        <v>0</v>
      </c>
      <c r="Q38" s="364">
        <v>0</v>
      </c>
      <c r="R38" s="364">
        <v>0</v>
      </c>
      <c r="S38" s="364">
        <v>0</v>
      </c>
      <c r="T38" s="364">
        <v>0</v>
      </c>
      <c r="U38" s="364">
        <v>72030</v>
      </c>
      <c r="V38" s="364">
        <v>0</v>
      </c>
      <c r="W38" s="364">
        <v>0</v>
      </c>
      <c r="X38" s="364">
        <v>0</v>
      </c>
      <c r="Y38" s="364">
        <v>0</v>
      </c>
      <c r="Z38" s="364">
        <v>0</v>
      </c>
      <c r="AA38" s="364">
        <v>0</v>
      </c>
      <c r="AB38" s="364">
        <v>0</v>
      </c>
      <c r="AC38" s="364">
        <v>0</v>
      </c>
      <c r="AD38" s="364">
        <v>0</v>
      </c>
      <c r="AE38" s="364">
        <v>803599</v>
      </c>
      <c r="AF38" s="364">
        <v>668379</v>
      </c>
      <c r="AG38" s="364">
        <v>0</v>
      </c>
      <c r="AH38" s="364">
        <v>0</v>
      </c>
      <c r="AI38" s="364">
        <v>0</v>
      </c>
      <c r="AJ38" s="364">
        <v>0</v>
      </c>
      <c r="AK38" s="364">
        <v>0</v>
      </c>
      <c r="AL38" s="364">
        <v>0</v>
      </c>
      <c r="AM38" s="364">
        <v>0</v>
      </c>
      <c r="AN38" s="364">
        <v>0</v>
      </c>
      <c r="AO38" s="364">
        <v>0</v>
      </c>
      <c r="AP38" s="364">
        <v>0</v>
      </c>
      <c r="AQ38" s="364">
        <v>0</v>
      </c>
      <c r="AR38" s="364">
        <v>0</v>
      </c>
      <c r="AS38" s="364">
        <v>0</v>
      </c>
      <c r="AT38" s="364">
        <v>0</v>
      </c>
      <c r="AU38" s="364">
        <v>0</v>
      </c>
      <c r="AV38" s="364">
        <v>0</v>
      </c>
      <c r="AW38" s="364">
        <v>0</v>
      </c>
      <c r="AX38" s="364">
        <v>0</v>
      </c>
      <c r="AY38" s="626">
        <f t="shared" si="3"/>
        <v>1123426484</v>
      </c>
      <c r="BA38" s="365">
        <f t="shared" si="4"/>
        <v>1123426484</v>
      </c>
      <c r="BJ38" s="367"/>
      <c r="CP38" s="368"/>
    </row>
    <row r="39" spans="1:94" x14ac:dyDescent="0.2">
      <c r="A39" s="363">
        <v>44835</v>
      </c>
      <c r="B39" s="364">
        <v>370980194</v>
      </c>
      <c r="C39" s="364">
        <v>279167187</v>
      </c>
      <c r="D39" s="364">
        <v>0</v>
      </c>
      <c r="E39" s="364">
        <v>350069893</v>
      </c>
      <c r="F39" s="364">
        <v>24500000</v>
      </c>
      <c r="G39" s="364">
        <v>17500011</v>
      </c>
      <c r="H39" s="364">
        <v>82500000</v>
      </c>
      <c r="I39" s="364">
        <v>0</v>
      </c>
      <c r="J39" s="364">
        <v>10000000</v>
      </c>
      <c r="K39" s="364">
        <v>0</v>
      </c>
      <c r="L39" s="364">
        <v>0</v>
      </c>
      <c r="M39" s="364">
        <v>0</v>
      </c>
      <c r="N39" s="364">
        <v>0</v>
      </c>
      <c r="O39" s="364">
        <v>0</v>
      </c>
      <c r="P39" s="364">
        <v>0</v>
      </c>
      <c r="Q39" s="364">
        <v>0</v>
      </c>
      <c r="R39" s="364">
        <v>0</v>
      </c>
      <c r="S39" s="364">
        <v>0</v>
      </c>
      <c r="T39" s="364">
        <v>0</v>
      </c>
      <c r="U39" s="364">
        <v>0</v>
      </c>
      <c r="V39" s="364">
        <v>0</v>
      </c>
      <c r="W39" s="364">
        <v>0</v>
      </c>
      <c r="X39" s="364">
        <v>0</v>
      </c>
      <c r="Y39" s="364">
        <v>0</v>
      </c>
      <c r="Z39" s="364">
        <v>0</v>
      </c>
      <c r="AA39" s="364">
        <v>0</v>
      </c>
      <c r="AB39" s="364">
        <v>0</v>
      </c>
      <c r="AC39" s="364">
        <v>0</v>
      </c>
      <c r="AD39" s="364">
        <v>0</v>
      </c>
      <c r="AE39" s="364">
        <v>1263722</v>
      </c>
      <c r="AF39" s="364">
        <v>372780</v>
      </c>
      <c r="AG39" s="364">
        <v>0</v>
      </c>
      <c r="AH39" s="364">
        <v>0</v>
      </c>
      <c r="AI39" s="364">
        <v>0</v>
      </c>
      <c r="AJ39" s="364">
        <v>0</v>
      </c>
      <c r="AK39" s="364">
        <v>0</v>
      </c>
      <c r="AL39" s="364">
        <v>0</v>
      </c>
      <c r="AM39" s="364">
        <v>0</v>
      </c>
      <c r="AN39" s="364">
        <v>0</v>
      </c>
      <c r="AO39" s="364">
        <v>0</v>
      </c>
      <c r="AP39" s="364">
        <v>0</v>
      </c>
      <c r="AQ39" s="364">
        <v>0</v>
      </c>
      <c r="AR39" s="364">
        <v>0</v>
      </c>
      <c r="AS39" s="364">
        <v>0</v>
      </c>
      <c r="AT39" s="364">
        <v>0</v>
      </c>
      <c r="AU39" s="364">
        <v>0</v>
      </c>
      <c r="AV39" s="364">
        <v>0</v>
      </c>
      <c r="AW39" s="364">
        <v>0</v>
      </c>
      <c r="AX39" s="364">
        <v>0</v>
      </c>
      <c r="AY39" s="626">
        <f t="shared" si="3"/>
        <v>1136353787</v>
      </c>
      <c r="BA39" s="365">
        <f t="shared" si="4"/>
        <v>1136353787</v>
      </c>
      <c r="BJ39" s="367"/>
      <c r="CP39" s="368"/>
    </row>
    <row r="40" spans="1:94" x14ac:dyDescent="0.2">
      <c r="A40" s="363">
        <v>44866</v>
      </c>
      <c r="B40" s="364">
        <v>289867280</v>
      </c>
      <c r="C40" s="364">
        <v>212492749</v>
      </c>
      <c r="D40" s="364">
        <v>0</v>
      </c>
      <c r="E40" s="364">
        <v>314165672</v>
      </c>
      <c r="F40" s="364">
        <v>31501700</v>
      </c>
      <c r="G40" s="364">
        <v>213944656</v>
      </c>
      <c r="H40" s="364">
        <v>142237137</v>
      </c>
      <c r="I40" s="364">
        <v>0</v>
      </c>
      <c r="J40" s="364">
        <v>13000000</v>
      </c>
      <c r="K40" s="364">
        <v>0</v>
      </c>
      <c r="L40" s="364">
        <v>0</v>
      </c>
      <c r="M40" s="364">
        <v>0</v>
      </c>
      <c r="N40" s="364">
        <v>0</v>
      </c>
      <c r="O40" s="364">
        <v>0</v>
      </c>
      <c r="P40" s="364">
        <v>0</v>
      </c>
      <c r="Q40" s="364">
        <v>0</v>
      </c>
      <c r="R40" s="364">
        <v>0</v>
      </c>
      <c r="S40" s="364">
        <v>0</v>
      </c>
      <c r="T40" s="364">
        <v>0</v>
      </c>
      <c r="U40" s="364">
        <v>4905375</v>
      </c>
      <c r="V40" s="364">
        <v>0</v>
      </c>
      <c r="W40" s="364">
        <v>0</v>
      </c>
      <c r="X40" s="364">
        <v>0</v>
      </c>
      <c r="Y40" s="364">
        <v>0</v>
      </c>
      <c r="Z40" s="364">
        <v>0</v>
      </c>
      <c r="AA40" s="364">
        <v>0</v>
      </c>
      <c r="AB40" s="364">
        <v>0</v>
      </c>
      <c r="AC40" s="364">
        <v>0</v>
      </c>
      <c r="AD40" s="364">
        <v>0</v>
      </c>
      <c r="AE40" s="364">
        <v>1427099</v>
      </c>
      <c r="AF40" s="364">
        <v>-433555</v>
      </c>
      <c r="AG40" s="364">
        <v>0</v>
      </c>
      <c r="AH40" s="364">
        <v>861442</v>
      </c>
      <c r="AI40" s="364">
        <v>0</v>
      </c>
      <c r="AJ40" s="364">
        <v>0</v>
      </c>
      <c r="AK40" s="364">
        <v>0</v>
      </c>
      <c r="AL40" s="364">
        <v>0</v>
      </c>
      <c r="AM40" s="364">
        <v>0</v>
      </c>
      <c r="AN40" s="364">
        <v>0</v>
      </c>
      <c r="AO40" s="364">
        <v>0</v>
      </c>
      <c r="AP40" s="364">
        <v>0</v>
      </c>
      <c r="AQ40" s="364">
        <v>0</v>
      </c>
      <c r="AR40" s="364">
        <v>0</v>
      </c>
      <c r="AS40" s="364">
        <v>0</v>
      </c>
      <c r="AT40" s="364">
        <v>0</v>
      </c>
      <c r="AU40" s="364">
        <v>0</v>
      </c>
      <c r="AV40" s="364">
        <v>0</v>
      </c>
      <c r="AW40" s="364">
        <v>0</v>
      </c>
      <c r="AX40" s="364">
        <v>0</v>
      </c>
      <c r="AY40" s="626">
        <f t="shared" si="3"/>
        <v>1223969555</v>
      </c>
      <c r="BA40" s="365">
        <f t="shared" si="4"/>
        <v>1223969555</v>
      </c>
      <c r="BJ40" s="367"/>
      <c r="CP40" s="368"/>
    </row>
    <row r="41" spans="1:94" x14ac:dyDescent="0.2">
      <c r="A41" s="363">
        <v>44896</v>
      </c>
      <c r="B41" s="364">
        <v>587534163</v>
      </c>
      <c r="C41" s="364">
        <v>235602392</v>
      </c>
      <c r="D41" s="364">
        <v>0</v>
      </c>
      <c r="E41" s="364">
        <v>378291538</v>
      </c>
      <c r="F41" s="364">
        <v>46293143</v>
      </c>
      <c r="G41" s="364">
        <v>26747134</v>
      </c>
      <c r="H41" s="364">
        <v>24193135</v>
      </c>
      <c r="I41" s="364">
        <v>0</v>
      </c>
      <c r="J41" s="364">
        <v>18000709</v>
      </c>
      <c r="K41" s="364">
        <v>0</v>
      </c>
      <c r="L41" s="364">
        <v>0</v>
      </c>
      <c r="M41" s="364">
        <v>0</v>
      </c>
      <c r="N41" s="364">
        <v>0</v>
      </c>
      <c r="O41" s="364">
        <v>0</v>
      </c>
      <c r="P41" s="364">
        <v>0</v>
      </c>
      <c r="Q41" s="364">
        <v>0</v>
      </c>
      <c r="R41" s="364">
        <v>0</v>
      </c>
      <c r="S41" s="364">
        <v>0</v>
      </c>
      <c r="T41" s="364">
        <v>0</v>
      </c>
      <c r="U41" s="364">
        <v>8305063</v>
      </c>
      <c r="V41" s="364">
        <v>0</v>
      </c>
      <c r="W41" s="364">
        <v>418083</v>
      </c>
      <c r="X41" s="364">
        <v>0</v>
      </c>
      <c r="Y41" s="364">
        <v>0</v>
      </c>
      <c r="Z41" s="364">
        <v>0</v>
      </c>
      <c r="AA41" s="364">
        <v>0</v>
      </c>
      <c r="AB41" s="364">
        <v>0</v>
      </c>
      <c r="AC41" s="364">
        <v>0</v>
      </c>
      <c r="AD41" s="364">
        <v>0</v>
      </c>
      <c r="AE41" s="364">
        <v>2266576</v>
      </c>
      <c r="AF41" s="364">
        <v>506413</v>
      </c>
      <c r="AG41" s="364">
        <v>0</v>
      </c>
      <c r="AH41" s="364">
        <v>1721293</v>
      </c>
      <c r="AI41" s="364">
        <v>0</v>
      </c>
      <c r="AJ41" s="364">
        <v>0</v>
      </c>
      <c r="AK41" s="364">
        <v>0</v>
      </c>
      <c r="AL41" s="364">
        <v>0</v>
      </c>
      <c r="AM41" s="364">
        <v>0</v>
      </c>
      <c r="AN41" s="364">
        <v>0</v>
      </c>
      <c r="AO41" s="364">
        <v>0</v>
      </c>
      <c r="AP41" s="364">
        <v>0</v>
      </c>
      <c r="AQ41" s="364">
        <v>0</v>
      </c>
      <c r="AR41" s="364">
        <v>0</v>
      </c>
      <c r="AS41" s="364">
        <v>0</v>
      </c>
      <c r="AT41" s="364">
        <v>0</v>
      </c>
      <c r="AU41" s="364">
        <v>0</v>
      </c>
      <c r="AV41" s="364">
        <v>0</v>
      </c>
      <c r="AW41" s="364">
        <v>0</v>
      </c>
      <c r="AX41" s="364">
        <v>0</v>
      </c>
      <c r="AY41" s="626">
        <f t="shared" si="3"/>
        <v>1329879642</v>
      </c>
      <c r="BA41" s="365"/>
      <c r="BJ41" s="367"/>
      <c r="CP41" s="368"/>
    </row>
    <row r="42" spans="1:94" x14ac:dyDescent="0.2">
      <c r="A42" s="363">
        <v>44927</v>
      </c>
      <c r="B42" s="364">
        <v>402591421</v>
      </c>
      <c r="C42" s="364">
        <v>453325800</v>
      </c>
      <c r="D42" s="364">
        <v>0</v>
      </c>
      <c r="E42" s="364">
        <v>441075311</v>
      </c>
      <c r="F42" s="364">
        <v>36665872</v>
      </c>
      <c r="G42" s="364">
        <v>51000000</v>
      </c>
      <c r="H42" s="364">
        <v>-115677372</v>
      </c>
      <c r="I42" s="364">
        <v>0</v>
      </c>
      <c r="J42" s="364">
        <v>20676390</v>
      </c>
      <c r="K42" s="364">
        <v>0</v>
      </c>
      <c r="L42" s="364">
        <v>0</v>
      </c>
      <c r="M42" s="364">
        <v>0</v>
      </c>
      <c r="N42" s="364">
        <v>0</v>
      </c>
      <c r="O42" s="364">
        <v>0</v>
      </c>
      <c r="P42" s="364">
        <v>0</v>
      </c>
      <c r="Q42" s="364">
        <v>0</v>
      </c>
      <c r="R42" s="364">
        <v>0</v>
      </c>
      <c r="S42" s="364">
        <v>0</v>
      </c>
      <c r="T42" s="364">
        <v>0</v>
      </c>
      <c r="U42" s="364">
        <v>1623452</v>
      </c>
      <c r="V42" s="364">
        <v>0</v>
      </c>
      <c r="W42" s="364">
        <v>1706953</v>
      </c>
      <c r="X42" s="364">
        <v>0</v>
      </c>
      <c r="Y42" s="364">
        <v>0</v>
      </c>
      <c r="Z42" s="364">
        <v>0</v>
      </c>
      <c r="AA42" s="364">
        <v>0</v>
      </c>
      <c r="AB42" s="364">
        <v>0</v>
      </c>
      <c r="AC42" s="364">
        <v>0</v>
      </c>
      <c r="AD42" s="364">
        <v>0</v>
      </c>
      <c r="AE42" s="364">
        <v>3165105</v>
      </c>
      <c r="AF42" s="364">
        <v>549275</v>
      </c>
      <c r="AG42" s="364">
        <v>0</v>
      </c>
      <c r="AH42" s="364">
        <v>1897789</v>
      </c>
      <c r="AI42" s="364">
        <v>0</v>
      </c>
      <c r="AJ42" s="364">
        <v>0</v>
      </c>
      <c r="AK42" s="364">
        <v>0</v>
      </c>
      <c r="AL42" s="364">
        <v>0</v>
      </c>
      <c r="AM42" s="364">
        <v>0</v>
      </c>
      <c r="AN42" s="364">
        <v>0</v>
      </c>
      <c r="AO42" s="364">
        <v>0</v>
      </c>
      <c r="AP42" s="364">
        <v>0</v>
      </c>
      <c r="AQ42" s="364">
        <v>0</v>
      </c>
      <c r="AR42" s="364">
        <v>0</v>
      </c>
      <c r="AS42" s="364">
        <v>0</v>
      </c>
      <c r="AT42" s="364">
        <v>0</v>
      </c>
      <c r="AU42" s="364">
        <v>0</v>
      </c>
      <c r="AV42" s="364">
        <v>0</v>
      </c>
      <c r="AW42" s="364">
        <v>0</v>
      </c>
      <c r="AX42" s="364">
        <v>0</v>
      </c>
      <c r="AY42" s="626">
        <f t="shared" si="3"/>
        <v>1298599996</v>
      </c>
      <c r="BA42" s="365"/>
      <c r="BJ42" s="367"/>
      <c r="CP42" s="368"/>
    </row>
    <row r="43" spans="1:94" x14ac:dyDescent="0.2">
      <c r="A43" s="363">
        <v>44958</v>
      </c>
      <c r="B43" s="364">
        <v>383319807</v>
      </c>
      <c r="C43" s="364">
        <v>201829248</v>
      </c>
      <c r="D43" s="364">
        <v>0</v>
      </c>
      <c r="E43" s="364">
        <v>419732471</v>
      </c>
      <c r="F43" s="364">
        <v>65443000</v>
      </c>
      <c r="G43" s="364">
        <v>144378349</v>
      </c>
      <c r="H43" s="364">
        <v>6706402</v>
      </c>
      <c r="I43" s="364">
        <v>0</v>
      </c>
      <c r="J43" s="364">
        <v>52998970</v>
      </c>
      <c r="K43" s="364">
        <v>0</v>
      </c>
      <c r="L43" s="364">
        <v>0</v>
      </c>
      <c r="M43" s="364">
        <v>0</v>
      </c>
      <c r="N43" s="364">
        <v>0</v>
      </c>
      <c r="O43" s="364">
        <v>0</v>
      </c>
      <c r="P43" s="364">
        <v>0</v>
      </c>
      <c r="Q43" s="364">
        <v>0</v>
      </c>
      <c r="R43" s="364">
        <v>0</v>
      </c>
      <c r="S43" s="364">
        <v>0</v>
      </c>
      <c r="T43" s="364">
        <v>0</v>
      </c>
      <c r="U43" s="364">
        <v>3132575</v>
      </c>
      <c r="V43" s="364">
        <v>0</v>
      </c>
      <c r="W43" s="364">
        <v>96592</v>
      </c>
      <c r="X43" s="364">
        <v>0</v>
      </c>
      <c r="Y43" s="364">
        <v>0</v>
      </c>
      <c r="Z43" s="364">
        <v>0</v>
      </c>
      <c r="AA43" s="364">
        <v>0</v>
      </c>
      <c r="AB43" s="364">
        <v>0</v>
      </c>
      <c r="AC43" s="364">
        <v>0</v>
      </c>
      <c r="AD43" s="364">
        <v>0</v>
      </c>
      <c r="AE43" s="364">
        <v>3777516</v>
      </c>
      <c r="AF43" s="364">
        <v>1167751</v>
      </c>
      <c r="AG43" s="364">
        <v>0</v>
      </c>
      <c r="AH43" s="364">
        <v>2381960</v>
      </c>
      <c r="AI43" s="364">
        <v>0</v>
      </c>
      <c r="AJ43" s="364">
        <v>0</v>
      </c>
      <c r="AK43" s="364">
        <v>0</v>
      </c>
      <c r="AL43" s="364">
        <v>0</v>
      </c>
      <c r="AM43" s="364">
        <v>0</v>
      </c>
      <c r="AN43" s="364">
        <v>0</v>
      </c>
      <c r="AO43" s="364">
        <v>0</v>
      </c>
      <c r="AP43" s="364">
        <v>0</v>
      </c>
      <c r="AQ43" s="364">
        <v>0</v>
      </c>
      <c r="AR43" s="364">
        <v>0</v>
      </c>
      <c r="AS43" s="364">
        <v>0</v>
      </c>
      <c r="AT43" s="364">
        <v>1512675</v>
      </c>
      <c r="AU43" s="364">
        <v>0</v>
      </c>
      <c r="AV43" s="364">
        <v>0</v>
      </c>
      <c r="AW43" s="364">
        <v>0</v>
      </c>
      <c r="AX43" s="364">
        <v>0</v>
      </c>
      <c r="AY43" s="626">
        <f t="shared" si="3"/>
        <v>1286477316</v>
      </c>
      <c r="BA43" s="365"/>
      <c r="BJ43" s="367"/>
      <c r="CP43" s="368"/>
    </row>
    <row r="44" spans="1:94" x14ac:dyDescent="0.2">
      <c r="A44" s="363">
        <v>44986</v>
      </c>
      <c r="B44" s="364">
        <v>418505977</v>
      </c>
      <c r="C44" s="364">
        <v>283833765</v>
      </c>
      <c r="D44" s="364">
        <v>0</v>
      </c>
      <c r="E44" s="364">
        <v>368183310</v>
      </c>
      <c r="F44" s="364">
        <v>83630637</v>
      </c>
      <c r="G44" s="364">
        <v>59849098</v>
      </c>
      <c r="H44" s="364">
        <v>12200030</v>
      </c>
      <c r="I44" s="364">
        <v>0</v>
      </c>
      <c r="J44" s="364">
        <v>96000000</v>
      </c>
      <c r="K44" s="364">
        <v>0</v>
      </c>
      <c r="L44" s="364">
        <v>0</v>
      </c>
      <c r="M44" s="364">
        <v>0</v>
      </c>
      <c r="N44" s="364">
        <v>0</v>
      </c>
      <c r="O44" s="364">
        <v>0</v>
      </c>
      <c r="P44" s="364">
        <v>0</v>
      </c>
      <c r="Q44" s="364">
        <v>0</v>
      </c>
      <c r="R44" s="364">
        <v>0</v>
      </c>
      <c r="S44" s="364">
        <v>0</v>
      </c>
      <c r="T44" s="364">
        <v>0</v>
      </c>
      <c r="U44" s="364">
        <v>4864632</v>
      </c>
      <c r="V44" s="364">
        <v>0</v>
      </c>
      <c r="W44" s="364">
        <v>8792061</v>
      </c>
      <c r="X44" s="364">
        <v>0</v>
      </c>
      <c r="Y44" s="364">
        <v>0</v>
      </c>
      <c r="Z44" s="364">
        <v>0</v>
      </c>
      <c r="AA44" s="364">
        <v>0</v>
      </c>
      <c r="AB44" s="364">
        <v>0</v>
      </c>
      <c r="AC44" s="364">
        <v>0</v>
      </c>
      <c r="AD44" s="364">
        <v>0</v>
      </c>
      <c r="AE44" s="364">
        <v>1372484</v>
      </c>
      <c r="AF44" s="364">
        <v>364358</v>
      </c>
      <c r="AG44" s="364">
        <v>0</v>
      </c>
      <c r="AH44" s="364">
        <v>2456940</v>
      </c>
      <c r="AI44" s="364">
        <v>0</v>
      </c>
      <c r="AJ44" s="364">
        <v>0</v>
      </c>
      <c r="AK44" s="364">
        <v>0</v>
      </c>
      <c r="AL44" s="364">
        <v>0</v>
      </c>
      <c r="AM44" s="364">
        <v>0</v>
      </c>
      <c r="AN44" s="364">
        <v>0</v>
      </c>
      <c r="AO44" s="364">
        <v>0</v>
      </c>
      <c r="AP44" s="364">
        <v>0</v>
      </c>
      <c r="AQ44" s="364">
        <v>0</v>
      </c>
      <c r="AR44" s="364">
        <v>0</v>
      </c>
      <c r="AS44" s="364">
        <v>0</v>
      </c>
      <c r="AT44" s="364">
        <v>-1512675</v>
      </c>
      <c r="AU44" s="364">
        <v>0</v>
      </c>
      <c r="AV44" s="364">
        <v>0</v>
      </c>
      <c r="AW44" s="364">
        <v>0</v>
      </c>
      <c r="AX44" s="364">
        <v>0</v>
      </c>
      <c r="AY44" s="626">
        <f t="shared" si="3"/>
        <v>1338540617</v>
      </c>
      <c r="BA44" s="365"/>
      <c r="BJ44" s="367"/>
      <c r="CP44" s="368"/>
    </row>
    <row r="45" spans="1:94" x14ac:dyDescent="0.2">
      <c r="A45" s="363">
        <v>45017</v>
      </c>
      <c r="B45" s="364">
        <v>290753087</v>
      </c>
      <c r="C45" s="364">
        <v>213016600</v>
      </c>
      <c r="D45" s="364">
        <v>0</v>
      </c>
      <c r="E45" s="364">
        <v>342078263</v>
      </c>
      <c r="F45" s="364">
        <v>84328886</v>
      </c>
      <c r="G45" s="364">
        <v>36405027</v>
      </c>
      <c r="H45" s="364">
        <v>72018538</v>
      </c>
      <c r="I45" s="364">
        <v>0</v>
      </c>
      <c r="J45" s="364">
        <v>40939995</v>
      </c>
      <c r="K45" s="364">
        <v>0</v>
      </c>
      <c r="L45" s="364">
        <v>0</v>
      </c>
      <c r="M45" s="364">
        <v>0</v>
      </c>
      <c r="N45" s="364">
        <v>0</v>
      </c>
      <c r="O45" s="364">
        <v>0</v>
      </c>
      <c r="P45" s="364">
        <v>0</v>
      </c>
      <c r="Q45" s="364">
        <v>0</v>
      </c>
      <c r="R45" s="364">
        <v>0</v>
      </c>
      <c r="S45" s="364">
        <v>0</v>
      </c>
      <c r="T45" s="364">
        <v>0</v>
      </c>
      <c r="U45" s="364">
        <v>3179676</v>
      </c>
      <c r="V45" s="364">
        <v>0</v>
      </c>
      <c r="W45" s="364">
        <v>1031920</v>
      </c>
      <c r="X45" s="364">
        <v>0</v>
      </c>
      <c r="Y45" s="364">
        <v>0</v>
      </c>
      <c r="Z45" s="364">
        <v>0</v>
      </c>
      <c r="AA45" s="364">
        <v>0</v>
      </c>
      <c r="AB45" s="364">
        <v>0</v>
      </c>
      <c r="AC45" s="364">
        <v>0</v>
      </c>
      <c r="AD45" s="364">
        <v>0</v>
      </c>
      <c r="AE45" s="364">
        <v>925133</v>
      </c>
      <c r="AF45" s="364">
        <v>283459</v>
      </c>
      <c r="AG45" s="364">
        <v>0</v>
      </c>
      <c r="AH45" s="364">
        <v>1787028</v>
      </c>
      <c r="AI45" s="364">
        <v>220242</v>
      </c>
      <c r="AJ45" s="364">
        <v>0</v>
      </c>
      <c r="AK45" s="364">
        <v>0</v>
      </c>
      <c r="AL45" s="364">
        <v>0</v>
      </c>
      <c r="AM45" s="364">
        <v>0</v>
      </c>
      <c r="AN45" s="364">
        <v>0</v>
      </c>
      <c r="AO45" s="364">
        <v>0</v>
      </c>
      <c r="AP45" s="364">
        <v>0</v>
      </c>
      <c r="AQ45" s="364">
        <v>0</v>
      </c>
      <c r="AR45" s="364">
        <v>0</v>
      </c>
      <c r="AS45" s="364">
        <v>0</v>
      </c>
      <c r="AT45" s="364">
        <v>0</v>
      </c>
      <c r="AU45" s="364">
        <v>0</v>
      </c>
      <c r="AV45" s="364">
        <v>0</v>
      </c>
      <c r="AW45" s="364">
        <v>3060005</v>
      </c>
      <c r="AX45" s="364">
        <v>0</v>
      </c>
      <c r="AY45" s="626">
        <f t="shared" si="3"/>
        <v>1090027859</v>
      </c>
      <c r="BA45" s="365"/>
      <c r="BJ45" s="367"/>
      <c r="CP45" s="368"/>
    </row>
    <row r="46" spans="1:94" x14ac:dyDescent="0.2">
      <c r="A46" s="363">
        <v>45047</v>
      </c>
      <c r="B46" s="364">
        <v>399154807</v>
      </c>
      <c r="C46" s="364">
        <v>346657137</v>
      </c>
      <c r="D46" s="364">
        <v>0</v>
      </c>
      <c r="E46" s="364">
        <v>352205620</v>
      </c>
      <c r="F46" s="364">
        <v>141652943</v>
      </c>
      <c r="G46" s="364">
        <v>42885428</v>
      </c>
      <c r="H46" s="364">
        <v>-39951730</v>
      </c>
      <c r="I46" s="364">
        <v>0</v>
      </c>
      <c r="J46" s="364">
        <v>86000000</v>
      </c>
      <c r="K46" s="364">
        <v>0</v>
      </c>
      <c r="L46" s="364">
        <v>0</v>
      </c>
      <c r="M46" s="364">
        <v>0</v>
      </c>
      <c r="N46" s="364">
        <v>0</v>
      </c>
      <c r="O46" s="364">
        <v>0</v>
      </c>
      <c r="P46" s="364">
        <v>0</v>
      </c>
      <c r="Q46" s="364">
        <v>0</v>
      </c>
      <c r="R46" s="364">
        <v>0</v>
      </c>
      <c r="S46" s="364">
        <v>0</v>
      </c>
      <c r="T46" s="364">
        <v>0</v>
      </c>
      <c r="U46" s="364">
        <v>3633734</v>
      </c>
      <c r="V46" s="364">
        <v>0</v>
      </c>
      <c r="W46" s="364">
        <v>2144603</v>
      </c>
      <c r="X46" s="364">
        <v>0</v>
      </c>
      <c r="Y46" s="364">
        <v>0</v>
      </c>
      <c r="Z46" s="364">
        <v>0</v>
      </c>
      <c r="AA46" s="364">
        <v>0</v>
      </c>
      <c r="AB46" s="364">
        <v>0</v>
      </c>
      <c r="AC46" s="364">
        <v>0</v>
      </c>
      <c r="AD46" s="364">
        <v>0</v>
      </c>
      <c r="AE46" s="364">
        <v>4601161</v>
      </c>
      <c r="AF46" s="364">
        <v>-92430</v>
      </c>
      <c r="AG46" s="364">
        <v>0</v>
      </c>
      <c r="AH46" s="364">
        <v>1851031</v>
      </c>
      <c r="AI46" s="364">
        <v>0</v>
      </c>
      <c r="AJ46" s="364">
        <v>0</v>
      </c>
      <c r="AK46" s="364">
        <v>0</v>
      </c>
      <c r="AL46" s="364">
        <v>0</v>
      </c>
      <c r="AM46" s="364">
        <v>0</v>
      </c>
      <c r="AN46" s="364">
        <v>0</v>
      </c>
      <c r="AO46" s="364">
        <v>0</v>
      </c>
      <c r="AP46" s="364">
        <v>0</v>
      </c>
      <c r="AQ46" s="364">
        <v>0</v>
      </c>
      <c r="AR46" s="364">
        <v>0</v>
      </c>
      <c r="AS46" s="364">
        <v>0</v>
      </c>
      <c r="AT46" s="364">
        <v>0</v>
      </c>
      <c r="AU46" s="364">
        <v>0</v>
      </c>
      <c r="AV46" s="364">
        <v>0</v>
      </c>
      <c r="AW46" s="364">
        <v>0</v>
      </c>
      <c r="AX46" s="364">
        <v>0</v>
      </c>
      <c r="AY46" s="626">
        <f t="shared" si="3"/>
        <v>1340742304</v>
      </c>
      <c r="BA46" s="365"/>
      <c r="BJ46" s="367"/>
      <c r="CP46" s="368"/>
    </row>
    <row r="47" spans="1:94" x14ac:dyDescent="0.2">
      <c r="A47" s="363">
        <v>45078</v>
      </c>
      <c r="B47" s="364">
        <v>368051992</v>
      </c>
      <c r="C47" s="364">
        <v>262171112</v>
      </c>
      <c r="D47" s="364">
        <v>0</v>
      </c>
      <c r="E47" s="364">
        <v>392800962</v>
      </c>
      <c r="F47" s="364">
        <v>122593033</v>
      </c>
      <c r="G47" s="364">
        <v>44766366</v>
      </c>
      <c r="H47" s="364">
        <v>10971518</v>
      </c>
      <c r="I47" s="364">
        <v>0</v>
      </c>
      <c r="J47" s="364">
        <v>16115064</v>
      </c>
      <c r="K47" s="364">
        <v>0</v>
      </c>
      <c r="L47" s="364">
        <v>0</v>
      </c>
      <c r="M47" s="364">
        <v>0</v>
      </c>
      <c r="N47" s="364">
        <v>0</v>
      </c>
      <c r="O47" s="364">
        <v>0</v>
      </c>
      <c r="P47" s="364">
        <v>0</v>
      </c>
      <c r="Q47" s="364">
        <v>0</v>
      </c>
      <c r="R47" s="364">
        <v>0</v>
      </c>
      <c r="S47" s="364">
        <v>0</v>
      </c>
      <c r="T47" s="364">
        <v>0</v>
      </c>
      <c r="U47" s="364">
        <v>1776820</v>
      </c>
      <c r="V47" s="364">
        <v>0</v>
      </c>
      <c r="W47" s="364">
        <v>2000895</v>
      </c>
      <c r="X47" s="364">
        <v>0</v>
      </c>
      <c r="Y47" s="364">
        <v>0</v>
      </c>
      <c r="Z47" s="364">
        <v>0</v>
      </c>
      <c r="AA47" s="364">
        <v>0</v>
      </c>
      <c r="AB47" s="364">
        <v>0</v>
      </c>
      <c r="AC47" s="364">
        <v>0</v>
      </c>
      <c r="AD47" s="364">
        <v>0</v>
      </c>
      <c r="AE47" s="364">
        <v>1118873</v>
      </c>
      <c r="AF47" s="364">
        <v>609807</v>
      </c>
      <c r="AG47" s="364">
        <v>0</v>
      </c>
      <c r="AH47" s="364">
        <v>-987542</v>
      </c>
      <c r="AI47" s="364">
        <v>686662</v>
      </c>
      <c r="AJ47" s="364">
        <v>0</v>
      </c>
      <c r="AK47" s="364">
        <v>0</v>
      </c>
      <c r="AL47" s="364">
        <v>0</v>
      </c>
      <c r="AM47" s="364">
        <v>0</v>
      </c>
      <c r="AN47" s="364">
        <v>0</v>
      </c>
      <c r="AO47" s="364">
        <v>0</v>
      </c>
      <c r="AP47" s="364">
        <v>0</v>
      </c>
      <c r="AQ47" s="364">
        <v>0</v>
      </c>
      <c r="AR47" s="364">
        <v>0</v>
      </c>
      <c r="AS47" s="364">
        <v>0</v>
      </c>
      <c r="AT47" s="364">
        <v>0</v>
      </c>
      <c r="AU47" s="364">
        <v>0</v>
      </c>
      <c r="AV47" s="364">
        <v>0</v>
      </c>
      <c r="AW47" s="364">
        <v>0</v>
      </c>
      <c r="AX47" s="364">
        <v>0</v>
      </c>
      <c r="AY47" s="626">
        <f t="shared" si="3"/>
        <v>1222675562</v>
      </c>
      <c r="BA47" s="365"/>
      <c r="BJ47" s="367"/>
      <c r="CP47" s="368"/>
    </row>
    <row r="48" spans="1:94" x14ac:dyDescent="0.2">
      <c r="A48" s="363">
        <v>45108</v>
      </c>
      <c r="B48" s="364">
        <v>309030109</v>
      </c>
      <c r="C48" s="364">
        <v>220620077</v>
      </c>
      <c r="D48" s="364">
        <v>0</v>
      </c>
      <c r="E48" s="364">
        <v>336817496</v>
      </c>
      <c r="F48" s="364">
        <v>164463317</v>
      </c>
      <c r="G48" s="364">
        <v>89272366</v>
      </c>
      <c r="H48" s="364">
        <v>20485954</v>
      </c>
      <c r="I48" s="364">
        <v>0</v>
      </c>
      <c r="J48" s="364">
        <v>21000000</v>
      </c>
      <c r="K48" s="364">
        <v>0</v>
      </c>
      <c r="L48" s="364">
        <v>0</v>
      </c>
      <c r="M48" s="364">
        <v>0</v>
      </c>
      <c r="N48" s="364">
        <v>0</v>
      </c>
      <c r="O48" s="364">
        <v>0</v>
      </c>
      <c r="P48" s="364">
        <v>0</v>
      </c>
      <c r="Q48" s="364">
        <v>0</v>
      </c>
      <c r="R48" s="364">
        <v>0</v>
      </c>
      <c r="S48" s="364">
        <v>0</v>
      </c>
      <c r="T48" s="364">
        <v>0</v>
      </c>
      <c r="U48" s="364">
        <v>1412345</v>
      </c>
      <c r="V48" s="364">
        <v>0</v>
      </c>
      <c r="W48" s="364">
        <v>307144</v>
      </c>
      <c r="X48" s="364">
        <v>0</v>
      </c>
      <c r="Y48" s="364">
        <v>0</v>
      </c>
      <c r="Z48" s="364">
        <v>0</v>
      </c>
      <c r="AA48" s="364">
        <v>0</v>
      </c>
      <c r="AB48" s="364">
        <v>0</v>
      </c>
      <c r="AC48" s="364">
        <v>0</v>
      </c>
      <c r="AD48" s="364">
        <v>0</v>
      </c>
      <c r="AE48" s="364">
        <v>1576794</v>
      </c>
      <c r="AF48" s="364">
        <v>1089447</v>
      </c>
      <c r="AG48" s="364">
        <v>0</v>
      </c>
      <c r="AH48" s="364">
        <v>2580895</v>
      </c>
      <c r="AI48" s="364">
        <v>208000</v>
      </c>
      <c r="AJ48" s="364">
        <v>0</v>
      </c>
      <c r="AK48" s="364">
        <v>0</v>
      </c>
      <c r="AL48" s="364">
        <v>0</v>
      </c>
      <c r="AM48" s="364">
        <v>0</v>
      </c>
      <c r="AN48" s="364">
        <v>0</v>
      </c>
      <c r="AO48" s="364">
        <v>0</v>
      </c>
      <c r="AP48" s="364">
        <v>0</v>
      </c>
      <c r="AQ48" s="364">
        <v>0</v>
      </c>
      <c r="AR48" s="364">
        <v>0</v>
      </c>
      <c r="AS48" s="364">
        <v>0</v>
      </c>
      <c r="AT48" s="364">
        <v>0</v>
      </c>
      <c r="AU48" s="364">
        <v>0</v>
      </c>
      <c r="AV48" s="364">
        <v>0</v>
      </c>
      <c r="AW48" s="364">
        <v>0</v>
      </c>
      <c r="AX48" s="364">
        <v>0</v>
      </c>
      <c r="AY48" s="626">
        <f t="shared" si="3"/>
        <v>1168863944</v>
      </c>
      <c r="BA48" s="540"/>
      <c r="BJ48" s="367"/>
      <c r="CP48" s="368"/>
    </row>
    <row r="49" spans="1:94" x14ac:dyDescent="0.2">
      <c r="A49" s="363">
        <v>45139</v>
      </c>
      <c r="B49" s="364">
        <v>387811573</v>
      </c>
      <c r="C49" s="364">
        <v>246241029</v>
      </c>
      <c r="D49" s="364">
        <v>0</v>
      </c>
      <c r="E49" s="364">
        <v>378163865</v>
      </c>
      <c r="F49" s="364">
        <v>168246524</v>
      </c>
      <c r="G49" s="364">
        <v>97986646</v>
      </c>
      <c r="H49" s="364">
        <v>31051786</v>
      </c>
      <c r="I49" s="364">
        <v>0</v>
      </c>
      <c r="J49" s="364">
        <v>87309076</v>
      </c>
      <c r="K49" s="364">
        <v>0</v>
      </c>
      <c r="L49" s="364">
        <v>0</v>
      </c>
      <c r="M49" s="364">
        <v>0</v>
      </c>
      <c r="N49" s="364">
        <v>0</v>
      </c>
      <c r="O49" s="364">
        <v>0</v>
      </c>
      <c r="P49" s="364">
        <v>0</v>
      </c>
      <c r="Q49" s="364">
        <v>0</v>
      </c>
      <c r="R49" s="364">
        <v>0</v>
      </c>
      <c r="S49" s="364">
        <v>0</v>
      </c>
      <c r="T49" s="364">
        <v>0</v>
      </c>
      <c r="U49" s="364">
        <v>1137403</v>
      </c>
      <c r="V49" s="364">
        <v>0</v>
      </c>
      <c r="W49" s="364">
        <v>3073931</v>
      </c>
      <c r="X49" s="364">
        <v>0</v>
      </c>
      <c r="Y49" s="364">
        <v>0</v>
      </c>
      <c r="Z49" s="364">
        <v>0</v>
      </c>
      <c r="AA49" s="364">
        <v>0</v>
      </c>
      <c r="AB49" s="364">
        <v>0</v>
      </c>
      <c r="AC49" s="364">
        <v>0</v>
      </c>
      <c r="AD49" s="364">
        <v>0</v>
      </c>
      <c r="AE49" s="364">
        <v>387963</v>
      </c>
      <c r="AF49" s="364">
        <v>64129</v>
      </c>
      <c r="AG49" s="364">
        <v>0</v>
      </c>
      <c r="AH49" s="364">
        <v>1491332</v>
      </c>
      <c r="AI49" s="364">
        <v>158716</v>
      </c>
      <c r="AJ49" s="364">
        <v>0</v>
      </c>
      <c r="AK49" s="364">
        <v>0</v>
      </c>
      <c r="AL49" s="364">
        <v>0</v>
      </c>
      <c r="AM49" s="364">
        <v>0</v>
      </c>
      <c r="AN49" s="364">
        <v>0</v>
      </c>
      <c r="AO49" s="364">
        <v>0</v>
      </c>
      <c r="AP49" s="364">
        <v>0</v>
      </c>
      <c r="AQ49" s="364">
        <v>0</v>
      </c>
      <c r="AR49" s="364">
        <v>0</v>
      </c>
      <c r="AS49" s="364">
        <v>0</v>
      </c>
      <c r="AT49" s="364">
        <v>0</v>
      </c>
      <c r="AU49" s="364">
        <v>0</v>
      </c>
      <c r="AV49" s="364">
        <v>0</v>
      </c>
      <c r="AW49" s="364">
        <v>0</v>
      </c>
      <c r="AX49" s="364">
        <v>0</v>
      </c>
      <c r="AY49" s="626">
        <f t="shared" si="3"/>
        <v>1403123973</v>
      </c>
      <c r="BA49" s="540"/>
      <c r="BJ49" s="367"/>
      <c r="CP49" s="368"/>
    </row>
    <row r="50" spans="1:94" x14ac:dyDescent="0.2">
      <c r="A50" s="363">
        <v>45170</v>
      </c>
      <c r="B50" s="364">
        <v>232905022</v>
      </c>
      <c r="C50" s="364">
        <v>233503635</v>
      </c>
      <c r="D50" s="364">
        <v>0</v>
      </c>
      <c r="E50" s="364">
        <v>332726700</v>
      </c>
      <c r="F50" s="364">
        <v>117145518</v>
      </c>
      <c r="G50" s="364">
        <v>26672366</v>
      </c>
      <c r="H50" s="364">
        <v>8278594</v>
      </c>
      <c r="I50" s="364">
        <v>0</v>
      </c>
      <c r="J50" s="364">
        <v>62451076</v>
      </c>
      <c r="K50" s="364">
        <v>0</v>
      </c>
      <c r="L50" s="364">
        <v>0</v>
      </c>
      <c r="M50" s="364">
        <v>0</v>
      </c>
      <c r="N50" s="364">
        <v>0</v>
      </c>
      <c r="O50" s="364">
        <v>0</v>
      </c>
      <c r="P50" s="364">
        <v>0</v>
      </c>
      <c r="Q50" s="364">
        <v>0</v>
      </c>
      <c r="R50" s="364">
        <v>0</v>
      </c>
      <c r="S50" s="364">
        <v>0</v>
      </c>
      <c r="T50" s="364">
        <v>0</v>
      </c>
      <c r="U50" s="364">
        <v>1722494</v>
      </c>
      <c r="V50" s="364">
        <v>0</v>
      </c>
      <c r="W50" s="364">
        <v>3409951</v>
      </c>
      <c r="X50" s="364">
        <v>0</v>
      </c>
      <c r="Y50" s="364">
        <v>0</v>
      </c>
      <c r="Z50" s="364">
        <v>0</v>
      </c>
      <c r="AA50" s="364">
        <v>0</v>
      </c>
      <c r="AB50" s="364">
        <v>0</v>
      </c>
      <c r="AC50" s="364">
        <v>0</v>
      </c>
      <c r="AD50" s="364">
        <v>0</v>
      </c>
      <c r="AE50" s="364">
        <v>-755998</v>
      </c>
      <c r="AF50" s="364">
        <v>-848140</v>
      </c>
      <c r="AG50" s="364">
        <v>0</v>
      </c>
      <c r="AH50" s="364">
        <v>1720467</v>
      </c>
      <c r="AI50" s="364">
        <v>-172905</v>
      </c>
      <c r="AJ50" s="364">
        <v>0</v>
      </c>
      <c r="AK50" s="364">
        <v>0</v>
      </c>
      <c r="AL50" s="364">
        <v>0</v>
      </c>
      <c r="AM50" s="364">
        <v>0</v>
      </c>
      <c r="AN50" s="364">
        <v>0</v>
      </c>
      <c r="AO50" s="364">
        <v>0</v>
      </c>
      <c r="AP50" s="364">
        <v>0</v>
      </c>
      <c r="AQ50" s="364">
        <v>0</v>
      </c>
      <c r="AR50" s="364">
        <v>0</v>
      </c>
      <c r="AS50" s="364">
        <v>0</v>
      </c>
      <c r="AT50" s="364">
        <v>0</v>
      </c>
      <c r="AU50" s="364">
        <v>0</v>
      </c>
      <c r="AV50" s="364">
        <v>0</v>
      </c>
      <c r="AW50" s="364">
        <v>0</v>
      </c>
      <c r="AX50" s="364">
        <v>0</v>
      </c>
      <c r="AY50" s="626">
        <f t="shared" si="3"/>
        <v>1018758780</v>
      </c>
      <c r="BA50" s="540"/>
      <c r="BJ50" s="367"/>
      <c r="CP50" s="368"/>
    </row>
    <row r="51" spans="1:94" x14ac:dyDescent="0.2">
      <c r="A51" s="363">
        <v>45200</v>
      </c>
      <c r="B51" s="364">
        <v>342218315</v>
      </c>
      <c r="C51" s="364">
        <v>185767121</v>
      </c>
      <c r="D51" s="364">
        <v>0</v>
      </c>
      <c r="E51" s="364">
        <v>282643412</v>
      </c>
      <c r="F51" s="364">
        <v>137615532</v>
      </c>
      <c r="G51" s="364">
        <v>73852366</v>
      </c>
      <c r="H51" s="364">
        <v>158970415</v>
      </c>
      <c r="I51" s="364">
        <v>0</v>
      </c>
      <c r="J51" s="364">
        <v>30037959</v>
      </c>
      <c r="K51" s="364">
        <v>0</v>
      </c>
      <c r="L51" s="364">
        <v>0</v>
      </c>
      <c r="M51" s="364">
        <v>0</v>
      </c>
      <c r="N51" s="364">
        <v>0</v>
      </c>
      <c r="O51" s="364">
        <v>0</v>
      </c>
      <c r="P51" s="364">
        <v>0</v>
      </c>
      <c r="Q51" s="364">
        <v>7052197</v>
      </c>
      <c r="R51" s="364">
        <v>0</v>
      </c>
      <c r="S51" s="364">
        <v>0</v>
      </c>
      <c r="T51" s="364">
        <v>0</v>
      </c>
      <c r="U51" s="364">
        <v>1385554</v>
      </c>
      <c r="V51" s="364">
        <v>0</v>
      </c>
      <c r="W51" s="364">
        <v>3816866</v>
      </c>
      <c r="X51" s="364">
        <v>0</v>
      </c>
      <c r="Y51" s="364">
        <v>0</v>
      </c>
      <c r="Z51" s="364">
        <v>0</v>
      </c>
      <c r="AA51" s="364">
        <v>0</v>
      </c>
      <c r="AB51" s="364">
        <v>0</v>
      </c>
      <c r="AC51" s="364">
        <v>0</v>
      </c>
      <c r="AD51" s="364">
        <v>0</v>
      </c>
      <c r="AE51" s="364">
        <v>2598659</v>
      </c>
      <c r="AF51" s="364">
        <v>396974</v>
      </c>
      <c r="AG51" s="364">
        <v>0</v>
      </c>
      <c r="AH51" s="364">
        <v>718771</v>
      </c>
      <c r="AI51" s="364">
        <v>513690</v>
      </c>
      <c r="AJ51" s="364">
        <v>0</v>
      </c>
      <c r="AK51" s="364">
        <v>0</v>
      </c>
      <c r="AL51" s="364">
        <v>0</v>
      </c>
      <c r="AM51" s="364">
        <v>0</v>
      </c>
      <c r="AN51" s="364">
        <v>0</v>
      </c>
      <c r="AO51" s="364">
        <v>0</v>
      </c>
      <c r="AP51" s="364">
        <v>0</v>
      </c>
      <c r="AQ51" s="364">
        <v>0</v>
      </c>
      <c r="AR51" s="364">
        <v>0</v>
      </c>
      <c r="AS51" s="364">
        <v>0</v>
      </c>
      <c r="AT51" s="364">
        <v>0</v>
      </c>
      <c r="AU51" s="364">
        <v>0</v>
      </c>
      <c r="AV51" s="364">
        <v>0</v>
      </c>
      <c r="AW51" s="364">
        <v>0</v>
      </c>
      <c r="AX51" s="364">
        <v>0</v>
      </c>
      <c r="AY51" s="626">
        <f t="shared" si="3"/>
        <v>1227587831</v>
      </c>
      <c r="BA51" s="540"/>
      <c r="BJ51" s="367"/>
      <c r="CP51" s="368"/>
    </row>
    <row r="52" spans="1:94" x14ac:dyDescent="0.2">
      <c r="A52" s="363">
        <v>45231</v>
      </c>
      <c r="B52" s="364">
        <v>347906224</v>
      </c>
      <c r="C52" s="364">
        <v>293027699</v>
      </c>
      <c r="D52" s="364">
        <v>0</v>
      </c>
      <c r="E52" s="364">
        <v>475821253</v>
      </c>
      <c r="F52" s="364">
        <v>211586519</v>
      </c>
      <c r="G52" s="364">
        <v>99314377</v>
      </c>
      <c r="H52" s="364">
        <v>92852912</v>
      </c>
      <c r="I52" s="364">
        <v>0</v>
      </c>
      <c r="J52" s="364">
        <v>1451076</v>
      </c>
      <c r="K52" s="364">
        <v>0</v>
      </c>
      <c r="L52" s="364">
        <v>0</v>
      </c>
      <c r="M52" s="364">
        <v>0</v>
      </c>
      <c r="N52" s="364">
        <v>0</v>
      </c>
      <c r="O52" s="364">
        <v>0</v>
      </c>
      <c r="P52" s="364">
        <v>3523317</v>
      </c>
      <c r="Q52" s="364">
        <v>4052197</v>
      </c>
      <c r="R52" s="364">
        <v>0</v>
      </c>
      <c r="S52" s="364">
        <v>0</v>
      </c>
      <c r="T52" s="364">
        <v>0</v>
      </c>
      <c r="U52" s="364">
        <v>1959304</v>
      </c>
      <c r="V52" s="364">
        <v>0</v>
      </c>
      <c r="W52" s="364">
        <v>420462</v>
      </c>
      <c r="X52" s="364">
        <v>0</v>
      </c>
      <c r="Y52" s="364">
        <v>0</v>
      </c>
      <c r="Z52" s="364">
        <v>0</v>
      </c>
      <c r="AA52" s="364">
        <v>0</v>
      </c>
      <c r="AB52" s="364">
        <v>0</v>
      </c>
      <c r="AC52" s="364">
        <v>0</v>
      </c>
      <c r="AD52" s="364">
        <v>0</v>
      </c>
      <c r="AE52" s="364">
        <v>-427608</v>
      </c>
      <c r="AF52" s="364">
        <v>368597</v>
      </c>
      <c r="AG52" s="364">
        <v>0</v>
      </c>
      <c r="AH52" s="364">
        <v>2084385</v>
      </c>
      <c r="AI52" s="364">
        <v>523662</v>
      </c>
      <c r="AJ52" s="364">
        <v>0</v>
      </c>
      <c r="AK52" s="364">
        <v>0</v>
      </c>
      <c r="AL52" s="364">
        <v>0</v>
      </c>
      <c r="AM52" s="364">
        <v>0</v>
      </c>
      <c r="AN52" s="364">
        <v>0</v>
      </c>
      <c r="AO52" s="364">
        <v>0</v>
      </c>
      <c r="AP52" s="364">
        <v>0</v>
      </c>
      <c r="AQ52" s="364">
        <v>0</v>
      </c>
      <c r="AR52" s="364">
        <v>0</v>
      </c>
      <c r="AS52" s="364">
        <v>0</v>
      </c>
      <c r="AT52" s="364">
        <v>0</v>
      </c>
      <c r="AU52" s="364">
        <v>0</v>
      </c>
      <c r="AV52" s="364">
        <v>0</v>
      </c>
      <c r="AW52" s="364">
        <v>0</v>
      </c>
      <c r="AX52" s="364">
        <v>0</v>
      </c>
      <c r="AY52" s="626">
        <f t="shared" si="3"/>
        <v>1534464376</v>
      </c>
      <c r="BA52" s="540"/>
      <c r="BJ52" s="367"/>
      <c r="CP52" s="368"/>
    </row>
    <row r="53" spans="1:94" x14ac:dyDescent="0.2">
      <c r="A53" s="363">
        <v>45261</v>
      </c>
      <c r="B53" s="364">
        <v>472956750</v>
      </c>
      <c r="C53" s="364">
        <v>406230571</v>
      </c>
      <c r="D53" s="364">
        <v>0</v>
      </c>
      <c r="E53" s="364">
        <v>418802813</v>
      </c>
      <c r="F53" s="364">
        <v>227274275</v>
      </c>
      <c r="G53" s="364">
        <v>82172366</v>
      </c>
      <c r="H53" s="364">
        <v>26838563</v>
      </c>
      <c r="I53" s="364">
        <v>0</v>
      </c>
      <c r="J53" s="364">
        <v>150122483</v>
      </c>
      <c r="K53" s="364">
        <v>0</v>
      </c>
      <c r="L53" s="364">
        <v>0</v>
      </c>
      <c r="M53" s="364">
        <v>0</v>
      </c>
      <c r="N53" s="364">
        <v>0</v>
      </c>
      <c r="O53" s="364">
        <v>0</v>
      </c>
      <c r="P53" s="364">
        <v>7148011</v>
      </c>
      <c r="Q53" s="364">
        <v>2430234</v>
      </c>
      <c r="R53" s="364">
        <v>0</v>
      </c>
      <c r="S53" s="364">
        <v>0</v>
      </c>
      <c r="T53" s="364">
        <v>0</v>
      </c>
      <c r="U53" s="364">
        <v>4862311</v>
      </c>
      <c r="V53" s="364">
        <v>0</v>
      </c>
      <c r="W53" s="364">
        <v>2602262</v>
      </c>
      <c r="X53" s="364">
        <v>0</v>
      </c>
      <c r="Y53" s="364">
        <v>0</v>
      </c>
      <c r="Z53" s="364">
        <v>0</v>
      </c>
      <c r="AA53" s="364">
        <v>0</v>
      </c>
      <c r="AB53" s="364">
        <v>0</v>
      </c>
      <c r="AC53" s="364">
        <v>0</v>
      </c>
      <c r="AD53" s="364">
        <v>0</v>
      </c>
      <c r="AE53" s="364">
        <v>3805652</v>
      </c>
      <c r="AF53" s="364">
        <v>2499584</v>
      </c>
      <c r="AG53" s="364">
        <v>0</v>
      </c>
      <c r="AH53" s="364">
        <v>2219765</v>
      </c>
      <c r="AI53" s="364">
        <v>546034</v>
      </c>
      <c r="AJ53" s="364">
        <v>0</v>
      </c>
      <c r="AK53" s="364">
        <v>0</v>
      </c>
      <c r="AL53" s="364">
        <v>0</v>
      </c>
      <c r="AM53" s="364">
        <v>0</v>
      </c>
      <c r="AN53" s="364">
        <v>0</v>
      </c>
      <c r="AO53" s="364">
        <v>0</v>
      </c>
      <c r="AP53" s="364">
        <v>0</v>
      </c>
      <c r="AQ53" s="364">
        <v>0</v>
      </c>
      <c r="AR53" s="364">
        <v>0</v>
      </c>
      <c r="AS53" s="364">
        <v>0</v>
      </c>
      <c r="AT53" s="364">
        <v>0</v>
      </c>
      <c r="AU53" s="364">
        <v>0</v>
      </c>
      <c r="AV53" s="364">
        <v>0</v>
      </c>
      <c r="AW53" s="364">
        <v>0</v>
      </c>
      <c r="AX53" s="364">
        <v>0</v>
      </c>
      <c r="AY53" s="626">
        <f t="shared" si="3"/>
        <v>1810511674</v>
      </c>
      <c r="BA53" s="540"/>
      <c r="BJ53" s="367"/>
      <c r="CP53" s="368"/>
    </row>
    <row r="54" spans="1:94" x14ac:dyDescent="0.2">
      <c r="A54" s="363">
        <v>45292</v>
      </c>
      <c r="B54" s="364">
        <v>406364992</v>
      </c>
      <c r="C54" s="364">
        <v>370733422</v>
      </c>
      <c r="D54" s="364">
        <v>0</v>
      </c>
      <c r="E54" s="364">
        <v>395672404</v>
      </c>
      <c r="F54" s="364">
        <v>286586157</v>
      </c>
      <c r="G54" s="364">
        <v>444054333</v>
      </c>
      <c r="H54" s="364">
        <v>220128973</v>
      </c>
      <c r="I54" s="364">
        <v>0</v>
      </c>
      <c r="J54" s="364">
        <v>6745531</v>
      </c>
      <c r="K54" s="364">
        <v>0</v>
      </c>
      <c r="L54" s="364">
        <v>0</v>
      </c>
      <c r="M54" s="364">
        <v>0</v>
      </c>
      <c r="N54" s="364">
        <v>0</v>
      </c>
      <c r="O54" s="364">
        <v>0</v>
      </c>
      <c r="P54" s="364">
        <v>1818446</v>
      </c>
      <c r="Q54" s="364">
        <v>9454524</v>
      </c>
      <c r="R54" s="364">
        <v>0</v>
      </c>
      <c r="S54" s="364">
        <v>0</v>
      </c>
      <c r="T54" s="364">
        <v>0</v>
      </c>
      <c r="U54" s="364">
        <v>7675158</v>
      </c>
      <c r="V54" s="364">
        <v>0</v>
      </c>
      <c r="W54" s="364">
        <v>7252946</v>
      </c>
      <c r="X54" s="364">
        <v>0</v>
      </c>
      <c r="Y54" s="364">
        <v>0</v>
      </c>
      <c r="Z54" s="364">
        <v>0</v>
      </c>
      <c r="AA54" s="364">
        <v>0</v>
      </c>
      <c r="AB54" s="364">
        <v>0</v>
      </c>
      <c r="AC54" s="364">
        <v>0</v>
      </c>
      <c r="AD54" s="364">
        <v>0</v>
      </c>
      <c r="AE54" s="364">
        <v>1444625</v>
      </c>
      <c r="AF54" s="364">
        <v>2536524</v>
      </c>
      <c r="AG54" s="364">
        <v>0</v>
      </c>
      <c r="AH54" s="364">
        <v>3773325</v>
      </c>
      <c r="AI54" s="364">
        <v>2294466</v>
      </c>
      <c r="AJ54" s="364">
        <v>0</v>
      </c>
      <c r="AK54" s="364">
        <v>0</v>
      </c>
      <c r="AL54" s="364">
        <v>0</v>
      </c>
      <c r="AM54" s="364">
        <v>0</v>
      </c>
      <c r="AN54" s="364">
        <v>0</v>
      </c>
      <c r="AO54" s="364">
        <v>0</v>
      </c>
      <c r="AP54" s="364">
        <v>0</v>
      </c>
      <c r="AQ54" s="364">
        <v>0</v>
      </c>
      <c r="AR54" s="364">
        <v>0</v>
      </c>
      <c r="AS54" s="364">
        <v>0</v>
      </c>
      <c r="AT54" s="364">
        <v>0</v>
      </c>
      <c r="AU54" s="364">
        <v>0</v>
      </c>
      <c r="AV54" s="364">
        <v>0</v>
      </c>
      <c r="AW54" s="364">
        <v>0</v>
      </c>
      <c r="AX54" s="364">
        <v>0</v>
      </c>
      <c r="AY54" s="626">
        <f t="shared" ref="AY54:AY75" si="5">SUM(B54:AX54)</f>
        <v>2166535826</v>
      </c>
      <c r="BA54" s="540"/>
      <c r="BJ54" s="367"/>
      <c r="CP54" s="368"/>
    </row>
    <row r="55" spans="1:94" x14ac:dyDescent="0.2">
      <c r="A55" s="363">
        <v>45323</v>
      </c>
      <c r="B55" s="364">
        <v>358437398</v>
      </c>
      <c r="C55" s="364">
        <v>317205628</v>
      </c>
      <c r="D55" s="364">
        <v>0</v>
      </c>
      <c r="E55" s="364">
        <v>429961958</v>
      </c>
      <c r="F55" s="364">
        <v>347698232</v>
      </c>
      <c r="G55" s="364">
        <v>536868074</v>
      </c>
      <c r="H55" s="364">
        <v>197435873</v>
      </c>
      <c r="I55" s="364">
        <v>0</v>
      </c>
      <c r="J55" s="364">
        <v>11942455</v>
      </c>
      <c r="K55" s="364">
        <v>0</v>
      </c>
      <c r="L55" s="364">
        <v>0</v>
      </c>
      <c r="M55" s="364">
        <v>0</v>
      </c>
      <c r="N55" s="364">
        <v>0</v>
      </c>
      <c r="O55" s="364">
        <v>0</v>
      </c>
      <c r="P55" s="364">
        <v>18334464</v>
      </c>
      <c r="Q55" s="364">
        <v>9361944</v>
      </c>
      <c r="R55" s="364">
        <v>0</v>
      </c>
      <c r="S55" s="364">
        <v>0</v>
      </c>
      <c r="T55" s="364">
        <v>0</v>
      </c>
      <c r="U55" s="364">
        <v>2482274</v>
      </c>
      <c r="V55" s="364">
        <v>0</v>
      </c>
      <c r="W55" s="364">
        <v>1095965</v>
      </c>
      <c r="X55" s="364">
        <v>0</v>
      </c>
      <c r="Y55" s="364">
        <v>0</v>
      </c>
      <c r="Z55" s="364">
        <v>0</v>
      </c>
      <c r="AA55" s="364">
        <v>0</v>
      </c>
      <c r="AB55" s="364">
        <v>0</v>
      </c>
      <c r="AC55" s="364">
        <v>0</v>
      </c>
      <c r="AD55" s="364">
        <v>0</v>
      </c>
      <c r="AE55" s="364">
        <v>550987</v>
      </c>
      <c r="AF55" s="364">
        <v>1610016</v>
      </c>
      <c r="AG55" s="364">
        <v>0</v>
      </c>
      <c r="AH55" s="364">
        <v>166547</v>
      </c>
      <c r="AI55" s="364">
        <v>3913892</v>
      </c>
      <c r="AJ55" s="364">
        <v>0</v>
      </c>
      <c r="AK55" s="364">
        <v>0</v>
      </c>
      <c r="AL55" s="364">
        <v>0</v>
      </c>
      <c r="AM55" s="364">
        <v>0</v>
      </c>
      <c r="AN55" s="364">
        <v>0</v>
      </c>
      <c r="AO55" s="364">
        <v>0</v>
      </c>
      <c r="AP55" s="364">
        <v>0</v>
      </c>
      <c r="AQ55" s="364">
        <v>0</v>
      </c>
      <c r="AR55" s="364">
        <v>0</v>
      </c>
      <c r="AS55" s="364">
        <v>0</v>
      </c>
      <c r="AT55" s="364">
        <v>0</v>
      </c>
      <c r="AU55" s="364">
        <v>0</v>
      </c>
      <c r="AV55" s="364">
        <v>0</v>
      </c>
      <c r="AW55" s="364">
        <v>0</v>
      </c>
      <c r="AX55" s="364">
        <v>0</v>
      </c>
      <c r="AY55" s="626">
        <f t="shared" si="5"/>
        <v>2237065707</v>
      </c>
      <c r="BA55" s="540"/>
      <c r="BJ55" s="367"/>
      <c r="CP55" s="368"/>
    </row>
    <row r="56" spans="1:94" x14ac:dyDescent="0.2">
      <c r="A56" s="363">
        <v>45352</v>
      </c>
      <c r="B56" s="364">
        <v>391785246</v>
      </c>
      <c r="C56" s="364">
        <v>212588611</v>
      </c>
      <c r="D56" s="364">
        <v>0</v>
      </c>
      <c r="E56" s="364">
        <v>340927897</v>
      </c>
      <c r="F56" s="364">
        <v>314754210</v>
      </c>
      <c r="G56" s="364">
        <v>314510961</v>
      </c>
      <c r="H56" s="364">
        <v>97559934</v>
      </c>
      <c r="I56" s="364">
        <v>0</v>
      </c>
      <c r="J56" s="364">
        <v>122294455</v>
      </c>
      <c r="K56" s="364">
        <v>0</v>
      </c>
      <c r="L56" s="364">
        <v>0</v>
      </c>
      <c r="M56" s="364">
        <v>0</v>
      </c>
      <c r="N56" s="364">
        <v>0</v>
      </c>
      <c r="O56" s="364">
        <v>0</v>
      </c>
      <c r="P56" s="364">
        <v>1681035</v>
      </c>
      <c r="Q56" s="364">
        <v>9481172</v>
      </c>
      <c r="R56" s="364">
        <v>0</v>
      </c>
      <c r="S56" s="364">
        <v>0</v>
      </c>
      <c r="T56" s="364">
        <v>0</v>
      </c>
      <c r="U56" s="364">
        <v>3410942</v>
      </c>
      <c r="V56" s="364">
        <v>0</v>
      </c>
      <c r="W56" s="364">
        <v>5244130</v>
      </c>
      <c r="X56" s="364">
        <v>0</v>
      </c>
      <c r="Y56" s="364">
        <v>0</v>
      </c>
      <c r="Z56" s="364">
        <v>0</v>
      </c>
      <c r="AA56" s="364">
        <v>4155245</v>
      </c>
      <c r="AB56" s="364">
        <v>0</v>
      </c>
      <c r="AC56" s="364">
        <v>0</v>
      </c>
      <c r="AD56" s="364">
        <v>0</v>
      </c>
      <c r="AE56" s="364">
        <v>3541821</v>
      </c>
      <c r="AF56" s="364">
        <v>-2301608</v>
      </c>
      <c r="AG56" s="364">
        <v>0</v>
      </c>
      <c r="AH56" s="364">
        <v>1713087</v>
      </c>
      <c r="AI56" s="364">
        <v>-631645</v>
      </c>
      <c r="AJ56" s="364">
        <v>0</v>
      </c>
      <c r="AK56" s="364">
        <v>0</v>
      </c>
      <c r="AL56" s="364">
        <v>0</v>
      </c>
      <c r="AM56" s="364">
        <v>0</v>
      </c>
      <c r="AN56" s="364">
        <v>0</v>
      </c>
      <c r="AO56" s="364">
        <v>0</v>
      </c>
      <c r="AP56" s="364">
        <v>0</v>
      </c>
      <c r="AQ56" s="364">
        <v>0</v>
      </c>
      <c r="AR56" s="364">
        <v>0</v>
      </c>
      <c r="AS56" s="364">
        <v>0</v>
      </c>
      <c r="AT56" s="364">
        <v>0</v>
      </c>
      <c r="AU56" s="364">
        <v>0</v>
      </c>
      <c r="AV56" s="364">
        <v>0</v>
      </c>
      <c r="AW56" s="364">
        <v>-1512675</v>
      </c>
      <c r="AX56" s="364">
        <v>0</v>
      </c>
      <c r="AY56" s="626">
        <f t="shared" si="5"/>
        <v>1819202818</v>
      </c>
      <c r="BA56" s="540"/>
      <c r="BJ56" s="367"/>
      <c r="CP56" s="368"/>
    </row>
    <row r="57" spans="1:94" x14ac:dyDescent="0.2">
      <c r="A57" s="363">
        <v>45383</v>
      </c>
      <c r="B57" s="364">
        <v>349922012</v>
      </c>
      <c r="C57" s="364">
        <v>281321492</v>
      </c>
      <c r="D57" s="364">
        <v>0</v>
      </c>
      <c r="E57" s="364">
        <v>441635081</v>
      </c>
      <c r="F57" s="364">
        <v>331992597</v>
      </c>
      <c r="G57" s="364">
        <v>345437684</v>
      </c>
      <c r="H57" s="364">
        <v>266876975</v>
      </c>
      <c r="I57" s="364">
        <v>0</v>
      </c>
      <c r="J57" s="364">
        <v>322731650</v>
      </c>
      <c r="K57" s="364">
        <v>0</v>
      </c>
      <c r="L57" s="364">
        <v>0</v>
      </c>
      <c r="M57" s="364">
        <v>0</v>
      </c>
      <c r="N57" s="364">
        <v>0</v>
      </c>
      <c r="O57" s="364">
        <v>0</v>
      </c>
      <c r="P57" s="364">
        <v>6135242</v>
      </c>
      <c r="Q57" s="364">
        <v>50347660</v>
      </c>
      <c r="R57" s="364">
        <v>0</v>
      </c>
      <c r="S57" s="364">
        <v>0</v>
      </c>
      <c r="T57" s="364">
        <v>0</v>
      </c>
      <c r="U57" s="364">
        <v>4443543</v>
      </c>
      <c r="V57" s="364">
        <v>0</v>
      </c>
      <c r="W57" s="364">
        <v>7427826</v>
      </c>
      <c r="X57" s="364">
        <v>0</v>
      </c>
      <c r="Y57" s="364">
        <v>0</v>
      </c>
      <c r="Z57" s="364">
        <v>0</v>
      </c>
      <c r="AA57" s="364">
        <v>6278330</v>
      </c>
      <c r="AB57" s="364">
        <v>0</v>
      </c>
      <c r="AC57" s="364">
        <v>441396</v>
      </c>
      <c r="AD57" s="364">
        <v>0</v>
      </c>
      <c r="AE57" s="364">
        <v>2789806</v>
      </c>
      <c r="AF57" s="364">
        <v>715332</v>
      </c>
      <c r="AG57" s="364">
        <v>0</v>
      </c>
      <c r="AH57" s="364">
        <v>4632730</v>
      </c>
      <c r="AI57" s="364">
        <v>1236493</v>
      </c>
      <c r="AJ57" s="364">
        <v>0</v>
      </c>
      <c r="AK57" s="364">
        <v>0</v>
      </c>
      <c r="AL57" s="364">
        <v>0</v>
      </c>
      <c r="AM57" s="364">
        <v>0</v>
      </c>
      <c r="AN57" s="364">
        <v>0</v>
      </c>
      <c r="AO57" s="364">
        <v>0</v>
      </c>
      <c r="AP57" s="364">
        <v>0</v>
      </c>
      <c r="AQ57" s="364">
        <v>0</v>
      </c>
      <c r="AR57" s="364">
        <v>0</v>
      </c>
      <c r="AS57" s="364">
        <v>0</v>
      </c>
      <c r="AT57" s="364">
        <v>0</v>
      </c>
      <c r="AU57" s="364">
        <v>52573</v>
      </c>
      <c r="AV57" s="364">
        <v>0</v>
      </c>
      <c r="AW57" s="364">
        <v>0</v>
      </c>
      <c r="AX57" s="364">
        <v>0</v>
      </c>
      <c r="AY57" s="626">
        <f t="shared" si="5"/>
        <v>2424418422</v>
      </c>
      <c r="BA57" s="540"/>
      <c r="BJ57" s="367"/>
      <c r="CP57" s="368"/>
    </row>
    <row r="58" spans="1:94" x14ac:dyDescent="0.2">
      <c r="A58" s="363">
        <v>45413</v>
      </c>
      <c r="B58" s="364">
        <v>1141365065</v>
      </c>
      <c r="C58" s="364">
        <v>359725185</v>
      </c>
      <c r="D58" s="364">
        <v>0</v>
      </c>
      <c r="E58" s="364">
        <v>356715665</v>
      </c>
      <c r="F58" s="364">
        <v>260414681</v>
      </c>
      <c r="G58" s="364">
        <v>-383776733</v>
      </c>
      <c r="H58" s="364">
        <v>223055059</v>
      </c>
      <c r="I58" s="364">
        <v>0</v>
      </c>
      <c r="J58" s="364">
        <v>152976011</v>
      </c>
      <c r="K58" s="364">
        <v>0</v>
      </c>
      <c r="L58" s="364">
        <v>0</v>
      </c>
      <c r="M58" s="364">
        <v>0</v>
      </c>
      <c r="N58" s="364">
        <v>0</v>
      </c>
      <c r="O58" s="364">
        <v>0</v>
      </c>
      <c r="P58" s="364">
        <v>9091431</v>
      </c>
      <c r="Q58" s="364">
        <v>9879003</v>
      </c>
      <c r="R58" s="364">
        <v>0</v>
      </c>
      <c r="S58" s="364">
        <v>0</v>
      </c>
      <c r="T58" s="364">
        <v>0</v>
      </c>
      <c r="U58" s="364">
        <v>4856225</v>
      </c>
      <c r="V58" s="364">
        <v>0</v>
      </c>
      <c r="W58" s="364">
        <v>7194347</v>
      </c>
      <c r="X58" s="364">
        <v>0</v>
      </c>
      <c r="Y58" s="364">
        <v>0</v>
      </c>
      <c r="Z58" s="364">
        <v>0</v>
      </c>
      <c r="AA58" s="364">
        <v>3495793</v>
      </c>
      <c r="AB58" s="364">
        <v>0</v>
      </c>
      <c r="AC58" s="364">
        <v>4442379</v>
      </c>
      <c r="AD58" s="364">
        <v>0</v>
      </c>
      <c r="AE58" s="364">
        <v>4418166</v>
      </c>
      <c r="AF58" s="364">
        <v>2954566</v>
      </c>
      <c r="AG58" s="364">
        <v>0</v>
      </c>
      <c r="AH58" s="364">
        <v>2228116</v>
      </c>
      <c r="AI58" s="364">
        <v>2174726</v>
      </c>
      <c r="AJ58" s="364">
        <v>0</v>
      </c>
      <c r="AK58" s="364">
        <v>0</v>
      </c>
      <c r="AL58" s="364">
        <v>0</v>
      </c>
      <c r="AM58" s="364">
        <v>0</v>
      </c>
      <c r="AN58" s="364">
        <v>0</v>
      </c>
      <c r="AO58" s="364">
        <v>0</v>
      </c>
      <c r="AP58" s="364">
        <v>0</v>
      </c>
      <c r="AQ58" s="364">
        <v>0</v>
      </c>
      <c r="AR58" s="364">
        <v>0</v>
      </c>
      <c r="AS58" s="364">
        <v>0</v>
      </c>
      <c r="AT58" s="364">
        <v>0</v>
      </c>
      <c r="AU58" s="364">
        <v>0</v>
      </c>
      <c r="AV58" s="364">
        <v>0</v>
      </c>
      <c r="AW58" s="364">
        <v>0</v>
      </c>
      <c r="AX58" s="364">
        <v>0</v>
      </c>
      <c r="AY58" s="626">
        <f t="shared" si="5"/>
        <v>2161209685</v>
      </c>
      <c r="AZ58" s="364">
        <f>SUM(C58:AY58)</f>
        <v>3181054305</v>
      </c>
      <c r="BA58" s="364">
        <f>SUM(E58:AZ58)</f>
        <v>6002383425</v>
      </c>
      <c r="BJ58" s="367"/>
      <c r="CP58" s="368"/>
    </row>
    <row r="59" spans="1:94" x14ac:dyDescent="0.2">
      <c r="A59" s="363">
        <v>45444</v>
      </c>
      <c r="B59" s="364">
        <v>654598594</v>
      </c>
      <c r="C59" s="364">
        <v>296599821</v>
      </c>
      <c r="D59" s="364">
        <v>0</v>
      </c>
      <c r="E59" s="364">
        <v>239125740</v>
      </c>
      <c r="F59" s="364">
        <v>363389431</v>
      </c>
      <c r="G59" s="364">
        <v>722755345</v>
      </c>
      <c r="H59" s="364">
        <v>492681231</v>
      </c>
      <c r="I59" s="364">
        <v>0</v>
      </c>
      <c r="J59" s="364">
        <v>178402959</v>
      </c>
      <c r="K59" s="364">
        <v>20403943</v>
      </c>
      <c r="L59" s="364">
        <v>0</v>
      </c>
      <c r="M59" s="364">
        <v>0</v>
      </c>
      <c r="N59" s="364">
        <v>0</v>
      </c>
      <c r="O59" s="364">
        <v>0</v>
      </c>
      <c r="P59" s="364">
        <v>16136782</v>
      </c>
      <c r="Q59" s="364">
        <v>41651395</v>
      </c>
      <c r="R59" s="364">
        <v>0</v>
      </c>
      <c r="S59" s="364">
        <v>0</v>
      </c>
      <c r="T59" s="364">
        <v>0</v>
      </c>
      <c r="U59" s="364">
        <v>11449893</v>
      </c>
      <c r="V59" s="364">
        <v>0</v>
      </c>
      <c r="W59" s="364">
        <v>6222669</v>
      </c>
      <c r="X59" s="364">
        <v>0</v>
      </c>
      <c r="Y59" s="364">
        <v>0</v>
      </c>
      <c r="Z59" s="364">
        <v>0</v>
      </c>
      <c r="AA59" s="364">
        <v>2513682</v>
      </c>
      <c r="AB59" s="364">
        <v>0</v>
      </c>
      <c r="AC59" s="364">
        <v>3009081</v>
      </c>
      <c r="AD59" s="364">
        <v>0</v>
      </c>
      <c r="AE59" s="364">
        <v>3596562</v>
      </c>
      <c r="AF59" s="364">
        <v>1716490</v>
      </c>
      <c r="AG59" s="364">
        <v>0</v>
      </c>
      <c r="AH59" s="364">
        <v>-4498468</v>
      </c>
      <c r="AI59" s="364">
        <v>1136165</v>
      </c>
      <c r="AJ59" s="364">
        <v>0</v>
      </c>
      <c r="AK59" s="364">
        <v>0</v>
      </c>
      <c r="AL59" s="364">
        <v>0</v>
      </c>
      <c r="AM59" s="364">
        <v>0</v>
      </c>
      <c r="AN59" s="364">
        <v>0</v>
      </c>
      <c r="AO59" s="364">
        <v>0</v>
      </c>
      <c r="AP59" s="364">
        <v>0</v>
      </c>
      <c r="AQ59" s="364">
        <v>0</v>
      </c>
      <c r="AR59" s="364">
        <v>0</v>
      </c>
      <c r="AS59" s="364">
        <v>0</v>
      </c>
      <c r="AT59" s="364">
        <v>2202645</v>
      </c>
      <c r="AU59" s="364">
        <v>0</v>
      </c>
      <c r="AV59" s="364">
        <v>0</v>
      </c>
      <c r="AW59" s="364">
        <v>8000000</v>
      </c>
      <c r="AX59" s="364">
        <v>0</v>
      </c>
      <c r="AY59" s="626">
        <f t="shared" si="5"/>
        <v>3061093960</v>
      </c>
      <c r="BA59" s="540"/>
      <c r="BJ59" s="367"/>
      <c r="CP59" s="368"/>
    </row>
    <row r="60" spans="1:94" x14ac:dyDescent="0.2">
      <c r="A60" s="363">
        <v>45474</v>
      </c>
      <c r="B60" s="364">
        <v>630047157</v>
      </c>
      <c r="C60" s="364">
        <v>287535999</v>
      </c>
      <c r="D60" s="364">
        <v>0</v>
      </c>
      <c r="E60" s="364">
        <v>436457352</v>
      </c>
      <c r="F60" s="364">
        <v>362162217</v>
      </c>
      <c r="G60" s="364">
        <v>1289966333</v>
      </c>
      <c r="H60" s="364">
        <v>466616607</v>
      </c>
      <c r="I60" s="364">
        <v>0</v>
      </c>
      <c r="J60" s="364">
        <v>172662605</v>
      </c>
      <c r="K60" s="364">
        <v>0</v>
      </c>
      <c r="L60" s="364">
        <v>0</v>
      </c>
      <c r="M60" s="364">
        <v>0</v>
      </c>
      <c r="N60" s="364">
        <v>0</v>
      </c>
      <c r="O60" s="364">
        <v>0</v>
      </c>
      <c r="P60" s="364">
        <v>1217861</v>
      </c>
      <c r="Q60" s="364">
        <v>10339988</v>
      </c>
      <c r="R60" s="364">
        <v>0</v>
      </c>
      <c r="S60" s="364">
        <v>0</v>
      </c>
      <c r="T60" s="364">
        <v>0</v>
      </c>
      <c r="U60" s="364">
        <v>24185159</v>
      </c>
      <c r="V60" s="364">
        <v>0</v>
      </c>
      <c r="W60" s="364">
        <v>8204490</v>
      </c>
      <c r="X60" s="364">
        <v>0</v>
      </c>
      <c r="Y60" s="364">
        <v>0</v>
      </c>
      <c r="Z60" s="364">
        <v>0</v>
      </c>
      <c r="AA60" s="364">
        <v>6560950</v>
      </c>
      <c r="AB60" s="364">
        <v>0</v>
      </c>
      <c r="AC60" s="364">
        <v>5817321</v>
      </c>
      <c r="AD60" s="364">
        <v>0</v>
      </c>
      <c r="AE60" s="364">
        <v>2469266</v>
      </c>
      <c r="AF60" s="364">
        <v>2860217</v>
      </c>
      <c r="AG60" s="364">
        <v>0</v>
      </c>
      <c r="AH60" s="364">
        <v>5606941</v>
      </c>
      <c r="AI60" s="364">
        <v>1314070</v>
      </c>
      <c r="AJ60" s="364">
        <v>0</v>
      </c>
      <c r="AK60" s="364">
        <v>0</v>
      </c>
      <c r="AL60" s="364">
        <v>0</v>
      </c>
      <c r="AM60" s="364">
        <v>0</v>
      </c>
      <c r="AN60" s="364">
        <v>0</v>
      </c>
      <c r="AO60" s="364">
        <v>0</v>
      </c>
      <c r="AP60" s="364">
        <v>0</v>
      </c>
      <c r="AQ60" s="364">
        <v>0</v>
      </c>
      <c r="AR60" s="364">
        <v>0</v>
      </c>
      <c r="AS60" s="364">
        <v>0</v>
      </c>
      <c r="AT60" s="364">
        <v>92619614</v>
      </c>
      <c r="AU60" s="364">
        <v>1315063</v>
      </c>
      <c r="AV60" s="364">
        <v>0</v>
      </c>
      <c r="AW60" s="364">
        <v>0</v>
      </c>
      <c r="AX60" s="364">
        <v>0</v>
      </c>
      <c r="AY60" s="626">
        <f t="shared" si="5"/>
        <v>3807959210</v>
      </c>
      <c r="BA60" s="540"/>
      <c r="BJ60" s="367"/>
      <c r="CP60" s="368"/>
    </row>
    <row r="61" spans="1:94" x14ac:dyDescent="0.2">
      <c r="A61" s="363">
        <v>45505</v>
      </c>
      <c r="B61" s="364">
        <v>1573791415</v>
      </c>
      <c r="C61" s="364">
        <v>-4626617</v>
      </c>
      <c r="D61" s="364">
        <v>0</v>
      </c>
      <c r="E61" s="364">
        <v>617250326</v>
      </c>
      <c r="F61" s="364">
        <v>284967296</v>
      </c>
      <c r="G61" s="364">
        <v>-44445126</v>
      </c>
      <c r="H61" s="364">
        <v>361689878</v>
      </c>
      <c r="I61" s="364">
        <v>0</v>
      </c>
      <c r="J61" s="364">
        <v>-208321057</v>
      </c>
      <c r="K61" s="364">
        <v>0</v>
      </c>
      <c r="L61" s="364">
        <v>0</v>
      </c>
      <c r="M61" s="364">
        <v>0</v>
      </c>
      <c r="N61" s="364">
        <v>0</v>
      </c>
      <c r="O61" s="364">
        <v>0</v>
      </c>
      <c r="P61" s="364">
        <v>0</v>
      </c>
      <c r="Q61" s="364">
        <v>52884597</v>
      </c>
      <c r="R61" s="364">
        <v>0</v>
      </c>
      <c r="S61" s="364">
        <v>0</v>
      </c>
      <c r="T61" s="364">
        <v>0</v>
      </c>
      <c r="U61" s="364">
        <v>4634977</v>
      </c>
      <c r="V61" s="364">
        <v>0</v>
      </c>
      <c r="W61" s="364">
        <v>17476613</v>
      </c>
      <c r="X61" s="364">
        <v>0</v>
      </c>
      <c r="Y61" s="364">
        <v>0</v>
      </c>
      <c r="Z61" s="364">
        <v>0</v>
      </c>
      <c r="AA61" s="364">
        <v>537638</v>
      </c>
      <c r="AB61" s="364">
        <v>0</v>
      </c>
      <c r="AC61" s="364">
        <v>2511086</v>
      </c>
      <c r="AD61" s="364">
        <v>0</v>
      </c>
      <c r="AE61" s="364">
        <v>2492025</v>
      </c>
      <c r="AF61" s="364">
        <v>-1927170</v>
      </c>
      <c r="AG61" s="364">
        <v>0</v>
      </c>
      <c r="AH61" s="364">
        <v>-1007219</v>
      </c>
      <c r="AI61" s="364">
        <v>1682922</v>
      </c>
      <c r="AJ61" s="364">
        <v>0</v>
      </c>
      <c r="AK61" s="364">
        <v>0</v>
      </c>
      <c r="AL61" s="364">
        <v>0</v>
      </c>
      <c r="AM61" s="364">
        <v>0</v>
      </c>
      <c r="AN61" s="364">
        <v>0</v>
      </c>
      <c r="AO61" s="364">
        <v>0</v>
      </c>
      <c r="AP61" s="364">
        <v>0</v>
      </c>
      <c r="AQ61" s="364">
        <v>0</v>
      </c>
      <c r="AR61" s="364">
        <v>0</v>
      </c>
      <c r="AS61" s="364">
        <v>0</v>
      </c>
      <c r="AT61" s="364">
        <v>-257</v>
      </c>
      <c r="AU61" s="364">
        <v>0</v>
      </c>
      <c r="AV61" s="364">
        <v>0</v>
      </c>
      <c r="AW61" s="364">
        <v>0</v>
      </c>
      <c r="AX61" s="364">
        <v>0</v>
      </c>
      <c r="AY61" s="626">
        <f t="shared" si="5"/>
        <v>2659591327</v>
      </c>
      <c r="BA61" s="540"/>
      <c r="BJ61" s="367"/>
      <c r="CP61" s="368"/>
    </row>
    <row r="62" spans="1:94" x14ac:dyDescent="0.2">
      <c r="A62" s="363">
        <v>45536</v>
      </c>
      <c r="B62" s="364">
        <v>2800924025</v>
      </c>
      <c r="C62" s="364">
        <v>548687505</v>
      </c>
      <c r="D62" s="364">
        <v>0</v>
      </c>
      <c r="E62" s="364">
        <v>437096466</v>
      </c>
      <c r="F62" s="364">
        <v>381845116</v>
      </c>
      <c r="G62" s="364">
        <v>-1925806508</v>
      </c>
      <c r="H62" s="364">
        <v>682401012</v>
      </c>
      <c r="I62" s="364">
        <v>0</v>
      </c>
      <c r="J62" s="364">
        <v>130927870</v>
      </c>
      <c r="K62" s="364">
        <v>0</v>
      </c>
      <c r="L62" s="364">
        <v>2245668480</v>
      </c>
      <c r="M62" s="364">
        <v>0</v>
      </c>
      <c r="N62" s="364">
        <v>0</v>
      </c>
      <c r="O62" s="364">
        <v>0</v>
      </c>
      <c r="P62" s="364">
        <v>0</v>
      </c>
      <c r="Q62" s="364">
        <v>24558593</v>
      </c>
      <c r="R62" s="364">
        <v>0</v>
      </c>
      <c r="S62" s="364">
        <v>0</v>
      </c>
      <c r="T62" s="364">
        <v>0</v>
      </c>
      <c r="U62" s="364">
        <v>3489648</v>
      </c>
      <c r="V62" s="364">
        <v>0</v>
      </c>
      <c r="W62" s="364">
        <v>18721379</v>
      </c>
      <c r="X62" s="364">
        <v>0</v>
      </c>
      <c r="Y62" s="364">
        <v>0</v>
      </c>
      <c r="Z62" s="364">
        <v>0</v>
      </c>
      <c r="AA62" s="364">
        <v>2995378</v>
      </c>
      <c r="AB62" s="364">
        <v>0</v>
      </c>
      <c r="AC62" s="364">
        <v>3118094</v>
      </c>
      <c r="AD62" s="364">
        <v>0</v>
      </c>
      <c r="AE62" s="364">
        <v>4945324</v>
      </c>
      <c r="AF62" s="364">
        <v>839905</v>
      </c>
      <c r="AG62" s="364">
        <v>0</v>
      </c>
      <c r="AH62" s="364">
        <v>4137894</v>
      </c>
      <c r="AI62" s="364">
        <v>2709868</v>
      </c>
      <c r="AJ62" s="364">
        <v>515806</v>
      </c>
      <c r="AK62" s="364">
        <v>0</v>
      </c>
      <c r="AL62" s="364">
        <v>0</v>
      </c>
      <c r="AM62" s="364">
        <v>0</v>
      </c>
      <c r="AN62" s="364">
        <v>0</v>
      </c>
      <c r="AO62" s="364">
        <v>0</v>
      </c>
      <c r="AP62" s="364">
        <v>0</v>
      </c>
      <c r="AQ62" s="364">
        <v>0</v>
      </c>
      <c r="AR62" s="364">
        <v>0</v>
      </c>
      <c r="AS62" s="364">
        <v>0</v>
      </c>
      <c r="AT62" s="364">
        <v>801138</v>
      </c>
      <c r="AU62" s="364">
        <v>6923781</v>
      </c>
      <c r="AV62" s="364">
        <v>0</v>
      </c>
      <c r="AW62" s="364">
        <v>0</v>
      </c>
      <c r="AX62" s="364">
        <v>0</v>
      </c>
      <c r="AY62" s="626">
        <f t="shared" si="5"/>
        <v>5375500774</v>
      </c>
      <c r="BA62" s="540"/>
      <c r="BJ62" s="367"/>
      <c r="CP62" s="368"/>
    </row>
    <row r="63" spans="1:94" x14ac:dyDescent="0.2">
      <c r="A63" s="363">
        <v>45566</v>
      </c>
      <c r="B63" s="364">
        <v>11327585</v>
      </c>
      <c r="C63" s="364">
        <v>645711910</v>
      </c>
      <c r="D63" s="364">
        <v>163001425</v>
      </c>
      <c r="E63" s="364">
        <v>470458029</v>
      </c>
      <c r="F63" s="364">
        <v>121922824</v>
      </c>
      <c r="G63" s="364">
        <v>518307101</v>
      </c>
      <c r="H63" s="364">
        <v>308592287</v>
      </c>
      <c r="I63" s="364"/>
      <c r="J63" s="364">
        <v>64570471</v>
      </c>
      <c r="K63" s="364">
        <v>0</v>
      </c>
      <c r="L63" s="364">
        <v>2312621020</v>
      </c>
      <c r="M63" s="364">
        <v>0</v>
      </c>
      <c r="N63" s="364">
        <v>0</v>
      </c>
      <c r="O63" s="364">
        <v>0</v>
      </c>
      <c r="P63" s="364">
        <v>0</v>
      </c>
      <c r="Q63" s="364">
        <v>7975565</v>
      </c>
      <c r="R63" s="364"/>
      <c r="S63" s="364">
        <v>26747330</v>
      </c>
      <c r="T63" s="364">
        <v>3207289</v>
      </c>
      <c r="U63" s="364">
        <v>184656</v>
      </c>
      <c r="V63" s="364"/>
      <c r="W63" s="364">
        <v>47884600</v>
      </c>
      <c r="X63" s="364"/>
      <c r="Y63" s="364"/>
      <c r="Z63" s="364"/>
      <c r="AA63" s="364">
        <v>3431967</v>
      </c>
      <c r="AB63" s="364"/>
      <c r="AC63" s="364">
        <v>2158130</v>
      </c>
      <c r="AD63" s="364"/>
      <c r="AE63" s="364">
        <v>2289016</v>
      </c>
      <c r="AF63" s="364">
        <v>2494722</v>
      </c>
      <c r="AG63" s="364"/>
      <c r="AH63" s="364">
        <v>3716382</v>
      </c>
      <c r="AI63" s="364">
        <v>2085539</v>
      </c>
      <c r="AJ63" s="364">
        <v>1779538</v>
      </c>
      <c r="AK63" s="364"/>
      <c r="AL63" s="364">
        <v>0</v>
      </c>
      <c r="AM63" s="364">
        <v>0</v>
      </c>
      <c r="AN63" s="364">
        <v>0</v>
      </c>
      <c r="AO63" s="364">
        <v>0</v>
      </c>
      <c r="AP63" s="364"/>
      <c r="AQ63" s="364">
        <v>0</v>
      </c>
      <c r="AR63" s="364">
        <v>0</v>
      </c>
      <c r="AS63" s="364"/>
      <c r="AT63" s="364">
        <v>5540785</v>
      </c>
      <c r="AU63" s="364">
        <v>773454</v>
      </c>
      <c r="AV63" s="364"/>
      <c r="AW63" s="364">
        <v>-1547330</v>
      </c>
      <c r="AX63" s="364">
        <v>0</v>
      </c>
      <c r="AY63" s="626">
        <f t="shared" si="5"/>
        <v>4725234295</v>
      </c>
      <c r="BA63" s="540"/>
      <c r="BJ63" s="367"/>
      <c r="CP63" s="368"/>
    </row>
    <row r="64" spans="1:94" x14ac:dyDescent="0.2">
      <c r="A64" s="363">
        <v>45597</v>
      </c>
      <c r="B64" s="364">
        <v>1291420867</v>
      </c>
      <c r="C64" s="364">
        <v>2070244977</v>
      </c>
      <c r="D64" s="364">
        <v>312247471</v>
      </c>
      <c r="E64" s="364">
        <v>390934218</v>
      </c>
      <c r="F64" s="364">
        <v>170322839</v>
      </c>
      <c r="G64" s="364">
        <v>-1028854582</v>
      </c>
      <c r="H64" s="364">
        <v>-1652395388</v>
      </c>
      <c r="I64" s="364"/>
      <c r="J64" s="364">
        <v>50393505</v>
      </c>
      <c r="K64" s="364">
        <v>19224669</v>
      </c>
      <c r="L64" s="364">
        <v>2556837931</v>
      </c>
      <c r="M64" s="364">
        <v>0</v>
      </c>
      <c r="N64" s="364">
        <v>0</v>
      </c>
      <c r="O64" s="364">
        <v>0</v>
      </c>
      <c r="P64" s="364">
        <v>0</v>
      </c>
      <c r="Q64" s="364">
        <v>27056685</v>
      </c>
      <c r="R64" s="364"/>
      <c r="S64" s="364">
        <v>26614661</v>
      </c>
      <c r="T64" s="364">
        <v>6797143</v>
      </c>
      <c r="U64" s="364">
        <v>1512675</v>
      </c>
      <c r="V64" s="364"/>
      <c r="W64" s="364">
        <v>6394699</v>
      </c>
      <c r="X64" s="364"/>
      <c r="Y64" s="364"/>
      <c r="Z64" s="364"/>
      <c r="AA64" s="364">
        <v>2944248</v>
      </c>
      <c r="AB64" s="364"/>
      <c r="AC64" s="364">
        <v>-38040</v>
      </c>
      <c r="AD64" s="364"/>
      <c r="AE64" s="364">
        <v>3455745</v>
      </c>
      <c r="AF64" s="364">
        <v>0</v>
      </c>
      <c r="AG64" s="364"/>
      <c r="AH64" s="364">
        <v>2362838</v>
      </c>
      <c r="AI64" s="364">
        <v>985005</v>
      </c>
      <c r="AJ64" s="364">
        <v>847347</v>
      </c>
      <c r="AK64" s="364">
        <v>490291</v>
      </c>
      <c r="AL64" s="364">
        <v>0</v>
      </c>
      <c r="AM64" s="364">
        <v>0</v>
      </c>
      <c r="AN64" s="364">
        <v>0</v>
      </c>
      <c r="AO64" s="364">
        <v>0</v>
      </c>
      <c r="AP64" s="364"/>
      <c r="AQ64" s="364">
        <v>0</v>
      </c>
      <c r="AR64" s="364">
        <v>0</v>
      </c>
      <c r="AS64" s="364"/>
      <c r="AT64" s="364">
        <v>30233714</v>
      </c>
      <c r="AU64" s="364">
        <v>-6450000</v>
      </c>
      <c r="AV64" s="364"/>
      <c r="AW64" s="364"/>
      <c r="AX64" s="364">
        <v>0</v>
      </c>
      <c r="AY64" s="626">
        <f t="shared" si="5"/>
        <v>4283583518</v>
      </c>
      <c r="BA64" s="540"/>
      <c r="BJ64" s="367"/>
      <c r="CP64" s="368"/>
    </row>
    <row r="65" spans="1:94" x14ac:dyDescent="0.2">
      <c r="A65" s="363">
        <v>45627</v>
      </c>
      <c r="B65" s="364">
        <v>906647412</v>
      </c>
      <c r="C65" s="364">
        <v>144313037</v>
      </c>
      <c r="D65" s="364">
        <v>411873924</v>
      </c>
      <c r="E65" s="364">
        <v>428261763</v>
      </c>
      <c r="F65" s="364">
        <v>526261923</v>
      </c>
      <c r="G65" s="364">
        <v>-622801027</v>
      </c>
      <c r="H65" s="364">
        <v>195115532</v>
      </c>
      <c r="I65" s="364"/>
      <c r="J65" s="364">
        <v>319073240</v>
      </c>
      <c r="K65" s="364">
        <v>-19224669</v>
      </c>
      <c r="L65" s="364">
        <v>1313490720</v>
      </c>
      <c r="M65" s="364">
        <v>0</v>
      </c>
      <c r="N65" s="364">
        <v>0</v>
      </c>
      <c r="O65" s="364">
        <v>0</v>
      </c>
      <c r="P65" s="364">
        <v>0</v>
      </c>
      <c r="Q65" s="364">
        <v>0</v>
      </c>
      <c r="R65" s="364"/>
      <c r="S65" s="364">
        <v>68192775</v>
      </c>
      <c r="T65" s="364">
        <v>1483143</v>
      </c>
      <c r="U65" s="364">
        <v>0</v>
      </c>
      <c r="V65" s="364">
        <v>48173451</v>
      </c>
      <c r="W65" s="364">
        <v>21626132</v>
      </c>
      <c r="X65" s="364"/>
      <c r="Y65" s="364"/>
      <c r="Z65" s="364"/>
      <c r="AA65" s="364">
        <v>2962784</v>
      </c>
      <c r="AB65" s="364"/>
      <c r="AC65" s="364">
        <v>5683699</v>
      </c>
      <c r="AD65" s="364"/>
      <c r="AE65" s="364">
        <v>2160553</v>
      </c>
      <c r="AF65" s="364">
        <v>1440835</v>
      </c>
      <c r="AG65" s="364"/>
      <c r="AH65" s="364">
        <v>6116886</v>
      </c>
      <c r="AI65" s="364">
        <v>4108638</v>
      </c>
      <c r="AJ65" s="364">
        <v>843731</v>
      </c>
      <c r="AK65" s="364"/>
      <c r="AL65" s="364">
        <v>0</v>
      </c>
      <c r="AM65" s="364">
        <v>0</v>
      </c>
      <c r="AN65" s="364">
        <v>0</v>
      </c>
      <c r="AO65" s="364">
        <v>0</v>
      </c>
      <c r="AP65" s="364"/>
      <c r="AQ65" s="364">
        <v>0</v>
      </c>
      <c r="AR65" s="364">
        <v>0</v>
      </c>
      <c r="AS65" s="364"/>
      <c r="AT65" s="364">
        <v>-440385</v>
      </c>
      <c r="AU65" s="364">
        <v>1110628</v>
      </c>
      <c r="AV65" s="364"/>
      <c r="AW65" s="364"/>
      <c r="AX65" s="364">
        <v>0</v>
      </c>
      <c r="AY65" s="626">
        <f t="shared" si="5"/>
        <v>3766474725</v>
      </c>
      <c r="BA65" s="540"/>
      <c r="BJ65" s="367"/>
      <c r="CP65" s="368"/>
    </row>
    <row r="66" spans="1:94" x14ac:dyDescent="0.2">
      <c r="A66" s="363">
        <v>45658</v>
      </c>
      <c r="B66" s="364">
        <v>-5828883</v>
      </c>
      <c r="C66" s="364">
        <v>456942962</v>
      </c>
      <c r="D66" s="364">
        <v>311361494</v>
      </c>
      <c r="E66" s="364">
        <v>318409888</v>
      </c>
      <c r="F66" s="364">
        <v>310380884</v>
      </c>
      <c r="G66" s="364">
        <v>250651523</v>
      </c>
      <c r="H66" s="364">
        <v>-265459229</v>
      </c>
      <c r="I66" s="364"/>
      <c r="J66" s="364">
        <v>550846079</v>
      </c>
      <c r="K66" s="364">
        <v>45911000</v>
      </c>
      <c r="L66" s="364">
        <v>4119962950</v>
      </c>
      <c r="M66" s="364">
        <v>1371922751</v>
      </c>
      <c r="N66" s="364">
        <v>0</v>
      </c>
      <c r="O66" s="364">
        <v>0</v>
      </c>
      <c r="P66" s="364">
        <v>0</v>
      </c>
      <c r="Q66" s="364">
        <v>0</v>
      </c>
      <c r="R66" s="364"/>
      <c r="S66" s="364">
        <v>69482555</v>
      </c>
      <c r="T66" s="364">
        <v>17471531</v>
      </c>
      <c r="U66" s="364"/>
      <c r="V66" s="364">
        <v>159417457</v>
      </c>
      <c r="W66" s="364">
        <v>0</v>
      </c>
      <c r="X66" s="364">
        <v>54391217</v>
      </c>
      <c r="Y66" s="364"/>
      <c r="Z66" s="364"/>
      <c r="AA66" s="364">
        <v>5716377</v>
      </c>
      <c r="AB66" s="364"/>
      <c r="AC66" s="364">
        <v>-1279362</v>
      </c>
      <c r="AD66" s="364"/>
      <c r="AE66" s="364">
        <v>9050340</v>
      </c>
      <c r="AF66" s="364">
        <v>4863993</v>
      </c>
      <c r="AG66" s="364">
        <v>127599</v>
      </c>
      <c r="AH66" s="364">
        <v>67157</v>
      </c>
      <c r="AI66" s="364">
        <v>1430878</v>
      </c>
      <c r="AJ66" s="364">
        <v>1096707</v>
      </c>
      <c r="AK66" s="364">
        <v>427442</v>
      </c>
      <c r="AL66" s="364">
        <v>0</v>
      </c>
      <c r="AM66" s="364">
        <v>0</v>
      </c>
      <c r="AN66" s="364">
        <v>0</v>
      </c>
      <c r="AO66" s="364">
        <v>64543</v>
      </c>
      <c r="AP66" s="364"/>
      <c r="AQ66" s="364">
        <v>0</v>
      </c>
      <c r="AR66" s="364">
        <v>0</v>
      </c>
      <c r="AS66" s="364"/>
      <c r="AT66" s="364">
        <v>-94282308</v>
      </c>
      <c r="AU66" s="364">
        <v>0</v>
      </c>
      <c r="AV66" s="364"/>
      <c r="AW66" s="364">
        <v>1431721</v>
      </c>
      <c r="AX66" s="364">
        <v>0</v>
      </c>
      <c r="AY66" s="626">
        <f t="shared" si="5"/>
        <v>7694579266</v>
      </c>
      <c r="BA66" s="540"/>
      <c r="BJ66" s="367"/>
      <c r="CP66" s="368"/>
    </row>
    <row r="67" spans="1:94" x14ac:dyDescent="0.2">
      <c r="A67" s="363">
        <v>45689</v>
      </c>
      <c r="B67" s="364">
        <v>247960979</v>
      </c>
      <c r="C67" s="364">
        <v>1066544829</v>
      </c>
      <c r="D67" s="364">
        <v>401549901</v>
      </c>
      <c r="E67" s="364">
        <v>508593091</v>
      </c>
      <c r="F67" s="364">
        <v>394343088</v>
      </c>
      <c r="G67" s="364">
        <v>-153811674</v>
      </c>
      <c r="H67" s="364">
        <v>-994565257</v>
      </c>
      <c r="I67" s="364">
        <v>12650000</v>
      </c>
      <c r="J67" s="364">
        <v>471084300</v>
      </c>
      <c r="K67" s="364">
        <v>179548905</v>
      </c>
      <c r="L67" s="364">
        <v>1740903188</v>
      </c>
      <c r="M67" s="364">
        <v>4442000900</v>
      </c>
      <c r="N67" s="364">
        <v>0</v>
      </c>
      <c r="O67" s="364">
        <v>0</v>
      </c>
      <c r="P67" s="364">
        <v>0</v>
      </c>
      <c r="Q67" s="364">
        <v>-12945478</v>
      </c>
      <c r="R67" s="364"/>
      <c r="S67" s="364">
        <v>91365083</v>
      </c>
      <c r="T67" s="364">
        <v>11403989</v>
      </c>
      <c r="U67" s="364">
        <v>7004052</v>
      </c>
      <c r="V67" s="364">
        <v>0</v>
      </c>
      <c r="W67" s="364">
        <v>1931850</v>
      </c>
      <c r="X67" s="364">
        <v>47885582</v>
      </c>
      <c r="Y67" s="364"/>
      <c r="Z67" s="364"/>
      <c r="AA67" s="364">
        <v>1153088</v>
      </c>
      <c r="AB67" s="364"/>
      <c r="AC67" s="364">
        <v>145488</v>
      </c>
      <c r="AD67" s="364"/>
      <c r="AE67" s="364">
        <v>18555129</v>
      </c>
      <c r="AF67" s="364">
        <v>134000</v>
      </c>
      <c r="AG67" s="364"/>
      <c r="AH67" s="364">
        <v>2595353</v>
      </c>
      <c r="AI67" s="364">
        <v>1656006</v>
      </c>
      <c r="AJ67" s="364">
        <v>487375</v>
      </c>
      <c r="AK67" s="364">
        <v>2969785</v>
      </c>
      <c r="AL67" s="364">
        <v>0</v>
      </c>
      <c r="AM67" s="364">
        <v>0</v>
      </c>
      <c r="AN67" s="364">
        <v>0</v>
      </c>
      <c r="AO67" s="364">
        <v>285054</v>
      </c>
      <c r="AP67" s="364">
        <v>90327</v>
      </c>
      <c r="AQ67" s="364">
        <v>0</v>
      </c>
      <c r="AR67" s="364">
        <v>0</v>
      </c>
      <c r="AS67" s="364"/>
      <c r="AT67" s="364">
        <v>-28005274</v>
      </c>
      <c r="AU67" s="364">
        <v>35022954</v>
      </c>
      <c r="AV67" s="364"/>
      <c r="AW67" s="364">
        <v>0</v>
      </c>
      <c r="AX67" s="364">
        <v>0</v>
      </c>
      <c r="AY67" s="626">
        <f t="shared" si="5"/>
        <v>8498536613</v>
      </c>
      <c r="BA67" s="540"/>
      <c r="BJ67" s="367"/>
      <c r="CP67" s="368"/>
    </row>
    <row r="68" spans="1:94" x14ac:dyDescent="0.2">
      <c r="A68" s="363">
        <v>45717</v>
      </c>
      <c r="B68" s="364">
        <v>247334021</v>
      </c>
      <c r="C68" s="364">
        <v>231739763</v>
      </c>
      <c r="D68" s="364">
        <v>422717583</v>
      </c>
      <c r="E68" s="364">
        <v>508665447</v>
      </c>
      <c r="F68" s="364">
        <v>331699964</v>
      </c>
      <c r="G68" s="364">
        <v>407285247</v>
      </c>
      <c r="H68" s="364">
        <v>118486074</v>
      </c>
      <c r="I68" s="364">
        <v>6800000</v>
      </c>
      <c r="J68" s="364">
        <v>995982986</v>
      </c>
      <c r="K68" s="364">
        <v>8000003</v>
      </c>
      <c r="L68" s="364">
        <v>193270000</v>
      </c>
      <c r="M68" s="364">
        <v>0</v>
      </c>
      <c r="N68" s="364">
        <v>0</v>
      </c>
      <c r="O68" s="364">
        <v>0</v>
      </c>
      <c r="P68" s="364">
        <v>0</v>
      </c>
      <c r="Q68" s="364">
        <v>0</v>
      </c>
      <c r="R68" s="364"/>
      <c r="S68" s="364">
        <v>989746</v>
      </c>
      <c r="T68" s="364">
        <v>37868299</v>
      </c>
      <c r="U68" s="364">
        <v>2063367</v>
      </c>
      <c r="V68" s="364"/>
      <c r="W68" s="364">
        <v>11584872</v>
      </c>
      <c r="X68" s="364"/>
      <c r="Y68" s="364"/>
      <c r="Z68" s="364"/>
      <c r="AA68" s="364">
        <v>-311895</v>
      </c>
      <c r="AB68" s="364"/>
      <c r="AC68" s="364">
        <v>113638</v>
      </c>
      <c r="AD68" s="364"/>
      <c r="AE68" s="364">
        <v>14848000</v>
      </c>
      <c r="AF68" s="364">
        <v>7348347</v>
      </c>
      <c r="AG68" s="364"/>
      <c r="AH68" s="364">
        <v>507636</v>
      </c>
      <c r="AI68" s="364">
        <v>-5006999</v>
      </c>
      <c r="AJ68" s="364">
        <v>394270</v>
      </c>
      <c r="AK68" s="364">
        <v>45887</v>
      </c>
      <c r="AL68" s="364">
        <v>0</v>
      </c>
      <c r="AM68" s="364">
        <v>0</v>
      </c>
      <c r="AN68" s="364">
        <v>0</v>
      </c>
      <c r="AO68" s="364">
        <v>1353475</v>
      </c>
      <c r="AP68" s="364">
        <v>45474</v>
      </c>
      <c r="AQ68" s="364">
        <v>0</v>
      </c>
      <c r="AR68" s="364">
        <v>0</v>
      </c>
      <c r="AS68" s="364"/>
      <c r="AT68" s="364">
        <v>-105659</v>
      </c>
      <c r="AU68" s="364">
        <v>-375339</v>
      </c>
      <c r="AV68" s="364"/>
      <c r="AW68" s="364">
        <v>13631648</v>
      </c>
      <c r="AX68" s="364">
        <v>0</v>
      </c>
      <c r="AY68" s="626">
        <f t="shared" si="5"/>
        <v>3556975855</v>
      </c>
      <c r="BA68" s="540"/>
      <c r="BJ68" s="367"/>
      <c r="CP68" s="368"/>
    </row>
    <row r="69" spans="1:94" x14ac:dyDescent="0.2">
      <c r="A69" s="363">
        <v>45748</v>
      </c>
      <c r="B69" s="364">
        <v>1248886238</v>
      </c>
      <c r="C69" s="364">
        <v>925794325</v>
      </c>
      <c r="D69" s="364">
        <v>348240665</v>
      </c>
      <c r="E69" s="364">
        <v>335612102</v>
      </c>
      <c r="F69" s="364">
        <v>374130591</v>
      </c>
      <c r="G69" s="364">
        <v>-174668021</v>
      </c>
      <c r="H69" s="364">
        <v>-572354593</v>
      </c>
      <c r="I69" s="364"/>
      <c r="J69" s="364">
        <v>437674170</v>
      </c>
      <c r="K69" s="364">
        <v>33900000</v>
      </c>
      <c r="L69" s="364">
        <v>0</v>
      </c>
      <c r="M69" s="364">
        <v>0</v>
      </c>
      <c r="N69" s="364">
        <v>0</v>
      </c>
      <c r="O69" s="364">
        <v>0</v>
      </c>
      <c r="P69" s="364">
        <v>0</v>
      </c>
      <c r="Q69" s="364">
        <v>23890078</v>
      </c>
      <c r="R69" s="364"/>
      <c r="S69" s="364">
        <v>6881749</v>
      </c>
      <c r="T69" s="364">
        <v>6550647</v>
      </c>
      <c r="U69" s="364">
        <v>0</v>
      </c>
      <c r="V69" s="364"/>
      <c r="W69" s="364">
        <v>0</v>
      </c>
      <c r="X69" s="364"/>
      <c r="Y69" s="364"/>
      <c r="Z69" s="364"/>
      <c r="AA69" s="364">
        <v>9068535</v>
      </c>
      <c r="AB69" s="364"/>
      <c r="AC69" s="364">
        <v>113638</v>
      </c>
      <c r="AD69" s="364"/>
      <c r="AE69" s="364">
        <v>16309770</v>
      </c>
      <c r="AF69" s="364">
        <v>12971166</v>
      </c>
      <c r="AG69" s="364">
        <v>958255</v>
      </c>
      <c r="AH69" s="364">
        <v>-951472</v>
      </c>
      <c r="AI69" s="364">
        <v>2311290</v>
      </c>
      <c r="AJ69" s="364">
        <v>0</v>
      </c>
      <c r="AK69" s="364">
        <v>1125800</v>
      </c>
      <c r="AL69" s="364">
        <v>0</v>
      </c>
      <c r="AM69" s="364">
        <v>0</v>
      </c>
      <c r="AN69" s="364">
        <v>0</v>
      </c>
      <c r="AO69" s="364">
        <v>435738</v>
      </c>
      <c r="AP69" s="364">
        <v>394557</v>
      </c>
      <c r="AQ69" s="364">
        <v>0</v>
      </c>
      <c r="AR69" s="364"/>
      <c r="AS69" s="364"/>
      <c r="AT69" s="364">
        <v>-1850029</v>
      </c>
      <c r="AU69" s="364">
        <v>-34586790</v>
      </c>
      <c r="AV69" s="364"/>
      <c r="AW69" s="364"/>
      <c r="AX69" s="364"/>
      <c r="AY69" s="626">
        <f t="shared" si="5"/>
        <v>3000838409</v>
      </c>
      <c r="BA69" s="540"/>
      <c r="BJ69" s="367"/>
      <c r="CP69" s="368"/>
    </row>
    <row r="70" spans="1:94" x14ac:dyDescent="0.2">
      <c r="A70" s="363">
        <v>45778</v>
      </c>
      <c r="B70" s="364">
        <v>951240863</v>
      </c>
      <c r="C70" s="364">
        <v>213304728</v>
      </c>
      <c r="D70" s="364">
        <v>441054557</v>
      </c>
      <c r="E70" s="364">
        <v>4759642</v>
      </c>
      <c r="F70" s="364">
        <v>371602137</v>
      </c>
      <c r="G70" s="364">
        <v>-589489698</v>
      </c>
      <c r="H70" s="364">
        <v>7033642</v>
      </c>
      <c r="I70" s="364">
        <v>13500000</v>
      </c>
      <c r="J70" s="364">
        <v>1065584568</v>
      </c>
      <c r="K70" s="364">
        <v>30950000</v>
      </c>
      <c r="L70" s="364">
        <v>0</v>
      </c>
      <c r="M70" s="364">
        <v>0</v>
      </c>
      <c r="N70" s="364">
        <v>0</v>
      </c>
      <c r="O70" s="364">
        <v>0</v>
      </c>
      <c r="P70" s="364">
        <v>0</v>
      </c>
      <c r="Q70" s="364">
        <v>0</v>
      </c>
      <c r="R70" s="364"/>
      <c r="S70" s="364">
        <v>11302195</v>
      </c>
      <c r="T70" s="364">
        <v>28268200</v>
      </c>
      <c r="U70" s="364">
        <v>-1931850</v>
      </c>
      <c r="V70" s="364"/>
      <c r="W70" s="364">
        <v>-579555</v>
      </c>
      <c r="X70" s="364"/>
      <c r="Y70" s="364"/>
      <c r="Z70" s="364"/>
      <c r="AA70" s="364">
        <v>3099812</v>
      </c>
      <c r="AB70" s="364"/>
      <c r="AC70" s="364">
        <v>1479368</v>
      </c>
      <c r="AD70" s="364"/>
      <c r="AE70" s="364">
        <v>4237484</v>
      </c>
      <c r="AF70" s="364">
        <v>22303590</v>
      </c>
      <c r="AG70" s="364">
        <v>950740</v>
      </c>
      <c r="AH70" s="364">
        <v>3367249</v>
      </c>
      <c r="AI70" s="364">
        <v>5370884</v>
      </c>
      <c r="AJ70" s="364">
        <v>616577</v>
      </c>
      <c r="AK70" s="364">
        <v>491206</v>
      </c>
      <c r="AL70" s="364">
        <v>0</v>
      </c>
      <c r="AM70" s="364">
        <v>0</v>
      </c>
      <c r="AN70" s="364">
        <v>0</v>
      </c>
      <c r="AO70" s="364">
        <v>3113244</v>
      </c>
      <c r="AP70" s="364"/>
      <c r="AQ70" s="364">
        <v>0</v>
      </c>
      <c r="AR70" s="625"/>
      <c r="AS70" s="625"/>
      <c r="AT70" s="625">
        <v>405053</v>
      </c>
      <c r="AU70" s="625">
        <v>-473373</v>
      </c>
      <c r="AV70" s="625"/>
      <c r="AW70" s="625">
        <v>2143534</v>
      </c>
      <c r="AX70" s="625"/>
      <c r="AY70" s="626">
        <f t="shared" si="5"/>
        <v>2593704797</v>
      </c>
      <c r="BA70" s="540"/>
      <c r="BJ70" s="367"/>
      <c r="CP70" s="368"/>
    </row>
    <row r="71" spans="1:94" x14ac:dyDescent="0.2">
      <c r="A71" s="363">
        <v>45809</v>
      </c>
      <c r="B71" s="364">
        <v>391298304</v>
      </c>
      <c r="C71" s="364">
        <v>18590990</v>
      </c>
      <c r="D71" s="364">
        <v>419346620</v>
      </c>
      <c r="E71" s="364">
        <v>187805024</v>
      </c>
      <c r="F71" s="364">
        <v>317664785</v>
      </c>
      <c r="G71" s="364">
        <v>-288322360</v>
      </c>
      <c r="H71" s="364">
        <v>279866890</v>
      </c>
      <c r="I71" s="364">
        <v>13000000</v>
      </c>
      <c r="J71" s="364">
        <v>691321883</v>
      </c>
      <c r="K71" s="364">
        <v>20353667</v>
      </c>
      <c r="L71" s="364">
        <v>2562008802</v>
      </c>
      <c r="M71" s="364">
        <v>3238605843</v>
      </c>
      <c r="N71" s="364">
        <v>0</v>
      </c>
      <c r="O71" s="364">
        <v>0</v>
      </c>
      <c r="P71" s="364">
        <v>0</v>
      </c>
      <c r="Q71" s="364"/>
      <c r="R71" s="364">
        <v>0</v>
      </c>
      <c r="S71" s="364">
        <v>6245411</v>
      </c>
      <c r="T71" s="364">
        <v>24891838</v>
      </c>
      <c r="U71" s="364">
        <v>0</v>
      </c>
      <c r="V71" s="364">
        <v>0</v>
      </c>
      <c r="W71" s="364">
        <v>0</v>
      </c>
      <c r="X71" s="364">
        <v>47884597</v>
      </c>
      <c r="Y71" s="364">
        <v>0</v>
      </c>
      <c r="Z71" s="364">
        <v>0</v>
      </c>
      <c r="AA71" s="364">
        <v>3503895</v>
      </c>
      <c r="AB71" s="364">
        <v>0</v>
      </c>
      <c r="AC71" s="364">
        <v>2001846</v>
      </c>
      <c r="AD71" s="364">
        <v>0</v>
      </c>
      <c r="AE71" s="364">
        <v>7191646</v>
      </c>
      <c r="AF71" s="364">
        <v>9880444</v>
      </c>
      <c r="AG71" s="364">
        <v>462261</v>
      </c>
      <c r="AH71" s="364">
        <v>411577</v>
      </c>
      <c r="AI71" s="364">
        <v>2785815</v>
      </c>
      <c r="AJ71" s="364">
        <v>0</v>
      </c>
      <c r="AK71" s="364">
        <v>0</v>
      </c>
      <c r="AL71" s="364">
        <v>0</v>
      </c>
      <c r="AM71" s="364">
        <v>0</v>
      </c>
      <c r="AN71" s="364">
        <v>0</v>
      </c>
      <c r="AO71" s="364">
        <v>10088318</v>
      </c>
      <c r="AP71" s="364">
        <v>18332282</v>
      </c>
      <c r="AQ71" s="364">
        <v>0</v>
      </c>
      <c r="AR71" s="364">
        <v>0</v>
      </c>
      <c r="AS71" s="364">
        <v>0</v>
      </c>
      <c r="AT71" s="364">
        <v>0</v>
      </c>
      <c r="AU71" s="364">
        <v>1299234</v>
      </c>
      <c r="AV71" s="364">
        <v>0</v>
      </c>
      <c r="AW71" s="364">
        <v>7806821</v>
      </c>
      <c r="AX71" s="364">
        <v>0</v>
      </c>
      <c r="AY71" s="626">
        <f t="shared" si="5"/>
        <v>7994326433</v>
      </c>
      <c r="BA71" s="540"/>
      <c r="BJ71" s="367"/>
      <c r="CP71" s="368"/>
    </row>
    <row r="72" spans="1:94" x14ac:dyDescent="0.2">
      <c r="A72" s="363">
        <v>45839</v>
      </c>
      <c r="B72" s="364">
        <v>108568069</v>
      </c>
      <c r="C72" s="364">
        <v>165691054</v>
      </c>
      <c r="D72" s="364">
        <v>571616420</v>
      </c>
      <c r="E72" s="364">
        <v>4450369428</v>
      </c>
      <c r="F72" s="364">
        <v>418431720</v>
      </c>
      <c r="G72" s="364">
        <v>0</v>
      </c>
      <c r="H72" s="364">
        <v>120000000</v>
      </c>
      <c r="I72" s="364">
        <v>11187000</v>
      </c>
      <c r="J72" s="364">
        <v>-2501779082</v>
      </c>
      <c r="K72" s="364">
        <v>129838146</v>
      </c>
      <c r="L72" s="364">
        <v>278000000</v>
      </c>
      <c r="M72" s="364">
        <v>1860580893</v>
      </c>
      <c r="N72" s="364">
        <v>0</v>
      </c>
      <c r="O72" s="364">
        <v>0</v>
      </c>
      <c r="P72" s="364">
        <v>0</v>
      </c>
      <c r="Q72" s="364">
        <v>3918587</v>
      </c>
      <c r="R72" s="364">
        <v>0</v>
      </c>
      <c r="S72" s="364">
        <v>14616518</v>
      </c>
      <c r="T72" s="364">
        <v>27647197</v>
      </c>
      <c r="U72" s="364">
        <v>1250000</v>
      </c>
      <c r="V72" s="364">
        <v>0</v>
      </c>
      <c r="W72" s="364">
        <v>0</v>
      </c>
      <c r="X72" s="364">
        <v>0</v>
      </c>
      <c r="Y72" s="364">
        <v>0</v>
      </c>
      <c r="Z72" s="364">
        <v>0</v>
      </c>
      <c r="AA72" s="364">
        <v>1931850</v>
      </c>
      <c r="AB72" s="364">
        <v>0</v>
      </c>
      <c r="AC72" s="364">
        <v>3610848</v>
      </c>
      <c r="AD72" s="364">
        <v>0</v>
      </c>
      <c r="AE72" s="364">
        <v>1452075</v>
      </c>
      <c r="AF72" s="364">
        <v>5337311</v>
      </c>
      <c r="AG72" s="364">
        <v>2029522</v>
      </c>
      <c r="AH72" s="364">
        <v>482278</v>
      </c>
      <c r="AI72" s="364">
        <v>5502549</v>
      </c>
      <c r="AJ72" s="364">
        <v>464374</v>
      </c>
      <c r="AK72" s="364">
        <v>1062641</v>
      </c>
      <c r="AL72" s="364">
        <v>0</v>
      </c>
      <c r="AM72" s="364">
        <v>0</v>
      </c>
      <c r="AN72" s="364">
        <v>0</v>
      </c>
      <c r="AO72" s="364">
        <v>2163341</v>
      </c>
      <c r="AP72" s="364">
        <v>88607</v>
      </c>
      <c r="AQ72" s="364">
        <v>0</v>
      </c>
      <c r="AR72" s="364">
        <v>770985</v>
      </c>
      <c r="AS72" s="364">
        <v>0</v>
      </c>
      <c r="AT72" s="364">
        <v>0</v>
      </c>
      <c r="AU72" s="364">
        <v>0</v>
      </c>
      <c r="AV72" s="364">
        <v>0</v>
      </c>
      <c r="AW72" s="364">
        <v>49854008</v>
      </c>
      <c r="AX72" s="364">
        <v>0</v>
      </c>
      <c r="AY72" s="626">
        <f t="shared" si="5"/>
        <v>5734686339</v>
      </c>
      <c r="BA72" s="540"/>
      <c r="BJ72" s="367"/>
      <c r="CP72" s="368"/>
    </row>
    <row r="73" spans="1:94" x14ac:dyDescent="0.2">
      <c r="A73" s="363">
        <v>45870</v>
      </c>
      <c r="B73" s="364">
        <v>23813359</v>
      </c>
      <c r="C73" s="364">
        <v>429644600</v>
      </c>
      <c r="D73" s="364">
        <v>488153741</v>
      </c>
      <c r="E73" s="364">
        <v>1580872868</v>
      </c>
      <c r="F73" s="364">
        <v>296553679</v>
      </c>
      <c r="G73" s="364">
        <v>0</v>
      </c>
      <c r="H73" s="364">
        <v>160672856</v>
      </c>
      <c r="I73" s="364">
        <v>3600000</v>
      </c>
      <c r="J73" s="364">
        <v>-325004500</v>
      </c>
      <c r="K73" s="364">
        <v>118666729</v>
      </c>
      <c r="L73" s="364">
        <v>1817223433</v>
      </c>
      <c r="M73" s="364">
        <v>732002561</v>
      </c>
      <c r="N73" s="364">
        <v>0</v>
      </c>
      <c r="O73" s="364">
        <v>0</v>
      </c>
      <c r="P73" s="364">
        <v>0</v>
      </c>
      <c r="Q73" s="364">
        <v>80698355</v>
      </c>
      <c r="R73" s="364">
        <v>0</v>
      </c>
      <c r="S73" s="364">
        <v>15769160</v>
      </c>
      <c r="T73" s="364">
        <v>33018725</v>
      </c>
      <c r="U73" s="364">
        <v>1250000</v>
      </c>
      <c r="V73" s="364">
        <v>0</v>
      </c>
      <c r="W73" s="364">
        <v>0</v>
      </c>
      <c r="X73" s="364">
        <v>0</v>
      </c>
      <c r="Y73" s="364">
        <v>0</v>
      </c>
      <c r="Z73" s="364">
        <v>0</v>
      </c>
      <c r="AA73" s="364">
        <v>-419179</v>
      </c>
      <c r="AB73" s="364">
        <v>0</v>
      </c>
      <c r="AC73" s="364">
        <v>2842832</v>
      </c>
      <c r="AD73" s="364">
        <v>0</v>
      </c>
      <c r="AE73" s="364">
        <v>795553</v>
      </c>
      <c r="AF73" s="364">
        <v>6566477</v>
      </c>
      <c r="AG73" s="364">
        <v>1183428</v>
      </c>
      <c r="AH73" s="364">
        <v>3072049</v>
      </c>
      <c r="AI73" s="364">
        <v>420799</v>
      </c>
      <c r="AJ73" s="364">
        <v>0</v>
      </c>
      <c r="AK73" s="364">
        <v>1048491</v>
      </c>
      <c r="AL73" s="364">
        <v>0</v>
      </c>
      <c r="AM73" s="364">
        <v>0</v>
      </c>
      <c r="AN73" s="364">
        <v>0</v>
      </c>
      <c r="AO73" s="364">
        <v>2527845</v>
      </c>
      <c r="AP73" s="364">
        <v>4228852</v>
      </c>
      <c r="AQ73" s="364">
        <v>0</v>
      </c>
      <c r="AR73" s="364">
        <v>565982</v>
      </c>
      <c r="AS73" s="364">
        <v>0</v>
      </c>
      <c r="AT73" s="364">
        <v>38552115</v>
      </c>
      <c r="AU73" s="364">
        <v>0</v>
      </c>
      <c r="AV73" s="364">
        <v>0</v>
      </c>
      <c r="AW73" s="364">
        <v>-11290683</v>
      </c>
      <c r="AX73" s="364">
        <v>0</v>
      </c>
      <c r="AY73" s="626">
        <f t="shared" si="5"/>
        <v>5507030127</v>
      </c>
      <c r="BA73" s="540"/>
      <c r="BJ73" s="367"/>
      <c r="CP73" s="368"/>
    </row>
    <row r="74" spans="1:94" hidden="1" x14ac:dyDescent="0.2">
      <c r="A74" s="363">
        <v>45901</v>
      </c>
      <c r="B74" s="364">
        <v>0</v>
      </c>
      <c r="C74" s="364">
        <v>0</v>
      </c>
      <c r="D74" s="364">
        <v>0</v>
      </c>
      <c r="E74" s="364">
        <v>0</v>
      </c>
      <c r="F74" s="364">
        <v>0</v>
      </c>
      <c r="G74" s="364">
        <v>0</v>
      </c>
      <c r="H74" s="364">
        <v>0</v>
      </c>
      <c r="I74" s="364">
        <v>0</v>
      </c>
      <c r="J74" s="364">
        <v>0</v>
      </c>
      <c r="K74" s="364">
        <v>0</v>
      </c>
      <c r="L74" s="364">
        <v>0</v>
      </c>
      <c r="M74" s="364">
        <v>0</v>
      </c>
      <c r="N74" s="364">
        <v>0</v>
      </c>
      <c r="O74" s="364">
        <v>0</v>
      </c>
      <c r="P74" s="364">
        <v>0</v>
      </c>
      <c r="Q74" s="364">
        <v>0</v>
      </c>
      <c r="R74" s="364">
        <v>0</v>
      </c>
      <c r="S74" s="364">
        <v>0</v>
      </c>
      <c r="T74" s="364">
        <v>0</v>
      </c>
      <c r="U74" s="364">
        <v>0</v>
      </c>
      <c r="V74" s="364">
        <v>0</v>
      </c>
      <c r="W74" s="364">
        <v>0</v>
      </c>
      <c r="X74" s="364">
        <v>0</v>
      </c>
      <c r="Y74" s="364">
        <v>0</v>
      </c>
      <c r="Z74" s="364">
        <v>0</v>
      </c>
      <c r="AA74" s="364">
        <v>0</v>
      </c>
      <c r="AB74" s="364">
        <v>0</v>
      </c>
      <c r="AC74" s="364">
        <v>0</v>
      </c>
      <c r="AD74" s="364">
        <v>0</v>
      </c>
      <c r="AE74" s="364">
        <v>0</v>
      </c>
      <c r="AF74" s="364">
        <v>0</v>
      </c>
      <c r="AG74" s="364">
        <v>0</v>
      </c>
      <c r="AH74" s="364">
        <v>0</v>
      </c>
      <c r="AI74" s="364">
        <v>0</v>
      </c>
      <c r="AJ74" s="364">
        <v>0</v>
      </c>
      <c r="AK74" s="364">
        <v>0</v>
      </c>
      <c r="AL74" s="364">
        <v>0</v>
      </c>
      <c r="AM74" s="364">
        <v>0</v>
      </c>
      <c r="AN74" s="364">
        <v>0</v>
      </c>
      <c r="AO74" s="364">
        <v>0</v>
      </c>
      <c r="AP74" s="364">
        <v>0</v>
      </c>
      <c r="AQ74" s="364">
        <v>0</v>
      </c>
      <c r="AR74" s="364">
        <v>0</v>
      </c>
      <c r="AS74" s="364">
        <v>0</v>
      </c>
      <c r="AT74" s="364">
        <v>0</v>
      </c>
      <c r="AU74" s="364">
        <v>0</v>
      </c>
      <c r="AV74" s="364">
        <v>0</v>
      </c>
      <c r="AW74" s="364">
        <v>0</v>
      </c>
      <c r="AX74" s="364">
        <v>0</v>
      </c>
      <c r="AY74" s="626">
        <f t="shared" si="5"/>
        <v>0</v>
      </c>
      <c r="BA74" s="540"/>
      <c r="BJ74" s="367"/>
      <c r="CP74" s="368"/>
    </row>
    <row r="75" spans="1:94" hidden="1" x14ac:dyDescent="0.2">
      <c r="A75" s="363">
        <v>45931</v>
      </c>
      <c r="B75" s="364">
        <v>0</v>
      </c>
      <c r="C75" s="364">
        <v>0</v>
      </c>
      <c r="D75" s="364">
        <v>0</v>
      </c>
      <c r="E75" s="364">
        <v>0</v>
      </c>
      <c r="F75" s="364">
        <v>0</v>
      </c>
      <c r="G75" s="364">
        <v>0</v>
      </c>
      <c r="H75" s="364">
        <v>0</v>
      </c>
      <c r="I75" s="364">
        <v>0</v>
      </c>
      <c r="J75" s="364">
        <v>0</v>
      </c>
      <c r="K75" s="364">
        <v>0</v>
      </c>
      <c r="L75" s="364">
        <v>0</v>
      </c>
      <c r="M75" s="364">
        <v>0</v>
      </c>
      <c r="N75" s="364">
        <v>0</v>
      </c>
      <c r="O75" s="364">
        <v>0</v>
      </c>
      <c r="P75" s="364">
        <v>0</v>
      </c>
      <c r="Q75" s="364">
        <v>0</v>
      </c>
      <c r="R75" s="364">
        <v>0</v>
      </c>
      <c r="S75" s="364">
        <v>0</v>
      </c>
      <c r="T75" s="364">
        <v>0</v>
      </c>
      <c r="U75" s="364">
        <v>0</v>
      </c>
      <c r="V75" s="364">
        <v>0</v>
      </c>
      <c r="W75" s="364">
        <v>0</v>
      </c>
      <c r="X75" s="364">
        <v>0</v>
      </c>
      <c r="Y75" s="364">
        <v>0</v>
      </c>
      <c r="Z75" s="364">
        <v>0</v>
      </c>
      <c r="AA75" s="364">
        <v>0</v>
      </c>
      <c r="AB75" s="364">
        <v>0</v>
      </c>
      <c r="AC75" s="364">
        <v>0</v>
      </c>
      <c r="AD75" s="364">
        <v>0</v>
      </c>
      <c r="AE75" s="364">
        <v>0</v>
      </c>
      <c r="AF75" s="364">
        <v>0</v>
      </c>
      <c r="AG75" s="364">
        <v>0</v>
      </c>
      <c r="AH75" s="364">
        <v>0</v>
      </c>
      <c r="AI75" s="364">
        <v>0</v>
      </c>
      <c r="AJ75" s="364">
        <v>0</v>
      </c>
      <c r="AK75" s="364">
        <v>0</v>
      </c>
      <c r="AL75" s="364">
        <v>0</v>
      </c>
      <c r="AM75" s="364">
        <v>0</v>
      </c>
      <c r="AN75" s="364">
        <v>0</v>
      </c>
      <c r="AO75" s="364">
        <v>0</v>
      </c>
      <c r="AP75" s="364">
        <v>0</v>
      </c>
      <c r="AQ75" s="364">
        <v>0</v>
      </c>
      <c r="AR75" s="364">
        <v>0</v>
      </c>
      <c r="AS75" s="364">
        <v>0</v>
      </c>
      <c r="AT75" s="364">
        <v>0</v>
      </c>
      <c r="AU75" s="364">
        <v>0</v>
      </c>
      <c r="AV75" s="364">
        <v>0</v>
      </c>
      <c r="AW75" s="364">
        <v>0</v>
      </c>
      <c r="AX75" s="364">
        <v>0</v>
      </c>
      <c r="AY75" s="626">
        <f t="shared" si="5"/>
        <v>0</v>
      </c>
      <c r="BA75" s="540"/>
      <c r="BJ75" s="367"/>
      <c r="CP75" s="368"/>
    </row>
    <row r="76" spans="1:94" s="362" customFormat="1" x14ac:dyDescent="0.2">
      <c r="A76" s="529" t="s">
        <v>24</v>
      </c>
      <c r="B76" s="530">
        <f t="shared" ref="B76:AG76" si="6">+SUM(B22:B75)</f>
        <v>25282539230</v>
      </c>
      <c r="C76" s="530">
        <f t="shared" si="6"/>
        <v>16552034867</v>
      </c>
      <c r="D76" s="530">
        <f t="shared" si="6"/>
        <v>4291163801</v>
      </c>
      <c r="E76" s="530">
        <f t="shared" si="6"/>
        <v>20197778549</v>
      </c>
      <c r="F76" s="530">
        <f t="shared" si="6"/>
        <v>8230065270</v>
      </c>
      <c r="G76" s="530">
        <f t="shared" si="6"/>
        <v>1259843151</v>
      </c>
      <c r="H76" s="530">
        <f t="shared" si="6"/>
        <v>1595194268</v>
      </c>
      <c r="I76" s="530">
        <f t="shared" si="6"/>
        <v>60737000</v>
      </c>
      <c r="J76" s="530">
        <f t="shared" si="6"/>
        <v>3481376177</v>
      </c>
      <c r="K76" s="530">
        <f t="shared" si="6"/>
        <v>587572393</v>
      </c>
      <c r="L76" s="530">
        <f t="shared" si="6"/>
        <v>19139986524</v>
      </c>
      <c r="M76" s="530">
        <f t="shared" si="6"/>
        <v>11645112948</v>
      </c>
      <c r="N76" s="530">
        <f t="shared" si="6"/>
        <v>0</v>
      </c>
      <c r="O76" s="530">
        <f t="shared" si="6"/>
        <v>0</v>
      </c>
      <c r="P76" s="530">
        <f t="shared" si="6"/>
        <v>65086589</v>
      </c>
      <c r="Q76" s="530">
        <f t="shared" si="6"/>
        <v>362087296</v>
      </c>
      <c r="R76" s="530">
        <f t="shared" si="6"/>
        <v>0</v>
      </c>
      <c r="S76" s="530">
        <f t="shared" si="6"/>
        <v>338207183</v>
      </c>
      <c r="T76" s="530">
        <f t="shared" si="6"/>
        <v>198608001</v>
      </c>
      <c r="U76" s="530">
        <f t="shared" si="6"/>
        <v>121933487</v>
      </c>
      <c r="V76" s="530">
        <f t="shared" si="6"/>
        <v>207590908</v>
      </c>
      <c r="W76" s="530">
        <f t="shared" si="6"/>
        <v>197504686</v>
      </c>
      <c r="X76" s="530">
        <f t="shared" si="6"/>
        <v>150161396</v>
      </c>
      <c r="Y76" s="530">
        <f t="shared" si="6"/>
        <v>0</v>
      </c>
      <c r="Z76" s="530">
        <f t="shared" si="6"/>
        <v>0</v>
      </c>
      <c r="AA76" s="530">
        <f t="shared" si="6"/>
        <v>59618498</v>
      </c>
      <c r="AB76" s="530">
        <f t="shared" si="6"/>
        <v>0</v>
      </c>
      <c r="AC76" s="530">
        <f t="shared" si="6"/>
        <v>36171442</v>
      </c>
      <c r="AD76" s="530">
        <f t="shared" si="6"/>
        <v>0</v>
      </c>
      <c r="AE76" s="530">
        <f t="shared" si="6"/>
        <v>145865806</v>
      </c>
      <c r="AF76" s="530">
        <f t="shared" si="6"/>
        <v>91616964</v>
      </c>
      <c r="AG76" s="530">
        <f t="shared" si="6"/>
        <v>5711805</v>
      </c>
      <c r="AH76" s="530">
        <f t="shared" ref="AH76:AY76" si="7">+SUM(AH22:AH75)</f>
        <v>61510974</v>
      </c>
      <c r="AI76" s="530">
        <f t="shared" si="7"/>
        <v>40165462</v>
      </c>
      <c r="AJ76" s="530">
        <f t="shared" si="7"/>
        <v>7045725</v>
      </c>
      <c r="AK76" s="530">
        <f t="shared" si="7"/>
        <v>7661543</v>
      </c>
      <c r="AL76" s="530">
        <f t="shared" si="7"/>
        <v>0</v>
      </c>
      <c r="AM76" s="530">
        <f t="shared" si="7"/>
        <v>0</v>
      </c>
      <c r="AN76" s="530">
        <f t="shared" si="7"/>
        <v>0</v>
      </c>
      <c r="AO76" s="530">
        <f t="shared" si="7"/>
        <v>20031558</v>
      </c>
      <c r="AP76" s="530">
        <f t="shared" si="7"/>
        <v>23180099</v>
      </c>
      <c r="AQ76" s="530">
        <f t="shared" si="7"/>
        <v>0</v>
      </c>
      <c r="AR76" s="530">
        <f t="shared" si="7"/>
        <v>1336967</v>
      </c>
      <c r="AS76" s="530">
        <f t="shared" si="7"/>
        <v>0</v>
      </c>
      <c r="AT76" s="530">
        <f t="shared" si="7"/>
        <v>45671152</v>
      </c>
      <c r="AU76" s="530">
        <f t="shared" si="7"/>
        <v>4612185</v>
      </c>
      <c r="AV76" s="530">
        <f t="shared" si="7"/>
        <v>0</v>
      </c>
      <c r="AW76" s="530">
        <f t="shared" si="7"/>
        <v>71577049</v>
      </c>
      <c r="AX76" s="530">
        <f t="shared" si="7"/>
        <v>0</v>
      </c>
      <c r="AY76" s="530">
        <f t="shared" si="7"/>
        <v>114586360953</v>
      </c>
      <c r="AZ76" s="530" t="e">
        <f t="shared" ref="AZ76:BA76" si="8">+SUM(AZ22:AZ44)</f>
        <v>#REF!</v>
      </c>
      <c r="BA76" s="530" t="e">
        <f t="shared" si="8"/>
        <v>#REF!</v>
      </c>
    </row>
    <row r="77" spans="1:94" x14ac:dyDescent="0.2">
      <c r="B77" s="461"/>
      <c r="C77" s="461"/>
      <c r="D77" s="461"/>
      <c r="E77" s="461"/>
      <c r="F77" s="461"/>
      <c r="G77" s="550"/>
      <c r="H77" s="461"/>
      <c r="I77" s="461"/>
      <c r="J77" s="461"/>
      <c r="K77" s="461"/>
      <c r="L77" s="461"/>
      <c r="M77" s="461"/>
      <c r="N77" s="461"/>
      <c r="O77" s="461"/>
      <c r="P77" s="550"/>
      <c r="Q77" s="461"/>
      <c r="R77" s="461"/>
      <c r="S77" s="461"/>
      <c r="T77" s="638"/>
      <c r="U77" s="638"/>
      <c r="V77" s="461"/>
      <c r="W77" s="461"/>
      <c r="X77" s="461"/>
      <c r="Y77" s="461"/>
      <c r="Z77" s="461"/>
      <c r="AA77" s="461"/>
      <c r="AB77" s="461"/>
      <c r="AC77" s="461"/>
      <c r="AD77" s="461"/>
      <c r="AE77" s="461"/>
      <c r="AF77" s="644"/>
      <c r="AG77" s="644"/>
      <c r="AI77" s="638"/>
      <c r="AJ77" s="638"/>
      <c r="AK77" s="638"/>
      <c r="AL77" s="638"/>
      <c r="AM77" s="638"/>
      <c r="AN77" s="638"/>
      <c r="AO77" s="638"/>
      <c r="AP77" s="638"/>
      <c r="AQ77" s="638"/>
      <c r="AR77" s="638"/>
      <c r="AS77" s="638"/>
      <c r="AT77" s="638"/>
      <c r="AU77" s="638"/>
      <c r="AV77" s="638"/>
      <c r="AW77" s="638"/>
      <c r="AY77" s="638">
        <f>G18-AY76</f>
        <v>0</v>
      </c>
    </row>
    <row r="78" spans="1:94" x14ac:dyDescent="0.2">
      <c r="B78" s="638"/>
      <c r="C78" s="638"/>
      <c r="D78" s="638"/>
      <c r="E78" s="638"/>
      <c r="F78" s="638"/>
      <c r="G78" s="638"/>
      <c r="H78" s="638"/>
      <c r="I78" s="638"/>
      <c r="J78" s="638"/>
      <c r="K78" s="638"/>
      <c r="L78" s="638"/>
      <c r="M78" s="638"/>
      <c r="N78" s="638"/>
      <c r="O78" s="638"/>
      <c r="P78" s="638"/>
      <c r="Q78" s="638"/>
      <c r="R78" s="638"/>
      <c r="S78" s="638"/>
      <c r="T78" s="638"/>
      <c r="U78" s="638"/>
      <c r="V78" s="550"/>
      <c r="W78" s="638"/>
      <c r="X78" s="638"/>
      <c r="Y78" s="638"/>
      <c r="Z78" s="638"/>
      <c r="AA78" s="638"/>
      <c r="AB78" s="638"/>
      <c r="AC78" s="638"/>
      <c r="AD78" s="638"/>
      <c r="AE78" s="638"/>
      <c r="AF78" s="638"/>
      <c r="AG78" s="638"/>
      <c r="AH78" s="638"/>
      <c r="AI78" s="638"/>
      <c r="AJ78" s="638"/>
      <c r="AK78" s="638"/>
      <c r="AO78" s="638"/>
      <c r="AP78" s="638"/>
      <c r="AR78" s="638"/>
      <c r="AT78" s="638"/>
      <c r="AU78" s="638"/>
      <c r="AV78" s="638"/>
      <c r="AW78" s="638"/>
    </row>
    <row r="80" spans="1:94" x14ac:dyDescent="0.2">
      <c r="G80" s="550"/>
      <c r="H80" s="638"/>
      <c r="I80" s="638"/>
    </row>
  </sheetData>
  <mergeCells count="10">
    <mergeCell ref="AO20:AS20"/>
    <mergeCell ref="AT20:AX20"/>
    <mergeCell ref="B3:E3"/>
    <mergeCell ref="B20:F20"/>
    <mergeCell ref="G20:K20"/>
    <mergeCell ref="AJ20:AN20"/>
    <mergeCell ref="P20:T20"/>
    <mergeCell ref="L20:O20"/>
    <mergeCell ref="U20:AD20"/>
    <mergeCell ref="AE20:AI20"/>
  </mergeCells>
  <printOptions horizontalCentered="1" verticalCentered="1"/>
  <pageMargins left="0.70866141732283472" right="0.47244094488188981" top="0.55118110236220474" bottom="0.98425196850393704" header="0" footer="0"/>
  <pageSetup orientation="landscape" r:id="rId1"/>
  <headerFooter alignWithMargins="0">
    <oddFooter>&amp;C&amp;P&amp;RElaborado por EQUILIBRIUM Inmobiliario S.A.S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8F479-1531-4211-A7A4-6CA19456A853}">
  <sheetPr>
    <pageSetUpPr fitToPage="1"/>
  </sheetPr>
  <dimension ref="A1:AF118"/>
  <sheetViews>
    <sheetView showGridLines="0" tabSelected="1" zoomScaleNormal="100" workbookViewId="0">
      <pane xSplit="2" ySplit="6" topLeftCell="S47" activePane="bottomRight" state="frozen"/>
      <selection activeCell="B9" sqref="B9:C9"/>
      <selection pane="topRight" activeCell="B9" sqref="B9:C9"/>
      <selection pane="bottomLeft" activeCell="B9" sqref="B9:C9"/>
      <selection pane="bottomRight" activeCell="AA78" sqref="AA78"/>
    </sheetView>
  </sheetViews>
  <sheetFormatPr baseColWidth="10" defaultColWidth="0" defaultRowHeight="12.75" x14ac:dyDescent="0.2"/>
  <cols>
    <col min="1" max="1" width="0.85546875" style="192" customWidth="1"/>
    <col min="2" max="2" width="23.5703125" style="188" customWidth="1"/>
    <col min="3" max="3" width="0.85546875" style="188" customWidth="1"/>
    <col min="4" max="4" width="7.42578125" style="188" bestFit="1" customWidth="1"/>
    <col min="5" max="5" width="15" style="188" bestFit="1" customWidth="1"/>
    <col min="6" max="6" width="8.5703125" style="188" bestFit="1" customWidth="1"/>
    <col min="7" max="7" width="0.140625" style="188" customWidth="1"/>
    <col min="8" max="8" width="15.5703125" style="230" bestFit="1" customWidth="1"/>
    <col min="9" max="9" width="16.5703125" style="230" bestFit="1" customWidth="1"/>
    <col min="10" max="10" width="7.85546875" style="230" bestFit="1" customWidth="1"/>
    <col min="11" max="11" width="0.85546875" style="230" customWidth="1"/>
    <col min="12" max="12" width="7.42578125" style="233" bestFit="1" customWidth="1"/>
    <col min="13" max="13" width="15" style="230" customWidth="1"/>
    <col min="14" max="14" width="7.85546875" style="230" bestFit="1" customWidth="1"/>
    <col min="15" max="15" width="0.5703125" style="230" customWidth="1"/>
    <col min="16" max="16" width="0.140625" style="230" customWidth="1"/>
    <col min="17" max="17" width="15" style="230" customWidth="1"/>
    <col min="18" max="18" width="14.5703125" style="230" customWidth="1"/>
    <col min="19" max="19" width="14.42578125" style="230" bestFit="1" customWidth="1"/>
    <col min="20" max="20" width="7.140625" style="230" hidden="1" customWidth="1"/>
    <col min="21" max="21" width="15" style="230" bestFit="1" customWidth="1"/>
    <col min="22" max="22" width="0.85546875" style="230" customWidth="1"/>
    <col min="23" max="23" width="16" style="230" bestFit="1" customWidth="1"/>
    <col min="24" max="24" width="20.28515625" style="230" bestFit="1" customWidth="1"/>
    <col min="25" max="25" width="13.85546875" style="230" customWidth="1"/>
    <col min="26" max="27" width="13.42578125" style="188" bestFit="1" customWidth="1"/>
    <col min="28" max="29" width="12.42578125" style="188" bestFit="1" customWidth="1"/>
    <col min="30" max="30" width="12.85546875" style="188" bestFit="1" customWidth="1"/>
    <col min="31" max="31" width="3.5703125" style="188" customWidth="1"/>
    <col min="32" max="32" width="11.42578125" style="192" customWidth="1"/>
    <col min="33" max="16384" width="11.42578125" style="192" hidden="1"/>
  </cols>
  <sheetData>
    <row r="1" spans="1:31" s="177" customFormat="1" ht="18.75" x14ac:dyDescent="0.2">
      <c r="A1" s="174"/>
      <c r="B1" s="175"/>
      <c r="C1" s="176"/>
      <c r="D1" s="819" t="s">
        <v>1</v>
      </c>
      <c r="E1" s="820"/>
      <c r="F1" s="820"/>
      <c r="G1" s="820"/>
      <c r="H1" s="820"/>
      <c r="I1" s="820"/>
      <c r="J1" s="820"/>
      <c r="K1" s="820"/>
      <c r="L1" s="820"/>
      <c r="M1" s="820"/>
      <c r="N1" s="820"/>
      <c r="O1" s="820"/>
      <c r="P1" s="820"/>
      <c r="Q1" s="820"/>
      <c r="R1" s="820"/>
      <c r="S1" s="820"/>
      <c r="T1" s="820"/>
      <c r="U1" s="820"/>
      <c r="V1" s="820"/>
      <c r="W1" s="820"/>
      <c r="X1" s="820"/>
      <c r="Y1" s="820"/>
      <c r="Z1" s="820"/>
      <c r="AA1" s="820"/>
      <c r="AB1" s="820"/>
      <c r="AC1" s="820"/>
      <c r="AD1" s="820"/>
      <c r="AE1" s="176"/>
    </row>
    <row r="2" spans="1:31" s="181" customFormat="1" ht="21" x14ac:dyDescent="0.2">
      <c r="A2" s="178"/>
      <c r="B2" s="179"/>
      <c r="C2" s="180"/>
      <c r="D2" s="820"/>
      <c r="E2" s="820"/>
      <c r="F2" s="820"/>
      <c r="G2" s="820"/>
      <c r="H2" s="820"/>
      <c r="I2" s="820"/>
      <c r="J2" s="820"/>
      <c r="K2" s="820"/>
      <c r="L2" s="820"/>
      <c r="M2" s="820"/>
      <c r="N2" s="820"/>
      <c r="O2" s="820"/>
      <c r="P2" s="820"/>
      <c r="Q2" s="820"/>
      <c r="R2" s="820"/>
      <c r="S2" s="820"/>
      <c r="T2" s="820"/>
      <c r="U2" s="820"/>
      <c r="V2" s="820"/>
      <c r="W2" s="820"/>
      <c r="X2" s="820"/>
      <c r="Y2" s="820"/>
      <c r="Z2" s="820"/>
      <c r="AA2" s="820"/>
      <c r="AB2" s="820"/>
      <c r="AC2" s="820"/>
      <c r="AD2" s="820"/>
      <c r="AE2" s="180"/>
    </row>
    <row r="3" spans="1:31" s="177" customFormat="1" ht="18.75" x14ac:dyDescent="0.2">
      <c r="A3" s="174"/>
      <c r="B3" s="182"/>
      <c r="C3" s="176"/>
      <c r="D3" s="183"/>
      <c r="E3" s="821">
        <f>+'Datos globales '!B10</f>
        <v>45900</v>
      </c>
      <c r="F3" s="821"/>
      <c r="G3" s="821"/>
      <c r="H3" s="821"/>
      <c r="I3" s="821"/>
      <c r="J3" s="821"/>
      <c r="K3" s="821"/>
      <c r="L3" s="821"/>
      <c r="M3" s="821"/>
      <c r="N3" s="821"/>
      <c r="O3" s="821"/>
      <c r="P3" s="821"/>
      <c r="Q3" s="821"/>
      <c r="R3" s="821"/>
      <c r="S3" s="821"/>
      <c r="T3" s="821"/>
      <c r="U3" s="821"/>
      <c r="V3" s="821"/>
      <c r="W3" s="821"/>
      <c r="X3" s="821"/>
      <c r="Y3" s="821"/>
      <c r="Z3" s="821"/>
      <c r="AA3" s="821"/>
      <c r="AB3" s="184"/>
      <c r="AC3" s="183"/>
      <c r="AD3" s="183"/>
      <c r="AE3" s="176"/>
    </row>
    <row r="4" spans="1:31" s="177" customFormat="1" ht="6.75" customHeight="1" x14ac:dyDescent="0.2">
      <c r="A4" s="174"/>
      <c r="B4" s="185"/>
      <c r="C4" s="176"/>
      <c r="D4" s="182"/>
      <c r="E4" s="182"/>
      <c r="F4" s="182"/>
      <c r="G4" s="176"/>
      <c r="H4" s="182"/>
      <c r="I4" s="182"/>
      <c r="J4" s="182"/>
      <c r="K4" s="176"/>
      <c r="L4" s="182"/>
      <c r="M4" s="182"/>
      <c r="N4" s="182"/>
      <c r="O4" s="182"/>
      <c r="P4" s="186"/>
      <c r="Q4" s="182"/>
      <c r="R4" s="182"/>
      <c r="S4" s="182"/>
      <c r="T4" s="182"/>
      <c r="U4" s="182"/>
      <c r="V4" s="176"/>
      <c r="W4" s="182"/>
      <c r="X4" s="182"/>
      <c r="Y4" s="182"/>
      <c r="Z4" s="182"/>
      <c r="AA4" s="182"/>
      <c r="AB4" s="182"/>
      <c r="AC4" s="182"/>
      <c r="AD4" s="182"/>
      <c r="AE4" s="176"/>
    </row>
    <row r="5" spans="1:31" ht="15.75" customHeight="1" x14ac:dyDescent="0.2">
      <c r="A5" s="187"/>
      <c r="B5" s="187"/>
      <c r="D5" s="822" t="s">
        <v>2</v>
      </c>
      <c r="E5" s="822"/>
      <c r="F5" s="822"/>
      <c r="H5" s="822" t="s">
        <v>3</v>
      </c>
      <c r="I5" s="822"/>
      <c r="J5" s="822"/>
      <c r="K5" s="188"/>
      <c r="L5" s="822" t="s">
        <v>4</v>
      </c>
      <c r="M5" s="822"/>
      <c r="N5" s="822"/>
      <c r="O5" s="187"/>
      <c r="P5" s="189"/>
      <c r="Q5" s="187"/>
      <c r="R5" s="187"/>
      <c r="S5" s="187"/>
      <c r="T5" s="187"/>
      <c r="U5" s="187"/>
      <c r="V5" s="188"/>
      <c r="W5" s="190" t="s">
        <v>5</v>
      </c>
      <c r="X5" s="190"/>
      <c r="Y5" s="187"/>
      <c r="Z5" s="187"/>
      <c r="AA5" s="187"/>
      <c r="AB5" s="187"/>
      <c r="AC5" s="187"/>
      <c r="AD5" s="187"/>
      <c r="AE5" s="191"/>
    </row>
    <row r="6" spans="1:31" ht="25.5" x14ac:dyDescent="0.2">
      <c r="A6" s="187"/>
      <c r="B6" s="193" t="s">
        <v>799</v>
      </c>
      <c r="D6" s="169" t="s">
        <v>6</v>
      </c>
      <c r="E6" s="169" t="s">
        <v>7</v>
      </c>
      <c r="F6" s="170" t="s">
        <v>8</v>
      </c>
      <c r="H6" s="169" t="s">
        <v>6</v>
      </c>
      <c r="I6" s="169" t="s">
        <v>9</v>
      </c>
      <c r="J6" s="170" t="s">
        <v>8</v>
      </c>
      <c r="K6" s="188"/>
      <c r="L6" s="169" t="s">
        <v>6</v>
      </c>
      <c r="M6" s="169" t="s">
        <v>10</v>
      </c>
      <c r="N6" s="170" t="s">
        <v>8</v>
      </c>
      <c r="O6" s="187"/>
      <c r="P6" s="189"/>
      <c r="Q6" s="169" t="s">
        <v>11</v>
      </c>
      <c r="R6" s="169" t="s">
        <v>801</v>
      </c>
      <c r="S6" s="169" t="s">
        <v>12</v>
      </c>
      <c r="T6" s="169" t="s">
        <v>66</v>
      </c>
      <c r="U6" s="169" t="s">
        <v>13</v>
      </c>
      <c r="V6" s="194"/>
      <c r="W6" s="169" t="s">
        <v>14</v>
      </c>
      <c r="X6" s="169" t="s">
        <v>802</v>
      </c>
      <c r="Y6" s="169" t="s">
        <v>15</v>
      </c>
      <c r="Z6" s="169" t="s">
        <v>16</v>
      </c>
      <c r="AA6" s="169" t="s">
        <v>17</v>
      </c>
      <c r="AB6" s="169" t="s">
        <v>858</v>
      </c>
      <c r="AC6" s="169" t="s">
        <v>19</v>
      </c>
      <c r="AD6" s="169" t="s">
        <v>20</v>
      </c>
      <c r="AE6" s="191"/>
    </row>
    <row r="7" spans="1:31" ht="3" customHeight="1" x14ac:dyDescent="0.2">
      <c r="A7" s="188"/>
      <c r="D7" s="195"/>
      <c r="E7" s="195"/>
      <c r="F7" s="196"/>
      <c r="H7" s="195"/>
      <c r="I7" s="195"/>
      <c r="J7" s="196"/>
      <c r="K7" s="188"/>
      <c r="L7" s="195"/>
      <c r="M7" s="195"/>
      <c r="N7" s="196"/>
      <c r="O7" s="188"/>
      <c r="P7" s="189"/>
      <c r="Q7" s="197"/>
      <c r="R7" s="197"/>
      <c r="S7" s="198"/>
      <c r="T7" s="198"/>
      <c r="U7" s="197"/>
      <c r="V7" s="194"/>
      <c r="W7" s="195"/>
      <c r="X7" s="195"/>
      <c r="Y7" s="195"/>
      <c r="Z7" s="195"/>
      <c r="AA7" s="195"/>
      <c r="AB7" s="195"/>
      <c r="AC7" s="195"/>
      <c r="AD7" s="195"/>
      <c r="AE7" s="191"/>
    </row>
    <row r="8" spans="1:31" s="204" customFormat="1" ht="15" x14ac:dyDescent="0.2">
      <c r="A8" s="199"/>
      <c r="B8" s="200" t="s">
        <v>941</v>
      </c>
      <c r="C8" s="188"/>
      <c r="D8" s="171">
        <f>+H8+L8</f>
        <v>149</v>
      </c>
      <c r="E8" s="171">
        <f>ROUND(+I8+M8,0)</f>
        <v>43200619</v>
      </c>
      <c r="F8" s="172">
        <f>ROUND(J8+N8,0)</f>
        <v>10428</v>
      </c>
      <c r="G8" s="173"/>
      <c r="H8" s="171">
        <f>'Im Final'!C14</f>
        <v>0</v>
      </c>
      <c r="I8" s="171">
        <f>'Im Final'!E14/1000</f>
        <v>0</v>
      </c>
      <c r="J8" s="172">
        <f>'Im Final'!D14</f>
        <v>0</v>
      </c>
      <c r="K8" s="173"/>
      <c r="L8" s="171">
        <f>+'Im Final'!C5</f>
        <v>149</v>
      </c>
      <c r="M8" s="171">
        <f>+'Im Final'!E5/1000</f>
        <v>43200619.093000002</v>
      </c>
      <c r="N8" s="172">
        <f>'Im Final'!D5</f>
        <v>10427.739999999998</v>
      </c>
      <c r="O8" s="201"/>
      <c r="P8" s="189"/>
      <c r="Q8" s="171">
        <f>+Recaud!B6/1000+Recaud!B7/1000</f>
        <v>26542382.381000001</v>
      </c>
      <c r="R8" s="171">
        <f>+Recaud!B8/1000</f>
        <v>19139986.524</v>
      </c>
      <c r="S8" s="171">
        <f>16074747/1000</f>
        <v>16074.746999999999</v>
      </c>
      <c r="T8" s="171">
        <v>0</v>
      </c>
      <c r="U8" s="171">
        <f>ROUND(+Q8+S8+T8+R8,0)</f>
        <v>45698444</v>
      </c>
      <c r="V8" s="194"/>
      <c r="W8" s="171">
        <f>ROUND(+Y8+Z8+X8,0)</f>
        <v>968656</v>
      </c>
      <c r="X8" s="171">
        <f>GETPIVOTDATA(" Credito_t",'Proyeccion Recaudos (2)'!$A$6,"Torre","T1A")/1000</f>
        <v>917048.73800000001</v>
      </c>
      <c r="Y8" s="171">
        <f>SUM('Proyeccion Recaudos (2)'!B26:B50)/1000</f>
        <v>13291.53</v>
      </c>
      <c r="Z8" s="171">
        <f>ROUND(+AA8+AB8+AC8+AD8,0)</f>
        <v>38316</v>
      </c>
      <c r="AA8" s="171">
        <f>GETPIVOTDATA("INICIAL",'Proyeccion Recaudos (2)'!$A$6,"Torre","T1A","Fecha",DATE(2025,10,1))/1000</f>
        <v>25408.304</v>
      </c>
      <c r="AB8" s="171">
        <f>GETPIVOTDATA("INICIAL",'Proyeccion Recaudos (2)'!$A$6,"Torre","T1A","Fecha",DATE(2025,9,1))/1000</f>
        <v>12000</v>
      </c>
      <c r="AC8" s="171">
        <f>GETPIVOTDATA("INICIAL",'Proyeccion Recaudos (2)'!$A$6,"Torre","T1A","Fecha",DATE(2025,8,1))/800</f>
        <v>0</v>
      </c>
      <c r="AD8" s="171">
        <f>SUM('Proyeccion Recaudos (2)'!G9:G22)/1000</f>
        <v>907.94100000000003</v>
      </c>
      <c r="AE8" s="203"/>
    </row>
    <row r="9" spans="1:31" s="204" customFormat="1" ht="15" x14ac:dyDescent="0.2">
      <c r="A9" s="199"/>
      <c r="B9" s="200" t="s">
        <v>942</v>
      </c>
      <c r="C9" s="188"/>
      <c r="D9" s="171">
        <f>+H9+L9</f>
        <v>98</v>
      </c>
      <c r="E9" s="171">
        <f>ROUND(+I9+M9,0)</f>
        <v>31645770</v>
      </c>
      <c r="F9" s="172">
        <f>ROUND(J9+N9,0)</f>
        <v>7127</v>
      </c>
      <c r="G9" s="173"/>
      <c r="H9" s="171">
        <f>+'Im Final'!I14</f>
        <v>3</v>
      </c>
      <c r="I9" s="171">
        <f>+'Im Final'!K14/1000</f>
        <v>1219485</v>
      </c>
      <c r="J9" s="172">
        <f>'Im Final'!J14</f>
        <v>228.45000000000002</v>
      </c>
      <c r="K9" s="173"/>
      <c r="L9" s="171">
        <f>'Im Final'!I5</f>
        <v>95</v>
      </c>
      <c r="M9" s="171">
        <f>'Im Final'!K5/1000</f>
        <v>30426284.563999999</v>
      </c>
      <c r="N9" s="172">
        <f>'Im Final'!J5</f>
        <v>6898.739999999998</v>
      </c>
      <c r="O9" s="201"/>
      <c r="P9" s="189"/>
      <c r="Q9" s="171">
        <f>+Recaud!C6/1000+Recaud!C7/1000</f>
        <v>18147229.135000002</v>
      </c>
      <c r="R9" s="577">
        <f>Recaud!C8/1000</f>
        <v>11645112.948000001</v>
      </c>
      <c r="S9" s="171">
        <f>69195523/1000</f>
        <v>69195.523000000001</v>
      </c>
      <c r="T9" s="171">
        <v>0</v>
      </c>
      <c r="U9" s="171">
        <f>ROUND(+Q9+S9+T9+R9,0)-1</f>
        <v>29861537</v>
      </c>
      <c r="V9" s="194"/>
      <c r="W9" s="171">
        <f>ROUND(+Y9+Z9+X9,0)</f>
        <v>2076368</v>
      </c>
      <c r="X9" s="171">
        <f>GETPIVOTDATA(" Credito_t",'Proyeccion Recaudos (2)'!$A$6,"Torre","T1b")/1000</f>
        <v>1781806.798</v>
      </c>
      <c r="Y9" s="171">
        <f>SUM('Proyeccion Recaudos (2)'!J26:J50)/1000</f>
        <v>94529.581000000006</v>
      </c>
      <c r="Z9" s="171">
        <f>ROUND(+AA9+AB9+AC9+AD9,0)</f>
        <v>200032</v>
      </c>
      <c r="AA9" s="171">
        <f>GETPIVOTDATA("INICIAL",'Proyeccion Recaudos (2)'!$A$6,"Torre","T1b","Fecha",DATE(2025,10,1))/1000</f>
        <v>33745</v>
      </c>
      <c r="AB9" s="171">
        <f>GETPIVOTDATA("INICIAL",'Proyeccion Recaudos (2)'!$A$6,"Torre","T1b","Fecha",DATE(2025,9,1))/1000</f>
        <v>68745</v>
      </c>
      <c r="AC9" s="171">
        <f>GETPIVOTDATA("INICIAL",'Proyeccion Recaudos (2)'!$A$6,"Torre","T1b","Fecha",DATE(2025,8,1))/800</f>
        <v>57091.53875</v>
      </c>
      <c r="AD9" s="171">
        <f>SUM('Proyeccion Recaudos (2)'!J9:J22)/1000</f>
        <v>40450</v>
      </c>
      <c r="AE9" s="203"/>
    </row>
    <row r="10" spans="1:31" s="204" customFormat="1" ht="15" x14ac:dyDescent="0.2">
      <c r="A10" s="199"/>
      <c r="B10" s="200" t="s">
        <v>53</v>
      </c>
      <c r="C10" s="188"/>
      <c r="D10" s="171">
        <f t="shared" ref="D10:D11" si="0">+H10+L10</f>
        <v>125</v>
      </c>
      <c r="E10" s="171">
        <f t="shared" ref="E10:E11" si="1">ROUND(+I10+M10,0)</f>
        <v>58164061</v>
      </c>
      <c r="F10" s="172">
        <f t="shared" ref="F10:F11" si="2">ROUND(J10+N10,0)</f>
        <v>9115</v>
      </c>
      <c r="G10" s="173"/>
      <c r="H10" s="171">
        <f>+'Im Final'!O14</f>
        <v>8</v>
      </c>
      <c r="I10" s="171">
        <f>+'Im Final'!Q14/1000</f>
        <v>4418200</v>
      </c>
      <c r="J10" s="172">
        <f>'Im Final'!P14</f>
        <v>650.25</v>
      </c>
      <c r="K10" s="173"/>
      <c r="L10" s="171">
        <f>'Im Final'!O5</f>
        <v>117</v>
      </c>
      <c r="M10" s="171">
        <f>++'Im Final'!Q5/1000</f>
        <v>53745860.675999999</v>
      </c>
      <c r="N10" s="172">
        <f>'Im Final'!P5</f>
        <v>8464.7900000000027</v>
      </c>
      <c r="O10" s="201"/>
      <c r="P10" s="189"/>
      <c r="Q10" s="171">
        <f>SUM(Recaud!D6:D7)/1000</f>
        <v>4351900.801</v>
      </c>
      <c r="R10" s="577">
        <f>++Recaud!D8</f>
        <v>0</v>
      </c>
      <c r="S10" s="171">
        <v>0</v>
      </c>
      <c r="T10" s="171"/>
      <c r="U10" s="171">
        <f t="shared" ref="U10" si="3">ROUND(+Q10+S10+T10+R10,0)</f>
        <v>4351901</v>
      </c>
      <c r="V10" s="194"/>
      <c r="W10" s="171">
        <f>ROUND(+Y10+Z10+X10,0)-1</f>
        <v>50956689</v>
      </c>
      <c r="X10" s="171">
        <f>+GETPIVOTDATA(" Credito_t",'Proyeccion Recaudos (2)'!$A$6,"Torre","T2")/1000</f>
        <v>38166228.328000002</v>
      </c>
      <c r="Y10" s="171">
        <f>SUM('Proyeccion Recaudos (2)'!R26:R50)/1000</f>
        <v>11763085.323999999</v>
      </c>
      <c r="Z10" s="171">
        <f>ROUND(+AA10+AB10+AC10+AD10,0)</f>
        <v>1027376</v>
      </c>
      <c r="AA10" s="171">
        <f>GETPIVOTDATA("INICIAL",'Proyeccion Recaudos (2)'!$A$6,"Torre","T2","Fecha",DATE(2025,10,1))/1000</f>
        <v>516390.36099999998</v>
      </c>
      <c r="AB10" s="171">
        <f>GETPIVOTDATA("INICIAL",'Proyeccion Recaudos (2)'!$A$6,"Torre","T2","Fecha",DATE(2025,9,1))/1000</f>
        <v>302766.23</v>
      </c>
      <c r="AC10" s="171">
        <f>GETPIVOTDATA("INICIAL",'Proyeccion Recaudos (2)'!$A$6,"Torre","T2","Fecha",DATE(2025,8,1))/800</f>
        <v>163727.22125</v>
      </c>
      <c r="AD10" s="171">
        <f>SUM('Proyeccion Recaudos (2)'!R9:R22)/1000</f>
        <v>44492.042000000001</v>
      </c>
      <c r="AE10" s="203"/>
    </row>
    <row r="11" spans="1:31" s="204" customFormat="1" ht="15" x14ac:dyDescent="0.2">
      <c r="A11" s="199"/>
      <c r="B11" s="200" t="s">
        <v>1009</v>
      </c>
      <c r="C11" s="188"/>
      <c r="D11" s="171">
        <f t="shared" si="0"/>
        <v>150</v>
      </c>
      <c r="E11" s="171">
        <f t="shared" si="1"/>
        <v>57105881</v>
      </c>
      <c r="F11" s="172">
        <f t="shared" si="2"/>
        <v>10575</v>
      </c>
      <c r="G11" s="173"/>
      <c r="H11" s="171">
        <f>+'Im Final'!U14</f>
        <v>17</v>
      </c>
      <c r="I11" s="171">
        <f>+'Im Final'!W14/1000</f>
        <v>8017995</v>
      </c>
      <c r="J11" s="172">
        <f>'Im Final'!V14</f>
        <v>1222.4500000000003</v>
      </c>
      <c r="K11" s="173"/>
      <c r="L11" s="171">
        <f>'Im Final'!U5</f>
        <v>133</v>
      </c>
      <c r="M11" s="171">
        <f>+'Im Final'!W5/1000</f>
        <v>49087885.880999997</v>
      </c>
      <c r="N11" s="172">
        <f>'Im Final'!V5</f>
        <v>9352.9199999999928</v>
      </c>
      <c r="O11" s="201"/>
      <c r="P11" s="189"/>
      <c r="Q11" s="171">
        <f>SUM(Recaud!E6:E7)/1000</f>
        <v>23679154.726</v>
      </c>
      <c r="R11" s="577">
        <v>0</v>
      </c>
      <c r="S11" s="171">
        <f>157216292/1000</f>
        <v>157216.29199999999</v>
      </c>
      <c r="T11" s="171">
        <v>0</v>
      </c>
      <c r="U11" s="171">
        <f>ROUND(+Q11+S11+T11+R11,0)</f>
        <v>23836371</v>
      </c>
      <c r="V11" s="194"/>
      <c r="W11" s="171">
        <f>ROUND(+Y11+Z11+X11,0)</f>
        <v>28412215</v>
      </c>
      <c r="X11" s="171">
        <f>+GETPIVOTDATA(" Credito_t",'Proyeccion Recaudos (2)'!$A$6,"Torre","T3A")/1000</f>
        <v>26335126.147999998</v>
      </c>
      <c r="Y11" s="171">
        <f>SUM('Proyeccion Recaudos (2)'!Z26:Z50)/1000</f>
        <v>1142640.2930000001</v>
      </c>
      <c r="Z11" s="171">
        <f>ROUND(+AA11+AB11+AC11+AD11,0)</f>
        <v>934449</v>
      </c>
      <c r="AA11" s="171">
        <f>GETPIVOTDATA("INICIAL",'Proyeccion Recaudos (2)'!$A$6,"Torre","T3A","Fecha",DATE(2025,10,1))/1000</f>
        <v>154692.527</v>
      </c>
      <c r="AB11" s="171">
        <f>GETPIVOTDATA("INICIAL",'Proyeccion Recaudos (2)'!$A$6,"Torre","T3A","Fecha",DATE(2025,9,1))/1000</f>
        <v>363381.04800000001</v>
      </c>
      <c r="AC11" s="171">
        <f>GETPIVOTDATA("INICIAL",'Proyeccion Recaudos (2)'!$A$6,"Torre","T3A","Fecha",DATE(2025,8,1))/800</f>
        <v>311260.84749999997</v>
      </c>
      <c r="AD11" s="171">
        <f>SUM('Proyeccion Recaudos (2)'!Z9:Z22)/1000</f>
        <v>105114.17200000001</v>
      </c>
      <c r="AE11" s="203"/>
    </row>
    <row r="12" spans="1:31" s="204" customFormat="1" ht="15" x14ac:dyDescent="0.2">
      <c r="A12" s="199"/>
      <c r="B12" s="200" t="s">
        <v>1203</v>
      </c>
      <c r="C12" s="188"/>
      <c r="D12" s="171">
        <f>+H12+L12</f>
        <v>99</v>
      </c>
      <c r="E12" s="171">
        <f>ROUND(+I12+M12,0)</f>
        <v>43577238</v>
      </c>
      <c r="F12" s="172">
        <f ca="1">ROUND(J12+N12,0)</f>
        <v>7223</v>
      </c>
      <c r="G12" s="173"/>
      <c r="H12" s="171">
        <f>+'Im Final'!AA14</f>
        <v>18</v>
      </c>
      <c r="I12" s="171">
        <f>+'Im Final'!AC14/1000</f>
        <v>8944955</v>
      </c>
      <c r="J12" s="172">
        <f>'Im Final'!AB14</f>
        <v>1355.0699999999997</v>
      </c>
      <c r="K12" s="173"/>
      <c r="L12" s="171">
        <f>'Im Final'!AA5</f>
        <v>81</v>
      </c>
      <c r="M12" s="171">
        <f>+'Im Final'!AC5/1000</f>
        <v>34632282.774999999</v>
      </c>
      <c r="N12" s="172">
        <f ca="1">'Im Final'!AB5</f>
        <v>5868.25</v>
      </c>
      <c r="O12" s="201"/>
      <c r="P12" s="189"/>
      <c r="Q12" s="171">
        <f>SUM(Recaud!F6:F7)/1000</f>
        <v>8817637.6630000006</v>
      </c>
      <c r="R12" s="577">
        <v>0</v>
      </c>
      <c r="S12" s="171">
        <f>61237889/1000</f>
        <v>61237.889000000003</v>
      </c>
      <c r="T12" s="171"/>
      <c r="U12" s="171">
        <f>ROUND(+Q12+S12+T12,0)</f>
        <v>8878876</v>
      </c>
      <c r="V12" s="194"/>
      <c r="W12" s="171">
        <f>ROUND(+Y12+Z12+X12,0)</f>
        <v>27833050</v>
      </c>
      <c r="X12" s="171">
        <f>+GETPIVOTDATA(" Credito_t",'Proyeccion Recaudos (2)'!$A$6,"Torre","T3B")/1000</f>
        <v>25927105.704999998</v>
      </c>
      <c r="Y12" s="171">
        <f>SUM('Proyeccion Recaudos (2)'!AH26:AH50)/1000</f>
        <v>1019684.825</v>
      </c>
      <c r="Z12" s="171">
        <f>ROUND(+AA12+AB12+AC12+AD12,0)</f>
        <v>886259</v>
      </c>
      <c r="AA12" s="171">
        <f>GETPIVOTDATA("INICIAL",'Proyeccion Recaudos (2)'!$A$6,"Torre","T3B","Fecha",DATE(2025,10,1))/1000</f>
        <v>302259.304</v>
      </c>
      <c r="AB12" s="171">
        <f>GETPIVOTDATA("INICIAL",'Proyeccion Recaudos (2)'!$A$6,"Torre","T3B","Fecha",DATE(2025,9,1))/1000</f>
        <v>274968.39299999998</v>
      </c>
      <c r="AC12" s="171">
        <f>GETPIVOTDATA("INICIAL",'Proyeccion Recaudos (2)'!$A$6,"Torre","T3B","Fecha",DATE(2025,8,1))/800</f>
        <v>158722.16625000001</v>
      </c>
      <c r="AD12" s="171">
        <f>SUM('Proyeccion Recaudos (2)'!AH9:AH22)/1000</f>
        <v>150309.527</v>
      </c>
      <c r="AE12" s="203"/>
    </row>
    <row r="13" spans="1:31" s="254" customFormat="1" ht="18.75" x14ac:dyDescent="0.2">
      <c r="A13" s="251"/>
      <c r="B13" s="258" t="s">
        <v>828</v>
      </c>
      <c r="C13" s="252"/>
      <c r="D13" s="256">
        <f>SUM(D8:D12)</f>
        <v>621</v>
      </c>
      <c r="E13" s="255">
        <f>SUM(E8:E12)</f>
        <v>233693569</v>
      </c>
      <c r="F13" s="257">
        <f ca="1">SUM(F8:F12)</f>
        <v>44468</v>
      </c>
      <c r="G13" s="173"/>
      <c r="H13" s="256">
        <f>SUM(H8:H12)</f>
        <v>46</v>
      </c>
      <c r="I13" s="255">
        <f>SUM(I8:I12)</f>
        <v>22600635</v>
      </c>
      <c r="J13" s="257">
        <f>SUM(J8:J12)</f>
        <v>3456.2200000000003</v>
      </c>
      <c r="K13" s="173"/>
      <c r="L13" s="256">
        <f>SUM(L8:L12)</f>
        <v>575</v>
      </c>
      <c r="M13" s="255">
        <f>SUM(M8:M12)</f>
        <v>211092932.98899999</v>
      </c>
      <c r="N13" s="257">
        <f ca="1">SUM(N8:N12)</f>
        <v>41012.439999999988</v>
      </c>
      <c r="O13" s="253"/>
      <c r="P13" s="189"/>
      <c r="Q13" s="255">
        <f>SUM(Q8:Q12)</f>
        <v>81538304.706</v>
      </c>
      <c r="R13" s="255">
        <f>SUM(R8:R12)</f>
        <v>30785099.472000003</v>
      </c>
      <c r="S13" s="255">
        <f>SUM(S8:S12)</f>
        <v>303724.451</v>
      </c>
      <c r="T13" s="255">
        <f>SUM(T8:T11)</f>
        <v>0</v>
      </c>
      <c r="U13" s="255">
        <f>SUM(U8:U12)</f>
        <v>112627129</v>
      </c>
      <c r="V13" s="194"/>
      <c r="W13" s="255">
        <f t="shared" ref="W13:AD13" si="4">SUM(W8:W12)</f>
        <v>110246978</v>
      </c>
      <c r="X13" s="255">
        <f t="shared" si="4"/>
        <v>93127315.716999993</v>
      </c>
      <c r="Y13" s="255">
        <f t="shared" si="4"/>
        <v>14033231.552999998</v>
      </c>
      <c r="Z13" s="255">
        <f t="shared" si="4"/>
        <v>3086432</v>
      </c>
      <c r="AA13" s="255">
        <f t="shared" si="4"/>
        <v>1032495.496</v>
      </c>
      <c r="AB13" s="255">
        <f t="shared" si="4"/>
        <v>1021860.6709999999</v>
      </c>
      <c r="AC13" s="255">
        <f t="shared" si="4"/>
        <v>690801.77374999993</v>
      </c>
      <c r="AD13" s="255">
        <f t="shared" si="4"/>
        <v>341273.68200000003</v>
      </c>
    </row>
    <row r="14" spans="1:31" s="204" customFormat="1" ht="27" customHeight="1" x14ac:dyDescent="0.2">
      <c r="A14" s="203"/>
      <c r="B14" s="212" t="s">
        <v>203</v>
      </c>
      <c r="C14" s="188"/>
      <c r="D14" s="206"/>
      <c r="E14" s="207"/>
      <c r="F14" s="208"/>
      <c r="G14" s="188"/>
      <c r="H14" s="206"/>
      <c r="I14" s="207"/>
      <c r="J14" s="208"/>
      <c r="K14" s="188"/>
      <c r="L14" s="206"/>
      <c r="M14" s="207"/>
      <c r="N14" s="208"/>
      <c r="O14" s="209"/>
      <c r="P14" s="189"/>
      <c r="Q14" s="207"/>
      <c r="R14" s="207"/>
      <c r="S14" s="211"/>
      <c r="T14" s="211"/>
      <c r="U14" s="207"/>
      <c r="V14" s="194"/>
      <c r="W14" s="207"/>
      <c r="X14" s="207"/>
      <c r="Y14" s="207"/>
      <c r="Z14" s="207"/>
      <c r="AA14" s="207"/>
      <c r="AB14" s="207"/>
      <c r="AC14" s="207"/>
      <c r="AD14" s="207"/>
      <c r="AE14" s="203"/>
    </row>
    <row r="15" spans="1:31" s="204" customFormat="1" ht="27" hidden="1" customHeight="1" x14ac:dyDescent="0.2">
      <c r="A15" s="203"/>
      <c r="B15" s="263" t="s">
        <v>941</v>
      </c>
      <c r="C15" s="188"/>
      <c r="D15" s="206"/>
      <c r="E15" s="207"/>
      <c r="F15" s="208"/>
      <c r="G15" s="188"/>
      <c r="H15" s="206"/>
      <c r="I15" s="207"/>
      <c r="J15" s="208"/>
      <c r="K15" s="188"/>
      <c r="L15" s="206"/>
      <c r="M15" s="207"/>
      <c r="N15" s="208"/>
      <c r="O15" s="209"/>
      <c r="P15" s="189"/>
      <c r="Q15" s="207"/>
      <c r="R15" s="207"/>
      <c r="S15" s="211"/>
      <c r="T15" s="211"/>
      <c r="U15" s="207"/>
      <c r="V15" s="194"/>
      <c r="W15" s="207"/>
      <c r="X15" s="207"/>
      <c r="Y15" s="207"/>
      <c r="Z15" s="207"/>
      <c r="AA15" s="207"/>
      <c r="AB15" s="207"/>
      <c r="AC15" s="207"/>
      <c r="AD15" s="207"/>
      <c r="AE15" s="203"/>
    </row>
    <row r="16" spans="1:31" s="204" customFormat="1" ht="12.75" customHeight="1" x14ac:dyDescent="0.2">
      <c r="A16" s="203"/>
      <c r="B16" s="199" t="s">
        <v>969</v>
      </c>
      <c r="C16" s="188"/>
      <c r="D16" s="202">
        <f>+H16+L16</f>
        <v>152</v>
      </c>
      <c r="E16" s="202">
        <f>ROUND(+I16+M16,0)</f>
        <v>69708000</v>
      </c>
      <c r="F16" s="205"/>
      <c r="G16" s="188"/>
      <c r="H16" s="202">
        <f>SUM('Im Final'!C15:C16)</f>
        <v>3</v>
      </c>
      <c r="I16" s="202">
        <f>SUM('Im Final'!E15:E16)</f>
        <v>66000000</v>
      </c>
      <c r="J16" s="205"/>
      <c r="K16" s="188"/>
      <c r="L16" s="202">
        <f>SUM('Im Final'!C6:C7)</f>
        <v>149</v>
      </c>
      <c r="M16" s="202">
        <f>SUM('Im Final'!E6:E7)/1000</f>
        <v>3708000</v>
      </c>
      <c r="N16" s="205"/>
      <c r="O16" s="209"/>
      <c r="P16" s="189"/>
      <c r="Q16" s="207"/>
      <c r="R16" s="207"/>
      <c r="S16" s="211"/>
      <c r="T16" s="211"/>
      <c r="U16" s="207"/>
      <c r="V16" s="194"/>
      <c r="W16" s="207"/>
      <c r="X16" s="207"/>
      <c r="Y16" s="207"/>
      <c r="Z16" s="207"/>
      <c r="AA16" s="207"/>
      <c r="AB16" s="207"/>
      <c r="AC16" s="207"/>
      <c r="AD16" s="207"/>
      <c r="AE16" s="203"/>
    </row>
    <row r="17" spans="1:31" s="204" customFormat="1" ht="12.75" customHeight="1" x14ac:dyDescent="0.2">
      <c r="A17" s="203"/>
      <c r="B17" s="199" t="s">
        <v>970</v>
      </c>
      <c r="C17" s="188"/>
      <c r="D17" s="202">
        <f t="shared" ref="D17" si="5">+H17+L17</f>
        <v>58</v>
      </c>
      <c r="E17" s="202">
        <f>ROUND(+I17+M17,0)</f>
        <v>290000</v>
      </c>
      <c r="F17" s="205"/>
      <c r="G17" s="188"/>
      <c r="H17" s="202">
        <f>'Im Final'!C17</f>
        <v>2</v>
      </c>
      <c r="I17" s="202">
        <f>'Im Final'!E17/1000</f>
        <v>10000</v>
      </c>
      <c r="J17" s="205"/>
      <c r="K17" s="188"/>
      <c r="L17" s="202">
        <f>'Im Final'!C8</f>
        <v>56</v>
      </c>
      <c r="M17" s="202">
        <f>+'Im Final'!E8/1000</f>
        <v>280000</v>
      </c>
      <c r="N17" s="205"/>
      <c r="O17" s="209"/>
      <c r="P17" s="189"/>
      <c r="Q17" s="207"/>
      <c r="R17" s="207"/>
      <c r="S17" s="211"/>
      <c r="T17" s="211"/>
      <c r="U17" s="207"/>
      <c r="V17" s="194"/>
      <c r="W17" s="207"/>
      <c r="X17" s="207"/>
      <c r="Y17" s="207"/>
      <c r="Z17" s="207"/>
      <c r="AA17" s="207"/>
      <c r="AB17" s="207"/>
      <c r="AC17" s="207"/>
      <c r="AD17" s="207"/>
      <c r="AE17" s="203"/>
    </row>
    <row r="18" spans="1:31" s="204" customFormat="1" ht="15" x14ac:dyDescent="0.2">
      <c r="A18" s="203"/>
      <c r="B18" s="263" t="s">
        <v>971</v>
      </c>
      <c r="C18" s="188"/>
      <c r="D18" s="264">
        <f>+SUM(D16:D17)</f>
        <v>210</v>
      </c>
      <c r="E18" s="265">
        <f>+SUM(E16:E17)</f>
        <v>69998000</v>
      </c>
      <c r="F18" s="205"/>
      <c r="G18" s="188"/>
      <c r="H18" s="264">
        <f>+SUM(H16:H17)</f>
        <v>5</v>
      </c>
      <c r="I18" s="266">
        <f>+SUM(I16:I17)</f>
        <v>66010000</v>
      </c>
      <c r="J18" s="267"/>
      <c r="K18" s="188"/>
      <c r="L18" s="264">
        <f>+SUM(L16:L17)</f>
        <v>205</v>
      </c>
      <c r="M18" s="266">
        <f>+SUM(M16:M17)</f>
        <v>3988000</v>
      </c>
      <c r="N18" s="267"/>
      <c r="O18" s="209"/>
      <c r="P18" s="189"/>
      <c r="Q18" s="207"/>
      <c r="R18" s="207"/>
      <c r="S18" s="211"/>
      <c r="T18" s="211"/>
      <c r="U18" s="207"/>
      <c r="V18" s="194"/>
      <c r="W18" s="207"/>
      <c r="X18" s="207"/>
      <c r="Y18" s="207"/>
      <c r="Z18" s="207"/>
      <c r="AA18" s="207"/>
      <c r="AB18" s="207"/>
      <c r="AC18" s="207"/>
      <c r="AD18" s="207"/>
      <c r="AE18" s="203"/>
    </row>
    <row r="19" spans="1:31" s="204" customFormat="1" ht="15" x14ac:dyDescent="0.2">
      <c r="A19" s="203"/>
      <c r="B19" s="207"/>
      <c r="C19" s="207"/>
      <c r="D19" s="207"/>
      <c r="E19" s="207"/>
      <c r="F19" s="207"/>
      <c r="G19" s="207"/>
      <c r="H19" s="207"/>
      <c r="I19" s="207"/>
      <c r="J19" s="207"/>
      <c r="K19" s="207"/>
      <c r="L19" s="207"/>
      <c r="M19" s="207"/>
      <c r="N19" s="207"/>
      <c r="O19" s="207"/>
      <c r="P19" s="207"/>
      <c r="Q19" s="207"/>
      <c r="R19" s="207"/>
      <c r="S19" s="211"/>
      <c r="T19" s="211"/>
      <c r="U19" s="207"/>
      <c r="V19" s="194"/>
      <c r="W19" s="207"/>
      <c r="X19" s="207"/>
      <c r="Y19" s="207"/>
      <c r="Z19" s="207"/>
      <c r="AA19" s="207"/>
      <c r="AB19" s="207"/>
      <c r="AC19" s="207"/>
      <c r="AD19" s="207"/>
      <c r="AE19" s="203"/>
    </row>
    <row r="20" spans="1:31" ht="15" x14ac:dyDescent="0.2">
      <c r="A20" s="187"/>
      <c r="B20" s="263" t="s">
        <v>942</v>
      </c>
      <c r="D20" s="214"/>
      <c r="E20" s="215"/>
      <c r="F20" s="216"/>
      <c r="H20" s="214"/>
      <c r="I20" s="215"/>
      <c r="J20" s="216"/>
      <c r="K20" s="188"/>
      <c r="L20" s="214"/>
      <c r="M20" s="215"/>
      <c r="N20" s="216"/>
      <c r="O20" s="187"/>
      <c r="P20" s="189"/>
      <c r="Q20" s="187"/>
      <c r="R20" s="187"/>
      <c r="S20" s="187"/>
      <c r="T20" s="187"/>
      <c r="U20" s="187"/>
      <c r="V20" s="194"/>
      <c r="W20" s="187"/>
      <c r="X20" s="187"/>
      <c r="Y20" s="187"/>
      <c r="Z20" s="187"/>
      <c r="AA20" s="187"/>
      <c r="AB20" s="187"/>
      <c r="AC20" s="187"/>
      <c r="AD20" s="187"/>
      <c r="AE20" s="210"/>
    </row>
    <row r="21" spans="1:31" s="204" customFormat="1" ht="15" x14ac:dyDescent="0.2">
      <c r="A21" s="203"/>
      <c r="B21" s="199" t="s">
        <v>973</v>
      </c>
      <c r="C21" s="188"/>
      <c r="D21" s="556">
        <f>+H21+L21</f>
        <v>193</v>
      </c>
      <c r="E21" s="556">
        <f>ROUND(+I21+M21,0)</f>
        <v>68240000</v>
      </c>
      <c r="F21" s="205"/>
      <c r="G21" s="188"/>
      <c r="H21" s="202">
        <f>SUM('Im Final'!I15:I16)</f>
        <v>3</v>
      </c>
      <c r="I21" s="202">
        <f>SUM('Im Final'!K15:K16)</f>
        <v>66000000</v>
      </c>
      <c r="J21" s="205"/>
      <c r="K21" s="188"/>
      <c r="L21" s="202">
        <f>+'Im Final'!I6+'Im Final'!I7</f>
        <v>190</v>
      </c>
      <c r="M21" s="202">
        <f>(+'Im Final'!K6+'Im Final'!K7)/1000</f>
        <v>2240000</v>
      </c>
      <c r="N21" s="205"/>
      <c r="O21" s="218"/>
      <c r="P21" s="189"/>
      <c r="Q21" s="187"/>
      <c r="R21" s="187"/>
      <c r="S21" s="187"/>
      <c r="T21" s="187"/>
      <c r="U21" s="187"/>
      <c r="V21" s="194"/>
      <c r="W21" s="187"/>
      <c r="X21" s="187"/>
      <c r="Y21" s="187"/>
      <c r="Z21" s="187"/>
      <c r="AA21" s="187"/>
      <c r="AB21" s="187"/>
      <c r="AC21" s="187"/>
      <c r="AD21" s="187"/>
      <c r="AE21" s="203"/>
    </row>
    <row r="22" spans="1:31" s="204" customFormat="1" ht="15" x14ac:dyDescent="0.2">
      <c r="A22" s="203"/>
      <c r="B22" s="199" t="s">
        <v>974</v>
      </c>
      <c r="C22" s="188"/>
      <c r="D22" s="556">
        <f>+H22+L22</f>
        <v>73</v>
      </c>
      <c r="E22" s="556">
        <f>ROUND(+I22+M22,0)</f>
        <v>60305000</v>
      </c>
      <c r="F22" s="205"/>
      <c r="G22" s="188"/>
      <c r="H22" s="202">
        <f>'Im Final'!I17</f>
        <v>12</v>
      </c>
      <c r="I22" s="202">
        <f>'Im Final'!K17</f>
        <v>60000000</v>
      </c>
      <c r="J22" s="205"/>
      <c r="K22" s="188"/>
      <c r="L22" s="202">
        <f>+'Im Final'!I8</f>
        <v>61</v>
      </c>
      <c r="M22" s="202">
        <f>+'Im Final'!K8/1000</f>
        <v>305000</v>
      </c>
      <c r="N22" s="205"/>
      <c r="O22" s="218"/>
      <c r="P22" s="189"/>
      <c r="Q22" s="187"/>
      <c r="R22" s="187"/>
      <c r="S22" s="187"/>
      <c r="T22" s="187"/>
      <c r="U22" s="187"/>
      <c r="V22" s="194"/>
      <c r="W22" s="187"/>
      <c r="X22" s="187"/>
      <c r="Y22" s="187"/>
      <c r="Z22" s="187"/>
      <c r="AA22" s="187"/>
      <c r="AB22" s="187"/>
      <c r="AC22" s="187"/>
      <c r="AD22" s="187"/>
      <c r="AE22" s="203"/>
    </row>
    <row r="23" spans="1:31" s="204" customFormat="1" ht="15" x14ac:dyDescent="0.2">
      <c r="A23" s="203"/>
      <c r="B23" s="263" t="s">
        <v>975</v>
      </c>
      <c r="C23" s="188"/>
      <c r="D23" s="264">
        <f>+SUM(D21:D22)</f>
        <v>266</v>
      </c>
      <c r="E23" s="265">
        <f>+SUM(E21:E22)</f>
        <v>128545000</v>
      </c>
      <c r="F23" s="267"/>
      <c r="G23" s="188"/>
      <c r="H23" s="264">
        <f>+SUM(H21:H22)</f>
        <v>15</v>
      </c>
      <c r="I23" s="266">
        <f>+SUM(I21:I22)</f>
        <v>126000000</v>
      </c>
      <c r="J23" s="267"/>
      <c r="K23" s="188"/>
      <c r="L23" s="264">
        <f>+SUM(L21:L22)</f>
        <v>251</v>
      </c>
      <c r="M23" s="266">
        <f>+SUM(M21:M22)</f>
        <v>2545000</v>
      </c>
      <c r="N23" s="267"/>
      <c r="O23" s="218"/>
      <c r="P23" s="189"/>
      <c r="Q23" s="187"/>
      <c r="R23" s="187"/>
      <c r="S23" s="187"/>
      <c r="T23" s="187"/>
      <c r="U23" s="187"/>
      <c r="V23" s="194"/>
      <c r="W23" s="187"/>
      <c r="X23" s="187"/>
      <c r="Y23" s="187"/>
      <c r="Z23" s="187"/>
      <c r="AA23" s="187"/>
      <c r="AB23" s="187"/>
      <c r="AC23" s="187"/>
      <c r="AD23" s="187"/>
      <c r="AE23" s="203"/>
    </row>
    <row r="24" spans="1:31" s="204" customFormat="1" ht="15" x14ac:dyDescent="0.2">
      <c r="A24" s="203"/>
      <c r="B24" s="263" t="s">
        <v>53</v>
      </c>
      <c r="C24" s="188"/>
      <c r="D24" s="214"/>
      <c r="E24" s="215"/>
      <c r="F24" s="216"/>
      <c r="G24" s="188"/>
      <c r="H24" s="214"/>
      <c r="I24" s="215"/>
      <c r="J24" s="216"/>
      <c r="K24" s="188"/>
      <c r="L24" s="214"/>
      <c r="M24" s="215"/>
      <c r="N24" s="216"/>
      <c r="O24" s="187"/>
      <c r="P24" s="187"/>
      <c r="Q24" s="187"/>
      <c r="R24" s="187"/>
      <c r="S24" s="187"/>
      <c r="T24" s="187"/>
      <c r="U24" s="187"/>
      <c r="V24" s="194"/>
      <c r="W24" s="187"/>
      <c r="X24" s="187"/>
      <c r="Y24" s="187"/>
      <c r="Z24" s="187"/>
      <c r="AA24" s="187"/>
      <c r="AB24" s="187"/>
      <c r="AC24" s="187"/>
      <c r="AD24" s="187"/>
      <c r="AE24" s="203"/>
    </row>
    <row r="25" spans="1:31" s="204" customFormat="1" ht="15" x14ac:dyDescent="0.2">
      <c r="A25" s="203"/>
      <c r="B25" s="199" t="s">
        <v>2650</v>
      </c>
      <c r="C25" s="188"/>
      <c r="D25" s="556">
        <f>+H25+L25</f>
        <v>125</v>
      </c>
      <c r="E25" s="556">
        <f>ROUND(+I25+M25,0)</f>
        <v>3250000</v>
      </c>
      <c r="F25" s="205"/>
      <c r="G25" s="188"/>
      <c r="H25" s="202">
        <f>+'Im Final'!O15+'Im Final'!O16</f>
        <v>8</v>
      </c>
      <c r="I25" s="202">
        <f>(++'Im Final'!Q15+'Im Final'!O16)/1000</f>
        <v>208000</v>
      </c>
      <c r="J25" s="205"/>
      <c r="K25" s="188"/>
      <c r="L25" s="202">
        <f>++'Im Final'!O6+'Im Final'!O7</f>
        <v>117</v>
      </c>
      <c r="M25" s="202">
        <f>+(+'Im Final'!Q6+'Im Final'!Q7)/1000</f>
        <v>3042000</v>
      </c>
      <c r="N25" s="205"/>
      <c r="O25" s="187"/>
      <c r="P25" s="187"/>
      <c r="Q25" s="187"/>
      <c r="R25" s="187"/>
      <c r="S25" s="187"/>
      <c r="T25" s="187"/>
      <c r="U25" s="187"/>
      <c r="V25" s="194"/>
      <c r="W25" s="187"/>
      <c r="X25" s="187"/>
      <c r="Y25" s="187"/>
      <c r="Z25" s="187"/>
      <c r="AA25" s="187"/>
      <c r="AB25" s="187"/>
      <c r="AC25" s="187"/>
      <c r="AD25" s="187"/>
      <c r="AE25" s="203"/>
    </row>
    <row r="26" spans="1:31" s="204" customFormat="1" ht="15" x14ac:dyDescent="0.2">
      <c r="A26" s="203"/>
      <c r="B26" s="199" t="s">
        <v>122</v>
      </c>
      <c r="C26" s="188"/>
      <c r="D26" s="556">
        <f>+H26+L26</f>
        <v>125</v>
      </c>
      <c r="E26" s="556">
        <f>ROUND(+I26+M26,0)</f>
        <v>696000</v>
      </c>
      <c r="F26" s="205"/>
      <c r="G26" s="188"/>
      <c r="H26" s="202">
        <f>+'Im Final'!O17</f>
        <v>9</v>
      </c>
      <c r="I26" s="202">
        <f>+'Im Final'!O17/1000</f>
        <v>8.9999999999999993E-3</v>
      </c>
      <c r="J26" s="205"/>
      <c r="K26" s="188"/>
      <c r="L26" s="202">
        <f>++'Im Final'!O8</f>
        <v>116</v>
      </c>
      <c r="M26" s="202">
        <f>+'Im Final'!Q8/1000</f>
        <v>696000</v>
      </c>
      <c r="N26" s="205"/>
      <c r="O26" s="187"/>
      <c r="P26" s="187"/>
      <c r="Q26" s="187"/>
      <c r="R26" s="187"/>
      <c r="S26" s="187"/>
      <c r="T26" s="187"/>
      <c r="U26" s="187"/>
      <c r="V26" s="194"/>
      <c r="W26" s="187"/>
      <c r="X26" s="187"/>
      <c r="Y26" s="187"/>
      <c r="Z26" s="187"/>
      <c r="AA26" s="187"/>
      <c r="AB26" s="187"/>
      <c r="AC26" s="187"/>
      <c r="AD26" s="187"/>
      <c r="AE26" s="203"/>
    </row>
    <row r="27" spans="1:31" s="204" customFormat="1" ht="15" x14ac:dyDescent="0.2">
      <c r="A27" s="203"/>
      <c r="B27" s="263" t="s">
        <v>2651</v>
      </c>
      <c r="C27" s="188"/>
      <c r="D27" s="264">
        <f>+SUM(D25:D26)</f>
        <v>250</v>
      </c>
      <c r="E27" s="265">
        <f>+SUM(E25:E26)</f>
        <v>3946000</v>
      </c>
      <c r="F27" s="267"/>
      <c r="G27" s="188"/>
      <c r="H27" s="264">
        <f>+SUM(H25:H26)</f>
        <v>17</v>
      </c>
      <c r="I27" s="266">
        <f>+SUM(I25:I26)</f>
        <v>208000.00899999999</v>
      </c>
      <c r="J27" s="267"/>
      <c r="K27" s="188"/>
      <c r="L27" s="264">
        <f>+SUM(L25:L26)</f>
        <v>233</v>
      </c>
      <c r="M27" s="266">
        <f>+SUM(M25:M26)</f>
        <v>3738000</v>
      </c>
      <c r="N27" s="267"/>
      <c r="O27" s="187"/>
      <c r="P27" s="187"/>
      <c r="Q27" s="187"/>
      <c r="R27" s="187"/>
      <c r="S27" s="187"/>
      <c r="T27" s="187"/>
      <c r="U27" s="187"/>
      <c r="V27" s="194"/>
      <c r="W27" s="187"/>
      <c r="X27" s="187"/>
      <c r="Y27" s="187"/>
      <c r="Z27" s="187"/>
      <c r="AA27" s="187"/>
      <c r="AB27" s="187"/>
      <c r="AC27" s="187"/>
      <c r="AD27" s="187"/>
      <c r="AE27" s="203"/>
    </row>
    <row r="28" spans="1:31" s="204" customFormat="1" x14ac:dyDescent="0.2">
      <c r="A28" s="203"/>
      <c r="B28" s="187"/>
      <c r="C28" s="187"/>
      <c r="D28" s="187"/>
      <c r="E28" s="187"/>
      <c r="F28" s="187"/>
      <c r="G28" s="187"/>
      <c r="H28" s="187"/>
      <c r="I28" s="187"/>
      <c r="J28" s="187"/>
      <c r="K28" s="187"/>
      <c r="L28" s="187"/>
      <c r="M28" s="187"/>
      <c r="N28" s="187"/>
      <c r="O28" s="187"/>
      <c r="P28" s="187"/>
      <c r="Q28" s="187"/>
      <c r="R28" s="187"/>
      <c r="S28" s="187"/>
      <c r="T28" s="187"/>
      <c r="U28" s="187"/>
      <c r="V28" s="194"/>
      <c r="W28" s="187"/>
      <c r="X28" s="187"/>
      <c r="Y28" s="187"/>
      <c r="Z28" s="187"/>
      <c r="AA28" s="187"/>
      <c r="AB28" s="187"/>
      <c r="AC28" s="187"/>
      <c r="AD28" s="187"/>
      <c r="AE28" s="203"/>
    </row>
    <row r="29" spans="1:31" s="204" customFormat="1" x14ac:dyDescent="0.2">
      <c r="A29" s="203"/>
      <c r="B29" s="263" t="s">
        <v>1009</v>
      </c>
      <c r="C29" s="187"/>
      <c r="D29" s="187"/>
      <c r="E29" s="187"/>
      <c r="F29" s="187"/>
      <c r="G29" s="187"/>
      <c r="H29" s="187"/>
      <c r="I29" s="187"/>
      <c r="J29" s="187"/>
      <c r="K29" s="187"/>
      <c r="L29" s="187"/>
      <c r="M29" s="187"/>
      <c r="N29" s="187"/>
      <c r="O29" s="187"/>
      <c r="P29" s="187"/>
      <c r="Q29" s="187"/>
      <c r="R29" s="187"/>
      <c r="S29" s="187"/>
      <c r="T29" s="187"/>
      <c r="U29" s="187"/>
      <c r="V29" s="194"/>
      <c r="W29" s="187"/>
      <c r="X29" s="187"/>
      <c r="Y29" s="187"/>
      <c r="Z29" s="187"/>
      <c r="AA29" s="187"/>
      <c r="AB29" s="187"/>
      <c r="AC29" s="187"/>
      <c r="AD29" s="187"/>
      <c r="AE29" s="203"/>
    </row>
    <row r="30" spans="1:31" s="204" customFormat="1" ht="15" x14ac:dyDescent="0.2">
      <c r="A30" s="203"/>
      <c r="B30" s="199" t="s">
        <v>1013</v>
      </c>
      <c r="C30" s="188"/>
      <c r="D30" s="202">
        <f>+H30+L30</f>
        <v>158</v>
      </c>
      <c r="E30" s="202">
        <f>ROUND(+I30+M30,0)</f>
        <v>3828000</v>
      </c>
      <c r="F30" s="205"/>
      <c r="G30" s="188"/>
      <c r="H30" s="202">
        <f>'Im Final'!U15+'Im Final'!U16</f>
        <v>16</v>
      </c>
      <c r="I30" s="202">
        <f>SUM('Im Final'!W15:W16)/1000</f>
        <v>342000</v>
      </c>
      <c r="J30" s="205"/>
      <c r="K30" s="188"/>
      <c r="L30" s="202">
        <f>+'Im Final'!U6+'Im Final'!U7</f>
        <v>142</v>
      </c>
      <c r="M30" s="202">
        <f>('Im Final'!W6+'Im Final'!W7)/1000</f>
        <v>3486000</v>
      </c>
      <c r="N30" s="205"/>
      <c r="O30" s="215"/>
      <c r="P30" s="189"/>
      <c r="Q30" s="187"/>
      <c r="R30" s="187"/>
      <c r="S30" s="187"/>
      <c r="T30" s="187"/>
      <c r="U30" s="187"/>
      <c r="V30" s="194"/>
      <c r="W30" s="187"/>
      <c r="X30" s="187"/>
      <c r="Y30" s="187"/>
      <c r="Z30" s="187"/>
      <c r="AA30" s="187"/>
      <c r="AB30" s="187"/>
      <c r="AC30" s="187"/>
      <c r="AD30" s="187"/>
      <c r="AE30" s="203"/>
    </row>
    <row r="31" spans="1:31" s="204" customFormat="1" ht="15" x14ac:dyDescent="0.2">
      <c r="A31" s="203"/>
      <c r="B31" s="199" t="s">
        <v>1014</v>
      </c>
      <c r="C31" s="188"/>
      <c r="D31" s="202">
        <f t="shared" ref="D31" si="6">+H31+L31</f>
        <v>95</v>
      </c>
      <c r="E31" s="202">
        <f>ROUND(+I31+M31,0)</f>
        <v>475000</v>
      </c>
      <c r="F31" s="205"/>
      <c r="G31" s="188"/>
      <c r="H31" s="202">
        <f>+'Im Final'!U17</f>
        <v>17</v>
      </c>
      <c r="I31" s="202">
        <f>+'Im Final'!W17/1000</f>
        <v>85000</v>
      </c>
      <c r="J31" s="205"/>
      <c r="K31" s="188"/>
      <c r="L31" s="202">
        <f>'Im Final'!U8</f>
        <v>78</v>
      </c>
      <c r="M31" s="202">
        <f>'Im Final'!W8/1000</f>
        <v>390000</v>
      </c>
      <c r="N31" s="205"/>
      <c r="O31" s="215"/>
      <c r="P31" s="189"/>
      <c r="Q31" s="187"/>
      <c r="R31" s="187"/>
      <c r="S31" s="187"/>
      <c r="T31" s="187"/>
      <c r="U31" s="187"/>
      <c r="V31" s="194"/>
      <c r="W31" s="187"/>
      <c r="X31" s="187"/>
      <c r="Y31" s="187"/>
      <c r="Z31" s="187"/>
      <c r="AA31" s="187"/>
      <c r="AB31" s="187"/>
      <c r="AC31" s="187"/>
      <c r="AD31" s="187"/>
      <c r="AE31" s="203"/>
    </row>
    <row r="32" spans="1:31" s="204" customFormat="1" ht="15" x14ac:dyDescent="0.2">
      <c r="A32" s="203"/>
      <c r="B32" s="263" t="s">
        <v>1015</v>
      </c>
      <c r="C32" s="188"/>
      <c r="D32" s="264">
        <f>+SUM(D30:D31)</f>
        <v>253</v>
      </c>
      <c r="E32" s="265">
        <f>+SUM(E30:E31)</f>
        <v>4303000</v>
      </c>
      <c r="F32" s="205"/>
      <c r="G32" s="188"/>
      <c r="H32" s="264">
        <f>+SUM(H30:H31)</f>
        <v>33</v>
      </c>
      <c r="I32" s="266">
        <f>+SUM(I30:I31)</f>
        <v>427000</v>
      </c>
      <c r="J32" s="267"/>
      <c r="K32" s="188"/>
      <c r="L32" s="264">
        <f>+SUM(L30:L31)</f>
        <v>220</v>
      </c>
      <c r="M32" s="266">
        <f>+SUM(M30:M31)</f>
        <v>3876000</v>
      </c>
      <c r="N32" s="267"/>
      <c r="O32" s="215"/>
      <c r="P32" s="189"/>
      <c r="Q32" s="187"/>
      <c r="R32" s="187"/>
      <c r="S32" s="187"/>
      <c r="T32" s="187"/>
      <c r="U32" s="187"/>
      <c r="V32" s="194"/>
      <c r="W32" s="187"/>
      <c r="X32" s="187"/>
      <c r="Y32" s="187"/>
      <c r="Z32" s="187"/>
      <c r="AA32" s="187"/>
      <c r="AB32" s="187"/>
      <c r="AC32" s="187"/>
      <c r="AD32" s="187"/>
      <c r="AE32" s="203"/>
    </row>
    <row r="33" spans="1:31" s="204" customFormat="1" ht="15" x14ac:dyDescent="0.2">
      <c r="A33" s="203"/>
      <c r="B33" s="187"/>
      <c r="C33" s="187"/>
      <c r="D33" s="187"/>
      <c r="E33" s="187"/>
      <c r="F33" s="187"/>
      <c r="G33" s="187"/>
      <c r="H33" s="187"/>
      <c r="I33" s="187"/>
      <c r="J33" s="187"/>
      <c r="K33" s="187"/>
      <c r="L33" s="187"/>
      <c r="M33" s="187"/>
      <c r="N33" s="187"/>
      <c r="O33" s="215"/>
      <c r="P33" s="189"/>
      <c r="Q33" s="187"/>
      <c r="R33" s="187"/>
      <c r="S33" s="187"/>
      <c r="T33" s="187"/>
      <c r="U33" s="187"/>
      <c r="V33" s="194"/>
      <c r="W33" s="187"/>
      <c r="X33" s="187"/>
      <c r="Y33" s="187"/>
      <c r="Z33" s="187"/>
      <c r="AA33" s="187"/>
      <c r="AB33" s="187"/>
      <c r="AC33" s="187"/>
      <c r="AD33" s="187"/>
      <c r="AE33" s="203"/>
    </row>
    <row r="34" spans="1:31" s="204" customFormat="1" ht="15" x14ac:dyDescent="0.2">
      <c r="A34" s="203"/>
      <c r="B34" s="263" t="s">
        <v>1203</v>
      </c>
      <c r="C34" s="188"/>
      <c r="D34" s="214"/>
      <c r="E34" s="215"/>
      <c r="F34" s="216"/>
      <c r="G34" s="188"/>
      <c r="H34" s="214"/>
      <c r="I34" s="215"/>
      <c r="J34" s="216"/>
      <c r="K34" s="188"/>
      <c r="L34" s="214"/>
      <c r="M34" s="215"/>
      <c r="N34" s="216"/>
      <c r="O34" s="215"/>
      <c r="P34" s="189"/>
      <c r="Q34" s="187"/>
      <c r="R34" s="187"/>
      <c r="S34" s="187"/>
      <c r="T34" s="187"/>
      <c r="U34" s="187"/>
      <c r="V34" s="194"/>
      <c r="W34" s="187"/>
      <c r="X34" s="187"/>
      <c r="Y34" s="187"/>
      <c r="Z34" s="187"/>
      <c r="AA34" s="187"/>
      <c r="AB34" s="187"/>
      <c r="AC34" s="187"/>
      <c r="AD34" s="187"/>
      <c r="AE34" s="203"/>
    </row>
    <row r="35" spans="1:31" s="204" customFormat="1" ht="15" x14ac:dyDescent="0.2">
      <c r="A35" s="203"/>
      <c r="B35" s="199" t="s">
        <v>1288</v>
      </c>
      <c r="C35" s="188"/>
      <c r="D35" s="202">
        <f>+H35+L35</f>
        <v>91</v>
      </c>
      <c r="E35" s="202">
        <f>ROUND(+I35+M35,0)</f>
        <v>2285000</v>
      </c>
      <c r="F35" s="205"/>
      <c r="G35" s="188"/>
      <c r="H35" s="202">
        <f>'Im Final'!AA15+'Im Final'!AA16</f>
        <v>10</v>
      </c>
      <c r="I35" s="202">
        <f>SUM('Im Final'!AC15:AC16)/1000</f>
        <v>250000</v>
      </c>
      <c r="J35" s="205"/>
      <c r="K35" s="188"/>
      <c r="L35" s="202">
        <f>+'Im Final'!AA6+'Im Final'!AA7</f>
        <v>81</v>
      </c>
      <c r="M35" s="202">
        <f>'Im Final'!AC6/1000</f>
        <v>2035000</v>
      </c>
      <c r="N35" s="205"/>
      <c r="O35" s="215"/>
      <c r="P35" s="189"/>
      <c r="Q35" s="187"/>
      <c r="R35" s="187"/>
      <c r="S35" s="187"/>
      <c r="T35" s="187"/>
      <c r="U35" s="187"/>
      <c r="V35" s="194"/>
      <c r="W35" s="187"/>
      <c r="X35" s="187"/>
      <c r="Y35" s="187"/>
      <c r="Z35" s="187"/>
      <c r="AA35" s="187"/>
      <c r="AB35" s="187"/>
      <c r="AC35" s="187"/>
      <c r="AD35" s="187"/>
      <c r="AE35" s="203"/>
    </row>
    <row r="36" spans="1:31" s="204" customFormat="1" ht="15" x14ac:dyDescent="0.2">
      <c r="A36" s="203"/>
      <c r="B36" s="199" t="s">
        <v>1289</v>
      </c>
      <c r="C36" s="188"/>
      <c r="D36" s="202">
        <f>+H36+L36</f>
        <v>92</v>
      </c>
      <c r="E36" s="202">
        <f>ROUND(+I36+M36,0)</f>
        <v>460000</v>
      </c>
      <c r="F36" s="205"/>
      <c r="G36" s="188"/>
      <c r="H36" s="202">
        <f>+'Im Final'!AA17</f>
        <v>11</v>
      </c>
      <c r="I36" s="202">
        <f>++'Im Final'!AC17/1000</f>
        <v>55000</v>
      </c>
      <c r="J36" s="205"/>
      <c r="K36" s="188"/>
      <c r="L36" s="202">
        <f>+'Im Final'!AA8</f>
        <v>81</v>
      </c>
      <c r="M36" s="202">
        <f>'Im Final'!AC8/1000</f>
        <v>405000</v>
      </c>
      <c r="N36" s="205"/>
      <c r="O36" s="215"/>
      <c r="P36" s="189"/>
      <c r="Q36" s="187"/>
      <c r="R36" s="187"/>
      <c r="S36" s="187"/>
      <c r="T36" s="187"/>
      <c r="U36" s="187"/>
      <c r="V36" s="194"/>
      <c r="W36" s="187"/>
      <c r="X36" s="187"/>
      <c r="Y36" s="187"/>
      <c r="Z36" s="187"/>
      <c r="AA36" s="187"/>
      <c r="AB36" s="187"/>
      <c r="AC36" s="187"/>
      <c r="AD36" s="187"/>
      <c r="AE36" s="203"/>
    </row>
    <row r="37" spans="1:31" s="204" customFormat="1" ht="15" x14ac:dyDescent="0.2">
      <c r="A37" s="203"/>
      <c r="B37" s="263" t="s">
        <v>1290</v>
      </c>
      <c r="C37" s="188"/>
      <c r="D37" s="264">
        <f>+SUM(D35:D36)</f>
        <v>183</v>
      </c>
      <c r="E37" s="265">
        <f>+SUM(E35:E36)</f>
        <v>2745000</v>
      </c>
      <c r="F37" s="267"/>
      <c r="G37" s="188"/>
      <c r="H37" s="264">
        <f>+SUM(H35:H36)</f>
        <v>21</v>
      </c>
      <c r="I37" s="266">
        <f>+SUM(I35:I36)</f>
        <v>305000</v>
      </c>
      <c r="J37" s="267"/>
      <c r="K37" s="188"/>
      <c r="L37" s="264">
        <f>+SUM(L35:L36)</f>
        <v>162</v>
      </c>
      <c r="M37" s="266">
        <f>+SUM(M35:M36)</f>
        <v>2440000</v>
      </c>
      <c r="N37" s="267"/>
      <c r="O37" s="218"/>
      <c r="P37" s="189"/>
      <c r="Q37" s="187"/>
      <c r="R37" s="187"/>
      <c r="S37" s="187"/>
      <c r="T37" s="187"/>
      <c r="U37" s="187"/>
      <c r="V37" s="194"/>
      <c r="W37" s="187"/>
      <c r="X37" s="187"/>
      <c r="Y37" s="187"/>
      <c r="Z37" s="187"/>
      <c r="AA37" s="187"/>
      <c r="AB37" s="187"/>
      <c r="AC37" s="187"/>
      <c r="AD37" s="187"/>
      <c r="AE37" s="203"/>
    </row>
    <row r="38" spans="1:31" s="204" customFormat="1" ht="1.5" customHeight="1" x14ac:dyDescent="0.2">
      <c r="A38" s="203"/>
      <c r="B38" s="213"/>
      <c r="C38" s="188"/>
      <c r="D38" s="214"/>
      <c r="E38" s="215"/>
      <c r="F38" s="216"/>
      <c r="G38" s="188"/>
      <c r="H38" s="214"/>
      <c r="I38" s="215"/>
      <c r="J38" s="216"/>
      <c r="K38" s="188"/>
      <c r="L38" s="214"/>
      <c r="M38" s="215"/>
      <c r="N38" s="216"/>
      <c r="O38" s="215"/>
      <c r="P38" s="189"/>
      <c r="Q38" s="187"/>
      <c r="R38" s="187"/>
      <c r="S38" s="187"/>
      <c r="T38" s="187"/>
      <c r="U38" s="187"/>
      <c r="V38" s="194"/>
      <c r="W38" s="187"/>
      <c r="X38" s="187"/>
      <c r="Y38" s="187"/>
      <c r="Z38" s="187"/>
      <c r="AA38" s="187"/>
      <c r="AB38" s="187"/>
      <c r="AC38" s="187"/>
      <c r="AD38" s="187"/>
      <c r="AE38" s="203"/>
    </row>
    <row r="39" spans="1:31" s="204" customFormat="1" ht="15" x14ac:dyDescent="0.2">
      <c r="A39" s="199"/>
      <c r="B39" s="200" t="s">
        <v>972</v>
      </c>
      <c r="C39" s="188"/>
      <c r="D39" s="171">
        <f>+H39+L39</f>
        <v>149</v>
      </c>
      <c r="E39" s="171">
        <f>+I39+M39</f>
        <v>113198619.09299999</v>
      </c>
      <c r="F39" s="172">
        <f>+J39+N39</f>
        <v>10427.739999999998</v>
      </c>
      <c r="G39" s="173"/>
      <c r="H39" s="171">
        <f>+H8</f>
        <v>0</v>
      </c>
      <c r="I39" s="171">
        <f>++I8+I16+I17</f>
        <v>66010000</v>
      </c>
      <c r="J39" s="172">
        <f>+J8</f>
        <v>0</v>
      </c>
      <c r="K39" s="173"/>
      <c r="L39" s="171">
        <f>+L8</f>
        <v>149</v>
      </c>
      <c r="M39" s="171">
        <f>++M8+M16+M17</f>
        <v>47188619.093000002</v>
      </c>
      <c r="N39" s="172">
        <f>+N8</f>
        <v>10427.739999999998</v>
      </c>
      <c r="O39" s="201"/>
      <c r="P39" s="189"/>
      <c r="Q39" s="171">
        <f t="shared" ref="Q39:U43" si="7">++Q8</f>
        <v>26542382.381000001</v>
      </c>
      <c r="R39" s="171">
        <f t="shared" si="7"/>
        <v>19139986.524</v>
      </c>
      <c r="S39" s="171">
        <f t="shared" si="7"/>
        <v>16074.746999999999</v>
      </c>
      <c r="T39" s="171">
        <f t="shared" si="7"/>
        <v>0</v>
      </c>
      <c r="U39" s="171">
        <f t="shared" si="7"/>
        <v>45698444</v>
      </c>
      <c r="V39" s="194"/>
      <c r="W39" s="171">
        <f t="shared" ref="W39:AD42" si="8">++W8</f>
        <v>968656</v>
      </c>
      <c r="X39" s="171">
        <f t="shared" si="8"/>
        <v>917048.73800000001</v>
      </c>
      <c r="Y39" s="171">
        <f t="shared" si="8"/>
        <v>13291.53</v>
      </c>
      <c r="Z39" s="171">
        <f>ROUND(+AA39+AB39+AC39+AD39,0)</f>
        <v>38316</v>
      </c>
      <c r="AA39" s="171">
        <f t="shared" ref="AA39:AD40" si="9">++AA8</f>
        <v>25408.304</v>
      </c>
      <c r="AB39" s="171">
        <f t="shared" si="9"/>
        <v>12000</v>
      </c>
      <c r="AC39" s="171">
        <f t="shared" si="9"/>
        <v>0</v>
      </c>
      <c r="AD39" s="171">
        <f t="shared" si="9"/>
        <v>907.94100000000003</v>
      </c>
      <c r="AE39" s="203"/>
    </row>
    <row r="40" spans="1:31" s="204" customFormat="1" ht="15" x14ac:dyDescent="0.2">
      <c r="A40" s="199"/>
      <c r="B40" s="200" t="s">
        <v>976</v>
      </c>
      <c r="C40" s="188"/>
      <c r="D40" s="171">
        <f t="shared" ref="D40:F43" si="10">+H40+L40</f>
        <v>98</v>
      </c>
      <c r="E40" s="171">
        <f t="shared" si="10"/>
        <v>160190769.56400001</v>
      </c>
      <c r="F40" s="172">
        <f t="shared" si="10"/>
        <v>7127.1899999999978</v>
      </c>
      <c r="G40" s="173"/>
      <c r="H40" s="171">
        <f>+H9</f>
        <v>3</v>
      </c>
      <c r="I40" s="171">
        <f>+I9+I21+I22</f>
        <v>127219485</v>
      </c>
      <c r="J40" s="172">
        <f>+J9</f>
        <v>228.45000000000002</v>
      </c>
      <c r="K40" s="173"/>
      <c r="L40" s="171">
        <f>+L9</f>
        <v>95</v>
      </c>
      <c r="M40" s="171">
        <f>++M9+M21+M22</f>
        <v>32971284.563999999</v>
      </c>
      <c r="N40" s="172">
        <f>+N9</f>
        <v>6898.739999999998</v>
      </c>
      <c r="O40" s="201"/>
      <c r="P40" s="189"/>
      <c r="Q40" s="171">
        <f t="shared" si="7"/>
        <v>18147229.135000002</v>
      </c>
      <c r="R40" s="171">
        <f t="shared" si="7"/>
        <v>11645112.948000001</v>
      </c>
      <c r="S40" s="171">
        <f t="shared" si="7"/>
        <v>69195.523000000001</v>
      </c>
      <c r="T40" s="171">
        <f t="shared" si="7"/>
        <v>0</v>
      </c>
      <c r="U40" s="171">
        <f t="shared" si="7"/>
        <v>29861537</v>
      </c>
      <c r="V40" s="194"/>
      <c r="W40" s="171">
        <f t="shared" si="8"/>
        <v>2076368</v>
      </c>
      <c r="X40" s="171">
        <f t="shared" si="8"/>
        <v>1781806.798</v>
      </c>
      <c r="Y40" s="171">
        <f t="shared" si="8"/>
        <v>94529.581000000006</v>
      </c>
      <c r="Z40" s="171">
        <f>ROUND(+AA40+AB40+AC40+AD40,0)</f>
        <v>200032</v>
      </c>
      <c r="AA40" s="171">
        <f t="shared" si="9"/>
        <v>33745</v>
      </c>
      <c r="AB40" s="171">
        <f t="shared" si="9"/>
        <v>68745</v>
      </c>
      <c r="AC40" s="171">
        <f t="shared" si="9"/>
        <v>57091.53875</v>
      </c>
      <c r="AD40" s="171">
        <f t="shared" si="9"/>
        <v>40450</v>
      </c>
      <c r="AE40" s="203"/>
    </row>
    <row r="41" spans="1:31" s="204" customFormat="1" ht="15" x14ac:dyDescent="0.2">
      <c r="A41" s="199"/>
      <c r="B41" s="200" t="s">
        <v>2652</v>
      </c>
      <c r="C41" s="188"/>
      <c r="D41" s="171">
        <f t="shared" si="10"/>
        <v>125</v>
      </c>
      <c r="E41" s="171">
        <f t="shared" si="10"/>
        <v>62110060.685000002</v>
      </c>
      <c r="F41" s="172">
        <f t="shared" si="10"/>
        <v>9115.0400000000027</v>
      </c>
      <c r="G41" s="173"/>
      <c r="H41" s="171">
        <f>++H10</f>
        <v>8</v>
      </c>
      <c r="I41" s="171">
        <f>++I10+I25+I26</f>
        <v>4626200.0089999996</v>
      </c>
      <c r="J41" s="172">
        <f t="shared" ref="J41" si="11">++J10</f>
        <v>650.25</v>
      </c>
      <c r="K41" s="173"/>
      <c r="L41" s="171">
        <f>++L10</f>
        <v>117</v>
      </c>
      <c r="M41" s="171">
        <f>++M10+M25+M26</f>
        <v>57483860.675999999</v>
      </c>
      <c r="N41" s="172">
        <f t="shared" ref="N41" si="12">++N10</f>
        <v>8464.7900000000027</v>
      </c>
      <c r="O41" s="201"/>
      <c r="P41" s="189"/>
      <c r="Q41" s="171">
        <f t="shared" si="7"/>
        <v>4351900.801</v>
      </c>
      <c r="R41" s="171">
        <f t="shared" si="7"/>
        <v>0</v>
      </c>
      <c r="S41" s="171">
        <f t="shared" si="7"/>
        <v>0</v>
      </c>
      <c r="T41" s="171">
        <f t="shared" si="7"/>
        <v>0</v>
      </c>
      <c r="U41" s="171">
        <f t="shared" si="7"/>
        <v>4351901</v>
      </c>
      <c r="V41" s="194"/>
      <c r="W41" s="171">
        <f t="shared" si="8"/>
        <v>50956689</v>
      </c>
      <c r="X41" s="171">
        <f t="shared" si="8"/>
        <v>38166228.328000002</v>
      </c>
      <c r="Y41" s="171">
        <f t="shared" si="8"/>
        <v>11763085.323999999</v>
      </c>
      <c r="Z41" s="171">
        <f>ROUND(+AA41+AB41+AC41+AD41,0)</f>
        <v>1027376</v>
      </c>
      <c r="AA41" s="171">
        <f t="shared" si="8"/>
        <v>516390.36099999998</v>
      </c>
      <c r="AB41" s="171">
        <f t="shared" si="8"/>
        <v>302766.23</v>
      </c>
      <c r="AC41" s="171">
        <f t="shared" si="8"/>
        <v>163727.22125</v>
      </c>
      <c r="AD41" s="171">
        <f t="shared" si="8"/>
        <v>44492.042000000001</v>
      </c>
      <c r="AE41" s="203"/>
    </row>
    <row r="42" spans="1:31" s="204" customFormat="1" ht="15" x14ac:dyDescent="0.2">
      <c r="A42" s="199"/>
      <c r="B42" s="200" t="s">
        <v>1016</v>
      </c>
      <c r="C42" s="188"/>
      <c r="D42" s="171">
        <f t="shared" si="10"/>
        <v>150</v>
      </c>
      <c r="E42" s="171">
        <f t="shared" si="10"/>
        <v>61408880.880999997</v>
      </c>
      <c r="F42" s="172">
        <f t="shared" si="10"/>
        <v>10575.369999999994</v>
      </c>
      <c r="G42" s="173"/>
      <c r="H42" s="171">
        <f>+H11</f>
        <v>17</v>
      </c>
      <c r="I42" s="171">
        <f>++I11+I30+I31</f>
        <v>8444995</v>
      </c>
      <c r="J42" s="172">
        <f>+J11</f>
        <v>1222.4500000000003</v>
      </c>
      <c r="K42" s="173"/>
      <c r="L42" s="171">
        <f>+L11</f>
        <v>133</v>
      </c>
      <c r="M42" s="171">
        <f>+M11+M30+M31</f>
        <v>52963885.880999997</v>
      </c>
      <c r="N42" s="172">
        <f>+N11</f>
        <v>9352.9199999999928</v>
      </c>
      <c r="O42" s="201"/>
      <c r="P42" s="189"/>
      <c r="Q42" s="171">
        <f t="shared" si="7"/>
        <v>23679154.726</v>
      </c>
      <c r="R42" s="171">
        <f t="shared" si="7"/>
        <v>0</v>
      </c>
      <c r="S42" s="171">
        <f t="shared" si="7"/>
        <v>157216.29199999999</v>
      </c>
      <c r="T42" s="171">
        <f t="shared" si="7"/>
        <v>0</v>
      </c>
      <c r="U42" s="171">
        <f t="shared" si="7"/>
        <v>23836371</v>
      </c>
      <c r="V42" s="194"/>
      <c r="W42" s="171">
        <f t="shared" si="8"/>
        <v>28412215</v>
      </c>
      <c r="X42" s="171">
        <f t="shared" si="8"/>
        <v>26335126.147999998</v>
      </c>
      <c r="Y42" s="171">
        <f t="shared" si="8"/>
        <v>1142640.2930000001</v>
      </c>
      <c r="Z42" s="171">
        <f>ROUND(+AA42+AB42+AC42+AD42,0)</f>
        <v>934449</v>
      </c>
      <c r="AA42" s="171">
        <f t="shared" si="8"/>
        <v>154692.527</v>
      </c>
      <c r="AB42" s="171">
        <f t="shared" si="8"/>
        <v>363381.04800000001</v>
      </c>
      <c r="AC42" s="171">
        <f t="shared" si="8"/>
        <v>311260.84749999997</v>
      </c>
      <c r="AD42" s="171">
        <f t="shared" si="8"/>
        <v>105114.17200000001</v>
      </c>
      <c r="AE42" s="203"/>
    </row>
    <row r="43" spans="1:31" s="204" customFormat="1" ht="15" x14ac:dyDescent="0.2">
      <c r="A43" s="199"/>
      <c r="B43" s="200" t="s">
        <v>1202</v>
      </c>
      <c r="C43" s="188"/>
      <c r="D43" s="171">
        <f t="shared" si="10"/>
        <v>99</v>
      </c>
      <c r="E43" s="171">
        <f t="shared" si="10"/>
        <v>46322237.774999999</v>
      </c>
      <c r="F43" s="172">
        <f t="shared" ca="1" si="10"/>
        <v>7223.32</v>
      </c>
      <c r="G43" s="173"/>
      <c r="H43" s="171">
        <f>+H12</f>
        <v>18</v>
      </c>
      <c r="I43" s="171">
        <f>+I12+I35+I36</f>
        <v>9249955</v>
      </c>
      <c r="J43" s="172">
        <f>+J12</f>
        <v>1355.0699999999997</v>
      </c>
      <c r="K43" s="173"/>
      <c r="L43" s="171">
        <f>+L12</f>
        <v>81</v>
      </c>
      <c r="M43" s="171">
        <f>M12+M35+M36</f>
        <v>37072282.774999999</v>
      </c>
      <c r="N43" s="172">
        <f ca="1">+N12</f>
        <v>5868.25</v>
      </c>
      <c r="O43" s="201"/>
      <c r="P43" s="189"/>
      <c r="Q43" s="171">
        <f t="shared" si="7"/>
        <v>8817637.6630000006</v>
      </c>
      <c r="R43" s="171">
        <f t="shared" si="7"/>
        <v>0</v>
      </c>
      <c r="S43" s="171">
        <f t="shared" si="7"/>
        <v>61237.889000000003</v>
      </c>
      <c r="T43" s="171">
        <f t="shared" si="7"/>
        <v>0</v>
      </c>
      <c r="U43" s="171">
        <f t="shared" si="7"/>
        <v>8878876</v>
      </c>
      <c r="V43" s="194"/>
      <c r="W43" s="171">
        <f>++W12</f>
        <v>27833050</v>
      </c>
      <c r="X43" s="171">
        <f>++X12</f>
        <v>25927105.704999998</v>
      </c>
      <c r="Y43" s="171">
        <f>++Y12</f>
        <v>1019684.825</v>
      </c>
      <c r="Z43" s="171">
        <f>ROUND(+AA43+AB43+AC43+AD43,0)</f>
        <v>886259</v>
      </c>
      <c r="AA43" s="171">
        <f>++AA12</f>
        <v>302259.304</v>
      </c>
      <c r="AB43" s="171">
        <f>++AB12</f>
        <v>274968.39299999998</v>
      </c>
      <c r="AC43" s="171">
        <f>++AC12</f>
        <v>158722.16625000001</v>
      </c>
      <c r="AD43" s="171">
        <f>++AD12</f>
        <v>150309.527</v>
      </c>
      <c r="AE43" s="203"/>
    </row>
    <row r="44" spans="1:31" s="254" customFormat="1" ht="18.75" x14ac:dyDescent="0.2">
      <c r="A44" s="251"/>
      <c r="B44" s="258" t="s">
        <v>827</v>
      </c>
      <c r="C44" s="252"/>
      <c r="D44" s="256">
        <f>+D13</f>
        <v>621</v>
      </c>
      <c r="E44" s="255">
        <f>SUM(E39:E43)</f>
        <v>443230567.99799997</v>
      </c>
      <c r="F44" s="257">
        <f ca="1">+F13</f>
        <v>44468</v>
      </c>
      <c r="G44" s="173"/>
      <c r="H44" s="256">
        <f>+H13</f>
        <v>46</v>
      </c>
      <c r="I44" s="255">
        <f>SUM(I39:I43)</f>
        <v>215550635.009</v>
      </c>
      <c r="J44" s="257">
        <f>+J13</f>
        <v>3456.2200000000003</v>
      </c>
      <c r="K44" s="173"/>
      <c r="L44" s="256">
        <f>+L13</f>
        <v>575</v>
      </c>
      <c r="M44" s="255">
        <f>SUM(M39:M43)</f>
        <v>227679932.98899999</v>
      </c>
      <c r="N44" s="257">
        <f ca="1">+N13</f>
        <v>41012.439999999988</v>
      </c>
      <c r="O44" s="253"/>
      <c r="P44" s="189"/>
      <c r="Q44" s="255">
        <f t="shared" ref="Q44:T44" si="13">SUM(Q39:Q43)</f>
        <v>81538304.706</v>
      </c>
      <c r="R44" s="255">
        <f t="shared" si="13"/>
        <v>30785099.472000003</v>
      </c>
      <c r="S44" s="255">
        <f t="shared" si="13"/>
        <v>303724.451</v>
      </c>
      <c r="T44" s="255">
        <f t="shared" si="13"/>
        <v>0</v>
      </c>
      <c r="U44" s="255">
        <f>SUM(U39:U43)</f>
        <v>112627129</v>
      </c>
      <c r="V44" s="194"/>
      <c r="W44" s="255">
        <f>SUM(W39:W43)-1</f>
        <v>110246977</v>
      </c>
      <c r="X44" s="255">
        <f t="shared" ref="X44:AD44" si="14">SUM(X39:X43)</f>
        <v>93127315.716999993</v>
      </c>
      <c r="Y44" s="255">
        <f t="shared" si="14"/>
        <v>14033231.552999998</v>
      </c>
      <c r="Z44" s="255">
        <f t="shared" si="14"/>
        <v>3086432</v>
      </c>
      <c r="AA44" s="255">
        <f t="shared" si="14"/>
        <v>1032495.496</v>
      </c>
      <c r="AB44" s="255">
        <f>SUM(AB39:AB43)</f>
        <v>1021860.6709999999</v>
      </c>
      <c r="AC44" s="255">
        <f t="shared" si="14"/>
        <v>690801.77374999993</v>
      </c>
      <c r="AD44" s="255">
        <f t="shared" si="14"/>
        <v>341273.68200000003</v>
      </c>
    </row>
    <row r="45" spans="1:31" s="254" customFormat="1" ht="5.25" customHeight="1" x14ac:dyDescent="0.2">
      <c r="A45" s="251"/>
      <c r="B45" s="501"/>
      <c r="C45" s="252"/>
      <c r="D45" s="502"/>
      <c r="E45" s="503"/>
      <c r="F45" s="504"/>
      <c r="G45" s="173"/>
      <c r="H45" s="502"/>
      <c r="I45" s="503"/>
      <c r="J45" s="504"/>
      <c r="K45" s="173"/>
      <c r="L45" s="502"/>
      <c r="M45" s="503"/>
      <c r="N45" s="504"/>
      <c r="O45" s="173"/>
      <c r="P45" s="210"/>
      <c r="Q45" s="503"/>
      <c r="R45" s="503"/>
      <c r="S45" s="503"/>
      <c r="T45" s="503"/>
      <c r="U45" s="503"/>
      <c r="V45" s="194"/>
      <c r="W45" s="503"/>
      <c r="X45" s="503"/>
      <c r="Y45" s="503"/>
      <c r="Z45" s="503"/>
      <c r="AA45" s="503"/>
      <c r="AB45" s="503"/>
      <c r="AC45" s="503"/>
      <c r="AD45" s="503"/>
    </row>
    <row r="46" spans="1:31" s="204" customFormat="1" ht="15" x14ac:dyDescent="0.2">
      <c r="A46" s="199"/>
      <c r="B46" s="220" t="s">
        <v>1291</v>
      </c>
      <c r="C46" s="188"/>
      <c r="D46" s="171"/>
      <c r="E46" s="171">
        <f>ROUND(+I46+M46,0)</f>
        <v>65087</v>
      </c>
      <c r="F46" s="172"/>
      <c r="G46" s="173"/>
      <c r="H46" s="171"/>
      <c r="I46" s="171"/>
      <c r="J46" s="172"/>
      <c r="K46" s="173"/>
      <c r="L46" s="171"/>
      <c r="M46" s="171">
        <f>++(GETPIVOTDATA(" Acabados",'Proyeccion Recaudos (2)'!$A$6,"Torre","T1A")+Recaud!B9)/1000+S46</f>
        <v>65086.589</v>
      </c>
      <c r="N46" s="172"/>
      <c r="O46" s="201"/>
      <c r="P46" s="189"/>
      <c r="Q46" s="171">
        <f>+Recaud!B9/1000</f>
        <v>65086.589</v>
      </c>
      <c r="R46" s="171">
        <v>0</v>
      </c>
      <c r="S46" s="171">
        <v>0</v>
      </c>
      <c r="T46" s="171"/>
      <c r="U46" s="171">
        <f>SUM(Q46:T46)</f>
        <v>65086.589</v>
      </c>
      <c r="V46" s="194"/>
      <c r="W46" s="171">
        <f>ROUND(+Y46+Z46,0)</f>
        <v>0</v>
      </c>
      <c r="X46" s="171"/>
      <c r="Y46" s="171">
        <f>SUM('Proyeccion Recaudos (2)'!E26:E50)/1000</f>
        <v>0</v>
      </c>
      <c r="Z46" s="171">
        <f t="shared" ref="Z46:Z55" si="15">ROUND(+AA46+AB46+AC46+AD46,0)</f>
        <v>0</v>
      </c>
      <c r="AA46" s="171">
        <f>+GETPIVOTDATA("Acabados",'Proyeccion Recaudos (2)'!$A$6,"Torre","T1A","Fecha",DATE(2025,10,1))/1000</f>
        <v>0</v>
      </c>
      <c r="AB46" s="171">
        <f>GETPIVOTDATA("Acabados",'Proyeccion Recaudos (2)'!$A$6,"Torre","T1A","Fecha",DATE(2025,9,1))/1000</f>
        <v>0</v>
      </c>
      <c r="AC46" s="171">
        <f>GETPIVOTDATA("Acabados",'Proyeccion Recaudos (2)'!$A$6,"Torre","T1A","Fecha",DATE(2025,8,1))/1000</f>
        <v>0</v>
      </c>
      <c r="AD46" s="171">
        <f>SUM('Proyeccion Recaudos (2)'!E9:E22)/1000</f>
        <v>0</v>
      </c>
      <c r="AE46" s="203"/>
    </row>
    <row r="47" spans="1:31" s="204" customFormat="1" ht="15" x14ac:dyDescent="0.2">
      <c r="A47" s="199"/>
      <c r="B47" s="220" t="s">
        <v>1292</v>
      </c>
      <c r="C47" s="188"/>
      <c r="D47" s="171"/>
      <c r="E47" s="171">
        <f t="shared" ref="E47:E53" si="16">ROUND(+I47+M47,0)</f>
        <v>340681</v>
      </c>
      <c r="F47" s="172"/>
      <c r="G47" s="173"/>
      <c r="H47" s="171"/>
      <c r="I47" s="171"/>
      <c r="J47" s="172"/>
      <c r="K47" s="173"/>
      <c r="L47" s="171"/>
      <c r="M47" s="171">
        <f>++(Recaud!B10+GETPIVOTDATA(" Reformas_t",'Proyeccion Recaudos (2)'!$A$6,"Torre","T1A"))/1000+R47</f>
        <v>340680.78700000001</v>
      </c>
      <c r="N47" s="172"/>
      <c r="O47" s="201"/>
      <c r="P47" s="189"/>
      <c r="Q47" s="171">
        <f>+Recaud!B10/1000</f>
        <v>121933.48699999999</v>
      </c>
      <c r="R47" s="171">
        <f>+Recaud!B11/1000</f>
        <v>207590.908</v>
      </c>
      <c r="S47" s="171">
        <v>0</v>
      </c>
      <c r="T47" s="171"/>
      <c r="U47" s="171">
        <f>SUM(Q47:T47)</f>
        <v>329524.39500000002</v>
      </c>
      <c r="V47" s="194"/>
      <c r="W47" s="171">
        <f>ROUND(+Y47+Z47,0)</f>
        <v>11156</v>
      </c>
      <c r="X47" s="171"/>
      <c r="Y47" s="171">
        <f>SUM('Proyeccion Recaudos (2)'!D26:D50)/1000</f>
        <v>9906.3919999999998</v>
      </c>
      <c r="Z47" s="171">
        <f t="shared" si="15"/>
        <v>1250</v>
      </c>
      <c r="AA47" s="171">
        <f>+GETPIVOTDATA(" Reformas_t",'Proyeccion Recaudos (2)'!$A$6,"Torre","T1A","Fecha",DATE(2025,10,1))/1000</f>
        <v>1250</v>
      </c>
      <c r="AB47" s="171">
        <f>GETPIVOTDATA(" Reformas_t",'Proyeccion Recaudos (2)'!$A$6,"Torre","T1A","Fecha",DATE(2025,9,1))/1000</f>
        <v>0</v>
      </c>
      <c r="AC47" s="171">
        <f>GETPIVOTDATA(" Reformas_t",'Proyeccion Recaudos (2)'!$A$6,"Torre","T1A","Fecha",DATE(2025,8,1))/1000</f>
        <v>0</v>
      </c>
      <c r="AD47" s="171">
        <f>SUM('Proyeccion Recaudos (2)'!D9:D22)/1000</f>
        <v>0</v>
      </c>
      <c r="AE47" s="203"/>
    </row>
    <row r="48" spans="1:31" s="204" customFormat="1" ht="15" x14ac:dyDescent="0.2">
      <c r="A48" s="199"/>
      <c r="B48" s="220" t="s">
        <v>1297</v>
      </c>
      <c r="C48" s="188"/>
      <c r="D48" s="171"/>
      <c r="E48" s="171">
        <f t="shared" si="16"/>
        <v>275090</v>
      </c>
      <c r="F48" s="172"/>
      <c r="G48" s="173"/>
      <c r="H48" s="171"/>
      <c r="I48" s="171"/>
      <c r="J48" s="172"/>
      <c r="K48" s="173"/>
      <c r="L48" s="171"/>
      <c r="M48" s="171">
        <f>++(GETPIVOTDATA(" Acabados",'Proyeccion Recaudos (2)'!$A$6,"Torre","T1B")+Recaud!B11)/1000+S48</f>
        <v>275090.179</v>
      </c>
      <c r="N48" s="172"/>
      <c r="O48" s="201"/>
      <c r="P48" s="189"/>
      <c r="Q48" s="171">
        <f>++Recaud!C9/1000</f>
        <v>362087.29599999997</v>
      </c>
      <c r="R48" s="171">
        <v>0</v>
      </c>
      <c r="S48" s="171">
        <v>0</v>
      </c>
      <c r="T48" s="171"/>
      <c r="U48" s="171">
        <f>SUM(Q48:T48)</f>
        <v>362087.29599999997</v>
      </c>
      <c r="V48" s="194"/>
      <c r="W48" s="171">
        <f>ROUND(+Y48+Z48,0)</f>
        <v>67499</v>
      </c>
      <c r="X48" s="171"/>
      <c r="Y48" s="171">
        <f>SUM('Proyeccion Recaudos (2)'!M26:M50)/1000</f>
        <v>0</v>
      </c>
      <c r="Z48" s="171">
        <f t="shared" si="15"/>
        <v>67499</v>
      </c>
      <c r="AA48" s="171">
        <f>+GETPIVOTDATA("Acabados",'Proyeccion Recaudos (2)'!$A$6,"Torre","T1B","Fecha",DATE(2025,10,1))/1000</f>
        <v>3918.5859999999998</v>
      </c>
      <c r="AB48" s="171">
        <f>GETPIVOTDATA("Acabados",'Proyeccion Recaudos (2)'!$A$6,"Torre","T1B","Fecha",DATE(2025,9,1))/1000</f>
        <v>3918.587</v>
      </c>
      <c r="AC48" s="171">
        <f>GETPIVOTDATA("Acabados",'Proyeccion Recaudos (2)'!$A$6,"Torre","T1B","Fecha",DATE(2025,8,1))/1000</f>
        <v>3918.587</v>
      </c>
      <c r="AD48" s="171">
        <f>SUM('Proyeccion Recaudos (2)'!M9:M22)/1000</f>
        <v>55743.510999999999</v>
      </c>
      <c r="AE48" s="203"/>
    </row>
    <row r="49" spans="1:31" s="204" customFormat="1" ht="15" x14ac:dyDescent="0.2">
      <c r="A49" s="199"/>
      <c r="B49" s="220" t="s">
        <v>1298</v>
      </c>
      <c r="C49" s="188"/>
      <c r="D49" s="171"/>
      <c r="E49" s="171">
        <f>ROUND(+I49+M49,0)</f>
        <v>296027</v>
      </c>
      <c r="F49" s="172"/>
      <c r="G49" s="173"/>
      <c r="H49" s="171"/>
      <c r="I49" s="171"/>
      <c r="J49" s="172"/>
      <c r="K49" s="173"/>
      <c r="L49" s="171"/>
      <c r="M49" s="171">
        <f>++(Recaud!B12+GETPIVOTDATA(" Reformas_t",'Proyeccion Recaudos (2)'!$A$6,"Torre","T1B"))/1000+R49</f>
        <v>296027.20200000005</v>
      </c>
      <c r="N49" s="172"/>
      <c r="O49" s="201"/>
      <c r="P49" s="189"/>
      <c r="Q49" s="171">
        <f>++Recaud!C10/1000</f>
        <v>197504.68599999999</v>
      </c>
      <c r="R49" s="171">
        <f>++Recaud!C11/1000</f>
        <v>150161.39600000001</v>
      </c>
      <c r="S49" s="171">
        <v>0</v>
      </c>
      <c r="T49" s="171"/>
      <c r="U49" s="171">
        <f>SUM(Q49:T49)</f>
        <v>347666.08199999999</v>
      </c>
      <c r="V49" s="194"/>
      <c r="W49" s="171">
        <f>ROUND(+Y49+Z49,0)</f>
        <v>0</v>
      </c>
      <c r="X49" s="171"/>
      <c r="Y49" s="171">
        <f>SUM('Proyeccion Recaudos (2)'!L26:L50)/1000</f>
        <v>0</v>
      </c>
      <c r="Z49" s="171">
        <f t="shared" si="15"/>
        <v>0</v>
      </c>
      <c r="AA49" s="171">
        <f>+GETPIVOTDATA(" Reformas_t",'Proyeccion Recaudos (2)'!$A$6,"Torre","T1B","Fecha",DATE(2025,10,1))/1000</f>
        <v>0</v>
      </c>
      <c r="AB49" s="171">
        <f>GETPIVOTDATA(" Reformas_t",'Proyeccion Recaudos (2)'!$A$6,"Torre","T1B","Fecha",DATE(2025,9,1))/1000</f>
        <v>0</v>
      </c>
      <c r="AC49" s="171">
        <f>GETPIVOTDATA(" Reformas_t",'Proyeccion Recaudos (2)'!$A$6,"Torre","T1B","Fecha",DATE(2025,8,1))/1000</f>
        <v>0</v>
      </c>
      <c r="AD49" s="171">
        <f>SUM('Proyeccion Recaudos (2)'!L9:L22)/1000</f>
        <v>0</v>
      </c>
      <c r="AE49" s="203"/>
    </row>
    <row r="50" spans="1:31" s="204" customFormat="1" ht="15" x14ac:dyDescent="0.2">
      <c r="A50" s="199"/>
      <c r="B50" s="220" t="s">
        <v>2653</v>
      </c>
      <c r="C50" s="188"/>
      <c r="D50" s="171"/>
      <c r="E50" s="171">
        <f t="shared" ref="E50:E51" si="17">ROUND(+I50+M50,0)</f>
        <v>7046</v>
      </c>
      <c r="F50" s="172"/>
      <c r="G50" s="173"/>
      <c r="H50" s="171"/>
      <c r="I50" s="171"/>
      <c r="J50" s="172"/>
      <c r="K50" s="173"/>
      <c r="L50" s="171"/>
      <c r="M50" s="171">
        <f>++(GETPIVOTDATA(" Acabados",'Proyeccion Recaudos (2)'!$A$6,"Torre","T2")+Recaud!B13)/1000+S50</f>
        <v>7045.7250000000004</v>
      </c>
      <c r="N50" s="172"/>
      <c r="O50" s="201"/>
      <c r="P50" s="189"/>
      <c r="Q50" s="171">
        <f>+Recaud!D9/1000</f>
        <v>0</v>
      </c>
      <c r="R50" s="171"/>
      <c r="S50" s="171"/>
      <c r="T50" s="171"/>
      <c r="U50" s="171">
        <f t="shared" ref="U50:U51" si="18">SUM(Q50:T50)</f>
        <v>0</v>
      </c>
      <c r="V50" s="194"/>
      <c r="W50" s="171">
        <f t="shared" ref="W50:W53" si="19">ROUND(+Y50+Z50,0)</f>
        <v>0</v>
      </c>
      <c r="X50" s="171"/>
      <c r="Y50" s="171">
        <f>SUM('Proyeccion Recaudos (2)'!U26:U50)/1000</f>
        <v>0</v>
      </c>
      <c r="Z50" s="171">
        <f t="shared" si="15"/>
        <v>0</v>
      </c>
      <c r="AA50" s="171">
        <f>+GETPIVOTDATA("Acabados",'Proyeccion Recaudos (2)'!$A$6,"Torre","T2","Fecha",DATE(2025,10,1))/1000</f>
        <v>0</v>
      </c>
      <c r="AB50" s="171">
        <f>GETPIVOTDATA("Acabados",'Proyeccion Recaudos (2)'!$A$6,"Torre","T2","Fecha",DATE(2025,9,1))/1000</f>
        <v>0</v>
      </c>
      <c r="AC50" s="171">
        <f>GETPIVOTDATA("Acabados",'Proyeccion Recaudos (2)'!$A$6,"Torre","T2","Fecha",DATE(2025,8,1))/1000</f>
        <v>0</v>
      </c>
      <c r="AD50" s="171">
        <f>SUM('Proyeccion Recaudos (2)'!U9:U22)/1000</f>
        <v>0</v>
      </c>
      <c r="AE50" s="203"/>
    </row>
    <row r="51" spans="1:31" s="204" customFormat="1" ht="15" x14ac:dyDescent="0.2">
      <c r="A51" s="199"/>
      <c r="B51" s="220" t="s">
        <v>2654</v>
      </c>
      <c r="C51" s="188"/>
      <c r="D51" s="171"/>
      <c r="E51" s="171">
        <f t="shared" si="17"/>
        <v>20032</v>
      </c>
      <c r="F51" s="172"/>
      <c r="G51" s="173"/>
      <c r="H51" s="171"/>
      <c r="I51" s="171"/>
      <c r="J51" s="172"/>
      <c r="K51" s="173"/>
      <c r="L51" s="171"/>
      <c r="M51" s="171">
        <f>++(Recaud!B14+GETPIVOTDATA(" Reformas_t",'Proyeccion Recaudos (2)'!$A$6,"Torre","T2"))/1000+R51</f>
        <v>20031.558000000001</v>
      </c>
      <c r="N51" s="172"/>
      <c r="O51" s="201"/>
      <c r="P51" s="189"/>
      <c r="Q51" s="171">
        <f>++Recaud!D10/1000</f>
        <v>0</v>
      </c>
      <c r="R51" s="171">
        <f>++Recaud!D11/1000</f>
        <v>0</v>
      </c>
      <c r="S51" s="171"/>
      <c r="T51" s="171"/>
      <c r="U51" s="171">
        <f t="shared" si="18"/>
        <v>0</v>
      </c>
      <c r="V51" s="194"/>
      <c r="W51" s="171">
        <f t="shared" si="19"/>
        <v>0</v>
      </c>
      <c r="X51" s="171"/>
      <c r="Y51" s="171">
        <f>SUM('Proyeccion Recaudos (2)'!T26:T50)/1000</f>
        <v>0</v>
      </c>
      <c r="Z51" s="171">
        <f t="shared" si="15"/>
        <v>0</v>
      </c>
      <c r="AA51" s="171">
        <f>+GETPIVOTDATA(" Reformas_t",'Proyeccion Recaudos (2)'!$A$6,"Torre","T2","Fecha",DATE(2025,10,1))/1000</f>
        <v>0</v>
      </c>
      <c r="AB51" s="171">
        <f>GETPIVOTDATA(" Reformas_t",'Proyeccion Recaudos (2)'!$A$6,"Torre","T2","Fecha",DATE(2025,9,1))/1000</f>
        <v>0</v>
      </c>
      <c r="AC51" s="171">
        <f>GETPIVOTDATA(" Reformas_t",'Proyeccion Recaudos (2)'!$A$6,"Torre","T2","Fecha",DATE(2025,8,1))/1000</f>
        <v>0</v>
      </c>
      <c r="AD51" s="171">
        <f>SUM('Proyeccion Recaudos (2)'!T9:T22)/1000</f>
        <v>0</v>
      </c>
      <c r="AE51" s="203"/>
    </row>
    <row r="52" spans="1:31" s="204" customFormat="1" ht="15" x14ac:dyDescent="0.2">
      <c r="A52" s="199"/>
      <c r="B52" s="220" t="s">
        <v>1299</v>
      </c>
      <c r="C52" s="188"/>
      <c r="D52" s="171"/>
      <c r="E52" s="171">
        <f t="shared" si="16"/>
        <v>805598</v>
      </c>
      <c r="F52" s="172"/>
      <c r="G52" s="173"/>
      <c r="H52" s="171"/>
      <c r="I52" s="171"/>
      <c r="J52" s="172"/>
      <c r="K52" s="173"/>
      <c r="L52" s="171"/>
      <c r="M52" s="171">
        <f>++(GETPIVOTDATA(" Acabados",'Proyeccion Recaudos (2)'!$A$6,"Torre","T3A")+Recaud!B15)/1000+S52</f>
        <v>805597.91599999997</v>
      </c>
      <c r="N52" s="172"/>
      <c r="O52" s="201"/>
      <c r="P52" s="189"/>
      <c r="Q52" s="171">
        <f>+Recaud!E9/1000</f>
        <v>338207.18300000002</v>
      </c>
      <c r="R52" s="171">
        <v>0</v>
      </c>
      <c r="S52" s="171">
        <v>0</v>
      </c>
      <c r="T52" s="171"/>
      <c r="U52" s="171">
        <f>SUM(Q52:T52)</f>
        <v>338207.18300000002</v>
      </c>
      <c r="V52" s="194"/>
      <c r="W52" s="171">
        <f t="shared" si="19"/>
        <v>759927</v>
      </c>
      <c r="X52" s="171"/>
      <c r="Y52" s="171">
        <f>SUM('Proyeccion Recaudos (2)'!AC26:AC50)/1000</f>
        <v>219973.85399999999</v>
      </c>
      <c r="Z52" s="171">
        <f t="shared" si="15"/>
        <v>539953</v>
      </c>
      <c r="AA52" s="171">
        <f>+GETPIVOTDATA("Acabados",'Proyeccion Recaudos (2)'!$A$6,"Torre","T3A","Fecha",DATE(2025,10,1))/1000</f>
        <v>72930.5</v>
      </c>
      <c r="AB52" s="171">
        <f>GETPIVOTDATA("Acabados",'Proyeccion Recaudos (2)'!$A$6,"Torre","T3A","Fecha",DATE(2025,9,1))/1000</f>
        <v>59434.156999999999</v>
      </c>
      <c r="AC52" s="171">
        <f>GETPIVOTDATA("Acabados",'Proyeccion Recaudos (2)'!$A$6,"Torre","T3A","Fecha",DATE(2025,8,1))/1000</f>
        <v>64728.618000000002</v>
      </c>
      <c r="AD52" s="171">
        <f>SUM('Proyeccion Recaudos (2)'!AC9:AC22)/1000</f>
        <v>342859.63500000001</v>
      </c>
      <c r="AE52" s="203"/>
    </row>
    <row r="53" spans="1:31" s="204" customFormat="1" ht="15" x14ac:dyDescent="0.2">
      <c r="A53" s="199"/>
      <c r="B53" s="220" t="s">
        <v>1301</v>
      </c>
      <c r="C53" s="188"/>
      <c r="D53" s="171"/>
      <c r="E53" s="171">
        <f t="shared" si="16"/>
        <v>30780</v>
      </c>
      <c r="F53" s="172"/>
      <c r="G53" s="173"/>
      <c r="H53" s="171"/>
      <c r="I53" s="171"/>
      <c r="J53" s="172"/>
      <c r="K53" s="173"/>
      <c r="L53" s="171"/>
      <c r="M53" s="171">
        <f>++(Recaud!B16+GETPIVOTDATA(" Reformas_t",'Proyeccion Recaudos (2)'!$A$6,"Torre","T3A"))/1000+R53</f>
        <v>30779.681</v>
      </c>
      <c r="N53" s="172"/>
      <c r="O53" s="201"/>
      <c r="P53" s="189"/>
      <c r="Q53" s="171">
        <f>+Recaud!E10/1000</f>
        <v>59618.498</v>
      </c>
      <c r="R53" s="171">
        <f>+Recaud!E11/1000</f>
        <v>0</v>
      </c>
      <c r="S53" s="171">
        <v>0</v>
      </c>
      <c r="T53" s="171"/>
      <c r="U53" s="171">
        <f t="shared" ref="U53" si="20">SUM(Q53:T53)</f>
        <v>59618.498</v>
      </c>
      <c r="V53" s="194"/>
      <c r="W53" s="171">
        <f t="shared" si="19"/>
        <v>30780</v>
      </c>
      <c r="X53" s="171"/>
      <c r="Y53" s="171">
        <f>SUM('Proyeccion Recaudos (2)'!AB26:AB50)/1000</f>
        <v>28847.829000000002</v>
      </c>
      <c r="Z53" s="171">
        <f t="shared" si="15"/>
        <v>1932</v>
      </c>
      <c r="AA53" s="171">
        <f>+GETPIVOTDATA(" Reformas_t",'Proyeccion Recaudos (2)'!$A$6,"Torre","T3A","Fecha",DATE(2025,10,1))/1000</f>
        <v>1931.8520000000001</v>
      </c>
      <c r="AB53" s="171">
        <f>GETPIVOTDATA(" Reformas_t",'Proyeccion Recaudos (2)'!$A$6,"Torre","T3A","Fecha",DATE(2025,9,1))/1000</f>
        <v>0</v>
      </c>
      <c r="AC53" s="171">
        <f>GETPIVOTDATA(" Reformas_t",'Proyeccion Recaudos (2)'!$A$6,"Torre","T3A","Fecha",DATE(2025,8,1))/1000</f>
        <v>0</v>
      </c>
      <c r="AD53" s="171">
        <f>SUM('Proyeccion Recaudos (2)'!AB9:AB22)/1000</f>
        <v>0</v>
      </c>
      <c r="AE53" s="203"/>
    </row>
    <row r="54" spans="1:31" s="204" customFormat="1" ht="15" x14ac:dyDescent="0.2">
      <c r="A54" s="199"/>
      <c r="B54" s="220" t="s">
        <v>1302</v>
      </c>
      <c r="C54" s="188"/>
      <c r="D54" s="171"/>
      <c r="E54" s="171">
        <f>ROUND(+I54+M54,0)</f>
        <v>632046</v>
      </c>
      <c r="F54" s="172"/>
      <c r="G54" s="173"/>
      <c r="H54" s="171"/>
      <c r="I54" s="171"/>
      <c r="J54" s="172"/>
      <c r="K54" s="173"/>
      <c r="L54" s="171"/>
      <c r="M54" s="171">
        <f>++(GETPIVOTDATA(" Acabados",'Proyeccion Recaudos (2)'!$A$6,"Torre","T3b")+Recaud!B17)/1000+S54</f>
        <v>632046.44700000004</v>
      </c>
      <c r="N54" s="172"/>
      <c r="O54" s="201"/>
      <c r="P54" s="189"/>
      <c r="Q54" s="171">
        <f>+Recaud!F9/1000</f>
        <v>198608.00099999999</v>
      </c>
      <c r="R54" s="171">
        <v>0</v>
      </c>
      <c r="S54" s="171">
        <v>0</v>
      </c>
      <c r="T54" s="171"/>
      <c r="U54" s="171">
        <f>SUM(Q54:T54)</f>
        <v>198608.00099999999</v>
      </c>
      <c r="V54" s="194"/>
      <c r="W54" s="171">
        <f>ROUND(+Y54+Z54,0)</f>
        <v>178476</v>
      </c>
      <c r="X54" s="171"/>
      <c r="Y54" s="171">
        <f>SUM('Proyeccion Recaudos (2)'!AK26:AK50)/10000</f>
        <v>49584.643900000003</v>
      </c>
      <c r="Z54" s="171">
        <f t="shared" si="15"/>
        <v>128891</v>
      </c>
      <c r="AA54" s="171">
        <f>+GETPIVOTDATA("Acabados",'Proyeccion Recaudos (2)'!$A$6,"Torre","T3B","Fecha",DATE(2025,10,1))/1000</f>
        <v>88665.290999999997</v>
      </c>
      <c r="AB54" s="171">
        <f>GETPIVOTDATA("Acabados",'Proyeccion Recaudos (2)'!$A$6,"Torre","T3B","Fecha",DATE(2025,9,1))/1000</f>
        <v>26204.101999999999</v>
      </c>
      <c r="AC54" s="171">
        <f>GETPIVOTDATA("Acabados",'Proyeccion Recaudos (2)'!$A$6,"Torre","T3B","Fecha",DATE(2025,8,1))/1000</f>
        <v>13209.569</v>
      </c>
      <c r="AD54" s="171">
        <f>SUM('Proyeccion Recaudos (2)'!AK9:AK22)/10000</f>
        <v>812.1046</v>
      </c>
      <c r="AE54" s="203"/>
    </row>
    <row r="55" spans="1:31" s="204" customFormat="1" ht="15" x14ac:dyDescent="0.2">
      <c r="A55" s="199"/>
      <c r="B55" s="220" t="s">
        <v>1300</v>
      </c>
      <c r="C55" s="188"/>
      <c r="D55" s="171"/>
      <c r="E55" s="171">
        <f>ROUND(+I55+M55,0)</f>
        <v>46336669</v>
      </c>
      <c r="F55" s="172"/>
      <c r="G55" s="173"/>
      <c r="H55" s="171"/>
      <c r="I55" s="171"/>
      <c r="J55" s="172"/>
      <c r="K55" s="173"/>
      <c r="L55" s="171"/>
      <c r="M55" s="171">
        <f>++(Recaud!B18+GETPIVOTDATA(" Reformas_t",'Proyeccion Recaudos (2)'!$A$6,"Torre","T3B"))/1000+R55</f>
        <v>46336668.579000004</v>
      </c>
      <c r="N55" s="172"/>
      <c r="O55" s="201"/>
      <c r="P55" s="189"/>
      <c r="Q55" s="171">
        <f>+Recaud!F10/1000</f>
        <v>36171.442000000003</v>
      </c>
      <c r="R55" s="171">
        <f>+Recaud!F11/1000</f>
        <v>0</v>
      </c>
      <c r="S55" s="171">
        <v>0</v>
      </c>
      <c r="T55" s="171"/>
      <c r="U55" s="171">
        <f t="shared" ref="U55" si="21">SUM(Q55:T55)</f>
        <v>36171.442000000003</v>
      </c>
      <c r="V55" s="194"/>
      <c r="W55" s="171">
        <f>ROUND(+Y55+Z55,0)</f>
        <v>41075</v>
      </c>
      <c r="X55" s="171"/>
      <c r="Y55" s="171">
        <f>SUM('Proyeccion Recaudos (2)'!AJ26:AJ50)/1000</f>
        <v>28049.789000000001</v>
      </c>
      <c r="Z55" s="171">
        <f t="shared" si="15"/>
        <v>13025</v>
      </c>
      <c r="AA55" s="171">
        <f>+GETPIVOTDATA(" Reformas_t",'Proyeccion Recaudos (2)'!$A$6,"Torre","T3B","Fecha",DATE(2025,10,1))/1000</f>
        <v>9614.5229999999992</v>
      </c>
      <c r="AB55" s="171">
        <f>GETPIVOTDATA(" Reformas_t",'Proyeccion Recaudos (2)'!$A$6,"Torre","T3B","Fecha",DATE(2025,9,1))/1000</f>
        <v>1478.287</v>
      </c>
      <c r="AC55" s="171">
        <f>GETPIVOTDATA(" Reformas_t",'Proyeccion Recaudos (2)'!$A$6,"Torre","T3B","Fecha",DATE(2025,8,1))/1000</f>
        <v>1931.85</v>
      </c>
      <c r="AD55" s="171">
        <f>SUM('Proyeccion Recaudos (2)'!AJ9:AJ22)/1000</f>
        <v>0</v>
      </c>
      <c r="AE55" s="203"/>
    </row>
    <row r="56" spans="1:31" s="254" customFormat="1" ht="18.75" x14ac:dyDescent="0.2">
      <c r="A56" s="251"/>
      <c r="B56" s="259" t="s">
        <v>829</v>
      </c>
      <c r="C56" s="252"/>
      <c r="D56" s="256"/>
      <c r="E56" s="255">
        <f>SUM(E46:E55)</f>
        <v>48809056</v>
      </c>
      <c r="F56" s="257"/>
      <c r="G56" s="173"/>
      <c r="H56" s="256"/>
      <c r="I56" s="255">
        <f>SUM(I46:I48)</f>
        <v>0</v>
      </c>
      <c r="J56" s="257"/>
      <c r="K56" s="173"/>
      <c r="L56" s="256"/>
      <c r="M56" s="255">
        <f>SUM(M46:M55)</f>
        <v>48809054.663000003</v>
      </c>
      <c r="N56" s="257"/>
      <c r="O56" s="253"/>
      <c r="P56" s="189"/>
      <c r="Q56" s="255">
        <f>SUM(Q46:Q55)</f>
        <v>1379217.1819999998</v>
      </c>
      <c r="R56" s="255">
        <f>SUM(R46:R55)</f>
        <v>357752.304</v>
      </c>
      <c r="S56" s="255">
        <f>SUM(S46:S55)</f>
        <v>0</v>
      </c>
      <c r="T56" s="255">
        <f>SUM(T46:T55)</f>
        <v>0</v>
      </c>
      <c r="U56" s="255">
        <f>SUM(U46:U55)</f>
        <v>1736969.4859999998</v>
      </c>
      <c r="V56" s="194"/>
      <c r="W56" s="255">
        <f>SUM(W46:W55)</f>
        <v>1088913</v>
      </c>
      <c r="X56" s="255">
        <f t="shared" ref="X56:AD56" si="22">SUM(X46:X55)</f>
        <v>0</v>
      </c>
      <c r="Y56" s="255">
        <f t="shared" si="22"/>
        <v>336362.50789999997</v>
      </c>
      <c r="Z56" s="255">
        <f t="shared" si="22"/>
        <v>752550</v>
      </c>
      <c r="AA56" s="255">
        <f t="shared" si="22"/>
        <v>178310.75199999998</v>
      </c>
      <c r="AB56" s="255">
        <f t="shared" si="22"/>
        <v>91035.132999999987</v>
      </c>
      <c r="AC56" s="255">
        <f t="shared" si="22"/>
        <v>83788.624000000011</v>
      </c>
      <c r="AD56" s="255">
        <f t="shared" si="22"/>
        <v>399415.25060000003</v>
      </c>
    </row>
    <row r="57" spans="1:31" x14ac:dyDescent="0.2">
      <c r="A57" s="187"/>
      <c r="B57" s="222"/>
      <c r="D57" s="223"/>
      <c r="E57" s="224"/>
      <c r="F57" s="225"/>
      <c r="H57" s="223"/>
      <c r="I57" s="226"/>
      <c r="J57" s="225"/>
      <c r="K57" s="188"/>
      <c r="L57" s="227"/>
      <c r="M57" s="228"/>
      <c r="N57" s="225"/>
      <c r="O57" s="253"/>
      <c r="P57" s="189"/>
      <c r="Q57" s="226"/>
      <c r="R57" s="226"/>
      <c r="S57" s="226"/>
      <c r="T57" s="226"/>
      <c r="U57" s="226"/>
      <c r="V57" s="194"/>
      <c r="W57" s="226"/>
      <c r="X57" s="226"/>
      <c r="Y57" s="226"/>
      <c r="Z57" s="226"/>
      <c r="AA57" s="226"/>
      <c r="AB57" s="226"/>
      <c r="AC57" s="226"/>
      <c r="AD57" s="226"/>
      <c r="AE57" s="217"/>
    </row>
    <row r="58" spans="1:31" x14ac:dyDescent="0.2">
      <c r="A58" s="187"/>
      <c r="B58" s="200" t="s">
        <v>1293</v>
      </c>
      <c r="D58" s="647">
        <f>+H58+L58</f>
        <v>149</v>
      </c>
      <c r="E58" s="648">
        <f>+I58+M58</f>
        <v>113604386.46900001</v>
      </c>
      <c r="F58" s="172">
        <f>+J58+N58</f>
        <v>10427.739999999998</v>
      </c>
      <c r="G58" s="649"/>
      <c r="H58" s="647">
        <f>++H39</f>
        <v>0</v>
      </c>
      <c r="I58" s="648">
        <f>++I39+I46+I47</f>
        <v>66010000</v>
      </c>
      <c r="J58" s="172">
        <f>++J39</f>
        <v>0</v>
      </c>
      <c r="K58" s="649"/>
      <c r="L58" s="647">
        <f>++L39</f>
        <v>149</v>
      </c>
      <c r="M58" s="648">
        <f>++M39+M46+M47</f>
        <v>47594386.469000004</v>
      </c>
      <c r="N58" s="172">
        <f>++N39</f>
        <v>10427.739999999998</v>
      </c>
      <c r="O58" s="650"/>
      <c r="P58" s="651"/>
      <c r="Q58" s="648">
        <f>++Q39+Q46+Q47</f>
        <v>26729402.457000002</v>
      </c>
      <c r="R58" s="648">
        <f>++R39+R46+R47</f>
        <v>19347577.432</v>
      </c>
      <c r="S58" s="648">
        <f>+S39+S46+S47</f>
        <v>16074.746999999999</v>
      </c>
      <c r="T58" s="648">
        <f t="shared" ref="T58" si="23">++T39+T46+T47</f>
        <v>0</v>
      </c>
      <c r="U58" s="648">
        <f>SUM(Q58:T58)</f>
        <v>46093054.636</v>
      </c>
      <c r="V58" s="652"/>
      <c r="W58" s="653">
        <f>SUM(X58:Z58)</f>
        <v>979812.66</v>
      </c>
      <c r="X58" s="653">
        <f>++X39+X46+X47</f>
        <v>917048.73800000001</v>
      </c>
      <c r="Y58" s="653">
        <f>++Y39+Y46+Y47</f>
        <v>23197.921999999999</v>
      </c>
      <c r="Z58" s="653">
        <f t="shared" ref="Z58:AD58" si="24">++Z39+Z46+Z47</f>
        <v>39566</v>
      </c>
      <c r="AA58" s="653">
        <f t="shared" si="24"/>
        <v>26658.304</v>
      </c>
      <c r="AB58" s="653">
        <f t="shared" si="24"/>
        <v>12000</v>
      </c>
      <c r="AC58" s="653">
        <f t="shared" si="24"/>
        <v>0</v>
      </c>
      <c r="AD58" s="653">
        <f t="shared" si="24"/>
        <v>907.94100000000003</v>
      </c>
      <c r="AE58" s="217"/>
    </row>
    <row r="59" spans="1:31" x14ac:dyDescent="0.2">
      <c r="A59" s="187"/>
      <c r="B59" s="200" t="s">
        <v>1294</v>
      </c>
      <c r="D59" s="647">
        <f t="shared" ref="D59:F62" si="25">+H59+L59</f>
        <v>98</v>
      </c>
      <c r="E59" s="648">
        <f t="shared" si="25"/>
        <v>160761886.94499999</v>
      </c>
      <c r="F59" s="172">
        <f t="shared" si="25"/>
        <v>7127.1899999999978</v>
      </c>
      <c r="G59" s="649"/>
      <c r="H59" s="647">
        <f>++H40</f>
        <v>3</v>
      </c>
      <c r="I59" s="648">
        <f>++I40+I49+I48</f>
        <v>127219485</v>
      </c>
      <c r="J59" s="172">
        <f>++J40</f>
        <v>228.45000000000002</v>
      </c>
      <c r="K59" s="649"/>
      <c r="L59" s="647">
        <f>++L40</f>
        <v>95</v>
      </c>
      <c r="M59" s="648">
        <f>++M40+M49+M48</f>
        <v>33542401.945</v>
      </c>
      <c r="N59" s="172">
        <f>++N40</f>
        <v>6898.739999999998</v>
      </c>
      <c r="O59" s="650"/>
      <c r="P59" s="651"/>
      <c r="Q59" s="648">
        <f>++Q40+Q49+Q48</f>
        <v>18706821.117000002</v>
      </c>
      <c r="R59" s="648">
        <f>++R40+R49+R48</f>
        <v>11795274.344000001</v>
      </c>
      <c r="S59" s="648">
        <f t="shared" ref="S59:T59" si="26">++S40+S49+S48</f>
        <v>69195.523000000001</v>
      </c>
      <c r="T59" s="648">
        <f t="shared" si="26"/>
        <v>0</v>
      </c>
      <c r="U59" s="648">
        <f t="shared" ref="U59:U62" si="27">SUM(Q59:T59)</f>
        <v>30571290.984000001</v>
      </c>
      <c r="V59" s="652"/>
      <c r="W59" s="653">
        <f t="shared" ref="W59:W64" si="28">SUM(X59:Z59)</f>
        <v>2143867.3789999997</v>
      </c>
      <c r="X59" s="653">
        <f>++X40+X49+X48</f>
        <v>1781806.798</v>
      </c>
      <c r="Y59" s="653">
        <f>++Y40+Y49+Y48</f>
        <v>94529.581000000006</v>
      </c>
      <c r="Z59" s="653">
        <f t="shared" ref="Z59:AD59" si="29">++Z40+Z49+Z48</f>
        <v>267531</v>
      </c>
      <c r="AA59" s="653">
        <f t="shared" si="29"/>
        <v>37663.586000000003</v>
      </c>
      <c r="AB59" s="653">
        <f t="shared" si="29"/>
        <v>72663.587</v>
      </c>
      <c r="AC59" s="653">
        <f t="shared" si="29"/>
        <v>61010.125749999999</v>
      </c>
      <c r="AD59" s="653">
        <f t="shared" si="29"/>
        <v>96193.510999999999</v>
      </c>
      <c r="AE59" s="217"/>
    </row>
    <row r="60" spans="1:31" x14ac:dyDescent="0.2">
      <c r="A60" s="187"/>
      <c r="B60" s="200" t="s">
        <v>2655</v>
      </c>
      <c r="D60" s="647">
        <f t="shared" si="25"/>
        <v>125</v>
      </c>
      <c r="E60" s="648">
        <f t="shared" si="25"/>
        <v>62137137.967999995</v>
      </c>
      <c r="F60" s="172">
        <f t="shared" si="25"/>
        <v>9115.0400000000027</v>
      </c>
      <c r="G60" s="649"/>
      <c r="H60" s="647">
        <f>++H41</f>
        <v>8</v>
      </c>
      <c r="I60" s="648">
        <f>++I41+I50+I51</f>
        <v>4626200.0089999996</v>
      </c>
      <c r="J60" s="172">
        <f>+J41</f>
        <v>650.25</v>
      </c>
      <c r="K60" s="649"/>
      <c r="L60" s="647">
        <f>++L41</f>
        <v>117</v>
      </c>
      <c r="M60" s="648">
        <f>++M41+M50+M51</f>
        <v>57510937.958999999</v>
      </c>
      <c r="N60" s="172">
        <f>+N41</f>
        <v>8464.7900000000027</v>
      </c>
      <c r="O60" s="650"/>
      <c r="P60" s="651"/>
      <c r="Q60" s="648">
        <f>++Q41+Q50+Q51</f>
        <v>4351900.801</v>
      </c>
      <c r="R60" s="648">
        <f t="shared" ref="R60:T60" si="30">++R41+R50+R51</f>
        <v>0</v>
      </c>
      <c r="S60" s="648">
        <f>++S41+S50+S51</f>
        <v>0</v>
      </c>
      <c r="T60" s="648">
        <f t="shared" si="30"/>
        <v>0</v>
      </c>
      <c r="U60" s="648">
        <f t="shared" si="27"/>
        <v>4351900.801</v>
      </c>
      <c r="V60" s="652"/>
      <c r="W60" s="653">
        <f t="shared" si="28"/>
        <v>50956689.652000003</v>
      </c>
      <c r="X60" s="648">
        <f t="shared" ref="X60:AD60" si="31">++X41+X50+X51</f>
        <v>38166228.328000002</v>
      </c>
      <c r="Y60" s="648">
        <f t="shared" si="31"/>
        <v>11763085.323999999</v>
      </c>
      <c r="Z60" s="648">
        <f t="shared" si="31"/>
        <v>1027376</v>
      </c>
      <c r="AA60" s="648">
        <f t="shared" si="31"/>
        <v>516390.36099999998</v>
      </c>
      <c r="AB60" s="648">
        <f t="shared" si="31"/>
        <v>302766.23</v>
      </c>
      <c r="AC60" s="648">
        <f t="shared" si="31"/>
        <v>163727.22125</v>
      </c>
      <c r="AD60" s="648">
        <f t="shared" si="31"/>
        <v>44492.042000000001</v>
      </c>
      <c r="AE60" s="217"/>
    </row>
    <row r="61" spans="1:31" x14ac:dyDescent="0.2">
      <c r="A61" s="187"/>
      <c r="B61" s="200" t="s">
        <v>1295</v>
      </c>
      <c r="D61" s="647">
        <f t="shared" si="25"/>
        <v>150</v>
      </c>
      <c r="E61" s="648">
        <f t="shared" si="25"/>
        <v>62245258.478</v>
      </c>
      <c r="F61" s="172">
        <f t="shared" si="25"/>
        <v>10575.369999999994</v>
      </c>
      <c r="G61" s="649"/>
      <c r="H61" s="647">
        <f>++H42</f>
        <v>17</v>
      </c>
      <c r="I61" s="648">
        <f>++I42+I52+I53</f>
        <v>8444995</v>
      </c>
      <c r="J61" s="172">
        <f>++J42</f>
        <v>1222.4500000000003</v>
      </c>
      <c r="K61" s="649"/>
      <c r="L61" s="647">
        <f>++L42</f>
        <v>133</v>
      </c>
      <c r="M61" s="648">
        <f>++M42+M52+M53</f>
        <v>53800263.478</v>
      </c>
      <c r="N61" s="172">
        <f>++N42</f>
        <v>9352.9199999999928</v>
      </c>
      <c r="O61" s="650"/>
      <c r="P61" s="651"/>
      <c r="Q61" s="648">
        <f t="shared" ref="Q61:T61" si="32">++Q42+Q52+Q53</f>
        <v>24076980.406999998</v>
      </c>
      <c r="R61" s="648">
        <f>++R42+R52+R53</f>
        <v>0</v>
      </c>
      <c r="S61" s="648">
        <f>++S42+S52+R53</f>
        <v>157216.29199999999</v>
      </c>
      <c r="T61" s="648">
        <f t="shared" si="32"/>
        <v>0</v>
      </c>
      <c r="U61" s="648">
        <f t="shared" si="27"/>
        <v>24234196.698999997</v>
      </c>
      <c r="V61" s="652"/>
      <c r="W61" s="653">
        <f t="shared" si="28"/>
        <v>29202922.123999998</v>
      </c>
      <c r="X61" s="653">
        <f>++X42+X52+X53</f>
        <v>26335126.147999998</v>
      </c>
      <c r="Y61" s="653">
        <f>++Y42+Y52+Y53</f>
        <v>1391461.976</v>
      </c>
      <c r="Z61" s="653">
        <f>++Z42+Z52+Z53</f>
        <v>1476334</v>
      </c>
      <c r="AA61" s="653">
        <f t="shared" ref="AA61:AD61" si="33">++AA42+AA52+AA53</f>
        <v>229554.87900000002</v>
      </c>
      <c r="AB61" s="653">
        <f t="shared" si="33"/>
        <v>422815.20500000002</v>
      </c>
      <c r="AC61" s="653">
        <f t="shared" si="33"/>
        <v>375989.46549999999</v>
      </c>
      <c r="AD61" s="653">
        <f t="shared" si="33"/>
        <v>447973.80700000003</v>
      </c>
      <c r="AE61" s="217"/>
    </row>
    <row r="62" spans="1:31" x14ac:dyDescent="0.2">
      <c r="A62" s="187"/>
      <c r="B62" s="200" t="s">
        <v>1296</v>
      </c>
      <c r="D62" s="647">
        <f t="shared" si="25"/>
        <v>99</v>
      </c>
      <c r="E62" s="648">
        <f t="shared" si="25"/>
        <v>93290952.800999999</v>
      </c>
      <c r="F62" s="172">
        <f t="shared" ca="1" si="25"/>
        <v>7223.32</v>
      </c>
      <c r="G62" s="649"/>
      <c r="H62" s="647">
        <f>++H43</f>
        <v>18</v>
      </c>
      <c r="I62" s="648">
        <f>++I43+I55+I54</f>
        <v>9249955</v>
      </c>
      <c r="J62" s="172">
        <f>++J43</f>
        <v>1355.0699999999997</v>
      </c>
      <c r="K62" s="649"/>
      <c r="L62" s="647">
        <f>++L43</f>
        <v>81</v>
      </c>
      <c r="M62" s="648">
        <f>++M43+M55+M54</f>
        <v>84040997.800999999</v>
      </c>
      <c r="N62" s="172">
        <f ca="1">++N43</f>
        <v>5868.25</v>
      </c>
      <c r="O62" s="650"/>
      <c r="P62" s="651"/>
      <c r="Q62" s="648">
        <f t="shared" ref="Q62:T62" si="34">++Q43+Q55+Q54</f>
        <v>9052417.1060000006</v>
      </c>
      <c r="R62" s="648">
        <f>++R43+R55+R54</f>
        <v>0</v>
      </c>
      <c r="S62" s="648">
        <f>++S43+R55+S54</f>
        <v>61237.889000000003</v>
      </c>
      <c r="T62" s="648">
        <f t="shared" si="34"/>
        <v>0</v>
      </c>
      <c r="U62" s="648">
        <f t="shared" si="27"/>
        <v>9113654.995000001</v>
      </c>
      <c r="V62" s="652"/>
      <c r="W62" s="653">
        <f t="shared" si="28"/>
        <v>28052599.962899998</v>
      </c>
      <c r="X62" s="653">
        <f>++X43+X55+X54</f>
        <v>25927105.704999998</v>
      </c>
      <c r="Y62" s="653">
        <f>++Y43+Y55+Y54</f>
        <v>1097319.2578999999</v>
      </c>
      <c r="Z62" s="653">
        <f t="shared" ref="Z62:AD62" si="35">++Z43+Z55+Z54</f>
        <v>1028175</v>
      </c>
      <c r="AA62" s="653">
        <f t="shared" si="35"/>
        <v>400539.11800000002</v>
      </c>
      <c r="AB62" s="653">
        <f t="shared" si="35"/>
        <v>302650.78200000001</v>
      </c>
      <c r="AC62" s="653">
        <f t="shared" si="35"/>
        <v>173863.58525</v>
      </c>
      <c r="AD62" s="653">
        <f t="shared" si="35"/>
        <v>151121.63159999999</v>
      </c>
      <c r="AE62" s="217"/>
    </row>
    <row r="63" spans="1:31" hidden="1" x14ac:dyDescent="0.2">
      <c r="A63" s="187"/>
      <c r="B63" s="222"/>
      <c r="D63" s="223"/>
      <c r="E63" s="224"/>
      <c r="F63" s="225"/>
      <c r="H63" s="223"/>
      <c r="I63" s="224"/>
      <c r="J63" s="225"/>
      <c r="K63" s="188"/>
      <c r="L63" s="223"/>
      <c r="M63" s="224"/>
      <c r="N63" s="225"/>
      <c r="O63" s="253"/>
      <c r="P63" s="189"/>
      <c r="Q63" s="224"/>
      <c r="R63" s="224"/>
      <c r="S63" s="224"/>
      <c r="T63" s="224"/>
      <c r="U63" s="224"/>
      <c r="V63" s="194"/>
      <c r="W63" s="653">
        <f t="shared" si="28"/>
        <v>0</v>
      </c>
      <c r="X63" s="224"/>
      <c r="Y63" s="224"/>
      <c r="Z63" s="224"/>
      <c r="AA63" s="224"/>
      <c r="AB63" s="224"/>
      <c r="AC63" s="224"/>
      <c r="AD63" s="224"/>
      <c r="AE63" s="217"/>
    </row>
    <row r="64" spans="1:31" hidden="1" x14ac:dyDescent="0.2">
      <c r="A64" s="187"/>
      <c r="B64" s="222"/>
      <c r="D64" s="223"/>
      <c r="E64" s="224"/>
      <c r="F64" s="225"/>
      <c r="H64" s="223"/>
      <c r="I64" s="224"/>
      <c r="J64" s="225"/>
      <c r="K64" s="188"/>
      <c r="L64" s="223"/>
      <c r="M64" s="224"/>
      <c r="N64" s="225"/>
      <c r="O64" s="253"/>
      <c r="P64" s="189"/>
      <c r="Q64" s="224"/>
      <c r="R64" s="224"/>
      <c r="S64" s="224"/>
      <c r="T64" s="224"/>
      <c r="U64" s="224"/>
      <c r="V64" s="194"/>
      <c r="W64" s="653">
        <f t="shared" si="28"/>
        <v>0</v>
      </c>
      <c r="X64" s="224"/>
      <c r="Y64" s="224"/>
      <c r="Z64" s="224"/>
      <c r="AA64" s="224"/>
      <c r="AB64" s="224"/>
      <c r="AC64" s="224"/>
      <c r="AD64" s="224"/>
      <c r="AE64" s="217"/>
    </row>
    <row r="65" spans="1:31" s="204" customFormat="1" ht="15.75" thickBot="1" x14ac:dyDescent="0.25">
      <c r="A65" s="199"/>
      <c r="B65" s="654" t="s">
        <v>1303</v>
      </c>
      <c r="C65" s="188"/>
      <c r="D65" s="260">
        <f>SUM(D58:D64)</f>
        <v>621</v>
      </c>
      <c r="E65" s="261">
        <f>SUM(E58:E62)</f>
        <v>492039622.66100001</v>
      </c>
      <c r="F65" s="262">
        <f ca="1">SUM(F58:F64)</f>
        <v>44468.659999999996</v>
      </c>
      <c r="G65" s="188"/>
      <c r="H65" s="260">
        <f>SUM(H58:H64)</f>
        <v>46</v>
      </c>
      <c r="I65" s="261">
        <f>SUM(I58:I62)</f>
        <v>215550635.009</v>
      </c>
      <c r="J65" s="262">
        <f>SUM(J58:J64)</f>
        <v>3456.2200000000003</v>
      </c>
      <c r="K65" s="188"/>
      <c r="L65" s="260">
        <f>SUM(L58:L64)</f>
        <v>575</v>
      </c>
      <c r="M65" s="261">
        <f>SUM(M58:M62)</f>
        <v>276488987.65200001</v>
      </c>
      <c r="N65" s="262">
        <f ca="1">SUM(N58:N64)</f>
        <v>41012.439999999988</v>
      </c>
      <c r="O65" s="253"/>
      <c r="P65" s="189"/>
      <c r="Q65" s="261">
        <f>SUM(Q58:Q62)</f>
        <v>82917521.888000011</v>
      </c>
      <c r="R65" s="261">
        <f t="shared" ref="R65:AD65" si="36">SUM(R58:R62)</f>
        <v>31142851.776000001</v>
      </c>
      <c r="S65" s="261">
        <f t="shared" si="36"/>
        <v>303724.451</v>
      </c>
      <c r="T65" s="261">
        <f t="shared" si="36"/>
        <v>0</v>
      </c>
      <c r="U65" s="261">
        <f t="shared" si="36"/>
        <v>114364098.11500001</v>
      </c>
      <c r="V65" s="194"/>
      <c r="W65" s="261">
        <f t="shared" si="36"/>
        <v>111335891.7779</v>
      </c>
      <c r="X65" s="261">
        <f t="shared" si="36"/>
        <v>93127315.716999993</v>
      </c>
      <c r="Y65" s="261">
        <f t="shared" si="36"/>
        <v>14369594.060899999</v>
      </c>
      <c r="Z65" s="261">
        <f t="shared" si="36"/>
        <v>3838982</v>
      </c>
      <c r="AA65" s="261">
        <f t="shared" si="36"/>
        <v>1210806.2479999999</v>
      </c>
      <c r="AB65" s="261">
        <f t="shared" si="36"/>
        <v>1112895.804</v>
      </c>
      <c r="AC65" s="261">
        <f t="shared" si="36"/>
        <v>774590.39775</v>
      </c>
      <c r="AD65" s="261">
        <f t="shared" si="36"/>
        <v>740688.93259999994</v>
      </c>
      <c r="AE65" s="203"/>
    </row>
    <row r="66" spans="1:31" s="204" customFormat="1" ht="13.5" thickTop="1" x14ac:dyDescent="0.2">
      <c r="A66" s="199"/>
      <c r="B66" s="203"/>
      <c r="C66" s="188"/>
      <c r="D66" s="203"/>
      <c r="E66" s="203"/>
      <c r="F66" s="203"/>
      <c r="G66" s="188"/>
      <c r="H66" s="203"/>
      <c r="I66" s="203"/>
      <c r="J66" s="203"/>
      <c r="K66" s="188"/>
      <c r="L66" s="203"/>
      <c r="M66" s="203"/>
      <c r="N66" s="203"/>
      <c r="O66" s="253"/>
      <c r="P66" s="189"/>
      <c r="Q66" s="203"/>
      <c r="R66" s="203"/>
      <c r="S66" s="203"/>
      <c r="T66" s="203"/>
      <c r="U66" s="203"/>
      <c r="V66" s="194"/>
      <c r="W66" s="203" t="s">
        <v>196</v>
      </c>
      <c r="X66" s="203"/>
      <c r="Y66" s="203"/>
      <c r="Z66" s="203"/>
      <c r="AA66" s="203"/>
      <c r="AB66" s="203"/>
      <c r="AC66" s="203"/>
      <c r="AD66" s="203"/>
      <c r="AE66" s="203"/>
    </row>
    <row r="67" spans="1:31" s="204" customFormat="1" x14ac:dyDescent="0.2">
      <c r="A67" s="199"/>
      <c r="B67" s="246" t="s">
        <v>817</v>
      </c>
      <c r="C67" s="188"/>
      <c r="D67" s="203"/>
      <c r="E67" s="203"/>
      <c r="F67" s="203"/>
      <c r="G67" s="188"/>
      <c r="H67" s="203"/>
      <c r="I67" s="203"/>
      <c r="J67" s="203"/>
      <c r="K67" s="188"/>
      <c r="L67" s="203"/>
      <c r="M67" s="203"/>
      <c r="N67" s="203"/>
      <c r="O67" s="253"/>
      <c r="P67" s="189"/>
      <c r="Q67" s="203"/>
      <c r="R67" s="203"/>
      <c r="S67" s="203"/>
      <c r="T67" s="203"/>
      <c r="U67" s="203"/>
      <c r="V67" s="194"/>
      <c r="W67" s="203"/>
      <c r="X67" s="203"/>
      <c r="Y67" s="203"/>
      <c r="Z67" s="203"/>
      <c r="AA67" s="203"/>
      <c r="AB67" s="203"/>
      <c r="AC67" s="203"/>
      <c r="AD67" s="203"/>
      <c r="AE67" s="203"/>
    </row>
    <row r="68" spans="1:31" s="204" customFormat="1" ht="15" x14ac:dyDescent="0.2">
      <c r="A68" s="199"/>
      <c r="B68" s="220" t="s">
        <v>1018</v>
      </c>
      <c r="C68" s="188"/>
      <c r="D68" s="171"/>
      <c r="E68" s="171">
        <f t="shared" ref="E68:E77" si="37">+I68+M68</f>
        <v>167068.80600000001</v>
      </c>
      <c r="F68" s="172"/>
      <c r="G68" s="173"/>
      <c r="H68" s="171"/>
      <c r="I68" s="171"/>
      <c r="J68" s="172"/>
      <c r="K68" s="173"/>
      <c r="L68" s="171"/>
      <c r="M68" s="582">
        <f>+Recaud!B12/1000+W68</f>
        <v>167068.80600000001</v>
      </c>
      <c r="N68" s="172"/>
      <c r="O68" s="253"/>
      <c r="P68" s="189"/>
      <c r="Q68" s="171">
        <f>+Recaud!B12/1000</f>
        <v>145865.80600000001</v>
      </c>
      <c r="R68" s="171"/>
      <c r="S68" s="171"/>
      <c r="T68" s="171"/>
      <c r="U68" s="171">
        <f>ROUND(+Q68+S68+T68+R68,0)</f>
        <v>145866</v>
      </c>
      <c r="V68" s="194"/>
      <c r="W68" s="221">
        <f>ROUND(+Y68+Z68,0)</f>
        <v>21203</v>
      </c>
      <c r="X68" s="171">
        <v>0</v>
      </c>
      <c r="Y68" s="221">
        <f>SUM('Proyeccion Recaudos (2)'!F26:F50)/1000</f>
        <v>405.83600000000001</v>
      </c>
      <c r="Z68" s="221">
        <f>ROUND(+AA68+AB68+AC68+AD68,0)</f>
        <v>20797</v>
      </c>
      <c r="AA68" s="221">
        <f>GETPIVOTDATA("Intereses_t",'Proyeccion Recaudos (2)'!$A$6,"Torre","T1A","Fecha",DATE(2025,10,1))/1000</f>
        <v>159.49799999999999</v>
      </c>
      <c r="AB68" s="221">
        <f>GETPIVOTDATA("Intereses_t",'Proyeccion Recaudos (2)'!$A$6,"Torre","T1A","Fecha",DATE(2025,9,1))/1000</f>
        <v>0</v>
      </c>
      <c r="AC68" s="221">
        <f>GETPIVOTDATA("Intereses_t",'Proyeccion Recaudos (2)'!$A$6,"Torre","T1A","Fecha",DATE(2025,10,1))/1000</f>
        <v>159.49799999999999</v>
      </c>
      <c r="AD68" s="221">
        <f>SUM('Proyeccion Recaudos (2)'!F9:F22)/1000</f>
        <v>20477.743999999999</v>
      </c>
      <c r="AE68" s="203"/>
    </row>
    <row r="69" spans="1:31" s="204" customFormat="1" ht="15" x14ac:dyDescent="0.2">
      <c r="A69" s="199"/>
      <c r="B69" s="220" t="s">
        <v>1017</v>
      </c>
      <c r="C69" s="188"/>
      <c r="D69" s="171"/>
      <c r="E69" s="171">
        <f t="shared" si="37"/>
        <v>99652.964000000007</v>
      </c>
      <c r="F69" s="172"/>
      <c r="G69" s="173"/>
      <c r="H69" s="171"/>
      <c r="I69" s="171"/>
      <c r="J69" s="172"/>
      <c r="K69" s="173"/>
      <c r="L69" s="171"/>
      <c r="M69" s="582">
        <f>+Recaud!C12/1000+W69</f>
        <v>99652.964000000007</v>
      </c>
      <c r="N69" s="172"/>
      <c r="O69" s="253"/>
      <c r="P69" s="189"/>
      <c r="Q69" s="171">
        <f>Recaud!C12/1000</f>
        <v>91616.964000000007</v>
      </c>
      <c r="R69" s="171"/>
      <c r="S69" s="171"/>
      <c r="T69" s="171">
        <f>++T20</f>
        <v>0</v>
      </c>
      <c r="U69" s="171">
        <f t="shared" ref="U69:U74" si="38">ROUND(+Q69+S69+T69+R69,0)</f>
        <v>91617</v>
      </c>
      <c r="V69" s="194"/>
      <c r="W69" s="221">
        <f t="shared" ref="W69:W70" si="39">ROUND(+Y69+Z69,0)</f>
        <v>8036</v>
      </c>
      <c r="X69" s="171">
        <v>0</v>
      </c>
      <c r="Y69" s="221">
        <f>SUM('Proyeccion Recaudos (2)'!N26:N50)/1000</f>
        <v>3049.913</v>
      </c>
      <c r="Z69" s="221">
        <f t="shared" ref="Z69:Z81" si="40">ROUND(+AA69+AB69+AC69+AD69,0)</f>
        <v>4986</v>
      </c>
      <c r="AA69" s="221">
        <f>GETPIVOTDATA("Intereses_t",'Proyeccion Recaudos (2)'!$A$6,"Torre","T1b","Fecha",DATE(2025,10,1))/1000</f>
        <v>0</v>
      </c>
      <c r="AB69" s="221">
        <f>GETPIVOTDATA("Intereses_t",'Proyeccion Recaudos (2)'!$A$6,"Torre","T1b","Fecha",DATE(2025,9,1))/1000</f>
        <v>1016.636</v>
      </c>
      <c r="AC69" s="221">
        <f>GETPIVOTDATA("Intereses_t",'Proyeccion Recaudos (2)'!$A$6,"Torre","T1b","Fecha",DATE(2025,10,1))/1000</f>
        <v>0</v>
      </c>
      <c r="AD69" s="221">
        <f>SUM('Proyeccion Recaudos (2)'!N9:N22)/1000</f>
        <v>3969.8130000000001</v>
      </c>
      <c r="AE69" s="203"/>
    </row>
    <row r="70" spans="1:31" s="204" customFormat="1" ht="15" x14ac:dyDescent="0.2">
      <c r="A70" s="199"/>
      <c r="B70" s="220" t="s">
        <v>2656</v>
      </c>
      <c r="C70" s="188"/>
      <c r="D70" s="171"/>
      <c r="E70" s="171">
        <f t="shared" si="37"/>
        <v>5711.8050000000003</v>
      </c>
      <c r="F70" s="172"/>
      <c r="G70" s="173"/>
      <c r="H70" s="171"/>
      <c r="I70" s="171"/>
      <c r="J70" s="172"/>
      <c r="K70" s="173"/>
      <c r="L70" s="171"/>
      <c r="M70" s="582">
        <f>Recaud!D12/1000</f>
        <v>5711.8050000000003</v>
      </c>
      <c r="N70" s="172"/>
      <c r="O70" s="253"/>
      <c r="P70" s="189"/>
      <c r="Q70" s="171">
        <f>+M70</f>
        <v>5711.8050000000003</v>
      </c>
      <c r="R70" s="171"/>
      <c r="S70" s="171"/>
      <c r="T70" s="171"/>
      <c r="U70" s="171">
        <f t="shared" si="38"/>
        <v>5712</v>
      </c>
      <c r="V70" s="194"/>
      <c r="W70" s="221">
        <f t="shared" si="39"/>
        <v>0</v>
      </c>
      <c r="X70" s="171">
        <v>0</v>
      </c>
      <c r="Y70" s="221">
        <f>SUM('Proyeccion Recaudos (2)'!V26:V50)/1000</f>
        <v>0</v>
      </c>
      <c r="Z70" s="221">
        <v>0</v>
      </c>
      <c r="AA70" s="221">
        <v>0</v>
      </c>
      <c r="AB70" s="221">
        <v>0</v>
      </c>
      <c r="AC70" s="221">
        <v>0</v>
      </c>
      <c r="AD70" s="221">
        <f>SUM('Proyeccion Recaudos (2)'!V9:V22)/1000</f>
        <v>0</v>
      </c>
      <c r="AE70" s="203"/>
    </row>
    <row r="71" spans="1:31" s="204" customFormat="1" ht="15" x14ac:dyDescent="0.2">
      <c r="A71" s="199"/>
      <c r="B71" s="220" t="s">
        <v>1019</v>
      </c>
      <c r="C71" s="188"/>
      <c r="D71" s="171"/>
      <c r="E71" s="171">
        <f t="shared" si="37"/>
        <v>82830.974000000002</v>
      </c>
      <c r="F71" s="172"/>
      <c r="G71" s="173"/>
      <c r="H71" s="171"/>
      <c r="I71" s="171"/>
      <c r="J71" s="172"/>
      <c r="K71" s="173"/>
      <c r="L71" s="171"/>
      <c r="M71" s="582">
        <f>++Recaud!E12/1000+W71</f>
        <v>82830.974000000002</v>
      </c>
      <c r="N71" s="172"/>
      <c r="O71" s="253"/>
      <c r="P71" s="189"/>
      <c r="Q71" s="171">
        <f>Recaud!E12/1000</f>
        <v>61510.974000000002</v>
      </c>
      <c r="R71" s="171"/>
      <c r="S71" s="171"/>
      <c r="T71" s="171"/>
      <c r="U71" s="171">
        <f t="shared" si="38"/>
        <v>61511</v>
      </c>
      <c r="V71" s="194"/>
      <c r="W71" s="221">
        <f>ROUND(+Y71+Z71,0)</f>
        <v>21320</v>
      </c>
      <c r="X71" s="171">
        <v>0</v>
      </c>
      <c r="Y71" s="221">
        <f>SUM('Proyeccion Recaudos (2)'!AD26:AD50)/1000</f>
        <v>21319.771000000001</v>
      </c>
      <c r="Z71" s="221">
        <f t="shared" si="40"/>
        <v>0</v>
      </c>
      <c r="AA71" s="221">
        <f>GETPIVOTDATA("Intereses_t",'Proyeccion Recaudos (2)'!$A$6,"Torre","T3a","Fecha",DATE(2025,10,1))/1000</f>
        <v>0</v>
      </c>
      <c r="AB71" s="221">
        <f>GETPIVOTDATA("Intereses_t",'Proyeccion Recaudos (2)'!$A$6,"Torre","T3a","Fecha",DATE(2025,9,1))/1000</f>
        <v>0</v>
      </c>
      <c r="AC71" s="221">
        <f>GETPIVOTDATA("Intereses_t",'Proyeccion Recaudos (2)'!$A$6,"Torre","T3a","Fecha",DATE(2025,10,1))/1000</f>
        <v>0</v>
      </c>
      <c r="AD71" s="221">
        <f>SUM('Proyeccion Recaudos (2)'!AD9:AD22)/1000</f>
        <v>0</v>
      </c>
      <c r="AE71" s="203"/>
    </row>
    <row r="72" spans="1:31" s="204" customFormat="1" ht="15" x14ac:dyDescent="0.2">
      <c r="A72" s="199"/>
      <c r="B72" s="220" t="s">
        <v>1218</v>
      </c>
      <c r="C72" s="188"/>
      <c r="D72" s="171"/>
      <c r="E72" s="171">
        <f t="shared" si="37"/>
        <v>48044.462</v>
      </c>
      <c r="F72" s="172"/>
      <c r="G72" s="173"/>
      <c r="H72" s="171"/>
      <c r="I72" s="171"/>
      <c r="J72" s="172"/>
      <c r="K72" s="173"/>
      <c r="L72" s="171"/>
      <c r="M72" s="582">
        <f>+Recaud!F12/1000+W72</f>
        <v>48044.462</v>
      </c>
      <c r="N72" s="172"/>
      <c r="O72" s="253"/>
      <c r="P72" s="189"/>
      <c r="Q72" s="171">
        <f>Recaud!F12/1000</f>
        <v>40165.462</v>
      </c>
      <c r="R72" s="171"/>
      <c r="S72" s="171"/>
      <c r="T72" s="171"/>
      <c r="U72" s="171">
        <f>ROUND(+Q72+S72+T72+R72,0)</f>
        <v>40165</v>
      </c>
      <c r="V72" s="194"/>
      <c r="W72" s="221">
        <f>ROUND(+Y72+Z72,0)</f>
        <v>7879</v>
      </c>
      <c r="X72" s="171">
        <v>0</v>
      </c>
      <c r="Y72" s="221">
        <f>SUM('Proyeccion Recaudos (2)'!AL26:AL50)/1000</f>
        <v>0</v>
      </c>
      <c r="Z72" s="221">
        <f t="shared" si="40"/>
        <v>7879</v>
      </c>
      <c r="AA72" s="221">
        <f>GETPIVOTDATA("Intereses_t",'Proyeccion Recaudos (2)'!$A$6,"Torre","T3b","Fecha",DATE(2025,10,1))/1000</f>
        <v>0</v>
      </c>
      <c r="AB72" s="221">
        <f>GETPIVOTDATA("Intereses_t",'Proyeccion Recaudos (2)'!$A$6,"Torre","T3b","Fecha",DATE(2025,9,1))/1000</f>
        <v>4107.482</v>
      </c>
      <c r="AC72" s="221">
        <f>GETPIVOTDATA("Intereses_t",'Proyeccion Recaudos (2)'!$A$6,"Torre","T3b","Fecha",DATE(2025,10,1))/1000</f>
        <v>0</v>
      </c>
      <c r="AD72" s="221">
        <f>SUM('Proyeccion Recaudos (2)'!AL9:AL22)/1000</f>
        <v>3771.973</v>
      </c>
      <c r="AE72" s="203"/>
    </row>
    <row r="73" spans="1:31" s="204" customFormat="1" ht="15" x14ac:dyDescent="0.2">
      <c r="A73" s="199"/>
      <c r="B73" s="220" t="s">
        <v>2949</v>
      </c>
      <c r="C73" s="188"/>
      <c r="D73" s="171"/>
      <c r="E73" s="171">
        <f t="shared" si="37"/>
        <v>7953.7250000000004</v>
      </c>
      <c r="F73" s="172"/>
      <c r="G73" s="173"/>
      <c r="H73" s="171"/>
      <c r="I73" s="171"/>
      <c r="J73" s="172"/>
      <c r="K73" s="173"/>
      <c r="L73" s="171"/>
      <c r="M73" s="582">
        <f>+Recaud!B13/1000+W73</f>
        <v>7953.7250000000004</v>
      </c>
      <c r="N73" s="172"/>
      <c r="O73" s="253"/>
      <c r="P73" s="189"/>
      <c r="Q73" s="171">
        <f>+Recaud!B13/1000</f>
        <v>7045.7250000000004</v>
      </c>
      <c r="R73" s="171"/>
      <c r="S73" s="171"/>
      <c r="T73" s="171"/>
      <c r="U73" s="171">
        <f t="shared" si="38"/>
        <v>7046</v>
      </c>
      <c r="V73" s="194"/>
      <c r="W73" s="221">
        <f>ROUND(+Y73+Z73,0)</f>
        <v>908</v>
      </c>
      <c r="X73" s="171">
        <v>0</v>
      </c>
      <c r="Y73" s="221">
        <f>SUM('Proyeccion Recaudos (2)'!G26:G50)/1000</f>
        <v>0</v>
      </c>
      <c r="Z73" s="221">
        <f t="shared" si="40"/>
        <v>908</v>
      </c>
      <c r="AA73" s="221">
        <f>GETPIVOTDATA(" Estudio de Titulos",'Proyeccion Recaudos (2)'!$A$6,"Torre","T1A","Fecha",DATE(2025,10,1))/1000</f>
        <v>0</v>
      </c>
      <c r="AB73" s="221">
        <f>GETPIVOTDATA(" Estudio de Titulos",'Proyeccion Recaudos (2)'!$A$6,"Torre","T1A","Fecha",DATE(2025,9,1))/1000</f>
        <v>0</v>
      </c>
      <c r="AC73" s="221">
        <f>GETPIVOTDATA(" Estudio de Titulos",'Proyeccion Recaudos (2)'!$A$6,"Torre","T1A","Fecha",DATE(2025,10,1))/1000</f>
        <v>0</v>
      </c>
      <c r="AD73" s="221">
        <f>SUM('Proyeccion Recaudos (2)'!G9:G22)/1000</f>
        <v>907.94100000000003</v>
      </c>
      <c r="AE73" s="203"/>
    </row>
    <row r="74" spans="1:31" s="204" customFormat="1" ht="15" x14ac:dyDescent="0.2">
      <c r="A74" s="199"/>
      <c r="B74" s="220" t="s">
        <v>2950</v>
      </c>
      <c r="C74" s="188"/>
      <c r="D74" s="171"/>
      <c r="E74" s="171">
        <f t="shared" si="37"/>
        <v>10254.543</v>
      </c>
      <c r="F74" s="172"/>
      <c r="G74" s="173"/>
      <c r="H74" s="171"/>
      <c r="I74" s="171"/>
      <c r="J74" s="172"/>
      <c r="K74" s="173"/>
      <c r="L74" s="171"/>
      <c r="M74" s="582">
        <f>+Recaud!C13/1000+W74</f>
        <v>10254.543</v>
      </c>
      <c r="N74" s="172"/>
      <c r="O74" s="253"/>
      <c r="P74" s="189"/>
      <c r="Q74" s="171">
        <f>+Recaud!C13/1000</f>
        <v>7661.5429999999997</v>
      </c>
      <c r="R74" s="171"/>
      <c r="S74" s="171"/>
      <c r="T74" s="171"/>
      <c r="U74" s="171">
        <f t="shared" si="38"/>
        <v>7662</v>
      </c>
      <c r="V74" s="194"/>
      <c r="W74" s="221">
        <f t="shared" ref="W74:W77" si="41">ROUND(+Y74+Z74,0)</f>
        <v>2593</v>
      </c>
      <c r="X74" s="171">
        <v>0</v>
      </c>
      <c r="Y74" s="221">
        <f>SUM('Proyeccion Recaudos (2)'!O26:O50)/1000</f>
        <v>0</v>
      </c>
      <c r="Z74" s="221">
        <f t="shared" si="40"/>
        <v>2593</v>
      </c>
      <c r="AA74" s="221">
        <f>GETPIVOTDATA(" Estudio de Titulos",'Proyeccion Recaudos (2)'!$A$6,"Torre","T1B","Fecha",DATE(2025,10,1))/1000</f>
        <v>0</v>
      </c>
      <c r="AB74" s="221">
        <f>GETPIVOTDATA(" Estudio de Titulos",'Proyeccion Recaudos (2)'!$A$6,"Torre","T1B","Fecha",DATE(2025,9,1))/1000</f>
        <v>0</v>
      </c>
      <c r="AC74" s="221">
        <f>GETPIVOTDATA(" Estudio de Titulos",'Proyeccion Recaudos (2)'!$A$6,"Torre","T1B","Fecha",DATE(2025,10,1))/1000</f>
        <v>0</v>
      </c>
      <c r="AD74" s="221">
        <f>SUM('Proyeccion Recaudos (2)'!O9:O22)/1000</f>
        <v>2592.645</v>
      </c>
      <c r="AE74" s="203"/>
    </row>
    <row r="75" spans="1:31" s="204" customFormat="1" ht="15" x14ac:dyDescent="0.2">
      <c r="A75" s="199"/>
      <c r="B75" s="220" t="s">
        <v>3259</v>
      </c>
      <c r="C75" s="188"/>
      <c r="D75" s="171"/>
      <c r="E75" s="171">
        <f t="shared" si="37"/>
        <v>31081.558000000001</v>
      </c>
      <c r="F75" s="172"/>
      <c r="G75" s="173"/>
      <c r="H75" s="171"/>
      <c r="I75" s="171"/>
      <c r="J75" s="172"/>
      <c r="K75" s="173"/>
      <c r="L75" s="171"/>
      <c r="M75" s="582">
        <f>Recaud!B14/1000+W75</f>
        <v>31081.558000000001</v>
      </c>
      <c r="N75" s="172"/>
      <c r="O75" s="253"/>
      <c r="P75" s="189"/>
      <c r="Q75" s="171">
        <f>+Recaud!B14/1000</f>
        <v>20031.558000000001</v>
      </c>
      <c r="R75" s="171"/>
      <c r="S75" s="171">
        <v>0</v>
      </c>
      <c r="T75" s="171"/>
      <c r="U75" s="171">
        <f>ROUND(+Q75+S75+T75+R75,0)</f>
        <v>20032</v>
      </c>
      <c r="V75" s="194"/>
      <c r="W75" s="221">
        <f t="shared" si="41"/>
        <v>11050</v>
      </c>
      <c r="X75" s="171">
        <v>0</v>
      </c>
      <c r="Y75" s="221">
        <f>SUM('Proyeccion Recaudos (2)'!H26:H50)/1000</f>
        <v>0</v>
      </c>
      <c r="Z75" s="221">
        <f t="shared" si="40"/>
        <v>11050</v>
      </c>
      <c r="AA75" s="221">
        <f>GETPIVOTDATA("Impuesto Predial",'Proyeccion Recaudos (2)'!$A$6,"Torre","T1a","Fecha",DATE(2025,10,1))/1000</f>
        <v>0</v>
      </c>
      <c r="AB75" s="221">
        <f>GETPIVOTDATA("Impuesto Predial",'Proyeccion Recaudos (2)'!$A$6,"Torre","T1a","Fecha",DATE(2025,9,1))/1000</f>
        <v>613.226</v>
      </c>
      <c r="AC75" s="221">
        <f>GETPIVOTDATA("Impuesto Predial",'Proyeccion Recaudos (2)'!$A$6,"Torre","T1a","Fecha",DATE(2025,10,1))/1000</f>
        <v>0</v>
      </c>
      <c r="AD75" s="221">
        <f>SUM('Proyeccion Recaudos (2)'!H9:H22)/1000</f>
        <v>10436.83</v>
      </c>
      <c r="AE75" s="203"/>
    </row>
    <row r="76" spans="1:31" s="204" customFormat="1" ht="15" x14ac:dyDescent="0.2">
      <c r="A76" s="199"/>
      <c r="B76" s="220" t="s">
        <v>3329</v>
      </c>
      <c r="C76" s="188"/>
      <c r="D76" s="171"/>
      <c r="E76" s="171">
        <f t="shared" si="37"/>
        <v>34708.794999999998</v>
      </c>
      <c r="F76" s="172"/>
      <c r="G76" s="173"/>
      <c r="H76" s="171"/>
      <c r="I76" s="171"/>
      <c r="J76" s="172"/>
      <c r="K76" s="173"/>
      <c r="L76" s="171"/>
      <c r="M76" s="582">
        <f>Recaud!C14/1000+W76+S76</f>
        <v>34708.794999999998</v>
      </c>
      <c r="N76" s="172"/>
      <c r="O76" s="253"/>
      <c r="P76" s="189"/>
      <c r="Q76" s="171">
        <f>Recaud!C14/1000</f>
        <v>23180.098999999998</v>
      </c>
      <c r="R76" s="171"/>
      <c r="S76" s="171">
        <f>1258696/1000</f>
        <v>1258.6959999999999</v>
      </c>
      <c r="T76" s="171"/>
      <c r="U76" s="171">
        <f>ROUND(+Q76+S76+T76+R76,0)</f>
        <v>24439</v>
      </c>
      <c r="V76" s="194"/>
      <c r="W76" s="221">
        <f t="shared" si="41"/>
        <v>10270</v>
      </c>
      <c r="X76" s="171">
        <v>0</v>
      </c>
      <c r="Y76" s="221">
        <f>SUM('Proyeccion Recaudos (2)'!P26:P50)/1000</f>
        <v>0</v>
      </c>
      <c r="Z76" s="221">
        <f t="shared" si="40"/>
        <v>10270</v>
      </c>
      <c r="AA76" s="221">
        <f>GETPIVOTDATA("Impuesto Predial",'Proyeccion Recaudos (2)'!$A$6,"Torre","T1B","Fecha",DATE(2025,10,1))/1000</f>
        <v>0</v>
      </c>
      <c r="AB76" s="221">
        <f>GETPIVOTDATA("Impuesto Predial",'Proyeccion Recaudos (2)'!$A$6,"Torre","T1B","Fecha",DATE(2025,9,1))/1000</f>
        <v>1149.2619999999999</v>
      </c>
      <c r="AC76" s="221">
        <f>GETPIVOTDATA("Impuesto Predial",'Proyeccion Recaudos (2)'!$A$6,"Torre","T1B","Fecha",DATE(2025,10,1))/1000</f>
        <v>0</v>
      </c>
      <c r="AD76" s="221">
        <f>SUM('Proyeccion Recaudos (2)'!P9:P22)/1000</f>
        <v>9120.9369999999999</v>
      </c>
      <c r="AE76" s="203"/>
    </row>
    <row r="77" spans="1:31" s="204" customFormat="1" ht="15" x14ac:dyDescent="0.2">
      <c r="A77" s="199"/>
      <c r="B77" s="220" t="s">
        <v>4361</v>
      </c>
      <c r="C77" s="188"/>
      <c r="D77" s="171"/>
      <c r="E77" s="171">
        <f t="shared" si="37"/>
        <v>1886.922</v>
      </c>
      <c r="F77" s="172"/>
      <c r="G77" s="173"/>
      <c r="H77" s="171"/>
      <c r="I77" s="171"/>
      <c r="J77" s="172"/>
      <c r="K77" s="173"/>
      <c r="L77" s="171"/>
      <c r="M77" s="582">
        <f>SUM(Recaud!E14,'Proyeccion Recaudos'!AF87)/1000</f>
        <v>1886.922</v>
      </c>
      <c r="N77" s="172"/>
      <c r="O77" s="253"/>
      <c r="P77" s="189"/>
      <c r="Q77" s="171">
        <f>Recaud!E14/1000</f>
        <v>1336.9670000000001</v>
      </c>
      <c r="R77" s="171"/>
      <c r="S77" s="171"/>
      <c r="T77" s="171"/>
      <c r="U77" s="171">
        <f>ROUND(+Q77+S77+T77+R77,0)</f>
        <v>1337</v>
      </c>
      <c r="V77" s="194"/>
      <c r="W77" s="221">
        <f t="shared" si="41"/>
        <v>550</v>
      </c>
      <c r="X77" s="171">
        <v>0</v>
      </c>
      <c r="Y77" s="221">
        <f>SUM('Proyeccion Recaudos (2)'!AF26:AF50)/1000</f>
        <v>0</v>
      </c>
      <c r="Z77" s="221">
        <f t="shared" si="40"/>
        <v>550</v>
      </c>
      <c r="AA77" s="221">
        <f>GETPIVOTDATA("Impuesto Predial",'Proyeccion Recaudos (2)'!$A$6,"Torre","T3a","Fecha",DATE(2025,10,1))/1000</f>
        <v>0</v>
      </c>
      <c r="AB77" s="221">
        <f>GETPIVOTDATA("Impuesto Predial",'Proyeccion Recaudos (2)'!$A$6,"Torre","T3a","Fecha",DATE(2025,9,1))/1000</f>
        <v>0</v>
      </c>
      <c r="AC77" s="221">
        <f>GETPIVOTDATA("Impuesto Predial",'Proyeccion Recaudos (2)'!$A$6,"Torre","T3a","Fecha",DATE(2025,10,1))/1000</f>
        <v>0</v>
      </c>
      <c r="AD77" s="221">
        <f>SUM('Proyeccion Recaudos (2)'!AF9:AF22)/1000</f>
        <v>549.95500000000004</v>
      </c>
      <c r="AE77" s="203"/>
    </row>
    <row r="78" spans="1:31" s="204" customFormat="1" ht="15" x14ac:dyDescent="0.2">
      <c r="A78" s="199"/>
      <c r="B78" s="220" t="s">
        <v>1465</v>
      </c>
      <c r="C78" s="188"/>
      <c r="D78" s="171"/>
      <c r="E78" s="171">
        <f>+I78+M78</f>
        <v>49811.152000000002</v>
      </c>
      <c r="F78" s="172"/>
      <c r="G78" s="173"/>
      <c r="H78" s="171"/>
      <c r="I78" s="171"/>
      <c r="J78" s="172"/>
      <c r="K78" s="173"/>
      <c r="L78" s="171"/>
      <c r="M78" s="582">
        <f>Recaud!B15/1000+W78</f>
        <v>49811.152000000002</v>
      </c>
      <c r="N78" s="172"/>
      <c r="O78" s="253"/>
      <c r="P78" s="189"/>
      <c r="Q78" s="171">
        <f>Recaud!B15/1000</f>
        <v>45671.152000000002</v>
      </c>
      <c r="R78" s="171"/>
      <c r="S78" s="171"/>
      <c r="T78" s="171"/>
      <c r="U78" s="171">
        <f>ROUND(+Q78+S78+T78+R78,0)</f>
        <v>45671</v>
      </c>
      <c r="V78" s="194"/>
      <c r="W78" s="221">
        <f>ROUND(+Y78+Z78,0)</f>
        <v>4140</v>
      </c>
      <c r="X78" s="171">
        <v>0</v>
      </c>
      <c r="Y78" s="221">
        <v>0</v>
      </c>
      <c r="Z78" s="221">
        <f t="shared" si="40"/>
        <v>4140</v>
      </c>
      <c r="AA78" s="221">
        <f>GETPIVOTDATA(" Intereses_t",'Proyeccion Recaudos (2)'!$A$6,"Torre","T1A","Fecha",DATE(2025,10,1))/1000</f>
        <v>159.49799999999999</v>
      </c>
      <c r="AB78" s="221">
        <f>GETPIVOTDATA(" Intereses_t",'Proyeccion Recaudos (2)'!$A$6,"Torre","T1A","Fecha",DATE(2025,9,1))/1000</f>
        <v>0</v>
      </c>
      <c r="AC78" s="221">
        <f>GETPIVOTDATA(" Intereses_t",'Proyeccion Recaudos (2)'!$A$6,"Torre","T1A","Fecha",DATE(2025,8,1))/1000</f>
        <v>3980.4380000000001</v>
      </c>
      <c r="AD78" s="221">
        <v>0</v>
      </c>
      <c r="AE78" s="203"/>
    </row>
    <row r="79" spans="1:31" s="204" customFormat="1" ht="15" x14ac:dyDescent="0.2">
      <c r="A79" s="199"/>
      <c r="B79" s="220" t="s">
        <v>2574</v>
      </c>
      <c r="C79" s="188"/>
      <c r="D79" s="171"/>
      <c r="E79" s="171">
        <f>+I79+M79</f>
        <v>4612.1850000000004</v>
      </c>
      <c r="F79" s="172"/>
      <c r="G79" s="173"/>
      <c r="H79" s="171"/>
      <c r="I79" s="171"/>
      <c r="J79" s="172"/>
      <c r="K79" s="173"/>
      <c r="L79" s="171"/>
      <c r="M79" s="582">
        <f>Recaud!C15/1000+W79</f>
        <v>4612.1850000000004</v>
      </c>
      <c r="N79" s="172"/>
      <c r="O79" s="253"/>
      <c r="P79" s="189"/>
      <c r="Q79" s="171">
        <f>Recaud!C15/1000</f>
        <v>4612.1850000000004</v>
      </c>
      <c r="R79" s="171"/>
      <c r="S79" s="171"/>
      <c r="T79" s="171"/>
      <c r="U79" s="171">
        <f>ROUND(+Q79+S79+T79+R79,0)</f>
        <v>4612</v>
      </c>
      <c r="V79" s="194"/>
      <c r="W79" s="221">
        <v>0</v>
      </c>
      <c r="X79" s="171">
        <v>0</v>
      </c>
      <c r="Y79" s="221">
        <v>0</v>
      </c>
      <c r="Z79" s="221">
        <v>0</v>
      </c>
      <c r="AA79" s="221">
        <f>GETPIVOTDATA(" Intereses_t",'Proyeccion Recaudos (2)'!$A$6,"Torre","T1B","Fecha",DATE(2025,10,1))/1000</f>
        <v>0</v>
      </c>
      <c r="AB79" s="221">
        <f>GETPIVOTDATA(" Intereses_t",'Proyeccion Recaudos (2)'!$A$6,"Torre","T1B","Fecha",DATE(2025,9,1))/1000</f>
        <v>1016.636</v>
      </c>
      <c r="AC79" s="221">
        <f>GETPIVOTDATA(" Intereses_t",'Proyeccion Recaudos (2)'!$A$6,"Torre","T1B","Fecha",DATE(2025,8,1))/1000</f>
        <v>2491.3919999999998</v>
      </c>
      <c r="AD79" s="221">
        <v>0</v>
      </c>
      <c r="AE79" s="203"/>
    </row>
    <row r="80" spans="1:31" s="204" customFormat="1" ht="15" hidden="1" x14ac:dyDescent="0.2">
      <c r="A80" s="199"/>
      <c r="B80" s="220" t="s">
        <v>2657</v>
      </c>
      <c r="C80" s="188"/>
      <c r="D80" s="171"/>
      <c r="E80" s="171"/>
      <c r="F80" s="172"/>
      <c r="G80" s="173"/>
      <c r="H80" s="171"/>
      <c r="I80" s="171"/>
      <c r="J80" s="172"/>
      <c r="K80" s="173"/>
      <c r="L80" s="171"/>
      <c r="M80" s="582"/>
      <c r="N80" s="172"/>
      <c r="O80" s="253"/>
      <c r="P80" s="189"/>
      <c r="Q80" s="171"/>
      <c r="R80" s="171"/>
      <c r="S80" s="171"/>
      <c r="T80" s="171"/>
      <c r="U80" s="171"/>
      <c r="V80" s="194"/>
      <c r="W80" s="221">
        <v>0</v>
      </c>
      <c r="X80" s="171">
        <v>0</v>
      </c>
      <c r="Y80" s="221"/>
      <c r="Z80" s="221"/>
      <c r="AA80" s="221"/>
      <c r="AB80" s="221"/>
      <c r="AC80" s="221"/>
      <c r="AD80" s="221">
        <v>0</v>
      </c>
      <c r="AE80" s="203"/>
    </row>
    <row r="81" spans="1:31" s="204" customFormat="1" ht="15" x14ac:dyDescent="0.2">
      <c r="A81" s="199"/>
      <c r="B81" s="220" t="s">
        <v>1525</v>
      </c>
      <c r="C81" s="188"/>
      <c r="D81" s="662"/>
      <c r="E81" s="171">
        <f>+I81+M81</f>
        <v>71577.048999999999</v>
      </c>
      <c r="F81" s="663"/>
      <c r="G81" s="173"/>
      <c r="H81" s="662"/>
      <c r="I81" s="662"/>
      <c r="J81" s="663"/>
      <c r="K81" s="173"/>
      <c r="L81" s="662"/>
      <c r="M81" s="662">
        <f>Recaud!E15/1000</f>
        <v>71577.048999999999</v>
      </c>
      <c r="N81" s="663"/>
      <c r="O81" s="253"/>
      <c r="P81" s="189"/>
      <c r="Q81" s="171">
        <f>+M81</f>
        <v>71577.048999999999</v>
      </c>
      <c r="R81" s="662"/>
      <c r="S81" s="662"/>
      <c r="T81" s="662"/>
      <c r="U81" s="171">
        <f>ROUND(+Q81+S81+T81+R81,0)</f>
        <v>71577</v>
      </c>
      <c r="V81" s="194"/>
      <c r="W81" s="221">
        <f>ROUND(+Y81+Z81,0)</f>
        <v>0</v>
      </c>
      <c r="X81" s="662">
        <v>0</v>
      </c>
      <c r="Y81" s="221">
        <v>0</v>
      </c>
      <c r="Z81" s="221">
        <f t="shared" si="40"/>
        <v>0</v>
      </c>
      <c r="AA81" s="221">
        <f>GETPIVOTDATA(" Intereses_t",'Proyeccion Recaudos (2)'!$A$6,"Torre","T3A","Fecha",DATE(2025,10,1))/1000</f>
        <v>0</v>
      </c>
      <c r="AB81" s="221">
        <f>GETPIVOTDATA(" Intereses_t",'Proyeccion Recaudos (2)'!$A$6,"Torre","T3A","Fecha",DATE(2025,9,1))/1000</f>
        <v>0</v>
      </c>
      <c r="AC81" s="221">
        <f>GETPIVOTDATA(" Intereses_t",'Proyeccion Recaudos (2)'!$A$6,"Torre","T3A","Fecha",DATE(2025,8,1))/1000</f>
        <v>0</v>
      </c>
      <c r="AD81" s="221">
        <v>0</v>
      </c>
      <c r="AE81" s="203"/>
    </row>
    <row r="82" spans="1:31" s="254" customFormat="1" ht="18.75" x14ac:dyDescent="0.2">
      <c r="A82" s="251"/>
      <c r="B82" s="259" t="s">
        <v>830</v>
      </c>
      <c r="C82" s="252"/>
      <c r="D82" s="256"/>
      <c r="E82" s="255">
        <f>SUM(E68:E81)</f>
        <v>615194.94000000006</v>
      </c>
      <c r="F82" s="257"/>
      <c r="G82" s="173"/>
      <c r="H82" s="256"/>
      <c r="I82" s="255">
        <f>SUM(I68:I81)</f>
        <v>0</v>
      </c>
      <c r="J82" s="257"/>
      <c r="K82" s="173"/>
      <c r="L82" s="256"/>
      <c r="M82" s="255">
        <f>SUM(M68:M81)</f>
        <v>615194.94000000006</v>
      </c>
      <c r="N82" s="257"/>
      <c r="O82" s="253"/>
      <c r="P82" s="189"/>
      <c r="Q82" s="255">
        <f>SUM(Q68:Q81)</f>
        <v>525987.28899999999</v>
      </c>
      <c r="R82" s="255">
        <f>SUM(R68:R81)</f>
        <v>0</v>
      </c>
      <c r="S82" s="255">
        <f>SUM(S68:S81)</f>
        <v>1258.6959999999999</v>
      </c>
      <c r="T82" s="255">
        <f>SUM(T68:T81)</f>
        <v>0</v>
      </c>
      <c r="U82" s="255">
        <f>SUM(U68:U81)+1</f>
        <v>527248</v>
      </c>
      <c r="V82" s="194"/>
      <c r="W82" s="255">
        <f>SUM(W68:W81)</f>
        <v>87949</v>
      </c>
      <c r="X82" s="255">
        <f t="shared" ref="X82:AD82" si="42">SUM(X68:X81)</f>
        <v>0</v>
      </c>
      <c r="Y82" s="255">
        <f t="shared" si="42"/>
        <v>24775.52</v>
      </c>
      <c r="Z82" s="255">
        <f t="shared" si="42"/>
        <v>63173</v>
      </c>
      <c r="AA82" s="255">
        <f t="shared" si="42"/>
        <v>318.99599999999998</v>
      </c>
      <c r="AB82" s="255">
        <f>SUM(AB68:AB81)</f>
        <v>7903.2420000000002</v>
      </c>
      <c r="AC82" s="255">
        <f t="shared" si="42"/>
        <v>6631.3279999999995</v>
      </c>
      <c r="AD82" s="255">
        <f t="shared" si="42"/>
        <v>51827.837999999996</v>
      </c>
    </row>
    <row r="83" spans="1:31" s="204" customFormat="1" ht="27" customHeight="1" thickBot="1" x14ac:dyDescent="0.25">
      <c r="A83" s="199"/>
      <c r="B83" s="268" t="s">
        <v>23</v>
      </c>
      <c r="C83" s="188"/>
      <c r="D83" s="269">
        <f>+D13</f>
        <v>621</v>
      </c>
      <c r="E83" s="270">
        <f>+E56+E44+E82</f>
        <v>492654818.93799996</v>
      </c>
      <c r="F83" s="271">
        <f ca="1">+F13</f>
        <v>44468</v>
      </c>
      <c r="G83" s="188"/>
      <c r="H83" s="269">
        <f>+H13</f>
        <v>46</v>
      </c>
      <c r="I83" s="270">
        <f>+I56+I44+I82</f>
        <v>215550635.009</v>
      </c>
      <c r="J83" s="271">
        <f>+J13</f>
        <v>3456.2200000000003</v>
      </c>
      <c r="K83" s="188"/>
      <c r="L83" s="269">
        <f>+L13</f>
        <v>575</v>
      </c>
      <c r="M83" s="270">
        <f>+M56+M44+M82</f>
        <v>277104182.59200001</v>
      </c>
      <c r="N83" s="271">
        <f ca="1">+N13</f>
        <v>41012.439999999988</v>
      </c>
      <c r="O83" s="253"/>
      <c r="P83" s="232"/>
      <c r="Q83" s="270">
        <f>+Q56+Q44+Q82</f>
        <v>83443509.177000001</v>
      </c>
      <c r="R83" s="270">
        <f>+R56+R44+R82</f>
        <v>31142851.776000004</v>
      </c>
      <c r="S83" s="270">
        <f>+S56+S44+S82</f>
        <v>304983.147</v>
      </c>
      <c r="T83" s="270">
        <f>+T56+T44+T82</f>
        <v>0</v>
      </c>
      <c r="U83" s="270">
        <f>+U56+U44+U82</f>
        <v>114891346.486</v>
      </c>
      <c r="V83" s="194"/>
      <c r="W83" s="270">
        <f>+W56+W44+W82+1</f>
        <v>111423840</v>
      </c>
      <c r="X83" s="270">
        <f t="shared" ref="X83:AD83" si="43">+X56+X44+X82</f>
        <v>93127315.716999993</v>
      </c>
      <c r="Y83" s="270">
        <f t="shared" si="43"/>
        <v>14394369.580899997</v>
      </c>
      <c r="Z83" s="270">
        <f t="shared" si="43"/>
        <v>3902155</v>
      </c>
      <c r="AA83" s="270">
        <f t="shared" si="43"/>
        <v>1211125.2440000002</v>
      </c>
      <c r="AB83" s="270">
        <f t="shared" si="43"/>
        <v>1120799.0459999999</v>
      </c>
      <c r="AC83" s="270">
        <f t="shared" si="43"/>
        <v>781221.72574999998</v>
      </c>
      <c r="AD83" s="270">
        <f t="shared" si="43"/>
        <v>792516.77060000005</v>
      </c>
      <c r="AE83" s="203"/>
    </row>
    <row r="84" spans="1:31" x14ac:dyDescent="0.2">
      <c r="A84" s="187"/>
      <c r="B84" s="229"/>
      <c r="C84" s="230"/>
      <c r="D84" s="223"/>
      <c r="E84" s="229"/>
      <c r="F84" s="229"/>
      <c r="G84" s="229"/>
      <c r="H84" s="229"/>
      <c r="I84" s="229"/>
      <c r="J84" s="229"/>
      <c r="K84" s="233"/>
      <c r="M84" s="234"/>
      <c r="N84" s="235"/>
      <c r="O84" s="219"/>
      <c r="P84" s="219"/>
      <c r="Q84" s="235"/>
      <c r="R84" s="235"/>
      <c r="S84" s="219"/>
      <c r="T84" s="219"/>
      <c r="U84" s="229"/>
      <c r="V84" s="194"/>
      <c r="W84" s="219"/>
      <c r="X84" s="219"/>
      <c r="Y84" s="229"/>
      <c r="Z84" s="578">
        <f>+Z83/W83</f>
        <v>3.5020826781773096E-2</v>
      </c>
      <c r="AA84" s="236">
        <f>+AA83/$Z$83</f>
        <v>0.31037343314143084</v>
      </c>
      <c r="AB84" s="236">
        <f>+AB83/$Z$83</f>
        <v>0.28722566018007994</v>
      </c>
      <c r="AC84" s="236">
        <f>+AC83/$Z$83</f>
        <v>0.20020263822170056</v>
      </c>
      <c r="AD84" s="236">
        <f>+AD83/$Z$83</f>
        <v>0.20309720413463844</v>
      </c>
    </row>
    <row r="85" spans="1:31" ht="12.75" customHeight="1" x14ac:dyDescent="0.2">
      <c r="A85" s="187"/>
      <c r="B85" s="229"/>
      <c r="C85" s="237"/>
      <c r="D85" s="223"/>
      <c r="E85" s="229"/>
      <c r="F85" s="244"/>
      <c r="G85" s="229"/>
      <c r="H85" s="229"/>
      <c r="I85" s="229"/>
      <c r="J85" s="238"/>
      <c r="K85" s="210"/>
      <c r="L85" s="239"/>
      <c r="M85" s="240"/>
      <c r="N85" s="219"/>
      <c r="O85" s="219"/>
      <c r="P85" s="219"/>
      <c r="Q85" s="219"/>
      <c r="R85" s="219"/>
      <c r="S85" s="219"/>
      <c r="T85" s="219"/>
      <c r="U85" s="241"/>
      <c r="V85" s="194"/>
      <c r="W85" s="229"/>
      <c r="X85" s="229"/>
      <c r="Y85" s="229"/>
      <c r="Z85" s="229"/>
      <c r="AA85" s="187"/>
      <c r="AB85" s="187"/>
      <c r="AC85" s="187"/>
      <c r="AD85" s="187"/>
      <c r="AE85" s="231"/>
    </row>
    <row r="86" spans="1:31" x14ac:dyDescent="0.2">
      <c r="A86" s="187"/>
      <c r="B86" s="229"/>
      <c r="D86" s="223"/>
      <c r="E86" s="229"/>
      <c r="G86" s="229"/>
      <c r="H86" s="229"/>
      <c r="I86" s="229"/>
      <c r="J86" s="199"/>
      <c r="K86" s="210"/>
      <c r="L86" s="242"/>
      <c r="M86" s="243"/>
      <c r="N86" s="219"/>
      <c r="O86" s="219"/>
      <c r="P86" s="219"/>
      <c r="Q86" s="241">
        <f>+U8+W8-M8-M18</f>
        <v>-521519.09300000221</v>
      </c>
      <c r="R86" s="219"/>
      <c r="S86" s="219"/>
      <c r="T86" s="219"/>
      <c r="U86" s="241">
        <f>++U39+W39-M39</f>
        <v>-521519.09300000221</v>
      </c>
      <c r="V86" s="194"/>
      <c r="W86" s="241"/>
      <c r="X86" s="241"/>
      <c r="Y86" s="229"/>
      <c r="Z86" s="229"/>
      <c r="AA86" s="187"/>
      <c r="AB86" s="187"/>
      <c r="AC86" s="187"/>
      <c r="AD86" s="187"/>
      <c r="AE86" s="231"/>
    </row>
    <row r="87" spans="1:31" x14ac:dyDescent="0.2">
      <c r="A87" s="187"/>
      <c r="B87" s="229"/>
      <c r="D87" s="223"/>
      <c r="E87" s="229"/>
      <c r="F87" s="229"/>
      <c r="G87" s="229"/>
      <c r="H87" s="229"/>
      <c r="I87" s="229"/>
      <c r="J87" s="199"/>
      <c r="K87" s="210"/>
      <c r="L87" s="242"/>
      <c r="M87" s="243"/>
      <c r="N87" s="219"/>
      <c r="O87" s="219"/>
      <c r="P87" s="244"/>
      <c r="Q87" s="241">
        <f>+U9+W9-M9-M23</f>
        <v>-1033379.5639999993</v>
      </c>
      <c r="R87" s="243"/>
      <c r="S87" s="219"/>
      <c r="T87" s="219"/>
      <c r="U87" s="241">
        <f>++U40+W40-M40</f>
        <v>-1033379.5639999993</v>
      </c>
      <c r="V87" s="194"/>
      <c r="W87" s="584"/>
      <c r="X87" s="584"/>
      <c r="Y87" s="584"/>
      <c r="Z87" s="229"/>
      <c r="AA87" s="187"/>
      <c r="AB87" s="187"/>
      <c r="AC87" s="187"/>
      <c r="AD87" s="187"/>
      <c r="AE87" s="231"/>
    </row>
    <row r="88" spans="1:31" x14ac:dyDescent="0.2">
      <c r="A88" s="187"/>
      <c r="B88" s="229"/>
      <c r="D88" s="223"/>
      <c r="E88" s="229"/>
      <c r="F88" s="229"/>
      <c r="G88" s="229"/>
      <c r="H88" s="229"/>
      <c r="I88" s="229"/>
      <c r="J88" s="199"/>
      <c r="K88" s="210"/>
      <c r="L88" s="242"/>
      <c r="M88" s="243"/>
      <c r="N88" s="219"/>
      <c r="O88" s="219"/>
      <c r="P88" s="244"/>
      <c r="Q88" s="243"/>
      <c r="R88" s="243"/>
      <c r="S88" s="219"/>
      <c r="T88" s="219"/>
      <c r="U88" s="241">
        <f>++U42+W42-M42</f>
        <v>-715299.88099999726</v>
      </c>
      <c r="V88" s="194"/>
      <c r="W88" s="229"/>
      <c r="X88" s="229"/>
      <c r="Y88" s="229"/>
      <c r="Z88" s="229"/>
      <c r="AA88" s="187"/>
      <c r="AB88" s="187"/>
      <c r="AC88" s="187"/>
      <c r="AD88" s="187"/>
      <c r="AE88" s="231"/>
    </row>
    <row r="89" spans="1:31" x14ac:dyDescent="0.2">
      <c r="A89" s="187"/>
      <c r="B89" s="229"/>
      <c r="D89" s="223"/>
      <c r="E89" s="229"/>
      <c r="F89" s="229"/>
      <c r="G89" s="229"/>
      <c r="H89" s="229"/>
      <c r="I89" s="229"/>
      <c r="J89" s="199"/>
      <c r="K89" s="210"/>
      <c r="L89" s="242"/>
      <c r="M89" s="243"/>
      <c r="N89" s="219"/>
      <c r="O89" s="219"/>
      <c r="P89" s="244"/>
      <c r="Q89" s="243"/>
      <c r="R89" s="243"/>
      <c r="S89" s="219"/>
      <c r="T89" s="219"/>
      <c r="U89" s="241">
        <f>++U43+W43-M43</f>
        <v>-360356.77499999851</v>
      </c>
      <c r="V89" s="194"/>
      <c r="W89" s="229"/>
      <c r="X89" s="229"/>
      <c r="Y89" s="229"/>
      <c r="Z89" s="229"/>
      <c r="AA89" s="187"/>
      <c r="AB89" s="187"/>
      <c r="AC89" s="187"/>
      <c r="AD89" s="187"/>
      <c r="AE89" s="231"/>
    </row>
    <row r="90" spans="1:31" x14ac:dyDescent="0.2">
      <c r="B90" s="229"/>
      <c r="C90" s="237"/>
      <c r="D90" s="223"/>
      <c r="E90" s="229"/>
      <c r="F90" s="229"/>
      <c r="G90" s="229"/>
      <c r="H90" s="229"/>
      <c r="I90" s="229"/>
      <c r="J90" s="199"/>
      <c r="K90" s="210"/>
      <c r="L90" s="242"/>
      <c r="M90" s="243"/>
      <c r="N90" s="219"/>
      <c r="O90" s="219"/>
      <c r="P90" s="219"/>
      <c r="Q90" s="219"/>
      <c r="R90" s="219"/>
      <c r="S90" s="219"/>
      <c r="T90" s="245"/>
      <c r="U90" s="241">
        <f>++U46+W46-M46</f>
        <v>0</v>
      </c>
      <c r="V90" s="194"/>
      <c r="Z90" s="230"/>
    </row>
    <row r="91" spans="1:31" s="247" customFormat="1" x14ac:dyDescent="0.2">
      <c r="B91" s="230"/>
      <c r="C91" s="230"/>
      <c r="D91" s="230"/>
      <c r="E91" s="230"/>
      <c r="F91" s="245"/>
      <c r="G91" s="230"/>
      <c r="H91" s="230"/>
      <c r="I91" s="230"/>
      <c r="J91" s="230"/>
      <c r="K91" s="230"/>
      <c r="L91" s="248"/>
      <c r="M91" s="230"/>
      <c r="N91" s="230"/>
      <c r="O91" s="230"/>
      <c r="P91" s="230"/>
      <c r="Q91" s="230"/>
      <c r="R91" s="230"/>
      <c r="S91" s="230"/>
      <c r="T91" s="230"/>
      <c r="U91" s="241">
        <f>++U47+W47-M47</f>
        <v>-0.39199999999254942</v>
      </c>
      <c r="V91" s="194"/>
      <c r="W91" s="249"/>
      <c r="X91" s="249"/>
      <c r="Y91" s="230"/>
      <c r="Z91" s="230"/>
      <c r="AA91" s="175"/>
      <c r="AB91" s="175"/>
      <c r="AC91" s="175"/>
      <c r="AD91" s="175"/>
      <c r="AE91" s="175"/>
    </row>
    <row r="92" spans="1:31" s="247" customFormat="1" x14ac:dyDescent="0.2">
      <c r="B92" s="230"/>
      <c r="C92" s="230"/>
      <c r="D92" s="230"/>
      <c r="E92" s="230"/>
      <c r="F92" s="230"/>
      <c r="G92" s="230"/>
      <c r="H92" s="230"/>
      <c r="I92" s="249"/>
      <c r="J92" s="230"/>
      <c r="K92" s="230"/>
      <c r="L92" s="233"/>
      <c r="M92" s="230"/>
      <c r="N92" s="230"/>
      <c r="O92" s="230"/>
      <c r="P92" s="230"/>
      <c r="Q92" s="230"/>
      <c r="R92" s="230"/>
      <c r="S92" s="230"/>
      <c r="T92" s="230"/>
      <c r="U92" s="241">
        <f>++U48+W48-M48</f>
        <v>154496.11699999997</v>
      </c>
      <c r="V92" s="194"/>
      <c r="W92" s="249"/>
      <c r="X92" s="249"/>
      <c r="Y92" s="230"/>
      <c r="Z92" s="230"/>
      <c r="AA92" s="230"/>
      <c r="AB92" s="175"/>
      <c r="AC92" s="175"/>
      <c r="AD92" s="175"/>
      <c r="AE92" s="175"/>
    </row>
    <row r="93" spans="1:31" s="247" customFormat="1" x14ac:dyDescent="0.2">
      <c r="B93" s="230"/>
      <c r="C93" s="230"/>
      <c r="D93" s="230"/>
      <c r="E93" s="230"/>
      <c r="F93" s="230"/>
      <c r="G93" s="230"/>
      <c r="H93" s="230"/>
      <c r="I93" s="249"/>
      <c r="J93" s="230"/>
      <c r="K93" s="230"/>
      <c r="L93" s="233"/>
      <c r="M93" s="230"/>
      <c r="N93" s="230"/>
      <c r="O93" s="230"/>
      <c r="P93" s="230"/>
      <c r="Q93" s="246"/>
      <c r="R93" s="246"/>
      <c r="S93" s="230"/>
      <c r="T93" s="230"/>
      <c r="U93" s="241">
        <f>++U49+W49-M49</f>
        <v>51638.879999999946</v>
      </c>
      <c r="V93" s="194"/>
      <c r="W93" s="250"/>
      <c r="X93" s="250"/>
      <c r="Y93" s="230"/>
      <c r="Z93" s="230"/>
      <c r="AA93" s="230"/>
      <c r="AB93" s="175"/>
      <c r="AC93" s="175"/>
      <c r="AD93" s="175"/>
      <c r="AE93" s="175"/>
    </row>
    <row r="94" spans="1:31" s="247" customFormat="1" x14ac:dyDescent="0.2"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3"/>
      <c r="M94" s="230"/>
      <c r="N94" s="230"/>
      <c r="O94" s="230"/>
      <c r="P94" s="230"/>
      <c r="Q94" s="246"/>
      <c r="R94" s="246"/>
      <c r="S94" s="230"/>
      <c r="T94" s="230"/>
      <c r="U94" s="241">
        <f>++U52+W52-M52</f>
        <v>292536.26699999999</v>
      </c>
      <c r="V94" s="194"/>
      <c r="W94" s="250"/>
      <c r="X94" s="250"/>
      <c r="Y94" s="230"/>
      <c r="Z94" s="230"/>
      <c r="AA94" s="230"/>
      <c r="AB94" s="175"/>
      <c r="AC94" s="175"/>
      <c r="AD94" s="175"/>
      <c r="AE94" s="175"/>
    </row>
    <row r="95" spans="1:31" s="247" customFormat="1" x14ac:dyDescent="0.2">
      <c r="B95" s="230"/>
      <c r="C95" s="230"/>
      <c r="D95" s="230"/>
      <c r="E95" s="230"/>
      <c r="F95" s="230"/>
      <c r="G95" s="230"/>
      <c r="H95" s="230"/>
      <c r="I95" s="230"/>
      <c r="J95" s="230"/>
      <c r="K95" s="230"/>
      <c r="L95" s="233"/>
      <c r="M95" s="230"/>
      <c r="N95" s="230"/>
      <c r="O95" s="230"/>
      <c r="P95" s="230"/>
      <c r="Q95" s="246"/>
      <c r="R95" s="246"/>
      <c r="S95" s="230"/>
      <c r="T95" s="230"/>
      <c r="U95" s="250"/>
      <c r="V95" s="194"/>
      <c r="W95" s="250"/>
      <c r="X95" s="250"/>
      <c r="Y95" s="230"/>
      <c r="Z95" s="230"/>
      <c r="AA95" s="230"/>
      <c r="AB95" s="175"/>
      <c r="AC95" s="175"/>
      <c r="AD95" s="175"/>
      <c r="AE95" s="175"/>
    </row>
    <row r="96" spans="1:31" s="247" customFormat="1" x14ac:dyDescent="0.2">
      <c r="B96" s="230"/>
      <c r="C96" s="230"/>
      <c r="D96" s="230"/>
      <c r="E96" s="230"/>
      <c r="F96" s="230"/>
      <c r="G96" s="230"/>
      <c r="H96" s="230"/>
      <c r="I96" s="230"/>
      <c r="J96" s="230"/>
      <c r="K96" s="230"/>
      <c r="L96" s="233"/>
      <c r="M96" s="230"/>
      <c r="N96" s="230"/>
      <c r="O96" s="230"/>
      <c r="P96" s="230"/>
      <c r="Q96" s="230"/>
      <c r="R96" s="230"/>
      <c r="S96" s="230"/>
      <c r="T96" s="230"/>
      <c r="U96" s="230"/>
      <c r="V96" s="194"/>
      <c r="W96" s="230"/>
      <c r="X96" s="230"/>
      <c r="Y96" s="230"/>
      <c r="Z96" s="230"/>
      <c r="AA96" s="230"/>
      <c r="AB96" s="175"/>
      <c r="AC96" s="175"/>
      <c r="AD96" s="175"/>
      <c r="AE96" s="175"/>
    </row>
    <row r="97" spans="2:31" s="247" customFormat="1" x14ac:dyDescent="0.2">
      <c r="B97" s="230"/>
      <c r="C97" s="230"/>
      <c r="D97" s="230"/>
      <c r="E97" s="230"/>
      <c r="F97" s="230"/>
      <c r="G97" s="230"/>
      <c r="H97" s="230"/>
      <c r="I97" s="230"/>
      <c r="J97" s="230"/>
      <c r="K97" s="230"/>
      <c r="L97" s="233"/>
      <c r="M97" s="230"/>
      <c r="N97" s="230"/>
      <c r="O97" s="230"/>
      <c r="P97" s="230"/>
      <c r="Q97" s="230"/>
      <c r="R97" s="230"/>
      <c r="S97" s="230"/>
      <c r="T97" s="230"/>
      <c r="U97" s="230"/>
      <c r="V97" s="194"/>
      <c r="W97" s="230"/>
      <c r="X97" s="230"/>
      <c r="Y97" s="230"/>
      <c r="Z97" s="230"/>
      <c r="AA97" s="230"/>
      <c r="AB97" s="175"/>
      <c r="AC97" s="175"/>
      <c r="AD97" s="175"/>
      <c r="AE97" s="175"/>
    </row>
    <row r="98" spans="2:31" s="247" customFormat="1" x14ac:dyDescent="0.2">
      <c r="B98" s="230"/>
      <c r="C98" s="230"/>
      <c r="D98" s="230"/>
      <c r="E98" s="230"/>
      <c r="F98" s="230"/>
      <c r="G98" s="230"/>
      <c r="H98" s="230"/>
      <c r="I98" s="230"/>
      <c r="J98" s="230"/>
      <c r="K98" s="230"/>
      <c r="L98" s="233"/>
      <c r="M98" s="230"/>
      <c r="N98" s="230"/>
      <c r="O98" s="230"/>
      <c r="P98" s="230"/>
      <c r="Q98" s="230"/>
      <c r="R98" s="230"/>
      <c r="S98" s="230"/>
      <c r="T98" s="230"/>
      <c r="U98" s="230"/>
      <c r="V98" s="194"/>
      <c r="W98" s="230"/>
      <c r="X98" s="230"/>
      <c r="Y98" s="230"/>
      <c r="Z98" s="230"/>
      <c r="AA98" s="230"/>
      <c r="AB98" s="175"/>
      <c r="AC98" s="175"/>
      <c r="AD98" s="175"/>
      <c r="AE98" s="175"/>
    </row>
    <row r="99" spans="2:31" s="247" customFormat="1" x14ac:dyDescent="0.2">
      <c r="B99" s="230"/>
      <c r="C99" s="230"/>
      <c r="D99" s="230"/>
      <c r="E99" s="230"/>
      <c r="F99" s="230"/>
      <c r="G99" s="230"/>
      <c r="H99" s="230"/>
      <c r="I99" s="230"/>
      <c r="J99" s="230"/>
      <c r="K99" s="230"/>
      <c r="L99" s="233"/>
      <c r="M99" s="230"/>
      <c r="N99" s="230"/>
      <c r="O99" s="230"/>
      <c r="P99" s="230"/>
      <c r="Q99" s="230"/>
      <c r="R99" s="230"/>
      <c r="S99" s="230"/>
      <c r="T99" s="230"/>
      <c r="U99" s="230"/>
      <c r="V99" s="194"/>
      <c r="W99" s="230"/>
      <c r="X99" s="230"/>
      <c r="Y99" s="230"/>
      <c r="Z99" s="230"/>
      <c r="AA99" s="230"/>
      <c r="AB99" s="175"/>
      <c r="AC99" s="175"/>
      <c r="AD99" s="175"/>
      <c r="AE99" s="175"/>
    </row>
    <row r="100" spans="2:31" s="247" customFormat="1" x14ac:dyDescent="0.2">
      <c r="B100" s="230"/>
      <c r="C100" s="230"/>
      <c r="D100" s="230"/>
      <c r="E100" s="230"/>
      <c r="F100" s="230"/>
      <c r="G100" s="230"/>
      <c r="H100" s="230"/>
      <c r="I100" s="230"/>
      <c r="J100" s="230"/>
      <c r="K100" s="230"/>
      <c r="L100" s="233"/>
      <c r="M100" s="230"/>
      <c r="N100" s="230"/>
      <c r="O100" s="230"/>
      <c r="P100" s="230"/>
      <c r="Q100" s="230"/>
      <c r="R100" s="230"/>
      <c r="S100" s="230"/>
      <c r="T100" s="230"/>
      <c r="U100" s="230"/>
      <c r="V100" s="194"/>
      <c r="W100" s="230"/>
      <c r="X100" s="230"/>
      <c r="Y100" s="230"/>
      <c r="Z100" s="230"/>
      <c r="AA100" s="230"/>
      <c r="AB100" s="175"/>
      <c r="AC100" s="175"/>
      <c r="AD100" s="175"/>
      <c r="AE100" s="175"/>
    </row>
    <row r="101" spans="2:31" s="247" customFormat="1" x14ac:dyDescent="0.2">
      <c r="B101" s="230"/>
      <c r="C101" s="230"/>
      <c r="D101" s="230"/>
      <c r="E101" s="230"/>
      <c r="F101" s="230"/>
      <c r="G101" s="230"/>
      <c r="H101" s="230"/>
      <c r="I101" s="230"/>
      <c r="J101" s="230"/>
      <c r="K101" s="230"/>
      <c r="L101" s="233"/>
      <c r="M101" s="230"/>
      <c r="N101" s="230"/>
      <c r="O101" s="230"/>
      <c r="P101" s="230"/>
      <c r="Q101" s="230"/>
      <c r="R101" s="230"/>
      <c r="S101" s="230"/>
      <c r="T101" s="230"/>
      <c r="U101" s="230"/>
      <c r="V101" s="194"/>
      <c r="W101" s="230"/>
      <c r="X101" s="230"/>
      <c r="Y101" s="230"/>
      <c r="Z101" s="230"/>
      <c r="AA101" s="230"/>
      <c r="AB101" s="175"/>
      <c r="AC101" s="175"/>
      <c r="AD101" s="175"/>
      <c r="AE101" s="175"/>
    </row>
    <row r="102" spans="2:31" s="247" customFormat="1" x14ac:dyDescent="0.2">
      <c r="B102" s="230"/>
      <c r="C102" s="230"/>
      <c r="D102" s="230"/>
      <c r="E102" s="230"/>
      <c r="F102" s="230"/>
      <c r="G102" s="230"/>
      <c r="H102" s="230"/>
      <c r="I102" s="230"/>
      <c r="J102" s="230"/>
      <c r="K102" s="230"/>
      <c r="L102" s="233"/>
      <c r="M102" s="230"/>
      <c r="N102" s="230"/>
      <c r="O102" s="230"/>
      <c r="P102" s="230"/>
      <c r="Q102" s="230"/>
      <c r="R102" s="230"/>
      <c r="S102" s="230"/>
      <c r="T102" s="230"/>
      <c r="U102" s="230"/>
      <c r="V102" s="230"/>
      <c r="W102" s="230"/>
      <c r="X102" s="230"/>
      <c r="Y102" s="230"/>
      <c r="Z102" s="230"/>
      <c r="AA102" s="230"/>
      <c r="AB102" s="175"/>
      <c r="AC102" s="175"/>
      <c r="AD102" s="175"/>
      <c r="AE102" s="175"/>
    </row>
    <row r="103" spans="2:31" s="247" customFormat="1" x14ac:dyDescent="0.2">
      <c r="B103" s="230"/>
      <c r="C103" s="230"/>
      <c r="D103" s="230"/>
      <c r="E103" s="230"/>
      <c r="F103" s="230"/>
      <c r="G103" s="230"/>
      <c r="H103" s="230"/>
      <c r="I103" s="230"/>
      <c r="J103" s="230"/>
      <c r="K103" s="230"/>
      <c r="L103" s="233"/>
      <c r="M103" s="230"/>
      <c r="N103" s="230"/>
      <c r="O103" s="230"/>
      <c r="P103" s="230"/>
      <c r="Q103" s="230"/>
      <c r="R103" s="230"/>
      <c r="S103" s="230"/>
      <c r="T103" s="230"/>
      <c r="U103" s="230"/>
      <c r="V103" s="230"/>
      <c r="W103" s="230"/>
      <c r="X103" s="230"/>
      <c r="Y103" s="230"/>
      <c r="Z103" s="230"/>
      <c r="AA103" s="230"/>
      <c r="AB103" s="175"/>
      <c r="AC103" s="175"/>
      <c r="AD103" s="175"/>
      <c r="AE103" s="175"/>
    </row>
    <row r="104" spans="2:31" s="247" customFormat="1" x14ac:dyDescent="0.2">
      <c r="B104" s="230"/>
      <c r="C104" s="230"/>
      <c r="D104" s="230"/>
      <c r="E104" s="230"/>
      <c r="F104" s="230"/>
      <c r="G104" s="230"/>
      <c r="H104" s="230"/>
      <c r="I104" s="230"/>
      <c r="J104" s="230"/>
      <c r="K104" s="230"/>
      <c r="L104" s="233"/>
      <c r="M104" s="230"/>
      <c r="N104" s="230"/>
      <c r="O104" s="230"/>
      <c r="P104" s="230"/>
      <c r="Q104" s="230"/>
      <c r="R104" s="230"/>
      <c r="S104" s="230"/>
      <c r="T104" s="230"/>
      <c r="U104" s="230"/>
      <c r="V104" s="230"/>
      <c r="W104" s="230"/>
      <c r="X104" s="230"/>
      <c r="Y104" s="230"/>
      <c r="Z104" s="230"/>
      <c r="AA104" s="230"/>
      <c r="AB104" s="175"/>
      <c r="AC104" s="175"/>
      <c r="AD104" s="175"/>
      <c r="AE104" s="175"/>
    </row>
    <row r="105" spans="2:31" s="247" customFormat="1" x14ac:dyDescent="0.2">
      <c r="B105" s="230"/>
      <c r="C105" s="230"/>
      <c r="D105" s="230"/>
      <c r="E105" s="230"/>
      <c r="F105" s="230"/>
      <c r="G105" s="230"/>
      <c r="H105" s="230"/>
      <c r="I105" s="230"/>
      <c r="J105" s="230"/>
      <c r="K105" s="230"/>
      <c r="L105" s="233"/>
      <c r="M105" s="230"/>
      <c r="N105" s="230"/>
      <c r="O105" s="230"/>
      <c r="P105" s="230"/>
      <c r="Q105" s="230"/>
      <c r="R105" s="230"/>
      <c r="S105" s="230"/>
      <c r="T105" s="230"/>
      <c r="U105" s="230"/>
      <c r="V105" s="230"/>
      <c r="W105" s="230"/>
      <c r="X105" s="230"/>
      <c r="Y105" s="230"/>
      <c r="Z105" s="230"/>
      <c r="AA105" s="230"/>
      <c r="AB105" s="175"/>
      <c r="AC105" s="175"/>
      <c r="AD105" s="175"/>
      <c r="AE105" s="175"/>
    </row>
    <row r="106" spans="2:31" s="247" customFormat="1" x14ac:dyDescent="0.2">
      <c r="B106" s="230"/>
      <c r="C106" s="230"/>
      <c r="D106" s="230"/>
      <c r="E106" s="230"/>
      <c r="F106" s="230"/>
      <c r="G106" s="230"/>
      <c r="H106" s="230"/>
      <c r="I106" s="230"/>
      <c r="J106" s="230"/>
      <c r="K106" s="230"/>
      <c r="L106" s="233"/>
      <c r="M106" s="230"/>
      <c r="N106" s="230"/>
      <c r="O106" s="230"/>
      <c r="P106" s="230"/>
      <c r="Q106" s="230"/>
      <c r="R106" s="230"/>
      <c r="S106" s="230"/>
      <c r="T106" s="230"/>
      <c r="U106" s="230"/>
      <c r="V106" s="230"/>
      <c r="W106" s="230"/>
      <c r="X106" s="230"/>
      <c r="Y106" s="230"/>
      <c r="Z106" s="230"/>
      <c r="AA106" s="230"/>
      <c r="AB106" s="175"/>
      <c r="AC106" s="175"/>
      <c r="AD106" s="175"/>
      <c r="AE106" s="175"/>
    </row>
    <row r="107" spans="2:31" s="247" customFormat="1" x14ac:dyDescent="0.2">
      <c r="B107" s="230"/>
      <c r="C107" s="230"/>
      <c r="D107" s="230"/>
      <c r="E107" s="230"/>
      <c r="F107" s="230"/>
      <c r="G107" s="230"/>
      <c r="H107" s="230"/>
      <c r="I107" s="230"/>
      <c r="J107" s="230"/>
      <c r="K107" s="230"/>
      <c r="L107" s="233"/>
      <c r="M107" s="230"/>
      <c r="N107" s="230"/>
      <c r="O107" s="230"/>
      <c r="P107" s="230"/>
      <c r="Q107" s="230"/>
      <c r="R107" s="230"/>
      <c r="S107" s="230"/>
      <c r="T107" s="230"/>
      <c r="U107" s="230"/>
      <c r="V107" s="230"/>
      <c r="W107" s="230"/>
      <c r="X107" s="230"/>
      <c r="Y107" s="230"/>
      <c r="Z107" s="230"/>
      <c r="AA107" s="230"/>
      <c r="AB107" s="175"/>
      <c r="AC107" s="175"/>
      <c r="AD107" s="175"/>
      <c r="AE107" s="175"/>
    </row>
    <row r="108" spans="2:31" s="247" customFormat="1" x14ac:dyDescent="0.2">
      <c r="B108" s="230"/>
      <c r="C108" s="230"/>
      <c r="D108" s="230"/>
      <c r="E108" s="230"/>
      <c r="F108" s="230"/>
      <c r="G108" s="230"/>
      <c r="H108" s="230"/>
      <c r="I108" s="230"/>
      <c r="J108" s="230"/>
      <c r="K108" s="230"/>
      <c r="L108" s="233"/>
      <c r="M108" s="230"/>
      <c r="N108" s="230"/>
      <c r="O108" s="230"/>
      <c r="P108" s="230"/>
      <c r="Q108" s="230"/>
      <c r="R108" s="230"/>
      <c r="S108" s="230"/>
      <c r="T108" s="230"/>
      <c r="U108" s="230"/>
      <c r="V108" s="230"/>
      <c r="W108" s="230"/>
      <c r="X108" s="230"/>
      <c r="Y108" s="230"/>
      <c r="Z108" s="230"/>
      <c r="AA108" s="230"/>
      <c r="AB108" s="175"/>
      <c r="AC108" s="175"/>
      <c r="AD108" s="175"/>
      <c r="AE108" s="175"/>
    </row>
    <row r="109" spans="2:31" s="247" customFormat="1" x14ac:dyDescent="0.2">
      <c r="B109" s="230"/>
      <c r="C109" s="230"/>
      <c r="D109" s="230"/>
      <c r="E109" s="230"/>
      <c r="F109" s="230"/>
      <c r="G109" s="230"/>
      <c r="H109" s="230"/>
      <c r="I109" s="230"/>
      <c r="J109" s="230"/>
      <c r="K109" s="230"/>
      <c r="L109" s="233"/>
      <c r="M109" s="230"/>
      <c r="N109" s="230"/>
      <c r="O109" s="230"/>
      <c r="P109" s="230"/>
      <c r="Q109" s="230"/>
      <c r="R109" s="230"/>
      <c r="S109" s="230"/>
      <c r="T109" s="230"/>
      <c r="U109" s="230"/>
      <c r="V109" s="230"/>
      <c r="W109" s="230"/>
      <c r="X109" s="230"/>
      <c r="Y109" s="230"/>
      <c r="Z109" s="230"/>
      <c r="AA109" s="230"/>
      <c r="AB109" s="175"/>
      <c r="AC109" s="175"/>
      <c r="AD109" s="175"/>
      <c r="AE109" s="175"/>
    </row>
    <row r="110" spans="2:31" s="247" customFormat="1" x14ac:dyDescent="0.2">
      <c r="B110" s="230"/>
      <c r="C110" s="230"/>
      <c r="D110" s="230"/>
      <c r="E110" s="230"/>
      <c r="F110" s="230"/>
      <c r="G110" s="230"/>
      <c r="H110" s="230"/>
      <c r="I110" s="230"/>
      <c r="J110" s="230"/>
      <c r="K110" s="230"/>
      <c r="L110" s="233"/>
      <c r="M110" s="230"/>
      <c r="N110" s="230"/>
      <c r="O110" s="230"/>
      <c r="P110" s="230"/>
      <c r="Q110" s="230"/>
      <c r="R110" s="230"/>
      <c r="S110" s="230"/>
      <c r="T110" s="230"/>
      <c r="U110" s="230"/>
      <c r="V110" s="230"/>
      <c r="W110" s="230"/>
      <c r="X110" s="230"/>
      <c r="Y110" s="230"/>
      <c r="Z110" s="230"/>
      <c r="AA110" s="230"/>
      <c r="AB110" s="175"/>
      <c r="AC110" s="175"/>
      <c r="AD110" s="175"/>
      <c r="AE110" s="175"/>
    </row>
    <row r="111" spans="2:31" s="247" customFormat="1" x14ac:dyDescent="0.2">
      <c r="B111" s="230"/>
      <c r="C111" s="230"/>
      <c r="D111" s="230"/>
      <c r="E111" s="230"/>
      <c r="F111" s="230"/>
      <c r="G111" s="230"/>
      <c r="H111" s="230"/>
      <c r="I111" s="230"/>
      <c r="J111" s="230"/>
      <c r="K111" s="230"/>
      <c r="L111" s="233"/>
      <c r="M111" s="230"/>
      <c r="N111" s="230"/>
      <c r="O111" s="230"/>
      <c r="P111" s="230"/>
      <c r="Q111" s="230"/>
      <c r="R111" s="230"/>
      <c r="S111" s="230"/>
      <c r="T111" s="230"/>
      <c r="U111" s="230"/>
      <c r="V111" s="230"/>
      <c r="W111" s="230"/>
      <c r="X111" s="230"/>
      <c r="Y111" s="230"/>
      <c r="Z111" s="230"/>
      <c r="AA111" s="230"/>
      <c r="AB111" s="175"/>
      <c r="AC111" s="175"/>
      <c r="AD111" s="175"/>
      <c r="AE111" s="175"/>
    </row>
    <row r="112" spans="2:31" s="247" customFormat="1" x14ac:dyDescent="0.2">
      <c r="B112" s="230"/>
      <c r="C112" s="230"/>
      <c r="D112" s="230"/>
      <c r="E112" s="230"/>
      <c r="F112" s="230"/>
      <c r="G112" s="230"/>
      <c r="H112" s="230"/>
      <c r="I112" s="230"/>
      <c r="J112" s="230"/>
      <c r="K112" s="230"/>
      <c r="L112" s="233"/>
      <c r="M112" s="230"/>
      <c r="N112" s="230"/>
      <c r="O112" s="230"/>
      <c r="P112" s="230"/>
      <c r="Q112" s="230"/>
      <c r="R112" s="230"/>
      <c r="S112" s="230"/>
      <c r="T112" s="230"/>
      <c r="U112" s="230"/>
      <c r="V112" s="230"/>
      <c r="W112" s="230"/>
      <c r="X112" s="230"/>
      <c r="Y112" s="230"/>
      <c r="Z112" s="230"/>
      <c r="AA112" s="230"/>
      <c r="AB112" s="175"/>
      <c r="AC112" s="175"/>
      <c r="AD112" s="175"/>
      <c r="AE112" s="175"/>
    </row>
    <row r="113" spans="2:31" s="247" customFormat="1" x14ac:dyDescent="0.2">
      <c r="B113" s="230"/>
      <c r="C113" s="230"/>
      <c r="D113" s="230"/>
      <c r="E113" s="230"/>
      <c r="F113" s="230"/>
      <c r="G113" s="230"/>
      <c r="H113" s="230"/>
      <c r="I113" s="230"/>
      <c r="J113" s="230"/>
      <c r="K113" s="230"/>
      <c r="L113" s="233"/>
      <c r="M113" s="230"/>
      <c r="N113" s="230"/>
      <c r="O113" s="230"/>
      <c r="P113" s="230"/>
      <c r="Q113" s="230"/>
      <c r="R113" s="230"/>
      <c r="S113" s="230"/>
      <c r="T113" s="230"/>
      <c r="U113" s="230"/>
      <c r="V113" s="230"/>
      <c r="W113" s="230"/>
      <c r="X113" s="230"/>
      <c r="Y113" s="230"/>
      <c r="Z113" s="230"/>
      <c r="AA113" s="230"/>
      <c r="AB113" s="175"/>
      <c r="AC113" s="175"/>
      <c r="AD113" s="175"/>
      <c r="AE113" s="175"/>
    </row>
    <row r="114" spans="2:31" s="247" customFormat="1" x14ac:dyDescent="0.2">
      <c r="B114" s="230"/>
      <c r="C114" s="230"/>
      <c r="D114" s="230"/>
      <c r="E114" s="230"/>
      <c r="F114" s="230"/>
      <c r="G114" s="230"/>
      <c r="H114" s="230"/>
      <c r="I114" s="230"/>
      <c r="J114" s="230"/>
      <c r="K114" s="230"/>
      <c r="L114" s="233"/>
      <c r="M114" s="230"/>
      <c r="N114" s="230"/>
      <c r="O114" s="230"/>
      <c r="P114" s="230"/>
      <c r="Q114" s="230"/>
      <c r="R114" s="230"/>
      <c r="S114" s="230"/>
      <c r="T114" s="230"/>
      <c r="U114" s="230"/>
      <c r="V114" s="230"/>
      <c r="W114" s="230"/>
      <c r="X114" s="230"/>
      <c r="Y114" s="230"/>
      <c r="Z114" s="230"/>
      <c r="AA114" s="230"/>
      <c r="AB114" s="175"/>
      <c r="AC114" s="175"/>
      <c r="AD114" s="175"/>
      <c r="AE114" s="175"/>
    </row>
    <row r="115" spans="2:31" s="247" customFormat="1" x14ac:dyDescent="0.2">
      <c r="B115" s="230"/>
      <c r="C115" s="230"/>
      <c r="D115" s="230"/>
      <c r="E115" s="230"/>
      <c r="F115" s="230"/>
      <c r="G115" s="230"/>
      <c r="H115" s="230"/>
      <c r="I115" s="230"/>
      <c r="J115" s="230"/>
      <c r="K115" s="230"/>
      <c r="L115" s="233"/>
      <c r="M115" s="230"/>
      <c r="N115" s="230"/>
      <c r="O115" s="230"/>
      <c r="P115" s="230"/>
      <c r="Q115" s="230"/>
      <c r="R115" s="230"/>
      <c r="S115" s="230"/>
      <c r="T115" s="230"/>
      <c r="U115" s="230"/>
      <c r="V115" s="230"/>
      <c r="W115" s="230"/>
      <c r="X115" s="230"/>
      <c r="Y115" s="230"/>
      <c r="Z115" s="230"/>
      <c r="AA115" s="230"/>
      <c r="AB115" s="175"/>
      <c r="AC115" s="175"/>
      <c r="AD115" s="175"/>
      <c r="AE115" s="175"/>
    </row>
    <row r="116" spans="2:31" s="247" customFormat="1" x14ac:dyDescent="0.2">
      <c r="B116" s="230"/>
      <c r="C116" s="230"/>
      <c r="D116" s="230"/>
      <c r="E116" s="230"/>
      <c r="F116" s="230"/>
      <c r="G116" s="230"/>
      <c r="H116" s="230"/>
      <c r="I116" s="230"/>
      <c r="J116" s="230"/>
      <c r="K116" s="230"/>
      <c r="L116" s="233"/>
      <c r="M116" s="230"/>
      <c r="N116" s="230"/>
      <c r="O116" s="230"/>
      <c r="P116" s="230"/>
      <c r="Q116" s="230"/>
      <c r="R116" s="230"/>
      <c r="S116" s="230"/>
      <c r="T116" s="230"/>
      <c r="U116" s="230"/>
      <c r="V116" s="230"/>
      <c r="W116" s="230"/>
      <c r="X116" s="230"/>
      <c r="Y116" s="230"/>
      <c r="Z116" s="230"/>
      <c r="AA116" s="230"/>
      <c r="AB116" s="175"/>
      <c r="AC116" s="175"/>
      <c r="AD116" s="175"/>
      <c r="AE116" s="175"/>
    </row>
    <row r="117" spans="2:31" s="247" customFormat="1" x14ac:dyDescent="0.2">
      <c r="B117" s="230"/>
      <c r="C117" s="230"/>
      <c r="D117" s="230"/>
      <c r="E117" s="230"/>
      <c r="F117" s="230"/>
      <c r="G117" s="230"/>
      <c r="H117" s="230"/>
      <c r="I117" s="230"/>
      <c r="J117" s="230"/>
      <c r="K117" s="230"/>
      <c r="L117" s="233"/>
      <c r="M117" s="230"/>
      <c r="N117" s="230"/>
      <c r="O117" s="230"/>
      <c r="P117" s="230"/>
      <c r="Q117" s="230"/>
      <c r="R117" s="230"/>
      <c r="S117" s="230"/>
      <c r="T117" s="230"/>
      <c r="U117" s="230"/>
      <c r="V117" s="230"/>
      <c r="W117" s="230"/>
      <c r="X117" s="230"/>
      <c r="Y117" s="230"/>
      <c r="Z117" s="230"/>
      <c r="AA117" s="230"/>
      <c r="AB117" s="175"/>
      <c r="AC117" s="175"/>
      <c r="AD117" s="175"/>
      <c r="AE117" s="175"/>
    </row>
    <row r="118" spans="2:31" s="247" customFormat="1" x14ac:dyDescent="0.2">
      <c r="B118" s="230"/>
      <c r="C118" s="230"/>
      <c r="D118" s="230"/>
      <c r="E118" s="230"/>
      <c r="F118" s="230"/>
      <c r="G118" s="230"/>
      <c r="H118" s="230"/>
      <c r="I118" s="230"/>
      <c r="J118" s="230"/>
      <c r="K118" s="230"/>
      <c r="L118" s="233"/>
      <c r="M118" s="230"/>
      <c r="N118" s="230"/>
      <c r="O118" s="230"/>
      <c r="P118" s="230"/>
      <c r="Q118" s="230"/>
      <c r="R118" s="230"/>
      <c r="S118" s="230"/>
      <c r="T118" s="230"/>
      <c r="U118" s="230"/>
      <c r="V118" s="230"/>
      <c r="W118" s="230"/>
      <c r="X118" s="230"/>
      <c r="Y118" s="230"/>
      <c r="Z118" s="230"/>
      <c r="AA118" s="230"/>
      <c r="AB118" s="175"/>
      <c r="AC118" s="175"/>
      <c r="AD118" s="175"/>
      <c r="AE118" s="175"/>
    </row>
  </sheetData>
  <mergeCells count="5">
    <mergeCell ref="D1:AD2"/>
    <mergeCell ref="E3:AA3"/>
    <mergeCell ref="D5:F5"/>
    <mergeCell ref="H5:J5"/>
    <mergeCell ref="L5:N5"/>
  </mergeCells>
  <printOptions horizontalCentered="1" verticalCentered="1"/>
  <pageMargins left="0.70866141732283472" right="0.47244094488188981" top="0.55118110236220474" bottom="0.98425196850393704" header="0" footer="0"/>
  <pageSetup scale="46" fitToHeight="2" orientation="landscape" r:id="rId1"/>
  <headerFooter alignWithMargins="0">
    <oddFooter>&amp;C&amp;P&amp;RElaborado por EQUILIBRIUM Inmobiliario S.A.S</oddFooter>
  </headerFooter>
  <ignoredErrors>
    <ignoredError sqref="AB8:AB12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>
    <tabColor theme="4" tint="0.39997558519241921"/>
  </sheetPr>
  <dimension ref="A1:AI486"/>
  <sheetViews>
    <sheetView zoomScale="145" zoomScaleNormal="145" workbookViewId="0">
      <pane xSplit="2" ySplit="4" topLeftCell="M5" activePane="bottomRight" state="frozen"/>
      <selection activeCell="B9" sqref="B9:C9"/>
      <selection pane="topRight" activeCell="B9" sqref="B9:C9"/>
      <selection pane="bottomLeft" activeCell="B9" sqref="B9:C9"/>
      <selection pane="bottomRight" activeCell="Q7" sqref="Q7"/>
    </sheetView>
  </sheetViews>
  <sheetFormatPr baseColWidth="10" defaultColWidth="0" defaultRowHeight="12.75" x14ac:dyDescent="0.2"/>
  <cols>
    <col min="1" max="1" width="1.140625" style="301" customWidth="1"/>
    <col min="2" max="2" width="22.28515625" style="301" customWidth="1"/>
    <col min="3" max="3" width="7.42578125" style="301" bestFit="1" customWidth="1"/>
    <col min="4" max="4" width="8.5703125" style="301" customWidth="1"/>
    <col min="5" max="5" width="15.85546875" style="301" bestFit="1" customWidth="1"/>
    <col min="6" max="6" width="14.85546875" style="301" bestFit="1" customWidth="1"/>
    <col min="7" max="7" width="0.42578125" style="301" customWidth="1"/>
    <col min="8" max="8" width="19.42578125" style="301" bestFit="1" customWidth="1"/>
    <col min="9" max="9" width="7.42578125" style="301" bestFit="1" customWidth="1"/>
    <col min="10" max="10" width="6.5703125" style="301" customWidth="1"/>
    <col min="11" max="11" width="13.42578125" style="301" bestFit="1" customWidth="1"/>
    <col min="12" max="12" width="14.140625" style="301" customWidth="1"/>
    <col min="13" max="13" width="0.5703125" style="301" customWidth="1"/>
    <col min="14" max="14" width="14.42578125" style="301" customWidth="1"/>
    <col min="15" max="16" width="13.140625" style="301" customWidth="1"/>
    <col min="17" max="18" width="14.140625" style="301" bestFit="1" customWidth="1"/>
    <col min="19" max="19" width="0.42578125" style="301" customWidth="1"/>
    <col min="20" max="20" width="19.42578125" style="301" bestFit="1" customWidth="1"/>
    <col min="21" max="21" width="7.42578125" style="301" bestFit="1" customWidth="1"/>
    <col min="22" max="22" width="6.5703125" style="301" bestFit="1" customWidth="1"/>
    <col min="23" max="24" width="14.140625" style="301" bestFit="1" customWidth="1"/>
    <col min="25" max="25" width="0.5703125" style="301" customWidth="1"/>
    <col min="26" max="26" width="15.42578125" style="301" bestFit="1" customWidth="1"/>
    <col min="27" max="27" width="7.42578125" style="301" bestFit="1" customWidth="1"/>
    <col min="28" max="28" width="6.5703125" style="301" bestFit="1" customWidth="1"/>
    <col min="29" max="29" width="14.140625" style="301" bestFit="1" customWidth="1"/>
    <col min="30" max="30" width="13.85546875" style="301" customWidth="1"/>
    <col min="31" max="31" width="8.85546875" style="301" bestFit="1" customWidth="1"/>
    <col min="32" max="35" width="4.42578125" style="301" hidden="1" customWidth="1"/>
    <col min="36" max="16384" width="5.42578125" style="301" hidden="1"/>
  </cols>
  <sheetData>
    <row r="1" spans="2:30" ht="21" x14ac:dyDescent="0.2">
      <c r="B1" s="836" t="s">
        <v>45</v>
      </c>
      <c r="C1" s="836"/>
      <c r="D1" s="836"/>
      <c r="E1" s="836"/>
      <c r="F1" s="836"/>
      <c r="G1" s="836"/>
      <c r="H1" s="836"/>
      <c r="I1" s="836"/>
      <c r="J1" s="836"/>
      <c r="K1" s="836"/>
      <c r="L1" s="836"/>
      <c r="M1" s="836"/>
      <c r="N1" s="836"/>
      <c r="O1" s="836"/>
      <c r="P1" s="836"/>
      <c r="Q1" s="836"/>
      <c r="R1" s="836"/>
      <c r="S1" s="836"/>
      <c r="T1" s="836"/>
      <c r="U1" s="836"/>
      <c r="V1" s="836"/>
      <c r="W1" s="836"/>
    </row>
    <row r="2" spans="2:30" ht="18.75" x14ac:dyDescent="0.2">
      <c r="B2" s="837">
        <f>+'Datos globales '!B10</f>
        <v>45900</v>
      </c>
      <c r="C2" s="837"/>
      <c r="D2" s="837"/>
      <c r="E2" s="837"/>
      <c r="F2" s="837"/>
      <c r="G2" s="837"/>
      <c r="H2" s="837"/>
      <c r="I2" s="837"/>
      <c r="J2" s="837"/>
      <c r="K2" s="837"/>
      <c r="L2" s="837"/>
      <c r="M2" s="837"/>
      <c r="N2" s="837"/>
      <c r="O2" s="837"/>
      <c r="P2" s="837"/>
      <c r="Q2" s="837"/>
      <c r="R2" s="837"/>
      <c r="S2" s="837"/>
      <c r="T2" s="837"/>
      <c r="U2" s="837"/>
      <c r="V2" s="837"/>
      <c r="W2" s="837"/>
    </row>
    <row r="3" spans="2:30" ht="0.75" customHeight="1" x14ac:dyDescent="0.2"/>
    <row r="4" spans="2:30" ht="30.75" customHeight="1" x14ac:dyDescent="0.2">
      <c r="B4" s="327" t="s">
        <v>941</v>
      </c>
      <c r="C4" s="371" t="s">
        <v>835</v>
      </c>
      <c r="D4" s="371" t="s">
        <v>836</v>
      </c>
      <c r="E4" s="371" t="s">
        <v>837</v>
      </c>
      <c r="F4" s="371" t="s">
        <v>838</v>
      </c>
      <c r="H4" s="327" t="s">
        <v>942</v>
      </c>
      <c r="I4" s="371" t="s">
        <v>835</v>
      </c>
      <c r="J4" s="371" t="s">
        <v>836</v>
      </c>
      <c r="K4" s="371" t="s">
        <v>837</v>
      </c>
      <c r="L4" s="371" t="s">
        <v>838</v>
      </c>
      <c r="N4" s="327" t="s">
        <v>53</v>
      </c>
      <c r="O4" s="371" t="s">
        <v>835</v>
      </c>
      <c r="P4" s="371" t="s">
        <v>836</v>
      </c>
      <c r="Q4" s="371" t="s">
        <v>837</v>
      </c>
      <c r="R4" s="371" t="s">
        <v>838</v>
      </c>
      <c r="T4" s="327" t="s">
        <v>1009</v>
      </c>
      <c r="U4" s="371" t="s">
        <v>835</v>
      </c>
      <c r="V4" s="371" t="s">
        <v>836</v>
      </c>
      <c r="W4" s="371" t="s">
        <v>837</v>
      </c>
      <c r="X4" s="371" t="s">
        <v>838</v>
      </c>
      <c r="Z4" s="327" t="s">
        <v>1203</v>
      </c>
      <c r="AA4" s="371" t="s">
        <v>835</v>
      </c>
      <c r="AB4" s="371" t="s">
        <v>836</v>
      </c>
      <c r="AC4" s="371" t="s">
        <v>837</v>
      </c>
      <c r="AD4" s="371" t="s">
        <v>838</v>
      </c>
    </row>
    <row r="5" spans="2:30" x14ac:dyDescent="0.2">
      <c r="B5" s="317" t="s">
        <v>1061</v>
      </c>
      <c r="C5" s="507">
        <f>COUNTIF(D13:D161,"=V")</f>
        <v>149</v>
      </c>
      <c r="D5" s="320">
        <f>+C162-Inventario!D13</f>
        <v>10427.739999999998</v>
      </c>
      <c r="E5" s="321">
        <f>+F162</f>
        <v>43200619093</v>
      </c>
      <c r="F5" s="321">
        <f>+E9/C5</f>
        <v>316702141.56375837</v>
      </c>
      <c r="H5" s="317" t="s">
        <v>1064</v>
      </c>
      <c r="I5" s="507">
        <f>COUNTIF(J13:J110,"=V")</f>
        <v>95</v>
      </c>
      <c r="J5" s="320">
        <f>++I111-Inventario!I23</f>
        <v>6898.739999999998</v>
      </c>
      <c r="K5" s="321">
        <f>+L111</f>
        <v>29810987216</v>
      </c>
      <c r="L5" s="321">
        <f>+K9/I5</f>
        <v>340589339.11578947</v>
      </c>
      <c r="N5" s="317" t="s">
        <v>2663</v>
      </c>
      <c r="O5" s="507">
        <f>COUNTIF(P13:P137,"=V")</f>
        <v>116</v>
      </c>
      <c r="P5" s="320">
        <f>+O138-Inventario!N13</f>
        <v>8385.5300000000025</v>
      </c>
      <c r="Q5" s="321">
        <f>+R138</f>
        <v>52918315368</v>
      </c>
      <c r="R5" s="321">
        <f>+Q9/O5</f>
        <v>488140649.7241379</v>
      </c>
      <c r="T5" s="317" t="s">
        <v>1056</v>
      </c>
      <c r="U5" s="507">
        <f>COUNTIF(V13:V162,"=V")</f>
        <v>133</v>
      </c>
      <c r="V5" s="320">
        <f>+U163-Inventario!S37</f>
        <v>9352.9199999999964</v>
      </c>
      <c r="W5" s="321">
        <f>+X163</f>
        <v>48650867034</v>
      </c>
      <c r="X5" s="321">
        <f>+W9/U5</f>
        <v>394848624.31578946</v>
      </c>
      <c r="Z5" s="317" t="s">
        <v>1212</v>
      </c>
      <c r="AA5" s="579">
        <f>COUNTIF(AB13:AB111,"=V")</f>
        <v>83</v>
      </c>
      <c r="AB5" s="320">
        <f>+AA112-Inventario!X36</f>
        <v>6020.7</v>
      </c>
      <c r="AC5" s="321">
        <f>+AD112</f>
        <v>35164011108</v>
      </c>
      <c r="AD5" s="567">
        <f>+AC9/AA5</f>
        <v>453783266.36144578</v>
      </c>
    </row>
    <row r="6" spans="2:30" ht="16.5" customHeight="1" x14ac:dyDescent="0.2">
      <c r="B6" s="317" t="s">
        <v>1062</v>
      </c>
      <c r="C6" s="635">
        <f>COUNTIF($D$166:D317,"V")</f>
        <v>149</v>
      </c>
      <c r="D6" s="320"/>
      <c r="E6" s="321">
        <f>+F318</f>
        <v>3708000000</v>
      </c>
      <c r="F6" s="323"/>
      <c r="H6" s="317" t="s">
        <v>1065</v>
      </c>
      <c r="I6" s="635">
        <f>COUNTIF($J$116:J213,"V")</f>
        <v>95</v>
      </c>
      <c r="J6" s="320"/>
      <c r="K6" s="321">
        <f>+L214</f>
        <v>2240000000</v>
      </c>
      <c r="L6" s="323"/>
      <c r="N6" s="317" t="s">
        <v>2664</v>
      </c>
      <c r="O6" s="635">
        <f>COUNTIF(N$142:$R266,"V")-O7</f>
        <v>116</v>
      </c>
      <c r="P6" s="320">
        <v>0</v>
      </c>
      <c r="Q6" s="321">
        <f>+R267-Q7</f>
        <v>3016000000</v>
      </c>
      <c r="R6" s="323"/>
      <c r="T6" s="317" t="s">
        <v>1057</v>
      </c>
      <c r="U6" s="635">
        <f>COUNTIF($V$167:V324,"V")-U7</f>
        <v>134</v>
      </c>
      <c r="V6" s="320">
        <v>0</v>
      </c>
      <c r="W6" s="321">
        <f>+X325-W7</f>
        <v>3339000000</v>
      </c>
      <c r="X6" s="323"/>
      <c r="Z6" s="317" t="s">
        <v>1213</v>
      </c>
      <c r="AA6" s="319">
        <f>COUNTIF(AB116:AB206,"V")</f>
        <v>83</v>
      </c>
      <c r="AB6" s="322"/>
      <c r="AC6" s="321">
        <f>+AD207-AC7</f>
        <v>2085000000</v>
      </c>
      <c r="AD6" s="323"/>
    </row>
    <row r="7" spans="2:30" x14ac:dyDescent="0.2">
      <c r="B7" s="317" t="s">
        <v>848</v>
      </c>
      <c r="C7" s="507"/>
      <c r="D7" s="320"/>
      <c r="E7" s="321"/>
      <c r="F7" s="323"/>
      <c r="H7" s="317" t="s">
        <v>849</v>
      </c>
      <c r="I7" s="507"/>
      <c r="J7" s="320"/>
      <c r="K7" s="321"/>
      <c r="L7" s="323"/>
      <c r="N7" s="317" t="s">
        <v>2661</v>
      </c>
      <c r="O7" s="507"/>
      <c r="P7" s="320">
        <v>0</v>
      </c>
      <c r="Q7" s="321"/>
      <c r="R7" s="323"/>
      <c r="T7" s="317" t="s">
        <v>2287</v>
      </c>
      <c r="U7" s="507">
        <f>+COUNTA(X318:X324)</f>
        <v>7</v>
      </c>
      <c r="V7" s="320">
        <v>0</v>
      </c>
      <c r="W7" s="321">
        <f>SUM(X318:X324)</f>
        <v>80000000</v>
      </c>
      <c r="X7" s="323"/>
      <c r="Z7" s="317" t="s">
        <v>850</v>
      </c>
      <c r="AA7" s="319">
        <v>0</v>
      </c>
      <c r="AB7" s="322"/>
      <c r="AC7" s="321"/>
      <c r="AD7" s="323"/>
    </row>
    <row r="8" spans="2:30" x14ac:dyDescent="0.2">
      <c r="B8" s="318" t="s">
        <v>1063</v>
      </c>
      <c r="C8" s="635">
        <f>COUNTIF($D$322:D379,"V")</f>
        <v>56</v>
      </c>
      <c r="D8" s="320"/>
      <c r="E8" s="321">
        <f>+F380</f>
        <v>280000000</v>
      </c>
      <c r="F8" s="323"/>
      <c r="H8" s="318" t="s">
        <v>1066</v>
      </c>
      <c r="I8" s="635">
        <f>COUNTIF($J$218:J290,"V")</f>
        <v>61</v>
      </c>
      <c r="J8" s="320"/>
      <c r="K8" s="321">
        <f>+L291</f>
        <v>305000000</v>
      </c>
      <c r="L8" s="323"/>
      <c r="N8" s="318" t="s">
        <v>2662</v>
      </c>
      <c r="O8" s="320">
        <f>COUNTIF(N$271:$R395,"V")</f>
        <v>115</v>
      </c>
      <c r="P8" s="320">
        <v>0</v>
      </c>
      <c r="Q8" s="321">
        <f>+R396</f>
        <v>690000000</v>
      </c>
      <c r="R8" s="323"/>
      <c r="T8" s="318" t="s">
        <v>1058</v>
      </c>
      <c r="U8" s="320">
        <f>COUNTIF(V$329:$V433,"V")</f>
        <v>89</v>
      </c>
      <c r="V8" s="320">
        <v>0</v>
      </c>
      <c r="W8" s="321">
        <f>+X434</f>
        <v>445000000</v>
      </c>
      <c r="X8" s="323"/>
      <c r="Z8" s="318" t="s">
        <v>1206</v>
      </c>
      <c r="AA8" s="319">
        <f>COUNTIF(AB211:AB302,"V")</f>
        <v>83</v>
      </c>
      <c r="AB8" s="324"/>
      <c r="AC8" s="325">
        <f>++AD303</f>
        <v>415000000</v>
      </c>
      <c r="AD8" s="323"/>
    </row>
    <row r="9" spans="2:30" x14ac:dyDescent="0.2">
      <c r="B9" s="329" t="s">
        <v>945</v>
      </c>
      <c r="C9" s="330">
        <f>SUM(C5:C8)</f>
        <v>354</v>
      </c>
      <c r="D9" s="330">
        <f>SUM(D5:D8)</f>
        <v>10427.739999999998</v>
      </c>
      <c r="E9" s="331">
        <f>SUM(E5:E8)</f>
        <v>47188619093</v>
      </c>
      <c r="F9" s="326"/>
      <c r="H9" s="329" t="s">
        <v>946</v>
      </c>
      <c r="I9" s="330">
        <f>SUM(I5:I8)</f>
        <v>251</v>
      </c>
      <c r="J9" s="330">
        <f>SUM(J5:J8)</f>
        <v>6898.739999999998</v>
      </c>
      <c r="K9" s="331">
        <f>SUM(K5:K8)</f>
        <v>32355987216</v>
      </c>
      <c r="L9" s="326"/>
      <c r="N9" s="329" t="s">
        <v>197</v>
      </c>
      <c r="O9" s="330">
        <f>SUM(O5:O8)</f>
        <v>347</v>
      </c>
      <c r="P9" s="330">
        <f>SUM(P5:P8)</f>
        <v>8385.5300000000025</v>
      </c>
      <c r="Q9" s="331">
        <f>SUM(Q5:Q8)</f>
        <v>56624315368</v>
      </c>
      <c r="R9" s="326"/>
      <c r="T9" s="329" t="s">
        <v>1012</v>
      </c>
      <c r="U9" s="330">
        <f>SUM(U5:U8)</f>
        <v>363</v>
      </c>
      <c r="V9" s="330">
        <f>SUM(V5:V8)</f>
        <v>9352.9199999999964</v>
      </c>
      <c r="W9" s="331">
        <f>SUM(W5:W8)</f>
        <v>52514867034</v>
      </c>
      <c r="X9" s="326"/>
      <c r="Z9" s="329" t="s">
        <v>1207</v>
      </c>
      <c r="AA9" s="330">
        <f>SUM(AA5:AA8)</f>
        <v>249</v>
      </c>
      <c r="AB9" s="330">
        <f>SUM(AB5:AB8)</f>
        <v>6020.7</v>
      </c>
      <c r="AC9" s="331">
        <f>SUM(AC5:AC8)</f>
        <v>37664011108</v>
      </c>
      <c r="AD9" s="326"/>
    </row>
    <row r="10" spans="2:30" ht="3.75" customHeight="1" x14ac:dyDescent="0.2"/>
    <row r="11" spans="2:30" ht="15.75" x14ac:dyDescent="0.2">
      <c r="B11" s="833" t="s">
        <v>941</v>
      </c>
      <c r="C11" s="834"/>
      <c r="D11" s="834"/>
      <c r="E11" s="834"/>
      <c r="F11" s="835"/>
      <c r="H11" s="833" t="s">
        <v>942</v>
      </c>
      <c r="I11" s="834"/>
      <c r="J11" s="834"/>
      <c r="K11" s="834"/>
      <c r="L11" s="835"/>
      <c r="M11" s="303"/>
      <c r="N11" s="833" t="s">
        <v>53</v>
      </c>
      <c r="O11" s="834"/>
      <c r="P11" s="834"/>
      <c r="Q11" s="834"/>
      <c r="R11" s="835"/>
      <c r="S11" s="303"/>
      <c r="T11" s="833" t="s">
        <v>1009</v>
      </c>
      <c r="U11" s="834"/>
      <c r="V11" s="834"/>
      <c r="W11" s="834"/>
      <c r="X11" s="835"/>
      <c r="Z11" s="833" t="s">
        <v>1203</v>
      </c>
      <c r="AA11" s="834"/>
      <c r="AB11" s="834"/>
      <c r="AC11" s="834"/>
      <c r="AD11" s="835"/>
    </row>
    <row r="12" spans="2:30" ht="42.6" customHeight="1" x14ac:dyDescent="0.2">
      <c r="B12" s="311" t="s">
        <v>46</v>
      </c>
      <c r="C12" s="311" t="s">
        <v>31</v>
      </c>
      <c r="D12" s="311" t="s">
        <v>47</v>
      </c>
      <c r="E12" s="311" t="s">
        <v>48</v>
      </c>
      <c r="F12" s="312" t="s">
        <v>104</v>
      </c>
      <c r="H12" s="311" t="s">
        <v>46</v>
      </c>
      <c r="I12" s="311" t="s">
        <v>31</v>
      </c>
      <c r="J12" s="311" t="s">
        <v>47</v>
      </c>
      <c r="K12" s="311" t="s">
        <v>48</v>
      </c>
      <c r="L12" s="312" t="s">
        <v>104</v>
      </c>
      <c r="M12" s="303"/>
      <c r="N12" s="311" t="s">
        <v>46</v>
      </c>
      <c r="O12" s="311" t="s">
        <v>31</v>
      </c>
      <c r="P12" s="311" t="s">
        <v>47</v>
      </c>
      <c r="Q12" s="311" t="s">
        <v>48</v>
      </c>
      <c r="R12" s="312" t="s">
        <v>104</v>
      </c>
      <c r="S12" s="303"/>
      <c r="T12" s="311" t="s">
        <v>46</v>
      </c>
      <c r="U12" s="311" t="s">
        <v>31</v>
      </c>
      <c r="V12" s="311" t="s">
        <v>47</v>
      </c>
      <c r="W12" s="311" t="s">
        <v>48</v>
      </c>
      <c r="X12" s="312" t="s">
        <v>104</v>
      </c>
      <c r="Z12" s="311" t="s">
        <v>46</v>
      </c>
      <c r="AA12" s="311" t="s">
        <v>31</v>
      </c>
      <c r="AB12" s="311" t="s">
        <v>47</v>
      </c>
      <c r="AC12" s="311" t="s">
        <v>48</v>
      </c>
      <c r="AD12" s="312" t="s">
        <v>104</v>
      </c>
    </row>
    <row r="13" spans="2:30" x14ac:dyDescent="0.2">
      <c r="B13" s="304" t="s">
        <v>1989</v>
      </c>
      <c r="C13" s="505">
        <f>VLOOKUP(B13,'Im 1A'!$A$2:$C$1963,3,FALSE)</f>
        <v>71.900000000000006</v>
      </c>
      <c r="D13" s="304" t="str">
        <f>VLOOKUP(B13,'Im 1A'!$A$2:$D$3231,4,FALSE)</f>
        <v>V</v>
      </c>
      <c r="E13" s="305">
        <f>IF(D13="D",VLOOKUP(B13,'Im 1A'!$A$2:$C$1963,2,FALSE),0)</f>
        <v>0</v>
      </c>
      <c r="F13" s="305">
        <f>IF(D13="V",VLOOKUP(B13,Vtas1A!$A$2:$B$2357,2,FALSE),0)</f>
        <v>334272235</v>
      </c>
      <c r="G13" s="306"/>
      <c r="H13" s="304" t="s">
        <v>2134</v>
      </c>
      <c r="I13" s="505">
        <f>VLOOKUP(H13,'Im 1B'!$A$2:$C$1947,3,FALSE)</f>
        <v>76.150000000000006</v>
      </c>
      <c r="J13" s="304" t="str">
        <f>VLOOKUP(H13,'Im 1B'!$A$2:$D$3215,4,FALSE)</f>
        <v>D</v>
      </c>
      <c r="K13" s="305">
        <f>IF(J13="D",VLOOKUP(H13,'Im 1B'!$A$2:$C$1947,2,FALSE),0)</f>
        <v>396580000</v>
      </c>
      <c r="L13" s="305">
        <f>IF(J13="V",VLOOKUP(H13,Vtas1B!$A$2:$B$2313,2,FALSE),0)</f>
        <v>0</v>
      </c>
      <c r="M13" s="307"/>
      <c r="N13" s="280" t="s">
        <v>2744</v>
      </c>
      <c r="O13" s="505">
        <f>VLOOKUP(N13,'Im 2'!$A$2:$C$2278,3,FALSE)</f>
        <v>80.05</v>
      </c>
      <c r="P13" s="304" t="str">
        <f>VLOOKUP(N13,'Im 2'!$A$2:$D$3546,4,FALSE)</f>
        <v>D</v>
      </c>
      <c r="Q13" s="305">
        <f>IF(P13="D",VLOOKUP(N13,'Im 2'!$A$2:$C$2278,2,FALSE),0)</f>
        <v>536835000</v>
      </c>
      <c r="R13" s="305">
        <f>IF(P13="V",VLOOKUP(N13,Vtas2!$A$2:$B$2425,2,FALSE),0)</f>
        <v>0</v>
      </c>
      <c r="S13" s="307"/>
      <c r="T13" s="304" t="s">
        <v>3744</v>
      </c>
      <c r="U13" s="505">
        <f>VLOOKUP(T13,'Im 3A'!$A$2:$C$2278,3,FALSE)</f>
        <v>71.900000000000006</v>
      </c>
      <c r="V13" s="304" t="str">
        <f>VLOOKUP(T13,'Im 3A'!$A$2:$D$3546,4,FALSE)</f>
        <v>D</v>
      </c>
      <c r="W13" s="305">
        <f>IF(V13="D",VLOOKUP(T13,'Im 3A'!$A$2:$C$2278,2,FALSE),0)</f>
        <v>467850000</v>
      </c>
      <c r="X13" s="305">
        <f>IF(V13="V",VLOOKUP(T13,Vtas3A!$A$2:$B$2425,2,FALSE),0)</f>
        <v>0</v>
      </c>
      <c r="Z13" s="304" t="s">
        <v>3901</v>
      </c>
      <c r="AA13" s="505">
        <f>VLOOKUP(Z13,'Im 3B'!$A$2:$C$2280,3,FALSE)</f>
        <v>64</v>
      </c>
      <c r="AB13" s="304" t="str">
        <f>VLOOKUP(Z13,'Im 3B'!$A$2:$D$3548,4,FALSE)</f>
        <v>D</v>
      </c>
      <c r="AC13" s="305">
        <f>IF(AB13="D",VLOOKUP(Z13,'Im 3B'!$A$2:$C$2280,2,FALSE),0)</f>
        <v>418500000</v>
      </c>
      <c r="AD13" s="305">
        <f>IF(AB13="V",VLOOKUP(Z13,Vtas3B!$A$2:$B$2438,2,FALSE),0)</f>
        <v>0</v>
      </c>
    </row>
    <row r="14" spans="2:30" x14ac:dyDescent="0.2">
      <c r="B14" s="304" t="s">
        <v>1990</v>
      </c>
      <c r="C14" s="505">
        <f>VLOOKUP(B14,'Im 1A'!$A$2:$C$1963,3,FALSE)</f>
        <v>60.9</v>
      </c>
      <c r="D14" s="304" t="str">
        <f>VLOOKUP(B14,'Im 1A'!$A$2:$D$3231,4,FALSE)</f>
        <v>V</v>
      </c>
      <c r="E14" s="305">
        <f>IF(D14="D",VLOOKUP(B14,'Im 1A'!$A$2:$C$1963,2,FALSE),0)</f>
        <v>0</v>
      </c>
      <c r="F14" s="305">
        <f>IF(D14="V",VLOOKUP(B14,Vtas1A!$A$2:$B$2357,2,FALSE),0)</f>
        <v>260029214</v>
      </c>
      <c r="G14" s="306"/>
      <c r="H14" s="304" t="s">
        <v>2161</v>
      </c>
      <c r="I14" s="505">
        <f>VLOOKUP(H14,'Im 1B'!$A$2:$C$1947,3,FALSE)</f>
        <v>76.150000000000006</v>
      </c>
      <c r="J14" s="304" t="str">
        <f>VLOOKUP(H14,'Im 1B'!$A$2:$D$3215,4,FALSE)</f>
        <v>D</v>
      </c>
      <c r="K14" s="305">
        <f>IF(J14="D",VLOOKUP(H14,'Im 1B'!$A$2:$C$1947,2,FALSE),0)</f>
        <v>397780000</v>
      </c>
      <c r="L14" s="305">
        <f>IF(J14="V",VLOOKUP(H14,Vtas1B!$A$2:$B$2313,2,FALSE),0)</f>
        <v>0</v>
      </c>
      <c r="M14" s="307"/>
      <c r="N14" s="280" t="s">
        <v>2746</v>
      </c>
      <c r="O14" s="505">
        <f>VLOOKUP(N14,'Im 2'!$A$2:$C$2278,3,FALSE)</f>
        <v>82.25</v>
      </c>
      <c r="P14" s="304" t="str">
        <f>VLOOKUP(N14,'Im 2'!$A$2:$D$3546,4,FALSE)</f>
        <v>D</v>
      </c>
      <c r="Q14" s="305">
        <f>IF(P14="D",VLOOKUP(N14,'Im 2'!$A$2:$C$2278,2,FALSE),0)</f>
        <v>551600000</v>
      </c>
      <c r="R14" s="305">
        <f>IF(P14="V",VLOOKUP(N14,Vtas2!$A$2:$B$2425,2,FALSE),0)</f>
        <v>0</v>
      </c>
      <c r="S14" s="307"/>
      <c r="T14" s="304" t="s">
        <v>3748</v>
      </c>
      <c r="U14" s="505">
        <f>VLOOKUP(T14,'Im 3A'!$A$2:$C$2278,3,FALSE)</f>
        <v>71.900000000000006</v>
      </c>
      <c r="V14" s="304" t="str">
        <f>VLOOKUP(T14,'Im 3A'!$A$2:$D$3546,4,FALSE)</f>
        <v>D</v>
      </c>
      <c r="W14" s="305">
        <f>IF(V14="D",VLOOKUP(T14,'Im 3A'!$A$2:$C$2278,2,FALSE),0)</f>
        <v>469850000</v>
      </c>
      <c r="X14" s="305">
        <f>IF(V14="V",VLOOKUP(T14,Vtas3A!$A$2:$B$2425,2,FALSE),0)</f>
        <v>0</v>
      </c>
      <c r="Z14" s="304" t="s">
        <v>3902</v>
      </c>
      <c r="AA14" s="505">
        <f>VLOOKUP(Z14,'Im 3B'!$A$2:$C$2280,3,FALSE)</f>
        <v>76.3</v>
      </c>
      <c r="AB14" s="304" t="str">
        <f>VLOOKUP(Z14,'Im 3B'!$A$2:$D$3548,4,FALSE)</f>
        <v>D</v>
      </c>
      <c r="AC14" s="305">
        <f>IF(AB14="D",VLOOKUP(Z14,'Im 3B'!$A$2:$C$2280,2,FALSE),0)</f>
        <v>498950000</v>
      </c>
      <c r="AD14" s="305">
        <f>IF(AB14="V",VLOOKUP(Z14,Vtas3B!$A$2:$B$2438,2,FALSE),0)</f>
        <v>0</v>
      </c>
    </row>
    <row r="15" spans="2:30" x14ac:dyDescent="0.2">
      <c r="B15" s="304" t="s">
        <v>1991</v>
      </c>
      <c r="C15" s="505">
        <f>VLOOKUP(B15,'Im 1A'!$A$2:$C$1963,3,FALSE)</f>
        <v>62.75</v>
      </c>
      <c r="D15" s="304" t="str">
        <f>VLOOKUP(B15,'Im 1A'!$A$2:$D$3231,4,FALSE)</f>
        <v>V</v>
      </c>
      <c r="E15" s="305">
        <f>IF(D15="D",VLOOKUP(B15,'Im 1A'!$A$2:$C$1963,2,FALSE),0)</f>
        <v>0</v>
      </c>
      <c r="F15" s="305">
        <f>IF(D15="V",VLOOKUP(B15,Vtas1A!$A$2:$B$2357,2,FALSE),0)</f>
        <v>278802542</v>
      </c>
      <c r="G15" s="306"/>
      <c r="H15" s="304" t="s">
        <v>2141</v>
      </c>
      <c r="I15" s="505">
        <f>VLOOKUP(H15,'Im 1B'!$A$2:$C$1947,3,FALSE)</f>
        <v>76.150000000000006</v>
      </c>
      <c r="J15" s="304" t="str">
        <f>VLOOKUP(H15,'Im 1B'!$A$2:$D$3215,4,FALSE)</f>
        <v>D</v>
      </c>
      <c r="K15" s="305">
        <f>IF(J15="D",VLOOKUP(H15,'Im 1B'!$A$2:$C$1947,2,FALSE),0)</f>
        <v>402280000</v>
      </c>
      <c r="L15" s="305">
        <f>IF(J15="V",VLOOKUP(H15,Vtas1B!$A$2:$B$2313,2,FALSE),0)</f>
        <v>0</v>
      </c>
      <c r="M15" s="307"/>
      <c r="N15" s="280" t="s">
        <v>2756</v>
      </c>
      <c r="O15" s="505">
        <f>VLOOKUP(N15,'Im 2'!$A$2:$C$2278,3,FALSE)</f>
        <v>80.349999999999994</v>
      </c>
      <c r="P15" s="304" t="str">
        <f>VLOOKUP(N15,'Im 2'!$A$2:$D$3546,4,FALSE)</f>
        <v>D</v>
      </c>
      <c r="Q15" s="305">
        <f>IF(P15="D",VLOOKUP(N15,'Im 2'!$A$2:$C$2278,2,FALSE),0)</f>
        <v>552345000</v>
      </c>
      <c r="R15" s="305">
        <f>IF(P15="V",VLOOKUP(N15,Vtas2!$A$2:$B$2425,2,FALSE),0)</f>
        <v>0</v>
      </c>
      <c r="S15" s="307"/>
      <c r="T15" s="304" t="s">
        <v>3749</v>
      </c>
      <c r="U15" s="505">
        <f>VLOOKUP(T15,'Im 3A'!$A$2:$C$2278,3,FALSE)</f>
        <v>71.900000000000006</v>
      </c>
      <c r="V15" s="304" t="str">
        <f>VLOOKUP(T15,'Im 3A'!$A$2:$D$3546,4,FALSE)</f>
        <v>D</v>
      </c>
      <c r="W15" s="305">
        <f>IF(V15="D",VLOOKUP(T15,'Im 3A'!$A$2:$C$2278,2,FALSE),0)</f>
        <v>471850000</v>
      </c>
      <c r="X15" s="305">
        <f>IF(V15="V",VLOOKUP(T15,Vtas3A!$A$2:$B$2425,2,FALSE),0)</f>
        <v>0</v>
      </c>
      <c r="Z15" s="304" t="s">
        <v>3904</v>
      </c>
      <c r="AA15" s="505">
        <f>VLOOKUP(Z15,'Im 3B'!$A$2:$C$2280,3,FALSE)</f>
        <v>76.3</v>
      </c>
      <c r="AB15" s="304" t="str">
        <f>VLOOKUP(Z15,'Im 3B'!$A$2:$D$3548,4,FALSE)</f>
        <v>D</v>
      </c>
      <c r="AC15" s="305">
        <f>IF(AB15="D",VLOOKUP(Z15,'Im 3B'!$A$2:$C$2280,2,FALSE),0)</f>
        <v>499950000</v>
      </c>
      <c r="AD15" s="305">
        <f>IF(AB15="V",VLOOKUP(Z15,Vtas3B!$A$2:$B$2438,2,FALSE),0)</f>
        <v>0</v>
      </c>
    </row>
    <row r="16" spans="2:30" x14ac:dyDescent="0.2">
      <c r="B16" s="304" t="s">
        <v>1992</v>
      </c>
      <c r="C16" s="505">
        <f>VLOOKUP(B16,'Im 1A'!$A$2:$C$1963,3,FALSE)</f>
        <v>78.400000000000006</v>
      </c>
      <c r="D16" s="304" t="str">
        <f>VLOOKUP(B16,'Im 1A'!$A$2:$D$3231,4,FALSE)</f>
        <v>V</v>
      </c>
      <c r="E16" s="305">
        <f>IF(D16="D",VLOOKUP(B16,'Im 1A'!$A$2:$C$1963,2,FALSE),0)</f>
        <v>0</v>
      </c>
      <c r="F16" s="305">
        <f>IF(D16="V",VLOOKUP(B16,Vtas1A!$A$2:$B$2357,2,FALSE),0)</f>
        <v>332277062</v>
      </c>
      <c r="G16" s="306"/>
      <c r="H16" s="304" t="s">
        <v>2145</v>
      </c>
      <c r="I16" s="505">
        <f>VLOOKUP(H16,'Im 1B'!$A$2:$C$1947,3,FALSE)</f>
        <v>77.25</v>
      </c>
      <c r="J16" s="304" t="str">
        <f>VLOOKUP(H16,'Im 1B'!$A$2:$D$3215,4,FALSE)</f>
        <v>V</v>
      </c>
      <c r="K16" s="305">
        <f>IF(J16="D",VLOOKUP(H16,'Im 1B'!$A$2:$C$1947,2,FALSE),0)</f>
        <v>0</v>
      </c>
      <c r="L16" s="305">
        <f>IF(J16="V",VLOOKUP(H16,Vtas1B!$A$2:$B$2313,2,FALSE),0)</f>
        <v>373219879</v>
      </c>
      <c r="M16" s="307"/>
      <c r="N16" s="280" t="s">
        <v>2759</v>
      </c>
      <c r="O16" s="505">
        <f>VLOOKUP(N16,'Im 2'!$A$2:$C$2278,3,FALSE)</f>
        <v>80.349999999999994</v>
      </c>
      <c r="P16" s="304" t="str">
        <f>VLOOKUP(N16,'Im 2'!$A$2:$D$3546,4,FALSE)</f>
        <v>D</v>
      </c>
      <c r="Q16" s="305">
        <f>IF(P16="D",VLOOKUP(N16,'Im 2'!$A$2:$C$2278,2,FALSE),0)</f>
        <v>552845000</v>
      </c>
      <c r="R16" s="305">
        <f>IF(P16="V",VLOOKUP(N16,Vtas2!$A$2:$B$2425,2,FALSE),0)</f>
        <v>0</v>
      </c>
      <c r="S16" s="307"/>
      <c r="T16" s="304" t="s">
        <v>3750</v>
      </c>
      <c r="U16" s="505">
        <f>VLOOKUP(T16,'Im 3A'!$A$2:$C$2278,3,FALSE)</f>
        <v>71.900000000000006</v>
      </c>
      <c r="V16" s="304" t="str">
        <f>VLOOKUP(T16,'Im 3A'!$A$2:$D$3546,4,FALSE)</f>
        <v>D</v>
      </c>
      <c r="W16" s="305">
        <f>IF(V16="D",VLOOKUP(T16,'Im 3A'!$A$2:$C$2278,2,FALSE),0)</f>
        <v>472350000</v>
      </c>
      <c r="X16" s="305">
        <f>IF(V16="V",VLOOKUP(T16,Vtas3A!$A$2:$B$2425,2,FALSE),0)</f>
        <v>0</v>
      </c>
      <c r="Z16" s="304" t="s">
        <v>3905</v>
      </c>
      <c r="AA16" s="505">
        <f>VLOOKUP(Z16,'Im 3B'!$A$2:$C$2280,3,FALSE)</f>
        <v>75.5</v>
      </c>
      <c r="AB16" s="304" t="str">
        <f>VLOOKUP(Z16,'Im 3B'!$A$2:$D$3548,4,FALSE)</f>
        <v>D</v>
      </c>
      <c r="AC16" s="305">
        <f>IF(AB16="D",VLOOKUP(Z16,'Im 3B'!$A$2:$C$2280,2,FALSE),0)</f>
        <v>495250000</v>
      </c>
      <c r="AD16" s="305">
        <f>IF(AB16="V",VLOOKUP(Z16,Vtas3B!$A$2:$B$2438,2,FALSE),0)</f>
        <v>0</v>
      </c>
    </row>
    <row r="17" spans="2:30" x14ac:dyDescent="0.2">
      <c r="B17" s="304" t="s">
        <v>1993</v>
      </c>
      <c r="C17" s="505">
        <f>VLOOKUP(B17,'Im 1A'!$A$2:$C$1963,3,FALSE)</f>
        <v>60.9</v>
      </c>
      <c r="D17" s="304" t="str">
        <f>VLOOKUP(B17,'Im 1A'!$A$2:$D$3231,4,FALSE)</f>
        <v>V</v>
      </c>
      <c r="E17" s="305">
        <f>IF(D17="D",VLOOKUP(B17,'Im 1A'!$A$2:$C$1963,2,FALSE),0)</f>
        <v>0</v>
      </c>
      <c r="F17" s="305">
        <f>IF(D17="V",VLOOKUP(B17,Vtas1A!$A$2:$B$2357,2,FALSE),0)</f>
        <v>243099835</v>
      </c>
      <c r="G17" s="306"/>
      <c r="H17" s="304" t="s">
        <v>2146</v>
      </c>
      <c r="I17" s="505">
        <f>VLOOKUP(H17,'Im 1B'!$A$2:$C$1947,3,FALSE)</f>
        <v>64</v>
      </c>
      <c r="J17" s="304" t="str">
        <f>VLOOKUP(H17,'Im 1B'!$A$2:$D$3215,4,FALSE)</f>
        <v>V</v>
      </c>
      <c r="K17" s="305">
        <f>IF(J17="D",VLOOKUP(H17,'Im 1B'!$A$2:$C$1947,2,FALSE),0)</f>
        <v>0</v>
      </c>
      <c r="L17" s="305">
        <f>IF(J17="V",VLOOKUP(H17,Vtas1B!$A$2:$B$2313,2,FALSE),0)</f>
        <v>274515673</v>
      </c>
      <c r="M17" s="307"/>
      <c r="N17" s="280" t="s">
        <v>2775</v>
      </c>
      <c r="O17" s="505">
        <f>VLOOKUP(N17,'Im 2'!$A$2:$C$2278,3,FALSE)</f>
        <v>82.3</v>
      </c>
      <c r="P17" s="304" t="str">
        <f>VLOOKUP(N17,'Im 2'!$A$2:$D$3546,4,FALSE)</f>
        <v>D</v>
      </c>
      <c r="Q17" s="305">
        <f>IF(P17="D",VLOOKUP(N17,'Im 2'!$A$2:$C$2278,2,FALSE),0)</f>
        <v>555410000</v>
      </c>
      <c r="R17" s="305">
        <f>IF(P17="V",VLOOKUP(N17,Vtas2!$A$2:$B$2425,2,FALSE),0)</f>
        <v>0</v>
      </c>
      <c r="S17" s="307"/>
      <c r="T17" s="304" t="s">
        <v>3751</v>
      </c>
      <c r="U17" s="505">
        <f>VLOOKUP(T17,'Im 3A'!$A$2:$C$2278,3,FALSE)</f>
        <v>71.900000000000006</v>
      </c>
      <c r="V17" s="304" t="str">
        <f>VLOOKUP(T17,'Im 3A'!$A$2:$D$3546,4,FALSE)</f>
        <v>D</v>
      </c>
      <c r="W17" s="305">
        <f>IF(V17="D",VLOOKUP(T17,'Im 3A'!$A$2:$C$2278,2,FALSE),0)</f>
        <v>474350000</v>
      </c>
      <c r="X17" s="305">
        <f>IF(V17="V",VLOOKUP(T17,Vtas3A!$A$2:$B$2425,2,FALSE),0)</f>
        <v>0</v>
      </c>
      <c r="Z17" s="304" t="s">
        <v>3906</v>
      </c>
      <c r="AA17" s="505">
        <f>VLOOKUP(Z17,'Im 3B'!$A$2:$C$2280,3,FALSE)</f>
        <v>75.5</v>
      </c>
      <c r="AB17" s="304" t="str">
        <f>VLOOKUP(Z17,'Im 3B'!$A$2:$D$3548,4,FALSE)</f>
        <v>D</v>
      </c>
      <c r="AC17" s="305">
        <f>IF(AB17="D",VLOOKUP(Z17,'Im 3B'!$A$2:$C$2280,2,FALSE),0)</f>
        <v>495750000</v>
      </c>
      <c r="AD17" s="305">
        <f>IF(AB17="V",VLOOKUP(Z17,Vtas3B!$A$2:$B$2438,2,FALSE),0)</f>
        <v>0</v>
      </c>
    </row>
    <row r="18" spans="2:30" x14ac:dyDescent="0.2">
      <c r="B18" s="304" t="s">
        <v>1994</v>
      </c>
      <c r="C18" s="505">
        <f>VLOOKUP(B18,'Im 1A'!$A$2:$C$1963,3,FALSE)</f>
        <v>71.95</v>
      </c>
      <c r="D18" s="304" t="str">
        <f>VLOOKUP(B18,'Im 1A'!$A$2:$D$3231,4,FALSE)</f>
        <v>V</v>
      </c>
      <c r="E18" s="305">
        <f>IF(D18="D",VLOOKUP(B18,'Im 1A'!$A$2:$C$1963,2,FALSE),0)</f>
        <v>0</v>
      </c>
      <c r="F18" s="305">
        <f>IF(D18="V",VLOOKUP(B18,Vtas1A!$A$2:$B$2357,2,FALSE),0)</f>
        <v>274653522</v>
      </c>
      <c r="G18" s="306"/>
      <c r="H18" s="304" t="s">
        <v>2147</v>
      </c>
      <c r="I18" s="505">
        <f>VLOOKUP(H18,'Im 1B'!$A$2:$C$1947,3,FALSE)</f>
        <v>75.5</v>
      </c>
      <c r="J18" s="304" t="str">
        <f>VLOOKUP(H18,'Im 1B'!$A$2:$D$3215,4,FALSE)</f>
        <v>V</v>
      </c>
      <c r="K18" s="305">
        <f>IF(J18="D",VLOOKUP(H18,'Im 1B'!$A$2:$C$1947,2,FALSE),0)</f>
        <v>0</v>
      </c>
      <c r="L18" s="305">
        <f>IF(J18="V",VLOOKUP(H18,Vtas1B!$A$2:$B$2313,2,FALSE),0)</f>
        <v>314409833</v>
      </c>
      <c r="M18" s="307"/>
      <c r="N18" s="280" t="s">
        <v>2778</v>
      </c>
      <c r="O18" s="505">
        <f>VLOOKUP(N18,'Im 2'!$A$2:$C$2278,3,FALSE)</f>
        <v>82.3</v>
      </c>
      <c r="P18" s="304" t="str">
        <f>VLOOKUP(N18,'Im 2'!$A$2:$D$3546,4,FALSE)</f>
        <v>D</v>
      </c>
      <c r="Q18" s="305">
        <f>IF(P18="D",VLOOKUP(N18,'Im 2'!$A$2:$C$2278,2,FALSE),0)</f>
        <v>555910000</v>
      </c>
      <c r="R18" s="305">
        <f>IF(P18="V",VLOOKUP(N18,Vtas2!$A$2:$B$2425,2,FALSE),0)</f>
        <v>0</v>
      </c>
      <c r="S18" s="307"/>
      <c r="T18" s="304" t="s">
        <v>3752</v>
      </c>
      <c r="U18" s="505">
        <f>VLOOKUP(T18,'Im 3A'!$A$2:$C$2278,3,FALSE)</f>
        <v>71.900000000000006</v>
      </c>
      <c r="V18" s="304" t="str">
        <f>VLOOKUP(T18,'Im 3A'!$A$2:$D$3546,4,FALSE)</f>
        <v>D</v>
      </c>
      <c r="W18" s="305">
        <f>IF(V18="D",VLOOKUP(T18,'Im 3A'!$A$2:$C$2278,2,FALSE),0)</f>
        <v>474850000</v>
      </c>
      <c r="X18" s="305">
        <f>IF(V18="V",VLOOKUP(T18,Vtas3A!$A$2:$B$2425,2,FALSE),0)</f>
        <v>0</v>
      </c>
      <c r="Z18" s="304" t="s">
        <v>3907</v>
      </c>
      <c r="AA18" s="505">
        <f>VLOOKUP(Z18,'Im 3B'!$A$2:$C$2280,3,FALSE)</f>
        <v>75.5</v>
      </c>
      <c r="AB18" s="304" t="str">
        <f>VLOOKUP(Z18,'Im 3B'!$A$2:$D$3548,4,FALSE)</f>
        <v>D</v>
      </c>
      <c r="AC18" s="305">
        <f>IF(AB18="D",VLOOKUP(Z18,'Im 3B'!$A$2:$C$2280,2,FALSE),0)</f>
        <v>496250000</v>
      </c>
      <c r="AD18" s="305">
        <f>IF(AB18="V",VLOOKUP(Z18,Vtas3B!$A$2:$B$2438,2,FALSE),0)</f>
        <v>0</v>
      </c>
    </row>
    <row r="19" spans="2:30" x14ac:dyDescent="0.2">
      <c r="B19" s="304" t="s">
        <v>1995</v>
      </c>
      <c r="C19" s="505">
        <f>VLOOKUP(B19,'Im 1A'!$A$2:$C$1963,3,FALSE)</f>
        <v>60.9</v>
      </c>
      <c r="D19" s="304" t="str">
        <f>VLOOKUP(B19,'Im 1A'!$A$2:$D$3231,4,FALSE)</f>
        <v>V</v>
      </c>
      <c r="E19" s="305">
        <f>IF(D19="D",VLOOKUP(B19,'Im 1A'!$A$2:$C$1963,2,FALSE),0)</f>
        <v>0</v>
      </c>
      <c r="F19" s="305">
        <f>IF(D19="V",VLOOKUP(B19,Vtas1A!$A$2:$B$2357,2,FALSE),0)</f>
        <v>279000000</v>
      </c>
      <c r="G19" s="306"/>
      <c r="H19" s="304" t="s">
        <v>2148</v>
      </c>
      <c r="I19" s="505">
        <f>VLOOKUP(H19,'Im 1B'!$A$2:$C$1947,3,FALSE)</f>
        <v>75.91</v>
      </c>
      <c r="J19" s="304" t="str">
        <f>VLOOKUP(H19,'Im 1B'!$A$2:$D$3215,4,FALSE)</f>
        <v>V</v>
      </c>
      <c r="K19" s="305">
        <f>IF(J19="D",VLOOKUP(H19,'Im 1B'!$A$2:$C$1947,2,FALSE),0)</f>
        <v>0</v>
      </c>
      <c r="L19" s="305">
        <f>IF(J19="V",VLOOKUP(H19,Vtas1B!$A$2:$B$2313,2,FALSE),0)</f>
        <v>312867258</v>
      </c>
      <c r="M19" s="307"/>
      <c r="N19" s="280" t="s">
        <v>2784</v>
      </c>
      <c r="O19" s="505">
        <f>VLOOKUP(N19,'Im 2'!$A$2:$C$2278,3,FALSE)</f>
        <v>80.349999999999994</v>
      </c>
      <c r="P19" s="304" t="str">
        <f>VLOOKUP(N19,'Im 2'!$A$2:$D$3546,4,FALSE)</f>
        <v>D</v>
      </c>
      <c r="Q19" s="305">
        <f>IF(P19="D",VLOOKUP(N19,'Im 2'!$A$2:$C$2278,2,FALSE),0)</f>
        <v>555845000</v>
      </c>
      <c r="R19" s="305">
        <f>IF(P19="V",VLOOKUP(N19,Vtas2!$A$2:$B$2425,2,FALSE),0)</f>
        <v>0</v>
      </c>
      <c r="S19" s="307"/>
      <c r="T19" s="304" t="s">
        <v>3753</v>
      </c>
      <c r="U19" s="505">
        <f>VLOOKUP(T19,'Im 3A'!$A$2:$C$2278,3,FALSE)</f>
        <v>71.900000000000006</v>
      </c>
      <c r="V19" s="304" t="str">
        <f>VLOOKUP(T19,'Im 3A'!$A$2:$D$3546,4,FALSE)</f>
        <v>D</v>
      </c>
      <c r="W19" s="305">
        <f>IF(V19="D",VLOOKUP(T19,'Im 3A'!$A$2:$C$2278,2,FALSE),0)</f>
        <v>475350000</v>
      </c>
      <c r="X19" s="305">
        <f>IF(V19="V",VLOOKUP(T19,Vtas3A!$A$2:$B$2425,2,FALSE),0)</f>
        <v>0</v>
      </c>
      <c r="Z19" s="304" t="s">
        <v>3909</v>
      </c>
      <c r="AA19" s="505">
        <f>VLOOKUP(Z19,'Im 3B'!$A$2:$C$2280,3,FALSE)</f>
        <v>76.3</v>
      </c>
      <c r="AB19" s="304" t="str">
        <f>VLOOKUP(Z19,'Im 3B'!$A$2:$D$3548,4,FALSE)</f>
        <v>D</v>
      </c>
      <c r="AC19" s="305">
        <f>IF(AB19="D",VLOOKUP(Z19,'Im 3B'!$A$2:$C$2280,2,FALSE),0)</f>
        <v>502450000</v>
      </c>
      <c r="AD19" s="305">
        <f>IF(AB19="V",VLOOKUP(Z19,Vtas3B!$A$2:$B$2438,2,FALSE),0)</f>
        <v>0</v>
      </c>
    </row>
    <row r="20" spans="2:30" x14ac:dyDescent="0.2">
      <c r="B20" s="304" t="s">
        <v>1996</v>
      </c>
      <c r="C20" s="505">
        <f>VLOOKUP(B20,'Im 1A'!$A$2:$C$1963,3,FALSE)</f>
        <v>77.3</v>
      </c>
      <c r="D20" s="304" t="str">
        <f>VLOOKUP(B20,'Im 1A'!$A$2:$D$3231,4,FALSE)</f>
        <v>V</v>
      </c>
      <c r="E20" s="305">
        <f>IF(D20="D",VLOOKUP(B20,'Im 1A'!$A$2:$C$1963,2,FALSE),0)</f>
        <v>0</v>
      </c>
      <c r="F20" s="305">
        <f>IF(D20="V",VLOOKUP(B20,Vtas1A!$A$2:$B$2357,2,FALSE),0)</f>
        <v>318322113</v>
      </c>
      <c r="G20" s="306"/>
      <c r="H20" s="304" t="s">
        <v>2149</v>
      </c>
      <c r="I20" s="505">
        <f>VLOOKUP(H20,'Im 1B'!$A$2:$C$1947,3,FALSE)</f>
        <v>64</v>
      </c>
      <c r="J20" s="304" t="str">
        <f>VLOOKUP(H20,'Im 1B'!$A$2:$D$3215,4,FALSE)</f>
        <v>V</v>
      </c>
      <c r="K20" s="305">
        <f>IF(J20="D",VLOOKUP(H20,'Im 1B'!$A$2:$C$1947,2,FALSE),0)</f>
        <v>0</v>
      </c>
      <c r="L20" s="305">
        <f>IF(J20="V",VLOOKUP(H20,Vtas1B!$A$2:$B$2313,2,FALSE),0)</f>
        <v>268933812</v>
      </c>
      <c r="M20" s="307"/>
      <c r="N20" s="280" t="s">
        <v>2792</v>
      </c>
      <c r="O20" s="505">
        <f>VLOOKUP(N20,'Im 2'!$A$2:$C$2278,3,FALSE)</f>
        <v>82.3</v>
      </c>
      <c r="P20" s="304" t="str">
        <f>VLOOKUP(N20,'Im 2'!$A$2:$D$3546,4,FALSE)</f>
        <v>D</v>
      </c>
      <c r="Q20" s="305">
        <f>IF(P20="D",VLOOKUP(N20,'Im 2'!$A$2:$C$2278,2,FALSE),0)</f>
        <v>557410000</v>
      </c>
      <c r="R20" s="305">
        <f>IF(P20="V",VLOOKUP(N20,Vtas2!$A$2:$B$2425,2,FALSE),0)</f>
        <v>0</v>
      </c>
      <c r="S20" s="307"/>
      <c r="T20" s="304" t="s">
        <v>3754</v>
      </c>
      <c r="U20" s="505">
        <f>VLOOKUP(T20,'Im 3A'!$A$2:$C$2278,3,FALSE)</f>
        <v>71.900000000000006</v>
      </c>
      <c r="V20" s="304" t="str">
        <f>VLOOKUP(T20,'Im 3A'!$A$2:$D$3546,4,FALSE)</f>
        <v>D</v>
      </c>
      <c r="W20" s="305">
        <f>IF(V20="D",VLOOKUP(T20,'Im 3A'!$A$2:$C$2278,2,FALSE),0)</f>
        <v>475850000</v>
      </c>
      <c r="X20" s="305">
        <f>IF(V20="V",VLOOKUP(T20,Vtas3A!$A$2:$B$2425,2,FALSE),0)</f>
        <v>0</v>
      </c>
      <c r="Z20" s="304" t="s">
        <v>3910</v>
      </c>
      <c r="AA20" s="505">
        <f>VLOOKUP(Z20,'Im 3B'!$A$2:$C$2280,3,FALSE)</f>
        <v>75.5</v>
      </c>
      <c r="AB20" s="304" t="str">
        <f>VLOOKUP(Z20,'Im 3B'!$A$2:$D$3548,4,FALSE)</f>
        <v>D</v>
      </c>
      <c r="AC20" s="305">
        <f>IF(AB20="D",VLOOKUP(Z20,'Im 3B'!$A$2:$C$2280,2,FALSE),0)</f>
        <v>497750000</v>
      </c>
      <c r="AD20" s="305">
        <f>IF(AB20="V",VLOOKUP(Z20,Vtas3B!$A$2:$B$2438,2,FALSE),0)</f>
        <v>0</v>
      </c>
    </row>
    <row r="21" spans="2:30" x14ac:dyDescent="0.2">
      <c r="B21" s="304" t="s">
        <v>1997</v>
      </c>
      <c r="C21" s="505">
        <f>VLOOKUP(B21,'Im 1A'!$A$2:$C$1963,3,FALSE)</f>
        <v>78.400000000000006</v>
      </c>
      <c r="D21" s="304" t="str">
        <f>VLOOKUP(B21,'Im 1A'!$A$2:$D$3231,4,FALSE)</f>
        <v>V</v>
      </c>
      <c r="E21" s="305">
        <f>IF(D21="D",VLOOKUP(B21,'Im 1A'!$A$2:$C$1963,2,FALSE),0)</f>
        <v>0</v>
      </c>
      <c r="F21" s="305">
        <f>IF(D21="V",VLOOKUP(B21,Vtas1A!$A$2:$B$2357,2,FALSE),0)</f>
        <v>311236938</v>
      </c>
      <c r="G21" s="306"/>
      <c r="H21" s="304" t="s">
        <v>2150</v>
      </c>
      <c r="I21" s="505">
        <f>VLOOKUP(H21,'Im 1B'!$A$2:$C$1947,3,FALSE)</f>
        <v>76.150000000000006</v>
      </c>
      <c r="J21" s="304" t="str">
        <f>VLOOKUP(H21,'Im 1B'!$A$2:$D$3215,4,FALSE)</f>
        <v>V</v>
      </c>
      <c r="K21" s="305">
        <f>IF(J21="D",VLOOKUP(H21,'Im 1B'!$A$2:$C$1947,2,FALSE),0)</f>
        <v>0</v>
      </c>
      <c r="L21" s="305">
        <f>IF(J21="V",VLOOKUP(H21,Vtas1B!$A$2:$B$2313,2,FALSE),0)</f>
        <v>353607900</v>
      </c>
      <c r="M21" s="307"/>
      <c r="N21" s="280" t="s">
        <v>2830</v>
      </c>
      <c r="O21" s="505">
        <f>VLOOKUP(N21,'Im 2'!$A$2:$C$2278,3,FALSE)</f>
        <v>79.260000000000005</v>
      </c>
      <c r="P21" s="304" t="str">
        <f>VLOOKUP(N21,'Im 2'!$A$2:$D$3546,4,FALSE)</f>
        <v>D</v>
      </c>
      <c r="Q21" s="305">
        <f>IF(P21="D",VLOOKUP(N21,'Im 2'!$A$2:$C$2278,2,FALSE),0)</f>
        <v>542042000</v>
      </c>
      <c r="R21" s="305">
        <f>IF(P21="V",VLOOKUP(N21,Vtas2!$A$2:$B$2425,2,FALSE),0)</f>
        <v>0</v>
      </c>
      <c r="S21" s="307"/>
      <c r="T21" s="304" t="s">
        <v>3755</v>
      </c>
      <c r="U21" s="505">
        <f>VLOOKUP(T21,'Im 3A'!$A$2:$C$2278,3,FALSE)</f>
        <v>71.95</v>
      </c>
      <c r="V21" s="304" t="str">
        <f>VLOOKUP(T21,'Im 3A'!$A$2:$D$3546,4,FALSE)</f>
        <v>D</v>
      </c>
      <c r="W21" s="305">
        <f>IF(V21="D",VLOOKUP(T21,'Im 3A'!$A$2:$C$2278,2,FALSE),0)</f>
        <v>478675000</v>
      </c>
      <c r="X21" s="305">
        <f>IF(V21="V",VLOOKUP(T21,Vtas3A!$A$2:$B$2425,2,FALSE),0)</f>
        <v>0</v>
      </c>
      <c r="Z21" s="304" t="s">
        <v>3911</v>
      </c>
      <c r="AA21" s="505">
        <f>VLOOKUP(Z21,'Im 3B'!$A$2:$C$2280,3,FALSE)</f>
        <v>75.5</v>
      </c>
      <c r="AB21" s="304" t="str">
        <f>VLOOKUP(Z21,'Im 3B'!$A$2:$D$3548,4,FALSE)</f>
        <v>D</v>
      </c>
      <c r="AC21" s="305">
        <f>IF(AB21="D",VLOOKUP(Z21,'Im 3B'!$A$2:$C$2280,2,FALSE),0)</f>
        <v>498250000</v>
      </c>
      <c r="AD21" s="305">
        <f>IF(AB21="V",VLOOKUP(Z21,Vtas3B!$A$2:$B$2438,2,FALSE),0)</f>
        <v>0</v>
      </c>
    </row>
    <row r="22" spans="2:30" x14ac:dyDescent="0.2">
      <c r="B22" s="304" t="s">
        <v>1998</v>
      </c>
      <c r="C22" s="505">
        <f>VLOOKUP(B22,'Im 1A'!$A$2:$C$1963,3,FALSE)</f>
        <v>60.95</v>
      </c>
      <c r="D22" s="304" t="str">
        <f>VLOOKUP(B22,'Im 1A'!$A$2:$D$3231,4,FALSE)</f>
        <v>V</v>
      </c>
      <c r="E22" s="305">
        <f>IF(D22="D",VLOOKUP(B22,'Im 1A'!$A$2:$C$1963,2,FALSE),0)</f>
        <v>0</v>
      </c>
      <c r="F22" s="305">
        <f>IF(D22="V",VLOOKUP(B22,Vtas1A!$A$2:$B$2357,2,FALSE),0)</f>
        <v>251272000</v>
      </c>
      <c r="G22" s="306"/>
      <c r="H22" s="304" t="s">
        <v>2151</v>
      </c>
      <c r="I22" s="505">
        <f>VLOOKUP(H22,'Im 1B'!$A$2:$C$1947,3,FALSE)</f>
        <v>75.5</v>
      </c>
      <c r="J22" s="304" t="str">
        <f>VLOOKUP(H22,'Im 1B'!$A$2:$D$3215,4,FALSE)</f>
        <v>V</v>
      </c>
      <c r="K22" s="305">
        <f>IF(J22="D",VLOOKUP(H22,'Im 1B'!$A$2:$C$1947,2,FALSE),0)</f>
        <v>0</v>
      </c>
      <c r="L22" s="305">
        <f>IF(J22="V",VLOOKUP(H22,Vtas1B!$A$2:$B$2313,2,FALSE),0)</f>
        <v>306677340</v>
      </c>
      <c r="M22" s="307"/>
      <c r="N22" s="280" t="s">
        <v>2738</v>
      </c>
      <c r="O22" s="505">
        <f>VLOOKUP(N22,'Im 2'!$A$2:$C$2278,3,FALSE)</f>
        <v>95.65</v>
      </c>
      <c r="P22" s="304" t="str">
        <f>VLOOKUP(N22,'Im 2'!$A$2:$D$3546,4,FALSE)</f>
        <v>V</v>
      </c>
      <c r="Q22" s="305">
        <f>IF(P22="D",VLOOKUP(N22,'Im 2'!$A$2:$C$2278,2,FALSE),0)</f>
        <v>0</v>
      </c>
      <c r="R22" s="305">
        <f>IF(P22="V",VLOOKUP(N22,Vtas2!$A$2:$B$2425,2,FALSE),0)</f>
        <v>518245000</v>
      </c>
      <c r="S22" s="307"/>
      <c r="T22" s="304" t="s">
        <v>3756</v>
      </c>
      <c r="U22" s="505">
        <f>VLOOKUP(T22,'Im 3A'!$A$2:$C$2278,3,FALSE)</f>
        <v>71.900000000000006</v>
      </c>
      <c r="V22" s="304" t="str">
        <f>VLOOKUP(T22,'Im 3A'!$A$2:$D$3546,4,FALSE)</f>
        <v>D</v>
      </c>
      <c r="W22" s="305">
        <f>IF(V22="D",VLOOKUP(T22,'Im 3A'!$A$2:$C$2278,2,FALSE),0)</f>
        <v>476350000</v>
      </c>
      <c r="X22" s="305">
        <f>IF(V22="V",VLOOKUP(T22,Vtas3A!$A$2:$B$2425,2,FALSE),0)</f>
        <v>0</v>
      </c>
      <c r="Z22" s="304" t="s">
        <v>3912</v>
      </c>
      <c r="AA22" s="505">
        <f>VLOOKUP(Z22,'Im 3B'!$A$2:$C$2280,3,FALSE)</f>
        <v>76.150000000000006</v>
      </c>
      <c r="AB22" s="304" t="str">
        <f>VLOOKUP(Z22,'Im 3B'!$A$2:$D$3548,4,FALSE)</f>
        <v>D</v>
      </c>
      <c r="AC22" s="305">
        <f>IF(AB22="D",VLOOKUP(Z22,'Im 3B'!$A$2:$C$2280,2,FALSE),0)</f>
        <v>501975000</v>
      </c>
      <c r="AD22" s="305">
        <f>IF(AB22="V",VLOOKUP(Z22,Vtas3B!$A$2:$B$2438,2,FALSE),0)</f>
        <v>0</v>
      </c>
    </row>
    <row r="23" spans="2:30" x14ac:dyDescent="0.2">
      <c r="B23" s="304" t="s">
        <v>1999</v>
      </c>
      <c r="C23" s="505">
        <f>VLOOKUP(B23,'Im 1A'!$A$2:$C$1963,3,FALSE)</f>
        <v>71.900000000000006</v>
      </c>
      <c r="D23" s="304" t="str">
        <f>VLOOKUP(B23,'Im 1A'!$A$2:$D$3231,4,FALSE)</f>
        <v>V</v>
      </c>
      <c r="E23" s="305">
        <f>IF(D23="D",VLOOKUP(B23,'Im 1A'!$A$2:$C$1963,2,FALSE),0)</f>
        <v>0</v>
      </c>
      <c r="F23" s="305">
        <f>IF(D23="V",VLOOKUP(B23,Vtas1A!$A$2:$B$2357,2,FALSE),0)</f>
        <v>279143327</v>
      </c>
      <c r="G23" s="306"/>
      <c r="H23" s="304" t="s">
        <v>2152</v>
      </c>
      <c r="I23" s="505">
        <f>VLOOKUP(H23,'Im 1B'!$A$2:$C$1947,3,FALSE)</f>
        <v>76.3</v>
      </c>
      <c r="J23" s="304" t="str">
        <f>VLOOKUP(H23,'Im 1B'!$A$2:$D$3215,4,FALSE)</f>
        <v>V</v>
      </c>
      <c r="K23" s="305">
        <f>IF(J23="D",VLOOKUP(H23,'Im 1B'!$A$2:$C$1947,2,FALSE),0)</f>
        <v>0</v>
      </c>
      <c r="L23" s="305">
        <f>IF(J23="V",VLOOKUP(H23,Vtas1B!$A$2:$B$2313,2,FALSE),0)</f>
        <v>298392021</v>
      </c>
      <c r="M23" s="307"/>
      <c r="N23" s="280" t="s">
        <v>2739</v>
      </c>
      <c r="O23" s="505">
        <f>VLOOKUP(N23,'Im 2'!$A$2:$C$2278,3,FALSE)</f>
        <v>71.41</v>
      </c>
      <c r="P23" s="304" t="str">
        <f>VLOOKUP(N23,'Im 2'!$A$2:$D$3546,4,FALSE)</f>
        <v>V</v>
      </c>
      <c r="Q23" s="305">
        <f>IF(P23="D",VLOOKUP(N23,'Im 2'!$A$2:$C$2278,2,FALSE),0)</f>
        <v>0</v>
      </c>
      <c r="R23" s="305">
        <f>IF(P23="V",VLOOKUP(N23,Vtas2!$A$2:$B$2425,2,FALSE),0)</f>
        <v>406250000</v>
      </c>
      <c r="S23" s="307"/>
      <c r="T23" s="304" t="s">
        <v>3757</v>
      </c>
      <c r="U23" s="505">
        <f>VLOOKUP(T23,'Im 3A'!$A$2:$C$2278,3,FALSE)</f>
        <v>71.95</v>
      </c>
      <c r="V23" s="304" t="str">
        <f>VLOOKUP(T23,'Im 3A'!$A$2:$D$3546,4,FALSE)</f>
        <v>D</v>
      </c>
      <c r="W23" s="305">
        <f>IF(V23="D",VLOOKUP(T23,'Im 3A'!$A$2:$C$2278,2,FALSE),0)</f>
        <v>479675000</v>
      </c>
      <c r="X23" s="305">
        <f>IF(V23="V",VLOOKUP(T23,Vtas3A!$A$2:$B$2425,2,FALSE),0)</f>
        <v>0</v>
      </c>
      <c r="Z23" s="304" t="s">
        <v>3913</v>
      </c>
      <c r="AA23" s="505">
        <f>VLOOKUP(Z23,'Im 3B'!$A$2:$C$2280,3,FALSE)</f>
        <v>75.5</v>
      </c>
      <c r="AB23" s="304" t="str">
        <f>VLOOKUP(Z23,'Im 3B'!$A$2:$D$3548,4,FALSE)</f>
        <v>D</v>
      </c>
      <c r="AC23" s="305">
        <f>IF(AB23="D",VLOOKUP(Z23,'Im 3B'!$A$2:$C$2280,2,FALSE),0)</f>
        <v>501250000</v>
      </c>
      <c r="AD23" s="305">
        <f>IF(AB23="V",VLOOKUP(Z23,Vtas3B!$A$2:$B$2438,2,FALSE),0)</f>
        <v>0</v>
      </c>
    </row>
    <row r="24" spans="2:30" x14ac:dyDescent="0.2">
      <c r="B24" s="304" t="s">
        <v>2000</v>
      </c>
      <c r="C24" s="505">
        <f>VLOOKUP(B24,'Im 1A'!$A$2:$C$1963,3,FALSE)</f>
        <v>71</v>
      </c>
      <c r="D24" s="304" t="str">
        <f>VLOOKUP(B24,'Im 1A'!$A$2:$D$3231,4,FALSE)</f>
        <v>V</v>
      </c>
      <c r="E24" s="305">
        <f>IF(D24="D",VLOOKUP(B24,'Im 1A'!$A$2:$C$1963,2,FALSE),0)</f>
        <v>0</v>
      </c>
      <c r="F24" s="305">
        <f>IF(D24="V",VLOOKUP(B24,Vtas1A!$A$2:$B$2357,2,FALSE),0)</f>
        <v>284290254</v>
      </c>
      <c r="G24" s="306"/>
      <c r="H24" s="304" t="s">
        <v>2153</v>
      </c>
      <c r="I24" s="505">
        <f>VLOOKUP(H24,'Im 1B'!$A$2:$C$1947,3,FALSE)</f>
        <v>64</v>
      </c>
      <c r="J24" s="304" t="str">
        <f>VLOOKUP(H24,'Im 1B'!$A$2:$D$3215,4,FALSE)</f>
        <v>V</v>
      </c>
      <c r="K24" s="305">
        <f>IF(J24="D",VLOOKUP(H24,'Im 1B'!$A$2:$C$1947,2,FALSE),0)</f>
        <v>0</v>
      </c>
      <c r="L24" s="305">
        <f>IF(J24="V",VLOOKUP(H24,Vtas1B!$A$2:$B$2313,2,FALSE),0)</f>
        <v>268765600</v>
      </c>
      <c r="M24" s="307"/>
      <c r="N24" s="280" t="s">
        <v>2740</v>
      </c>
      <c r="O24" s="505">
        <f>VLOOKUP(N24,'Im 2'!$A$2:$C$2278,3,FALSE)</f>
        <v>113.38</v>
      </c>
      <c r="P24" s="304" t="str">
        <f>VLOOKUP(N24,'Im 2'!$A$2:$D$3546,4,FALSE)</f>
        <v>V</v>
      </c>
      <c r="Q24" s="305">
        <f>IF(P24="D",VLOOKUP(N24,'Im 2'!$A$2:$C$2278,2,FALSE),0)</f>
        <v>0</v>
      </c>
      <c r="R24" s="305">
        <f>IF(P24="V",VLOOKUP(N24,Vtas2!$A$2:$B$2425,2,FALSE),0)</f>
        <v>508920000</v>
      </c>
      <c r="S24" s="307"/>
      <c r="T24" s="304" t="s">
        <v>3759</v>
      </c>
      <c r="U24" s="505">
        <f>VLOOKUP(T24,'Im 3A'!$A$2:$C$2278,3,FALSE)</f>
        <v>71.95</v>
      </c>
      <c r="V24" s="304" t="str">
        <f>VLOOKUP(T24,'Im 3A'!$A$2:$D$3546,4,FALSE)</f>
        <v>D</v>
      </c>
      <c r="W24" s="305">
        <f>IF(V24="D",VLOOKUP(T24,'Im 3A'!$A$2:$C$2278,2,FALSE),0)</f>
        <v>480175000</v>
      </c>
      <c r="X24" s="305">
        <f>IF(V24="V",VLOOKUP(T24,Vtas3A!$A$2:$B$2425,2,FALSE),0)</f>
        <v>0</v>
      </c>
      <c r="Z24" s="304" t="s">
        <v>3914</v>
      </c>
      <c r="AA24" s="505">
        <f>VLOOKUP(Z24,'Im 3B'!$A$2:$C$2280,3,FALSE)</f>
        <v>75.5</v>
      </c>
      <c r="AB24" s="304" t="str">
        <f>VLOOKUP(Z24,'Im 3B'!$A$2:$D$3548,4,FALSE)</f>
        <v>D</v>
      </c>
      <c r="AC24" s="305">
        <f>IF(AB24="D",VLOOKUP(Z24,'Im 3B'!$A$2:$C$2280,2,FALSE),0)</f>
        <v>501750000</v>
      </c>
      <c r="AD24" s="305">
        <f>IF(AB24="V",VLOOKUP(Z24,Vtas3B!$A$2:$B$2438,2,FALSE),0)</f>
        <v>0</v>
      </c>
    </row>
    <row r="25" spans="2:30" x14ac:dyDescent="0.2">
      <c r="B25" s="304" t="s">
        <v>2001</v>
      </c>
      <c r="C25" s="505">
        <f>VLOOKUP(B25,'Im 1A'!$A$2:$C$1963,3,FALSE)</f>
        <v>60.8</v>
      </c>
      <c r="D25" s="304" t="str">
        <f>VLOOKUP(B25,'Im 1A'!$A$2:$D$3231,4,FALSE)</f>
        <v>V</v>
      </c>
      <c r="E25" s="305">
        <f>IF(D25="D",VLOOKUP(B25,'Im 1A'!$A$2:$C$1963,2,FALSE),0)</f>
        <v>0</v>
      </c>
      <c r="F25" s="305">
        <f>IF(D25="V",VLOOKUP(B25,Vtas1A!$A$2:$B$2357,2,FALSE),0)</f>
        <v>244084552</v>
      </c>
      <c r="G25" s="306"/>
      <c r="H25" s="304" t="s">
        <v>2154</v>
      </c>
      <c r="I25" s="505">
        <f>VLOOKUP(H25,'Im 1B'!$A$2:$C$1947,3,FALSE)</f>
        <v>76.13</v>
      </c>
      <c r="J25" s="304" t="str">
        <f>VLOOKUP(H25,'Im 1B'!$A$2:$D$3215,4,FALSE)</f>
        <v>V</v>
      </c>
      <c r="K25" s="305">
        <f>IF(J25="D",VLOOKUP(H25,'Im 1B'!$A$2:$C$1947,2,FALSE),0)</f>
        <v>0</v>
      </c>
      <c r="L25" s="305">
        <f>IF(J25="V",VLOOKUP(H25,Vtas1B!$A$2:$B$2313,2,FALSE),0)</f>
        <v>318519992</v>
      </c>
      <c r="M25" s="307"/>
      <c r="N25" s="280" t="s">
        <v>2741</v>
      </c>
      <c r="O25" s="505">
        <f>VLOOKUP(N25,'Im 2'!$A$2:$C$2278,3,FALSE)</f>
        <v>79.66</v>
      </c>
      <c r="P25" s="304" t="str">
        <f>VLOOKUP(N25,'Im 2'!$A$2:$D$3546,4,FALSE)</f>
        <v>V</v>
      </c>
      <c r="Q25" s="305">
        <f>IF(P25="D",VLOOKUP(N25,'Im 2'!$A$2:$C$2278,2,FALSE),0)</f>
        <v>0</v>
      </c>
      <c r="R25" s="305">
        <f>IF(P25="V",VLOOKUP(N25,Vtas2!$A$2:$B$2425,2,FALSE),0)</f>
        <v>424225000</v>
      </c>
      <c r="S25" s="307"/>
      <c r="T25" s="304" t="s">
        <v>3760</v>
      </c>
      <c r="U25" s="505">
        <f>VLOOKUP(T25,'Im 3A'!$A$2:$C$2278,3,FALSE)</f>
        <v>71.900000000000006</v>
      </c>
      <c r="V25" s="304" t="str">
        <f>VLOOKUP(T25,'Im 3A'!$A$2:$D$3546,4,FALSE)</f>
        <v>D</v>
      </c>
      <c r="W25" s="305">
        <f>IF(V25="D",VLOOKUP(T25,'Im 3A'!$A$2:$C$2278,2,FALSE),0)</f>
        <v>477850000</v>
      </c>
      <c r="X25" s="305">
        <f>IF(V25="V",VLOOKUP(T25,Vtas3A!$A$2:$B$2425,2,FALSE),0)</f>
        <v>0</v>
      </c>
      <c r="Z25" s="304" t="s">
        <v>3915</v>
      </c>
      <c r="AA25" s="505">
        <f>VLOOKUP(Z25,'Im 3B'!$A$2:$C$2280,3,FALSE)</f>
        <v>76.3</v>
      </c>
      <c r="AB25" s="304" t="str">
        <f>VLOOKUP(Z25,'Im 3B'!$A$2:$D$3548,4,FALSE)</f>
        <v>D</v>
      </c>
      <c r="AC25" s="305">
        <f>IF(AB25="D",VLOOKUP(Z25,'Im 3B'!$A$2:$C$2280,2,FALSE),0)</f>
        <v>506950000</v>
      </c>
      <c r="AD25" s="305">
        <f>IF(AB25="V",VLOOKUP(Z25,Vtas3B!$A$2:$B$2438,2,FALSE),0)</f>
        <v>0</v>
      </c>
    </row>
    <row r="26" spans="2:30" x14ac:dyDescent="0.2">
      <c r="B26" s="304" t="s">
        <v>2002</v>
      </c>
      <c r="C26" s="505">
        <f>VLOOKUP(B26,'Im 1A'!$A$2:$C$1963,3,FALSE)</f>
        <v>78.349999999999994</v>
      </c>
      <c r="D26" s="304" t="str">
        <f>VLOOKUP(B26,'Im 1A'!$A$2:$D$3231,4,FALSE)</f>
        <v>V</v>
      </c>
      <c r="E26" s="305">
        <f>IF(D26="D",VLOOKUP(B26,'Im 1A'!$A$2:$C$1963,2,FALSE),0)</f>
        <v>0</v>
      </c>
      <c r="F26" s="305">
        <f>IF(D26="V",VLOOKUP(B26,Vtas1A!$A$2:$B$2357,2,FALSE),0)</f>
        <v>319376000</v>
      </c>
      <c r="G26" s="306"/>
      <c r="H26" s="304" t="s">
        <v>2155</v>
      </c>
      <c r="I26" s="505">
        <f>VLOOKUP(H26,'Im 1B'!$A$2:$C$1947,3,FALSE)</f>
        <v>75.5</v>
      </c>
      <c r="J26" s="304" t="str">
        <f>VLOOKUP(H26,'Im 1B'!$A$2:$D$3215,4,FALSE)</f>
        <v>V</v>
      </c>
      <c r="K26" s="305">
        <f>IF(J26="D",VLOOKUP(H26,'Im 1B'!$A$2:$C$1947,2,FALSE),0)</f>
        <v>0</v>
      </c>
      <c r="L26" s="305">
        <f>IF(J26="V",VLOOKUP(H26,Vtas1B!$A$2:$B$2313,2,FALSE),0)</f>
        <v>337751526</v>
      </c>
      <c r="M26" s="307"/>
      <c r="N26" s="280" t="s">
        <v>2742</v>
      </c>
      <c r="O26" s="505">
        <f>VLOOKUP(N26,'Im 2'!$A$2:$C$2278,3,FALSE)</f>
        <v>112.7</v>
      </c>
      <c r="P26" s="304" t="str">
        <f>VLOOKUP(N26,'Im 2'!$A$2:$D$3546,4,FALSE)</f>
        <v>V</v>
      </c>
      <c r="Q26" s="305">
        <f>IF(P26="D",VLOOKUP(N26,'Im 2'!$A$2:$C$2278,2,FALSE),0)</f>
        <v>0</v>
      </c>
      <c r="R26" s="305">
        <f>IF(P26="V",VLOOKUP(N26,Vtas2!$A$2:$B$2425,2,FALSE),0)</f>
        <v>564350000</v>
      </c>
      <c r="S26" s="307"/>
      <c r="T26" s="304" t="s">
        <v>3761</v>
      </c>
      <c r="U26" s="505">
        <f>VLOOKUP(T26,'Im 3A'!$A$2:$C$2278,3,FALSE)</f>
        <v>71.900000000000006</v>
      </c>
      <c r="V26" s="304" t="str">
        <f>VLOOKUP(T26,'Im 3A'!$A$2:$D$3546,4,FALSE)</f>
        <v>D</v>
      </c>
      <c r="W26" s="305">
        <f>IF(V26="D",VLOOKUP(T26,'Im 3A'!$A$2:$C$2278,2,FALSE),0)</f>
        <v>478350000</v>
      </c>
      <c r="X26" s="305">
        <f>IF(V26="V",VLOOKUP(T26,Vtas3A!$A$2:$B$2425,2,FALSE),0)</f>
        <v>0</v>
      </c>
      <c r="Z26" s="304" t="s">
        <v>3916</v>
      </c>
      <c r="AA26" s="505">
        <f>VLOOKUP(Z26,'Im 3B'!$A$2:$C$2280,3,FALSE)</f>
        <v>75.5</v>
      </c>
      <c r="AB26" s="304" t="str">
        <f>VLOOKUP(Z26,'Im 3B'!$A$2:$D$3548,4,FALSE)</f>
        <v>D</v>
      </c>
      <c r="AC26" s="305">
        <f>IF(AB26="D",VLOOKUP(Z26,'Im 3B'!$A$2:$C$2280,2,FALSE),0)</f>
        <v>502250000</v>
      </c>
      <c r="AD26" s="305">
        <f>IF(AB26="V",VLOOKUP(Z26,Vtas3B!$A$2:$B$2438,2,FALSE),0)</f>
        <v>0</v>
      </c>
    </row>
    <row r="27" spans="2:30" x14ac:dyDescent="0.2">
      <c r="B27" s="304" t="s">
        <v>2003</v>
      </c>
      <c r="C27" s="505">
        <f>VLOOKUP(B27,'Im 1A'!$A$2:$C$1963,3,FALSE)</f>
        <v>77.3</v>
      </c>
      <c r="D27" s="304" t="str">
        <f>VLOOKUP(B27,'Im 1A'!$A$2:$D$3231,4,FALSE)</f>
        <v>V</v>
      </c>
      <c r="E27" s="305">
        <f>IF(D27="D",VLOOKUP(B27,'Im 1A'!$A$2:$C$1963,2,FALSE),0)</f>
        <v>0</v>
      </c>
      <c r="F27" s="305">
        <f>IF(D27="V",VLOOKUP(B27,Vtas1A!$A$2:$B$2357,2,FALSE),0)</f>
        <v>319057000</v>
      </c>
      <c r="G27" s="306"/>
      <c r="H27" s="304" t="s">
        <v>2156</v>
      </c>
      <c r="I27" s="505">
        <f>VLOOKUP(H27,'Im 1B'!$A$2:$C$1947,3,FALSE)</f>
        <v>76.3</v>
      </c>
      <c r="J27" s="304" t="str">
        <f>VLOOKUP(H27,'Im 1B'!$A$2:$D$3215,4,FALSE)</f>
        <v>V</v>
      </c>
      <c r="K27" s="305">
        <f>IF(J27="D",VLOOKUP(H27,'Im 1B'!$A$2:$C$1947,2,FALSE),0)</f>
        <v>0</v>
      </c>
      <c r="L27" s="305">
        <f>IF(J27="V",VLOOKUP(H27,Vtas1B!$A$2:$B$2313,2,FALSE),0)</f>
        <v>316834334</v>
      </c>
      <c r="M27" s="307"/>
      <c r="N27" s="280" t="s">
        <v>2837</v>
      </c>
      <c r="O27" s="505">
        <f>VLOOKUP(N27,'Im 2'!$A$2:$C$2278,3,FALSE)</f>
        <v>80.3</v>
      </c>
      <c r="P27" s="304" t="str">
        <f>VLOOKUP(N27,'Im 2'!$A$2:$D$3546,4,FALSE)</f>
        <v>V</v>
      </c>
      <c r="Q27" s="305">
        <f>IF(P27="D",VLOOKUP(N27,'Im 2'!$A$2:$C$2278,2,FALSE),0)</f>
        <v>0</v>
      </c>
      <c r="R27" s="305">
        <f>IF(P27="V",VLOOKUP(N27,Vtas2!$A$2:$B$2425,2,FALSE),0)</f>
        <v>489300000</v>
      </c>
      <c r="S27" s="307"/>
      <c r="T27" s="304" t="s">
        <v>3762</v>
      </c>
      <c r="U27" s="505">
        <f>VLOOKUP(T27,'Im 3A'!$A$2:$C$2278,3,FALSE)</f>
        <v>71.900000000000006</v>
      </c>
      <c r="V27" s="304" t="str">
        <f>VLOOKUP(T27,'Im 3A'!$A$2:$D$3546,4,FALSE)</f>
        <v>D</v>
      </c>
      <c r="W27" s="305">
        <f>IF(V27="D",VLOOKUP(T27,'Im 3A'!$A$2:$C$2278,2,FALSE),0)</f>
        <v>478850000</v>
      </c>
      <c r="X27" s="305">
        <f>IF(V27="V",VLOOKUP(T27,Vtas3A!$A$2:$B$2425,2,FALSE),0)</f>
        <v>0</v>
      </c>
      <c r="Z27" s="304" t="s">
        <v>3918</v>
      </c>
      <c r="AA27" s="505">
        <f>VLOOKUP(Z27,'Im 3B'!$A$2:$C$2280,3,FALSE)</f>
        <v>76.3</v>
      </c>
      <c r="AB27" s="304" t="str">
        <f>VLOOKUP(Z27,'Im 3B'!$A$2:$D$3548,4,FALSE)</f>
        <v>D</v>
      </c>
      <c r="AC27" s="305">
        <f>IF(AB27="D",VLOOKUP(Z27,'Im 3B'!$A$2:$C$2280,2,FALSE),0)</f>
        <v>508450000</v>
      </c>
      <c r="AD27" s="305">
        <f>IF(AB27="V",VLOOKUP(Z27,Vtas3B!$A$2:$B$2438,2,FALSE),0)</f>
        <v>0</v>
      </c>
    </row>
    <row r="28" spans="2:30" x14ac:dyDescent="0.2">
      <c r="B28" s="304" t="s">
        <v>2004</v>
      </c>
      <c r="C28" s="505">
        <f>VLOOKUP(B28,'Im 1A'!$A$2:$C$1963,3,FALSE)</f>
        <v>60.95</v>
      </c>
      <c r="D28" s="304" t="str">
        <f>VLOOKUP(B28,'Im 1A'!$A$2:$D$3231,4,FALSE)</f>
        <v>V</v>
      </c>
      <c r="E28" s="305">
        <f>IF(D28="D",VLOOKUP(B28,'Im 1A'!$A$2:$C$1963,2,FALSE),0)</f>
        <v>0</v>
      </c>
      <c r="F28" s="305">
        <f>IF(D28="V",VLOOKUP(B28,Vtas1A!$A$2:$B$2357,2,FALSE),0)</f>
        <v>251572000</v>
      </c>
      <c r="G28" s="306"/>
      <c r="H28" s="304" t="s">
        <v>2157</v>
      </c>
      <c r="I28" s="505">
        <f>VLOOKUP(H28,'Im 1B'!$A$2:$C$1947,3,FALSE)</f>
        <v>64</v>
      </c>
      <c r="J28" s="304" t="str">
        <f>VLOOKUP(H28,'Im 1B'!$A$2:$D$3215,4,FALSE)</f>
        <v>V</v>
      </c>
      <c r="K28" s="305">
        <f>IF(J28="D",VLOOKUP(H28,'Im 1B'!$A$2:$C$1947,2,FALSE),0)</f>
        <v>0</v>
      </c>
      <c r="L28" s="305">
        <f>IF(J28="V",VLOOKUP(H28,Vtas1B!$A$2:$B$2313,2,FALSE),0)</f>
        <v>267787400</v>
      </c>
      <c r="M28" s="307"/>
      <c r="N28" s="280" t="s">
        <v>2743</v>
      </c>
      <c r="O28" s="505">
        <f>VLOOKUP(N28,'Im 2'!$A$2:$C$2278,3,FALSE)</f>
        <v>57.65</v>
      </c>
      <c r="P28" s="304" t="str">
        <f>VLOOKUP(N28,'Im 2'!$A$2:$D$3546,4,FALSE)</f>
        <v>V</v>
      </c>
      <c r="Q28" s="305">
        <f>IF(P28="D",VLOOKUP(N28,'Im 2'!$A$2:$C$2278,2,FALSE),0)</f>
        <v>0</v>
      </c>
      <c r="R28" s="305">
        <f>IF(P28="V",VLOOKUP(N28,Vtas2!$A$2:$B$2425,2,FALSE),0)</f>
        <v>389225000</v>
      </c>
      <c r="S28" s="307"/>
      <c r="T28" s="304" t="s">
        <v>3763</v>
      </c>
      <c r="U28" s="505">
        <f>VLOOKUP(T28,'Im 3A'!$A$2:$C$2278,3,FALSE)</f>
        <v>60.95</v>
      </c>
      <c r="V28" s="304" t="str">
        <f>VLOOKUP(T28,'Im 3A'!$A$2:$D$3546,4,FALSE)</f>
        <v>D</v>
      </c>
      <c r="W28" s="305">
        <f>IF(V28="D",VLOOKUP(T28,'Im 3A'!$A$2:$C$2278,2,FALSE),0)</f>
        <v>408175000</v>
      </c>
      <c r="X28" s="305">
        <f>IF(V28="V",VLOOKUP(T28,Vtas3A!$A$2:$B$2425,2,FALSE),0)</f>
        <v>0</v>
      </c>
      <c r="Z28" s="304" t="s">
        <v>3919</v>
      </c>
      <c r="AA28" s="505">
        <f>VLOOKUP(Z28,'Im 3B'!$A$2:$C$2280,3,FALSE)</f>
        <v>76.3</v>
      </c>
      <c r="AB28" s="304" t="str">
        <f>VLOOKUP(Z28,'Im 3B'!$A$2:$D$3548,4,FALSE)</f>
        <v>D</v>
      </c>
      <c r="AC28" s="305">
        <f>IF(AB28="D",VLOOKUP(Z28,'Im 3B'!$A$2:$C$2280,2,FALSE),0)</f>
        <v>509450000</v>
      </c>
      <c r="AD28" s="305">
        <f>IF(AB28="V",VLOOKUP(Z28,Vtas3B!$A$2:$B$2438,2,FALSE),0)</f>
        <v>0</v>
      </c>
    </row>
    <row r="29" spans="2:30" x14ac:dyDescent="0.2">
      <c r="B29" s="304" t="s">
        <v>2005</v>
      </c>
      <c r="C29" s="505">
        <f>VLOOKUP(B29,'Im 1A'!$A$2:$C$1963,3,FALSE)</f>
        <v>71.900000000000006</v>
      </c>
      <c r="D29" s="304" t="str">
        <f>VLOOKUP(B29,'Im 1A'!$A$2:$D$3231,4,FALSE)</f>
        <v>V</v>
      </c>
      <c r="E29" s="305">
        <f>IF(D29="D",VLOOKUP(B29,'Im 1A'!$A$2:$C$1963,2,FALSE),0)</f>
        <v>0</v>
      </c>
      <c r="F29" s="305">
        <f>IF(D29="V",VLOOKUP(B29,Vtas1A!$A$2:$B$2357,2,FALSE),0)</f>
        <v>299655996</v>
      </c>
      <c r="G29" s="306"/>
      <c r="H29" s="304" t="s">
        <v>2135</v>
      </c>
      <c r="I29" s="505">
        <f>VLOOKUP(H29,'Im 1B'!$A$2:$C$1947,3,FALSE)</f>
        <v>76.150000000000006</v>
      </c>
      <c r="J29" s="304" t="str">
        <f>VLOOKUP(H29,'Im 1B'!$A$2:$D$3215,4,FALSE)</f>
        <v>V</v>
      </c>
      <c r="K29" s="305">
        <f>IF(J29="D",VLOOKUP(H29,'Im 1B'!$A$2:$C$1947,2,FALSE),0)</f>
        <v>0</v>
      </c>
      <c r="L29" s="305">
        <f>IF(J29="V",VLOOKUP(H29,Vtas1B!$A$2:$B$2313,2,FALSE),0)</f>
        <v>357033815</v>
      </c>
      <c r="M29" s="307"/>
      <c r="N29" s="280" t="s">
        <v>2745</v>
      </c>
      <c r="O29" s="505">
        <f>VLOOKUP(N29,'Im 2'!$A$2:$C$2278,3,FALSE)</f>
        <v>60.4</v>
      </c>
      <c r="P29" s="304" t="str">
        <f>VLOOKUP(N29,'Im 2'!$A$2:$D$3546,4,FALSE)</f>
        <v>V</v>
      </c>
      <c r="Q29" s="305">
        <f>IF(P29="D",VLOOKUP(N29,'Im 2'!$A$2:$C$2278,2,FALSE),0)</f>
        <v>0</v>
      </c>
      <c r="R29" s="305">
        <f>IF(P29="V",VLOOKUP(N29,Vtas2!$A$2:$B$2425,2,FALSE),0)</f>
        <v>405180000</v>
      </c>
      <c r="S29" s="307"/>
      <c r="T29" s="304" t="s">
        <v>3764</v>
      </c>
      <c r="U29" s="505">
        <f>VLOOKUP(T29,'Im 3A'!$A$2:$C$2278,3,FALSE)</f>
        <v>71.900000000000006</v>
      </c>
      <c r="V29" s="304" t="str">
        <f>VLOOKUP(T29,'Im 3A'!$A$2:$D$3546,4,FALSE)</f>
        <v>D</v>
      </c>
      <c r="W29" s="305">
        <f>IF(V29="D",VLOOKUP(T29,'Im 3A'!$A$2:$C$2278,2,FALSE),0)</f>
        <v>479350000</v>
      </c>
      <c r="X29" s="305">
        <f>IF(V29="V",VLOOKUP(T29,Vtas3A!$A$2:$B$2425,2,FALSE),0)</f>
        <v>0</v>
      </c>
      <c r="Z29" s="304" t="s">
        <v>3920</v>
      </c>
      <c r="AA29" s="505">
        <f>VLOOKUP(Z29,'Im 3B'!$A$2:$C$2280,3,FALSE)</f>
        <v>75.599999999999994</v>
      </c>
      <c r="AB29" s="304" t="str">
        <f>VLOOKUP(Z29,'Im 3B'!$A$2:$D$3548,4,FALSE)</f>
        <v>V</v>
      </c>
      <c r="AC29" s="305">
        <f>IF(AB29="D",VLOOKUP(Z29,'Im 3B'!$A$2:$C$2280,2,FALSE),0)</f>
        <v>0</v>
      </c>
      <c r="AD29" s="305">
        <f>IF(AB29="V",VLOOKUP(Z29,Vtas3B!$A$2:$B$2438,2,FALSE),0)</f>
        <v>462865000</v>
      </c>
    </row>
    <row r="30" spans="2:30" x14ac:dyDescent="0.2">
      <c r="B30" s="304" t="s">
        <v>2006</v>
      </c>
      <c r="C30" s="505">
        <f>VLOOKUP(B30,'Im 1A'!$A$2:$C$1963,3,FALSE)</f>
        <v>71.95</v>
      </c>
      <c r="D30" s="304" t="str">
        <f>VLOOKUP(B30,'Im 1A'!$A$2:$D$3231,4,FALSE)</f>
        <v>V</v>
      </c>
      <c r="E30" s="305">
        <f>IF(D30="D",VLOOKUP(B30,'Im 1A'!$A$2:$C$1963,2,FALSE),0)</f>
        <v>0</v>
      </c>
      <c r="F30" s="305">
        <f>IF(D30="V",VLOOKUP(B30,Vtas1A!$A$2:$B$2357,2,FALSE),0)</f>
        <v>271517227</v>
      </c>
      <c r="G30" s="306"/>
      <c r="H30" s="304" t="s">
        <v>2158</v>
      </c>
      <c r="I30" s="505">
        <f>VLOOKUP(H30,'Im 1B'!$A$2:$C$1947,3,FALSE)</f>
        <v>75.5</v>
      </c>
      <c r="J30" s="304" t="str">
        <f>VLOOKUP(H30,'Im 1B'!$A$2:$D$3215,4,FALSE)</f>
        <v>V</v>
      </c>
      <c r="K30" s="305">
        <f>IF(J30="D",VLOOKUP(H30,'Im 1B'!$A$2:$C$1947,2,FALSE),0)</f>
        <v>0</v>
      </c>
      <c r="L30" s="305">
        <f>IF(J30="V",VLOOKUP(H30,Vtas1B!$A$2:$B$2313,2,FALSE),0)</f>
        <v>334491358</v>
      </c>
      <c r="M30" s="307"/>
      <c r="N30" s="280" t="s">
        <v>2747</v>
      </c>
      <c r="O30" s="505">
        <f>VLOOKUP(N30,'Im 2'!$A$2:$C$2278,3,FALSE)</f>
        <v>80.3</v>
      </c>
      <c r="P30" s="304" t="str">
        <f>VLOOKUP(N30,'Im 2'!$A$2:$D$3546,4,FALSE)</f>
        <v>V</v>
      </c>
      <c r="Q30" s="305">
        <f>IF(P30="D",VLOOKUP(N30,'Im 2'!$A$2:$C$2278,2,FALSE),0)</f>
        <v>0</v>
      </c>
      <c r="R30" s="305">
        <f>IF(P30="V",VLOOKUP(N30,Vtas2!$A$2:$B$2425,2,FALSE),0)</f>
        <v>491517600</v>
      </c>
      <c r="S30" s="307"/>
      <c r="T30" s="304" t="s">
        <v>3765</v>
      </c>
      <c r="U30" s="505">
        <f>VLOOKUP(T30,'Im 3A'!$A$2:$C$2278,3,FALSE)</f>
        <v>71.900000000000006</v>
      </c>
      <c r="V30" s="304" t="str">
        <f>VLOOKUP(T30,'Im 3A'!$A$2:$D$3546,4,FALSE)</f>
        <v>V</v>
      </c>
      <c r="W30" s="305">
        <f>IF(V30="D",VLOOKUP(T30,'Im 3A'!$A$2:$C$2278,2,FALSE),0)</f>
        <v>0</v>
      </c>
      <c r="X30" s="305">
        <f>IF(V30="V",VLOOKUP(T30,Vtas3A!$A$2:$B$2425,2,FALSE),0)</f>
        <v>427877995</v>
      </c>
      <c r="Z30" s="304" t="s">
        <v>3921</v>
      </c>
      <c r="AA30" s="505">
        <f>VLOOKUP(Z30,'Im 3B'!$A$2:$C$2280,3,FALSE)</f>
        <v>76.25</v>
      </c>
      <c r="AB30" s="304" t="str">
        <f>VLOOKUP(Z30,'Im 3B'!$A$2:$D$3548,4,FALSE)</f>
        <v>V</v>
      </c>
      <c r="AC30" s="305">
        <f>IF(AB30="D",VLOOKUP(Z30,'Im 3B'!$A$2:$C$2280,2,FALSE),0)</f>
        <v>0</v>
      </c>
      <c r="AD30" s="305">
        <f>IF(AB30="V",VLOOKUP(Z30,Vtas3B!$A$2:$B$2438,2,FALSE),0)</f>
        <v>446875000</v>
      </c>
    </row>
    <row r="31" spans="2:30" x14ac:dyDescent="0.2">
      <c r="B31" s="304" t="s">
        <v>2007</v>
      </c>
      <c r="C31" s="505">
        <f>VLOOKUP(B31,'Im 1A'!$A$2:$C$1963,3,FALSE)</f>
        <v>58.4</v>
      </c>
      <c r="D31" s="304" t="str">
        <f>VLOOKUP(B31,'Im 1A'!$A$2:$D$3231,4,FALSE)</f>
        <v>V</v>
      </c>
      <c r="E31" s="305">
        <f>IF(D31="D",VLOOKUP(B31,'Im 1A'!$A$2:$C$1963,2,FALSE),0)</f>
        <v>0</v>
      </c>
      <c r="F31" s="305">
        <f>IF(D31="V",VLOOKUP(B31,Vtas1A!$A$2:$B$2357,2,FALSE),0)</f>
        <v>239329528</v>
      </c>
      <c r="G31" s="306"/>
      <c r="H31" s="304" t="s">
        <v>2159</v>
      </c>
      <c r="I31" s="505">
        <f>VLOOKUP(H31,'Im 1B'!$A$2:$C$1947,3,FALSE)</f>
        <v>76.3</v>
      </c>
      <c r="J31" s="304" t="str">
        <f>VLOOKUP(H31,'Im 1B'!$A$2:$D$3215,4,FALSE)</f>
        <v>V</v>
      </c>
      <c r="K31" s="305">
        <f>IF(J31="D",VLOOKUP(H31,'Im 1B'!$A$2:$C$1947,2,FALSE),0)</f>
        <v>0</v>
      </c>
      <c r="L31" s="305">
        <f>IF(J31="V",VLOOKUP(H31,Vtas1B!$A$2:$B$2313,2,FALSE),0)</f>
        <v>305996531</v>
      </c>
      <c r="M31" s="307"/>
      <c r="N31" s="280" t="s">
        <v>2748</v>
      </c>
      <c r="O31" s="505">
        <f>VLOOKUP(N31,'Im 2'!$A$2:$C$2278,3,FALSE)</f>
        <v>57.65</v>
      </c>
      <c r="P31" s="304" t="str">
        <f>VLOOKUP(N31,'Im 2'!$A$2:$D$3546,4,FALSE)</f>
        <v>V</v>
      </c>
      <c r="Q31" s="305">
        <f>IF(P31="D",VLOOKUP(N31,'Im 2'!$A$2:$C$2278,2,FALSE),0)</f>
        <v>0</v>
      </c>
      <c r="R31" s="305">
        <f>IF(P31="V",VLOOKUP(N31,Vtas2!$A$2:$B$2425,2,FALSE),0)</f>
        <v>389725000</v>
      </c>
      <c r="S31" s="307"/>
      <c r="T31" s="304" t="s">
        <v>3766</v>
      </c>
      <c r="U31" s="505">
        <f>VLOOKUP(T31,'Im 3A'!$A$2:$C$2278,3,FALSE)</f>
        <v>60.9</v>
      </c>
      <c r="V31" s="304" t="str">
        <f>VLOOKUP(T31,'Im 3A'!$A$2:$D$3546,4,FALSE)</f>
        <v>V</v>
      </c>
      <c r="W31" s="305">
        <f>IF(V31="D",VLOOKUP(T31,'Im 3A'!$A$2:$C$2278,2,FALSE),0)</f>
        <v>0</v>
      </c>
      <c r="X31" s="305">
        <f>IF(V31="V",VLOOKUP(T31,Vtas3A!$A$2:$B$2425,2,FALSE),0)</f>
        <v>354926000</v>
      </c>
      <c r="Z31" s="304" t="s">
        <v>3922</v>
      </c>
      <c r="AA31" s="505">
        <f>VLOOKUP(Z31,'Im 3B'!$A$2:$C$2280,3,FALSE)</f>
        <v>64</v>
      </c>
      <c r="AB31" s="304" t="str">
        <f>VLOOKUP(Z31,'Im 3B'!$A$2:$D$3548,4,FALSE)</f>
        <v>V</v>
      </c>
      <c r="AC31" s="305">
        <f>IF(AB31="D",VLOOKUP(Z31,'Im 3B'!$A$2:$C$2280,2,FALSE),0)</f>
        <v>0</v>
      </c>
      <c r="AD31" s="305">
        <f>IF(AB31="V",VLOOKUP(Z31,Vtas3B!$A$2:$B$2438,2,FALSE),0)</f>
        <v>365698050</v>
      </c>
    </row>
    <row r="32" spans="2:30" x14ac:dyDescent="0.2">
      <c r="B32" s="304" t="s">
        <v>2008</v>
      </c>
      <c r="C32" s="505">
        <f>VLOOKUP(B32,'Im 1A'!$A$2:$C$1963,3,FALSE)</f>
        <v>78.349999999999994</v>
      </c>
      <c r="D32" s="304" t="str">
        <f>VLOOKUP(B32,'Im 1A'!$A$2:$D$3231,4,FALSE)</f>
        <v>V</v>
      </c>
      <c r="E32" s="305">
        <f>IF(D32="D",VLOOKUP(B32,'Im 1A'!$A$2:$C$1963,2,FALSE),0)</f>
        <v>0</v>
      </c>
      <c r="F32" s="305">
        <f>IF(D32="V",VLOOKUP(B32,Vtas1A!$A$2:$B$2357,2,FALSE),0)</f>
        <v>295048531</v>
      </c>
      <c r="G32" s="306"/>
      <c r="H32" s="304" t="s">
        <v>2160</v>
      </c>
      <c r="I32" s="505">
        <f>VLOOKUP(H32,'Im 1B'!$A$2:$C$1947,3,FALSE)</f>
        <v>63.91</v>
      </c>
      <c r="J32" s="304" t="str">
        <f>VLOOKUP(H32,'Im 1B'!$A$2:$D$3215,4,FALSE)</f>
        <v>V</v>
      </c>
      <c r="K32" s="305">
        <f>IF(J32="D",VLOOKUP(H32,'Im 1B'!$A$2:$C$1947,2,FALSE),0)</f>
        <v>0</v>
      </c>
      <c r="L32" s="305">
        <f>IF(J32="V",VLOOKUP(H32,Vtas1B!$A$2:$B$2313,2,FALSE),0)</f>
        <v>267249367</v>
      </c>
      <c r="M32" s="307"/>
      <c r="N32" s="280" t="s">
        <v>2749</v>
      </c>
      <c r="O32" s="505">
        <f>VLOOKUP(N32,'Im 2'!$A$2:$C$2278,3,FALSE)</f>
        <v>80.05</v>
      </c>
      <c r="P32" s="304" t="str">
        <f>VLOOKUP(N32,'Im 2'!$A$2:$D$3546,4,FALSE)</f>
        <v>V</v>
      </c>
      <c r="Q32" s="305">
        <f>IF(P32="D",VLOOKUP(N32,'Im 2'!$A$2:$C$2278,2,FALSE),0)</f>
        <v>0</v>
      </c>
      <c r="R32" s="305">
        <f>IF(P32="V",VLOOKUP(N32,Vtas2!$A$2:$B$2425,2,FALSE),0)</f>
        <v>533332500</v>
      </c>
      <c r="S32" s="307"/>
      <c r="T32" s="304" t="s">
        <v>3767</v>
      </c>
      <c r="U32" s="505">
        <f>VLOOKUP(T32,'Im 3A'!$A$2:$C$2278,3,FALSE)</f>
        <v>79.7</v>
      </c>
      <c r="V32" s="304" t="str">
        <f>VLOOKUP(T32,'Im 3A'!$A$2:$D$3546,4,FALSE)</f>
        <v>V</v>
      </c>
      <c r="W32" s="305">
        <f>IF(V32="D",VLOOKUP(T32,'Im 3A'!$A$2:$C$2278,2,FALSE),0)</f>
        <v>0</v>
      </c>
      <c r="X32" s="305">
        <f>IF(V32="V",VLOOKUP(T32,Vtas3A!$A$2:$B$2425,2,FALSE),0)</f>
        <v>454139000</v>
      </c>
      <c r="Z32" s="304" t="s">
        <v>3923</v>
      </c>
      <c r="AA32" s="505">
        <f>VLOOKUP(Z32,'Im 3B'!$A$2:$C$2280,3,FALSE)</f>
        <v>76.150000000000006</v>
      </c>
      <c r="AB32" s="304" t="str">
        <f>VLOOKUP(Z32,'Im 3B'!$A$2:$D$3548,4,FALSE)</f>
        <v>V</v>
      </c>
      <c r="AC32" s="305">
        <f>IF(AB32="D",VLOOKUP(Z32,'Im 3B'!$A$2:$C$2280,2,FALSE),0)</f>
        <v>0</v>
      </c>
      <c r="AD32" s="305">
        <f>IF(AB32="V",VLOOKUP(Z32,Vtas3B!$A$2:$B$2438,2,FALSE),0)</f>
        <v>429385500</v>
      </c>
    </row>
    <row r="33" spans="2:30" x14ac:dyDescent="0.2">
      <c r="B33" s="304" t="s">
        <v>2009</v>
      </c>
      <c r="C33" s="505">
        <f>VLOOKUP(B33,'Im 1A'!$A$2:$C$1963,3,FALSE)</f>
        <v>78.400000000000006</v>
      </c>
      <c r="D33" s="304" t="str">
        <f>VLOOKUP(B33,'Im 1A'!$A$2:$D$3231,4,FALSE)</f>
        <v>V</v>
      </c>
      <c r="E33" s="305">
        <f>IF(D33="D",VLOOKUP(B33,'Im 1A'!$A$2:$C$1963,2,FALSE),0)</f>
        <v>0</v>
      </c>
      <c r="F33" s="305">
        <f>IF(D33="V",VLOOKUP(B33,Vtas1A!$A$2:$B$2357,2,FALSE),0)</f>
        <v>293662611</v>
      </c>
      <c r="G33" s="306"/>
      <c r="H33" s="304" t="s">
        <v>2162</v>
      </c>
      <c r="I33" s="505">
        <f>VLOOKUP(H33,'Im 1B'!$A$2:$C$1947,3,FALSE)</f>
        <v>75.59</v>
      </c>
      <c r="J33" s="304" t="str">
        <f>VLOOKUP(H33,'Im 1B'!$A$2:$D$3215,4,FALSE)</f>
        <v>V</v>
      </c>
      <c r="K33" s="305">
        <f>IF(J33="D",VLOOKUP(H33,'Im 1B'!$A$2:$C$1947,2,FALSE),0)</f>
        <v>0</v>
      </c>
      <c r="L33" s="305">
        <f>IF(J33="V",VLOOKUP(H33,Vtas1B!$A$2:$B$2313,2,FALSE),0)</f>
        <v>312398953</v>
      </c>
      <c r="M33" s="307"/>
      <c r="N33" s="280" t="s">
        <v>2750</v>
      </c>
      <c r="O33" s="505">
        <f>VLOOKUP(N33,'Im 2'!$A$2:$C$2278,3,FALSE)</f>
        <v>60.4</v>
      </c>
      <c r="P33" s="304" t="str">
        <f>VLOOKUP(N33,'Im 2'!$A$2:$D$3546,4,FALSE)</f>
        <v>V</v>
      </c>
      <c r="Q33" s="305">
        <f>IF(P33="D",VLOOKUP(N33,'Im 2'!$A$2:$C$2278,2,FALSE),0)</f>
        <v>0</v>
      </c>
      <c r="R33" s="305">
        <f>IF(P33="V",VLOOKUP(N33,Vtas2!$A$2:$B$2425,2,FALSE),0)</f>
        <v>393600000</v>
      </c>
      <c r="S33" s="307"/>
      <c r="T33" s="304" t="s">
        <v>3768</v>
      </c>
      <c r="U33" s="505">
        <f>VLOOKUP(T33,'Im 3A'!$A$2:$C$2278,3,FALSE)</f>
        <v>78.400000000000006</v>
      </c>
      <c r="V33" s="304" t="str">
        <f>VLOOKUP(T33,'Im 3A'!$A$2:$D$3546,4,FALSE)</f>
        <v>V</v>
      </c>
      <c r="W33" s="305">
        <f>IF(V33="D",VLOOKUP(T33,'Im 3A'!$A$2:$C$2278,2,FALSE),0)</f>
        <v>0</v>
      </c>
      <c r="X33" s="305">
        <f>IF(V33="V",VLOOKUP(T33,Vtas3A!$A$2:$B$2425,2,FALSE),0)</f>
        <v>461549437</v>
      </c>
      <c r="Z33" s="304" t="s">
        <v>3924</v>
      </c>
      <c r="AA33" s="505">
        <f>VLOOKUP(Z33,'Im 3B'!$A$2:$C$2280,3,FALSE)</f>
        <v>75.5</v>
      </c>
      <c r="AB33" s="304" t="str">
        <f>VLOOKUP(Z33,'Im 3B'!$A$2:$D$3548,4,FALSE)</f>
        <v>V</v>
      </c>
      <c r="AC33" s="305">
        <f>IF(AB33="D",VLOOKUP(Z33,'Im 3B'!$A$2:$C$2280,2,FALSE),0)</f>
        <v>0</v>
      </c>
      <c r="AD33" s="305">
        <f>IF(AB33="V",VLOOKUP(Z33,Vtas3B!$A$2:$B$2438,2,FALSE),0)</f>
        <v>437380000</v>
      </c>
    </row>
    <row r="34" spans="2:30" x14ac:dyDescent="0.2">
      <c r="B34" s="304" t="s">
        <v>1987</v>
      </c>
      <c r="C34" s="505">
        <f>VLOOKUP(B34,'Im 1A'!$A$2:$C$1963,3,FALSE)</f>
        <v>60.86</v>
      </c>
      <c r="D34" s="304" t="str">
        <f>VLOOKUP(B34,'Im 1A'!$A$2:$D$3231,4,FALSE)</f>
        <v>V</v>
      </c>
      <c r="E34" s="305">
        <f>IF(D34="D",VLOOKUP(B34,'Im 1A'!$A$2:$C$1963,2,FALSE),0)</f>
        <v>0</v>
      </c>
      <c r="F34" s="305">
        <f>IF(D34="V",VLOOKUP(B34,Vtas1A!$A$2:$B$2357,2,FALSE),0)</f>
        <v>292161339</v>
      </c>
      <c r="G34" s="306"/>
      <c r="H34" s="304" t="s">
        <v>2163</v>
      </c>
      <c r="I34" s="505">
        <f>VLOOKUP(H34,'Im 1B'!$A$2:$C$1947,3,FALSE)</f>
        <v>75.91</v>
      </c>
      <c r="J34" s="304" t="str">
        <f>VLOOKUP(H34,'Im 1B'!$A$2:$D$3215,4,FALSE)</f>
        <v>V</v>
      </c>
      <c r="K34" s="305">
        <f>IF(J34="D",VLOOKUP(H34,'Im 1B'!$A$2:$C$1947,2,FALSE),0)</f>
        <v>0</v>
      </c>
      <c r="L34" s="305">
        <f>IF(J34="V",VLOOKUP(H34,Vtas1B!$A$2:$B$2313,2,FALSE),0)</f>
        <v>315320740</v>
      </c>
      <c r="M34" s="307"/>
      <c r="N34" s="280" t="s">
        <v>2838</v>
      </c>
      <c r="O34" s="505">
        <f>VLOOKUP(N34,'Im 2'!$A$2:$C$2278,3,FALSE)</f>
        <v>82.25</v>
      </c>
      <c r="P34" s="304" t="str">
        <f>VLOOKUP(N34,'Im 2'!$A$2:$D$3546,4,FALSE)</f>
        <v>V</v>
      </c>
      <c r="Q34" s="305">
        <f>IF(P34="D",VLOOKUP(N34,'Im 2'!$A$2:$C$2278,2,FALSE),0)</f>
        <v>0</v>
      </c>
      <c r="R34" s="305">
        <f>IF(P34="V",VLOOKUP(N34,Vtas2!$A$2:$B$2425,2,FALSE),0)</f>
        <v>494500000</v>
      </c>
      <c r="S34" s="307"/>
      <c r="T34" s="304" t="s">
        <v>3769</v>
      </c>
      <c r="U34" s="505">
        <f>VLOOKUP(T34,'Im 3A'!$A$2:$C$2278,3,FALSE)</f>
        <v>60.89</v>
      </c>
      <c r="V34" s="304" t="str">
        <f>VLOOKUP(T34,'Im 3A'!$A$2:$D$3546,4,FALSE)</f>
        <v>V</v>
      </c>
      <c r="W34" s="305">
        <f>IF(V34="D",VLOOKUP(T34,'Im 3A'!$A$2:$C$2278,2,FALSE),0)</f>
        <v>0</v>
      </c>
      <c r="X34" s="305">
        <f>IF(V34="V",VLOOKUP(T34,Vtas3A!$A$2:$B$2425,2,FALSE),0)</f>
        <v>291630490</v>
      </c>
      <c r="Z34" s="304" t="s">
        <v>3925</v>
      </c>
      <c r="AA34" s="505">
        <f>VLOOKUP(Z34,'Im 3B'!$A$2:$C$2280,3,FALSE)</f>
        <v>76.3</v>
      </c>
      <c r="AB34" s="304" t="str">
        <f>VLOOKUP(Z34,'Im 3B'!$A$2:$D$3548,4,FALSE)</f>
        <v>V</v>
      </c>
      <c r="AC34" s="305">
        <f>IF(AB34="D",VLOOKUP(Z34,'Im 3B'!$A$2:$C$2280,2,FALSE),0)</f>
        <v>0</v>
      </c>
      <c r="AD34" s="305">
        <f>IF(AB34="V",VLOOKUP(Z34,Vtas3B!$A$2:$B$2438,2,FALSE),0)</f>
        <v>436756782</v>
      </c>
    </row>
    <row r="35" spans="2:30" x14ac:dyDescent="0.2">
      <c r="B35" s="304" t="s">
        <v>2010</v>
      </c>
      <c r="C35" s="505">
        <f>VLOOKUP(B35,'Im 1A'!$A$2:$C$1963,3,FALSE)</f>
        <v>71.88</v>
      </c>
      <c r="D35" s="304" t="str">
        <f>VLOOKUP(B35,'Im 1A'!$A$2:$D$3231,4,FALSE)</f>
        <v>V</v>
      </c>
      <c r="E35" s="305">
        <f>IF(D35="D",VLOOKUP(B35,'Im 1A'!$A$2:$C$1963,2,FALSE),0)</f>
        <v>0</v>
      </c>
      <c r="F35" s="305">
        <f>IF(D35="V",VLOOKUP(B35,Vtas1A!$A$2:$B$2357,2,FALSE),0)</f>
        <v>373976000</v>
      </c>
      <c r="G35" s="306"/>
      <c r="H35" s="304" t="s">
        <v>2164</v>
      </c>
      <c r="I35" s="505">
        <f>VLOOKUP(H35,'Im 1B'!$A$2:$C$1947,3,FALSE)</f>
        <v>63.91</v>
      </c>
      <c r="J35" s="304" t="str">
        <f>VLOOKUP(H35,'Im 1B'!$A$2:$D$3215,4,FALSE)</f>
        <v>V</v>
      </c>
      <c r="K35" s="305">
        <f>IF(J35="D",VLOOKUP(H35,'Im 1B'!$A$2:$C$1947,2,FALSE),0)</f>
        <v>0</v>
      </c>
      <c r="L35" s="305">
        <f>IF(J35="V",VLOOKUP(H35,Vtas1B!$A$2:$B$2313,2,FALSE),0)</f>
        <v>264842751</v>
      </c>
      <c r="M35" s="307"/>
      <c r="N35" s="280" t="s">
        <v>2751</v>
      </c>
      <c r="O35" s="505">
        <f>VLOOKUP(N35,'Im 2'!$A$2:$C$2278,3,FALSE)</f>
        <v>80.349999999999994</v>
      </c>
      <c r="P35" s="304" t="str">
        <f>VLOOKUP(N35,'Im 2'!$A$2:$D$3546,4,FALSE)</f>
        <v>V</v>
      </c>
      <c r="Q35" s="305">
        <f>IF(P35="D",VLOOKUP(N35,'Im 2'!$A$2:$C$2278,2,FALSE),0)</f>
        <v>0</v>
      </c>
      <c r="R35" s="305">
        <f>IF(P35="V",VLOOKUP(N35,Vtas2!$A$2:$B$2425,2,FALSE),0)</f>
        <v>532775000</v>
      </c>
      <c r="S35" s="307"/>
      <c r="T35" s="304" t="s">
        <v>3770</v>
      </c>
      <c r="U35" s="505">
        <f>VLOOKUP(T35,'Im 3A'!$A$2:$C$2278,3,FALSE)</f>
        <v>70.849999999999994</v>
      </c>
      <c r="V35" s="304" t="str">
        <f>VLOOKUP(T35,'Im 3A'!$A$2:$D$3546,4,FALSE)</f>
        <v>V</v>
      </c>
      <c r="W35" s="305">
        <f>IF(V35="D",VLOOKUP(T35,'Im 3A'!$A$2:$C$2278,2,FALSE),0)</f>
        <v>0</v>
      </c>
      <c r="X35" s="305">
        <f>IF(V35="V",VLOOKUP(T35,Vtas3A!$A$2:$B$2425,2,FALSE),0)</f>
        <v>446355000</v>
      </c>
      <c r="Z35" s="304" t="s">
        <v>3926</v>
      </c>
      <c r="AA35" s="505">
        <f>VLOOKUP(Z35,'Im 3B'!$A$2:$C$2280,3,FALSE)</f>
        <v>76.150000000000006</v>
      </c>
      <c r="AB35" s="304" t="str">
        <f>VLOOKUP(Z35,'Im 3B'!$A$2:$D$3548,4,FALSE)</f>
        <v>V</v>
      </c>
      <c r="AC35" s="305">
        <f>IF(AB35="D",VLOOKUP(Z35,'Im 3B'!$A$2:$C$2280,2,FALSE),0)</f>
        <v>0</v>
      </c>
      <c r="AD35" s="305">
        <f>IF(AB35="V",VLOOKUP(Z35,Vtas3B!$A$2:$B$2438,2,FALSE),0)</f>
        <v>421933795</v>
      </c>
    </row>
    <row r="36" spans="2:30" x14ac:dyDescent="0.2">
      <c r="B36" s="304" t="s">
        <v>2011</v>
      </c>
      <c r="C36" s="505">
        <f>VLOOKUP(B36,'Im 1A'!$A$2:$C$1963,3,FALSE)</f>
        <v>71.95</v>
      </c>
      <c r="D36" s="304" t="str">
        <f>VLOOKUP(B36,'Im 1A'!$A$2:$D$3231,4,FALSE)</f>
        <v>V</v>
      </c>
      <c r="E36" s="305">
        <f>IF(D36="D",VLOOKUP(B36,'Im 1A'!$A$2:$C$1963,2,FALSE),0)</f>
        <v>0</v>
      </c>
      <c r="F36" s="305">
        <f>IF(D36="V",VLOOKUP(B36,Vtas1A!$A$2:$B$2357,2,FALSE),0)</f>
        <v>266843906</v>
      </c>
      <c r="G36" s="306"/>
      <c r="H36" s="304" t="s">
        <v>2136</v>
      </c>
      <c r="I36" s="505">
        <f>VLOOKUP(H36,'Im 1B'!$A$2:$C$1947,3,FALSE)</f>
        <v>76.150000000000006</v>
      </c>
      <c r="J36" s="304" t="str">
        <f>VLOOKUP(H36,'Im 1B'!$A$2:$D$3215,4,FALSE)</f>
        <v>V</v>
      </c>
      <c r="K36" s="305">
        <f>IF(J36="D",VLOOKUP(H36,'Im 1B'!$A$2:$C$1947,2,FALSE),0)</f>
        <v>0</v>
      </c>
      <c r="L36" s="305">
        <f>IF(J36="V",VLOOKUP(H36,Vtas1B!$A$2:$B$2313,2,FALSE),0)</f>
        <v>350141388</v>
      </c>
      <c r="M36" s="307"/>
      <c r="N36" s="280" t="s">
        <v>2752</v>
      </c>
      <c r="O36" s="505">
        <f>VLOOKUP(N36,'Im 2'!$A$2:$C$2278,3,FALSE)</f>
        <v>57.65</v>
      </c>
      <c r="P36" s="304" t="str">
        <f>VLOOKUP(N36,'Im 2'!$A$2:$D$3546,4,FALSE)</f>
        <v>V</v>
      </c>
      <c r="Q36" s="305">
        <f>IF(P36="D",VLOOKUP(N36,'Im 2'!$A$2:$C$2278,2,FALSE),0)</f>
        <v>0</v>
      </c>
      <c r="R36" s="305">
        <f>IF(P36="V",VLOOKUP(N36,Vtas2!$A$2:$B$2425,2,FALSE),0)</f>
        <v>355500000</v>
      </c>
      <c r="S36" s="307"/>
      <c r="T36" s="304" t="s">
        <v>3771</v>
      </c>
      <c r="U36" s="505">
        <f>VLOOKUP(T36,'Im 3A'!$A$2:$C$2278,3,FALSE)</f>
        <v>71.92</v>
      </c>
      <c r="V36" s="304" t="str">
        <f>VLOOKUP(T36,'Im 3A'!$A$2:$D$3546,4,FALSE)</f>
        <v>V</v>
      </c>
      <c r="W36" s="305">
        <f>IF(V36="D",VLOOKUP(T36,'Im 3A'!$A$2:$C$2278,2,FALSE),0)</f>
        <v>0</v>
      </c>
      <c r="X36" s="305">
        <f>IF(V36="V",VLOOKUP(T36,Vtas3A!$A$2:$B$2425,2,FALSE),0)</f>
        <v>336151913</v>
      </c>
      <c r="Z36" s="304" t="s">
        <v>3927</v>
      </c>
      <c r="AA36" s="505">
        <f>VLOOKUP(Z36,'Im 3B'!$A$2:$C$2280,3,FALSE)</f>
        <v>75.5</v>
      </c>
      <c r="AB36" s="304" t="str">
        <f>VLOOKUP(Z36,'Im 3B'!$A$2:$D$3548,4,FALSE)</f>
        <v>V</v>
      </c>
      <c r="AC36" s="305">
        <f>IF(AB36="D",VLOOKUP(Z36,'Im 3B'!$A$2:$C$2280,2,FALSE),0)</f>
        <v>0</v>
      </c>
      <c r="AD36" s="305">
        <f>IF(AB36="V",VLOOKUP(Z36,Vtas3B!$A$2:$B$2438,2,FALSE),0)</f>
        <v>431787477</v>
      </c>
    </row>
    <row r="37" spans="2:30" x14ac:dyDescent="0.2">
      <c r="B37" s="304" t="s">
        <v>2012</v>
      </c>
      <c r="C37" s="505">
        <f>VLOOKUP(B37,'Im 1A'!$A$2:$C$1963,3,FALSE)</f>
        <v>60.9</v>
      </c>
      <c r="D37" s="304" t="str">
        <f>VLOOKUP(B37,'Im 1A'!$A$2:$D$3231,4,FALSE)</f>
        <v>V</v>
      </c>
      <c r="E37" s="305">
        <f>IF(D37="D",VLOOKUP(B37,'Im 1A'!$A$2:$C$1963,2,FALSE),0)</f>
        <v>0</v>
      </c>
      <c r="F37" s="305">
        <f>IF(D37="V",VLOOKUP(B37,Vtas1A!$A$2:$B$2357,2,FALSE),0)</f>
        <v>247172000</v>
      </c>
      <c r="G37" s="306"/>
      <c r="H37" s="304" t="s">
        <v>2165</v>
      </c>
      <c r="I37" s="505">
        <f>VLOOKUP(H37,'Im 1B'!$A$2:$C$1947,3,FALSE)</f>
        <v>75.5</v>
      </c>
      <c r="J37" s="304" t="str">
        <f>VLOOKUP(H37,'Im 1B'!$A$2:$D$3215,4,FALSE)</f>
        <v>V</v>
      </c>
      <c r="K37" s="305">
        <f>IF(J37="D",VLOOKUP(H37,'Im 1B'!$A$2:$C$1947,2,FALSE),0)</f>
        <v>0</v>
      </c>
      <c r="L37" s="305">
        <f>IF(J37="V",VLOOKUP(H37,Vtas1B!$A$2:$B$2313,2,FALSE),0)</f>
        <v>335558193</v>
      </c>
      <c r="M37" s="307"/>
      <c r="N37" s="280" t="s">
        <v>2753</v>
      </c>
      <c r="O37" s="505">
        <f>VLOOKUP(N37,'Im 2'!$A$2:$C$2278,3,FALSE)</f>
        <v>79.260000000000005</v>
      </c>
      <c r="P37" s="304" t="str">
        <f>VLOOKUP(N37,'Im 2'!$A$2:$D$3546,4,FALSE)</f>
        <v>V</v>
      </c>
      <c r="Q37" s="305">
        <f>IF(P37="D",VLOOKUP(N37,'Im 2'!$A$2:$C$2278,2,FALSE),0)</f>
        <v>0</v>
      </c>
      <c r="R37" s="305">
        <f>IF(P37="V",VLOOKUP(N37,Vtas2!$A$2:$B$2425,2,FALSE),0)</f>
        <v>472060000</v>
      </c>
      <c r="S37" s="307"/>
      <c r="T37" s="304" t="s">
        <v>3772</v>
      </c>
      <c r="U37" s="505">
        <f>VLOOKUP(T37,'Im 3A'!$A$2:$C$2278,3,FALSE)</f>
        <v>60.91</v>
      </c>
      <c r="V37" s="304" t="str">
        <f>VLOOKUP(T37,'Im 3A'!$A$2:$D$3546,4,FALSE)</f>
        <v>V</v>
      </c>
      <c r="W37" s="305">
        <f>IF(V37="D",VLOOKUP(T37,'Im 3A'!$A$2:$C$2278,2,FALSE),0)</f>
        <v>0</v>
      </c>
      <c r="X37" s="305">
        <f>IF(V37="V",VLOOKUP(T37,Vtas3A!$A$2:$B$2425,2,FALSE),0)</f>
        <v>290351042</v>
      </c>
      <c r="Z37" s="304" t="s">
        <v>3928</v>
      </c>
      <c r="AA37" s="505">
        <f>VLOOKUP(Z37,'Im 3B'!$A$2:$C$2280,3,FALSE)</f>
        <v>64</v>
      </c>
      <c r="AB37" s="304" t="str">
        <f>VLOOKUP(Z37,'Im 3B'!$A$2:$D$3548,4,FALSE)</f>
        <v>V</v>
      </c>
      <c r="AC37" s="305">
        <f>IF(AB37="D",VLOOKUP(Z37,'Im 3B'!$A$2:$C$2280,2,FALSE),0)</f>
        <v>0</v>
      </c>
      <c r="AD37" s="305">
        <f>IF(AB37="V",VLOOKUP(Z37,Vtas3B!$A$2:$B$2438,2,FALSE),0)</f>
        <v>361120000</v>
      </c>
    </row>
    <row r="38" spans="2:30" x14ac:dyDescent="0.2">
      <c r="B38" s="304" t="s">
        <v>2013</v>
      </c>
      <c r="C38" s="505">
        <f>VLOOKUP(B38,'Im 1A'!$A$2:$C$1963,3,FALSE)</f>
        <v>78.349999999999994</v>
      </c>
      <c r="D38" s="304" t="str">
        <f>VLOOKUP(B38,'Im 1A'!$A$2:$D$3231,4,FALSE)</f>
        <v>V</v>
      </c>
      <c r="E38" s="305">
        <f>IF(D38="D",VLOOKUP(B38,'Im 1A'!$A$2:$C$1963,2,FALSE),0)</f>
        <v>0</v>
      </c>
      <c r="F38" s="305">
        <f>IF(D38="V",VLOOKUP(B38,Vtas1A!$A$2:$B$2357,2,FALSE),0)</f>
        <v>310699997</v>
      </c>
      <c r="G38" s="306"/>
      <c r="H38" s="304" t="s">
        <v>2166</v>
      </c>
      <c r="I38" s="505">
        <f>VLOOKUP(H38,'Im 1B'!$A$2:$C$1947,3,FALSE)</f>
        <v>75.91</v>
      </c>
      <c r="J38" s="304" t="str">
        <f>VLOOKUP(H38,'Im 1B'!$A$2:$D$3215,4,FALSE)</f>
        <v>V</v>
      </c>
      <c r="K38" s="305">
        <f>IF(J38="D",VLOOKUP(H38,'Im 1B'!$A$2:$C$1947,2,FALSE),0)</f>
        <v>0</v>
      </c>
      <c r="L38" s="305">
        <f>IF(J38="V",VLOOKUP(H38,Vtas1B!$A$2:$B$2313,2,FALSE),0)</f>
        <v>300872200</v>
      </c>
      <c r="M38" s="307"/>
      <c r="N38" s="280" t="s">
        <v>2754</v>
      </c>
      <c r="O38" s="505">
        <f>VLOOKUP(N38,'Im 2'!$A$2:$C$2278,3,FALSE)</f>
        <v>59.7</v>
      </c>
      <c r="P38" s="304" t="str">
        <f>VLOOKUP(N38,'Im 2'!$A$2:$D$3546,4,FALSE)</f>
        <v>V</v>
      </c>
      <c r="Q38" s="305">
        <f>IF(P38="D",VLOOKUP(N38,'Im 2'!$A$2:$C$2278,2,FALSE),0)</f>
        <v>0</v>
      </c>
      <c r="R38" s="305">
        <f>IF(P38="V",VLOOKUP(N38,Vtas2!$A$2:$B$2425,2,FALSE),0)</f>
        <v>358900000</v>
      </c>
      <c r="S38" s="307"/>
      <c r="T38" s="304" t="s">
        <v>3773</v>
      </c>
      <c r="U38" s="505">
        <f>VLOOKUP(T38,'Im 3A'!$A$2:$C$2278,3,FALSE)</f>
        <v>78.45</v>
      </c>
      <c r="V38" s="304" t="str">
        <f>VLOOKUP(T38,'Im 3A'!$A$2:$D$3546,4,FALSE)</f>
        <v>V</v>
      </c>
      <c r="W38" s="305">
        <f>IF(V38="D",VLOOKUP(T38,'Im 3A'!$A$2:$C$2278,2,FALSE),0)</f>
        <v>0</v>
      </c>
      <c r="X38" s="305">
        <f>IF(V38="V",VLOOKUP(T38,Vtas3A!$A$2:$B$2425,2,FALSE),0)</f>
        <v>341935319</v>
      </c>
      <c r="Z38" s="304" t="s">
        <v>3929</v>
      </c>
      <c r="AA38" s="505">
        <f>VLOOKUP(Z38,'Im 3B'!$A$2:$C$2280,3,FALSE)</f>
        <v>76.150000000000006</v>
      </c>
      <c r="AB38" s="304" t="str">
        <f>VLOOKUP(Z38,'Im 3B'!$A$2:$D$3548,4,FALSE)</f>
        <v>V</v>
      </c>
      <c r="AC38" s="305">
        <f>IF(AB38="D",VLOOKUP(Z38,'Im 3B'!$A$2:$C$2280,2,FALSE),0)</f>
        <v>0</v>
      </c>
      <c r="AD38" s="305">
        <f>IF(AB38="V",VLOOKUP(Z38,Vtas3B!$A$2:$B$2438,2,FALSE),0)</f>
        <v>430270500</v>
      </c>
    </row>
    <row r="39" spans="2:30" x14ac:dyDescent="0.2">
      <c r="B39" s="304" t="s">
        <v>2014</v>
      </c>
      <c r="C39" s="505">
        <f>VLOOKUP(B39,'Im 1A'!$A$2:$C$1963,3,FALSE)</f>
        <v>77.3</v>
      </c>
      <c r="D39" s="304" t="str">
        <f>VLOOKUP(B39,'Im 1A'!$A$2:$D$3231,4,FALSE)</f>
        <v>V</v>
      </c>
      <c r="E39" s="305">
        <f>IF(D39="D",VLOOKUP(B39,'Im 1A'!$A$2:$C$1963,2,FALSE),0)</f>
        <v>0</v>
      </c>
      <c r="F39" s="305">
        <f>IF(D39="V",VLOOKUP(B39,Vtas1A!$A$2:$B$2357,2,FALSE),0)</f>
        <v>318752518</v>
      </c>
      <c r="G39" s="306"/>
      <c r="H39" s="304" t="s">
        <v>2167</v>
      </c>
      <c r="I39" s="505">
        <f>VLOOKUP(H39,'Im 1B'!$A$2:$C$1947,3,FALSE)</f>
        <v>63.91</v>
      </c>
      <c r="J39" s="304" t="str">
        <f>VLOOKUP(H39,'Im 1B'!$A$2:$D$3215,4,FALSE)</f>
        <v>V</v>
      </c>
      <c r="K39" s="305">
        <f>IF(J39="D",VLOOKUP(H39,'Im 1B'!$A$2:$C$1947,2,FALSE),0)</f>
        <v>0</v>
      </c>
      <c r="L39" s="305">
        <f>IF(J39="V",VLOOKUP(H39,Vtas1B!$A$2:$B$2313,2,FALSE),0)</f>
        <v>267409200</v>
      </c>
      <c r="M39" s="307"/>
      <c r="N39" s="280" t="s">
        <v>2755</v>
      </c>
      <c r="O39" s="505">
        <f>VLOOKUP(N39,'Im 2'!$A$2:$C$2278,3,FALSE)</f>
        <v>82.3</v>
      </c>
      <c r="P39" s="304" t="str">
        <f>VLOOKUP(N39,'Im 2'!$A$2:$D$3546,4,FALSE)</f>
        <v>V</v>
      </c>
      <c r="Q39" s="305">
        <f>IF(P39="D",VLOOKUP(N39,'Im 2'!$A$2:$C$2278,2,FALSE),0)</f>
        <v>0</v>
      </c>
      <c r="R39" s="305">
        <f>IF(P39="V",VLOOKUP(N39,Vtas2!$A$2:$B$2425,2,FALSE),0)</f>
        <v>497857562</v>
      </c>
      <c r="S39" s="307"/>
      <c r="T39" s="304" t="s">
        <v>3774</v>
      </c>
      <c r="U39" s="505">
        <f>VLOOKUP(T39,'Im 3A'!$A$2:$C$2278,3,FALSE)</f>
        <v>77.98</v>
      </c>
      <c r="V39" s="304" t="str">
        <f>VLOOKUP(T39,'Im 3A'!$A$2:$D$3546,4,FALSE)</f>
        <v>V</v>
      </c>
      <c r="W39" s="305">
        <f>IF(V39="D",VLOOKUP(T39,'Im 3A'!$A$2:$C$2278,2,FALSE),0)</f>
        <v>0</v>
      </c>
      <c r="X39" s="305">
        <f>IF(V39="V",VLOOKUP(T39,Vtas3A!$A$2:$B$2425,2,FALSE),0)</f>
        <v>375375836</v>
      </c>
      <c r="Z39" s="304" t="s">
        <v>3930</v>
      </c>
      <c r="AA39" s="505">
        <f>VLOOKUP(Z39,'Im 3B'!$A$2:$C$2280,3,FALSE)</f>
        <v>75.5</v>
      </c>
      <c r="AB39" s="304" t="str">
        <f>VLOOKUP(Z39,'Im 3B'!$A$2:$D$3548,4,FALSE)</f>
        <v>V</v>
      </c>
      <c r="AC39" s="305">
        <f>IF(AB39="D",VLOOKUP(Z39,'Im 3B'!$A$2:$C$2280,2,FALSE),0)</f>
        <v>0</v>
      </c>
      <c r="AD39" s="305">
        <f>IF(AB39="V",VLOOKUP(Z39,Vtas3B!$A$2:$B$2438,2,FALSE),0)</f>
        <v>479150000</v>
      </c>
    </row>
    <row r="40" spans="2:30" x14ac:dyDescent="0.2">
      <c r="B40" s="304" t="s">
        <v>2015</v>
      </c>
      <c r="C40" s="505">
        <f>VLOOKUP(B40,'Im 1A'!$A$2:$C$1963,3,FALSE)</f>
        <v>60.95</v>
      </c>
      <c r="D40" s="304" t="str">
        <f>VLOOKUP(B40,'Im 1A'!$A$2:$D$3231,4,FALSE)</f>
        <v>V</v>
      </c>
      <c r="E40" s="305">
        <f>IF(D40="D",VLOOKUP(B40,'Im 1A'!$A$2:$C$1963,2,FALSE),0)</f>
        <v>0</v>
      </c>
      <c r="F40" s="305">
        <f>IF(D40="V",VLOOKUP(B40,Vtas1A!$A$2:$B$2357,2,FALSE),0)</f>
        <v>226342611</v>
      </c>
      <c r="G40" s="306"/>
      <c r="H40" s="304" t="s">
        <v>2168</v>
      </c>
      <c r="I40" s="505">
        <f>VLOOKUP(H40,'Im 1B'!$A$2:$C$1947,3,FALSE)</f>
        <v>76.13</v>
      </c>
      <c r="J40" s="304" t="str">
        <f>VLOOKUP(H40,'Im 1B'!$A$2:$D$3215,4,FALSE)</f>
        <v>V</v>
      </c>
      <c r="K40" s="305">
        <f>IF(J40="D",VLOOKUP(H40,'Im 1B'!$A$2:$C$1947,2,FALSE),0)</f>
        <v>0</v>
      </c>
      <c r="L40" s="305">
        <f>IF(J40="V",VLOOKUP(H40,Vtas1B!$A$2:$B$2313,2,FALSE),0)</f>
        <v>324429900</v>
      </c>
      <c r="M40" s="307"/>
      <c r="N40" s="280" t="s">
        <v>3041</v>
      </c>
      <c r="O40" s="505">
        <f>VLOOKUP(N40,'Im 2'!$A$2:$C$2278,3,FALSE)</f>
        <v>57.5</v>
      </c>
      <c r="P40" s="304" t="str">
        <f>VLOOKUP(N40,'Im 2'!$A$2:$D$3546,4,FALSE)</f>
        <v>V</v>
      </c>
      <c r="Q40" s="305">
        <f>IF(P40="D",VLOOKUP(N40,'Im 2'!$A$2:$C$2278,2,FALSE),0)</f>
        <v>0</v>
      </c>
      <c r="R40" s="305">
        <f>IF(P40="V",VLOOKUP(N40,Vtas2!$A$2:$B$2425,2,FALSE),0)</f>
        <v>355105000</v>
      </c>
      <c r="S40" s="307"/>
      <c r="T40" s="304" t="s">
        <v>3775</v>
      </c>
      <c r="U40" s="505">
        <f>VLOOKUP(T40,'Im 3A'!$A$2:$C$2278,3,FALSE)</f>
        <v>60.95</v>
      </c>
      <c r="V40" s="304" t="str">
        <f>VLOOKUP(T40,'Im 3A'!$A$2:$D$3546,4,FALSE)</f>
        <v>V</v>
      </c>
      <c r="W40" s="305">
        <f>IF(V40="D",VLOOKUP(T40,'Im 3A'!$A$2:$C$2278,2,FALSE),0)</f>
        <v>0</v>
      </c>
      <c r="X40" s="305">
        <f>IF(V40="V",VLOOKUP(T40,Vtas3A!$A$2:$B$2425,2,FALSE),0)</f>
        <v>384485000</v>
      </c>
      <c r="Z40" s="304" t="s">
        <v>3931</v>
      </c>
      <c r="AA40" s="505">
        <f>VLOOKUP(Z40,'Im 3B'!$A$2:$C$2280,3,FALSE)</f>
        <v>76.3</v>
      </c>
      <c r="AB40" s="304" t="str">
        <f>VLOOKUP(Z40,'Im 3B'!$A$2:$D$3548,4,FALSE)</f>
        <v>V</v>
      </c>
      <c r="AC40" s="305">
        <f>IF(AB40="D",VLOOKUP(Z40,'Im 3B'!$A$2:$C$2280,2,FALSE),0)</f>
        <v>0</v>
      </c>
      <c r="AD40" s="305">
        <f>IF(AB40="V",VLOOKUP(Z40,Vtas3B!$A$2:$B$2438,2,FALSE),0)</f>
        <v>426202000</v>
      </c>
    </row>
    <row r="41" spans="2:30" x14ac:dyDescent="0.2">
      <c r="B41" s="304" t="s">
        <v>2016</v>
      </c>
      <c r="C41" s="505">
        <f>VLOOKUP(B41,'Im 1A'!$A$2:$C$1963,3,FALSE)</f>
        <v>71.900000000000006</v>
      </c>
      <c r="D41" s="304" t="str">
        <f>VLOOKUP(B41,'Im 1A'!$A$2:$D$3231,4,FALSE)</f>
        <v>V</v>
      </c>
      <c r="E41" s="305">
        <f>IF(D41="D",VLOOKUP(B41,'Im 1A'!$A$2:$C$1963,2,FALSE),0)</f>
        <v>0</v>
      </c>
      <c r="F41" s="305">
        <f>IF(D41="V",VLOOKUP(B41,Vtas1A!$A$2:$B$2357,2,FALSE),0)</f>
        <v>288300000</v>
      </c>
      <c r="G41" s="306"/>
      <c r="H41" s="304" t="s">
        <v>2169</v>
      </c>
      <c r="I41" s="505">
        <f>VLOOKUP(H41,'Im 1B'!$A$2:$C$1947,3,FALSE)</f>
        <v>75.59</v>
      </c>
      <c r="J41" s="304" t="str">
        <f>VLOOKUP(H41,'Im 1B'!$A$2:$D$3215,4,FALSE)</f>
        <v>V</v>
      </c>
      <c r="K41" s="305">
        <f>IF(J41="D",VLOOKUP(H41,'Im 1B'!$A$2:$C$1947,2,FALSE),0)</f>
        <v>0</v>
      </c>
      <c r="L41" s="305">
        <f>IF(J41="V",VLOOKUP(H41,Vtas1B!$A$2:$B$2313,2,FALSE),0)</f>
        <v>323738344</v>
      </c>
      <c r="M41" s="307"/>
      <c r="N41" s="280" t="s">
        <v>2839</v>
      </c>
      <c r="O41" s="505">
        <f>VLOOKUP(N41,'Im 2'!$A$2:$C$2278,3,FALSE)</f>
        <v>79.260000000000005</v>
      </c>
      <c r="P41" s="304" t="str">
        <f>VLOOKUP(N41,'Im 2'!$A$2:$D$3546,4,FALSE)</f>
        <v>V</v>
      </c>
      <c r="Q41" s="305">
        <f>IF(P41="D",VLOOKUP(N41,'Im 2'!$A$2:$C$2278,2,FALSE),0)</f>
        <v>0</v>
      </c>
      <c r="R41" s="305">
        <f>IF(P41="V",VLOOKUP(N41,Vtas2!$A$2:$B$2425,2,FALSE),0)</f>
        <v>472560000</v>
      </c>
      <c r="S41" s="307"/>
      <c r="T41" s="304" t="s">
        <v>3776</v>
      </c>
      <c r="U41" s="505">
        <f>VLOOKUP(T41,'Im 3A'!$A$2:$C$2278,3,FALSE)</f>
        <v>71.95</v>
      </c>
      <c r="V41" s="304" t="str">
        <f>VLOOKUP(T41,'Im 3A'!$A$2:$D$3546,4,FALSE)</f>
        <v>V</v>
      </c>
      <c r="W41" s="305">
        <f>IF(V41="D",VLOOKUP(T41,'Im 3A'!$A$2:$C$2278,2,FALSE),0)</f>
        <v>0</v>
      </c>
      <c r="X41" s="305">
        <f>IF(V41="V",VLOOKUP(T41,Vtas3A!$A$2:$B$2425,2,FALSE),0)</f>
        <v>456285000</v>
      </c>
      <c r="Z41" s="304" t="s">
        <v>3932</v>
      </c>
      <c r="AA41" s="505">
        <f>VLOOKUP(Z41,'Im 3B'!$A$2:$C$2280,3,FALSE)</f>
        <v>64</v>
      </c>
      <c r="AB41" s="304" t="str">
        <f>VLOOKUP(Z41,'Im 3B'!$A$2:$D$3548,4,FALSE)</f>
        <v>V</v>
      </c>
      <c r="AC41" s="305">
        <f>IF(AB41="D",VLOOKUP(Z41,'Im 3B'!$A$2:$C$2280,2,FALSE),0)</f>
        <v>0</v>
      </c>
      <c r="AD41" s="305">
        <f>IF(AB41="V",VLOOKUP(Z41,Vtas3B!$A$2:$B$2438,2,FALSE),0)</f>
        <v>358060000</v>
      </c>
    </row>
    <row r="42" spans="2:30" x14ac:dyDescent="0.2">
      <c r="B42" s="304" t="s">
        <v>2017</v>
      </c>
      <c r="C42" s="505">
        <f>VLOOKUP(B42,'Im 1A'!$A$2:$C$1963,3,FALSE)</f>
        <v>71.95</v>
      </c>
      <c r="D42" s="304" t="str">
        <f>VLOOKUP(B42,'Im 1A'!$A$2:$D$3231,4,FALSE)</f>
        <v>V</v>
      </c>
      <c r="E42" s="305">
        <f>IF(D42="D",VLOOKUP(B42,'Im 1A'!$A$2:$C$1963,2,FALSE),0)</f>
        <v>0</v>
      </c>
      <c r="F42" s="305">
        <f>IF(D42="V",VLOOKUP(B42,Vtas1A!$A$2:$B$2357,2,FALSE),0)</f>
        <v>298192800</v>
      </c>
      <c r="G42" s="306"/>
      <c r="H42" s="304" t="s">
        <v>2170</v>
      </c>
      <c r="I42" s="505">
        <f>VLOOKUP(H42,'Im 1B'!$A$2:$C$1947,3,FALSE)</f>
        <v>75.91</v>
      </c>
      <c r="J42" s="304" t="str">
        <f>VLOOKUP(H42,'Im 1B'!$A$2:$D$3215,4,FALSE)</f>
        <v>V</v>
      </c>
      <c r="K42" s="305">
        <f>IF(J42="D",VLOOKUP(H42,'Im 1B'!$A$2:$C$1947,2,FALSE),0)</f>
        <v>0</v>
      </c>
      <c r="L42" s="305">
        <f>IF(J42="V",VLOOKUP(H42,Vtas1B!$A$2:$B$2313,2,FALSE),0)</f>
        <v>363010000</v>
      </c>
      <c r="M42" s="307"/>
      <c r="N42" s="280" t="s">
        <v>2757</v>
      </c>
      <c r="O42" s="505">
        <f>VLOOKUP(N42,'Im 2'!$A$2:$C$2278,3,FALSE)</f>
        <v>59.7</v>
      </c>
      <c r="P42" s="304" t="str">
        <f>VLOOKUP(N42,'Im 2'!$A$2:$D$3546,4,FALSE)</f>
        <v>V</v>
      </c>
      <c r="Q42" s="305">
        <f>IF(P42="D",VLOOKUP(N42,'Im 2'!$A$2:$C$2278,2,FALSE),0)</f>
        <v>0</v>
      </c>
      <c r="R42" s="305">
        <f>IF(P42="V",VLOOKUP(N42,Vtas2!$A$2:$B$2425,2,FALSE),0)</f>
        <v>359400000</v>
      </c>
      <c r="S42" s="307"/>
      <c r="T42" s="304" t="s">
        <v>3777</v>
      </c>
      <c r="U42" s="505">
        <f>VLOOKUP(T42,'Im 3A'!$A$2:$C$2278,3,FALSE)</f>
        <v>60.91</v>
      </c>
      <c r="V42" s="304" t="str">
        <f>VLOOKUP(T42,'Im 3A'!$A$2:$D$3546,4,FALSE)</f>
        <v>V</v>
      </c>
      <c r="W42" s="305">
        <f>IF(V42="D",VLOOKUP(T42,'Im 3A'!$A$2:$C$2278,2,FALSE),0)</f>
        <v>0</v>
      </c>
      <c r="X42" s="305">
        <f>IF(V42="V",VLOOKUP(T42,Vtas3A!$A$2:$B$2425,2,FALSE),0)</f>
        <v>294340929</v>
      </c>
      <c r="Z42" s="304" t="s">
        <v>3933</v>
      </c>
      <c r="AA42" s="505">
        <f>VLOOKUP(Z42,'Im 3B'!$A$2:$C$2280,3,FALSE)</f>
        <v>76.150000000000006</v>
      </c>
      <c r="AB42" s="304" t="str">
        <f>VLOOKUP(Z42,'Im 3B'!$A$2:$D$3548,4,FALSE)</f>
        <v>V</v>
      </c>
      <c r="AC42" s="305">
        <f>IF(AB42="D",VLOOKUP(Z42,'Im 3B'!$A$2:$C$2280,2,FALSE),0)</f>
        <v>0</v>
      </c>
      <c r="AD42" s="305">
        <f>IF(AB42="V",VLOOKUP(Z42,Vtas3B!$A$2:$B$2438,2,FALSE),0)</f>
        <v>420797476</v>
      </c>
    </row>
    <row r="43" spans="2:30" x14ac:dyDescent="0.2">
      <c r="B43" s="304" t="s">
        <v>2018</v>
      </c>
      <c r="C43" s="505">
        <f>VLOOKUP(B43,'Im 1A'!$A$2:$C$1963,3,FALSE)</f>
        <v>60.9</v>
      </c>
      <c r="D43" s="304" t="str">
        <f>VLOOKUP(B43,'Im 1A'!$A$2:$D$3231,4,FALSE)</f>
        <v>V</v>
      </c>
      <c r="E43" s="305">
        <f>IF(D43="D",VLOOKUP(B43,'Im 1A'!$A$2:$C$1963,2,FALSE),0)</f>
        <v>0</v>
      </c>
      <c r="F43" s="305">
        <f>IF(D43="V",VLOOKUP(B43,Vtas1A!$A$2:$B$2357,2,FALSE),0)</f>
        <v>244000000</v>
      </c>
      <c r="G43" s="306"/>
      <c r="H43" s="304" t="s">
        <v>2171</v>
      </c>
      <c r="I43" s="505">
        <f>VLOOKUP(H43,'Im 1B'!$A$2:$C$1947,3,FALSE)</f>
        <v>63.91</v>
      </c>
      <c r="J43" s="304" t="str">
        <f>VLOOKUP(H43,'Im 1B'!$A$2:$D$3215,4,FALSE)</f>
        <v>V</v>
      </c>
      <c r="K43" s="305">
        <f>IF(J43="D",VLOOKUP(H43,'Im 1B'!$A$2:$C$1947,2,FALSE),0)</f>
        <v>0</v>
      </c>
      <c r="L43" s="305">
        <f>IF(J43="V",VLOOKUP(H43,Vtas1B!$A$2:$B$2313,2,FALSE),0)</f>
        <v>268071788</v>
      </c>
      <c r="M43" s="307"/>
      <c r="N43" s="280" t="s">
        <v>2758</v>
      </c>
      <c r="O43" s="505">
        <f>VLOOKUP(N43,'Im 2'!$A$2:$C$2278,3,FALSE)</f>
        <v>82.3</v>
      </c>
      <c r="P43" s="304" t="str">
        <f>VLOOKUP(N43,'Im 2'!$A$2:$D$3546,4,FALSE)</f>
        <v>V</v>
      </c>
      <c r="Q43" s="305">
        <f>IF(P43="D",VLOOKUP(N43,'Im 2'!$A$2:$C$2278,2,FALSE),0)</f>
        <v>0</v>
      </c>
      <c r="R43" s="305">
        <f>IF(P43="V",VLOOKUP(N43,Vtas2!$A$2:$B$2425,2,FALSE),0)</f>
        <v>536950000</v>
      </c>
      <c r="S43" s="307"/>
      <c r="T43" s="304" t="s">
        <v>3778</v>
      </c>
      <c r="U43" s="505">
        <f>VLOOKUP(T43,'Im 3A'!$A$2:$C$2278,3,FALSE)</f>
        <v>78.45</v>
      </c>
      <c r="V43" s="304" t="str">
        <f>VLOOKUP(T43,'Im 3A'!$A$2:$D$3546,4,FALSE)</f>
        <v>V</v>
      </c>
      <c r="W43" s="305">
        <f>IF(V43="D",VLOOKUP(T43,'Im 3A'!$A$2:$C$2278,2,FALSE),0)</f>
        <v>0</v>
      </c>
      <c r="X43" s="305">
        <f>IF(V43="V",VLOOKUP(T43,Vtas3A!$A$2:$B$2425,2,FALSE),0)</f>
        <v>382482500</v>
      </c>
      <c r="Z43" s="304" t="s">
        <v>3903</v>
      </c>
      <c r="AA43" s="505">
        <f>VLOOKUP(Z43,'Im 3B'!$A$2:$C$2280,3,FALSE)</f>
        <v>75.5</v>
      </c>
      <c r="AB43" s="304" t="str">
        <f>VLOOKUP(Z43,'Im 3B'!$A$2:$D$3548,4,FALSE)</f>
        <v>V</v>
      </c>
      <c r="AC43" s="305">
        <f>IF(AB43="D",VLOOKUP(Z43,'Im 3B'!$A$2:$C$2280,2,FALSE),0)</f>
        <v>0</v>
      </c>
      <c r="AD43" s="305">
        <f>IF(AB43="V",VLOOKUP(Z43,Vtas3B!$A$2:$B$2438,2,FALSE),0)</f>
        <v>494750000</v>
      </c>
    </row>
    <row r="44" spans="2:30" x14ac:dyDescent="0.2">
      <c r="B44" s="304" t="s">
        <v>2019</v>
      </c>
      <c r="C44" s="505">
        <f>VLOOKUP(B44,'Im 1A'!$A$2:$C$1963,3,FALSE)</f>
        <v>78.349999999999994</v>
      </c>
      <c r="D44" s="304" t="str">
        <f>VLOOKUP(B44,'Im 1A'!$A$2:$D$3231,4,FALSE)</f>
        <v>V</v>
      </c>
      <c r="E44" s="305">
        <f>IF(D44="D",VLOOKUP(B44,'Im 1A'!$A$2:$C$1963,2,FALSE),0)</f>
        <v>0</v>
      </c>
      <c r="F44" s="305">
        <f>IF(D44="V",VLOOKUP(B44,Vtas1A!$A$2:$B$2357,2,FALSE),0)</f>
        <v>317957000</v>
      </c>
      <c r="G44" s="306"/>
      <c r="H44" s="304" t="s">
        <v>2172</v>
      </c>
      <c r="I44" s="505">
        <f>VLOOKUP(H44,'Im 1B'!$A$2:$C$1947,3,FALSE)</f>
        <v>76.150000000000006</v>
      </c>
      <c r="J44" s="304" t="str">
        <f>VLOOKUP(H44,'Im 1B'!$A$2:$D$3215,4,FALSE)</f>
        <v>V</v>
      </c>
      <c r="K44" s="305">
        <f>IF(J44="D",VLOOKUP(H44,'Im 1B'!$A$2:$C$1947,2,FALSE),0)</f>
        <v>0</v>
      </c>
      <c r="L44" s="305">
        <f>IF(J44="V",VLOOKUP(H44,Vtas1B!$A$2:$B$2313,2,FALSE),0)</f>
        <v>388680000</v>
      </c>
      <c r="M44" s="307"/>
      <c r="N44" s="280" t="s">
        <v>2760</v>
      </c>
      <c r="O44" s="505">
        <f>VLOOKUP(N44,'Im 2'!$A$2:$C$2278,3,FALSE)</f>
        <v>57.5</v>
      </c>
      <c r="P44" s="304" t="str">
        <f>VLOOKUP(N44,'Im 2'!$A$2:$D$3546,4,FALSE)</f>
        <v>V</v>
      </c>
      <c r="Q44" s="305">
        <f>IF(P44="D",VLOOKUP(N44,'Im 2'!$A$2:$C$2278,2,FALSE),0)</f>
        <v>0</v>
      </c>
      <c r="R44" s="305">
        <f>IF(P44="V",VLOOKUP(N44,Vtas2!$A$2:$B$2425,2,FALSE),0)</f>
        <v>357191674</v>
      </c>
      <c r="S44" s="307"/>
      <c r="T44" s="304" t="s">
        <v>3779</v>
      </c>
      <c r="U44" s="505">
        <f>VLOOKUP(T44,'Im 3A'!$A$2:$C$2278,3,FALSE)</f>
        <v>77.98</v>
      </c>
      <c r="V44" s="304" t="str">
        <f>VLOOKUP(T44,'Im 3A'!$A$2:$D$3546,4,FALSE)</f>
        <v>V</v>
      </c>
      <c r="W44" s="305">
        <f>IF(V44="D",VLOOKUP(T44,'Im 3A'!$A$2:$C$2278,2,FALSE),0)</f>
        <v>0</v>
      </c>
      <c r="X44" s="305">
        <f>IF(V44="V",VLOOKUP(T44,Vtas3A!$A$2:$B$2425,2,FALSE),0)</f>
        <v>385592000</v>
      </c>
      <c r="Z44" s="304" t="s">
        <v>3934</v>
      </c>
      <c r="AA44" s="505">
        <f>VLOOKUP(Z44,'Im 3B'!$A$2:$C$2280,3,FALSE)</f>
        <v>64</v>
      </c>
      <c r="AB44" s="304" t="str">
        <f>VLOOKUP(Z44,'Im 3B'!$A$2:$D$3548,4,FALSE)</f>
        <v>V</v>
      </c>
      <c r="AC44" s="305">
        <f>IF(AB44="D",VLOOKUP(Z44,'Im 3B'!$A$2:$C$2280,2,FALSE),0)</f>
        <v>0</v>
      </c>
      <c r="AD44" s="305">
        <f>IF(AB44="V",VLOOKUP(Z44,Vtas3B!$A$2:$B$2438,2,FALSE),0)</f>
        <v>360010400</v>
      </c>
    </row>
    <row r="45" spans="2:30" x14ac:dyDescent="0.2">
      <c r="B45" s="304" t="s">
        <v>2020</v>
      </c>
      <c r="C45" s="505">
        <f>VLOOKUP(B45,'Im 1A'!$A$2:$C$1963,3,FALSE)</f>
        <v>77.3</v>
      </c>
      <c r="D45" s="304" t="str">
        <f>VLOOKUP(B45,'Im 1A'!$A$2:$D$3231,4,FALSE)</f>
        <v>V</v>
      </c>
      <c r="E45" s="305">
        <f>IF(D45="D",VLOOKUP(B45,'Im 1A'!$A$2:$C$1963,2,FALSE),0)</f>
        <v>0</v>
      </c>
      <c r="F45" s="305">
        <f>IF(D45="V",VLOOKUP(B45,Vtas1A!$A$2:$B$2357,2,FALSE),0)</f>
        <v>322276000</v>
      </c>
      <c r="G45" s="306"/>
      <c r="H45" s="304" t="s">
        <v>2173</v>
      </c>
      <c r="I45" s="505">
        <f>VLOOKUP(H45,'Im 1B'!$A$2:$C$1947,3,FALSE)</f>
        <v>75.5</v>
      </c>
      <c r="J45" s="304" t="str">
        <f>VLOOKUP(H45,'Im 1B'!$A$2:$D$3215,4,FALSE)</f>
        <v>V</v>
      </c>
      <c r="K45" s="305">
        <f>IF(J45="D",VLOOKUP(H45,'Im 1B'!$A$2:$C$1947,2,FALSE),0)</f>
        <v>0</v>
      </c>
      <c r="L45" s="305">
        <f>IF(J45="V",VLOOKUP(H45,Vtas1B!$A$2:$B$2313,2,FALSE),0)</f>
        <v>315322000</v>
      </c>
      <c r="M45" s="307"/>
      <c r="N45" s="280" t="s">
        <v>2761</v>
      </c>
      <c r="O45" s="505">
        <f>VLOOKUP(N45,'Im 2'!$A$2:$C$2278,3,FALSE)</f>
        <v>80.05</v>
      </c>
      <c r="P45" s="304" t="str">
        <f>VLOOKUP(N45,'Im 2'!$A$2:$D$3546,4,FALSE)</f>
        <v>V</v>
      </c>
      <c r="Q45" s="305">
        <f>IF(P45="D",VLOOKUP(N45,'Im 2'!$A$2:$C$2278,2,FALSE),0)</f>
        <v>0</v>
      </c>
      <c r="R45" s="305">
        <f>IF(P45="V",VLOOKUP(N45,Vtas2!$A$2:$B$2425,2,FALSE),0)</f>
        <v>530830000</v>
      </c>
      <c r="S45" s="307"/>
      <c r="T45" s="304" t="s">
        <v>3780</v>
      </c>
      <c r="U45" s="505">
        <f>VLOOKUP(T45,'Im 3A'!$A$2:$C$2278,3,FALSE)</f>
        <v>71.92</v>
      </c>
      <c r="V45" s="304" t="str">
        <f>VLOOKUP(T45,'Im 3A'!$A$2:$D$3546,4,FALSE)</f>
        <v>V</v>
      </c>
      <c r="W45" s="305">
        <f>IF(V45="D",VLOOKUP(T45,'Im 3A'!$A$2:$C$2278,2,FALSE),0)</f>
        <v>0</v>
      </c>
      <c r="X45" s="305">
        <f>IF(V45="V",VLOOKUP(T45,Vtas3A!$A$2:$B$2425,2,FALSE),0)</f>
        <v>282311800</v>
      </c>
      <c r="Z45" s="304" t="s">
        <v>3935</v>
      </c>
      <c r="AA45" s="505">
        <f>VLOOKUP(Z45,'Im 3B'!$A$2:$C$2280,3,FALSE)</f>
        <v>76.150000000000006</v>
      </c>
      <c r="AB45" s="304" t="str">
        <f>VLOOKUP(Z45,'Im 3B'!$A$2:$D$3548,4,FALSE)</f>
        <v>V</v>
      </c>
      <c r="AC45" s="305">
        <f>IF(AB45="D",VLOOKUP(Z45,'Im 3B'!$A$2:$C$2280,2,FALSE),0)</f>
        <v>0</v>
      </c>
      <c r="AD45" s="305">
        <f>IF(AB45="V",VLOOKUP(Z45,Vtas3B!$A$2:$B$2438,2,FALSE),0)</f>
        <v>423471156</v>
      </c>
    </row>
    <row r="46" spans="2:30" x14ac:dyDescent="0.2">
      <c r="B46" s="304" t="s">
        <v>2021</v>
      </c>
      <c r="C46" s="505">
        <f>VLOOKUP(B46,'Im 1A'!$A$2:$C$1963,3,FALSE)</f>
        <v>60.95</v>
      </c>
      <c r="D46" s="304" t="str">
        <f>VLOOKUP(B46,'Im 1A'!$A$2:$D$3231,4,FALSE)</f>
        <v>V</v>
      </c>
      <c r="E46" s="305">
        <f>IF(D46="D",VLOOKUP(B46,'Im 1A'!$A$2:$C$1963,2,FALSE),0)</f>
        <v>0</v>
      </c>
      <c r="F46" s="305">
        <f>IF(D46="V",VLOOKUP(B46,Vtas1A!$A$2:$B$2357,2,FALSE),0)</f>
        <v>261245187</v>
      </c>
      <c r="G46" s="306"/>
      <c r="H46" s="304" t="s">
        <v>2174</v>
      </c>
      <c r="I46" s="505">
        <f>VLOOKUP(H46,'Im 1B'!$A$2:$C$1947,3,FALSE)</f>
        <v>76.3</v>
      </c>
      <c r="J46" s="304" t="str">
        <f>VLOOKUP(H46,'Im 1B'!$A$2:$D$3215,4,FALSE)</f>
        <v>V</v>
      </c>
      <c r="K46" s="305">
        <f>IF(J46="D",VLOOKUP(H46,'Im 1B'!$A$2:$C$1947,2,FALSE),0)</f>
        <v>0</v>
      </c>
      <c r="L46" s="305">
        <f>IF(J46="V",VLOOKUP(H46,Vtas1B!$A$2:$B$2313,2,FALSE),0)</f>
        <v>313548519</v>
      </c>
      <c r="M46" s="307"/>
      <c r="N46" s="280" t="s">
        <v>2762</v>
      </c>
      <c r="O46" s="505">
        <f>VLOOKUP(N46,'Im 2'!$A$2:$C$2278,3,FALSE)</f>
        <v>60.4</v>
      </c>
      <c r="P46" s="304" t="str">
        <f>VLOOKUP(N46,'Im 2'!$A$2:$D$3546,4,FALSE)</f>
        <v>V</v>
      </c>
      <c r="Q46" s="305">
        <f>IF(P46="D",VLOOKUP(N46,'Im 2'!$A$2:$C$2278,2,FALSE),0)</f>
        <v>0</v>
      </c>
      <c r="R46" s="305">
        <f>IF(P46="V",VLOOKUP(N46,Vtas2!$A$2:$B$2425,2,FALSE),0)</f>
        <v>395100000</v>
      </c>
      <c r="S46" s="307"/>
      <c r="T46" s="304" t="s">
        <v>3781</v>
      </c>
      <c r="U46" s="505">
        <f>VLOOKUP(T46,'Im 3A'!$A$2:$C$2278,3,FALSE)</f>
        <v>71.900000000000006</v>
      </c>
      <c r="V46" s="304" t="str">
        <f>VLOOKUP(T46,'Im 3A'!$A$2:$D$3546,4,FALSE)</f>
        <v>V</v>
      </c>
      <c r="W46" s="305">
        <f>IF(V46="D",VLOOKUP(T46,'Im 3A'!$A$2:$C$2278,2,FALSE),0)</f>
        <v>0</v>
      </c>
      <c r="X46" s="305">
        <f>IF(V46="V",VLOOKUP(T46,Vtas3A!$A$2:$B$2425,2,FALSE),0)</f>
        <v>347884059</v>
      </c>
      <c r="Z46" s="304" t="s">
        <v>3936</v>
      </c>
      <c r="AA46" s="505">
        <f>VLOOKUP(Z46,'Im 3B'!$A$2:$C$2280,3,FALSE)</f>
        <v>76.3</v>
      </c>
      <c r="AB46" s="304" t="str">
        <f>VLOOKUP(Z46,'Im 3B'!$A$2:$D$3548,4,FALSE)</f>
        <v>V</v>
      </c>
      <c r="AC46" s="305">
        <f>IF(AB46="D",VLOOKUP(Z46,'Im 3B'!$A$2:$C$2280,2,FALSE),0)</f>
        <v>0</v>
      </c>
      <c r="AD46" s="305">
        <f>IF(AB46="V",VLOOKUP(Z46,Vtas3B!$A$2:$B$2438,2,FALSE),0)</f>
        <v>485190000</v>
      </c>
    </row>
    <row r="47" spans="2:30" x14ac:dyDescent="0.2">
      <c r="B47" s="304" t="s">
        <v>2022</v>
      </c>
      <c r="C47" s="505">
        <f>VLOOKUP(B47,'Im 1A'!$A$2:$C$1963,3,FALSE)</f>
        <v>71.900000000000006</v>
      </c>
      <c r="D47" s="304" t="str">
        <f>VLOOKUP(B47,'Im 1A'!$A$2:$D$3231,4,FALSE)</f>
        <v>V</v>
      </c>
      <c r="E47" s="305">
        <f>IF(D47="D",VLOOKUP(B47,'Im 1A'!$A$2:$C$1963,2,FALSE),0)</f>
        <v>0</v>
      </c>
      <c r="F47" s="305">
        <f>IF(D47="V",VLOOKUP(B47,Vtas1A!$A$2:$B$2357,2,FALSE),0)</f>
        <v>365680000</v>
      </c>
      <c r="G47" s="306"/>
      <c r="H47" s="304" t="s">
        <v>2175</v>
      </c>
      <c r="I47" s="505">
        <f>VLOOKUP(H47,'Im 1B'!$A$2:$C$1947,3,FALSE)</f>
        <v>64</v>
      </c>
      <c r="J47" s="304" t="str">
        <f>VLOOKUP(H47,'Im 1B'!$A$2:$D$3215,4,FALSE)</f>
        <v>V</v>
      </c>
      <c r="K47" s="305">
        <f>IF(J47="D",VLOOKUP(H47,'Im 1B'!$A$2:$C$1947,2,FALSE),0)</f>
        <v>0</v>
      </c>
      <c r="L47" s="305">
        <f>IF(J47="V",VLOOKUP(H47,Vtas1B!$A$2:$B$2313,2,FALSE),0)</f>
        <v>268000000</v>
      </c>
      <c r="M47" s="307"/>
      <c r="N47" s="280" t="s">
        <v>2840</v>
      </c>
      <c r="O47" s="505">
        <f>VLOOKUP(N47,'Im 2'!$A$2:$C$2278,3,FALSE)</f>
        <v>82.25</v>
      </c>
      <c r="P47" s="304" t="str">
        <f>VLOOKUP(N47,'Im 2'!$A$2:$D$3546,4,FALSE)</f>
        <v>V</v>
      </c>
      <c r="Q47" s="305">
        <f>IF(P47="D",VLOOKUP(N47,'Im 2'!$A$2:$C$2278,2,FALSE),0)</f>
        <v>0</v>
      </c>
      <c r="R47" s="305">
        <f>IF(P47="V",VLOOKUP(N47,Vtas2!$A$2:$B$2425,2,FALSE),0)</f>
        <v>491000000</v>
      </c>
      <c r="S47" s="307"/>
      <c r="T47" s="304" t="s">
        <v>3745</v>
      </c>
      <c r="U47" s="505">
        <f>VLOOKUP(T47,'Im 3A'!$A$2:$C$2278,3,FALSE)</f>
        <v>71.95</v>
      </c>
      <c r="V47" s="304" t="str">
        <f>VLOOKUP(T47,'Im 3A'!$A$2:$D$3546,4,FALSE)</f>
        <v>V</v>
      </c>
      <c r="W47" s="305">
        <f>IF(V47="D",VLOOKUP(T47,'Im 3A'!$A$2:$C$2278,2,FALSE),0)</f>
        <v>0</v>
      </c>
      <c r="X47" s="305">
        <f>IF(V47="V",VLOOKUP(T47,Vtas3A!$A$2:$B$2425,2,FALSE),0)</f>
        <v>460382500</v>
      </c>
      <c r="Z47" s="304" t="s">
        <v>3937</v>
      </c>
      <c r="AA47" s="505">
        <f>VLOOKUP(Z47,'Im 3B'!$A$2:$C$2280,3,FALSE)</f>
        <v>64</v>
      </c>
      <c r="AB47" s="304" t="str">
        <f>VLOOKUP(Z47,'Im 3B'!$A$2:$D$3548,4,FALSE)</f>
        <v>V</v>
      </c>
      <c r="AC47" s="305">
        <f>IF(AB47="D",VLOOKUP(Z47,'Im 3B'!$A$2:$C$2280,2,FALSE),0)</f>
        <v>0</v>
      </c>
      <c r="AD47" s="305">
        <f>IF(AB47="V",VLOOKUP(Z47,Vtas3B!$A$2:$B$2438,2,FALSE),0)</f>
        <v>360561784</v>
      </c>
    </row>
    <row r="48" spans="2:30" x14ac:dyDescent="0.2">
      <c r="B48" s="304" t="s">
        <v>2023</v>
      </c>
      <c r="C48" s="505">
        <f>VLOOKUP(B48,'Im 1A'!$A$2:$C$1963,3,FALSE)</f>
        <v>71</v>
      </c>
      <c r="D48" s="304" t="str">
        <f>VLOOKUP(B48,'Im 1A'!$A$2:$D$3231,4,FALSE)</f>
        <v>V</v>
      </c>
      <c r="E48" s="305">
        <f>IF(D48="D",VLOOKUP(B48,'Im 1A'!$A$2:$C$1963,2,FALSE),0)</f>
        <v>0</v>
      </c>
      <c r="F48" s="305">
        <f>IF(D48="V",VLOOKUP(B48,Vtas1A!$A$2:$B$2357,2,FALSE),0)</f>
        <v>294620000</v>
      </c>
      <c r="G48" s="306"/>
      <c r="H48" s="304" t="s">
        <v>2176</v>
      </c>
      <c r="I48" s="505">
        <f>VLOOKUP(H48,'Im 1B'!$A$2:$C$1947,3,FALSE)</f>
        <v>76.150000000000006</v>
      </c>
      <c r="J48" s="304" t="str">
        <f>VLOOKUP(H48,'Im 1B'!$A$2:$D$3215,4,FALSE)</f>
        <v>V</v>
      </c>
      <c r="K48" s="305">
        <f>IF(J48="D",VLOOKUP(H48,'Im 1B'!$A$2:$C$1947,2,FALSE),0)</f>
        <v>0</v>
      </c>
      <c r="L48" s="305">
        <f>IF(J48="V",VLOOKUP(H48,Vtas1B!$A$2:$B$2313,2,FALSE),0)</f>
        <v>308354936</v>
      </c>
      <c r="M48" s="307"/>
      <c r="N48" s="280" t="s">
        <v>2763</v>
      </c>
      <c r="O48" s="505">
        <f>VLOOKUP(N48,'Im 2'!$A$2:$C$2278,3,FALSE)</f>
        <v>80.3</v>
      </c>
      <c r="P48" s="304" t="str">
        <f>VLOOKUP(N48,'Im 2'!$A$2:$D$3546,4,FALSE)</f>
        <v>V</v>
      </c>
      <c r="Q48" s="305">
        <f>IF(P48="D",VLOOKUP(N48,'Im 2'!$A$2:$C$2278,2,FALSE),0)</f>
        <v>0</v>
      </c>
      <c r="R48" s="305">
        <f>IF(P48="V",VLOOKUP(N48,Vtas2!$A$2:$B$2425,2,FALSE),0)</f>
        <v>501954327</v>
      </c>
      <c r="S48" s="307"/>
      <c r="T48" s="304" t="s">
        <v>3782</v>
      </c>
      <c r="U48" s="505">
        <f>VLOOKUP(T48,'Im 3A'!$A$2:$C$2278,3,FALSE)</f>
        <v>60.91</v>
      </c>
      <c r="V48" s="304" t="str">
        <f>VLOOKUP(T48,'Im 3A'!$A$2:$D$3546,4,FALSE)</f>
        <v>V</v>
      </c>
      <c r="W48" s="305">
        <f>IF(V48="D",VLOOKUP(T48,'Im 3A'!$A$2:$C$2278,2,FALSE),0)</f>
        <v>0</v>
      </c>
      <c r="X48" s="305">
        <f>IF(V48="V",VLOOKUP(T48,Vtas3A!$A$2:$B$2425,2,FALSE),0)</f>
        <v>287252176</v>
      </c>
      <c r="Z48" s="304" t="s">
        <v>3938</v>
      </c>
      <c r="AA48" s="505">
        <f>VLOOKUP(Z48,'Im 3B'!$A$2:$C$2280,3,FALSE)</f>
        <v>76.150000000000006</v>
      </c>
      <c r="AB48" s="304" t="str">
        <f>VLOOKUP(Z48,'Im 3B'!$A$2:$D$3548,4,FALSE)</f>
        <v>V</v>
      </c>
      <c r="AC48" s="305">
        <f>IF(AB48="D",VLOOKUP(Z48,'Im 3B'!$A$2:$C$2280,2,FALSE),0)</f>
        <v>0</v>
      </c>
      <c r="AD48" s="305">
        <f>IF(AB48="V",VLOOKUP(Z48,Vtas3B!$A$2:$B$2438,2,FALSE),0)</f>
        <v>434770500</v>
      </c>
    </row>
    <row r="49" spans="2:30" x14ac:dyDescent="0.2">
      <c r="B49" s="304" t="s">
        <v>2251</v>
      </c>
      <c r="C49" s="505">
        <f>VLOOKUP(B49,'Im 1A'!$A$2:$C$1963,3,FALSE)</f>
        <v>60.8</v>
      </c>
      <c r="D49" s="304" t="str">
        <f>VLOOKUP(B49,'Im 1A'!$A$2:$D$3231,4,FALSE)</f>
        <v>V</v>
      </c>
      <c r="E49" s="305">
        <f>IF(D49="D",VLOOKUP(B49,'Im 1A'!$A$2:$C$1963,2,FALSE),0)</f>
        <v>0</v>
      </c>
      <c r="F49" s="305">
        <f>IF(D49="V",VLOOKUP(B49,Vtas1A!$A$2:$B$2357,2,FALSE),0)</f>
        <v>245300000</v>
      </c>
      <c r="G49" s="306"/>
      <c r="H49" s="304" t="s">
        <v>2177</v>
      </c>
      <c r="I49" s="505">
        <f>VLOOKUP(H49,'Im 1B'!$A$2:$C$1947,3,FALSE)</f>
        <v>75.5</v>
      </c>
      <c r="J49" s="304" t="str">
        <f>VLOOKUP(H49,'Im 1B'!$A$2:$D$3215,4,FALSE)</f>
        <v>V</v>
      </c>
      <c r="K49" s="305">
        <f>IF(J49="D",VLOOKUP(H49,'Im 1B'!$A$2:$C$1947,2,FALSE),0)</f>
        <v>0</v>
      </c>
      <c r="L49" s="305">
        <f>IF(J49="V",VLOOKUP(H49,Vtas1B!$A$2:$B$2313,2,FALSE),0)</f>
        <v>356171070</v>
      </c>
      <c r="M49" s="307"/>
      <c r="N49" s="280" t="s">
        <v>2764</v>
      </c>
      <c r="O49" s="505">
        <f>VLOOKUP(N49,'Im 2'!$A$2:$C$2278,3,FALSE)</f>
        <v>57.65</v>
      </c>
      <c r="P49" s="304" t="str">
        <f>VLOOKUP(N49,'Im 2'!$A$2:$D$3546,4,FALSE)</f>
        <v>V</v>
      </c>
      <c r="Q49" s="305">
        <f>IF(P49="D",VLOOKUP(N49,'Im 2'!$A$2:$C$2278,2,FALSE),0)</f>
        <v>0</v>
      </c>
      <c r="R49" s="305">
        <f>IF(P49="V",VLOOKUP(N49,Vtas2!$A$2:$B$2425,2,FALSE),0)</f>
        <v>392171917</v>
      </c>
      <c r="S49" s="307"/>
      <c r="T49" s="304" t="s">
        <v>3783</v>
      </c>
      <c r="U49" s="505">
        <f>VLOOKUP(T49,'Im 3A'!$A$2:$C$2278,3,FALSE)</f>
        <v>78.45</v>
      </c>
      <c r="V49" s="304" t="str">
        <f>VLOOKUP(T49,'Im 3A'!$A$2:$D$3546,4,FALSE)</f>
        <v>V</v>
      </c>
      <c r="W49" s="305">
        <f>IF(V49="D",VLOOKUP(T49,'Im 3A'!$A$2:$C$2278,2,FALSE),0)</f>
        <v>0</v>
      </c>
      <c r="X49" s="305">
        <f>IF(V49="V",VLOOKUP(T49,Vtas3A!$A$2:$B$2425,2,FALSE),0)</f>
        <v>409957027</v>
      </c>
      <c r="Z49" s="304" t="s">
        <v>3939</v>
      </c>
      <c r="AA49" s="505">
        <f>VLOOKUP(Z49,'Im 3B'!$A$2:$C$2280,3,FALSE)</f>
        <v>76.3</v>
      </c>
      <c r="AB49" s="304" t="str">
        <f>VLOOKUP(Z49,'Im 3B'!$A$2:$D$3548,4,FALSE)</f>
        <v>V</v>
      </c>
      <c r="AC49" s="305">
        <f>IF(AB49="D",VLOOKUP(Z49,'Im 3B'!$A$2:$C$2280,2,FALSE),0)</f>
        <v>0</v>
      </c>
      <c r="AD49" s="305">
        <f>IF(AB49="V",VLOOKUP(Z49,Vtas3B!$A$2:$B$2438,2,FALSE),0)</f>
        <v>437279189</v>
      </c>
    </row>
    <row r="50" spans="2:30" x14ac:dyDescent="0.2">
      <c r="B50" s="304" t="s">
        <v>1988</v>
      </c>
      <c r="C50" s="505">
        <f>VLOOKUP(B50,'Im 1A'!$A$2:$C$1963,3,FALSE)</f>
        <v>78.349999999999994</v>
      </c>
      <c r="D50" s="304" t="str">
        <f>VLOOKUP(B50,'Im 1A'!$A$2:$D$3231,4,FALSE)</f>
        <v>V</v>
      </c>
      <c r="E50" s="305">
        <f>IF(D50="D",VLOOKUP(B50,'Im 1A'!$A$2:$C$1963,2,FALSE),0)</f>
        <v>0</v>
      </c>
      <c r="F50" s="305">
        <f>IF(D50="V",VLOOKUP(B50,Vtas1A!$A$2:$B$2357,2,FALSE),0)</f>
        <v>368613000</v>
      </c>
      <c r="G50" s="306"/>
      <c r="H50" s="304" t="s">
        <v>2178</v>
      </c>
      <c r="I50" s="505">
        <f>VLOOKUP(H50,'Im 1B'!$A$2:$C$1947,3,FALSE)</f>
        <v>75.91</v>
      </c>
      <c r="J50" s="304" t="str">
        <f>VLOOKUP(H50,'Im 1B'!$A$2:$D$3215,4,FALSE)</f>
        <v>V</v>
      </c>
      <c r="K50" s="305">
        <f>IF(J50="D",VLOOKUP(H50,'Im 1B'!$A$2:$C$1947,2,FALSE),0)</f>
        <v>0</v>
      </c>
      <c r="L50" s="305">
        <f>IF(J50="V",VLOOKUP(H50,Vtas1B!$A$2:$B$2313,2,FALSE),0)</f>
        <v>319267400</v>
      </c>
      <c r="M50" s="307"/>
      <c r="N50" s="280" t="s">
        <v>2765</v>
      </c>
      <c r="O50" s="505">
        <f>VLOOKUP(N50,'Im 2'!$A$2:$C$2278,3,FALSE)</f>
        <v>80.05</v>
      </c>
      <c r="P50" s="304" t="str">
        <f>VLOOKUP(N50,'Im 2'!$A$2:$D$3546,4,FALSE)</f>
        <v>V</v>
      </c>
      <c r="Q50" s="305">
        <f>IF(P50="D",VLOOKUP(N50,'Im 2'!$A$2:$C$2278,2,FALSE),0)</f>
        <v>0</v>
      </c>
      <c r="R50" s="305">
        <f>IF(P50="V",VLOOKUP(N50,Vtas2!$A$2:$B$2425,2,FALSE),0)</f>
        <v>523325000</v>
      </c>
      <c r="S50" s="307"/>
      <c r="T50" s="304" t="s">
        <v>3784</v>
      </c>
      <c r="U50" s="505">
        <f>VLOOKUP(T50,'Im 3A'!$A$2:$C$2278,3,FALSE)</f>
        <v>77.98</v>
      </c>
      <c r="V50" s="304" t="str">
        <f>VLOOKUP(T50,'Im 3A'!$A$2:$D$3546,4,FALSE)</f>
        <v>V</v>
      </c>
      <c r="W50" s="305">
        <f>IF(V50="D",VLOOKUP(T50,'Im 3A'!$A$2:$C$2278,2,FALSE),0)</f>
        <v>0</v>
      </c>
      <c r="X50" s="305">
        <f>IF(V50="V",VLOOKUP(T50,Vtas3A!$A$2:$B$2425,2,FALSE),0)</f>
        <v>385092000</v>
      </c>
      <c r="Z50" s="304" t="s">
        <v>3940</v>
      </c>
      <c r="AA50" s="505">
        <f>VLOOKUP(Z50,'Im 3B'!$A$2:$C$2280,3,FALSE)</f>
        <v>64</v>
      </c>
      <c r="AB50" s="304" t="str">
        <f>VLOOKUP(Z50,'Im 3B'!$A$2:$D$3548,4,FALSE)</f>
        <v>V</v>
      </c>
      <c r="AC50" s="305">
        <f>IF(AB50="D",VLOOKUP(Z50,'Im 3B'!$A$2:$C$2280,2,FALSE),0)</f>
        <v>0</v>
      </c>
      <c r="AD50" s="305">
        <f>IF(AB50="V",VLOOKUP(Z50,Vtas3B!$A$2:$B$2438,2,FALSE),0)</f>
        <v>365880000</v>
      </c>
    </row>
    <row r="51" spans="2:30" x14ac:dyDescent="0.2">
      <c r="B51" s="304" t="s">
        <v>2024</v>
      </c>
      <c r="C51" s="505">
        <f>VLOOKUP(B51,'Im 1A'!$A$2:$C$1963,3,FALSE)</f>
        <v>78.400000000000006</v>
      </c>
      <c r="D51" s="304" t="str">
        <f>VLOOKUP(B51,'Im 1A'!$A$2:$D$3231,4,FALSE)</f>
        <v>V</v>
      </c>
      <c r="E51" s="305">
        <f>IF(D51="D",VLOOKUP(B51,'Im 1A'!$A$2:$C$1963,2,FALSE),0)</f>
        <v>0</v>
      </c>
      <c r="F51" s="305">
        <f>IF(D51="V",VLOOKUP(B51,Vtas1A!$A$2:$B$2357,2,FALSE),0)</f>
        <v>321987542</v>
      </c>
      <c r="G51" s="306"/>
      <c r="H51" s="304" t="s">
        <v>2179</v>
      </c>
      <c r="I51" s="505">
        <f>VLOOKUP(H51,'Im 1B'!$A$2:$C$1947,3,FALSE)</f>
        <v>64</v>
      </c>
      <c r="J51" s="304" t="str">
        <f>VLOOKUP(H51,'Im 1B'!$A$2:$D$3215,4,FALSE)</f>
        <v>V</v>
      </c>
      <c r="K51" s="305">
        <f>IF(J51="D",VLOOKUP(H51,'Im 1B'!$A$2:$C$1947,2,FALSE),0)</f>
        <v>0</v>
      </c>
      <c r="L51" s="305">
        <f>IF(J51="V",VLOOKUP(H51,Vtas1B!$A$2:$B$2313,2,FALSE),0)</f>
        <v>268000000</v>
      </c>
      <c r="M51" s="307"/>
      <c r="N51" s="280" t="s">
        <v>2766</v>
      </c>
      <c r="O51" s="505">
        <f>VLOOKUP(N51,'Im 2'!$A$2:$C$2278,3,FALSE)</f>
        <v>60.4</v>
      </c>
      <c r="P51" s="304" t="str">
        <f>VLOOKUP(N51,'Im 2'!$A$2:$D$3546,4,FALSE)</f>
        <v>V</v>
      </c>
      <c r="Q51" s="305">
        <f>IF(P51="D",VLOOKUP(N51,'Im 2'!$A$2:$C$2278,2,FALSE),0)</f>
        <v>0</v>
      </c>
      <c r="R51" s="305">
        <f>IF(P51="V",VLOOKUP(N51,Vtas2!$A$2:$B$2425,2,FALSE),0)</f>
        <v>395600000</v>
      </c>
      <c r="S51" s="307"/>
      <c r="T51" s="304" t="s">
        <v>3785</v>
      </c>
      <c r="U51" s="505">
        <f>VLOOKUP(T51,'Im 3A'!$A$2:$C$2278,3,FALSE)</f>
        <v>60.95</v>
      </c>
      <c r="V51" s="304" t="str">
        <f>VLOOKUP(T51,'Im 3A'!$A$2:$D$3546,4,FALSE)</f>
        <v>V</v>
      </c>
      <c r="W51" s="305">
        <f>IF(V51="D",VLOOKUP(T51,'Im 3A'!$A$2:$C$2278,2,FALSE),0)</f>
        <v>0</v>
      </c>
      <c r="X51" s="305">
        <f>IF(V51="V",VLOOKUP(T51,Vtas3A!$A$2:$B$2425,2,FALSE),0)</f>
        <v>296663237</v>
      </c>
      <c r="Z51" s="304" t="s">
        <v>3941</v>
      </c>
      <c r="AA51" s="505">
        <f>VLOOKUP(Z51,'Im 3B'!$A$2:$C$2280,3,FALSE)</f>
        <v>76.150000000000006</v>
      </c>
      <c r="AB51" s="304" t="str">
        <f>VLOOKUP(Z51,'Im 3B'!$A$2:$D$3548,4,FALSE)</f>
        <v>V</v>
      </c>
      <c r="AC51" s="305">
        <f>IF(AB51="D",VLOOKUP(Z51,'Im 3B'!$A$2:$C$2280,2,FALSE),0)</f>
        <v>0</v>
      </c>
      <c r="AD51" s="305">
        <f>IF(AB51="V",VLOOKUP(Z51,Vtas3B!$A$2:$B$2438,2,FALSE),0)</f>
        <v>429061246</v>
      </c>
    </row>
    <row r="52" spans="2:30" x14ac:dyDescent="0.2">
      <c r="B52" s="304" t="s">
        <v>2025</v>
      </c>
      <c r="C52" s="505">
        <f>VLOOKUP(B52,'Im 1A'!$A$2:$C$1963,3,FALSE)</f>
        <v>60.8</v>
      </c>
      <c r="D52" s="304" t="str">
        <f>VLOOKUP(B52,'Im 1A'!$A$2:$D$3231,4,FALSE)</f>
        <v>V</v>
      </c>
      <c r="E52" s="305">
        <f>IF(D52="D",VLOOKUP(B52,'Im 1A'!$A$2:$C$1963,2,FALSE),0)</f>
        <v>0</v>
      </c>
      <c r="F52" s="305">
        <f>IF(D52="V",VLOOKUP(B52,Vtas1A!$A$2:$B$2357,2,FALSE),0)</f>
        <v>240324400</v>
      </c>
      <c r="G52" s="306"/>
      <c r="H52" s="304" t="s">
        <v>2180</v>
      </c>
      <c r="I52" s="505">
        <f>VLOOKUP(H52,'Im 1B'!$A$2:$C$1947,3,FALSE)</f>
        <v>76.13</v>
      </c>
      <c r="J52" s="304" t="str">
        <f>VLOOKUP(H52,'Im 1B'!$A$2:$D$3215,4,FALSE)</f>
        <v>V</v>
      </c>
      <c r="K52" s="305">
        <f>IF(J52="D",VLOOKUP(H52,'Im 1B'!$A$2:$C$1947,2,FALSE),0)</f>
        <v>0</v>
      </c>
      <c r="L52" s="305">
        <f>IF(J52="V",VLOOKUP(H52,Vtas1B!$A$2:$B$2313,2,FALSE),0)</f>
        <v>316169704</v>
      </c>
      <c r="M52" s="307"/>
      <c r="N52" s="280" t="s">
        <v>2767</v>
      </c>
      <c r="O52" s="505">
        <f>VLOOKUP(N52,'Im 2'!$A$2:$C$2278,3,FALSE)</f>
        <v>82.25</v>
      </c>
      <c r="P52" s="304" t="str">
        <f>VLOOKUP(N52,'Im 2'!$A$2:$D$3546,4,FALSE)</f>
        <v>V</v>
      </c>
      <c r="Q52" s="305">
        <f>IF(P52="D",VLOOKUP(N52,'Im 2'!$A$2:$C$2278,2,FALSE),0)</f>
        <v>0</v>
      </c>
      <c r="R52" s="305">
        <f>IF(P52="V",VLOOKUP(N52,Vtas2!$A$2:$B$2425,2,FALSE),0)</f>
        <v>497612500</v>
      </c>
      <c r="S52" s="307"/>
      <c r="T52" s="304" t="s">
        <v>3786</v>
      </c>
      <c r="U52" s="505">
        <f>VLOOKUP(T52,'Im 3A'!$A$2:$C$2278,3,FALSE)</f>
        <v>71.78</v>
      </c>
      <c r="V52" s="304" t="str">
        <f>VLOOKUP(T52,'Im 3A'!$A$2:$D$3546,4,FALSE)</f>
        <v>V</v>
      </c>
      <c r="W52" s="305">
        <f>IF(V52="D",VLOOKUP(T52,'Im 3A'!$A$2:$C$2278,2,FALSE),0)</f>
        <v>0</v>
      </c>
      <c r="X52" s="305">
        <f>IF(V52="V",VLOOKUP(T52,Vtas3A!$A$2:$B$2425,2,FALSE),0)</f>
        <v>323949273</v>
      </c>
      <c r="Z52" s="304" t="s">
        <v>3942</v>
      </c>
      <c r="AA52" s="505">
        <f>VLOOKUP(Z52,'Im 3B'!$A$2:$C$2280,3,FALSE)</f>
        <v>76.3</v>
      </c>
      <c r="AB52" s="304" t="str">
        <f>VLOOKUP(Z52,'Im 3B'!$A$2:$D$3548,4,FALSE)</f>
        <v>V</v>
      </c>
      <c r="AC52" s="305">
        <f>IF(AB52="D",VLOOKUP(Z52,'Im 3B'!$A$2:$C$2280,2,FALSE),0)</f>
        <v>0</v>
      </c>
      <c r="AD52" s="305">
        <f>IF(AB52="V",VLOOKUP(Z52,Vtas3B!$A$2:$B$2438,2,FALSE),0)</f>
        <v>439566000</v>
      </c>
    </row>
    <row r="53" spans="2:30" x14ac:dyDescent="0.2">
      <c r="B53" s="304" t="s">
        <v>2026</v>
      </c>
      <c r="C53" s="505">
        <f>VLOOKUP(B53,'Im 1A'!$A$2:$C$1963,3,FALSE)</f>
        <v>71.900000000000006</v>
      </c>
      <c r="D53" s="304" t="str">
        <f>VLOOKUP(B53,'Im 1A'!$A$2:$D$3231,4,FALSE)</f>
        <v>V</v>
      </c>
      <c r="E53" s="305">
        <f>IF(D53="D",VLOOKUP(B53,'Im 1A'!$A$2:$C$1963,2,FALSE),0)</f>
        <v>0</v>
      </c>
      <c r="F53" s="305">
        <f>IF(D53="V",VLOOKUP(B53,Vtas1A!$A$2:$B$2357,2,FALSE),0)</f>
        <v>290500385</v>
      </c>
      <c r="G53" s="306"/>
      <c r="H53" s="304" t="s">
        <v>2181</v>
      </c>
      <c r="I53" s="505">
        <f>VLOOKUP(H53,'Im 1B'!$A$2:$C$1947,3,FALSE)</f>
        <v>75.5</v>
      </c>
      <c r="J53" s="304" t="str">
        <f>VLOOKUP(H53,'Im 1B'!$A$2:$D$3215,4,FALSE)</f>
        <v>V</v>
      </c>
      <c r="K53" s="305">
        <f>IF(J53="D",VLOOKUP(H53,'Im 1B'!$A$2:$C$1947,2,FALSE),0)</f>
        <v>0</v>
      </c>
      <c r="L53" s="305">
        <f>IF(J53="V",VLOOKUP(H53,Vtas1B!$A$2:$B$2313,2,FALSE),0)</f>
        <v>286538386</v>
      </c>
      <c r="M53" s="307"/>
      <c r="N53" s="280" t="s">
        <v>2768</v>
      </c>
      <c r="O53" s="505">
        <f>VLOOKUP(N53,'Im 2'!$A$2:$C$2278,3,FALSE)</f>
        <v>80.349999999999994</v>
      </c>
      <c r="P53" s="304" t="str">
        <f>VLOOKUP(N53,'Im 2'!$A$2:$D$3546,4,FALSE)</f>
        <v>V</v>
      </c>
      <c r="Q53" s="305">
        <f>IF(P53="D",VLOOKUP(N53,'Im 2'!$A$2:$C$2278,2,FALSE),0)</f>
        <v>0</v>
      </c>
      <c r="R53" s="305">
        <f>IF(P53="V",VLOOKUP(N53,Vtas2!$A$2:$B$2425,2,FALSE),0)</f>
        <v>549827500</v>
      </c>
      <c r="S53" s="307"/>
      <c r="T53" s="304" t="s">
        <v>3746</v>
      </c>
      <c r="U53" s="505">
        <f>VLOOKUP(T53,'Im 3A'!$A$2:$C$2278,3,FALSE)</f>
        <v>71.95</v>
      </c>
      <c r="V53" s="304" t="str">
        <f>VLOOKUP(T53,'Im 3A'!$A$2:$D$3546,4,FALSE)</f>
        <v>V</v>
      </c>
      <c r="W53" s="305">
        <f>IF(V53="D",VLOOKUP(T53,'Im 3A'!$A$2:$C$2278,2,FALSE),0)</f>
        <v>0</v>
      </c>
      <c r="X53" s="305">
        <f>IF(V53="V",VLOOKUP(T53,Vtas3A!$A$2:$B$2425,2,FALSE),0)</f>
        <v>471675000</v>
      </c>
      <c r="Z53" s="304" t="s">
        <v>3943</v>
      </c>
      <c r="AA53" s="505">
        <f>VLOOKUP(Z53,'Im 3B'!$A$2:$C$2280,3,FALSE)</f>
        <v>64</v>
      </c>
      <c r="AB53" s="304" t="str">
        <f>VLOOKUP(Z53,'Im 3B'!$A$2:$D$3548,4,FALSE)</f>
        <v>V</v>
      </c>
      <c r="AC53" s="305">
        <f>IF(AB53="D",VLOOKUP(Z53,'Im 3B'!$A$2:$C$2280,2,FALSE),0)</f>
        <v>0</v>
      </c>
      <c r="AD53" s="305">
        <f>IF(AB53="V",VLOOKUP(Z53,Vtas3B!$A$2:$B$2438,2,FALSE),0)</f>
        <v>360060000</v>
      </c>
    </row>
    <row r="54" spans="2:30" x14ac:dyDescent="0.2">
      <c r="B54" s="304" t="s">
        <v>2027</v>
      </c>
      <c r="C54" s="505">
        <f>VLOOKUP(B54,'Im 1A'!$A$2:$C$1963,3,FALSE)</f>
        <v>71.95</v>
      </c>
      <c r="D54" s="304" t="str">
        <f>VLOOKUP(B54,'Im 1A'!$A$2:$D$3231,4,FALSE)</f>
        <v>V</v>
      </c>
      <c r="E54" s="305">
        <f>IF(D54="D",VLOOKUP(B54,'Im 1A'!$A$2:$C$1963,2,FALSE),0)</f>
        <v>0</v>
      </c>
      <c r="F54" s="305">
        <f>IF(D54="V",VLOOKUP(B54,Vtas1A!$A$2:$B$2357,2,FALSE),0)</f>
        <v>292062668</v>
      </c>
      <c r="G54" s="306"/>
      <c r="H54" s="304" t="s">
        <v>2182</v>
      </c>
      <c r="I54" s="505">
        <f>VLOOKUP(H54,'Im 1B'!$A$2:$C$1947,3,FALSE)</f>
        <v>75.91</v>
      </c>
      <c r="J54" s="304" t="str">
        <f>VLOOKUP(H54,'Im 1B'!$A$2:$D$3215,4,FALSE)</f>
        <v>V</v>
      </c>
      <c r="K54" s="305">
        <f>IF(J54="D",VLOOKUP(H54,'Im 1B'!$A$2:$C$1947,2,FALSE),0)</f>
        <v>0</v>
      </c>
      <c r="L54" s="305">
        <f>IF(J54="V",VLOOKUP(H54,Vtas1B!$A$2:$B$2313,2,FALSE),0)</f>
        <v>320710032</v>
      </c>
      <c r="M54" s="307"/>
      <c r="N54" s="280" t="s">
        <v>2769</v>
      </c>
      <c r="O54" s="505">
        <f>VLOOKUP(N54,'Im 2'!$A$2:$C$2278,3,FALSE)</f>
        <v>57.65</v>
      </c>
      <c r="P54" s="304" t="str">
        <f>VLOOKUP(N54,'Im 2'!$A$2:$D$3546,4,FALSE)</f>
        <v>V</v>
      </c>
      <c r="Q54" s="305">
        <f>IF(P54="D",VLOOKUP(N54,'Im 2'!$A$2:$C$2278,2,FALSE),0)</f>
        <v>0</v>
      </c>
      <c r="R54" s="305">
        <f>IF(P54="V",VLOOKUP(N54,Vtas2!$A$2:$B$2425,2,FALSE),0)</f>
        <v>365375000</v>
      </c>
      <c r="S54" s="307"/>
      <c r="T54" s="304" t="s">
        <v>3787</v>
      </c>
      <c r="U54" s="505">
        <f>VLOOKUP(T54,'Im 3A'!$A$2:$C$2278,3,FALSE)</f>
        <v>60.91</v>
      </c>
      <c r="V54" s="304" t="str">
        <f>VLOOKUP(T54,'Im 3A'!$A$2:$D$3546,4,FALSE)</f>
        <v>V</v>
      </c>
      <c r="W54" s="305">
        <f>IF(V54="D",VLOOKUP(T54,'Im 3A'!$A$2:$C$2278,2,FALSE),0)</f>
        <v>0</v>
      </c>
      <c r="X54" s="305">
        <f>IF(V54="V",VLOOKUP(T54,Vtas3A!$A$2:$B$2425,2,FALSE),0)</f>
        <v>286029672</v>
      </c>
      <c r="Z54" s="304" t="s">
        <v>3944</v>
      </c>
      <c r="AA54" s="505">
        <f>VLOOKUP(Z54,'Im 3B'!$A$2:$C$2280,3,FALSE)</f>
        <v>76.150000000000006</v>
      </c>
      <c r="AB54" s="304" t="str">
        <f>VLOOKUP(Z54,'Im 3B'!$A$2:$D$3548,4,FALSE)</f>
        <v>V</v>
      </c>
      <c r="AC54" s="305">
        <f>IF(AB54="D",VLOOKUP(Z54,'Im 3B'!$A$2:$C$2280,2,FALSE),0)</f>
        <v>0</v>
      </c>
      <c r="AD54" s="305">
        <f>IF(AB54="V",VLOOKUP(Z54,Vtas3B!$A$2:$B$2438,2,FALSE),0)</f>
        <v>446761720</v>
      </c>
    </row>
    <row r="55" spans="2:30" x14ac:dyDescent="0.2">
      <c r="B55" s="304" t="s">
        <v>2028</v>
      </c>
      <c r="C55" s="505">
        <f>VLOOKUP(B55,'Im 1A'!$A$2:$C$1963,3,FALSE)</f>
        <v>60.9</v>
      </c>
      <c r="D55" s="304" t="str">
        <f>VLOOKUP(B55,'Im 1A'!$A$2:$D$3231,4,FALSE)</f>
        <v>V</v>
      </c>
      <c r="E55" s="305">
        <f>IF(D55="D",VLOOKUP(B55,'Im 1A'!$A$2:$C$1963,2,FALSE),0)</f>
        <v>0</v>
      </c>
      <c r="F55" s="305">
        <f>IF(D55="V",VLOOKUP(B55,Vtas1A!$A$2:$B$2357,2,FALSE),0)</f>
        <v>252896000</v>
      </c>
      <c r="G55" s="306"/>
      <c r="H55" s="304" t="s">
        <v>2183</v>
      </c>
      <c r="I55" s="505">
        <f>VLOOKUP(H55,'Im 1B'!$A$2:$C$1947,3,FALSE)</f>
        <v>63.91</v>
      </c>
      <c r="J55" s="304" t="str">
        <f>VLOOKUP(H55,'Im 1B'!$A$2:$D$3215,4,FALSE)</f>
        <v>V</v>
      </c>
      <c r="K55" s="305">
        <f>IF(J55="D",VLOOKUP(H55,'Im 1B'!$A$2:$C$1947,2,FALSE),0)</f>
        <v>0</v>
      </c>
      <c r="L55" s="305">
        <f>IF(J55="V",VLOOKUP(H55,Vtas1B!$A$2:$B$2313,2,FALSE),0)</f>
        <v>265955042</v>
      </c>
      <c r="M55" s="307"/>
      <c r="N55" s="280" t="s">
        <v>2770</v>
      </c>
      <c r="O55" s="505">
        <f>VLOOKUP(N55,'Im 2'!$A$2:$C$2278,3,FALSE)</f>
        <v>80.05</v>
      </c>
      <c r="P55" s="304" t="str">
        <f>VLOOKUP(N55,'Im 2'!$A$2:$D$3546,4,FALSE)</f>
        <v>V</v>
      </c>
      <c r="Q55" s="305">
        <f>IF(P55="D",VLOOKUP(N55,'Im 2'!$A$2:$C$2278,2,FALSE),0)</f>
        <v>0</v>
      </c>
      <c r="R55" s="305">
        <f>IF(P55="V",VLOOKUP(N55,Vtas2!$A$2:$B$2425,2,FALSE),0)</f>
        <v>534832500</v>
      </c>
      <c r="S55" s="307"/>
      <c r="T55" s="304" t="s">
        <v>3788</v>
      </c>
      <c r="U55" s="505">
        <f>VLOOKUP(T55,'Im 3A'!$A$2:$C$2278,3,FALSE)</f>
        <v>78.45</v>
      </c>
      <c r="V55" s="304" t="str">
        <f>VLOOKUP(T55,'Im 3A'!$A$2:$D$3546,4,FALSE)</f>
        <v>V</v>
      </c>
      <c r="W55" s="305">
        <f>IF(V55="D",VLOOKUP(T55,'Im 3A'!$A$2:$C$2278,2,FALSE),0)</f>
        <v>0</v>
      </c>
      <c r="X55" s="305">
        <f>IF(V55="V",VLOOKUP(T55,Vtas3A!$A$2:$B$2425,2,FALSE),0)</f>
        <v>400095000</v>
      </c>
      <c r="Z55" s="304" t="s">
        <v>3945</v>
      </c>
      <c r="AA55" s="505">
        <f>VLOOKUP(Z55,'Im 3B'!$A$2:$C$2280,3,FALSE)</f>
        <v>75.5</v>
      </c>
      <c r="AB55" s="304" t="str">
        <f>VLOOKUP(Z55,'Im 3B'!$A$2:$D$3548,4,FALSE)</f>
        <v>V</v>
      </c>
      <c r="AC55" s="305">
        <f>IF(AB55="D",VLOOKUP(Z55,'Im 3B'!$A$2:$C$2280,2,FALSE),0)</f>
        <v>0</v>
      </c>
      <c r="AD55" s="305">
        <f>IF(AB55="V",VLOOKUP(Z55,Vtas3B!$A$2:$B$2438,2,FALSE),0)</f>
        <v>425706900</v>
      </c>
    </row>
    <row r="56" spans="2:30" x14ac:dyDescent="0.2">
      <c r="B56" s="304" t="s">
        <v>2029</v>
      </c>
      <c r="C56" s="505">
        <f>VLOOKUP(B56,'Im 1A'!$A$2:$C$1963,3,FALSE)</f>
        <v>77.3</v>
      </c>
      <c r="D56" s="304" t="str">
        <f>VLOOKUP(B56,'Im 1A'!$A$2:$D$3231,4,FALSE)</f>
        <v>V</v>
      </c>
      <c r="E56" s="305">
        <f>IF(D56="D",VLOOKUP(B56,'Im 1A'!$A$2:$C$1963,2,FALSE),0)</f>
        <v>0</v>
      </c>
      <c r="F56" s="305">
        <f>IF(D56="V",VLOOKUP(B56,Vtas1A!$A$2:$B$2357,2,FALSE),0)</f>
        <v>402845494</v>
      </c>
      <c r="G56" s="306"/>
      <c r="H56" s="304" t="s">
        <v>2184</v>
      </c>
      <c r="I56" s="505">
        <f>VLOOKUP(H56,'Im 1B'!$A$2:$C$1947,3,FALSE)</f>
        <v>76.13</v>
      </c>
      <c r="J56" s="304" t="str">
        <f>VLOOKUP(H56,'Im 1B'!$A$2:$D$3215,4,FALSE)</f>
        <v>V</v>
      </c>
      <c r="K56" s="305">
        <f>IF(J56="D",VLOOKUP(H56,'Im 1B'!$A$2:$C$1947,2,FALSE),0)</f>
        <v>0</v>
      </c>
      <c r="L56" s="305">
        <f>IF(J56="V",VLOOKUP(H56,Vtas1B!$A$2:$B$2313,2,FALSE),0)</f>
        <v>316083021</v>
      </c>
      <c r="M56" s="307"/>
      <c r="N56" s="280" t="s">
        <v>2771</v>
      </c>
      <c r="O56" s="505">
        <f>VLOOKUP(N56,'Im 2'!$A$2:$C$2278,3,FALSE)</f>
        <v>60.4</v>
      </c>
      <c r="P56" s="304" t="str">
        <f>VLOOKUP(N56,'Im 2'!$A$2:$D$3546,4,FALSE)</f>
        <v>V</v>
      </c>
      <c r="Q56" s="305">
        <f>IF(P56="D",VLOOKUP(N56,'Im 2'!$A$2:$C$2278,2,FALSE),0)</f>
        <v>0</v>
      </c>
      <c r="R56" s="305">
        <f>IF(P56="V",VLOOKUP(N56,Vtas2!$A$2:$B$2425,2,FALSE),0)</f>
        <v>402140000</v>
      </c>
      <c r="S56" s="307"/>
      <c r="T56" s="304" t="s">
        <v>3789</v>
      </c>
      <c r="U56" s="505">
        <f>VLOOKUP(T56,'Im 3A'!$A$2:$C$2278,3,FALSE)</f>
        <v>77.98</v>
      </c>
      <c r="V56" s="304" t="str">
        <f>VLOOKUP(T56,'Im 3A'!$A$2:$D$3546,4,FALSE)</f>
        <v>V</v>
      </c>
      <c r="W56" s="305">
        <f>IF(V56="D",VLOOKUP(T56,'Im 3A'!$A$2:$C$2278,2,FALSE),0)</f>
        <v>0</v>
      </c>
      <c r="X56" s="305">
        <f>IF(V56="V",VLOOKUP(T56,Vtas3A!$A$2:$B$2425,2,FALSE),0)</f>
        <v>373542265</v>
      </c>
      <c r="Z56" s="304" t="s">
        <v>3946</v>
      </c>
      <c r="AA56" s="505">
        <f>VLOOKUP(Z56,'Im 3B'!$A$2:$C$2280,3,FALSE)</f>
        <v>76.3</v>
      </c>
      <c r="AB56" s="304" t="str">
        <f>VLOOKUP(Z56,'Im 3B'!$A$2:$D$3548,4,FALSE)</f>
        <v>V</v>
      </c>
      <c r="AC56" s="305">
        <f>IF(AB56="D",VLOOKUP(Z56,'Im 3B'!$A$2:$C$2280,2,FALSE),0)</f>
        <v>0</v>
      </c>
      <c r="AD56" s="305">
        <f>IF(AB56="V",VLOOKUP(Z56,Vtas3B!$A$2:$B$2438,2,FALSE),0)</f>
        <v>428702000</v>
      </c>
    </row>
    <row r="57" spans="2:30" x14ac:dyDescent="0.2">
      <c r="B57" s="304" t="s">
        <v>2030</v>
      </c>
      <c r="C57" s="505">
        <f>VLOOKUP(B57,'Im 1A'!$A$2:$C$1963,3,FALSE)</f>
        <v>78.349999999999994</v>
      </c>
      <c r="D57" s="304" t="str">
        <f>VLOOKUP(B57,'Im 1A'!$A$2:$D$3231,4,FALSE)</f>
        <v>V</v>
      </c>
      <c r="E57" s="305">
        <f>IF(D57="D",VLOOKUP(B57,'Im 1A'!$A$2:$C$1963,2,FALSE),0)</f>
        <v>0</v>
      </c>
      <c r="F57" s="305">
        <f>IF(D57="V",VLOOKUP(B57,Vtas1A!$A$2:$B$2357,2,FALSE),0)</f>
        <v>399820000</v>
      </c>
      <c r="G57" s="306"/>
      <c r="H57" s="304" t="s">
        <v>2185</v>
      </c>
      <c r="I57" s="505">
        <f>VLOOKUP(H57,'Im 1B'!$A$2:$C$1947,3,FALSE)</f>
        <v>75.5</v>
      </c>
      <c r="J57" s="304" t="str">
        <f>VLOOKUP(H57,'Im 1B'!$A$2:$D$3215,4,FALSE)</f>
        <v>V</v>
      </c>
      <c r="K57" s="305">
        <f>IF(J57="D",VLOOKUP(H57,'Im 1B'!$A$2:$C$1947,2,FALSE),0)</f>
        <v>0</v>
      </c>
      <c r="L57" s="305">
        <f>IF(J57="V",VLOOKUP(H57,Vtas1B!$A$2:$B$2313,2,FALSE),0)</f>
        <v>330637000</v>
      </c>
      <c r="M57" s="307"/>
      <c r="N57" s="280" t="s">
        <v>2772</v>
      </c>
      <c r="O57" s="505">
        <f>VLOOKUP(N57,'Im 2'!$A$2:$C$2278,3,FALSE)</f>
        <v>82.3</v>
      </c>
      <c r="P57" s="304" t="str">
        <f>VLOOKUP(N57,'Im 2'!$A$2:$D$3546,4,FALSE)</f>
        <v>V</v>
      </c>
      <c r="Q57" s="305">
        <f>IF(P57="D",VLOOKUP(N57,'Im 2'!$A$2:$C$2278,2,FALSE),0)</f>
        <v>0</v>
      </c>
      <c r="R57" s="305">
        <f>IF(P57="V",VLOOKUP(N57,Vtas2!$A$2:$B$2425,2,FALSE),0)</f>
        <v>556406110</v>
      </c>
      <c r="S57" s="307"/>
      <c r="T57" s="304" t="s">
        <v>3790</v>
      </c>
      <c r="U57" s="505">
        <f>VLOOKUP(T57,'Im 3A'!$A$2:$C$2278,3,FALSE)</f>
        <v>60.95</v>
      </c>
      <c r="V57" s="304" t="str">
        <f>VLOOKUP(T57,'Im 3A'!$A$2:$D$3546,4,FALSE)</f>
        <v>V</v>
      </c>
      <c r="W57" s="305">
        <f>IF(V57="D",VLOOKUP(T57,'Im 3A'!$A$2:$C$2278,2,FALSE),0)</f>
        <v>0</v>
      </c>
      <c r="X57" s="305">
        <f>IF(V57="V",VLOOKUP(T57,Vtas3A!$A$2:$B$2425,2,FALSE),0)</f>
        <v>288465000</v>
      </c>
      <c r="Z57" s="304" t="s">
        <v>3947</v>
      </c>
      <c r="AA57" s="505">
        <f>VLOOKUP(Z57,'Im 3B'!$A$2:$C$2280,3,FALSE)</f>
        <v>64</v>
      </c>
      <c r="AB57" s="304" t="str">
        <f>VLOOKUP(Z57,'Im 3B'!$A$2:$D$3548,4,FALSE)</f>
        <v>V</v>
      </c>
      <c r="AC57" s="305">
        <f>IF(AB57="D",VLOOKUP(Z57,'Im 3B'!$A$2:$C$2280,2,FALSE),0)</f>
        <v>0</v>
      </c>
      <c r="AD57" s="305">
        <f>IF(AB57="V",VLOOKUP(Z57,Vtas3B!$A$2:$B$2438,2,FALSE),0)</f>
        <v>357000000</v>
      </c>
    </row>
    <row r="58" spans="2:30" x14ac:dyDescent="0.2">
      <c r="B58" s="304" t="s">
        <v>2031</v>
      </c>
      <c r="C58" s="505">
        <f>VLOOKUP(B58,'Im 1A'!$A$2:$C$1963,3,FALSE)</f>
        <v>60.8</v>
      </c>
      <c r="D58" s="304" t="str">
        <f>VLOOKUP(B58,'Im 1A'!$A$2:$D$3231,4,FALSE)</f>
        <v>V</v>
      </c>
      <c r="E58" s="305">
        <f>IF(D58="D",VLOOKUP(B58,'Im 1A'!$A$2:$C$1963,2,FALSE),0)</f>
        <v>0</v>
      </c>
      <c r="F58" s="305">
        <f>IF(D58="V",VLOOKUP(B58,Vtas1A!$A$2:$B$2357,2,FALSE),0)</f>
        <v>243479247</v>
      </c>
      <c r="G58" s="306"/>
      <c r="H58" s="304" t="s">
        <v>2186</v>
      </c>
      <c r="I58" s="505">
        <f>VLOOKUP(H58,'Im 1B'!$A$2:$C$1947,3,FALSE)</f>
        <v>75.91</v>
      </c>
      <c r="J58" s="304" t="str">
        <f>VLOOKUP(H58,'Im 1B'!$A$2:$D$3215,4,FALSE)</f>
        <v>V</v>
      </c>
      <c r="K58" s="305">
        <f>IF(J58="D",VLOOKUP(H58,'Im 1B'!$A$2:$C$1947,2,FALSE),0)</f>
        <v>0</v>
      </c>
      <c r="L58" s="305">
        <f>IF(J58="V",VLOOKUP(H58,Vtas1B!$A$2:$B$2313,2,FALSE),0)</f>
        <v>320957780</v>
      </c>
      <c r="M58" s="307"/>
      <c r="N58" s="280" t="s">
        <v>2773</v>
      </c>
      <c r="O58" s="505">
        <f>VLOOKUP(N58,'Im 2'!$A$2:$C$2278,3,FALSE)</f>
        <v>80.349999999999994</v>
      </c>
      <c r="P58" s="304" t="str">
        <f>VLOOKUP(N58,'Im 2'!$A$2:$D$3546,4,FALSE)</f>
        <v>V</v>
      </c>
      <c r="Q58" s="305">
        <f>IF(P58="D",VLOOKUP(N58,'Im 2'!$A$2:$C$2278,2,FALSE),0)</f>
        <v>0</v>
      </c>
      <c r="R58" s="305">
        <f>IF(P58="V",VLOOKUP(N58,Vtas2!$A$2:$B$2425,2,FALSE),0)</f>
        <v>554345000</v>
      </c>
      <c r="S58" s="307"/>
      <c r="T58" s="304" t="s">
        <v>3791</v>
      </c>
      <c r="U58" s="505">
        <f>VLOOKUP(T58,'Im 3A'!$A$2:$C$2278,3,FALSE)</f>
        <v>71.78</v>
      </c>
      <c r="V58" s="304" t="str">
        <f>VLOOKUP(T58,'Im 3A'!$A$2:$D$3546,4,FALSE)</f>
        <v>V</v>
      </c>
      <c r="W58" s="305">
        <f>IF(V58="D",VLOOKUP(T58,'Im 3A'!$A$2:$C$2278,2,FALSE),0)</f>
        <v>0</v>
      </c>
      <c r="X58" s="305">
        <f>IF(V58="V",VLOOKUP(T58,Vtas3A!$A$2:$B$2425,2,FALSE),0)</f>
        <v>342351519</v>
      </c>
      <c r="Z58" s="304" t="s">
        <v>3948</v>
      </c>
      <c r="AA58" s="505">
        <f>VLOOKUP(Z58,'Im 3B'!$A$2:$C$2280,3,FALSE)</f>
        <v>76.150000000000006</v>
      </c>
      <c r="AB58" s="304" t="str">
        <f>VLOOKUP(Z58,'Im 3B'!$A$2:$D$3548,4,FALSE)</f>
        <v>V</v>
      </c>
      <c r="AC58" s="305">
        <f>IF(AB58="D",VLOOKUP(Z58,'Im 3B'!$A$2:$C$2280,2,FALSE),0)</f>
        <v>0</v>
      </c>
      <c r="AD58" s="305">
        <f>IF(AB58="V",VLOOKUP(Z58,Vtas3B!$A$2:$B$2438,2,FALSE),0)</f>
        <v>436270500</v>
      </c>
    </row>
    <row r="59" spans="2:30" x14ac:dyDescent="0.2">
      <c r="B59" s="304" t="s">
        <v>2032</v>
      </c>
      <c r="C59" s="505">
        <f>VLOOKUP(B59,'Im 1A'!$A$2:$C$1963,3,FALSE)</f>
        <v>71.2</v>
      </c>
      <c r="D59" s="304" t="str">
        <f>VLOOKUP(B59,'Im 1A'!$A$2:$D$3231,4,FALSE)</f>
        <v>V</v>
      </c>
      <c r="E59" s="305">
        <f>IF(D59="D",VLOOKUP(B59,'Im 1A'!$A$2:$C$1963,2,FALSE),0)</f>
        <v>0</v>
      </c>
      <c r="F59" s="305">
        <f>IF(D59="V",VLOOKUP(B59,Vtas1A!$A$2:$B$2357,2,FALSE),0)</f>
        <v>283780540</v>
      </c>
      <c r="G59" s="306"/>
      <c r="H59" s="304" t="s">
        <v>2187</v>
      </c>
      <c r="I59" s="505">
        <f>VLOOKUP(H59,'Im 1B'!$A$2:$C$1947,3,FALSE)</f>
        <v>63.91</v>
      </c>
      <c r="J59" s="304" t="str">
        <f>VLOOKUP(H59,'Im 1B'!$A$2:$D$3215,4,FALSE)</f>
        <v>V</v>
      </c>
      <c r="K59" s="305">
        <f>IF(J59="D",VLOOKUP(H59,'Im 1B'!$A$2:$C$1947,2,FALSE),0)</f>
        <v>0</v>
      </c>
      <c r="L59" s="305">
        <f>IF(J59="V",VLOOKUP(H59,Vtas1B!$A$2:$B$2313,2,FALSE),0)</f>
        <v>267845335</v>
      </c>
      <c r="M59" s="307"/>
      <c r="N59" s="280" t="s">
        <v>2841</v>
      </c>
      <c r="O59" s="505">
        <f>VLOOKUP(N59,'Im 2'!$A$2:$C$2278,3,FALSE)</f>
        <v>57.5</v>
      </c>
      <c r="P59" s="304" t="str">
        <f>VLOOKUP(N59,'Im 2'!$A$2:$D$3546,4,FALSE)</f>
        <v>V</v>
      </c>
      <c r="Q59" s="305">
        <f>IF(P59="D",VLOOKUP(N59,'Im 2'!$A$2:$C$2278,2,FALSE),0)</f>
        <v>0</v>
      </c>
      <c r="R59" s="305">
        <f>IF(P59="V",VLOOKUP(N59,Vtas2!$A$2:$B$2425,2,FALSE),0)</f>
        <v>358000000</v>
      </c>
      <c r="S59" s="307"/>
      <c r="T59" s="304" t="s">
        <v>3747</v>
      </c>
      <c r="U59" s="505">
        <f>VLOOKUP(T59,'Im 3A'!$A$2:$C$2278,3,FALSE)</f>
        <v>71.95</v>
      </c>
      <c r="V59" s="304" t="str">
        <f>VLOOKUP(T59,'Im 3A'!$A$2:$D$3546,4,FALSE)</f>
        <v>V</v>
      </c>
      <c r="W59" s="305">
        <f>IF(V59="D",VLOOKUP(T59,'Im 3A'!$A$2:$C$2278,2,FALSE),0)</f>
        <v>0</v>
      </c>
      <c r="X59" s="305">
        <f>IF(V59="V",VLOOKUP(T59,Vtas3A!$A$2:$B$2425,2,FALSE),0)</f>
        <v>472175000</v>
      </c>
      <c r="Z59" s="304" t="s">
        <v>3908</v>
      </c>
      <c r="AA59" s="505">
        <f>VLOOKUP(Z59,'Im 3B'!$A$2:$C$2280,3,FALSE)</f>
        <v>75.5</v>
      </c>
      <c r="AB59" s="304" t="str">
        <f>VLOOKUP(Z59,'Im 3B'!$A$2:$D$3548,4,FALSE)</f>
        <v>V</v>
      </c>
      <c r="AC59" s="305">
        <f>IF(AB59="D",VLOOKUP(Z59,'Im 3B'!$A$2:$C$2280,2,FALSE),0)</f>
        <v>0</v>
      </c>
      <c r="AD59" s="305">
        <f>IF(AB59="V",VLOOKUP(Z59,Vtas3B!$A$2:$B$2438,2,FALSE),0)</f>
        <v>485925000</v>
      </c>
    </row>
    <row r="60" spans="2:30" x14ac:dyDescent="0.2">
      <c r="B60" s="304" t="s">
        <v>2033</v>
      </c>
      <c r="C60" s="505">
        <f>VLOOKUP(B60,'Im 1A'!$A$2:$C$1963,3,FALSE)</f>
        <v>71.95</v>
      </c>
      <c r="D60" s="304" t="str">
        <f>VLOOKUP(B60,'Im 1A'!$A$2:$D$3231,4,FALSE)</f>
        <v>V</v>
      </c>
      <c r="E60" s="305">
        <f>IF(D60="D",VLOOKUP(B60,'Im 1A'!$A$2:$C$1963,2,FALSE),0)</f>
        <v>0</v>
      </c>
      <c r="F60" s="305">
        <f>IF(D60="V",VLOOKUP(B60,Vtas1A!$A$2:$B$2357,2,FALSE),0)</f>
        <v>296666947</v>
      </c>
      <c r="G60" s="306"/>
      <c r="H60" s="304" t="s">
        <v>2188</v>
      </c>
      <c r="I60" s="505">
        <f>VLOOKUP(H60,'Im 1B'!$A$2:$C$1947,3,FALSE)</f>
        <v>76.150000000000006</v>
      </c>
      <c r="J60" s="304" t="str">
        <f>VLOOKUP(H60,'Im 1B'!$A$2:$D$3215,4,FALSE)</f>
        <v>V</v>
      </c>
      <c r="K60" s="305">
        <f>IF(J60="D",VLOOKUP(H60,'Im 1B'!$A$2:$C$1947,2,FALSE),0)</f>
        <v>0</v>
      </c>
      <c r="L60" s="305">
        <f>IF(J60="V",VLOOKUP(H60,Vtas1B!$A$2:$B$2313,2,FALSE),0)</f>
        <v>360612500</v>
      </c>
      <c r="M60" s="307"/>
      <c r="N60" s="280" t="s">
        <v>2774</v>
      </c>
      <c r="O60" s="505">
        <f>VLOOKUP(N60,'Im 2'!$A$2:$C$2278,3,FALSE)</f>
        <v>80.05</v>
      </c>
      <c r="P60" s="304" t="str">
        <f>VLOOKUP(N60,'Im 2'!$A$2:$D$3546,4,FALSE)</f>
        <v>V</v>
      </c>
      <c r="Q60" s="305">
        <f>IF(P60="D",VLOOKUP(N60,'Im 2'!$A$2:$C$2278,2,FALSE),0)</f>
        <v>0</v>
      </c>
      <c r="R60" s="305">
        <f>IF(P60="V",VLOOKUP(N60,Vtas2!$A$2:$B$2425,2,FALSE),0)</f>
        <v>532330000</v>
      </c>
      <c r="S60" s="307"/>
      <c r="T60" s="304" t="s">
        <v>3792</v>
      </c>
      <c r="U60" s="505">
        <f>VLOOKUP(T60,'Im 3A'!$A$2:$C$2278,3,FALSE)</f>
        <v>60.91</v>
      </c>
      <c r="V60" s="304" t="str">
        <f>VLOOKUP(T60,'Im 3A'!$A$2:$D$3546,4,FALSE)</f>
        <v>V</v>
      </c>
      <c r="W60" s="305">
        <f>IF(V60="D",VLOOKUP(T60,'Im 3A'!$A$2:$C$2278,2,FALSE),0)</f>
        <v>0</v>
      </c>
      <c r="X60" s="305">
        <f>IF(V60="V",VLOOKUP(T60,Vtas3A!$A$2:$B$2425,2,FALSE),0)</f>
        <v>291440975</v>
      </c>
      <c r="Z60" s="304" t="s">
        <v>3949</v>
      </c>
      <c r="AA60" s="505">
        <f>VLOOKUP(Z60,'Im 3B'!$A$2:$C$2280,3,FALSE)</f>
        <v>64</v>
      </c>
      <c r="AB60" s="304" t="str">
        <f>VLOOKUP(Z60,'Im 3B'!$A$2:$D$3548,4,FALSE)</f>
        <v>V</v>
      </c>
      <c r="AC60" s="305">
        <f>IF(AB60="D",VLOOKUP(Z60,'Im 3B'!$A$2:$C$2280,2,FALSE),0)</f>
        <v>0</v>
      </c>
      <c r="AD60" s="305">
        <f>IF(AB60="V",VLOOKUP(Z60,Vtas3B!$A$2:$B$2438,2,FALSE),0)</f>
        <v>369380000</v>
      </c>
    </row>
    <row r="61" spans="2:30" x14ac:dyDescent="0.2">
      <c r="B61" s="304" t="s">
        <v>2034</v>
      </c>
      <c r="C61" s="505">
        <f>VLOOKUP(B61,'Im 1A'!$A$2:$C$1963,3,FALSE)</f>
        <v>60.8</v>
      </c>
      <c r="D61" s="304" t="str">
        <f>VLOOKUP(B61,'Im 1A'!$A$2:$D$3231,4,FALSE)</f>
        <v>V</v>
      </c>
      <c r="E61" s="305">
        <f>IF(D61="D",VLOOKUP(B61,'Im 1A'!$A$2:$C$1963,2,FALSE),0)</f>
        <v>0</v>
      </c>
      <c r="F61" s="305">
        <f>IF(D61="V",VLOOKUP(B61,Vtas1A!$A$2:$B$2357,2,FALSE),0)</f>
        <v>247724000</v>
      </c>
      <c r="G61" s="306"/>
      <c r="H61" s="304" t="s">
        <v>2189</v>
      </c>
      <c r="I61" s="505">
        <f>VLOOKUP(H61,'Im 1B'!$A$2:$C$1947,3,FALSE)</f>
        <v>75.59</v>
      </c>
      <c r="J61" s="304" t="str">
        <f>VLOOKUP(H61,'Im 1B'!$A$2:$D$3215,4,FALSE)</f>
        <v>V</v>
      </c>
      <c r="K61" s="305">
        <f>IF(J61="D",VLOOKUP(H61,'Im 1B'!$A$2:$C$1947,2,FALSE),0)</f>
        <v>0</v>
      </c>
      <c r="L61" s="305">
        <f>IF(J61="V",VLOOKUP(H61,Vtas1B!$A$2:$B$2313,2,FALSE),0)</f>
        <v>310931017</v>
      </c>
      <c r="M61" s="307"/>
      <c r="N61" s="280" t="s">
        <v>2842</v>
      </c>
      <c r="O61" s="505">
        <f>VLOOKUP(N61,'Im 2'!$A$2:$C$2278,3,FALSE)</f>
        <v>59.7</v>
      </c>
      <c r="P61" s="304" t="str">
        <f>VLOOKUP(N61,'Im 2'!$A$2:$D$3546,4,FALSE)</f>
        <v>V</v>
      </c>
      <c r="Q61" s="305">
        <f>IF(P61="D",VLOOKUP(N61,'Im 2'!$A$2:$C$2278,2,FALSE),0)</f>
        <v>0</v>
      </c>
      <c r="R61" s="305">
        <f>IF(P61="V",VLOOKUP(N61,Vtas2!$A$2:$B$2425,2,FALSE),0)</f>
        <v>357200000</v>
      </c>
      <c r="S61" s="307"/>
      <c r="T61" s="304" t="s">
        <v>3793</v>
      </c>
      <c r="U61" s="505">
        <f>VLOOKUP(T61,'Im 3A'!$A$2:$C$2278,3,FALSE)</f>
        <v>78.45</v>
      </c>
      <c r="V61" s="304" t="str">
        <f>VLOOKUP(T61,'Im 3A'!$A$2:$D$3546,4,FALSE)</f>
        <v>V</v>
      </c>
      <c r="W61" s="305">
        <f>IF(V61="D",VLOOKUP(T61,'Im 3A'!$A$2:$C$2278,2,FALSE),0)</f>
        <v>0</v>
      </c>
      <c r="X61" s="305">
        <f>IF(V61="V",VLOOKUP(T61,Vtas3A!$A$2:$B$2425,2,FALSE),0)</f>
        <v>372137500</v>
      </c>
      <c r="Z61" s="304" t="s">
        <v>3950</v>
      </c>
      <c r="AA61" s="505">
        <f>VLOOKUP(Z61,'Im 3B'!$A$2:$C$2280,3,FALSE)</f>
        <v>76.150000000000006</v>
      </c>
      <c r="AB61" s="304" t="str">
        <f>VLOOKUP(Z61,'Im 3B'!$A$2:$D$3548,4,FALSE)</f>
        <v>V</v>
      </c>
      <c r="AC61" s="305">
        <f>IF(AB61="D",VLOOKUP(Z61,'Im 3B'!$A$2:$C$2280,2,FALSE),0)</f>
        <v>0</v>
      </c>
      <c r="AD61" s="305">
        <f>IF(AB61="V",VLOOKUP(Z61,Vtas3B!$A$2:$B$2438,2,FALSE),0)</f>
        <v>442101000</v>
      </c>
    </row>
    <row r="62" spans="2:30" x14ac:dyDescent="0.2">
      <c r="B62" s="304" t="s">
        <v>2035</v>
      </c>
      <c r="C62" s="505">
        <f>VLOOKUP(B62,'Im 1A'!$A$2:$C$1963,3,FALSE)</f>
        <v>78.349999999999994</v>
      </c>
      <c r="D62" s="304" t="str">
        <f>VLOOKUP(B62,'Im 1A'!$A$2:$D$3231,4,FALSE)</f>
        <v>V</v>
      </c>
      <c r="E62" s="305">
        <f>IF(D62="D",VLOOKUP(B62,'Im 1A'!$A$2:$C$1963,2,FALSE),0)</f>
        <v>0</v>
      </c>
      <c r="F62" s="305">
        <f>IF(D62="V",VLOOKUP(B62,Vtas1A!$A$2:$B$2357,2,FALSE),0)</f>
        <v>357320298</v>
      </c>
      <c r="G62" s="306"/>
      <c r="H62" s="304" t="s">
        <v>2190</v>
      </c>
      <c r="I62" s="505">
        <f>VLOOKUP(H62,'Im 1B'!$A$2:$C$1947,3,FALSE)</f>
        <v>76.3</v>
      </c>
      <c r="J62" s="304" t="str">
        <f>VLOOKUP(H62,'Im 1B'!$A$2:$D$3215,4,FALSE)</f>
        <v>V</v>
      </c>
      <c r="K62" s="305">
        <f>IF(J62="D",VLOOKUP(H62,'Im 1B'!$A$2:$C$1947,2,FALSE),0)</f>
        <v>0</v>
      </c>
      <c r="L62" s="305">
        <f>IF(J62="V",VLOOKUP(H62,Vtas1B!$A$2:$B$2313,2,FALSE),0)</f>
        <v>318649200</v>
      </c>
      <c r="M62" s="307"/>
      <c r="N62" s="280" t="s">
        <v>2776</v>
      </c>
      <c r="O62" s="505">
        <f>VLOOKUP(N62,'Im 2'!$A$2:$C$2278,3,FALSE)</f>
        <v>80.3</v>
      </c>
      <c r="P62" s="304" t="str">
        <f>VLOOKUP(N62,'Im 2'!$A$2:$D$3546,4,FALSE)</f>
        <v>V</v>
      </c>
      <c r="Q62" s="305">
        <f>IF(P62="D",VLOOKUP(N62,'Im 2'!$A$2:$C$2278,2,FALSE),0)</f>
        <v>0</v>
      </c>
      <c r="R62" s="305">
        <f>IF(P62="V",VLOOKUP(N62,Vtas2!$A$2:$B$2425,2,FALSE),0)</f>
        <v>498300000</v>
      </c>
      <c r="S62" s="307"/>
      <c r="T62" s="304" t="s">
        <v>3794</v>
      </c>
      <c r="U62" s="505">
        <f>VLOOKUP(T62,'Im 3A'!$A$2:$C$2278,3,FALSE)</f>
        <v>77.900000000000006</v>
      </c>
      <c r="V62" s="304" t="str">
        <f>VLOOKUP(T62,'Im 3A'!$A$2:$D$3546,4,FALSE)</f>
        <v>V</v>
      </c>
      <c r="W62" s="305">
        <f>IF(V62="D",VLOOKUP(T62,'Im 3A'!$A$2:$C$2278,2,FALSE),0)</f>
        <v>0</v>
      </c>
      <c r="X62" s="305">
        <f>IF(V62="V",VLOOKUP(T62,Vtas3A!$A$2:$B$2425,2,FALSE),0)</f>
        <v>363710822</v>
      </c>
      <c r="Z62" s="304" t="s">
        <v>3951</v>
      </c>
      <c r="AA62" s="505">
        <f>VLOOKUP(Z62,'Im 3B'!$A$2:$C$2280,3,FALSE)</f>
        <v>76.3</v>
      </c>
      <c r="AB62" s="304" t="str">
        <f>VLOOKUP(Z62,'Im 3B'!$A$2:$D$3548,4,FALSE)</f>
        <v>V</v>
      </c>
      <c r="AC62" s="305">
        <f>IF(AB62="D",VLOOKUP(Z62,'Im 3B'!$A$2:$C$2280,2,FALSE),0)</f>
        <v>0</v>
      </c>
      <c r="AD62" s="305">
        <f>IF(AB62="V",VLOOKUP(Z62,Vtas3B!$A$2:$B$2438,2,FALSE),0)</f>
        <v>429702000</v>
      </c>
    </row>
    <row r="63" spans="2:30" x14ac:dyDescent="0.2">
      <c r="B63" s="304" t="s">
        <v>2036</v>
      </c>
      <c r="C63" s="505">
        <f>VLOOKUP(B63,'Im 1A'!$A$2:$C$1963,3,FALSE)</f>
        <v>77.3</v>
      </c>
      <c r="D63" s="304" t="str">
        <f>VLOOKUP(B63,'Im 1A'!$A$2:$D$3231,4,FALSE)</f>
        <v>V</v>
      </c>
      <c r="E63" s="305">
        <f>IF(D63="D",VLOOKUP(B63,'Im 1A'!$A$2:$C$1963,2,FALSE),0)</f>
        <v>0</v>
      </c>
      <c r="F63" s="305">
        <f>IF(D63="V",VLOOKUP(B63,Vtas1A!$A$2:$B$2357,2,FALSE),0)</f>
        <v>312900000</v>
      </c>
      <c r="G63" s="306"/>
      <c r="H63" s="304" t="s">
        <v>2191</v>
      </c>
      <c r="I63" s="505">
        <f>VLOOKUP(H63,'Im 1B'!$A$2:$C$1947,3,FALSE)</f>
        <v>64</v>
      </c>
      <c r="J63" s="304" t="str">
        <f>VLOOKUP(H63,'Im 1B'!$A$2:$D$3215,4,FALSE)</f>
        <v>V</v>
      </c>
      <c r="K63" s="305">
        <f>IF(J63="D",VLOOKUP(H63,'Im 1B'!$A$2:$C$1947,2,FALSE),0)</f>
        <v>0</v>
      </c>
      <c r="L63" s="305">
        <f>IF(J63="V",VLOOKUP(H63,Vtas1B!$A$2:$B$2313,2,FALSE),0)</f>
        <v>268848918</v>
      </c>
      <c r="M63" s="307"/>
      <c r="N63" s="280" t="s">
        <v>2777</v>
      </c>
      <c r="O63" s="505">
        <f>VLOOKUP(N63,'Im 2'!$A$2:$C$2278,3,FALSE)</f>
        <v>57.5</v>
      </c>
      <c r="P63" s="304" t="str">
        <f>VLOOKUP(N63,'Im 2'!$A$2:$D$3546,4,FALSE)</f>
        <v>V</v>
      </c>
      <c r="Q63" s="305">
        <f>IF(P63="D",VLOOKUP(N63,'Im 2'!$A$2:$C$2278,2,FALSE),0)</f>
        <v>0</v>
      </c>
      <c r="R63" s="305">
        <f>IF(P63="V",VLOOKUP(N63,Vtas2!$A$2:$B$2425,2,FALSE),0)</f>
        <v>358500000</v>
      </c>
      <c r="S63" s="307"/>
      <c r="T63" s="304" t="s">
        <v>3795</v>
      </c>
      <c r="U63" s="505">
        <f>VLOOKUP(T63,'Im 3A'!$A$2:$C$2278,3,FALSE)</f>
        <v>60.95</v>
      </c>
      <c r="V63" s="304" t="str">
        <f>VLOOKUP(T63,'Im 3A'!$A$2:$D$3546,4,FALSE)</f>
        <v>V</v>
      </c>
      <c r="W63" s="305">
        <f>IF(V63="D",VLOOKUP(T63,'Im 3A'!$A$2:$C$2278,2,FALSE),0)</f>
        <v>0</v>
      </c>
      <c r="X63" s="305">
        <f>IF(V63="V",VLOOKUP(T63,Vtas3A!$A$2:$B$2425,2,FALSE),0)</f>
        <v>312801204</v>
      </c>
      <c r="Z63" s="304" t="s">
        <v>3952</v>
      </c>
      <c r="AA63" s="505">
        <f>VLOOKUP(Z63,'Im 3B'!$A$2:$C$2280,3,FALSE)</f>
        <v>64</v>
      </c>
      <c r="AB63" s="304" t="str">
        <f>VLOOKUP(Z63,'Im 3B'!$A$2:$D$3548,4,FALSE)</f>
        <v>V</v>
      </c>
      <c r="AC63" s="305">
        <f>IF(AB63="D",VLOOKUP(Z63,'Im 3B'!$A$2:$C$2280,2,FALSE),0)</f>
        <v>0</v>
      </c>
      <c r="AD63" s="305">
        <f>IF(AB63="V",VLOOKUP(Z63,Vtas3B!$A$2:$B$2438,2,FALSE),0)</f>
        <v>362713200</v>
      </c>
    </row>
    <row r="64" spans="2:30" x14ac:dyDescent="0.2">
      <c r="B64" s="304" t="s">
        <v>2037</v>
      </c>
      <c r="C64" s="505">
        <f>VLOOKUP(B64,'Im 1A'!$A$2:$C$1963,3,FALSE)</f>
        <v>60.95</v>
      </c>
      <c r="D64" s="304" t="str">
        <f>VLOOKUP(B64,'Im 1A'!$A$2:$D$3231,4,FALSE)</f>
        <v>V</v>
      </c>
      <c r="E64" s="305">
        <f>IF(D64="D",VLOOKUP(B64,'Im 1A'!$A$2:$C$1963,2,FALSE),0)</f>
        <v>0</v>
      </c>
      <c r="F64" s="305">
        <f>IF(D64="V",VLOOKUP(B64,Vtas1A!$A$2:$B$2357,2,FALSE),0)</f>
        <v>247900000</v>
      </c>
      <c r="G64" s="306"/>
      <c r="H64" s="304" t="s">
        <v>2192</v>
      </c>
      <c r="I64" s="505">
        <f>VLOOKUP(H64,'Im 1B'!$A$2:$C$1947,3,FALSE)</f>
        <v>76.150000000000006</v>
      </c>
      <c r="J64" s="304" t="str">
        <f>VLOOKUP(H64,'Im 1B'!$A$2:$D$3215,4,FALSE)</f>
        <v>V</v>
      </c>
      <c r="K64" s="305">
        <f>IF(J64="D",VLOOKUP(H64,'Im 1B'!$A$2:$C$1947,2,FALSE),0)</f>
        <v>0</v>
      </c>
      <c r="L64" s="305">
        <f>IF(J64="V",VLOOKUP(H64,Vtas1B!$A$2:$B$2313,2,FALSE),0)</f>
        <v>351949319</v>
      </c>
      <c r="M64" s="307"/>
      <c r="N64" s="280" t="s">
        <v>2843</v>
      </c>
      <c r="O64" s="505">
        <f>VLOOKUP(N64,'Im 2'!$A$2:$C$2278,3,FALSE)</f>
        <v>79.260000000000005</v>
      </c>
      <c r="P64" s="304" t="str">
        <f>VLOOKUP(N64,'Im 2'!$A$2:$D$3546,4,FALSE)</f>
        <v>V</v>
      </c>
      <c r="Q64" s="305">
        <f>IF(P64="D",VLOOKUP(N64,'Im 2'!$A$2:$C$2278,2,FALSE),0)</f>
        <v>0</v>
      </c>
      <c r="R64" s="305">
        <f>IF(P64="V",VLOOKUP(N64,Vtas2!$A$2:$B$2425,2,FALSE),0)</f>
        <v>475060000</v>
      </c>
      <c r="S64" s="307"/>
      <c r="T64" s="304" t="s">
        <v>3796</v>
      </c>
      <c r="U64" s="505">
        <f>VLOOKUP(T64,'Im 3A'!$A$2:$C$2278,3,FALSE)</f>
        <v>71.95</v>
      </c>
      <c r="V64" s="304" t="str">
        <f>VLOOKUP(T64,'Im 3A'!$A$2:$D$3546,4,FALSE)</f>
        <v>V</v>
      </c>
      <c r="W64" s="305">
        <f>IF(V64="D",VLOOKUP(T64,'Im 3A'!$A$2:$C$2278,2,FALSE),0)</f>
        <v>0</v>
      </c>
      <c r="X64" s="305">
        <f>IF(V64="V",VLOOKUP(T64,Vtas3A!$A$2:$B$2425,2,FALSE),0)</f>
        <v>411468246</v>
      </c>
      <c r="Z64" s="304" t="s">
        <v>3953</v>
      </c>
      <c r="AA64" s="505">
        <f>VLOOKUP(Z64,'Im 3B'!$A$2:$C$2280,3,FALSE)</f>
        <v>76.150000000000006</v>
      </c>
      <c r="AB64" s="304" t="str">
        <f>VLOOKUP(Z64,'Im 3B'!$A$2:$D$3548,4,FALSE)</f>
        <v>V</v>
      </c>
      <c r="AC64" s="305">
        <f>IF(AB64="D",VLOOKUP(Z64,'Im 3B'!$A$2:$C$2280,2,FALSE),0)</f>
        <v>0</v>
      </c>
      <c r="AD64" s="305">
        <f>IF(AB64="V",VLOOKUP(Z64,Vtas3B!$A$2:$B$2438,2,FALSE),0)</f>
        <v>427601000</v>
      </c>
    </row>
    <row r="65" spans="2:30" x14ac:dyDescent="0.2">
      <c r="B65" s="304" t="s">
        <v>2038</v>
      </c>
      <c r="C65" s="505">
        <f>VLOOKUP(B65,'Im 1A'!$A$2:$C$1963,3,FALSE)</f>
        <v>71.900000000000006</v>
      </c>
      <c r="D65" s="304" t="str">
        <f>VLOOKUP(B65,'Im 1A'!$A$2:$D$3231,4,FALSE)</f>
        <v>V</v>
      </c>
      <c r="E65" s="305">
        <f>IF(D65="D",VLOOKUP(B65,'Im 1A'!$A$2:$C$1963,2,FALSE),0)</f>
        <v>0</v>
      </c>
      <c r="F65" s="305">
        <f>IF(D65="V",VLOOKUP(B65,Vtas1A!$A$2:$B$2357,2,FALSE),0)</f>
        <v>236219927</v>
      </c>
      <c r="G65" s="306"/>
      <c r="H65" s="304" t="s">
        <v>2193</v>
      </c>
      <c r="I65" s="505">
        <f>VLOOKUP(H65,'Im 1B'!$A$2:$C$1947,3,FALSE)</f>
        <v>75.59</v>
      </c>
      <c r="J65" s="304" t="str">
        <f>VLOOKUP(H65,'Im 1B'!$A$2:$D$3215,4,FALSE)</f>
        <v>V</v>
      </c>
      <c r="K65" s="305">
        <f>IF(J65="D",VLOOKUP(H65,'Im 1B'!$A$2:$C$1947,2,FALSE),0)</f>
        <v>0</v>
      </c>
      <c r="L65" s="305">
        <f>IF(J65="V",VLOOKUP(H65,Vtas1B!$A$2:$B$2313,2,FALSE),0)</f>
        <v>319994795</v>
      </c>
      <c r="M65" s="307"/>
      <c r="N65" s="280" t="s">
        <v>2844</v>
      </c>
      <c r="O65" s="505">
        <f>VLOOKUP(N65,'Im 2'!$A$2:$C$2278,3,FALSE)</f>
        <v>59.7</v>
      </c>
      <c r="P65" s="304" t="str">
        <f>VLOOKUP(N65,'Im 2'!$A$2:$D$3546,4,FALSE)</f>
        <v>V</v>
      </c>
      <c r="Q65" s="305">
        <f>IF(P65="D",VLOOKUP(N65,'Im 2'!$A$2:$C$2278,2,FALSE),0)</f>
        <v>0</v>
      </c>
      <c r="R65" s="305">
        <f>IF(P65="V",VLOOKUP(N65,Vtas2!$A$2:$B$2425,2,FALSE),0)</f>
        <v>357700000</v>
      </c>
      <c r="S65" s="307"/>
      <c r="T65" s="304" t="s">
        <v>3797</v>
      </c>
      <c r="U65" s="505">
        <f>VLOOKUP(T65,'Im 3A'!$A$2:$C$2278,3,FALSE)</f>
        <v>60.9</v>
      </c>
      <c r="V65" s="304" t="str">
        <f>VLOOKUP(T65,'Im 3A'!$A$2:$D$3546,4,FALSE)</f>
        <v>V</v>
      </c>
      <c r="W65" s="305">
        <f>IF(V65="D",VLOOKUP(T65,'Im 3A'!$A$2:$C$2278,2,FALSE),0)</f>
        <v>0</v>
      </c>
      <c r="X65" s="305">
        <f>IF(V65="V",VLOOKUP(T65,Vtas3A!$A$2:$B$2425,2,FALSE),0)</f>
        <v>400850000</v>
      </c>
      <c r="Z65" s="304" t="s">
        <v>3954</v>
      </c>
      <c r="AA65" s="505">
        <f>VLOOKUP(Z65,'Im 3B'!$A$2:$C$2280,3,FALSE)</f>
        <v>76.3</v>
      </c>
      <c r="AB65" s="304" t="str">
        <f>VLOOKUP(Z65,'Im 3B'!$A$2:$D$3548,4,FALSE)</f>
        <v>V</v>
      </c>
      <c r="AC65" s="305">
        <f>IF(AB65="D",VLOOKUP(Z65,'Im 3B'!$A$2:$C$2280,2,FALSE),0)</f>
        <v>0</v>
      </c>
      <c r="AD65" s="305">
        <f>IF(AB65="V",VLOOKUP(Z65,Vtas3B!$A$2:$B$2438,2,FALSE),0)</f>
        <v>441566000</v>
      </c>
    </row>
    <row r="66" spans="2:30" x14ac:dyDescent="0.2">
      <c r="B66" s="304" t="s">
        <v>2039</v>
      </c>
      <c r="C66" s="505">
        <f>VLOOKUP(B66,'Im 1A'!$A$2:$C$1963,3,FALSE)</f>
        <v>71</v>
      </c>
      <c r="D66" s="304" t="str">
        <f>VLOOKUP(B66,'Im 1A'!$A$2:$D$3231,4,FALSE)</f>
        <v>V</v>
      </c>
      <c r="E66" s="305">
        <f>IF(D66="D",VLOOKUP(B66,'Im 1A'!$A$2:$C$1963,2,FALSE),0)</f>
        <v>0</v>
      </c>
      <c r="F66" s="305">
        <f>IF(D66="V",VLOOKUP(B66,Vtas1A!$A$2:$B$2357,2,FALSE),0)</f>
        <v>295520000</v>
      </c>
      <c r="G66" s="306"/>
      <c r="H66" s="304" t="s">
        <v>2194</v>
      </c>
      <c r="I66" s="505">
        <f>VLOOKUP(H66,'Im 1B'!$A$2:$C$1947,3,FALSE)</f>
        <v>75.91</v>
      </c>
      <c r="J66" s="304" t="str">
        <f>VLOOKUP(H66,'Im 1B'!$A$2:$D$3215,4,FALSE)</f>
        <v>V</v>
      </c>
      <c r="K66" s="305">
        <f>IF(J66="D",VLOOKUP(H66,'Im 1B'!$A$2:$C$1947,2,FALSE),0)</f>
        <v>0</v>
      </c>
      <c r="L66" s="305">
        <f>IF(J66="V",VLOOKUP(H66,Vtas1B!$A$2:$B$2313,2,FALSE),0)</f>
        <v>320467400</v>
      </c>
      <c r="M66" s="307"/>
      <c r="N66" s="280" t="s">
        <v>2779</v>
      </c>
      <c r="O66" s="505">
        <f>VLOOKUP(N66,'Im 2'!$A$2:$C$2278,3,FALSE)</f>
        <v>80.349999999999994</v>
      </c>
      <c r="P66" s="304" t="str">
        <f>VLOOKUP(N66,'Im 2'!$A$2:$D$3546,4,FALSE)</f>
        <v>V</v>
      </c>
      <c r="Q66" s="305">
        <f>IF(P66="D",VLOOKUP(N66,'Im 2'!$A$2:$C$2278,2,FALSE),0)</f>
        <v>0</v>
      </c>
      <c r="R66" s="305">
        <f>IF(P66="V",VLOOKUP(N66,Vtas2!$A$2:$B$2425,2,FALSE),0)</f>
        <v>498800000</v>
      </c>
      <c r="S66" s="307"/>
      <c r="T66" s="304" t="s">
        <v>3798</v>
      </c>
      <c r="U66" s="505">
        <f>VLOOKUP(T66,'Im 3A'!$A$2:$C$2278,3,FALSE)</f>
        <v>78.45</v>
      </c>
      <c r="V66" s="304" t="str">
        <f>VLOOKUP(T66,'Im 3A'!$A$2:$D$3546,4,FALSE)</f>
        <v>V</v>
      </c>
      <c r="W66" s="305">
        <f>IF(V66="D",VLOOKUP(T66,'Im 3A'!$A$2:$C$2278,2,FALSE),0)</f>
        <v>0</v>
      </c>
      <c r="X66" s="305">
        <f>IF(V66="V",VLOOKUP(T66,Vtas3A!$A$2:$B$2425,2,FALSE),0)</f>
        <v>377637500</v>
      </c>
      <c r="Z66" s="304" t="s">
        <v>3955</v>
      </c>
      <c r="AA66" s="505">
        <f>VLOOKUP(Z66,'Im 3B'!$A$2:$C$2280,3,FALSE)</f>
        <v>64</v>
      </c>
      <c r="AB66" s="304" t="str">
        <f>VLOOKUP(Z66,'Im 3B'!$A$2:$D$3548,4,FALSE)</f>
        <v>V</v>
      </c>
      <c r="AC66" s="305">
        <f>IF(AB66="D",VLOOKUP(Z66,'Im 3B'!$A$2:$C$2280,2,FALSE),0)</f>
        <v>0</v>
      </c>
      <c r="AD66" s="305">
        <f>IF(AB66="V",VLOOKUP(Z66,Vtas3B!$A$2:$B$2438,2,FALSE),0)</f>
        <v>359500000</v>
      </c>
    </row>
    <row r="67" spans="2:30" x14ac:dyDescent="0.2">
      <c r="B67" s="304" t="s">
        <v>2040</v>
      </c>
      <c r="C67" s="505">
        <f>VLOOKUP(B67,'Im 1A'!$A$2:$C$1963,3,FALSE)</f>
        <v>60.9</v>
      </c>
      <c r="D67" s="304" t="str">
        <f>VLOOKUP(B67,'Im 1A'!$A$2:$D$3231,4,FALSE)</f>
        <v>V</v>
      </c>
      <c r="E67" s="305">
        <f>IF(D67="D",VLOOKUP(B67,'Im 1A'!$A$2:$C$1963,2,FALSE),0)</f>
        <v>0</v>
      </c>
      <c r="F67" s="305">
        <f>IF(D67="V",VLOOKUP(B67,Vtas1A!$A$2:$B$2357,2,FALSE),0)</f>
        <v>246200000</v>
      </c>
      <c r="G67" s="306"/>
      <c r="H67" s="304" t="s">
        <v>2195</v>
      </c>
      <c r="I67" s="505">
        <f>VLOOKUP(H67,'Im 1B'!$A$2:$C$1947,3,FALSE)</f>
        <v>63.91</v>
      </c>
      <c r="J67" s="304" t="str">
        <f>VLOOKUP(H67,'Im 1B'!$A$2:$D$3215,4,FALSE)</f>
        <v>V</v>
      </c>
      <c r="K67" s="305">
        <f>IF(J67="D",VLOOKUP(H67,'Im 1B'!$A$2:$C$1947,2,FALSE),0)</f>
        <v>0</v>
      </c>
      <c r="L67" s="305">
        <f>IF(J67="V",VLOOKUP(H67,Vtas1B!$A$2:$B$2313,2,FALSE),0)</f>
        <v>261819037</v>
      </c>
      <c r="M67" s="307"/>
      <c r="N67" s="280" t="s">
        <v>2780</v>
      </c>
      <c r="O67" s="505">
        <f>VLOOKUP(N67,'Im 2'!$A$2:$C$2278,3,FALSE)</f>
        <v>57.5</v>
      </c>
      <c r="P67" s="304" t="str">
        <f>VLOOKUP(N67,'Im 2'!$A$2:$D$3546,4,FALSE)</f>
        <v>V</v>
      </c>
      <c r="Q67" s="305">
        <f>IF(P67="D",VLOOKUP(N67,'Im 2'!$A$2:$C$2278,2,FALSE),0)</f>
        <v>0</v>
      </c>
      <c r="R67" s="305">
        <f>IF(P67="V",VLOOKUP(N67,Vtas2!$A$2:$B$2425,2,FALSE),0)</f>
        <v>359000000</v>
      </c>
      <c r="S67" s="307"/>
      <c r="T67" s="304" t="s">
        <v>3799</v>
      </c>
      <c r="U67" s="505">
        <f>VLOOKUP(T67,'Im 3A'!$A$2:$C$2278,3,FALSE)</f>
        <v>77.98</v>
      </c>
      <c r="V67" s="304" t="str">
        <f>VLOOKUP(T67,'Im 3A'!$A$2:$D$3546,4,FALSE)</f>
        <v>V</v>
      </c>
      <c r="W67" s="305">
        <f>IF(V67="D",VLOOKUP(T67,'Im 3A'!$A$2:$C$2278,2,FALSE),0)</f>
        <v>0</v>
      </c>
      <c r="X67" s="305">
        <f>IF(V67="V",VLOOKUP(T67,Vtas3A!$A$2:$B$2425,2,FALSE),0)</f>
        <v>373252145</v>
      </c>
      <c r="Z67" s="304" t="s">
        <v>3956</v>
      </c>
      <c r="AA67" s="505">
        <f>VLOOKUP(Z67,'Im 3B'!$A$2:$C$2280,3,FALSE)</f>
        <v>76.150000000000006</v>
      </c>
      <c r="AB67" s="304" t="str">
        <f>VLOOKUP(Z67,'Im 3B'!$A$2:$D$3548,4,FALSE)</f>
        <v>V</v>
      </c>
      <c r="AC67" s="305">
        <f>IF(AB67="D",VLOOKUP(Z67,'Im 3B'!$A$2:$C$2280,2,FALSE),0)</f>
        <v>0</v>
      </c>
      <c r="AD67" s="305">
        <f>IF(AB67="V",VLOOKUP(Z67,Vtas3B!$A$2:$B$2438,2,FALSE),0)</f>
        <v>429323370</v>
      </c>
    </row>
    <row r="68" spans="2:30" x14ac:dyDescent="0.2">
      <c r="B68" s="304" t="s">
        <v>2041</v>
      </c>
      <c r="C68" s="505">
        <f>VLOOKUP(B68,'Im 1A'!$A$2:$C$1963,3,FALSE)</f>
        <v>78.349999999999994</v>
      </c>
      <c r="D68" s="304" t="str">
        <f>VLOOKUP(B68,'Im 1A'!$A$2:$D$3231,4,FALSE)</f>
        <v>V</v>
      </c>
      <c r="E68" s="305">
        <f>IF(D68="D",VLOOKUP(B68,'Im 1A'!$A$2:$C$1963,2,FALSE),0)</f>
        <v>0</v>
      </c>
      <c r="F68" s="305">
        <f>IF(D68="V",VLOOKUP(B68,Vtas1A!$A$2:$B$2357,2,FALSE),0)</f>
        <v>320702695</v>
      </c>
      <c r="G68" s="306"/>
      <c r="H68" s="304" t="s">
        <v>2196</v>
      </c>
      <c r="I68" s="505">
        <f>VLOOKUP(H68,'Im 1B'!$A$2:$C$1947,3,FALSE)</f>
        <v>76.150000000000006</v>
      </c>
      <c r="J68" s="304" t="str">
        <f>VLOOKUP(H68,'Im 1B'!$A$2:$D$3215,4,FALSE)</f>
        <v>V</v>
      </c>
      <c r="K68" s="305">
        <f>IF(J68="D",VLOOKUP(H68,'Im 1B'!$A$2:$C$1947,2,FALSE),0)</f>
        <v>0</v>
      </c>
      <c r="L68" s="305">
        <f>IF(J68="V",VLOOKUP(H68,Vtas1B!$A$2:$B$2313,2,FALSE),0)</f>
        <v>324246000</v>
      </c>
      <c r="M68" s="307"/>
      <c r="N68" s="280" t="s">
        <v>2781</v>
      </c>
      <c r="O68" s="505">
        <f>VLOOKUP(N68,'Im 2'!$A$2:$C$2278,3,FALSE)</f>
        <v>80.05</v>
      </c>
      <c r="P68" s="304" t="str">
        <f>VLOOKUP(N68,'Im 2'!$A$2:$D$3546,4,FALSE)</f>
        <v>V</v>
      </c>
      <c r="Q68" s="305">
        <f>IF(P68="D",VLOOKUP(N68,'Im 2'!$A$2:$C$2278,2,FALSE),0)</f>
        <v>0</v>
      </c>
      <c r="R68" s="305">
        <f>IF(P68="V",VLOOKUP(N68,Vtas2!$A$2:$B$2425,2,FALSE),0)</f>
        <v>489302500</v>
      </c>
      <c r="S68" s="307"/>
      <c r="T68" s="304" t="s">
        <v>3800</v>
      </c>
      <c r="U68" s="505">
        <f>VLOOKUP(T68,'Im 3A'!$A$2:$C$2278,3,FALSE)</f>
        <v>60.95</v>
      </c>
      <c r="V68" s="304" t="str">
        <f>VLOOKUP(T68,'Im 3A'!$A$2:$D$3546,4,FALSE)</f>
        <v>V</v>
      </c>
      <c r="W68" s="305">
        <f>IF(V68="D",VLOOKUP(T68,'Im 3A'!$A$2:$C$2278,2,FALSE),0)</f>
        <v>0</v>
      </c>
      <c r="X68" s="305">
        <f>IF(V68="V",VLOOKUP(T68,Vtas3A!$A$2:$B$2425,2,FALSE),0)</f>
        <v>321987500</v>
      </c>
      <c r="Z68" s="304" t="s">
        <v>3957</v>
      </c>
      <c r="AA68" s="505">
        <f>VLOOKUP(Z68,'Im 3B'!$A$2:$C$2280,3,FALSE)</f>
        <v>75.5</v>
      </c>
      <c r="AB68" s="304" t="str">
        <f>VLOOKUP(Z68,'Im 3B'!$A$2:$D$3548,4,FALSE)</f>
        <v>V</v>
      </c>
      <c r="AC68" s="305">
        <f>IF(AB68="D",VLOOKUP(Z68,'Im 3B'!$A$2:$C$2280,2,FALSE),0)</f>
        <v>0</v>
      </c>
      <c r="AD68" s="305">
        <f>IF(AB68="V",VLOOKUP(Z68,Vtas3B!$A$2:$B$2438,2,FALSE),0)</f>
        <v>483650000</v>
      </c>
    </row>
    <row r="69" spans="2:30" x14ac:dyDescent="0.2">
      <c r="B69" s="304" t="s">
        <v>2042</v>
      </c>
      <c r="C69" s="505">
        <f>VLOOKUP(B69,'Im 1A'!$A$2:$C$1963,3,FALSE)</f>
        <v>77.3</v>
      </c>
      <c r="D69" s="304" t="str">
        <f>VLOOKUP(B69,'Im 1A'!$A$2:$D$3231,4,FALSE)</f>
        <v>V</v>
      </c>
      <c r="E69" s="305">
        <f>IF(D69="D",VLOOKUP(B69,'Im 1A'!$A$2:$C$1963,2,FALSE),0)</f>
        <v>0</v>
      </c>
      <c r="F69" s="305">
        <f>IF(D69="V",VLOOKUP(B69,Vtas1A!$A$2:$B$2357,2,FALSE),0)</f>
        <v>266657354</v>
      </c>
      <c r="G69" s="306"/>
      <c r="H69" s="304" t="s">
        <v>2197</v>
      </c>
      <c r="I69" s="505">
        <f>VLOOKUP(H69,'Im 1B'!$A$2:$C$1947,3,FALSE)</f>
        <v>75.5</v>
      </c>
      <c r="J69" s="304" t="str">
        <f>VLOOKUP(H69,'Im 1B'!$A$2:$D$3215,4,FALSE)</f>
        <v>V</v>
      </c>
      <c r="K69" s="305">
        <f>IF(J69="D",VLOOKUP(H69,'Im 1B'!$A$2:$C$1947,2,FALSE),0)</f>
        <v>0</v>
      </c>
      <c r="L69" s="305">
        <f>IF(J69="V",VLOOKUP(H69,Vtas1B!$A$2:$B$2313,2,FALSE),0)</f>
        <v>320518220</v>
      </c>
      <c r="M69" s="307"/>
      <c r="N69" s="280" t="s">
        <v>2782</v>
      </c>
      <c r="O69" s="505">
        <f>VLOOKUP(N69,'Im 2'!$A$2:$C$2278,3,FALSE)</f>
        <v>60.4</v>
      </c>
      <c r="P69" s="304" t="str">
        <f>VLOOKUP(N69,'Im 2'!$A$2:$D$3546,4,FALSE)</f>
        <v>V</v>
      </c>
      <c r="Q69" s="305">
        <f>IF(P69="D",VLOOKUP(N69,'Im 2'!$A$2:$C$2278,2,FALSE),0)</f>
        <v>0</v>
      </c>
      <c r="R69" s="305">
        <f>IF(P69="V",VLOOKUP(N69,Vtas2!$A$2:$B$2425,2,FALSE),0)</f>
        <v>397600000</v>
      </c>
      <c r="S69" s="307"/>
      <c r="T69" s="304" t="s">
        <v>3801</v>
      </c>
      <c r="U69" s="505">
        <f>VLOOKUP(T69,'Im 3A'!$A$2:$C$2278,3,FALSE)</f>
        <v>71.900000000000006</v>
      </c>
      <c r="V69" s="304" t="str">
        <f>VLOOKUP(T69,'Im 3A'!$A$2:$D$3546,4,FALSE)</f>
        <v>V</v>
      </c>
      <c r="W69" s="305">
        <f>IF(V69="D",VLOOKUP(T69,'Im 3A'!$A$2:$C$2278,2,FALSE),0)</f>
        <v>0</v>
      </c>
      <c r="X69" s="305">
        <f>IF(V69="V",VLOOKUP(T69,Vtas3A!$A$2:$B$2425,2,FALSE),0)</f>
        <v>349812162</v>
      </c>
      <c r="Z69" s="304" t="s">
        <v>3958</v>
      </c>
      <c r="AA69" s="505">
        <f>VLOOKUP(Z69,'Im 3B'!$A$2:$C$2280,3,FALSE)</f>
        <v>76.3</v>
      </c>
      <c r="AB69" s="304" t="str">
        <f>VLOOKUP(Z69,'Im 3B'!$A$2:$D$3548,4,FALSE)</f>
        <v>V</v>
      </c>
      <c r="AC69" s="305">
        <f>IF(AB69="D",VLOOKUP(Z69,'Im 3B'!$A$2:$C$2280,2,FALSE),0)</f>
        <v>0</v>
      </c>
      <c r="AD69" s="305">
        <f>IF(AB69="V",VLOOKUP(Z69,Vtas3B!$A$2:$B$2438,2,FALSE),0)</f>
        <v>435806000</v>
      </c>
    </row>
    <row r="70" spans="2:30" x14ac:dyDescent="0.2">
      <c r="B70" s="304" t="s">
        <v>2727</v>
      </c>
      <c r="C70" s="505">
        <f>VLOOKUP(B70,'Im 1A'!$A$2:$C$1963,3,FALSE)</f>
        <v>60.95</v>
      </c>
      <c r="D70" s="304" t="str">
        <f>VLOOKUP(B70,'Im 1A'!$A$2:$D$3231,4,FALSE)</f>
        <v>V</v>
      </c>
      <c r="E70" s="305">
        <f>IF(D70="D",VLOOKUP(B70,'Im 1A'!$A$2:$C$1963,2,FALSE),0)</f>
        <v>0</v>
      </c>
      <c r="F70" s="305">
        <f>IF(D70="V",VLOOKUP(B70,Vtas1A!$A$2:$B$2357,2,FALSE),0)</f>
        <v>221576216</v>
      </c>
      <c r="G70" s="306"/>
      <c r="H70" s="304" t="s">
        <v>2198</v>
      </c>
      <c r="I70" s="505">
        <f>VLOOKUP(H70,'Im 1B'!$A$2:$C$1947,3,FALSE)</f>
        <v>76.3</v>
      </c>
      <c r="J70" s="304" t="str">
        <f>VLOOKUP(H70,'Im 1B'!$A$2:$D$3215,4,FALSE)</f>
        <v>V</v>
      </c>
      <c r="K70" s="305">
        <f>IF(J70="D",VLOOKUP(H70,'Im 1B'!$A$2:$C$1947,2,FALSE),0)</f>
        <v>0</v>
      </c>
      <c r="L70" s="305">
        <f>IF(J70="V",VLOOKUP(H70,Vtas1B!$A$2:$B$2313,2,FALSE),0)</f>
        <v>282152411</v>
      </c>
      <c r="M70" s="307"/>
      <c r="N70" s="280" t="s">
        <v>2783</v>
      </c>
      <c r="O70" s="505">
        <f>VLOOKUP(N70,'Im 2'!$A$2:$C$2278,3,FALSE)</f>
        <v>82.3</v>
      </c>
      <c r="P70" s="304" t="str">
        <f>VLOOKUP(N70,'Im 2'!$A$2:$D$3546,4,FALSE)</f>
        <v>V</v>
      </c>
      <c r="Q70" s="305">
        <f>IF(P70="D",VLOOKUP(N70,'Im 2'!$A$2:$C$2278,2,FALSE),0)</f>
        <v>0</v>
      </c>
      <c r="R70" s="305">
        <f>IF(P70="V",VLOOKUP(N70,Vtas2!$A$2:$B$2425,2,FALSE),0)</f>
        <v>556410000</v>
      </c>
      <c r="S70" s="307"/>
      <c r="T70" s="304" t="s">
        <v>3802</v>
      </c>
      <c r="U70" s="505">
        <f>VLOOKUP(T70,'Im 3A'!$A$2:$C$2278,3,FALSE)</f>
        <v>71.95</v>
      </c>
      <c r="V70" s="304" t="str">
        <f>VLOOKUP(T70,'Im 3A'!$A$2:$D$3546,4,FALSE)</f>
        <v>V</v>
      </c>
      <c r="W70" s="305">
        <f>IF(V70="D",VLOOKUP(T70,'Im 3A'!$A$2:$C$2278,2,FALSE),0)</f>
        <v>0</v>
      </c>
      <c r="X70" s="305">
        <f>IF(V70="V",VLOOKUP(T70,Vtas3A!$A$2:$B$2425,2,FALSE),0)</f>
        <v>458785000</v>
      </c>
      <c r="Z70" s="304" t="s">
        <v>3959</v>
      </c>
      <c r="AA70" s="505">
        <f>VLOOKUP(Z70,'Im 3B'!$A$2:$C$2280,3,FALSE)</f>
        <v>64</v>
      </c>
      <c r="AB70" s="304" t="str">
        <f>VLOOKUP(Z70,'Im 3B'!$A$2:$D$3548,4,FALSE)</f>
        <v>V</v>
      </c>
      <c r="AC70" s="305">
        <f>IF(AB70="D",VLOOKUP(Z70,'Im 3B'!$A$2:$C$2280,2,FALSE),0)</f>
        <v>0</v>
      </c>
      <c r="AD70" s="305">
        <f>IF(AB70="V",VLOOKUP(Z70,Vtas3B!$A$2:$B$2438,2,FALSE),0)</f>
        <v>361560000</v>
      </c>
    </row>
    <row r="71" spans="2:30" x14ac:dyDescent="0.2">
      <c r="B71" s="304" t="s">
        <v>2043</v>
      </c>
      <c r="C71" s="505">
        <f>VLOOKUP(B71,'Im 1A'!$A$2:$C$1963,3,FALSE)</f>
        <v>71.2</v>
      </c>
      <c r="D71" s="304" t="str">
        <f>VLOOKUP(B71,'Im 1A'!$A$2:$D$3231,4,FALSE)</f>
        <v>V</v>
      </c>
      <c r="E71" s="305">
        <f>IF(D71="D",VLOOKUP(B71,'Im 1A'!$A$2:$C$1963,2,FALSE),0)</f>
        <v>0</v>
      </c>
      <c r="F71" s="305">
        <f>IF(D71="V",VLOOKUP(B71,Vtas1A!$A$2:$B$2357,2,FALSE),0)</f>
        <v>298232358</v>
      </c>
      <c r="G71" s="306"/>
      <c r="H71" s="304" t="s">
        <v>2199</v>
      </c>
      <c r="I71" s="505">
        <f>VLOOKUP(H71,'Im 1B'!$A$2:$C$1947,3,FALSE)</f>
        <v>63.91</v>
      </c>
      <c r="J71" s="304" t="str">
        <f>VLOOKUP(H71,'Im 1B'!$A$2:$D$3215,4,FALSE)</f>
        <v>V</v>
      </c>
      <c r="K71" s="305">
        <f>IF(J71="D",VLOOKUP(H71,'Im 1B'!$A$2:$C$1947,2,FALSE),0)</f>
        <v>0</v>
      </c>
      <c r="L71" s="305">
        <f>IF(J71="V",VLOOKUP(H71,Vtas1B!$A$2:$B$2313,2,FALSE),0)</f>
        <v>267870177</v>
      </c>
      <c r="M71" s="307"/>
      <c r="N71" s="280" t="s">
        <v>2845</v>
      </c>
      <c r="O71" s="505">
        <f>VLOOKUP(N71,'Im 2'!$A$2:$C$2278,3,FALSE)</f>
        <v>57.5</v>
      </c>
      <c r="P71" s="304" t="str">
        <f>VLOOKUP(N71,'Im 2'!$A$2:$D$3546,4,FALSE)</f>
        <v>V</v>
      </c>
      <c r="Q71" s="305">
        <f>IF(P71="D",VLOOKUP(N71,'Im 2'!$A$2:$C$2278,2,FALSE),0)</f>
        <v>0</v>
      </c>
      <c r="R71" s="305">
        <f>IF(P71="V",VLOOKUP(N71,Vtas2!$A$2:$B$2425,2,FALSE),0)</f>
        <v>359500000</v>
      </c>
      <c r="S71" s="307"/>
      <c r="T71" s="304" t="s">
        <v>3803</v>
      </c>
      <c r="U71" s="505">
        <f>VLOOKUP(T71,'Im 3A'!$A$2:$C$2278,3,FALSE)</f>
        <v>60.91</v>
      </c>
      <c r="V71" s="304" t="str">
        <f>VLOOKUP(T71,'Im 3A'!$A$2:$D$3546,4,FALSE)</f>
        <v>V</v>
      </c>
      <c r="W71" s="305">
        <f>IF(V71="D",VLOOKUP(T71,'Im 3A'!$A$2:$C$2278,2,FALSE),0)</f>
        <v>0</v>
      </c>
      <c r="X71" s="305">
        <f>IF(V71="V",VLOOKUP(T71,Vtas3A!$A$2:$B$2425,2,FALSE),0)</f>
        <v>288122400</v>
      </c>
      <c r="Z71" s="304" t="s">
        <v>3960</v>
      </c>
      <c r="AA71" s="505">
        <f>VLOOKUP(Z71,'Im 3B'!$A$2:$C$2280,3,FALSE)</f>
        <v>76.150000000000006</v>
      </c>
      <c r="AB71" s="304" t="str">
        <f>VLOOKUP(Z71,'Im 3B'!$A$2:$D$3548,4,FALSE)</f>
        <v>V</v>
      </c>
      <c r="AC71" s="305">
        <f>IF(AB71="D",VLOOKUP(Z71,'Im 3B'!$A$2:$C$2280,2,FALSE),0)</f>
        <v>0</v>
      </c>
      <c r="AD71" s="305">
        <f>IF(AB71="V",VLOOKUP(Z71,Vtas3B!$A$2:$B$2438,2,FALSE),0)</f>
        <v>437892808</v>
      </c>
    </row>
    <row r="72" spans="2:30" x14ac:dyDescent="0.2">
      <c r="B72" s="304" t="s">
        <v>2044</v>
      </c>
      <c r="C72" s="505">
        <f>VLOOKUP(B72,'Im 1A'!$A$2:$C$1963,3,FALSE)</f>
        <v>71.95</v>
      </c>
      <c r="D72" s="304" t="str">
        <f>VLOOKUP(B72,'Im 1A'!$A$2:$D$3231,4,FALSE)</f>
        <v>V</v>
      </c>
      <c r="E72" s="305">
        <f>IF(D72="D",VLOOKUP(B72,'Im 1A'!$A$2:$C$1963,2,FALSE),0)</f>
        <v>0</v>
      </c>
      <c r="F72" s="305">
        <f>IF(D72="V",VLOOKUP(B72,Vtas1A!$A$2:$B$2357,2,FALSE),0)</f>
        <v>338411476</v>
      </c>
      <c r="G72" s="306"/>
      <c r="H72" s="304" t="s">
        <v>2137</v>
      </c>
      <c r="I72" s="505">
        <f>VLOOKUP(H72,'Im 1B'!$A$2:$C$1947,3,FALSE)</f>
        <v>76.150000000000006</v>
      </c>
      <c r="J72" s="304" t="str">
        <f>VLOOKUP(H72,'Im 1B'!$A$2:$D$3215,4,FALSE)</f>
        <v>V</v>
      </c>
      <c r="K72" s="305">
        <f>IF(J72="D",VLOOKUP(H72,'Im 1B'!$A$2:$C$1947,2,FALSE),0)</f>
        <v>0</v>
      </c>
      <c r="L72" s="305">
        <f>IF(J72="V",VLOOKUP(H72,Vtas1B!$A$2:$B$2313,2,FALSE),0)</f>
        <v>352260170</v>
      </c>
      <c r="M72" s="307"/>
      <c r="N72" s="280" t="s">
        <v>2785</v>
      </c>
      <c r="O72" s="505">
        <f>VLOOKUP(N72,'Im 2'!$A$2:$C$2278,3,FALSE)</f>
        <v>80.05</v>
      </c>
      <c r="P72" s="304" t="str">
        <f>VLOOKUP(N72,'Im 2'!$A$2:$D$3546,4,FALSE)</f>
        <v>V</v>
      </c>
      <c r="Q72" s="305">
        <f>IF(P72="D",VLOOKUP(N72,'Im 2'!$A$2:$C$2278,2,FALSE),0)</f>
        <v>0</v>
      </c>
      <c r="R72" s="305">
        <f>IF(P72="V",VLOOKUP(N72,Vtas2!$A$2:$B$2425,2,FALSE),0)</f>
        <v>525825000</v>
      </c>
      <c r="S72" s="307"/>
      <c r="T72" s="304" t="s">
        <v>3804</v>
      </c>
      <c r="U72" s="505">
        <f>VLOOKUP(T72,'Im 3A'!$A$2:$C$2278,3,FALSE)</f>
        <v>78.45</v>
      </c>
      <c r="V72" s="304" t="str">
        <f>VLOOKUP(T72,'Im 3A'!$A$2:$D$3546,4,FALSE)</f>
        <v>V</v>
      </c>
      <c r="W72" s="305">
        <f>IF(V72="D",VLOOKUP(T72,'Im 3A'!$A$2:$C$2278,2,FALSE),0)</f>
        <v>0</v>
      </c>
      <c r="X72" s="305">
        <f>IF(V72="V",VLOOKUP(T72,Vtas3A!$A$2:$B$2425,2,FALSE),0)</f>
        <v>381557022</v>
      </c>
      <c r="Z72" s="304" t="s">
        <v>3961</v>
      </c>
      <c r="AA72" s="505">
        <f>VLOOKUP(Z72,'Im 3B'!$A$2:$C$2280,3,FALSE)</f>
        <v>75.5</v>
      </c>
      <c r="AB72" s="304" t="str">
        <f>VLOOKUP(Z72,'Im 3B'!$A$2:$D$3548,4,FALSE)</f>
        <v>V</v>
      </c>
      <c r="AC72" s="305">
        <f>IF(AB72="D",VLOOKUP(Z72,'Im 3B'!$A$2:$C$2280,2,FALSE),0)</f>
        <v>0</v>
      </c>
      <c r="AD72" s="305">
        <f>IF(AB72="V",VLOOKUP(Z72,Vtas3B!$A$2:$B$2438,2,FALSE),0)</f>
        <v>484150000</v>
      </c>
    </row>
    <row r="73" spans="2:30" x14ac:dyDescent="0.2">
      <c r="B73" s="304" t="s">
        <v>2045</v>
      </c>
      <c r="C73" s="505">
        <f>VLOOKUP(B73,'Im 1A'!$A$2:$C$1963,3,FALSE)</f>
        <v>60.8</v>
      </c>
      <c r="D73" s="304" t="str">
        <f>VLOOKUP(B73,'Im 1A'!$A$2:$D$3231,4,FALSE)</f>
        <v>V</v>
      </c>
      <c r="E73" s="305">
        <f>IF(D73="D",VLOOKUP(B73,'Im 1A'!$A$2:$C$1963,2,FALSE),0)</f>
        <v>0</v>
      </c>
      <c r="F73" s="305">
        <f>IF(D73="V",VLOOKUP(B73,Vtas1A!$A$2:$B$2357,2,FALSE),0)</f>
        <v>246608279</v>
      </c>
      <c r="G73" s="306"/>
      <c r="H73" s="304" t="s">
        <v>2200</v>
      </c>
      <c r="I73" s="505">
        <f>VLOOKUP(H73,'Im 1B'!$A$2:$C$1947,3,FALSE)</f>
        <v>75.59</v>
      </c>
      <c r="J73" s="304" t="str">
        <f>VLOOKUP(H73,'Im 1B'!$A$2:$D$3215,4,FALSE)</f>
        <v>V</v>
      </c>
      <c r="K73" s="305">
        <f>IF(J73="D",VLOOKUP(H73,'Im 1B'!$A$2:$C$1947,2,FALSE),0)</f>
        <v>0</v>
      </c>
      <c r="L73" s="305">
        <f>IF(J73="V",VLOOKUP(H73,Vtas1B!$A$2:$B$2313,2,FALSE),0)</f>
        <v>309980251</v>
      </c>
      <c r="M73" s="307"/>
      <c r="N73" s="280" t="s">
        <v>2786</v>
      </c>
      <c r="O73" s="505">
        <f>VLOOKUP(N73,'Im 2'!$A$2:$C$2278,3,FALSE)</f>
        <v>60.4</v>
      </c>
      <c r="P73" s="304" t="str">
        <f>VLOOKUP(N73,'Im 2'!$A$2:$D$3546,4,FALSE)</f>
        <v>V</v>
      </c>
      <c r="Q73" s="305">
        <f>IF(P73="D",VLOOKUP(N73,'Im 2'!$A$2:$C$2278,2,FALSE),0)</f>
        <v>0</v>
      </c>
      <c r="R73" s="305">
        <f>IF(P73="V",VLOOKUP(N73,Vtas2!$A$2:$B$2425,2,FALSE),0)</f>
        <v>398100000</v>
      </c>
      <c r="S73" s="307"/>
      <c r="T73" s="304" t="s">
        <v>3805</v>
      </c>
      <c r="U73" s="505">
        <f>VLOOKUP(T73,'Im 3A'!$A$2:$C$2278,3,FALSE)</f>
        <v>78.400000000000006</v>
      </c>
      <c r="V73" s="304" t="str">
        <f>VLOOKUP(T73,'Im 3A'!$A$2:$D$3546,4,FALSE)</f>
        <v>V</v>
      </c>
      <c r="W73" s="305">
        <f>IF(V73="D",VLOOKUP(T73,'Im 3A'!$A$2:$C$2278,2,FALSE),0)</f>
        <v>0</v>
      </c>
      <c r="X73" s="305">
        <f>IF(V73="V",VLOOKUP(T73,Vtas3A!$A$2:$B$2425,2,FALSE),0)</f>
        <v>439290260</v>
      </c>
      <c r="Z73" s="304" t="s">
        <v>3962</v>
      </c>
      <c r="AA73" s="505">
        <f>VLOOKUP(Z73,'Im 3B'!$A$2:$C$2280,3,FALSE)</f>
        <v>76.3</v>
      </c>
      <c r="AB73" s="304" t="str">
        <f>VLOOKUP(Z73,'Im 3B'!$A$2:$D$3548,4,FALSE)</f>
        <v>V</v>
      </c>
      <c r="AC73" s="305">
        <f>IF(AB73="D",VLOOKUP(Z73,'Im 3B'!$A$2:$C$2280,2,FALSE),0)</f>
        <v>0</v>
      </c>
      <c r="AD73" s="305">
        <f>IF(AB73="V",VLOOKUP(Z73,Vtas3B!$A$2:$B$2438,2,FALSE),0)</f>
        <v>436304100</v>
      </c>
    </row>
    <row r="74" spans="2:30" x14ac:dyDescent="0.2">
      <c r="B74" s="304" t="s">
        <v>2046</v>
      </c>
      <c r="C74" s="505">
        <f>VLOOKUP(B74,'Im 1A'!$A$2:$C$1963,3,FALSE)</f>
        <v>78.349999999999994</v>
      </c>
      <c r="D74" s="304" t="str">
        <f>VLOOKUP(B74,'Im 1A'!$A$2:$D$3231,4,FALSE)</f>
        <v>V</v>
      </c>
      <c r="E74" s="305">
        <f>IF(D74="D",VLOOKUP(B74,'Im 1A'!$A$2:$C$1963,2,FALSE),0)</f>
        <v>0</v>
      </c>
      <c r="F74" s="305">
        <f>IF(D74="V",VLOOKUP(B74,Vtas1A!$A$2:$B$2357,2,FALSE),0)</f>
        <v>315676935</v>
      </c>
      <c r="G74" s="306"/>
      <c r="H74" s="304" t="s">
        <v>2201</v>
      </c>
      <c r="I74" s="505">
        <f>VLOOKUP(H74,'Im 1B'!$A$2:$C$1947,3,FALSE)</f>
        <v>75.91</v>
      </c>
      <c r="J74" s="304" t="str">
        <f>VLOOKUP(H74,'Im 1B'!$A$2:$D$3215,4,FALSE)</f>
        <v>V</v>
      </c>
      <c r="K74" s="305">
        <f>IF(J74="D",VLOOKUP(H74,'Im 1B'!$A$2:$C$1947,2,FALSE),0)</f>
        <v>0</v>
      </c>
      <c r="L74" s="305">
        <f>IF(J74="V",VLOOKUP(H74,Vtas1B!$A$2:$B$2313,2,FALSE),0)</f>
        <v>322095780</v>
      </c>
      <c r="M74" s="307"/>
      <c r="N74" s="280" t="s">
        <v>2787</v>
      </c>
      <c r="O74" s="505">
        <f>VLOOKUP(N74,'Im 2'!$A$2:$C$2278,3,FALSE)</f>
        <v>82.3</v>
      </c>
      <c r="P74" s="304" t="str">
        <f>VLOOKUP(N74,'Im 2'!$A$2:$D$3546,4,FALSE)</f>
        <v>V</v>
      </c>
      <c r="Q74" s="305">
        <f>IF(P74="D",VLOOKUP(N74,'Im 2'!$A$2:$C$2278,2,FALSE),0)</f>
        <v>0</v>
      </c>
      <c r="R74" s="305">
        <f>IF(P74="V",VLOOKUP(N74,Vtas2!$A$2:$B$2425,2,FALSE),0)</f>
        <v>556910000</v>
      </c>
      <c r="S74" s="307"/>
      <c r="T74" s="304" t="s">
        <v>3806</v>
      </c>
      <c r="U74" s="505">
        <f>VLOOKUP(T74,'Im 3A'!$A$2:$C$2278,3,FALSE)</f>
        <v>60.95</v>
      </c>
      <c r="V74" s="304" t="str">
        <f>VLOOKUP(T74,'Im 3A'!$A$2:$D$3546,4,FALSE)</f>
        <v>V</v>
      </c>
      <c r="W74" s="305">
        <f>IF(V74="D",VLOOKUP(T74,'Im 3A'!$A$2:$C$2278,2,FALSE),0)</f>
        <v>0</v>
      </c>
      <c r="X74" s="305">
        <f>IF(V74="V",VLOOKUP(T74,Vtas3A!$A$2:$B$2425,2,FALSE),0)</f>
        <v>347879800</v>
      </c>
      <c r="Z74" s="304" t="s">
        <v>3963</v>
      </c>
      <c r="AA74" s="505">
        <f>VLOOKUP(Z74,'Im 3B'!$A$2:$C$2280,3,FALSE)</f>
        <v>64</v>
      </c>
      <c r="AB74" s="304" t="str">
        <f>VLOOKUP(Z74,'Im 3B'!$A$2:$D$3548,4,FALSE)</f>
        <v>V</v>
      </c>
      <c r="AC74" s="305">
        <f>IF(AB74="D",VLOOKUP(Z74,'Im 3B'!$A$2:$C$2280,2,FALSE),0)</f>
        <v>0</v>
      </c>
      <c r="AD74" s="305">
        <f>IF(AB74="V",VLOOKUP(Z74,Vtas3B!$A$2:$B$2438,2,FALSE),0)</f>
        <v>365465400</v>
      </c>
    </row>
    <row r="75" spans="2:30" x14ac:dyDescent="0.2">
      <c r="B75" s="304" t="s">
        <v>2047</v>
      </c>
      <c r="C75" s="505">
        <f>VLOOKUP(B75,'Im 1A'!$A$2:$C$1963,3,FALSE)</f>
        <v>77.3</v>
      </c>
      <c r="D75" s="304" t="str">
        <f>VLOOKUP(B75,'Im 1A'!$A$2:$D$3231,4,FALSE)</f>
        <v>V</v>
      </c>
      <c r="E75" s="305">
        <f>IF(D75="D",VLOOKUP(B75,'Im 1A'!$A$2:$C$1963,2,FALSE),0)</f>
        <v>0</v>
      </c>
      <c r="F75" s="305">
        <f>IF(D75="V",VLOOKUP(B75,Vtas1A!$A$2:$B$2357,2,FALSE),0)</f>
        <v>321457000</v>
      </c>
      <c r="G75" s="306"/>
      <c r="H75" s="304" t="s">
        <v>2202</v>
      </c>
      <c r="I75" s="505">
        <f>VLOOKUP(H75,'Im 1B'!$A$2:$C$1947,3,FALSE)</f>
        <v>64</v>
      </c>
      <c r="J75" s="304" t="str">
        <f>VLOOKUP(H75,'Im 1B'!$A$2:$D$3215,4,FALSE)</f>
        <v>V</v>
      </c>
      <c r="K75" s="305">
        <f>IF(J75="D",VLOOKUP(H75,'Im 1B'!$A$2:$C$1947,2,FALSE),0)</f>
        <v>0</v>
      </c>
      <c r="L75" s="305">
        <f>IF(J75="V",VLOOKUP(H75,Vtas1B!$A$2:$B$2313,2,FALSE),0)</f>
        <v>268403523</v>
      </c>
      <c r="M75" s="307"/>
      <c r="N75" s="280" t="s">
        <v>2788</v>
      </c>
      <c r="O75" s="505">
        <f>VLOOKUP(N75,'Im 2'!$A$2:$C$2278,3,FALSE)</f>
        <v>80.349999999999994</v>
      </c>
      <c r="P75" s="304" t="str">
        <f>VLOOKUP(N75,'Im 2'!$A$2:$D$3546,4,FALSE)</f>
        <v>V</v>
      </c>
      <c r="Q75" s="305">
        <f>IF(P75="D",VLOOKUP(N75,'Im 2'!$A$2:$C$2278,2,FALSE),0)</f>
        <v>0</v>
      </c>
      <c r="R75" s="305">
        <f>IF(P75="V",VLOOKUP(N75,Vtas2!$A$2:$B$2425,2,FALSE),0)</f>
        <v>504117500</v>
      </c>
      <c r="S75" s="307"/>
      <c r="T75" s="304" t="s">
        <v>3807</v>
      </c>
      <c r="U75" s="505">
        <f>VLOOKUP(T75,'Im 3A'!$A$2:$C$2278,3,FALSE)</f>
        <v>71.900000000000006</v>
      </c>
      <c r="V75" s="304" t="str">
        <f>VLOOKUP(T75,'Im 3A'!$A$2:$D$3546,4,FALSE)</f>
        <v>V</v>
      </c>
      <c r="W75" s="305">
        <f>IF(V75="D",VLOOKUP(T75,'Im 3A'!$A$2:$C$2278,2,FALSE),0)</f>
        <v>0</v>
      </c>
      <c r="X75" s="305">
        <f>IF(V75="V",VLOOKUP(T75,Vtas3A!$A$2:$B$2425,2,FALSE),0)</f>
        <v>350730557</v>
      </c>
      <c r="Z75" s="304" t="s">
        <v>3964</v>
      </c>
      <c r="AA75" s="505">
        <f>VLOOKUP(Z75,'Im 3B'!$A$2:$C$2280,3,FALSE)</f>
        <v>75.5</v>
      </c>
      <c r="AB75" s="304" t="str">
        <f>VLOOKUP(Z75,'Im 3B'!$A$2:$D$3548,4,FALSE)</f>
        <v>V</v>
      </c>
      <c r="AC75" s="305">
        <f>IF(AB75="D",VLOOKUP(Z75,'Im 3B'!$A$2:$C$2280,2,FALSE),0)</f>
        <v>0</v>
      </c>
      <c r="AD75" s="305">
        <f>IF(AB75="V",VLOOKUP(Z75,Vtas3B!$A$2:$B$2438,2,FALSE),0)</f>
        <v>434085000</v>
      </c>
    </row>
    <row r="76" spans="2:30" x14ac:dyDescent="0.2">
      <c r="B76" s="304" t="s">
        <v>2048</v>
      </c>
      <c r="C76" s="505">
        <f>VLOOKUP(B76,'Im 1A'!$A$2:$C$1963,3,FALSE)</f>
        <v>60.8</v>
      </c>
      <c r="D76" s="304" t="str">
        <f>VLOOKUP(B76,'Im 1A'!$A$2:$D$3231,4,FALSE)</f>
        <v>V</v>
      </c>
      <c r="E76" s="305">
        <f>IF(D76="D",VLOOKUP(B76,'Im 1A'!$A$2:$C$1963,2,FALSE),0)</f>
        <v>0</v>
      </c>
      <c r="F76" s="305">
        <f>IF(D76="V",VLOOKUP(B76,Vtas1A!$A$2:$B$2357,2,FALSE),0)</f>
        <v>254909890</v>
      </c>
      <c r="G76" s="306"/>
      <c r="H76" s="304" t="s">
        <v>2203</v>
      </c>
      <c r="I76" s="505">
        <f>VLOOKUP(H76,'Im 1B'!$A$2:$C$1947,3,FALSE)</f>
        <v>76.13</v>
      </c>
      <c r="J76" s="304" t="str">
        <f>VLOOKUP(H76,'Im 1B'!$A$2:$D$3215,4,FALSE)</f>
        <v>V</v>
      </c>
      <c r="K76" s="305">
        <f>IF(J76="D",VLOOKUP(H76,'Im 1B'!$A$2:$C$1947,2,FALSE),0)</f>
        <v>0</v>
      </c>
      <c r="L76" s="305">
        <f>IF(J76="V",VLOOKUP(H76,Vtas1B!$A$2:$B$2313,2,FALSE),0)</f>
        <v>318288439</v>
      </c>
      <c r="M76" s="307"/>
      <c r="N76" s="280" t="s">
        <v>2789</v>
      </c>
      <c r="O76" s="505">
        <f>VLOOKUP(N76,'Im 2'!$A$2:$C$2278,3,FALSE)</f>
        <v>57.5</v>
      </c>
      <c r="P76" s="304" t="str">
        <f>VLOOKUP(N76,'Im 2'!$A$2:$D$3546,4,FALSE)</f>
        <v>V</v>
      </c>
      <c r="Q76" s="305">
        <f>IF(P76="D",VLOOKUP(N76,'Im 2'!$A$2:$C$2278,2,FALSE),0)</f>
        <v>0</v>
      </c>
      <c r="R76" s="305">
        <f>IF(P76="V",VLOOKUP(N76,Vtas2!$A$2:$B$2425,2,FALSE),0)</f>
        <v>360900000</v>
      </c>
      <c r="S76" s="307"/>
      <c r="T76" s="304" t="s">
        <v>3808</v>
      </c>
      <c r="U76" s="505">
        <f>VLOOKUP(T76,'Im 3A'!$A$2:$C$2278,3,FALSE)</f>
        <v>71.92</v>
      </c>
      <c r="V76" s="304" t="str">
        <f>VLOOKUP(T76,'Im 3A'!$A$2:$D$3546,4,FALSE)</f>
        <v>V</v>
      </c>
      <c r="W76" s="305">
        <f>IF(V76="D",VLOOKUP(T76,'Im 3A'!$A$2:$C$2278,2,FALSE),0)</f>
        <v>0</v>
      </c>
      <c r="X76" s="305">
        <f>IF(V76="V",VLOOKUP(T76,Vtas3A!$A$2:$B$2425,2,FALSE),0)</f>
        <v>335821631</v>
      </c>
      <c r="Z76" s="304" t="s">
        <v>3965</v>
      </c>
      <c r="AA76" s="505">
        <f>VLOOKUP(Z76,'Im 3B'!$A$2:$C$2280,3,FALSE)</f>
        <v>76.3</v>
      </c>
      <c r="AB76" s="304" t="str">
        <f>VLOOKUP(Z76,'Im 3B'!$A$2:$D$3548,4,FALSE)</f>
        <v>V</v>
      </c>
      <c r="AC76" s="305">
        <f>IF(AB76="D",VLOOKUP(Z76,'Im 3B'!$A$2:$C$2280,2,FALSE),0)</f>
        <v>0</v>
      </c>
      <c r="AD76" s="305">
        <f>IF(AB76="V",VLOOKUP(Z76,Vtas3B!$A$2:$B$2438,2,FALSE),0)</f>
        <v>439960656</v>
      </c>
    </row>
    <row r="77" spans="2:30" x14ac:dyDescent="0.2">
      <c r="B77" s="304" t="s">
        <v>2049</v>
      </c>
      <c r="C77" s="505">
        <f>VLOOKUP(B77,'Im 1A'!$A$2:$C$1963,3,FALSE)</f>
        <v>71.900000000000006</v>
      </c>
      <c r="D77" s="304" t="str">
        <f>VLOOKUP(B77,'Im 1A'!$A$2:$D$3231,4,FALSE)</f>
        <v>V</v>
      </c>
      <c r="E77" s="305">
        <f>IF(D77="D",VLOOKUP(B77,'Im 1A'!$A$2:$C$1963,2,FALSE),0)</f>
        <v>0</v>
      </c>
      <c r="F77" s="305">
        <f>IF(D77="V",VLOOKUP(B77,Vtas1A!$A$2:$B$2357,2,FALSE),0)</f>
        <v>290100000</v>
      </c>
      <c r="G77" s="306"/>
      <c r="H77" s="304" t="s">
        <v>2204</v>
      </c>
      <c r="I77" s="505">
        <f>VLOOKUP(H77,'Im 1B'!$A$2:$C$1947,3,FALSE)</f>
        <v>75.59</v>
      </c>
      <c r="J77" s="304" t="str">
        <f>VLOOKUP(H77,'Im 1B'!$A$2:$D$3215,4,FALSE)</f>
        <v>V</v>
      </c>
      <c r="K77" s="305">
        <f>IF(J77="D",VLOOKUP(H77,'Im 1B'!$A$2:$C$1947,2,FALSE),0)</f>
        <v>0</v>
      </c>
      <c r="L77" s="305">
        <f>IF(J77="V",VLOOKUP(H77,Vtas1B!$A$2:$B$2313,2,FALSE),0)</f>
        <v>321554400</v>
      </c>
      <c r="M77" s="307"/>
      <c r="N77" s="280" t="s">
        <v>2790</v>
      </c>
      <c r="O77" s="505">
        <f>VLOOKUP(N77,'Im 2'!$A$2:$C$2278,3,FALSE)</f>
        <v>79.260000000000005</v>
      </c>
      <c r="P77" s="304" t="str">
        <f>VLOOKUP(N77,'Im 2'!$A$2:$D$3546,4,FALSE)</f>
        <v>V</v>
      </c>
      <c r="Q77" s="305">
        <f>IF(P77="D",VLOOKUP(N77,'Im 2'!$A$2:$C$2278,2,FALSE),0)</f>
        <v>0</v>
      </c>
      <c r="R77" s="305">
        <f>IF(P77="V",VLOOKUP(N77,Vtas2!$A$2:$B$2425,2,FALSE),0)</f>
        <v>486300000</v>
      </c>
      <c r="S77" s="307"/>
      <c r="T77" s="304" t="s">
        <v>3809</v>
      </c>
      <c r="U77" s="505">
        <f>VLOOKUP(T77,'Im 3A'!$A$2:$C$2278,3,FALSE)</f>
        <v>60.91</v>
      </c>
      <c r="V77" s="304" t="str">
        <f>VLOOKUP(T77,'Im 3A'!$A$2:$D$3546,4,FALSE)</f>
        <v>V</v>
      </c>
      <c r="W77" s="305">
        <f>IF(V77="D",VLOOKUP(T77,'Im 3A'!$A$2:$C$2278,2,FALSE),0)</f>
        <v>0</v>
      </c>
      <c r="X77" s="305">
        <f>IF(V77="V",VLOOKUP(T77,Vtas3A!$A$2:$B$2425,2,FALSE),0)</f>
        <v>303192000</v>
      </c>
      <c r="Z77" s="304" t="s">
        <v>3966</v>
      </c>
      <c r="AA77" s="505">
        <f>VLOOKUP(Z77,'Im 3B'!$A$2:$C$2280,3,FALSE)</f>
        <v>64</v>
      </c>
      <c r="AB77" s="304" t="str">
        <f>VLOOKUP(Z77,'Im 3B'!$A$2:$D$3548,4,FALSE)</f>
        <v>V</v>
      </c>
      <c r="AC77" s="305">
        <f>IF(AB77="D",VLOOKUP(Z77,'Im 3B'!$A$2:$C$2280,2,FALSE),0)</f>
        <v>0</v>
      </c>
      <c r="AD77" s="305">
        <f>IF(AB77="V",VLOOKUP(Z77,Vtas3B!$A$2:$B$2438,2,FALSE),0)</f>
        <v>363503851</v>
      </c>
    </row>
    <row r="78" spans="2:30" x14ac:dyDescent="0.2">
      <c r="B78" s="304" t="s">
        <v>2050</v>
      </c>
      <c r="C78" s="505">
        <f>VLOOKUP(B78,'Im 1A'!$A$2:$C$1963,3,FALSE)</f>
        <v>71</v>
      </c>
      <c r="D78" s="304" t="str">
        <f>VLOOKUP(B78,'Im 1A'!$A$2:$D$3231,4,FALSE)</f>
        <v>V</v>
      </c>
      <c r="E78" s="305">
        <f>IF(D78="D",VLOOKUP(B78,'Im 1A'!$A$2:$C$1963,2,FALSE),0)</f>
        <v>0</v>
      </c>
      <c r="F78" s="305">
        <f>IF(D78="V",VLOOKUP(B78,Vtas1A!$A$2:$B$2357,2,FALSE),0)</f>
        <v>292905792</v>
      </c>
      <c r="G78" s="306"/>
      <c r="H78" s="304" t="s">
        <v>2205</v>
      </c>
      <c r="I78" s="505">
        <f>VLOOKUP(H78,'Im 1B'!$A$2:$C$1947,3,FALSE)</f>
        <v>75.91</v>
      </c>
      <c r="J78" s="304" t="str">
        <f>VLOOKUP(H78,'Im 1B'!$A$2:$D$3215,4,FALSE)</f>
        <v>V</v>
      </c>
      <c r="K78" s="305">
        <f>IF(J78="D",VLOOKUP(H78,'Im 1B'!$A$2:$C$1947,2,FALSE),0)</f>
        <v>0</v>
      </c>
      <c r="L78" s="305">
        <f>IF(J78="V",VLOOKUP(H78,Vtas1B!$A$2:$B$2313,2,FALSE),0)</f>
        <v>325863254</v>
      </c>
      <c r="M78" s="307"/>
      <c r="N78" s="280" t="s">
        <v>2791</v>
      </c>
      <c r="O78" s="505">
        <f>VLOOKUP(N78,'Im 2'!$A$2:$C$2278,3,FALSE)</f>
        <v>60.4</v>
      </c>
      <c r="P78" s="304" t="str">
        <f>VLOOKUP(N78,'Im 2'!$A$2:$D$3546,4,FALSE)</f>
        <v>V</v>
      </c>
      <c r="Q78" s="305">
        <f>IF(P78="D",VLOOKUP(N78,'Im 2'!$A$2:$C$2278,2,FALSE),0)</f>
        <v>0</v>
      </c>
      <c r="R78" s="305">
        <f>IF(P78="V",VLOOKUP(N78,Vtas2!$A$2:$B$2425,2,FALSE),0)</f>
        <v>409000000</v>
      </c>
      <c r="S78" s="307"/>
      <c r="T78" s="304" t="s">
        <v>3810</v>
      </c>
      <c r="U78" s="505">
        <f>VLOOKUP(T78,'Im 3A'!$A$2:$C$2278,3,FALSE)</f>
        <v>78.45</v>
      </c>
      <c r="V78" s="304" t="str">
        <f>VLOOKUP(T78,'Im 3A'!$A$2:$D$3546,4,FALSE)</f>
        <v>V</v>
      </c>
      <c r="W78" s="305">
        <f>IF(V78="D",VLOOKUP(T78,'Im 3A'!$A$2:$C$2278,2,FALSE),0)</f>
        <v>0</v>
      </c>
      <c r="X78" s="305">
        <f>IF(V78="V",VLOOKUP(T78,Vtas3A!$A$2:$B$2425,2,FALSE),0)</f>
        <v>370651866</v>
      </c>
      <c r="Z78" s="304" t="s">
        <v>3967</v>
      </c>
      <c r="AA78" s="505">
        <f>VLOOKUP(Z78,'Im 3B'!$A$2:$C$2280,3,FALSE)</f>
        <v>76.150000000000006</v>
      </c>
      <c r="AB78" s="304" t="str">
        <f>VLOOKUP(Z78,'Im 3B'!$A$2:$D$3548,4,FALSE)</f>
        <v>V</v>
      </c>
      <c r="AC78" s="305">
        <f>IF(AB78="D",VLOOKUP(Z78,'Im 3B'!$A$2:$C$2280,2,FALSE),0)</f>
        <v>0</v>
      </c>
      <c r="AD78" s="305">
        <f>IF(AB78="V",VLOOKUP(Z78,Vtas3B!$A$2:$B$2438,2,FALSE),0)</f>
        <v>440693000</v>
      </c>
    </row>
    <row r="79" spans="2:30" x14ac:dyDescent="0.2">
      <c r="B79" s="304" t="s">
        <v>2051</v>
      </c>
      <c r="C79" s="505">
        <f>VLOOKUP(B79,'Im 1A'!$A$2:$C$1963,3,FALSE)</f>
        <v>60.8</v>
      </c>
      <c r="D79" s="304" t="str">
        <f>VLOOKUP(B79,'Im 1A'!$A$2:$D$3231,4,FALSE)</f>
        <v>V</v>
      </c>
      <c r="E79" s="305">
        <f>IF(D79="D",VLOOKUP(B79,'Im 1A'!$A$2:$C$1963,2,FALSE),0)</f>
        <v>0</v>
      </c>
      <c r="F79" s="305">
        <f>IF(D79="V",VLOOKUP(B79,Vtas1A!$A$2:$B$2357,2,FALSE),0)</f>
        <v>246800000</v>
      </c>
      <c r="G79" s="306"/>
      <c r="H79" s="304" t="s">
        <v>2206</v>
      </c>
      <c r="I79" s="505">
        <f>VLOOKUP(H79,'Im 1B'!$A$2:$C$1947,3,FALSE)</f>
        <v>63.91</v>
      </c>
      <c r="J79" s="304" t="str">
        <f>VLOOKUP(H79,'Im 1B'!$A$2:$D$3215,4,FALSE)</f>
        <v>V</v>
      </c>
      <c r="K79" s="305">
        <f>IF(J79="D",VLOOKUP(H79,'Im 1B'!$A$2:$C$1947,2,FALSE),0)</f>
        <v>0</v>
      </c>
      <c r="L79" s="305">
        <f>IF(J79="V",VLOOKUP(H79,Vtas1B!$A$2:$B$2313,2,FALSE),0)</f>
        <v>270687400</v>
      </c>
      <c r="M79" s="307"/>
      <c r="N79" s="280" t="s">
        <v>2793</v>
      </c>
      <c r="O79" s="505">
        <f>VLOOKUP(N79,'Im 2'!$A$2:$C$2278,3,FALSE)</f>
        <v>80.349999999999994</v>
      </c>
      <c r="P79" s="304" t="str">
        <f>VLOOKUP(N79,'Im 2'!$A$2:$D$3546,4,FALSE)</f>
        <v>V</v>
      </c>
      <c r="Q79" s="305">
        <f>IF(P79="D",VLOOKUP(N79,'Im 2'!$A$2:$C$2278,2,FALSE),0)</f>
        <v>0</v>
      </c>
      <c r="R79" s="305">
        <f>IF(P79="V",VLOOKUP(N79,Vtas2!$A$2:$B$2425,2,FALSE),0)</f>
        <v>546979225</v>
      </c>
      <c r="S79" s="307"/>
      <c r="T79" s="304" t="s">
        <v>3811</v>
      </c>
      <c r="U79" s="505">
        <f>VLOOKUP(T79,'Im 3A'!$A$2:$C$2278,3,FALSE)</f>
        <v>78.400000000000006</v>
      </c>
      <c r="V79" s="304" t="str">
        <f>VLOOKUP(T79,'Im 3A'!$A$2:$D$3546,4,FALSE)</f>
        <v>V</v>
      </c>
      <c r="W79" s="305">
        <f>IF(V79="D",VLOOKUP(T79,'Im 3A'!$A$2:$C$2278,2,FALSE),0)</f>
        <v>0</v>
      </c>
      <c r="X79" s="305">
        <f>IF(V79="V",VLOOKUP(T79,Vtas3A!$A$2:$B$2425,2,FALSE),0)</f>
        <v>499920000</v>
      </c>
      <c r="Z79" s="304" t="s">
        <v>3968</v>
      </c>
      <c r="AA79" s="505">
        <f>VLOOKUP(Z79,'Im 3B'!$A$2:$C$2280,3,FALSE)</f>
        <v>75.5</v>
      </c>
      <c r="AB79" s="304" t="str">
        <f>VLOOKUP(Z79,'Im 3B'!$A$2:$D$3548,4,FALSE)</f>
        <v>V</v>
      </c>
      <c r="AC79" s="305">
        <f>IF(AB79="D",VLOOKUP(Z79,'Im 3B'!$A$2:$C$2280,2,FALSE),0)</f>
        <v>0</v>
      </c>
      <c r="AD79" s="305">
        <f>IF(AB79="V",VLOOKUP(Z79,Vtas3B!$A$2:$B$2438,2,FALSE),0)</f>
        <v>485150000</v>
      </c>
    </row>
    <row r="80" spans="2:30" x14ac:dyDescent="0.2">
      <c r="B80" s="304" t="s">
        <v>2052</v>
      </c>
      <c r="C80" s="505">
        <f>VLOOKUP(B80,'Im 1A'!$A$2:$C$1963,3,FALSE)</f>
        <v>77.3</v>
      </c>
      <c r="D80" s="304" t="str">
        <f>VLOOKUP(B80,'Im 1A'!$A$2:$D$3231,4,FALSE)</f>
        <v>V</v>
      </c>
      <c r="E80" s="305">
        <f>IF(D80="D",VLOOKUP(B80,'Im 1A'!$A$2:$C$1963,2,FALSE),0)</f>
        <v>0</v>
      </c>
      <c r="F80" s="305">
        <f>IF(D80="V",VLOOKUP(B80,Vtas1A!$A$2:$B$2357,2,FALSE),0)</f>
        <v>322076000</v>
      </c>
      <c r="G80" s="306"/>
      <c r="H80" s="304" t="s">
        <v>2138</v>
      </c>
      <c r="I80" s="505">
        <f>VLOOKUP(H80,'Im 1B'!$A$2:$C$1947,3,FALSE)</f>
        <v>76.150000000000006</v>
      </c>
      <c r="J80" s="304" t="str">
        <f>VLOOKUP(H80,'Im 1B'!$A$2:$D$3215,4,FALSE)</f>
        <v>V</v>
      </c>
      <c r="K80" s="305">
        <f>IF(J80="D",VLOOKUP(H80,'Im 1B'!$A$2:$C$1947,2,FALSE),0)</f>
        <v>0</v>
      </c>
      <c r="L80" s="305">
        <f>IF(J80="V",VLOOKUP(H80,Vtas1B!$A$2:$B$2313,2,FALSE),0)</f>
        <v>348449883</v>
      </c>
      <c r="M80" s="307"/>
      <c r="N80" s="280" t="s">
        <v>2794</v>
      </c>
      <c r="O80" s="505">
        <f>VLOOKUP(N80,'Im 2'!$A$2:$C$2278,3,FALSE)</f>
        <v>57.5</v>
      </c>
      <c r="P80" s="304" t="str">
        <f>VLOOKUP(N80,'Im 2'!$A$2:$D$3546,4,FALSE)</f>
        <v>V</v>
      </c>
      <c r="Q80" s="305">
        <f>IF(P80="D",VLOOKUP(N80,'Im 2'!$A$2:$C$2278,2,FALSE),0)</f>
        <v>0</v>
      </c>
      <c r="R80" s="305">
        <f>IF(P80="V",VLOOKUP(N80,Vtas2!$A$2:$B$2425,2,FALSE),0)</f>
        <v>369314608</v>
      </c>
      <c r="S80" s="307"/>
      <c r="T80" s="304" t="s">
        <v>3812</v>
      </c>
      <c r="U80" s="505">
        <f>VLOOKUP(T80,'Im 3A'!$A$2:$C$2278,3,FALSE)</f>
        <v>60.95</v>
      </c>
      <c r="V80" s="304" t="str">
        <f>VLOOKUP(T80,'Im 3A'!$A$2:$D$3546,4,FALSE)</f>
        <v>V</v>
      </c>
      <c r="W80" s="305">
        <f>IF(V80="D",VLOOKUP(T80,'Im 3A'!$A$2:$C$2278,2,FALSE),0)</f>
        <v>0</v>
      </c>
      <c r="X80" s="305">
        <f>IF(V80="V",VLOOKUP(T80,Vtas3A!$A$2:$B$2425,2,FALSE),0)</f>
        <v>387985000</v>
      </c>
      <c r="Z80" s="304" t="s">
        <v>3969</v>
      </c>
      <c r="AA80" s="505">
        <f>VLOOKUP(Z80,'Im 3B'!$A$2:$C$2280,3,FALSE)</f>
        <v>76.3</v>
      </c>
      <c r="AB80" s="304" t="str">
        <f>VLOOKUP(Z80,'Im 3B'!$A$2:$D$3548,4,FALSE)</f>
        <v>V</v>
      </c>
      <c r="AC80" s="305">
        <f>IF(AB80="D",VLOOKUP(Z80,'Im 3B'!$A$2:$C$2280,2,FALSE),0)</f>
        <v>0</v>
      </c>
      <c r="AD80" s="305">
        <f>IF(AB80="V",VLOOKUP(Z80,Vtas3B!$A$2:$B$2438,2,FALSE),0)</f>
        <v>455000795</v>
      </c>
    </row>
    <row r="81" spans="2:30" x14ac:dyDescent="0.2">
      <c r="B81" s="304" t="s">
        <v>2053</v>
      </c>
      <c r="C81" s="505">
        <f>VLOOKUP(B81,'Im 1A'!$A$2:$C$1963,3,FALSE)</f>
        <v>77.3</v>
      </c>
      <c r="D81" s="304" t="str">
        <f>VLOOKUP(B81,'Im 1A'!$A$2:$D$3231,4,FALSE)</f>
        <v>V</v>
      </c>
      <c r="E81" s="305">
        <f>IF(D81="D",VLOOKUP(B81,'Im 1A'!$A$2:$C$1963,2,FALSE),0)</f>
        <v>0</v>
      </c>
      <c r="F81" s="305">
        <f>IF(D81="V",VLOOKUP(B81,Vtas1A!$A$2:$B$2357,2,FALSE),0)</f>
        <v>314800000</v>
      </c>
      <c r="G81" s="306"/>
      <c r="H81" s="304" t="s">
        <v>2207</v>
      </c>
      <c r="I81" s="505">
        <f>VLOOKUP(H81,'Im 1B'!$A$2:$C$1947,3,FALSE)</f>
        <v>75.59</v>
      </c>
      <c r="J81" s="304" t="str">
        <f>VLOOKUP(H81,'Im 1B'!$A$2:$D$3215,4,FALSE)</f>
        <v>V</v>
      </c>
      <c r="K81" s="305">
        <f>IF(J81="D",VLOOKUP(H81,'Im 1B'!$A$2:$C$1947,2,FALSE),0)</f>
        <v>0</v>
      </c>
      <c r="L81" s="305">
        <f>IF(J81="V",VLOOKUP(H81,Vtas1B!$A$2:$B$2313,2,FALSE),0)</f>
        <v>320342600</v>
      </c>
      <c r="M81" s="307"/>
      <c r="N81" s="280" t="s">
        <v>2795</v>
      </c>
      <c r="O81" s="505">
        <f>VLOOKUP(N81,'Im 2'!$A$2:$C$2278,3,FALSE)</f>
        <v>80.05</v>
      </c>
      <c r="P81" s="304" t="str">
        <f>VLOOKUP(N81,'Im 2'!$A$2:$D$3546,4,FALSE)</f>
        <v>V</v>
      </c>
      <c r="Q81" s="305">
        <f>IF(P81="D",VLOOKUP(N81,'Im 2'!$A$2:$C$2278,2,FALSE),0)</f>
        <v>0</v>
      </c>
      <c r="R81" s="305">
        <f>IF(P81="V",VLOOKUP(N81,Vtas2!$A$2:$B$2425,2,FALSE),0)</f>
        <v>490802500</v>
      </c>
      <c r="S81" s="307"/>
      <c r="T81" s="304" t="s">
        <v>3813</v>
      </c>
      <c r="U81" s="505">
        <f>VLOOKUP(T81,'Im 3A'!$A$2:$C$2278,3,FALSE)</f>
        <v>71.900000000000006</v>
      </c>
      <c r="V81" s="304" t="str">
        <f>VLOOKUP(T81,'Im 3A'!$A$2:$D$3546,4,FALSE)</f>
        <v>V</v>
      </c>
      <c r="W81" s="305">
        <f>IF(V81="D",VLOOKUP(T81,'Im 3A'!$A$2:$C$2278,2,FALSE),0)</f>
        <v>0</v>
      </c>
      <c r="X81" s="305">
        <f>IF(V81="V",VLOOKUP(T81,Vtas3A!$A$2:$B$2425,2,FALSE),0)</f>
        <v>457163113</v>
      </c>
      <c r="Z81" s="304" t="s">
        <v>3970</v>
      </c>
      <c r="AA81" s="505">
        <f>VLOOKUP(Z81,'Im 3B'!$A$2:$C$2280,3,FALSE)</f>
        <v>64</v>
      </c>
      <c r="AB81" s="304" t="str">
        <f>VLOOKUP(Z81,'Im 3B'!$A$2:$D$3548,4,FALSE)</f>
        <v>V</v>
      </c>
      <c r="AC81" s="305">
        <f>IF(AB81="D",VLOOKUP(Z81,'Im 3B'!$A$2:$C$2280,2,FALSE),0)</f>
        <v>0</v>
      </c>
      <c r="AD81" s="305">
        <f>IF(AB81="V",VLOOKUP(Z81,Vtas3B!$A$2:$B$2438,2,FALSE),0)</f>
        <v>412700000</v>
      </c>
    </row>
    <row r="82" spans="2:30" x14ac:dyDescent="0.2">
      <c r="B82" s="304" t="s">
        <v>2054</v>
      </c>
      <c r="C82" s="505">
        <f>VLOOKUP(B82,'Im 1A'!$A$2:$C$1963,3,FALSE)</f>
        <v>60.8</v>
      </c>
      <c r="D82" s="304" t="str">
        <f>VLOOKUP(B82,'Im 1A'!$A$2:$D$3231,4,FALSE)</f>
        <v>V</v>
      </c>
      <c r="E82" s="305">
        <f>IF(D82="D",VLOOKUP(B82,'Im 1A'!$A$2:$C$1963,2,FALSE),0)</f>
        <v>0</v>
      </c>
      <c r="F82" s="305">
        <f>IF(D82="V",VLOOKUP(B82,Vtas1A!$A$2:$B$2357,2,FALSE),0)</f>
        <v>248800000</v>
      </c>
      <c r="G82" s="306"/>
      <c r="H82" s="304" t="s">
        <v>2208</v>
      </c>
      <c r="I82" s="505">
        <f>VLOOKUP(H82,'Im 1B'!$A$2:$C$1947,3,FALSE)</f>
        <v>75.91</v>
      </c>
      <c r="J82" s="304" t="str">
        <f>VLOOKUP(H82,'Im 1B'!$A$2:$D$3215,4,FALSE)</f>
        <v>V</v>
      </c>
      <c r="K82" s="305">
        <f>IF(J82="D",VLOOKUP(H82,'Im 1B'!$A$2:$C$1947,2,FALSE),0)</f>
        <v>0</v>
      </c>
      <c r="L82" s="305">
        <f>IF(J82="V",VLOOKUP(H82,Vtas1B!$A$2:$B$2313,2,FALSE),0)</f>
        <v>321667400</v>
      </c>
      <c r="M82" s="307"/>
      <c r="N82" s="280" t="s">
        <v>2796</v>
      </c>
      <c r="O82" s="505">
        <f>VLOOKUP(N82,'Im 2'!$A$2:$C$2278,3,FALSE)</f>
        <v>60.4</v>
      </c>
      <c r="P82" s="304" t="str">
        <f>VLOOKUP(N82,'Im 2'!$A$2:$D$3546,4,FALSE)</f>
        <v>V</v>
      </c>
      <c r="Q82" s="305">
        <f>IF(P82="D",VLOOKUP(N82,'Im 2'!$A$2:$C$2278,2,FALSE),0)</f>
        <v>0</v>
      </c>
      <c r="R82" s="305">
        <f>IF(P82="V",VLOOKUP(N82,Vtas2!$A$2:$B$2425,2,FALSE),0)</f>
        <v>402140000</v>
      </c>
      <c r="S82" s="307"/>
      <c r="T82" s="304" t="s">
        <v>3814</v>
      </c>
      <c r="U82" s="505">
        <f>VLOOKUP(T82,'Im 3A'!$A$2:$C$2278,3,FALSE)</f>
        <v>71.92</v>
      </c>
      <c r="V82" s="304" t="str">
        <f>VLOOKUP(T82,'Im 3A'!$A$2:$D$3546,4,FALSE)</f>
        <v>V</v>
      </c>
      <c r="W82" s="305">
        <f>IF(V82="D",VLOOKUP(T82,'Im 3A'!$A$2:$C$2278,2,FALSE),0)</f>
        <v>0</v>
      </c>
      <c r="X82" s="305">
        <f>IF(V82="V",VLOOKUP(T82,Vtas3A!$A$2:$B$2425,2,FALSE),0)</f>
        <v>340208800</v>
      </c>
      <c r="Z82" s="304" t="s">
        <v>3971</v>
      </c>
      <c r="AA82" s="505">
        <f>VLOOKUP(Z82,'Im 3B'!$A$2:$C$2280,3,FALSE)</f>
        <v>76.150000000000006</v>
      </c>
      <c r="AB82" s="304" t="str">
        <f>VLOOKUP(Z82,'Im 3B'!$A$2:$D$3548,4,FALSE)</f>
        <v>V</v>
      </c>
      <c r="AC82" s="305">
        <f>IF(AB82="D",VLOOKUP(Z82,'Im 3B'!$A$2:$C$2280,2,FALSE),0)</f>
        <v>0</v>
      </c>
      <c r="AD82" s="305">
        <f>IF(AB82="V",VLOOKUP(Z82,Vtas3B!$A$2:$B$2438,2,FALSE),0)</f>
        <v>432101000</v>
      </c>
    </row>
    <row r="83" spans="2:30" x14ac:dyDescent="0.2">
      <c r="B83" s="304" t="s">
        <v>2055</v>
      </c>
      <c r="C83" s="505">
        <f>VLOOKUP(B83,'Im 1A'!$A$2:$C$1963,3,FALSE)</f>
        <v>71.2</v>
      </c>
      <c r="D83" s="304" t="str">
        <f>VLOOKUP(B83,'Im 1A'!$A$2:$D$3231,4,FALSE)</f>
        <v>V</v>
      </c>
      <c r="E83" s="305">
        <f>IF(D83="D",VLOOKUP(B83,'Im 1A'!$A$2:$C$1963,2,FALSE),0)</f>
        <v>0</v>
      </c>
      <c r="F83" s="305">
        <f>IF(D83="V",VLOOKUP(B83,Vtas1A!$A$2:$B$2357,2,FALSE),0)</f>
        <v>290400000</v>
      </c>
      <c r="G83" s="306"/>
      <c r="H83" s="304" t="s">
        <v>2209</v>
      </c>
      <c r="I83" s="505">
        <f>VLOOKUP(H83,'Im 1B'!$A$2:$C$1947,3,FALSE)</f>
        <v>64</v>
      </c>
      <c r="J83" s="304" t="str">
        <f>VLOOKUP(H83,'Im 1B'!$A$2:$D$3215,4,FALSE)</f>
        <v>V</v>
      </c>
      <c r="K83" s="305">
        <f>IF(J83="D",VLOOKUP(H83,'Im 1B'!$A$2:$C$1947,2,FALSE),0)</f>
        <v>0</v>
      </c>
      <c r="L83" s="305">
        <f>IF(J83="V",VLOOKUP(H83,Vtas1B!$A$2:$B$2313,2,FALSE),0)</f>
        <v>249950688</v>
      </c>
      <c r="M83" s="307"/>
      <c r="N83" s="280" t="s">
        <v>2797</v>
      </c>
      <c r="O83" s="505">
        <f>VLOOKUP(N83,'Im 2'!$A$2:$C$2278,3,FALSE)</f>
        <v>82.3</v>
      </c>
      <c r="P83" s="304" t="str">
        <f>VLOOKUP(N83,'Im 2'!$A$2:$D$3546,4,FALSE)</f>
        <v>V</v>
      </c>
      <c r="Q83" s="305">
        <f>IF(P83="D",VLOOKUP(N83,'Im 2'!$A$2:$C$2278,2,FALSE),0)</f>
        <v>0</v>
      </c>
      <c r="R83" s="305">
        <f>IF(P83="V",VLOOKUP(N83,Vtas2!$A$2:$B$2425,2,FALSE),0)</f>
        <v>541450000</v>
      </c>
      <c r="S83" s="307"/>
      <c r="T83" s="304" t="s">
        <v>3815</v>
      </c>
      <c r="U83" s="505">
        <f>VLOOKUP(T83,'Im 3A'!$A$2:$C$2278,3,FALSE)</f>
        <v>60.91</v>
      </c>
      <c r="V83" s="304" t="str">
        <f>VLOOKUP(T83,'Im 3A'!$A$2:$D$3546,4,FALSE)</f>
        <v>V</v>
      </c>
      <c r="W83" s="305">
        <f>IF(V83="D",VLOOKUP(T83,'Im 3A'!$A$2:$C$2278,2,FALSE),0)</f>
        <v>0</v>
      </c>
      <c r="X83" s="305">
        <f>IF(V83="V",VLOOKUP(T83,Vtas3A!$A$2:$B$2425,2,FALSE),0)</f>
        <v>285404200</v>
      </c>
      <c r="Z83" s="304" t="s">
        <v>3972</v>
      </c>
      <c r="AA83" s="505">
        <f>VLOOKUP(Z83,'Im 3B'!$A$2:$C$2280,3,FALSE)</f>
        <v>75.5</v>
      </c>
      <c r="AB83" s="304" t="str">
        <f>VLOOKUP(Z83,'Im 3B'!$A$2:$D$3548,4,FALSE)</f>
        <v>V</v>
      </c>
      <c r="AC83" s="305">
        <f>IF(AB83="D",VLOOKUP(Z83,'Im 3B'!$A$2:$C$2280,2,FALSE),0)</f>
        <v>0</v>
      </c>
      <c r="AD83" s="305">
        <f>IF(AB83="V",VLOOKUP(Z83,Vtas3B!$A$2:$B$2438,2,FALSE),0)</f>
        <v>485650000</v>
      </c>
    </row>
    <row r="84" spans="2:30" x14ac:dyDescent="0.2">
      <c r="B84" s="304" t="s">
        <v>2056</v>
      </c>
      <c r="C84" s="505">
        <f>VLOOKUP(B84,'Im 1A'!$A$2:$C$1963,3,FALSE)</f>
        <v>71.95</v>
      </c>
      <c r="D84" s="304" t="str">
        <f>VLOOKUP(B84,'Im 1A'!$A$2:$D$3231,4,FALSE)</f>
        <v>V</v>
      </c>
      <c r="E84" s="305">
        <f>IF(D84="D",VLOOKUP(B84,'Im 1A'!$A$2:$C$1963,2,FALSE),0)</f>
        <v>0</v>
      </c>
      <c r="F84" s="305">
        <f>IF(D84="V",VLOOKUP(B84,Vtas1A!$A$2:$B$2357,2,FALSE),0)</f>
        <v>281344500</v>
      </c>
      <c r="G84" s="306"/>
      <c r="H84" s="304" t="s">
        <v>2139</v>
      </c>
      <c r="I84" s="505">
        <f>VLOOKUP(H84,'Im 1B'!$A$2:$C$1947,3,FALSE)</f>
        <v>76.150000000000006</v>
      </c>
      <c r="J84" s="304" t="str">
        <f>VLOOKUP(H84,'Im 1B'!$A$2:$D$3215,4,FALSE)</f>
        <v>V</v>
      </c>
      <c r="K84" s="305">
        <f>IF(J84="D",VLOOKUP(H84,'Im 1B'!$A$2:$C$1947,2,FALSE),0)</f>
        <v>0</v>
      </c>
      <c r="L84" s="305">
        <f>IF(J84="V",VLOOKUP(H84,Vtas1B!$A$2:$B$2313,2,FALSE),0)</f>
        <v>364414700</v>
      </c>
      <c r="M84" s="307"/>
      <c r="N84" s="280" t="s">
        <v>2846</v>
      </c>
      <c r="O84" s="505">
        <f>VLOOKUP(N84,'Im 2'!$A$2:$C$2278,3,FALSE)</f>
        <v>80.3</v>
      </c>
      <c r="P84" s="304" t="str">
        <f>VLOOKUP(N84,'Im 2'!$A$2:$D$3546,4,FALSE)</f>
        <v>V</v>
      </c>
      <c r="Q84" s="305">
        <f>IF(P84="D",VLOOKUP(N84,'Im 2'!$A$2:$C$2278,2,FALSE),0)</f>
        <v>0</v>
      </c>
      <c r="R84" s="305">
        <f>IF(P84="V",VLOOKUP(N84,Vtas2!$A$2:$B$2425,2,FALSE),0)</f>
        <v>495800000</v>
      </c>
      <c r="S84" s="307"/>
      <c r="T84" s="304" t="s">
        <v>3816</v>
      </c>
      <c r="U84" s="505">
        <f>VLOOKUP(T84,'Im 3A'!$A$2:$C$2278,3,FALSE)</f>
        <v>78.45</v>
      </c>
      <c r="V84" s="304" t="str">
        <f>VLOOKUP(T84,'Im 3A'!$A$2:$D$3546,4,FALSE)</f>
        <v>V</v>
      </c>
      <c r="W84" s="305">
        <f>IF(V84="D",VLOOKUP(T84,'Im 3A'!$A$2:$C$2278,2,FALSE),0)</f>
        <v>0</v>
      </c>
      <c r="X84" s="305">
        <f>IF(V84="V",VLOOKUP(T84,Vtas3A!$A$2:$B$2425,2,FALSE),0)</f>
        <v>360699265</v>
      </c>
      <c r="Z84" s="304" t="s">
        <v>3973</v>
      </c>
      <c r="AA84" s="505">
        <f>VLOOKUP(Z84,'Im 3B'!$A$2:$C$2280,3,FALSE)</f>
        <v>76.3</v>
      </c>
      <c r="AB84" s="304" t="str">
        <f>VLOOKUP(Z84,'Im 3B'!$A$2:$D$3548,4,FALSE)</f>
        <v>V</v>
      </c>
      <c r="AC84" s="305">
        <f>IF(AB84="D",VLOOKUP(Z84,'Im 3B'!$A$2:$C$2280,2,FALSE),0)</f>
        <v>0</v>
      </c>
      <c r="AD84" s="305">
        <f>IF(AB84="V",VLOOKUP(Z84,Vtas3B!$A$2:$B$2438,2,FALSE),0)</f>
        <v>440251000</v>
      </c>
    </row>
    <row r="85" spans="2:30" x14ac:dyDescent="0.2">
      <c r="B85" s="304" t="s">
        <v>2057</v>
      </c>
      <c r="C85" s="505">
        <f>VLOOKUP(B85,'Im 1A'!$A$2:$C$1963,3,FALSE)</f>
        <v>60.8</v>
      </c>
      <c r="D85" s="304" t="str">
        <f>VLOOKUP(B85,'Im 1A'!$A$2:$D$3231,4,FALSE)</f>
        <v>V</v>
      </c>
      <c r="E85" s="305">
        <f>IF(D85="D",VLOOKUP(B85,'Im 1A'!$A$2:$C$1963,2,FALSE),0)</f>
        <v>0</v>
      </c>
      <c r="F85" s="305">
        <f>IF(D85="V",VLOOKUP(B85,Vtas1A!$A$2:$B$2357,2,FALSE),0)</f>
        <v>246978674</v>
      </c>
      <c r="G85" s="306"/>
      <c r="H85" s="304" t="s">
        <v>2210</v>
      </c>
      <c r="I85" s="505">
        <f>VLOOKUP(H85,'Im 1B'!$A$2:$C$1947,3,FALSE)</f>
        <v>75.59</v>
      </c>
      <c r="J85" s="304" t="str">
        <f>VLOOKUP(H85,'Im 1B'!$A$2:$D$3215,4,FALSE)</f>
        <v>V</v>
      </c>
      <c r="K85" s="305">
        <f>IF(J85="D",VLOOKUP(H85,'Im 1B'!$A$2:$C$1947,2,FALSE),0)</f>
        <v>0</v>
      </c>
      <c r="L85" s="305">
        <f>IF(J85="V",VLOOKUP(H85,Vtas1B!$A$2:$B$2313,2,FALSE),0)</f>
        <v>362379214</v>
      </c>
      <c r="M85" s="307"/>
      <c r="N85" s="280" t="s">
        <v>2798</v>
      </c>
      <c r="O85" s="505">
        <f>VLOOKUP(N85,'Im 2'!$A$2:$C$2278,3,FALSE)</f>
        <v>57.5</v>
      </c>
      <c r="P85" s="304" t="str">
        <f>VLOOKUP(N85,'Im 2'!$A$2:$D$3546,4,FALSE)</f>
        <v>V</v>
      </c>
      <c r="Q85" s="305">
        <f>IF(P85="D",VLOOKUP(N85,'Im 2'!$A$2:$C$2278,2,FALSE),0)</f>
        <v>0</v>
      </c>
      <c r="R85" s="305">
        <f>IF(P85="V",VLOOKUP(N85,Vtas2!$A$2:$B$2425,2,FALSE),0)</f>
        <v>366000000</v>
      </c>
      <c r="S85" s="307"/>
      <c r="T85" s="304" t="s">
        <v>3817</v>
      </c>
      <c r="U85" s="505">
        <f>VLOOKUP(T85,'Im 3A'!$A$2:$C$2278,3,FALSE)</f>
        <v>77.900000000000006</v>
      </c>
      <c r="V85" s="304" t="str">
        <f>VLOOKUP(T85,'Im 3A'!$A$2:$D$3546,4,FALSE)</f>
        <v>V</v>
      </c>
      <c r="W85" s="305">
        <f>IF(V85="D",VLOOKUP(T85,'Im 3A'!$A$2:$C$2278,2,FALSE),0)</f>
        <v>0</v>
      </c>
      <c r="X85" s="305">
        <f>IF(V85="V",VLOOKUP(T85,Vtas3A!$A$2:$B$2425,2,FALSE),0)</f>
        <v>366398000</v>
      </c>
      <c r="Z85" s="304" t="s">
        <v>3974</v>
      </c>
      <c r="AA85" s="505">
        <f>VLOOKUP(Z85,'Im 3B'!$A$2:$C$2280,3,FALSE)</f>
        <v>64</v>
      </c>
      <c r="AB85" s="304" t="str">
        <f>VLOOKUP(Z85,'Im 3B'!$A$2:$D$3548,4,FALSE)</f>
        <v>V</v>
      </c>
      <c r="AC85" s="305">
        <f>IF(AB85="D",VLOOKUP(Z85,'Im 3B'!$A$2:$C$2280,2,FALSE),0)</f>
        <v>0</v>
      </c>
      <c r="AD85" s="305">
        <f>IF(AB85="V",VLOOKUP(Z85,Vtas3B!$A$2:$B$2438,2,FALSE),0)</f>
        <v>369680000</v>
      </c>
    </row>
    <row r="86" spans="2:30" x14ac:dyDescent="0.2">
      <c r="B86" s="304" t="s">
        <v>2058</v>
      </c>
      <c r="C86" s="505">
        <f>VLOOKUP(B86,'Im 1A'!$A$2:$C$1963,3,FALSE)</f>
        <v>78.349999999999994</v>
      </c>
      <c r="D86" s="304" t="str">
        <f>VLOOKUP(B86,'Im 1A'!$A$2:$D$3231,4,FALSE)</f>
        <v>V</v>
      </c>
      <c r="E86" s="305">
        <f>IF(D86="D",VLOOKUP(B86,'Im 1A'!$A$2:$C$1963,2,FALSE),0)</f>
        <v>0</v>
      </c>
      <c r="F86" s="305">
        <f>IF(D86="V",VLOOKUP(B86,Vtas1A!$A$2:$B$2357,2,FALSE),0)</f>
        <v>322376000</v>
      </c>
      <c r="G86" s="306"/>
      <c r="H86" s="304" t="s">
        <v>2211</v>
      </c>
      <c r="I86" s="505">
        <f>VLOOKUP(H86,'Im 1B'!$A$2:$C$1947,3,FALSE)</f>
        <v>75.91</v>
      </c>
      <c r="J86" s="304" t="str">
        <f>VLOOKUP(H86,'Im 1B'!$A$2:$D$3215,4,FALSE)</f>
        <v>V</v>
      </c>
      <c r="K86" s="305">
        <f>IF(J86="D",VLOOKUP(H86,'Im 1B'!$A$2:$C$1947,2,FALSE),0)</f>
        <v>0</v>
      </c>
      <c r="L86" s="305">
        <f>IF(J86="V",VLOOKUP(H86,Vtas1B!$A$2:$B$2313,2,FALSE),0)</f>
        <v>296084621</v>
      </c>
      <c r="M86" s="307"/>
      <c r="N86" s="280" t="s">
        <v>2847</v>
      </c>
      <c r="O86" s="505">
        <f>VLOOKUP(N86,'Im 2'!$A$2:$C$2278,3,FALSE)</f>
        <v>79.260000000000005</v>
      </c>
      <c r="P86" s="304" t="str">
        <f>VLOOKUP(N86,'Im 2'!$A$2:$D$3546,4,FALSE)</f>
        <v>V</v>
      </c>
      <c r="Q86" s="305">
        <f>IF(P86="D",VLOOKUP(N86,'Im 2'!$A$2:$C$2278,2,FALSE),0)</f>
        <v>0</v>
      </c>
      <c r="R86" s="305">
        <f>IF(P86="V",VLOOKUP(N86,Vtas2!$A$2:$B$2425,2,FALSE),0)</f>
        <v>477560000</v>
      </c>
      <c r="S86" s="307"/>
      <c r="T86" s="304" t="s">
        <v>3818</v>
      </c>
      <c r="U86" s="505">
        <f>VLOOKUP(T86,'Im 3A'!$A$2:$C$2278,3,FALSE)</f>
        <v>60.89</v>
      </c>
      <c r="V86" s="304" t="str">
        <f>VLOOKUP(T86,'Im 3A'!$A$2:$D$3546,4,FALSE)</f>
        <v>V</v>
      </c>
      <c r="W86" s="305">
        <f>IF(V86="D",VLOOKUP(T86,'Im 3A'!$A$2:$C$2278,2,FALSE),0)</f>
        <v>0</v>
      </c>
      <c r="X86" s="305">
        <f>IF(V86="V",VLOOKUP(T86,Vtas3A!$A$2:$B$2425,2,FALSE),0)</f>
        <v>283811800</v>
      </c>
      <c r="Z86" s="304" t="s">
        <v>3975</v>
      </c>
      <c r="AA86" s="505">
        <f>VLOOKUP(Z86,'Im 3B'!$A$2:$C$2280,3,FALSE)</f>
        <v>76.150000000000006</v>
      </c>
      <c r="AB86" s="304" t="str">
        <f>VLOOKUP(Z86,'Im 3B'!$A$2:$D$3548,4,FALSE)</f>
        <v>V</v>
      </c>
      <c r="AC86" s="305">
        <f>IF(AB86="D",VLOOKUP(Z86,'Im 3B'!$A$2:$C$2280,2,FALSE),0)</f>
        <v>0</v>
      </c>
      <c r="AD86" s="305">
        <f>IF(AB86="V",VLOOKUP(Z86,Vtas3B!$A$2:$B$2438,2,FALSE),0)</f>
        <v>428069145</v>
      </c>
    </row>
    <row r="87" spans="2:30" x14ac:dyDescent="0.2">
      <c r="B87" s="304" t="s">
        <v>2059</v>
      </c>
      <c r="C87" s="505">
        <f>VLOOKUP(B87,'Im 1A'!$A$2:$C$1963,3,FALSE)</f>
        <v>77.3</v>
      </c>
      <c r="D87" s="304" t="str">
        <f>VLOOKUP(B87,'Im 1A'!$A$2:$D$3231,4,FALSE)</f>
        <v>V</v>
      </c>
      <c r="E87" s="305">
        <f>IF(D87="D",VLOOKUP(B87,'Im 1A'!$A$2:$C$1963,2,FALSE),0)</f>
        <v>0</v>
      </c>
      <c r="F87" s="305">
        <f>IF(D87="V",VLOOKUP(B87,Vtas1A!$A$2:$B$2357,2,FALSE),0)</f>
        <v>322318635</v>
      </c>
      <c r="G87" s="306"/>
      <c r="H87" s="304" t="s">
        <v>2212</v>
      </c>
      <c r="I87" s="505">
        <f>VLOOKUP(H87,'Im 1B'!$A$2:$C$1947,3,FALSE)</f>
        <v>63.91</v>
      </c>
      <c r="J87" s="304" t="str">
        <f>VLOOKUP(H87,'Im 1B'!$A$2:$D$3215,4,FALSE)</f>
        <v>V</v>
      </c>
      <c r="K87" s="305">
        <f>IF(J87="D",VLOOKUP(H87,'Im 1B'!$A$2:$C$1947,2,FALSE),0)</f>
        <v>0</v>
      </c>
      <c r="L87" s="305">
        <f>IF(J87="V",VLOOKUP(H87,Vtas1B!$A$2:$B$2313,2,FALSE),0)</f>
        <v>272328870</v>
      </c>
      <c r="M87" s="307"/>
      <c r="N87" s="280" t="s">
        <v>2799</v>
      </c>
      <c r="O87" s="505">
        <f>VLOOKUP(N87,'Im 2'!$A$2:$C$2278,3,FALSE)</f>
        <v>60.4</v>
      </c>
      <c r="P87" s="304" t="str">
        <f>VLOOKUP(N87,'Im 2'!$A$2:$D$3546,4,FALSE)</f>
        <v>V</v>
      </c>
      <c r="Q87" s="305">
        <f>IF(P87="D",VLOOKUP(N87,'Im 2'!$A$2:$C$2278,2,FALSE),0)</f>
        <v>0</v>
      </c>
      <c r="R87" s="305">
        <f>IF(P87="V",VLOOKUP(N87,Vtas2!$A$2:$B$2425,2,FALSE),0)</f>
        <v>399600000</v>
      </c>
      <c r="S87" s="307"/>
      <c r="T87" s="304" t="s">
        <v>3819</v>
      </c>
      <c r="U87" s="505">
        <f>VLOOKUP(T87,'Im 3A'!$A$2:$C$2278,3,FALSE)</f>
        <v>71.95</v>
      </c>
      <c r="V87" s="304" t="str">
        <f>VLOOKUP(T87,'Im 3A'!$A$2:$D$3546,4,FALSE)</f>
        <v>V</v>
      </c>
      <c r="W87" s="305">
        <f>IF(V87="D",VLOOKUP(T87,'Im 3A'!$A$2:$C$2278,2,FALSE),0)</f>
        <v>0</v>
      </c>
      <c r="X87" s="305">
        <f>IF(V87="V",VLOOKUP(T87,Vtas3A!$A$2:$B$2425,2,FALSE),0)</f>
        <v>355812000</v>
      </c>
      <c r="Z87" s="304" t="s">
        <v>3976</v>
      </c>
      <c r="AA87" s="505">
        <f>VLOOKUP(Z87,'Im 3B'!$A$2:$C$2280,3,FALSE)</f>
        <v>76.3</v>
      </c>
      <c r="AB87" s="304" t="str">
        <f>VLOOKUP(Z87,'Im 3B'!$A$2:$D$3548,4,FALSE)</f>
        <v>V</v>
      </c>
      <c r="AC87" s="305">
        <f>IF(AB87="D",VLOOKUP(Z87,'Im 3B'!$A$2:$C$2280,2,FALSE),0)</f>
        <v>0</v>
      </c>
      <c r="AD87" s="305">
        <f>IF(AB87="V",VLOOKUP(Z87,Vtas3B!$A$2:$B$2438,2,FALSE),0)</f>
        <v>446755745</v>
      </c>
    </row>
    <row r="88" spans="2:30" x14ac:dyDescent="0.2">
      <c r="B88" s="304" t="s">
        <v>2060</v>
      </c>
      <c r="C88" s="505">
        <f>VLOOKUP(B88,'Im 1A'!$A$2:$C$1963,3,FALSE)</f>
        <v>60.8</v>
      </c>
      <c r="D88" s="304" t="str">
        <f>VLOOKUP(B88,'Im 1A'!$A$2:$D$3231,4,FALSE)</f>
        <v>V</v>
      </c>
      <c r="E88" s="305">
        <f>IF(D88="D",VLOOKUP(B88,'Im 1A'!$A$2:$C$1963,2,FALSE),0)</f>
        <v>0</v>
      </c>
      <c r="F88" s="305">
        <f>IF(D88="V",VLOOKUP(B88,Vtas1A!$A$2:$B$2357,2,FALSE),0)</f>
        <v>249100000</v>
      </c>
      <c r="G88" s="306"/>
      <c r="H88" s="304" t="s">
        <v>2140</v>
      </c>
      <c r="I88" s="505">
        <f>VLOOKUP(H88,'Im 1B'!$A$2:$C$1947,3,FALSE)</f>
        <v>76.150000000000006</v>
      </c>
      <c r="J88" s="304" t="str">
        <f>VLOOKUP(H88,'Im 1B'!$A$2:$D$3215,4,FALSE)</f>
        <v>V</v>
      </c>
      <c r="K88" s="305">
        <f>IF(J88="D",VLOOKUP(H88,'Im 1B'!$A$2:$C$1947,2,FALSE),0)</f>
        <v>0</v>
      </c>
      <c r="L88" s="305">
        <f>IF(J88="V",VLOOKUP(H88,Vtas1B!$A$2:$B$2313,2,FALSE),0)</f>
        <v>391980000</v>
      </c>
      <c r="M88" s="307"/>
      <c r="N88" s="280" t="s">
        <v>2800</v>
      </c>
      <c r="O88" s="505">
        <f>VLOOKUP(N88,'Im 2'!$A$2:$C$2278,3,FALSE)</f>
        <v>82.3</v>
      </c>
      <c r="P88" s="304" t="str">
        <f>VLOOKUP(N88,'Im 2'!$A$2:$D$3546,4,FALSE)</f>
        <v>V</v>
      </c>
      <c r="Q88" s="305">
        <f>IF(P88="D",VLOOKUP(N88,'Im 2'!$A$2:$C$2278,2,FALSE),0)</f>
        <v>0</v>
      </c>
      <c r="R88" s="305">
        <f>IF(P88="V",VLOOKUP(N88,Vtas2!$A$2:$B$2425,2,FALSE),0)</f>
        <v>541950000</v>
      </c>
      <c r="S88" s="307"/>
      <c r="T88" s="304" t="s">
        <v>3820</v>
      </c>
      <c r="U88" s="505">
        <f>VLOOKUP(T88,'Im 3A'!$A$2:$C$2278,3,FALSE)</f>
        <v>60.91</v>
      </c>
      <c r="V88" s="304" t="str">
        <f>VLOOKUP(T88,'Im 3A'!$A$2:$D$3546,4,FALSE)</f>
        <v>V</v>
      </c>
      <c r="W88" s="305">
        <f>IF(V88="D",VLOOKUP(T88,'Im 3A'!$A$2:$C$2278,2,FALSE),0)</f>
        <v>0</v>
      </c>
      <c r="X88" s="305">
        <f>IF(V88="V",VLOOKUP(T88,Vtas3A!$A$2:$B$2425,2,FALSE),0)</f>
        <v>289749485</v>
      </c>
      <c r="Z88" s="304" t="s">
        <v>3977</v>
      </c>
      <c r="AA88" s="505">
        <f>VLOOKUP(Z88,'Im 3B'!$A$2:$C$2280,3,FALSE)</f>
        <v>64</v>
      </c>
      <c r="AB88" s="304" t="str">
        <f>VLOOKUP(Z88,'Im 3B'!$A$2:$D$3548,4,FALSE)</f>
        <v>V</v>
      </c>
      <c r="AC88" s="305">
        <f>IF(AB88="D",VLOOKUP(Z88,'Im 3B'!$A$2:$C$2280,2,FALSE),0)</f>
        <v>0</v>
      </c>
      <c r="AD88" s="305">
        <f>IF(AB88="V",VLOOKUP(Z88,Vtas3B!$A$2:$B$2438,2,FALSE),0)</f>
        <v>372951128</v>
      </c>
    </row>
    <row r="89" spans="2:30" x14ac:dyDescent="0.2">
      <c r="B89" s="304" t="s">
        <v>2061</v>
      </c>
      <c r="C89" s="505">
        <f>VLOOKUP(B89,'Im 1A'!$A$2:$C$1963,3,FALSE)</f>
        <v>71.900000000000006</v>
      </c>
      <c r="D89" s="304" t="str">
        <f>VLOOKUP(B89,'Im 1A'!$A$2:$D$3231,4,FALSE)</f>
        <v>V</v>
      </c>
      <c r="E89" s="305">
        <f>IF(D89="D",VLOOKUP(B89,'Im 1A'!$A$2:$C$1963,2,FALSE),0)</f>
        <v>0</v>
      </c>
      <c r="F89" s="305">
        <f>IF(D89="V",VLOOKUP(B89,Vtas1A!$A$2:$B$2357,2,FALSE),0)</f>
        <v>340981258</v>
      </c>
      <c r="G89" s="306"/>
      <c r="H89" s="304" t="s">
        <v>2213</v>
      </c>
      <c r="I89" s="505">
        <f>VLOOKUP(H89,'Im 1B'!$A$2:$C$1947,3,FALSE)</f>
        <v>75.59</v>
      </c>
      <c r="J89" s="304" t="str">
        <f>VLOOKUP(H89,'Im 1B'!$A$2:$D$3215,4,FALSE)</f>
        <v>V</v>
      </c>
      <c r="K89" s="305">
        <f>IF(J89="D",VLOOKUP(H89,'Im 1B'!$A$2:$C$1947,2,FALSE),0)</f>
        <v>0</v>
      </c>
      <c r="L89" s="305">
        <f>IF(J89="V",VLOOKUP(H89,Vtas1B!$A$2:$B$2313,2,FALSE),0)</f>
        <v>318430800</v>
      </c>
      <c r="M89" s="307"/>
      <c r="N89" s="280" t="s">
        <v>2801</v>
      </c>
      <c r="O89" s="505">
        <f>VLOOKUP(N89,'Im 2'!$A$2:$C$2278,3,FALSE)</f>
        <v>80.349999999999994</v>
      </c>
      <c r="P89" s="304" t="str">
        <f>VLOOKUP(N89,'Im 2'!$A$2:$D$3546,4,FALSE)</f>
        <v>V</v>
      </c>
      <c r="Q89" s="305">
        <f>IF(P89="D",VLOOKUP(N89,'Im 2'!$A$2:$C$2278,2,FALSE),0)</f>
        <v>0</v>
      </c>
      <c r="R89" s="305">
        <f>IF(P89="V",VLOOKUP(N89,Vtas2!$A$2:$B$2425,2,FALSE),0)</f>
        <v>553827500</v>
      </c>
      <c r="S89" s="307"/>
      <c r="T89" s="304" t="s">
        <v>3821</v>
      </c>
      <c r="U89" s="505">
        <f>VLOOKUP(T89,'Im 3A'!$A$2:$C$2278,3,FALSE)</f>
        <v>78.45</v>
      </c>
      <c r="V89" s="304" t="str">
        <f>VLOOKUP(T89,'Im 3A'!$A$2:$D$3546,4,FALSE)</f>
        <v>V</v>
      </c>
      <c r="W89" s="305">
        <f>IF(V89="D",VLOOKUP(T89,'Im 3A'!$A$2:$C$2278,2,FALSE),0)</f>
        <v>0</v>
      </c>
      <c r="X89" s="305">
        <f>IF(V89="V",VLOOKUP(T89,Vtas3A!$A$2:$B$2425,2,FALSE),0)</f>
        <v>376196619</v>
      </c>
      <c r="Z89" s="304" t="s">
        <v>3978</v>
      </c>
      <c r="AA89" s="505">
        <f>VLOOKUP(Z89,'Im 3B'!$A$2:$C$2280,3,FALSE)</f>
        <v>76.150000000000006</v>
      </c>
      <c r="AB89" s="304" t="str">
        <f>VLOOKUP(Z89,'Im 3B'!$A$2:$D$3548,4,FALSE)</f>
        <v>V</v>
      </c>
      <c r="AC89" s="305">
        <f>IF(AB89="D",VLOOKUP(Z89,'Im 3B'!$A$2:$C$2280,2,FALSE),0)</f>
        <v>0</v>
      </c>
      <c r="AD89" s="305">
        <f>IF(AB89="V",VLOOKUP(Z89,Vtas3B!$A$2:$B$2438,2,FALSE),0)</f>
        <v>441458293</v>
      </c>
    </row>
    <row r="90" spans="2:30" x14ac:dyDescent="0.2">
      <c r="B90" s="304" t="s">
        <v>2062</v>
      </c>
      <c r="C90" s="505">
        <f>VLOOKUP(B90,'Im 1A'!$A$2:$C$1963,3,FALSE)</f>
        <v>71.95</v>
      </c>
      <c r="D90" s="304" t="str">
        <f>VLOOKUP(B90,'Im 1A'!$A$2:$D$3231,4,FALSE)</f>
        <v>V</v>
      </c>
      <c r="E90" s="305">
        <f>IF(D90="D",VLOOKUP(B90,'Im 1A'!$A$2:$C$1963,2,FALSE),0)</f>
        <v>0</v>
      </c>
      <c r="F90" s="305">
        <f>IF(D90="V",VLOOKUP(B90,Vtas1A!$A$2:$B$2357,2,FALSE),0)</f>
        <v>291292593</v>
      </c>
      <c r="G90" s="306"/>
      <c r="H90" s="304" t="s">
        <v>2214</v>
      </c>
      <c r="I90" s="505">
        <f>VLOOKUP(H90,'Im 1B'!$A$2:$C$1947,3,FALSE)</f>
        <v>76.3</v>
      </c>
      <c r="J90" s="304" t="str">
        <f>VLOOKUP(H90,'Im 1B'!$A$2:$D$3215,4,FALSE)</f>
        <v>V</v>
      </c>
      <c r="K90" s="305">
        <f>IF(J90="D",VLOOKUP(H90,'Im 1B'!$A$2:$C$1947,2,FALSE),0)</f>
        <v>0</v>
      </c>
      <c r="L90" s="305">
        <f>IF(J90="V",VLOOKUP(H90,Vtas1B!$A$2:$B$2313,2,FALSE),0)</f>
        <v>323785600</v>
      </c>
      <c r="M90" s="307"/>
      <c r="N90" s="280" t="s">
        <v>2848</v>
      </c>
      <c r="O90" s="505">
        <f>VLOOKUP(N90,'Im 2'!$A$2:$C$2278,3,FALSE)</f>
        <v>57.5</v>
      </c>
      <c r="P90" s="304" t="str">
        <f>VLOOKUP(N90,'Im 2'!$A$2:$D$3546,4,FALSE)</f>
        <v>V</v>
      </c>
      <c r="Q90" s="305">
        <f>IF(P90="D",VLOOKUP(N90,'Im 2'!$A$2:$C$2278,2,FALSE),0)</f>
        <v>0</v>
      </c>
      <c r="R90" s="305">
        <f>IF(P90="V",VLOOKUP(N90,Vtas2!$A$2:$B$2425,2,FALSE),0)</f>
        <v>361500000</v>
      </c>
      <c r="S90" s="307"/>
      <c r="T90" s="304" t="s">
        <v>3822</v>
      </c>
      <c r="U90" s="505">
        <f>VLOOKUP(T90,'Im 3A'!$A$2:$C$2278,3,FALSE)</f>
        <v>77.98</v>
      </c>
      <c r="V90" s="304" t="str">
        <f>VLOOKUP(T90,'Im 3A'!$A$2:$D$3546,4,FALSE)</f>
        <v>V</v>
      </c>
      <c r="W90" s="305">
        <f>IF(V90="D",VLOOKUP(T90,'Im 3A'!$A$2:$C$2278,2,FALSE),0)</f>
        <v>0</v>
      </c>
      <c r="X90" s="305">
        <f>IF(V90="V",VLOOKUP(T90,Vtas3A!$A$2:$B$2425,2,FALSE),0)</f>
        <v>362020962</v>
      </c>
      <c r="Z90" s="304" t="s">
        <v>3979</v>
      </c>
      <c r="AA90" s="505">
        <f>VLOOKUP(Z90,'Im 3B'!$A$2:$C$2280,3,FALSE)</f>
        <v>64</v>
      </c>
      <c r="AB90" s="304" t="str">
        <f>VLOOKUP(Z90,'Im 3B'!$A$2:$D$3548,4,FALSE)</f>
        <v>V</v>
      </c>
      <c r="AC90" s="305">
        <f>IF(AB90="D",VLOOKUP(Z90,'Im 3B'!$A$2:$C$2280,2,FALSE),0)</f>
        <v>0</v>
      </c>
      <c r="AD90" s="305">
        <f>IF(AB90="V",VLOOKUP(Z90,Vtas3B!$A$2:$B$2438,2,FALSE),0)</f>
        <v>374800860</v>
      </c>
    </row>
    <row r="91" spans="2:30" x14ac:dyDescent="0.2">
      <c r="B91" s="304" t="s">
        <v>2063</v>
      </c>
      <c r="C91" s="505">
        <f>VLOOKUP(B91,'Im 1A'!$A$2:$C$1963,3,FALSE)</f>
        <v>60.8</v>
      </c>
      <c r="D91" s="304" t="str">
        <f>VLOOKUP(B91,'Im 1A'!$A$2:$D$3231,4,FALSE)</f>
        <v>V</v>
      </c>
      <c r="E91" s="305">
        <f>IF(D91="D",VLOOKUP(B91,'Im 1A'!$A$2:$C$1963,2,FALSE),0)</f>
        <v>0</v>
      </c>
      <c r="F91" s="305">
        <f>IF(D91="V",VLOOKUP(B91,Vtas1A!$A$2:$B$2357,2,FALSE),0)</f>
        <v>249620622</v>
      </c>
      <c r="G91" s="306"/>
      <c r="H91" s="304" t="s">
        <v>2215</v>
      </c>
      <c r="I91" s="505">
        <f>VLOOKUP(H91,'Im 1B'!$A$2:$C$1947,3,FALSE)</f>
        <v>64</v>
      </c>
      <c r="J91" s="304" t="str">
        <f>VLOOKUP(H91,'Im 1B'!$A$2:$D$3215,4,FALSE)</f>
        <v>V</v>
      </c>
      <c r="K91" s="305">
        <f>IF(J91="D",VLOOKUP(H91,'Im 1B'!$A$2:$C$1947,2,FALSE),0)</f>
        <v>0</v>
      </c>
      <c r="L91" s="305">
        <f>IF(J91="V",VLOOKUP(H91,Vtas1B!$A$2:$B$2313,2,FALSE),0)</f>
        <v>272587400</v>
      </c>
      <c r="M91" s="307"/>
      <c r="N91" s="280" t="s">
        <v>2802</v>
      </c>
      <c r="O91" s="505">
        <f>VLOOKUP(N91,'Im 2'!$A$2:$C$2278,3,FALSE)</f>
        <v>80.05</v>
      </c>
      <c r="P91" s="304" t="str">
        <f>VLOOKUP(N91,'Im 2'!$A$2:$D$3546,4,FALSE)</f>
        <v>V</v>
      </c>
      <c r="Q91" s="305">
        <f>IF(P91="D",VLOOKUP(N91,'Im 2'!$A$2:$C$2278,2,FALSE),0)</f>
        <v>0</v>
      </c>
      <c r="R91" s="305">
        <f>IF(P91="V",VLOOKUP(N91,Vtas2!$A$2:$B$2425,2,FALSE),0)</f>
        <v>491800000</v>
      </c>
      <c r="S91" s="307"/>
      <c r="T91" s="304" t="s">
        <v>3823</v>
      </c>
      <c r="U91" s="505">
        <f>VLOOKUP(T91,'Im 3A'!$A$2:$C$2278,3,FALSE)</f>
        <v>60.89</v>
      </c>
      <c r="V91" s="304" t="str">
        <f>VLOOKUP(T91,'Im 3A'!$A$2:$D$3546,4,FALSE)</f>
        <v>V</v>
      </c>
      <c r="W91" s="305">
        <f>IF(V91="D",VLOOKUP(T91,'Im 3A'!$A$2:$C$2278,2,FALSE),0)</f>
        <v>0</v>
      </c>
      <c r="X91" s="305">
        <f>IF(V91="V",VLOOKUP(T91,Vtas3A!$A$2:$B$2425,2,FALSE),0)</f>
        <v>287529600</v>
      </c>
      <c r="Z91" s="304" t="s">
        <v>3980</v>
      </c>
      <c r="AA91" s="505">
        <f>VLOOKUP(Z91,'Im 3B'!$A$2:$C$2280,3,FALSE)</f>
        <v>76.150000000000006</v>
      </c>
      <c r="AB91" s="304" t="str">
        <f>VLOOKUP(Z91,'Im 3B'!$A$2:$D$3548,4,FALSE)</f>
        <v>V</v>
      </c>
      <c r="AC91" s="305">
        <f>IF(AB91="D",VLOOKUP(Z91,'Im 3B'!$A$2:$C$2280,2,FALSE),0)</f>
        <v>0</v>
      </c>
      <c r="AD91" s="305">
        <f>IF(AB91="V",VLOOKUP(Z91,Vtas3B!$A$2:$B$2438,2,FALSE),0)</f>
        <v>489245000</v>
      </c>
    </row>
    <row r="92" spans="2:30" x14ac:dyDescent="0.2">
      <c r="B92" s="304" t="s">
        <v>2064</v>
      </c>
      <c r="C92" s="505">
        <f>VLOOKUP(B92,'Im 1A'!$A$2:$C$1963,3,FALSE)</f>
        <v>78.349999999999994</v>
      </c>
      <c r="D92" s="304" t="str">
        <f>VLOOKUP(B92,'Im 1A'!$A$2:$D$3231,4,FALSE)</f>
        <v>V</v>
      </c>
      <c r="E92" s="305">
        <f>IF(D92="D",VLOOKUP(B92,'Im 1A'!$A$2:$C$1963,2,FALSE),0)</f>
        <v>0</v>
      </c>
      <c r="F92" s="305">
        <f>IF(D92="V",VLOOKUP(B92,Vtas1A!$A$2:$B$2357,2,FALSE),0)</f>
        <v>322676000</v>
      </c>
      <c r="G92" s="306"/>
      <c r="H92" s="304" t="s">
        <v>2216</v>
      </c>
      <c r="I92" s="505">
        <f>VLOOKUP(H92,'Im 1B'!$A$2:$C$1947,3,FALSE)</f>
        <v>75.5</v>
      </c>
      <c r="J92" s="304" t="str">
        <f>VLOOKUP(H92,'Im 1B'!$A$2:$D$3215,4,FALSE)</f>
        <v>V</v>
      </c>
      <c r="K92" s="305">
        <f>IF(J92="D",VLOOKUP(H92,'Im 1B'!$A$2:$C$1947,2,FALSE),0)</f>
        <v>0</v>
      </c>
      <c r="L92" s="305">
        <f>IF(J92="V",VLOOKUP(H92,Vtas1B!$A$2:$B$2313,2,FALSE),0)</f>
        <v>316982418</v>
      </c>
      <c r="M92" s="307"/>
      <c r="N92" s="280" t="s">
        <v>2803</v>
      </c>
      <c r="O92" s="505">
        <f>VLOOKUP(N92,'Im 2'!$A$2:$C$2278,3,FALSE)</f>
        <v>60.4</v>
      </c>
      <c r="P92" s="304" t="str">
        <f>VLOOKUP(N92,'Im 2'!$A$2:$D$3546,4,FALSE)</f>
        <v>V</v>
      </c>
      <c r="Q92" s="305">
        <f>IF(P92="D",VLOOKUP(N92,'Im 2'!$A$2:$C$2278,2,FALSE),0)</f>
        <v>0</v>
      </c>
      <c r="R92" s="305">
        <f>IF(P92="V",VLOOKUP(N92,Vtas2!$A$2:$B$2425,2,FALSE),0)</f>
        <v>381980000</v>
      </c>
      <c r="S92" s="307"/>
      <c r="T92" s="304" t="s">
        <v>3824</v>
      </c>
      <c r="U92" s="505">
        <f>VLOOKUP(T92,'Im 3A'!$A$2:$C$2278,3,FALSE)</f>
        <v>71.95</v>
      </c>
      <c r="V92" s="304" t="str">
        <f>VLOOKUP(T92,'Im 3A'!$A$2:$D$3546,4,FALSE)</f>
        <v>V</v>
      </c>
      <c r="W92" s="305">
        <f>IF(V92="D",VLOOKUP(T92,'Im 3A'!$A$2:$C$2278,2,FALSE),0)</f>
        <v>0</v>
      </c>
      <c r="X92" s="305">
        <f>IF(V92="V",VLOOKUP(T92,Vtas3A!$A$2:$B$2425,2,FALSE),0)</f>
        <v>460785000</v>
      </c>
      <c r="Z92" s="304" t="s">
        <v>3981</v>
      </c>
      <c r="AA92" s="505">
        <f>VLOOKUP(Z92,'Im 3B'!$A$2:$C$2280,3,FALSE)</f>
        <v>76.3</v>
      </c>
      <c r="AB92" s="304" t="str">
        <f>VLOOKUP(Z92,'Im 3B'!$A$2:$D$3548,4,FALSE)</f>
        <v>V</v>
      </c>
      <c r="AC92" s="305">
        <f>IF(AB92="D",VLOOKUP(Z92,'Im 3B'!$A$2:$C$2280,2,FALSE),0)</f>
        <v>0</v>
      </c>
      <c r="AD92" s="305">
        <f>IF(AB92="V",VLOOKUP(Z92,Vtas3B!$A$2:$B$2438,2,FALSE),0)</f>
        <v>447368176</v>
      </c>
    </row>
    <row r="93" spans="2:30" x14ac:dyDescent="0.2">
      <c r="B93" s="304" t="s">
        <v>2065</v>
      </c>
      <c r="C93" s="505">
        <f>VLOOKUP(B93,'Im 1A'!$A$2:$C$1963,3,FALSE)</f>
        <v>78.400000000000006</v>
      </c>
      <c r="D93" s="304" t="str">
        <f>VLOOKUP(B93,'Im 1A'!$A$2:$D$3231,4,FALSE)</f>
        <v>V</v>
      </c>
      <c r="E93" s="305">
        <f>IF(D93="D",VLOOKUP(B93,'Im 1A'!$A$2:$C$1963,2,FALSE),0)</f>
        <v>0</v>
      </c>
      <c r="F93" s="305">
        <f>IF(D93="V",VLOOKUP(B93,Vtas1A!$A$2:$B$2357,2,FALSE),0)</f>
        <v>306658150</v>
      </c>
      <c r="G93" s="306"/>
      <c r="H93" s="304" t="s">
        <v>2217</v>
      </c>
      <c r="I93" s="505">
        <f>VLOOKUP(H93,'Im 1B'!$A$2:$C$1947,3,FALSE)</f>
        <v>75.91</v>
      </c>
      <c r="J93" s="304" t="str">
        <f>VLOOKUP(H93,'Im 1B'!$A$2:$D$3215,4,FALSE)</f>
        <v>V</v>
      </c>
      <c r="K93" s="305">
        <f>IF(J93="D",VLOOKUP(H93,'Im 1B'!$A$2:$C$1947,2,FALSE),0)</f>
        <v>0</v>
      </c>
      <c r="L93" s="305">
        <f>IF(J93="V",VLOOKUP(H93,Vtas1B!$A$2:$B$2313,2,FALSE),0)</f>
        <v>323000000</v>
      </c>
      <c r="M93" s="307"/>
      <c r="N93" s="280" t="s">
        <v>2804</v>
      </c>
      <c r="O93" s="505">
        <f>VLOOKUP(N93,'Im 2'!$A$2:$C$2278,3,FALSE)</f>
        <v>82.3</v>
      </c>
      <c r="P93" s="304" t="str">
        <f>VLOOKUP(N93,'Im 2'!$A$2:$D$3546,4,FALSE)</f>
        <v>V</v>
      </c>
      <c r="Q93" s="305">
        <f>IF(P93="D",VLOOKUP(N93,'Im 2'!$A$2:$C$2278,2,FALSE),0)</f>
        <v>0</v>
      </c>
      <c r="R93" s="305">
        <f>IF(P93="V",VLOOKUP(N93,Vtas2!$A$2:$B$2425,2,FALSE),0)</f>
        <v>542450000</v>
      </c>
      <c r="S93" s="307"/>
      <c r="T93" s="304" t="s">
        <v>3825</v>
      </c>
      <c r="U93" s="505">
        <f>VLOOKUP(T93,'Im 3A'!$A$2:$C$2278,3,FALSE)</f>
        <v>60.91</v>
      </c>
      <c r="V93" s="304" t="str">
        <f>VLOOKUP(T93,'Im 3A'!$A$2:$D$3546,4,FALSE)</f>
        <v>V</v>
      </c>
      <c r="W93" s="305">
        <f>IF(V93="D",VLOOKUP(T93,'Im 3A'!$A$2:$C$2278,2,FALSE),0)</f>
        <v>0</v>
      </c>
      <c r="X93" s="305">
        <f>IF(V93="V",VLOOKUP(T93,Vtas3A!$A$2:$B$2425,2,FALSE),0)</f>
        <v>289717304</v>
      </c>
      <c r="Z93" s="304" t="s">
        <v>3982</v>
      </c>
      <c r="AA93" s="505">
        <f>VLOOKUP(Z93,'Im 3B'!$A$2:$C$2280,3,FALSE)</f>
        <v>64</v>
      </c>
      <c r="AB93" s="304" t="str">
        <f>VLOOKUP(Z93,'Im 3B'!$A$2:$D$3548,4,FALSE)</f>
        <v>V</v>
      </c>
      <c r="AC93" s="305">
        <f>IF(AB93="D",VLOOKUP(Z93,'Im 3B'!$A$2:$C$2280,2,FALSE),0)</f>
        <v>0</v>
      </c>
      <c r="AD93" s="305">
        <f>IF(AB93="V",VLOOKUP(Z93,Vtas3B!$A$2:$B$2438,2,FALSE),0)</f>
        <v>364079700</v>
      </c>
    </row>
    <row r="94" spans="2:30" x14ac:dyDescent="0.2">
      <c r="B94" s="304" t="s">
        <v>2066</v>
      </c>
      <c r="C94" s="505">
        <f>VLOOKUP(B94,'Im 1A'!$A$2:$C$1963,3,FALSE)</f>
        <v>60.8</v>
      </c>
      <c r="D94" s="304" t="str">
        <f>VLOOKUP(B94,'Im 1A'!$A$2:$D$3231,4,FALSE)</f>
        <v>V</v>
      </c>
      <c r="E94" s="305">
        <f>IF(D94="D",VLOOKUP(B94,'Im 1A'!$A$2:$C$1963,2,FALSE),0)</f>
        <v>0</v>
      </c>
      <c r="F94" s="305">
        <f>IF(D94="V",VLOOKUP(B94,Vtas1A!$A$2:$B$2357,2,FALSE),0)</f>
        <v>250306412</v>
      </c>
      <c r="G94" s="306"/>
      <c r="H94" s="304" t="s">
        <v>2218</v>
      </c>
      <c r="I94" s="505">
        <f>VLOOKUP(H94,'Im 1B'!$A$2:$C$1947,3,FALSE)</f>
        <v>63.91</v>
      </c>
      <c r="J94" s="304" t="str">
        <f>VLOOKUP(H94,'Im 1B'!$A$2:$D$3215,4,FALSE)</f>
        <v>V</v>
      </c>
      <c r="K94" s="305">
        <f>IF(J94="D",VLOOKUP(H94,'Im 1B'!$A$2:$C$1947,2,FALSE),0)</f>
        <v>0</v>
      </c>
      <c r="L94" s="305">
        <f>IF(J94="V",VLOOKUP(H94,Vtas1B!$A$2:$B$2313,2,FALSE),0)</f>
        <v>276153944</v>
      </c>
      <c r="M94" s="307"/>
      <c r="N94" s="280" t="s">
        <v>2805</v>
      </c>
      <c r="O94" s="505">
        <f>VLOOKUP(N94,'Im 2'!$A$2:$C$2278,3,FALSE)</f>
        <v>80.349999999999994</v>
      </c>
      <c r="P94" s="304" t="str">
        <f>VLOOKUP(N94,'Im 2'!$A$2:$D$3546,4,FALSE)</f>
        <v>V</v>
      </c>
      <c r="Q94" s="305">
        <f>IF(P94="D",VLOOKUP(N94,'Im 2'!$A$2:$C$2278,2,FALSE),0)</f>
        <v>0</v>
      </c>
      <c r="R94" s="305">
        <f>IF(P94="V",VLOOKUP(N94,Vtas2!$A$2:$B$2425,2,FALSE),0)</f>
        <v>542275000</v>
      </c>
      <c r="S94" s="307"/>
      <c r="T94" s="304" t="s">
        <v>3826</v>
      </c>
      <c r="U94" s="505">
        <f>VLOOKUP(T94,'Im 3A'!$A$2:$C$2278,3,FALSE)</f>
        <v>78.45</v>
      </c>
      <c r="V94" s="304" t="str">
        <f>VLOOKUP(T94,'Im 3A'!$A$2:$D$3546,4,FALSE)</f>
        <v>V</v>
      </c>
      <c r="W94" s="305">
        <f>IF(V94="D",VLOOKUP(T94,'Im 3A'!$A$2:$C$2278,2,FALSE),0)</f>
        <v>0</v>
      </c>
      <c r="X94" s="305">
        <f>IF(V94="V",VLOOKUP(T94,Vtas3A!$A$2:$B$2425,2,FALSE),0)</f>
        <v>375137500</v>
      </c>
      <c r="Z94" s="304" t="s">
        <v>3983</v>
      </c>
      <c r="AA94" s="505">
        <f>VLOOKUP(Z94,'Im 3B'!$A$2:$C$2280,3,FALSE)</f>
        <v>76.150000000000006</v>
      </c>
      <c r="AB94" s="304" t="str">
        <f>VLOOKUP(Z94,'Im 3B'!$A$2:$D$3548,4,FALSE)</f>
        <v>V</v>
      </c>
      <c r="AC94" s="305">
        <f>IF(AB94="D",VLOOKUP(Z94,'Im 3B'!$A$2:$C$2280,2,FALSE),0)</f>
        <v>0</v>
      </c>
      <c r="AD94" s="305">
        <f>IF(AB94="V",VLOOKUP(Z94,Vtas3B!$A$2:$B$2438,2,FALSE),0)</f>
        <v>430601000</v>
      </c>
    </row>
    <row r="95" spans="2:30" x14ac:dyDescent="0.2">
      <c r="B95" s="304" t="s">
        <v>2067</v>
      </c>
      <c r="C95" s="505">
        <f>VLOOKUP(B95,'Im 1A'!$A$2:$C$1963,3,FALSE)</f>
        <v>71.900000000000006</v>
      </c>
      <c r="D95" s="304" t="str">
        <f>VLOOKUP(B95,'Im 1A'!$A$2:$D$3231,4,FALSE)</f>
        <v>V</v>
      </c>
      <c r="E95" s="305">
        <f>IF(D95="D",VLOOKUP(B95,'Im 1A'!$A$2:$C$1963,2,FALSE),0)</f>
        <v>0</v>
      </c>
      <c r="F95" s="305">
        <f>IF(D95="V",VLOOKUP(B95,Vtas1A!$A$2:$B$2357,2,FALSE),0)</f>
        <v>284781315</v>
      </c>
      <c r="G95" s="306"/>
      <c r="H95" s="304" t="s">
        <v>2142</v>
      </c>
      <c r="I95" s="505">
        <f>VLOOKUP(H95,'Im 1B'!$A$2:$C$1947,3,FALSE)</f>
        <v>76.13</v>
      </c>
      <c r="J95" s="304" t="str">
        <f>VLOOKUP(H95,'Im 1B'!$A$2:$D$3215,4,FALSE)</f>
        <v>V</v>
      </c>
      <c r="K95" s="305">
        <f>IF(J95="D",VLOOKUP(H95,'Im 1B'!$A$2:$C$1947,2,FALSE),0)</f>
        <v>0</v>
      </c>
      <c r="L95" s="305">
        <f>IF(J95="V",VLOOKUP(H95,Vtas1B!$A$2:$B$2313,2,FALSE),0)</f>
        <v>354985931</v>
      </c>
      <c r="M95" s="307"/>
      <c r="N95" s="280" t="s">
        <v>2849</v>
      </c>
      <c r="O95" s="505">
        <f>VLOOKUP(N95,'Im 2'!$A$2:$C$2278,3,FALSE)</f>
        <v>57.5</v>
      </c>
      <c r="P95" s="304" t="str">
        <f>VLOOKUP(N95,'Im 2'!$A$2:$D$3546,4,FALSE)</f>
        <v>V</v>
      </c>
      <c r="Q95" s="305">
        <f>IF(P95="D",VLOOKUP(N95,'Im 2'!$A$2:$C$2278,2,FALSE),0)</f>
        <v>0</v>
      </c>
      <c r="R95" s="305">
        <f>IF(P95="V",VLOOKUP(N95,Vtas2!$A$2:$B$2425,2,FALSE),0)</f>
        <v>366212269</v>
      </c>
      <c r="S95" s="307"/>
      <c r="T95" s="304" t="s">
        <v>3827</v>
      </c>
      <c r="U95" s="505">
        <f>VLOOKUP(T95,'Im 3A'!$A$2:$C$2278,3,FALSE)</f>
        <v>78.400000000000006</v>
      </c>
      <c r="V95" s="304" t="str">
        <f>VLOOKUP(T95,'Im 3A'!$A$2:$D$3546,4,FALSE)</f>
        <v>V</v>
      </c>
      <c r="W95" s="305">
        <f>IF(V95="D",VLOOKUP(T95,'Im 3A'!$A$2:$C$2278,2,FALSE),0)</f>
        <v>0</v>
      </c>
      <c r="X95" s="305">
        <f>IF(V95="V",VLOOKUP(T95,Vtas3A!$A$2:$B$2425,2,FALSE),0)</f>
        <v>449640048</v>
      </c>
      <c r="Z95" s="304" t="s">
        <v>3917</v>
      </c>
      <c r="AA95" s="505">
        <f>VLOOKUP(Z95,'Im 3B'!$A$2:$C$2280,3,FALSE)</f>
        <v>75.5</v>
      </c>
      <c r="AB95" s="304" t="str">
        <f>VLOOKUP(Z95,'Im 3B'!$A$2:$D$3548,4,FALSE)</f>
        <v>V</v>
      </c>
      <c r="AC95" s="305">
        <f>IF(AB95="D",VLOOKUP(Z95,'Im 3B'!$A$2:$C$2280,2,FALSE),0)</f>
        <v>0</v>
      </c>
      <c r="AD95" s="305">
        <f>IF(AB95="V",VLOOKUP(Z95,Vtas3B!$A$2:$B$2438,2,FALSE),0)</f>
        <v>502978496</v>
      </c>
    </row>
    <row r="96" spans="2:30" x14ac:dyDescent="0.2">
      <c r="B96" s="304" t="s">
        <v>2068</v>
      </c>
      <c r="C96" s="505">
        <f>VLOOKUP(B96,'Im 1A'!$A$2:$C$1963,3,FALSE)</f>
        <v>71.95</v>
      </c>
      <c r="D96" s="304" t="str">
        <f>VLOOKUP(B96,'Im 1A'!$A$2:$D$3231,4,FALSE)</f>
        <v>V</v>
      </c>
      <c r="E96" s="305">
        <f>IF(D96="D",VLOOKUP(B96,'Im 1A'!$A$2:$C$1963,2,FALSE),0)</f>
        <v>0</v>
      </c>
      <c r="F96" s="305">
        <f>IF(D96="V",VLOOKUP(B96,Vtas1A!$A$2:$B$2357,2,FALSE),0)</f>
        <v>366640000</v>
      </c>
      <c r="G96" s="306"/>
      <c r="H96" s="304" t="s">
        <v>2219</v>
      </c>
      <c r="I96" s="505">
        <f>VLOOKUP(H96,'Im 1B'!$A$2:$C$1947,3,FALSE)</f>
        <v>75.59</v>
      </c>
      <c r="J96" s="304" t="str">
        <f>VLOOKUP(H96,'Im 1B'!$A$2:$D$3215,4,FALSE)</f>
        <v>V</v>
      </c>
      <c r="K96" s="305">
        <f>IF(J96="D",VLOOKUP(H96,'Im 1B'!$A$2:$C$1947,2,FALSE),0)</f>
        <v>0</v>
      </c>
      <c r="L96" s="305">
        <f>IF(J96="V",VLOOKUP(H96,Vtas1B!$A$2:$B$2313,2,FALSE),0)</f>
        <v>319005115</v>
      </c>
      <c r="M96" s="307"/>
      <c r="N96" s="280" t="s">
        <v>2806</v>
      </c>
      <c r="O96" s="505">
        <f>VLOOKUP(N96,'Im 2'!$A$2:$C$2278,3,FALSE)</f>
        <v>80.05</v>
      </c>
      <c r="P96" s="304" t="str">
        <f>VLOOKUP(N96,'Im 2'!$A$2:$D$3546,4,FALSE)</f>
        <v>V</v>
      </c>
      <c r="Q96" s="305">
        <f>IF(P96="D",VLOOKUP(N96,'Im 2'!$A$2:$C$2278,2,FALSE),0)</f>
        <v>0</v>
      </c>
      <c r="R96" s="305">
        <f>IF(P96="V",VLOOKUP(N96,Vtas2!$A$2:$B$2425,2,FALSE),0)</f>
        <v>528325000</v>
      </c>
      <c r="S96" s="307"/>
      <c r="T96" s="304" t="s">
        <v>3828</v>
      </c>
      <c r="U96" s="505">
        <f>VLOOKUP(T96,'Im 3A'!$A$2:$C$2278,3,FALSE)</f>
        <v>60.89</v>
      </c>
      <c r="V96" s="304" t="str">
        <f>VLOOKUP(T96,'Im 3A'!$A$2:$D$3546,4,FALSE)</f>
        <v>V</v>
      </c>
      <c r="W96" s="305">
        <f>IF(V96="D",VLOOKUP(T96,'Im 3A'!$A$2:$C$2278,2,FALSE),0)</f>
        <v>0</v>
      </c>
      <c r="X96" s="305">
        <f>IF(V96="V",VLOOKUP(T96,Vtas3A!$A$2:$B$2425,2,FALSE),0)</f>
        <v>287353620</v>
      </c>
      <c r="Z96" s="304" t="s">
        <v>3984</v>
      </c>
      <c r="AA96" s="505">
        <f>VLOOKUP(Z96,'Im 3B'!$A$2:$C$2280,3,FALSE)</f>
        <v>76.3</v>
      </c>
      <c r="AB96" s="304" t="str">
        <f>VLOOKUP(Z96,'Im 3B'!$A$2:$D$3548,4,FALSE)</f>
        <v>V</v>
      </c>
      <c r="AC96" s="305">
        <f>IF(AB96="D",VLOOKUP(Z96,'Im 3B'!$A$2:$C$2280,2,FALSE),0)</f>
        <v>0</v>
      </c>
      <c r="AD96" s="305">
        <f>IF(AB96="V",VLOOKUP(Z96,Vtas3B!$A$2:$B$2438,2,FALSE),0)</f>
        <v>434962000</v>
      </c>
    </row>
    <row r="97" spans="2:30" x14ac:dyDescent="0.2">
      <c r="B97" s="304" t="s">
        <v>2069</v>
      </c>
      <c r="C97" s="505">
        <f>VLOOKUP(B97,'Im 1A'!$A$2:$C$1963,3,FALSE)</f>
        <v>60.9</v>
      </c>
      <c r="D97" s="304" t="str">
        <f>VLOOKUP(B97,'Im 1A'!$A$2:$D$3231,4,FALSE)</f>
        <v>V</v>
      </c>
      <c r="E97" s="305">
        <f>IF(D97="D",VLOOKUP(B97,'Im 1A'!$A$2:$C$1963,2,FALSE),0)</f>
        <v>0</v>
      </c>
      <c r="F97" s="305">
        <f>IF(D97="V",VLOOKUP(B97,Vtas1A!$A$2:$B$2357,2,FALSE),0)</f>
        <v>245960910</v>
      </c>
      <c r="G97" s="306"/>
      <c r="H97" s="304" t="s">
        <v>2220</v>
      </c>
      <c r="I97" s="505">
        <f>VLOOKUP(H97,'Im 1B'!$A$2:$C$1947,3,FALSE)</f>
        <v>75.91</v>
      </c>
      <c r="J97" s="304" t="str">
        <f>VLOOKUP(H97,'Im 1B'!$A$2:$D$3215,4,FALSE)</f>
        <v>V</v>
      </c>
      <c r="K97" s="305">
        <f>IF(J97="D",VLOOKUP(H97,'Im 1B'!$A$2:$C$1947,2,FALSE),0)</f>
        <v>0</v>
      </c>
      <c r="L97" s="305">
        <f>IF(J97="V",VLOOKUP(H97,Vtas1B!$A$2:$B$2313,2,FALSE),0)</f>
        <v>324385600</v>
      </c>
      <c r="M97" s="307"/>
      <c r="N97" s="280" t="s">
        <v>2807</v>
      </c>
      <c r="O97" s="505">
        <f>VLOOKUP(N97,'Im 2'!$A$2:$C$2278,3,FALSE)</f>
        <v>60.4</v>
      </c>
      <c r="P97" s="304" t="str">
        <f>VLOOKUP(N97,'Im 2'!$A$2:$D$3546,4,FALSE)</f>
        <v>V</v>
      </c>
      <c r="Q97" s="305">
        <f>IF(P97="D",VLOOKUP(N97,'Im 2'!$A$2:$C$2278,2,FALSE),0)</f>
        <v>0</v>
      </c>
      <c r="R97" s="305">
        <f>IF(P97="V",VLOOKUP(N97,Vtas2!$A$2:$B$2425,2,FALSE),0)</f>
        <v>360227000</v>
      </c>
      <c r="S97" s="307"/>
      <c r="T97" s="304" t="s">
        <v>3829</v>
      </c>
      <c r="U97" s="505">
        <f>VLOOKUP(T97,'Im 3A'!$A$2:$C$2278,3,FALSE)</f>
        <v>71.78</v>
      </c>
      <c r="V97" s="304" t="str">
        <f>VLOOKUP(T97,'Im 3A'!$A$2:$D$3546,4,FALSE)</f>
        <v>V</v>
      </c>
      <c r="W97" s="305">
        <f>IF(V97="D",VLOOKUP(T97,'Im 3A'!$A$2:$C$2278,2,FALSE),0)</f>
        <v>0</v>
      </c>
      <c r="X97" s="305">
        <f>IF(V97="V",VLOOKUP(T97,Vtas3A!$A$2:$B$2425,2,FALSE),0)</f>
        <v>338559200</v>
      </c>
      <c r="Z97" s="304" t="s">
        <v>3985</v>
      </c>
      <c r="AA97" s="505">
        <f>VLOOKUP(Z97,'Im 3B'!$A$2:$C$2280,3,FALSE)</f>
        <v>64</v>
      </c>
      <c r="AB97" s="304" t="str">
        <f>VLOOKUP(Z97,'Im 3B'!$A$2:$D$3548,4,FALSE)</f>
        <v>V</v>
      </c>
      <c r="AC97" s="305">
        <f>IF(AB97="D",VLOOKUP(Z97,'Im 3B'!$A$2:$C$2280,2,FALSE),0)</f>
        <v>0</v>
      </c>
      <c r="AD97" s="305">
        <f>IF(AB97="V",VLOOKUP(Z97,Vtas3B!$A$2:$B$2438,2,FALSE),0)</f>
        <v>367663200</v>
      </c>
    </row>
    <row r="98" spans="2:30" x14ac:dyDescent="0.2">
      <c r="B98" s="304" t="s">
        <v>2070</v>
      </c>
      <c r="C98" s="505">
        <f>VLOOKUP(B98,'Im 1A'!$A$2:$C$1963,3,FALSE)</f>
        <v>77.3</v>
      </c>
      <c r="D98" s="304" t="str">
        <f>VLOOKUP(B98,'Im 1A'!$A$2:$D$3231,4,FALSE)</f>
        <v>V</v>
      </c>
      <c r="E98" s="305">
        <f>IF(D98="D",VLOOKUP(B98,'Im 1A'!$A$2:$C$1963,2,FALSE),0)</f>
        <v>0</v>
      </c>
      <c r="F98" s="305">
        <f>IF(D98="V",VLOOKUP(B98,Vtas1A!$A$2:$B$2357,2,FALSE),0)</f>
        <v>311080400</v>
      </c>
      <c r="G98" s="306"/>
      <c r="H98" s="304" t="s">
        <v>2221</v>
      </c>
      <c r="I98" s="505">
        <f>VLOOKUP(H98,'Im 1B'!$A$2:$C$1947,3,FALSE)</f>
        <v>63.91</v>
      </c>
      <c r="J98" s="304" t="str">
        <f>VLOOKUP(H98,'Im 1B'!$A$2:$D$3215,4,FALSE)</f>
        <v>V</v>
      </c>
      <c r="K98" s="305">
        <f>IF(J98="D",VLOOKUP(H98,'Im 1B'!$A$2:$C$1947,2,FALSE),0)</f>
        <v>0</v>
      </c>
      <c r="L98" s="305">
        <f>IF(J98="V",VLOOKUP(H98,Vtas1B!$A$2:$B$2313,2,FALSE),0)</f>
        <v>275562856</v>
      </c>
      <c r="M98" s="307"/>
      <c r="N98" s="280" t="s">
        <v>2808</v>
      </c>
      <c r="O98" s="505">
        <f>VLOOKUP(N98,'Im 2'!$A$2:$C$2278,3,FALSE)</f>
        <v>82.3</v>
      </c>
      <c r="P98" s="304" t="str">
        <f>VLOOKUP(N98,'Im 2'!$A$2:$D$3546,4,FALSE)</f>
        <v>V</v>
      </c>
      <c r="Q98" s="305">
        <f>IF(P98="D",VLOOKUP(N98,'Im 2'!$A$2:$C$2278,2,FALSE),0)</f>
        <v>0</v>
      </c>
      <c r="R98" s="305">
        <f>IF(P98="V",VLOOKUP(N98,Vtas2!$A$2:$B$2425,2,FALSE),0)</f>
        <v>493497500</v>
      </c>
      <c r="S98" s="307"/>
      <c r="T98" s="304" t="s">
        <v>3830</v>
      </c>
      <c r="U98" s="505">
        <f>VLOOKUP(T98,'Im 3A'!$A$2:$C$2278,3,FALSE)</f>
        <v>71.95</v>
      </c>
      <c r="V98" s="304" t="str">
        <f>VLOOKUP(T98,'Im 3A'!$A$2:$D$3546,4,FALSE)</f>
        <v>V</v>
      </c>
      <c r="W98" s="305">
        <f>IF(V98="D",VLOOKUP(T98,'Im 3A'!$A$2:$C$2278,2,FALSE),0)</f>
        <v>0</v>
      </c>
      <c r="X98" s="305">
        <f>IF(V98="V",VLOOKUP(T98,Vtas3A!$A$2:$B$2425,2,FALSE),0)</f>
        <v>461285000</v>
      </c>
      <c r="Z98" s="304" t="s">
        <v>3986</v>
      </c>
      <c r="AA98" s="505">
        <f>VLOOKUP(Z98,'Im 3B'!$A$2:$C$2280,3,FALSE)</f>
        <v>76.150000000000006</v>
      </c>
      <c r="AB98" s="304" t="str">
        <f>VLOOKUP(Z98,'Im 3B'!$A$2:$D$3548,4,FALSE)</f>
        <v>V</v>
      </c>
      <c r="AC98" s="305">
        <f>IF(AB98="D",VLOOKUP(Z98,'Im 3B'!$A$2:$C$2280,2,FALSE),0)</f>
        <v>0</v>
      </c>
      <c r="AD98" s="305">
        <f>IF(AB98="V",VLOOKUP(Z98,Vtas3B!$A$2:$B$2438,2,FALSE),0)</f>
        <v>431101000</v>
      </c>
    </row>
    <row r="99" spans="2:30" x14ac:dyDescent="0.2">
      <c r="B99" s="304" t="s">
        <v>2071</v>
      </c>
      <c r="C99" s="505">
        <f>VLOOKUP(B99,'Im 1A'!$A$2:$C$1963,3,FALSE)</f>
        <v>78.400000000000006</v>
      </c>
      <c r="D99" s="304" t="str">
        <f>VLOOKUP(B99,'Im 1A'!$A$2:$D$3231,4,FALSE)</f>
        <v>V</v>
      </c>
      <c r="E99" s="305">
        <f>IF(D99="D",VLOOKUP(B99,'Im 1A'!$A$2:$C$1963,2,FALSE),0)</f>
        <v>0</v>
      </c>
      <c r="F99" s="305">
        <f>IF(D99="V",VLOOKUP(B99,Vtas1A!$A$2:$B$2357,2,FALSE),0)</f>
        <v>322540790</v>
      </c>
      <c r="G99" s="306"/>
      <c r="H99" s="304" t="s">
        <v>2143</v>
      </c>
      <c r="I99" s="505">
        <f>VLOOKUP(H99,'Im 1B'!$A$2:$C$1947,3,FALSE)</f>
        <v>76.150000000000006</v>
      </c>
      <c r="J99" s="304" t="str">
        <f>VLOOKUP(H99,'Im 1B'!$A$2:$D$3215,4,FALSE)</f>
        <v>V</v>
      </c>
      <c r="K99" s="305">
        <f>IF(J99="D",VLOOKUP(H99,'Im 1B'!$A$2:$C$1947,2,FALSE),0)</f>
        <v>0</v>
      </c>
      <c r="L99" s="305">
        <f>IF(J99="V",VLOOKUP(H99,Vtas1B!$A$2:$B$2313,2,FALSE),0)</f>
        <v>369704500</v>
      </c>
      <c r="M99" s="307"/>
      <c r="N99" s="280" t="s">
        <v>2809</v>
      </c>
      <c r="O99" s="505">
        <f>VLOOKUP(N99,'Im 2'!$A$2:$C$2278,3,FALSE)</f>
        <v>80.349999999999994</v>
      </c>
      <c r="P99" s="304" t="str">
        <f>VLOOKUP(N99,'Im 2'!$A$2:$D$3546,4,FALSE)</f>
        <v>V</v>
      </c>
      <c r="Q99" s="305">
        <f>IF(P99="D",VLOOKUP(N99,'Im 2'!$A$2:$C$2278,2,FALSE),0)</f>
        <v>0</v>
      </c>
      <c r="R99" s="305">
        <f>IF(P99="V",VLOOKUP(N99,Vtas2!$A$2:$B$2425,2,FALSE),0)</f>
        <v>503617500</v>
      </c>
      <c r="S99" s="307"/>
      <c r="T99" s="304" t="s">
        <v>3831</v>
      </c>
      <c r="U99" s="505">
        <f>VLOOKUP(T99,'Im 3A'!$A$2:$C$2278,3,FALSE)</f>
        <v>60.91</v>
      </c>
      <c r="V99" s="304" t="str">
        <f>VLOOKUP(T99,'Im 3A'!$A$2:$D$3546,4,FALSE)</f>
        <v>V</v>
      </c>
      <c r="W99" s="305">
        <f>IF(V99="D",VLOOKUP(T99,'Im 3A'!$A$2:$C$2278,2,FALSE),0)</f>
        <v>0</v>
      </c>
      <c r="X99" s="305">
        <f>IF(V99="V",VLOOKUP(T99,Vtas3A!$A$2:$B$2425,2,FALSE),0)</f>
        <v>286686000</v>
      </c>
      <c r="Z99" s="304" t="s">
        <v>3987</v>
      </c>
      <c r="AA99" s="505">
        <f>VLOOKUP(Z99,'Im 3B'!$A$2:$C$2280,3,FALSE)</f>
        <v>75.5</v>
      </c>
      <c r="AB99" s="304" t="str">
        <f>VLOOKUP(Z99,'Im 3B'!$A$2:$D$3548,4,FALSE)</f>
        <v>V</v>
      </c>
      <c r="AC99" s="305">
        <f>IF(AB99="D",VLOOKUP(Z99,'Im 3B'!$A$2:$C$2280,2,FALSE),0)</f>
        <v>0</v>
      </c>
      <c r="AD99" s="305">
        <f>IF(AB99="V",VLOOKUP(Z99,Vtas3B!$A$2:$B$2438,2,FALSE),0)</f>
        <v>488150000</v>
      </c>
    </row>
    <row r="100" spans="2:30" x14ac:dyDescent="0.2">
      <c r="B100" s="304" t="s">
        <v>2072</v>
      </c>
      <c r="C100" s="505">
        <f>VLOOKUP(B100,'Im 1A'!$A$2:$C$1963,3,FALSE)</f>
        <v>60.8</v>
      </c>
      <c r="D100" s="304" t="str">
        <f>VLOOKUP(B100,'Im 1A'!$A$2:$D$3231,4,FALSE)</f>
        <v>V</v>
      </c>
      <c r="E100" s="305">
        <f>IF(D100="D",VLOOKUP(B100,'Im 1A'!$A$2:$C$1963,2,FALSE),0)</f>
        <v>0</v>
      </c>
      <c r="F100" s="305">
        <f>IF(D100="V",VLOOKUP(B100,Vtas1A!$A$2:$B$2357,2,FALSE),0)</f>
        <v>251524000</v>
      </c>
      <c r="G100" s="306"/>
      <c r="H100" s="304" t="s">
        <v>2222</v>
      </c>
      <c r="I100" s="505">
        <f>VLOOKUP(H100,'Im 1B'!$A$2:$C$1947,3,FALSE)</f>
        <v>60.9</v>
      </c>
      <c r="J100" s="304" t="str">
        <f>VLOOKUP(H100,'Im 1B'!$A$2:$D$3215,4,FALSE)</f>
        <v>V</v>
      </c>
      <c r="K100" s="305">
        <f>IF(J100="D",VLOOKUP(H100,'Im 1B'!$A$2:$C$1947,2,FALSE),0)</f>
        <v>0</v>
      </c>
      <c r="L100" s="305">
        <f>IF(J100="V",VLOOKUP(H100,Vtas1B!$A$2:$B$2313,2,FALSE),0)</f>
        <v>298341427</v>
      </c>
      <c r="M100" s="307"/>
      <c r="N100" s="280" t="s">
        <v>2810</v>
      </c>
      <c r="O100" s="505">
        <f>VLOOKUP(N100,'Im 2'!$A$2:$C$2278,3,FALSE)</f>
        <v>57.65</v>
      </c>
      <c r="P100" s="304" t="str">
        <f>VLOOKUP(N100,'Im 2'!$A$2:$D$3546,4,FALSE)</f>
        <v>V</v>
      </c>
      <c r="Q100" s="305">
        <f>IF(P100="D",VLOOKUP(N100,'Im 2'!$A$2:$C$2278,2,FALSE),0)</f>
        <v>0</v>
      </c>
      <c r="R100" s="305">
        <f>IF(P100="V",VLOOKUP(N100,Vtas2!$A$2:$B$2425,2,FALSE),0)</f>
        <v>397225000</v>
      </c>
      <c r="S100" s="307"/>
      <c r="T100" s="304" t="s">
        <v>3832</v>
      </c>
      <c r="U100" s="505">
        <f>VLOOKUP(T100,'Im 3A'!$A$2:$C$2278,3,FALSE)</f>
        <v>78.45</v>
      </c>
      <c r="V100" s="304" t="str">
        <f>VLOOKUP(T100,'Im 3A'!$A$2:$D$3546,4,FALSE)</f>
        <v>V</v>
      </c>
      <c r="W100" s="305">
        <f>IF(V100="D",VLOOKUP(T100,'Im 3A'!$A$2:$C$2278,2,FALSE),0)</f>
        <v>0</v>
      </c>
      <c r="X100" s="305">
        <f>IF(V100="V",VLOOKUP(T100,Vtas3A!$A$2:$B$2425,2,FALSE),0)</f>
        <v>375715000</v>
      </c>
      <c r="Z100" s="304" t="s">
        <v>3988</v>
      </c>
      <c r="AA100" s="505">
        <f>VLOOKUP(Z100,'Im 3B'!$A$2:$C$2280,3,FALSE)</f>
        <v>64</v>
      </c>
      <c r="AB100" s="304" t="str">
        <f>VLOOKUP(Z100,'Im 3B'!$A$2:$D$3548,4,FALSE)</f>
        <v>V</v>
      </c>
      <c r="AC100" s="305">
        <f>IF(AB100="D",VLOOKUP(Z100,'Im 3B'!$A$2:$C$2280,2,FALSE),0)</f>
        <v>0</v>
      </c>
      <c r="AD100" s="305">
        <f>IF(AB100="V",VLOOKUP(Z100,Vtas3B!$A$2:$B$2438,2,FALSE),0)</f>
        <v>381780000</v>
      </c>
    </row>
    <row r="101" spans="2:30" x14ac:dyDescent="0.2">
      <c r="B101" s="304" t="s">
        <v>2073</v>
      </c>
      <c r="C101" s="505">
        <f>VLOOKUP(B101,'Im 1A'!$A$2:$C$1963,3,FALSE)</f>
        <v>71.2</v>
      </c>
      <c r="D101" s="304" t="str">
        <f>VLOOKUP(B101,'Im 1A'!$A$2:$D$3231,4,FALSE)</f>
        <v>V</v>
      </c>
      <c r="E101" s="305">
        <f>IF(D101="D",VLOOKUP(B101,'Im 1A'!$A$2:$C$1963,2,FALSE),0)</f>
        <v>0</v>
      </c>
      <c r="F101" s="305">
        <f>IF(D101="V",VLOOKUP(B101,Vtas1A!$A$2:$B$2357,2,FALSE),0)</f>
        <v>287647857</v>
      </c>
      <c r="G101" s="306"/>
      <c r="H101" s="304" t="s">
        <v>2223</v>
      </c>
      <c r="I101" s="505">
        <f>VLOOKUP(H101,'Im 1B'!$A$2:$C$1947,3,FALSE)</f>
        <v>76.3</v>
      </c>
      <c r="J101" s="304" t="str">
        <f>VLOOKUP(H101,'Im 1B'!$A$2:$D$3215,4,FALSE)</f>
        <v>V</v>
      </c>
      <c r="K101" s="305">
        <f>IF(J101="D",VLOOKUP(H101,'Im 1B'!$A$2:$C$1947,2,FALSE),0)</f>
        <v>0</v>
      </c>
      <c r="L101" s="305">
        <f>IF(J101="V",VLOOKUP(H101,Vtas1B!$A$2:$B$2313,2,FALSE),0)</f>
        <v>405660000</v>
      </c>
      <c r="M101" s="307"/>
      <c r="N101" s="280" t="s">
        <v>2811</v>
      </c>
      <c r="O101" s="505">
        <f>VLOOKUP(N101,'Im 2'!$A$2:$C$2278,3,FALSE)</f>
        <v>79.260000000000005</v>
      </c>
      <c r="P101" s="304" t="str">
        <f>VLOOKUP(N101,'Im 2'!$A$2:$D$3546,4,FALSE)</f>
        <v>V</v>
      </c>
      <c r="Q101" s="305">
        <f>IF(P101="D",VLOOKUP(N101,'Im 2'!$A$2:$C$2278,2,FALSE),0)</f>
        <v>0</v>
      </c>
      <c r="R101" s="305">
        <f>IF(P101="V",VLOOKUP(N101,Vtas2!$A$2:$B$2425,2,FALSE),0)</f>
        <v>483800000</v>
      </c>
      <c r="S101" s="307"/>
      <c r="T101" s="304" t="s">
        <v>3833</v>
      </c>
      <c r="U101" s="505">
        <f>VLOOKUP(T101,'Im 3A'!$A$2:$C$2278,3,FALSE)</f>
        <v>77.98</v>
      </c>
      <c r="V101" s="304" t="str">
        <f>VLOOKUP(T101,'Im 3A'!$A$2:$D$3546,4,FALSE)</f>
        <v>V</v>
      </c>
      <c r="W101" s="305">
        <f>IF(V101="D",VLOOKUP(T101,'Im 3A'!$A$2:$C$2278,2,FALSE),0)</f>
        <v>0</v>
      </c>
      <c r="X101" s="305">
        <f>IF(V101="V",VLOOKUP(T101,Vtas3A!$A$2:$B$2425,2,FALSE),0)</f>
        <v>407840000</v>
      </c>
      <c r="Z101" s="304" t="s">
        <v>3989</v>
      </c>
      <c r="AA101" s="505">
        <f>VLOOKUP(Z101,'Im 3B'!$A$2:$C$2280,3,FALSE)</f>
        <v>76.150000000000006</v>
      </c>
      <c r="AB101" s="304" t="str">
        <f>VLOOKUP(Z101,'Im 3B'!$A$2:$D$3548,4,FALSE)</f>
        <v>V</v>
      </c>
      <c r="AC101" s="305">
        <f>IF(AB101="D",VLOOKUP(Z101,'Im 3B'!$A$2:$C$2280,2,FALSE),0)</f>
        <v>0</v>
      </c>
      <c r="AD101" s="305">
        <f>IF(AB101="V",VLOOKUP(Z101,Vtas3B!$A$2:$B$2438,2,FALSE),0)</f>
        <v>441666189</v>
      </c>
    </row>
    <row r="102" spans="2:30" x14ac:dyDescent="0.2">
      <c r="B102" s="304" t="s">
        <v>2074</v>
      </c>
      <c r="C102" s="505">
        <f>VLOOKUP(B102,'Im 1A'!$A$2:$C$1963,3,FALSE)</f>
        <v>71</v>
      </c>
      <c r="D102" s="304" t="str">
        <f>VLOOKUP(B102,'Im 1A'!$A$2:$D$3231,4,FALSE)</f>
        <v>V</v>
      </c>
      <c r="E102" s="305">
        <f>IF(D102="D",VLOOKUP(B102,'Im 1A'!$A$2:$C$1963,2,FALSE),0)</f>
        <v>0</v>
      </c>
      <c r="F102" s="305">
        <f>IF(D102="V",VLOOKUP(B102,Vtas1A!$A$2:$B$2357,2,FALSE),0)</f>
        <v>288800000</v>
      </c>
      <c r="G102" s="306"/>
      <c r="H102" s="304" t="s">
        <v>2224</v>
      </c>
      <c r="I102" s="505">
        <f>VLOOKUP(H102,'Im 1B'!$A$2:$C$1947,3,FALSE)</f>
        <v>63.91</v>
      </c>
      <c r="J102" s="304" t="str">
        <f>VLOOKUP(H102,'Im 1B'!$A$2:$D$3215,4,FALSE)</f>
        <v>V</v>
      </c>
      <c r="K102" s="305">
        <f>IF(J102="D",VLOOKUP(H102,'Im 1B'!$A$2:$C$1947,2,FALSE),0)</f>
        <v>0</v>
      </c>
      <c r="L102" s="305">
        <f>IF(J102="V",VLOOKUP(H102,Vtas1B!$A$2:$B$2313,2,FALSE),0)</f>
        <v>274668718</v>
      </c>
      <c r="M102" s="307"/>
      <c r="N102" s="280" t="s">
        <v>2812</v>
      </c>
      <c r="O102" s="505">
        <f>VLOOKUP(N102,'Im 2'!$A$2:$C$2278,3,FALSE)</f>
        <v>60.4</v>
      </c>
      <c r="P102" s="304" t="str">
        <f>VLOOKUP(N102,'Im 2'!$A$2:$D$3546,4,FALSE)</f>
        <v>V</v>
      </c>
      <c r="Q102" s="305">
        <f>IF(P102="D",VLOOKUP(N102,'Im 2'!$A$2:$C$2278,2,FALSE),0)</f>
        <v>0</v>
      </c>
      <c r="R102" s="305">
        <f>IF(P102="V",VLOOKUP(N102,Vtas2!$A$2:$B$2425,2,FALSE),0)</f>
        <v>373920000</v>
      </c>
      <c r="S102" s="307"/>
      <c r="T102" s="304" t="s">
        <v>3834</v>
      </c>
      <c r="U102" s="505">
        <f>VLOOKUP(T102,'Im 3A'!$A$2:$C$2278,3,FALSE)</f>
        <v>60.95</v>
      </c>
      <c r="V102" s="304" t="str">
        <f>VLOOKUP(T102,'Im 3A'!$A$2:$D$3546,4,FALSE)</f>
        <v>V</v>
      </c>
      <c r="W102" s="305">
        <f>IF(V102="D",VLOOKUP(T102,'Im 3A'!$A$2:$C$2278,2,FALSE),0)</f>
        <v>0</v>
      </c>
      <c r="X102" s="305">
        <f>IF(V102="V",VLOOKUP(T102,Vtas3A!$A$2:$B$2425,2,FALSE),0)</f>
        <v>295512500</v>
      </c>
      <c r="Z102" s="304" t="s">
        <v>3990</v>
      </c>
      <c r="AA102" s="505">
        <f>VLOOKUP(Z102,'Im 3B'!$A$2:$C$2280,3,FALSE)</f>
        <v>75.5</v>
      </c>
      <c r="AB102" s="304" t="str">
        <f>VLOOKUP(Z102,'Im 3B'!$A$2:$D$3548,4,FALSE)</f>
        <v>V</v>
      </c>
      <c r="AC102" s="305">
        <f>IF(AB102="D",VLOOKUP(Z102,'Im 3B'!$A$2:$C$2280,2,FALSE),0)</f>
        <v>0</v>
      </c>
      <c r="AD102" s="305">
        <f>IF(AB102="V",VLOOKUP(Z102,Vtas3B!$A$2:$B$2438,2,FALSE),0)</f>
        <v>452410000</v>
      </c>
    </row>
    <row r="103" spans="2:30" x14ac:dyDescent="0.2">
      <c r="B103" s="304" t="s">
        <v>2075</v>
      </c>
      <c r="C103" s="505">
        <f>VLOOKUP(B103,'Im 1A'!$A$2:$C$1963,3,FALSE)</f>
        <v>60.9</v>
      </c>
      <c r="D103" s="304" t="str">
        <f>VLOOKUP(B103,'Im 1A'!$A$2:$D$3231,4,FALSE)</f>
        <v>V</v>
      </c>
      <c r="E103" s="305">
        <f>IF(D103="D",VLOOKUP(B103,'Im 1A'!$A$2:$C$1963,2,FALSE),0)</f>
        <v>0</v>
      </c>
      <c r="F103" s="305">
        <f>IF(D103="V",VLOOKUP(B103,Vtas1A!$A$2:$B$2357,2,FALSE),0)</f>
        <v>254277159</v>
      </c>
      <c r="G103" s="306"/>
      <c r="H103" s="304" t="s">
        <v>2144</v>
      </c>
      <c r="I103" s="505">
        <f>VLOOKUP(H103,'Im 1B'!$A$2:$C$1947,3,FALSE)</f>
        <v>76.150000000000006</v>
      </c>
      <c r="J103" s="304" t="str">
        <f>VLOOKUP(H103,'Im 1B'!$A$2:$D$3215,4,FALSE)</f>
        <v>V</v>
      </c>
      <c r="K103" s="305">
        <f>IF(J103="D",VLOOKUP(H103,'Im 1B'!$A$2:$C$1947,2,FALSE),0)</f>
        <v>0</v>
      </c>
      <c r="L103" s="305">
        <f>IF(J103="V",VLOOKUP(H103,Vtas1B!$A$2:$B$2313,2,FALSE),0)</f>
        <v>377689321</v>
      </c>
      <c r="M103" s="307"/>
      <c r="N103" s="280" t="s">
        <v>2850</v>
      </c>
      <c r="O103" s="505">
        <f>VLOOKUP(N103,'Im 2'!$A$2:$C$2278,3,FALSE)</f>
        <v>82.25</v>
      </c>
      <c r="P103" s="304" t="str">
        <f>VLOOKUP(N103,'Im 2'!$A$2:$D$3546,4,FALSE)</f>
        <v>V</v>
      </c>
      <c r="Q103" s="305">
        <f>IF(P103="D",VLOOKUP(N103,'Im 2'!$A$2:$C$2278,2,FALSE),0)</f>
        <v>0</v>
      </c>
      <c r="R103" s="305">
        <f>IF(P103="V",VLOOKUP(N103,Vtas2!$A$2:$B$2425,2,FALSE),0)</f>
        <v>493990000</v>
      </c>
      <c r="S103" s="307"/>
      <c r="T103" s="304" t="s">
        <v>3835</v>
      </c>
      <c r="U103" s="505">
        <f>VLOOKUP(T103,'Im 3A'!$A$2:$C$2278,3,FALSE)</f>
        <v>71.900000000000006</v>
      </c>
      <c r="V103" s="304" t="str">
        <f>VLOOKUP(T103,'Im 3A'!$A$2:$D$3546,4,FALSE)</f>
        <v>V</v>
      </c>
      <c r="W103" s="305">
        <f>IF(V103="D",VLOOKUP(T103,'Im 3A'!$A$2:$C$2278,2,FALSE),0)</f>
        <v>0</v>
      </c>
      <c r="X103" s="305">
        <f>IF(V103="V",VLOOKUP(T103,Vtas3A!$A$2:$B$2425,2,FALSE),0)</f>
        <v>405687220</v>
      </c>
      <c r="Z103" s="304" t="s">
        <v>3991</v>
      </c>
      <c r="AA103" s="505">
        <f>VLOOKUP(Z103,'Im 3B'!$A$2:$C$2280,3,FALSE)</f>
        <v>76.3</v>
      </c>
      <c r="AB103" s="304" t="str">
        <f>VLOOKUP(Z103,'Im 3B'!$A$2:$D$3548,4,FALSE)</f>
        <v>V</v>
      </c>
      <c r="AC103" s="305">
        <f>IF(AB103="D",VLOOKUP(Z103,'Im 3B'!$A$2:$C$2280,2,FALSE),0)</f>
        <v>0</v>
      </c>
      <c r="AD103" s="305">
        <f>IF(AB103="V",VLOOKUP(Z103,Vtas3B!$A$2:$B$2438,2,FALSE),0)</f>
        <v>433373490</v>
      </c>
    </row>
    <row r="104" spans="2:30" x14ac:dyDescent="0.2">
      <c r="B104" s="304" t="s">
        <v>2076</v>
      </c>
      <c r="C104" s="505">
        <f>VLOOKUP(B104,'Im 1A'!$A$2:$C$1963,3,FALSE)</f>
        <v>78.349999999999994</v>
      </c>
      <c r="D104" s="304" t="str">
        <f>VLOOKUP(B104,'Im 1A'!$A$2:$D$3231,4,FALSE)</f>
        <v>V</v>
      </c>
      <c r="E104" s="305">
        <f>IF(D104="D",VLOOKUP(B104,'Im 1A'!$A$2:$C$1963,2,FALSE),0)</f>
        <v>0</v>
      </c>
      <c r="F104" s="305">
        <f>IF(D104="V",VLOOKUP(B104,Vtas1A!$A$2:$B$2357,2,FALSE),0)</f>
        <v>319438716</v>
      </c>
      <c r="G104" s="306"/>
      <c r="H104" s="304" t="s">
        <v>2225</v>
      </c>
      <c r="I104" s="505">
        <f>VLOOKUP(H104,'Im 1B'!$A$2:$C$1947,3,FALSE)</f>
        <v>75.59</v>
      </c>
      <c r="J104" s="304" t="str">
        <f>VLOOKUP(H104,'Im 1B'!$A$2:$D$3215,4,FALSE)</f>
        <v>V</v>
      </c>
      <c r="K104" s="305">
        <f>IF(J104="D",VLOOKUP(H104,'Im 1B'!$A$2:$C$1947,2,FALSE),0)</f>
        <v>0</v>
      </c>
      <c r="L104" s="305">
        <f>IF(J104="V",VLOOKUP(H104,Vtas1B!$A$2:$B$2313,2,FALSE),0)</f>
        <v>320630800</v>
      </c>
      <c r="M104" s="307"/>
      <c r="N104" s="280" t="s">
        <v>2851</v>
      </c>
      <c r="O104" s="505">
        <f>VLOOKUP(N104,'Im 2'!$A$2:$C$2278,3,FALSE)</f>
        <v>80.3</v>
      </c>
      <c r="P104" s="304" t="str">
        <f>VLOOKUP(N104,'Im 2'!$A$2:$D$3546,4,FALSE)</f>
        <v>V</v>
      </c>
      <c r="Q104" s="305">
        <f>IF(P104="D",VLOOKUP(N104,'Im 2'!$A$2:$C$2278,2,FALSE),0)</f>
        <v>0</v>
      </c>
      <c r="R104" s="305">
        <f>IF(P104="V",VLOOKUP(N104,Vtas2!$A$2:$B$2425,2,FALSE),0)</f>
        <v>497800000</v>
      </c>
      <c r="S104" s="307"/>
      <c r="T104" s="304" t="s">
        <v>3836</v>
      </c>
      <c r="U104" s="505">
        <f>VLOOKUP(T104,'Im 3A'!$A$2:$C$2278,3,FALSE)</f>
        <v>71.95</v>
      </c>
      <c r="V104" s="304" t="str">
        <f>VLOOKUP(T104,'Im 3A'!$A$2:$D$3546,4,FALSE)</f>
        <v>V</v>
      </c>
      <c r="W104" s="305">
        <f>IF(V104="D",VLOOKUP(T104,'Im 3A'!$A$2:$C$2278,2,FALSE),0)</f>
        <v>0</v>
      </c>
      <c r="X104" s="305">
        <f>IF(V104="V",VLOOKUP(T104,Vtas3A!$A$2:$B$2425,2,FALSE),0)</f>
        <v>390824653</v>
      </c>
      <c r="Z104" s="304" t="s">
        <v>3992</v>
      </c>
      <c r="AA104" s="505">
        <f>VLOOKUP(Z104,'Im 3B'!$A$2:$C$2280,3,FALSE)</f>
        <v>64</v>
      </c>
      <c r="AB104" s="304" t="str">
        <f>VLOOKUP(Z104,'Im 3B'!$A$2:$D$3548,4,FALSE)</f>
        <v>V</v>
      </c>
      <c r="AC104" s="305">
        <f>IF(AB104="D",VLOOKUP(Z104,'Im 3B'!$A$2:$C$2280,2,FALSE),0)</f>
        <v>0</v>
      </c>
      <c r="AD104" s="305">
        <f>IF(AB104="V",VLOOKUP(Z104,Vtas3B!$A$2:$B$2438,2,FALSE),0)</f>
        <v>372880000</v>
      </c>
    </row>
    <row r="105" spans="2:30" x14ac:dyDescent="0.2">
      <c r="B105" s="304" t="s">
        <v>2077</v>
      </c>
      <c r="C105" s="505">
        <f>VLOOKUP(B105,'Im 1A'!$A$2:$C$1963,3,FALSE)</f>
        <v>77.3</v>
      </c>
      <c r="D105" s="304" t="str">
        <f>VLOOKUP(B105,'Im 1A'!$A$2:$D$3231,4,FALSE)</f>
        <v>V</v>
      </c>
      <c r="E105" s="305">
        <f>IF(D105="D",VLOOKUP(B105,'Im 1A'!$A$2:$C$1963,2,FALSE),0)</f>
        <v>0</v>
      </c>
      <c r="F105" s="305">
        <f>IF(D105="V",VLOOKUP(B105,Vtas1A!$A$2:$B$2357,2,FALSE),0)</f>
        <v>324474090</v>
      </c>
      <c r="G105" s="306"/>
      <c r="H105" s="304" t="s">
        <v>2226</v>
      </c>
      <c r="I105" s="505">
        <f>VLOOKUP(H105,'Im 1B'!$A$2:$C$1947,3,FALSE)</f>
        <v>75.91</v>
      </c>
      <c r="J105" s="304" t="str">
        <f>VLOOKUP(H105,'Im 1B'!$A$2:$D$3215,4,FALSE)</f>
        <v>V</v>
      </c>
      <c r="K105" s="305">
        <f>IF(J105="D",VLOOKUP(H105,'Im 1B'!$A$2:$C$1947,2,FALSE),0)</f>
        <v>0</v>
      </c>
      <c r="L105" s="305">
        <f>IF(J105="V",VLOOKUP(H105,Vtas1B!$A$2:$B$2313,2,FALSE),0)</f>
        <v>322780212</v>
      </c>
      <c r="M105" s="307"/>
      <c r="N105" s="280" t="s">
        <v>2813</v>
      </c>
      <c r="O105" s="505">
        <f>VLOOKUP(N105,'Im 2'!$A$2:$C$2278,3,FALSE)</f>
        <v>57.5</v>
      </c>
      <c r="P105" s="304" t="str">
        <f>VLOOKUP(N105,'Im 2'!$A$2:$D$3546,4,FALSE)</f>
        <v>V</v>
      </c>
      <c r="Q105" s="305">
        <f>IF(P105="D",VLOOKUP(N105,'Im 2'!$A$2:$C$2278,2,FALSE),0)</f>
        <v>0</v>
      </c>
      <c r="R105" s="305">
        <f>IF(P105="V",VLOOKUP(N105,Vtas2!$A$2:$B$2425,2,FALSE),0)</f>
        <v>368000000</v>
      </c>
      <c r="S105" s="307"/>
      <c r="T105" s="304" t="s">
        <v>3837</v>
      </c>
      <c r="U105" s="505">
        <f>VLOOKUP(T105,'Im 3A'!$A$2:$C$2278,3,FALSE)</f>
        <v>60.9</v>
      </c>
      <c r="V105" s="304" t="str">
        <f>VLOOKUP(T105,'Im 3A'!$A$2:$D$3546,4,FALSE)</f>
        <v>V</v>
      </c>
      <c r="W105" s="305">
        <f>IF(V105="D",VLOOKUP(T105,'Im 3A'!$A$2:$C$2278,2,FALSE),0)</f>
        <v>0</v>
      </c>
      <c r="X105" s="305">
        <f>IF(V105="V",VLOOKUP(T105,Vtas3A!$A$2:$B$2425,2,FALSE),0)</f>
        <v>349831552</v>
      </c>
      <c r="Z105" s="304" t="s">
        <v>3993</v>
      </c>
      <c r="AA105" s="505">
        <f>VLOOKUP(Z105,'Im 3B'!$A$2:$C$2280,3,FALSE)</f>
        <v>76.150000000000006</v>
      </c>
      <c r="AB105" s="304" t="str">
        <f>VLOOKUP(Z105,'Im 3B'!$A$2:$D$3548,4,FALSE)</f>
        <v>V</v>
      </c>
      <c r="AC105" s="305">
        <f>IF(AB105="D",VLOOKUP(Z105,'Im 3B'!$A$2:$C$2280,2,FALSE),0)</f>
        <v>0</v>
      </c>
      <c r="AD105" s="305">
        <f>IF(AB105="V",VLOOKUP(Z105,Vtas3B!$A$2:$B$2438,2,FALSE),0)</f>
        <v>440818068</v>
      </c>
    </row>
    <row r="106" spans="2:30" x14ac:dyDescent="0.2">
      <c r="B106" s="304" t="s">
        <v>2078</v>
      </c>
      <c r="C106" s="505">
        <f>VLOOKUP(B106,'Im 1A'!$A$2:$C$1963,3,FALSE)</f>
        <v>60.8</v>
      </c>
      <c r="D106" s="304" t="str">
        <f>VLOOKUP(B106,'Im 1A'!$A$2:$D$3231,4,FALSE)</f>
        <v>V</v>
      </c>
      <c r="E106" s="305">
        <f>IF(D106="D",VLOOKUP(B106,'Im 1A'!$A$2:$C$1963,2,FALSE),0)</f>
        <v>0</v>
      </c>
      <c r="F106" s="305">
        <f>IF(D106="V",VLOOKUP(B106,Vtas1A!$A$2:$B$2357,2,FALSE),0)</f>
        <v>255361803</v>
      </c>
      <c r="G106" s="306"/>
      <c r="H106" s="304" t="s">
        <v>2227</v>
      </c>
      <c r="I106" s="505">
        <f>VLOOKUP(H106,'Im 1B'!$A$2:$C$1947,3,FALSE)</f>
        <v>63.91</v>
      </c>
      <c r="J106" s="304" t="str">
        <f>VLOOKUP(H106,'Im 1B'!$A$2:$D$3215,4,FALSE)</f>
        <v>V</v>
      </c>
      <c r="K106" s="305">
        <f>IF(J106="D",VLOOKUP(H106,'Im 1B'!$A$2:$C$1947,2,FALSE),0)</f>
        <v>0</v>
      </c>
      <c r="L106" s="305">
        <f>IF(J106="V",VLOOKUP(H106,Vtas1B!$A$2:$B$2313,2,FALSE),0)</f>
        <v>272044944</v>
      </c>
      <c r="M106" s="307"/>
      <c r="N106" s="280" t="s">
        <v>2814</v>
      </c>
      <c r="O106" s="505">
        <f>VLOOKUP(N106,'Im 2'!$A$2:$C$2278,3,FALSE)</f>
        <v>80.05</v>
      </c>
      <c r="P106" s="304" t="str">
        <f>VLOOKUP(N106,'Im 2'!$A$2:$D$3546,4,FALSE)</f>
        <v>V</v>
      </c>
      <c r="Q106" s="305">
        <f>IF(P106="D",VLOOKUP(N106,'Im 2'!$A$2:$C$2278,2,FALSE),0)</f>
        <v>0</v>
      </c>
      <c r="R106" s="305">
        <f>IF(P106="V",VLOOKUP(N106,Vtas2!$A$2:$B$2425,2,FALSE),0)</f>
        <v>493302500</v>
      </c>
      <c r="S106" s="307"/>
      <c r="T106" s="304" t="s">
        <v>3838</v>
      </c>
      <c r="U106" s="505">
        <f>VLOOKUP(T106,'Im 3A'!$A$2:$C$2278,3,FALSE)</f>
        <v>78.45</v>
      </c>
      <c r="V106" s="304" t="str">
        <f>VLOOKUP(T106,'Im 3A'!$A$2:$D$3546,4,FALSE)</f>
        <v>V</v>
      </c>
      <c r="W106" s="305">
        <f>IF(V106="D",VLOOKUP(T106,'Im 3A'!$A$2:$C$2278,2,FALSE),0)</f>
        <v>0</v>
      </c>
      <c r="X106" s="305">
        <f>IF(V106="V",VLOOKUP(T106,Vtas3A!$A$2:$B$2425,2,FALSE),0)</f>
        <v>381137500</v>
      </c>
      <c r="Z106" s="304" t="s">
        <v>3994</v>
      </c>
      <c r="AA106" s="505">
        <f>VLOOKUP(Z106,'Im 3B'!$A$2:$C$2280,3,FALSE)</f>
        <v>75.5</v>
      </c>
      <c r="AB106" s="304" t="str">
        <f>VLOOKUP(Z106,'Im 3B'!$A$2:$D$3548,4,FALSE)</f>
        <v>V</v>
      </c>
      <c r="AC106" s="305">
        <f>IF(AB106="D",VLOOKUP(Z106,'Im 3B'!$A$2:$C$2280,2,FALSE),0)</f>
        <v>0</v>
      </c>
      <c r="AD106" s="305">
        <f>IF(AB106="V",VLOOKUP(Z106,Vtas3B!$A$2:$B$2438,2,FALSE),0)</f>
        <v>431870000</v>
      </c>
    </row>
    <row r="107" spans="2:30" x14ac:dyDescent="0.2">
      <c r="B107" s="304" t="s">
        <v>2079</v>
      </c>
      <c r="C107" s="505">
        <f>VLOOKUP(B107,'Im 1A'!$A$2:$C$1963,3,FALSE)</f>
        <v>71.2</v>
      </c>
      <c r="D107" s="304" t="str">
        <f>VLOOKUP(B107,'Im 1A'!$A$2:$D$3231,4,FALSE)</f>
        <v>V</v>
      </c>
      <c r="E107" s="305">
        <f>IF(D107="D",VLOOKUP(B107,'Im 1A'!$A$2:$C$1963,2,FALSE),0)</f>
        <v>0</v>
      </c>
      <c r="F107" s="305">
        <f>IF(D107="V",VLOOKUP(B107,Vtas1A!$A$2:$B$2357,2,FALSE),0)</f>
        <v>343135019</v>
      </c>
      <c r="G107" s="306"/>
      <c r="H107" s="304" t="s">
        <v>2228</v>
      </c>
      <c r="I107" s="505">
        <f>VLOOKUP(H107,'Im 1B'!$A$2:$C$1947,3,FALSE)</f>
        <v>76.13</v>
      </c>
      <c r="J107" s="304" t="str">
        <f>VLOOKUP(H107,'Im 1B'!$A$2:$D$3215,4,FALSE)</f>
        <v>V</v>
      </c>
      <c r="K107" s="305">
        <f>IF(J107="D",VLOOKUP(H107,'Im 1B'!$A$2:$C$1947,2,FALSE),0)</f>
        <v>0</v>
      </c>
      <c r="L107" s="305">
        <f>IF(J107="V",VLOOKUP(H107,Vtas1B!$A$2:$B$2313,2,FALSE),0)</f>
        <v>321925751</v>
      </c>
      <c r="M107" s="307"/>
      <c r="N107" s="280" t="s">
        <v>2852</v>
      </c>
      <c r="O107" s="505">
        <f>VLOOKUP(N107,'Im 2'!$A$2:$C$2278,3,FALSE)</f>
        <v>59.7</v>
      </c>
      <c r="P107" s="304" t="str">
        <f>VLOOKUP(N107,'Im 2'!$A$2:$D$3546,4,FALSE)</f>
        <v>V</v>
      </c>
      <c r="Q107" s="305">
        <f>IF(P107="D",VLOOKUP(N107,'Im 2'!$A$2:$C$2278,2,FALSE),0)</f>
        <v>0</v>
      </c>
      <c r="R107" s="305">
        <f>IF(P107="V",VLOOKUP(N107,Vtas2!$A$2:$B$2425,2,FALSE),0)</f>
        <v>362200000</v>
      </c>
      <c r="S107" s="307"/>
      <c r="T107" s="304" t="s">
        <v>3839</v>
      </c>
      <c r="U107" s="505">
        <f>VLOOKUP(T107,'Im 3A'!$A$2:$C$2278,3,FALSE)</f>
        <v>78.400000000000006</v>
      </c>
      <c r="V107" s="304" t="str">
        <f>VLOOKUP(T107,'Im 3A'!$A$2:$D$3546,4,FALSE)</f>
        <v>V</v>
      </c>
      <c r="W107" s="305">
        <f>IF(V107="D",VLOOKUP(T107,'Im 3A'!$A$2:$C$2278,2,FALSE),0)</f>
        <v>0</v>
      </c>
      <c r="X107" s="305">
        <f>IF(V107="V",VLOOKUP(T107,Vtas3A!$A$2:$B$2425,2,FALSE),0)</f>
        <v>407549196</v>
      </c>
      <c r="Z107" s="304" t="s">
        <v>3995</v>
      </c>
      <c r="AA107" s="505">
        <f>VLOOKUP(Z107,'Im 3B'!$A$2:$C$2280,3,FALSE)</f>
        <v>64</v>
      </c>
      <c r="AB107" s="304" t="str">
        <f>VLOOKUP(Z107,'Im 3B'!$A$2:$D$3548,4,FALSE)</f>
        <v>V</v>
      </c>
      <c r="AC107" s="305">
        <f>IF(AB107="D",VLOOKUP(Z107,'Im 3B'!$A$2:$C$2280,2,FALSE),0)</f>
        <v>0</v>
      </c>
      <c r="AD107" s="305">
        <f>IF(AB107="V",VLOOKUP(Z107,Vtas3B!$A$2:$B$2438,2,FALSE),0)</f>
        <v>373353892</v>
      </c>
    </row>
    <row r="108" spans="2:30" x14ac:dyDescent="0.2">
      <c r="B108" s="304" t="s">
        <v>2080</v>
      </c>
      <c r="C108" s="505">
        <f>VLOOKUP(B108,'Im 1A'!$A$2:$C$1963,3,FALSE)</f>
        <v>71.95</v>
      </c>
      <c r="D108" s="304" t="str">
        <f>VLOOKUP(B108,'Im 1A'!$A$2:$D$3231,4,FALSE)</f>
        <v>V</v>
      </c>
      <c r="E108" s="305">
        <f>IF(D108="D",VLOOKUP(B108,'Im 1A'!$A$2:$C$1963,2,FALSE),0)</f>
        <v>0</v>
      </c>
      <c r="F108" s="305">
        <f>IF(D108="V",VLOOKUP(B108,Vtas1A!$A$2:$B$2357,2,FALSE),0)</f>
        <v>302620000</v>
      </c>
      <c r="G108" s="306"/>
      <c r="H108" s="304" t="s">
        <v>2229</v>
      </c>
      <c r="I108" s="505">
        <f>VLOOKUP(H108,'Im 1B'!$A$2:$C$1947,3,FALSE)</f>
        <v>75.59</v>
      </c>
      <c r="J108" s="304" t="str">
        <f>VLOOKUP(H108,'Im 1B'!$A$2:$D$3215,4,FALSE)</f>
        <v>V</v>
      </c>
      <c r="K108" s="305">
        <f>IF(J108="D",VLOOKUP(H108,'Im 1B'!$A$2:$C$1947,2,FALSE),0)</f>
        <v>0</v>
      </c>
      <c r="L108" s="305">
        <f>IF(J108="V",VLOOKUP(H108,Vtas1B!$A$2:$B$2313,2,FALSE),0)</f>
        <v>317930800</v>
      </c>
      <c r="M108" s="307"/>
      <c r="N108" s="280" t="s">
        <v>2815</v>
      </c>
      <c r="O108" s="505">
        <f>VLOOKUP(N108,'Im 2'!$A$2:$C$2278,3,FALSE)</f>
        <v>82.3</v>
      </c>
      <c r="P108" s="304" t="str">
        <f>VLOOKUP(N108,'Im 2'!$A$2:$D$3546,4,FALSE)</f>
        <v>V</v>
      </c>
      <c r="Q108" s="305">
        <f>IF(P108="D",VLOOKUP(N108,'Im 2'!$A$2:$C$2278,2,FALSE),0)</f>
        <v>0</v>
      </c>
      <c r="R108" s="305">
        <f>IF(P108="V",VLOOKUP(N108,Vtas2!$A$2:$B$2425,2,FALSE),0)</f>
        <v>560410000</v>
      </c>
      <c r="S108" s="307"/>
      <c r="T108" s="304" t="s">
        <v>3840</v>
      </c>
      <c r="U108" s="505">
        <f>VLOOKUP(T108,'Im 3A'!$A$2:$C$2278,3,FALSE)</f>
        <v>60.95</v>
      </c>
      <c r="V108" s="304" t="str">
        <f>VLOOKUP(T108,'Im 3A'!$A$2:$D$3546,4,FALSE)</f>
        <v>V</v>
      </c>
      <c r="W108" s="305">
        <f>IF(V108="D",VLOOKUP(T108,'Im 3A'!$A$2:$C$2278,2,FALSE),0)</f>
        <v>0</v>
      </c>
      <c r="X108" s="305">
        <f>IF(V108="V",VLOOKUP(T108,Vtas3A!$A$2:$B$2425,2,FALSE),0)</f>
        <v>294975610</v>
      </c>
      <c r="Z108" s="304" t="s">
        <v>3996</v>
      </c>
      <c r="AA108" s="505">
        <f>VLOOKUP(Z108,'Im 3B'!$A$2:$C$2280,3,FALSE)</f>
        <v>76.150000000000006</v>
      </c>
      <c r="AB108" s="304" t="str">
        <f>VLOOKUP(Z108,'Im 3B'!$A$2:$D$3548,4,FALSE)</f>
        <v>V</v>
      </c>
      <c r="AC108" s="305">
        <f>IF(AB108="D",VLOOKUP(Z108,'Im 3B'!$A$2:$C$2280,2,FALSE),0)</f>
        <v>0</v>
      </c>
      <c r="AD108" s="305">
        <f>IF(AB108="V",VLOOKUP(Z108,Vtas3B!$A$2:$B$2438,2,FALSE),0)</f>
        <v>441770500</v>
      </c>
    </row>
    <row r="109" spans="2:30" x14ac:dyDescent="0.2">
      <c r="B109" s="304" t="s">
        <v>2081</v>
      </c>
      <c r="C109" s="505">
        <f>VLOOKUP(B109,'Im 1A'!$A$2:$C$1963,3,FALSE)</f>
        <v>60.8</v>
      </c>
      <c r="D109" s="304" t="str">
        <f>VLOOKUP(B109,'Im 1A'!$A$2:$D$3231,4,FALSE)</f>
        <v>V</v>
      </c>
      <c r="E109" s="305">
        <f>IF(D109="D",VLOOKUP(B109,'Im 1A'!$A$2:$C$1963,2,FALSE),0)</f>
        <v>0</v>
      </c>
      <c r="F109" s="305">
        <f>IF(D109="V",VLOOKUP(B109,Vtas1A!$A$2:$B$2357,2,FALSE),0)</f>
        <v>246213733</v>
      </c>
      <c r="G109" s="306"/>
      <c r="H109" s="304" t="s">
        <v>2230</v>
      </c>
      <c r="I109" s="505">
        <f>VLOOKUP(H109,'Im 1B'!$A$2:$C$1947,3,FALSE)</f>
        <v>76.3</v>
      </c>
      <c r="J109" s="304" t="str">
        <f>VLOOKUP(H109,'Im 1B'!$A$2:$D$3215,4,FALSE)</f>
        <v>V</v>
      </c>
      <c r="K109" s="305">
        <f>IF(J109="D",VLOOKUP(H109,'Im 1B'!$A$2:$C$1947,2,FALSE),0)</f>
        <v>0</v>
      </c>
      <c r="L109" s="305">
        <f>IF(J109="V",VLOOKUP(H109,Vtas1B!$A$2:$B$2313,2,FALSE),0)</f>
        <v>323617513</v>
      </c>
      <c r="M109" s="307"/>
      <c r="N109" s="280" t="s">
        <v>2816</v>
      </c>
      <c r="O109" s="505">
        <f>VLOOKUP(N109,'Im 2'!$A$2:$C$2278,3,FALSE)</f>
        <v>80.349999999999994</v>
      </c>
      <c r="P109" s="304" t="str">
        <f>VLOOKUP(N109,'Im 2'!$A$2:$D$3546,4,FALSE)</f>
        <v>V</v>
      </c>
      <c r="Q109" s="305">
        <f>IF(P109="D",VLOOKUP(N109,'Im 2'!$A$2:$C$2278,2,FALSE),0)</f>
        <v>0</v>
      </c>
      <c r="R109" s="305">
        <f>IF(P109="V",VLOOKUP(N109,Vtas2!$A$2:$B$2425,2,FALSE),0)</f>
        <v>559845000</v>
      </c>
      <c r="S109" s="307"/>
      <c r="T109" s="304" t="s">
        <v>3841</v>
      </c>
      <c r="U109" s="505">
        <f>VLOOKUP(T109,'Im 3A'!$A$2:$C$2278,3,FALSE)</f>
        <v>71.900000000000006</v>
      </c>
      <c r="V109" s="304" t="str">
        <f>VLOOKUP(T109,'Im 3A'!$A$2:$D$3546,4,FALSE)</f>
        <v>V</v>
      </c>
      <c r="W109" s="305">
        <f>IF(V109="D",VLOOKUP(T109,'Im 3A'!$A$2:$C$2278,2,FALSE),0)</f>
        <v>0</v>
      </c>
      <c r="X109" s="305">
        <f>IF(V109="V",VLOOKUP(T109,Vtas3A!$A$2:$B$2425,2,FALSE),0)</f>
        <v>406182220</v>
      </c>
      <c r="Z109" s="304" t="s">
        <v>3997</v>
      </c>
      <c r="AA109" s="505">
        <f>VLOOKUP(Z109,'Im 3B'!$A$2:$C$2280,3,FALSE)</f>
        <v>75.5</v>
      </c>
      <c r="AB109" s="304" t="str">
        <f>VLOOKUP(Z109,'Im 3B'!$A$2:$D$3548,4,FALSE)</f>
        <v>V</v>
      </c>
      <c r="AC109" s="305">
        <f>IF(AB109="D",VLOOKUP(Z109,'Im 3B'!$A$2:$C$2280,2,FALSE),0)</f>
        <v>0</v>
      </c>
      <c r="AD109" s="305">
        <f>IF(AB109="V",VLOOKUP(Z109,Vtas3B!$A$2:$B$2438,2,FALSE),0)</f>
        <v>457109469</v>
      </c>
    </row>
    <row r="110" spans="2:30" x14ac:dyDescent="0.2">
      <c r="B110" s="304" t="s">
        <v>2082</v>
      </c>
      <c r="C110" s="505">
        <f>VLOOKUP(B110,'Im 1A'!$A$2:$C$1963,3,FALSE)</f>
        <v>77.3</v>
      </c>
      <c r="D110" s="304" t="str">
        <f>VLOOKUP(B110,'Im 1A'!$A$2:$D$3231,4,FALSE)</f>
        <v>V</v>
      </c>
      <c r="E110" s="305">
        <f>IF(D110="D",VLOOKUP(B110,'Im 1A'!$A$2:$C$1963,2,FALSE),0)</f>
        <v>0</v>
      </c>
      <c r="F110" s="305">
        <f>IF(D110="V",VLOOKUP(B110,Vtas1A!$A$2:$B$2357,2,FALSE),0)</f>
        <v>314300000</v>
      </c>
      <c r="G110" s="306"/>
      <c r="H110" s="304" t="s">
        <v>2231</v>
      </c>
      <c r="I110" s="505">
        <f>VLOOKUP(H110,'Im 1B'!$A$2:$C$1947,3,FALSE)</f>
        <v>63.91</v>
      </c>
      <c r="J110" s="304" t="str">
        <f>VLOOKUP(H110,'Im 1B'!$A$2:$D$3215,4,FALSE)</f>
        <v>V</v>
      </c>
      <c r="K110" s="305">
        <f>IF(J110="D",VLOOKUP(H110,'Im 1B'!$A$2:$C$1947,2,FALSE),0)</f>
        <v>0</v>
      </c>
      <c r="L110" s="305">
        <f>IF(J110="V",VLOOKUP(H110,Vtas1B!$A$2:$B$2313,2,FALSE),0)</f>
        <v>311236058</v>
      </c>
      <c r="M110" s="307"/>
      <c r="N110" s="280" t="s">
        <v>2853</v>
      </c>
      <c r="O110" s="505">
        <f>VLOOKUP(N110,'Im 2'!$A$2:$C$2278,3,FALSE)</f>
        <v>57.5</v>
      </c>
      <c r="P110" s="304" t="str">
        <f>VLOOKUP(N110,'Im 2'!$A$2:$D$3546,4,FALSE)</f>
        <v>V</v>
      </c>
      <c r="Q110" s="305">
        <f>IF(P110="D",VLOOKUP(N110,'Im 2'!$A$2:$C$2278,2,FALSE),0)</f>
        <v>0</v>
      </c>
      <c r="R110" s="305">
        <f>IF(P110="V",VLOOKUP(N110,Vtas2!$A$2:$B$2425,2,FALSE),0)</f>
        <v>363500000</v>
      </c>
      <c r="S110" s="307"/>
      <c r="T110" s="304" t="s">
        <v>3842</v>
      </c>
      <c r="U110" s="505">
        <f>VLOOKUP(T110,'Im 3A'!$A$2:$C$2278,3,FALSE)</f>
        <v>71.95</v>
      </c>
      <c r="V110" s="304" t="str">
        <f>VLOOKUP(T110,'Im 3A'!$A$2:$D$3546,4,FALSE)</f>
        <v>V</v>
      </c>
      <c r="W110" s="305">
        <f>IF(V110="D",VLOOKUP(T110,'Im 3A'!$A$2:$C$2278,2,FALSE),0)</f>
        <v>0</v>
      </c>
      <c r="X110" s="305">
        <f>IF(V110="V",VLOOKUP(T110,Vtas3A!$A$2:$B$2425,2,FALSE),0)</f>
        <v>408935410</v>
      </c>
      <c r="Z110" s="304" t="s">
        <v>3998</v>
      </c>
      <c r="AA110" s="505">
        <f>VLOOKUP(Z110,'Im 3B'!$A$2:$C$2280,3,FALSE)</f>
        <v>76.3</v>
      </c>
      <c r="AB110" s="304" t="str">
        <f>VLOOKUP(Z110,'Im 3B'!$A$2:$D$3548,4,FALSE)</f>
        <v>V</v>
      </c>
      <c r="AC110" s="305">
        <f>IF(AB110="D",VLOOKUP(Z110,'Im 3B'!$A$2:$C$2280,2,FALSE),0)</f>
        <v>0</v>
      </c>
      <c r="AD110" s="305">
        <f>IF(AB110="V",VLOOKUP(Z110,Vtas3B!$A$2:$B$2438,2,FALSE),0)</f>
        <v>442182552</v>
      </c>
    </row>
    <row r="111" spans="2:30" x14ac:dyDescent="0.2">
      <c r="B111" s="304" t="s">
        <v>2083</v>
      </c>
      <c r="C111" s="505">
        <f>VLOOKUP(B111,'Im 1A'!$A$2:$C$1963,3,FALSE)</f>
        <v>78.400000000000006</v>
      </c>
      <c r="D111" s="304" t="str">
        <f>VLOOKUP(B111,'Im 1A'!$A$2:$D$3231,4,FALSE)</f>
        <v>V</v>
      </c>
      <c r="E111" s="305">
        <f>IF(D111="D",VLOOKUP(B111,'Im 1A'!$A$2:$C$1963,2,FALSE),0)</f>
        <v>0</v>
      </c>
      <c r="F111" s="305">
        <f>IF(D111="V",VLOOKUP(B111,Vtas1A!$A$2:$B$2357,2,FALSE),0)</f>
        <v>314447367</v>
      </c>
      <c r="G111" s="306"/>
      <c r="H111" s="313">
        <f>++COUNTA(H13:H110)</f>
        <v>98</v>
      </c>
      <c r="I111" s="314">
        <f>SUM(I13:I110)</f>
        <v>7127.1899999999978</v>
      </c>
      <c r="J111" s="313"/>
      <c r="K111" s="315">
        <f>SUM(K13:K110)</f>
        <v>1196640000</v>
      </c>
      <c r="L111" s="315">
        <f>SUM(L13:L110)</f>
        <v>29810987216</v>
      </c>
      <c r="M111" s="307"/>
      <c r="N111" s="280" t="s">
        <v>2817</v>
      </c>
      <c r="O111" s="505">
        <f>VLOOKUP(N111,'Im 2'!$A$2:$C$2278,3,FALSE)</f>
        <v>80.05</v>
      </c>
      <c r="P111" s="304" t="str">
        <f>VLOOKUP(N111,'Im 2'!$A$2:$D$3546,4,FALSE)</f>
        <v>V</v>
      </c>
      <c r="Q111" s="305">
        <f>IF(P111="D",VLOOKUP(N111,'Im 2'!$A$2:$C$2278,2,FALSE),0)</f>
        <v>0</v>
      </c>
      <c r="R111" s="305">
        <f>IF(P111="V",VLOOKUP(N111,Vtas2!$A$2:$B$2425,2,FALSE),0)</f>
        <v>529825000</v>
      </c>
      <c r="S111" s="307"/>
      <c r="T111" s="304" t="s">
        <v>3843</v>
      </c>
      <c r="U111" s="505">
        <f>VLOOKUP(T111,'Im 3A'!$A$2:$C$2278,3,FALSE)</f>
        <v>60.91</v>
      </c>
      <c r="V111" s="304" t="str">
        <f>VLOOKUP(T111,'Im 3A'!$A$2:$D$3546,4,FALSE)</f>
        <v>V</v>
      </c>
      <c r="W111" s="305">
        <f>IF(V111="D",VLOOKUP(T111,'Im 3A'!$A$2:$C$2278,2,FALSE),0)</f>
        <v>0</v>
      </c>
      <c r="X111" s="305">
        <f>IF(V111="V",VLOOKUP(T111,Vtas3A!$A$2:$B$2425,2,FALSE),0)</f>
        <v>281426002</v>
      </c>
      <c r="Z111" s="304" t="s">
        <v>3999</v>
      </c>
      <c r="AA111" s="505">
        <f>VLOOKUP(Z111,'Im 3B'!$A$2:$C$2280,3,FALSE)</f>
        <v>64</v>
      </c>
      <c r="AB111" s="304" t="str">
        <f>VLOOKUP(Z111,'Im 3B'!$A$2:$D$3548,4,FALSE)</f>
        <v>V</v>
      </c>
      <c r="AC111" s="305">
        <f>IF(AB111="D",VLOOKUP(Z111,'Im 3B'!$A$2:$C$2280,2,FALSE),0)</f>
        <v>0</v>
      </c>
      <c r="AD111" s="305">
        <f>IF(AB111="V",VLOOKUP(Z111,Vtas3B!$A$2:$B$2438,2,FALSE),0)</f>
        <v>369875050</v>
      </c>
    </row>
    <row r="112" spans="2:30" x14ac:dyDescent="0.2">
      <c r="B112" s="304" t="s">
        <v>2084</v>
      </c>
      <c r="C112" s="505">
        <f>VLOOKUP(B112,'Im 1A'!$A$2:$C$1963,3,FALSE)</f>
        <v>60.95</v>
      </c>
      <c r="D112" s="304" t="str">
        <f>VLOOKUP(B112,'Im 1A'!$A$2:$D$3231,4,FALSE)</f>
        <v>V</v>
      </c>
      <c r="E112" s="305">
        <f>IF(D112="D",VLOOKUP(B112,'Im 1A'!$A$2:$C$1963,2,FALSE),0)</f>
        <v>0</v>
      </c>
      <c r="F112" s="305">
        <f>IF(D112="V",VLOOKUP(B112,Vtas1A!$A$2:$B$2357,2,FALSE),0)</f>
        <v>255706695</v>
      </c>
      <c r="G112" s="306"/>
      <c r="M112" s="307"/>
      <c r="N112" s="280" t="s">
        <v>2818</v>
      </c>
      <c r="O112" s="505">
        <f>VLOOKUP(N112,'Im 2'!$A$2:$C$2278,3,FALSE)</f>
        <v>59.7</v>
      </c>
      <c r="P112" s="304" t="str">
        <f>VLOOKUP(N112,'Im 2'!$A$2:$D$3546,4,FALSE)</f>
        <v>V</v>
      </c>
      <c r="Q112" s="305">
        <f>IF(P112="D",VLOOKUP(N112,'Im 2'!$A$2:$C$2278,2,FALSE),0)</f>
        <v>0</v>
      </c>
      <c r="R112" s="305">
        <f>IF(P112="V",VLOOKUP(N112,Vtas2!$A$2:$B$2425,2,FALSE),0)</f>
        <v>362700000</v>
      </c>
      <c r="S112" s="307"/>
      <c r="T112" s="304" t="s">
        <v>3844</v>
      </c>
      <c r="U112" s="505">
        <f>VLOOKUP(T112,'Im 3A'!$A$2:$C$2278,3,FALSE)</f>
        <v>77.87</v>
      </c>
      <c r="V112" s="304" t="str">
        <f>VLOOKUP(T112,'Im 3A'!$A$2:$D$3546,4,FALSE)</f>
        <v>V</v>
      </c>
      <c r="W112" s="305">
        <f>IF(V112="D",VLOOKUP(T112,'Im 3A'!$A$2:$C$2278,2,FALSE),0)</f>
        <v>0</v>
      </c>
      <c r="X112" s="305">
        <f>IF(V112="V",VLOOKUP(T112,Vtas3A!$A$2:$B$2425,2,FALSE),0)</f>
        <v>370316800</v>
      </c>
      <c r="Z112" s="313">
        <f>++COUNTA(Z13:Z111)</f>
        <v>99</v>
      </c>
      <c r="AA112" s="314">
        <f>SUM(AA13:AA111)</f>
        <v>7222.65</v>
      </c>
      <c r="AB112" s="313"/>
      <c r="AC112" s="315">
        <f>SUM(AC13:AC111)</f>
        <v>7935175000</v>
      </c>
      <c r="AD112" s="315">
        <f>SUM(AD13:AD111)</f>
        <v>35164011108</v>
      </c>
    </row>
    <row r="113" spans="2:30" x14ac:dyDescent="0.2">
      <c r="B113" s="304" t="s">
        <v>2085</v>
      </c>
      <c r="C113" s="505">
        <f>VLOOKUP(B113,'Im 1A'!$A$2:$C$1963,3,FALSE)</f>
        <v>71.900000000000006</v>
      </c>
      <c r="D113" s="304" t="str">
        <f>VLOOKUP(B113,'Im 1A'!$A$2:$D$3231,4,FALSE)</f>
        <v>V</v>
      </c>
      <c r="E113" s="305">
        <f>IF(D113="D",VLOOKUP(B113,'Im 1A'!$A$2:$C$1963,2,FALSE),0)</f>
        <v>0</v>
      </c>
      <c r="F113" s="305">
        <f>IF(D113="V",VLOOKUP(B113,Vtas1A!$A$2:$B$2357,2,FALSE),0)</f>
        <v>303245600</v>
      </c>
      <c r="G113" s="306"/>
      <c r="M113" s="307"/>
      <c r="N113" s="280" t="s">
        <v>2819</v>
      </c>
      <c r="O113" s="505">
        <f>VLOOKUP(N113,'Im 2'!$A$2:$C$2278,3,FALSE)</f>
        <v>82.25</v>
      </c>
      <c r="P113" s="304" t="str">
        <f>VLOOKUP(N113,'Im 2'!$A$2:$D$3546,4,FALSE)</f>
        <v>V</v>
      </c>
      <c r="Q113" s="305">
        <f>IF(P113="D",VLOOKUP(N113,'Im 2'!$A$2:$C$2278,2,FALSE),0)</f>
        <v>0</v>
      </c>
      <c r="R113" s="305">
        <f>IF(P113="V",VLOOKUP(N113,Vtas2!$A$2:$B$2425,2,FALSE),0)</f>
        <v>498000000</v>
      </c>
      <c r="S113" s="307"/>
      <c r="T113" s="304" t="s">
        <v>3845</v>
      </c>
      <c r="U113" s="505">
        <f>VLOOKUP(T113,'Im 3A'!$A$2:$C$2278,3,FALSE)</f>
        <v>77.98</v>
      </c>
      <c r="V113" s="304" t="str">
        <f>VLOOKUP(T113,'Im 3A'!$A$2:$D$3546,4,FALSE)</f>
        <v>V</v>
      </c>
      <c r="W113" s="305">
        <f>IF(V113="D",VLOOKUP(T113,'Im 3A'!$A$2:$C$2278,2,FALSE),0)</f>
        <v>0</v>
      </c>
      <c r="X113" s="305">
        <f>IF(V113="V",VLOOKUP(T113,Vtas3A!$A$2:$B$2425,2,FALSE),0)</f>
        <v>386136881</v>
      </c>
    </row>
    <row r="114" spans="2:30" x14ac:dyDescent="0.2">
      <c r="B114" s="304" t="s">
        <v>2086</v>
      </c>
      <c r="C114" s="505">
        <f>VLOOKUP(B114,'Im 1A'!$A$2:$C$1963,3,FALSE)</f>
        <v>71.95</v>
      </c>
      <c r="D114" s="304" t="str">
        <f>VLOOKUP(B114,'Im 1A'!$A$2:$D$3231,4,FALSE)</f>
        <v>V</v>
      </c>
      <c r="E114" s="305">
        <f>IF(D114="D",VLOOKUP(B114,'Im 1A'!$A$2:$C$1963,2,FALSE),0)</f>
        <v>0</v>
      </c>
      <c r="F114" s="305">
        <f>IF(D114="V",VLOOKUP(B114,Vtas1A!$A$2:$B$2357,2,FALSE),0)</f>
        <v>262169830</v>
      </c>
      <c r="G114" s="306"/>
      <c r="H114" s="833" t="s">
        <v>954</v>
      </c>
      <c r="I114" s="834"/>
      <c r="J114" s="834"/>
      <c r="K114" s="834"/>
      <c r="L114" s="835"/>
      <c r="M114" s="307"/>
      <c r="N114" s="280" t="s">
        <v>2820</v>
      </c>
      <c r="O114" s="505">
        <f>VLOOKUP(N114,'Im 2'!$A$2:$C$2278,3,FALSE)</f>
        <v>80.349999999999994</v>
      </c>
      <c r="P114" s="304" t="str">
        <f>VLOOKUP(N114,'Im 2'!$A$2:$D$3546,4,FALSE)</f>
        <v>V</v>
      </c>
      <c r="Q114" s="305">
        <f>IF(P114="D",VLOOKUP(N114,'Im 2'!$A$2:$C$2278,2,FALSE),0)</f>
        <v>0</v>
      </c>
      <c r="R114" s="305">
        <f>IF(P114="V",VLOOKUP(N114,Vtas2!$A$2:$B$2425,2,FALSE),0)</f>
        <v>544275000</v>
      </c>
      <c r="S114" s="307"/>
      <c r="T114" s="304" t="s">
        <v>3846</v>
      </c>
      <c r="U114" s="505">
        <f>VLOOKUP(T114,'Im 3A'!$A$2:$C$2278,3,FALSE)</f>
        <v>60.89</v>
      </c>
      <c r="V114" s="304" t="str">
        <f>VLOOKUP(T114,'Im 3A'!$A$2:$D$3546,4,FALSE)</f>
        <v>V</v>
      </c>
      <c r="W114" s="305">
        <f>IF(V114="D",VLOOKUP(T114,'Im 3A'!$A$2:$C$2278,2,FALSE),0)</f>
        <v>0</v>
      </c>
      <c r="X114" s="305">
        <f>IF(V114="V",VLOOKUP(T114,Vtas3A!$A$2:$B$2425,2,FALSE),0)</f>
        <v>289529600</v>
      </c>
      <c r="Z114" s="833" t="s">
        <v>1214</v>
      </c>
      <c r="AA114" s="834"/>
      <c r="AB114" s="834"/>
      <c r="AC114" s="834"/>
      <c r="AD114" s="835"/>
    </row>
    <row r="115" spans="2:30" x14ac:dyDescent="0.2">
      <c r="B115" s="304" t="s">
        <v>2087</v>
      </c>
      <c r="C115" s="505">
        <f>VLOOKUP(B115,'Im 1A'!$A$2:$C$1963,3,FALSE)</f>
        <v>60.9</v>
      </c>
      <c r="D115" s="304" t="str">
        <f>VLOOKUP(B115,'Im 1A'!$A$2:$D$3231,4,FALSE)</f>
        <v>V</v>
      </c>
      <c r="E115" s="305">
        <f>IF(D115="D",VLOOKUP(B115,'Im 1A'!$A$2:$C$1963,2,FALSE),0)</f>
        <v>0</v>
      </c>
      <c r="F115" s="305">
        <f>IF(D115="V",VLOOKUP(B115,Vtas1A!$A$2:$B$2357,2,FALSE),0)</f>
        <v>247300000</v>
      </c>
      <c r="G115" s="306"/>
      <c r="H115" s="311" t="s">
        <v>46</v>
      </c>
      <c r="I115" s="311" t="s">
        <v>31</v>
      </c>
      <c r="J115" s="311" t="s">
        <v>47</v>
      </c>
      <c r="K115" s="311" t="s">
        <v>48</v>
      </c>
      <c r="L115" s="312" t="s">
        <v>55</v>
      </c>
      <c r="M115" s="307"/>
      <c r="N115" s="280" t="s">
        <v>2821</v>
      </c>
      <c r="O115" s="505">
        <f>VLOOKUP(N115,'Im 2'!$A$2:$C$2278,3,FALSE)</f>
        <v>57.65</v>
      </c>
      <c r="P115" s="304" t="str">
        <f>VLOOKUP(N115,'Im 2'!$A$2:$D$3546,4,FALSE)</f>
        <v>V</v>
      </c>
      <c r="Q115" s="305">
        <f>IF(P115="D",VLOOKUP(N115,'Im 2'!$A$2:$C$2278,2,FALSE),0)</f>
        <v>0</v>
      </c>
      <c r="R115" s="305">
        <f>IF(P115="V",VLOOKUP(N115,Vtas2!$A$2:$B$2425,2,FALSE),0)</f>
        <v>410255000</v>
      </c>
      <c r="S115" s="307"/>
      <c r="T115" s="304" t="s">
        <v>3847</v>
      </c>
      <c r="U115" s="505">
        <f>VLOOKUP(T115,'Im 3A'!$A$2:$C$2278,3,FALSE)</f>
        <v>71.95</v>
      </c>
      <c r="V115" s="304" t="str">
        <f>VLOOKUP(T115,'Im 3A'!$A$2:$D$3546,4,FALSE)</f>
        <v>V</v>
      </c>
      <c r="W115" s="305">
        <f>IF(V115="D",VLOOKUP(T115,'Im 3A'!$A$2:$C$2278,2,FALSE),0)</f>
        <v>0</v>
      </c>
      <c r="X115" s="305">
        <f>IF(V115="V",VLOOKUP(T115,Vtas3A!$A$2:$B$2425,2,FALSE),0)</f>
        <v>462785000</v>
      </c>
      <c r="Z115" s="311" t="s">
        <v>46</v>
      </c>
      <c r="AA115" s="311" t="s">
        <v>31</v>
      </c>
      <c r="AB115" s="311" t="s">
        <v>47</v>
      </c>
      <c r="AC115" s="311" t="s">
        <v>48</v>
      </c>
      <c r="AD115" s="312" t="s">
        <v>55</v>
      </c>
    </row>
    <row r="116" spans="2:30" x14ac:dyDescent="0.2">
      <c r="B116" s="304" t="s">
        <v>2088</v>
      </c>
      <c r="C116" s="505">
        <f>VLOOKUP(B116,'Im 1A'!$A$2:$C$1963,3,FALSE)</f>
        <v>78.349999999999994</v>
      </c>
      <c r="D116" s="304" t="str">
        <f>VLOOKUP(B116,'Im 1A'!$A$2:$D$3231,4,FALSE)</f>
        <v>V</v>
      </c>
      <c r="E116" s="305">
        <f>IF(D116="D",VLOOKUP(B116,'Im 1A'!$A$2:$C$1963,2,FALSE),0)</f>
        <v>0</v>
      </c>
      <c r="F116" s="305">
        <f>IF(D116="V",VLOOKUP(B116,Vtas1A!$A$2:$B$2357,2,FALSE),0)</f>
        <v>323876000</v>
      </c>
      <c r="G116" s="306"/>
      <c r="H116" s="304" t="s">
        <v>1425</v>
      </c>
      <c r="I116" s="304">
        <f>VLOOKUP(H116,'Im 1B'!$A$2:$C$1947,3,FALSE)</f>
        <v>0</v>
      </c>
      <c r="J116" s="304" t="str">
        <f>VLOOKUP(H116,'Im 1B'!$A$2:$D$3215,4,FALSE)</f>
        <v>D</v>
      </c>
      <c r="K116" s="305">
        <f>IF(J116="D",VLOOKUP(H116,'Im 1B'!$A$2:$C$1947,2,FALSE),0)</f>
        <v>22000000</v>
      </c>
      <c r="L116" s="305">
        <f>IF(J116="V",VLOOKUP(H116,Vtas1B!$A$2:$B$2313,2,FALSE),0)</f>
        <v>0</v>
      </c>
      <c r="M116" s="307"/>
      <c r="N116" s="280" t="s">
        <v>2822</v>
      </c>
      <c r="O116" s="505">
        <f>VLOOKUP(N116,'Im 2'!$A$2:$C$2278,3,FALSE)</f>
        <v>80.05</v>
      </c>
      <c r="P116" s="304" t="str">
        <f>VLOOKUP(N116,'Im 2'!$A$2:$D$3546,4,FALSE)</f>
        <v>V</v>
      </c>
      <c r="Q116" s="305">
        <f>IF(P116="D",VLOOKUP(N116,'Im 2'!$A$2:$C$2278,2,FALSE),0)</f>
        <v>0</v>
      </c>
      <c r="R116" s="305">
        <f>IF(P116="V",VLOOKUP(N116,Vtas2!$A$2:$B$2425,2,FALSE),0)</f>
        <v>503310000</v>
      </c>
      <c r="S116" s="307"/>
      <c r="T116" s="304" t="s">
        <v>3848</v>
      </c>
      <c r="U116" s="505">
        <f>VLOOKUP(T116,'Im 3A'!$A$2:$C$2278,3,FALSE)</f>
        <v>60.91</v>
      </c>
      <c r="V116" s="304" t="str">
        <f>VLOOKUP(T116,'Im 3A'!$A$2:$D$3546,4,FALSE)</f>
        <v>V</v>
      </c>
      <c r="W116" s="305">
        <f>IF(V116="D",VLOOKUP(T116,'Im 3A'!$A$2:$C$2278,2,FALSE),0)</f>
        <v>0</v>
      </c>
      <c r="X116" s="305">
        <f>IF(V116="V",VLOOKUP(T116,Vtas3A!$A$2:$B$2425,2,FALSE),0)</f>
        <v>289593898</v>
      </c>
      <c r="Z116" s="304" t="s">
        <v>1021</v>
      </c>
      <c r="AA116" s="505">
        <f>VLOOKUP(Z116,'Im 3B'!$A$2:$C$2280,3,FALSE)</f>
        <v>0</v>
      </c>
      <c r="AB116" s="304" t="str">
        <f>VLOOKUP(Z116,'Im 3B'!$A$2:$D$3548,4,FALSE)</f>
        <v>D</v>
      </c>
      <c r="AC116" s="305">
        <f>IF(AB116="D",VLOOKUP(Z116,'Im 3B'!$A$2:$C$2280,2,FALSE),0)</f>
        <v>25000000</v>
      </c>
      <c r="AD116" s="305">
        <f>IF(AB116="V",VLOOKUP(Z116,Vtas3B!$A$2:$B$2438,2,FALSE),0)</f>
        <v>0</v>
      </c>
    </row>
    <row r="117" spans="2:30" x14ac:dyDescent="0.2">
      <c r="B117" s="304" t="s">
        <v>2089</v>
      </c>
      <c r="C117" s="505">
        <f>VLOOKUP(B117,'Im 1A'!$A$2:$C$1963,3,FALSE)</f>
        <v>78.400000000000006</v>
      </c>
      <c r="D117" s="304" t="str">
        <f>VLOOKUP(B117,'Im 1A'!$A$2:$D$3231,4,FALSE)</f>
        <v>V</v>
      </c>
      <c r="E117" s="305">
        <f>IF(D117="D",VLOOKUP(B117,'Im 1A'!$A$2:$C$1963,2,FALSE),0)</f>
        <v>0</v>
      </c>
      <c r="F117" s="305">
        <f>IF(D117="V",VLOOKUP(B117,Vtas1A!$A$2:$B$2357,2,FALSE),0)</f>
        <v>316600000</v>
      </c>
      <c r="G117" s="306"/>
      <c r="H117" s="304" t="s">
        <v>1540</v>
      </c>
      <c r="I117" s="304">
        <f>VLOOKUP(H117,'Im 1B'!$A$2:$C$1947,3,FALSE)</f>
        <v>0</v>
      </c>
      <c r="J117" s="304" t="str">
        <f>VLOOKUP(H117,'Im 1B'!$A$2:$D$3215,4,FALSE)</f>
        <v>D</v>
      </c>
      <c r="K117" s="305">
        <f>IF(J117="D",VLOOKUP(H117,'Im 1B'!$A$2:$C$1947,2,FALSE),0)</f>
        <v>22000000</v>
      </c>
      <c r="L117" s="305">
        <f>IF(J117="V",VLOOKUP(H117,Vtas1B!$A$2:$B$2313,2,FALSE),0)</f>
        <v>0</v>
      </c>
      <c r="M117" s="307"/>
      <c r="N117" s="280" t="s">
        <v>2823</v>
      </c>
      <c r="O117" s="505">
        <f>VLOOKUP(N117,'Im 2'!$A$2:$C$2278,3,FALSE)</f>
        <v>60.4</v>
      </c>
      <c r="P117" s="304" t="str">
        <f>VLOOKUP(N117,'Im 2'!$A$2:$D$3546,4,FALSE)</f>
        <v>V</v>
      </c>
      <c r="Q117" s="305">
        <f>IF(P117="D",VLOOKUP(N117,'Im 2'!$A$2:$C$2278,2,FALSE),0)</f>
        <v>0</v>
      </c>
      <c r="R117" s="305">
        <f>IF(P117="V",VLOOKUP(N117,Vtas2!$A$2:$B$2425,2,FALSE),0)</f>
        <v>375420000</v>
      </c>
      <c r="S117" s="307"/>
      <c r="T117" s="304" t="s">
        <v>3849</v>
      </c>
      <c r="U117" s="505">
        <f>VLOOKUP(T117,'Im 3A'!$A$2:$C$2278,3,FALSE)</f>
        <v>78.45</v>
      </c>
      <c r="V117" s="304" t="str">
        <f>VLOOKUP(T117,'Im 3A'!$A$2:$D$3546,4,FALSE)</f>
        <v>V</v>
      </c>
      <c r="W117" s="305">
        <f>IF(V117="D",VLOOKUP(T117,'Im 3A'!$A$2:$C$2278,2,FALSE),0)</f>
        <v>0</v>
      </c>
      <c r="X117" s="305">
        <f>IF(V117="V",VLOOKUP(T117,Vtas3A!$A$2:$B$2425,2,FALSE),0)</f>
        <v>406901590</v>
      </c>
      <c r="Z117" s="304" t="s">
        <v>1268</v>
      </c>
      <c r="AA117" s="505">
        <f>VLOOKUP(Z117,'Im 3B'!$A$2:$C$2280,3,FALSE)</f>
        <v>0</v>
      </c>
      <c r="AB117" s="304" t="str">
        <f>VLOOKUP(Z117,'Im 3B'!$A$2:$D$3548,4,FALSE)</f>
        <v>D</v>
      </c>
      <c r="AC117" s="305">
        <f>IF(AB117="D",VLOOKUP(Z117,'Im 3B'!$A$2:$C$2280,2,FALSE),0)</f>
        <v>25000000</v>
      </c>
      <c r="AD117" s="305">
        <f>IF(AB117="V",VLOOKUP(Z117,Vtas3B!$A$2:$B$2438,2,FALSE),0)</f>
        <v>0</v>
      </c>
    </row>
    <row r="118" spans="2:30" x14ac:dyDescent="0.2">
      <c r="B118" s="304" t="s">
        <v>2090</v>
      </c>
      <c r="C118" s="505">
        <f>VLOOKUP(B118,'Im 1A'!$A$2:$C$1963,3,FALSE)</f>
        <v>60.8</v>
      </c>
      <c r="D118" s="304" t="str">
        <f>VLOOKUP(B118,'Im 1A'!$A$2:$D$3231,4,FALSE)</f>
        <v>V</v>
      </c>
      <c r="E118" s="305">
        <f>IF(D118="D",VLOOKUP(B118,'Im 1A'!$A$2:$C$1963,2,FALSE),0)</f>
        <v>0</v>
      </c>
      <c r="F118" s="305">
        <f>IF(D118="V",VLOOKUP(B118,Vtas1A!$A$2:$B$2357,2,FALSE),0)</f>
        <v>249637525</v>
      </c>
      <c r="G118" s="306"/>
      <c r="H118" s="304" t="s">
        <v>925</v>
      </c>
      <c r="I118" s="304">
        <f>VLOOKUP(H118,'Im 1B'!$A$2:$C$1947,3,FALSE)</f>
        <v>0</v>
      </c>
      <c r="J118" s="304" t="str">
        <f>VLOOKUP(H118,'Im 1B'!$A$2:$D$3215,4,FALSE)</f>
        <v>D</v>
      </c>
      <c r="K118" s="305">
        <f>IF(J118="D",VLOOKUP(H118,'Im 1B'!$A$2:$C$1947,2,FALSE),0)</f>
        <v>22000000</v>
      </c>
      <c r="L118" s="305">
        <f>IF(J118="V",VLOOKUP(H118,Vtas1B!$A$2:$B$2313,2,FALSE),0)</f>
        <v>0</v>
      </c>
      <c r="M118" s="307"/>
      <c r="N118" s="280" t="s">
        <v>2824</v>
      </c>
      <c r="O118" s="505">
        <f>VLOOKUP(N118,'Im 2'!$A$2:$C$2278,3,FALSE)</f>
        <v>82.25</v>
      </c>
      <c r="P118" s="304" t="str">
        <f>VLOOKUP(N118,'Im 2'!$A$2:$D$3546,4,FALSE)</f>
        <v>V</v>
      </c>
      <c r="Q118" s="305">
        <f>IF(P118="D",VLOOKUP(N118,'Im 2'!$A$2:$C$2278,2,FALSE),0)</f>
        <v>0</v>
      </c>
      <c r="R118" s="305">
        <f>IF(P118="V",VLOOKUP(N118,Vtas2!$A$2:$B$2425,2,FALSE),0)</f>
        <v>498800000</v>
      </c>
      <c r="S118" s="307"/>
      <c r="T118" s="304" t="s">
        <v>3850</v>
      </c>
      <c r="U118" s="505">
        <f>VLOOKUP(T118,'Im 3A'!$A$2:$C$2278,3,FALSE)</f>
        <v>78.400000000000006</v>
      </c>
      <c r="V118" s="304" t="str">
        <f>VLOOKUP(T118,'Im 3A'!$A$2:$D$3546,4,FALSE)</f>
        <v>V</v>
      </c>
      <c r="W118" s="305">
        <f>IF(V118="D",VLOOKUP(T118,'Im 3A'!$A$2:$C$2278,2,FALSE),0)</f>
        <v>0</v>
      </c>
      <c r="X118" s="305">
        <f>IF(V118="V",VLOOKUP(T118,Vtas3A!$A$2:$B$2425,2,FALSE),0)</f>
        <v>391308000</v>
      </c>
      <c r="Z118" s="304" t="s">
        <v>1602</v>
      </c>
      <c r="AA118" s="505">
        <f>VLOOKUP(Z118,'Im 3B'!$A$2:$C$2280,3,FALSE)</f>
        <v>0</v>
      </c>
      <c r="AB118" s="304" t="str">
        <f>VLOOKUP(Z118,'Im 3B'!$A$2:$D$3548,4,FALSE)</f>
        <v>D</v>
      </c>
      <c r="AC118" s="305">
        <f>IF(AB118="D",VLOOKUP(Z118,'Im 3B'!$A$2:$C$2280,2,FALSE),0)</f>
        <v>25000000</v>
      </c>
      <c r="AD118" s="305">
        <f>IF(AB118="V",VLOOKUP(Z118,Vtas3B!$A$2:$B$2438,2,FALSE),0)</f>
        <v>0</v>
      </c>
    </row>
    <row r="119" spans="2:30" x14ac:dyDescent="0.2">
      <c r="B119" s="304" t="s">
        <v>2091</v>
      </c>
      <c r="C119" s="505">
        <f>VLOOKUP(B119,'Im 1A'!$A$2:$C$1963,3,FALSE)</f>
        <v>71.900000000000006</v>
      </c>
      <c r="D119" s="304" t="str">
        <f>VLOOKUP(B119,'Im 1A'!$A$2:$D$3231,4,FALSE)</f>
        <v>V</v>
      </c>
      <c r="E119" s="305">
        <f>IF(D119="D",VLOOKUP(B119,'Im 1A'!$A$2:$C$1963,2,FALSE),0)</f>
        <v>0</v>
      </c>
      <c r="F119" s="305">
        <f>IF(D119="V",VLOOKUP(B119,Vtas1A!$A$2:$B$2357,2,FALSE),0)</f>
        <v>346010476</v>
      </c>
      <c r="G119" s="306"/>
      <c r="H119" s="304" t="s">
        <v>1405</v>
      </c>
      <c r="I119" s="304">
        <f>VLOOKUP(H119,'Im 1B'!$A$2:$C$1947,3,FALSE)</f>
        <v>0</v>
      </c>
      <c r="J119" s="304" t="str">
        <f>VLOOKUP(H119,'Im 1B'!$A$2:$D$3215,4,FALSE)</f>
        <v>V</v>
      </c>
      <c r="K119" s="305">
        <f>IF(J119="D",VLOOKUP(H119,'Im 1B'!$A$2:$C$1947,2,FALSE),0)</f>
        <v>0</v>
      </c>
      <c r="L119" s="305">
        <f>IF(J119="V",VLOOKUP(H119,Vtas1B!$A$2:$B$2313,2,FALSE),0)</f>
        <v>22000000</v>
      </c>
      <c r="M119" s="307"/>
      <c r="N119" s="280" t="s">
        <v>2825</v>
      </c>
      <c r="O119" s="505">
        <f>VLOOKUP(N119,'Im 2'!$A$2:$C$2278,3,FALSE)</f>
        <v>80.349999999999994</v>
      </c>
      <c r="P119" s="304" t="str">
        <f>VLOOKUP(N119,'Im 2'!$A$2:$D$3546,4,FALSE)</f>
        <v>V</v>
      </c>
      <c r="Q119" s="305">
        <f>IF(P119="D",VLOOKUP(N119,'Im 2'!$A$2:$C$2278,2,FALSE),0)</f>
        <v>0</v>
      </c>
      <c r="R119" s="305">
        <f>IF(P119="V",VLOOKUP(N119,Vtas2!$A$2:$B$2425,2,FALSE),0)</f>
        <v>508617500</v>
      </c>
      <c r="S119" s="307"/>
      <c r="T119" s="304" t="s">
        <v>3851</v>
      </c>
      <c r="U119" s="505">
        <f>VLOOKUP(T119,'Im 3A'!$A$2:$C$2278,3,FALSE)</f>
        <v>60.89</v>
      </c>
      <c r="V119" s="304" t="str">
        <f>VLOOKUP(T119,'Im 3A'!$A$2:$D$3546,4,FALSE)</f>
        <v>V</v>
      </c>
      <c r="W119" s="305">
        <f>IF(V119="D",VLOOKUP(T119,'Im 3A'!$A$2:$C$2278,2,FALSE),0)</f>
        <v>0</v>
      </c>
      <c r="X119" s="305">
        <f>IF(V119="V",VLOOKUP(T119,Vtas3A!$A$2:$B$2425,2,FALSE),0)</f>
        <v>289029600</v>
      </c>
      <c r="Z119" s="304" t="s">
        <v>2560</v>
      </c>
      <c r="AA119" s="505">
        <f>VLOOKUP(Z119,'Im 3B'!$A$2:$C$2280,3,FALSE)</f>
        <v>0</v>
      </c>
      <c r="AB119" s="304" t="str">
        <f>VLOOKUP(Z119,'Im 3B'!$A$2:$D$3548,4,FALSE)</f>
        <v>D</v>
      </c>
      <c r="AC119" s="305">
        <f>IF(AB119="D",VLOOKUP(Z119,'Im 3B'!$A$2:$C$2280,2,FALSE),0)</f>
        <v>25000000</v>
      </c>
      <c r="AD119" s="305">
        <f>IF(AB119="V",VLOOKUP(Z119,Vtas3B!$A$2:$B$2438,2,FALSE),0)</f>
        <v>0</v>
      </c>
    </row>
    <row r="120" spans="2:30" x14ac:dyDescent="0.2">
      <c r="B120" s="304" t="s">
        <v>2092</v>
      </c>
      <c r="C120" s="505">
        <f>VLOOKUP(B120,'Im 1A'!$A$2:$C$1963,3,FALSE)</f>
        <v>71.95</v>
      </c>
      <c r="D120" s="304" t="str">
        <f>VLOOKUP(B120,'Im 1A'!$A$2:$D$3231,4,FALSE)</f>
        <v>V</v>
      </c>
      <c r="E120" s="305">
        <f>IF(D120="D",VLOOKUP(B120,'Im 1A'!$A$2:$C$1963,2,FALSE),0)</f>
        <v>0</v>
      </c>
      <c r="F120" s="305">
        <f>IF(D120="V",VLOOKUP(B120,Vtas1A!$A$2:$B$2357,2,FALSE),0)</f>
        <v>281598258</v>
      </c>
      <c r="G120" s="306"/>
      <c r="H120" s="304" t="s">
        <v>1619</v>
      </c>
      <c r="I120" s="304">
        <f>VLOOKUP(H120,'Im 1B'!$A$2:$C$1947,3,FALSE)</f>
        <v>0</v>
      </c>
      <c r="J120" s="304" t="str">
        <f>VLOOKUP(H120,'Im 1B'!$A$2:$D$3215,4,FALSE)</f>
        <v>V</v>
      </c>
      <c r="K120" s="305">
        <f>IF(J120="D",VLOOKUP(H120,'Im 1B'!$A$2:$C$1947,2,FALSE),0)</f>
        <v>0</v>
      </c>
      <c r="L120" s="305">
        <f>IF(J120="V",VLOOKUP(H120,Vtas1B!$A$2:$B$2313,2,FALSE),0)</f>
        <v>22000000</v>
      </c>
      <c r="M120" s="307"/>
      <c r="N120" s="280" t="s">
        <v>2826</v>
      </c>
      <c r="O120" s="505">
        <f>VLOOKUP(N120,'Im 2'!$A$2:$C$2278,3,FALSE)</f>
        <v>57.65</v>
      </c>
      <c r="P120" s="304" t="str">
        <f>VLOOKUP(N120,'Im 2'!$A$2:$D$3546,4,FALSE)</f>
        <v>V</v>
      </c>
      <c r="Q120" s="305">
        <f>IF(P120="D",VLOOKUP(N120,'Im 2'!$A$2:$C$2278,2,FALSE),0)</f>
        <v>0</v>
      </c>
      <c r="R120" s="305">
        <f>IF(P120="V",VLOOKUP(N120,Vtas2!$A$2:$B$2425,2,FALSE),0)</f>
        <v>399225000</v>
      </c>
      <c r="S120" s="307"/>
      <c r="T120" s="304" t="s">
        <v>3852</v>
      </c>
      <c r="U120" s="505">
        <f>VLOOKUP(T120,'Im 3A'!$A$2:$C$2278,3,FALSE)</f>
        <v>71.95</v>
      </c>
      <c r="V120" s="304" t="str">
        <f>VLOOKUP(T120,'Im 3A'!$A$2:$D$3546,4,FALSE)</f>
        <v>V</v>
      </c>
      <c r="W120" s="305">
        <f>IF(V120="D",VLOOKUP(T120,'Im 3A'!$A$2:$C$2278,2,FALSE),0)</f>
        <v>0</v>
      </c>
      <c r="X120" s="305">
        <f>IF(V120="V",VLOOKUP(T120,Vtas3A!$A$2:$B$2425,2,FALSE),0)</f>
        <v>464285000</v>
      </c>
      <c r="Z120" s="304" t="s">
        <v>1455</v>
      </c>
      <c r="AA120" s="505">
        <f>VLOOKUP(Z120,'Im 3B'!$A$2:$C$2280,3,FALSE)</f>
        <v>0</v>
      </c>
      <c r="AB120" s="304" t="str">
        <f>VLOOKUP(Z120,'Im 3B'!$A$2:$D$3548,4,FALSE)</f>
        <v>D</v>
      </c>
      <c r="AC120" s="305">
        <f>IF(AB120="D",VLOOKUP(Z120,'Im 3B'!$A$2:$C$2280,2,FALSE),0)</f>
        <v>25000000</v>
      </c>
      <c r="AD120" s="305">
        <f>IF(AB120="V",VLOOKUP(Z120,Vtas3B!$A$2:$B$2438,2,FALSE),0)</f>
        <v>0</v>
      </c>
    </row>
    <row r="121" spans="2:30" x14ac:dyDescent="0.2">
      <c r="B121" s="304" t="s">
        <v>2093</v>
      </c>
      <c r="C121" s="505">
        <f>VLOOKUP(B121,'Im 1A'!$A$2:$C$1963,3,FALSE)</f>
        <v>60.8</v>
      </c>
      <c r="D121" s="304" t="str">
        <f>VLOOKUP(B121,'Im 1A'!$A$2:$D$3231,4,FALSE)</f>
        <v>V</v>
      </c>
      <c r="E121" s="305">
        <f>IF(D121="D",VLOOKUP(B121,'Im 1A'!$A$2:$C$1963,2,FALSE),0)</f>
        <v>0</v>
      </c>
      <c r="F121" s="305">
        <f>IF(D121="V",VLOOKUP(B121,Vtas1A!$A$2:$B$2357,2,FALSE),0)</f>
        <v>218818349</v>
      </c>
      <c r="G121" s="306"/>
      <c r="H121" s="304" t="s">
        <v>3015</v>
      </c>
      <c r="I121" s="304">
        <f>VLOOKUP(H121,'Im 1B'!$A$2:$C$1947,3,FALSE)</f>
        <v>0</v>
      </c>
      <c r="J121" s="304" t="str">
        <f>VLOOKUP(H121,'Im 1B'!$A$2:$D$3215,4,FALSE)</f>
        <v>V</v>
      </c>
      <c r="K121" s="305">
        <f>IF(J121="D",VLOOKUP(H121,'Im 1B'!$A$2:$C$1947,2,FALSE),0)</f>
        <v>0</v>
      </c>
      <c r="L121" s="305">
        <f>IF(J121="V",VLOOKUP(H121,Vtas1B!$A$2:$B$2313,2,FALSE),0)</f>
        <v>22000000</v>
      </c>
      <c r="M121" s="307"/>
      <c r="N121" s="280" t="s">
        <v>2827</v>
      </c>
      <c r="O121" s="505">
        <f>VLOOKUP(N121,'Im 2'!$A$2:$C$2278,3,FALSE)</f>
        <v>79.260000000000005</v>
      </c>
      <c r="P121" s="304" t="str">
        <f>VLOOKUP(N121,'Im 2'!$A$2:$D$3546,4,FALSE)</f>
        <v>V</v>
      </c>
      <c r="Q121" s="305">
        <f>IF(P121="D",VLOOKUP(N121,'Im 2'!$A$2:$C$2278,2,FALSE),0)</f>
        <v>0</v>
      </c>
      <c r="R121" s="305">
        <f>IF(P121="V",VLOOKUP(N121,Vtas2!$A$2:$B$2425,2,FALSE),0)</f>
        <v>485800000</v>
      </c>
      <c r="S121" s="307"/>
      <c r="T121" s="304" t="s">
        <v>3853</v>
      </c>
      <c r="U121" s="505">
        <f>VLOOKUP(T121,'Im 3A'!$A$2:$C$2278,3,FALSE)</f>
        <v>60.91</v>
      </c>
      <c r="V121" s="304" t="str">
        <f>VLOOKUP(T121,'Im 3A'!$A$2:$D$3546,4,FALSE)</f>
        <v>V</v>
      </c>
      <c r="W121" s="305">
        <f>IF(V121="D",VLOOKUP(T121,'Im 3A'!$A$2:$C$2278,2,FALSE),0)</f>
        <v>0</v>
      </c>
      <c r="X121" s="305">
        <f>IF(V121="V",VLOOKUP(T121,Vtas3A!$A$2:$B$2425,2,FALSE),0)</f>
        <v>283665123</v>
      </c>
      <c r="Z121" s="304" t="s">
        <v>1457</v>
      </c>
      <c r="AA121" s="505">
        <f>VLOOKUP(Z121,'Im 3B'!$A$2:$C$2280,3,FALSE)</f>
        <v>0</v>
      </c>
      <c r="AB121" s="304" t="str">
        <f>VLOOKUP(Z121,'Im 3B'!$A$2:$D$3548,4,FALSE)</f>
        <v>D</v>
      </c>
      <c r="AC121" s="305">
        <f>IF(AB121="D",VLOOKUP(Z121,'Im 3B'!$A$2:$C$2280,2,FALSE),0)</f>
        <v>25000000</v>
      </c>
      <c r="AD121" s="305">
        <f>IF(AB121="V",VLOOKUP(Z121,Vtas3B!$A$2:$B$2438,2,FALSE),0)</f>
        <v>0</v>
      </c>
    </row>
    <row r="122" spans="2:30" x14ac:dyDescent="0.2">
      <c r="B122" s="304" t="s">
        <v>2094</v>
      </c>
      <c r="C122" s="505">
        <f>VLOOKUP(B122,'Im 1A'!$A$2:$C$1963,3,FALSE)</f>
        <v>77.3</v>
      </c>
      <c r="D122" s="304" t="str">
        <f>VLOOKUP(B122,'Im 1A'!$A$2:$D$3231,4,FALSE)</f>
        <v>V</v>
      </c>
      <c r="E122" s="305">
        <f>IF(D122="D",VLOOKUP(B122,'Im 1A'!$A$2:$C$1963,2,FALSE),0)</f>
        <v>0</v>
      </c>
      <c r="F122" s="305">
        <f>IF(D122="V",VLOOKUP(B122,Vtas1A!$A$2:$B$2357,2,FALSE),0)</f>
        <v>324176000</v>
      </c>
      <c r="G122" s="306"/>
      <c r="H122" s="304" t="s">
        <v>3016</v>
      </c>
      <c r="I122" s="304">
        <f>VLOOKUP(H122,'Im 1B'!$A$2:$C$1947,3,FALSE)</f>
        <v>0</v>
      </c>
      <c r="J122" s="304" t="str">
        <f>VLOOKUP(H122,'Im 1B'!$A$2:$D$3215,4,FALSE)</f>
        <v>V</v>
      </c>
      <c r="K122" s="305">
        <f>IF(J122="D",VLOOKUP(H122,'Im 1B'!$A$2:$C$1947,2,FALSE),0)</f>
        <v>0</v>
      </c>
      <c r="L122" s="305">
        <f>IF(J122="V",VLOOKUP(H122,Vtas1B!$A$2:$B$2313,2,FALSE),0)</f>
        <v>22000000</v>
      </c>
      <c r="M122" s="307"/>
      <c r="N122" s="280" t="s">
        <v>2828</v>
      </c>
      <c r="O122" s="505">
        <f>VLOOKUP(N122,'Im 2'!$A$2:$C$2278,3,FALSE)</f>
        <v>60.4</v>
      </c>
      <c r="P122" s="304" t="str">
        <f>VLOOKUP(N122,'Im 2'!$A$2:$D$3546,4,FALSE)</f>
        <v>V</v>
      </c>
      <c r="Q122" s="305">
        <f>IF(P122="D",VLOOKUP(N122,'Im 2'!$A$2:$C$2278,2,FALSE),0)</f>
        <v>0</v>
      </c>
      <c r="R122" s="305">
        <f>IF(P122="V",VLOOKUP(N122,Vtas2!$A$2:$B$2425,2,FALSE),0)</f>
        <v>375420000</v>
      </c>
      <c r="S122" s="307"/>
      <c r="T122" s="304" t="s">
        <v>3854</v>
      </c>
      <c r="U122" s="505">
        <f>VLOOKUP(T122,'Im 3A'!$A$2:$C$2278,3,FALSE)</f>
        <v>77.87</v>
      </c>
      <c r="V122" s="304" t="str">
        <f>VLOOKUP(T122,'Im 3A'!$A$2:$D$3546,4,FALSE)</f>
        <v>V</v>
      </c>
      <c r="W122" s="305">
        <f>IF(V122="D",VLOOKUP(T122,'Im 3A'!$A$2:$C$2278,2,FALSE),0)</f>
        <v>0</v>
      </c>
      <c r="X122" s="305">
        <f>IF(V122="V",VLOOKUP(T122,Vtas3A!$A$2:$B$2425,2,FALSE),0)</f>
        <v>367759400</v>
      </c>
      <c r="Z122" s="304" t="s">
        <v>2597</v>
      </c>
      <c r="AA122" s="505">
        <f>VLOOKUP(Z122,'Im 3B'!$A$2:$C$2280,3,FALSE)</f>
        <v>0</v>
      </c>
      <c r="AB122" s="304" t="str">
        <f>VLOOKUP(Z122,'Im 3B'!$A$2:$D$3548,4,FALSE)</f>
        <v>D</v>
      </c>
      <c r="AC122" s="305">
        <f>IF(AB122="D",VLOOKUP(Z122,'Im 3B'!$A$2:$C$2280,2,FALSE),0)</f>
        <v>25000000</v>
      </c>
      <c r="AD122" s="305">
        <f>IF(AB122="V",VLOOKUP(Z122,Vtas3B!$A$2:$B$2438,2,FALSE),0)</f>
        <v>0</v>
      </c>
    </row>
    <row r="123" spans="2:30" x14ac:dyDescent="0.2">
      <c r="B123" s="304" t="s">
        <v>2095</v>
      </c>
      <c r="C123" s="505">
        <f>VLOOKUP(B123,'Im 1A'!$A$2:$C$1963,3,FALSE)</f>
        <v>77.3</v>
      </c>
      <c r="D123" s="304" t="str">
        <f>VLOOKUP(B123,'Im 1A'!$A$2:$D$3231,4,FALSE)</f>
        <v>V</v>
      </c>
      <c r="E123" s="305">
        <f>IF(D123="D",VLOOKUP(B123,'Im 1A'!$A$2:$C$1963,2,FALSE),0)</f>
        <v>0</v>
      </c>
      <c r="F123" s="305">
        <f>IF(D123="V",VLOOKUP(B123,Vtas1A!$A$2:$B$2357,2,FALSE),0)</f>
        <v>316900000</v>
      </c>
      <c r="G123" s="306"/>
      <c r="H123" s="304" t="s">
        <v>2731</v>
      </c>
      <c r="I123" s="304">
        <f>VLOOKUP(H123,'Im 1B'!$A$2:$C$1947,3,FALSE)</f>
        <v>0</v>
      </c>
      <c r="J123" s="304" t="str">
        <f>VLOOKUP(H123,'Im 1B'!$A$2:$D$3215,4,FALSE)</f>
        <v>V</v>
      </c>
      <c r="K123" s="305">
        <f>IF(J123="D",VLOOKUP(H123,'Im 1B'!$A$2:$C$1947,2,FALSE),0)</f>
        <v>0</v>
      </c>
      <c r="L123" s="305">
        <f>IF(J123="V",VLOOKUP(H123,Vtas1B!$A$2:$B$2313,2,FALSE),0)</f>
        <v>22000000</v>
      </c>
      <c r="M123" s="307"/>
      <c r="N123" s="280" t="s">
        <v>2854</v>
      </c>
      <c r="O123" s="505">
        <f>VLOOKUP(N123,'Im 2'!$A$2:$C$2278,3,FALSE)</f>
        <v>82.25</v>
      </c>
      <c r="P123" s="304" t="str">
        <f>VLOOKUP(N123,'Im 2'!$A$2:$D$3546,4,FALSE)</f>
        <v>V</v>
      </c>
      <c r="Q123" s="305">
        <f>IF(P123="D",VLOOKUP(N123,'Im 2'!$A$2:$C$2278,2,FALSE),0)</f>
        <v>0</v>
      </c>
      <c r="R123" s="305">
        <f>IF(P123="V",VLOOKUP(N123,Vtas2!$A$2:$B$2425,2,FALSE),0)</f>
        <v>495960000</v>
      </c>
      <c r="S123" s="307"/>
      <c r="T123" s="304" t="s">
        <v>3855</v>
      </c>
      <c r="U123" s="505">
        <f>VLOOKUP(T123,'Im 3A'!$A$2:$C$2278,3,FALSE)</f>
        <v>78.400000000000006</v>
      </c>
      <c r="V123" s="304" t="str">
        <f>VLOOKUP(T123,'Im 3A'!$A$2:$D$3546,4,FALSE)</f>
        <v>V</v>
      </c>
      <c r="W123" s="305">
        <f>IF(V123="D",VLOOKUP(T123,'Im 3A'!$A$2:$C$2278,2,FALSE),0)</f>
        <v>0</v>
      </c>
      <c r="X123" s="305">
        <f>IF(V123="V",VLOOKUP(T123,Vtas3A!$A$2:$B$2425,2,FALSE),0)</f>
        <v>386269670</v>
      </c>
      <c r="Z123" s="304" t="s">
        <v>1692</v>
      </c>
      <c r="AA123" s="505">
        <f>VLOOKUP(Z123,'Im 3B'!$A$2:$C$2280,3,FALSE)</f>
        <v>0</v>
      </c>
      <c r="AB123" s="304" t="str">
        <f>VLOOKUP(Z123,'Im 3B'!$A$2:$D$3548,4,FALSE)</f>
        <v>D</v>
      </c>
      <c r="AC123" s="305">
        <f>IF(AB123="D",VLOOKUP(Z123,'Im 3B'!$A$2:$C$2280,2,FALSE),0)</f>
        <v>25000000</v>
      </c>
      <c r="AD123" s="305">
        <f>IF(AB123="V",VLOOKUP(Z123,Vtas3B!$A$2:$B$2438,2,FALSE),0)</f>
        <v>0</v>
      </c>
    </row>
    <row r="124" spans="2:30" x14ac:dyDescent="0.2">
      <c r="B124" s="304" t="s">
        <v>2096</v>
      </c>
      <c r="C124" s="505">
        <f>VLOOKUP(B124,'Im 1A'!$A$2:$C$1963,3,FALSE)</f>
        <v>60.95</v>
      </c>
      <c r="D124" s="304" t="str">
        <f>VLOOKUP(B124,'Im 1A'!$A$2:$D$3231,4,FALSE)</f>
        <v>V</v>
      </c>
      <c r="E124" s="305">
        <f>IF(D124="D",VLOOKUP(B124,'Im 1A'!$A$2:$C$1963,2,FALSE),0)</f>
        <v>0</v>
      </c>
      <c r="F124" s="305">
        <f>IF(D124="V",VLOOKUP(B124,Vtas1A!$A$2:$B$2357,2,FALSE),0)</f>
        <v>258469228</v>
      </c>
      <c r="G124" s="306"/>
      <c r="H124" s="304" t="s">
        <v>2732</v>
      </c>
      <c r="I124" s="304">
        <f>VLOOKUP(H124,'Im 1B'!$A$2:$C$1947,3,FALSE)</f>
        <v>0</v>
      </c>
      <c r="J124" s="304" t="str">
        <f>VLOOKUP(H124,'Im 1B'!$A$2:$D$3215,4,FALSE)</f>
        <v>V</v>
      </c>
      <c r="K124" s="305">
        <f>IF(J124="D",VLOOKUP(H124,'Im 1B'!$A$2:$C$1947,2,FALSE),0)</f>
        <v>0</v>
      </c>
      <c r="L124" s="305">
        <f>IF(J124="V",VLOOKUP(H124,Vtas1B!$A$2:$B$2313,2,FALSE),0)</f>
        <v>22000000</v>
      </c>
      <c r="M124" s="307"/>
      <c r="N124" s="280" t="s">
        <v>2855</v>
      </c>
      <c r="O124" s="505">
        <f>VLOOKUP(N124,'Im 2'!$A$2:$C$2278,3,FALSE)</f>
        <v>80.3</v>
      </c>
      <c r="P124" s="304" t="str">
        <f>VLOOKUP(N124,'Im 2'!$A$2:$D$3546,4,FALSE)</f>
        <v>V</v>
      </c>
      <c r="Q124" s="305">
        <f>IF(P124="D",VLOOKUP(N124,'Im 2'!$A$2:$C$2278,2,FALSE),0)</f>
        <v>0</v>
      </c>
      <c r="R124" s="305">
        <f>IF(P124="V",VLOOKUP(N124,Vtas2!$A$2:$B$2425,2,FALSE),0)</f>
        <v>504219901</v>
      </c>
      <c r="S124" s="307"/>
      <c r="T124" s="304" t="s">
        <v>3856</v>
      </c>
      <c r="U124" s="505">
        <f>VLOOKUP(T124,'Im 3A'!$A$2:$C$2278,3,FALSE)</f>
        <v>60.95</v>
      </c>
      <c r="V124" s="304" t="str">
        <f>VLOOKUP(T124,'Im 3A'!$A$2:$D$3546,4,FALSE)</f>
        <v>V</v>
      </c>
      <c r="W124" s="305">
        <f>IF(V124="D",VLOOKUP(T124,'Im 3A'!$A$2:$C$2278,2,FALSE),0)</f>
        <v>0</v>
      </c>
      <c r="X124" s="305">
        <f>IF(V124="V",VLOOKUP(T124,Vtas3A!$A$2:$B$2425,2,FALSE),0)</f>
        <v>391985000</v>
      </c>
      <c r="Z124" s="304" t="s">
        <v>4000</v>
      </c>
      <c r="AA124" s="505">
        <f>VLOOKUP(Z124,'Im 3B'!$A$2:$C$2280,3,FALSE)</f>
        <v>0</v>
      </c>
      <c r="AB124" s="304" t="str">
        <f>VLOOKUP(Z124,'Im 3B'!$A$2:$D$3548,4,FALSE)</f>
        <v>V</v>
      </c>
      <c r="AC124" s="305">
        <f>IF(AB124="D",VLOOKUP(Z124,'Im 3B'!$A$2:$C$2280,2,FALSE),0)</f>
        <v>0</v>
      </c>
      <c r="AD124" s="305">
        <f>IF(AB124="V",VLOOKUP(Z124,Vtas3B!$A$2:$B$2438,2,FALSE),0)</f>
        <v>25000000</v>
      </c>
    </row>
    <row r="125" spans="2:30" x14ac:dyDescent="0.2">
      <c r="B125" s="304" t="s">
        <v>2097</v>
      </c>
      <c r="C125" s="505">
        <f>VLOOKUP(B125,'Im 1A'!$A$2:$C$1963,3,FALSE)</f>
        <v>71.2</v>
      </c>
      <c r="D125" s="304" t="str">
        <f>VLOOKUP(B125,'Im 1A'!$A$2:$D$3231,4,FALSE)</f>
        <v>V</v>
      </c>
      <c r="E125" s="305">
        <f>IF(D125="D",VLOOKUP(B125,'Im 1A'!$A$2:$C$1963,2,FALSE),0)</f>
        <v>0</v>
      </c>
      <c r="F125" s="305">
        <f>IF(D125="V",VLOOKUP(B125,Vtas1A!$A$2:$B$2357,2,FALSE),0)</f>
        <v>302547078</v>
      </c>
      <c r="G125" s="306"/>
      <c r="H125" s="304" t="s">
        <v>3017</v>
      </c>
      <c r="I125" s="304">
        <f>VLOOKUP(H125,'Im 1B'!$A$2:$C$1947,3,FALSE)</f>
        <v>0</v>
      </c>
      <c r="J125" s="304" t="str">
        <f>VLOOKUP(H125,'Im 1B'!$A$2:$D$3215,4,FALSE)</f>
        <v>V</v>
      </c>
      <c r="K125" s="305">
        <f>IF(J125="D",VLOOKUP(H125,'Im 1B'!$A$2:$C$1947,2,FALSE),0)</f>
        <v>0</v>
      </c>
      <c r="L125" s="305">
        <f>IF(J125="V",VLOOKUP(H125,Vtas1B!$A$2:$B$2313,2,FALSE),0)</f>
        <v>22000000</v>
      </c>
      <c r="M125" s="307"/>
      <c r="N125" s="280" t="s">
        <v>2829</v>
      </c>
      <c r="O125" s="505">
        <f>VLOOKUP(N125,'Im 2'!$A$2:$C$2278,3,FALSE)</f>
        <v>57.65</v>
      </c>
      <c r="P125" s="304" t="str">
        <f>VLOOKUP(N125,'Im 2'!$A$2:$D$3546,4,FALSE)</f>
        <v>V</v>
      </c>
      <c r="Q125" s="305">
        <f>IF(P125="D",VLOOKUP(N125,'Im 2'!$A$2:$C$2278,2,FALSE),0)</f>
        <v>0</v>
      </c>
      <c r="R125" s="305">
        <f>IF(P125="V",VLOOKUP(N125,Vtas2!$A$2:$B$2425,2,FALSE),0)</f>
        <v>411255000</v>
      </c>
      <c r="S125" s="307"/>
      <c r="T125" s="304" t="s">
        <v>3857</v>
      </c>
      <c r="U125" s="505">
        <f>VLOOKUP(T125,'Im 3A'!$A$2:$C$2278,3,FALSE)</f>
        <v>71.95</v>
      </c>
      <c r="V125" s="304" t="str">
        <f>VLOOKUP(T125,'Im 3A'!$A$2:$D$3546,4,FALSE)</f>
        <v>V</v>
      </c>
      <c r="W125" s="305">
        <f>IF(V125="D",VLOOKUP(T125,'Im 3A'!$A$2:$C$2278,2,FALSE),0)</f>
        <v>0</v>
      </c>
      <c r="X125" s="305">
        <f>IF(V125="V",VLOOKUP(T125,Vtas3A!$A$2:$B$2425,2,FALSE),0)</f>
        <v>463785000</v>
      </c>
      <c r="Z125" s="304" t="s">
        <v>4001</v>
      </c>
      <c r="AA125" s="505">
        <f>VLOOKUP(Z125,'Im 3B'!$A$2:$C$2280,3,FALSE)</f>
        <v>0</v>
      </c>
      <c r="AB125" s="304" t="str">
        <f>VLOOKUP(Z125,'Im 3B'!$A$2:$D$3548,4,FALSE)</f>
        <v>V</v>
      </c>
      <c r="AC125" s="305">
        <f>IF(AB125="D",VLOOKUP(Z125,'Im 3B'!$A$2:$C$2280,2,FALSE),0)</f>
        <v>0</v>
      </c>
      <c r="AD125" s="305">
        <f>IF(AB125="V",VLOOKUP(Z125,Vtas3B!$A$2:$B$2438,2,FALSE),0)</f>
        <v>37000000</v>
      </c>
    </row>
    <row r="126" spans="2:30" x14ac:dyDescent="0.2">
      <c r="B126" s="304" t="s">
        <v>2098</v>
      </c>
      <c r="C126" s="505">
        <f>VLOOKUP(B126,'Im 1A'!$A$2:$C$1963,3,FALSE)</f>
        <v>71.95</v>
      </c>
      <c r="D126" s="304" t="str">
        <f>VLOOKUP(B126,'Im 1A'!$A$2:$D$3231,4,FALSE)</f>
        <v>V</v>
      </c>
      <c r="E126" s="305">
        <f>IF(D126="D",VLOOKUP(B126,'Im 1A'!$A$2:$C$1963,2,FALSE),0)</f>
        <v>0</v>
      </c>
      <c r="F126" s="305">
        <f>IF(D126="V",VLOOKUP(B126,Vtas1A!$A$2:$B$2357,2,FALSE),0)</f>
        <v>285140067</v>
      </c>
      <c r="G126" s="306"/>
      <c r="H126" s="304" t="s">
        <v>1601</v>
      </c>
      <c r="I126" s="304">
        <f>VLOOKUP(H126,'Im 1B'!$A$2:$C$1947,3,FALSE)</f>
        <v>0</v>
      </c>
      <c r="J126" s="304" t="str">
        <f>VLOOKUP(H126,'Im 1B'!$A$2:$D$3215,4,FALSE)</f>
        <v>V</v>
      </c>
      <c r="K126" s="305">
        <f>IF(J126="D",VLOOKUP(H126,'Im 1B'!$A$2:$C$1947,2,FALSE),0)</f>
        <v>0</v>
      </c>
      <c r="L126" s="305">
        <f>IF(J126="V",VLOOKUP(H126,Vtas1B!$A$2:$B$2313,2,FALSE),0)</f>
        <v>27000000</v>
      </c>
      <c r="M126" s="307"/>
      <c r="N126" s="280" t="s">
        <v>2831</v>
      </c>
      <c r="O126" s="505">
        <f>VLOOKUP(N126,'Im 2'!$A$2:$C$2278,3,FALSE)</f>
        <v>59.7</v>
      </c>
      <c r="P126" s="304" t="str">
        <f>VLOOKUP(N126,'Im 2'!$A$2:$D$3546,4,FALSE)</f>
        <v>V</v>
      </c>
      <c r="Q126" s="305">
        <f>IF(P126="D",VLOOKUP(N126,'Im 2'!$A$2:$C$2278,2,FALSE),0)</f>
        <v>0</v>
      </c>
      <c r="R126" s="305">
        <f>IF(P126="V",VLOOKUP(N126,Vtas2!$A$2:$B$2425,2,FALSE),0)</f>
        <v>363182000</v>
      </c>
      <c r="S126" s="307"/>
      <c r="T126" s="304" t="s">
        <v>3858</v>
      </c>
      <c r="U126" s="505">
        <f>VLOOKUP(T126,'Im 3A'!$A$2:$C$2278,3,FALSE)</f>
        <v>60.91</v>
      </c>
      <c r="V126" s="304" t="str">
        <f>VLOOKUP(T126,'Im 3A'!$A$2:$D$3546,4,FALSE)</f>
        <v>V</v>
      </c>
      <c r="W126" s="305">
        <f>IF(V126="D",VLOOKUP(T126,'Im 3A'!$A$2:$C$2278,2,FALSE),0)</f>
        <v>0</v>
      </c>
      <c r="X126" s="305">
        <f>IF(V126="V",VLOOKUP(T126,Vtas3A!$A$2:$B$2425,2,FALSE),0)</f>
        <v>293529230</v>
      </c>
      <c r="Z126" s="304" t="s">
        <v>2595</v>
      </c>
      <c r="AA126" s="505">
        <f>VLOOKUP(Z126,'Im 3B'!$A$2:$C$2280,3,FALSE)</f>
        <v>0</v>
      </c>
      <c r="AB126" s="304" t="str">
        <f>VLOOKUP(Z126,'Im 3B'!$A$2:$D$3548,4,FALSE)</f>
        <v>V</v>
      </c>
      <c r="AC126" s="305">
        <f>IF(AB126="D",VLOOKUP(Z126,'Im 3B'!$A$2:$C$2280,2,FALSE),0)</f>
        <v>0</v>
      </c>
      <c r="AD126" s="305">
        <f>IF(AB126="V",VLOOKUP(Z126,Vtas3B!$A$2:$B$2438,2,FALSE),0)</f>
        <v>25000000</v>
      </c>
    </row>
    <row r="127" spans="2:30" x14ac:dyDescent="0.2">
      <c r="B127" s="304" t="s">
        <v>2099</v>
      </c>
      <c r="C127" s="505">
        <f>VLOOKUP(B127,'Im 1A'!$A$2:$C$1963,3,FALSE)</f>
        <v>60.8</v>
      </c>
      <c r="D127" s="304" t="str">
        <f>VLOOKUP(B127,'Im 1A'!$A$2:$D$3231,4,FALSE)</f>
        <v>V</v>
      </c>
      <c r="E127" s="305">
        <f>IF(D127="D",VLOOKUP(B127,'Im 1A'!$A$2:$C$1963,2,FALSE),0)</f>
        <v>0</v>
      </c>
      <c r="F127" s="305">
        <f>IF(D127="V",VLOOKUP(B127,Vtas1A!$A$2:$B$2357,2,FALSE),0)</f>
        <v>251864929</v>
      </c>
      <c r="G127" s="306"/>
      <c r="H127" s="304" t="s">
        <v>1361</v>
      </c>
      <c r="I127" s="304">
        <f>VLOOKUP(H127,'Im 1B'!$A$2:$C$1947,3,FALSE)</f>
        <v>0</v>
      </c>
      <c r="J127" s="304" t="str">
        <f>VLOOKUP(H127,'Im 1B'!$A$2:$D$3215,4,FALSE)</f>
        <v>V</v>
      </c>
      <c r="K127" s="305">
        <f>IF(J127="D",VLOOKUP(H127,'Im 1B'!$A$2:$C$1947,2,FALSE),0)</f>
        <v>0</v>
      </c>
      <c r="L127" s="305">
        <f>IF(J127="V",VLOOKUP(H127,Vtas1B!$A$2:$B$2313,2,FALSE),0)</f>
        <v>27000000</v>
      </c>
      <c r="M127" s="307"/>
      <c r="N127" s="280" t="s">
        <v>2856</v>
      </c>
      <c r="O127" s="505">
        <f>VLOOKUP(N127,'Im 2'!$A$2:$C$2278,3,FALSE)</f>
        <v>82.25</v>
      </c>
      <c r="P127" s="304" t="str">
        <f>VLOOKUP(N127,'Im 2'!$A$2:$D$3546,4,FALSE)</f>
        <v>V</v>
      </c>
      <c r="Q127" s="305">
        <f>IF(P127="D",VLOOKUP(N127,'Im 2'!$A$2:$C$2278,2,FALSE),0)</f>
        <v>0</v>
      </c>
      <c r="R127" s="305">
        <f>IF(P127="V",VLOOKUP(N127,Vtas2!$A$2:$B$2425,2,FALSE),0)</f>
        <v>504500000</v>
      </c>
      <c r="S127" s="307"/>
      <c r="T127" s="304" t="s">
        <v>3859</v>
      </c>
      <c r="U127" s="505">
        <f>VLOOKUP(T127,'Im 3A'!$A$2:$C$2278,3,FALSE)</f>
        <v>78.45</v>
      </c>
      <c r="V127" s="304" t="str">
        <f>VLOOKUP(T127,'Im 3A'!$A$2:$D$3546,4,FALSE)</f>
        <v>V</v>
      </c>
      <c r="W127" s="305">
        <f>IF(V127="D",VLOOKUP(T127,'Im 3A'!$A$2:$C$2278,2,FALSE),0)</f>
        <v>0</v>
      </c>
      <c r="X127" s="305">
        <f>IF(V127="V",VLOOKUP(T127,Vtas3A!$A$2:$B$2425,2,FALSE),0)</f>
        <v>383137500</v>
      </c>
      <c r="Z127" s="304" t="s">
        <v>4002</v>
      </c>
      <c r="AA127" s="505">
        <f>VLOOKUP(Z127,'Im 3B'!$A$2:$C$2280,3,FALSE)</f>
        <v>0</v>
      </c>
      <c r="AB127" s="304" t="str">
        <f>VLOOKUP(Z127,'Im 3B'!$A$2:$D$3548,4,FALSE)</f>
        <v>V</v>
      </c>
      <c r="AC127" s="305">
        <f>IF(AB127="D",VLOOKUP(Z127,'Im 3B'!$A$2:$C$2280,2,FALSE),0)</f>
        <v>0</v>
      </c>
      <c r="AD127" s="305">
        <f>IF(AB127="V",VLOOKUP(Z127,Vtas3B!$A$2:$B$2438,2,FALSE),0)</f>
        <v>25000000</v>
      </c>
    </row>
    <row r="128" spans="2:30" x14ac:dyDescent="0.2">
      <c r="B128" s="304" t="s">
        <v>2100</v>
      </c>
      <c r="C128" s="505">
        <f>VLOOKUP(B128,'Im 1A'!$A$2:$C$1963,3,FALSE)</f>
        <v>77.3</v>
      </c>
      <c r="D128" s="304" t="str">
        <f>VLOOKUP(B128,'Im 1A'!$A$2:$D$3231,4,FALSE)</f>
        <v>V</v>
      </c>
      <c r="E128" s="305">
        <f>IF(D128="D",VLOOKUP(B128,'Im 1A'!$A$2:$C$1963,2,FALSE),0)</f>
        <v>0</v>
      </c>
      <c r="F128" s="305">
        <f>IF(D128="V",VLOOKUP(B128,Vtas1A!$A$2:$B$2357,2,FALSE),0)</f>
        <v>325608351</v>
      </c>
      <c r="G128" s="306"/>
      <c r="H128" s="304" t="s">
        <v>3232</v>
      </c>
      <c r="I128" s="304">
        <f>VLOOKUP(H128,'Im 1B'!$A$2:$C$1947,3,FALSE)</f>
        <v>0</v>
      </c>
      <c r="J128" s="304" t="str">
        <f>VLOOKUP(H128,'Im 1B'!$A$2:$D$3215,4,FALSE)</f>
        <v>V</v>
      </c>
      <c r="K128" s="305">
        <f>IF(J128="D",VLOOKUP(H128,'Im 1B'!$A$2:$C$1947,2,FALSE),0)</f>
        <v>0</v>
      </c>
      <c r="L128" s="305">
        <f>IF(J128="V",VLOOKUP(H128,Vtas1B!$A$2:$B$2313,2,FALSE),0)</f>
        <v>27000000</v>
      </c>
      <c r="M128" s="307"/>
      <c r="N128" s="280" t="s">
        <v>2857</v>
      </c>
      <c r="O128" s="505">
        <f>VLOOKUP(N128,'Im 2'!$A$2:$C$2278,3,FALSE)</f>
        <v>80.3</v>
      </c>
      <c r="P128" s="304" t="str">
        <f>VLOOKUP(N128,'Im 2'!$A$2:$D$3546,4,FALSE)</f>
        <v>V</v>
      </c>
      <c r="Q128" s="305">
        <f>IF(P128="D",VLOOKUP(N128,'Im 2'!$A$2:$C$2278,2,FALSE),0)</f>
        <v>0</v>
      </c>
      <c r="R128" s="305">
        <f>IF(P128="V",VLOOKUP(N128,Vtas2!$A$2:$B$2425,2,FALSE),0)</f>
        <v>500300000</v>
      </c>
      <c r="S128" s="307"/>
      <c r="T128" s="304" t="s">
        <v>3860</v>
      </c>
      <c r="U128" s="505">
        <f>VLOOKUP(T128,'Im 3A'!$A$2:$C$2278,3,FALSE)</f>
        <v>77.98</v>
      </c>
      <c r="V128" s="304" t="str">
        <f>VLOOKUP(T128,'Im 3A'!$A$2:$D$3546,4,FALSE)</f>
        <v>V</v>
      </c>
      <c r="W128" s="305">
        <f>IF(V128="D",VLOOKUP(T128,'Im 3A'!$A$2:$C$2278,2,FALSE),0)</f>
        <v>0</v>
      </c>
      <c r="X128" s="305">
        <f>IF(V128="V",VLOOKUP(T128,Vtas3A!$A$2:$B$2425,2,FALSE),0)</f>
        <v>410340000</v>
      </c>
      <c r="Z128" s="304" t="s">
        <v>4003</v>
      </c>
      <c r="AA128" s="505">
        <f>VLOOKUP(Z128,'Im 3B'!$A$2:$C$2280,3,FALSE)</f>
        <v>0</v>
      </c>
      <c r="AB128" s="304" t="str">
        <f>VLOOKUP(Z128,'Im 3B'!$A$2:$D$3548,4,FALSE)</f>
        <v>V</v>
      </c>
      <c r="AC128" s="305">
        <f>IF(AB128="D",VLOOKUP(Z128,'Im 3B'!$A$2:$C$2280,2,FALSE),0)</f>
        <v>0</v>
      </c>
      <c r="AD128" s="305">
        <f>IF(AB128="V",VLOOKUP(Z128,Vtas3B!$A$2:$B$2438,2,FALSE),0)</f>
        <v>25000000</v>
      </c>
    </row>
    <row r="129" spans="2:30" x14ac:dyDescent="0.2">
      <c r="B129" s="304" t="s">
        <v>2101</v>
      </c>
      <c r="C129" s="505">
        <f>VLOOKUP(B129,'Im 1A'!$A$2:$C$1963,3,FALSE)</f>
        <v>78.400000000000006</v>
      </c>
      <c r="D129" s="304" t="str">
        <f>VLOOKUP(B129,'Im 1A'!$A$2:$D$3231,4,FALSE)</f>
        <v>V</v>
      </c>
      <c r="E129" s="305">
        <f>IF(D129="D",VLOOKUP(B129,'Im 1A'!$A$2:$C$1963,2,FALSE),0)</f>
        <v>0</v>
      </c>
      <c r="F129" s="305">
        <f>IF(D129="V",VLOOKUP(B129,Vtas1A!$A$2:$B$2357,2,FALSE),0)</f>
        <v>313733421</v>
      </c>
      <c r="G129" s="306"/>
      <c r="H129" s="304" t="s">
        <v>3728</v>
      </c>
      <c r="I129" s="304">
        <f>VLOOKUP(H129,'Im 1B'!$A$2:$C$1947,3,FALSE)</f>
        <v>0</v>
      </c>
      <c r="J129" s="304" t="str">
        <f>VLOOKUP(H129,'Im 1B'!$A$2:$D$3215,4,FALSE)</f>
        <v>V</v>
      </c>
      <c r="K129" s="305">
        <f>IF(J129="D",VLOOKUP(H129,'Im 1B'!$A$2:$C$1947,2,FALSE),0)</f>
        <v>0</v>
      </c>
      <c r="L129" s="305">
        <f>IF(J129="V",VLOOKUP(H129,Vtas1B!$A$2:$B$2313,2,FALSE),0)</f>
        <v>27000000</v>
      </c>
      <c r="M129" s="307"/>
      <c r="N129" s="280" t="s">
        <v>2858</v>
      </c>
      <c r="O129" s="505">
        <f>VLOOKUP(N129,'Im 2'!$A$2:$C$2278,3,FALSE)</f>
        <v>57.5</v>
      </c>
      <c r="P129" s="304" t="str">
        <f>VLOOKUP(N129,'Im 2'!$A$2:$D$3546,4,FALSE)</f>
        <v>V</v>
      </c>
      <c r="Q129" s="305">
        <f>IF(P129="D",VLOOKUP(N129,'Im 2'!$A$2:$C$2278,2,FALSE),0)</f>
        <v>0</v>
      </c>
      <c r="R129" s="305">
        <f>IF(P129="V",VLOOKUP(N129,Vtas2!$A$2:$B$2425,2,FALSE),0)</f>
        <v>365500000</v>
      </c>
      <c r="S129" s="307"/>
      <c r="T129" s="304" t="s">
        <v>3861</v>
      </c>
      <c r="U129" s="505">
        <f>VLOOKUP(T129,'Im 3A'!$A$2:$C$2278,3,FALSE)</f>
        <v>60.95</v>
      </c>
      <c r="V129" s="304" t="str">
        <f>VLOOKUP(T129,'Im 3A'!$A$2:$D$3546,4,FALSE)</f>
        <v>V</v>
      </c>
      <c r="W129" s="305">
        <f>IF(V129="D",VLOOKUP(T129,'Im 3A'!$A$2:$C$2278,2,FALSE),0)</f>
        <v>0</v>
      </c>
      <c r="X129" s="305">
        <f>IF(V129="V",VLOOKUP(T129,Vtas3A!$A$2:$B$2425,2,FALSE),0)</f>
        <v>392107000</v>
      </c>
      <c r="Z129" s="304" t="s">
        <v>4004</v>
      </c>
      <c r="AA129" s="505">
        <f>VLOOKUP(Z129,'Im 3B'!$A$2:$C$2280,3,FALSE)</f>
        <v>0</v>
      </c>
      <c r="AB129" s="304" t="str">
        <f>VLOOKUP(Z129,'Im 3B'!$A$2:$D$3548,4,FALSE)</f>
        <v>V</v>
      </c>
      <c r="AC129" s="305">
        <f>IF(AB129="D",VLOOKUP(Z129,'Im 3B'!$A$2:$C$2280,2,FALSE),0)</f>
        <v>0</v>
      </c>
      <c r="AD129" s="305">
        <f>IF(AB129="V",VLOOKUP(Z129,Vtas3B!$A$2:$B$2438,2,FALSE),0)</f>
        <v>25000000</v>
      </c>
    </row>
    <row r="130" spans="2:30" x14ac:dyDescent="0.2">
      <c r="B130" s="304" t="s">
        <v>2102</v>
      </c>
      <c r="C130" s="505">
        <f>VLOOKUP(B130,'Im 1A'!$A$2:$C$1963,3,FALSE)</f>
        <v>60.8</v>
      </c>
      <c r="D130" s="304" t="str">
        <f>VLOOKUP(B130,'Im 1A'!$A$2:$D$3231,4,FALSE)</f>
        <v>V</v>
      </c>
      <c r="E130" s="305">
        <f>IF(D130="D",VLOOKUP(B130,'Im 1A'!$A$2:$C$1963,2,FALSE),0)</f>
        <v>0</v>
      </c>
      <c r="F130" s="305">
        <f>IF(D130="V",VLOOKUP(B130,Vtas1A!$A$2:$B$2357,2,FALSE),0)</f>
        <v>256672000</v>
      </c>
      <c r="G130" s="306"/>
      <c r="H130" s="304" t="s">
        <v>1362</v>
      </c>
      <c r="I130" s="304">
        <f>VLOOKUP(H130,'Im 1B'!$A$2:$C$1947,3,FALSE)</f>
        <v>0</v>
      </c>
      <c r="J130" s="304" t="str">
        <f>VLOOKUP(H130,'Im 1B'!$A$2:$D$3215,4,FALSE)</f>
        <v>V</v>
      </c>
      <c r="K130" s="305">
        <f>IF(J130="D",VLOOKUP(H130,'Im 1B'!$A$2:$C$1947,2,FALSE),0)</f>
        <v>0</v>
      </c>
      <c r="L130" s="305">
        <f>IF(J130="V",VLOOKUP(H130,Vtas1B!$A$2:$B$2313,2,FALSE),0)</f>
        <v>27000000</v>
      </c>
      <c r="M130" s="307"/>
      <c r="N130" s="280" t="s">
        <v>2832</v>
      </c>
      <c r="O130" s="505">
        <f>VLOOKUP(N130,'Im 2'!$A$2:$C$2278,3,FALSE)</f>
        <v>79.260000000000005</v>
      </c>
      <c r="P130" s="304" t="str">
        <f>VLOOKUP(N130,'Im 2'!$A$2:$D$3546,4,FALSE)</f>
        <v>V</v>
      </c>
      <c r="Q130" s="305">
        <f>IF(P130="D",VLOOKUP(N130,'Im 2'!$A$2:$C$2278,2,FALSE),0)</f>
        <v>0</v>
      </c>
      <c r="R130" s="305">
        <f>IF(P130="V",VLOOKUP(N130,Vtas2!$A$2:$B$2425,2,FALSE),0)</f>
        <v>482060000</v>
      </c>
      <c r="S130" s="307"/>
      <c r="T130" s="304" t="s">
        <v>3862</v>
      </c>
      <c r="U130" s="505">
        <f>VLOOKUP(T130,'Im 3A'!$A$2:$C$2278,3,FALSE)</f>
        <v>60.91</v>
      </c>
      <c r="V130" s="304" t="str">
        <f>VLOOKUP(T130,'Im 3A'!$A$2:$D$3546,4,FALSE)</f>
        <v>V</v>
      </c>
      <c r="W130" s="305">
        <f>IF(V130="D",VLOOKUP(T130,'Im 3A'!$A$2:$C$2278,2,FALSE),0)</f>
        <v>0</v>
      </c>
      <c r="X130" s="305">
        <f>IF(V130="V",VLOOKUP(T130,Vtas3A!$A$2:$B$2425,2,FALSE),0)</f>
        <v>289904190</v>
      </c>
      <c r="Z130" s="304" t="s">
        <v>4350</v>
      </c>
      <c r="AA130" s="505">
        <f>VLOOKUP(Z130,'Im 3B'!$A$2:$C$2280,3,FALSE)</f>
        <v>0</v>
      </c>
      <c r="AB130" s="304" t="str">
        <f>VLOOKUP(Z130,'Im 3B'!$A$2:$D$3548,4,FALSE)</f>
        <v>V</v>
      </c>
      <c r="AC130" s="305">
        <f>IF(AB130="D",VLOOKUP(Z130,'Im 3B'!$A$2:$C$2280,2,FALSE),0)</f>
        <v>0</v>
      </c>
      <c r="AD130" s="305">
        <f>IF(AB130="V",VLOOKUP(Z130,Vtas3B!$A$2:$B$2438,2,FALSE),0)</f>
        <v>25000000</v>
      </c>
    </row>
    <row r="131" spans="2:30" x14ac:dyDescent="0.2">
      <c r="B131" s="304" t="s">
        <v>2103</v>
      </c>
      <c r="C131" s="505">
        <f>VLOOKUP(B131,'Im 1A'!$A$2:$C$1963,3,FALSE)</f>
        <v>71.2</v>
      </c>
      <c r="D131" s="304" t="str">
        <f>VLOOKUP(B131,'Im 1A'!$A$2:$D$3231,4,FALSE)</f>
        <v>V</v>
      </c>
      <c r="E131" s="305">
        <f>IF(D131="D",VLOOKUP(B131,'Im 1A'!$A$2:$C$1963,2,FALSE),0)</f>
        <v>0</v>
      </c>
      <c r="F131" s="305">
        <f>IF(D131="V",VLOOKUP(B131,Vtas1A!$A$2:$B$2357,2,FALSE),0)</f>
        <v>301203680</v>
      </c>
      <c r="G131" s="306"/>
      <c r="H131" s="304" t="s">
        <v>1406</v>
      </c>
      <c r="I131" s="304">
        <f>VLOOKUP(H131,'Im 1B'!$A$2:$C$1947,3,FALSE)</f>
        <v>0</v>
      </c>
      <c r="J131" s="304" t="str">
        <f>VLOOKUP(H131,'Im 1B'!$A$2:$D$3215,4,FALSE)</f>
        <v>V</v>
      </c>
      <c r="K131" s="305">
        <f>IF(J131="D",VLOOKUP(H131,'Im 1B'!$A$2:$C$1947,2,FALSE),0)</f>
        <v>0</v>
      </c>
      <c r="L131" s="305">
        <f>IF(J131="V",VLOOKUP(H131,Vtas1B!$A$2:$B$2313,2,FALSE),0)</f>
        <v>27000000</v>
      </c>
      <c r="M131" s="307"/>
      <c r="N131" s="280" t="s">
        <v>4377</v>
      </c>
      <c r="O131" s="505">
        <f>VLOOKUP(N131,'Im 2'!$A$2:$C$2278,3,FALSE)</f>
        <v>59.7</v>
      </c>
      <c r="P131" s="304" t="str">
        <f>VLOOKUP(N131,'Im 2'!$A$2:$D$3546,4,FALSE)</f>
        <v>V</v>
      </c>
      <c r="Q131" s="305">
        <f>IF(P131="D",VLOOKUP(N131,'Im 2'!$A$2:$C$2278,2,FALSE),0)</f>
        <v>0</v>
      </c>
      <c r="R131" s="305">
        <f>IF(P131="V",VLOOKUP(N131,Vtas2!$A$2:$B$2425,2,FALSE),0)</f>
        <v>363674500</v>
      </c>
      <c r="S131" s="307"/>
      <c r="T131" s="304" t="s">
        <v>3863</v>
      </c>
      <c r="U131" s="505">
        <f>VLOOKUP(T131,'Im 3A'!$A$2:$C$2278,3,FALSE)</f>
        <v>78.45</v>
      </c>
      <c r="V131" s="304" t="str">
        <f>VLOOKUP(T131,'Im 3A'!$A$2:$D$3546,4,FALSE)</f>
        <v>V</v>
      </c>
      <c r="W131" s="305">
        <f>IF(V131="D",VLOOKUP(T131,'Im 3A'!$A$2:$C$2278,2,FALSE),0)</f>
        <v>0</v>
      </c>
      <c r="X131" s="305">
        <f>IF(V131="V",VLOOKUP(T131,Vtas3A!$A$2:$B$2425,2,FALSE),0)</f>
        <v>383637500</v>
      </c>
      <c r="Z131" s="304" t="s">
        <v>3317</v>
      </c>
      <c r="AA131" s="505">
        <f>VLOOKUP(Z131,'Im 3B'!$A$2:$C$2280,3,FALSE)</f>
        <v>0</v>
      </c>
      <c r="AB131" s="304" t="str">
        <f>VLOOKUP(Z131,'Im 3B'!$A$2:$D$3548,4,FALSE)</f>
        <v>V</v>
      </c>
      <c r="AC131" s="305">
        <f>IF(AB131="D",VLOOKUP(Z131,'Im 3B'!$A$2:$C$2280,2,FALSE),0)</f>
        <v>0</v>
      </c>
      <c r="AD131" s="305">
        <f>IF(AB131="V",VLOOKUP(Z131,Vtas3B!$A$2:$B$2438,2,FALSE),0)</f>
        <v>25000000</v>
      </c>
    </row>
    <row r="132" spans="2:30" x14ac:dyDescent="0.2">
      <c r="B132" s="304" t="s">
        <v>2104</v>
      </c>
      <c r="C132" s="505">
        <f>VLOOKUP(B132,'Im 1A'!$A$2:$C$1963,3,FALSE)</f>
        <v>71.95</v>
      </c>
      <c r="D132" s="304" t="str">
        <f>VLOOKUP(B132,'Im 1A'!$A$2:$D$3231,4,FALSE)</f>
        <v>V</v>
      </c>
      <c r="E132" s="305">
        <f>IF(D132="D",VLOOKUP(B132,'Im 1A'!$A$2:$C$1963,2,FALSE),0)</f>
        <v>0</v>
      </c>
      <c r="F132" s="305">
        <f>IF(D132="V",VLOOKUP(B132,Vtas1A!$A$2:$B$2357,2,FALSE),0)</f>
        <v>296998348</v>
      </c>
      <c r="G132" s="306"/>
      <c r="H132" s="304" t="s">
        <v>3288</v>
      </c>
      <c r="I132" s="304">
        <f>VLOOKUP(H132,'Im 1B'!$A$2:$C$1947,3,FALSE)</f>
        <v>0</v>
      </c>
      <c r="J132" s="304" t="str">
        <f>VLOOKUP(H132,'Im 1B'!$A$2:$D$3215,4,FALSE)</f>
        <v>V</v>
      </c>
      <c r="K132" s="305">
        <f>IF(J132="D",VLOOKUP(H132,'Im 1B'!$A$2:$C$1947,2,FALSE),0)</f>
        <v>0</v>
      </c>
      <c r="L132" s="305">
        <f>IF(J132="V",VLOOKUP(H132,Vtas1B!$A$2:$B$2313,2,FALSE),0)</f>
        <v>27000000</v>
      </c>
      <c r="M132" s="307"/>
      <c r="N132" s="280" t="s">
        <v>2833</v>
      </c>
      <c r="O132" s="505">
        <f>VLOOKUP(N132,'Im 2'!$A$2:$C$2278,3,FALSE)</f>
        <v>82.25</v>
      </c>
      <c r="P132" s="304" t="str">
        <f>VLOOKUP(N132,'Im 2'!$A$2:$D$3546,4,FALSE)</f>
        <v>V</v>
      </c>
      <c r="Q132" s="305">
        <f>IF(P132="D",VLOOKUP(N132,'Im 2'!$A$2:$C$2278,2,FALSE),0)</f>
        <v>0</v>
      </c>
      <c r="R132" s="305">
        <f>IF(P132="V",VLOOKUP(N132,Vtas2!$A$2:$B$2425,2,FALSE),0)</f>
        <v>509112500</v>
      </c>
      <c r="S132" s="307"/>
      <c r="T132" s="304" t="s">
        <v>3864</v>
      </c>
      <c r="U132" s="505">
        <f>VLOOKUP(T132,'Im 3A'!$A$2:$C$2278,3,FALSE)</f>
        <v>77.98</v>
      </c>
      <c r="V132" s="304" t="str">
        <f>VLOOKUP(T132,'Im 3A'!$A$2:$D$3546,4,FALSE)</f>
        <v>V</v>
      </c>
      <c r="W132" s="305">
        <f>IF(V132="D",VLOOKUP(T132,'Im 3A'!$A$2:$C$2278,2,FALSE),0)</f>
        <v>0</v>
      </c>
      <c r="X132" s="305">
        <f>IF(V132="V",VLOOKUP(T132,Vtas3A!$A$2:$B$2425,2,FALSE),0)</f>
        <v>373078700</v>
      </c>
      <c r="Z132" s="304" t="s">
        <v>3318</v>
      </c>
      <c r="AA132" s="505">
        <f>VLOOKUP(Z132,'Im 3B'!$A$2:$C$2280,3,FALSE)</f>
        <v>0</v>
      </c>
      <c r="AB132" s="304" t="str">
        <f>VLOOKUP(Z132,'Im 3B'!$A$2:$D$3548,4,FALSE)</f>
        <v>V</v>
      </c>
      <c r="AC132" s="305">
        <f>IF(AB132="D",VLOOKUP(Z132,'Im 3B'!$A$2:$C$2280,2,FALSE),0)</f>
        <v>0</v>
      </c>
      <c r="AD132" s="305">
        <f>IF(AB132="V",VLOOKUP(Z132,Vtas3B!$A$2:$B$2438,2,FALSE),0)</f>
        <v>25000000</v>
      </c>
    </row>
    <row r="133" spans="2:30" x14ac:dyDescent="0.2">
      <c r="B133" s="304" t="s">
        <v>2105</v>
      </c>
      <c r="C133" s="505">
        <f>VLOOKUP(B133,'Im 1A'!$A$2:$C$1963,3,FALSE)</f>
        <v>60.9</v>
      </c>
      <c r="D133" s="304" t="str">
        <f>VLOOKUP(B133,'Im 1A'!$A$2:$D$3231,4,FALSE)</f>
        <v>V</v>
      </c>
      <c r="E133" s="305">
        <f>IF(D133="D",VLOOKUP(B133,'Im 1A'!$A$2:$C$1963,2,FALSE),0)</f>
        <v>0</v>
      </c>
      <c r="F133" s="305">
        <f>IF(D133="V",VLOOKUP(B133,Vtas1A!$A$2:$B$2357,2,FALSE),0)</f>
        <v>242480400</v>
      </c>
      <c r="G133" s="306"/>
      <c r="H133" s="304" t="s">
        <v>1339</v>
      </c>
      <c r="I133" s="304">
        <f>VLOOKUP(H133,'Im 1B'!$A$2:$C$1947,3,FALSE)</f>
        <v>0</v>
      </c>
      <c r="J133" s="304" t="str">
        <f>VLOOKUP(H133,'Im 1B'!$A$2:$D$3215,4,FALSE)</f>
        <v>V</v>
      </c>
      <c r="K133" s="305">
        <f>IF(J133="D",VLOOKUP(H133,'Im 1B'!$A$2:$C$1947,2,FALSE),0)</f>
        <v>0</v>
      </c>
      <c r="L133" s="305">
        <f>IF(J133="V",VLOOKUP(H133,Vtas1B!$A$2:$B$2313,2,FALSE),0)</f>
        <v>27000000</v>
      </c>
      <c r="M133" s="307"/>
      <c r="N133" s="280" t="s">
        <v>2834</v>
      </c>
      <c r="O133" s="505">
        <f>VLOOKUP(N133,'Im 2'!$A$2:$C$2278,3,FALSE)</f>
        <v>80.349999999999994</v>
      </c>
      <c r="P133" s="304" t="str">
        <f>VLOOKUP(N133,'Im 2'!$A$2:$D$3546,4,FALSE)</f>
        <v>V</v>
      </c>
      <c r="Q133" s="305">
        <f>IF(P133="D",VLOOKUP(N133,'Im 2'!$A$2:$C$2278,2,FALSE),0)</f>
        <v>0</v>
      </c>
      <c r="R133" s="305">
        <f>IF(P133="V",VLOOKUP(N133,Vtas2!$A$2:$B$2425,2,FALSE),0)</f>
        <v>562345000</v>
      </c>
      <c r="S133" s="307"/>
      <c r="T133" s="304" t="s">
        <v>3865</v>
      </c>
      <c r="U133" s="505">
        <f>VLOOKUP(T133,'Im 3A'!$A$2:$C$2278,3,FALSE)</f>
        <v>60.95</v>
      </c>
      <c r="V133" s="304" t="str">
        <f>VLOOKUP(T133,'Im 3A'!$A$2:$D$3546,4,FALSE)</f>
        <v>V</v>
      </c>
      <c r="W133" s="305">
        <f>IF(V133="D",VLOOKUP(T133,'Im 3A'!$A$2:$C$2278,2,FALSE),0)</f>
        <v>0</v>
      </c>
      <c r="X133" s="305">
        <f>IF(V133="V",VLOOKUP(T133,Vtas3A!$A$2:$B$2425,2,FALSE),0)</f>
        <v>321673698</v>
      </c>
      <c r="Z133" s="304" t="s">
        <v>2643</v>
      </c>
      <c r="AA133" s="505">
        <f>VLOOKUP(Z133,'Im 3B'!$A$2:$C$2280,3,FALSE)</f>
        <v>0</v>
      </c>
      <c r="AB133" s="304" t="str">
        <f>VLOOKUP(Z133,'Im 3B'!$A$2:$D$3548,4,FALSE)</f>
        <v>V</v>
      </c>
      <c r="AC133" s="305">
        <f>IF(AB133="D",VLOOKUP(Z133,'Im 3B'!$A$2:$C$2280,2,FALSE),0)</f>
        <v>0</v>
      </c>
      <c r="AD133" s="305">
        <f>IF(AB133="V",VLOOKUP(Z133,Vtas3B!$A$2:$B$2438,2,FALSE),0)</f>
        <v>25000000</v>
      </c>
    </row>
    <row r="134" spans="2:30" x14ac:dyDescent="0.2">
      <c r="B134" s="304" t="s">
        <v>2106</v>
      </c>
      <c r="C134" s="505">
        <f>VLOOKUP(B134,'Im 1A'!$A$2:$C$1963,3,FALSE)</f>
        <v>78.650000000000006</v>
      </c>
      <c r="D134" s="304" t="str">
        <f>VLOOKUP(B134,'Im 1A'!$A$2:$D$3231,4,FALSE)</f>
        <v>V</v>
      </c>
      <c r="E134" s="305">
        <f>IF(D134="D",VLOOKUP(B134,'Im 1A'!$A$2:$C$1963,2,FALSE),0)</f>
        <v>0</v>
      </c>
      <c r="F134" s="305">
        <f>IF(D134="V",VLOOKUP(B134,Vtas1A!$A$2:$B$2357,2,FALSE),0)</f>
        <v>325563156</v>
      </c>
      <c r="G134" s="306"/>
      <c r="H134" s="304" t="s">
        <v>1340</v>
      </c>
      <c r="I134" s="304">
        <f>VLOOKUP(H134,'Im 1B'!$A$2:$C$1947,3,FALSE)</f>
        <v>0</v>
      </c>
      <c r="J134" s="304" t="str">
        <f>VLOOKUP(H134,'Im 1B'!$A$2:$D$3215,4,FALSE)</f>
        <v>V</v>
      </c>
      <c r="K134" s="305">
        <f>IF(J134="D",VLOOKUP(H134,'Im 1B'!$A$2:$C$1947,2,FALSE),0)</f>
        <v>0</v>
      </c>
      <c r="L134" s="305">
        <f>IF(J134="V",VLOOKUP(H134,Vtas1B!$A$2:$B$2313,2,FALSE),0)</f>
        <v>27000000</v>
      </c>
      <c r="M134" s="307"/>
      <c r="N134" s="280" t="s">
        <v>2835</v>
      </c>
      <c r="O134" s="505">
        <f>VLOOKUP(N134,'Im 2'!$A$2:$C$2278,3,FALSE)</f>
        <v>57.65</v>
      </c>
      <c r="P134" s="304" t="str">
        <f>VLOOKUP(N134,'Im 2'!$A$2:$D$3546,4,FALSE)</f>
        <v>V</v>
      </c>
      <c r="Q134" s="305">
        <f>IF(P134="D",VLOOKUP(N134,'Im 2'!$A$2:$C$2278,2,FALSE),0)</f>
        <v>0</v>
      </c>
      <c r="R134" s="305">
        <f>IF(P134="V",VLOOKUP(N134,Vtas2!$A$2:$B$2425,2,FALSE),0)</f>
        <v>400725000</v>
      </c>
      <c r="S134" s="307"/>
      <c r="T134" s="304" t="s">
        <v>3866</v>
      </c>
      <c r="U134" s="505">
        <f>VLOOKUP(T134,'Im 3A'!$A$2:$C$2278,3,FALSE)</f>
        <v>71.95</v>
      </c>
      <c r="V134" s="304" t="str">
        <f>VLOOKUP(T134,'Im 3A'!$A$2:$D$3546,4,FALSE)</f>
        <v>V</v>
      </c>
      <c r="W134" s="305">
        <f>IF(V134="D",VLOOKUP(T134,'Im 3A'!$A$2:$C$2278,2,FALSE),0)</f>
        <v>0</v>
      </c>
      <c r="X134" s="305">
        <f>IF(V134="V",VLOOKUP(T134,Vtas3A!$A$2:$B$2425,2,FALSE),0)</f>
        <v>360920846</v>
      </c>
      <c r="Z134" s="304" t="s">
        <v>1498</v>
      </c>
      <c r="AA134" s="505">
        <f>VLOOKUP(Z134,'Im 3B'!$A$2:$C$2280,3,FALSE)</f>
        <v>0</v>
      </c>
      <c r="AB134" s="304" t="str">
        <f>VLOOKUP(Z134,'Im 3B'!$A$2:$D$3548,4,FALSE)</f>
        <v>V</v>
      </c>
      <c r="AC134" s="305">
        <f>IF(AB134="D",VLOOKUP(Z134,'Im 3B'!$A$2:$C$2280,2,FALSE),0)</f>
        <v>0</v>
      </c>
      <c r="AD134" s="305">
        <f>IF(AB134="V",VLOOKUP(Z134,Vtas3B!$A$2:$B$2438,2,FALSE),0)</f>
        <v>25000000</v>
      </c>
    </row>
    <row r="135" spans="2:30" x14ac:dyDescent="0.2">
      <c r="B135" s="304" t="s">
        <v>2107</v>
      </c>
      <c r="C135" s="505">
        <f>VLOOKUP(B135,'Im 1A'!$A$2:$C$1963,3,FALSE)</f>
        <v>78.400000000000006</v>
      </c>
      <c r="D135" s="304" t="str">
        <f>VLOOKUP(B135,'Im 1A'!$A$2:$D$3231,4,FALSE)</f>
        <v>V</v>
      </c>
      <c r="E135" s="305">
        <f>IF(D135="D",VLOOKUP(B135,'Im 1A'!$A$2:$C$1963,2,FALSE),0)</f>
        <v>0</v>
      </c>
      <c r="F135" s="305">
        <f>IF(D135="V",VLOOKUP(B135,Vtas1A!$A$2:$B$2357,2,FALSE),0)</f>
        <v>321692895</v>
      </c>
      <c r="G135" s="306"/>
      <c r="H135" s="304" t="s">
        <v>1484</v>
      </c>
      <c r="I135" s="304">
        <f>VLOOKUP(H135,'Im 1B'!$A$2:$C$1947,3,FALSE)</f>
        <v>0</v>
      </c>
      <c r="J135" s="304" t="str">
        <f>VLOOKUP(H135,'Im 1B'!$A$2:$D$3215,4,FALSE)</f>
        <v>V</v>
      </c>
      <c r="K135" s="305">
        <f>IF(J135="D",VLOOKUP(H135,'Im 1B'!$A$2:$C$1947,2,FALSE),0)</f>
        <v>0</v>
      </c>
      <c r="L135" s="305">
        <f>IF(J135="V",VLOOKUP(H135,Vtas1B!$A$2:$B$2313,2,FALSE),0)</f>
        <v>22000000</v>
      </c>
      <c r="M135" s="307"/>
      <c r="N135" s="280" t="s">
        <v>2859</v>
      </c>
      <c r="O135" s="505">
        <f>VLOOKUP(N135,'Im 2'!$A$2:$C$2278,3,FALSE)</f>
        <v>80.05</v>
      </c>
      <c r="P135" s="304" t="str">
        <f>VLOOKUP(N135,'Im 2'!$A$2:$D$3546,4,FALSE)</f>
        <v>V</v>
      </c>
      <c r="Q135" s="305">
        <f>IF(P135="D",VLOOKUP(N135,'Im 2'!$A$2:$C$2278,2,FALSE),0)</f>
        <v>0</v>
      </c>
      <c r="R135" s="305">
        <f>IF(P135="V",VLOOKUP(N135,Vtas2!$A$2:$B$2425,2,FALSE),0)</f>
        <v>538569175</v>
      </c>
      <c r="S135" s="307"/>
      <c r="T135" s="304" t="s">
        <v>3867</v>
      </c>
      <c r="U135" s="505">
        <f>VLOOKUP(T135,'Im 3A'!$A$2:$C$2278,3,FALSE)</f>
        <v>60.91</v>
      </c>
      <c r="V135" s="304" t="str">
        <f>VLOOKUP(T135,'Im 3A'!$A$2:$D$3546,4,FALSE)</f>
        <v>V</v>
      </c>
      <c r="W135" s="305">
        <f>IF(V135="D",VLOOKUP(T135,'Im 3A'!$A$2:$C$2278,2,FALSE),0)</f>
        <v>0</v>
      </c>
      <c r="X135" s="305">
        <f>IF(V135="V",VLOOKUP(T135,Vtas3A!$A$2:$B$2425,2,FALSE),0)</f>
        <v>285384644</v>
      </c>
      <c r="Z135" s="304" t="s">
        <v>1269</v>
      </c>
      <c r="AA135" s="505">
        <f>VLOOKUP(Z135,'Im 3B'!$A$2:$C$2280,3,FALSE)</f>
        <v>0</v>
      </c>
      <c r="AB135" s="304" t="str">
        <f>VLOOKUP(Z135,'Im 3B'!$A$2:$D$3548,4,FALSE)</f>
        <v>V</v>
      </c>
      <c r="AC135" s="305">
        <f>IF(AB135="D",VLOOKUP(Z135,'Im 3B'!$A$2:$C$2280,2,FALSE),0)</f>
        <v>0</v>
      </c>
      <c r="AD135" s="305">
        <f>IF(AB135="V",VLOOKUP(Z135,Vtas3B!$A$2:$B$2438,2,FALSE),0)</f>
        <v>25000000</v>
      </c>
    </row>
    <row r="136" spans="2:30" x14ac:dyDescent="0.2">
      <c r="B136" s="304" t="s">
        <v>2108</v>
      </c>
      <c r="C136" s="505">
        <f>VLOOKUP(B136,'Im 1A'!$A$2:$C$1963,3,FALSE)</f>
        <v>60.8</v>
      </c>
      <c r="D136" s="304" t="str">
        <f>VLOOKUP(B136,'Im 1A'!$A$2:$D$3231,4,FALSE)</f>
        <v>V</v>
      </c>
      <c r="E136" s="305">
        <f>IF(D136="D",VLOOKUP(B136,'Im 1A'!$A$2:$C$1963,2,FALSE),0)</f>
        <v>0</v>
      </c>
      <c r="F136" s="305">
        <f>IF(D136="V",VLOOKUP(B136,Vtas1A!$A$2:$B$2357,2,FALSE),0)</f>
        <v>256962396</v>
      </c>
      <c r="G136" s="306"/>
      <c r="H136" s="304" t="s">
        <v>3729</v>
      </c>
      <c r="I136" s="304">
        <f>VLOOKUP(H136,'Im 1B'!$A$2:$C$1947,3,FALSE)</f>
        <v>0</v>
      </c>
      <c r="J136" s="304" t="str">
        <f>VLOOKUP(H136,'Im 1B'!$A$2:$D$3215,4,FALSE)</f>
        <v>V</v>
      </c>
      <c r="K136" s="305">
        <f>IF(J136="D",VLOOKUP(H136,'Im 1B'!$A$2:$C$1947,2,FALSE),0)</f>
        <v>0</v>
      </c>
      <c r="L136" s="305">
        <f>IF(J136="V",VLOOKUP(H136,Vtas1B!$A$2:$B$2313,2,FALSE),0)</f>
        <v>22000000</v>
      </c>
      <c r="M136" s="307"/>
      <c r="N136" s="280" t="s">
        <v>2836</v>
      </c>
      <c r="O136" s="505">
        <f>VLOOKUP(N136,'Im 2'!$A$2:$C$2278,3,FALSE)</f>
        <v>60.4</v>
      </c>
      <c r="P136" s="304" t="str">
        <f>VLOOKUP(N136,'Im 2'!$A$2:$D$3546,4,FALSE)</f>
        <v>V</v>
      </c>
      <c r="Q136" s="305">
        <f>IF(P136="D",VLOOKUP(N136,'Im 2'!$A$2:$C$2278,2,FALSE),0)</f>
        <v>0</v>
      </c>
      <c r="R136" s="305">
        <f>IF(P136="V",VLOOKUP(N136,Vtas2!$A$2:$B$2425,2,FALSE),0)</f>
        <v>377420000</v>
      </c>
      <c r="S136" s="307"/>
      <c r="T136" s="304" t="s">
        <v>3868</v>
      </c>
      <c r="U136" s="505">
        <f>VLOOKUP(T136,'Im 3A'!$A$2:$C$2278,3,FALSE)</f>
        <v>78.45</v>
      </c>
      <c r="V136" s="304" t="str">
        <f>VLOOKUP(T136,'Im 3A'!$A$2:$D$3546,4,FALSE)</f>
        <v>V</v>
      </c>
      <c r="W136" s="305">
        <f>IF(V136="D",VLOOKUP(T136,'Im 3A'!$A$2:$C$2278,2,FALSE),0)</f>
        <v>0</v>
      </c>
      <c r="X136" s="305">
        <f>IF(V136="V",VLOOKUP(T136,Vtas3A!$A$2:$B$2425,2,FALSE),0)</f>
        <v>379465915</v>
      </c>
      <c r="Z136" s="304" t="s">
        <v>1270</v>
      </c>
      <c r="AA136" s="505">
        <f>VLOOKUP(Z136,'Im 3B'!$A$2:$C$2280,3,FALSE)</f>
        <v>0</v>
      </c>
      <c r="AB136" s="304" t="str">
        <f>VLOOKUP(Z136,'Im 3B'!$A$2:$D$3548,4,FALSE)</f>
        <v>V</v>
      </c>
      <c r="AC136" s="305">
        <f>IF(AB136="D",VLOOKUP(Z136,'Im 3B'!$A$2:$C$2280,2,FALSE),0)</f>
        <v>0</v>
      </c>
      <c r="AD136" s="305">
        <f>IF(AB136="V",VLOOKUP(Z136,Vtas3B!$A$2:$B$2438,2,FALSE),0)</f>
        <v>25000000</v>
      </c>
    </row>
    <row r="137" spans="2:30" x14ac:dyDescent="0.2">
      <c r="B137" s="304" t="s">
        <v>2109</v>
      </c>
      <c r="C137" s="505">
        <f>VLOOKUP(B137,'Im 1A'!$A$2:$C$1963,3,FALSE)</f>
        <v>71.900000000000006</v>
      </c>
      <c r="D137" s="304" t="str">
        <f>VLOOKUP(B137,'Im 1A'!$A$2:$D$3231,4,FALSE)</f>
        <v>V</v>
      </c>
      <c r="E137" s="305">
        <f>IF(D137="D",VLOOKUP(B137,'Im 1A'!$A$2:$C$1963,2,FALSE),0)</f>
        <v>0</v>
      </c>
      <c r="F137" s="305">
        <f>IF(D137="V",VLOOKUP(B137,Vtas1A!$A$2:$B$2357,2,FALSE),0)</f>
        <v>340577000</v>
      </c>
      <c r="G137" s="306"/>
      <c r="H137" s="304" t="s">
        <v>3451</v>
      </c>
      <c r="I137" s="304">
        <f>VLOOKUP(H137,'Im 1B'!$A$2:$C$1947,3,FALSE)</f>
        <v>0</v>
      </c>
      <c r="J137" s="304" t="str">
        <f>VLOOKUP(H137,'Im 1B'!$A$2:$D$3215,4,FALSE)</f>
        <v>V</v>
      </c>
      <c r="K137" s="305">
        <f>IF(J137="D",VLOOKUP(H137,'Im 1B'!$A$2:$C$1947,2,FALSE),0)</f>
        <v>0</v>
      </c>
      <c r="L137" s="305">
        <f>IF(J137="V",VLOOKUP(H137,Vtas1B!$A$2:$B$2313,2,FALSE),0)</f>
        <v>22000000</v>
      </c>
      <c r="M137" s="307"/>
      <c r="N137" s="280" t="s">
        <v>2860</v>
      </c>
      <c r="O137" s="505">
        <f>VLOOKUP(N137,'Im 2'!$A$2:$C$2278,3,FALSE)</f>
        <v>82.25</v>
      </c>
      <c r="P137" s="304" t="str">
        <f>VLOOKUP(N137,'Im 2'!$A$2:$D$3546,4,FALSE)</f>
        <v>V</v>
      </c>
      <c r="Q137" s="305">
        <f>IF(P137="D",VLOOKUP(N137,'Im 2'!$A$2:$C$2278,2,FALSE),0)</f>
        <v>0</v>
      </c>
      <c r="R137" s="305">
        <f>IF(P137="V",VLOOKUP(N137,Vtas2!$A$2:$B$2425,2,FALSE),0)</f>
        <v>500500000</v>
      </c>
      <c r="S137" s="307"/>
      <c r="T137" s="304" t="s">
        <v>3869</v>
      </c>
      <c r="U137" s="505">
        <f>VLOOKUP(T137,'Im 3A'!$A$2:$C$2278,3,FALSE)</f>
        <v>77.98</v>
      </c>
      <c r="V137" s="304" t="str">
        <f>VLOOKUP(T137,'Im 3A'!$A$2:$D$3546,4,FALSE)</f>
        <v>V</v>
      </c>
      <c r="W137" s="305">
        <f>IF(V137="D",VLOOKUP(T137,'Im 3A'!$A$2:$C$2278,2,FALSE),0)</f>
        <v>0</v>
      </c>
      <c r="X137" s="305">
        <f>IF(V137="V",VLOOKUP(T137,Vtas3A!$A$2:$B$2425,2,FALSE),0)</f>
        <v>391465748</v>
      </c>
      <c r="Z137" s="304" t="s">
        <v>3100</v>
      </c>
      <c r="AA137" s="505">
        <f>VLOOKUP(Z137,'Im 3B'!$A$2:$C$2280,3,FALSE)</f>
        <v>0</v>
      </c>
      <c r="AB137" s="304" t="str">
        <f>VLOOKUP(Z137,'Im 3B'!$A$2:$D$3548,4,FALSE)</f>
        <v>V</v>
      </c>
      <c r="AC137" s="305">
        <f>IF(AB137="D",VLOOKUP(Z137,'Im 3B'!$A$2:$C$2280,2,FALSE),0)</f>
        <v>0</v>
      </c>
      <c r="AD137" s="305">
        <f>IF(AB137="V",VLOOKUP(Z137,Vtas3B!$A$2:$B$2438,2,FALSE),0)</f>
        <v>25000000</v>
      </c>
    </row>
    <row r="138" spans="2:30" x14ac:dyDescent="0.2">
      <c r="B138" s="304" t="s">
        <v>2110</v>
      </c>
      <c r="C138" s="505">
        <f>VLOOKUP(B138,'Im 1A'!$A$2:$C$1963,3,FALSE)</f>
        <v>71</v>
      </c>
      <c r="D138" s="304" t="str">
        <f>VLOOKUP(B138,'Im 1A'!$A$2:$D$3231,4,FALSE)</f>
        <v>V</v>
      </c>
      <c r="E138" s="305">
        <f>IF(D138="D",VLOOKUP(B138,'Im 1A'!$A$2:$C$1963,2,FALSE),0)</f>
        <v>0</v>
      </c>
      <c r="F138" s="305">
        <f>IF(D138="V",VLOOKUP(B138,Vtas1A!$A$2:$B$2357,2,FALSE),0)</f>
        <v>298609123</v>
      </c>
      <c r="G138" s="306"/>
      <c r="H138" s="304" t="s">
        <v>1363</v>
      </c>
      <c r="I138" s="304">
        <f>VLOOKUP(H138,'Im 1B'!$A$2:$C$1947,3,FALSE)</f>
        <v>0</v>
      </c>
      <c r="J138" s="304" t="str">
        <f>VLOOKUP(H138,'Im 1B'!$A$2:$D$3215,4,FALSE)</f>
        <v>V</v>
      </c>
      <c r="K138" s="305">
        <f>IF(J138="D",VLOOKUP(H138,'Im 1B'!$A$2:$C$1947,2,FALSE),0)</f>
        <v>0</v>
      </c>
      <c r="L138" s="305">
        <f>IF(J138="V",VLOOKUP(H138,Vtas1B!$A$2:$B$2313,2,FALSE),0)</f>
        <v>22000000</v>
      </c>
      <c r="M138" s="307"/>
      <c r="N138" s="313">
        <f>++COUNTA(N13:N137)</f>
        <v>125</v>
      </c>
      <c r="O138" s="314">
        <f>SUM(O13:O137)</f>
        <v>9115.0400000000027</v>
      </c>
      <c r="P138" s="313"/>
      <c r="Q138" s="315">
        <f>SUM(Q13:Q137)</f>
        <v>4960242000</v>
      </c>
      <c r="R138" s="315">
        <f>SUM(R13:R137)</f>
        <v>52918315368</v>
      </c>
      <c r="S138" s="307"/>
      <c r="T138" s="304" t="s">
        <v>3870</v>
      </c>
      <c r="U138" s="505">
        <f>VLOOKUP(T138,'Im 3A'!$A$2:$C$2278,3,FALSE)</f>
        <v>60.95</v>
      </c>
      <c r="V138" s="304" t="str">
        <f>VLOOKUP(T138,'Im 3A'!$A$2:$D$3546,4,FALSE)</f>
        <v>V</v>
      </c>
      <c r="W138" s="305">
        <f>IF(V138="D",VLOOKUP(T138,'Im 3A'!$A$2:$C$2278,2,FALSE),0)</f>
        <v>0</v>
      </c>
      <c r="X138" s="305">
        <f>IF(V138="V",VLOOKUP(T138,Vtas3A!$A$2:$B$2425,2,FALSE),0)</f>
        <v>291349355</v>
      </c>
      <c r="Z138" s="304" t="s">
        <v>2232</v>
      </c>
      <c r="AA138" s="505">
        <f>VLOOKUP(Z138,'Im 3B'!$A$2:$C$2280,3,FALSE)</f>
        <v>0</v>
      </c>
      <c r="AB138" s="304" t="str">
        <f>VLOOKUP(Z138,'Im 3B'!$A$2:$D$3548,4,FALSE)</f>
        <v>V</v>
      </c>
      <c r="AC138" s="305">
        <f>IF(AB138="D",VLOOKUP(Z138,'Im 3B'!$A$2:$C$2280,2,FALSE),0)</f>
        <v>0</v>
      </c>
      <c r="AD138" s="305">
        <f>IF(AB138="V",VLOOKUP(Z138,Vtas3B!$A$2:$B$2438,2,FALSE),0)</f>
        <v>25000000</v>
      </c>
    </row>
    <row r="139" spans="2:30" x14ac:dyDescent="0.2">
      <c r="B139" s="304" t="s">
        <v>2111</v>
      </c>
      <c r="C139" s="505">
        <f>VLOOKUP(B139,'Im 1A'!$A$2:$C$1963,3,FALSE)</f>
        <v>60.9</v>
      </c>
      <c r="D139" s="304" t="str">
        <f>VLOOKUP(B139,'Im 1A'!$A$2:$D$3231,4,FALSE)</f>
        <v>V</v>
      </c>
      <c r="E139" s="305">
        <f>IF(D139="D",VLOOKUP(B139,'Im 1A'!$A$2:$C$1963,2,FALSE),0)</f>
        <v>0</v>
      </c>
      <c r="F139" s="305">
        <f>IF(D139="V",VLOOKUP(B139,Vtas1A!$A$2:$B$2357,2,FALSE),0)</f>
        <v>234591999</v>
      </c>
      <c r="G139" s="306"/>
      <c r="H139" s="304" t="s">
        <v>1407</v>
      </c>
      <c r="I139" s="304">
        <f>VLOOKUP(H139,'Im 1B'!$A$2:$C$1947,3,FALSE)</f>
        <v>0</v>
      </c>
      <c r="J139" s="304" t="str">
        <f>VLOOKUP(H139,'Im 1B'!$A$2:$D$3215,4,FALSE)</f>
        <v>V</v>
      </c>
      <c r="K139" s="305">
        <f>IF(J139="D",VLOOKUP(H139,'Im 1B'!$A$2:$C$1947,2,FALSE),0)</f>
        <v>0</v>
      </c>
      <c r="L139" s="305">
        <f>IF(J139="V",VLOOKUP(H139,Vtas1B!$A$2:$B$2313,2,FALSE),0)</f>
        <v>22000000</v>
      </c>
      <c r="M139" s="307"/>
      <c r="S139" s="307"/>
      <c r="T139" s="304" t="s">
        <v>3871</v>
      </c>
      <c r="U139" s="505">
        <f>VLOOKUP(T139,'Im 3A'!$A$2:$C$2278,3,FALSE)</f>
        <v>71.900000000000006</v>
      </c>
      <c r="V139" s="304" t="str">
        <f>VLOOKUP(T139,'Im 3A'!$A$2:$D$3546,4,FALSE)</f>
        <v>V</v>
      </c>
      <c r="W139" s="305">
        <f>IF(V139="D",VLOOKUP(T139,'Im 3A'!$A$2:$C$2278,2,FALSE),0)</f>
        <v>0</v>
      </c>
      <c r="X139" s="305">
        <f>IF(V139="V",VLOOKUP(T139,Vtas3A!$A$2:$B$2425,2,FALSE),0)</f>
        <v>420430444</v>
      </c>
      <c r="Z139" s="304" t="s">
        <v>2301</v>
      </c>
      <c r="AA139" s="505">
        <f>VLOOKUP(Z139,'Im 3B'!$A$2:$C$2280,3,FALSE)</f>
        <v>0</v>
      </c>
      <c r="AB139" s="304" t="str">
        <f>VLOOKUP(Z139,'Im 3B'!$A$2:$D$3548,4,FALSE)</f>
        <v>V</v>
      </c>
      <c r="AC139" s="305">
        <f>IF(AB139="D",VLOOKUP(Z139,'Im 3B'!$A$2:$C$2280,2,FALSE),0)</f>
        <v>0</v>
      </c>
      <c r="AD139" s="305">
        <f>IF(AB139="V",VLOOKUP(Z139,Vtas3B!$A$2:$B$2438,2,FALSE),0)</f>
        <v>25000000</v>
      </c>
    </row>
    <row r="140" spans="2:30" x14ac:dyDescent="0.2">
      <c r="B140" s="304" t="s">
        <v>2112</v>
      </c>
      <c r="C140" s="505">
        <f>VLOOKUP(B140,'Im 1A'!$A$2:$C$1963,3,FALSE)</f>
        <v>77.3</v>
      </c>
      <c r="D140" s="304" t="str">
        <f>VLOOKUP(B140,'Im 1A'!$A$2:$D$3231,4,FALSE)</f>
        <v>V</v>
      </c>
      <c r="E140" s="305">
        <f>IF(D140="D",VLOOKUP(B140,'Im 1A'!$A$2:$C$1963,2,FALSE),0)</f>
        <v>0</v>
      </c>
      <c r="F140" s="305">
        <f>IF(D140="V",VLOOKUP(B140,Vtas1A!$A$2:$B$2357,2,FALSE),0)</f>
        <v>320120750</v>
      </c>
      <c r="G140" s="306"/>
      <c r="H140" s="304" t="s">
        <v>1364</v>
      </c>
      <c r="I140" s="304">
        <f>VLOOKUP(H140,'Im 1B'!$A$2:$C$1947,3,FALSE)</f>
        <v>0</v>
      </c>
      <c r="J140" s="304" t="str">
        <f>VLOOKUP(H140,'Im 1B'!$A$2:$D$3215,4,FALSE)</f>
        <v>V</v>
      </c>
      <c r="K140" s="305">
        <f>IF(J140="D",VLOOKUP(H140,'Im 1B'!$A$2:$C$1947,2,FALSE),0)</f>
        <v>0</v>
      </c>
      <c r="L140" s="305">
        <f>IF(J140="V",VLOOKUP(H140,Vtas1B!$A$2:$B$2313,2,FALSE),0)</f>
        <v>22000000</v>
      </c>
      <c r="M140" s="307"/>
      <c r="N140" s="833" t="s">
        <v>2666</v>
      </c>
      <c r="O140" s="834"/>
      <c r="P140" s="834"/>
      <c r="Q140" s="834"/>
      <c r="R140" s="835"/>
      <c r="S140" s="307"/>
      <c r="T140" s="304" t="s">
        <v>3872</v>
      </c>
      <c r="U140" s="505">
        <f>VLOOKUP(T140,'Im 3A'!$A$2:$C$2278,3,FALSE)</f>
        <v>60.91</v>
      </c>
      <c r="V140" s="304" t="str">
        <f>VLOOKUP(T140,'Im 3A'!$A$2:$D$3546,4,FALSE)</f>
        <v>V</v>
      </c>
      <c r="W140" s="305">
        <f>IF(V140="D",VLOOKUP(T140,'Im 3A'!$A$2:$C$2278,2,FALSE),0)</f>
        <v>0</v>
      </c>
      <c r="X140" s="305">
        <f>IF(V140="V",VLOOKUP(T140,Vtas3A!$A$2:$B$2425,2,FALSE),0)</f>
        <v>285381512</v>
      </c>
      <c r="Z140" s="304" t="s">
        <v>1565</v>
      </c>
      <c r="AA140" s="505">
        <f>VLOOKUP(Z140,'Im 3B'!$A$2:$C$2280,3,FALSE)</f>
        <v>0</v>
      </c>
      <c r="AB140" s="304" t="str">
        <f>VLOOKUP(Z140,'Im 3B'!$A$2:$D$3548,4,FALSE)</f>
        <v>V</v>
      </c>
      <c r="AC140" s="305">
        <f>IF(AB140="D",VLOOKUP(Z140,'Im 3B'!$A$2:$C$2280,2,FALSE),0)</f>
        <v>0</v>
      </c>
      <c r="AD140" s="305">
        <f>IF(AB140="V",VLOOKUP(Z140,Vtas3B!$A$2:$B$2438,2,FALSE),0)</f>
        <v>25000000</v>
      </c>
    </row>
    <row r="141" spans="2:30" x14ac:dyDescent="0.2">
      <c r="B141" s="304" t="s">
        <v>2113</v>
      </c>
      <c r="C141" s="505">
        <f>VLOOKUP(B141,'Im 1A'!$A$2:$C$1963,3,FALSE)</f>
        <v>77.3</v>
      </c>
      <c r="D141" s="304" t="str">
        <f>VLOOKUP(B141,'Im 1A'!$A$2:$D$3231,4,FALSE)</f>
        <v>V</v>
      </c>
      <c r="E141" s="305">
        <f>IF(D141="D",VLOOKUP(B141,'Im 1A'!$A$2:$C$1963,2,FALSE),0)</f>
        <v>0</v>
      </c>
      <c r="F141" s="305">
        <f>IF(D141="V",VLOOKUP(B141,Vtas1A!$A$2:$B$2357,2,FALSE),0)</f>
        <v>317111805</v>
      </c>
      <c r="G141" s="306"/>
      <c r="H141" s="304" t="s">
        <v>1408</v>
      </c>
      <c r="I141" s="304">
        <f>VLOOKUP(H141,'Im 1B'!$A$2:$C$1947,3,FALSE)</f>
        <v>0</v>
      </c>
      <c r="J141" s="304" t="str">
        <f>VLOOKUP(H141,'Im 1B'!$A$2:$D$3215,4,FALSE)</f>
        <v>V</v>
      </c>
      <c r="K141" s="305">
        <f>IF(J141="D",VLOOKUP(H141,'Im 1B'!$A$2:$C$1947,2,FALSE),0)</f>
        <v>0</v>
      </c>
      <c r="L141" s="305">
        <f>IF(J141="V",VLOOKUP(H141,Vtas1B!$A$2:$B$2313,2,FALSE),0)</f>
        <v>22000000</v>
      </c>
      <c r="M141" s="307"/>
      <c r="N141" s="311" t="s">
        <v>46</v>
      </c>
      <c r="O141" s="311" t="s">
        <v>31</v>
      </c>
      <c r="P141" s="311" t="s">
        <v>47</v>
      </c>
      <c r="Q141" s="311" t="s">
        <v>48</v>
      </c>
      <c r="R141" s="312" t="s">
        <v>55</v>
      </c>
      <c r="S141" s="307"/>
      <c r="T141" s="304" t="s">
        <v>3873</v>
      </c>
      <c r="U141" s="505">
        <f>VLOOKUP(T141,'Im 3A'!$A$2:$C$2278,3,FALSE)</f>
        <v>78.45</v>
      </c>
      <c r="V141" s="304" t="str">
        <f>VLOOKUP(T141,'Im 3A'!$A$2:$D$3546,4,FALSE)</f>
        <v>V</v>
      </c>
      <c r="W141" s="305">
        <f>IF(V141="D",VLOOKUP(T141,'Im 3A'!$A$2:$C$2278,2,FALSE),0)</f>
        <v>0</v>
      </c>
      <c r="X141" s="305">
        <f>IF(V141="V",VLOOKUP(T141,Vtas3A!$A$2:$B$2425,2,FALSE),0)</f>
        <v>393232804</v>
      </c>
      <c r="Z141" s="304" t="s">
        <v>1751</v>
      </c>
      <c r="AA141" s="505">
        <f>VLOOKUP(Z141,'Im 3B'!$A$2:$C$2280,3,FALSE)</f>
        <v>0</v>
      </c>
      <c r="AB141" s="304" t="str">
        <f>VLOOKUP(Z141,'Im 3B'!$A$2:$D$3548,4,FALSE)</f>
        <v>V</v>
      </c>
      <c r="AC141" s="305">
        <f>IF(AB141="D",VLOOKUP(Z141,'Im 3B'!$A$2:$C$2280,2,FALSE),0)</f>
        <v>0</v>
      </c>
      <c r="AD141" s="305">
        <f>IF(AB141="V",VLOOKUP(Z141,Vtas3B!$A$2:$B$2438,2,FALSE),0)</f>
        <v>25000000</v>
      </c>
    </row>
    <row r="142" spans="2:30" x14ac:dyDescent="0.2">
      <c r="B142" s="304" t="s">
        <v>2114</v>
      </c>
      <c r="C142" s="505">
        <f>VLOOKUP(B142,'Im 1A'!$A$2:$C$1963,3,FALSE)</f>
        <v>60.95</v>
      </c>
      <c r="D142" s="304" t="str">
        <f>VLOOKUP(B142,'Im 1A'!$A$2:$D$3231,4,FALSE)</f>
        <v>V</v>
      </c>
      <c r="E142" s="305">
        <f>IF(D142="D",VLOOKUP(B142,'Im 1A'!$A$2:$C$1963,2,FALSE),0)</f>
        <v>0</v>
      </c>
      <c r="F142" s="305">
        <f>IF(D142="V",VLOOKUP(B142,Vtas1A!$A$2:$B$2357,2,FALSE),0)</f>
        <v>226369524</v>
      </c>
      <c r="G142" s="306"/>
      <c r="H142" s="304" t="s">
        <v>1409</v>
      </c>
      <c r="I142" s="304">
        <f>VLOOKUP(H142,'Im 1B'!$A$2:$C$1947,3,FALSE)</f>
        <v>0</v>
      </c>
      <c r="J142" s="304" t="str">
        <f>VLOOKUP(H142,'Im 1B'!$A$2:$D$3215,4,FALSE)</f>
        <v>V</v>
      </c>
      <c r="K142" s="305">
        <f>IF(J142="D",VLOOKUP(H142,'Im 1B'!$A$2:$C$1947,2,FALSE),0)</f>
        <v>0</v>
      </c>
      <c r="L142" s="305">
        <f>IF(J142="V",VLOOKUP(H142,Vtas1B!$A$2:$B$2313,2,FALSE),0)</f>
        <v>22000000</v>
      </c>
      <c r="M142" s="307"/>
      <c r="N142" s="505" t="s">
        <v>2861</v>
      </c>
      <c r="O142" s="505">
        <f>VLOOKUP(N142,'Im 2'!$A$2:$C$2278,3,FALSE)</f>
        <v>0</v>
      </c>
      <c r="P142" s="304" t="str">
        <f>VLOOKUP(N142,'Im 2'!$A$2:$D$3546,4,FALSE)</f>
        <v>D</v>
      </c>
      <c r="Q142" s="305">
        <f>IF(P142="D",VLOOKUP(N142,'Im 2'!$A$2:$C$2278,2,FALSE),0)</f>
        <v>26000000</v>
      </c>
      <c r="R142" s="305">
        <f>IF(P142="V",VLOOKUP(N142,Vtas2!$A$2:$B$2425,2,FALSE),0)</f>
        <v>0</v>
      </c>
      <c r="S142" s="307"/>
      <c r="T142" s="304" t="s">
        <v>3874</v>
      </c>
      <c r="U142" s="505">
        <f>VLOOKUP(T142,'Im 3A'!$A$2:$C$2278,3,FALSE)</f>
        <v>78.400000000000006</v>
      </c>
      <c r="V142" s="304" t="str">
        <f>VLOOKUP(T142,'Im 3A'!$A$2:$D$3546,4,FALSE)</f>
        <v>V</v>
      </c>
      <c r="W142" s="305">
        <f>IF(V142="D",VLOOKUP(T142,'Im 3A'!$A$2:$C$2278,2,FALSE),0)</f>
        <v>0</v>
      </c>
      <c r="X142" s="305">
        <f>IF(V142="V",VLOOKUP(T142,Vtas3A!$A$2:$B$2425,2,FALSE),0)</f>
        <v>442715827</v>
      </c>
      <c r="Z142" s="304" t="s">
        <v>1752</v>
      </c>
      <c r="AA142" s="505">
        <f>VLOOKUP(Z142,'Im 3B'!$A$2:$C$2280,3,FALSE)</f>
        <v>0</v>
      </c>
      <c r="AB142" s="304" t="str">
        <f>VLOOKUP(Z142,'Im 3B'!$A$2:$D$3548,4,FALSE)</f>
        <v>V</v>
      </c>
      <c r="AC142" s="305">
        <f>IF(AB142="D",VLOOKUP(Z142,'Im 3B'!$A$2:$C$2280,2,FALSE),0)</f>
        <v>0</v>
      </c>
      <c r="AD142" s="305">
        <f>IF(AB142="V",VLOOKUP(Z142,Vtas3B!$A$2:$B$2438,2,FALSE),0)</f>
        <v>25000000</v>
      </c>
    </row>
    <row r="143" spans="2:30" x14ac:dyDescent="0.2">
      <c r="B143" s="304" t="s">
        <v>2115</v>
      </c>
      <c r="C143" s="505">
        <f>VLOOKUP(B143,'Im 1A'!$A$2:$C$1963,3,FALSE)</f>
        <v>71.2</v>
      </c>
      <c r="D143" s="304" t="str">
        <f>VLOOKUP(B143,'Im 1A'!$A$2:$D$3231,4,FALSE)</f>
        <v>V</v>
      </c>
      <c r="E143" s="305">
        <f>IF(D143="D",VLOOKUP(B143,'Im 1A'!$A$2:$C$1963,2,FALSE),0)</f>
        <v>0</v>
      </c>
      <c r="F143" s="305">
        <f>IF(D143="V",VLOOKUP(B143,Vtas1A!$A$2:$B$2357,2,FALSE),0)</f>
        <v>299271421</v>
      </c>
      <c r="G143" s="306"/>
      <c r="H143" s="304" t="s">
        <v>1410</v>
      </c>
      <c r="I143" s="304">
        <f>VLOOKUP(H143,'Im 1B'!$A$2:$C$1947,3,FALSE)</f>
        <v>0</v>
      </c>
      <c r="J143" s="304" t="str">
        <f>VLOOKUP(H143,'Im 1B'!$A$2:$D$3215,4,FALSE)</f>
        <v>V</v>
      </c>
      <c r="K143" s="305">
        <f>IF(J143="D",VLOOKUP(H143,'Im 1B'!$A$2:$C$1947,2,FALSE),0)</f>
        <v>0</v>
      </c>
      <c r="L143" s="305">
        <f>IF(J143="V",VLOOKUP(H143,Vtas1B!$A$2:$B$2313,2,FALSE),0)</f>
        <v>22000000</v>
      </c>
      <c r="M143" s="307"/>
      <c r="N143" s="505" t="s">
        <v>2862</v>
      </c>
      <c r="O143" s="505">
        <f>VLOOKUP(N143,'Im 2'!$A$2:$C$2278,3,FALSE)</f>
        <v>0</v>
      </c>
      <c r="P143" s="304" t="str">
        <f>VLOOKUP(N143,'Im 2'!$A$2:$D$3546,4,FALSE)</f>
        <v>D</v>
      </c>
      <c r="Q143" s="305">
        <f>IF(P143="D",VLOOKUP(N143,'Im 2'!$A$2:$C$2278,2,FALSE),0)</f>
        <v>26000000</v>
      </c>
      <c r="R143" s="305">
        <f>IF(P143="V",VLOOKUP(N143,Vtas2!$A$2:$B$2425,2,FALSE),0)</f>
        <v>0</v>
      </c>
      <c r="S143" s="307"/>
      <c r="T143" s="304" t="s">
        <v>3758</v>
      </c>
      <c r="U143" s="505">
        <f>VLOOKUP(T143,'Im 3A'!$A$2:$C$2278,3,FALSE)</f>
        <v>60.95</v>
      </c>
      <c r="V143" s="304" t="str">
        <f>VLOOKUP(T143,'Im 3A'!$A$2:$D$3546,4,FALSE)</f>
        <v>V</v>
      </c>
      <c r="W143" s="305">
        <f>IF(V143="D",VLOOKUP(T143,'Im 3A'!$A$2:$C$2278,2,FALSE),0)</f>
        <v>0</v>
      </c>
      <c r="X143" s="305">
        <f>IF(V143="V",VLOOKUP(T143,Vtas3A!$A$2:$B$2425,2,FALSE),0)</f>
        <v>393985000</v>
      </c>
      <c r="Z143" s="304" t="s">
        <v>1020</v>
      </c>
      <c r="AA143" s="505">
        <f>VLOOKUP(Z143,'Im 3B'!$A$2:$C$2280,3,FALSE)</f>
        <v>0</v>
      </c>
      <c r="AB143" s="304" t="str">
        <f>VLOOKUP(Z143,'Im 3B'!$A$2:$D$3548,4,FALSE)</f>
        <v>V</v>
      </c>
      <c r="AC143" s="305">
        <f>IF(AB143="D",VLOOKUP(Z143,'Im 3B'!$A$2:$C$2280,2,FALSE),0)</f>
        <v>0</v>
      </c>
      <c r="AD143" s="305">
        <f>IF(AB143="V",VLOOKUP(Z143,Vtas3B!$A$2:$B$2438,2,FALSE),0)</f>
        <v>25000000</v>
      </c>
    </row>
    <row r="144" spans="2:30" x14ac:dyDescent="0.2">
      <c r="B144" s="304" t="s">
        <v>2116</v>
      </c>
      <c r="C144" s="505">
        <f>VLOOKUP(B144,'Im 1A'!$A$2:$C$1963,3,FALSE)</f>
        <v>71.95</v>
      </c>
      <c r="D144" s="304" t="str">
        <f>VLOOKUP(B144,'Im 1A'!$A$2:$D$3231,4,FALSE)</f>
        <v>V</v>
      </c>
      <c r="E144" s="305">
        <f>IF(D144="D",VLOOKUP(B144,'Im 1A'!$A$2:$C$1963,2,FALSE),0)</f>
        <v>0</v>
      </c>
      <c r="F144" s="305">
        <f>IF(D144="V",VLOOKUP(B144,Vtas1A!$A$2:$B$2357,2,FALSE),0)</f>
        <v>282208144</v>
      </c>
      <c r="G144" s="306"/>
      <c r="H144" s="304" t="s">
        <v>3018</v>
      </c>
      <c r="I144" s="304">
        <f>VLOOKUP(H144,'Im 1B'!$A$2:$C$1947,3,FALSE)</f>
        <v>0</v>
      </c>
      <c r="J144" s="304" t="str">
        <f>VLOOKUP(H144,'Im 1B'!$A$2:$D$3215,4,FALSE)</f>
        <v>V</v>
      </c>
      <c r="K144" s="305">
        <f>IF(J144="D",VLOOKUP(H144,'Im 1B'!$A$2:$C$1947,2,FALSE),0)</f>
        <v>0</v>
      </c>
      <c r="L144" s="305">
        <f>IF(J144="V",VLOOKUP(H144,Vtas1B!$A$2:$B$2313,2,FALSE),0)</f>
        <v>22000000</v>
      </c>
      <c r="M144" s="307"/>
      <c r="N144" s="505" t="s">
        <v>1024</v>
      </c>
      <c r="O144" s="505">
        <f>VLOOKUP(N144,'Im 2'!$A$2:$C$2278,3,FALSE)</f>
        <v>0</v>
      </c>
      <c r="P144" s="304" t="str">
        <f>VLOOKUP(N144,'Im 2'!$A$2:$D$3546,4,FALSE)</f>
        <v>D</v>
      </c>
      <c r="Q144" s="305">
        <f>IF(P144="D",VLOOKUP(N144,'Im 2'!$A$2:$C$2278,2,FALSE),0)</f>
        <v>26000000</v>
      </c>
      <c r="R144" s="305">
        <f>IF(P144="V",VLOOKUP(N144,Vtas2!$A$2:$B$2425,2,FALSE),0)</f>
        <v>0</v>
      </c>
      <c r="S144" s="307"/>
      <c r="T144" s="304" t="s">
        <v>3875</v>
      </c>
      <c r="U144" s="505">
        <f>VLOOKUP(T144,'Im 3A'!$A$2:$C$2278,3,FALSE)</f>
        <v>71.900000000000006</v>
      </c>
      <c r="V144" s="304" t="str">
        <f>VLOOKUP(T144,'Im 3A'!$A$2:$D$3546,4,FALSE)</f>
        <v>V</v>
      </c>
      <c r="W144" s="305">
        <f>IF(V144="D",VLOOKUP(T144,'Im 3A'!$A$2:$C$2278,2,FALSE),0)</f>
        <v>0</v>
      </c>
      <c r="X144" s="305">
        <f>IF(V144="V",VLOOKUP(T144,Vtas3A!$A$2:$B$2425,2,FALSE),0)</f>
        <v>363136242</v>
      </c>
      <c r="Z144" s="304" t="s">
        <v>925</v>
      </c>
      <c r="AA144" s="505">
        <f>VLOOKUP(Z144,'Im 3B'!$A$2:$C$2280,3,FALSE)</f>
        <v>0</v>
      </c>
      <c r="AB144" s="304" t="str">
        <f>VLOOKUP(Z144,'Im 3B'!$A$2:$D$3548,4,FALSE)</f>
        <v>V</v>
      </c>
      <c r="AC144" s="305">
        <f>IF(AB144="D",VLOOKUP(Z144,'Im 3B'!$A$2:$C$2280,2,FALSE),0)</f>
        <v>0</v>
      </c>
      <c r="AD144" s="305">
        <f>IF(AB144="V",VLOOKUP(Z144,Vtas3B!$A$2:$B$2438,2,FALSE),0)</f>
        <v>25000000</v>
      </c>
    </row>
    <row r="145" spans="2:30" x14ac:dyDescent="0.2">
      <c r="B145" s="304" t="s">
        <v>2117</v>
      </c>
      <c r="C145" s="505">
        <f>VLOOKUP(B145,'Im 1A'!$A$2:$C$1963,3,FALSE)</f>
        <v>60.9</v>
      </c>
      <c r="D145" s="304" t="str">
        <f>VLOOKUP(B145,'Im 1A'!$A$2:$D$3231,4,FALSE)</f>
        <v>V</v>
      </c>
      <c r="E145" s="305">
        <f>IF(D145="D",VLOOKUP(B145,'Im 1A'!$A$2:$C$1963,2,FALSE),0)</f>
        <v>0</v>
      </c>
      <c r="F145" s="305">
        <f>IF(D145="V",VLOOKUP(B145,Vtas1A!$A$2:$B$2357,2,FALSE),0)</f>
        <v>249850283</v>
      </c>
      <c r="G145" s="306"/>
      <c r="H145" s="304" t="s">
        <v>1485</v>
      </c>
      <c r="I145" s="304">
        <f>VLOOKUP(H145,'Im 1B'!$A$2:$C$1947,3,FALSE)</f>
        <v>0</v>
      </c>
      <c r="J145" s="304" t="str">
        <f>VLOOKUP(H145,'Im 1B'!$A$2:$D$3215,4,FALSE)</f>
        <v>V</v>
      </c>
      <c r="K145" s="305">
        <f>IF(J145="D",VLOOKUP(H145,'Im 1B'!$A$2:$C$1947,2,FALSE),0)</f>
        <v>0</v>
      </c>
      <c r="L145" s="305">
        <f>IF(J145="V",VLOOKUP(H145,Vtas1B!$A$2:$B$2313,2,FALSE),0)</f>
        <v>22000000</v>
      </c>
      <c r="M145" s="307"/>
      <c r="N145" s="505" t="s">
        <v>2863</v>
      </c>
      <c r="O145" s="505">
        <f>VLOOKUP(N145,'Im 2'!$A$2:$C$2278,3,FALSE)</f>
        <v>0</v>
      </c>
      <c r="P145" s="304" t="str">
        <f>VLOOKUP(N145,'Im 2'!$A$2:$D$3546,4,FALSE)</f>
        <v>D</v>
      </c>
      <c r="Q145" s="305">
        <f>IF(P145="D",VLOOKUP(N145,'Im 2'!$A$2:$C$2278,2,FALSE),0)</f>
        <v>26000000</v>
      </c>
      <c r="R145" s="305">
        <f>IF(P145="V",VLOOKUP(N145,Vtas2!$A$2:$B$2425,2,FALSE),0)</f>
        <v>0</v>
      </c>
      <c r="S145" s="307"/>
      <c r="T145" s="304" t="s">
        <v>3876</v>
      </c>
      <c r="U145" s="505">
        <f>VLOOKUP(T145,'Im 3A'!$A$2:$C$2278,3,FALSE)</f>
        <v>60.91</v>
      </c>
      <c r="V145" s="304" t="str">
        <f>VLOOKUP(T145,'Im 3A'!$A$2:$D$3546,4,FALSE)</f>
        <v>V</v>
      </c>
      <c r="W145" s="305">
        <f>IF(V145="D",VLOOKUP(T145,'Im 3A'!$A$2:$C$2278,2,FALSE),0)</f>
        <v>0</v>
      </c>
      <c r="X145" s="305">
        <f>IF(V145="V",VLOOKUP(T145,Vtas3A!$A$2:$B$2425,2,FALSE),0)</f>
        <v>297777000</v>
      </c>
      <c r="Z145" s="304" t="s">
        <v>1345</v>
      </c>
      <c r="AA145" s="505">
        <f>VLOOKUP(Z145,'Im 3B'!$A$2:$C$2280,3,FALSE)</f>
        <v>0</v>
      </c>
      <c r="AB145" s="304" t="str">
        <f>VLOOKUP(Z145,'Im 3B'!$A$2:$D$3548,4,FALSE)</f>
        <v>V</v>
      </c>
      <c r="AC145" s="305">
        <f>IF(AB145="D",VLOOKUP(Z145,'Im 3B'!$A$2:$C$2280,2,FALSE),0)</f>
        <v>0</v>
      </c>
      <c r="AD145" s="305">
        <f>IF(AB145="V",VLOOKUP(Z145,Vtas3B!$A$2:$B$2438,2,FALSE),0)</f>
        <v>25000000</v>
      </c>
    </row>
    <row r="146" spans="2:30" x14ac:dyDescent="0.2">
      <c r="B146" s="304" t="s">
        <v>2118</v>
      </c>
      <c r="C146" s="505">
        <f>VLOOKUP(B146,'Im 1A'!$A$2:$C$1963,3,FALSE)</f>
        <v>78.45</v>
      </c>
      <c r="D146" s="304" t="str">
        <f>VLOOKUP(B146,'Im 1A'!$A$2:$D$3231,4,FALSE)</f>
        <v>V</v>
      </c>
      <c r="E146" s="305">
        <f>IF(D146="D",VLOOKUP(B146,'Im 1A'!$A$2:$C$1963,2,FALSE),0)</f>
        <v>0</v>
      </c>
      <c r="F146" s="305">
        <f>IF(D146="V",VLOOKUP(B146,Vtas1A!$A$2:$B$2357,2,FALSE),0)</f>
        <v>313506333</v>
      </c>
      <c r="G146" s="306"/>
      <c r="H146" s="304" t="s">
        <v>1486</v>
      </c>
      <c r="I146" s="304">
        <f>VLOOKUP(H146,'Im 1B'!$A$2:$C$1947,3,FALSE)</f>
        <v>0</v>
      </c>
      <c r="J146" s="304" t="str">
        <f>VLOOKUP(H146,'Im 1B'!$A$2:$D$3215,4,FALSE)</f>
        <v>V</v>
      </c>
      <c r="K146" s="305">
        <f>IF(J146="D",VLOOKUP(H146,'Im 1B'!$A$2:$C$1947,2,FALSE),0)</f>
        <v>0</v>
      </c>
      <c r="L146" s="305">
        <f>IF(J146="V",VLOOKUP(H146,Vtas1B!$A$2:$B$2313,2,FALSE),0)</f>
        <v>22000000</v>
      </c>
      <c r="M146" s="307"/>
      <c r="N146" s="505" t="s">
        <v>1025</v>
      </c>
      <c r="O146" s="505">
        <f>VLOOKUP(N146,'Im 2'!$A$2:$C$2278,3,FALSE)</f>
        <v>0</v>
      </c>
      <c r="P146" s="304" t="str">
        <f>VLOOKUP(N146,'Im 2'!$A$2:$D$3546,4,FALSE)</f>
        <v>D</v>
      </c>
      <c r="Q146" s="305">
        <f>IF(P146="D",VLOOKUP(N146,'Im 2'!$A$2:$C$2278,2,FALSE),0)</f>
        <v>26000000</v>
      </c>
      <c r="R146" s="305">
        <f>IF(P146="V",VLOOKUP(N146,Vtas2!$A$2:$B$2425,2,FALSE),0)</f>
        <v>0</v>
      </c>
      <c r="S146" s="307"/>
      <c r="T146" s="304" t="s">
        <v>3877</v>
      </c>
      <c r="U146" s="505">
        <f>VLOOKUP(T146,'Im 3A'!$A$2:$C$2278,3,FALSE)</f>
        <v>78.45</v>
      </c>
      <c r="V146" s="304" t="str">
        <f>VLOOKUP(T146,'Im 3A'!$A$2:$D$3546,4,FALSE)</f>
        <v>V</v>
      </c>
      <c r="W146" s="305">
        <f>IF(V146="D",VLOOKUP(T146,'Im 3A'!$A$2:$C$2278,2,FALSE),0)</f>
        <v>0</v>
      </c>
      <c r="X146" s="305">
        <f>IF(V146="V",VLOOKUP(T146,Vtas3A!$A$2:$B$2425,2,FALSE),0)</f>
        <v>411726844</v>
      </c>
      <c r="Z146" s="304" t="s">
        <v>1453</v>
      </c>
      <c r="AA146" s="505">
        <f>VLOOKUP(Z146,'Im 3B'!$A$2:$C$2280,3,FALSE)</f>
        <v>0</v>
      </c>
      <c r="AB146" s="304" t="str">
        <f>VLOOKUP(Z146,'Im 3B'!$A$2:$D$3548,4,FALSE)</f>
        <v>V</v>
      </c>
      <c r="AC146" s="305">
        <f>IF(AB146="D",VLOOKUP(Z146,'Im 3B'!$A$2:$C$2280,2,FALSE),0)</f>
        <v>0</v>
      </c>
      <c r="AD146" s="305">
        <f>IF(AB146="V",VLOOKUP(Z146,Vtas3B!$A$2:$B$2438,2,FALSE),0)</f>
        <v>25000000</v>
      </c>
    </row>
    <row r="147" spans="2:30" x14ac:dyDescent="0.2">
      <c r="B147" s="304" t="s">
        <v>2119</v>
      </c>
      <c r="C147" s="505">
        <f>VLOOKUP(B147,'Im 1A'!$A$2:$C$1963,3,FALSE)</f>
        <v>77.3</v>
      </c>
      <c r="D147" s="304" t="str">
        <f>VLOOKUP(B147,'Im 1A'!$A$2:$D$3231,4,FALSE)</f>
        <v>V</v>
      </c>
      <c r="E147" s="305">
        <f>IF(D147="D",VLOOKUP(B147,'Im 1A'!$A$2:$C$1963,2,FALSE),0)</f>
        <v>0</v>
      </c>
      <c r="F147" s="305">
        <f>IF(D147="V",VLOOKUP(B147,Vtas1A!$A$2:$B$2357,2,FALSE),0)</f>
        <v>326591458</v>
      </c>
      <c r="G147" s="306"/>
      <c r="H147" s="304" t="s">
        <v>3019</v>
      </c>
      <c r="I147" s="304">
        <f>VLOOKUP(H147,'Im 1B'!$A$2:$C$1947,3,FALSE)</f>
        <v>0</v>
      </c>
      <c r="J147" s="304" t="str">
        <f>VLOOKUP(H147,'Im 1B'!$A$2:$D$3215,4,FALSE)</f>
        <v>V</v>
      </c>
      <c r="K147" s="305">
        <f>IF(J147="D",VLOOKUP(H147,'Im 1B'!$A$2:$C$1947,2,FALSE),0)</f>
        <v>0</v>
      </c>
      <c r="L147" s="305">
        <f>IF(J147="V",VLOOKUP(H147,Vtas1B!$A$2:$B$2313,2,FALSE),0)</f>
        <v>22000000</v>
      </c>
      <c r="M147" s="307"/>
      <c r="N147" s="505" t="s">
        <v>1026</v>
      </c>
      <c r="O147" s="505">
        <f>VLOOKUP(N147,'Im 2'!$A$2:$C$2278,3,FALSE)</f>
        <v>0</v>
      </c>
      <c r="P147" s="304" t="str">
        <f>VLOOKUP(N147,'Im 2'!$A$2:$D$3546,4,FALSE)</f>
        <v>D</v>
      </c>
      <c r="Q147" s="305">
        <f>IF(P147="D",VLOOKUP(N147,'Im 2'!$A$2:$C$2278,2,FALSE),0)</f>
        <v>26000000</v>
      </c>
      <c r="R147" s="305">
        <f>IF(P147="V",VLOOKUP(N147,Vtas2!$A$2:$B$2425,2,FALSE),0)</f>
        <v>0</v>
      </c>
      <c r="S147" s="307"/>
      <c r="T147" s="304" t="s">
        <v>3878</v>
      </c>
      <c r="U147" s="505">
        <f>VLOOKUP(T147,'Im 3A'!$A$2:$C$2278,3,FALSE)</f>
        <v>77.98</v>
      </c>
      <c r="V147" s="304" t="str">
        <f>VLOOKUP(T147,'Im 3A'!$A$2:$D$3546,4,FALSE)</f>
        <v>V</v>
      </c>
      <c r="W147" s="305">
        <f>IF(V147="D",VLOOKUP(T147,'Im 3A'!$A$2:$C$2278,2,FALSE),0)</f>
        <v>0</v>
      </c>
      <c r="X147" s="305">
        <f>IF(V147="V",VLOOKUP(T147,Vtas3A!$A$2:$B$2425,2,FALSE),0)</f>
        <v>394308000</v>
      </c>
      <c r="Z147" s="304" t="s">
        <v>1566</v>
      </c>
      <c r="AA147" s="505">
        <f>VLOOKUP(Z147,'Im 3B'!$A$2:$C$2280,3,FALSE)</f>
        <v>0</v>
      </c>
      <c r="AB147" s="304" t="str">
        <f>VLOOKUP(Z147,'Im 3B'!$A$2:$D$3548,4,FALSE)</f>
        <v>V</v>
      </c>
      <c r="AC147" s="305">
        <f>IF(AB147="D",VLOOKUP(Z147,'Im 3B'!$A$2:$C$2280,2,FALSE),0)</f>
        <v>0</v>
      </c>
      <c r="AD147" s="305">
        <f>IF(AB147="V",VLOOKUP(Z147,Vtas3B!$A$2:$B$2438,2,FALSE),0)</f>
        <v>25000000</v>
      </c>
    </row>
    <row r="148" spans="2:30" x14ac:dyDescent="0.2">
      <c r="B148" s="304" t="s">
        <v>2120</v>
      </c>
      <c r="C148" s="505">
        <f>VLOOKUP(B148,'Im 1A'!$A$2:$C$1963,3,FALSE)</f>
        <v>60.95</v>
      </c>
      <c r="D148" s="304" t="str">
        <f>VLOOKUP(B148,'Im 1A'!$A$2:$D$3231,4,FALSE)</f>
        <v>V</v>
      </c>
      <c r="E148" s="305">
        <f>IF(D148="D",VLOOKUP(B148,'Im 1A'!$A$2:$C$1963,2,FALSE),0)</f>
        <v>0</v>
      </c>
      <c r="F148" s="305">
        <f>IF(D148="V",VLOOKUP(B148,Vtas1A!$A$2:$B$2357,2,FALSE),0)</f>
        <v>252100000</v>
      </c>
      <c r="G148" s="306"/>
      <c r="H148" s="304" t="s">
        <v>1411</v>
      </c>
      <c r="I148" s="304">
        <f>VLOOKUP(H148,'Im 1B'!$A$2:$C$1947,3,FALSE)</f>
        <v>0</v>
      </c>
      <c r="J148" s="304" t="str">
        <f>VLOOKUP(H148,'Im 1B'!$A$2:$D$3215,4,FALSE)</f>
        <v>V</v>
      </c>
      <c r="K148" s="305">
        <f>IF(J148="D",VLOOKUP(H148,'Im 1B'!$A$2:$C$1947,2,FALSE),0)</f>
        <v>0</v>
      </c>
      <c r="L148" s="305">
        <f>IF(J148="V",VLOOKUP(H148,Vtas1B!$A$2:$B$2313,2,FALSE),0)</f>
        <v>22000000</v>
      </c>
      <c r="M148" s="307"/>
      <c r="N148" s="505" t="s">
        <v>2864</v>
      </c>
      <c r="O148" s="505">
        <f>VLOOKUP(N148,'Im 2'!$A$2:$C$2278,3,FALSE)</f>
        <v>0</v>
      </c>
      <c r="P148" s="304" t="str">
        <f>VLOOKUP(N148,'Im 2'!$A$2:$D$3546,4,FALSE)</f>
        <v>D</v>
      </c>
      <c r="Q148" s="305">
        <f>IF(P148="D",VLOOKUP(N148,'Im 2'!$A$2:$C$2278,2,FALSE),0)</f>
        <v>26000000</v>
      </c>
      <c r="R148" s="305">
        <f>IF(P148="V",VLOOKUP(N148,Vtas2!$A$2:$B$2425,2,FALSE),0)</f>
        <v>0</v>
      </c>
      <c r="S148" s="307"/>
      <c r="T148" s="304" t="s">
        <v>3879</v>
      </c>
      <c r="U148" s="505">
        <f>VLOOKUP(T148,'Im 3A'!$A$2:$C$2278,3,FALSE)</f>
        <v>60.95</v>
      </c>
      <c r="V148" s="304" t="str">
        <f>VLOOKUP(T148,'Im 3A'!$A$2:$D$3546,4,FALSE)</f>
        <v>V</v>
      </c>
      <c r="W148" s="305">
        <f>IF(V148="D",VLOOKUP(T148,'Im 3A'!$A$2:$C$2278,2,FALSE),0)</f>
        <v>0</v>
      </c>
      <c r="X148" s="305">
        <f>IF(V148="V",VLOOKUP(T148,Vtas3A!$A$2:$B$2425,2,FALSE),0)</f>
        <v>394485000</v>
      </c>
      <c r="Z148" s="304" t="s">
        <v>1543</v>
      </c>
      <c r="AA148" s="505">
        <f>VLOOKUP(Z148,'Im 3B'!$A$2:$C$2280,3,FALSE)</f>
        <v>0</v>
      </c>
      <c r="AB148" s="304" t="str">
        <f>VLOOKUP(Z148,'Im 3B'!$A$2:$D$3548,4,FALSE)</f>
        <v>V</v>
      </c>
      <c r="AC148" s="305">
        <f>IF(AB148="D",VLOOKUP(Z148,'Im 3B'!$A$2:$C$2280,2,FALSE),0)</f>
        <v>0</v>
      </c>
      <c r="AD148" s="305">
        <f>IF(AB148="V",VLOOKUP(Z148,Vtas3B!$A$2:$B$2438,2,FALSE),0)</f>
        <v>25000000</v>
      </c>
    </row>
    <row r="149" spans="2:30" x14ac:dyDescent="0.2">
      <c r="B149" s="304" t="s">
        <v>2121</v>
      </c>
      <c r="C149" s="505">
        <f>VLOOKUP(B149,'Im 1A'!$A$2:$C$1963,3,FALSE)</f>
        <v>71.2</v>
      </c>
      <c r="D149" s="304" t="str">
        <f>VLOOKUP(B149,'Im 1A'!$A$2:$D$3231,4,FALSE)</f>
        <v>V</v>
      </c>
      <c r="E149" s="305">
        <f>IF(D149="D",VLOOKUP(B149,'Im 1A'!$A$2:$C$1963,2,FALSE),0)</f>
        <v>0</v>
      </c>
      <c r="F149" s="305">
        <f>IF(D149="V",VLOOKUP(B149,Vtas1A!$A$2:$B$2357,2,FALSE),0)</f>
        <v>294594774</v>
      </c>
      <c r="G149" s="306"/>
      <c r="H149" s="304" t="s">
        <v>1597</v>
      </c>
      <c r="I149" s="304">
        <f>VLOOKUP(H149,'Im 1B'!$A$2:$C$1947,3,FALSE)</f>
        <v>0</v>
      </c>
      <c r="J149" s="304" t="str">
        <f>VLOOKUP(H149,'Im 1B'!$A$2:$D$3215,4,FALSE)</f>
        <v>V</v>
      </c>
      <c r="K149" s="305">
        <f>IF(J149="D",VLOOKUP(H149,'Im 1B'!$A$2:$C$1947,2,FALSE),0)</f>
        <v>0</v>
      </c>
      <c r="L149" s="305">
        <f>IF(J149="V",VLOOKUP(H149,Vtas1B!$A$2:$B$2313,2,FALSE),0)</f>
        <v>27000000</v>
      </c>
      <c r="M149" s="307"/>
      <c r="N149" s="505" t="s">
        <v>3239</v>
      </c>
      <c r="O149" s="505">
        <f>VLOOKUP(N149,'Im 2'!$A$2:$C$2278,3,FALSE)</f>
        <v>0</v>
      </c>
      <c r="P149" s="304" t="str">
        <f>VLOOKUP(N149,'Im 2'!$A$2:$D$3546,4,FALSE)</f>
        <v>D</v>
      </c>
      <c r="Q149" s="305">
        <f>IF(P149="D",VLOOKUP(N149,'Im 2'!$A$2:$C$2278,2,FALSE),0)</f>
        <v>26000000</v>
      </c>
      <c r="R149" s="305">
        <f>IF(P149="V",VLOOKUP(N149,Vtas2!$A$2:$B$2425,2,FALSE),0)</f>
        <v>0</v>
      </c>
      <c r="S149" s="307"/>
      <c r="T149" s="304" t="s">
        <v>3880</v>
      </c>
      <c r="U149" s="505">
        <f>VLOOKUP(T149,'Im 3A'!$A$2:$C$2278,3,FALSE)</f>
        <v>71.95</v>
      </c>
      <c r="V149" s="304" t="str">
        <f>VLOOKUP(T149,'Im 3A'!$A$2:$D$3546,4,FALSE)</f>
        <v>V</v>
      </c>
      <c r="W149" s="305">
        <f>IF(V149="D",VLOOKUP(T149,'Im 3A'!$A$2:$C$2278,2,FALSE),0)</f>
        <v>0</v>
      </c>
      <c r="X149" s="305">
        <f>IF(V149="V",VLOOKUP(T149,Vtas3A!$A$2:$B$2425,2,FALSE),0)</f>
        <v>420993000</v>
      </c>
      <c r="Z149" s="304" t="s">
        <v>1271</v>
      </c>
      <c r="AA149" s="505">
        <f>VLOOKUP(Z149,'Im 3B'!$A$2:$C$2280,3,FALSE)</f>
        <v>0</v>
      </c>
      <c r="AB149" s="304" t="str">
        <f>VLOOKUP(Z149,'Im 3B'!$A$2:$D$3548,4,FALSE)</f>
        <v>V</v>
      </c>
      <c r="AC149" s="305">
        <f>IF(AB149="D",VLOOKUP(Z149,'Im 3B'!$A$2:$C$2280,2,FALSE),0)</f>
        <v>0</v>
      </c>
      <c r="AD149" s="305">
        <f>IF(AB149="V",VLOOKUP(Z149,Vtas3B!$A$2:$B$2438,2,FALSE),0)</f>
        <v>25000000</v>
      </c>
    </row>
    <row r="150" spans="2:30" x14ac:dyDescent="0.2">
      <c r="B150" s="304" t="s">
        <v>2122</v>
      </c>
      <c r="C150" s="505">
        <f>VLOOKUP(B150,'Im 1A'!$A$2:$C$1963,3,FALSE)</f>
        <v>71</v>
      </c>
      <c r="D150" s="304" t="str">
        <f>VLOOKUP(B150,'Im 1A'!$A$2:$D$3231,4,FALSE)</f>
        <v>V</v>
      </c>
      <c r="E150" s="305">
        <f>IF(D150="D",VLOOKUP(B150,'Im 1A'!$A$2:$C$1963,2,FALSE),0)</f>
        <v>0</v>
      </c>
      <c r="F150" s="305">
        <f>IF(D150="V",VLOOKUP(B150,Vtas1A!$A$2:$B$2357,2,FALSE),0)</f>
        <v>288718270</v>
      </c>
      <c r="G150" s="306"/>
      <c r="H150" s="304" t="s">
        <v>1685</v>
      </c>
      <c r="I150" s="304">
        <f>VLOOKUP(H150,'Im 1B'!$A$2:$C$1947,3,FALSE)</f>
        <v>0</v>
      </c>
      <c r="J150" s="304" t="str">
        <f>VLOOKUP(H150,'Im 1B'!$A$2:$D$3215,4,FALSE)</f>
        <v>V</v>
      </c>
      <c r="K150" s="305">
        <f>IF(J150="D",VLOOKUP(H150,'Im 1B'!$A$2:$C$1947,2,FALSE),0)</f>
        <v>0</v>
      </c>
      <c r="L150" s="305">
        <f>IF(J150="V",VLOOKUP(H150,Vtas1B!$A$2:$B$2313,2,FALSE),0)</f>
        <v>22000000</v>
      </c>
      <c r="M150" s="307"/>
      <c r="N150" s="505" t="s">
        <v>3066</v>
      </c>
      <c r="O150" s="505">
        <f>VLOOKUP(N150,'Im 2'!$A$2:$C$2278,3,FALSE)</f>
        <v>0</v>
      </c>
      <c r="P150" s="304" t="str">
        <f>VLOOKUP(N150,'Im 2'!$A$2:$D$3546,4,FALSE)</f>
        <v>D</v>
      </c>
      <c r="Q150" s="305">
        <f>IF(P150="D",VLOOKUP(N150,'Im 2'!$A$2:$C$2278,2,FALSE),0)</f>
        <v>26000000</v>
      </c>
      <c r="R150" s="305">
        <f>IF(P150="V",VLOOKUP(N150,Vtas2!$A$2:$B$2425,2,FALSE),0)</f>
        <v>0</v>
      </c>
      <c r="S150" s="307"/>
      <c r="T150" s="304" t="s">
        <v>3881</v>
      </c>
      <c r="U150" s="505">
        <f>VLOOKUP(T150,'Im 3A'!$A$2:$C$2278,3,FALSE)</f>
        <v>60.91</v>
      </c>
      <c r="V150" s="304" t="str">
        <f>VLOOKUP(T150,'Im 3A'!$A$2:$D$3546,4,FALSE)</f>
        <v>V</v>
      </c>
      <c r="W150" s="305">
        <f>IF(V150="D",VLOOKUP(T150,'Im 3A'!$A$2:$C$2278,2,FALSE),0)</f>
        <v>0</v>
      </c>
      <c r="X150" s="305">
        <f>IF(V150="V",VLOOKUP(T150,Vtas3A!$A$2:$B$2425,2,FALSE),0)</f>
        <v>350338462</v>
      </c>
      <c r="Z150" s="304" t="s">
        <v>1544</v>
      </c>
      <c r="AA150" s="505">
        <f>VLOOKUP(Z150,'Im 3B'!$A$2:$C$2280,3,FALSE)</f>
        <v>0</v>
      </c>
      <c r="AB150" s="304" t="str">
        <f>VLOOKUP(Z150,'Im 3B'!$A$2:$D$3548,4,FALSE)</f>
        <v>V</v>
      </c>
      <c r="AC150" s="305">
        <f>IF(AB150="D",VLOOKUP(Z150,'Im 3B'!$A$2:$C$2280,2,FALSE),0)</f>
        <v>0</v>
      </c>
      <c r="AD150" s="305">
        <f>IF(AB150="V",VLOOKUP(Z150,Vtas3B!$A$2:$B$2438,2,FALSE),0)</f>
        <v>25000000</v>
      </c>
    </row>
    <row r="151" spans="2:30" x14ac:dyDescent="0.2">
      <c r="B151" s="304" t="s">
        <v>2123</v>
      </c>
      <c r="C151" s="505">
        <f>VLOOKUP(B151,'Im 1A'!$A$2:$C$1963,3,FALSE)</f>
        <v>60.9</v>
      </c>
      <c r="D151" s="304" t="str">
        <f>VLOOKUP(B151,'Im 1A'!$A$2:$D$3231,4,FALSE)</f>
        <v>V</v>
      </c>
      <c r="E151" s="305">
        <f>IF(D151="D",VLOOKUP(B151,'Im 1A'!$A$2:$C$1963,2,FALSE),0)</f>
        <v>0</v>
      </c>
      <c r="F151" s="305">
        <f>IF(D151="V",VLOOKUP(B151,Vtas1A!$A$2:$B$2357,2,FALSE),0)</f>
        <v>251250221</v>
      </c>
      <c r="G151" s="306"/>
      <c r="H151" s="304" t="s">
        <v>1341</v>
      </c>
      <c r="I151" s="304">
        <f>VLOOKUP(H151,'Im 1B'!$A$2:$C$1947,3,FALSE)</f>
        <v>0</v>
      </c>
      <c r="J151" s="304" t="str">
        <f>VLOOKUP(H151,'Im 1B'!$A$2:$D$3215,4,FALSE)</f>
        <v>V</v>
      </c>
      <c r="K151" s="305">
        <f>IF(J151="D",VLOOKUP(H151,'Im 1B'!$A$2:$C$1947,2,FALSE),0)</f>
        <v>0</v>
      </c>
      <c r="L151" s="305">
        <f>IF(J151="V",VLOOKUP(H151,Vtas1B!$A$2:$B$2313,2,FALSE),0)</f>
        <v>22000000</v>
      </c>
      <c r="M151" s="307"/>
      <c r="N151" s="505" t="s">
        <v>3463</v>
      </c>
      <c r="O151" s="505">
        <f>VLOOKUP(N151,'Im 2'!$A$2:$C$2278,3,FALSE)</f>
        <v>0</v>
      </c>
      <c r="P151" s="304" t="str">
        <f>VLOOKUP(N151,'Im 2'!$A$2:$D$3546,4,FALSE)</f>
        <v>V</v>
      </c>
      <c r="Q151" s="305">
        <f>IF(P151="D",VLOOKUP(N151,'Im 2'!$A$2:$C$2278,2,FALSE),0)</f>
        <v>0</v>
      </c>
      <c r="R151" s="305">
        <f>IF(P151="V",VLOOKUP(N151,Vtas2!$A$2:$B$2425,2,FALSE),0)</f>
        <v>26000000</v>
      </c>
      <c r="S151" s="307"/>
      <c r="T151" s="304" t="s">
        <v>3882</v>
      </c>
      <c r="U151" s="505">
        <f>VLOOKUP(T151,'Im 3A'!$A$2:$C$2278,3,FALSE)</f>
        <v>78.45</v>
      </c>
      <c r="V151" s="304" t="str">
        <f>VLOOKUP(T151,'Im 3A'!$A$2:$D$3546,4,FALSE)</f>
        <v>V</v>
      </c>
      <c r="W151" s="305">
        <f>IF(V151="D",VLOOKUP(T151,'Im 3A'!$A$2:$C$2278,2,FALSE),0)</f>
        <v>0</v>
      </c>
      <c r="X151" s="305">
        <f>IF(V151="V",VLOOKUP(T151,Vtas3A!$A$2:$B$2425,2,FALSE),0)</f>
        <v>379083293</v>
      </c>
      <c r="Z151" s="304" t="s">
        <v>1583</v>
      </c>
      <c r="AA151" s="505">
        <f>VLOOKUP(Z151,'Im 3B'!$A$2:$C$2280,3,FALSE)</f>
        <v>0</v>
      </c>
      <c r="AB151" s="304" t="str">
        <f>VLOOKUP(Z151,'Im 3B'!$A$2:$D$3548,4,FALSE)</f>
        <v>V</v>
      </c>
      <c r="AC151" s="305">
        <f>IF(AB151="D",VLOOKUP(Z151,'Im 3B'!$A$2:$C$2280,2,FALSE),0)</f>
        <v>0</v>
      </c>
      <c r="AD151" s="305">
        <f>IF(AB151="V",VLOOKUP(Z151,Vtas3B!$A$2:$B$2438,2,FALSE),0)</f>
        <v>25000000</v>
      </c>
    </row>
    <row r="152" spans="2:30" x14ac:dyDescent="0.2">
      <c r="B152" s="304" t="s">
        <v>2124</v>
      </c>
      <c r="C152" s="505">
        <f>VLOOKUP(B152,'Im 1A'!$A$2:$C$1963,3,FALSE)</f>
        <v>77.3</v>
      </c>
      <c r="D152" s="304" t="str">
        <f>VLOOKUP(B152,'Im 1A'!$A$2:$D$3231,4,FALSE)</f>
        <v>V</v>
      </c>
      <c r="E152" s="305">
        <f>IF(D152="D",VLOOKUP(B152,'Im 1A'!$A$2:$C$1963,2,FALSE),0)</f>
        <v>0</v>
      </c>
      <c r="F152" s="305">
        <f>IF(D152="V",VLOOKUP(B152,Vtas1A!$A$2:$B$2357,2,FALSE),0)</f>
        <v>325631376</v>
      </c>
      <c r="G152" s="306"/>
      <c r="H152" s="304" t="s">
        <v>1365</v>
      </c>
      <c r="I152" s="304">
        <f>VLOOKUP(H152,'Im 1B'!$A$2:$C$1947,3,FALSE)</f>
        <v>0</v>
      </c>
      <c r="J152" s="304" t="str">
        <f>VLOOKUP(H152,'Im 1B'!$A$2:$D$3215,4,FALSE)</f>
        <v>V</v>
      </c>
      <c r="K152" s="305">
        <f>IF(J152="D",VLOOKUP(H152,'Im 1B'!$A$2:$C$1947,2,FALSE),0)</f>
        <v>0</v>
      </c>
      <c r="L152" s="305">
        <f>IF(J152="V",VLOOKUP(H152,Vtas1B!$A$2:$B$2313,2,FALSE),0)</f>
        <v>27000000</v>
      </c>
      <c r="M152" s="307"/>
      <c r="N152" s="505" t="s">
        <v>3732</v>
      </c>
      <c r="O152" s="505">
        <f>VLOOKUP(N152,'Im 2'!$A$2:$C$2278,3,FALSE)</f>
        <v>0</v>
      </c>
      <c r="P152" s="304" t="str">
        <f>VLOOKUP(N152,'Im 2'!$A$2:$D$3546,4,FALSE)</f>
        <v>V</v>
      </c>
      <c r="Q152" s="305">
        <f>IF(P152="D",VLOOKUP(N152,'Im 2'!$A$2:$C$2278,2,FALSE),0)</f>
        <v>0</v>
      </c>
      <c r="R152" s="305">
        <f>IF(P152="V",VLOOKUP(N152,Vtas2!$A$2:$B$2425,2,FALSE),0)</f>
        <v>26000000</v>
      </c>
      <c r="S152" s="307"/>
      <c r="T152" s="304" t="s">
        <v>3883</v>
      </c>
      <c r="U152" s="505">
        <f>VLOOKUP(T152,'Im 3A'!$A$2:$C$2278,3,FALSE)</f>
        <v>77.900000000000006</v>
      </c>
      <c r="V152" s="304" t="str">
        <f>VLOOKUP(T152,'Im 3A'!$A$2:$D$3546,4,FALSE)</f>
        <v>V</v>
      </c>
      <c r="W152" s="305">
        <f>IF(V152="D",VLOOKUP(T152,'Im 3A'!$A$2:$C$2278,2,FALSE),0)</f>
        <v>0</v>
      </c>
      <c r="X152" s="305">
        <f>IF(V152="V",VLOOKUP(T152,Vtas3A!$A$2:$B$2425,2,FALSE),0)</f>
        <v>444439932</v>
      </c>
      <c r="Z152" s="304" t="s">
        <v>1620</v>
      </c>
      <c r="AA152" s="505">
        <f>VLOOKUP(Z152,'Im 3B'!$A$2:$C$2280,3,FALSE)</f>
        <v>0</v>
      </c>
      <c r="AB152" s="304" t="str">
        <f>VLOOKUP(Z152,'Im 3B'!$A$2:$D$3548,4,FALSE)</f>
        <v>V</v>
      </c>
      <c r="AC152" s="305">
        <f>IF(AB152="D",VLOOKUP(Z152,'Im 3B'!$A$2:$C$2280,2,FALSE),0)</f>
        <v>0</v>
      </c>
      <c r="AD152" s="305">
        <f>IF(AB152="V",VLOOKUP(Z152,Vtas3B!$A$2:$B$2438,2,FALSE),0)</f>
        <v>25000000</v>
      </c>
    </row>
    <row r="153" spans="2:30" x14ac:dyDescent="0.2">
      <c r="B153" s="304" t="s">
        <v>2125</v>
      </c>
      <c r="C153" s="505">
        <f>VLOOKUP(B153,'Im 1A'!$A$2:$C$1963,3,FALSE)</f>
        <v>78.400000000000006</v>
      </c>
      <c r="D153" s="304" t="str">
        <f>VLOOKUP(B153,'Im 1A'!$A$2:$D$3231,4,FALSE)</f>
        <v>V</v>
      </c>
      <c r="E153" s="305">
        <f>IF(D153="D",VLOOKUP(B153,'Im 1A'!$A$2:$C$1963,2,FALSE),0)</f>
        <v>0</v>
      </c>
      <c r="F153" s="305">
        <f>IF(D153="V",VLOOKUP(B153,Vtas1A!$A$2:$B$2357,2,FALSE),0)</f>
        <v>298118082</v>
      </c>
      <c r="G153" s="306"/>
      <c r="H153" s="304" t="s">
        <v>1412</v>
      </c>
      <c r="I153" s="304">
        <f>VLOOKUP(H153,'Im 1B'!$A$2:$C$1947,3,FALSE)</f>
        <v>0</v>
      </c>
      <c r="J153" s="304" t="str">
        <f>VLOOKUP(H153,'Im 1B'!$A$2:$D$3215,4,FALSE)</f>
        <v>V</v>
      </c>
      <c r="K153" s="305">
        <f>IF(J153="D",VLOOKUP(H153,'Im 1B'!$A$2:$C$1947,2,FALSE),0)</f>
        <v>0</v>
      </c>
      <c r="L153" s="305">
        <f>IF(J153="V",VLOOKUP(H153,Vtas1B!$A$2:$B$2313,2,FALSE),0)</f>
        <v>27000000</v>
      </c>
      <c r="M153" s="307"/>
      <c r="N153" s="505" t="s">
        <v>4248</v>
      </c>
      <c r="O153" s="505">
        <f>VLOOKUP(N153,'Im 2'!$A$2:$C$2278,3,FALSE)</f>
        <v>0</v>
      </c>
      <c r="P153" s="304" t="str">
        <f>VLOOKUP(N153,'Im 2'!$A$2:$D$3546,4,FALSE)</f>
        <v>V</v>
      </c>
      <c r="Q153" s="305">
        <f>IF(P153="D",VLOOKUP(N153,'Im 2'!$A$2:$C$2278,2,FALSE),0)</f>
        <v>0</v>
      </c>
      <c r="R153" s="305">
        <f>IF(P153="V",VLOOKUP(N153,Vtas2!$A$2:$B$2425,2,FALSE),0)</f>
        <v>26000000</v>
      </c>
      <c r="S153" s="307"/>
      <c r="T153" s="304" t="s">
        <v>3884</v>
      </c>
      <c r="U153" s="505">
        <f>VLOOKUP(T153,'Im 3A'!$A$2:$C$2278,3,FALSE)</f>
        <v>60.95</v>
      </c>
      <c r="V153" s="304" t="str">
        <f>VLOOKUP(T153,'Im 3A'!$A$2:$D$3546,4,FALSE)</f>
        <v>V</v>
      </c>
      <c r="W153" s="305">
        <f>IF(V153="D",VLOOKUP(T153,'Im 3A'!$A$2:$C$2278,2,FALSE),0)</f>
        <v>0</v>
      </c>
      <c r="X153" s="305">
        <f>IF(V153="V",VLOOKUP(T153,Vtas3A!$A$2:$B$2425,2,FALSE),0)</f>
        <v>301607500</v>
      </c>
      <c r="Z153" s="304" t="s">
        <v>1584</v>
      </c>
      <c r="AA153" s="505">
        <f>VLOOKUP(Z153,'Im 3B'!$A$2:$C$2280,3,FALSE)</f>
        <v>0</v>
      </c>
      <c r="AB153" s="304" t="str">
        <f>VLOOKUP(Z153,'Im 3B'!$A$2:$D$3548,4,FALSE)</f>
        <v>V</v>
      </c>
      <c r="AC153" s="305">
        <f>IF(AB153="D",VLOOKUP(Z153,'Im 3B'!$A$2:$C$2280,2,FALSE),0)</f>
        <v>0</v>
      </c>
      <c r="AD153" s="305">
        <f>IF(AB153="V",VLOOKUP(Z153,Vtas3B!$A$2:$B$2438,2,FALSE),0)</f>
        <v>25000000</v>
      </c>
    </row>
    <row r="154" spans="2:30" x14ac:dyDescent="0.2">
      <c r="B154" s="304" t="s">
        <v>2126</v>
      </c>
      <c r="C154" s="505">
        <f>VLOOKUP(B154,'Im 1A'!$A$2:$C$1963,3,FALSE)</f>
        <v>60.95</v>
      </c>
      <c r="D154" s="304" t="str">
        <f>VLOOKUP(B154,'Im 1A'!$A$2:$D$3231,4,FALSE)</f>
        <v>V</v>
      </c>
      <c r="E154" s="305">
        <f>IF(D154="D",VLOOKUP(B154,'Im 1A'!$A$2:$C$1963,2,FALSE),0)</f>
        <v>0</v>
      </c>
      <c r="F154" s="305">
        <f>IF(D154="V",VLOOKUP(B154,Vtas1A!$A$2:$B$2357,2,FALSE),0)</f>
        <v>252400000</v>
      </c>
      <c r="G154" s="306"/>
      <c r="H154" s="304" t="s">
        <v>1448</v>
      </c>
      <c r="I154" s="304">
        <f>VLOOKUP(H154,'Im 1B'!$A$2:$C$1947,3,FALSE)</f>
        <v>0</v>
      </c>
      <c r="J154" s="304" t="str">
        <f>VLOOKUP(H154,'Im 1B'!$A$2:$D$3215,4,FALSE)</f>
        <v>V</v>
      </c>
      <c r="K154" s="305">
        <f>IF(J154="D",VLOOKUP(H154,'Im 1B'!$A$2:$C$1947,2,FALSE),0)</f>
        <v>0</v>
      </c>
      <c r="L154" s="305">
        <f>IF(J154="V",VLOOKUP(H154,Vtas1B!$A$2:$B$2313,2,FALSE),0)</f>
        <v>22000000</v>
      </c>
      <c r="M154" s="307"/>
      <c r="N154" s="505" t="s">
        <v>4300</v>
      </c>
      <c r="O154" s="505">
        <f>VLOOKUP(N154,'Im 2'!$A$2:$C$2278,3,FALSE)</f>
        <v>0</v>
      </c>
      <c r="P154" s="304" t="str">
        <f>VLOOKUP(N154,'Im 2'!$A$2:$D$3546,4,FALSE)</f>
        <v>V</v>
      </c>
      <c r="Q154" s="305">
        <f>IF(P154="D",VLOOKUP(N154,'Im 2'!$A$2:$C$2278,2,FALSE),0)</f>
        <v>0</v>
      </c>
      <c r="R154" s="305">
        <f>IF(P154="V",VLOOKUP(N154,Vtas2!$A$2:$B$2425,2,FALSE),0)</f>
        <v>26000000</v>
      </c>
      <c r="S154" s="307"/>
      <c r="T154" s="304" t="s">
        <v>3885</v>
      </c>
      <c r="U154" s="505">
        <f>VLOOKUP(T154,'Im 3A'!$A$2:$C$2278,3,FALSE)</f>
        <v>71.95</v>
      </c>
      <c r="V154" s="304" t="str">
        <f>VLOOKUP(T154,'Im 3A'!$A$2:$D$3546,4,FALSE)</f>
        <v>V</v>
      </c>
      <c r="W154" s="305">
        <f>IF(V154="D",VLOOKUP(T154,'Im 3A'!$A$2:$C$2278,2,FALSE),0)</f>
        <v>0</v>
      </c>
      <c r="X154" s="305">
        <f>IF(V154="V",VLOOKUP(T154,Vtas3A!$A$2:$B$2425,2,FALSE),0)</f>
        <v>375659987</v>
      </c>
      <c r="Z154" s="304" t="s">
        <v>1585</v>
      </c>
      <c r="AA154" s="505">
        <f>VLOOKUP(Z154,'Im 3B'!$A$2:$C$2280,3,FALSE)</f>
        <v>0</v>
      </c>
      <c r="AB154" s="304" t="str">
        <f>VLOOKUP(Z154,'Im 3B'!$A$2:$D$3548,4,FALSE)</f>
        <v>V</v>
      </c>
      <c r="AC154" s="305">
        <f>IF(AB154="D",VLOOKUP(Z154,'Im 3B'!$A$2:$C$2280,2,FALSE),0)</f>
        <v>0</v>
      </c>
      <c r="AD154" s="305">
        <f>IF(AB154="V",VLOOKUP(Z154,Vtas3B!$A$2:$B$2438,2,FALSE),0)</f>
        <v>25000000</v>
      </c>
    </row>
    <row r="155" spans="2:30" x14ac:dyDescent="0.2">
      <c r="B155" s="304" t="s">
        <v>2127</v>
      </c>
      <c r="C155" s="505">
        <f>VLOOKUP(B155,'Im 1A'!$A$2:$C$1963,3,FALSE)</f>
        <v>71.2</v>
      </c>
      <c r="D155" s="304" t="str">
        <f>VLOOKUP(B155,'Im 1A'!$A$2:$D$3231,4,FALSE)</f>
        <v>V</v>
      </c>
      <c r="E155" s="305">
        <f>IF(D155="D",VLOOKUP(B155,'Im 1A'!$A$2:$C$1963,2,FALSE),0)</f>
        <v>0</v>
      </c>
      <c r="F155" s="305">
        <f>IF(D155="V",VLOOKUP(B155,Vtas1A!$A$2:$B$2357,2,FALSE),0)</f>
        <v>300687844</v>
      </c>
      <c r="G155" s="306"/>
      <c r="H155" s="304" t="s">
        <v>3372</v>
      </c>
      <c r="I155" s="304">
        <f>VLOOKUP(H155,'Im 1B'!$A$2:$C$1947,3,FALSE)</f>
        <v>0</v>
      </c>
      <c r="J155" s="304" t="str">
        <f>VLOOKUP(H155,'Im 1B'!$A$2:$D$3215,4,FALSE)</f>
        <v>V</v>
      </c>
      <c r="K155" s="305">
        <f>IF(J155="D",VLOOKUP(H155,'Im 1B'!$A$2:$C$1947,2,FALSE),0)</f>
        <v>0</v>
      </c>
      <c r="L155" s="305">
        <f>IF(J155="V",VLOOKUP(H155,Vtas1B!$A$2:$B$2313,2,FALSE),0)</f>
        <v>27000000</v>
      </c>
      <c r="M155" s="307"/>
      <c r="N155" s="505" t="s">
        <v>3374</v>
      </c>
      <c r="O155" s="505">
        <f>VLOOKUP(N155,'Im 2'!$A$2:$C$2278,3,FALSE)</f>
        <v>0</v>
      </c>
      <c r="P155" s="304" t="str">
        <f>VLOOKUP(N155,'Im 2'!$A$2:$D$3546,4,FALSE)</f>
        <v>V</v>
      </c>
      <c r="Q155" s="305">
        <f>IF(P155="D",VLOOKUP(N155,'Im 2'!$A$2:$C$2278,2,FALSE),0)</f>
        <v>0</v>
      </c>
      <c r="R155" s="305">
        <f>IF(P155="V",VLOOKUP(N155,Vtas2!$A$2:$B$2425,2,FALSE),0)</f>
        <v>26000000</v>
      </c>
      <c r="S155" s="307"/>
      <c r="T155" s="304" t="s">
        <v>3886</v>
      </c>
      <c r="U155" s="505">
        <f>VLOOKUP(T155,'Im 3A'!$A$2:$C$2278,3,FALSE)</f>
        <v>60.91</v>
      </c>
      <c r="V155" s="304" t="str">
        <f>VLOOKUP(T155,'Im 3A'!$A$2:$D$3546,4,FALSE)</f>
        <v>V</v>
      </c>
      <c r="W155" s="305">
        <f>IF(V155="D",VLOOKUP(T155,'Im 3A'!$A$2:$C$2278,2,FALSE),0)</f>
        <v>0</v>
      </c>
      <c r="X155" s="305">
        <f>IF(V155="V",VLOOKUP(T155,Vtas3A!$A$2:$B$2425,2,FALSE),0)</f>
        <v>291759190</v>
      </c>
      <c r="Z155" s="304" t="s">
        <v>1426</v>
      </c>
      <c r="AA155" s="505">
        <f>VLOOKUP(Z155,'Im 3B'!$A$2:$C$2280,3,FALSE)</f>
        <v>0</v>
      </c>
      <c r="AB155" s="304" t="str">
        <f>VLOOKUP(Z155,'Im 3B'!$A$2:$D$3548,4,FALSE)</f>
        <v>V</v>
      </c>
      <c r="AC155" s="305">
        <f>IF(AB155="D",VLOOKUP(Z155,'Im 3B'!$A$2:$C$2280,2,FALSE),0)</f>
        <v>0</v>
      </c>
      <c r="AD155" s="305">
        <f>IF(AB155="V",VLOOKUP(Z155,Vtas3B!$A$2:$B$2438,2,FALSE),0)</f>
        <v>25000000</v>
      </c>
    </row>
    <row r="156" spans="2:30" x14ac:dyDescent="0.2">
      <c r="B156" s="304" t="s">
        <v>2128</v>
      </c>
      <c r="C156" s="505">
        <f>VLOOKUP(B156,'Im 1A'!$A$2:$C$1963,3,FALSE)</f>
        <v>71</v>
      </c>
      <c r="D156" s="304" t="str">
        <f>VLOOKUP(B156,'Im 1A'!$A$2:$D$3231,4,FALSE)</f>
        <v>V</v>
      </c>
      <c r="E156" s="305">
        <f>IF(D156="D",VLOOKUP(B156,'Im 1A'!$A$2:$C$1963,2,FALSE),0)</f>
        <v>0</v>
      </c>
      <c r="F156" s="305">
        <f>IF(D156="V",VLOOKUP(B156,Vtas1A!$A$2:$B$2357,2,FALSE),0)</f>
        <v>309658017</v>
      </c>
      <c r="G156" s="306"/>
      <c r="H156" s="304" t="s">
        <v>1413</v>
      </c>
      <c r="I156" s="304">
        <f>VLOOKUP(H156,'Im 1B'!$A$2:$C$1947,3,FALSE)</f>
        <v>0</v>
      </c>
      <c r="J156" s="304" t="str">
        <f>VLOOKUP(H156,'Im 1B'!$A$2:$D$3215,4,FALSE)</f>
        <v>V</v>
      </c>
      <c r="K156" s="305">
        <f>IF(J156="D",VLOOKUP(H156,'Im 1B'!$A$2:$C$1947,2,FALSE),0)</f>
        <v>0</v>
      </c>
      <c r="L156" s="305">
        <f>IF(J156="V",VLOOKUP(H156,Vtas1B!$A$2:$B$2313,2,FALSE),0)</f>
        <v>22000000</v>
      </c>
      <c r="M156" s="307"/>
      <c r="N156" s="505" t="s">
        <v>2865</v>
      </c>
      <c r="O156" s="505">
        <f>VLOOKUP(N156,'Im 2'!$A$2:$C$2278,3,FALSE)</f>
        <v>0</v>
      </c>
      <c r="P156" s="304" t="str">
        <f>VLOOKUP(N156,'Im 2'!$A$2:$D$3546,4,FALSE)</f>
        <v>V</v>
      </c>
      <c r="Q156" s="305">
        <f>IF(P156="D",VLOOKUP(N156,'Im 2'!$A$2:$C$2278,2,FALSE),0)</f>
        <v>0</v>
      </c>
      <c r="R156" s="305">
        <f>IF(P156="V",VLOOKUP(N156,Vtas2!$A$2:$B$2425,2,FALSE),0)</f>
        <v>26000000</v>
      </c>
      <c r="S156" s="307"/>
      <c r="T156" s="304" t="s">
        <v>3887</v>
      </c>
      <c r="U156" s="505">
        <f>VLOOKUP(T156,'Im 3A'!$A$2:$C$2278,3,FALSE)</f>
        <v>77.87</v>
      </c>
      <c r="V156" s="304" t="str">
        <f>VLOOKUP(T156,'Im 3A'!$A$2:$D$3546,4,FALSE)</f>
        <v>V</v>
      </c>
      <c r="W156" s="305">
        <f>IF(V156="D",VLOOKUP(T156,'Im 3A'!$A$2:$C$2278,2,FALSE),0)</f>
        <v>0</v>
      </c>
      <c r="X156" s="305">
        <f>IF(V156="V",VLOOKUP(T156,Vtas3A!$A$2:$B$2425,2,FALSE),0)</f>
        <v>372259400</v>
      </c>
      <c r="Z156" s="304" t="s">
        <v>2596</v>
      </c>
      <c r="AA156" s="505">
        <f>VLOOKUP(Z156,'Im 3B'!$A$2:$C$2280,3,FALSE)</f>
        <v>0</v>
      </c>
      <c r="AB156" s="304" t="str">
        <f>VLOOKUP(Z156,'Im 3B'!$A$2:$D$3548,4,FALSE)</f>
        <v>V</v>
      </c>
      <c r="AC156" s="305">
        <f>IF(AB156="D",VLOOKUP(Z156,'Im 3B'!$A$2:$C$2280,2,FALSE),0)</f>
        <v>0</v>
      </c>
      <c r="AD156" s="305">
        <f>IF(AB156="V",VLOOKUP(Z156,Vtas3B!$A$2:$B$2438,2,FALSE),0)</f>
        <v>25000000</v>
      </c>
    </row>
    <row r="157" spans="2:30" x14ac:dyDescent="0.2">
      <c r="B157" s="304" t="s">
        <v>2129</v>
      </c>
      <c r="C157" s="505">
        <f>VLOOKUP(B157,'Im 1A'!$A$2:$C$1963,3,FALSE)</f>
        <v>58.4</v>
      </c>
      <c r="D157" s="304" t="str">
        <f>VLOOKUP(B157,'Im 1A'!$A$2:$D$3231,4,FALSE)</f>
        <v>V</v>
      </c>
      <c r="E157" s="305">
        <f>IF(D157="D",VLOOKUP(B157,'Im 1A'!$A$2:$C$1963,2,FALSE),0)</f>
        <v>0</v>
      </c>
      <c r="F157" s="305">
        <f>IF(D157="V",VLOOKUP(B157,Vtas1A!$A$2:$B$2357,2,FALSE),0)</f>
        <v>250700000</v>
      </c>
      <c r="G157" s="306"/>
      <c r="H157" s="304" t="s">
        <v>3020</v>
      </c>
      <c r="I157" s="304">
        <f>VLOOKUP(H157,'Im 1B'!$A$2:$C$1947,3,FALSE)</f>
        <v>0</v>
      </c>
      <c r="J157" s="304" t="str">
        <f>VLOOKUP(H157,'Im 1B'!$A$2:$D$3215,4,FALSE)</f>
        <v>V</v>
      </c>
      <c r="K157" s="305">
        <f>IF(J157="D",VLOOKUP(H157,'Im 1B'!$A$2:$C$1947,2,FALSE),0)</f>
        <v>0</v>
      </c>
      <c r="L157" s="305">
        <f>IF(J157="V",VLOOKUP(H157,Vtas1B!$A$2:$B$2313,2,FALSE),0)</f>
        <v>22000000</v>
      </c>
      <c r="M157" s="307"/>
      <c r="N157" s="505" t="s">
        <v>3375</v>
      </c>
      <c r="O157" s="505">
        <f>VLOOKUP(N157,'Im 2'!$A$2:$C$2278,3,FALSE)</f>
        <v>0</v>
      </c>
      <c r="P157" s="304" t="str">
        <f>VLOOKUP(N157,'Im 2'!$A$2:$D$3546,4,FALSE)</f>
        <v>V</v>
      </c>
      <c r="Q157" s="305">
        <f>IF(P157="D",VLOOKUP(N157,'Im 2'!$A$2:$C$2278,2,FALSE),0)</f>
        <v>0</v>
      </c>
      <c r="R157" s="305">
        <f>IF(P157="V",VLOOKUP(N157,Vtas2!$A$2:$B$2425,2,FALSE),0)</f>
        <v>26000000</v>
      </c>
      <c r="S157" s="307"/>
      <c r="T157" s="304" t="s">
        <v>3888</v>
      </c>
      <c r="U157" s="505">
        <f>VLOOKUP(T157,'Im 3A'!$A$2:$C$2278,3,FALSE)</f>
        <v>77.900000000000006</v>
      </c>
      <c r="V157" s="304" t="str">
        <f>VLOOKUP(T157,'Im 3A'!$A$2:$D$3546,4,FALSE)</f>
        <v>V</v>
      </c>
      <c r="W157" s="305">
        <f>IF(V157="D",VLOOKUP(T157,'Im 3A'!$A$2:$C$2278,2,FALSE),0)</f>
        <v>0</v>
      </c>
      <c r="X157" s="305">
        <f>IF(V157="V",VLOOKUP(T157,Vtas3A!$A$2:$B$2425,2,FALSE),0)</f>
        <v>370752584</v>
      </c>
      <c r="Z157" s="304" t="s">
        <v>1730</v>
      </c>
      <c r="AA157" s="505">
        <f>VLOOKUP(Z157,'Im 3B'!$A$2:$C$2280,3,FALSE)</f>
        <v>0</v>
      </c>
      <c r="AB157" s="304" t="str">
        <f>VLOOKUP(Z157,'Im 3B'!$A$2:$D$3548,4,FALSE)</f>
        <v>V</v>
      </c>
      <c r="AC157" s="305">
        <f>IF(AB157="D",VLOOKUP(Z157,'Im 3B'!$A$2:$C$2280,2,FALSE),0)</f>
        <v>0</v>
      </c>
      <c r="AD157" s="305">
        <f>IF(AB157="V",VLOOKUP(Z157,Vtas3B!$A$2:$B$2438,2,FALSE),0)</f>
        <v>25000000</v>
      </c>
    </row>
    <row r="158" spans="2:30" x14ac:dyDescent="0.2">
      <c r="B158" s="304" t="s">
        <v>2130</v>
      </c>
      <c r="C158" s="505">
        <f>VLOOKUP(B158,'Im 1A'!$A$2:$C$1963,3,FALSE)</f>
        <v>78.349999999999994</v>
      </c>
      <c r="D158" s="304" t="str">
        <f>VLOOKUP(B158,'Im 1A'!$A$2:$D$3231,4,FALSE)</f>
        <v>V</v>
      </c>
      <c r="E158" s="305">
        <f>IF(D158="D",VLOOKUP(B158,'Im 1A'!$A$2:$C$1963,2,FALSE),0)</f>
        <v>0</v>
      </c>
      <c r="F158" s="305">
        <f>IF(D158="V",VLOOKUP(B158,Vtas1A!$A$2:$B$2357,2,FALSE),0)</f>
        <v>323276157</v>
      </c>
      <c r="G158" s="306"/>
      <c r="H158" s="304" t="s">
        <v>1414</v>
      </c>
      <c r="I158" s="304">
        <f>VLOOKUP(H158,'Im 1B'!$A$2:$C$1947,3,FALSE)</f>
        <v>0</v>
      </c>
      <c r="J158" s="304" t="str">
        <f>VLOOKUP(H158,'Im 1B'!$A$2:$D$3215,4,FALSE)</f>
        <v>V</v>
      </c>
      <c r="K158" s="305">
        <f>IF(J158="D",VLOOKUP(H158,'Im 1B'!$A$2:$C$1947,2,FALSE),0)</f>
        <v>0</v>
      </c>
      <c r="L158" s="305">
        <f>IF(J158="V",VLOOKUP(H158,Vtas1B!$A$2:$B$2313,2,FALSE),0)</f>
        <v>22000000</v>
      </c>
      <c r="M158" s="307"/>
      <c r="N158" s="505" t="s">
        <v>4249</v>
      </c>
      <c r="O158" s="505">
        <f>VLOOKUP(N158,'Im 2'!$A$2:$C$2278,3,FALSE)</f>
        <v>0</v>
      </c>
      <c r="P158" s="304" t="str">
        <f>VLOOKUP(N158,'Im 2'!$A$2:$D$3546,4,FALSE)</f>
        <v>V</v>
      </c>
      <c r="Q158" s="305">
        <f>IF(P158="D",VLOOKUP(N158,'Im 2'!$A$2:$C$2278,2,FALSE),0)</f>
        <v>0</v>
      </c>
      <c r="R158" s="305">
        <f>IF(P158="V",VLOOKUP(N158,Vtas2!$A$2:$B$2425,2,FALSE),0)</f>
        <v>26000000</v>
      </c>
      <c r="S158" s="307"/>
      <c r="T158" s="304" t="s">
        <v>3889</v>
      </c>
      <c r="U158" s="505">
        <f>VLOOKUP(T158,'Im 3A'!$A$2:$C$2278,3,FALSE)</f>
        <v>60.95</v>
      </c>
      <c r="V158" s="304" t="str">
        <f>VLOOKUP(T158,'Im 3A'!$A$2:$D$3546,4,FALSE)</f>
        <v>V</v>
      </c>
      <c r="W158" s="305">
        <f>IF(V158="D",VLOOKUP(T158,'Im 3A'!$A$2:$C$2278,2,FALSE),0)</f>
        <v>0</v>
      </c>
      <c r="X158" s="305">
        <f>IF(V158="V",VLOOKUP(T158,Vtas3A!$A$2:$B$2425,2,FALSE),0)</f>
        <v>317701319</v>
      </c>
      <c r="Z158" s="304" t="s">
        <v>1272</v>
      </c>
      <c r="AA158" s="505">
        <f>VLOOKUP(Z158,'Im 3B'!$A$2:$C$2280,3,FALSE)</f>
        <v>0</v>
      </c>
      <c r="AB158" s="304" t="str">
        <f>VLOOKUP(Z158,'Im 3B'!$A$2:$D$3548,4,FALSE)</f>
        <v>V</v>
      </c>
      <c r="AC158" s="305">
        <f>IF(AB158="D",VLOOKUP(Z158,'Im 3B'!$A$2:$C$2280,2,FALSE),0)</f>
        <v>0</v>
      </c>
      <c r="AD158" s="305">
        <f>IF(AB158="V",VLOOKUP(Z158,Vtas3B!$A$2:$B$2438,2,FALSE),0)</f>
        <v>25000000</v>
      </c>
    </row>
    <row r="159" spans="2:30" x14ac:dyDescent="0.2">
      <c r="B159" s="304" t="s">
        <v>2131</v>
      </c>
      <c r="C159" s="505">
        <f>VLOOKUP(B159,'Im 1A'!$A$2:$C$1963,3,FALSE)</f>
        <v>77.3</v>
      </c>
      <c r="D159" s="304" t="str">
        <f>VLOOKUP(B159,'Im 1A'!$A$2:$D$3231,4,FALSE)</f>
        <v>V</v>
      </c>
      <c r="E159" s="305">
        <f>IF(D159="D",VLOOKUP(B159,'Im 1A'!$A$2:$C$1963,2,FALSE),0)</f>
        <v>0</v>
      </c>
      <c r="F159" s="305">
        <f>IF(D159="V",VLOOKUP(B159,Vtas1A!$A$2:$B$2357,2,FALSE),0)</f>
        <v>315700000</v>
      </c>
      <c r="G159" s="306"/>
      <c r="H159" s="304" t="s">
        <v>1415</v>
      </c>
      <c r="I159" s="304">
        <f>VLOOKUP(H159,'Im 1B'!$A$2:$C$1947,3,FALSE)</f>
        <v>0</v>
      </c>
      <c r="J159" s="304" t="str">
        <f>VLOOKUP(H159,'Im 1B'!$A$2:$D$3215,4,FALSE)</f>
        <v>V</v>
      </c>
      <c r="K159" s="305">
        <f>IF(J159="D",VLOOKUP(H159,'Im 1B'!$A$2:$C$1947,2,FALSE),0)</f>
        <v>0</v>
      </c>
      <c r="L159" s="305">
        <f>IF(J159="V",VLOOKUP(H159,Vtas1B!$A$2:$B$2313,2,FALSE),0)</f>
        <v>22000000</v>
      </c>
      <c r="M159" s="307"/>
      <c r="N159" s="505" t="s">
        <v>3042</v>
      </c>
      <c r="O159" s="505">
        <f>VLOOKUP(N159,'Im 2'!$A$2:$C$2278,3,FALSE)</f>
        <v>0</v>
      </c>
      <c r="P159" s="304" t="str">
        <f>VLOOKUP(N159,'Im 2'!$A$2:$D$3546,4,FALSE)</f>
        <v>V</v>
      </c>
      <c r="Q159" s="305">
        <f>IF(P159="D",VLOOKUP(N159,'Im 2'!$A$2:$C$2278,2,FALSE),0)</f>
        <v>0</v>
      </c>
      <c r="R159" s="305">
        <f>IF(P159="V",VLOOKUP(N159,Vtas2!$A$2:$B$2425,2,FALSE),0)</f>
        <v>26000000</v>
      </c>
      <c r="S159" s="307"/>
      <c r="T159" s="304" t="s">
        <v>3890</v>
      </c>
      <c r="U159" s="505">
        <f>VLOOKUP(T159,'Im 3A'!$A$2:$C$2278,3,FALSE)</f>
        <v>71.95</v>
      </c>
      <c r="V159" s="304" t="str">
        <f>VLOOKUP(T159,'Im 3A'!$A$2:$D$3546,4,FALSE)</f>
        <v>V</v>
      </c>
      <c r="W159" s="305">
        <f>IF(V159="D",VLOOKUP(T159,'Im 3A'!$A$2:$C$2278,2,FALSE),0)</f>
        <v>0</v>
      </c>
      <c r="X159" s="305">
        <f>IF(V159="V",VLOOKUP(T159,Vtas3A!$A$2:$B$2425,2,FALSE),0)</f>
        <v>419068150</v>
      </c>
      <c r="Z159" s="304" t="s">
        <v>1454</v>
      </c>
      <c r="AA159" s="505">
        <f>VLOOKUP(Z159,'Im 3B'!$A$2:$C$2280,3,FALSE)</f>
        <v>0</v>
      </c>
      <c r="AB159" s="304" t="str">
        <f>VLOOKUP(Z159,'Im 3B'!$A$2:$D$3548,4,FALSE)</f>
        <v>V</v>
      </c>
      <c r="AC159" s="305">
        <f>IF(AB159="D",VLOOKUP(Z159,'Im 3B'!$A$2:$C$2280,2,FALSE),0)</f>
        <v>0</v>
      </c>
      <c r="AD159" s="305">
        <f>IF(AB159="V",VLOOKUP(Z159,Vtas3B!$A$2:$B$2438,2,FALSE),0)</f>
        <v>25000000</v>
      </c>
    </row>
    <row r="160" spans="2:30" x14ac:dyDescent="0.2">
      <c r="B160" s="304" t="s">
        <v>2132</v>
      </c>
      <c r="C160" s="505">
        <f>VLOOKUP(B160,'Im 1A'!$A$2:$C$1963,3,FALSE)</f>
        <v>60.8</v>
      </c>
      <c r="D160" s="304" t="str">
        <f>VLOOKUP(B160,'Im 1A'!$A$2:$D$3231,4,FALSE)</f>
        <v>V</v>
      </c>
      <c r="E160" s="305">
        <f>IF(D160="D",VLOOKUP(B160,'Im 1A'!$A$2:$C$1963,2,FALSE),0)</f>
        <v>0</v>
      </c>
      <c r="F160" s="305">
        <f>IF(D160="V",VLOOKUP(B160,Vtas1A!$A$2:$B$2357,2,FALSE),0)</f>
        <v>252494246</v>
      </c>
      <c r="G160" s="306"/>
      <c r="H160" s="304" t="s">
        <v>1416</v>
      </c>
      <c r="I160" s="304">
        <f>VLOOKUP(H160,'Im 1B'!$A$2:$C$1947,3,FALSE)</f>
        <v>0</v>
      </c>
      <c r="J160" s="304" t="str">
        <f>VLOOKUP(H160,'Im 1B'!$A$2:$D$3215,4,FALSE)</f>
        <v>V</v>
      </c>
      <c r="K160" s="305">
        <f>IF(J160="D",VLOOKUP(H160,'Im 1B'!$A$2:$C$1947,2,FALSE),0)</f>
        <v>0</v>
      </c>
      <c r="L160" s="305">
        <f>IF(J160="V",VLOOKUP(H160,Vtas1B!$A$2:$B$2313,2,FALSE),0)</f>
        <v>22000000</v>
      </c>
      <c r="M160" s="307"/>
      <c r="N160" s="505" t="s">
        <v>3299</v>
      </c>
      <c r="O160" s="505">
        <f>VLOOKUP(N160,'Im 2'!$A$2:$C$2278,3,FALSE)</f>
        <v>0</v>
      </c>
      <c r="P160" s="304" t="str">
        <f>VLOOKUP(N160,'Im 2'!$A$2:$D$3546,4,FALSE)</f>
        <v>V</v>
      </c>
      <c r="Q160" s="305">
        <f>IF(P160="D",VLOOKUP(N160,'Im 2'!$A$2:$C$2278,2,FALSE),0)</f>
        <v>0</v>
      </c>
      <c r="R160" s="305">
        <f>IF(P160="V",VLOOKUP(N160,Vtas2!$A$2:$B$2425,2,FALSE),0)</f>
        <v>26000000</v>
      </c>
      <c r="S160" s="307"/>
      <c r="T160" s="304" t="s">
        <v>3891</v>
      </c>
      <c r="U160" s="505">
        <f>VLOOKUP(T160,'Im 3A'!$A$2:$C$2278,3,FALSE)</f>
        <v>60.91</v>
      </c>
      <c r="V160" s="304" t="str">
        <f>VLOOKUP(T160,'Im 3A'!$A$2:$D$3546,4,FALSE)</f>
        <v>V</v>
      </c>
      <c r="W160" s="305">
        <f>IF(V160="D",VLOOKUP(T160,'Im 3A'!$A$2:$C$2278,2,FALSE),0)</f>
        <v>0</v>
      </c>
      <c r="X160" s="305">
        <f>IF(V160="V",VLOOKUP(T160,Vtas3A!$A$2:$B$2425,2,FALSE),0)</f>
        <v>299230000</v>
      </c>
      <c r="Z160" s="304" t="s">
        <v>1499</v>
      </c>
      <c r="AA160" s="505">
        <f>VLOOKUP(Z160,'Im 3B'!$A$2:$C$2280,3,FALSE)</f>
        <v>0</v>
      </c>
      <c r="AB160" s="304" t="str">
        <f>VLOOKUP(Z160,'Im 3B'!$A$2:$D$3548,4,FALSE)</f>
        <v>V</v>
      </c>
      <c r="AC160" s="305">
        <f>IF(AB160="D",VLOOKUP(Z160,'Im 3B'!$A$2:$C$2280,2,FALSE),0)</f>
        <v>0</v>
      </c>
      <c r="AD160" s="305">
        <f>IF(AB160="V",VLOOKUP(Z160,Vtas3B!$A$2:$B$2438,2,FALSE),0)</f>
        <v>25000000</v>
      </c>
    </row>
    <row r="161" spans="2:30" x14ac:dyDescent="0.2">
      <c r="B161" s="304" t="s">
        <v>2133</v>
      </c>
      <c r="C161" s="505">
        <f>VLOOKUP(B161,'Im 1A'!$A$2:$C$1963,3,FALSE)</f>
        <v>71.900000000000006</v>
      </c>
      <c r="D161" s="304" t="str">
        <f>VLOOKUP(B161,'Im 1A'!$A$2:$D$3231,4,FALSE)</f>
        <v>V</v>
      </c>
      <c r="E161" s="305">
        <f>IF(D161="D",VLOOKUP(B161,'Im 1A'!$A$2:$C$1963,2,FALSE),0)</f>
        <v>0</v>
      </c>
      <c r="F161" s="305">
        <f>IF(D161="V",VLOOKUP(B161,Vtas1A!$A$2:$B$2357,2,FALSE),0)</f>
        <v>294515293</v>
      </c>
      <c r="G161" s="306"/>
      <c r="H161" s="304" t="s">
        <v>3021</v>
      </c>
      <c r="I161" s="304">
        <f>VLOOKUP(H161,'Im 1B'!$A$2:$C$1947,3,FALSE)</f>
        <v>0</v>
      </c>
      <c r="J161" s="304" t="str">
        <f>VLOOKUP(H161,'Im 1B'!$A$2:$D$3215,4,FALSE)</f>
        <v>V</v>
      </c>
      <c r="K161" s="305">
        <f>IF(J161="D",VLOOKUP(H161,'Im 1B'!$A$2:$C$1947,2,FALSE),0)</f>
        <v>0</v>
      </c>
      <c r="L161" s="305">
        <f>IF(J161="V",VLOOKUP(H161,Vtas1B!$A$2:$B$2313,2,FALSE),0)</f>
        <v>22000000</v>
      </c>
      <c r="M161" s="307"/>
      <c r="N161" s="505" t="s">
        <v>3733</v>
      </c>
      <c r="O161" s="505">
        <f>VLOOKUP(N161,'Im 2'!$A$2:$C$2278,3,FALSE)</f>
        <v>0</v>
      </c>
      <c r="P161" s="304" t="str">
        <f>VLOOKUP(N161,'Im 2'!$A$2:$D$3546,4,FALSE)</f>
        <v>V</v>
      </c>
      <c r="Q161" s="305">
        <f>IF(P161="D",VLOOKUP(N161,'Im 2'!$A$2:$C$2278,2,FALSE),0)</f>
        <v>0</v>
      </c>
      <c r="R161" s="305">
        <f>IF(P161="V",VLOOKUP(N161,Vtas2!$A$2:$B$2425,2,FALSE),0)</f>
        <v>26000000</v>
      </c>
      <c r="S161" s="307"/>
      <c r="T161" s="304" t="s">
        <v>3892</v>
      </c>
      <c r="U161" s="505">
        <f>VLOOKUP(T161,'Im 3A'!$A$2:$C$2278,3,FALSE)</f>
        <v>77.87</v>
      </c>
      <c r="V161" s="304" t="str">
        <f>VLOOKUP(T161,'Im 3A'!$A$2:$D$3546,4,FALSE)</f>
        <v>V</v>
      </c>
      <c r="W161" s="305">
        <f>IF(V161="D",VLOOKUP(T161,'Im 3A'!$A$2:$C$2278,2,FALSE),0)</f>
        <v>0</v>
      </c>
      <c r="X161" s="305">
        <f>IF(V161="V",VLOOKUP(T161,Vtas3A!$A$2:$B$2425,2,FALSE),0)</f>
        <v>369941698</v>
      </c>
      <c r="Z161" s="304" t="s">
        <v>1370</v>
      </c>
      <c r="AA161" s="505">
        <f>VLOOKUP(Z161,'Im 3B'!$A$2:$C$2280,3,FALSE)</f>
        <v>0</v>
      </c>
      <c r="AB161" s="304" t="str">
        <f>VLOOKUP(Z161,'Im 3B'!$A$2:$D$3548,4,FALSE)</f>
        <v>V</v>
      </c>
      <c r="AC161" s="305">
        <f>IF(AB161="D",VLOOKUP(Z161,'Im 3B'!$A$2:$C$2280,2,FALSE),0)</f>
        <v>0</v>
      </c>
      <c r="AD161" s="305">
        <f>IF(AB161="V",VLOOKUP(Z161,Vtas3B!$A$2:$B$2438,2,FALSE),0)</f>
        <v>25000000</v>
      </c>
    </row>
    <row r="162" spans="2:30" x14ac:dyDescent="0.2">
      <c r="B162" s="313">
        <f>++COUNTA(B13:B161)</f>
        <v>149</v>
      </c>
      <c r="C162" s="314">
        <f>SUM(C13:C161)</f>
        <v>10427.739999999998</v>
      </c>
      <c r="D162" s="313"/>
      <c r="E162" s="315">
        <f>SUM(E13:E161)</f>
        <v>0</v>
      </c>
      <c r="F162" s="315">
        <f>SUM(F13:F161)</f>
        <v>43200619093</v>
      </c>
      <c r="G162" s="306"/>
      <c r="H162" s="304" t="s">
        <v>1417</v>
      </c>
      <c r="I162" s="304">
        <f>VLOOKUP(H162,'Im 1B'!$A$2:$C$1947,3,FALSE)</f>
        <v>0</v>
      </c>
      <c r="J162" s="304" t="str">
        <f>VLOOKUP(H162,'Im 1B'!$A$2:$D$3215,4,FALSE)</f>
        <v>V</v>
      </c>
      <c r="K162" s="305">
        <f>IF(J162="D",VLOOKUP(H162,'Im 1B'!$A$2:$C$1947,2,FALSE),0)</f>
        <v>0</v>
      </c>
      <c r="L162" s="305">
        <f>IF(J162="V",VLOOKUP(H162,Vtas1B!$A$2:$B$2313,2,FALSE),0)</f>
        <v>22000000</v>
      </c>
      <c r="M162" s="307"/>
      <c r="N162" s="505" t="s">
        <v>3376</v>
      </c>
      <c r="O162" s="505">
        <f>VLOOKUP(N162,'Im 2'!$A$2:$C$2278,3,FALSE)</f>
        <v>0</v>
      </c>
      <c r="P162" s="304" t="str">
        <f>VLOOKUP(N162,'Im 2'!$A$2:$D$3546,4,FALSE)</f>
        <v>V</v>
      </c>
      <c r="Q162" s="305">
        <f>IF(P162="D",VLOOKUP(N162,'Im 2'!$A$2:$C$2278,2,FALSE),0)</f>
        <v>0</v>
      </c>
      <c r="R162" s="305">
        <f>IF(P162="V",VLOOKUP(N162,Vtas2!$A$2:$B$2425,2,FALSE),0)</f>
        <v>26000000</v>
      </c>
      <c r="S162" s="307"/>
      <c r="T162" s="525" t="s">
        <v>3893</v>
      </c>
      <c r="U162" s="505">
        <f>VLOOKUP(T162,'Im 3A'!$A$2:$C$2278,3,FALSE)</f>
        <v>77.900000000000006</v>
      </c>
      <c r="V162" s="304" t="str">
        <f>VLOOKUP(T162,'Im 3A'!$A$2:$D$3546,4,FALSE)</f>
        <v>V</v>
      </c>
      <c r="W162" s="305">
        <f>IF(V162="D",VLOOKUP(T162,'Im 3A'!$A$2:$C$2278,2,FALSE),0)</f>
        <v>0</v>
      </c>
      <c r="X162" s="305">
        <f>IF(V162="V",VLOOKUP(T162,Vtas3A!$A$2:$B$2425,2,FALSE),0)</f>
        <v>371398000</v>
      </c>
      <c r="Z162" s="505" t="s">
        <v>1273</v>
      </c>
      <c r="AA162" s="505">
        <f>VLOOKUP(Z162,'Im 3B'!$A$2:$C$2280,3,FALSE)</f>
        <v>0</v>
      </c>
      <c r="AB162" s="304" t="str">
        <f>VLOOKUP(Z162,'Im 3B'!$A$2:$D$3548,4,FALSE)</f>
        <v>V</v>
      </c>
      <c r="AC162" s="305">
        <f>IF(AB162="D",VLOOKUP(Z162,'Im 3B'!$A$2:$C$2280,2,FALSE),0)</f>
        <v>0</v>
      </c>
      <c r="AD162" s="305">
        <f>IF(AB162="V",VLOOKUP(Z162,Vtas3B!$A$2:$B$2438,2,FALSE),0)</f>
        <v>25000000</v>
      </c>
    </row>
    <row r="163" spans="2:30" x14ac:dyDescent="0.2">
      <c r="E163" s="308"/>
      <c r="F163" s="308"/>
      <c r="G163" s="306"/>
      <c r="H163" s="304" t="s">
        <v>2557</v>
      </c>
      <c r="I163" s="304">
        <f>VLOOKUP(H163,'Im 1B'!$A$2:$C$1947,3,FALSE)</f>
        <v>0</v>
      </c>
      <c r="J163" s="304" t="str">
        <f>VLOOKUP(H163,'Im 1B'!$A$2:$D$3215,4,FALSE)</f>
        <v>V</v>
      </c>
      <c r="K163" s="305">
        <f>IF(J163="D",VLOOKUP(H163,'Im 1B'!$A$2:$C$1947,2,FALSE),0)</f>
        <v>0</v>
      </c>
      <c r="L163" s="305">
        <f>IF(J163="V",VLOOKUP(H163,Vtas1B!$A$2:$B$2313,2,FALSE),0)</f>
        <v>22000000</v>
      </c>
      <c r="M163" s="307"/>
      <c r="N163" s="505" t="s">
        <v>2866</v>
      </c>
      <c r="O163" s="505">
        <f>VLOOKUP(N163,'Im 2'!$A$2:$C$2278,3,FALSE)</f>
        <v>0</v>
      </c>
      <c r="P163" s="304" t="str">
        <f>VLOOKUP(N163,'Im 2'!$A$2:$D$3546,4,FALSE)</f>
        <v>V</v>
      </c>
      <c r="Q163" s="305">
        <f>IF(P163="D",VLOOKUP(N163,'Im 2'!$A$2:$C$2278,2,FALSE),0)</f>
        <v>0</v>
      </c>
      <c r="R163" s="305">
        <f>IF(P163="V",VLOOKUP(N163,Vtas2!$A$2:$B$2425,2,FALSE),0)</f>
        <v>26000000</v>
      </c>
      <c r="S163" s="307"/>
      <c r="T163" s="313">
        <f>++COUNTA(T13:T162)</f>
        <v>150</v>
      </c>
      <c r="U163" s="314">
        <f>SUM(U13:U162)</f>
        <v>10564.419999999996</v>
      </c>
      <c r="V163" s="313"/>
      <c r="W163" s="315">
        <f>SUM(W13:W162)</f>
        <v>8019750000</v>
      </c>
      <c r="X163" s="315">
        <f>SUM(X13:X162)</f>
        <v>48650867034</v>
      </c>
      <c r="Z163" s="505" t="s">
        <v>1586</v>
      </c>
      <c r="AA163" s="505">
        <f>VLOOKUP(Z163,'Im 3B'!$A$2:$C$2280,3,FALSE)</f>
        <v>0</v>
      </c>
      <c r="AB163" s="304" t="str">
        <f>VLOOKUP(Z163,'Im 3B'!$A$2:$D$3548,4,FALSE)</f>
        <v>V</v>
      </c>
      <c r="AC163" s="305">
        <f>IF(AB163="D",VLOOKUP(Z163,'Im 3B'!$A$2:$C$2280,2,FALSE),0)</f>
        <v>0</v>
      </c>
      <c r="AD163" s="305">
        <f>IF(AB163="V",VLOOKUP(Z163,Vtas3B!$A$2:$B$2438,2,FALSE),0)</f>
        <v>25000000</v>
      </c>
    </row>
    <row r="164" spans="2:30" x14ac:dyDescent="0.2">
      <c r="B164" s="833" t="s">
        <v>955</v>
      </c>
      <c r="C164" s="834"/>
      <c r="D164" s="834"/>
      <c r="E164" s="834"/>
      <c r="F164" s="835"/>
      <c r="G164" s="306"/>
      <c r="H164" s="304" t="s">
        <v>3022</v>
      </c>
      <c r="I164" s="304">
        <f>VLOOKUP(H164,'Im 1B'!$A$2:$C$1947,3,FALSE)</f>
        <v>0</v>
      </c>
      <c r="J164" s="304" t="str">
        <f>VLOOKUP(H164,'Im 1B'!$A$2:$D$3215,4,FALSE)</f>
        <v>V</v>
      </c>
      <c r="K164" s="305">
        <f>IF(J164="D",VLOOKUP(H164,'Im 1B'!$A$2:$C$1947,2,FALSE),0)</f>
        <v>0</v>
      </c>
      <c r="L164" s="305">
        <f>IF(J164="V",VLOOKUP(H164,Vtas1B!$A$2:$B$2313,2,FALSE),0)</f>
        <v>22000000</v>
      </c>
      <c r="M164" s="307"/>
      <c r="N164" s="505" t="s">
        <v>3300</v>
      </c>
      <c r="O164" s="505">
        <f>VLOOKUP(N164,'Im 2'!$A$2:$C$2278,3,FALSE)</f>
        <v>0</v>
      </c>
      <c r="P164" s="304" t="str">
        <f>VLOOKUP(N164,'Im 2'!$A$2:$D$3546,4,FALSE)</f>
        <v>V</v>
      </c>
      <c r="Q164" s="305">
        <f>IF(P164="D",VLOOKUP(N164,'Im 2'!$A$2:$C$2278,2,FALSE),0)</f>
        <v>0</v>
      </c>
      <c r="R164" s="305">
        <f>IF(P164="V",VLOOKUP(N164,Vtas2!$A$2:$B$2425,2,FALSE),0)</f>
        <v>26000000</v>
      </c>
      <c r="S164" s="307"/>
      <c r="Z164" s="505" t="s">
        <v>1500</v>
      </c>
      <c r="AA164" s="505">
        <f>VLOOKUP(Z164,'Im 3B'!$A$2:$C$2280,3,FALSE)</f>
        <v>0</v>
      </c>
      <c r="AB164" s="304" t="str">
        <f>VLOOKUP(Z164,'Im 3B'!$A$2:$D$3548,4,FALSE)</f>
        <v>V</v>
      </c>
      <c r="AC164" s="305">
        <f>IF(AB164="D",VLOOKUP(Z164,'Im 3B'!$A$2:$C$2280,2,FALSE),0)</f>
        <v>0</v>
      </c>
      <c r="AD164" s="305">
        <f>IF(AB164="V",VLOOKUP(Z164,Vtas3B!$A$2:$B$2438,2,FALSE),0)</f>
        <v>25000000</v>
      </c>
    </row>
    <row r="165" spans="2:30" x14ac:dyDescent="0.2">
      <c r="B165" s="311" t="s">
        <v>46</v>
      </c>
      <c r="C165" s="311" t="s">
        <v>31</v>
      </c>
      <c r="D165" s="311" t="s">
        <v>47</v>
      </c>
      <c r="E165" s="311" t="s">
        <v>48</v>
      </c>
      <c r="F165" s="312" t="s">
        <v>55</v>
      </c>
      <c r="G165" s="306"/>
      <c r="H165" s="304" t="s">
        <v>3452</v>
      </c>
      <c r="I165" s="304">
        <f>VLOOKUP(H165,'Im 1B'!$A$2:$C$1947,3,FALSE)</f>
        <v>0</v>
      </c>
      <c r="J165" s="304" t="str">
        <f>VLOOKUP(H165,'Im 1B'!$A$2:$D$3215,4,FALSE)</f>
        <v>V</v>
      </c>
      <c r="K165" s="305">
        <f>IF(J165="D",VLOOKUP(H165,'Im 1B'!$A$2:$C$1947,2,FALSE),0)</f>
        <v>0</v>
      </c>
      <c r="L165" s="305">
        <f>IF(J165="V",VLOOKUP(H165,Vtas1B!$A$2:$B$2313,2,FALSE),0)</f>
        <v>22000000</v>
      </c>
      <c r="M165" s="307"/>
      <c r="N165" s="505" t="s">
        <v>3169</v>
      </c>
      <c r="O165" s="505">
        <f>VLOOKUP(N165,'Im 2'!$A$2:$C$2278,3,FALSE)</f>
        <v>0</v>
      </c>
      <c r="P165" s="304" t="str">
        <f>VLOOKUP(N165,'Im 2'!$A$2:$D$3546,4,FALSE)</f>
        <v>V</v>
      </c>
      <c r="Q165" s="305">
        <f>IF(P165="D",VLOOKUP(N165,'Im 2'!$A$2:$C$2278,2,FALSE),0)</f>
        <v>0</v>
      </c>
      <c r="R165" s="305">
        <f>IF(P165="V",VLOOKUP(N165,Vtas2!$A$2:$B$2425,2,FALSE),0)</f>
        <v>26000000</v>
      </c>
      <c r="S165" s="307"/>
      <c r="T165" s="833" t="s">
        <v>2669</v>
      </c>
      <c r="U165" s="834"/>
      <c r="V165" s="834"/>
      <c r="W165" s="834"/>
      <c r="X165" s="835"/>
      <c r="Z165" s="505" t="s">
        <v>1427</v>
      </c>
      <c r="AA165" s="505">
        <f>VLOOKUP(Z165,'Im 3B'!$A$2:$C$2280,3,FALSE)</f>
        <v>0</v>
      </c>
      <c r="AB165" s="304" t="str">
        <f>VLOOKUP(Z165,'Im 3B'!$A$2:$D$3548,4,FALSE)</f>
        <v>V</v>
      </c>
      <c r="AC165" s="305">
        <f>IF(AB165="D",VLOOKUP(Z165,'Im 3B'!$A$2:$C$2280,2,FALSE),0)</f>
        <v>0</v>
      </c>
      <c r="AD165" s="305">
        <f>IF(AB165="V",VLOOKUP(Z165,Vtas3B!$A$2:$B$2438,2,FALSE),0)</f>
        <v>25000000</v>
      </c>
    </row>
    <row r="166" spans="2:30" ht="12.75" customHeight="1" x14ac:dyDescent="0.2">
      <c r="B166" s="304" t="s">
        <v>1327</v>
      </c>
      <c r="C166" s="304">
        <f>VLOOKUP(B166,'Im 1A'!$A$2:$C$1963,3,FALSE)</f>
        <v>0</v>
      </c>
      <c r="D166" s="304" t="str">
        <f>VLOOKUP(B166,'Im 1A'!$A$2:$D$3231,4,FALSE)</f>
        <v>D</v>
      </c>
      <c r="E166" s="305">
        <f>IF(D166="D",VLOOKUP(B166,'Im 1A'!$A$2:$C$1963,2,FALSE),0)</f>
        <v>22000000</v>
      </c>
      <c r="F166" s="305">
        <f>IF(D166="V",VLOOKUP(B166,Vtas1A!$A$2:$B$2357,2,FALSE),0)</f>
        <v>0</v>
      </c>
      <c r="G166" s="306"/>
      <c r="H166" s="304" t="s">
        <v>3289</v>
      </c>
      <c r="I166" s="304">
        <f>VLOOKUP(H166,'Im 1B'!$A$2:$C$1947,3,FALSE)</f>
        <v>0</v>
      </c>
      <c r="J166" s="304" t="str">
        <f>VLOOKUP(H166,'Im 1B'!$A$2:$D$3215,4,FALSE)</f>
        <v>V</v>
      </c>
      <c r="K166" s="305">
        <f>IF(J166="D",VLOOKUP(H166,'Im 1B'!$A$2:$C$1947,2,FALSE),0)</f>
        <v>0</v>
      </c>
      <c r="L166" s="305">
        <f>IF(J166="V",VLOOKUP(H166,Vtas1B!$A$2:$B$2313,2,FALSE),0)</f>
        <v>27000000</v>
      </c>
      <c r="M166" s="307"/>
      <c r="N166" s="505" t="s">
        <v>3043</v>
      </c>
      <c r="O166" s="505">
        <f>VLOOKUP(N166,'Im 2'!$A$2:$C$2278,3,FALSE)</f>
        <v>0</v>
      </c>
      <c r="P166" s="304" t="str">
        <f>VLOOKUP(N166,'Im 2'!$A$2:$D$3546,4,FALSE)</f>
        <v>V</v>
      </c>
      <c r="Q166" s="305">
        <f>IF(P166="D",VLOOKUP(N166,'Im 2'!$A$2:$C$2278,2,FALSE),0)</f>
        <v>0</v>
      </c>
      <c r="R166" s="305">
        <f>IF(P166="V",VLOOKUP(N166,Vtas2!$A$2:$B$2425,2,FALSE),0)</f>
        <v>26000000</v>
      </c>
      <c r="S166" s="307"/>
      <c r="T166" s="311" t="s">
        <v>46</v>
      </c>
      <c r="U166" s="311" t="s">
        <v>31</v>
      </c>
      <c r="V166" s="311" t="s">
        <v>47</v>
      </c>
      <c r="W166" s="311" t="s">
        <v>48</v>
      </c>
      <c r="X166" s="312" t="s">
        <v>55</v>
      </c>
      <c r="Z166" s="505" t="s">
        <v>1731</v>
      </c>
      <c r="AA166" s="505">
        <f>VLOOKUP(Z166,'Im 3B'!$A$2:$C$2280,3,FALSE)</f>
        <v>0</v>
      </c>
      <c r="AB166" s="304" t="str">
        <f>VLOOKUP(Z166,'Im 3B'!$A$2:$D$3548,4,FALSE)</f>
        <v>V</v>
      </c>
      <c r="AC166" s="305">
        <f>IF(AB166="D",VLOOKUP(Z166,'Im 3B'!$A$2:$C$2280,2,FALSE),0)</f>
        <v>0</v>
      </c>
      <c r="AD166" s="305">
        <f>IF(AB166="V",VLOOKUP(Z166,Vtas3B!$A$2:$B$2438,2,FALSE),0)</f>
        <v>25000000</v>
      </c>
    </row>
    <row r="167" spans="2:30" ht="12.75" customHeight="1" x14ac:dyDescent="0.2">
      <c r="B167" s="304" t="s">
        <v>1617</v>
      </c>
      <c r="C167" s="304">
        <f>VLOOKUP(B167,'Im 1A'!$A$2:$C$1963,3,FALSE)</f>
        <v>0</v>
      </c>
      <c r="D167" s="304" t="str">
        <f>VLOOKUP(B167,'Im 1A'!$A$2:$D$3231,4,FALSE)</f>
        <v>D</v>
      </c>
      <c r="E167" s="305">
        <f>IF(D167="D",VLOOKUP(B167,'Im 1A'!$A$2:$C$1963,2,FALSE),0)</f>
        <v>22000000</v>
      </c>
      <c r="F167" s="305">
        <f>IF(D167="V",VLOOKUP(B167,Vtas1A!$A$2:$B$2357,2,FALSE),0)</f>
        <v>0</v>
      </c>
      <c r="G167" s="306"/>
      <c r="H167" s="304" t="s">
        <v>3023</v>
      </c>
      <c r="I167" s="304">
        <f>VLOOKUP(H167,'Im 1B'!$A$2:$C$1947,3,FALSE)</f>
        <v>0</v>
      </c>
      <c r="J167" s="304" t="str">
        <f>VLOOKUP(H167,'Im 1B'!$A$2:$D$3215,4,FALSE)</f>
        <v>V</v>
      </c>
      <c r="K167" s="305">
        <f>IF(J167="D",VLOOKUP(H167,'Im 1B'!$A$2:$C$1947,2,FALSE),0)</f>
        <v>0</v>
      </c>
      <c r="L167" s="305">
        <f>IF(J167="V",VLOOKUP(H167,Vtas1B!$A$2:$B$2313,2,FALSE),0)</f>
        <v>22000000</v>
      </c>
      <c r="M167" s="307"/>
      <c r="N167" s="505" t="s">
        <v>3044</v>
      </c>
      <c r="O167" s="505">
        <f>VLOOKUP(N167,'Im 2'!$A$2:$C$2278,3,FALSE)</f>
        <v>0</v>
      </c>
      <c r="P167" s="304" t="str">
        <f>VLOOKUP(N167,'Im 2'!$A$2:$D$3546,4,FALSE)</f>
        <v>V</v>
      </c>
      <c r="Q167" s="305">
        <f>IF(P167="D",VLOOKUP(N167,'Im 2'!$A$2:$C$2278,2,FALSE),0)</f>
        <v>0</v>
      </c>
      <c r="R167" s="305">
        <f>IF(P167="V",VLOOKUP(N167,Vtas2!$A$2:$B$2425,2,FALSE),0)</f>
        <v>26000000</v>
      </c>
      <c r="S167" s="307"/>
      <c r="T167" s="304" t="s">
        <v>1027</v>
      </c>
      <c r="U167" s="505">
        <f>VLOOKUP(T167,'Im 3A'!$A$2:$C$2278,3,FALSE)</f>
        <v>0</v>
      </c>
      <c r="V167" s="304" t="str">
        <f>VLOOKUP(T167,'Im 3A'!$A$2:$D$3546,4,FALSE)</f>
        <v>D</v>
      </c>
      <c r="W167" s="305">
        <f>IF(V167="D",VLOOKUP(T167,'Im 3A'!$A$2:$C$2278,2,FALSE),0)</f>
        <v>23000000</v>
      </c>
      <c r="X167" s="305">
        <f>IF(V167="V",VLOOKUP(T167,Vtas3A!$A$2:$B$2425,2,FALSE),0)</f>
        <v>0</v>
      </c>
      <c r="Z167" s="505" t="s">
        <v>1274</v>
      </c>
      <c r="AA167" s="505">
        <f>VLOOKUP(Z167,'Im 3B'!$A$2:$C$2280,3,FALSE)</f>
        <v>0</v>
      </c>
      <c r="AB167" s="304" t="str">
        <f>VLOOKUP(Z167,'Im 3B'!$A$2:$D$3548,4,FALSE)</f>
        <v>V</v>
      </c>
      <c r="AC167" s="305">
        <f>IF(AB167="D",VLOOKUP(Z167,'Im 3B'!$A$2:$C$2280,2,FALSE),0)</f>
        <v>0</v>
      </c>
      <c r="AD167" s="305">
        <f>IF(AB167="V",VLOOKUP(Z167,Vtas3B!$A$2:$B$2438,2,FALSE),0)</f>
        <v>25000000</v>
      </c>
    </row>
    <row r="168" spans="2:30" ht="12.75" customHeight="1" x14ac:dyDescent="0.2">
      <c r="B168" s="304" t="s">
        <v>1334</v>
      </c>
      <c r="C168" s="304">
        <f>VLOOKUP(B168,'Im 1A'!$A$2:$C$1963,3,FALSE)</f>
        <v>0</v>
      </c>
      <c r="D168" s="304" t="str">
        <f>VLOOKUP(B168,'Im 1A'!$A$2:$D$3231,4,FALSE)</f>
        <v>D</v>
      </c>
      <c r="E168" s="305">
        <f>IF(D168="D",VLOOKUP(B168,'Im 1A'!$A$2:$C$1963,2,FALSE),0)</f>
        <v>22000000</v>
      </c>
      <c r="F168" s="305">
        <f>IF(D168="V",VLOOKUP(B168,Vtas1A!$A$2:$B$2357,2,FALSE),0)</f>
        <v>0</v>
      </c>
      <c r="G168" s="306"/>
      <c r="H168" s="304" t="s">
        <v>2632</v>
      </c>
      <c r="I168" s="304">
        <f>VLOOKUP(H168,'Im 1B'!$A$2:$C$1947,3,FALSE)</f>
        <v>0</v>
      </c>
      <c r="J168" s="304" t="str">
        <f>VLOOKUP(H168,'Im 1B'!$A$2:$D$3215,4,FALSE)</f>
        <v>V</v>
      </c>
      <c r="K168" s="305">
        <f>IF(J168="D",VLOOKUP(H168,'Im 1B'!$A$2:$C$1947,2,FALSE),0)</f>
        <v>0</v>
      </c>
      <c r="L168" s="305">
        <f>IF(J168="V",VLOOKUP(H168,Vtas1B!$A$2:$B$2313,2,FALSE),0)</f>
        <v>22000000</v>
      </c>
      <c r="M168" s="307"/>
      <c r="N168" s="505" t="s">
        <v>3170</v>
      </c>
      <c r="O168" s="505">
        <f>VLOOKUP(N168,'Im 2'!$A$2:$C$2278,3,FALSE)</f>
        <v>0</v>
      </c>
      <c r="P168" s="304" t="str">
        <f>VLOOKUP(N168,'Im 2'!$A$2:$D$3546,4,FALSE)</f>
        <v>V</v>
      </c>
      <c r="Q168" s="305">
        <f>IF(P168="D",VLOOKUP(N168,'Im 2'!$A$2:$C$2278,2,FALSE),0)</f>
        <v>0</v>
      </c>
      <c r="R168" s="305">
        <f>IF(P168="V",VLOOKUP(N168,Vtas2!$A$2:$B$2425,2,FALSE),0)</f>
        <v>26000000</v>
      </c>
      <c r="S168" s="307"/>
      <c r="T168" s="304" t="s">
        <v>1028</v>
      </c>
      <c r="U168" s="505">
        <f>VLOOKUP(T168,'Im 3A'!$A$2:$C$2278,3,FALSE)</f>
        <v>0</v>
      </c>
      <c r="V168" s="304" t="str">
        <f>VLOOKUP(T168,'Im 3A'!$A$2:$D$3546,4,FALSE)</f>
        <v>D</v>
      </c>
      <c r="W168" s="305">
        <f>IF(V168="D",VLOOKUP(T168,'Im 3A'!$A$2:$C$2278,2,FALSE),0)</f>
        <v>23000000</v>
      </c>
      <c r="X168" s="305">
        <f>IF(V168="V",VLOOKUP(T168,Vtas3A!$A$2:$B$2425,2,FALSE),0)</f>
        <v>0</v>
      </c>
      <c r="Z168" s="505" t="s">
        <v>2561</v>
      </c>
      <c r="AA168" s="505">
        <f>VLOOKUP(Z168,'Im 3B'!$A$2:$C$2280,3,FALSE)</f>
        <v>0</v>
      </c>
      <c r="AB168" s="304" t="str">
        <f>VLOOKUP(Z168,'Im 3B'!$A$2:$D$3548,4,FALSE)</f>
        <v>V</v>
      </c>
      <c r="AC168" s="305">
        <f>IF(AB168="D",VLOOKUP(Z168,'Im 3B'!$A$2:$C$2280,2,FALSE),0)</f>
        <v>0</v>
      </c>
      <c r="AD168" s="305">
        <f>IF(AB168="V",VLOOKUP(Z168,Vtas3B!$A$2:$B$2438,2,FALSE),0)</f>
        <v>25000000</v>
      </c>
    </row>
    <row r="169" spans="2:30" ht="12.75" customHeight="1" x14ac:dyDescent="0.2">
      <c r="B169" s="304" t="s">
        <v>1308</v>
      </c>
      <c r="C169" s="304">
        <f>VLOOKUP(B169,'Im 1A'!$A$2:$C$1963,3,FALSE)</f>
        <v>0</v>
      </c>
      <c r="D169" s="304" t="str">
        <f>VLOOKUP(B169,'Im 1A'!$A$2:$D$3231,4,FALSE)</f>
        <v>V</v>
      </c>
      <c r="E169" s="305">
        <f>IF(D169="D",VLOOKUP(B169,'Im 1A'!$A$2:$C$1963,2,FALSE),0)</f>
        <v>0</v>
      </c>
      <c r="F169" s="305">
        <f>IF(D169="V",VLOOKUP(B169,Vtas1A!$A$2:$B$2357,2,FALSE),0)</f>
        <v>27000000</v>
      </c>
      <c r="G169" s="306"/>
      <c r="H169" s="304" t="s">
        <v>1366</v>
      </c>
      <c r="I169" s="304">
        <f>VLOOKUP(H169,'Im 1B'!$A$2:$C$1947,3,FALSE)</f>
        <v>0</v>
      </c>
      <c r="J169" s="304" t="str">
        <f>VLOOKUP(H169,'Im 1B'!$A$2:$D$3215,4,FALSE)</f>
        <v>V</v>
      </c>
      <c r="K169" s="305">
        <f>IF(J169="D",VLOOKUP(H169,'Im 1B'!$A$2:$C$1947,2,FALSE),0)</f>
        <v>0</v>
      </c>
      <c r="L169" s="305">
        <f>IF(J169="V",VLOOKUP(H169,Vtas1B!$A$2:$B$2313,2,FALSE),0)</f>
        <v>27000000</v>
      </c>
      <c r="M169" s="307"/>
      <c r="N169" s="505" t="s">
        <v>2867</v>
      </c>
      <c r="O169" s="505">
        <f>VLOOKUP(N169,'Im 2'!$A$2:$C$2278,3,FALSE)</f>
        <v>0</v>
      </c>
      <c r="P169" s="304" t="str">
        <f>VLOOKUP(N169,'Im 2'!$A$2:$D$3546,4,FALSE)</f>
        <v>V</v>
      </c>
      <c r="Q169" s="305">
        <f>IF(P169="D",VLOOKUP(N169,'Im 2'!$A$2:$C$2278,2,FALSE),0)</f>
        <v>0</v>
      </c>
      <c r="R169" s="305">
        <f>IF(P169="V",VLOOKUP(N169,Vtas2!$A$2:$B$2425,2,FALSE),0)</f>
        <v>26000000</v>
      </c>
      <c r="S169" s="307"/>
      <c r="T169" s="304" t="s">
        <v>1029</v>
      </c>
      <c r="U169" s="505">
        <f>VLOOKUP(T169,'Im 3A'!$A$2:$C$2278,3,FALSE)</f>
        <v>0</v>
      </c>
      <c r="V169" s="304" t="str">
        <f>VLOOKUP(T169,'Im 3A'!$A$2:$D$3546,4,FALSE)</f>
        <v>D</v>
      </c>
      <c r="W169" s="305">
        <f>IF(V169="D",VLOOKUP(T169,'Im 3A'!$A$2:$C$2278,2,FALSE),0)</f>
        <v>23000000</v>
      </c>
      <c r="X169" s="305">
        <f>IF(V169="V",VLOOKUP(T169,Vtas3A!$A$2:$B$2425,2,FALSE),0)</f>
        <v>0</v>
      </c>
      <c r="Z169" s="505" t="s">
        <v>1690</v>
      </c>
      <c r="AA169" s="505">
        <f>VLOOKUP(Z169,'Im 3B'!$A$2:$C$2280,3,FALSE)</f>
        <v>0</v>
      </c>
      <c r="AB169" s="304" t="str">
        <f>VLOOKUP(Z169,'Im 3B'!$A$2:$D$3548,4,FALSE)</f>
        <v>V</v>
      </c>
      <c r="AC169" s="305">
        <f>IF(AB169="D",VLOOKUP(Z169,'Im 3B'!$A$2:$C$2280,2,FALSE),0)</f>
        <v>0</v>
      </c>
      <c r="AD169" s="305">
        <f>IF(AB169="V",VLOOKUP(Z169,Vtas3B!$A$2:$B$2438,2,FALSE),0)</f>
        <v>25000000</v>
      </c>
    </row>
    <row r="170" spans="2:30" ht="12.75" customHeight="1" x14ac:dyDescent="0.2">
      <c r="B170" s="304" t="s">
        <v>1228</v>
      </c>
      <c r="C170" s="304">
        <f>VLOOKUP(B170,'Im 1A'!$A$2:$C$1963,3,FALSE)</f>
        <v>0</v>
      </c>
      <c r="D170" s="304" t="str">
        <f>VLOOKUP(B170,'Im 1A'!$A$2:$D$3231,4,FALSE)</f>
        <v>V</v>
      </c>
      <c r="E170" s="305">
        <f>IF(D170="D",VLOOKUP(B170,'Im 1A'!$A$2:$C$1963,2,FALSE),0)</f>
        <v>0</v>
      </c>
      <c r="F170" s="305">
        <f>IF(D170="V",VLOOKUP(B170,Vtas1A!$A$2:$B$2357,2,FALSE),0)</f>
        <v>22000000</v>
      </c>
      <c r="G170" s="306"/>
      <c r="H170" s="304" t="s">
        <v>1327</v>
      </c>
      <c r="I170" s="304">
        <f>VLOOKUP(H170,'Im 1B'!$A$2:$C$1947,3,FALSE)</f>
        <v>0</v>
      </c>
      <c r="J170" s="304" t="str">
        <f>VLOOKUP(H170,'Im 1B'!$A$2:$D$3215,4,FALSE)</f>
        <v>V</v>
      </c>
      <c r="K170" s="305">
        <f>IF(J170="D",VLOOKUP(H170,'Im 1B'!$A$2:$C$1947,2,FALSE),0)</f>
        <v>0</v>
      </c>
      <c r="L170" s="305">
        <f>IF(J170="V",VLOOKUP(H170,Vtas1B!$A$2:$B$2313,2,FALSE),0)</f>
        <v>27000000</v>
      </c>
      <c r="M170" s="307"/>
      <c r="N170" s="505" t="s">
        <v>2868</v>
      </c>
      <c r="O170" s="505">
        <f>VLOOKUP(N170,'Im 2'!$A$2:$C$2278,3,FALSE)</f>
        <v>0</v>
      </c>
      <c r="P170" s="304" t="str">
        <f>VLOOKUP(N170,'Im 2'!$A$2:$D$3546,4,FALSE)</f>
        <v>V</v>
      </c>
      <c r="Q170" s="305">
        <f>IF(P170="D",VLOOKUP(N170,'Im 2'!$A$2:$C$2278,2,FALSE),0)</f>
        <v>0</v>
      </c>
      <c r="R170" s="305">
        <f>IF(P170="V",VLOOKUP(N170,Vtas2!$A$2:$B$2425,2,FALSE),0)</f>
        <v>26000000</v>
      </c>
      <c r="S170" s="307"/>
      <c r="T170" s="304" t="s">
        <v>902</v>
      </c>
      <c r="U170" s="505">
        <f>VLOOKUP(T170,'Im 3A'!$A$2:$C$2278,3,FALSE)</f>
        <v>0</v>
      </c>
      <c r="V170" s="304" t="str">
        <f>VLOOKUP(T170,'Im 3A'!$A$2:$D$3546,4,FALSE)</f>
        <v>D</v>
      </c>
      <c r="W170" s="305">
        <f>IF(V170="D",VLOOKUP(T170,'Im 3A'!$A$2:$C$2278,2,FALSE),0)</f>
        <v>23000000</v>
      </c>
      <c r="X170" s="305">
        <f>IF(V170="V",VLOOKUP(T170,Vtas3A!$A$2:$B$2425,2,FALSE),0)</f>
        <v>0</v>
      </c>
      <c r="Z170" s="304" t="s">
        <v>1275</v>
      </c>
      <c r="AA170" s="505">
        <f>VLOOKUP(Z170,'Im 3B'!$A$2:$C$2280,3,FALSE)</f>
        <v>0</v>
      </c>
      <c r="AB170" s="304" t="str">
        <f>VLOOKUP(Z170,'Im 3B'!$A$2:$D$3548,4,FALSE)</f>
        <v>V</v>
      </c>
      <c r="AC170" s="305">
        <f>IF(AB170="D",VLOOKUP(Z170,'Im 3B'!$A$2:$C$2280,2,FALSE),0)</f>
        <v>0</v>
      </c>
      <c r="AD170" s="305">
        <f>IF(AB170="V",VLOOKUP(Z170,Vtas3B!$A$2:$B$2438,2,FALSE),0)</f>
        <v>25000000</v>
      </c>
    </row>
    <row r="171" spans="2:30" ht="12.75" customHeight="1" x14ac:dyDescent="0.2">
      <c r="B171" s="304" t="s">
        <v>1309</v>
      </c>
      <c r="C171" s="304">
        <f>VLOOKUP(B171,'Im 1A'!$A$2:$C$1963,3,FALSE)</f>
        <v>0</v>
      </c>
      <c r="D171" s="304" t="str">
        <f>VLOOKUP(B171,'Im 1A'!$A$2:$D$3231,4,FALSE)</f>
        <v>V</v>
      </c>
      <c r="E171" s="305">
        <f>IF(D171="D",VLOOKUP(B171,'Im 1A'!$A$2:$C$1963,2,FALSE),0)</f>
        <v>0</v>
      </c>
      <c r="F171" s="305">
        <f>IF(D171="V",VLOOKUP(B171,Vtas1A!$A$2:$B$2357,2,FALSE),0)</f>
        <v>27000000</v>
      </c>
      <c r="G171" s="306"/>
      <c r="H171" s="304" t="s">
        <v>1367</v>
      </c>
      <c r="I171" s="304">
        <f>VLOOKUP(H171,'Im 1B'!$A$2:$C$1947,3,FALSE)</f>
        <v>0</v>
      </c>
      <c r="J171" s="304" t="str">
        <f>VLOOKUP(H171,'Im 1B'!$A$2:$D$3215,4,FALSE)</f>
        <v>V</v>
      </c>
      <c r="K171" s="305">
        <f>IF(J171="D",VLOOKUP(H171,'Im 1B'!$A$2:$C$1947,2,FALSE),0)</f>
        <v>0</v>
      </c>
      <c r="L171" s="305">
        <f>IF(J171="V",VLOOKUP(H171,Vtas1B!$A$2:$B$2313,2,FALSE),0)</f>
        <v>27000000</v>
      </c>
      <c r="M171" s="307"/>
      <c r="N171" s="505" t="s">
        <v>3045</v>
      </c>
      <c r="O171" s="505">
        <f>VLOOKUP(N171,'Im 2'!$A$2:$C$2278,3,FALSE)</f>
        <v>0</v>
      </c>
      <c r="P171" s="304" t="str">
        <f>VLOOKUP(N171,'Im 2'!$A$2:$D$3546,4,FALSE)</f>
        <v>V</v>
      </c>
      <c r="Q171" s="305">
        <f>IF(P171="D",VLOOKUP(N171,'Im 2'!$A$2:$C$2278,2,FALSE),0)</f>
        <v>0</v>
      </c>
      <c r="R171" s="305">
        <f>IF(P171="V",VLOOKUP(N171,Vtas2!$A$2:$B$2425,2,FALSE),0)</f>
        <v>26000000</v>
      </c>
      <c r="S171" s="307"/>
      <c r="T171" s="304" t="s">
        <v>903</v>
      </c>
      <c r="U171" s="505">
        <f>VLOOKUP(T171,'Im 3A'!$A$2:$C$2278,3,FALSE)</f>
        <v>0</v>
      </c>
      <c r="V171" s="304" t="str">
        <f>VLOOKUP(T171,'Im 3A'!$A$2:$D$3546,4,FALSE)</f>
        <v>D</v>
      </c>
      <c r="W171" s="305">
        <f>IF(V171="D",VLOOKUP(T171,'Im 3A'!$A$2:$C$2278,2,FALSE),0)</f>
        <v>23000000</v>
      </c>
      <c r="X171" s="305">
        <f>IF(V171="V",VLOOKUP(T171,Vtas3A!$A$2:$B$2425,2,FALSE),0)</f>
        <v>0</v>
      </c>
      <c r="Z171" s="304" t="s">
        <v>1517</v>
      </c>
      <c r="AA171" s="505">
        <f>VLOOKUP(Z171,'Im 3B'!$A$2:$C$2280,3,FALSE)</f>
        <v>0</v>
      </c>
      <c r="AB171" s="304" t="str">
        <f>VLOOKUP(Z171,'Im 3B'!$A$2:$D$3548,4,FALSE)</f>
        <v>V</v>
      </c>
      <c r="AC171" s="305">
        <f>IF(AB171="D",VLOOKUP(Z171,'Im 3B'!$A$2:$C$2280,2,FALSE),0)</f>
        <v>0</v>
      </c>
      <c r="AD171" s="305">
        <f>IF(AB171="V",VLOOKUP(Z171,Vtas3B!$A$2:$B$2438,2,FALSE),0)</f>
        <v>25000000</v>
      </c>
    </row>
    <row r="172" spans="2:30" ht="12.75" customHeight="1" x14ac:dyDescent="0.2">
      <c r="B172" s="304" t="s">
        <v>1534</v>
      </c>
      <c r="C172" s="304">
        <f>VLOOKUP(B172,'Im 1A'!$A$2:$C$1963,3,FALSE)</f>
        <v>0</v>
      </c>
      <c r="D172" s="304" t="str">
        <f>VLOOKUP(B172,'Im 1A'!$A$2:$D$3231,4,FALSE)</f>
        <v>V</v>
      </c>
      <c r="E172" s="305">
        <f>IF(D172="D",VLOOKUP(B172,'Im 1A'!$A$2:$C$1963,2,FALSE),0)</f>
        <v>0</v>
      </c>
      <c r="F172" s="305">
        <f>IF(D172="V",VLOOKUP(B172,Vtas1A!$A$2:$B$2357,2,FALSE),0)</f>
        <v>22000000</v>
      </c>
      <c r="G172" s="306"/>
      <c r="H172" s="304" t="s">
        <v>3453</v>
      </c>
      <c r="I172" s="304">
        <f>VLOOKUP(H172,'Im 1B'!$A$2:$C$1947,3,FALSE)</f>
        <v>0</v>
      </c>
      <c r="J172" s="304" t="str">
        <f>VLOOKUP(H172,'Im 1B'!$A$2:$D$3215,4,FALSE)</f>
        <v>V</v>
      </c>
      <c r="K172" s="305">
        <f>IF(J172="D",VLOOKUP(H172,'Im 1B'!$A$2:$C$1947,2,FALSE),0)</f>
        <v>0</v>
      </c>
      <c r="L172" s="305">
        <f>IF(J172="V",VLOOKUP(H172,Vtas1B!$A$2:$B$2313,2,FALSE),0)</f>
        <v>22000000</v>
      </c>
      <c r="M172" s="307"/>
      <c r="N172" s="505" t="s">
        <v>3377</v>
      </c>
      <c r="O172" s="505">
        <f>VLOOKUP(N172,'Im 2'!$A$2:$C$2278,3,FALSE)</f>
        <v>0</v>
      </c>
      <c r="P172" s="304" t="str">
        <f>VLOOKUP(N172,'Im 2'!$A$2:$D$3546,4,FALSE)</f>
        <v>V</v>
      </c>
      <c r="Q172" s="305">
        <f>IF(P172="D",VLOOKUP(N172,'Im 2'!$A$2:$C$2278,2,FALSE),0)</f>
        <v>0</v>
      </c>
      <c r="R172" s="305">
        <f>IF(P172="V",VLOOKUP(N172,Vtas2!$A$2:$B$2425,2,FALSE),0)</f>
        <v>26000000</v>
      </c>
      <c r="S172" s="307"/>
      <c r="T172" s="304" t="s">
        <v>1130</v>
      </c>
      <c r="U172" s="505">
        <f>VLOOKUP(T172,'Im 3A'!$A$2:$C$2278,3,FALSE)</f>
        <v>0</v>
      </c>
      <c r="V172" s="304" t="str">
        <f>VLOOKUP(T172,'Im 3A'!$A$2:$D$3546,4,FALSE)</f>
        <v>D</v>
      </c>
      <c r="W172" s="305">
        <f>IF(V172="D",VLOOKUP(T172,'Im 3A'!$A$2:$C$2278,2,FALSE),0)</f>
        <v>23000000</v>
      </c>
      <c r="X172" s="305">
        <f>IF(V172="V",VLOOKUP(T172,Vtas3A!$A$2:$B$2425,2,FALSE),0)</f>
        <v>0</v>
      </c>
      <c r="Z172" s="304" t="s">
        <v>1501</v>
      </c>
      <c r="AA172" s="505">
        <f>VLOOKUP(Z172,'Im 3B'!$A$2:$C$2280,3,FALSE)</f>
        <v>0</v>
      </c>
      <c r="AB172" s="304" t="str">
        <f>VLOOKUP(Z172,'Im 3B'!$A$2:$D$3548,4,FALSE)</f>
        <v>V</v>
      </c>
      <c r="AC172" s="305">
        <f>IF(AB172="D",VLOOKUP(Z172,'Im 3B'!$A$2:$C$2280,2,FALSE),0)</f>
        <v>0</v>
      </c>
      <c r="AD172" s="305">
        <f>IF(AB172="V",VLOOKUP(Z172,Vtas3B!$A$2:$B$2438,2,FALSE),0)</f>
        <v>25000000</v>
      </c>
    </row>
    <row r="173" spans="2:30" ht="12.75" customHeight="1" x14ac:dyDescent="0.2">
      <c r="B173" s="304" t="s">
        <v>1579</v>
      </c>
      <c r="C173" s="304">
        <f>VLOOKUP(B173,'Im 1A'!$A$2:$C$1963,3,FALSE)</f>
        <v>0</v>
      </c>
      <c r="D173" s="304" t="str">
        <f>VLOOKUP(B173,'Im 1A'!$A$2:$D$3231,4,FALSE)</f>
        <v>V</v>
      </c>
      <c r="E173" s="305">
        <f>IF(D173="D",VLOOKUP(B173,'Im 1A'!$A$2:$C$1963,2,FALSE),0)</f>
        <v>0</v>
      </c>
      <c r="F173" s="305">
        <f>IF(D173="V",VLOOKUP(B173,Vtas1A!$A$2:$B$2357,2,FALSE),0)</f>
        <v>27000000</v>
      </c>
      <c r="G173" s="306"/>
      <c r="H173" s="304" t="s">
        <v>1418</v>
      </c>
      <c r="I173" s="304">
        <f>VLOOKUP(H173,'Im 1B'!$A$2:$C$1947,3,FALSE)</f>
        <v>0</v>
      </c>
      <c r="J173" s="304" t="str">
        <f>VLOOKUP(H173,'Im 1B'!$A$2:$D$3215,4,FALSE)</f>
        <v>V</v>
      </c>
      <c r="K173" s="305">
        <f>IF(J173="D",VLOOKUP(H173,'Im 1B'!$A$2:$C$1947,2,FALSE),0)</f>
        <v>0</v>
      </c>
      <c r="L173" s="305">
        <f>IF(J173="V",VLOOKUP(H173,Vtas1B!$A$2:$B$2313,2,FALSE),0)</f>
        <v>22000000</v>
      </c>
      <c r="M173" s="307"/>
      <c r="N173" s="505" t="s">
        <v>3046</v>
      </c>
      <c r="O173" s="505">
        <f>VLOOKUP(N173,'Im 2'!$A$2:$C$2278,3,FALSE)</f>
        <v>0</v>
      </c>
      <c r="P173" s="304" t="str">
        <f>VLOOKUP(N173,'Im 2'!$A$2:$D$3546,4,FALSE)</f>
        <v>V</v>
      </c>
      <c r="Q173" s="305">
        <f>IF(P173="D",VLOOKUP(N173,'Im 2'!$A$2:$C$2278,2,FALSE),0)</f>
        <v>0</v>
      </c>
      <c r="R173" s="305">
        <f>IF(P173="V",VLOOKUP(N173,Vtas2!$A$2:$B$2425,2,FALSE),0)</f>
        <v>26000000</v>
      </c>
      <c r="S173" s="307"/>
      <c r="T173" s="304" t="s">
        <v>1259</v>
      </c>
      <c r="U173" s="505">
        <f>VLOOKUP(T173,'Im 3A'!$A$2:$C$2278,3,FALSE)</f>
        <v>0</v>
      </c>
      <c r="V173" s="304" t="str">
        <f>VLOOKUP(T173,'Im 3A'!$A$2:$D$3546,4,FALSE)</f>
        <v>D</v>
      </c>
      <c r="W173" s="305">
        <f>IF(V173="D",VLOOKUP(T173,'Im 3A'!$A$2:$C$2278,2,FALSE),0)</f>
        <v>23000000</v>
      </c>
      <c r="X173" s="305">
        <f>IF(V173="V",VLOOKUP(T173,Vtas3A!$A$2:$B$2425,2,FALSE),0)</f>
        <v>0</v>
      </c>
      <c r="Z173" s="304" t="s">
        <v>1545</v>
      </c>
      <c r="AA173" s="505">
        <f>VLOOKUP(Z173,'Im 3B'!$A$2:$C$2280,3,FALSE)</f>
        <v>0</v>
      </c>
      <c r="AB173" s="304" t="str">
        <f>VLOOKUP(Z173,'Im 3B'!$A$2:$D$3548,4,FALSE)</f>
        <v>V</v>
      </c>
      <c r="AC173" s="305">
        <f>IF(AB173="D",VLOOKUP(Z173,'Im 3B'!$A$2:$C$2280,2,FALSE),0)</f>
        <v>0</v>
      </c>
      <c r="AD173" s="305">
        <f>IF(AB173="V",VLOOKUP(Z173,Vtas3B!$A$2:$B$2438,2,FALSE),0)</f>
        <v>25000000</v>
      </c>
    </row>
    <row r="174" spans="2:30" ht="12.75" customHeight="1" x14ac:dyDescent="0.2">
      <c r="B174" s="304" t="s">
        <v>1310</v>
      </c>
      <c r="C174" s="304">
        <f>VLOOKUP(B174,'Im 1A'!$A$2:$C$1963,3,FALSE)</f>
        <v>0</v>
      </c>
      <c r="D174" s="304" t="str">
        <f>VLOOKUP(B174,'Im 1A'!$A$2:$D$3231,4,FALSE)</f>
        <v>V</v>
      </c>
      <c r="E174" s="305">
        <f>IF(D174="D",VLOOKUP(B174,'Im 1A'!$A$2:$C$1963,2,FALSE),0)</f>
        <v>0</v>
      </c>
      <c r="F174" s="305">
        <f>IF(D174="V",VLOOKUP(B174,Vtas1A!$A$2:$B$2357,2,FALSE),0)</f>
        <v>27000000</v>
      </c>
      <c r="G174" s="306"/>
      <c r="H174" s="304" t="s">
        <v>1419</v>
      </c>
      <c r="I174" s="304">
        <f>VLOOKUP(H174,'Im 1B'!$A$2:$C$1947,3,FALSE)</f>
        <v>0</v>
      </c>
      <c r="J174" s="304" t="str">
        <f>VLOOKUP(H174,'Im 1B'!$A$2:$D$3215,4,FALSE)</f>
        <v>V</v>
      </c>
      <c r="K174" s="305">
        <f>IF(J174="D",VLOOKUP(H174,'Im 1B'!$A$2:$C$1947,2,FALSE),0)</f>
        <v>0</v>
      </c>
      <c r="L174" s="305">
        <f>IF(J174="V",VLOOKUP(H174,Vtas1B!$A$2:$B$2313,2,FALSE),0)</f>
        <v>22000000</v>
      </c>
      <c r="M174" s="307"/>
      <c r="N174" s="505" t="s">
        <v>3464</v>
      </c>
      <c r="O174" s="505">
        <f>VLOOKUP(N174,'Im 2'!$A$2:$C$2278,3,FALSE)</f>
        <v>0</v>
      </c>
      <c r="P174" s="304" t="str">
        <f>VLOOKUP(N174,'Im 2'!$A$2:$D$3546,4,FALSE)</f>
        <v>V</v>
      </c>
      <c r="Q174" s="305">
        <f>IF(P174="D",VLOOKUP(N174,'Im 2'!$A$2:$C$2278,2,FALSE),0)</f>
        <v>0</v>
      </c>
      <c r="R174" s="305">
        <f>IF(P174="V",VLOOKUP(N174,Vtas2!$A$2:$B$2425,2,FALSE),0)</f>
        <v>26000000</v>
      </c>
      <c r="S174" s="307"/>
      <c r="T174" s="304" t="s">
        <v>1030</v>
      </c>
      <c r="U174" s="505">
        <f>VLOOKUP(T174,'Im 3A'!$A$2:$C$2278,3,FALSE)</f>
        <v>0</v>
      </c>
      <c r="V174" s="304" t="str">
        <f>VLOOKUP(T174,'Im 3A'!$A$2:$D$3546,4,FALSE)</f>
        <v>D</v>
      </c>
      <c r="W174" s="305">
        <f>IF(V174="D",VLOOKUP(T174,'Im 3A'!$A$2:$C$2278,2,FALSE),0)</f>
        <v>23000000</v>
      </c>
      <c r="X174" s="305">
        <f>IF(V174="V",VLOOKUP(T174,Vtas3A!$A$2:$B$2425,2,FALSE),0)</f>
        <v>0</v>
      </c>
      <c r="Z174" s="304" t="s">
        <v>1456</v>
      </c>
      <c r="AA174" s="505">
        <f>VLOOKUP(Z174,'Im 3B'!$A$2:$C$2280,3,FALSE)</f>
        <v>0</v>
      </c>
      <c r="AB174" s="304" t="str">
        <f>VLOOKUP(Z174,'Im 3B'!$A$2:$D$3548,4,FALSE)</f>
        <v>V</v>
      </c>
      <c r="AC174" s="305">
        <f>IF(AB174="D",VLOOKUP(Z174,'Im 3B'!$A$2:$C$2280,2,FALSE),0)</f>
        <v>0</v>
      </c>
      <c r="AD174" s="305">
        <f>IF(AB174="V",VLOOKUP(Z174,Vtas3B!$A$2:$B$2438,2,FALSE),0)</f>
        <v>25000000</v>
      </c>
    </row>
    <row r="175" spans="2:30" ht="12.75" customHeight="1" x14ac:dyDescent="0.2">
      <c r="B175" s="304" t="s">
        <v>1311</v>
      </c>
      <c r="C175" s="304">
        <f>VLOOKUP(B175,'Im 1A'!$A$2:$C$1963,3,FALSE)</f>
        <v>0</v>
      </c>
      <c r="D175" s="304" t="str">
        <f>VLOOKUP(B175,'Im 1A'!$A$2:$D$3231,4,FALSE)</f>
        <v>V</v>
      </c>
      <c r="E175" s="305">
        <f>IF(D175="D",VLOOKUP(B175,'Im 1A'!$A$2:$C$1963,2,FALSE),0)</f>
        <v>0</v>
      </c>
      <c r="F175" s="305">
        <f>IF(D175="V",VLOOKUP(B175,Vtas1A!$A$2:$B$2357,2,FALSE),0)</f>
        <v>27000000</v>
      </c>
      <c r="G175" s="306"/>
      <c r="H175" s="304" t="s">
        <v>2733</v>
      </c>
      <c r="I175" s="304">
        <f>VLOOKUP(H175,'Im 1B'!$A$2:$C$1947,3,FALSE)</f>
        <v>0</v>
      </c>
      <c r="J175" s="304" t="str">
        <f>VLOOKUP(H175,'Im 1B'!$A$2:$D$3215,4,FALSE)</f>
        <v>V</v>
      </c>
      <c r="K175" s="305">
        <f>IF(J175="D",VLOOKUP(H175,'Im 1B'!$A$2:$C$1947,2,FALSE),0)</f>
        <v>0</v>
      </c>
      <c r="L175" s="305">
        <f>IF(J175="V",VLOOKUP(H175,Vtas1B!$A$2:$B$2313,2,FALSE),0)</f>
        <v>22000000</v>
      </c>
      <c r="M175" s="307"/>
      <c r="N175" s="505" t="s">
        <v>3378</v>
      </c>
      <c r="O175" s="505">
        <f>VLOOKUP(N175,'Im 2'!$A$2:$C$2278,3,FALSE)</f>
        <v>0</v>
      </c>
      <c r="P175" s="304" t="str">
        <f>VLOOKUP(N175,'Im 2'!$A$2:$D$3546,4,FALSE)</f>
        <v>V</v>
      </c>
      <c r="Q175" s="305">
        <f>IF(P175="D",VLOOKUP(N175,'Im 2'!$A$2:$C$2278,2,FALSE),0)</f>
        <v>0</v>
      </c>
      <c r="R175" s="305">
        <f>IF(P175="V",VLOOKUP(N175,Vtas2!$A$2:$B$2425,2,FALSE),0)</f>
        <v>26000000</v>
      </c>
      <c r="S175" s="307"/>
      <c r="T175" s="304" t="s">
        <v>1034</v>
      </c>
      <c r="U175" s="505">
        <f>VLOOKUP(T175,'Im 3A'!$A$2:$C$2278,3,FALSE)</f>
        <v>0</v>
      </c>
      <c r="V175" s="304" t="str">
        <f>VLOOKUP(T175,'Im 3A'!$A$2:$D$3546,4,FALSE)</f>
        <v>D</v>
      </c>
      <c r="W175" s="305">
        <f>IF(V175="D",VLOOKUP(T175,'Im 3A'!$A$2:$C$2278,2,FALSE),0)</f>
        <v>23000000</v>
      </c>
      <c r="X175" s="305">
        <f>IF(V175="V",VLOOKUP(T175,Vtas3A!$A$2:$B$2425,2,FALSE),0)</f>
        <v>0</v>
      </c>
      <c r="Z175" s="304" t="s">
        <v>1732</v>
      </c>
      <c r="AA175" s="505">
        <f>VLOOKUP(Z175,'Im 3B'!$A$2:$C$2280,3,FALSE)</f>
        <v>0</v>
      </c>
      <c r="AB175" s="304" t="str">
        <f>VLOOKUP(Z175,'Im 3B'!$A$2:$D$3548,4,FALSE)</f>
        <v>V</v>
      </c>
      <c r="AC175" s="305">
        <f>IF(AB175="D",VLOOKUP(Z175,'Im 3B'!$A$2:$C$2280,2,FALSE),0)</f>
        <v>0</v>
      </c>
      <c r="AD175" s="305">
        <f>IF(AB175="V",VLOOKUP(Z175,Vtas3B!$A$2:$B$2438,2,FALSE),0)</f>
        <v>25000000</v>
      </c>
    </row>
    <row r="176" spans="2:30" ht="12.75" customHeight="1" x14ac:dyDescent="0.2">
      <c r="B176" s="304" t="s">
        <v>1312</v>
      </c>
      <c r="C176" s="304">
        <f>VLOOKUP(B176,'Im 1A'!$A$2:$C$1963,3,FALSE)</f>
        <v>0</v>
      </c>
      <c r="D176" s="304" t="str">
        <f>VLOOKUP(B176,'Im 1A'!$A$2:$D$3231,4,FALSE)</f>
        <v>V</v>
      </c>
      <c r="E176" s="305">
        <f>IF(D176="D",VLOOKUP(B176,'Im 1A'!$A$2:$C$1963,2,FALSE),0)</f>
        <v>0</v>
      </c>
      <c r="F176" s="305">
        <f>IF(D176="V",VLOOKUP(B176,Vtas1A!$A$2:$B$2357,2,FALSE),0)</f>
        <v>27000000</v>
      </c>
      <c r="G176" s="306"/>
      <c r="H176" s="304" t="s">
        <v>2633</v>
      </c>
      <c r="I176" s="304">
        <f>VLOOKUP(H176,'Im 1B'!$A$2:$C$1947,3,FALSE)</f>
        <v>0</v>
      </c>
      <c r="J176" s="304" t="str">
        <f>VLOOKUP(H176,'Im 1B'!$A$2:$D$3215,4,FALSE)</f>
        <v>V</v>
      </c>
      <c r="K176" s="305">
        <f>IF(J176="D",VLOOKUP(H176,'Im 1B'!$A$2:$C$1947,2,FALSE),0)</f>
        <v>0</v>
      </c>
      <c r="L176" s="305">
        <f>IF(J176="V",VLOOKUP(H176,Vtas1B!$A$2:$B$2313,2,FALSE),0)</f>
        <v>22000000</v>
      </c>
      <c r="M176" s="307"/>
      <c r="N176" s="505" t="s">
        <v>2869</v>
      </c>
      <c r="O176" s="505">
        <f>VLOOKUP(N176,'Im 2'!$A$2:$C$2278,3,FALSE)</f>
        <v>0</v>
      </c>
      <c r="P176" s="304" t="str">
        <f>VLOOKUP(N176,'Im 2'!$A$2:$D$3546,4,FALSE)</f>
        <v>V</v>
      </c>
      <c r="Q176" s="305">
        <f>IF(P176="D",VLOOKUP(N176,'Im 2'!$A$2:$C$2278,2,FALSE),0)</f>
        <v>0</v>
      </c>
      <c r="R176" s="305">
        <f>IF(P176="V",VLOOKUP(N176,Vtas2!$A$2:$B$2425,2,FALSE),0)</f>
        <v>26000000</v>
      </c>
      <c r="S176" s="307"/>
      <c r="T176" s="304" t="s">
        <v>1260</v>
      </c>
      <c r="U176" s="505">
        <f>VLOOKUP(T176,'Im 3A'!$A$2:$C$2278,3,FALSE)</f>
        <v>0</v>
      </c>
      <c r="V176" s="304" t="str">
        <f>VLOOKUP(T176,'Im 3A'!$A$2:$D$3546,4,FALSE)</f>
        <v>D</v>
      </c>
      <c r="W176" s="305">
        <f>IF(V176="D",VLOOKUP(T176,'Im 3A'!$A$2:$C$2278,2,FALSE),0)</f>
        <v>23000000</v>
      </c>
      <c r="X176" s="305">
        <f>IF(V176="V",VLOOKUP(T176,Vtas3A!$A$2:$B$2425,2,FALSE),0)</f>
        <v>0</v>
      </c>
      <c r="Z176" s="304" t="s">
        <v>1371</v>
      </c>
      <c r="AA176" s="505">
        <f>VLOOKUP(Z176,'Im 3B'!$A$2:$C$2280,3,FALSE)</f>
        <v>0</v>
      </c>
      <c r="AB176" s="304" t="str">
        <f>VLOOKUP(Z176,'Im 3B'!$A$2:$D$3548,4,FALSE)</f>
        <v>V</v>
      </c>
      <c r="AC176" s="305">
        <f>IF(AB176="D",VLOOKUP(Z176,'Im 3B'!$A$2:$C$2280,2,FALSE),0)</f>
        <v>0</v>
      </c>
      <c r="AD176" s="305">
        <f>IF(AB176="V",VLOOKUP(Z176,Vtas3B!$A$2:$B$2438,2,FALSE),0)</f>
        <v>25000000</v>
      </c>
    </row>
    <row r="177" spans="2:30" ht="12.75" customHeight="1" x14ac:dyDescent="0.2">
      <c r="B177" s="304" t="s">
        <v>1535</v>
      </c>
      <c r="C177" s="304">
        <f>VLOOKUP(B177,'Im 1A'!$A$2:$C$1963,3,FALSE)</f>
        <v>0</v>
      </c>
      <c r="D177" s="304" t="str">
        <f>VLOOKUP(B177,'Im 1A'!$A$2:$D$3231,4,FALSE)</f>
        <v>V</v>
      </c>
      <c r="E177" s="305">
        <f>IF(D177="D",VLOOKUP(B177,'Im 1A'!$A$2:$C$1963,2,FALSE),0)</f>
        <v>0</v>
      </c>
      <c r="F177" s="305">
        <f>IF(D177="V",VLOOKUP(B177,Vtas1A!$A$2:$B$2357,2,FALSE),0)</f>
        <v>27000000</v>
      </c>
      <c r="G177" s="306"/>
      <c r="H177" s="304" t="s">
        <v>3290</v>
      </c>
      <c r="I177" s="304">
        <f>VLOOKUP(H177,'Im 1B'!$A$2:$C$1947,3,FALSE)</f>
        <v>0</v>
      </c>
      <c r="J177" s="304" t="str">
        <f>VLOOKUP(H177,'Im 1B'!$A$2:$D$3215,4,FALSE)</f>
        <v>V</v>
      </c>
      <c r="K177" s="305">
        <f>IF(J177="D",VLOOKUP(H177,'Im 1B'!$A$2:$C$1947,2,FALSE),0)</f>
        <v>0</v>
      </c>
      <c r="L177" s="305">
        <f>IF(J177="V",VLOOKUP(H177,Vtas1B!$A$2:$B$2313,2,FALSE),0)</f>
        <v>22000000</v>
      </c>
      <c r="M177" s="307"/>
      <c r="N177" s="505" t="s">
        <v>3047</v>
      </c>
      <c r="O177" s="505">
        <f>VLOOKUP(N177,'Im 2'!$A$2:$C$2278,3,FALSE)</f>
        <v>0</v>
      </c>
      <c r="P177" s="304" t="str">
        <f>VLOOKUP(N177,'Im 2'!$A$2:$D$3546,4,FALSE)</f>
        <v>V</v>
      </c>
      <c r="Q177" s="305">
        <f>IF(P177="D",VLOOKUP(N177,'Im 2'!$A$2:$C$2278,2,FALSE),0)</f>
        <v>0</v>
      </c>
      <c r="R177" s="305">
        <f>IF(P177="V",VLOOKUP(N177,Vtas2!$A$2:$B$2425,2,FALSE),0)</f>
        <v>26000000</v>
      </c>
      <c r="S177" s="307"/>
      <c r="T177" s="304" t="s">
        <v>1129</v>
      </c>
      <c r="U177" s="505">
        <f>VLOOKUP(T177,'Im 3A'!$A$2:$C$2278,3,FALSE)</f>
        <v>0</v>
      </c>
      <c r="V177" s="304" t="str">
        <f>VLOOKUP(T177,'Im 3A'!$A$2:$D$3546,4,FALSE)</f>
        <v>D</v>
      </c>
      <c r="W177" s="305">
        <f>IF(V177="D",VLOOKUP(T177,'Im 3A'!$A$2:$C$2278,2,FALSE),0)</f>
        <v>23000000</v>
      </c>
      <c r="X177" s="305">
        <f>IF(V177="V",VLOOKUP(T177,Vtas3A!$A$2:$B$2425,2,FALSE),0)</f>
        <v>0</v>
      </c>
      <c r="Z177" s="304" t="s">
        <v>1555</v>
      </c>
      <c r="AA177" s="505">
        <f>VLOOKUP(Z177,'Im 3B'!$A$2:$C$2280,3,FALSE)</f>
        <v>0</v>
      </c>
      <c r="AB177" s="304" t="str">
        <f>VLOOKUP(Z177,'Im 3B'!$A$2:$D$3548,4,FALSE)</f>
        <v>V</v>
      </c>
      <c r="AC177" s="305">
        <f>IF(AB177="D",VLOOKUP(Z177,'Im 3B'!$A$2:$C$2280,2,FALSE),0)</f>
        <v>0</v>
      </c>
      <c r="AD177" s="305">
        <f>IF(AB177="V",VLOOKUP(Z177,Vtas3B!$A$2:$B$2438,2,FALSE),0)</f>
        <v>25000000</v>
      </c>
    </row>
    <row r="178" spans="2:30" ht="12.75" customHeight="1" x14ac:dyDescent="0.2">
      <c r="B178" s="304" t="s">
        <v>1536</v>
      </c>
      <c r="C178" s="304">
        <f>VLOOKUP(B178,'Im 1A'!$A$2:$C$1963,3,FALSE)</f>
        <v>0</v>
      </c>
      <c r="D178" s="304" t="str">
        <f>VLOOKUP(B178,'Im 1A'!$A$2:$D$3231,4,FALSE)</f>
        <v>V</v>
      </c>
      <c r="E178" s="305">
        <f>IF(D178="D",VLOOKUP(B178,'Im 1A'!$A$2:$C$1963,2,FALSE),0)</f>
        <v>0</v>
      </c>
      <c r="F178" s="305">
        <f>IF(D178="V",VLOOKUP(B178,Vtas1A!$A$2:$B$2357,2,FALSE),0)</f>
        <v>27000000</v>
      </c>
      <c r="G178" s="306"/>
      <c r="H178" s="304" t="s">
        <v>1487</v>
      </c>
      <c r="I178" s="304">
        <f>VLOOKUP(H178,'Im 1B'!$A$2:$C$1947,3,FALSE)</f>
        <v>0</v>
      </c>
      <c r="J178" s="304" t="str">
        <f>VLOOKUP(H178,'Im 1B'!$A$2:$D$3215,4,FALSE)</f>
        <v>V</v>
      </c>
      <c r="K178" s="305">
        <f>IF(J178="D",VLOOKUP(H178,'Im 1B'!$A$2:$C$1947,2,FALSE),0)</f>
        <v>0</v>
      </c>
      <c r="L178" s="305">
        <f>IF(J178="V",VLOOKUP(H178,Vtas1B!$A$2:$B$2313,2,FALSE),0)</f>
        <v>22000000</v>
      </c>
      <c r="M178" s="307"/>
      <c r="N178" s="505" t="s">
        <v>3379</v>
      </c>
      <c r="O178" s="505">
        <f>VLOOKUP(N178,'Im 2'!$A$2:$C$2278,3,FALSE)</f>
        <v>0</v>
      </c>
      <c r="P178" s="304" t="str">
        <f>VLOOKUP(N178,'Im 2'!$A$2:$D$3546,4,FALSE)</f>
        <v>V</v>
      </c>
      <c r="Q178" s="305">
        <f>IF(P178="D",VLOOKUP(N178,'Im 2'!$A$2:$C$2278,2,FALSE),0)</f>
        <v>0</v>
      </c>
      <c r="R178" s="305">
        <f>IF(P178="V",VLOOKUP(N178,Vtas2!$A$2:$B$2425,2,FALSE),0)</f>
        <v>26000000</v>
      </c>
      <c r="S178" s="307"/>
      <c r="T178" s="304" t="s">
        <v>1178</v>
      </c>
      <c r="U178" s="505">
        <f>VLOOKUP(T178,'Im 3A'!$A$2:$C$2278,3,FALSE)</f>
        <v>0</v>
      </c>
      <c r="V178" s="304" t="str">
        <f>VLOOKUP(T178,'Im 3A'!$A$2:$D$3546,4,FALSE)</f>
        <v>D</v>
      </c>
      <c r="W178" s="305">
        <f>IF(V178="D",VLOOKUP(T178,'Im 3A'!$A$2:$C$2278,2,FALSE),0)</f>
        <v>23000000</v>
      </c>
      <c r="X178" s="305">
        <f>IF(V178="V",VLOOKUP(T178,Vtas3A!$A$2:$B$2425,2,FALSE),0)</f>
        <v>0</v>
      </c>
      <c r="Z178" s="304" t="s">
        <v>1603</v>
      </c>
      <c r="AA178" s="505">
        <f>VLOOKUP(Z178,'Im 3B'!$A$2:$C$2280,3,FALSE)</f>
        <v>0</v>
      </c>
      <c r="AB178" s="304" t="str">
        <f>VLOOKUP(Z178,'Im 3B'!$A$2:$D$3548,4,FALSE)</f>
        <v>V</v>
      </c>
      <c r="AC178" s="305">
        <f>IF(AB178="D",VLOOKUP(Z178,'Im 3B'!$A$2:$C$2280,2,FALSE),0)</f>
        <v>0</v>
      </c>
      <c r="AD178" s="305">
        <f>IF(AB178="V",VLOOKUP(Z178,Vtas3B!$A$2:$B$2438,2,FALSE),0)</f>
        <v>25000000</v>
      </c>
    </row>
    <row r="179" spans="2:30" x14ac:dyDescent="0.2">
      <c r="B179" s="304" t="s">
        <v>1249</v>
      </c>
      <c r="C179" s="304">
        <f>VLOOKUP(B179,'Im 1A'!$A$2:$C$1963,3,FALSE)</f>
        <v>0</v>
      </c>
      <c r="D179" s="304" t="str">
        <f>VLOOKUP(B179,'Im 1A'!$A$2:$D$3231,4,FALSE)</f>
        <v>V</v>
      </c>
      <c r="E179" s="305">
        <f>IF(D179="D",VLOOKUP(B179,'Im 1A'!$A$2:$C$1963,2,FALSE),0)</f>
        <v>0</v>
      </c>
      <c r="F179" s="305">
        <f>IF(D179="V",VLOOKUP(B179,Vtas1A!$A$2:$B$2357,2,FALSE),0)</f>
        <v>27000000</v>
      </c>
      <c r="G179" s="306"/>
      <c r="H179" s="304" t="s">
        <v>3291</v>
      </c>
      <c r="I179" s="304">
        <f>VLOOKUP(H179,'Im 1B'!$A$2:$C$1947,3,FALSE)</f>
        <v>0</v>
      </c>
      <c r="J179" s="304" t="str">
        <f>VLOOKUP(H179,'Im 1B'!$A$2:$D$3215,4,FALSE)</f>
        <v>V</v>
      </c>
      <c r="K179" s="305">
        <f>IF(J179="D",VLOOKUP(H179,'Im 1B'!$A$2:$C$1947,2,FALSE),0)</f>
        <v>0</v>
      </c>
      <c r="L179" s="305">
        <f>IF(J179="V",VLOOKUP(H179,Vtas1B!$A$2:$B$2313,2,FALSE),0)</f>
        <v>22000000</v>
      </c>
      <c r="M179" s="307"/>
      <c r="N179" s="505" t="s">
        <v>3380</v>
      </c>
      <c r="O179" s="505">
        <f>VLOOKUP(N179,'Im 2'!$A$2:$C$2278,3,FALSE)</f>
        <v>0</v>
      </c>
      <c r="P179" s="304" t="str">
        <f>VLOOKUP(N179,'Im 2'!$A$2:$D$3546,4,FALSE)</f>
        <v>V</v>
      </c>
      <c r="Q179" s="305">
        <f>IF(P179="D",VLOOKUP(N179,'Im 2'!$A$2:$C$2278,2,FALSE),0)</f>
        <v>0</v>
      </c>
      <c r="R179" s="305">
        <f>IF(P179="V",VLOOKUP(N179,Vtas2!$A$2:$B$2425,2,FALSE),0)</f>
        <v>26000000</v>
      </c>
      <c r="S179" s="307"/>
      <c r="T179" s="304" t="s">
        <v>1343</v>
      </c>
      <c r="U179" s="505">
        <f>VLOOKUP(T179,'Im 3A'!$A$2:$C$2278,3,FALSE)</f>
        <v>0</v>
      </c>
      <c r="V179" s="304" t="str">
        <f>VLOOKUP(T179,'Im 3A'!$A$2:$D$3546,4,FALSE)</f>
        <v>D</v>
      </c>
      <c r="W179" s="305">
        <f>IF(V179="D",VLOOKUP(T179,'Im 3A'!$A$2:$C$2278,2,FALSE),0)</f>
        <v>23000000</v>
      </c>
      <c r="X179" s="305">
        <f>IF(V179="V",VLOOKUP(T179,Vtas3A!$A$2:$B$2425,2,FALSE),0)</f>
        <v>0</v>
      </c>
      <c r="Z179" s="304" t="s">
        <v>1518</v>
      </c>
      <c r="AA179" s="505">
        <f>VLOOKUP(Z179,'Im 3B'!$A$2:$C$2280,3,FALSE)</f>
        <v>0</v>
      </c>
      <c r="AB179" s="304" t="str">
        <f>VLOOKUP(Z179,'Im 3B'!$A$2:$D$3548,4,FALSE)</f>
        <v>V</v>
      </c>
      <c r="AC179" s="305">
        <f>IF(AB179="D",VLOOKUP(Z179,'Im 3B'!$A$2:$C$2280,2,FALSE),0)</f>
        <v>0</v>
      </c>
      <c r="AD179" s="305">
        <f>IF(AB179="V",VLOOKUP(Z179,Vtas3B!$A$2:$B$2438,2,FALSE),0)</f>
        <v>25000000</v>
      </c>
    </row>
    <row r="180" spans="2:30" x14ac:dyDescent="0.2">
      <c r="B180" s="304" t="s">
        <v>1554</v>
      </c>
      <c r="C180" s="304">
        <f>VLOOKUP(B180,'Im 1A'!$A$2:$C$1963,3,FALSE)</f>
        <v>0</v>
      </c>
      <c r="D180" s="304" t="str">
        <f>VLOOKUP(B180,'Im 1A'!$A$2:$D$3231,4,FALSE)</f>
        <v>V</v>
      </c>
      <c r="E180" s="305">
        <f>IF(D180="D",VLOOKUP(B180,'Im 1A'!$A$2:$C$1963,2,FALSE),0)</f>
        <v>0</v>
      </c>
      <c r="F180" s="305">
        <f>IF(D180="V",VLOOKUP(B180,Vtas1A!$A$2:$B$2357,2,FALSE),0)</f>
        <v>27000000</v>
      </c>
      <c r="G180" s="306"/>
      <c r="H180" s="304" t="s">
        <v>1488</v>
      </c>
      <c r="I180" s="304">
        <f>VLOOKUP(H180,'Im 1B'!$A$2:$C$1947,3,FALSE)</f>
        <v>0</v>
      </c>
      <c r="J180" s="304" t="str">
        <f>VLOOKUP(H180,'Im 1B'!$A$2:$D$3215,4,FALSE)</f>
        <v>V</v>
      </c>
      <c r="K180" s="305">
        <f>IF(J180="D",VLOOKUP(H180,'Im 1B'!$A$2:$C$1947,2,FALSE),0)</f>
        <v>0</v>
      </c>
      <c r="L180" s="305">
        <f>IF(J180="V",VLOOKUP(H180,Vtas1B!$A$2:$B$2313,2,FALSE),0)</f>
        <v>22000000</v>
      </c>
      <c r="M180" s="307"/>
      <c r="N180" s="505" t="s">
        <v>3301</v>
      </c>
      <c r="O180" s="505">
        <f>VLOOKUP(N180,'Im 2'!$A$2:$C$2278,3,FALSE)</f>
        <v>0</v>
      </c>
      <c r="P180" s="304" t="str">
        <f>VLOOKUP(N180,'Im 2'!$A$2:$D$3546,4,FALSE)</f>
        <v>V</v>
      </c>
      <c r="Q180" s="305">
        <f>IF(P180="D",VLOOKUP(N180,'Im 2'!$A$2:$C$2278,2,FALSE),0)</f>
        <v>0</v>
      </c>
      <c r="R180" s="305">
        <f>IF(P180="V",VLOOKUP(N180,Vtas2!$A$2:$B$2425,2,FALSE),0)</f>
        <v>26000000</v>
      </c>
      <c r="S180" s="307"/>
      <c r="T180" s="304" t="s">
        <v>1728</v>
      </c>
      <c r="U180" s="505">
        <f>VLOOKUP(T180,'Im 3A'!$A$2:$C$2278,3,FALSE)</f>
        <v>0</v>
      </c>
      <c r="V180" s="304" t="str">
        <f>VLOOKUP(T180,'Im 3A'!$A$2:$D$3546,4,FALSE)</f>
        <v>D</v>
      </c>
      <c r="W180" s="305">
        <f>IF(V180="D",VLOOKUP(T180,'Im 3A'!$A$2:$C$2278,2,FALSE),0)</f>
        <v>23000000</v>
      </c>
      <c r="X180" s="305">
        <f>IF(V180="V",VLOOKUP(T180,Vtas3A!$A$2:$B$2425,2,FALSE),0)</f>
        <v>0</v>
      </c>
      <c r="Z180" s="304" t="s">
        <v>2302</v>
      </c>
      <c r="AA180" s="505">
        <f>VLOOKUP(Z180,'Im 3B'!$A$2:$C$2280,3,FALSE)</f>
        <v>0</v>
      </c>
      <c r="AB180" s="304" t="str">
        <f>VLOOKUP(Z180,'Im 3B'!$A$2:$D$3548,4,FALSE)</f>
        <v>V</v>
      </c>
      <c r="AC180" s="305">
        <f>IF(AB180="D",VLOOKUP(Z180,'Im 3B'!$A$2:$C$2280,2,FALSE),0)</f>
        <v>0</v>
      </c>
      <c r="AD180" s="305">
        <f>IF(AB180="V",VLOOKUP(Z180,Vtas3B!$A$2:$B$2438,2,FALSE),0)</f>
        <v>25000000</v>
      </c>
    </row>
    <row r="181" spans="2:30" x14ac:dyDescent="0.2">
      <c r="B181" s="304" t="s">
        <v>1476</v>
      </c>
      <c r="C181" s="304">
        <f>VLOOKUP(B181,'Im 1A'!$A$2:$C$1963,3,FALSE)</f>
        <v>0</v>
      </c>
      <c r="D181" s="304" t="str">
        <f>VLOOKUP(B181,'Im 1A'!$A$2:$D$3231,4,FALSE)</f>
        <v>V</v>
      </c>
      <c r="E181" s="305">
        <f>IF(D181="D",VLOOKUP(B181,'Im 1A'!$A$2:$C$1963,2,FALSE),0)</f>
        <v>0</v>
      </c>
      <c r="F181" s="305">
        <f>IF(D181="V",VLOOKUP(B181,Vtas1A!$A$2:$B$2357,2,FALSE),0)</f>
        <v>27000000</v>
      </c>
      <c r="G181" s="306"/>
      <c r="H181" s="304" t="s">
        <v>1480</v>
      </c>
      <c r="I181" s="304">
        <f>VLOOKUP(H181,'Im 1B'!$A$2:$C$1947,3,FALSE)</f>
        <v>0</v>
      </c>
      <c r="J181" s="304" t="str">
        <f>VLOOKUP(H181,'Im 1B'!$A$2:$D$3215,4,FALSE)</f>
        <v>V</v>
      </c>
      <c r="K181" s="305">
        <f>IF(J181="D",VLOOKUP(H181,'Im 1B'!$A$2:$C$1947,2,FALSE),0)</f>
        <v>0</v>
      </c>
      <c r="L181" s="305">
        <f>IF(J181="V",VLOOKUP(H181,Vtas1B!$A$2:$B$2313,2,FALSE),0)</f>
        <v>22000000</v>
      </c>
      <c r="M181" s="307"/>
      <c r="N181" s="505" t="s">
        <v>3048</v>
      </c>
      <c r="O181" s="505">
        <f>VLOOKUP(N181,'Im 2'!$A$2:$C$2278,3,FALSE)</f>
        <v>0</v>
      </c>
      <c r="P181" s="304" t="str">
        <f>VLOOKUP(N181,'Im 2'!$A$2:$D$3546,4,FALSE)</f>
        <v>V</v>
      </c>
      <c r="Q181" s="305">
        <f>IF(P181="D",VLOOKUP(N181,'Im 2'!$A$2:$C$2278,2,FALSE),0)</f>
        <v>0</v>
      </c>
      <c r="R181" s="305">
        <f>IF(P181="V",VLOOKUP(N181,Vtas2!$A$2:$B$2425,2,FALSE),0)</f>
        <v>26000000</v>
      </c>
      <c r="S181" s="307"/>
      <c r="T181" s="304" t="s">
        <v>4386</v>
      </c>
      <c r="U181" s="505">
        <f>VLOOKUP(T181,'Im 3A'!$A$2:$C$2278,3,FALSE)</f>
        <v>0</v>
      </c>
      <c r="V181" s="304" t="str">
        <f>VLOOKUP(T181,'Im 3A'!$A$2:$D$3546,4,FALSE)</f>
        <v>V</v>
      </c>
      <c r="W181" s="305">
        <f>IF(V181="D",VLOOKUP(T181,'Im 3A'!$A$2:$C$2278,2,FALSE),0)</f>
        <v>0</v>
      </c>
      <c r="X181" s="305">
        <f>IF(V181="V",VLOOKUP(T181,Vtas3A!$A$2:$B$2425,2,FALSE),0)</f>
        <v>23000000</v>
      </c>
      <c r="Z181" s="304" t="s">
        <v>1733</v>
      </c>
      <c r="AA181" s="505">
        <f>VLOOKUP(Z181,'Im 3B'!$A$2:$C$2280,3,FALSE)</f>
        <v>0</v>
      </c>
      <c r="AB181" s="304" t="str">
        <f>VLOOKUP(Z181,'Im 3B'!$A$2:$D$3548,4,FALSE)</f>
        <v>V</v>
      </c>
      <c r="AC181" s="305">
        <f>IF(AB181="D",VLOOKUP(Z181,'Im 3B'!$A$2:$C$2280,2,FALSE),0)</f>
        <v>0</v>
      </c>
      <c r="AD181" s="305">
        <f>IF(AB181="V",VLOOKUP(Z181,Vtas3B!$A$2:$B$2438,2,FALSE),0)</f>
        <v>25000000</v>
      </c>
    </row>
    <row r="182" spans="2:30" x14ac:dyDescent="0.2">
      <c r="B182" s="304" t="s">
        <v>2617</v>
      </c>
      <c r="C182" s="304">
        <f>VLOOKUP(B182,'Im 1A'!$A$2:$C$1963,3,FALSE)</f>
        <v>0</v>
      </c>
      <c r="D182" s="304" t="str">
        <f>VLOOKUP(B182,'Im 1A'!$A$2:$D$3231,4,FALSE)</f>
        <v>V</v>
      </c>
      <c r="E182" s="305">
        <f>IF(D182="D",VLOOKUP(B182,'Im 1A'!$A$2:$C$1963,2,FALSE),0)</f>
        <v>0</v>
      </c>
      <c r="F182" s="305">
        <f>IF(D182="V",VLOOKUP(B182,Vtas1A!$A$2:$B$2357,2,FALSE),0)</f>
        <v>22000000</v>
      </c>
      <c r="G182" s="306"/>
      <c r="H182" s="304" t="s">
        <v>1444</v>
      </c>
      <c r="I182" s="304">
        <f>VLOOKUP(H182,'Im 1B'!$A$2:$C$1947,3,FALSE)</f>
        <v>0</v>
      </c>
      <c r="J182" s="304" t="str">
        <f>VLOOKUP(H182,'Im 1B'!$A$2:$D$3215,4,FALSE)</f>
        <v>V</v>
      </c>
      <c r="K182" s="305">
        <f>IF(J182="D",VLOOKUP(H182,'Im 1B'!$A$2:$C$1947,2,FALSE),0)</f>
        <v>0</v>
      </c>
      <c r="L182" s="305">
        <f>IF(J182="V",VLOOKUP(H182,Vtas1B!$A$2:$B$2313,2,FALSE),0)</f>
        <v>27000000</v>
      </c>
      <c r="M182" s="307"/>
      <c r="N182" s="505" t="s">
        <v>4378</v>
      </c>
      <c r="O182" s="505">
        <f>VLOOKUP(N182,'Im 2'!$A$2:$C$2278,3,FALSE)</f>
        <v>0</v>
      </c>
      <c r="P182" s="304" t="str">
        <f>VLOOKUP(N182,'Im 2'!$A$2:$D$3546,4,FALSE)</f>
        <v>V</v>
      </c>
      <c r="Q182" s="305">
        <f>IF(P182="D",VLOOKUP(N182,'Im 2'!$A$2:$C$2278,2,FALSE),0)</f>
        <v>0</v>
      </c>
      <c r="R182" s="305">
        <f>IF(P182="V",VLOOKUP(N182,Vtas2!$A$2:$B$2425,2,FALSE),0)</f>
        <v>26000000</v>
      </c>
      <c r="S182" s="307"/>
      <c r="T182" s="304" t="s">
        <v>3894</v>
      </c>
      <c r="U182" s="505">
        <f>VLOOKUP(T182,'Im 3A'!$A$2:$C$2278,3,FALSE)</f>
        <v>0</v>
      </c>
      <c r="V182" s="304" t="str">
        <f>VLOOKUP(T182,'Im 3A'!$A$2:$D$3546,4,FALSE)</f>
        <v>V</v>
      </c>
      <c r="W182" s="305">
        <f>IF(V182="D",VLOOKUP(T182,'Im 3A'!$A$2:$C$2278,2,FALSE),0)</f>
        <v>0</v>
      </c>
      <c r="X182" s="305">
        <f>IF(V182="V",VLOOKUP(T182,Vtas3A!$A$2:$B$2425,2,FALSE),0)</f>
        <v>24000000</v>
      </c>
      <c r="Z182" s="304" t="s">
        <v>1604</v>
      </c>
      <c r="AA182" s="505">
        <f>VLOOKUP(Z182,'Im 3B'!$A$2:$C$2280,3,FALSE)</f>
        <v>0</v>
      </c>
      <c r="AB182" s="304" t="str">
        <f>VLOOKUP(Z182,'Im 3B'!$A$2:$D$3548,4,FALSE)</f>
        <v>V</v>
      </c>
      <c r="AC182" s="305">
        <f>IF(AB182="D",VLOOKUP(Z182,'Im 3B'!$A$2:$C$2280,2,FALSE),0)</f>
        <v>0</v>
      </c>
      <c r="AD182" s="305">
        <f>IF(AB182="V",VLOOKUP(Z182,Vtas3B!$A$2:$B$2438,2,FALSE),0)</f>
        <v>25000000</v>
      </c>
    </row>
    <row r="183" spans="2:30" x14ac:dyDescent="0.2">
      <c r="B183" s="304" t="s">
        <v>1349</v>
      </c>
      <c r="C183" s="304">
        <f>VLOOKUP(B183,'Im 1A'!$A$2:$C$1963,3,FALSE)</f>
        <v>0</v>
      </c>
      <c r="D183" s="304" t="str">
        <f>VLOOKUP(B183,'Im 1A'!$A$2:$D$3231,4,FALSE)</f>
        <v>V</v>
      </c>
      <c r="E183" s="305">
        <f>IF(D183="D",VLOOKUP(B183,'Im 1A'!$A$2:$C$1963,2,FALSE),0)</f>
        <v>0</v>
      </c>
      <c r="F183" s="305">
        <f>IF(D183="V",VLOOKUP(B183,Vtas1A!$A$2:$B$2357,2,FALSE),0)</f>
        <v>27000000</v>
      </c>
      <c r="G183" s="306"/>
      <c r="H183" s="304" t="s">
        <v>3292</v>
      </c>
      <c r="I183" s="304">
        <f>VLOOKUP(H183,'Im 1B'!$A$2:$C$1947,3,FALSE)</f>
        <v>0</v>
      </c>
      <c r="J183" s="304" t="str">
        <f>VLOOKUP(H183,'Im 1B'!$A$2:$D$3215,4,FALSE)</f>
        <v>V</v>
      </c>
      <c r="K183" s="305">
        <f>IF(J183="D",VLOOKUP(H183,'Im 1B'!$A$2:$C$1947,2,FALSE),0)</f>
        <v>0</v>
      </c>
      <c r="L183" s="305">
        <f>IF(J183="V",VLOOKUP(H183,Vtas1B!$A$2:$B$2313,2,FALSE),0)</f>
        <v>27000000</v>
      </c>
      <c r="M183" s="307"/>
      <c r="N183" s="505" t="s">
        <v>3049</v>
      </c>
      <c r="O183" s="505">
        <f>VLOOKUP(N183,'Im 2'!$A$2:$C$2278,3,FALSE)</f>
        <v>0</v>
      </c>
      <c r="P183" s="304" t="str">
        <f>VLOOKUP(N183,'Im 2'!$A$2:$D$3546,4,FALSE)</f>
        <v>V</v>
      </c>
      <c r="Q183" s="305">
        <f>IF(P183="D",VLOOKUP(N183,'Im 2'!$A$2:$C$2278,2,FALSE),0)</f>
        <v>0</v>
      </c>
      <c r="R183" s="305">
        <f>IF(P183="V",VLOOKUP(N183,Vtas2!$A$2:$B$2425,2,FALSE),0)</f>
        <v>26000000</v>
      </c>
      <c r="S183" s="307"/>
      <c r="T183" s="304" t="s">
        <v>3400</v>
      </c>
      <c r="U183" s="505">
        <f>VLOOKUP(T183,'Im 3A'!$A$2:$C$2278,3,FALSE)</f>
        <v>0</v>
      </c>
      <c r="V183" s="304" t="str">
        <f>VLOOKUP(T183,'Im 3A'!$A$2:$D$3546,4,FALSE)</f>
        <v>V</v>
      </c>
      <c r="W183" s="305">
        <f>IF(V183="D",VLOOKUP(T183,'Im 3A'!$A$2:$C$2278,2,FALSE),0)</f>
        <v>0</v>
      </c>
      <c r="X183" s="305">
        <f>IF(V183="V",VLOOKUP(T183,Vtas3A!$A$2:$B$2425,2,FALSE),0)</f>
        <v>24000000</v>
      </c>
      <c r="Z183" s="304" t="s">
        <v>1502</v>
      </c>
      <c r="AA183" s="505">
        <f>VLOOKUP(Z183,'Im 3B'!$A$2:$C$2280,3,FALSE)</f>
        <v>0</v>
      </c>
      <c r="AB183" s="304" t="str">
        <f>VLOOKUP(Z183,'Im 3B'!$A$2:$D$3548,4,FALSE)</f>
        <v>V</v>
      </c>
      <c r="AC183" s="305">
        <f>IF(AB183="D",VLOOKUP(Z183,'Im 3B'!$A$2:$C$2280,2,FALSE),0)</f>
        <v>0</v>
      </c>
      <c r="AD183" s="305">
        <f>IF(AB183="V",VLOOKUP(Z183,Vtas3B!$A$2:$B$2438,2,FALSE),0)</f>
        <v>25000000</v>
      </c>
    </row>
    <row r="184" spans="2:30" x14ac:dyDescent="0.2">
      <c r="B184" s="304" t="s">
        <v>1250</v>
      </c>
      <c r="C184" s="304">
        <f>VLOOKUP(B184,'Im 1A'!$A$2:$C$1963,3,FALSE)</f>
        <v>0</v>
      </c>
      <c r="D184" s="304" t="str">
        <f>VLOOKUP(B184,'Im 1A'!$A$2:$D$3231,4,FALSE)</f>
        <v>V</v>
      </c>
      <c r="E184" s="305">
        <f>IF(D184="D",VLOOKUP(B184,'Im 1A'!$A$2:$C$1963,2,FALSE),0)</f>
        <v>0</v>
      </c>
      <c r="F184" s="305">
        <f>IF(D184="V",VLOOKUP(B184,Vtas1A!$A$2:$B$2357,2,FALSE),0)</f>
        <v>27000000</v>
      </c>
      <c r="G184" s="306"/>
      <c r="H184" s="304" t="s">
        <v>3730</v>
      </c>
      <c r="I184" s="304">
        <f>VLOOKUP(H184,'Im 1B'!$A$2:$C$1947,3,FALSE)</f>
        <v>0</v>
      </c>
      <c r="J184" s="304" t="str">
        <f>VLOOKUP(H184,'Im 1B'!$A$2:$D$3215,4,FALSE)</f>
        <v>V</v>
      </c>
      <c r="K184" s="305">
        <f>IF(J184="D",VLOOKUP(H184,'Im 1B'!$A$2:$C$1947,2,FALSE),0)</f>
        <v>0</v>
      </c>
      <c r="L184" s="305">
        <f>IF(J184="V",VLOOKUP(H184,Vtas1B!$A$2:$B$2313,2,FALSE),0)</f>
        <v>27000000</v>
      </c>
      <c r="M184" s="307"/>
      <c r="N184" s="505" t="s">
        <v>3734</v>
      </c>
      <c r="O184" s="505">
        <f>VLOOKUP(N184,'Im 2'!$A$2:$C$2278,3,FALSE)</f>
        <v>0</v>
      </c>
      <c r="P184" s="304" t="str">
        <f>VLOOKUP(N184,'Im 2'!$A$2:$D$3546,4,FALSE)</f>
        <v>V</v>
      </c>
      <c r="Q184" s="305">
        <f>IF(P184="D",VLOOKUP(N184,'Im 2'!$A$2:$C$2278,2,FALSE),0)</f>
        <v>0</v>
      </c>
      <c r="R184" s="305">
        <f>IF(P184="V",VLOOKUP(N184,Vtas2!$A$2:$B$2425,2,FALSE),0)</f>
        <v>26000000</v>
      </c>
      <c r="S184" s="307"/>
      <c r="T184" s="304" t="s">
        <v>4387</v>
      </c>
      <c r="U184" s="505">
        <f>VLOOKUP(T184,'Im 3A'!$A$2:$C$2278,3,FALSE)</f>
        <v>0</v>
      </c>
      <c r="V184" s="304" t="str">
        <f>VLOOKUP(T184,'Im 3A'!$A$2:$D$3546,4,FALSE)</f>
        <v>V</v>
      </c>
      <c r="W184" s="305">
        <f>IF(V184="D",VLOOKUP(T184,'Im 3A'!$A$2:$C$2278,2,FALSE),0)</f>
        <v>0</v>
      </c>
      <c r="X184" s="305">
        <f>IF(V184="V",VLOOKUP(T184,Vtas3A!$A$2:$B$2425,2,FALSE),0)</f>
        <v>29000000</v>
      </c>
      <c r="Z184" s="304" t="s">
        <v>2562</v>
      </c>
      <c r="AA184" s="505">
        <f>VLOOKUP(Z184,'Im 3B'!$A$2:$C$2280,3,FALSE)</f>
        <v>0</v>
      </c>
      <c r="AB184" s="304" t="str">
        <f>VLOOKUP(Z184,'Im 3B'!$A$2:$D$3548,4,FALSE)</f>
        <v>V</v>
      </c>
      <c r="AC184" s="305">
        <f>IF(AB184="D",VLOOKUP(Z184,'Im 3B'!$A$2:$C$2280,2,FALSE),0)</f>
        <v>0</v>
      </c>
      <c r="AD184" s="305">
        <f>IF(AB184="V",VLOOKUP(Z184,Vtas3B!$A$2:$B$2438,2,FALSE),0)</f>
        <v>25000000</v>
      </c>
    </row>
    <row r="185" spans="2:30" x14ac:dyDescent="0.2">
      <c r="B185" s="304" t="s">
        <v>2618</v>
      </c>
      <c r="C185" s="304">
        <f>VLOOKUP(B185,'Im 1A'!$A$2:$C$1963,3,FALSE)</f>
        <v>0</v>
      </c>
      <c r="D185" s="304" t="str">
        <f>VLOOKUP(B185,'Im 1A'!$A$2:$D$3231,4,FALSE)</f>
        <v>V</v>
      </c>
      <c r="E185" s="305">
        <f>IF(D185="D",VLOOKUP(B185,'Im 1A'!$A$2:$C$1963,2,FALSE),0)</f>
        <v>0</v>
      </c>
      <c r="F185" s="305">
        <f>IF(D185="V",VLOOKUP(B185,Vtas1A!$A$2:$B$2357,2,FALSE),0)</f>
        <v>27000000</v>
      </c>
      <c r="G185" s="306"/>
      <c r="H185" s="304" t="s">
        <v>1617</v>
      </c>
      <c r="I185" s="304">
        <f>VLOOKUP(H185,'Im 1B'!$A$2:$C$1947,3,FALSE)</f>
        <v>0</v>
      </c>
      <c r="J185" s="304" t="str">
        <f>VLOOKUP(H185,'Im 1B'!$A$2:$D$3215,4,FALSE)</f>
        <v>V</v>
      </c>
      <c r="K185" s="305">
        <f>IF(J185="D",VLOOKUP(H185,'Im 1B'!$A$2:$C$1947,2,FALSE),0)</f>
        <v>0</v>
      </c>
      <c r="L185" s="305">
        <f>IF(J185="V",VLOOKUP(H185,Vtas1B!$A$2:$B$2313,2,FALSE),0)</f>
        <v>22000000</v>
      </c>
      <c r="M185" s="307"/>
      <c r="N185" s="505" t="s">
        <v>3465</v>
      </c>
      <c r="O185" s="505">
        <f>VLOOKUP(N185,'Im 2'!$A$2:$C$2278,3,FALSE)</f>
        <v>0</v>
      </c>
      <c r="P185" s="304" t="str">
        <f>VLOOKUP(N185,'Im 2'!$A$2:$D$3546,4,FALSE)</f>
        <v>V</v>
      </c>
      <c r="Q185" s="305">
        <f>IF(P185="D",VLOOKUP(N185,'Im 2'!$A$2:$C$2278,2,FALSE),0)</f>
        <v>0</v>
      </c>
      <c r="R185" s="305">
        <f>IF(P185="V",VLOOKUP(N185,Vtas2!$A$2:$B$2425,2,FALSE),0)</f>
        <v>26000000</v>
      </c>
      <c r="S185" s="307"/>
      <c r="T185" s="304" t="s">
        <v>4388</v>
      </c>
      <c r="U185" s="505">
        <f>VLOOKUP(T185,'Im 3A'!$A$2:$C$2278,3,FALSE)</f>
        <v>0</v>
      </c>
      <c r="V185" s="304" t="str">
        <f>VLOOKUP(T185,'Im 3A'!$A$2:$D$3546,4,FALSE)</f>
        <v>V</v>
      </c>
      <c r="W185" s="305">
        <f>IF(V185="D",VLOOKUP(T185,'Im 3A'!$A$2:$C$2278,2,FALSE),0)</f>
        <v>0</v>
      </c>
      <c r="X185" s="305">
        <f>IF(V185="V",VLOOKUP(T185,Vtas3A!$A$2:$B$2425,2,FALSE),0)</f>
        <v>28000000</v>
      </c>
      <c r="Z185" s="304" t="s">
        <v>1691</v>
      </c>
      <c r="AA185" s="505">
        <f>VLOOKUP(Z185,'Im 3B'!$A$2:$C$2280,3,FALSE)</f>
        <v>0</v>
      </c>
      <c r="AB185" s="304" t="str">
        <f>VLOOKUP(Z185,'Im 3B'!$A$2:$D$3548,4,FALSE)</f>
        <v>V</v>
      </c>
      <c r="AC185" s="305">
        <f>IF(AB185="D",VLOOKUP(Z185,'Im 3B'!$A$2:$C$2280,2,FALSE),0)</f>
        <v>0</v>
      </c>
      <c r="AD185" s="305">
        <f>IF(AB185="V",VLOOKUP(Z185,Vtas3B!$A$2:$B$2438,2,FALSE),0)</f>
        <v>25000000</v>
      </c>
    </row>
    <row r="186" spans="2:30" x14ac:dyDescent="0.2">
      <c r="B186" s="304" t="s">
        <v>1313</v>
      </c>
      <c r="C186" s="304">
        <f>VLOOKUP(B186,'Im 1A'!$A$2:$C$1963,3,FALSE)</f>
        <v>0</v>
      </c>
      <c r="D186" s="304" t="str">
        <f>VLOOKUP(B186,'Im 1A'!$A$2:$D$3231,4,FALSE)</f>
        <v>V</v>
      </c>
      <c r="E186" s="305">
        <f>IF(D186="D",VLOOKUP(B186,'Im 1A'!$A$2:$C$1963,2,FALSE),0)</f>
        <v>0</v>
      </c>
      <c r="F186" s="305">
        <f>IF(D186="V",VLOOKUP(B186,Vtas1A!$A$2:$B$2357,2,FALSE),0)</f>
        <v>27000000</v>
      </c>
      <c r="G186" s="306"/>
      <c r="H186" s="304" t="s">
        <v>2265</v>
      </c>
      <c r="I186" s="304">
        <f>VLOOKUP(H186,'Im 1B'!$A$2:$C$1947,3,FALSE)</f>
        <v>0</v>
      </c>
      <c r="J186" s="304" t="str">
        <f>VLOOKUP(H186,'Im 1B'!$A$2:$D$3215,4,FALSE)</f>
        <v>V</v>
      </c>
      <c r="K186" s="305">
        <f>IF(J186="D",VLOOKUP(H186,'Im 1B'!$A$2:$C$1947,2,FALSE),0)</f>
        <v>0</v>
      </c>
      <c r="L186" s="305">
        <f>IF(J186="V",VLOOKUP(H186,Vtas1B!$A$2:$B$2313,2,FALSE),0)</f>
        <v>22000000</v>
      </c>
      <c r="M186" s="307"/>
      <c r="N186" s="505" t="s">
        <v>4301</v>
      </c>
      <c r="O186" s="505">
        <f>VLOOKUP(N186,'Im 2'!$A$2:$C$2278,3,FALSE)</f>
        <v>0</v>
      </c>
      <c r="P186" s="304" t="str">
        <f>VLOOKUP(N186,'Im 2'!$A$2:$D$3546,4,FALSE)</f>
        <v>V</v>
      </c>
      <c r="Q186" s="305">
        <f>IF(P186="D",VLOOKUP(N186,'Im 2'!$A$2:$C$2278,2,FALSE),0)</f>
        <v>0</v>
      </c>
      <c r="R186" s="305">
        <f>IF(P186="V",VLOOKUP(N186,Vtas2!$A$2:$B$2425,2,FALSE),0)</f>
        <v>26000000</v>
      </c>
      <c r="S186" s="307"/>
      <c r="T186" s="304" t="s">
        <v>2593</v>
      </c>
      <c r="U186" s="505">
        <f>VLOOKUP(T186,'Im 3A'!$A$2:$C$2278,3,FALSE)</f>
        <v>0</v>
      </c>
      <c r="V186" s="304" t="str">
        <f>VLOOKUP(T186,'Im 3A'!$A$2:$D$3546,4,FALSE)</f>
        <v>V</v>
      </c>
      <c r="W186" s="305">
        <f>IF(V186="D",VLOOKUP(T186,'Im 3A'!$A$2:$C$2278,2,FALSE),0)</f>
        <v>0</v>
      </c>
      <c r="X186" s="305">
        <f>IF(V186="V",VLOOKUP(T186,Vtas3A!$A$2:$B$2425,2,FALSE),0)</f>
        <v>23000000</v>
      </c>
      <c r="Z186" s="304" t="s">
        <v>1605</v>
      </c>
      <c r="AA186" s="505">
        <f>VLOOKUP(Z186,'Im 3B'!$A$2:$C$2280,3,FALSE)</f>
        <v>0</v>
      </c>
      <c r="AB186" s="304" t="str">
        <f>VLOOKUP(Z186,'Im 3B'!$A$2:$D$3548,4,FALSE)</f>
        <v>V</v>
      </c>
      <c r="AC186" s="305">
        <f>IF(AB186="D",VLOOKUP(Z186,'Im 3B'!$A$2:$C$2280,2,FALSE),0)</f>
        <v>0</v>
      </c>
      <c r="AD186" s="305">
        <f>IF(AB186="V",VLOOKUP(Z186,Vtas3B!$A$2:$B$2438,2,FALSE),0)</f>
        <v>25000000</v>
      </c>
    </row>
    <row r="187" spans="2:30" x14ac:dyDescent="0.2">
      <c r="B187" s="304" t="s">
        <v>1314</v>
      </c>
      <c r="C187" s="304">
        <f>VLOOKUP(B187,'Im 1A'!$A$2:$C$1963,3,FALSE)</f>
        <v>0</v>
      </c>
      <c r="D187" s="304" t="str">
        <f>VLOOKUP(B187,'Im 1A'!$A$2:$D$3231,4,FALSE)</f>
        <v>V</v>
      </c>
      <c r="E187" s="305">
        <f>IF(D187="D",VLOOKUP(B187,'Im 1A'!$A$2:$C$1963,2,FALSE),0)</f>
        <v>0</v>
      </c>
      <c r="F187" s="305">
        <f>IF(D187="V",VLOOKUP(B187,Vtas1A!$A$2:$B$2357,2,FALSE),0)</f>
        <v>27000000</v>
      </c>
      <c r="G187" s="306"/>
      <c r="H187" s="304" t="s">
        <v>3024</v>
      </c>
      <c r="I187" s="304">
        <f>VLOOKUP(H187,'Im 1B'!$A$2:$C$1947,3,FALSE)</f>
        <v>0</v>
      </c>
      <c r="J187" s="304" t="str">
        <f>VLOOKUP(H187,'Im 1B'!$A$2:$D$3215,4,FALSE)</f>
        <v>V</v>
      </c>
      <c r="K187" s="305">
        <f>IF(J187="D",VLOOKUP(H187,'Im 1B'!$A$2:$C$1947,2,FALSE),0)</f>
        <v>0</v>
      </c>
      <c r="L187" s="305">
        <f>IF(J187="V",VLOOKUP(H187,Vtas1B!$A$2:$B$2313,2,FALSE),0)</f>
        <v>22000000</v>
      </c>
      <c r="M187" s="307"/>
      <c r="N187" s="505" t="s">
        <v>4379</v>
      </c>
      <c r="O187" s="505">
        <f>VLOOKUP(N187,'Im 2'!$A$2:$C$2278,3,FALSE)</f>
        <v>0</v>
      </c>
      <c r="P187" s="304" t="str">
        <f>VLOOKUP(N187,'Im 2'!$A$2:$D$3546,4,FALSE)</f>
        <v>V</v>
      </c>
      <c r="Q187" s="305">
        <f>IF(P187="D",VLOOKUP(N187,'Im 2'!$A$2:$C$2278,2,FALSE),0)</f>
        <v>0</v>
      </c>
      <c r="R187" s="305">
        <f>IF(P187="V",VLOOKUP(N187,Vtas2!$A$2:$B$2425,2,FALSE),0)</f>
        <v>26000000</v>
      </c>
      <c r="S187" s="307"/>
      <c r="T187" s="304" t="s">
        <v>2269</v>
      </c>
      <c r="U187" s="505">
        <f>VLOOKUP(T187,'Im 3A'!$A$2:$C$2278,3,FALSE)</f>
        <v>0</v>
      </c>
      <c r="V187" s="304" t="str">
        <f>VLOOKUP(T187,'Im 3A'!$A$2:$D$3546,4,FALSE)</f>
        <v>V</v>
      </c>
      <c r="W187" s="305">
        <f>IF(V187="D",VLOOKUP(T187,'Im 3A'!$A$2:$C$2278,2,FALSE),0)</f>
        <v>0</v>
      </c>
      <c r="X187" s="305">
        <f>IF(V187="V",VLOOKUP(T187,Vtas3A!$A$2:$B$2425,2,FALSE),0)</f>
        <v>23000000</v>
      </c>
      <c r="Z187" s="505" t="s">
        <v>2563</v>
      </c>
      <c r="AA187" s="505">
        <f>VLOOKUP(Z187,'Im 3B'!$A$2:$C$2280,3,FALSE)</f>
        <v>0</v>
      </c>
      <c r="AB187" s="304" t="str">
        <f>VLOOKUP(Z187,'Im 3B'!$A$2:$D$3548,4,FALSE)</f>
        <v>V</v>
      </c>
      <c r="AC187" s="305">
        <f>IF(AB187="D",VLOOKUP(Z187,'Im 3B'!$A$2:$C$2280,2,FALSE),0)</f>
        <v>0</v>
      </c>
      <c r="AD187" s="305">
        <f>IF(AB187="V",VLOOKUP(Z187,Vtas3B!$A$2:$B$2438,2,FALSE),0)</f>
        <v>25000000</v>
      </c>
    </row>
    <row r="188" spans="2:30" x14ac:dyDescent="0.2">
      <c r="B188" s="304" t="s">
        <v>1477</v>
      </c>
      <c r="C188" s="304">
        <f>VLOOKUP(B188,'Im 1A'!$A$2:$C$1963,3,FALSE)</f>
        <v>0</v>
      </c>
      <c r="D188" s="304" t="str">
        <f>VLOOKUP(B188,'Im 1A'!$A$2:$D$3231,4,FALSE)</f>
        <v>V</v>
      </c>
      <c r="E188" s="305">
        <f>IF(D188="D",VLOOKUP(B188,'Im 1A'!$A$2:$C$1963,2,FALSE),0)</f>
        <v>0</v>
      </c>
      <c r="F188" s="305">
        <f>IF(D188="V",VLOOKUP(B188,Vtas1A!$A$2:$B$2357,2,FALSE),0)</f>
        <v>27000000</v>
      </c>
      <c r="G188" s="306"/>
      <c r="H188" s="304" t="s">
        <v>1420</v>
      </c>
      <c r="I188" s="304">
        <f>VLOOKUP(H188,'Im 1B'!$A$2:$C$1947,3,FALSE)</f>
        <v>0</v>
      </c>
      <c r="J188" s="304" t="str">
        <f>VLOOKUP(H188,'Im 1B'!$A$2:$D$3215,4,FALSE)</f>
        <v>V</v>
      </c>
      <c r="K188" s="305">
        <f>IF(J188="D",VLOOKUP(H188,'Im 1B'!$A$2:$C$1947,2,FALSE),0)</f>
        <v>0</v>
      </c>
      <c r="L188" s="305">
        <f>IF(J188="V",VLOOKUP(H188,Vtas1B!$A$2:$B$2313,2,FALSE),0)</f>
        <v>27000000</v>
      </c>
      <c r="M188" s="307"/>
      <c r="N188" s="505" t="s">
        <v>2870</v>
      </c>
      <c r="O188" s="505">
        <f>VLOOKUP(N188,'Im 2'!$A$2:$C$2278,3,FALSE)</f>
        <v>0</v>
      </c>
      <c r="P188" s="304" t="str">
        <f>VLOOKUP(N188,'Im 2'!$A$2:$D$3546,4,FALSE)</f>
        <v>V</v>
      </c>
      <c r="Q188" s="305">
        <f>IF(P188="D",VLOOKUP(N188,'Im 2'!$A$2:$C$2278,2,FALSE),0)</f>
        <v>0</v>
      </c>
      <c r="R188" s="305">
        <f>IF(P188="V",VLOOKUP(N188,Vtas2!$A$2:$B$2425,2,FALSE),0)</f>
        <v>26000000</v>
      </c>
      <c r="S188" s="307"/>
      <c r="T188" s="304" t="s">
        <v>4389</v>
      </c>
      <c r="U188" s="505">
        <f>VLOOKUP(T188,'Im 3A'!$A$2:$C$2278,3,FALSE)</f>
        <v>0</v>
      </c>
      <c r="V188" s="304" t="str">
        <f>VLOOKUP(T188,'Im 3A'!$A$2:$D$3546,4,FALSE)</f>
        <v>V</v>
      </c>
      <c r="W188" s="305">
        <f>IF(V188="D",VLOOKUP(T188,'Im 3A'!$A$2:$C$2278,2,FALSE),0)</f>
        <v>0</v>
      </c>
      <c r="X188" s="305">
        <f>IF(V188="V",VLOOKUP(T188,Vtas3A!$A$2:$B$2425,2,FALSE),0)</f>
        <v>29000000</v>
      </c>
      <c r="Z188" s="505" t="s">
        <v>1503</v>
      </c>
      <c r="AA188" s="505">
        <f>VLOOKUP(Z188,'Im 3B'!$A$2:$C$2280,3,FALSE)</f>
        <v>0</v>
      </c>
      <c r="AB188" s="304" t="str">
        <f>VLOOKUP(Z188,'Im 3B'!$A$2:$D$3548,4,FALSE)</f>
        <v>V</v>
      </c>
      <c r="AC188" s="305">
        <f>IF(AB188="D",VLOOKUP(Z188,'Im 3B'!$A$2:$C$2280,2,FALSE),0)</f>
        <v>0</v>
      </c>
      <c r="AD188" s="305">
        <f>IF(AB188="V",VLOOKUP(Z188,Vtas3B!$A$2:$B$2438,2,FALSE),0)</f>
        <v>25000000</v>
      </c>
    </row>
    <row r="189" spans="2:30" x14ac:dyDescent="0.2">
      <c r="B189" s="304" t="s">
        <v>3725</v>
      </c>
      <c r="C189" s="304">
        <f>VLOOKUP(B189,'Im 1A'!$A$2:$C$1963,3,FALSE)</f>
        <v>0</v>
      </c>
      <c r="D189" s="304" t="str">
        <f>VLOOKUP(B189,'Im 1A'!$A$2:$D$3231,4,FALSE)</f>
        <v>V</v>
      </c>
      <c r="E189" s="305">
        <f>IF(D189="D",VLOOKUP(B189,'Im 1A'!$A$2:$C$1963,2,FALSE),0)</f>
        <v>0</v>
      </c>
      <c r="F189" s="305">
        <f>IF(D189="V",VLOOKUP(B189,Vtas1A!$A$2:$B$2357,2,FALSE),0)</f>
        <v>22000000</v>
      </c>
      <c r="G189" s="306"/>
      <c r="H189" s="304" t="s">
        <v>1421</v>
      </c>
      <c r="I189" s="304">
        <f>VLOOKUP(H189,'Im 1B'!$A$2:$C$1947,3,FALSE)</f>
        <v>0</v>
      </c>
      <c r="J189" s="304" t="str">
        <f>VLOOKUP(H189,'Im 1B'!$A$2:$D$3215,4,FALSE)</f>
        <v>V</v>
      </c>
      <c r="K189" s="305">
        <f>IF(J189="D",VLOOKUP(H189,'Im 1B'!$A$2:$C$1947,2,FALSE),0)</f>
        <v>0</v>
      </c>
      <c r="L189" s="305">
        <f>IF(J189="V",VLOOKUP(H189,Vtas1B!$A$2:$B$2313,2,FALSE),0)</f>
        <v>27000000</v>
      </c>
      <c r="M189" s="307"/>
      <c r="N189" s="505" t="s">
        <v>3735</v>
      </c>
      <c r="O189" s="505">
        <f>VLOOKUP(N189,'Im 2'!$A$2:$C$2278,3,FALSE)</f>
        <v>0</v>
      </c>
      <c r="P189" s="304" t="str">
        <f>VLOOKUP(N189,'Im 2'!$A$2:$D$3546,4,FALSE)</f>
        <v>V</v>
      </c>
      <c r="Q189" s="305">
        <f>IF(P189="D",VLOOKUP(N189,'Im 2'!$A$2:$C$2278,2,FALSE),0)</f>
        <v>0</v>
      </c>
      <c r="R189" s="305">
        <f>IF(P189="V",VLOOKUP(N189,Vtas2!$A$2:$B$2425,2,FALSE),0)</f>
        <v>26000000</v>
      </c>
      <c r="S189" s="307"/>
      <c r="T189" s="304" t="s">
        <v>4390</v>
      </c>
      <c r="U189" s="505">
        <f>VLOOKUP(T189,'Im 3A'!$A$2:$C$2278,3,FALSE)</f>
        <v>0</v>
      </c>
      <c r="V189" s="304" t="str">
        <f>VLOOKUP(T189,'Im 3A'!$A$2:$D$3546,4,FALSE)</f>
        <v>V</v>
      </c>
      <c r="W189" s="305">
        <f>IF(V189="D",VLOOKUP(T189,'Im 3A'!$A$2:$C$2278,2,FALSE),0)</f>
        <v>0</v>
      </c>
      <c r="X189" s="305">
        <f>IF(V189="V",VLOOKUP(T189,Vtas3A!$A$2:$B$2425,2,FALSE),0)</f>
        <v>28000000</v>
      </c>
      <c r="Z189" s="505" t="s">
        <v>1546</v>
      </c>
      <c r="AA189" s="505">
        <f>VLOOKUP(Z189,'Im 3B'!$A$2:$C$2280,3,FALSE)</f>
        <v>0</v>
      </c>
      <c r="AB189" s="304" t="str">
        <f>VLOOKUP(Z189,'Im 3B'!$A$2:$D$3548,4,FALSE)</f>
        <v>V</v>
      </c>
      <c r="AC189" s="305">
        <f>IF(AB189="D",VLOOKUP(Z189,'Im 3B'!$A$2:$C$2280,2,FALSE),0)</f>
        <v>0</v>
      </c>
      <c r="AD189" s="305">
        <f>IF(AB189="V",VLOOKUP(Z189,Vtas3B!$A$2:$B$2438,2,FALSE),0)</f>
        <v>25000000</v>
      </c>
    </row>
    <row r="190" spans="2:30" x14ac:dyDescent="0.2">
      <c r="B190" s="304" t="s">
        <v>1619</v>
      </c>
      <c r="C190" s="304">
        <f>VLOOKUP(B190,'Im 1A'!$A$2:$C$1963,3,FALSE)</f>
        <v>0</v>
      </c>
      <c r="D190" s="304" t="str">
        <f>VLOOKUP(B190,'Im 1A'!$A$2:$D$3231,4,FALSE)</f>
        <v>V</v>
      </c>
      <c r="E190" s="305">
        <f>IF(D190="D",VLOOKUP(B190,'Im 1A'!$A$2:$C$1963,2,FALSE),0)</f>
        <v>0</v>
      </c>
      <c r="F190" s="305">
        <f>IF(D190="V",VLOOKUP(B190,Vtas1A!$A$2:$B$2357,2,FALSE),0)</f>
        <v>22000000</v>
      </c>
      <c r="G190" s="306"/>
      <c r="H190" s="304" t="s">
        <v>1342</v>
      </c>
      <c r="I190" s="304">
        <f>VLOOKUP(H190,'Im 1B'!$A$2:$C$1947,3,FALSE)</f>
        <v>0</v>
      </c>
      <c r="J190" s="304" t="str">
        <f>VLOOKUP(H190,'Im 1B'!$A$2:$D$3215,4,FALSE)</f>
        <v>V</v>
      </c>
      <c r="K190" s="305">
        <f>IF(J190="D",VLOOKUP(H190,'Im 1B'!$A$2:$C$1947,2,FALSE),0)</f>
        <v>0</v>
      </c>
      <c r="L190" s="305">
        <f>IF(J190="V",VLOOKUP(H190,Vtas1B!$A$2:$B$2313,2,FALSE),0)</f>
        <v>27000000</v>
      </c>
      <c r="M190" s="307"/>
      <c r="N190" s="505" t="s">
        <v>2871</v>
      </c>
      <c r="O190" s="505">
        <f>VLOOKUP(N190,'Im 2'!$A$2:$C$2278,3,FALSE)</f>
        <v>0</v>
      </c>
      <c r="P190" s="304" t="str">
        <f>VLOOKUP(N190,'Im 2'!$A$2:$D$3546,4,FALSE)</f>
        <v>V</v>
      </c>
      <c r="Q190" s="305">
        <f>IF(P190="D",VLOOKUP(N190,'Im 2'!$A$2:$C$2278,2,FALSE),0)</f>
        <v>0</v>
      </c>
      <c r="R190" s="305">
        <f>IF(P190="V",VLOOKUP(N190,Vtas2!$A$2:$B$2425,2,FALSE),0)</f>
        <v>26000000</v>
      </c>
      <c r="S190" s="307"/>
      <c r="T190" s="304" t="s">
        <v>4306</v>
      </c>
      <c r="U190" s="505">
        <f>VLOOKUP(T190,'Im 3A'!$A$2:$C$2278,3,FALSE)</f>
        <v>0</v>
      </c>
      <c r="V190" s="304" t="str">
        <f>VLOOKUP(T190,'Im 3A'!$A$2:$D$3546,4,FALSE)</f>
        <v>V</v>
      </c>
      <c r="W190" s="305">
        <f>IF(V190="D",VLOOKUP(T190,'Im 3A'!$A$2:$C$2278,2,FALSE),0)</f>
        <v>0</v>
      </c>
      <c r="X190" s="305">
        <f>IF(V190="V",VLOOKUP(T190,Vtas3A!$A$2:$B$2425,2,FALSE),0)</f>
        <v>28000000</v>
      </c>
      <c r="Z190" s="505" t="s">
        <v>1621</v>
      </c>
      <c r="AA190" s="505">
        <f>VLOOKUP(Z190,'Im 3B'!$A$2:$C$2280,3,FALSE)</f>
        <v>0</v>
      </c>
      <c r="AB190" s="304" t="str">
        <f>VLOOKUP(Z190,'Im 3B'!$A$2:$D$3548,4,FALSE)</f>
        <v>V</v>
      </c>
      <c r="AC190" s="305">
        <f>IF(AB190="D",VLOOKUP(Z190,'Im 3B'!$A$2:$C$2280,2,FALSE),0)</f>
        <v>0</v>
      </c>
      <c r="AD190" s="305">
        <f>IF(AB190="V",VLOOKUP(Z190,Vtas3B!$A$2:$B$2438,2,FALSE),0)</f>
        <v>25000000</v>
      </c>
    </row>
    <row r="191" spans="2:30" x14ac:dyDescent="0.2">
      <c r="B191" s="304" t="s">
        <v>2619</v>
      </c>
      <c r="C191" s="304">
        <f>VLOOKUP(B191,'Im 1A'!$A$2:$C$1963,3,FALSE)</f>
        <v>0</v>
      </c>
      <c r="D191" s="304" t="str">
        <f>VLOOKUP(B191,'Im 1A'!$A$2:$D$3231,4,FALSE)</f>
        <v>V</v>
      </c>
      <c r="E191" s="305">
        <f>IF(D191="D",VLOOKUP(B191,'Im 1A'!$A$2:$C$1963,2,FALSE),0)</f>
        <v>0</v>
      </c>
      <c r="F191" s="305">
        <f>IF(D191="V",VLOOKUP(B191,Vtas1A!$A$2:$B$2357,2,FALSE),0)</f>
        <v>22000000</v>
      </c>
      <c r="G191" s="306"/>
      <c r="H191" s="304" t="s">
        <v>1422</v>
      </c>
      <c r="I191" s="304">
        <f>VLOOKUP(H191,'Im 1B'!$A$2:$C$1947,3,FALSE)</f>
        <v>0</v>
      </c>
      <c r="J191" s="304" t="str">
        <f>VLOOKUP(H191,'Im 1B'!$A$2:$D$3215,4,FALSE)</f>
        <v>V</v>
      </c>
      <c r="K191" s="305">
        <f>IF(J191="D",VLOOKUP(H191,'Im 1B'!$A$2:$C$1947,2,FALSE),0)</f>
        <v>0</v>
      </c>
      <c r="L191" s="305">
        <f>IF(J191="V",VLOOKUP(H191,Vtas1B!$A$2:$B$2313,2,FALSE),0)</f>
        <v>27000000</v>
      </c>
      <c r="M191" s="307"/>
      <c r="N191" s="505" t="s">
        <v>3050</v>
      </c>
      <c r="O191" s="505">
        <f>VLOOKUP(N191,'Im 2'!$A$2:$C$2278,3,FALSE)</f>
        <v>0</v>
      </c>
      <c r="P191" s="304" t="str">
        <f>VLOOKUP(N191,'Im 2'!$A$2:$D$3546,4,FALSE)</f>
        <v>V</v>
      </c>
      <c r="Q191" s="305">
        <f>IF(P191="D",VLOOKUP(N191,'Im 2'!$A$2:$C$2278,2,FALSE),0)</f>
        <v>0</v>
      </c>
      <c r="R191" s="305">
        <f>IF(P191="V",VLOOKUP(N191,Vtas2!$A$2:$B$2425,2,FALSE),0)</f>
        <v>26000000</v>
      </c>
      <c r="S191" s="307"/>
      <c r="T191" s="304" t="s">
        <v>4391</v>
      </c>
      <c r="U191" s="505">
        <f>VLOOKUP(T191,'Im 3A'!$A$2:$C$2278,3,FALSE)</f>
        <v>0</v>
      </c>
      <c r="V191" s="304" t="str">
        <f>VLOOKUP(T191,'Im 3A'!$A$2:$D$3546,4,FALSE)</f>
        <v>V</v>
      </c>
      <c r="W191" s="305">
        <f>IF(V191="D",VLOOKUP(T191,'Im 3A'!$A$2:$C$2278,2,FALSE),0)</f>
        <v>0</v>
      </c>
      <c r="X191" s="305">
        <f>IF(V191="V",VLOOKUP(T191,Vtas3A!$A$2:$B$2425,2,FALSE),0)</f>
        <v>28000000</v>
      </c>
      <c r="Z191" s="505" t="s">
        <v>1519</v>
      </c>
      <c r="AA191" s="505">
        <f>VLOOKUP(Z191,'Im 3B'!$A$2:$C$2280,3,FALSE)</f>
        <v>0</v>
      </c>
      <c r="AB191" s="304" t="str">
        <f>VLOOKUP(Z191,'Im 3B'!$A$2:$D$3548,4,FALSE)</f>
        <v>V</v>
      </c>
      <c r="AC191" s="305">
        <f>IF(AB191="D",VLOOKUP(Z191,'Im 3B'!$A$2:$C$2280,2,FALSE),0)</f>
        <v>0</v>
      </c>
      <c r="AD191" s="305">
        <f>IF(AB191="V",VLOOKUP(Z191,Vtas3B!$A$2:$B$2438,2,FALSE),0)</f>
        <v>25000000</v>
      </c>
    </row>
    <row r="192" spans="2:30" x14ac:dyDescent="0.2">
      <c r="B192" s="304" t="s">
        <v>2620</v>
      </c>
      <c r="C192" s="304">
        <f>VLOOKUP(B192,'Im 1A'!$A$2:$C$1963,3,FALSE)</f>
        <v>0</v>
      </c>
      <c r="D192" s="304" t="str">
        <f>VLOOKUP(B192,'Im 1A'!$A$2:$D$3231,4,FALSE)</f>
        <v>V</v>
      </c>
      <c r="E192" s="305">
        <f>IF(D192="D",VLOOKUP(B192,'Im 1A'!$A$2:$C$1963,2,FALSE),0)</f>
        <v>0</v>
      </c>
      <c r="F192" s="305">
        <f>IF(D192="V",VLOOKUP(B192,Vtas1A!$A$2:$B$2357,2,FALSE),0)</f>
        <v>22000000</v>
      </c>
      <c r="G192" s="306"/>
      <c r="H192" s="304" t="s">
        <v>1423</v>
      </c>
      <c r="I192" s="304">
        <f>VLOOKUP(H192,'Im 1B'!$A$2:$C$1947,3,FALSE)</f>
        <v>0</v>
      </c>
      <c r="J192" s="304" t="str">
        <f>VLOOKUP(H192,'Im 1B'!$A$2:$D$3215,4,FALSE)</f>
        <v>V</v>
      </c>
      <c r="K192" s="305">
        <f>IF(J192="D",VLOOKUP(H192,'Im 1B'!$A$2:$C$1947,2,FALSE),0)</f>
        <v>0</v>
      </c>
      <c r="L192" s="305">
        <f>IF(J192="V",VLOOKUP(H192,Vtas1B!$A$2:$B$2313,2,FALSE),0)</f>
        <v>27000000</v>
      </c>
      <c r="M192" s="307"/>
      <c r="N192" s="505" t="s">
        <v>3051</v>
      </c>
      <c r="O192" s="505">
        <f>VLOOKUP(N192,'Im 2'!$A$2:$C$2278,3,FALSE)</f>
        <v>0</v>
      </c>
      <c r="P192" s="304" t="str">
        <f>VLOOKUP(N192,'Im 2'!$A$2:$D$3546,4,FALSE)</f>
        <v>V</v>
      </c>
      <c r="Q192" s="305">
        <f>IF(P192="D",VLOOKUP(N192,'Im 2'!$A$2:$C$2278,2,FALSE),0)</f>
        <v>0</v>
      </c>
      <c r="R192" s="305">
        <f>IF(P192="V",VLOOKUP(N192,Vtas2!$A$2:$B$2425,2,FALSE),0)</f>
        <v>26000000</v>
      </c>
      <c r="S192" s="307"/>
      <c r="T192" s="304" t="s">
        <v>4307</v>
      </c>
      <c r="U192" s="505">
        <f>VLOOKUP(T192,'Im 3A'!$A$2:$C$2278,3,FALSE)</f>
        <v>0</v>
      </c>
      <c r="V192" s="304" t="str">
        <f>VLOOKUP(T192,'Im 3A'!$A$2:$D$3546,4,FALSE)</f>
        <v>V</v>
      </c>
      <c r="W192" s="305">
        <f>IF(V192="D",VLOOKUP(T192,'Im 3A'!$A$2:$C$2278,2,FALSE),0)</f>
        <v>0</v>
      </c>
      <c r="X192" s="305">
        <f>IF(V192="V",VLOOKUP(T192,Vtas3A!$A$2:$B$2425,2,FALSE),0)</f>
        <v>28000000</v>
      </c>
      <c r="Z192" s="505" t="s">
        <v>1520</v>
      </c>
      <c r="AA192" s="505">
        <f>VLOOKUP(Z192,'Im 3B'!$A$2:$C$2280,3,FALSE)</f>
        <v>0</v>
      </c>
      <c r="AB192" s="304" t="str">
        <f>VLOOKUP(Z192,'Im 3B'!$A$2:$D$3548,4,FALSE)</f>
        <v>V</v>
      </c>
      <c r="AC192" s="305">
        <f>IF(AB192="D",VLOOKUP(Z192,'Im 3B'!$A$2:$C$2280,2,FALSE),0)</f>
        <v>0</v>
      </c>
      <c r="AD192" s="305">
        <f>IF(AB192="V",VLOOKUP(Z192,Vtas3B!$A$2:$B$2438,2,FALSE),0)</f>
        <v>25000000</v>
      </c>
    </row>
    <row r="193" spans="2:30" x14ac:dyDescent="0.2">
      <c r="B193" s="304" t="s">
        <v>3726</v>
      </c>
      <c r="C193" s="304">
        <f>VLOOKUP(B193,'Im 1A'!$A$2:$C$1963,3,FALSE)</f>
        <v>0</v>
      </c>
      <c r="D193" s="304" t="str">
        <f>VLOOKUP(B193,'Im 1A'!$A$2:$D$3231,4,FALSE)</f>
        <v>V</v>
      </c>
      <c r="E193" s="305">
        <f>IF(D193="D",VLOOKUP(B193,'Im 1A'!$A$2:$C$1963,2,FALSE),0)</f>
        <v>0</v>
      </c>
      <c r="F193" s="305">
        <f>IF(D193="V",VLOOKUP(B193,Vtas1A!$A$2:$B$2357,2,FALSE),0)</f>
        <v>22000000</v>
      </c>
      <c r="G193" s="306"/>
      <c r="H193" s="304" t="s">
        <v>3293</v>
      </c>
      <c r="I193" s="304">
        <f>VLOOKUP(H193,'Im 1B'!$A$2:$C$1947,3,FALSE)</f>
        <v>0</v>
      </c>
      <c r="J193" s="304" t="str">
        <f>VLOOKUP(H193,'Im 1B'!$A$2:$D$3215,4,FALSE)</f>
        <v>V</v>
      </c>
      <c r="K193" s="305">
        <f>IF(J193="D",VLOOKUP(H193,'Im 1B'!$A$2:$C$1947,2,FALSE),0)</f>
        <v>0</v>
      </c>
      <c r="L193" s="305">
        <f>IF(J193="V",VLOOKUP(H193,Vtas1B!$A$2:$B$2313,2,FALSE),0)</f>
        <v>27000000</v>
      </c>
      <c r="M193" s="307"/>
      <c r="N193" s="505" t="s">
        <v>2872</v>
      </c>
      <c r="O193" s="505">
        <f>VLOOKUP(N193,'Im 2'!$A$2:$C$2278,3,FALSE)</f>
        <v>0</v>
      </c>
      <c r="P193" s="304" t="str">
        <f>VLOOKUP(N193,'Im 2'!$A$2:$D$3546,4,FALSE)</f>
        <v>V</v>
      </c>
      <c r="Q193" s="305">
        <f>IF(P193="D",VLOOKUP(N193,'Im 2'!$A$2:$C$2278,2,FALSE),0)</f>
        <v>0</v>
      </c>
      <c r="R193" s="305">
        <f>IF(P193="V",VLOOKUP(N193,Vtas2!$A$2:$B$2425,2,FALSE),0)</f>
        <v>26000000</v>
      </c>
      <c r="S193" s="307"/>
      <c r="T193" s="304" t="s">
        <v>4308</v>
      </c>
      <c r="U193" s="505">
        <f>VLOOKUP(T193,'Im 3A'!$A$2:$C$2278,3,FALSE)</f>
        <v>0</v>
      </c>
      <c r="V193" s="304" t="str">
        <f>VLOOKUP(T193,'Im 3A'!$A$2:$D$3546,4,FALSE)</f>
        <v>V</v>
      </c>
      <c r="W193" s="305">
        <f>IF(V193="D",VLOOKUP(T193,'Im 3A'!$A$2:$C$2278,2,FALSE),0)</f>
        <v>0</v>
      </c>
      <c r="X193" s="305">
        <f>IF(V193="V",VLOOKUP(T193,Vtas3A!$A$2:$B$2425,2,FALSE),0)</f>
        <v>28000000</v>
      </c>
      <c r="Z193" s="505" t="s">
        <v>1734</v>
      </c>
      <c r="AA193" s="505">
        <f>VLOOKUP(Z193,'Im 3B'!$A$2:$C$2280,3,FALSE)</f>
        <v>0</v>
      </c>
      <c r="AB193" s="304" t="str">
        <f>VLOOKUP(Z193,'Im 3B'!$A$2:$D$3548,4,FALSE)</f>
        <v>V</v>
      </c>
      <c r="AC193" s="305">
        <f>IF(AB193="D",VLOOKUP(Z193,'Im 3B'!$A$2:$C$2280,2,FALSE),0)</f>
        <v>0</v>
      </c>
      <c r="AD193" s="305">
        <f>IF(AB193="V",VLOOKUP(Z193,Vtas3B!$A$2:$B$2438,2,FALSE),0)</f>
        <v>25000000</v>
      </c>
    </row>
    <row r="194" spans="2:30" x14ac:dyDescent="0.2">
      <c r="B194" s="304" t="s">
        <v>1382</v>
      </c>
      <c r="C194" s="304">
        <f>VLOOKUP(B194,'Im 1A'!$A$2:$C$1963,3,FALSE)</f>
        <v>0</v>
      </c>
      <c r="D194" s="304" t="str">
        <f>VLOOKUP(B194,'Im 1A'!$A$2:$D$3231,4,FALSE)</f>
        <v>V</v>
      </c>
      <c r="E194" s="305">
        <f>IF(D194="D",VLOOKUP(B194,'Im 1A'!$A$2:$C$1963,2,FALSE),0)</f>
        <v>0</v>
      </c>
      <c r="F194" s="305">
        <f>IF(D194="V",VLOOKUP(B194,Vtas1A!$A$2:$B$2357,2,FALSE),0)</f>
        <v>22000000</v>
      </c>
      <c r="G194" s="306"/>
      <c r="H194" s="304" t="s">
        <v>1424</v>
      </c>
      <c r="I194" s="304">
        <f>VLOOKUP(H194,'Im 1B'!$A$2:$C$1947,3,FALSE)</f>
        <v>0</v>
      </c>
      <c r="J194" s="304" t="str">
        <f>VLOOKUP(H194,'Im 1B'!$A$2:$D$3215,4,FALSE)</f>
        <v>V</v>
      </c>
      <c r="K194" s="305">
        <f>IF(J194="D",VLOOKUP(H194,'Im 1B'!$A$2:$C$1947,2,FALSE),0)</f>
        <v>0</v>
      </c>
      <c r="L194" s="305">
        <f>IF(J194="V",VLOOKUP(H194,Vtas1B!$A$2:$B$2313,2,FALSE),0)</f>
        <v>27000000</v>
      </c>
      <c r="M194" s="307"/>
      <c r="N194" s="505" t="s">
        <v>2873</v>
      </c>
      <c r="O194" s="505">
        <f>VLOOKUP(N194,'Im 2'!$A$2:$C$2278,3,FALSE)</f>
        <v>0</v>
      </c>
      <c r="P194" s="304" t="str">
        <f>VLOOKUP(N194,'Im 2'!$A$2:$D$3546,4,FALSE)</f>
        <v>V</v>
      </c>
      <c r="Q194" s="305">
        <f>IF(P194="D",VLOOKUP(N194,'Im 2'!$A$2:$C$2278,2,FALSE),0)</f>
        <v>0</v>
      </c>
      <c r="R194" s="305">
        <f>IF(P194="V",VLOOKUP(N194,Vtas2!$A$2:$B$2425,2,FALSE),0)</f>
        <v>26000000</v>
      </c>
      <c r="S194" s="307"/>
      <c r="T194" s="304" t="s">
        <v>4309</v>
      </c>
      <c r="U194" s="505">
        <f>VLOOKUP(T194,'Im 3A'!$A$2:$C$2278,3,FALSE)</f>
        <v>0</v>
      </c>
      <c r="V194" s="304" t="str">
        <f>VLOOKUP(T194,'Im 3A'!$A$2:$D$3546,4,FALSE)</f>
        <v>V</v>
      </c>
      <c r="W194" s="305">
        <f>IF(V194="D",VLOOKUP(T194,'Im 3A'!$A$2:$C$2278,2,FALSE),0)</f>
        <v>0</v>
      </c>
      <c r="X194" s="305">
        <f>IF(V194="V",VLOOKUP(T194,Vtas3A!$A$2:$B$2425,2,FALSE),0)</f>
        <v>28000000</v>
      </c>
      <c r="Z194" s="505" t="s">
        <v>1735</v>
      </c>
      <c r="AA194" s="505">
        <f>VLOOKUP(Z194,'Im 3B'!$A$2:$C$2280,3,FALSE)</f>
        <v>0</v>
      </c>
      <c r="AB194" s="304" t="str">
        <f>VLOOKUP(Z194,'Im 3B'!$A$2:$D$3548,4,FALSE)</f>
        <v>V</v>
      </c>
      <c r="AC194" s="305">
        <f>IF(AB194="D",VLOOKUP(Z194,'Im 3B'!$A$2:$C$2280,2,FALSE),0)</f>
        <v>0</v>
      </c>
      <c r="AD194" s="305">
        <f>IF(AB194="V",VLOOKUP(Z194,Vtas3B!$A$2:$B$2438,2,FALSE),0)</f>
        <v>25000000</v>
      </c>
    </row>
    <row r="195" spans="2:30" x14ac:dyDescent="0.2">
      <c r="B195" s="304" t="s">
        <v>2621</v>
      </c>
      <c r="C195" s="304">
        <f>VLOOKUP(B195,'Im 1A'!$A$2:$C$1963,3,FALSE)</f>
        <v>0</v>
      </c>
      <c r="D195" s="304" t="str">
        <f>VLOOKUP(B195,'Im 1A'!$A$2:$D$3231,4,FALSE)</f>
        <v>V</v>
      </c>
      <c r="E195" s="305">
        <f>IF(D195="D",VLOOKUP(B195,'Im 1A'!$A$2:$C$1963,2,FALSE),0)</f>
        <v>0</v>
      </c>
      <c r="F195" s="305">
        <f>IF(D195="V",VLOOKUP(B195,Vtas1A!$A$2:$B$2357,2,FALSE),0)</f>
        <v>22000000</v>
      </c>
      <c r="G195" s="306"/>
      <c r="H195" s="304" t="s">
        <v>1334</v>
      </c>
      <c r="I195" s="304">
        <f>VLOOKUP(H195,'Im 1B'!$A$2:$C$1947,3,FALSE)</f>
        <v>0</v>
      </c>
      <c r="J195" s="304" t="str">
        <f>VLOOKUP(H195,'Im 1B'!$A$2:$D$3215,4,FALSE)</f>
        <v>V</v>
      </c>
      <c r="K195" s="305">
        <f>IF(J195="D",VLOOKUP(H195,'Im 1B'!$A$2:$C$1947,2,FALSE),0)</f>
        <v>0</v>
      </c>
      <c r="L195" s="305">
        <f>IF(J195="V",VLOOKUP(H195,Vtas1B!$A$2:$B$2313,2,FALSE),0)</f>
        <v>27000000</v>
      </c>
      <c r="M195" s="307"/>
      <c r="N195" s="505" t="s">
        <v>3171</v>
      </c>
      <c r="O195" s="505">
        <f>VLOOKUP(N195,'Im 2'!$A$2:$C$2278,3,FALSE)</f>
        <v>0</v>
      </c>
      <c r="P195" s="304" t="str">
        <f>VLOOKUP(N195,'Im 2'!$A$2:$D$3546,4,FALSE)</f>
        <v>V</v>
      </c>
      <c r="Q195" s="305">
        <f>IF(P195="D",VLOOKUP(N195,'Im 2'!$A$2:$C$2278,2,FALSE),0)</f>
        <v>0</v>
      </c>
      <c r="R195" s="305">
        <f>IF(P195="V",VLOOKUP(N195,Vtas2!$A$2:$B$2425,2,FALSE),0)</f>
        <v>26000000</v>
      </c>
      <c r="S195" s="307"/>
      <c r="T195" s="304" t="s">
        <v>4392</v>
      </c>
      <c r="U195" s="505">
        <f>VLOOKUP(T195,'Im 3A'!$A$2:$C$2278,3,FALSE)</f>
        <v>0</v>
      </c>
      <c r="V195" s="304" t="str">
        <f>VLOOKUP(T195,'Im 3A'!$A$2:$D$3546,4,FALSE)</f>
        <v>V</v>
      </c>
      <c r="W195" s="305">
        <f>IF(V195="D",VLOOKUP(T195,'Im 3A'!$A$2:$C$2278,2,FALSE),0)</f>
        <v>0</v>
      </c>
      <c r="X195" s="305">
        <f>IF(V195="V",VLOOKUP(T195,Vtas3A!$A$2:$B$2425,2,FALSE),0)</f>
        <v>28000000</v>
      </c>
      <c r="Z195" s="304" t="s">
        <v>1547</v>
      </c>
      <c r="AA195" s="505">
        <f>VLOOKUP(Z195,'Im 3B'!$A$2:$C$2280,3,FALSE)</f>
        <v>0</v>
      </c>
      <c r="AB195" s="304" t="str">
        <f>VLOOKUP(Z195,'Im 3B'!$A$2:$D$3548,4,FALSE)</f>
        <v>V</v>
      </c>
      <c r="AC195" s="305">
        <f>IF(AB195="D",VLOOKUP(Z195,'Im 3B'!$A$2:$C$2280,2,FALSE),0)</f>
        <v>0</v>
      </c>
      <c r="AD195" s="305">
        <f>IF(AB195="V",VLOOKUP(Z195,Vtas3B!$A$2:$B$2438,2,FALSE),0)</f>
        <v>25000000</v>
      </c>
    </row>
    <row r="196" spans="2:30" x14ac:dyDescent="0.2">
      <c r="B196" s="304" t="s">
        <v>1338</v>
      </c>
      <c r="C196" s="304">
        <f>VLOOKUP(B196,'Im 1A'!$A$2:$C$1963,3,FALSE)</f>
        <v>0</v>
      </c>
      <c r="D196" s="304" t="str">
        <f>VLOOKUP(B196,'Im 1A'!$A$2:$D$3231,4,FALSE)</f>
        <v>V</v>
      </c>
      <c r="E196" s="305">
        <f>IF(D196="D",VLOOKUP(B196,'Im 1A'!$A$2:$C$1963,2,FALSE),0)</f>
        <v>0</v>
      </c>
      <c r="F196" s="305">
        <f>IF(D196="V",VLOOKUP(B196,Vtas1A!$A$2:$B$2357,2,FALSE),0)</f>
        <v>22000000</v>
      </c>
      <c r="G196" s="306"/>
      <c r="H196" s="304" t="s">
        <v>1686</v>
      </c>
      <c r="I196" s="304">
        <f>VLOOKUP(H196,'Im 1B'!$A$2:$C$1947,3,FALSE)</f>
        <v>0</v>
      </c>
      <c r="J196" s="304" t="str">
        <f>VLOOKUP(H196,'Im 1B'!$A$2:$D$3215,4,FALSE)</f>
        <v>V</v>
      </c>
      <c r="K196" s="305">
        <f>IF(J196="D",VLOOKUP(H196,'Im 1B'!$A$2:$C$1947,2,FALSE),0)</f>
        <v>0</v>
      </c>
      <c r="L196" s="305">
        <f>IF(J196="V",VLOOKUP(H196,Vtas1B!$A$2:$B$2313,2,FALSE),0)</f>
        <v>22000000</v>
      </c>
      <c r="M196" s="307"/>
      <c r="N196" s="505" t="s">
        <v>3052</v>
      </c>
      <c r="O196" s="505">
        <f>VLOOKUP(N196,'Im 2'!$A$2:$C$2278,3,FALSE)</f>
        <v>0</v>
      </c>
      <c r="P196" s="304" t="str">
        <f>VLOOKUP(N196,'Im 2'!$A$2:$D$3546,4,FALSE)</f>
        <v>V</v>
      </c>
      <c r="Q196" s="305">
        <f>IF(P196="D",VLOOKUP(N196,'Im 2'!$A$2:$C$2278,2,FALSE),0)</f>
        <v>0</v>
      </c>
      <c r="R196" s="305">
        <f>IF(P196="V",VLOOKUP(N196,Vtas2!$A$2:$B$2425,2,FALSE),0)</f>
        <v>26000000</v>
      </c>
      <c r="S196" s="307"/>
      <c r="T196" s="304" t="s">
        <v>4310</v>
      </c>
      <c r="U196" s="505">
        <f>VLOOKUP(T196,'Im 3A'!$A$2:$C$2278,3,FALSE)</f>
        <v>0</v>
      </c>
      <c r="V196" s="304" t="str">
        <f>VLOOKUP(T196,'Im 3A'!$A$2:$D$3546,4,FALSE)</f>
        <v>V</v>
      </c>
      <c r="W196" s="305">
        <f>IF(V196="D",VLOOKUP(T196,'Im 3A'!$A$2:$C$2278,2,FALSE),0)</f>
        <v>0</v>
      </c>
      <c r="X196" s="305">
        <f>IF(V196="V",VLOOKUP(T196,Vtas3A!$A$2:$B$2425,2,FALSE),0)</f>
        <v>28000000</v>
      </c>
      <c r="Z196" s="304" t="s">
        <v>1372</v>
      </c>
      <c r="AA196" s="505">
        <f>VLOOKUP(Z196,'Im 3B'!$A$2:$C$2280,3,FALSE)</f>
        <v>0</v>
      </c>
      <c r="AB196" s="304" t="str">
        <f>VLOOKUP(Z196,'Im 3B'!$A$2:$D$3548,4,FALSE)</f>
        <v>V</v>
      </c>
      <c r="AC196" s="305">
        <f>IF(AB196="D",VLOOKUP(Z196,'Im 3B'!$A$2:$C$2280,2,FALSE),0)</f>
        <v>0</v>
      </c>
      <c r="AD196" s="305">
        <f>IF(AB196="V",VLOOKUP(Z196,Vtas3B!$A$2:$B$2438,2,FALSE),0)</f>
        <v>25000000</v>
      </c>
    </row>
    <row r="197" spans="2:30" x14ac:dyDescent="0.2">
      <c r="B197" s="304" t="s">
        <v>1360</v>
      </c>
      <c r="C197" s="304">
        <f>VLOOKUP(B197,'Im 1A'!$A$2:$C$1963,3,FALSE)</f>
        <v>0</v>
      </c>
      <c r="D197" s="304" t="str">
        <f>VLOOKUP(B197,'Im 1A'!$A$2:$D$3231,4,FALSE)</f>
        <v>V</v>
      </c>
      <c r="E197" s="305">
        <f>IF(D197="D",VLOOKUP(B197,'Im 1A'!$A$2:$C$1963,2,FALSE),0)</f>
        <v>0</v>
      </c>
      <c r="F197" s="305">
        <f>IF(D197="V",VLOOKUP(B197,Vtas1A!$A$2:$B$2357,2,FALSE),0)</f>
        <v>22000000</v>
      </c>
      <c r="G197" s="306"/>
      <c r="H197" s="304" t="s">
        <v>3025</v>
      </c>
      <c r="I197" s="304">
        <f>VLOOKUP(H197,'Im 1B'!$A$2:$C$1947,3,FALSE)</f>
        <v>0</v>
      </c>
      <c r="J197" s="304" t="str">
        <f>VLOOKUP(H197,'Im 1B'!$A$2:$D$3215,4,FALSE)</f>
        <v>V</v>
      </c>
      <c r="K197" s="305">
        <f>IF(J197="D",VLOOKUP(H197,'Im 1B'!$A$2:$C$1947,2,FALSE),0)</f>
        <v>0</v>
      </c>
      <c r="L197" s="305">
        <f>IF(J197="V",VLOOKUP(H197,Vtas1B!$A$2:$B$2313,2,FALSE),0)</f>
        <v>22000000</v>
      </c>
      <c r="M197" s="307"/>
      <c r="N197" s="505" t="s">
        <v>3172</v>
      </c>
      <c r="O197" s="505">
        <f>VLOOKUP(N197,'Im 2'!$A$2:$C$2278,3,FALSE)</f>
        <v>0</v>
      </c>
      <c r="P197" s="304" t="str">
        <f>VLOOKUP(N197,'Im 2'!$A$2:$D$3546,4,FALSE)</f>
        <v>V</v>
      </c>
      <c r="Q197" s="305">
        <f>IF(P197="D",VLOOKUP(N197,'Im 2'!$A$2:$C$2278,2,FALSE),0)</f>
        <v>0</v>
      </c>
      <c r="R197" s="305">
        <f>IF(P197="V",VLOOKUP(N197,Vtas2!$A$2:$B$2425,2,FALSE),0)</f>
        <v>26000000</v>
      </c>
      <c r="S197" s="307"/>
      <c r="T197" s="304" t="s">
        <v>4393</v>
      </c>
      <c r="U197" s="505">
        <f>VLOOKUP(T197,'Im 3A'!$A$2:$C$2278,3,FALSE)</f>
        <v>0</v>
      </c>
      <c r="V197" s="304" t="str">
        <f>VLOOKUP(T197,'Im 3A'!$A$2:$D$3546,4,FALSE)</f>
        <v>V</v>
      </c>
      <c r="W197" s="305">
        <f>IF(V197="D",VLOOKUP(T197,'Im 3A'!$A$2:$C$2278,2,FALSE),0)</f>
        <v>0</v>
      </c>
      <c r="X197" s="305">
        <f>IF(V197="V",VLOOKUP(T197,Vtas3A!$A$2:$B$2425,2,FALSE),0)</f>
        <v>28000000</v>
      </c>
      <c r="Z197" s="304" t="s">
        <v>1587</v>
      </c>
      <c r="AA197" s="505">
        <f>VLOOKUP(Z197,'Im 3B'!$A$2:$C$2280,3,FALSE)</f>
        <v>0</v>
      </c>
      <c r="AB197" s="304" t="str">
        <f>VLOOKUP(Z197,'Im 3B'!$A$2:$D$3548,4,FALSE)</f>
        <v>V</v>
      </c>
      <c r="AC197" s="305">
        <f>IF(AB197="D",VLOOKUP(Z197,'Im 3B'!$A$2:$C$2280,2,FALSE),0)</f>
        <v>0</v>
      </c>
      <c r="AD197" s="305">
        <f>IF(AB197="V",VLOOKUP(Z197,Vtas3B!$A$2:$B$2438,2,FALSE),0)</f>
        <v>25000000</v>
      </c>
    </row>
    <row r="198" spans="2:30" x14ac:dyDescent="0.2">
      <c r="B198" s="304" t="s">
        <v>3229</v>
      </c>
      <c r="C198" s="304">
        <f>VLOOKUP(B198,'Im 1A'!$A$2:$C$1963,3,FALSE)</f>
        <v>0</v>
      </c>
      <c r="D198" s="304" t="str">
        <f>VLOOKUP(B198,'Im 1A'!$A$2:$D$3231,4,FALSE)</f>
        <v>V</v>
      </c>
      <c r="E198" s="305">
        <f>IF(D198="D",VLOOKUP(B198,'Im 1A'!$A$2:$C$1963,2,FALSE),0)</f>
        <v>0</v>
      </c>
      <c r="F198" s="305">
        <f>IF(D198="V",VLOOKUP(B198,Vtas1A!$A$2:$B$2357,2,FALSE),0)</f>
        <v>22000000</v>
      </c>
      <c r="G198" s="306"/>
      <c r="H198" s="304" t="s">
        <v>1563</v>
      </c>
      <c r="I198" s="304">
        <f>VLOOKUP(H198,'Im 1B'!$A$2:$C$1947,3,FALSE)</f>
        <v>0</v>
      </c>
      <c r="J198" s="304" t="str">
        <f>VLOOKUP(H198,'Im 1B'!$A$2:$D$3215,4,FALSE)</f>
        <v>V</v>
      </c>
      <c r="K198" s="305">
        <f>IF(J198="D",VLOOKUP(H198,'Im 1B'!$A$2:$C$1947,2,FALSE),0)</f>
        <v>0</v>
      </c>
      <c r="L198" s="305">
        <f>IF(J198="V",VLOOKUP(H198,Vtas1B!$A$2:$B$2313,2,FALSE),0)</f>
        <v>22000000</v>
      </c>
      <c r="M198" s="307"/>
      <c r="N198" s="505" t="s">
        <v>3238</v>
      </c>
      <c r="O198" s="505">
        <f>VLOOKUP(N198,'Im 2'!$A$2:$C$2278,3,FALSE)</f>
        <v>0</v>
      </c>
      <c r="P198" s="304" t="str">
        <f>VLOOKUP(N198,'Im 2'!$A$2:$D$3546,4,FALSE)</f>
        <v>V</v>
      </c>
      <c r="Q198" s="305">
        <f>IF(P198="D",VLOOKUP(N198,'Im 2'!$A$2:$C$2278,2,FALSE),0)</f>
        <v>0</v>
      </c>
      <c r="R198" s="305">
        <f>IF(P198="V",VLOOKUP(N198,Vtas2!$A$2:$B$2425,2,FALSE),0)</f>
        <v>26000000</v>
      </c>
      <c r="S198" s="307"/>
      <c r="T198" s="304" t="s">
        <v>4311</v>
      </c>
      <c r="U198" s="505">
        <f>VLOOKUP(T198,'Im 3A'!$A$2:$C$2278,3,FALSE)</f>
        <v>0</v>
      </c>
      <c r="V198" s="304" t="str">
        <f>VLOOKUP(T198,'Im 3A'!$A$2:$D$3546,4,FALSE)</f>
        <v>V</v>
      </c>
      <c r="W198" s="305">
        <f>IF(V198="D",VLOOKUP(T198,'Im 3A'!$A$2:$C$2278,2,FALSE),0)</f>
        <v>0</v>
      </c>
      <c r="X198" s="305">
        <f>IF(V198="V",VLOOKUP(T198,Vtas3A!$A$2:$B$2425,2,FALSE),0)</f>
        <v>24000000</v>
      </c>
      <c r="Z198" s="304" t="s">
        <v>1458</v>
      </c>
      <c r="AA198" s="505">
        <f>VLOOKUP(Z198,'Im 3B'!$A$2:$C$2280,3,FALSE)</f>
        <v>0</v>
      </c>
      <c r="AB198" s="304" t="str">
        <f>VLOOKUP(Z198,'Im 3B'!$A$2:$D$3548,4,FALSE)</f>
        <v>V</v>
      </c>
      <c r="AC198" s="305">
        <f>IF(AB198="D",VLOOKUP(Z198,'Im 3B'!$A$2:$C$2280,2,FALSE),0)</f>
        <v>0</v>
      </c>
      <c r="AD198" s="305">
        <f>IF(AB198="V",VLOOKUP(Z198,Vtas3B!$A$2:$B$2438,2,FALSE),0)</f>
        <v>25000000</v>
      </c>
    </row>
    <row r="199" spans="2:30" x14ac:dyDescent="0.2">
      <c r="B199" s="304" t="s">
        <v>1383</v>
      </c>
      <c r="C199" s="304">
        <f>VLOOKUP(B199,'Im 1A'!$A$2:$C$1963,3,FALSE)</f>
        <v>0</v>
      </c>
      <c r="D199" s="304" t="str">
        <f>VLOOKUP(B199,'Im 1A'!$A$2:$D$3231,4,FALSE)</f>
        <v>V</v>
      </c>
      <c r="E199" s="305">
        <f>IF(D199="D",VLOOKUP(B199,'Im 1A'!$A$2:$C$1963,2,FALSE),0)</f>
        <v>0</v>
      </c>
      <c r="F199" s="305">
        <f>IF(D199="V",VLOOKUP(B199,Vtas1A!$A$2:$B$2357,2,FALSE),0)</f>
        <v>22000000</v>
      </c>
      <c r="G199" s="306"/>
      <c r="H199" s="304" t="s">
        <v>1489</v>
      </c>
      <c r="I199" s="304">
        <f>VLOOKUP(H199,'Im 1B'!$A$2:$C$1947,3,FALSE)</f>
        <v>0</v>
      </c>
      <c r="J199" s="304" t="str">
        <f>VLOOKUP(H199,'Im 1B'!$A$2:$D$3215,4,FALSE)</f>
        <v>V</v>
      </c>
      <c r="K199" s="305">
        <f>IF(J199="D",VLOOKUP(H199,'Im 1B'!$A$2:$C$1947,2,FALSE),0)</f>
        <v>0</v>
      </c>
      <c r="L199" s="305">
        <f>IF(J199="V",VLOOKUP(H199,Vtas1B!$A$2:$B$2313,2,FALSE),0)</f>
        <v>22000000</v>
      </c>
      <c r="M199" s="307"/>
      <c r="N199" s="505" t="s">
        <v>4250</v>
      </c>
      <c r="O199" s="505">
        <f>VLOOKUP(N199,'Im 2'!$A$2:$C$2278,3,FALSE)</f>
        <v>0</v>
      </c>
      <c r="P199" s="304" t="str">
        <f>VLOOKUP(N199,'Im 2'!$A$2:$D$3546,4,FALSE)</f>
        <v>V</v>
      </c>
      <c r="Q199" s="305">
        <f>IF(P199="D",VLOOKUP(N199,'Im 2'!$A$2:$C$2278,2,FALSE),0)</f>
        <v>0</v>
      </c>
      <c r="R199" s="305">
        <f>IF(P199="V",VLOOKUP(N199,Vtas2!$A$2:$B$2425,2,FALSE),0)</f>
        <v>26000000</v>
      </c>
      <c r="S199" s="307"/>
      <c r="T199" s="304" t="s">
        <v>4312</v>
      </c>
      <c r="U199" s="505">
        <f>VLOOKUP(T199,'Im 3A'!$A$2:$C$2278,3,FALSE)</f>
        <v>0</v>
      </c>
      <c r="V199" s="304" t="str">
        <f>VLOOKUP(T199,'Im 3A'!$A$2:$D$3546,4,FALSE)</f>
        <v>V</v>
      </c>
      <c r="W199" s="305">
        <f>IF(V199="D",VLOOKUP(T199,'Im 3A'!$A$2:$C$2278,2,FALSE),0)</f>
        <v>0</v>
      </c>
      <c r="X199" s="305">
        <f>IF(V199="V",VLOOKUP(T199,Vtas3A!$A$2:$B$2425,2,FALSE),0)</f>
        <v>23000000</v>
      </c>
      <c r="Z199" s="304" t="s">
        <v>1753</v>
      </c>
      <c r="AA199" s="505">
        <f>VLOOKUP(Z199,'Im 3B'!$A$2:$C$2280,3,FALSE)</f>
        <v>0</v>
      </c>
      <c r="AB199" s="304" t="str">
        <f>VLOOKUP(Z199,'Im 3B'!$A$2:$D$3548,4,FALSE)</f>
        <v>V</v>
      </c>
      <c r="AC199" s="305">
        <f>IF(AB199="D",VLOOKUP(Z199,'Im 3B'!$A$2:$C$2280,2,FALSE),0)</f>
        <v>0</v>
      </c>
      <c r="AD199" s="305">
        <f>IF(AB199="V",VLOOKUP(Z199,Vtas3B!$A$2:$B$2438,2,FALSE),0)</f>
        <v>25000000</v>
      </c>
    </row>
    <row r="200" spans="2:30" x14ac:dyDescent="0.2">
      <c r="B200" s="304" t="s">
        <v>3163</v>
      </c>
      <c r="C200" s="304">
        <f>VLOOKUP(B200,'Im 1A'!$A$2:$C$1963,3,FALSE)</f>
        <v>0</v>
      </c>
      <c r="D200" s="304" t="str">
        <f>VLOOKUP(B200,'Im 1A'!$A$2:$D$3231,4,FALSE)</f>
        <v>V</v>
      </c>
      <c r="E200" s="305">
        <f>IF(D200="D",VLOOKUP(B200,'Im 1A'!$A$2:$C$1963,2,FALSE),0)</f>
        <v>0</v>
      </c>
      <c r="F200" s="305">
        <f>IF(D200="V",VLOOKUP(B200,Vtas1A!$A$2:$B$2357,2,FALSE),0)</f>
        <v>22000000</v>
      </c>
      <c r="G200" s="306"/>
      <c r="H200" s="304" t="s">
        <v>2634</v>
      </c>
      <c r="I200" s="304">
        <f>VLOOKUP(H200,'Im 1B'!$A$2:$C$1947,3,FALSE)</f>
        <v>0</v>
      </c>
      <c r="J200" s="304" t="str">
        <f>VLOOKUP(H200,'Im 1B'!$A$2:$D$3215,4,FALSE)</f>
        <v>V</v>
      </c>
      <c r="K200" s="305">
        <f>IF(J200="D",VLOOKUP(H200,'Im 1B'!$A$2:$C$1947,2,FALSE),0)</f>
        <v>0</v>
      </c>
      <c r="L200" s="305">
        <f>IF(J200="V",VLOOKUP(H200,Vtas1B!$A$2:$B$2313,2,FALSE),0)</f>
        <v>22000000</v>
      </c>
      <c r="M200" s="307"/>
      <c r="N200" s="505" t="s">
        <v>2874</v>
      </c>
      <c r="O200" s="505">
        <f>VLOOKUP(N200,'Im 2'!$A$2:$C$2278,3,FALSE)</f>
        <v>0</v>
      </c>
      <c r="P200" s="304" t="str">
        <f>VLOOKUP(N200,'Im 2'!$A$2:$D$3546,4,FALSE)</f>
        <v>V</v>
      </c>
      <c r="Q200" s="305">
        <f>IF(P200="D",VLOOKUP(N200,'Im 2'!$A$2:$C$2278,2,FALSE),0)</f>
        <v>0</v>
      </c>
      <c r="R200" s="305">
        <f>IF(P200="V",VLOOKUP(N200,Vtas2!$A$2:$B$2425,2,FALSE),0)</f>
        <v>26000000</v>
      </c>
      <c r="S200" s="307"/>
      <c r="T200" s="304" t="s">
        <v>4313</v>
      </c>
      <c r="U200" s="505">
        <f>VLOOKUP(T200,'Im 3A'!$A$2:$C$2278,3,FALSE)</f>
        <v>0</v>
      </c>
      <c r="V200" s="304" t="str">
        <f>VLOOKUP(T200,'Im 3A'!$A$2:$D$3546,4,FALSE)</f>
        <v>V</v>
      </c>
      <c r="W200" s="305">
        <f>IF(V200="D",VLOOKUP(T200,'Im 3A'!$A$2:$C$2278,2,FALSE),0)</f>
        <v>0</v>
      </c>
      <c r="X200" s="305">
        <f>IF(V200="V",VLOOKUP(T200,Vtas3A!$A$2:$B$2425,2,FALSE),0)</f>
        <v>24000000</v>
      </c>
      <c r="Z200" s="304" t="s">
        <v>1276</v>
      </c>
      <c r="AA200" s="505">
        <f>VLOOKUP(Z200,'Im 3B'!$A$2:$C$2280,3,FALSE)</f>
        <v>0</v>
      </c>
      <c r="AB200" s="304" t="str">
        <f>VLOOKUP(Z200,'Im 3B'!$A$2:$D$3548,4,FALSE)</f>
        <v>V</v>
      </c>
      <c r="AC200" s="305">
        <f>IF(AB200="D",VLOOKUP(Z200,'Im 3B'!$A$2:$C$2280,2,FALSE),0)</f>
        <v>0</v>
      </c>
      <c r="AD200" s="305">
        <f>IF(AB200="V",VLOOKUP(Z200,Vtas3B!$A$2:$B$2438,2,FALSE),0)</f>
        <v>24000000</v>
      </c>
    </row>
    <row r="201" spans="2:30" x14ac:dyDescent="0.2">
      <c r="B201" s="304" t="s">
        <v>1437</v>
      </c>
      <c r="C201" s="304">
        <f>VLOOKUP(B201,'Im 1A'!$A$2:$C$1963,3,FALSE)</f>
        <v>0</v>
      </c>
      <c r="D201" s="304" t="str">
        <f>VLOOKUP(B201,'Im 1A'!$A$2:$D$3231,4,FALSE)</f>
        <v>V</v>
      </c>
      <c r="E201" s="305">
        <f>IF(D201="D",VLOOKUP(B201,'Im 1A'!$A$2:$C$1963,2,FALSE),0)</f>
        <v>0</v>
      </c>
      <c r="F201" s="305">
        <f>IF(D201="V",VLOOKUP(B201,Vtas1A!$A$2:$B$2357,2,FALSE),0)</f>
        <v>22000000</v>
      </c>
      <c r="G201" s="306"/>
      <c r="H201" s="304" t="s">
        <v>1631</v>
      </c>
      <c r="I201" s="304">
        <f>VLOOKUP(H201,'Im 1B'!$A$2:$C$1947,3,FALSE)</f>
        <v>0</v>
      </c>
      <c r="J201" s="304" t="str">
        <f>VLOOKUP(H201,'Im 1B'!$A$2:$D$3215,4,FALSE)</f>
        <v>V</v>
      </c>
      <c r="K201" s="305">
        <f>IF(J201="D",VLOOKUP(H201,'Im 1B'!$A$2:$C$1947,2,FALSE),0)</f>
        <v>0</v>
      </c>
      <c r="L201" s="305">
        <f>IF(J201="V",VLOOKUP(H201,Vtas1B!$A$2:$B$2313,2,FALSE),0)</f>
        <v>22000000</v>
      </c>
      <c r="M201" s="307"/>
      <c r="N201" s="505" t="s">
        <v>3302</v>
      </c>
      <c r="O201" s="505">
        <f>VLOOKUP(N201,'Im 2'!$A$2:$C$2278,3,FALSE)</f>
        <v>0</v>
      </c>
      <c r="P201" s="304" t="str">
        <f>VLOOKUP(N201,'Im 2'!$A$2:$D$3546,4,FALSE)</f>
        <v>V</v>
      </c>
      <c r="Q201" s="305">
        <f>IF(P201="D",VLOOKUP(N201,'Im 2'!$A$2:$C$2278,2,FALSE),0)</f>
        <v>0</v>
      </c>
      <c r="R201" s="305">
        <f>IF(P201="V",VLOOKUP(N201,Vtas2!$A$2:$B$2425,2,FALSE),0)</f>
        <v>26000000</v>
      </c>
      <c r="S201" s="307"/>
      <c r="T201" s="304" t="s">
        <v>3471</v>
      </c>
      <c r="U201" s="505">
        <f>VLOOKUP(T201,'Im 3A'!$A$2:$C$2278,3,FALSE)</f>
        <v>0</v>
      </c>
      <c r="V201" s="304" t="str">
        <f>VLOOKUP(T201,'Im 3A'!$A$2:$D$3546,4,FALSE)</f>
        <v>V</v>
      </c>
      <c r="W201" s="305">
        <f>IF(V201="D",VLOOKUP(T201,'Im 3A'!$A$2:$C$2278,2,FALSE),0)</f>
        <v>0</v>
      </c>
      <c r="X201" s="305">
        <f>IF(V201="V",VLOOKUP(T201,Vtas3A!$A$2:$B$2425,2,FALSE),0)</f>
        <v>24000000</v>
      </c>
      <c r="Z201" s="304" t="s">
        <v>1736</v>
      </c>
      <c r="AA201" s="505">
        <f>VLOOKUP(Z201,'Im 3B'!$A$2:$C$2280,3,FALSE)</f>
        <v>0</v>
      </c>
      <c r="AB201" s="304" t="str">
        <f>VLOOKUP(Z201,'Im 3B'!$A$2:$D$3548,4,FALSE)</f>
        <v>V</v>
      </c>
      <c r="AC201" s="305">
        <f>IF(AB201="D",VLOOKUP(Z201,'Im 3B'!$A$2:$C$2280,2,FALSE),0)</f>
        <v>0</v>
      </c>
      <c r="AD201" s="305">
        <f>IF(AB201="V",VLOOKUP(Z201,Vtas3B!$A$2:$B$2438,2,FALSE),0)</f>
        <v>25000000</v>
      </c>
    </row>
    <row r="202" spans="2:30" x14ac:dyDescent="0.2">
      <c r="B202" s="304" t="s">
        <v>1516</v>
      </c>
      <c r="C202" s="304">
        <f>VLOOKUP(B202,'Im 1A'!$A$2:$C$1963,3,FALSE)</f>
        <v>0</v>
      </c>
      <c r="D202" s="304" t="str">
        <f>VLOOKUP(B202,'Im 1A'!$A$2:$D$3231,4,FALSE)</f>
        <v>V</v>
      </c>
      <c r="E202" s="305">
        <f>IF(D202="D",VLOOKUP(B202,'Im 1A'!$A$2:$C$1963,2,FALSE),0)</f>
        <v>0</v>
      </c>
      <c r="F202" s="305">
        <f>IF(D202="V",VLOOKUP(B202,Vtas1A!$A$2:$B$2357,2,FALSE),0)</f>
        <v>22000000</v>
      </c>
      <c r="G202" s="306"/>
      <c r="H202" s="304" t="s">
        <v>3026</v>
      </c>
      <c r="I202" s="304">
        <f>VLOOKUP(H202,'Im 1B'!$A$2:$C$1947,3,FALSE)</f>
        <v>0</v>
      </c>
      <c r="J202" s="304" t="str">
        <f>VLOOKUP(H202,'Im 1B'!$A$2:$D$3215,4,FALSE)</f>
        <v>V</v>
      </c>
      <c r="K202" s="305">
        <f>IF(J202="D",VLOOKUP(H202,'Im 1B'!$A$2:$C$1947,2,FALSE),0)</f>
        <v>0</v>
      </c>
      <c r="L202" s="305">
        <f>IF(J202="V",VLOOKUP(H202,Vtas1B!$A$2:$B$2313,2,FALSE),0)</f>
        <v>22000000</v>
      </c>
      <c r="M202" s="307"/>
      <c r="N202" s="505" t="s">
        <v>3303</v>
      </c>
      <c r="O202" s="505">
        <f>VLOOKUP(N202,'Im 2'!$A$2:$C$2278,3,FALSE)</f>
        <v>0</v>
      </c>
      <c r="P202" s="304" t="str">
        <f>VLOOKUP(N202,'Im 2'!$A$2:$D$3546,4,FALSE)</f>
        <v>V</v>
      </c>
      <c r="Q202" s="305">
        <f>IF(P202="D",VLOOKUP(N202,'Im 2'!$A$2:$C$2278,2,FALSE),0)</f>
        <v>0</v>
      </c>
      <c r="R202" s="305">
        <f>IF(P202="V",VLOOKUP(N202,Vtas2!$A$2:$B$2425,2,FALSE),0)</f>
        <v>26000000</v>
      </c>
      <c r="S202" s="307"/>
      <c r="T202" s="304" t="s">
        <v>4394</v>
      </c>
      <c r="U202" s="505">
        <f>VLOOKUP(T202,'Im 3A'!$A$2:$C$2278,3,FALSE)</f>
        <v>0</v>
      </c>
      <c r="V202" s="304" t="str">
        <f>VLOOKUP(T202,'Im 3A'!$A$2:$D$3546,4,FALSE)</f>
        <v>V</v>
      </c>
      <c r="W202" s="305">
        <f>IF(V202="D",VLOOKUP(T202,'Im 3A'!$A$2:$C$2278,2,FALSE),0)</f>
        <v>0</v>
      </c>
      <c r="X202" s="305">
        <f>IF(V202="V",VLOOKUP(T202,Vtas3A!$A$2:$B$2425,2,FALSE),0)</f>
        <v>23000000</v>
      </c>
      <c r="Z202" s="304" t="s">
        <v>2233</v>
      </c>
      <c r="AA202" s="505">
        <f>VLOOKUP(Z202,'Im 3B'!$A$2:$C$2280,3,FALSE)</f>
        <v>0</v>
      </c>
      <c r="AB202" s="304" t="str">
        <f>VLOOKUP(Z202,'Im 3B'!$A$2:$D$3548,4,FALSE)</f>
        <v>V</v>
      </c>
      <c r="AC202" s="305">
        <f>IF(AB202="D",VLOOKUP(Z202,'Im 3B'!$A$2:$C$2280,2,FALSE),0)</f>
        <v>0</v>
      </c>
      <c r="AD202" s="305">
        <f>IF(AB202="V",VLOOKUP(Z202,Vtas3B!$A$2:$B$2438,2,FALSE),0)</f>
        <v>24000000</v>
      </c>
    </row>
    <row r="203" spans="2:30" x14ac:dyDescent="0.2">
      <c r="B203" s="304" t="s">
        <v>1600</v>
      </c>
      <c r="C203" s="304">
        <f>VLOOKUP(B203,'Im 1A'!$A$2:$C$1963,3,FALSE)</f>
        <v>0</v>
      </c>
      <c r="D203" s="304" t="str">
        <f>VLOOKUP(B203,'Im 1A'!$A$2:$D$3231,4,FALSE)</f>
        <v>V</v>
      </c>
      <c r="E203" s="305">
        <f>IF(D203="D",VLOOKUP(B203,'Im 1A'!$A$2:$C$1963,2,FALSE),0)</f>
        <v>0</v>
      </c>
      <c r="F203" s="305">
        <f>IF(D203="V",VLOOKUP(B203,Vtas1A!$A$2:$B$2357,2,FALSE),0)</f>
        <v>27000000</v>
      </c>
      <c r="G203" s="306"/>
      <c r="H203" s="304" t="s">
        <v>1490</v>
      </c>
      <c r="I203" s="304">
        <f>VLOOKUP(H203,'Im 1B'!$A$2:$C$1947,3,FALSE)</f>
        <v>0</v>
      </c>
      <c r="J203" s="304" t="str">
        <f>VLOOKUP(H203,'Im 1B'!$A$2:$D$3215,4,FALSE)</f>
        <v>V</v>
      </c>
      <c r="K203" s="305">
        <f>IF(J203="D",VLOOKUP(H203,'Im 1B'!$A$2:$C$1947,2,FALSE),0)</f>
        <v>0</v>
      </c>
      <c r="L203" s="305">
        <f>IF(J203="V",VLOOKUP(H203,Vtas1B!$A$2:$B$2313,2,FALSE),0)</f>
        <v>22000000</v>
      </c>
      <c r="M203" s="307"/>
      <c r="N203" s="505" t="s">
        <v>4251</v>
      </c>
      <c r="O203" s="505">
        <f>VLOOKUP(N203,'Im 2'!$A$2:$C$2278,3,FALSE)</f>
        <v>0</v>
      </c>
      <c r="P203" s="304" t="str">
        <f>VLOOKUP(N203,'Im 2'!$A$2:$D$3546,4,FALSE)</f>
        <v>V</v>
      </c>
      <c r="Q203" s="305">
        <f>IF(P203="D",VLOOKUP(N203,'Im 2'!$A$2:$C$2278,2,FALSE),0)</f>
        <v>0</v>
      </c>
      <c r="R203" s="305">
        <f>IF(P203="V",VLOOKUP(N203,Vtas2!$A$2:$B$2425,2,FALSE),0)</f>
        <v>26000000</v>
      </c>
      <c r="S203" s="307"/>
      <c r="T203" s="304" t="s">
        <v>3401</v>
      </c>
      <c r="U203" s="505">
        <f>VLOOKUP(T203,'Im 3A'!$A$2:$C$2278,3,FALSE)</f>
        <v>0</v>
      </c>
      <c r="V203" s="304" t="str">
        <f>VLOOKUP(T203,'Im 3A'!$A$2:$D$3546,4,FALSE)</f>
        <v>V</v>
      </c>
      <c r="W203" s="305">
        <f>IF(V203="D",VLOOKUP(T203,'Im 3A'!$A$2:$C$2278,2,FALSE),0)</f>
        <v>0</v>
      </c>
      <c r="X203" s="305">
        <f>IF(V203="V",VLOOKUP(T203,Vtas3A!$A$2:$B$2425,2,FALSE),0)</f>
        <v>24000000</v>
      </c>
      <c r="Z203" s="304" t="s">
        <v>1277</v>
      </c>
      <c r="AA203" s="505">
        <f>VLOOKUP(Z203,'Im 3B'!$A$2:$C$2280,3,FALSE)</f>
        <v>0</v>
      </c>
      <c r="AB203" s="304" t="str">
        <f>VLOOKUP(Z203,'Im 3B'!$A$2:$D$3548,4,FALSE)</f>
        <v>V</v>
      </c>
      <c r="AC203" s="305">
        <f>IF(AB203="D",VLOOKUP(Z203,'Im 3B'!$A$2:$C$2280,2,FALSE),0)</f>
        <v>0</v>
      </c>
      <c r="AD203" s="305">
        <f>IF(AB203="V",VLOOKUP(Z203,Vtas3B!$A$2:$B$2438,2,FALSE),0)</f>
        <v>25000000</v>
      </c>
    </row>
    <row r="204" spans="2:30" x14ac:dyDescent="0.2">
      <c r="B204" s="304" t="s">
        <v>1315</v>
      </c>
      <c r="C204" s="304">
        <f>VLOOKUP(B204,'Im 1A'!$A$2:$C$1963,3,FALSE)</f>
        <v>0</v>
      </c>
      <c r="D204" s="304" t="str">
        <f>VLOOKUP(B204,'Im 1A'!$A$2:$D$3231,4,FALSE)</f>
        <v>V</v>
      </c>
      <c r="E204" s="305">
        <f>IF(D204="D",VLOOKUP(B204,'Im 1A'!$A$2:$C$1963,2,FALSE),0)</f>
        <v>0</v>
      </c>
      <c r="F204" s="305">
        <f>IF(D204="V",VLOOKUP(B204,Vtas1A!$A$2:$B$2357,2,FALSE),0)</f>
        <v>27000000</v>
      </c>
      <c r="G204" s="306"/>
      <c r="H204" s="304" t="s">
        <v>2266</v>
      </c>
      <c r="I204" s="304">
        <f>VLOOKUP(H204,'Im 1B'!$A$2:$C$1947,3,FALSE)</f>
        <v>0</v>
      </c>
      <c r="J204" s="304" t="str">
        <f>VLOOKUP(H204,'Im 1B'!$A$2:$D$3215,4,FALSE)</f>
        <v>V</v>
      </c>
      <c r="K204" s="305">
        <f>IF(J204="D",VLOOKUP(H204,'Im 1B'!$A$2:$C$1947,2,FALSE),0)</f>
        <v>0</v>
      </c>
      <c r="L204" s="305">
        <f>IF(J204="V",VLOOKUP(H204,Vtas1B!$A$2:$B$2313,2,FALSE),0)</f>
        <v>22000000</v>
      </c>
      <c r="M204" s="307"/>
      <c r="N204" s="505" t="s">
        <v>3173</v>
      </c>
      <c r="O204" s="505">
        <f>VLOOKUP(N204,'Im 2'!$A$2:$C$2278,3,FALSE)</f>
        <v>0</v>
      </c>
      <c r="P204" s="304" t="str">
        <f>VLOOKUP(N204,'Im 2'!$A$2:$D$3546,4,FALSE)</f>
        <v>V</v>
      </c>
      <c r="Q204" s="305">
        <f>IF(P204="D",VLOOKUP(N204,'Im 2'!$A$2:$C$2278,2,FALSE),0)</f>
        <v>0</v>
      </c>
      <c r="R204" s="305">
        <f>IF(P204="V",VLOOKUP(N204,Vtas2!$A$2:$B$2425,2,FALSE),0)</f>
        <v>26000000</v>
      </c>
      <c r="S204" s="307"/>
      <c r="T204" s="304" t="s">
        <v>3402</v>
      </c>
      <c r="U204" s="505">
        <f>VLOOKUP(T204,'Im 3A'!$A$2:$C$2278,3,FALSE)</f>
        <v>0</v>
      </c>
      <c r="V204" s="304" t="str">
        <f>VLOOKUP(T204,'Im 3A'!$A$2:$D$3546,4,FALSE)</f>
        <v>V</v>
      </c>
      <c r="W204" s="305">
        <f>IF(V204="D",VLOOKUP(T204,'Im 3A'!$A$2:$C$2278,2,FALSE),0)</f>
        <v>0</v>
      </c>
      <c r="X204" s="305">
        <f>IF(V204="V",VLOOKUP(T204,Vtas3A!$A$2:$B$2425,2,FALSE),0)</f>
        <v>24000000</v>
      </c>
      <c r="Z204" s="304" t="s">
        <v>1504</v>
      </c>
      <c r="AA204" s="505">
        <f>VLOOKUP(Z204,'Im 3B'!$A$2:$C$2280,3,FALSE)</f>
        <v>0</v>
      </c>
      <c r="AB204" s="304" t="str">
        <f>VLOOKUP(Z204,'Im 3B'!$A$2:$D$3548,4,FALSE)</f>
        <v>V</v>
      </c>
      <c r="AC204" s="305">
        <f>IF(AB204="D",VLOOKUP(Z204,'Im 3B'!$A$2:$C$2280,2,FALSE),0)</f>
        <v>0</v>
      </c>
      <c r="AD204" s="305">
        <f>IF(AB204="V",VLOOKUP(Z204,Vtas3B!$A$2:$B$2438,2,FALSE),0)</f>
        <v>25000000</v>
      </c>
    </row>
    <row r="205" spans="2:30" x14ac:dyDescent="0.2">
      <c r="B205" s="304" t="s">
        <v>1251</v>
      </c>
      <c r="C205" s="304">
        <f>VLOOKUP(B205,'Im 1A'!$A$2:$C$1963,3,FALSE)</f>
        <v>0</v>
      </c>
      <c r="D205" s="304" t="str">
        <f>VLOOKUP(B205,'Im 1A'!$A$2:$D$3231,4,FALSE)</f>
        <v>V</v>
      </c>
      <c r="E205" s="305">
        <f>IF(D205="D",VLOOKUP(B205,'Im 1A'!$A$2:$C$1963,2,FALSE),0)</f>
        <v>0</v>
      </c>
      <c r="F205" s="305">
        <f>IF(D205="V",VLOOKUP(B205,Vtas1A!$A$2:$B$2357,2,FALSE),0)</f>
        <v>22000000</v>
      </c>
      <c r="G205" s="306"/>
      <c r="H205" s="304" t="s">
        <v>4296</v>
      </c>
      <c r="I205" s="304">
        <f>VLOOKUP(H205,'Im 1B'!$A$2:$C$1947,3,FALSE)</f>
        <v>0</v>
      </c>
      <c r="J205" s="304" t="str">
        <f>VLOOKUP(H205,'Im 1B'!$A$2:$D$3215,4,FALSE)</f>
        <v>V</v>
      </c>
      <c r="K205" s="305">
        <f>IF(J205="D",VLOOKUP(H205,'Im 1B'!$A$2:$C$1947,2,FALSE),0)</f>
        <v>0</v>
      </c>
      <c r="L205" s="305">
        <f>IF(J205="V",VLOOKUP(H205,Vtas1B!$A$2:$B$2313,2,FALSE),0)</f>
        <v>27000000</v>
      </c>
      <c r="M205" s="307"/>
      <c r="N205" s="505" t="s">
        <v>3053</v>
      </c>
      <c r="O205" s="505">
        <f>VLOOKUP(N205,'Im 2'!$A$2:$C$2278,3,FALSE)</f>
        <v>0</v>
      </c>
      <c r="P205" s="304" t="str">
        <f>VLOOKUP(N205,'Im 2'!$A$2:$D$3546,4,FALSE)</f>
        <v>V</v>
      </c>
      <c r="Q205" s="305">
        <f>IF(P205="D",VLOOKUP(N205,'Im 2'!$A$2:$C$2278,2,FALSE),0)</f>
        <v>0</v>
      </c>
      <c r="R205" s="305">
        <f>IF(P205="V",VLOOKUP(N205,Vtas2!$A$2:$B$2425,2,FALSE),0)</f>
        <v>26000000</v>
      </c>
      <c r="S205" s="307"/>
      <c r="T205" s="304" t="s">
        <v>4260</v>
      </c>
      <c r="U205" s="505">
        <f>VLOOKUP(T205,'Im 3A'!$A$2:$C$2278,3,FALSE)</f>
        <v>0</v>
      </c>
      <c r="V205" s="304" t="str">
        <f>VLOOKUP(T205,'Im 3A'!$A$2:$D$3546,4,FALSE)</f>
        <v>V</v>
      </c>
      <c r="W205" s="305">
        <f>IF(V205="D",VLOOKUP(T205,'Im 3A'!$A$2:$C$2278,2,FALSE),0)</f>
        <v>0</v>
      </c>
      <c r="X205" s="305">
        <f>IF(V205="V",VLOOKUP(T205,Vtas3A!$A$2:$B$2425,2,FALSE),0)</f>
        <v>24000000</v>
      </c>
      <c r="Z205" s="304" t="s">
        <v>2564</v>
      </c>
      <c r="AA205" s="505">
        <f>VLOOKUP(Z205,'Im 3B'!$A$2:$C$2280,3,FALSE)</f>
        <v>0</v>
      </c>
      <c r="AB205" s="304" t="str">
        <f>VLOOKUP(Z205,'Im 3B'!$A$2:$D$3548,4,FALSE)</f>
        <v>V</v>
      </c>
      <c r="AC205" s="305">
        <f>IF(AB205="D",VLOOKUP(Z205,'Im 3B'!$A$2:$C$2280,2,FALSE),0)</f>
        <v>0</v>
      </c>
      <c r="AD205" s="305">
        <f>IF(AB205="V",VLOOKUP(Z205,Vtas3B!$A$2:$B$2438,2,FALSE),0)</f>
        <v>25000000</v>
      </c>
    </row>
    <row r="206" spans="2:30" x14ac:dyDescent="0.2">
      <c r="B206" s="304" t="s">
        <v>1537</v>
      </c>
      <c r="C206" s="304">
        <f>VLOOKUP(B206,'Im 1A'!$A$2:$C$1963,3,FALSE)</f>
        <v>0</v>
      </c>
      <c r="D206" s="304" t="str">
        <f>VLOOKUP(B206,'Im 1A'!$A$2:$D$3231,4,FALSE)</f>
        <v>V</v>
      </c>
      <c r="E206" s="305">
        <f>IF(D206="D",VLOOKUP(B206,'Im 1A'!$A$2:$C$1963,2,FALSE),0)</f>
        <v>0</v>
      </c>
      <c r="F206" s="305">
        <f>IF(D206="V",VLOOKUP(B206,Vtas1A!$A$2:$B$2357,2,FALSE),0)</f>
        <v>27000000</v>
      </c>
      <c r="G206" s="306"/>
      <c r="H206" s="304" t="s">
        <v>1446</v>
      </c>
      <c r="I206" s="304">
        <f>VLOOKUP(H206,'Im 1B'!$A$2:$C$1947,3,FALSE)</f>
        <v>0</v>
      </c>
      <c r="J206" s="304" t="str">
        <f>VLOOKUP(H206,'Im 1B'!$A$2:$D$3215,4,FALSE)</f>
        <v>V</v>
      </c>
      <c r="K206" s="305">
        <f>IF(J206="D",VLOOKUP(H206,'Im 1B'!$A$2:$C$1947,2,FALSE),0)</f>
        <v>0</v>
      </c>
      <c r="L206" s="305">
        <f>IF(J206="V",VLOOKUP(H206,Vtas1B!$A$2:$B$2313,2,FALSE),0)</f>
        <v>27000000</v>
      </c>
      <c r="M206" s="307"/>
      <c r="N206" s="505" t="s">
        <v>3054</v>
      </c>
      <c r="O206" s="505">
        <f>VLOOKUP(N206,'Im 2'!$A$2:$C$2278,3,FALSE)</f>
        <v>0</v>
      </c>
      <c r="P206" s="304" t="str">
        <f>VLOOKUP(N206,'Im 2'!$A$2:$D$3546,4,FALSE)</f>
        <v>V</v>
      </c>
      <c r="Q206" s="305">
        <f>IF(P206="D",VLOOKUP(N206,'Im 2'!$A$2:$C$2278,2,FALSE),0)</f>
        <v>0</v>
      </c>
      <c r="R206" s="305">
        <f>IF(P206="V",VLOOKUP(N206,Vtas2!$A$2:$B$2425,2,FALSE),0)</f>
        <v>26000000</v>
      </c>
      <c r="S206" s="307"/>
      <c r="T206" s="304" t="s">
        <v>3472</v>
      </c>
      <c r="U206" s="505">
        <f>VLOOKUP(T206,'Im 3A'!$A$2:$C$2278,3,FALSE)</f>
        <v>0</v>
      </c>
      <c r="V206" s="304" t="str">
        <f>VLOOKUP(T206,'Im 3A'!$A$2:$D$3546,4,FALSE)</f>
        <v>V</v>
      </c>
      <c r="W206" s="305">
        <f>IF(V206="D",VLOOKUP(T206,'Im 3A'!$A$2:$C$2278,2,FALSE),0)</f>
        <v>0</v>
      </c>
      <c r="X206" s="305">
        <f>IF(V206="V",VLOOKUP(T206,Vtas3A!$A$2:$B$2425,2,FALSE),0)</f>
        <v>24000000</v>
      </c>
      <c r="Z206" s="304" t="s">
        <v>1567</v>
      </c>
      <c r="AA206" s="505">
        <f>VLOOKUP(Z206,'Im 3B'!$A$2:$C$2280,3,FALSE)</f>
        <v>0</v>
      </c>
      <c r="AB206" s="304" t="str">
        <f>VLOOKUP(Z206,'Im 3B'!$A$2:$D$3548,4,FALSE)</f>
        <v>V</v>
      </c>
      <c r="AC206" s="305">
        <f>IF(AB206="D",VLOOKUP(Z206,'Im 3B'!$A$2:$C$2280,2,FALSE),0)</f>
        <v>0</v>
      </c>
      <c r="AD206" s="305">
        <f>IF(AB206="V",VLOOKUP(Z206,Vtas3B!$A$2:$B$2438,2,FALSE),0)</f>
        <v>25000000</v>
      </c>
    </row>
    <row r="207" spans="2:30" x14ac:dyDescent="0.2">
      <c r="B207" s="304" t="s">
        <v>1384</v>
      </c>
      <c r="C207" s="304">
        <f>VLOOKUP(B207,'Im 1A'!$A$2:$C$1963,3,FALSE)</f>
        <v>0</v>
      </c>
      <c r="D207" s="304" t="str">
        <f>VLOOKUP(B207,'Im 1A'!$A$2:$D$3231,4,FALSE)</f>
        <v>V</v>
      </c>
      <c r="E207" s="305">
        <f>IF(D207="D",VLOOKUP(B207,'Im 1A'!$A$2:$C$1963,2,FALSE),0)</f>
        <v>0</v>
      </c>
      <c r="F207" s="305">
        <f>IF(D207="V",VLOOKUP(B207,Vtas1A!$A$2:$B$2357,2,FALSE),0)</f>
        <v>27000000</v>
      </c>
      <c r="G207" s="306"/>
      <c r="H207" s="304" t="s">
        <v>3233</v>
      </c>
      <c r="I207" s="304">
        <f>VLOOKUP(H207,'Im 1B'!$A$2:$C$1947,3,FALSE)</f>
        <v>0</v>
      </c>
      <c r="J207" s="304" t="str">
        <f>VLOOKUP(H207,'Im 1B'!$A$2:$D$3215,4,FALSE)</f>
        <v>V</v>
      </c>
      <c r="K207" s="305">
        <f>IF(J207="D",VLOOKUP(H207,'Im 1B'!$A$2:$C$1947,2,FALSE),0)</f>
        <v>0</v>
      </c>
      <c r="L207" s="305">
        <f>IF(J207="V",VLOOKUP(H207,Vtas1B!$A$2:$B$2313,2,FALSE),0)</f>
        <v>22000000</v>
      </c>
      <c r="M207" s="307"/>
      <c r="N207" s="505" t="s">
        <v>4252</v>
      </c>
      <c r="O207" s="505">
        <f>VLOOKUP(N207,'Im 2'!$A$2:$C$2278,3,FALSE)</f>
        <v>0</v>
      </c>
      <c r="P207" s="304" t="str">
        <f>VLOOKUP(N207,'Im 2'!$A$2:$D$3546,4,FALSE)</f>
        <v>V</v>
      </c>
      <c r="Q207" s="305">
        <f>IF(P207="D",VLOOKUP(N207,'Im 2'!$A$2:$C$2278,2,FALSE),0)</f>
        <v>0</v>
      </c>
      <c r="R207" s="305">
        <f>IF(P207="V",VLOOKUP(N207,Vtas2!$A$2:$B$2425,2,FALSE),0)</f>
        <v>26000000</v>
      </c>
      <c r="S207" s="307"/>
      <c r="T207" s="304" t="s">
        <v>4395</v>
      </c>
      <c r="U207" s="505">
        <f>VLOOKUP(T207,'Im 3A'!$A$2:$C$2278,3,FALSE)</f>
        <v>0</v>
      </c>
      <c r="V207" s="304" t="str">
        <f>VLOOKUP(T207,'Im 3A'!$A$2:$D$3546,4,FALSE)</f>
        <v>V</v>
      </c>
      <c r="W207" s="305">
        <f>IF(V207="D",VLOOKUP(T207,'Im 3A'!$A$2:$C$2278,2,FALSE),0)</f>
        <v>0</v>
      </c>
      <c r="X207" s="305">
        <f>IF(V207="V",VLOOKUP(T207,Vtas3A!$A$2:$B$2425,2,FALSE),0)</f>
        <v>24000000</v>
      </c>
      <c r="Z207" s="313" t="s">
        <v>1215</v>
      </c>
      <c r="AA207" s="313">
        <f>++COUNTA(AA116:AA206)</f>
        <v>91</v>
      </c>
      <c r="AB207" s="313"/>
      <c r="AC207" s="315">
        <f>SUM(AC116:AC206)</f>
        <v>200000000</v>
      </c>
      <c r="AD207" s="315">
        <f>SUM(AD116:AD206)</f>
        <v>2085000000</v>
      </c>
    </row>
    <row r="208" spans="2:30" x14ac:dyDescent="0.2">
      <c r="B208" s="304" t="s">
        <v>1316</v>
      </c>
      <c r="C208" s="304">
        <f>VLOOKUP(B208,'Im 1A'!$A$2:$C$1963,3,FALSE)</f>
        <v>0</v>
      </c>
      <c r="D208" s="304" t="str">
        <f>VLOOKUP(B208,'Im 1A'!$A$2:$D$3231,4,FALSE)</f>
        <v>V</v>
      </c>
      <c r="E208" s="305">
        <f>IF(D208="D",VLOOKUP(B208,'Im 1A'!$A$2:$C$1963,2,FALSE),0)</f>
        <v>0</v>
      </c>
      <c r="F208" s="305">
        <f>IF(D208="V",VLOOKUP(B208,Vtas1A!$A$2:$B$2357,2,FALSE),0)</f>
        <v>27000000</v>
      </c>
      <c r="G208" s="306"/>
      <c r="H208" s="304" t="s">
        <v>3027</v>
      </c>
      <c r="I208" s="304">
        <f>VLOOKUP(H208,'Im 1B'!$A$2:$C$1947,3,FALSE)</f>
        <v>0</v>
      </c>
      <c r="J208" s="304" t="str">
        <f>VLOOKUP(H208,'Im 1B'!$A$2:$D$3215,4,FALSE)</f>
        <v>V</v>
      </c>
      <c r="K208" s="305">
        <f>IF(J208="D",VLOOKUP(H208,'Im 1B'!$A$2:$C$1947,2,FALSE),0)</f>
        <v>0</v>
      </c>
      <c r="L208" s="305">
        <f>IF(J208="V",VLOOKUP(H208,Vtas1B!$A$2:$B$2313,2,FALSE),0)</f>
        <v>22000000</v>
      </c>
      <c r="M208" s="307"/>
      <c r="N208" s="505" t="s">
        <v>4253</v>
      </c>
      <c r="O208" s="505">
        <f>VLOOKUP(N208,'Im 2'!$A$2:$C$2278,3,FALSE)</f>
        <v>0</v>
      </c>
      <c r="P208" s="304" t="str">
        <f>VLOOKUP(N208,'Im 2'!$A$2:$D$3546,4,FALSE)</f>
        <v>V</v>
      </c>
      <c r="Q208" s="305">
        <f>IF(P208="D",VLOOKUP(N208,'Im 2'!$A$2:$C$2278,2,FALSE),0)</f>
        <v>0</v>
      </c>
      <c r="R208" s="305">
        <f>IF(P208="V",VLOOKUP(N208,Vtas2!$A$2:$B$2425,2,FALSE),0)</f>
        <v>26000000</v>
      </c>
      <c r="S208" s="307"/>
      <c r="T208" s="304" t="s">
        <v>4314</v>
      </c>
      <c r="U208" s="505">
        <f>VLOOKUP(T208,'Im 3A'!$A$2:$C$2278,3,FALSE)</f>
        <v>0</v>
      </c>
      <c r="V208" s="304" t="str">
        <f>VLOOKUP(T208,'Im 3A'!$A$2:$D$3546,4,FALSE)</f>
        <v>V</v>
      </c>
      <c r="W208" s="305">
        <f>IF(V208="D",VLOOKUP(T208,'Im 3A'!$A$2:$C$2278,2,FALSE),0)</f>
        <v>0</v>
      </c>
      <c r="X208" s="305">
        <f>IF(V208="V",VLOOKUP(T208,Vtas3A!$A$2:$B$2425,2,FALSE),0)</f>
        <v>24000000</v>
      </c>
    </row>
    <row r="209" spans="2:30" x14ac:dyDescent="0.2">
      <c r="B209" s="304" t="s">
        <v>1478</v>
      </c>
      <c r="C209" s="304">
        <f>VLOOKUP(B209,'Im 1A'!$A$2:$C$1963,3,FALSE)</f>
        <v>0</v>
      </c>
      <c r="D209" s="304" t="str">
        <f>VLOOKUP(B209,'Im 1A'!$A$2:$D$3231,4,FALSE)</f>
        <v>V</v>
      </c>
      <c r="E209" s="305">
        <f>IF(D209="D",VLOOKUP(B209,'Im 1A'!$A$2:$C$1963,2,FALSE),0)</f>
        <v>0</v>
      </c>
      <c r="F209" s="305">
        <f>IF(D209="V",VLOOKUP(B209,Vtas1A!$A$2:$B$2357,2,FALSE),0)</f>
        <v>27000000</v>
      </c>
      <c r="G209" s="306"/>
      <c r="H209" s="304" t="s">
        <v>984</v>
      </c>
      <c r="I209" s="304">
        <f>VLOOKUP(H209,'Im 1B'!$A$2:$C$1947,3,FALSE)</f>
        <v>0</v>
      </c>
      <c r="J209" s="304" t="str">
        <f>VLOOKUP(H209,'Im 1B'!$A$2:$D$3215,4,FALSE)</f>
        <v>V</v>
      </c>
      <c r="K209" s="305">
        <f>IF(J209="D",VLOOKUP(H209,'Im 1B'!$A$2:$C$1947,2,FALSE),0)</f>
        <v>0</v>
      </c>
      <c r="L209" s="305">
        <f>IF(J209="V",VLOOKUP(H209,Vtas1B!$A$2:$B$2313,2,FALSE),0)</f>
        <v>22000000</v>
      </c>
      <c r="M209" s="307"/>
      <c r="N209" s="505" t="s">
        <v>3055</v>
      </c>
      <c r="O209" s="505">
        <f>VLOOKUP(N209,'Im 2'!$A$2:$C$2278,3,FALSE)</f>
        <v>0</v>
      </c>
      <c r="P209" s="304" t="str">
        <f>VLOOKUP(N209,'Im 2'!$A$2:$D$3546,4,FALSE)</f>
        <v>V</v>
      </c>
      <c r="Q209" s="305">
        <f>IF(P209="D",VLOOKUP(N209,'Im 2'!$A$2:$C$2278,2,FALSE),0)</f>
        <v>0</v>
      </c>
      <c r="R209" s="305">
        <f>IF(P209="V",VLOOKUP(N209,Vtas2!$A$2:$B$2425,2,FALSE),0)</f>
        <v>26000000</v>
      </c>
      <c r="S209" s="307"/>
      <c r="T209" s="304" t="s">
        <v>3403</v>
      </c>
      <c r="U209" s="505">
        <f>VLOOKUP(T209,'Im 3A'!$A$2:$C$2278,3,FALSE)</f>
        <v>0</v>
      </c>
      <c r="V209" s="304" t="str">
        <f>VLOOKUP(T209,'Im 3A'!$A$2:$D$3546,4,FALSE)</f>
        <v>V</v>
      </c>
      <c r="W209" s="305">
        <f>IF(V209="D",VLOOKUP(T209,'Im 3A'!$A$2:$C$2278,2,FALSE),0)</f>
        <v>0</v>
      </c>
      <c r="X209" s="305">
        <f>IF(V209="V",VLOOKUP(T209,Vtas3A!$A$2:$B$2425,2,FALSE),0)</f>
        <v>24000000</v>
      </c>
      <c r="Z209" s="833" t="s">
        <v>853</v>
      </c>
      <c r="AA209" s="834"/>
      <c r="AB209" s="834"/>
      <c r="AC209" s="834"/>
      <c r="AD209" s="835"/>
    </row>
    <row r="210" spans="2:30" x14ac:dyDescent="0.2">
      <c r="B210" s="304" t="s">
        <v>1350</v>
      </c>
      <c r="C210" s="304">
        <f>VLOOKUP(B210,'Im 1A'!$A$2:$C$1963,3,FALSE)</f>
        <v>0</v>
      </c>
      <c r="D210" s="304" t="str">
        <f>VLOOKUP(B210,'Im 1A'!$A$2:$D$3231,4,FALSE)</f>
        <v>V</v>
      </c>
      <c r="E210" s="305">
        <f>IF(D210="D",VLOOKUP(B210,'Im 1A'!$A$2:$C$1963,2,FALSE),0)</f>
        <v>0</v>
      </c>
      <c r="F210" s="305">
        <f>IF(D210="V",VLOOKUP(B210,Vtas1A!$A$2:$B$2357,2,FALSE),0)</f>
        <v>27000000</v>
      </c>
      <c r="G210" s="306"/>
      <c r="H210" s="304" t="s">
        <v>985</v>
      </c>
      <c r="I210" s="304">
        <f>VLOOKUP(H210,'Im 1B'!$A$2:$C$1947,3,FALSE)</f>
        <v>0</v>
      </c>
      <c r="J210" s="304" t="str">
        <f>VLOOKUP(H210,'Im 1B'!$A$2:$D$3215,4,FALSE)</f>
        <v>V</v>
      </c>
      <c r="K210" s="305">
        <f>IF(J210="D",VLOOKUP(H210,'Im 1B'!$A$2:$C$1947,2,FALSE),0)</f>
        <v>0</v>
      </c>
      <c r="L210" s="305">
        <f>IF(J210="V",VLOOKUP(H210,Vtas1B!$A$2:$B$2313,2,FALSE),0)</f>
        <v>22000000</v>
      </c>
      <c r="M210" s="307"/>
      <c r="N210" s="505" t="s">
        <v>3174</v>
      </c>
      <c r="O210" s="505">
        <f>VLOOKUP(N210,'Im 2'!$A$2:$C$2278,3,FALSE)</f>
        <v>0</v>
      </c>
      <c r="P210" s="304" t="str">
        <f>VLOOKUP(N210,'Im 2'!$A$2:$D$3546,4,FALSE)</f>
        <v>V</v>
      </c>
      <c r="Q210" s="305">
        <f>IF(P210="D",VLOOKUP(N210,'Im 2'!$A$2:$C$2278,2,FALSE),0)</f>
        <v>0</v>
      </c>
      <c r="R210" s="305">
        <f>IF(P210="V",VLOOKUP(N210,Vtas2!$A$2:$B$2425,2,FALSE),0)</f>
        <v>26000000</v>
      </c>
      <c r="S210" s="307"/>
      <c r="T210" s="304" t="s">
        <v>4315</v>
      </c>
      <c r="U210" s="505">
        <f>VLOOKUP(T210,'Im 3A'!$A$2:$C$2278,3,FALSE)</f>
        <v>0</v>
      </c>
      <c r="V210" s="304" t="str">
        <f>VLOOKUP(T210,'Im 3A'!$A$2:$D$3546,4,FALSE)</f>
        <v>V</v>
      </c>
      <c r="W210" s="305">
        <f>IF(V210="D",VLOOKUP(T210,'Im 3A'!$A$2:$C$2278,2,FALSE),0)</f>
        <v>0</v>
      </c>
      <c r="X210" s="305">
        <f>IF(V210="V",VLOOKUP(T210,Vtas3A!$A$2:$B$2425,2,FALSE),0)</f>
        <v>24000000</v>
      </c>
      <c r="Z210" s="311" t="s">
        <v>46</v>
      </c>
      <c r="AA210" s="311" t="s">
        <v>31</v>
      </c>
      <c r="AB210" s="311" t="s">
        <v>47</v>
      </c>
      <c r="AC210" s="311" t="s">
        <v>48</v>
      </c>
      <c r="AD210" s="316" t="s">
        <v>55</v>
      </c>
    </row>
    <row r="211" spans="2:30" x14ac:dyDescent="0.2">
      <c r="B211" s="304" t="s">
        <v>1317</v>
      </c>
      <c r="C211" s="304">
        <f>VLOOKUP(B211,'Im 1A'!$A$2:$C$1963,3,FALSE)</f>
        <v>0</v>
      </c>
      <c r="D211" s="304" t="str">
        <f>VLOOKUP(B211,'Im 1A'!$A$2:$D$3231,4,FALSE)</f>
        <v>V</v>
      </c>
      <c r="E211" s="305">
        <f>IF(D211="D",VLOOKUP(B211,'Im 1A'!$A$2:$C$1963,2,FALSE),0)</f>
        <v>0</v>
      </c>
      <c r="F211" s="305">
        <f>IF(D211="V",VLOOKUP(B211,Vtas1A!$A$2:$B$2357,2,FALSE),0)</f>
        <v>27000000</v>
      </c>
      <c r="G211" s="306"/>
      <c r="H211" s="304" t="s">
        <v>3454</v>
      </c>
      <c r="I211" s="304">
        <f>VLOOKUP(H211,'Im 1B'!$A$2:$C$1947,3,FALSE)</f>
        <v>0</v>
      </c>
      <c r="J211" s="304" t="str">
        <f>VLOOKUP(H211,'Im 1B'!$A$2:$D$3215,4,FALSE)</f>
        <v>V</v>
      </c>
      <c r="K211" s="305">
        <f>IF(J211="D",VLOOKUP(H211,'Im 1B'!$A$2:$C$1947,2,FALSE),0)</f>
        <v>0</v>
      </c>
      <c r="L211" s="305">
        <f>IF(J211="V",VLOOKUP(H211,Vtas1B!$A$2:$B$2313,2,FALSE),0)</f>
        <v>22000000</v>
      </c>
      <c r="M211" s="307"/>
      <c r="N211" s="505" t="s">
        <v>3466</v>
      </c>
      <c r="O211" s="505">
        <f>VLOOKUP(N211,'Im 2'!$A$2:$C$2278,3,FALSE)</f>
        <v>0</v>
      </c>
      <c r="P211" s="304" t="str">
        <f>VLOOKUP(N211,'Im 2'!$A$2:$D$3546,4,FALSE)</f>
        <v>V</v>
      </c>
      <c r="Q211" s="305">
        <f>IF(P211="D",VLOOKUP(N211,'Im 2'!$A$2:$C$2278,2,FALSE),0)</f>
        <v>0</v>
      </c>
      <c r="R211" s="305">
        <f>IF(P211="V",VLOOKUP(N211,Vtas2!$A$2:$B$2425,2,FALSE),0)</f>
        <v>26000000</v>
      </c>
      <c r="S211" s="307"/>
      <c r="T211" s="304" t="s">
        <v>4396</v>
      </c>
      <c r="U211" s="505">
        <f>VLOOKUP(T211,'Im 3A'!$A$2:$C$2278,3,FALSE)</f>
        <v>0</v>
      </c>
      <c r="V211" s="304" t="str">
        <f>VLOOKUP(T211,'Im 3A'!$A$2:$D$3546,4,FALSE)</f>
        <v>V</v>
      </c>
      <c r="W211" s="305">
        <f>IF(V211="D",VLOOKUP(T211,'Im 3A'!$A$2:$C$2278,2,FALSE),0)</f>
        <v>0</v>
      </c>
      <c r="X211" s="305">
        <f>IF(V211="V",VLOOKUP(T211,Vtas3A!$A$2:$B$2425,2,FALSE),0)</f>
        <v>28000000</v>
      </c>
      <c r="Z211" s="304" t="s">
        <v>936</v>
      </c>
      <c r="AA211" s="505">
        <f>VLOOKUP(Z211,'Im 3B'!$A$2:$C$2280,3,FALSE)</f>
        <v>0</v>
      </c>
      <c r="AB211" s="304" t="str">
        <f>VLOOKUP(Z211,'Im 3B'!$A$2:$D$3548,4,FALSE)</f>
        <v>D</v>
      </c>
      <c r="AC211" s="305">
        <f>IF(AB211="D",VLOOKUP(Z211,'Im 3B'!$A$2:$C$2280,2,FALSE),0)</f>
        <v>5000000</v>
      </c>
      <c r="AD211" s="305">
        <f>IF(AB211="V",VLOOKUP(Z211,Vtas3B!$A$2:$B$2438,2,FALSE),0)</f>
        <v>0</v>
      </c>
    </row>
    <row r="212" spans="2:30" x14ac:dyDescent="0.2">
      <c r="B212" s="304" t="s">
        <v>2545</v>
      </c>
      <c r="C212" s="304">
        <f>VLOOKUP(B212,'Im 1A'!$A$2:$C$1963,3,FALSE)</f>
        <v>0</v>
      </c>
      <c r="D212" s="304" t="str">
        <f>VLOOKUP(B212,'Im 1A'!$A$2:$D$3231,4,FALSE)</f>
        <v>V</v>
      </c>
      <c r="E212" s="305">
        <f>IF(D212="D",VLOOKUP(B212,'Im 1A'!$A$2:$C$1963,2,FALSE),0)</f>
        <v>0</v>
      </c>
      <c r="F212" s="305">
        <f>IF(D212="V",VLOOKUP(B212,Vtas1A!$A$2:$B$2357,2,FALSE),0)</f>
        <v>27000000</v>
      </c>
      <c r="H212" s="304" t="s">
        <v>4297</v>
      </c>
      <c r="I212" s="304">
        <f>VLOOKUP(H212,'Im 1B'!$A$2:$C$1947,3,FALSE)</f>
        <v>0</v>
      </c>
      <c r="J212" s="304" t="str">
        <f>VLOOKUP(H212,'Im 1B'!$A$2:$D$3215,4,FALSE)</f>
        <v>V</v>
      </c>
      <c r="K212" s="305">
        <f>IF(J212="D",VLOOKUP(H212,'Im 1B'!$A$2:$C$1947,2,FALSE),0)</f>
        <v>0</v>
      </c>
      <c r="L212" s="305">
        <f>IF(J212="V",VLOOKUP(H212,Vtas1B!$A$2:$B$2313,2,FALSE),0)</f>
        <v>22000000</v>
      </c>
      <c r="N212" s="505" t="s">
        <v>3240</v>
      </c>
      <c r="O212" s="505">
        <f>VLOOKUP(N212,'Im 2'!$A$2:$C$2278,3,FALSE)</f>
        <v>0</v>
      </c>
      <c r="P212" s="304" t="str">
        <f>VLOOKUP(N212,'Im 2'!$A$2:$D$3546,4,FALSE)</f>
        <v>V</v>
      </c>
      <c r="Q212" s="305">
        <f>IF(P212="D",VLOOKUP(N212,'Im 2'!$A$2:$C$2278,2,FALSE),0)</f>
        <v>0</v>
      </c>
      <c r="R212" s="305">
        <f>IF(P212="V",VLOOKUP(N212,Vtas2!$A$2:$B$2425,2,FALSE),0)</f>
        <v>26000000</v>
      </c>
      <c r="T212" s="304" t="s">
        <v>4316</v>
      </c>
      <c r="U212" s="505">
        <f>VLOOKUP(T212,'Im 3A'!$A$2:$C$2278,3,FALSE)</f>
        <v>0</v>
      </c>
      <c r="V212" s="304" t="str">
        <f>VLOOKUP(T212,'Im 3A'!$A$2:$D$3546,4,FALSE)</f>
        <v>V</v>
      </c>
      <c r="W212" s="305">
        <f>IF(V212="D",VLOOKUP(T212,'Im 3A'!$A$2:$C$2278,2,FALSE),0)</f>
        <v>0</v>
      </c>
      <c r="X212" s="305">
        <f>IF(V212="V",VLOOKUP(T212,Vtas3A!$A$2:$B$2425,2,FALSE),0)</f>
        <v>28000000</v>
      </c>
      <c r="Z212" s="304" t="s">
        <v>938</v>
      </c>
      <c r="AA212" s="505">
        <f>VLOOKUP(Z212,'Im 3B'!$A$2:$C$2280,3,FALSE)</f>
        <v>0</v>
      </c>
      <c r="AB212" s="304" t="str">
        <f>VLOOKUP(Z212,'Im 3B'!$A$2:$D$3548,4,FALSE)</f>
        <v>D</v>
      </c>
      <c r="AC212" s="305">
        <f>IF(AB212="D",VLOOKUP(Z212,'Im 3B'!$A$2:$C$2280,2,FALSE),0)</f>
        <v>5000000</v>
      </c>
      <c r="AD212" s="305">
        <f>IF(AB212="V",VLOOKUP(Z212,Vtas3B!$A$2:$B$2438,2,FALSE),0)</f>
        <v>0</v>
      </c>
    </row>
    <row r="213" spans="2:30" x14ac:dyDescent="0.2">
      <c r="B213" s="304" t="s">
        <v>1385</v>
      </c>
      <c r="C213" s="304">
        <f>VLOOKUP(B213,'Im 1A'!$A$2:$C$1963,3,FALSE)</f>
        <v>0</v>
      </c>
      <c r="D213" s="304" t="str">
        <f>VLOOKUP(B213,'Im 1A'!$A$2:$D$3231,4,FALSE)</f>
        <v>V</v>
      </c>
      <c r="E213" s="305">
        <f>IF(D213="D",VLOOKUP(B213,'Im 1A'!$A$2:$C$1963,2,FALSE),0)</f>
        <v>0</v>
      </c>
      <c r="F213" s="305">
        <f>IF(D213="V",VLOOKUP(B213,Vtas1A!$A$2:$B$2357,2,FALSE),0)</f>
        <v>27000000</v>
      </c>
      <c r="H213" s="304" t="s">
        <v>986</v>
      </c>
      <c r="I213" s="304">
        <f>VLOOKUP(H213,'Im 1B'!$A$2:$C$1947,3,FALSE)</f>
        <v>0</v>
      </c>
      <c r="J213" s="304" t="str">
        <f>VLOOKUP(H213,'Im 1B'!$A$2:$D$3215,4,FALSE)</f>
        <v>V</v>
      </c>
      <c r="K213" s="305">
        <f>IF(J213="D",VLOOKUP(H213,'Im 1B'!$A$2:$C$1947,2,FALSE),0)</f>
        <v>0</v>
      </c>
      <c r="L213" s="305">
        <f>IF(J213="V",VLOOKUP(H213,Vtas1B!$A$2:$B$2313,2,FALSE),0)</f>
        <v>22000000</v>
      </c>
      <c r="N213" s="505" t="s">
        <v>2875</v>
      </c>
      <c r="O213" s="505">
        <f>VLOOKUP(N213,'Im 2'!$A$2:$C$2278,3,FALSE)</f>
        <v>0</v>
      </c>
      <c r="P213" s="304" t="str">
        <f>VLOOKUP(N213,'Im 2'!$A$2:$D$3546,4,FALSE)</f>
        <v>V</v>
      </c>
      <c r="Q213" s="305">
        <f>IF(P213="D",VLOOKUP(N213,'Im 2'!$A$2:$C$2278,2,FALSE),0)</f>
        <v>0</v>
      </c>
      <c r="R213" s="305">
        <f>IF(P213="V",VLOOKUP(N213,Vtas2!$A$2:$B$2425,2,FALSE),0)</f>
        <v>26000000</v>
      </c>
      <c r="T213" s="304" t="s">
        <v>4317</v>
      </c>
      <c r="U213" s="505">
        <f>VLOOKUP(T213,'Im 3A'!$A$2:$C$2278,3,FALSE)</f>
        <v>0</v>
      </c>
      <c r="V213" s="304" t="str">
        <f>VLOOKUP(T213,'Im 3A'!$A$2:$D$3546,4,FALSE)</f>
        <v>V</v>
      </c>
      <c r="W213" s="305">
        <f>IF(V213="D",VLOOKUP(T213,'Im 3A'!$A$2:$C$2278,2,FALSE),0)</f>
        <v>0</v>
      </c>
      <c r="X213" s="305">
        <f>IF(V213="V",VLOOKUP(T213,Vtas3A!$A$2:$B$2425,2,FALSE),0)</f>
        <v>28000000</v>
      </c>
      <c r="Z213" s="304" t="s">
        <v>1041</v>
      </c>
      <c r="AA213" s="505">
        <f>VLOOKUP(Z213,'Im 3B'!$A$2:$C$2280,3,FALSE)</f>
        <v>0</v>
      </c>
      <c r="AB213" s="304" t="str">
        <f>VLOOKUP(Z213,'Im 3B'!$A$2:$D$3548,4,FALSE)</f>
        <v>D</v>
      </c>
      <c r="AC213" s="305">
        <f>IF(AB213="D",VLOOKUP(Z213,'Im 3B'!$A$2:$C$2280,2,FALSE),0)</f>
        <v>5000000</v>
      </c>
      <c r="AD213" s="305">
        <f>IF(AB213="V",VLOOKUP(Z213,Vtas3B!$A$2:$B$2438,2,FALSE),0)</f>
        <v>0</v>
      </c>
    </row>
    <row r="214" spans="2:30" x14ac:dyDescent="0.2">
      <c r="B214" s="304" t="s">
        <v>1318</v>
      </c>
      <c r="C214" s="304">
        <f>VLOOKUP(B214,'Im 1A'!$A$2:$C$1963,3,FALSE)</f>
        <v>0</v>
      </c>
      <c r="D214" s="304" t="str">
        <f>VLOOKUP(B214,'Im 1A'!$A$2:$D$3231,4,FALSE)</f>
        <v>V</v>
      </c>
      <c r="E214" s="305">
        <f>IF(D214="D",VLOOKUP(B214,'Im 1A'!$A$2:$C$1963,2,FALSE),0)</f>
        <v>0</v>
      </c>
      <c r="F214" s="305">
        <f>IF(D214="V",VLOOKUP(B214,Vtas1A!$A$2:$B$2357,2,FALSE),0)</f>
        <v>27000000</v>
      </c>
      <c r="H214" s="313" t="s">
        <v>952</v>
      </c>
      <c r="I214" s="313">
        <f>++COUNTA(I116:I213)</f>
        <v>98</v>
      </c>
      <c r="J214" s="313"/>
      <c r="K214" s="315">
        <f>SUM(K116:K213)</f>
        <v>66000000</v>
      </c>
      <c r="L214" s="315">
        <f>SUM(L116:L213)</f>
        <v>2240000000</v>
      </c>
      <c r="M214" s="506"/>
      <c r="N214" s="505" t="s">
        <v>3056</v>
      </c>
      <c r="O214" s="505">
        <f>VLOOKUP(N214,'Im 2'!$A$2:$C$2278,3,FALSE)</f>
        <v>0</v>
      </c>
      <c r="P214" s="304" t="str">
        <f>VLOOKUP(N214,'Im 2'!$A$2:$D$3546,4,FALSE)</f>
        <v>V</v>
      </c>
      <c r="Q214" s="305">
        <f>IF(P214="D",VLOOKUP(N214,'Im 2'!$A$2:$C$2278,2,FALSE),0)</f>
        <v>0</v>
      </c>
      <c r="R214" s="305">
        <f>IF(P214="V",VLOOKUP(N214,Vtas2!$A$2:$B$2425,2,FALSE),0)</f>
        <v>26000000</v>
      </c>
      <c r="S214" s="506"/>
      <c r="T214" s="304" t="s">
        <v>3313</v>
      </c>
      <c r="U214" s="505">
        <f>VLOOKUP(T214,'Im 3A'!$A$2:$C$2278,3,FALSE)</f>
        <v>0</v>
      </c>
      <c r="V214" s="304" t="str">
        <f>VLOOKUP(T214,'Im 3A'!$A$2:$D$3546,4,FALSE)</f>
        <v>V</v>
      </c>
      <c r="W214" s="305">
        <f>IF(V214="D",VLOOKUP(T214,'Im 3A'!$A$2:$C$2278,2,FALSE),0)</f>
        <v>0</v>
      </c>
      <c r="X214" s="305">
        <f>IF(V214="V",VLOOKUP(T214,Vtas3A!$A$2:$B$2425,2,FALSE),0)</f>
        <v>24000000</v>
      </c>
      <c r="Z214" s="304" t="s">
        <v>1606</v>
      </c>
      <c r="AA214" s="505">
        <f>VLOOKUP(Z214,'Im 3B'!$A$2:$C$2280,3,FALSE)</f>
        <v>0</v>
      </c>
      <c r="AB214" s="304" t="str">
        <f>VLOOKUP(Z214,'Im 3B'!$A$2:$D$3548,4,FALSE)</f>
        <v>D</v>
      </c>
      <c r="AC214" s="305">
        <f>IF(AB214="D",VLOOKUP(Z214,'Im 3B'!$A$2:$C$2280,2,FALSE),0)</f>
        <v>5000000</v>
      </c>
      <c r="AD214" s="305">
        <f>IF(AB214="V",VLOOKUP(Z214,Vtas3B!$A$2:$B$2438,2,FALSE),0)</f>
        <v>0</v>
      </c>
    </row>
    <row r="215" spans="2:30" x14ac:dyDescent="0.2">
      <c r="B215" s="304" t="s">
        <v>1438</v>
      </c>
      <c r="C215" s="304">
        <f>VLOOKUP(B215,'Im 1A'!$A$2:$C$1963,3,FALSE)</f>
        <v>0</v>
      </c>
      <c r="D215" s="304" t="str">
        <f>VLOOKUP(B215,'Im 1A'!$A$2:$D$3231,4,FALSE)</f>
        <v>V</v>
      </c>
      <c r="E215" s="305">
        <f>IF(D215="D",VLOOKUP(B215,'Im 1A'!$A$2:$C$1963,2,FALSE),0)</f>
        <v>0</v>
      </c>
      <c r="F215" s="305">
        <f>IF(D215="V",VLOOKUP(B215,Vtas1A!$A$2:$B$2357,2,FALSE),0)</f>
        <v>22000000</v>
      </c>
      <c r="M215" s="506"/>
      <c r="N215" s="505" t="s">
        <v>2876</v>
      </c>
      <c r="O215" s="505">
        <f>VLOOKUP(N215,'Im 2'!$A$2:$C$2278,3,FALSE)</f>
        <v>0</v>
      </c>
      <c r="P215" s="304" t="str">
        <f>VLOOKUP(N215,'Im 2'!$A$2:$D$3546,4,FALSE)</f>
        <v>V</v>
      </c>
      <c r="Q215" s="305">
        <f>IF(P215="D",VLOOKUP(N215,'Im 2'!$A$2:$C$2278,2,FALSE),0)</f>
        <v>0</v>
      </c>
      <c r="R215" s="305">
        <f>IF(P215="V",VLOOKUP(N215,Vtas2!$A$2:$B$2425,2,FALSE),0)</f>
        <v>26000000</v>
      </c>
      <c r="S215" s="506"/>
      <c r="T215" s="304" t="s">
        <v>4318</v>
      </c>
      <c r="U215" s="505">
        <f>VLOOKUP(T215,'Im 3A'!$A$2:$C$2278,3,FALSE)</f>
        <v>0</v>
      </c>
      <c r="V215" s="304" t="str">
        <f>VLOOKUP(T215,'Im 3A'!$A$2:$D$3546,4,FALSE)</f>
        <v>V</v>
      </c>
      <c r="W215" s="305">
        <f>IF(V215="D",VLOOKUP(T215,'Im 3A'!$A$2:$C$2278,2,FALSE),0)</f>
        <v>0</v>
      </c>
      <c r="X215" s="305">
        <f>IF(V215="V",VLOOKUP(T215,Vtas3A!$A$2:$B$2425,2,FALSE),0)</f>
        <v>28000000</v>
      </c>
      <c r="Z215" s="304" t="s">
        <v>2565</v>
      </c>
      <c r="AA215" s="505">
        <f>VLOOKUP(Z215,'Im 3B'!$A$2:$C$2280,3,FALSE)</f>
        <v>0</v>
      </c>
      <c r="AB215" s="304" t="str">
        <f>VLOOKUP(Z215,'Im 3B'!$A$2:$D$3548,4,FALSE)</f>
        <v>D</v>
      </c>
      <c r="AC215" s="305">
        <f>IF(AB215="D",VLOOKUP(Z215,'Im 3B'!$A$2:$C$2280,2,FALSE),0)</f>
        <v>5000000</v>
      </c>
      <c r="AD215" s="305">
        <f>IF(AB215="V",VLOOKUP(Z215,Vtas3B!$A$2:$B$2438,2,FALSE),0)</f>
        <v>0</v>
      </c>
    </row>
    <row r="216" spans="2:30" x14ac:dyDescent="0.2">
      <c r="B216" s="304" t="s">
        <v>1319</v>
      </c>
      <c r="C216" s="304">
        <f>VLOOKUP(B216,'Im 1A'!$A$2:$C$1963,3,FALSE)</f>
        <v>0</v>
      </c>
      <c r="D216" s="304" t="str">
        <f>VLOOKUP(B216,'Im 1A'!$A$2:$D$3231,4,FALSE)</f>
        <v>V</v>
      </c>
      <c r="E216" s="305">
        <f>IF(D216="D",VLOOKUP(B216,'Im 1A'!$A$2:$C$1963,2,FALSE),0)</f>
        <v>0</v>
      </c>
      <c r="F216" s="305">
        <f>IF(D216="V",VLOOKUP(B216,Vtas1A!$A$2:$B$2357,2,FALSE),0)</f>
        <v>27000000</v>
      </c>
      <c r="H216" s="833" t="s">
        <v>953</v>
      </c>
      <c r="I216" s="834"/>
      <c r="J216" s="834"/>
      <c r="K216" s="834"/>
      <c r="L216" s="835"/>
      <c r="M216" s="506"/>
      <c r="N216" s="505" t="s">
        <v>3381</v>
      </c>
      <c r="O216" s="505">
        <f>VLOOKUP(N216,'Im 2'!$A$2:$C$2278,3,FALSE)</f>
        <v>0</v>
      </c>
      <c r="P216" s="304" t="str">
        <f>VLOOKUP(N216,'Im 2'!$A$2:$D$3546,4,FALSE)</f>
        <v>V</v>
      </c>
      <c r="Q216" s="305">
        <f>IF(P216="D",VLOOKUP(N216,'Im 2'!$A$2:$C$2278,2,FALSE),0)</f>
        <v>0</v>
      </c>
      <c r="R216" s="305">
        <f>IF(P216="V",VLOOKUP(N216,Vtas2!$A$2:$B$2425,2,FALSE),0)</f>
        <v>26000000</v>
      </c>
      <c r="S216" s="506"/>
      <c r="T216" s="304" t="s">
        <v>4397</v>
      </c>
      <c r="U216" s="505">
        <f>VLOOKUP(T216,'Im 3A'!$A$2:$C$2278,3,FALSE)</f>
        <v>0</v>
      </c>
      <c r="V216" s="304" t="str">
        <f>VLOOKUP(T216,'Im 3A'!$A$2:$D$3546,4,FALSE)</f>
        <v>V</v>
      </c>
      <c r="W216" s="305">
        <f>IF(V216="D",VLOOKUP(T216,'Im 3A'!$A$2:$C$2278,2,FALSE),0)</f>
        <v>0</v>
      </c>
      <c r="X216" s="305">
        <f>IF(V216="V",VLOOKUP(T216,Vtas3A!$A$2:$B$2425,2,FALSE),0)</f>
        <v>28000000</v>
      </c>
      <c r="Z216" s="304" t="s">
        <v>1461</v>
      </c>
      <c r="AA216" s="505">
        <f>VLOOKUP(Z216,'Im 3B'!$A$2:$C$2280,3,FALSE)</f>
        <v>0</v>
      </c>
      <c r="AB216" s="304" t="str">
        <f>VLOOKUP(Z216,'Im 3B'!$A$2:$D$3548,4,FALSE)</f>
        <v>D</v>
      </c>
      <c r="AC216" s="305">
        <f>IF(AB216="D",VLOOKUP(Z216,'Im 3B'!$A$2:$C$2280,2,FALSE),0)</f>
        <v>5000000</v>
      </c>
      <c r="AD216" s="305">
        <f>IF(AB216="V",VLOOKUP(Z216,Vtas3B!$A$2:$B$2438,2,FALSE),0)</f>
        <v>0</v>
      </c>
    </row>
    <row r="217" spans="2:30" x14ac:dyDescent="0.2">
      <c r="B217" s="304" t="s">
        <v>1683</v>
      </c>
      <c r="C217" s="304">
        <f>VLOOKUP(B217,'Im 1A'!$A$2:$C$1963,3,FALSE)</f>
        <v>0</v>
      </c>
      <c r="D217" s="304" t="str">
        <f>VLOOKUP(B217,'Im 1A'!$A$2:$D$3231,4,FALSE)</f>
        <v>V</v>
      </c>
      <c r="E217" s="305">
        <f>IF(D217="D",VLOOKUP(B217,'Im 1A'!$A$2:$C$1963,2,FALSE),0)</f>
        <v>0</v>
      </c>
      <c r="F217" s="305">
        <f>IF(D217="V",VLOOKUP(B217,Vtas1A!$A$2:$B$2357,2,FALSE),0)</f>
        <v>27000000</v>
      </c>
      <c r="H217" s="311" t="s">
        <v>46</v>
      </c>
      <c r="I217" s="311" t="s">
        <v>31</v>
      </c>
      <c r="J217" s="311" t="s">
        <v>47</v>
      </c>
      <c r="K217" s="311" t="s">
        <v>48</v>
      </c>
      <c r="L217" s="316" t="s">
        <v>55</v>
      </c>
      <c r="M217" s="506"/>
      <c r="N217" s="505" t="s">
        <v>3241</v>
      </c>
      <c r="O217" s="505">
        <f>VLOOKUP(N217,'Im 2'!$A$2:$C$2278,3,FALSE)</f>
        <v>0</v>
      </c>
      <c r="P217" s="304" t="str">
        <f>VLOOKUP(N217,'Im 2'!$A$2:$D$3546,4,FALSE)</f>
        <v>V</v>
      </c>
      <c r="Q217" s="305">
        <f>IF(P217="D",VLOOKUP(N217,'Im 2'!$A$2:$C$2278,2,FALSE),0)</f>
        <v>0</v>
      </c>
      <c r="R217" s="305">
        <f>IF(P217="V",VLOOKUP(N217,Vtas2!$A$2:$B$2425,2,FALSE),0)</f>
        <v>26000000</v>
      </c>
      <c r="S217" s="506"/>
      <c r="T217" s="304" t="s">
        <v>4319</v>
      </c>
      <c r="U217" s="505">
        <f>VLOOKUP(T217,'Im 3A'!$A$2:$C$2278,3,FALSE)</f>
        <v>0</v>
      </c>
      <c r="V217" s="304" t="str">
        <f>VLOOKUP(T217,'Im 3A'!$A$2:$D$3546,4,FALSE)</f>
        <v>V</v>
      </c>
      <c r="W217" s="305">
        <f>IF(V217="D",VLOOKUP(T217,'Im 3A'!$A$2:$C$2278,2,FALSE),0)</f>
        <v>0</v>
      </c>
      <c r="X217" s="305">
        <f>IF(V217="V",VLOOKUP(T217,Vtas3A!$A$2:$B$2425,2,FALSE),0)</f>
        <v>28000000</v>
      </c>
      <c r="Z217" s="304" t="s">
        <v>1463</v>
      </c>
      <c r="AA217" s="505">
        <f>VLOOKUP(Z217,'Im 3B'!$A$2:$C$2280,3,FALSE)</f>
        <v>0</v>
      </c>
      <c r="AB217" s="304" t="str">
        <f>VLOOKUP(Z217,'Im 3B'!$A$2:$D$3548,4,FALSE)</f>
        <v>D</v>
      </c>
      <c r="AC217" s="305">
        <f>IF(AB217="D",VLOOKUP(Z217,'Im 3B'!$A$2:$C$2280,2,FALSE),0)</f>
        <v>5000000</v>
      </c>
      <c r="AD217" s="305">
        <f>IF(AB217="V",VLOOKUP(Z217,Vtas3B!$A$2:$B$2438,2,FALSE),0)</f>
        <v>0</v>
      </c>
    </row>
    <row r="218" spans="2:30" x14ac:dyDescent="0.2">
      <c r="B218" s="304" t="s">
        <v>3014</v>
      </c>
      <c r="C218" s="304">
        <f>VLOOKUP(B218,'Im 1A'!$A$2:$C$1963,3,FALSE)</f>
        <v>0</v>
      </c>
      <c r="D218" s="304" t="str">
        <f>VLOOKUP(B218,'Im 1A'!$A$2:$D$3231,4,FALSE)</f>
        <v>V</v>
      </c>
      <c r="E218" s="305">
        <f>IF(D218="D",VLOOKUP(B218,'Im 1A'!$A$2:$C$1963,2,FALSE),0)</f>
        <v>0</v>
      </c>
      <c r="F218" s="305">
        <f>IF(D218="V",VLOOKUP(B218,Vtas1A!$A$2:$B$2357,2,FALSE),0)</f>
        <v>27000000</v>
      </c>
      <c r="H218" s="304" t="s">
        <v>926</v>
      </c>
      <c r="I218" s="304">
        <f>VLOOKUP(H218,'Im 1B'!$A$2:$C$1947,3,FALSE)</f>
        <v>0</v>
      </c>
      <c r="J218" s="304" t="str">
        <f>VLOOKUP(H218,'Im 1B'!$A$2:$D$3215,4,FALSE)</f>
        <v>D</v>
      </c>
      <c r="K218" s="305">
        <f>IF(J218="D",VLOOKUP(H218,'Im 1B'!$A$2:$C$1947,2,FALSE),0)</f>
        <v>5000000</v>
      </c>
      <c r="L218" s="305">
        <f>IF(J218="V",VLOOKUP(H218,Vtas1B!$A$2:$B$2313,2,FALSE),0)</f>
        <v>0</v>
      </c>
      <c r="M218" s="506"/>
      <c r="N218" s="505" t="s">
        <v>3736</v>
      </c>
      <c r="O218" s="505">
        <f>VLOOKUP(N218,'Im 2'!$A$2:$C$2278,3,FALSE)</f>
        <v>0</v>
      </c>
      <c r="P218" s="304" t="str">
        <f>VLOOKUP(N218,'Im 2'!$A$2:$D$3546,4,FALSE)</f>
        <v>V</v>
      </c>
      <c r="Q218" s="305">
        <f>IF(P218="D",VLOOKUP(N218,'Im 2'!$A$2:$C$2278,2,FALSE),0)</f>
        <v>0</v>
      </c>
      <c r="R218" s="305">
        <f>IF(P218="V",VLOOKUP(N218,Vtas2!$A$2:$B$2425,2,FALSE),0)</f>
        <v>26000000</v>
      </c>
      <c r="S218" s="506"/>
      <c r="T218" s="304" t="s">
        <v>4398</v>
      </c>
      <c r="U218" s="505">
        <f>VLOOKUP(T218,'Im 3A'!$A$2:$C$2278,3,FALSE)</f>
        <v>0</v>
      </c>
      <c r="V218" s="304" t="str">
        <f>VLOOKUP(T218,'Im 3A'!$A$2:$D$3546,4,FALSE)</f>
        <v>V</v>
      </c>
      <c r="W218" s="305">
        <f>IF(V218="D",VLOOKUP(T218,'Im 3A'!$A$2:$C$2278,2,FALSE),0)</f>
        <v>0</v>
      </c>
      <c r="X218" s="305">
        <f>IF(V218="V",VLOOKUP(T218,Vtas3A!$A$2:$B$2425,2,FALSE),0)</f>
        <v>28000000</v>
      </c>
      <c r="Z218" s="304" t="s">
        <v>2600</v>
      </c>
      <c r="AA218" s="505">
        <f>VLOOKUP(Z218,'Im 3B'!$A$2:$C$2280,3,FALSE)</f>
        <v>0</v>
      </c>
      <c r="AB218" s="304" t="str">
        <f>VLOOKUP(Z218,'Im 3B'!$A$2:$D$3548,4,FALSE)</f>
        <v>D</v>
      </c>
      <c r="AC218" s="305">
        <f>IF(AB218="D",VLOOKUP(Z218,'Im 3B'!$A$2:$C$2280,2,FALSE),0)</f>
        <v>5000000</v>
      </c>
      <c r="AD218" s="305">
        <f>IF(AB218="V",VLOOKUP(Z218,Vtas3B!$A$2:$B$2438,2,FALSE),0)</f>
        <v>0</v>
      </c>
    </row>
    <row r="219" spans="2:30" x14ac:dyDescent="0.2">
      <c r="B219" s="304" t="s">
        <v>2252</v>
      </c>
      <c r="C219" s="304">
        <f>VLOOKUP(B219,'Im 1A'!$A$2:$C$1963,3,FALSE)</f>
        <v>0</v>
      </c>
      <c r="D219" s="304" t="str">
        <f>VLOOKUP(B219,'Im 1A'!$A$2:$D$3231,4,FALSE)</f>
        <v>V</v>
      </c>
      <c r="E219" s="305">
        <f>IF(D219="D",VLOOKUP(B219,'Im 1A'!$A$2:$C$1963,2,FALSE),0)</f>
        <v>0</v>
      </c>
      <c r="F219" s="305">
        <f>IF(D219="V",VLOOKUP(B219,Vtas1A!$A$2:$B$2357,2,FALSE),0)</f>
        <v>22000000</v>
      </c>
      <c r="H219" s="304" t="s">
        <v>927</v>
      </c>
      <c r="I219" s="304">
        <f>VLOOKUP(H219,'Im 1B'!$A$2:$C$1947,3,FALSE)</f>
        <v>0</v>
      </c>
      <c r="J219" s="304" t="str">
        <f>VLOOKUP(H219,'Im 1B'!$A$2:$D$3215,4,FALSE)</f>
        <v>D</v>
      </c>
      <c r="K219" s="305">
        <f>IF(J219="D",VLOOKUP(H219,'Im 1B'!$A$2:$C$1947,2,FALSE),0)</f>
        <v>5000000</v>
      </c>
      <c r="L219" s="305">
        <f>IF(J219="V",VLOOKUP(H219,Vtas1B!$A$2:$B$2313,2,FALSE),0)</f>
        <v>0</v>
      </c>
      <c r="M219" s="506"/>
      <c r="N219" s="505" t="s">
        <v>2877</v>
      </c>
      <c r="O219" s="505">
        <f>VLOOKUP(N219,'Im 2'!$A$2:$C$2278,3,FALSE)</f>
        <v>0</v>
      </c>
      <c r="P219" s="304" t="str">
        <f>VLOOKUP(N219,'Im 2'!$A$2:$D$3546,4,FALSE)</f>
        <v>V</v>
      </c>
      <c r="Q219" s="305">
        <f>IF(P219="D",VLOOKUP(N219,'Im 2'!$A$2:$C$2278,2,FALSE),0)</f>
        <v>0</v>
      </c>
      <c r="R219" s="305">
        <f>IF(P219="V",VLOOKUP(N219,Vtas2!$A$2:$B$2425,2,FALSE),0)</f>
        <v>26000000</v>
      </c>
      <c r="S219" s="506"/>
      <c r="T219" s="304" t="s">
        <v>4399</v>
      </c>
      <c r="U219" s="505">
        <f>VLOOKUP(T219,'Im 3A'!$A$2:$C$2278,3,FALSE)</f>
        <v>0</v>
      </c>
      <c r="V219" s="304" t="str">
        <f>VLOOKUP(T219,'Im 3A'!$A$2:$D$3546,4,FALSE)</f>
        <v>V</v>
      </c>
      <c r="W219" s="305">
        <f>IF(V219="D",VLOOKUP(T219,'Im 3A'!$A$2:$C$2278,2,FALSE),0)</f>
        <v>0</v>
      </c>
      <c r="X219" s="305">
        <f>IF(V219="V",VLOOKUP(T219,Vtas3A!$A$2:$B$2425,2,FALSE),0)</f>
        <v>28000000</v>
      </c>
      <c r="Z219" s="304" t="s">
        <v>1695</v>
      </c>
      <c r="AA219" s="505">
        <f>VLOOKUP(Z219,'Im 3B'!$A$2:$C$2280,3,FALSE)</f>
        <v>0</v>
      </c>
      <c r="AB219" s="304" t="str">
        <f>VLOOKUP(Z219,'Im 3B'!$A$2:$D$3548,4,FALSE)</f>
        <v>D</v>
      </c>
      <c r="AC219" s="305">
        <f>IF(AB219="D",VLOOKUP(Z219,'Im 3B'!$A$2:$C$2280,2,FALSE),0)</f>
        <v>5000000</v>
      </c>
      <c r="AD219" s="305">
        <f>IF(AB219="V",VLOOKUP(Z219,Vtas3B!$A$2:$B$2438,2,FALSE),0)</f>
        <v>0</v>
      </c>
    </row>
    <row r="220" spans="2:30" x14ac:dyDescent="0.2">
      <c r="B220" s="304" t="s">
        <v>1320</v>
      </c>
      <c r="C220" s="304">
        <f>VLOOKUP(B220,'Im 1A'!$A$2:$C$1963,3,FALSE)</f>
        <v>0</v>
      </c>
      <c r="D220" s="304" t="str">
        <f>VLOOKUP(B220,'Im 1A'!$A$2:$D$3231,4,FALSE)</f>
        <v>V</v>
      </c>
      <c r="E220" s="305">
        <f>IF(D220="D",VLOOKUP(B220,'Im 1A'!$A$2:$C$1963,2,FALSE),0)</f>
        <v>0</v>
      </c>
      <c r="F220" s="305">
        <f>IF(D220="V",VLOOKUP(B220,Vtas1A!$A$2:$B$2357,2,FALSE),0)</f>
        <v>22000000</v>
      </c>
      <c r="H220" s="304" t="s">
        <v>928</v>
      </c>
      <c r="I220" s="304">
        <f>VLOOKUP(H220,'Im 1B'!$A$2:$C$1947,3,FALSE)</f>
        <v>0</v>
      </c>
      <c r="J220" s="304" t="str">
        <f>VLOOKUP(H220,'Im 1B'!$A$2:$D$3215,4,FALSE)</f>
        <v>D</v>
      </c>
      <c r="K220" s="305">
        <f>IF(J220="D",VLOOKUP(H220,'Im 1B'!$A$2:$C$1947,2,FALSE),0)</f>
        <v>5000000</v>
      </c>
      <c r="L220" s="305">
        <f>IF(J220="V",VLOOKUP(H220,Vtas1B!$A$2:$B$2313,2,FALSE),0)</f>
        <v>0</v>
      </c>
      <c r="M220" s="506"/>
      <c r="N220" s="505" t="s">
        <v>3175</v>
      </c>
      <c r="O220" s="505">
        <f>VLOOKUP(N220,'Im 2'!$A$2:$C$2278,3,FALSE)</f>
        <v>0</v>
      </c>
      <c r="P220" s="304" t="str">
        <f>VLOOKUP(N220,'Im 2'!$A$2:$D$3546,4,FALSE)</f>
        <v>V</v>
      </c>
      <c r="Q220" s="305">
        <f>IF(P220="D",VLOOKUP(N220,'Im 2'!$A$2:$C$2278,2,FALSE),0)</f>
        <v>0</v>
      </c>
      <c r="R220" s="305">
        <f>IF(P220="V",VLOOKUP(N220,Vtas2!$A$2:$B$2425,2,FALSE),0)</f>
        <v>26000000</v>
      </c>
      <c r="S220" s="506"/>
      <c r="T220" s="304" t="s">
        <v>4320</v>
      </c>
      <c r="U220" s="505">
        <f>VLOOKUP(T220,'Im 3A'!$A$2:$C$2278,3,FALSE)</f>
        <v>0</v>
      </c>
      <c r="V220" s="304" t="str">
        <f>VLOOKUP(T220,'Im 3A'!$A$2:$D$3546,4,FALSE)</f>
        <v>V</v>
      </c>
      <c r="W220" s="305">
        <f>IF(V220="D",VLOOKUP(T220,'Im 3A'!$A$2:$C$2278,2,FALSE),0)</f>
        <v>0</v>
      </c>
      <c r="X220" s="305">
        <f>IF(V220="V",VLOOKUP(T220,Vtas3A!$A$2:$B$2425,2,FALSE),0)</f>
        <v>23000000</v>
      </c>
      <c r="Z220" s="304" t="s">
        <v>3897</v>
      </c>
      <c r="AA220" s="505">
        <f>VLOOKUP(Z220,'Im 3B'!$A$2:$C$2280,3,FALSE)</f>
        <v>0</v>
      </c>
      <c r="AB220" s="304" t="str">
        <f>VLOOKUP(Z220,'Im 3B'!$A$2:$D$3548,4,FALSE)</f>
        <v>V</v>
      </c>
      <c r="AC220" s="305">
        <f>IF(AB220="D",VLOOKUP(Z220,'Im 3B'!$A$2:$C$2280,2,FALSE),0)</f>
        <v>0</v>
      </c>
      <c r="AD220" s="305">
        <f>IF(AB220="V",VLOOKUP(Z220,Vtas3B!$A$2:$B$2438,2,FALSE),0)</f>
        <v>5000000</v>
      </c>
    </row>
    <row r="221" spans="2:30" x14ac:dyDescent="0.2">
      <c r="B221" s="304" t="s">
        <v>1351</v>
      </c>
      <c r="C221" s="304">
        <f>VLOOKUP(B221,'Im 1A'!$A$2:$C$1963,3,FALSE)</f>
        <v>0</v>
      </c>
      <c r="D221" s="304" t="str">
        <f>VLOOKUP(B221,'Im 1A'!$A$2:$D$3231,4,FALSE)</f>
        <v>V</v>
      </c>
      <c r="E221" s="305">
        <f>IF(D221="D",VLOOKUP(B221,'Im 1A'!$A$2:$C$1963,2,FALSE),0)</f>
        <v>0</v>
      </c>
      <c r="F221" s="305">
        <f>IF(D221="V",VLOOKUP(B221,Vtas1A!$A$2:$B$2357,2,FALSE),0)</f>
        <v>22000000</v>
      </c>
      <c r="H221" s="304" t="s">
        <v>929</v>
      </c>
      <c r="I221" s="304">
        <f>VLOOKUP(H221,'Im 1B'!$A$2:$C$1947,3,FALSE)</f>
        <v>0</v>
      </c>
      <c r="J221" s="304" t="str">
        <f>VLOOKUP(H221,'Im 1B'!$A$2:$D$3215,4,FALSE)</f>
        <v>D</v>
      </c>
      <c r="K221" s="305">
        <f>IF(J221="D",VLOOKUP(H221,'Im 1B'!$A$2:$C$1947,2,FALSE),0)</f>
        <v>5000000</v>
      </c>
      <c r="L221" s="305">
        <f>IF(J221="V",VLOOKUP(H221,Vtas1B!$A$2:$B$2313,2,FALSE),0)</f>
        <v>0</v>
      </c>
      <c r="M221" s="526"/>
      <c r="N221" s="505" t="s">
        <v>3176</v>
      </c>
      <c r="O221" s="505">
        <f>VLOOKUP(N221,'Im 2'!$A$2:$C$2278,3,FALSE)</f>
        <v>0</v>
      </c>
      <c r="P221" s="304" t="str">
        <f>VLOOKUP(N221,'Im 2'!$A$2:$D$3546,4,FALSE)</f>
        <v>V</v>
      </c>
      <c r="Q221" s="305">
        <f>IF(P221="D",VLOOKUP(N221,'Im 2'!$A$2:$C$2278,2,FALSE),0)</f>
        <v>0</v>
      </c>
      <c r="R221" s="305">
        <f>IF(P221="V",VLOOKUP(N221,Vtas2!$A$2:$B$2425,2,FALSE),0)</f>
        <v>26000000</v>
      </c>
      <c r="S221" s="526"/>
      <c r="T221" s="304" t="s">
        <v>3473</v>
      </c>
      <c r="U221" s="505">
        <f>VLOOKUP(T221,'Im 3A'!$A$2:$C$2278,3,FALSE)</f>
        <v>0</v>
      </c>
      <c r="V221" s="304" t="str">
        <f>VLOOKUP(T221,'Im 3A'!$A$2:$D$3546,4,FALSE)</f>
        <v>V</v>
      </c>
      <c r="W221" s="305">
        <f>IF(V221="D",VLOOKUP(T221,'Im 3A'!$A$2:$C$2278,2,FALSE),0)</f>
        <v>0</v>
      </c>
      <c r="X221" s="305">
        <f>IF(V221="V",VLOOKUP(T221,Vtas3A!$A$2:$B$2425,2,FALSE),0)</f>
        <v>24000000</v>
      </c>
      <c r="Z221" s="304" t="s">
        <v>4005</v>
      </c>
      <c r="AA221" s="505">
        <f>VLOOKUP(Z221,'Im 3B'!$A$2:$C$2280,3,FALSE)</f>
        <v>0</v>
      </c>
      <c r="AB221" s="304" t="str">
        <f>VLOOKUP(Z221,'Im 3B'!$A$2:$D$3548,4,FALSE)</f>
        <v>V</v>
      </c>
      <c r="AC221" s="305">
        <f>IF(AB221="D",VLOOKUP(Z221,'Im 3B'!$A$2:$C$2280,2,FALSE),0)</f>
        <v>0</v>
      </c>
      <c r="AD221" s="305">
        <f>IF(AB221="V",VLOOKUP(Z221,Vtas3B!$A$2:$B$2438,2,FALSE),0)</f>
        <v>5000000</v>
      </c>
    </row>
    <row r="222" spans="2:30" x14ac:dyDescent="0.2">
      <c r="B222" s="304" t="s">
        <v>1386</v>
      </c>
      <c r="C222" s="304">
        <f>VLOOKUP(B222,'Im 1A'!$A$2:$C$1963,3,FALSE)</f>
        <v>0</v>
      </c>
      <c r="D222" s="304" t="str">
        <f>VLOOKUP(B222,'Im 1A'!$A$2:$D$3231,4,FALSE)</f>
        <v>V</v>
      </c>
      <c r="E222" s="305">
        <f>IF(D222="D",VLOOKUP(B222,'Im 1A'!$A$2:$C$1963,2,FALSE),0)</f>
        <v>0</v>
      </c>
      <c r="F222" s="305">
        <f>IF(D222="V",VLOOKUP(B222,Vtas1A!$A$2:$B$2357,2,FALSE),0)</f>
        <v>22000000</v>
      </c>
      <c r="H222" s="304" t="s">
        <v>930</v>
      </c>
      <c r="I222" s="304">
        <f>VLOOKUP(H222,'Im 1B'!$A$2:$C$1947,3,FALSE)</f>
        <v>0</v>
      </c>
      <c r="J222" s="304" t="str">
        <f>VLOOKUP(H222,'Im 1B'!$A$2:$D$3215,4,FALSE)</f>
        <v>D</v>
      </c>
      <c r="K222" s="305">
        <f>IF(J222="D",VLOOKUP(H222,'Im 1B'!$A$2:$C$1947,2,FALSE),0)</f>
        <v>5000000</v>
      </c>
      <c r="L222" s="305">
        <f>IF(J222="V",VLOOKUP(H222,Vtas1B!$A$2:$B$2313,2,FALSE),0)</f>
        <v>0</v>
      </c>
      <c r="N222" s="505" t="s">
        <v>3382</v>
      </c>
      <c r="O222" s="505">
        <f>VLOOKUP(N222,'Im 2'!$A$2:$C$2278,3,FALSE)</f>
        <v>0</v>
      </c>
      <c r="P222" s="304" t="str">
        <f>VLOOKUP(N222,'Im 2'!$A$2:$D$3546,4,FALSE)</f>
        <v>V</v>
      </c>
      <c r="Q222" s="305">
        <f>IF(P222="D",VLOOKUP(N222,'Im 2'!$A$2:$C$2278,2,FALSE),0)</f>
        <v>0</v>
      </c>
      <c r="R222" s="305">
        <f>IF(P222="V",VLOOKUP(N222,Vtas2!$A$2:$B$2425,2,FALSE),0)</f>
        <v>26000000</v>
      </c>
      <c r="T222" s="526" t="s">
        <v>4321</v>
      </c>
      <c r="U222" s="505">
        <f>VLOOKUP(T222,'Im 3A'!$A$2:$C$2278,3,FALSE)</f>
        <v>0</v>
      </c>
      <c r="V222" s="304" t="str">
        <f>VLOOKUP(T222,'Im 3A'!$A$2:$D$3546,4,FALSE)</f>
        <v>V</v>
      </c>
      <c r="W222" s="305">
        <f>IF(V222="D",VLOOKUP(T222,'Im 3A'!$A$2:$C$2278,2,FALSE),0)</f>
        <v>0</v>
      </c>
      <c r="X222" s="305">
        <f>IF(V222="V",VLOOKUP(T222,Vtas3A!$A$2:$B$2425,2,FALSE),0)</f>
        <v>23000000</v>
      </c>
      <c r="Z222" s="304" t="s">
        <v>2598</v>
      </c>
      <c r="AA222" s="505">
        <f>VLOOKUP(Z222,'Im 3B'!$A$2:$C$2280,3,FALSE)</f>
        <v>0</v>
      </c>
      <c r="AB222" s="304" t="str">
        <f>VLOOKUP(Z222,'Im 3B'!$A$2:$D$3548,4,FALSE)</f>
        <v>V</v>
      </c>
      <c r="AC222" s="305">
        <f>IF(AB222="D",VLOOKUP(Z222,'Im 3B'!$A$2:$C$2280,2,FALSE),0)</f>
        <v>0</v>
      </c>
      <c r="AD222" s="305">
        <f>IF(AB222="V",VLOOKUP(Z222,Vtas3B!$A$2:$B$2438,2,FALSE),0)</f>
        <v>5000000</v>
      </c>
    </row>
    <row r="223" spans="2:30" x14ac:dyDescent="0.2">
      <c r="B223" s="304" t="s">
        <v>3442</v>
      </c>
      <c r="C223" s="304">
        <f>VLOOKUP(B223,'Im 1A'!$A$2:$C$1963,3,FALSE)</f>
        <v>0</v>
      </c>
      <c r="D223" s="304" t="str">
        <f>VLOOKUP(B223,'Im 1A'!$A$2:$D$3231,4,FALSE)</f>
        <v>V</v>
      </c>
      <c r="E223" s="305">
        <f>IF(D223="D",VLOOKUP(B223,'Im 1A'!$A$2:$C$1963,2,FALSE),0)</f>
        <v>0</v>
      </c>
      <c r="F223" s="305">
        <f>IF(D223="V",VLOOKUP(B223,Vtas1A!$A$2:$B$2357,2,FALSE),0)</f>
        <v>22000000</v>
      </c>
      <c r="H223" s="304" t="s">
        <v>931</v>
      </c>
      <c r="I223" s="304">
        <f>VLOOKUP(H223,'Im 1B'!$A$2:$C$1947,3,FALSE)</f>
        <v>0</v>
      </c>
      <c r="J223" s="304" t="str">
        <f>VLOOKUP(H223,'Im 1B'!$A$2:$D$3215,4,FALSE)</f>
        <v>D</v>
      </c>
      <c r="K223" s="305">
        <f>IF(J223="D",VLOOKUP(H223,'Im 1B'!$A$2:$C$1947,2,FALSE),0)</f>
        <v>5000000</v>
      </c>
      <c r="L223" s="305">
        <f>IF(J223="V",VLOOKUP(H223,Vtas1B!$A$2:$B$2313,2,FALSE),0)</f>
        <v>0</v>
      </c>
      <c r="N223" s="505" t="s">
        <v>3304</v>
      </c>
      <c r="O223" s="505">
        <f>VLOOKUP(N223,'Im 2'!$A$2:$C$2278,3,FALSE)</f>
        <v>0</v>
      </c>
      <c r="P223" s="304" t="str">
        <f>VLOOKUP(N223,'Im 2'!$A$2:$D$3546,4,FALSE)</f>
        <v>V</v>
      </c>
      <c r="Q223" s="305">
        <f>IF(P223="D",VLOOKUP(N223,'Im 2'!$A$2:$C$2278,2,FALSE),0)</f>
        <v>0</v>
      </c>
      <c r="R223" s="305">
        <f>IF(P223="V",VLOOKUP(N223,Vtas2!$A$2:$B$2425,2,FALSE),0)</f>
        <v>26000000</v>
      </c>
      <c r="T223" s="304" t="s">
        <v>3314</v>
      </c>
      <c r="U223" s="505">
        <f>VLOOKUP(T223,'Im 3A'!$A$2:$C$2278,3,FALSE)</f>
        <v>0</v>
      </c>
      <c r="V223" s="304" t="str">
        <f>VLOOKUP(T223,'Im 3A'!$A$2:$D$3546,4,FALSE)</f>
        <v>V</v>
      </c>
      <c r="W223" s="305">
        <f>IF(V223="D",VLOOKUP(T223,'Im 3A'!$A$2:$C$2278,2,FALSE),0)</f>
        <v>0</v>
      </c>
      <c r="X223" s="305">
        <f>IF(V223="V",VLOOKUP(T223,Vtas3A!$A$2:$B$2425,2,FALSE),0)</f>
        <v>23000000</v>
      </c>
      <c r="Z223" s="304" t="s">
        <v>3319</v>
      </c>
      <c r="AA223" s="505">
        <f>VLOOKUP(Z223,'Im 3B'!$A$2:$C$2280,3,FALSE)</f>
        <v>0</v>
      </c>
      <c r="AB223" s="304" t="str">
        <f>VLOOKUP(Z223,'Im 3B'!$A$2:$D$3548,4,FALSE)</f>
        <v>V</v>
      </c>
      <c r="AC223" s="305">
        <f>IF(AB223="D",VLOOKUP(Z223,'Im 3B'!$A$2:$C$2280,2,FALSE),0)</f>
        <v>0</v>
      </c>
      <c r="AD223" s="305">
        <f>IF(AB223="V",VLOOKUP(Z223,Vtas3B!$A$2:$B$2438,2,FALSE),0)</f>
        <v>5000000</v>
      </c>
    </row>
    <row r="224" spans="2:30" x14ac:dyDescent="0.2">
      <c r="B224" s="304" t="s">
        <v>1352</v>
      </c>
      <c r="C224" s="304">
        <f>VLOOKUP(B224,'Im 1A'!$A$2:$C$1963,3,FALSE)</f>
        <v>0</v>
      </c>
      <c r="D224" s="304" t="str">
        <f>VLOOKUP(B224,'Im 1A'!$A$2:$D$3231,4,FALSE)</f>
        <v>V</v>
      </c>
      <c r="E224" s="305">
        <f>IF(D224="D",VLOOKUP(B224,'Im 1A'!$A$2:$C$1963,2,FALSE),0)</f>
        <v>0</v>
      </c>
      <c r="F224" s="305">
        <f>IF(D224="V",VLOOKUP(B224,Vtas1A!$A$2:$B$2357,2,FALSE),0)</f>
        <v>22000000</v>
      </c>
      <c r="H224" s="304" t="s">
        <v>932</v>
      </c>
      <c r="I224" s="304">
        <f>VLOOKUP(H224,'Im 1B'!$A$2:$C$1947,3,FALSE)</f>
        <v>0</v>
      </c>
      <c r="J224" s="304" t="str">
        <f>VLOOKUP(H224,'Im 1B'!$A$2:$D$3215,4,FALSE)</f>
        <v>D</v>
      </c>
      <c r="K224" s="305">
        <f>IF(J224="D",VLOOKUP(H224,'Im 1B'!$A$2:$C$1947,2,FALSE),0)</f>
        <v>5000000</v>
      </c>
      <c r="L224" s="305">
        <f>IF(J224="V",VLOOKUP(H224,Vtas1B!$A$2:$B$2313,2,FALSE),0)</f>
        <v>0</v>
      </c>
      <c r="N224" s="505" t="s">
        <v>2878</v>
      </c>
      <c r="O224" s="505">
        <f>VLOOKUP(N224,'Im 2'!$A$2:$C$2278,3,FALSE)</f>
        <v>0</v>
      </c>
      <c r="P224" s="304" t="str">
        <f>VLOOKUP(N224,'Im 2'!$A$2:$D$3546,4,FALSE)</f>
        <v>V</v>
      </c>
      <c r="Q224" s="305">
        <f>IF(P224="D",VLOOKUP(N224,'Im 2'!$A$2:$C$2278,2,FALSE),0)</f>
        <v>0</v>
      </c>
      <c r="R224" s="305">
        <f>IF(P224="V",VLOOKUP(N224,Vtas2!$A$2:$B$2425,2,FALSE),0)</f>
        <v>26000000</v>
      </c>
      <c r="T224" s="304" t="s">
        <v>4322</v>
      </c>
      <c r="U224" s="505">
        <f>VLOOKUP(T224,'Im 3A'!$A$2:$C$2278,3,FALSE)</f>
        <v>0</v>
      </c>
      <c r="V224" s="304" t="str">
        <f>VLOOKUP(T224,'Im 3A'!$A$2:$D$3546,4,FALSE)</f>
        <v>V</v>
      </c>
      <c r="W224" s="305">
        <f>IF(V224="D",VLOOKUP(T224,'Im 3A'!$A$2:$C$2278,2,FALSE),0)</f>
        <v>0</v>
      </c>
      <c r="X224" s="305">
        <f>IF(V224="V",VLOOKUP(T224,Vtas3A!$A$2:$B$2425,2,FALSE),0)</f>
        <v>23000000</v>
      </c>
      <c r="Z224" s="304" t="s">
        <v>2644</v>
      </c>
      <c r="AA224" s="505">
        <f>VLOOKUP(Z224,'Im 3B'!$A$2:$C$2280,3,FALSE)</f>
        <v>0</v>
      </c>
      <c r="AB224" s="304" t="str">
        <f>VLOOKUP(Z224,'Im 3B'!$A$2:$D$3548,4,FALSE)</f>
        <v>V</v>
      </c>
      <c r="AC224" s="305">
        <f>IF(AB224="D",VLOOKUP(Z224,'Im 3B'!$A$2:$C$2280,2,FALSE),0)</f>
        <v>0</v>
      </c>
      <c r="AD224" s="305">
        <f>IF(AB224="V",VLOOKUP(Z224,Vtas3B!$A$2:$B$2438,2,FALSE),0)</f>
        <v>5000000</v>
      </c>
    </row>
    <row r="225" spans="2:30" x14ac:dyDescent="0.2">
      <c r="B225" s="304" t="s">
        <v>1486</v>
      </c>
      <c r="C225" s="304">
        <f>VLOOKUP(B225,'Im 1A'!$A$2:$C$1963,3,FALSE)</f>
        <v>0</v>
      </c>
      <c r="D225" s="304" t="str">
        <f>VLOOKUP(B225,'Im 1A'!$A$2:$D$3231,4,FALSE)</f>
        <v>V</v>
      </c>
      <c r="E225" s="305">
        <f>IF(D225="D",VLOOKUP(B225,'Im 1A'!$A$2:$C$1963,2,FALSE),0)</f>
        <v>0</v>
      </c>
      <c r="F225" s="305">
        <f>IF(D225="V",VLOOKUP(B225,Vtas1A!$A$2:$B$2357,2,FALSE),0)</f>
        <v>22000000</v>
      </c>
      <c r="H225" s="304" t="s">
        <v>933</v>
      </c>
      <c r="I225" s="304">
        <f>VLOOKUP(H225,'Im 1B'!$A$2:$C$1947,3,FALSE)</f>
        <v>0</v>
      </c>
      <c r="J225" s="304" t="str">
        <f>VLOOKUP(H225,'Im 1B'!$A$2:$D$3215,4,FALSE)</f>
        <v>D</v>
      </c>
      <c r="K225" s="305">
        <f>IF(J225="D",VLOOKUP(H225,'Im 1B'!$A$2:$C$1947,2,FALSE),0)</f>
        <v>5000000</v>
      </c>
      <c r="L225" s="305">
        <f>IF(J225="V",VLOOKUP(H225,Vtas1B!$A$2:$B$2313,2,FALSE),0)</f>
        <v>0</v>
      </c>
      <c r="N225" s="505" t="s">
        <v>3383</v>
      </c>
      <c r="O225" s="505">
        <f>VLOOKUP(N225,'Im 2'!$A$2:$C$2278,3,FALSE)</f>
        <v>0</v>
      </c>
      <c r="P225" s="304" t="str">
        <f>VLOOKUP(N225,'Im 2'!$A$2:$D$3546,4,FALSE)</f>
        <v>V</v>
      </c>
      <c r="Q225" s="305">
        <f>IF(P225="D",VLOOKUP(N225,'Im 2'!$A$2:$C$2278,2,FALSE),0)</f>
        <v>0</v>
      </c>
      <c r="R225" s="305">
        <f>IF(P225="V",VLOOKUP(N225,Vtas2!$A$2:$B$2425,2,FALSE),0)</f>
        <v>26000000</v>
      </c>
      <c r="T225" s="304" t="s">
        <v>4400</v>
      </c>
      <c r="U225" s="505">
        <f>VLOOKUP(T225,'Im 3A'!$A$2:$C$2278,3,FALSE)</f>
        <v>0</v>
      </c>
      <c r="V225" s="304" t="str">
        <f>VLOOKUP(T225,'Im 3A'!$A$2:$D$3546,4,FALSE)</f>
        <v>V</v>
      </c>
      <c r="W225" s="305">
        <f>IF(V225="D",VLOOKUP(T225,'Im 3A'!$A$2:$C$2278,2,FALSE),0)</f>
        <v>0</v>
      </c>
      <c r="X225" s="305">
        <f>IF(V225="V",VLOOKUP(T225,Vtas3A!$A$2:$B$2425,2,FALSE),0)</f>
        <v>29000000</v>
      </c>
      <c r="Z225" s="304" t="s">
        <v>4006</v>
      </c>
      <c r="AA225" s="505">
        <f>VLOOKUP(Z225,'Im 3B'!$A$2:$C$2280,3,FALSE)</f>
        <v>0</v>
      </c>
      <c r="AB225" s="304" t="str">
        <f>VLOOKUP(Z225,'Im 3B'!$A$2:$D$3548,4,FALSE)</f>
        <v>V</v>
      </c>
      <c r="AC225" s="305">
        <f>IF(AB225="D",VLOOKUP(Z225,'Im 3B'!$A$2:$C$2280,2,FALSE),0)</f>
        <v>0</v>
      </c>
      <c r="AD225" s="305">
        <f>IF(AB225="V",VLOOKUP(Z225,Vtas3B!$A$2:$B$2438,2,FALSE),0)</f>
        <v>5000000</v>
      </c>
    </row>
    <row r="226" spans="2:30" x14ac:dyDescent="0.2">
      <c r="B226" s="304" t="s">
        <v>2546</v>
      </c>
      <c r="C226" s="304">
        <f>VLOOKUP(B226,'Im 1A'!$A$2:$C$1963,3,FALSE)</f>
        <v>0</v>
      </c>
      <c r="D226" s="304" t="str">
        <f>VLOOKUP(B226,'Im 1A'!$A$2:$D$3231,4,FALSE)</f>
        <v>V</v>
      </c>
      <c r="E226" s="305">
        <f>IF(D226="D",VLOOKUP(B226,'Im 1A'!$A$2:$C$1963,2,FALSE),0)</f>
        <v>0</v>
      </c>
      <c r="F226" s="305">
        <f>IF(D226="V",VLOOKUP(B226,Vtas1A!$A$2:$B$2357,2,FALSE),0)</f>
        <v>27000000</v>
      </c>
      <c r="H226" s="304" t="s">
        <v>934</v>
      </c>
      <c r="I226" s="304">
        <f>VLOOKUP(H226,'Im 1B'!$A$2:$C$1947,3,FALSE)</f>
        <v>0</v>
      </c>
      <c r="J226" s="304" t="str">
        <f>VLOOKUP(H226,'Im 1B'!$A$2:$D$3215,4,FALSE)</f>
        <v>D</v>
      </c>
      <c r="K226" s="305">
        <f>IF(J226="D",VLOOKUP(H226,'Im 1B'!$A$2:$C$1947,2,FALSE),0)</f>
        <v>5000000</v>
      </c>
      <c r="L226" s="305">
        <f>IF(J226="V",VLOOKUP(H226,Vtas1B!$A$2:$B$2313,2,FALSE),0)</f>
        <v>0</v>
      </c>
      <c r="N226" s="505" t="s">
        <v>3177</v>
      </c>
      <c r="O226" s="505">
        <f>VLOOKUP(N226,'Im 2'!$A$2:$C$2278,3,FALSE)</f>
        <v>0</v>
      </c>
      <c r="P226" s="304" t="str">
        <f>VLOOKUP(N226,'Im 2'!$A$2:$D$3546,4,FALSE)</f>
        <v>V</v>
      </c>
      <c r="Q226" s="305">
        <f>IF(P226="D",VLOOKUP(N226,'Im 2'!$A$2:$C$2278,2,FALSE),0)</f>
        <v>0</v>
      </c>
      <c r="R226" s="305">
        <f>IF(P226="V",VLOOKUP(N226,Vtas2!$A$2:$B$2425,2,FALSE),0)</f>
        <v>26000000</v>
      </c>
      <c r="T226" s="304" t="s">
        <v>4401</v>
      </c>
      <c r="U226" s="505">
        <f>VLOOKUP(T226,'Im 3A'!$A$2:$C$2278,3,FALSE)</f>
        <v>0</v>
      </c>
      <c r="V226" s="304" t="str">
        <f>VLOOKUP(T226,'Im 3A'!$A$2:$D$3546,4,FALSE)</f>
        <v>V</v>
      </c>
      <c r="W226" s="305">
        <f>IF(V226="D",VLOOKUP(T226,'Im 3A'!$A$2:$C$2278,2,FALSE),0)</f>
        <v>0</v>
      </c>
      <c r="X226" s="305">
        <f>IF(V226="V",VLOOKUP(T226,Vtas3A!$A$2:$B$2425,2,FALSE),0)</f>
        <v>29000000</v>
      </c>
      <c r="Z226" s="304" t="s">
        <v>3320</v>
      </c>
      <c r="AA226" s="505">
        <f>VLOOKUP(Z226,'Im 3B'!$A$2:$C$2280,3,FALSE)</f>
        <v>0</v>
      </c>
      <c r="AB226" s="304" t="str">
        <f>VLOOKUP(Z226,'Im 3B'!$A$2:$D$3548,4,FALSE)</f>
        <v>V</v>
      </c>
      <c r="AC226" s="305">
        <f>IF(AB226="D",VLOOKUP(Z226,'Im 3B'!$A$2:$C$2280,2,FALSE),0)</f>
        <v>0</v>
      </c>
      <c r="AD226" s="305">
        <f>IF(AB226="V",VLOOKUP(Z226,Vtas3B!$A$2:$B$2438,2,FALSE),0)</f>
        <v>5000000</v>
      </c>
    </row>
    <row r="227" spans="2:30" x14ac:dyDescent="0.2">
      <c r="B227" s="304" t="s">
        <v>1597</v>
      </c>
      <c r="C227" s="304">
        <f>VLOOKUP(B227,'Im 1A'!$A$2:$C$1963,3,FALSE)</f>
        <v>0</v>
      </c>
      <c r="D227" s="304" t="str">
        <f>VLOOKUP(B227,'Im 1A'!$A$2:$D$3231,4,FALSE)</f>
        <v>V</v>
      </c>
      <c r="E227" s="305">
        <f>IF(D227="D",VLOOKUP(B227,'Im 1A'!$A$2:$C$1963,2,FALSE),0)</f>
        <v>0</v>
      </c>
      <c r="F227" s="305">
        <f>IF(D227="V",VLOOKUP(B227,Vtas1A!$A$2:$B$2357,2,FALSE),0)</f>
        <v>27000000</v>
      </c>
      <c r="H227" s="304" t="s">
        <v>937</v>
      </c>
      <c r="I227" s="304">
        <f>VLOOKUP(H227,'Im 1B'!$A$2:$C$1947,3,FALSE)</f>
        <v>0</v>
      </c>
      <c r="J227" s="304" t="str">
        <f>VLOOKUP(H227,'Im 1B'!$A$2:$D$3215,4,FALSE)</f>
        <v>D</v>
      </c>
      <c r="K227" s="305">
        <f>IF(J227="D",VLOOKUP(H227,'Im 1B'!$A$2:$C$1947,2,FALSE),0)</f>
        <v>5000000</v>
      </c>
      <c r="L227" s="305">
        <f>IF(J227="V",VLOOKUP(H227,Vtas1B!$A$2:$B$2313,2,FALSE),0)</f>
        <v>0</v>
      </c>
      <c r="N227" s="505" t="s">
        <v>3057</v>
      </c>
      <c r="O227" s="505">
        <f>VLOOKUP(N227,'Im 2'!$A$2:$C$2278,3,FALSE)</f>
        <v>0</v>
      </c>
      <c r="P227" s="304" t="str">
        <f>VLOOKUP(N227,'Im 2'!$A$2:$D$3546,4,FALSE)</f>
        <v>V</v>
      </c>
      <c r="Q227" s="305">
        <f>IF(P227="D",VLOOKUP(N227,'Im 2'!$A$2:$C$2278,2,FALSE),0)</f>
        <v>0</v>
      </c>
      <c r="R227" s="305">
        <f>IF(P227="V",VLOOKUP(N227,Vtas2!$A$2:$B$2425,2,FALSE),0)</f>
        <v>26000000</v>
      </c>
      <c r="T227" s="304" t="s">
        <v>4323</v>
      </c>
      <c r="U227" s="505">
        <f>VLOOKUP(T227,'Im 3A'!$A$2:$C$2278,3,FALSE)</f>
        <v>0</v>
      </c>
      <c r="V227" s="304" t="str">
        <f>VLOOKUP(T227,'Im 3A'!$A$2:$D$3546,4,FALSE)</f>
        <v>V</v>
      </c>
      <c r="W227" s="305">
        <f>IF(V227="D",VLOOKUP(T227,'Im 3A'!$A$2:$C$2278,2,FALSE),0)</f>
        <v>0</v>
      </c>
      <c r="X227" s="305">
        <f>IF(V227="V",VLOOKUP(T227,Vtas3A!$A$2:$B$2425,2,FALSE),0)</f>
        <v>24000000</v>
      </c>
      <c r="Z227" s="304" t="s">
        <v>4007</v>
      </c>
      <c r="AA227" s="505">
        <f>VLOOKUP(Z227,'Im 3B'!$A$2:$C$2280,3,FALSE)</f>
        <v>0</v>
      </c>
      <c r="AB227" s="304" t="str">
        <f>VLOOKUP(Z227,'Im 3B'!$A$2:$D$3548,4,FALSE)</f>
        <v>V</v>
      </c>
      <c r="AC227" s="305">
        <f>IF(AB227="D",VLOOKUP(Z227,'Im 3B'!$A$2:$C$2280,2,FALSE),0)</f>
        <v>0</v>
      </c>
      <c r="AD227" s="305">
        <f>IF(AB227="V",VLOOKUP(Z227,Vtas3B!$A$2:$B$2438,2,FALSE),0)</f>
        <v>5000000</v>
      </c>
    </row>
    <row r="228" spans="2:30" x14ac:dyDescent="0.2">
      <c r="B228" s="304" t="s">
        <v>3285</v>
      </c>
      <c r="C228" s="304">
        <f>VLOOKUP(B228,'Im 1A'!$A$2:$C$1963,3,FALSE)</f>
        <v>0</v>
      </c>
      <c r="D228" s="304" t="str">
        <f>VLOOKUP(B228,'Im 1A'!$A$2:$D$3231,4,FALSE)</f>
        <v>V</v>
      </c>
      <c r="E228" s="305">
        <f>IF(D228="D",VLOOKUP(B228,'Im 1A'!$A$2:$C$1963,2,FALSE),0)</f>
        <v>0</v>
      </c>
      <c r="F228" s="305">
        <f>IF(D228="V",VLOOKUP(B228,Vtas1A!$A$2:$B$2357,2,FALSE),0)</f>
        <v>27000000</v>
      </c>
      <c r="H228" s="304" t="s">
        <v>939</v>
      </c>
      <c r="I228" s="304">
        <f>VLOOKUP(H228,'Im 1B'!$A$2:$C$1947,3,FALSE)</f>
        <v>0</v>
      </c>
      <c r="J228" s="304" t="str">
        <f>VLOOKUP(H228,'Im 1B'!$A$2:$D$3215,4,FALSE)</f>
        <v>D</v>
      </c>
      <c r="K228" s="305">
        <f>IF(J228="D",VLOOKUP(H228,'Im 1B'!$A$2:$C$1947,2,FALSE),0)</f>
        <v>5000000</v>
      </c>
      <c r="L228" s="305">
        <f>IF(J228="V",VLOOKUP(H228,Vtas1B!$A$2:$B$2313,2,FALSE),0)</f>
        <v>0</v>
      </c>
      <c r="N228" s="505" t="s">
        <v>3384</v>
      </c>
      <c r="O228" s="505">
        <f>VLOOKUP(N228,'Im 2'!$A$2:$C$2278,3,FALSE)</f>
        <v>0</v>
      </c>
      <c r="P228" s="304" t="str">
        <f>VLOOKUP(N228,'Im 2'!$A$2:$D$3546,4,FALSE)</f>
        <v>V</v>
      </c>
      <c r="Q228" s="305">
        <f>IF(P228="D",VLOOKUP(N228,'Im 2'!$A$2:$C$2278,2,FALSE),0)</f>
        <v>0</v>
      </c>
      <c r="R228" s="305">
        <f>IF(P228="V",VLOOKUP(N228,Vtas2!$A$2:$B$2425,2,FALSE),0)</f>
        <v>26000000</v>
      </c>
      <c r="T228" s="304" t="s">
        <v>4324</v>
      </c>
      <c r="U228" s="505">
        <f>VLOOKUP(T228,'Im 3A'!$A$2:$C$2278,3,FALSE)</f>
        <v>0</v>
      </c>
      <c r="V228" s="304" t="str">
        <f>VLOOKUP(T228,'Im 3A'!$A$2:$D$3546,4,FALSE)</f>
        <v>V</v>
      </c>
      <c r="W228" s="305">
        <f>IF(V228="D",VLOOKUP(T228,'Im 3A'!$A$2:$C$2278,2,FALSE),0)</f>
        <v>0</v>
      </c>
      <c r="X228" s="305">
        <f>IF(V228="V",VLOOKUP(T228,Vtas3A!$A$2:$B$2425,2,FALSE),0)</f>
        <v>28000000</v>
      </c>
      <c r="Z228" s="304" t="s">
        <v>4008</v>
      </c>
      <c r="AA228" s="505">
        <f>VLOOKUP(Z228,'Im 3B'!$A$2:$C$2280,3,FALSE)</f>
        <v>0</v>
      </c>
      <c r="AB228" s="304" t="str">
        <f>VLOOKUP(Z228,'Im 3B'!$A$2:$D$3548,4,FALSE)</f>
        <v>V</v>
      </c>
      <c r="AC228" s="305">
        <f>IF(AB228="D",VLOOKUP(Z228,'Im 3B'!$A$2:$C$2280,2,FALSE),0)</f>
        <v>0</v>
      </c>
      <c r="AD228" s="305">
        <f>IF(AB228="V",VLOOKUP(Z228,Vtas3B!$A$2:$B$2438,2,FALSE),0)</f>
        <v>5000000</v>
      </c>
    </row>
    <row r="229" spans="2:30" x14ac:dyDescent="0.2">
      <c r="B229" s="304" t="s">
        <v>2584</v>
      </c>
      <c r="C229" s="304">
        <f>VLOOKUP(B229,'Im 1A'!$A$2:$C$1963,3,FALSE)</f>
        <v>0</v>
      </c>
      <c r="D229" s="304" t="str">
        <f>VLOOKUP(B229,'Im 1A'!$A$2:$D$3231,4,FALSE)</f>
        <v>V</v>
      </c>
      <c r="E229" s="305">
        <f>IF(D229="D",VLOOKUP(B229,'Im 1A'!$A$2:$C$1963,2,FALSE),0)</f>
        <v>0</v>
      </c>
      <c r="F229" s="305">
        <f>IF(D229="V",VLOOKUP(B229,Vtas1A!$A$2:$B$2357,2,FALSE),0)</f>
        <v>22000000</v>
      </c>
      <c r="H229" s="304" t="s">
        <v>940</v>
      </c>
      <c r="I229" s="304">
        <f>VLOOKUP(H229,'Im 1B'!$A$2:$C$1947,3,FALSE)</f>
        <v>0</v>
      </c>
      <c r="J229" s="304" t="str">
        <f>VLOOKUP(H229,'Im 1B'!$A$2:$D$3215,4,FALSE)</f>
        <v>D</v>
      </c>
      <c r="K229" s="305">
        <f>IF(J229="D",VLOOKUP(H229,'Im 1B'!$A$2:$C$1947,2,FALSE),0)</f>
        <v>5000000</v>
      </c>
      <c r="L229" s="305">
        <f>IF(J229="V",VLOOKUP(H229,Vtas1B!$A$2:$B$2313,2,FALSE),0)</f>
        <v>0</v>
      </c>
      <c r="N229" s="505" t="s">
        <v>3385</v>
      </c>
      <c r="O229" s="505">
        <f>VLOOKUP(N229,'Im 2'!$A$2:$C$2278,3,FALSE)</f>
        <v>0</v>
      </c>
      <c r="P229" s="304" t="str">
        <f>VLOOKUP(N229,'Im 2'!$A$2:$D$3546,4,FALSE)</f>
        <v>V</v>
      </c>
      <c r="Q229" s="305">
        <f>IF(P229="D",VLOOKUP(N229,'Im 2'!$A$2:$C$2278,2,FALSE),0)</f>
        <v>0</v>
      </c>
      <c r="R229" s="305">
        <f>IF(P229="V",VLOOKUP(N229,Vtas2!$A$2:$B$2425,2,FALSE),0)</f>
        <v>26000000</v>
      </c>
      <c r="T229" s="304" t="s">
        <v>4325</v>
      </c>
      <c r="U229" s="505">
        <f>VLOOKUP(T229,'Im 3A'!$A$2:$C$2278,3,FALSE)</f>
        <v>0</v>
      </c>
      <c r="V229" s="304" t="str">
        <f>VLOOKUP(T229,'Im 3A'!$A$2:$D$3546,4,FALSE)</f>
        <v>V</v>
      </c>
      <c r="W229" s="305">
        <f>IF(V229="D",VLOOKUP(T229,'Im 3A'!$A$2:$C$2278,2,FALSE),0)</f>
        <v>0</v>
      </c>
      <c r="X229" s="305">
        <f>IF(V229="V",VLOOKUP(T229,Vtas3A!$A$2:$B$2425,2,FALSE),0)</f>
        <v>28000000</v>
      </c>
      <c r="Z229" s="304" t="s">
        <v>4351</v>
      </c>
      <c r="AA229" s="505">
        <f>VLOOKUP(Z229,'Im 3B'!$A$2:$C$2280,3,FALSE)</f>
        <v>0</v>
      </c>
      <c r="AB229" s="304" t="str">
        <f>VLOOKUP(Z229,'Im 3B'!$A$2:$D$3548,4,FALSE)</f>
        <v>V</v>
      </c>
      <c r="AC229" s="305">
        <f>IF(AB229="D",VLOOKUP(Z229,'Im 3B'!$A$2:$C$2280,2,FALSE),0)</f>
        <v>0</v>
      </c>
      <c r="AD229" s="305">
        <f>IF(AB229="V",VLOOKUP(Z229,Vtas3B!$A$2:$B$2438,2,FALSE),0)</f>
        <v>5000000</v>
      </c>
    </row>
    <row r="230" spans="2:30" x14ac:dyDescent="0.2">
      <c r="B230" s="304" t="s">
        <v>1439</v>
      </c>
      <c r="C230" s="304">
        <f>VLOOKUP(B230,'Im 1A'!$A$2:$C$1963,3,FALSE)</f>
        <v>0</v>
      </c>
      <c r="D230" s="304" t="str">
        <f>VLOOKUP(B230,'Im 1A'!$A$2:$D$3231,4,FALSE)</f>
        <v>V</v>
      </c>
      <c r="E230" s="305">
        <f>IF(D230="D",VLOOKUP(B230,'Im 1A'!$A$2:$C$1963,2,FALSE),0)</f>
        <v>0</v>
      </c>
      <c r="F230" s="305">
        <f>IF(D230="V",VLOOKUP(B230,Vtas1A!$A$2:$B$2357,2,FALSE),0)</f>
        <v>22000000</v>
      </c>
      <c r="H230" s="304" t="s">
        <v>3455</v>
      </c>
      <c r="I230" s="304">
        <f>VLOOKUP(H230,'Im 1B'!$A$2:$C$1947,3,FALSE)</f>
        <v>0</v>
      </c>
      <c r="J230" s="304" t="str">
        <f>VLOOKUP(H230,'Im 1B'!$A$2:$D$3215,4,FALSE)</f>
        <v>V</v>
      </c>
      <c r="K230" s="305">
        <f>IF(J230="D",VLOOKUP(H230,'Im 1B'!$A$2:$C$1947,2,FALSE),0)</f>
        <v>0</v>
      </c>
      <c r="L230" s="305">
        <f>IF(J230="V",VLOOKUP(H230,Vtas1B!$A$2:$B$2313,2,FALSE),0)</f>
        <v>5000000</v>
      </c>
      <c r="N230" s="505" t="s">
        <v>3058</v>
      </c>
      <c r="O230" s="505">
        <f>VLOOKUP(N230,'Im 2'!$A$2:$C$2278,3,FALSE)</f>
        <v>0</v>
      </c>
      <c r="P230" s="304" t="str">
        <f>VLOOKUP(N230,'Im 2'!$A$2:$D$3546,4,FALSE)</f>
        <v>V</v>
      </c>
      <c r="Q230" s="305">
        <f>IF(P230="D",VLOOKUP(N230,'Im 2'!$A$2:$C$2278,2,FALSE),0)</f>
        <v>0</v>
      </c>
      <c r="R230" s="305">
        <f>IF(P230="V",VLOOKUP(N230,Vtas2!$A$2:$B$2425,2,FALSE),0)</f>
        <v>26000000</v>
      </c>
      <c r="T230" s="304" t="s">
        <v>4326</v>
      </c>
      <c r="U230" s="505">
        <f>VLOOKUP(T230,'Im 3A'!$A$2:$C$2278,3,FALSE)</f>
        <v>0</v>
      </c>
      <c r="V230" s="304" t="str">
        <f>VLOOKUP(T230,'Im 3A'!$A$2:$D$3546,4,FALSE)</f>
        <v>V</v>
      </c>
      <c r="W230" s="305">
        <f>IF(V230="D",VLOOKUP(T230,'Im 3A'!$A$2:$C$2278,2,FALSE),0)</f>
        <v>0</v>
      </c>
      <c r="X230" s="305">
        <f>IF(V230="V",VLOOKUP(T230,Vtas3A!$A$2:$B$2425,2,FALSE),0)</f>
        <v>29000000</v>
      </c>
      <c r="Z230" s="304" t="s">
        <v>1505</v>
      </c>
      <c r="AA230" s="505">
        <f>VLOOKUP(Z230,'Im 3B'!$A$2:$C$2280,3,FALSE)</f>
        <v>0</v>
      </c>
      <c r="AB230" s="304" t="str">
        <f>VLOOKUP(Z230,'Im 3B'!$A$2:$D$3548,4,FALSE)</f>
        <v>V</v>
      </c>
      <c r="AC230" s="305">
        <f>IF(AB230="D",VLOOKUP(Z230,'Im 3B'!$A$2:$C$2280,2,FALSE),0)</f>
        <v>0</v>
      </c>
      <c r="AD230" s="305">
        <f>IF(AB230="V",VLOOKUP(Z230,Vtas3B!$A$2:$B$2438,2,FALSE),0)</f>
        <v>5000000</v>
      </c>
    </row>
    <row r="231" spans="2:30" x14ac:dyDescent="0.2">
      <c r="B231" s="304" t="s">
        <v>2622</v>
      </c>
      <c r="C231" s="304">
        <f>VLOOKUP(B231,'Im 1A'!$A$2:$C$1963,3,FALSE)</f>
        <v>0</v>
      </c>
      <c r="D231" s="304" t="str">
        <f>VLOOKUP(B231,'Im 1A'!$A$2:$D$3231,4,FALSE)</f>
        <v>V</v>
      </c>
      <c r="E231" s="305">
        <f>IF(D231="D",VLOOKUP(B231,'Im 1A'!$A$2:$C$1963,2,FALSE),0)</f>
        <v>0</v>
      </c>
      <c r="F231" s="305">
        <f>IF(D231="V",VLOOKUP(B231,Vtas1A!$A$2:$B$2357,2,FALSE),0)</f>
        <v>27000000</v>
      </c>
      <c r="H231" s="304" t="s">
        <v>3294</v>
      </c>
      <c r="I231" s="304">
        <f>VLOOKUP(H231,'Im 1B'!$A$2:$C$1947,3,FALSE)</f>
        <v>0</v>
      </c>
      <c r="J231" s="304" t="str">
        <f>VLOOKUP(H231,'Im 1B'!$A$2:$D$3215,4,FALSE)</f>
        <v>V</v>
      </c>
      <c r="K231" s="305">
        <f>IF(J231="D",VLOOKUP(H231,'Im 1B'!$A$2:$C$1947,2,FALSE),0)</f>
        <v>0</v>
      </c>
      <c r="L231" s="305">
        <f>IF(J231="V",VLOOKUP(H231,Vtas1B!$A$2:$B$2313,2,FALSE),0)</f>
        <v>5000000</v>
      </c>
      <c r="N231" s="505" t="s">
        <v>3178</v>
      </c>
      <c r="O231" s="505">
        <f>VLOOKUP(N231,'Im 2'!$A$2:$C$2278,3,FALSE)</f>
        <v>0</v>
      </c>
      <c r="P231" s="304" t="str">
        <f>VLOOKUP(N231,'Im 2'!$A$2:$D$3546,4,FALSE)</f>
        <v>V</v>
      </c>
      <c r="Q231" s="305">
        <f>IF(P231="D",VLOOKUP(N231,'Im 2'!$A$2:$C$2278,2,FALSE),0)</f>
        <v>0</v>
      </c>
      <c r="R231" s="305">
        <f>IF(P231="V",VLOOKUP(N231,Vtas2!$A$2:$B$2425,2,FALSE),0)</f>
        <v>26000000</v>
      </c>
      <c r="T231" s="304" t="s">
        <v>4402</v>
      </c>
      <c r="U231" s="505">
        <f>VLOOKUP(T231,'Im 3A'!$A$2:$C$2278,3,FALSE)</f>
        <v>0</v>
      </c>
      <c r="V231" s="304" t="str">
        <f>VLOOKUP(T231,'Im 3A'!$A$2:$D$3546,4,FALSE)</f>
        <v>V</v>
      </c>
      <c r="W231" s="305">
        <f>IF(V231="D",VLOOKUP(T231,'Im 3A'!$A$2:$C$2278,2,FALSE),0)</f>
        <v>0</v>
      </c>
      <c r="X231" s="305">
        <f>IF(V231="V",VLOOKUP(T231,Vtas3A!$A$2:$B$2425,2,FALSE),0)</f>
        <v>29000000</v>
      </c>
      <c r="Z231" s="304" t="s">
        <v>1278</v>
      </c>
      <c r="AA231" s="505">
        <f>VLOOKUP(Z231,'Im 3B'!$A$2:$C$2280,3,FALSE)</f>
        <v>0</v>
      </c>
      <c r="AB231" s="304" t="str">
        <f>VLOOKUP(Z231,'Im 3B'!$A$2:$D$3548,4,FALSE)</f>
        <v>V</v>
      </c>
      <c r="AC231" s="305">
        <f>IF(AB231="D",VLOOKUP(Z231,'Im 3B'!$A$2:$C$2280,2,FALSE),0)</f>
        <v>0</v>
      </c>
      <c r="AD231" s="305">
        <f>IF(AB231="V",VLOOKUP(Z231,Vtas3B!$A$2:$B$2438,2,FALSE),0)</f>
        <v>5000000</v>
      </c>
    </row>
    <row r="232" spans="2:30" x14ac:dyDescent="0.2">
      <c r="B232" s="304" t="s">
        <v>1321</v>
      </c>
      <c r="C232" s="304">
        <f>VLOOKUP(B232,'Im 1A'!$A$2:$C$1963,3,FALSE)</f>
        <v>0</v>
      </c>
      <c r="D232" s="304" t="str">
        <f>VLOOKUP(B232,'Im 1A'!$A$2:$D$3231,4,FALSE)</f>
        <v>V</v>
      </c>
      <c r="E232" s="305">
        <f>IF(D232="D",VLOOKUP(B232,'Im 1A'!$A$2:$C$1963,2,FALSE),0)</f>
        <v>0</v>
      </c>
      <c r="F232" s="305">
        <f>IF(D232="V",VLOOKUP(B232,Vtas1A!$A$2:$B$2357,2,FALSE),0)</f>
        <v>27000000</v>
      </c>
      <c r="H232" s="304" t="s">
        <v>3295</v>
      </c>
      <c r="I232" s="304">
        <f>VLOOKUP(H232,'Im 1B'!$A$2:$C$1947,3,FALSE)</f>
        <v>0</v>
      </c>
      <c r="J232" s="304" t="str">
        <f>VLOOKUP(H232,'Im 1B'!$A$2:$D$3215,4,FALSE)</f>
        <v>V</v>
      </c>
      <c r="K232" s="305">
        <f>IF(J232="D",VLOOKUP(H232,'Im 1B'!$A$2:$C$1947,2,FALSE),0)</f>
        <v>0</v>
      </c>
      <c r="L232" s="305">
        <f>IF(J232="V",VLOOKUP(H232,Vtas1B!$A$2:$B$2313,2,FALSE),0)</f>
        <v>5000000</v>
      </c>
      <c r="N232" s="505" t="s">
        <v>2879</v>
      </c>
      <c r="O232" s="505">
        <f>VLOOKUP(N232,'Im 2'!$A$2:$C$2278,3,FALSE)</f>
        <v>0</v>
      </c>
      <c r="P232" s="304" t="str">
        <f>VLOOKUP(N232,'Im 2'!$A$2:$D$3546,4,FALSE)</f>
        <v>V</v>
      </c>
      <c r="Q232" s="305">
        <f>IF(P232="D",VLOOKUP(N232,'Im 2'!$A$2:$C$2278,2,FALSE),0)</f>
        <v>0</v>
      </c>
      <c r="R232" s="305">
        <f>IF(P232="V",VLOOKUP(N232,Vtas2!$A$2:$B$2425,2,FALSE),0)</f>
        <v>26000000</v>
      </c>
      <c r="T232" s="304" t="s">
        <v>4327</v>
      </c>
      <c r="U232" s="505">
        <f>VLOOKUP(T232,'Im 3A'!$A$2:$C$2278,3,FALSE)</f>
        <v>0</v>
      </c>
      <c r="V232" s="304" t="str">
        <f>VLOOKUP(T232,'Im 3A'!$A$2:$D$3546,4,FALSE)</f>
        <v>V</v>
      </c>
      <c r="W232" s="305">
        <f>IF(V232="D",VLOOKUP(T232,'Im 3A'!$A$2:$C$2278,2,FALSE),0)</f>
        <v>0</v>
      </c>
      <c r="X232" s="305">
        <f>IF(V232="V",VLOOKUP(T232,Vtas3A!$A$2:$B$2425,2,FALSE),0)</f>
        <v>29000000</v>
      </c>
      <c r="Z232" s="304" t="s">
        <v>1279</v>
      </c>
      <c r="AA232" s="505">
        <f>VLOOKUP(Z232,'Im 3B'!$A$2:$C$2280,3,FALSE)</f>
        <v>0</v>
      </c>
      <c r="AB232" s="304" t="str">
        <f>VLOOKUP(Z232,'Im 3B'!$A$2:$D$3548,4,FALSE)</f>
        <v>V</v>
      </c>
      <c r="AC232" s="305">
        <f>IF(AB232="D",VLOOKUP(Z232,'Im 3B'!$A$2:$C$2280,2,FALSE),0)</f>
        <v>0</v>
      </c>
      <c r="AD232" s="305">
        <f>IF(AB232="V",VLOOKUP(Z232,Vtas3B!$A$2:$B$2438,2,FALSE),0)</f>
        <v>5000000</v>
      </c>
    </row>
    <row r="233" spans="2:30" x14ac:dyDescent="0.2">
      <c r="B233" s="304" t="s">
        <v>2623</v>
      </c>
      <c r="C233" s="304">
        <f>VLOOKUP(B233,'Im 1A'!$A$2:$C$1963,3,FALSE)</f>
        <v>0</v>
      </c>
      <c r="D233" s="304" t="str">
        <f>VLOOKUP(B233,'Im 1A'!$A$2:$D$3231,4,FALSE)</f>
        <v>V</v>
      </c>
      <c r="E233" s="305">
        <f>IF(D233="D",VLOOKUP(B233,'Im 1A'!$A$2:$C$1963,2,FALSE),0)</f>
        <v>0</v>
      </c>
      <c r="F233" s="305">
        <f>IF(D233="V",VLOOKUP(B233,Vtas1A!$A$2:$B$2357,2,FALSE),0)</f>
        <v>27000000</v>
      </c>
      <c r="H233" s="304" t="s">
        <v>3731</v>
      </c>
      <c r="I233" s="304">
        <f>VLOOKUP(H233,'Im 1B'!$A$2:$C$1947,3,FALSE)</f>
        <v>0</v>
      </c>
      <c r="J233" s="304" t="str">
        <f>VLOOKUP(H233,'Im 1B'!$A$2:$D$3215,4,FALSE)</f>
        <v>V</v>
      </c>
      <c r="K233" s="305">
        <f>IF(J233="D",VLOOKUP(H233,'Im 1B'!$A$2:$C$1947,2,FALSE),0)</f>
        <v>0</v>
      </c>
      <c r="L233" s="305">
        <f>IF(J233="V",VLOOKUP(H233,Vtas1B!$A$2:$B$2313,2,FALSE),0)</f>
        <v>5000000</v>
      </c>
      <c r="N233" s="505" t="s">
        <v>2880</v>
      </c>
      <c r="O233" s="505">
        <f>VLOOKUP(N233,'Im 2'!$A$2:$C$2278,3,FALSE)</f>
        <v>0</v>
      </c>
      <c r="P233" s="304" t="str">
        <f>VLOOKUP(N233,'Im 2'!$A$2:$D$3546,4,FALSE)</f>
        <v>V</v>
      </c>
      <c r="Q233" s="305">
        <f>IF(P233="D",VLOOKUP(N233,'Im 2'!$A$2:$C$2278,2,FALSE),0)</f>
        <v>0</v>
      </c>
      <c r="R233" s="305">
        <f>IF(P233="V",VLOOKUP(N233,Vtas2!$A$2:$B$2425,2,FALSE),0)</f>
        <v>26000000</v>
      </c>
      <c r="T233" s="304" t="s">
        <v>4403</v>
      </c>
      <c r="U233" s="505">
        <f>VLOOKUP(T233,'Im 3A'!$A$2:$C$2278,3,FALSE)</f>
        <v>0</v>
      </c>
      <c r="V233" s="304" t="str">
        <f>VLOOKUP(T233,'Im 3A'!$A$2:$D$3546,4,FALSE)</f>
        <v>V</v>
      </c>
      <c r="W233" s="305">
        <f>IF(V233="D",VLOOKUP(T233,'Im 3A'!$A$2:$C$2278,2,FALSE),0)</f>
        <v>0</v>
      </c>
      <c r="X233" s="305">
        <f>IF(V233="V",VLOOKUP(T233,Vtas3A!$A$2:$B$2425,2,FALSE),0)</f>
        <v>28000000</v>
      </c>
      <c r="Z233" s="304" t="s">
        <v>3101</v>
      </c>
      <c r="AA233" s="505">
        <f>VLOOKUP(Z233,'Im 3B'!$A$2:$C$2280,3,FALSE)</f>
        <v>0</v>
      </c>
      <c r="AB233" s="304" t="str">
        <f>VLOOKUP(Z233,'Im 3B'!$A$2:$D$3548,4,FALSE)</f>
        <v>V</v>
      </c>
      <c r="AC233" s="305">
        <f>IF(AB233="D",VLOOKUP(Z233,'Im 3B'!$A$2:$C$2280,2,FALSE),0)</f>
        <v>0</v>
      </c>
      <c r="AD233" s="305">
        <f>IF(AB233="V",VLOOKUP(Z233,Vtas3B!$A$2:$B$2438,2,FALSE),0)</f>
        <v>5000000</v>
      </c>
    </row>
    <row r="234" spans="2:30" x14ac:dyDescent="0.2">
      <c r="B234" s="304" t="s">
        <v>1387</v>
      </c>
      <c r="C234" s="304">
        <f>VLOOKUP(B234,'Im 1A'!$A$2:$C$1963,3,FALSE)</f>
        <v>0</v>
      </c>
      <c r="D234" s="304" t="str">
        <f>VLOOKUP(B234,'Im 1A'!$A$2:$D$3231,4,FALSE)</f>
        <v>V</v>
      </c>
      <c r="E234" s="305">
        <f>IF(D234="D",VLOOKUP(B234,'Im 1A'!$A$2:$C$1963,2,FALSE),0)</f>
        <v>0</v>
      </c>
      <c r="F234" s="305">
        <f>IF(D234="V",VLOOKUP(B234,Vtas1A!$A$2:$B$2357,2,FALSE),0)</f>
        <v>22000000</v>
      </c>
      <c r="H234" s="304" t="s">
        <v>1449</v>
      </c>
      <c r="I234" s="304">
        <f>VLOOKUP(H234,'Im 1B'!$A$2:$C$1947,3,FALSE)</f>
        <v>0</v>
      </c>
      <c r="J234" s="304" t="str">
        <f>VLOOKUP(H234,'Im 1B'!$A$2:$D$3215,4,FALSE)</f>
        <v>V</v>
      </c>
      <c r="K234" s="305">
        <f>IF(J234="D",VLOOKUP(H234,'Im 1B'!$A$2:$C$1947,2,FALSE),0)</f>
        <v>0</v>
      </c>
      <c r="L234" s="305">
        <f>IF(J234="V",VLOOKUP(H234,Vtas1B!$A$2:$B$2313,2,FALSE),0)</f>
        <v>5000000</v>
      </c>
      <c r="N234" s="505" t="s">
        <v>3059</v>
      </c>
      <c r="O234" s="505">
        <f>VLOOKUP(N234,'Im 2'!$A$2:$C$2278,3,FALSE)</f>
        <v>0</v>
      </c>
      <c r="P234" s="304" t="str">
        <f>VLOOKUP(N234,'Im 2'!$A$2:$D$3546,4,FALSE)</f>
        <v>V</v>
      </c>
      <c r="Q234" s="305">
        <f>IF(P234="D",VLOOKUP(N234,'Im 2'!$A$2:$C$2278,2,FALSE),0)</f>
        <v>0</v>
      </c>
      <c r="R234" s="305">
        <f>IF(P234="V",VLOOKUP(N234,Vtas2!$A$2:$B$2425,2,FALSE),0)</f>
        <v>26000000</v>
      </c>
      <c r="T234" s="304" t="s">
        <v>4404</v>
      </c>
      <c r="U234" s="505">
        <f>VLOOKUP(T234,'Im 3A'!$A$2:$C$2278,3,FALSE)</f>
        <v>0</v>
      </c>
      <c r="V234" s="304" t="str">
        <f>VLOOKUP(T234,'Im 3A'!$A$2:$D$3546,4,FALSE)</f>
        <v>V</v>
      </c>
      <c r="W234" s="305">
        <f>IF(V234="D",VLOOKUP(T234,'Im 3A'!$A$2:$C$2278,2,FALSE),0)</f>
        <v>0</v>
      </c>
      <c r="X234" s="305">
        <f>IF(V234="V",VLOOKUP(T234,Vtas3A!$A$2:$B$2425,2,FALSE),0)</f>
        <v>28000000</v>
      </c>
      <c r="Z234" s="304" t="s">
        <v>2234</v>
      </c>
      <c r="AA234" s="505">
        <f>VLOOKUP(Z234,'Im 3B'!$A$2:$C$2280,3,FALSE)</f>
        <v>0</v>
      </c>
      <c r="AB234" s="304" t="str">
        <f>VLOOKUP(Z234,'Im 3B'!$A$2:$D$3548,4,FALSE)</f>
        <v>V</v>
      </c>
      <c r="AC234" s="305">
        <f>IF(AB234="D",VLOOKUP(Z234,'Im 3B'!$A$2:$C$2280,2,FALSE),0)</f>
        <v>0</v>
      </c>
      <c r="AD234" s="305">
        <f>IF(AB234="V",VLOOKUP(Z234,Vtas3B!$A$2:$B$2438,2,FALSE),0)</f>
        <v>5000000</v>
      </c>
    </row>
    <row r="235" spans="2:30" x14ac:dyDescent="0.2">
      <c r="B235" s="304" t="s">
        <v>1684</v>
      </c>
      <c r="C235" s="304">
        <f>VLOOKUP(B235,'Im 1A'!$A$2:$C$1963,3,FALSE)</f>
        <v>0</v>
      </c>
      <c r="D235" s="304" t="str">
        <f>VLOOKUP(B235,'Im 1A'!$A$2:$D$3231,4,FALSE)</f>
        <v>V</v>
      </c>
      <c r="E235" s="305">
        <f>IF(D235="D",VLOOKUP(B235,'Im 1A'!$A$2:$C$1963,2,FALSE),0)</f>
        <v>0</v>
      </c>
      <c r="F235" s="305">
        <f>IF(D235="V",VLOOKUP(B235,Vtas1A!$A$2:$B$2357,2,FALSE),0)</f>
        <v>27000000</v>
      </c>
      <c r="H235" s="304" t="s">
        <v>1450</v>
      </c>
      <c r="I235" s="304">
        <f>VLOOKUP(H235,'Im 1B'!$A$2:$C$1947,3,FALSE)</f>
        <v>0</v>
      </c>
      <c r="J235" s="304" t="str">
        <f>VLOOKUP(H235,'Im 1B'!$A$2:$D$3215,4,FALSE)</f>
        <v>V</v>
      </c>
      <c r="K235" s="305">
        <f>IF(J235="D",VLOOKUP(H235,'Im 1B'!$A$2:$C$1947,2,FALSE),0)</f>
        <v>0</v>
      </c>
      <c r="L235" s="305">
        <f>IF(J235="V",VLOOKUP(H235,Vtas1B!$A$2:$B$2313,2,FALSE),0)</f>
        <v>5000000</v>
      </c>
      <c r="N235" s="505" t="s">
        <v>3060</v>
      </c>
      <c r="O235" s="505">
        <f>VLOOKUP(N235,'Im 2'!$A$2:$C$2278,3,FALSE)</f>
        <v>0</v>
      </c>
      <c r="P235" s="304" t="str">
        <f>VLOOKUP(N235,'Im 2'!$A$2:$D$3546,4,FALSE)</f>
        <v>V</v>
      </c>
      <c r="Q235" s="305">
        <f>IF(P235="D",VLOOKUP(N235,'Im 2'!$A$2:$C$2278,2,FALSE),0)</f>
        <v>0</v>
      </c>
      <c r="R235" s="305">
        <f>IF(P235="V",VLOOKUP(N235,Vtas2!$A$2:$B$2425,2,FALSE),0)</f>
        <v>26000000</v>
      </c>
      <c r="T235" s="304" t="s">
        <v>4328</v>
      </c>
      <c r="U235" s="505">
        <f>VLOOKUP(T235,'Im 3A'!$A$2:$C$2278,3,FALSE)</f>
        <v>0</v>
      </c>
      <c r="V235" s="304" t="str">
        <f>VLOOKUP(T235,'Im 3A'!$A$2:$D$3546,4,FALSE)</f>
        <v>V</v>
      </c>
      <c r="W235" s="305">
        <f>IF(V235="D",VLOOKUP(T235,'Im 3A'!$A$2:$C$2278,2,FALSE),0)</f>
        <v>0</v>
      </c>
      <c r="X235" s="305">
        <f>IF(V235="V",VLOOKUP(T235,Vtas3A!$A$2:$B$2425,2,FALSE),0)</f>
        <v>28000000</v>
      </c>
      <c r="Z235" s="304" t="s">
        <v>2303</v>
      </c>
      <c r="AA235" s="505">
        <f>VLOOKUP(Z235,'Im 3B'!$A$2:$C$2280,3,FALSE)</f>
        <v>0</v>
      </c>
      <c r="AB235" s="304" t="str">
        <f>VLOOKUP(Z235,'Im 3B'!$A$2:$D$3548,4,FALSE)</f>
        <v>V</v>
      </c>
      <c r="AC235" s="305">
        <f>IF(AB235="D",VLOOKUP(Z235,'Im 3B'!$A$2:$C$2280,2,FALSE),0)</f>
        <v>0</v>
      </c>
      <c r="AD235" s="305">
        <f>IF(AB235="V",VLOOKUP(Z235,Vtas3B!$A$2:$B$2438,2,FALSE),0)</f>
        <v>5000000</v>
      </c>
    </row>
    <row r="236" spans="2:30" x14ac:dyDescent="0.2">
      <c r="B236" s="304" t="s">
        <v>1229</v>
      </c>
      <c r="C236" s="304">
        <f>VLOOKUP(B236,'Im 1A'!$A$2:$C$1963,3,FALSE)</f>
        <v>0</v>
      </c>
      <c r="D236" s="304" t="str">
        <f>VLOOKUP(B236,'Im 1A'!$A$2:$D$3231,4,FALSE)</f>
        <v>V</v>
      </c>
      <c r="E236" s="305">
        <f>IF(D236="D",VLOOKUP(B236,'Im 1A'!$A$2:$C$1963,2,FALSE),0)</f>
        <v>0</v>
      </c>
      <c r="F236" s="305">
        <f>IF(D236="V",VLOOKUP(B236,Vtas1A!$A$2:$B$2357,2,FALSE),0)</f>
        <v>27000000</v>
      </c>
      <c r="H236" s="304" t="s">
        <v>1491</v>
      </c>
      <c r="I236" s="304">
        <f>VLOOKUP(H236,'Im 1B'!$A$2:$C$1947,3,FALSE)</f>
        <v>0</v>
      </c>
      <c r="J236" s="304" t="str">
        <f>VLOOKUP(H236,'Im 1B'!$A$2:$D$3215,4,FALSE)</f>
        <v>V</v>
      </c>
      <c r="K236" s="305">
        <f>IF(J236="D",VLOOKUP(H236,'Im 1B'!$A$2:$C$1947,2,FALSE),0)</f>
        <v>0</v>
      </c>
      <c r="L236" s="305">
        <f>IF(J236="V",VLOOKUP(H236,Vtas1B!$A$2:$B$2313,2,FALSE),0)</f>
        <v>5000000</v>
      </c>
      <c r="N236" s="505" t="s">
        <v>2881</v>
      </c>
      <c r="O236" s="505">
        <f>VLOOKUP(N236,'Im 2'!$A$2:$C$2278,3,FALSE)</f>
        <v>0</v>
      </c>
      <c r="P236" s="304" t="str">
        <f>VLOOKUP(N236,'Im 2'!$A$2:$D$3546,4,FALSE)</f>
        <v>V</v>
      </c>
      <c r="Q236" s="305">
        <f>IF(P236="D",VLOOKUP(N236,'Im 2'!$A$2:$C$2278,2,FALSE),0)</f>
        <v>0</v>
      </c>
      <c r="R236" s="305">
        <f>IF(P236="V",VLOOKUP(N236,Vtas2!$A$2:$B$2425,2,FALSE),0)</f>
        <v>26000000</v>
      </c>
      <c r="T236" s="304" t="s">
        <v>4329</v>
      </c>
      <c r="U236" s="505">
        <f>VLOOKUP(T236,'Im 3A'!$A$2:$C$2278,3,FALSE)</f>
        <v>0</v>
      </c>
      <c r="V236" s="304" t="str">
        <f>VLOOKUP(T236,'Im 3A'!$A$2:$D$3546,4,FALSE)</f>
        <v>V</v>
      </c>
      <c r="W236" s="305">
        <f>IF(V236="D",VLOOKUP(T236,'Im 3A'!$A$2:$C$2278,2,FALSE),0)</f>
        <v>0</v>
      </c>
      <c r="X236" s="305">
        <f>IF(V236="V",VLOOKUP(T236,Vtas3A!$A$2:$B$2425,2,FALSE),0)</f>
        <v>23000000</v>
      </c>
      <c r="Z236" s="304" t="s">
        <v>935</v>
      </c>
      <c r="AA236" s="505">
        <f>VLOOKUP(Z236,'Im 3B'!$A$2:$C$2280,3,FALSE)</f>
        <v>0</v>
      </c>
      <c r="AB236" s="304" t="str">
        <f>VLOOKUP(Z236,'Im 3B'!$A$2:$D$3548,4,FALSE)</f>
        <v>V</v>
      </c>
      <c r="AC236" s="305">
        <f>IF(AB236="D",VLOOKUP(Z236,'Im 3B'!$A$2:$C$2280,2,FALSE),0)</f>
        <v>0</v>
      </c>
      <c r="AD236" s="305">
        <f>IF(AB236="V",VLOOKUP(Z236,Vtas3B!$A$2:$B$2438,2,FALSE),0)</f>
        <v>5000000</v>
      </c>
    </row>
    <row r="237" spans="2:30" x14ac:dyDescent="0.2">
      <c r="B237" s="304" t="s">
        <v>2547</v>
      </c>
      <c r="C237" s="304">
        <f>VLOOKUP(B237,'Im 1A'!$A$2:$C$1963,3,FALSE)</f>
        <v>0</v>
      </c>
      <c r="D237" s="304" t="str">
        <f>VLOOKUP(B237,'Im 1A'!$A$2:$D$3231,4,FALSE)</f>
        <v>V</v>
      </c>
      <c r="E237" s="305">
        <f>IF(D237="D",VLOOKUP(B237,'Im 1A'!$A$2:$C$1963,2,FALSE),0)</f>
        <v>0</v>
      </c>
      <c r="F237" s="305">
        <f>IF(D237="V",VLOOKUP(B237,Vtas1A!$A$2:$B$2357,2,FALSE),0)</f>
        <v>27000000</v>
      </c>
      <c r="H237" s="304" t="s">
        <v>4298</v>
      </c>
      <c r="I237" s="304">
        <f>VLOOKUP(H237,'Im 1B'!$A$2:$C$1947,3,FALSE)</f>
        <v>0</v>
      </c>
      <c r="J237" s="304" t="str">
        <f>VLOOKUP(H237,'Im 1B'!$A$2:$D$3215,4,FALSE)</f>
        <v>V</v>
      </c>
      <c r="K237" s="305">
        <f>IF(J237="D",VLOOKUP(H237,'Im 1B'!$A$2:$C$1947,2,FALSE),0)</f>
        <v>0</v>
      </c>
      <c r="L237" s="305">
        <f>IF(J237="V",VLOOKUP(H237,Vtas1B!$A$2:$B$2313,2,FALSE),0)</f>
        <v>5000000</v>
      </c>
      <c r="N237" s="505" t="s">
        <v>3179</v>
      </c>
      <c r="O237" s="505">
        <f>VLOOKUP(N237,'Im 2'!$A$2:$C$2278,3,FALSE)</f>
        <v>0</v>
      </c>
      <c r="P237" s="304" t="str">
        <f>VLOOKUP(N237,'Im 2'!$A$2:$D$3546,4,FALSE)</f>
        <v>V</v>
      </c>
      <c r="Q237" s="305">
        <f>IF(P237="D",VLOOKUP(N237,'Im 2'!$A$2:$C$2278,2,FALSE),0)</f>
        <v>0</v>
      </c>
      <c r="R237" s="305">
        <f>IF(P237="V",VLOOKUP(N237,Vtas2!$A$2:$B$2425,2,FALSE),0)</f>
        <v>26000000</v>
      </c>
      <c r="T237" s="304" t="s">
        <v>3098</v>
      </c>
      <c r="U237" s="505">
        <f>VLOOKUP(T237,'Im 3A'!$A$2:$C$2278,3,FALSE)</f>
        <v>0</v>
      </c>
      <c r="V237" s="304" t="str">
        <f>VLOOKUP(T237,'Im 3A'!$A$2:$D$3546,4,FALSE)</f>
        <v>V</v>
      </c>
      <c r="W237" s="305">
        <f>IF(V237="D",VLOOKUP(T237,'Im 3A'!$A$2:$C$2278,2,FALSE),0)</f>
        <v>0</v>
      </c>
      <c r="X237" s="305">
        <f>IF(V237="V",VLOOKUP(T237,Vtas3A!$A$2:$B$2425,2,FALSE),0)</f>
        <v>24000000</v>
      </c>
      <c r="Z237" s="304" t="s">
        <v>1568</v>
      </c>
      <c r="AA237" s="505">
        <f>VLOOKUP(Z237,'Im 3B'!$A$2:$C$2280,3,FALSE)</f>
        <v>0</v>
      </c>
      <c r="AB237" s="304" t="str">
        <f>VLOOKUP(Z237,'Im 3B'!$A$2:$D$3548,4,FALSE)</f>
        <v>V</v>
      </c>
      <c r="AC237" s="305">
        <f>IF(AB237="D",VLOOKUP(Z237,'Im 3B'!$A$2:$C$2280,2,FALSE),0)</f>
        <v>0</v>
      </c>
      <c r="AD237" s="305">
        <f>IF(AB237="V",VLOOKUP(Z237,Vtas3B!$A$2:$B$2438,2,FALSE),0)</f>
        <v>5000000</v>
      </c>
    </row>
    <row r="238" spans="2:30" x14ac:dyDescent="0.2">
      <c r="B238" s="304" t="s">
        <v>1388</v>
      </c>
      <c r="C238" s="304">
        <f>VLOOKUP(B238,'Im 1A'!$A$2:$C$1963,3,FALSE)</f>
        <v>0</v>
      </c>
      <c r="D238" s="304" t="str">
        <f>VLOOKUP(B238,'Im 1A'!$A$2:$D$3231,4,FALSE)</f>
        <v>V</v>
      </c>
      <c r="E238" s="305">
        <f>IF(D238="D",VLOOKUP(B238,'Im 1A'!$A$2:$C$1963,2,FALSE),0)</f>
        <v>0</v>
      </c>
      <c r="F238" s="305">
        <f>IF(D238="V",VLOOKUP(B238,Vtas1A!$A$2:$B$2357,2,FALSE),0)</f>
        <v>22000000</v>
      </c>
      <c r="H238" s="304" t="s">
        <v>1451</v>
      </c>
      <c r="I238" s="304">
        <f>VLOOKUP(H238,'Im 1B'!$A$2:$C$1947,3,FALSE)</f>
        <v>0</v>
      </c>
      <c r="J238" s="304" t="str">
        <f>VLOOKUP(H238,'Im 1B'!$A$2:$D$3215,4,FALSE)</f>
        <v>V</v>
      </c>
      <c r="K238" s="305">
        <f>IF(J238="D",VLOOKUP(H238,'Im 1B'!$A$2:$C$1947,2,FALSE),0)</f>
        <v>0</v>
      </c>
      <c r="L238" s="305">
        <f>IF(J238="V",VLOOKUP(H238,Vtas1B!$A$2:$B$2313,2,FALSE),0)</f>
        <v>5000000</v>
      </c>
      <c r="N238" s="505" t="s">
        <v>3737</v>
      </c>
      <c r="O238" s="505">
        <f>VLOOKUP(N238,'Im 2'!$A$2:$C$2278,3,FALSE)</f>
        <v>0</v>
      </c>
      <c r="P238" s="304" t="str">
        <f>VLOOKUP(N238,'Im 2'!$A$2:$D$3546,4,FALSE)</f>
        <v>V</v>
      </c>
      <c r="Q238" s="305">
        <f>IF(P238="D",VLOOKUP(N238,'Im 2'!$A$2:$C$2278,2,FALSE),0)</f>
        <v>0</v>
      </c>
      <c r="R238" s="305">
        <f>IF(P238="V",VLOOKUP(N238,Vtas2!$A$2:$B$2425,2,FALSE),0)</f>
        <v>26000000</v>
      </c>
      <c r="T238" s="304" t="s">
        <v>4405</v>
      </c>
      <c r="U238" s="505">
        <f>VLOOKUP(T238,'Im 3A'!$A$2:$C$2278,3,FALSE)</f>
        <v>0</v>
      </c>
      <c r="V238" s="304" t="str">
        <f>VLOOKUP(T238,'Im 3A'!$A$2:$D$3546,4,FALSE)</f>
        <v>V</v>
      </c>
      <c r="W238" s="305">
        <f>IF(V238="D",VLOOKUP(T238,'Im 3A'!$A$2:$C$2278,2,FALSE),0)</f>
        <v>0</v>
      </c>
      <c r="X238" s="305">
        <f>IF(V238="V",VLOOKUP(T238,Vtas3A!$A$2:$B$2425,2,FALSE),0)</f>
        <v>23000000</v>
      </c>
      <c r="Z238" s="304" t="s">
        <v>1754</v>
      </c>
      <c r="AA238" s="505">
        <f>VLOOKUP(Z238,'Im 3B'!$A$2:$C$2280,3,FALSE)</f>
        <v>0</v>
      </c>
      <c r="AB238" s="304" t="str">
        <f>VLOOKUP(Z238,'Im 3B'!$A$2:$D$3548,4,FALSE)</f>
        <v>V</v>
      </c>
      <c r="AC238" s="305">
        <f>IF(AB238="D",VLOOKUP(Z238,'Im 3B'!$A$2:$C$2280,2,FALSE),0)</f>
        <v>0</v>
      </c>
      <c r="AD238" s="305">
        <f>IF(AB238="V",VLOOKUP(Z238,Vtas3B!$A$2:$B$2438,2,FALSE),0)</f>
        <v>5000000</v>
      </c>
    </row>
    <row r="239" spans="2:30" x14ac:dyDescent="0.2">
      <c r="B239" s="304" t="s">
        <v>1389</v>
      </c>
      <c r="C239" s="304">
        <f>VLOOKUP(B239,'Im 1A'!$A$2:$C$1963,3,FALSE)</f>
        <v>0</v>
      </c>
      <c r="D239" s="304" t="str">
        <f>VLOOKUP(B239,'Im 1A'!$A$2:$D$3231,4,FALSE)</f>
        <v>V</v>
      </c>
      <c r="E239" s="305">
        <f>IF(D239="D",VLOOKUP(B239,'Im 1A'!$A$2:$C$1963,2,FALSE),0)</f>
        <v>0</v>
      </c>
      <c r="F239" s="305">
        <f>IF(D239="V",VLOOKUP(B239,Vtas1A!$A$2:$B$2357,2,FALSE),0)</f>
        <v>27000000</v>
      </c>
      <c r="H239" s="304" t="s">
        <v>2558</v>
      </c>
      <c r="I239" s="304">
        <f>VLOOKUP(H239,'Im 1B'!$A$2:$C$1947,3,FALSE)</f>
        <v>0</v>
      </c>
      <c r="J239" s="304" t="str">
        <f>VLOOKUP(H239,'Im 1B'!$A$2:$D$3215,4,FALSE)</f>
        <v>V</v>
      </c>
      <c r="K239" s="305">
        <f>IF(J239="D",VLOOKUP(H239,'Im 1B'!$A$2:$C$1947,2,FALSE),0)</f>
        <v>0</v>
      </c>
      <c r="L239" s="305">
        <f>IF(J239="V",VLOOKUP(H239,Vtas1B!$A$2:$B$2313,2,FALSE),0)</f>
        <v>5000000</v>
      </c>
      <c r="M239" s="525"/>
      <c r="N239" s="505" t="s">
        <v>2882</v>
      </c>
      <c r="O239" s="505">
        <f>VLOOKUP(N239,'Im 2'!$A$2:$C$2278,3,FALSE)</f>
        <v>0</v>
      </c>
      <c r="P239" s="304" t="str">
        <f>VLOOKUP(N239,'Im 2'!$A$2:$D$3546,4,FALSE)</f>
        <v>V</v>
      </c>
      <c r="Q239" s="305">
        <f>IF(P239="D",VLOOKUP(N239,'Im 2'!$A$2:$C$2278,2,FALSE),0)</f>
        <v>0</v>
      </c>
      <c r="R239" s="305">
        <f>IF(P239="V",VLOOKUP(N239,Vtas2!$A$2:$B$2425,2,FALSE),0)</f>
        <v>26000000</v>
      </c>
      <c r="S239" s="525"/>
      <c r="T239" s="304" t="s">
        <v>3250</v>
      </c>
      <c r="U239" s="505">
        <f>VLOOKUP(T239,'Im 3A'!$A$2:$C$2278,3,FALSE)</f>
        <v>0</v>
      </c>
      <c r="V239" s="304" t="str">
        <f>VLOOKUP(T239,'Im 3A'!$A$2:$D$3546,4,FALSE)</f>
        <v>V</v>
      </c>
      <c r="W239" s="305">
        <f>IF(V239="D",VLOOKUP(T239,'Im 3A'!$A$2:$C$2278,2,FALSE),0)</f>
        <v>0</v>
      </c>
      <c r="X239" s="305">
        <f>IF(V239="V",VLOOKUP(T239,Vtas3A!$A$2:$B$2425,2,FALSE),0)</f>
        <v>24000000</v>
      </c>
      <c r="Z239" s="304" t="s">
        <v>1755</v>
      </c>
      <c r="AA239" s="505">
        <f>VLOOKUP(Z239,'Im 3B'!$A$2:$C$2280,3,FALSE)</f>
        <v>0</v>
      </c>
      <c r="AB239" s="304" t="str">
        <f>VLOOKUP(Z239,'Im 3B'!$A$2:$D$3548,4,FALSE)</f>
        <v>V</v>
      </c>
      <c r="AC239" s="305">
        <f>IF(AB239="D",VLOOKUP(Z239,'Im 3B'!$A$2:$C$2280,2,FALSE),0)</f>
        <v>0</v>
      </c>
      <c r="AD239" s="305">
        <f>IF(AB239="V",VLOOKUP(Z239,Vtas3B!$A$2:$B$2438,2,FALSE),0)</f>
        <v>5000000</v>
      </c>
    </row>
    <row r="240" spans="2:30" x14ac:dyDescent="0.2">
      <c r="B240" s="304" t="s">
        <v>1390</v>
      </c>
      <c r="C240" s="304">
        <f>VLOOKUP(B240,'Im 1A'!$A$2:$C$1963,3,FALSE)</f>
        <v>0</v>
      </c>
      <c r="D240" s="304" t="str">
        <f>VLOOKUP(B240,'Im 1A'!$A$2:$D$3231,4,FALSE)</f>
        <v>V</v>
      </c>
      <c r="E240" s="305">
        <f>IF(D240="D",VLOOKUP(B240,'Im 1A'!$A$2:$C$1963,2,FALSE),0)</f>
        <v>0</v>
      </c>
      <c r="F240" s="305">
        <f>IF(D240="V",VLOOKUP(B240,Vtas1A!$A$2:$B$2357,2,FALSE),0)</f>
        <v>27000000</v>
      </c>
      <c r="H240" s="304" t="s">
        <v>2267</v>
      </c>
      <c r="I240" s="304">
        <f>VLOOKUP(H240,'Im 1B'!$A$2:$C$1947,3,FALSE)</f>
        <v>0</v>
      </c>
      <c r="J240" s="304" t="str">
        <f>VLOOKUP(H240,'Im 1B'!$A$2:$D$3215,4,FALSE)</f>
        <v>V</v>
      </c>
      <c r="K240" s="305">
        <f>IF(J240="D",VLOOKUP(H240,'Im 1B'!$A$2:$C$1947,2,FALSE),0)</f>
        <v>0</v>
      </c>
      <c r="L240" s="305">
        <f>IF(J240="V",VLOOKUP(H240,Vtas1B!$A$2:$B$2313,2,FALSE),0)</f>
        <v>5000000</v>
      </c>
      <c r="M240" s="525"/>
      <c r="N240" s="505" t="s">
        <v>3305</v>
      </c>
      <c r="O240" s="505">
        <f>VLOOKUP(N240,'Im 2'!$A$2:$C$2278,3,FALSE)</f>
        <v>0</v>
      </c>
      <c r="P240" s="304" t="str">
        <f>VLOOKUP(N240,'Im 2'!$A$2:$D$3546,4,FALSE)</f>
        <v>V</v>
      </c>
      <c r="Q240" s="305">
        <f>IF(P240="D",VLOOKUP(N240,'Im 2'!$A$2:$C$2278,2,FALSE),0)</f>
        <v>0</v>
      </c>
      <c r="R240" s="305">
        <f>IF(P240="V",VLOOKUP(N240,Vtas2!$A$2:$B$2425,2,FALSE),0)</f>
        <v>26000000</v>
      </c>
      <c r="S240" s="525"/>
      <c r="T240" s="525" t="s">
        <v>3895</v>
      </c>
      <c r="U240" s="505">
        <f>VLOOKUP(T240,'Im 3A'!$A$2:$C$2278,3,FALSE)</f>
        <v>0</v>
      </c>
      <c r="V240" s="304" t="str">
        <f>VLOOKUP(T240,'Im 3A'!$A$2:$D$3546,4,FALSE)</f>
        <v>V</v>
      </c>
      <c r="W240" s="305">
        <f>IF(V240="D",VLOOKUP(T240,'Im 3A'!$A$2:$C$2278,2,FALSE),0)</f>
        <v>0</v>
      </c>
      <c r="X240" s="305">
        <f>IF(V240="V",VLOOKUP(T240,Vtas3A!$A$2:$B$2425,2,FALSE),0)</f>
        <v>24000000</v>
      </c>
      <c r="Z240" s="304" t="s">
        <v>1042</v>
      </c>
      <c r="AA240" s="505">
        <f>VLOOKUP(Z240,'Im 3B'!$A$2:$C$2280,3,FALSE)</f>
        <v>0</v>
      </c>
      <c r="AB240" s="304" t="str">
        <f>VLOOKUP(Z240,'Im 3B'!$A$2:$D$3548,4,FALSE)</f>
        <v>V</v>
      </c>
      <c r="AC240" s="305">
        <f>IF(AB240="D",VLOOKUP(Z240,'Im 3B'!$A$2:$C$2280,2,FALSE),0)</f>
        <v>0</v>
      </c>
      <c r="AD240" s="305">
        <f>IF(AB240="V",VLOOKUP(Z240,Vtas3B!$A$2:$B$2438,2,FALSE),0)</f>
        <v>5000000</v>
      </c>
    </row>
    <row r="241" spans="2:30" x14ac:dyDescent="0.2">
      <c r="B241" s="304" t="s">
        <v>1391</v>
      </c>
      <c r="C241" s="304">
        <f>VLOOKUP(B241,'Im 1A'!$A$2:$C$1963,3,FALSE)</f>
        <v>0</v>
      </c>
      <c r="D241" s="304" t="str">
        <f>VLOOKUP(B241,'Im 1A'!$A$2:$D$3231,4,FALSE)</f>
        <v>V</v>
      </c>
      <c r="E241" s="305">
        <f>IF(D241="D",VLOOKUP(B241,'Im 1A'!$A$2:$C$1963,2,FALSE),0)</f>
        <v>0</v>
      </c>
      <c r="F241" s="305">
        <f>IF(D241="V",VLOOKUP(B241,Vtas1A!$A$2:$B$2357,2,FALSE),0)</f>
        <v>22000000</v>
      </c>
      <c r="H241" s="304" t="s">
        <v>1492</v>
      </c>
      <c r="I241" s="304">
        <f>VLOOKUP(H241,'Im 1B'!$A$2:$C$1947,3,FALSE)</f>
        <v>0</v>
      </c>
      <c r="J241" s="304" t="str">
        <f>VLOOKUP(H241,'Im 1B'!$A$2:$D$3215,4,FALSE)</f>
        <v>V</v>
      </c>
      <c r="K241" s="305">
        <f>IF(J241="D",VLOOKUP(H241,'Im 1B'!$A$2:$C$1947,2,FALSE),0)</f>
        <v>0</v>
      </c>
      <c r="L241" s="305">
        <f>IF(J241="V",VLOOKUP(H241,Vtas1B!$A$2:$B$2313,2,FALSE),0)</f>
        <v>5000000</v>
      </c>
      <c r="M241" s="525"/>
      <c r="N241" s="505" t="s">
        <v>3061</v>
      </c>
      <c r="O241" s="505">
        <f>VLOOKUP(N241,'Im 2'!$A$2:$C$2278,3,FALSE)</f>
        <v>0</v>
      </c>
      <c r="P241" s="304" t="str">
        <f>VLOOKUP(N241,'Im 2'!$A$2:$D$3546,4,FALSE)</f>
        <v>V</v>
      </c>
      <c r="Q241" s="305">
        <f>IF(P241="D",VLOOKUP(N241,'Im 2'!$A$2:$C$2278,2,FALSE),0)</f>
        <v>0</v>
      </c>
      <c r="R241" s="305">
        <f>IF(P241="V",VLOOKUP(N241,Vtas2!$A$2:$B$2425,2,FALSE),0)</f>
        <v>26000000</v>
      </c>
      <c r="S241" s="525"/>
      <c r="T241" s="525" t="s">
        <v>4261</v>
      </c>
      <c r="U241" s="505">
        <f>VLOOKUP(T241,'Im 3A'!$A$2:$C$2278,3,FALSE)</f>
        <v>0</v>
      </c>
      <c r="V241" s="304" t="str">
        <f>VLOOKUP(T241,'Im 3A'!$A$2:$D$3546,4,FALSE)</f>
        <v>V</v>
      </c>
      <c r="W241" s="305">
        <f>IF(V241="D",VLOOKUP(T241,'Im 3A'!$A$2:$C$2278,2,FALSE),0)</f>
        <v>0</v>
      </c>
      <c r="X241" s="305">
        <f>IF(V241="V",VLOOKUP(T241,Vtas3A!$A$2:$B$2425,2,FALSE),0)</f>
        <v>24000000</v>
      </c>
      <c r="Z241" s="304" t="s">
        <v>1346</v>
      </c>
      <c r="AA241" s="505">
        <f>VLOOKUP(Z241,'Im 3B'!$A$2:$C$2280,3,FALSE)</f>
        <v>0</v>
      </c>
      <c r="AB241" s="304" t="str">
        <f>VLOOKUP(Z241,'Im 3B'!$A$2:$D$3548,4,FALSE)</f>
        <v>V</v>
      </c>
      <c r="AC241" s="305">
        <f>IF(AB241="D",VLOOKUP(Z241,'Im 3B'!$A$2:$C$2280,2,FALSE),0)</f>
        <v>0</v>
      </c>
      <c r="AD241" s="305">
        <f>IF(AB241="V",VLOOKUP(Z241,Vtas3B!$A$2:$B$2438,2,FALSE),0)</f>
        <v>5000000</v>
      </c>
    </row>
    <row r="242" spans="2:30" x14ac:dyDescent="0.2">
      <c r="B242" s="304" t="s">
        <v>2728</v>
      </c>
      <c r="C242" s="304">
        <f>VLOOKUP(B242,'Im 1A'!$A$2:$C$1963,3,FALSE)</f>
        <v>0</v>
      </c>
      <c r="D242" s="304" t="str">
        <f>VLOOKUP(B242,'Im 1A'!$A$2:$D$3231,4,FALSE)</f>
        <v>V</v>
      </c>
      <c r="E242" s="305">
        <f>IF(D242="D",VLOOKUP(B242,'Im 1A'!$A$2:$C$1963,2,FALSE),0)</f>
        <v>0</v>
      </c>
      <c r="F242" s="305">
        <f>IF(D242="V",VLOOKUP(B242,Vtas1A!$A$2:$B$2357,2,FALSE),0)</f>
        <v>27000000</v>
      </c>
      <c r="H242" s="304" t="s">
        <v>1452</v>
      </c>
      <c r="I242" s="304">
        <f>VLOOKUP(H242,'Im 1B'!$A$2:$C$1947,3,FALSE)</f>
        <v>0</v>
      </c>
      <c r="J242" s="304" t="str">
        <f>VLOOKUP(H242,'Im 1B'!$A$2:$D$3215,4,FALSE)</f>
        <v>V</v>
      </c>
      <c r="K242" s="305">
        <f>IF(J242="D",VLOOKUP(H242,'Im 1B'!$A$2:$C$1947,2,FALSE),0)</f>
        <v>0</v>
      </c>
      <c r="L242" s="305">
        <f>IF(J242="V",VLOOKUP(H242,Vtas1B!$A$2:$B$2313,2,FALSE),0)</f>
        <v>5000000</v>
      </c>
      <c r="M242" s="525"/>
      <c r="N242" s="505" t="s">
        <v>3062</v>
      </c>
      <c r="O242" s="505">
        <f>VLOOKUP(N242,'Im 2'!$A$2:$C$2278,3,FALSE)</f>
        <v>0</v>
      </c>
      <c r="P242" s="304" t="str">
        <f>VLOOKUP(N242,'Im 2'!$A$2:$D$3546,4,FALSE)</f>
        <v>V</v>
      </c>
      <c r="Q242" s="305">
        <f>IF(P242="D",VLOOKUP(N242,'Im 2'!$A$2:$C$2278,2,FALSE),0)</f>
        <v>0</v>
      </c>
      <c r="R242" s="305">
        <f>IF(P242="V",VLOOKUP(N242,Vtas2!$A$2:$B$2425,2,FALSE),0)</f>
        <v>26000000</v>
      </c>
      <c r="S242" s="525"/>
      <c r="T242" s="525" t="s">
        <v>4330</v>
      </c>
      <c r="U242" s="505">
        <f>VLOOKUP(T242,'Im 3A'!$A$2:$C$2278,3,FALSE)</f>
        <v>0</v>
      </c>
      <c r="V242" s="304" t="str">
        <f>VLOOKUP(T242,'Im 3A'!$A$2:$D$3546,4,FALSE)</f>
        <v>V</v>
      </c>
      <c r="W242" s="305">
        <f>IF(V242="D",VLOOKUP(T242,'Im 3A'!$A$2:$C$2278,2,FALSE),0)</f>
        <v>0</v>
      </c>
      <c r="X242" s="305">
        <f>IF(V242="V",VLOOKUP(T242,Vtas3A!$A$2:$B$2425,2,FALSE),0)</f>
        <v>23000000</v>
      </c>
      <c r="Z242" s="304" t="s">
        <v>1459</v>
      </c>
      <c r="AA242" s="505">
        <f>VLOOKUP(Z242,'Im 3B'!$A$2:$C$2280,3,FALSE)</f>
        <v>0</v>
      </c>
      <c r="AB242" s="304" t="str">
        <f>VLOOKUP(Z242,'Im 3B'!$A$2:$D$3548,4,FALSE)</f>
        <v>V</v>
      </c>
      <c r="AC242" s="305">
        <f>IF(AB242="D",VLOOKUP(Z242,'Im 3B'!$A$2:$C$2280,2,FALSE),0)</f>
        <v>0</v>
      </c>
      <c r="AD242" s="305">
        <f>IF(AB242="V",VLOOKUP(Z242,Vtas3B!$A$2:$B$2438,2,FALSE),0)</f>
        <v>5000000</v>
      </c>
    </row>
    <row r="243" spans="2:30" x14ac:dyDescent="0.2">
      <c r="B243" s="304" t="s">
        <v>1392</v>
      </c>
      <c r="C243" s="304">
        <f>VLOOKUP(B243,'Im 1A'!$A$2:$C$1963,3,FALSE)</f>
        <v>0</v>
      </c>
      <c r="D243" s="304" t="str">
        <f>VLOOKUP(B243,'Im 1A'!$A$2:$D$3231,4,FALSE)</f>
        <v>V</v>
      </c>
      <c r="E243" s="305">
        <f>IF(D243="D",VLOOKUP(B243,'Im 1A'!$A$2:$C$1963,2,FALSE),0)</f>
        <v>0</v>
      </c>
      <c r="F243" s="305">
        <f>IF(D243="V",VLOOKUP(B243,Vtas1A!$A$2:$B$2357,2,FALSE),0)</f>
        <v>27000000</v>
      </c>
      <c r="H243" s="304" t="s">
        <v>2635</v>
      </c>
      <c r="I243" s="304">
        <f>VLOOKUP(H243,'Im 1B'!$A$2:$C$1947,3,FALSE)</f>
        <v>0</v>
      </c>
      <c r="J243" s="304" t="str">
        <f>VLOOKUP(H243,'Im 1B'!$A$2:$D$3215,4,FALSE)</f>
        <v>V</v>
      </c>
      <c r="K243" s="305">
        <f>IF(J243="D",VLOOKUP(H243,'Im 1B'!$A$2:$C$1947,2,FALSE),0)</f>
        <v>0</v>
      </c>
      <c r="L243" s="305">
        <f>IF(J243="V",VLOOKUP(H243,Vtas1B!$A$2:$B$2313,2,FALSE),0)</f>
        <v>5000000</v>
      </c>
      <c r="M243" s="525"/>
      <c r="N243" s="505" t="s">
        <v>3242</v>
      </c>
      <c r="O243" s="505">
        <f>VLOOKUP(N243,'Im 2'!$A$2:$C$2278,3,FALSE)</f>
        <v>0</v>
      </c>
      <c r="P243" s="304" t="str">
        <f>VLOOKUP(N243,'Im 2'!$A$2:$D$3546,4,FALSE)</f>
        <v>V</v>
      </c>
      <c r="Q243" s="305">
        <f>IF(P243="D",VLOOKUP(N243,'Im 2'!$A$2:$C$2278,2,FALSE),0)</f>
        <v>0</v>
      </c>
      <c r="R243" s="305">
        <f>IF(P243="V",VLOOKUP(N243,Vtas2!$A$2:$B$2425,2,FALSE),0)</f>
        <v>26000000</v>
      </c>
      <c r="S243" s="525"/>
      <c r="T243" s="525" t="s">
        <v>4331</v>
      </c>
      <c r="U243" s="505">
        <f>VLOOKUP(T243,'Im 3A'!$A$2:$C$2278,3,FALSE)</f>
        <v>0</v>
      </c>
      <c r="V243" s="304" t="str">
        <f>VLOOKUP(T243,'Im 3A'!$A$2:$D$3546,4,FALSE)</f>
        <v>V</v>
      </c>
      <c r="W243" s="305">
        <f>IF(V243="D",VLOOKUP(T243,'Im 3A'!$A$2:$C$2278,2,FALSE),0)</f>
        <v>0</v>
      </c>
      <c r="X243" s="305">
        <f>IF(V243="V",VLOOKUP(T243,Vtas3A!$A$2:$B$2425,2,FALSE),0)</f>
        <v>24000000</v>
      </c>
      <c r="Z243" s="304" t="s">
        <v>1569</v>
      </c>
      <c r="AA243" s="505">
        <f>VLOOKUP(Z243,'Im 3B'!$A$2:$C$2280,3,FALSE)</f>
        <v>0</v>
      </c>
      <c r="AB243" s="304" t="str">
        <f>VLOOKUP(Z243,'Im 3B'!$A$2:$D$3548,4,FALSE)</f>
        <v>V</v>
      </c>
      <c r="AC243" s="305">
        <f>IF(AB243="D",VLOOKUP(Z243,'Im 3B'!$A$2:$C$2280,2,FALSE),0)</f>
        <v>0</v>
      </c>
      <c r="AD243" s="305">
        <f>IF(AB243="V",VLOOKUP(Z243,Vtas3B!$A$2:$B$2438,2,FALSE),0)</f>
        <v>5000000</v>
      </c>
    </row>
    <row r="244" spans="2:30" x14ac:dyDescent="0.2">
      <c r="B244" s="304" t="s">
        <v>1393</v>
      </c>
      <c r="C244" s="304">
        <f>VLOOKUP(B244,'Im 1A'!$A$2:$C$1963,3,FALSE)</f>
        <v>0</v>
      </c>
      <c r="D244" s="304" t="str">
        <f>VLOOKUP(B244,'Im 1A'!$A$2:$D$3231,4,FALSE)</f>
        <v>V</v>
      </c>
      <c r="E244" s="305">
        <f>IF(D244="D",VLOOKUP(B244,'Im 1A'!$A$2:$C$1963,2,FALSE),0)</f>
        <v>0</v>
      </c>
      <c r="F244" s="305">
        <f>IF(D244="V",VLOOKUP(B244,Vtas1A!$A$2:$B$2357,2,FALSE),0)</f>
        <v>27000000</v>
      </c>
      <c r="H244" s="304" t="s">
        <v>3028</v>
      </c>
      <c r="I244" s="304">
        <f>VLOOKUP(H244,'Im 1B'!$A$2:$C$1947,3,FALSE)</f>
        <v>0</v>
      </c>
      <c r="J244" s="304" t="str">
        <f>VLOOKUP(H244,'Im 1B'!$A$2:$D$3215,4,FALSE)</f>
        <v>V</v>
      </c>
      <c r="K244" s="305">
        <f>IF(J244="D",VLOOKUP(H244,'Im 1B'!$A$2:$C$1947,2,FALSE),0)</f>
        <v>0</v>
      </c>
      <c r="L244" s="305">
        <f>IF(J244="V",VLOOKUP(H244,Vtas1B!$A$2:$B$2313,2,FALSE),0)</f>
        <v>5000000</v>
      </c>
      <c r="M244" s="525"/>
      <c r="N244" s="505" t="s">
        <v>4302</v>
      </c>
      <c r="O244" s="505">
        <f>VLOOKUP(N244,'Im 2'!$A$2:$C$2278,3,FALSE)</f>
        <v>0</v>
      </c>
      <c r="P244" s="304" t="str">
        <f>VLOOKUP(N244,'Im 2'!$A$2:$D$3546,4,FALSE)</f>
        <v>V</v>
      </c>
      <c r="Q244" s="305">
        <f>IF(P244="D",VLOOKUP(N244,'Im 2'!$A$2:$C$2278,2,FALSE),0)</f>
        <v>0</v>
      </c>
      <c r="R244" s="305">
        <f>IF(P244="V",VLOOKUP(N244,Vtas2!$A$2:$B$2425,2,FALSE),0)</f>
        <v>26000000</v>
      </c>
      <c r="S244" s="525"/>
      <c r="T244" s="525" t="s">
        <v>4406</v>
      </c>
      <c r="U244" s="505">
        <f>VLOOKUP(T244,'Im 3A'!$A$2:$C$2278,3,FALSE)</f>
        <v>0</v>
      </c>
      <c r="V244" s="304" t="str">
        <f>VLOOKUP(T244,'Im 3A'!$A$2:$D$3546,4,FALSE)</f>
        <v>V</v>
      </c>
      <c r="W244" s="305">
        <f>IF(V244="D",VLOOKUP(T244,'Im 3A'!$A$2:$C$2278,2,FALSE),0)</f>
        <v>0</v>
      </c>
      <c r="X244" s="305">
        <f>IF(V244="V",VLOOKUP(T244,Vtas3A!$A$2:$B$2425,2,FALSE),0)</f>
        <v>28000000</v>
      </c>
      <c r="Z244" s="304" t="s">
        <v>1548</v>
      </c>
      <c r="AA244" s="505">
        <f>VLOOKUP(Z244,'Im 3B'!$A$2:$C$2280,3,FALSE)</f>
        <v>0</v>
      </c>
      <c r="AB244" s="304" t="str">
        <f>VLOOKUP(Z244,'Im 3B'!$A$2:$D$3548,4,FALSE)</f>
        <v>V</v>
      </c>
      <c r="AC244" s="305">
        <f>IF(AB244="D",VLOOKUP(Z244,'Im 3B'!$A$2:$C$2280,2,FALSE),0)</f>
        <v>0</v>
      </c>
      <c r="AD244" s="305">
        <f>IF(AB244="V",VLOOKUP(Z244,Vtas3B!$A$2:$B$2438,2,FALSE),0)</f>
        <v>5000000</v>
      </c>
    </row>
    <row r="245" spans="2:30" x14ac:dyDescent="0.2">
      <c r="B245" s="304" t="s">
        <v>1440</v>
      </c>
      <c r="C245" s="304">
        <f>VLOOKUP(B245,'Im 1A'!$A$2:$C$1963,3,FALSE)</f>
        <v>0</v>
      </c>
      <c r="D245" s="304" t="str">
        <f>VLOOKUP(B245,'Im 1A'!$A$2:$D$3231,4,FALSE)</f>
        <v>V</v>
      </c>
      <c r="E245" s="305">
        <f>IF(D245="D",VLOOKUP(B245,'Im 1A'!$A$2:$C$1963,2,FALSE),0)</f>
        <v>0</v>
      </c>
      <c r="F245" s="305">
        <f>IF(D245="V",VLOOKUP(B245,Vtas1A!$A$2:$B$2357,2,FALSE),0)</f>
        <v>27000000</v>
      </c>
      <c r="H245" s="304" t="s">
        <v>1493</v>
      </c>
      <c r="I245" s="304">
        <f>VLOOKUP(H245,'Im 1B'!$A$2:$C$1947,3,FALSE)</f>
        <v>0</v>
      </c>
      <c r="J245" s="304" t="str">
        <f>VLOOKUP(H245,'Im 1B'!$A$2:$D$3215,4,FALSE)</f>
        <v>V</v>
      </c>
      <c r="K245" s="305">
        <f>IF(J245="D",VLOOKUP(H245,'Im 1B'!$A$2:$C$1947,2,FALSE),0)</f>
        <v>0</v>
      </c>
      <c r="L245" s="305">
        <f>IF(J245="V",VLOOKUP(H245,Vtas1B!$A$2:$B$2313,2,FALSE),0)</f>
        <v>5000000</v>
      </c>
      <c r="M245" s="525"/>
      <c r="N245" s="505" t="s">
        <v>3180</v>
      </c>
      <c r="O245" s="505">
        <f>VLOOKUP(N245,'Im 2'!$A$2:$C$2278,3,FALSE)</f>
        <v>0</v>
      </c>
      <c r="P245" s="304" t="str">
        <f>VLOOKUP(N245,'Im 2'!$A$2:$D$3546,4,FALSE)</f>
        <v>V</v>
      </c>
      <c r="Q245" s="305">
        <f>IF(P245="D",VLOOKUP(N245,'Im 2'!$A$2:$C$2278,2,FALSE),0)</f>
        <v>0</v>
      </c>
      <c r="R245" s="305">
        <f>IF(P245="V",VLOOKUP(N245,Vtas2!$A$2:$B$2425,2,FALSE),0)</f>
        <v>26000000</v>
      </c>
      <c r="S245" s="525"/>
      <c r="T245" s="525" t="s">
        <v>4407</v>
      </c>
      <c r="U245" s="505">
        <f>VLOOKUP(T245,'Im 3A'!$A$2:$C$2278,3,FALSE)</f>
        <v>0</v>
      </c>
      <c r="V245" s="304" t="str">
        <f>VLOOKUP(T245,'Im 3A'!$A$2:$D$3546,4,FALSE)</f>
        <v>V</v>
      </c>
      <c r="W245" s="305">
        <f>IF(V245="D",VLOOKUP(T245,'Im 3A'!$A$2:$C$2278,2,FALSE),0)</f>
        <v>0</v>
      </c>
      <c r="X245" s="305">
        <f>IF(V245="V",VLOOKUP(T245,Vtas3A!$A$2:$B$2425,2,FALSE),0)</f>
        <v>23000000</v>
      </c>
      <c r="Z245" s="304" t="s">
        <v>1280</v>
      </c>
      <c r="AA245" s="505">
        <f>VLOOKUP(Z245,'Im 3B'!$A$2:$C$2280,3,FALSE)</f>
        <v>0</v>
      </c>
      <c r="AB245" s="304" t="str">
        <f>VLOOKUP(Z245,'Im 3B'!$A$2:$D$3548,4,FALSE)</f>
        <v>V</v>
      </c>
      <c r="AC245" s="305">
        <f>IF(AB245="D",VLOOKUP(Z245,'Im 3B'!$A$2:$C$2280,2,FALSE),0)</f>
        <v>0</v>
      </c>
      <c r="AD245" s="305">
        <f>IF(AB245="V",VLOOKUP(Z245,Vtas3B!$A$2:$B$2438,2,FALSE),0)</f>
        <v>5000000</v>
      </c>
    </row>
    <row r="246" spans="2:30" x14ac:dyDescent="0.2">
      <c r="B246" s="304" t="s">
        <v>1479</v>
      </c>
      <c r="C246" s="304">
        <f>VLOOKUP(B246,'Im 1A'!$A$2:$C$1963,3,FALSE)</f>
        <v>0</v>
      </c>
      <c r="D246" s="304" t="str">
        <f>VLOOKUP(B246,'Im 1A'!$A$2:$D$3231,4,FALSE)</f>
        <v>V</v>
      </c>
      <c r="E246" s="305">
        <f>IF(D246="D",VLOOKUP(B246,'Im 1A'!$A$2:$C$1963,2,FALSE),0)</f>
        <v>0</v>
      </c>
      <c r="F246" s="305">
        <f>IF(D246="V",VLOOKUP(B246,Vtas1A!$A$2:$B$2357,2,FALSE),0)</f>
        <v>22000000</v>
      </c>
      <c r="H246" s="304" t="s">
        <v>2636</v>
      </c>
      <c r="I246" s="304">
        <f>VLOOKUP(H246,'Im 1B'!$A$2:$C$1947,3,FALSE)</f>
        <v>0</v>
      </c>
      <c r="J246" s="304" t="str">
        <f>VLOOKUP(H246,'Im 1B'!$A$2:$D$3215,4,FALSE)</f>
        <v>V</v>
      </c>
      <c r="K246" s="305">
        <f>IF(J246="D",VLOOKUP(H246,'Im 1B'!$A$2:$C$1947,2,FALSE),0)</f>
        <v>0</v>
      </c>
      <c r="L246" s="305">
        <f>IF(J246="V",VLOOKUP(H246,Vtas1B!$A$2:$B$2313,2,FALSE),0)</f>
        <v>5000000</v>
      </c>
      <c r="M246" s="525"/>
      <c r="N246" s="505" t="s">
        <v>3063</v>
      </c>
      <c r="O246" s="505">
        <f>VLOOKUP(N246,'Im 2'!$A$2:$C$2278,3,FALSE)</f>
        <v>0</v>
      </c>
      <c r="P246" s="304" t="str">
        <f>VLOOKUP(N246,'Im 2'!$A$2:$D$3546,4,FALSE)</f>
        <v>V</v>
      </c>
      <c r="Q246" s="305">
        <f>IF(P246="D",VLOOKUP(N246,'Im 2'!$A$2:$C$2278,2,FALSE),0)</f>
        <v>0</v>
      </c>
      <c r="R246" s="305">
        <f>IF(P246="V",VLOOKUP(N246,Vtas2!$A$2:$B$2425,2,FALSE),0)</f>
        <v>26000000</v>
      </c>
      <c r="S246" s="525"/>
      <c r="T246" s="525" t="s">
        <v>4332</v>
      </c>
      <c r="U246" s="505">
        <f>VLOOKUP(T246,'Im 3A'!$A$2:$C$2278,3,FALSE)</f>
        <v>0</v>
      </c>
      <c r="V246" s="304" t="str">
        <f>VLOOKUP(T246,'Im 3A'!$A$2:$D$3546,4,FALSE)</f>
        <v>V</v>
      </c>
      <c r="W246" s="305">
        <f>IF(V246="D",VLOOKUP(T246,'Im 3A'!$A$2:$C$2278,2,FALSE),0)</f>
        <v>0</v>
      </c>
      <c r="X246" s="305">
        <f>IF(V246="V",VLOOKUP(T246,Vtas3A!$A$2:$B$2425,2,FALSE),0)</f>
        <v>28000000</v>
      </c>
      <c r="Z246" s="304" t="s">
        <v>1549</v>
      </c>
      <c r="AA246" s="505">
        <f>VLOOKUP(Z246,'Im 3B'!$A$2:$C$2280,3,FALSE)</f>
        <v>0</v>
      </c>
      <c r="AB246" s="304" t="str">
        <f>VLOOKUP(Z246,'Im 3B'!$A$2:$D$3548,4,FALSE)</f>
        <v>V</v>
      </c>
      <c r="AC246" s="305">
        <f>IF(AB246="D",VLOOKUP(Z246,'Im 3B'!$A$2:$C$2280,2,FALSE),0)</f>
        <v>0</v>
      </c>
      <c r="AD246" s="305">
        <f>IF(AB246="V",VLOOKUP(Z246,Vtas3B!$A$2:$B$2438,2,FALSE),0)</f>
        <v>5000000</v>
      </c>
    </row>
    <row r="247" spans="2:30" x14ac:dyDescent="0.2">
      <c r="B247" s="304" t="s">
        <v>1441</v>
      </c>
      <c r="C247" s="304">
        <f>VLOOKUP(B247,'Im 1A'!$A$2:$C$1963,3,FALSE)</f>
        <v>0</v>
      </c>
      <c r="D247" s="304" t="str">
        <f>VLOOKUP(B247,'Im 1A'!$A$2:$D$3231,4,FALSE)</f>
        <v>V</v>
      </c>
      <c r="E247" s="305">
        <f>IF(D247="D",VLOOKUP(B247,'Im 1A'!$A$2:$C$1963,2,FALSE),0)</f>
        <v>0</v>
      </c>
      <c r="F247" s="305">
        <f>IF(D247="V",VLOOKUP(B247,Vtas1A!$A$2:$B$2357,2,FALSE),0)</f>
        <v>27000000</v>
      </c>
      <c r="H247" s="304" t="s">
        <v>1687</v>
      </c>
      <c r="I247" s="304">
        <f>VLOOKUP(H247,'Im 1B'!$A$2:$C$1947,3,FALSE)</f>
        <v>0</v>
      </c>
      <c r="J247" s="304" t="str">
        <f>VLOOKUP(H247,'Im 1B'!$A$2:$D$3215,4,FALSE)</f>
        <v>V</v>
      </c>
      <c r="K247" s="305">
        <f>IF(J247="D",VLOOKUP(H247,'Im 1B'!$A$2:$C$1947,2,FALSE),0)</f>
        <v>0</v>
      </c>
      <c r="L247" s="305">
        <f>IF(J247="V",VLOOKUP(H247,Vtas1B!$A$2:$B$2313,2,FALSE),0)</f>
        <v>5000000</v>
      </c>
      <c r="N247" s="505" t="s">
        <v>3064</v>
      </c>
      <c r="O247" s="505">
        <f>VLOOKUP(N247,'Im 2'!$A$2:$C$2278,3,FALSE)</f>
        <v>0</v>
      </c>
      <c r="P247" s="304" t="str">
        <f>VLOOKUP(N247,'Im 2'!$A$2:$D$3546,4,FALSE)</f>
        <v>V</v>
      </c>
      <c r="Q247" s="305">
        <f>IF(P247="D",VLOOKUP(N247,'Im 2'!$A$2:$C$2278,2,FALSE),0)</f>
        <v>0</v>
      </c>
      <c r="R247" s="305">
        <f>IF(P247="V",VLOOKUP(N247,Vtas2!$A$2:$B$2425,2,FALSE),0)</f>
        <v>26000000</v>
      </c>
      <c r="T247" s="525" t="s">
        <v>4408</v>
      </c>
      <c r="U247" s="505">
        <f>VLOOKUP(T247,'Im 3A'!$A$2:$C$2278,3,FALSE)</f>
        <v>0</v>
      </c>
      <c r="V247" s="304" t="str">
        <f>VLOOKUP(T247,'Im 3A'!$A$2:$D$3546,4,FALSE)</f>
        <v>V</v>
      </c>
      <c r="W247" s="305">
        <f>IF(V247="D",VLOOKUP(T247,'Im 3A'!$A$2:$C$2278,2,FALSE),0)</f>
        <v>0</v>
      </c>
      <c r="X247" s="305">
        <f>IF(V247="V",VLOOKUP(T247,Vtas3A!$A$2:$B$2425,2,FALSE),0)</f>
        <v>28000000</v>
      </c>
      <c r="Z247" s="304" t="s">
        <v>1588</v>
      </c>
      <c r="AA247" s="505">
        <f>VLOOKUP(Z247,'Im 3B'!$A$2:$C$2280,3,FALSE)</f>
        <v>0</v>
      </c>
      <c r="AB247" s="304" t="str">
        <f>VLOOKUP(Z247,'Im 3B'!$A$2:$D$3548,4,FALSE)</f>
        <v>V</v>
      </c>
      <c r="AC247" s="305">
        <f>IF(AB247="D",VLOOKUP(Z247,'Im 3B'!$A$2:$C$2280,2,FALSE),0)</f>
        <v>0</v>
      </c>
      <c r="AD247" s="305">
        <f>IF(AB247="V",VLOOKUP(Z247,Vtas3B!$A$2:$B$2438,2,FALSE),0)</f>
        <v>5000000</v>
      </c>
    </row>
    <row r="248" spans="2:30" x14ac:dyDescent="0.2">
      <c r="B248" s="304" t="s">
        <v>1580</v>
      </c>
      <c r="C248" s="304">
        <f>VLOOKUP(B248,'Im 1A'!$A$2:$C$1963,3,FALSE)</f>
        <v>0</v>
      </c>
      <c r="D248" s="304" t="str">
        <f>VLOOKUP(B248,'Im 1A'!$A$2:$D$3231,4,FALSE)</f>
        <v>V</v>
      </c>
      <c r="E248" s="305">
        <f>IF(D248="D",VLOOKUP(B248,'Im 1A'!$A$2:$C$1963,2,FALSE),0)</f>
        <v>0</v>
      </c>
      <c r="F248" s="305">
        <f>IF(D248="V",VLOOKUP(B248,Vtas1A!$A$2:$B$2357,2,FALSE),0)</f>
        <v>22000000</v>
      </c>
      <c r="H248" s="304" t="s">
        <v>3456</v>
      </c>
      <c r="I248" s="304">
        <f>VLOOKUP(H248,'Im 1B'!$A$2:$C$1947,3,FALSE)</f>
        <v>0</v>
      </c>
      <c r="J248" s="304" t="str">
        <f>VLOOKUP(H248,'Im 1B'!$A$2:$D$3215,4,FALSE)</f>
        <v>V</v>
      </c>
      <c r="K248" s="305">
        <f>IF(J248="D",VLOOKUP(H248,'Im 1B'!$A$2:$C$1947,2,FALSE),0)</f>
        <v>0</v>
      </c>
      <c r="L248" s="305">
        <f>IF(J248="V",VLOOKUP(H248,Vtas1B!$A$2:$B$2313,2,FALSE),0)</f>
        <v>5000000</v>
      </c>
      <c r="N248" s="505" t="s">
        <v>3181</v>
      </c>
      <c r="O248" s="505">
        <f>VLOOKUP(N248,'Im 2'!$A$2:$C$2278,3,FALSE)</f>
        <v>0</v>
      </c>
      <c r="P248" s="304" t="str">
        <f>VLOOKUP(N248,'Im 2'!$A$2:$D$3546,4,FALSE)</f>
        <v>V</v>
      </c>
      <c r="Q248" s="305">
        <f>IF(P248="D",VLOOKUP(N248,'Im 2'!$A$2:$C$2278,2,FALSE),0)</f>
        <v>0</v>
      </c>
      <c r="R248" s="305">
        <f>IF(P248="V",VLOOKUP(N248,Vtas2!$A$2:$B$2425,2,FALSE),0)</f>
        <v>26000000</v>
      </c>
      <c r="T248" s="304" t="s">
        <v>4333</v>
      </c>
      <c r="U248" s="505">
        <f>VLOOKUP(T248,'Im 3A'!$A$2:$C$2278,3,FALSE)</f>
        <v>0</v>
      </c>
      <c r="V248" s="304" t="str">
        <f>VLOOKUP(T248,'Im 3A'!$A$2:$D$3546,4,FALSE)</f>
        <v>V</v>
      </c>
      <c r="W248" s="305">
        <f>IF(V248="D",VLOOKUP(T248,'Im 3A'!$A$2:$C$2278,2,FALSE),0)</f>
        <v>0</v>
      </c>
      <c r="X248" s="305">
        <f>IF(V248="V",VLOOKUP(T248,Vtas3A!$A$2:$B$2425,2,FALSE),0)</f>
        <v>28000000</v>
      </c>
      <c r="Z248" s="304" t="s">
        <v>1622</v>
      </c>
      <c r="AA248" s="505">
        <f>VLOOKUP(Z248,'Im 3B'!$A$2:$C$2280,3,FALSE)</f>
        <v>0</v>
      </c>
      <c r="AB248" s="304" t="str">
        <f>VLOOKUP(Z248,'Im 3B'!$A$2:$D$3548,4,FALSE)</f>
        <v>V</v>
      </c>
      <c r="AC248" s="305">
        <f>IF(AB248="D",VLOOKUP(Z248,'Im 3B'!$A$2:$C$2280,2,FALSE),0)</f>
        <v>0</v>
      </c>
      <c r="AD248" s="305">
        <f>IF(AB248="V",VLOOKUP(Z248,Vtas3B!$A$2:$B$2438,2,FALSE),0)</f>
        <v>5000000</v>
      </c>
    </row>
    <row r="249" spans="2:30" x14ac:dyDescent="0.2">
      <c r="B249" s="304" t="s">
        <v>1394</v>
      </c>
      <c r="C249" s="304">
        <f>VLOOKUP(B249,'Im 1A'!$A$2:$C$1963,3,FALSE)</f>
        <v>0</v>
      </c>
      <c r="D249" s="304" t="str">
        <f>VLOOKUP(B249,'Im 1A'!$A$2:$D$3231,4,FALSE)</f>
        <v>V</v>
      </c>
      <c r="E249" s="305">
        <f>IF(D249="D",VLOOKUP(B249,'Im 1A'!$A$2:$C$1963,2,FALSE),0)</f>
        <v>0</v>
      </c>
      <c r="F249" s="305">
        <f>IF(D249="V",VLOOKUP(B249,Vtas1A!$A$2:$B$2357,2,FALSE),0)</f>
        <v>22000000</v>
      </c>
      <c r="H249" s="304" t="s">
        <v>3457</v>
      </c>
      <c r="I249" s="304">
        <f>VLOOKUP(H249,'Im 1B'!$A$2:$C$1947,3,FALSE)</f>
        <v>0</v>
      </c>
      <c r="J249" s="304" t="str">
        <f>VLOOKUP(H249,'Im 1B'!$A$2:$D$3215,4,FALSE)</f>
        <v>V</v>
      </c>
      <c r="K249" s="305">
        <f>IF(J249="D",VLOOKUP(H249,'Im 1B'!$A$2:$C$1947,2,FALSE),0)</f>
        <v>0</v>
      </c>
      <c r="L249" s="305">
        <f>IF(J249="V",VLOOKUP(H249,Vtas1B!$A$2:$B$2313,2,FALSE),0)</f>
        <v>5000000</v>
      </c>
      <c r="N249" s="505" t="s">
        <v>3243</v>
      </c>
      <c r="O249" s="505">
        <f>VLOOKUP(N249,'Im 2'!$A$2:$C$2278,3,FALSE)</f>
        <v>0</v>
      </c>
      <c r="P249" s="304" t="str">
        <f>VLOOKUP(N249,'Im 2'!$A$2:$D$3546,4,FALSE)</f>
        <v>V</v>
      </c>
      <c r="Q249" s="305">
        <f>IF(P249="D",VLOOKUP(N249,'Im 2'!$A$2:$C$2278,2,FALSE),0)</f>
        <v>0</v>
      </c>
      <c r="R249" s="305">
        <f>IF(P249="V",VLOOKUP(N249,Vtas2!$A$2:$B$2425,2,FALSE),0)</f>
        <v>26000000</v>
      </c>
      <c r="T249" s="304" t="s">
        <v>4334</v>
      </c>
      <c r="U249" s="505">
        <f>VLOOKUP(T249,'Im 3A'!$A$2:$C$2278,3,FALSE)</f>
        <v>0</v>
      </c>
      <c r="V249" s="304" t="str">
        <f>VLOOKUP(T249,'Im 3A'!$A$2:$D$3546,4,FALSE)</f>
        <v>V</v>
      </c>
      <c r="W249" s="305">
        <f>IF(V249="D",VLOOKUP(T249,'Im 3A'!$A$2:$C$2278,2,FALSE),0)</f>
        <v>0</v>
      </c>
      <c r="X249" s="305">
        <f>IF(V249="V",VLOOKUP(T249,Vtas3A!$A$2:$B$2425,2,FALSE),0)</f>
        <v>28000000</v>
      </c>
      <c r="Z249" s="304" t="s">
        <v>1589</v>
      </c>
      <c r="AA249" s="505">
        <f>VLOOKUP(Z249,'Im 3B'!$A$2:$C$2280,3,FALSE)</f>
        <v>0</v>
      </c>
      <c r="AB249" s="304" t="str">
        <f>VLOOKUP(Z249,'Im 3B'!$A$2:$D$3548,4,FALSE)</f>
        <v>V</v>
      </c>
      <c r="AC249" s="305">
        <f>IF(AB249="D",VLOOKUP(Z249,'Im 3B'!$A$2:$C$2280,2,FALSE),0)</f>
        <v>0</v>
      </c>
      <c r="AD249" s="305">
        <f>IF(AB249="V",VLOOKUP(Z249,Vtas3B!$A$2:$B$2438,2,FALSE),0)</f>
        <v>5000000</v>
      </c>
    </row>
    <row r="250" spans="2:30" x14ac:dyDescent="0.2">
      <c r="B250" s="304" t="s">
        <v>2729</v>
      </c>
      <c r="C250" s="304">
        <f>VLOOKUP(B250,'Im 1A'!$A$2:$C$1963,3,FALSE)</f>
        <v>0</v>
      </c>
      <c r="D250" s="304" t="str">
        <f>VLOOKUP(B250,'Im 1A'!$A$2:$D$3231,4,FALSE)</f>
        <v>V</v>
      </c>
      <c r="E250" s="305">
        <f>IF(D250="D",VLOOKUP(B250,'Im 1A'!$A$2:$C$1963,2,FALSE),0)</f>
        <v>0</v>
      </c>
      <c r="F250" s="305">
        <f>IF(D250="V",VLOOKUP(B250,Vtas1A!$A$2:$B$2357,2,FALSE),0)</f>
        <v>22000000</v>
      </c>
      <c r="H250" s="304" t="s">
        <v>3029</v>
      </c>
      <c r="I250" s="304">
        <f>VLOOKUP(H250,'Im 1B'!$A$2:$C$1947,3,FALSE)</f>
        <v>0</v>
      </c>
      <c r="J250" s="304" t="str">
        <f>VLOOKUP(H250,'Im 1B'!$A$2:$D$3215,4,FALSE)</f>
        <v>V</v>
      </c>
      <c r="K250" s="305">
        <f>IF(J250="D",VLOOKUP(H250,'Im 1B'!$A$2:$C$1947,2,FALSE),0)</f>
        <v>0</v>
      </c>
      <c r="L250" s="305">
        <f>IF(J250="V",VLOOKUP(H250,Vtas1B!$A$2:$B$2313,2,FALSE),0)</f>
        <v>5000000</v>
      </c>
      <c r="N250" s="505" t="s">
        <v>3065</v>
      </c>
      <c r="O250" s="505">
        <f>VLOOKUP(N250,'Im 2'!$A$2:$C$2278,3,FALSE)</f>
        <v>0</v>
      </c>
      <c r="P250" s="304" t="str">
        <f>VLOOKUP(N250,'Im 2'!$A$2:$D$3546,4,FALSE)</f>
        <v>V</v>
      </c>
      <c r="Q250" s="305">
        <f>IF(P250="D",VLOOKUP(N250,'Im 2'!$A$2:$C$2278,2,FALSE),0)</f>
        <v>0</v>
      </c>
      <c r="R250" s="305">
        <f>IF(P250="V",VLOOKUP(N250,Vtas2!$A$2:$B$2425,2,FALSE),0)</f>
        <v>26000000</v>
      </c>
      <c r="T250" s="304" t="s">
        <v>4335</v>
      </c>
      <c r="U250" s="505">
        <f>VLOOKUP(T250,'Im 3A'!$A$2:$C$2278,3,FALSE)</f>
        <v>0</v>
      </c>
      <c r="V250" s="304" t="str">
        <f>VLOOKUP(T250,'Im 3A'!$A$2:$D$3546,4,FALSE)</f>
        <v>V</v>
      </c>
      <c r="W250" s="305">
        <f>IF(V250="D",VLOOKUP(T250,'Im 3A'!$A$2:$C$2278,2,FALSE),0)</f>
        <v>0</v>
      </c>
      <c r="X250" s="305">
        <f>IF(V250="V",VLOOKUP(T250,Vtas3A!$A$2:$B$2425,2,FALSE),0)</f>
        <v>28000000</v>
      </c>
      <c r="Z250" s="304" t="s">
        <v>1590</v>
      </c>
      <c r="AA250" s="505">
        <f>VLOOKUP(Z250,'Im 3B'!$A$2:$C$2280,3,FALSE)</f>
        <v>0</v>
      </c>
      <c r="AB250" s="304" t="str">
        <f>VLOOKUP(Z250,'Im 3B'!$A$2:$D$3548,4,FALSE)</f>
        <v>V</v>
      </c>
      <c r="AC250" s="305">
        <f>IF(AB250="D",VLOOKUP(Z250,'Im 3B'!$A$2:$C$2280,2,FALSE),0)</f>
        <v>0</v>
      </c>
      <c r="AD250" s="305">
        <f>IF(AB250="V",VLOOKUP(Z250,Vtas3B!$A$2:$B$2438,2,FALSE),0)</f>
        <v>5000000</v>
      </c>
    </row>
    <row r="251" spans="2:30" x14ac:dyDescent="0.2">
      <c r="B251" s="304" t="s">
        <v>2548</v>
      </c>
      <c r="C251" s="304">
        <f>VLOOKUP(B251,'Im 1A'!$A$2:$C$1963,3,FALSE)</f>
        <v>0</v>
      </c>
      <c r="D251" s="304" t="str">
        <f>VLOOKUP(B251,'Im 1A'!$A$2:$D$3231,4,FALSE)</f>
        <v>V</v>
      </c>
      <c r="E251" s="305">
        <f>IF(D251="D",VLOOKUP(B251,'Im 1A'!$A$2:$C$1963,2,FALSE),0)</f>
        <v>0</v>
      </c>
      <c r="F251" s="305">
        <f>IF(D251="V",VLOOKUP(B251,Vtas1A!$A$2:$B$2357,2,FALSE),0)</f>
        <v>22000000</v>
      </c>
      <c r="H251" s="304" t="s">
        <v>3167</v>
      </c>
      <c r="I251" s="304">
        <f>VLOOKUP(H251,'Im 1B'!$A$2:$C$1947,3,FALSE)</f>
        <v>0</v>
      </c>
      <c r="J251" s="304" t="str">
        <f>VLOOKUP(H251,'Im 1B'!$A$2:$D$3215,4,FALSE)</f>
        <v>V</v>
      </c>
      <c r="K251" s="305">
        <f>IF(J251="D",VLOOKUP(H251,'Im 1B'!$A$2:$C$1947,2,FALSE),0)</f>
        <v>0</v>
      </c>
      <c r="L251" s="305">
        <f>IF(J251="V",VLOOKUP(H251,Vtas1B!$A$2:$B$2313,2,FALSE),0)</f>
        <v>5000000</v>
      </c>
      <c r="N251" s="505" t="s">
        <v>3182</v>
      </c>
      <c r="O251" s="505">
        <f>VLOOKUP(N251,'Im 2'!$A$2:$C$2278,3,FALSE)</f>
        <v>0</v>
      </c>
      <c r="P251" s="304" t="str">
        <f>VLOOKUP(N251,'Im 2'!$A$2:$D$3546,4,FALSE)</f>
        <v>V</v>
      </c>
      <c r="Q251" s="305">
        <f>IF(P251="D",VLOOKUP(N251,'Im 2'!$A$2:$C$2278,2,FALSE),0)</f>
        <v>0</v>
      </c>
      <c r="R251" s="305">
        <f>IF(P251="V",VLOOKUP(N251,Vtas2!$A$2:$B$2425,2,FALSE),0)</f>
        <v>26000000</v>
      </c>
      <c r="T251" s="304" t="s">
        <v>4409</v>
      </c>
      <c r="U251" s="505">
        <f>VLOOKUP(T251,'Im 3A'!$A$2:$C$2278,3,FALSE)</f>
        <v>0</v>
      </c>
      <c r="V251" s="304" t="str">
        <f>VLOOKUP(T251,'Im 3A'!$A$2:$D$3546,4,FALSE)</f>
        <v>V</v>
      </c>
      <c r="W251" s="305">
        <f>IF(V251="D",VLOOKUP(T251,'Im 3A'!$A$2:$C$2278,2,FALSE),0)</f>
        <v>0</v>
      </c>
      <c r="X251" s="305">
        <f>IF(V251="V",VLOOKUP(T251,Vtas3A!$A$2:$B$2425,2,FALSE),0)</f>
        <v>28000000</v>
      </c>
      <c r="Z251" s="304" t="s">
        <v>1428</v>
      </c>
      <c r="AA251" s="505">
        <f>VLOOKUP(Z251,'Im 3B'!$A$2:$C$2280,3,FALSE)</f>
        <v>0</v>
      </c>
      <c r="AB251" s="304" t="str">
        <f>VLOOKUP(Z251,'Im 3B'!$A$2:$D$3548,4,FALSE)</f>
        <v>V</v>
      </c>
      <c r="AC251" s="305">
        <f>IF(AB251="D",VLOOKUP(Z251,'Im 3B'!$A$2:$C$2280,2,FALSE),0)</f>
        <v>0</v>
      </c>
      <c r="AD251" s="305">
        <f>IF(AB251="V",VLOOKUP(Z251,Vtas3B!$A$2:$B$2438,2,FALSE),0)</f>
        <v>5000000</v>
      </c>
    </row>
    <row r="252" spans="2:30" x14ac:dyDescent="0.2">
      <c r="B252" s="304" t="s">
        <v>1322</v>
      </c>
      <c r="C252" s="304">
        <f>VLOOKUP(B252,'Im 1A'!$A$2:$C$1963,3,FALSE)</f>
        <v>0</v>
      </c>
      <c r="D252" s="304" t="str">
        <f>VLOOKUP(B252,'Im 1A'!$A$2:$D$3231,4,FALSE)</f>
        <v>V</v>
      </c>
      <c r="E252" s="305">
        <f>IF(D252="D",VLOOKUP(B252,'Im 1A'!$A$2:$C$1963,2,FALSE),0)</f>
        <v>0</v>
      </c>
      <c r="F252" s="305">
        <f>IF(D252="V",VLOOKUP(B252,Vtas1A!$A$2:$B$2357,2,FALSE),0)</f>
        <v>22000000</v>
      </c>
      <c r="H252" s="304" t="s">
        <v>2637</v>
      </c>
      <c r="I252" s="304">
        <f>VLOOKUP(H252,'Im 1B'!$A$2:$C$1947,3,FALSE)</f>
        <v>0</v>
      </c>
      <c r="J252" s="304" t="str">
        <f>VLOOKUP(H252,'Im 1B'!$A$2:$D$3215,4,FALSE)</f>
        <v>V</v>
      </c>
      <c r="K252" s="305">
        <f>IF(J252="D",VLOOKUP(H252,'Im 1B'!$A$2:$C$1947,2,FALSE),0)</f>
        <v>0</v>
      </c>
      <c r="L252" s="305">
        <f>IF(J252="V",VLOOKUP(H252,Vtas1B!$A$2:$B$2313,2,FALSE),0)</f>
        <v>5000000</v>
      </c>
      <c r="N252" s="505" t="s">
        <v>2883</v>
      </c>
      <c r="O252" s="505">
        <f>VLOOKUP(N252,'Im 2'!$A$2:$C$2278,3,FALSE)</f>
        <v>0</v>
      </c>
      <c r="P252" s="304" t="str">
        <f>VLOOKUP(N252,'Im 2'!$A$2:$D$3546,4,FALSE)</f>
        <v>V</v>
      </c>
      <c r="Q252" s="305">
        <f>IF(P252="D",VLOOKUP(N252,'Im 2'!$A$2:$C$2278,2,FALSE),0)</f>
        <v>0</v>
      </c>
      <c r="R252" s="305">
        <f>IF(P252="V",VLOOKUP(N252,Vtas2!$A$2:$B$2425,2,FALSE),0)</f>
        <v>26000000</v>
      </c>
      <c r="T252" s="304" t="s">
        <v>4336</v>
      </c>
      <c r="U252" s="505">
        <f>VLOOKUP(T252,'Im 3A'!$A$2:$C$2278,3,FALSE)</f>
        <v>0</v>
      </c>
      <c r="V252" s="304" t="str">
        <f>VLOOKUP(T252,'Im 3A'!$A$2:$D$3546,4,FALSE)</f>
        <v>V</v>
      </c>
      <c r="W252" s="305">
        <f>IF(V252="D",VLOOKUP(T252,'Im 3A'!$A$2:$C$2278,2,FALSE),0)</f>
        <v>0</v>
      </c>
      <c r="X252" s="305">
        <f>IF(V252="V",VLOOKUP(T252,Vtas3A!$A$2:$B$2425,2,FALSE),0)</f>
        <v>28000000</v>
      </c>
      <c r="Z252" s="304" t="s">
        <v>2599</v>
      </c>
      <c r="AA252" s="505">
        <f>VLOOKUP(Z252,'Im 3B'!$A$2:$C$2280,3,FALSE)</f>
        <v>0</v>
      </c>
      <c r="AB252" s="304" t="str">
        <f>VLOOKUP(Z252,'Im 3B'!$A$2:$D$3548,4,FALSE)</f>
        <v>V</v>
      </c>
      <c r="AC252" s="305">
        <f>IF(AB252="D",VLOOKUP(Z252,'Im 3B'!$A$2:$C$2280,2,FALSE),0)</f>
        <v>0</v>
      </c>
      <c r="AD252" s="305">
        <f>IF(AB252="V",VLOOKUP(Z252,Vtas3B!$A$2:$B$2438,2,FALSE),0)</f>
        <v>5000000</v>
      </c>
    </row>
    <row r="253" spans="2:30" x14ac:dyDescent="0.2">
      <c r="B253" s="304" t="s">
        <v>1581</v>
      </c>
      <c r="C253" s="304">
        <f>VLOOKUP(B253,'Im 1A'!$A$2:$C$1963,3,FALSE)</f>
        <v>0</v>
      </c>
      <c r="D253" s="304" t="str">
        <f>VLOOKUP(B253,'Im 1A'!$A$2:$D$3231,4,FALSE)</f>
        <v>V</v>
      </c>
      <c r="E253" s="305">
        <f>IF(D253="D",VLOOKUP(B253,'Im 1A'!$A$2:$C$1963,2,FALSE),0)</f>
        <v>0</v>
      </c>
      <c r="F253" s="305">
        <f>IF(D253="V",VLOOKUP(B253,Vtas1A!$A$2:$B$2357,2,FALSE),0)</f>
        <v>22000000</v>
      </c>
      <c r="H253" s="304" t="s">
        <v>3030</v>
      </c>
      <c r="I253" s="304">
        <f>VLOOKUP(H253,'Im 1B'!$A$2:$C$1947,3,FALSE)</f>
        <v>0</v>
      </c>
      <c r="J253" s="304" t="str">
        <f>VLOOKUP(H253,'Im 1B'!$A$2:$D$3215,4,FALSE)</f>
        <v>V</v>
      </c>
      <c r="K253" s="305">
        <f>IF(J253="D",VLOOKUP(H253,'Im 1B'!$A$2:$C$1947,2,FALSE),0)</f>
        <v>0</v>
      </c>
      <c r="L253" s="305">
        <f>IF(J253="V",VLOOKUP(H253,Vtas1B!$A$2:$B$2313,2,FALSE),0)</f>
        <v>5000000</v>
      </c>
      <c r="N253" s="505" t="s">
        <v>2884</v>
      </c>
      <c r="O253" s="505">
        <f>VLOOKUP(N253,'Im 2'!$A$2:$C$2278,3,FALSE)</f>
        <v>0</v>
      </c>
      <c r="P253" s="304" t="str">
        <f>VLOOKUP(N253,'Im 2'!$A$2:$D$3546,4,FALSE)</f>
        <v>V</v>
      </c>
      <c r="Q253" s="305">
        <f>IF(P253="D",VLOOKUP(N253,'Im 2'!$A$2:$C$2278,2,FALSE),0)</f>
        <v>0</v>
      </c>
      <c r="R253" s="305">
        <f>IF(P253="V",VLOOKUP(N253,Vtas2!$A$2:$B$2425,2,FALSE),0)</f>
        <v>26000000</v>
      </c>
      <c r="T253" s="304" t="s">
        <v>4410</v>
      </c>
      <c r="U253" s="505">
        <f>VLOOKUP(T253,'Im 3A'!$A$2:$C$2278,3,FALSE)</f>
        <v>0</v>
      </c>
      <c r="V253" s="304" t="str">
        <f>VLOOKUP(T253,'Im 3A'!$A$2:$D$3546,4,FALSE)</f>
        <v>V</v>
      </c>
      <c r="W253" s="305">
        <f>IF(V253="D",VLOOKUP(T253,'Im 3A'!$A$2:$C$2278,2,FALSE),0)</f>
        <v>0</v>
      </c>
      <c r="X253" s="305">
        <f>IF(V253="V",VLOOKUP(T253,Vtas3A!$A$2:$B$2425,2,FALSE),0)</f>
        <v>28000000</v>
      </c>
      <c r="Z253" s="304" t="s">
        <v>1737</v>
      </c>
      <c r="AA253" s="505">
        <f>VLOOKUP(Z253,'Im 3B'!$A$2:$C$2280,3,FALSE)</f>
        <v>0</v>
      </c>
      <c r="AB253" s="304" t="str">
        <f>VLOOKUP(Z253,'Im 3B'!$A$2:$D$3548,4,FALSE)</f>
        <v>V</v>
      </c>
      <c r="AC253" s="305">
        <f>IF(AB253="D",VLOOKUP(Z253,'Im 3B'!$A$2:$C$2280,2,FALSE),0)</f>
        <v>0</v>
      </c>
      <c r="AD253" s="305">
        <f>IF(AB253="V",VLOOKUP(Z253,Vtas3B!$A$2:$B$2438,2,FALSE),0)</f>
        <v>5000000</v>
      </c>
    </row>
    <row r="254" spans="2:30" x14ac:dyDescent="0.2">
      <c r="B254" s="304" t="s">
        <v>2549</v>
      </c>
      <c r="C254" s="304">
        <f>VLOOKUP(B254,'Im 1A'!$A$2:$C$1963,3,FALSE)</f>
        <v>0</v>
      </c>
      <c r="D254" s="304" t="str">
        <f>VLOOKUP(B254,'Im 1A'!$A$2:$D$3231,4,FALSE)</f>
        <v>V</v>
      </c>
      <c r="E254" s="305">
        <f>IF(D254="D",VLOOKUP(B254,'Im 1A'!$A$2:$C$1963,2,FALSE),0)</f>
        <v>0</v>
      </c>
      <c r="F254" s="305">
        <f>IF(D254="V",VLOOKUP(B254,Vtas1A!$A$2:$B$2357,2,FALSE),0)</f>
        <v>22000000</v>
      </c>
      <c r="H254" s="304" t="s">
        <v>3031</v>
      </c>
      <c r="I254" s="304">
        <f>VLOOKUP(H254,'Im 1B'!$A$2:$C$1947,3,FALSE)</f>
        <v>0</v>
      </c>
      <c r="J254" s="304" t="str">
        <f>VLOOKUP(H254,'Im 1B'!$A$2:$D$3215,4,FALSE)</f>
        <v>V</v>
      </c>
      <c r="K254" s="305">
        <f>IF(J254="D",VLOOKUP(H254,'Im 1B'!$A$2:$C$1947,2,FALSE),0)</f>
        <v>0</v>
      </c>
      <c r="L254" s="305">
        <f>IF(J254="V",VLOOKUP(H254,Vtas1B!$A$2:$B$2313,2,FALSE),0)</f>
        <v>5000000</v>
      </c>
      <c r="N254" s="505" t="s">
        <v>4380</v>
      </c>
      <c r="O254" s="505">
        <f>VLOOKUP(N254,'Im 2'!$A$2:$C$2278,3,FALSE)</f>
        <v>0</v>
      </c>
      <c r="P254" s="304" t="str">
        <f>VLOOKUP(N254,'Im 2'!$A$2:$D$3546,4,FALSE)</f>
        <v>V</v>
      </c>
      <c r="Q254" s="305">
        <f>IF(P254="D",VLOOKUP(N254,'Im 2'!$A$2:$C$2278,2,FALSE),0)</f>
        <v>0</v>
      </c>
      <c r="R254" s="305">
        <f>IF(P254="V",VLOOKUP(N254,Vtas2!$A$2:$B$2425,2,FALSE),0)</f>
        <v>26000000</v>
      </c>
      <c r="T254" s="304" t="s">
        <v>3251</v>
      </c>
      <c r="U254" s="505">
        <f>VLOOKUP(T254,'Im 3A'!$A$2:$C$2278,3,FALSE)</f>
        <v>0</v>
      </c>
      <c r="V254" s="304" t="str">
        <f>VLOOKUP(T254,'Im 3A'!$A$2:$D$3546,4,FALSE)</f>
        <v>V</v>
      </c>
      <c r="W254" s="305">
        <f>IF(V254="D",VLOOKUP(T254,'Im 3A'!$A$2:$C$2278,2,FALSE),0)</f>
        <v>0</v>
      </c>
      <c r="X254" s="305">
        <f>IF(V254="V",VLOOKUP(T254,Vtas3A!$A$2:$B$2425,2,FALSE),0)</f>
        <v>24000000</v>
      </c>
      <c r="Z254" s="304" t="s">
        <v>1281</v>
      </c>
      <c r="AA254" s="505">
        <f>VLOOKUP(Z254,'Im 3B'!$A$2:$C$2280,3,FALSE)</f>
        <v>0</v>
      </c>
      <c r="AB254" s="304" t="str">
        <f>VLOOKUP(Z254,'Im 3B'!$A$2:$D$3548,4,FALSE)</f>
        <v>V</v>
      </c>
      <c r="AC254" s="305">
        <f>IF(AB254="D",VLOOKUP(Z254,'Im 3B'!$A$2:$C$2280,2,FALSE),0)</f>
        <v>0</v>
      </c>
      <c r="AD254" s="305">
        <f>IF(AB254="V",VLOOKUP(Z254,Vtas3B!$A$2:$B$2438,2,FALSE),0)</f>
        <v>5000000</v>
      </c>
    </row>
    <row r="255" spans="2:30" x14ac:dyDescent="0.2">
      <c r="B255" s="304" t="s">
        <v>1538</v>
      </c>
      <c r="C255" s="304">
        <f>VLOOKUP(B255,'Im 1A'!$A$2:$C$1963,3,FALSE)</f>
        <v>0</v>
      </c>
      <c r="D255" s="304" t="str">
        <f>VLOOKUP(B255,'Im 1A'!$A$2:$D$3231,4,FALSE)</f>
        <v>V</v>
      </c>
      <c r="E255" s="305">
        <f>IF(D255="D",VLOOKUP(B255,'Im 1A'!$A$2:$C$1963,2,FALSE),0)</f>
        <v>0</v>
      </c>
      <c r="F255" s="305">
        <f>IF(D255="V",VLOOKUP(B255,Vtas1A!$A$2:$B$2357,2,FALSE),0)</f>
        <v>22000000</v>
      </c>
      <c r="H255" s="304" t="s">
        <v>1632</v>
      </c>
      <c r="I255" s="304">
        <f>VLOOKUP(H255,'Im 1B'!$A$2:$C$1947,3,FALSE)</f>
        <v>0</v>
      </c>
      <c r="J255" s="304" t="str">
        <f>VLOOKUP(H255,'Im 1B'!$A$2:$D$3215,4,FALSE)</f>
        <v>V</v>
      </c>
      <c r="K255" s="305">
        <f>IF(J255="D",VLOOKUP(H255,'Im 1B'!$A$2:$C$1947,2,FALSE),0)</f>
        <v>0</v>
      </c>
      <c r="L255" s="305">
        <f>IF(J255="V",VLOOKUP(H255,Vtas1B!$A$2:$B$2313,2,FALSE),0)</f>
        <v>5000000</v>
      </c>
      <c r="N255" s="505" t="s">
        <v>3067</v>
      </c>
      <c r="O255" s="505">
        <f>VLOOKUP(N255,'Im 2'!$A$2:$C$2278,3,FALSE)</f>
        <v>0</v>
      </c>
      <c r="P255" s="304" t="str">
        <f>VLOOKUP(N255,'Im 2'!$A$2:$D$3546,4,FALSE)</f>
        <v>V</v>
      </c>
      <c r="Q255" s="305">
        <f>IF(P255="D",VLOOKUP(N255,'Im 2'!$A$2:$C$2278,2,FALSE),0)</f>
        <v>0</v>
      </c>
      <c r="R255" s="305">
        <f>IF(P255="V",VLOOKUP(N255,Vtas2!$A$2:$B$2425,2,FALSE),0)</f>
        <v>26000000</v>
      </c>
      <c r="T255" s="304" t="s">
        <v>4411</v>
      </c>
      <c r="U255" s="505">
        <f>VLOOKUP(T255,'Im 3A'!$A$2:$C$2278,3,FALSE)</f>
        <v>0</v>
      </c>
      <c r="V255" s="304" t="str">
        <f>VLOOKUP(T255,'Im 3A'!$A$2:$D$3546,4,FALSE)</f>
        <v>V</v>
      </c>
      <c r="W255" s="305">
        <f>IF(V255="D",VLOOKUP(T255,'Im 3A'!$A$2:$C$2278,2,FALSE),0)</f>
        <v>0</v>
      </c>
      <c r="X255" s="305">
        <f>IF(V255="V",VLOOKUP(T255,Vtas3A!$A$2:$B$2425,2,FALSE),0)</f>
        <v>29000000</v>
      </c>
      <c r="Z255" s="304" t="s">
        <v>1460</v>
      </c>
      <c r="AA255" s="505">
        <f>VLOOKUP(Z255,'Im 3B'!$A$2:$C$2280,3,FALSE)</f>
        <v>0</v>
      </c>
      <c r="AB255" s="304" t="str">
        <f>VLOOKUP(Z255,'Im 3B'!$A$2:$D$3548,4,FALSE)</f>
        <v>V</v>
      </c>
      <c r="AC255" s="305">
        <f>IF(AB255="D",VLOOKUP(Z255,'Im 3B'!$A$2:$C$2280,2,FALSE),0)</f>
        <v>0</v>
      </c>
      <c r="AD255" s="305">
        <f>IF(AB255="V",VLOOKUP(Z255,Vtas3B!$A$2:$B$2438,2,FALSE),0)</f>
        <v>5000000</v>
      </c>
    </row>
    <row r="256" spans="2:30" x14ac:dyDescent="0.2">
      <c r="B256" s="304" t="s">
        <v>2253</v>
      </c>
      <c r="C256" s="304">
        <f>VLOOKUP(B256,'Im 1A'!$A$2:$C$1963,3,FALSE)</f>
        <v>0</v>
      </c>
      <c r="D256" s="304" t="str">
        <f>VLOOKUP(B256,'Im 1A'!$A$2:$D$3231,4,FALSE)</f>
        <v>V</v>
      </c>
      <c r="E256" s="305">
        <f>IF(D256="D",VLOOKUP(B256,'Im 1A'!$A$2:$C$1963,2,FALSE),0)</f>
        <v>0</v>
      </c>
      <c r="F256" s="305">
        <f>IF(D256="V",VLOOKUP(B256,Vtas1A!$A$2:$B$2357,2,FALSE),0)</f>
        <v>22000000</v>
      </c>
      <c r="H256" s="304" t="s">
        <v>3032</v>
      </c>
      <c r="I256" s="304">
        <f>VLOOKUP(H256,'Im 1B'!$A$2:$C$1947,3,FALSE)</f>
        <v>0</v>
      </c>
      <c r="J256" s="304" t="str">
        <f>VLOOKUP(H256,'Im 1B'!$A$2:$D$3215,4,FALSE)</f>
        <v>V</v>
      </c>
      <c r="K256" s="305">
        <f>IF(J256="D",VLOOKUP(H256,'Im 1B'!$A$2:$C$1947,2,FALSE),0)</f>
        <v>0</v>
      </c>
      <c r="L256" s="305">
        <f>IF(J256="V",VLOOKUP(H256,Vtas1B!$A$2:$B$2313,2,FALSE),0)</f>
        <v>5000000</v>
      </c>
      <c r="N256" s="505" t="s">
        <v>2885</v>
      </c>
      <c r="O256" s="505">
        <f>VLOOKUP(N256,'Im 2'!$A$2:$C$2278,3,FALSE)</f>
        <v>0</v>
      </c>
      <c r="P256" s="304" t="str">
        <f>VLOOKUP(N256,'Im 2'!$A$2:$D$3546,4,FALSE)</f>
        <v>V</v>
      </c>
      <c r="Q256" s="305">
        <f>IF(P256="D",VLOOKUP(N256,'Im 2'!$A$2:$C$2278,2,FALSE),0)</f>
        <v>0</v>
      </c>
      <c r="R256" s="305">
        <f>IF(P256="V",VLOOKUP(N256,Vtas2!$A$2:$B$2425,2,FALSE),0)</f>
        <v>26000000</v>
      </c>
      <c r="T256" s="304" t="s">
        <v>4412</v>
      </c>
      <c r="U256" s="505">
        <f>VLOOKUP(T256,'Im 3A'!$A$2:$C$2278,3,FALSE)</f>
        <v>0</v>
      </c>
      <c r="V256" s="304" t="str">
        <f>VLOOKUP(T256,'Im 3A'!$A$2:$D$3546,4,FALSE)</f>
        <v>V</v>
      </c>
      <c r="W256" s="305">
        <f>IF(V256="D",VLOOKUP(T256,'Im 3A'!$A$2:$C$2278,2,FALSE),0)</f>
        <v>0</v>
      </c>
      <c r="X256" s="305">
        <f>IF(V256="V",VLOOKUP(T256,Vtas3A!$A$2:$B$2425,2,FALSE),0)</f>
        <v>28000000</v>
      </c>
      <c r="Z256" s="304" t="s">
        <v>1506</v>
      </c>
      <c r="AA256" s="505">
        <f>VLOOKUP(Z256,'Im 3B'!$A$2:$C$2280,3,FALSE)</f>
        <v>0</v>
      </c>
      <c r="AB256" s="304" t="str">
        <f>VLOOKUP(Z256,'Im 3B'!$A$2:$D$3548,4,FALSE)</f>
        <v>V</v>
      </c>
      <c r="AC256" s="305">
        <f>IF(AB256="D",VLOOKUP(Z256,'Im 3B'!$A$2:$C$2280,2,FALSE),0)</f>
        <v>0</v>
      </c>
      <c r="AD256" s="305">
        <f>IF(AB256="V",VLOOKUP(Z256,Vtas3B!$A$2:$B$2438,2,FALSE),0)</f>
        <v>5000000</v>
      </c>
    </row>
    <row r="257" spans="2:30" x14ac:dyDescent="0.2">
      <c r="B257" s="304" t="s">
        <v>2296</v>
      </c>
      <c r="C257" s="304">
        <f>VLOOKUP(B257,'Im 1A'!$A$2:$C$1963,3,FALSE)</f>
        <v>0</v>
      </c>
      <c r="D257" s="304" t="str">
        <f>VLOOKUP(B257,'Im 1A'!$A$2:$D$3231,4,FALSE)</f>
        <v>V</v>
      </c>
      <c r="E257" s="305">
        <f>IF(D257="D",VLOOKUP(B257,'Im 1A'!$A$2:$C$1963,2,FALSE),0)</f>
        <v>0</v>
      </c>
      <c r="F257" s="305">
        <f>IF(D257="V",VLOOKUP(B257,Vtas1A!$A$2:$B$2357,2,FALSE),0)</f>
        <v>22000000</v>
      </c>
      <c r="H257" s="304" t="s">
        <v>3458</v>
      </c>
      <c r="I257" s="304">
        <f>VLOOKUP(H257,'Im 1B'!$A$2:$C$1947,3,FALSE)</f>
        <v>0</v>
      </c>
      <c r="J257" s="304" t="str">
        <f>VLOOKUP(H257,'Im 1B'!$A$2:$D$3215,4,FALSE)</f>
        <v>V</v>
      </c>
      <c r="K257" s="305">
        <f>IF(J257="D",VLOOKUP(H257,'Im 1B'!$A$2:$C$1947,2,FALSE),0)</f>
        <v>0</v>
      </c>
      <c r="L257" s="305">
        <f>IF(J257="V",VLOOKUP(H257,Vtas1B!$A$2:$B$2313,2,FALSE),0)</f>
        <v>5000000</v>
      </c>
      <c r="N257" s="505" t="s">
        <v>2886</v>
      </c>
      <c r="O257" s="505">
        <f>VLOOKUP(N257,'Im 2'!$A$2:$C$2278,3,FALSE)</f>
        <v>0</v>
      </c>
      <c r="P257" s="304" t="str">
        <f>VLOOKUP(N257,'Im 2'!$A$2:$D$3546,4,FALSE)</f>
        <v>V</v>
      </c>
      <c r="Q257" s="305">
        <f>IF(P257="D",VLOOKUP(N257,'Im 2'!$A$2:$C$2278,2,FALSE),0)</f>
        <v>0</v>
      </c>
      <c r="R257" s="305">
        <f>IF(P257="V",VLOOKUP(N257,Vtas2!$A$2:$B$2425,2,FALSE),0)</f>
        <v>26000000</v>
      </c>
      <c r="T257" s="304" t="s">
        <v>4337</v>
      </c>
      <c r="U257" s="505">
        <f>VLOOKUP(T257,'Im 3A'!$A$2:$C$2278,3,FALSE)</f>
        <v>0</v>
      </c>
      <c r="V257" s="304" t="str">
        <f>VLOOKUP(T257,'Im 3A'!$A$2:$D$3546,4,FALSE)</f>
        <v>V</v>
      </c>
      <c r="W257" s="305">
        <f>IF(V257="D",VLOOKUP(T257,'Im 3A'!$A$2:$C$2278,2,FALSE),0)</f>
        <v>0</v>
      </c>
      <c r="X257" s="305">
        <f>IF(V257="V",VLOOKUP(T257,Vtas3A!$A$2:$B$2425,2,FALSE),0)</f>
        <v>28000000</v>
      </c>
      <c r="Z257" s="304" t="s">
        <v>1373</v>
      </c>
      <c r="AA257" s="505">
        <f>VLOOKUP(Z257,'Im 3B'!$A$2:$C$2280,3,FALSE)</f>
        <v>0</v>
      </c>
      <c r="AB257" s="304" t="str">
        <f>VLOOKUP(Z257,'Im 3B'!$A$2:$D$3548,4,FALSE)</f>
        <v>V</v>
      </c>
      <c r="AC257" s="305">
        <f>IF(AB257="D",VLOOKUP(Z257,'Im 3B'!$A$2:$C$2280,2,FALSE),0)</f>
        <v>0</v>
      </c>
      <c r="AD257" s="305">
        <f>IF(AB257="V",VLOOKUP(Z257,Vtas3B!$A$2:$B$2438,2,FALSE),0)</f>
        <v>5000000</v>
      </c>
    </row>
    <row r="258" spans="2:30" x14ac:dyDescent="0.2">
      <c r="B258" s="304" t="s">
        <v>2254</v>
      </c>
      <c r="C258" s="304">
        <f>VLOOKUP(B258,'Im 1A'!$A$2:$C$1963,3,FALSE)</f>
        <v>0</v>
      </c>
      <c r="D258" s="304" t="str">
        <f>VLOOKUP(B258,'Im 1A'!$A$2:$D$3231,4,FALSE)</f>
        <v>V</v>
      </c>
      <c r="E258" s="305">
        <f>IF(D258="D",VLOOKUP(B258,'Im 1A'!$A$2:$C$1963,2,FALSE),0)</f>
        <v>0</v>
      </c>
      <c r="F258" s="305">
        <f>IF(D258="V",VLOOKUP(B258,Vtas1A!$A$2:$B$2357,2,FALSE),0)</f>
        <v>27000000</v>
      </c>
      <c r="H258" s="304" t="s">
        <v>3033</v>
      </c>
      <c r="I258" s="304">
        <f>VLOOKUP(H258,'Im 1B'!$A$2:$C$1947,3,FALSE)</f>
        <v>0</v>
      </c>
      <c r="J258" s="304" t="str">
        <f>VLOOKUP(H258,'Im 1B'!$A$2:$D$3215,4,FALSE)</f>
        <v>V</v>
      </c>
      <c r="K258" s="305">
        <f>IF(J258="D",VLOOKUP(H258,'Im 1B'!$A$2:$C$1947,2,FALSE),0)</f>
        <v>0</v>
      </c>
      <c r="L258" s="305">
        <f>IF(J258="V",VLOOKUP(H258,Vtas1B!$A$2:$B$2313,2,FALSE),0)</f>
        <v>5000000</v>
      </c>
      <c r="N258" s="505" t="s">
        <v>2887</v>
      </c>
      <c r="O258" s="505">
        <f>VLOOKUP(N258,'Im 2'!$A$2:$C$2278,3,FALSE)</f>
        <v>0</v>
      </c>
      <c r="P258" s="304" t="str">
        <f>VLOOKUP(N258,'Im 2'!$A$2:$D$3546,4,FALSE)</f>
        <v>V</v>
      </c>
      <c r="Q258" s="305">
        <f>IF(P258="D",VLOOKUP(N258,'Im 2'!$A$2:$C$2278,2,FALSE),0)</f>
        <v>0</v>
      </c>
      <c r="R258" s="305">
        <f>IF(P258="V",VLOOKUP(N258,Vtas2!$A$2:$B$2425,2,FALSE),0)</f>
        <v>26000000</v>
      </c>
      <c r="T258" s="304" t="s">
        <v>4413</v>
      </c>
      <c r="U258" s="505">
        <f>VLOOKUP(T258,'Im 3A'!$A$2:$C$2278,3,FALSE)</f>
        <v>0</v>
      </c>
      <c r="V258" s="304" t="str">
        <f>VLOOKUP(T258,'Im 3A'!$A$2:$D$3546,4,FALSE)</f>
        <v>V</v>
      </c>
      <c r="W258" s="305">
        <f>IF(V258="D",VLOOKUP(T258,'Im 3A'!$A$2:$C$2278,2,FALSE),0)</f>
        <v>0</v>
      </c>
      <c r="X258" s="305">
        <f>IF(V258="V",VLOOKUP(T258,Vtas3A!$A$2:$B$2425,2,FALSE),0)</f>
        <v>28000000</v>
      </c>
      <c r="Z258" s="304" t="s">
        <v>1282</v>
      </c>
      <c r="AA258" s="505">
        <f>VLOOKUP(Z258,'Im 3B'!$A$2:$C$2280,3,FALSE)</f>
        <v>0</v>
      </c>
      <c r="AB258" s="304" t="str">
        <f>VLOOKUP(Z258,'Im 3B'!$A$2:$D$3548,4,FALSE)</f>
        <v>V</v>
      </c>
      <c r="AC258" s="305">
        <f>IF(AB258="D",VLOOKUP(Z258,'Im 3B'!$A$2:$C$2280,2,FALSE),0)</f>
        <v>0</v>
      </c>
      <c r="AD258" s="305">
        <f>IF(AB258="V",VLOOKUP(Z258,Vtas3B!$A$2:$B$2438,2,FALSE),0)</f>
        <v>5000000</v>
      </c>
    </row>
    <row r="259" spans="2:30" x14ac:dyDescent="0.2">
      <c r="B259" s="304" t="s">
        <v>2585</v>
      </c>
      <c r="C259" s="304">
        <f>VLOOKUP(B259,'Im 1A'!$A$2:$C$1963,3,FALSE)</f>
        <v>0</v>
      </c>
      <c r="D259" s="304" t="str">
        <f>VLOOKUP(B259,'Im 1A'!$A$2:$D$3231,4,FALSE)</f>
        <v>V</v>
      </c>
      <c r="E259" s="305">
        <f>IF(D259="D",VLOOKUP(B259,'Im 1A'!$A$2:$C$1963,2,FALSE),0)</f>
        <v>0</v>
      </c>
      <c r="F259" s="305">
        <f>IF(D259="V",VLOOKUP(B259,Vtas1A!$A$2:$B$2357,2,FALSE),0)</f>
        <v>27000000</v>
      </c>
      <c r="H259" s="304" t="s">
        <v>3296</v>
      </c>
      <c r="I259" s="304">
        <f>VLOOKUP(H259,'Im 1B'!$A$2:$C$1947,3,FALSE)</f>
        <v>0</v>
      </c>
      <c r="J259" s="304" t="str">
        <f>VLOOKUP(H259,'Im 1B'!$A$2:$D$3215,4,FALSE)</f>
        <v>V</v>
      </c>
      <c r="K259" s="305">
        <f>IF(J259="D",VLOOKUP(H259,'Im 1B'!$A$2:$C$1947,2,FALSE),0)</f>
        <v>0</v>
      </c>
      <c r="L259" s="305">
        <f>IF(J259="V",VLOOKUP(H259,Vtas1B!$A$2:$B$2313,2,FALSE),0)</f>
        <v>5000000</v>
      </c>
      <c r="N259" s="505" t="s">
        <v>3068</v>
      </c>
      <c r="O259" s="505">
        <f>VLOOKUP(N259,'Im 2'!$A$2:$C$2278,3,FALSE)</f>
        <v>0</v>
      </c>
      <c r="P259" s="304" t="str">
        <f>VLOOKUP(N259,'Im 2'!$A$2:$D$3546,4,FALSE)</f>
        <v>V</v>
      </c>
      <c r="Q259" s="305">
        <f>IF(P259="D",VLOOKUP(N259,'Im 2'!$A$2:$C$2278,2,FALSE),0)</f>
        <v>0</v>
      </c>
      <c r="R259" s="305">
        <f>IF(P259="V",VLOOKUP(N259,Vtas2!$A$2:$B$2425,2,FALSE),0)</f>
        <v>26000000</v>
      </c>
      <c r="T259" s="304" t="s">
        <v>3896</v>
      </c>
      <c r="U259" s="505">
        <f>VLOOKUP(T259,'Im 3A'!$A$2:$C$2278,3,FALSE)</f>
        <v>0</v>
      </c>
      <c r="V259" s="304" t="str">
        <f>VLOOKUP(T259,'Im 3A'!$A$2:$D$3546,4,FALSE)</f>
        <v>V</v>
      </c>
      <c r="W259" s="305">
        <f>IF(V259="D",VLOOKUP(T259,'Im 3A'!$A$2:$C$2278,2,FALSE),0)</f>
        <v>0</v>
      </c>
      <c r="X259" s="305">
        <f>IF(V259="V",VLOOKUP(T259,Vtas3A!$A$2:$B$2425,2,FALSE),0)</f>
        <v>24000000</v>
      </c>
      <c r="Z259" s="304" t="s">
        <v>1591</v>
      </c>
      <c r="AA259" s="505">
        <f>VLOOKUP(Z259,'Im 3B'!$A$2:$C$2280,3,FALSE)</f>
        <v>0</v>
      </c>
      <c r="AB259" s="304" t="str">
        <f>VLOOKUP(Z259,'Im 3B'!$A$2:$D$3548,4,FALSE)</f>
        <v>V</v>
      </c>
      <c r="AC259" s="305">
        <f>IF(AB259="D",VLOOKUP(Z259,'Im 3B'!$A$2:$C$2280,2,FALSE),0)</f>
        <v>0</v>
      </c>
      <c r="AD259" s="305">
        <f>IF(AB259="V",VLOOKUP(Z259,Vtas3B!$A$2:$B$2438,2,FALSE),0)</f>
        <v>5000000</v>
      </c>
    </row>
    <row r="260" spans="2:30" x14ac:dyDescent="0.2">
      <c r="B260" s="304" t="s">
        <v>2624</v>
      </c>
      <c r="C260" s="304">
        <f>VLOOKUP(B260,'Im 1A'!$A$2:$C$1963,3,FALSE)</f>
        <v>0</v>
      </c>
      <c r="D260" s="304" t="str">
        <f>VLOOKUP(B260,'Im 1A'!$A$2:$D$3231,4,FALSE)</f>
        <v>V</v>
      </c>
      <c r="E260" s="305">
        <f>IF(D260="D",VLOOKUP(B260,'Im 1A'!$A$2:$C$1963,2,FALSE),0)</f>
        <v>0</v>
      </c>
      <c r="F260" s="305">
        <f>IF(D260="V",VLOOKUP(B260,Vtas1A!$A$2:$B$2357,2,FALSE),0)</f>
        <v>27000000</v>
      </c>
      <c r="H260" s="304" t="s">
        <v>987</v>
      </c>
      <c r="I260" s="304">
        <f>VLOOKUP(H260,'Im 1B'!$A$2:$C$1947,3,FALSE)</f>
        <v>0</v>
      </c>
      <c r="J260" s="304" t="str">
        <f>VLOOKUP(H260,'Im 1B'!$A$2:$D$3215,4,FALSE)</f>
        <v>V</v>
      </c>
      <c r="K260" s="305">
        <f>IF(J260="D",VLOOKUP(H260,'Im 1B'!$A$2:$C$1947,2,FALSE),0)</f>
        <v>0</v>
      </c>
      <c r="L260" s="305">
        <f>IF(J260="V",VLOOKUP(H260,Vtas1B!$A$2:$B$2313,2,FALSE),0)</f>
        <v>5000000</v>
      </c>
      <c r="N260" s="505" t="s">
        <v>2888</v>
      </c>
      <c r="O260" s="505">
        <f>VLOOKUP(N260,'Im 2'!$A$2:$C$2278,3,FALSE)</f>
        <v>0</v>
      </c>
      <c r="P260" s="304" t="str">
        <f>VLOOKUP(N260,'Im 2'!$A$2:$D$3546,4,FALSE)</f>
        <v>V</v>
      </c>
      <c r="Q260" s="305">
        <f>IF(P260="D",VLOOKUP(N260,'Im 2'!$A$2:$C$2278,2,FALSE),0)</f>
        <v>0</v>
      </c>
      <c r="R260" s="305">
        <f>IF(P260="V",VLOOKUP(N260,Vtas2!$A$2:$B$2425,2,FALSE),0)</f>
        <v>26000000</v>
      </c>
      <c r="T260" s="304" t="s">
        <v>2639</v>
      </c>
      <c r="U260" s="505">
        <f>VLOOKUP(T260,'Im 3A'!$A$2:$C$2278,3,FALSE)</f>
        <v>0</v>
      </c>
      <c r="V260" s="304" t="str">
        <f>VLOOKUP(T260,'Im 3A'!$A$2:$D$3546,4,FALSE)</f>
        <v>V</v>
      </c>
      <c r="W260" s="305">
        <f>IF(V260="D",VLOOKUP(T260,'Im 3A'!$A$2:$C$2278,2,FALSE),0)</f>
        <v>0</v>
      </c>
      <c r="X260" s="305">
        <f>IF(V260="V",VLOOKUP(T260,Vtas3A!$A$2:$B$2425,2,FALSE),0)</f>
        <v>24000000</v>
      </c>
      <c r="Z260" s="304" t="s">
        <v>1507</v>
      </c>
      <c r="AA260" s="505">
        <f>VLOOKUP(Z260,'Im 3B'!$A$2:$C$2280,3,FALSE)</f>
        <v>0</v>
      </c>
      <c r="AB260" s="304" t="str">
        <f>VLOOKUP(Z260,'Im 3B'!$A$2:$D$3548,4,FALSE)</f>
        <v>V</v>
      </c>
      <c r="AC260" s="305">
        <f>IF(AB260="D",VLOOKUP(Z260,'Im 3B'!$A$2:$C$2280,2,FALSE),0)</f>
        <v>0</v>
      </c>
      <c r="AD260" s="305">
        <f>IF(AB260="V",VLOOKUP(Z260,Vtas3B!$A$2:$B$2438,2,FALSE),0)</f>
        <v>5000000</v>
      </c>
    </row>
    <row r="261" spans="2:30" x14ac:dyDescent="0.2">
      <c r="B261" s="304" t="s">
        <v>1598</v>
      </c>
      <c r="C261" s="304">
        <f>VLOOKUP(B261,'Im 1A'!$A$2:$C$1963,3,FALSE)</f>
        <v>0</v>
      </c>
      <c r="D261" s="304" t="str">
        <f>VLOOKUP(B261,'Im 1A'!$A$2:$D$3231,4,FALSE)</f>
        <v>V</v>
      </c>
      <c r="E261" s="305">
        <f>IF(D261="D",VLOOKUP(B261,'Im 1A'!$A$2:$C$1963,2,FALSE),0)</f>
        <v>0</v>
      </c>
      <c r="F261" s="305">
        <f>IF(D261="V",VLOOKUP(B261,Vtas1A!$A$2:$B$2357,2,FALSE),0)</f>
        <v>27000000</v>
      </c>
      <c r="H261" s="304" t="s">
        <v>3459</v>
      </c>
      <c r="I261" s="304">
        <f>VLOOKUP(H261,'Im 1B'!$A$2:$C$1947,3,FALSE)</f>
        <v>0</v>
      </c>
      <c r="J261" s="304" t="str">
        <f>VLOOKUP(H261,'Im 1B'!$A$2:$D$3215,4,FALSE)</f>
        <v>V</v>
      </c>
      <c r="K261" s="305">
        <f>IF(J261="D",VLOOKUP(H261,'Im 1B'!$A$2:$C$1947,2,FALSE),0)</f>
        <v>0</v>
      </c>
      <c r="L261" s="305">
        <f>IF(J261="V",VLOOKUP(H261,Vtas1B!$A$2:$B$2313,2,FALSE),0)</f>
        <v>5000000</v>
      </c>
      <c r="N261" s="505" t="s">
        <v>3069</v>
      </c>
      <c r="O261" s="505">
        <f>VLOOKUP(N261,'Im 2'!$A$2:$C$2278,3,FALSE)</f>
        <v>0</v>
      </c>
      <c r="P261" s="304" t="str">
        <f>VLOOKUP(N261,'Im 2'!$A$2:$D$3546,4,FALSE)</f>
        <v>V</v>
      </c>
      <c r="Q261" s="305">
        <f>IF(P261="D",VLOOKUP(N261,'Im 2'!$A$2:$C$2278,2,FALSE),0)</f>
        <v>0</v>
      </c>
      <c r="R261" s="305">
        <f>IF(P261="V",VLOOKUP(N261,Vtas2!$A$2:$B$2425,2,FALSE),0)</f>
        <v>26000000</v>
      </c>
      <c r="T261" s="304" t="s">
        <v>2640</v>
      </c>
      <c r="U261" s="505">
        <f>VLOOKUP(T261,'Im 3A'!$A$2:$C$2278,3,FALSE)</f>
        <v>0</v>
      </c>
      <c r="V261" s="304" t="str">
        <f>VLOOKUP(T261,'Im 3A'!$A$2:$D$3546,4,FALSE)</f>
        <v>V</v>
      </c>
      <c r="W261" s="305">
        <f>IF(V261="D",VLOOKUP(T261,'Im 3A'!$A$2:$C$2278,2,FALSE),0)</f>
        <v>0</v>
      </c>
      <c r="X261" s="305">
        <f>IF(V261="V",VLOOKUP(T261,Vtas3A!$A$2:$B$2425,2,FALSE),0)</f>
        <v>24000000</v>
      </c>
      <c r="Z261" s="304" t="s">
        <v>1429</v>
      </c>
      <c r="AA261" s="505">
        <f>VLOOKUP(Z261,'Im 3B'!$A$2:$C$2280,3,FALSE)</f>
        <v>0</v>
      </c>
      <c r="AB261" s="304" t="str">
        <f>VLOOKUP(Z261,'Im 3B'!$A$2:$D$3548,4,FALSE)</f>
        <v>V</v>
      </c>
      <c r="AC261" s="305">
        <f>IF(AB261="D",VLOOKUP(Z261,'Im 3B'!$A$2:$C$2280,2,FALSE),0)</f>
        <v>0</v>
      </c>
      <c r="AD261" s="305">
        <f>IF(AB261="V",VLOOKUP(Z261,Vtas3B!$A$2:$B$2438,2,FALSE),0)</f>
        <v>5000000</v>
      </c>
    </row>
    <row r="262" spans="2:30" x14ac:dyDescent="0.2">
      <c r="B262" s="304" t="s">
        <v>1353</v>
      </c>
      <c r="C262" s="304">
        <f>VLOOKUP(B262,'Im 1A'!$A$2:$C$1963,3,FALSE)</f>
        <v>0</v>
      </c>
      <c r="D262" s="304" t="str">
        <f>VLOOKUP(B262,'Im 1A'!$A$2:$D$3231,4,FALSE)</f>
        <v>V</v>
      </c>
      <c r="E262" s="305">
        <f>IF(D262="D",VLOOKUP(B262,'Im 1A'!$A$2:$C$1963,2,FALSE),0)</f>
        <v>0</v>
      </c>
      <c r="F262" s="305">
        <f>IF(D262="V",VLOOKUP(B262,Vtas1A!$A$2:$B$2357,2,FALSE),0)</f>
        <v>27000000</v>
      </c>
      <c r="H262" s="304" t="s">
        <v>3234</v>
      </c>
      <c r="I262" s="304">
        <f>VLOOKUP(H262,'Im 1B'!$A$2:$C$1947,3,FALSE)</f>
        <v>0</v>
      </c>
      <c r="J262" s="304" t="str">
        <f>VLOOKUP(H262,'Im 1B'!$A$2:$D$3215,4,FALSE)</f>
        <v>V</v>
      </c>
      <c r="K262" s="305">
        <f>IF(J262="D",VLOOKUP(H262,'Im 1B'!$A$2:$C$1947,2,FALSE),0)</f>
        <v>0</v>
      </c>
      <c r="L262" s="305">
        <f>IF(J262="V",VLOOKUP(H262,Vtas1B!$A$2:$B$2313,2,FALSE),0)</f>
        <v>5000000</v>
      </c>
      <c r="N262" s="505" t="s">
        <v>4381</v>
      </c>
      <c r="O262" s="505">
        <f>VLOOKUP(N262,'Im 2'!$A$2:$C$2278,3,FALSE)</f>
        <v>0</v>
      </c>
      <c r="P262" s="304" t="str">
        <f>VLOOKUP(N262,'Im 2'!$A$2:$D$3546,4,FALSE)</f>
        <v>V</v>
      </c>
      <c r="Q262" s="305">
        <f>IF(P262="D",VLOOKUP(N262,'Im 2'!$A$2:$C$2278,2,FALSE),0)</f>
        <v>0</v>
      </c>
      <c r="R262" s="305">
        <f>IF(P262="V",VLOOKUP(N262,Vtas2!$A$2:$B$2425,2,FALSE),0)</f>
        <v>26000000</v>
      </c>
      <c r="T262" s="304" t="s">
        <v>4338</v>
      </c>
      <c r="U262" s="505">
        <f>VLOOKUP(T262,'Im 3A'!$A$2:$C$2278,3,FALSE)</f>
        <v>0</v>
      </c>
      <c r="V262" s="304" t="str">
        <f>VLOOKUP(T262,'Im 3A'!$A$2:$D$3546,4,FALSE)</f>
        <v>V</v>
      </c>
      <c r="W262" s="305">
        <f>IF(V262="D",VLOOKUP(T262,'Im 3A'!$A$2:$C$2278,2,FALSE),0)</f>
        <v>0</v>
      </c>
      <c r="X262" s="305">
        <f>IF(V262="V",VLOOKUP(T262,Vtas3A!$A$2:$B$2425,2,FALSE),0)</f>
        <v>24000000</v>
      </c>
      <c r="Z262" s="304" t="s">
        <v>1738</v>
      </c>
      <c r="AA262" s="505">
        <f>VLOOKUP(Z262,'Im 3B'!$A$2:$C$2280,3,FALSE)</f>
        <v>0</v>
      </c>
      <c r="AB262" s="304" t="str">
        <f>VLOOKUP(Z262,'Im 3B'!$A$2:$D$3548,4,FALSE)</f>
        <v>V</v>
      </c>
      <c r="AC262" s="305">
        <f>IF(AB262="D",VLOOKUP(Z262,'Im 3B'!$A$2:$C$2280,2,FALSE),0)</f>
        <v>0</v>
      </c>
      <c r="AD262" s="305">
        <f>IF(AB262="V",VLOOKUP(Z262,Vtas3B!$A$2:$B$2438,2,FALSE),0)</f>
        <v>5000000</v>
      </c>
    </row>
    <row r="263" spans="2:30" x14ac:dyDescent="0.2">
      <c r="B263" s="304" t="s">
        <v>2297</v>
      </c>
      <c r="C263" s="304">
        <f>VLOOKUP(B263,'Im 1A'!$A$2:$C$1963,3,FALSE)</f>
        <v>0</v>
      </c>
      <c r="D263" s="304" t="str">
        <f>VLOOKUP(B263,'Im 1A'!$A$2:$D$3231,4,FALSE)</f>
        <v>V</v>
      </c>
      <c r="E263" s="305">
        <f>IF(D263="D",VLOOKUP(B263,'Im 1A'!$A$2:$C$1963,2,FALSE),0)</f>
        <v>0</v>
      </c>
      <c r="F263" s="305">
        <f>IF(D263="V",VLOOKUP(B263,Vtas1A!$A$2:$B$2357,2,FALSE),0)</f>
        <v>27000000</v>
      </c>
      <c r="H263" s="304" t="s">
        <v>1582</v>
      </c>
      <c r="I263" s="304">
        <f>VLOOKUP(H263,'Im 1B'!$A$2:$C$1947,3,FALSE)</f>
        <v>0</v>
      </c>
      <c r="J263" s="304" t="str">
        <f>VLOOKUP(H263,'Im 1B'!$A$2:$D$3215,4,FALSE)</f>
        <v>V</v>
      </c>
      <c r="K263" s="305">
        <f>IF(J263="D",VLOOKUP(H263,'Im 1B'!$A$2:$C$1947,2,FALSE),0)</f>
        <v>0</v>
      </c>
      <c r="L263" s="305">
        <f>IF(J263="V",VLOOKUP(H263,Vtas1B!$A$2:$B$2313,2,FALSE),0)</f>
        <v>5000000</v>
      </c>
      <c r="N263" s="505" t="s">
        <v>3386</v>
      </c>
      <c r="O263" s="505">
        <f>VLOOKUP(N263,'Im 2'!$A$2:$C$2278,3,FALSE)</f>
        <v>0</v>
      </c>
      <c r="P263" s="304" t="str">
        <f>VLOOKUP(N263,'Im 2'!$A$2:$D$3546,4,FALSE)</f>
        <v>V</v>
      </c>
      <c r="Q263" s="305">
        <f>IF(P263="D",VLOOKUP(N263,'Im 2'!$A$2:$C$2278,2,FALSE),0)</f>
        <v>0</v>
      </c>
      <c r="R263" s="305">
        <f>IF(P263="V",VLOOKUP(N263,Vtas2!$A$2:$B$2425,2,FALSE),0)</f>
        <v>26000000</v>
      </c>
      <c r="T263" s="304" t="s">
        <v>4414</v>
      </c>
      <c r="U263" s="505">
        <f>VLOOKUP(T263,'Im 3A'!$A$2:$C$2278,3,FALSE)</f>
        <v>0</v>
      </c>
      <c r="V263" s="304" t="str">
        <f>VLOOKUP(T263,'Im 3A'!$A$2:$D$3546,4,FALSE)</f>
        <v>V</v>
      </c>
      <c r="W263" s="305">
        <f>IF(V263="D",VLOOKUP(T263,'Im 3A'!$A$2:$C$2278,2,FALSE),0)</f>
        <v>0</v>
      </c>
      <c r="X263" s="305">
        <f>IF(V263="V",VLOOKUP(T263,Vtas3A!$A$2:$B$2425,2,FALSE),0)</f>
        <v>23000000</v>
      </c>
      <c r="Z263" s="304" t="s">
        <v>1283</v>
      </c>
      <c r="AA263" s="505">
        <f>VLOOKUP(Z263,'Im 3B'!$A$2:$C$2280,3,FALSE)</f>
        <v>0</v>
      </c>
      <c r="AB263" s="304" t="str">
        <f>VLOOKUP(Z263,'Im 3B'!$A$2:$D$3548,4,FALSE)</f>
        <v>V</v>
      </c>
      <c r="AC263" s="305">
        <f>IF(AB263="D",VLOOKUP(Z263,'Im 3B'!$A$2:$C$2280,2,FALSE),0)</f>
        <v>0</v>
      </c>
      <c r="AD263" s="305">
        <f>IF(AB263="V",VLOOKUP(Z263,Vtas3B!$A$2:$B$2438,2,FALSE),0)</f>
        <v>5000000</v>
      </c>
    </row>
    <row r="264" spans="2:30" x14ac:dyDescent="0.2">
      <c r="B264" s="304" t="s">
        <v>1323</v>
      </c>
      <c r="C264" s="304">
        <f>VLOOKUP(B264,'Im 1A'!$A$2:$C$1963,3,FALSE)</f>
        <v>0</v>
      </c>
      <c r="D264" s="304" t="str">
        <f>VLOOKUP(B264,'Im 1A'!$A$2:$D$3231,4,FALSE)</f>
        <v>V</v>
      </c>
      <c r="E264" s="305">
        <f>IF(D264="D",VLOOKUP(B264,'Im 1A'!$A$2:$C$1963,2,FALSE),0)</f>
        <v>0</v>
      </c>
      <c r="F264" s="305">
        <f>IF(D264="V",VLOOKUP(B264,Vtas1A!$A$2:$B$2357,2,FALSE),0)</f>
        <v>27000000</v>
      </c>
      <c r="H264" s="304" t="s">
        <v>3235</v>
      </c>
      <c r="I264" s="304">
        <f>VLOOKUP(H264,'Im 1B'!$A$2:$C$1947,3,FALSE)</f>
        <v>0</v>
      </c>
      <c r="J264" s="304" t="str">
        <f>VLOOKUP(H264,'Im 1B'!$A$2:$D$3215,4,FALSE)</f>
        <v>V</v>
      </c>
      <c r="K264" s="305">
        <f>IF(J264="D",VLOOKUP(H264,'Im 1B'!$A$2:$C$1947,2,FALSE),0)</f>
        <v>0</v>
      </c>
      <c r="L264" s="305">
        <f>IF(J264="V",VLOOKUP(H264,Vtas1B!$A$2:$B$2313,2,FALSE),0)</f>
        <v>5000000</v>
      </c>
      <c r="N264" s="505" t="s">
        <v>2889</v>
      </c>
      <c r="O264" s="505">
        <f>VLOOKUP(N264,'Im 2'!$A$2:$C$2278,3,FALSE)</f>
        <v>0</v>
      </c>
      <c r="P264" s="304" t="str">
        <f>VLOOKUP(N264,'Im 2'!$A$2:$D$3546,4,FALSE)</f>
        <v>V</v>
      </c>
      <c r="Q264" s="305">
        <f>IF(P264="D",VLOOKUP(N264,'Im 2'!$A$2:$C$2278,2,FALSE),0)</f>
        <v>0</v>
      </c>
      <c r="R264" s="305">
        <f>IF(P264="V",VLOOKUP(N264,Vtas2!$A$2:$B$2425,2,FALSE),0)</f>
        <v>26000000</v>
      </c>
      <c r="T264" s="304" t="s">
        <v>2270</v>
      </c>
      <c r="U264" s="505">
        <f>VLOOKUP(T264,'Im 3A'!$A$2:$C$2278,3,FALSE)</f>
        <v>0</v>
      </c>
      <c r="V264" s="304" t="str">
        <f>VLOOKUP(T264,'Im 3A'!$A$2:$D$3546,4,FALSE)</f>
        <v>V</v>
      </c>
      <c r="W264" s="305">
        <f>IF(V264="D",VLOOKUP(T264,'Im 3A'!$A$2:$C$2278,2,FALSE),0)</f>
        <v>0</v>
      </c>
      <c r="X264" s="305">
        <f>IF(V264="V",VLOOKUP(T264,Vtas3A!$A$2:$B$2425,2,FALSE),0)</f>
        <v>24000000</v>
      </c>
      <c r="Z264" s="304" t="s">
        <v>2566</v>
      </c>
      <c r="AA264" s="505">
        <f>VLOOKUP(Z264,'Im 3B'!$A$2:$C$2280,3,FALSE)</f>
        <v>0</v>
      </c>
      <c r="AB264" s="304" t="str">
        <f>VLOOKUP(Z264,'Im 3B'!$A$2:$D$3548,4,FALSE)</f>
        <v>V</v>
      </c>
      <c r="AC264" s="305">
        <f>IF(AB264="D",VLOOKUP(Z264,'Im 3B'!$A$2:$C$2280,2,FALSE),0)</f>
        <v>0</v>
      </c>
      <c r="AD264" s="305">
        <f>IF(AB264="V",VLOOKUP(Z264,Vtas3B!$A$2:$B$2438,2,FALSE),0)</f>
        <v>5000000</v>
      </c>
    </row>
    <row r="265" spans="2:30" x14ac:dyDescent="0.2">
      <c r="B265" s="304" t="s">
        <v>1442</v>
      </c>
      <c r="C265" s="304">
        <f>VLOOKUP(B265,'Im 1A'!$A$2:$C$1963,3,FALSE)</f>
        <v>0</v>
      </c>
      <c r="D265" s="304" t="str">
        <f>VLOOKUP(B265,'Im 1A'!$A$2:$D$3231,4,FALSE)</f>
        <v>V</v>
      </c>
      <c r="E265" s="305">
        <f>IF(D265="D",VLOOKUP(B265,'Im 1A'!$A$2:$C$1963,2,FALSE),0)</f>
        <v>0</v>
      </c>
      <c r="F265" s="305">
        <f>IF(D265="V",VLOOKUP(B265,Vtas1A!$A$2:$B$2357,2,FALSE),0)</f>
        <v>27000000</v>
      </c>
      <c r="H265" s="304" t="s">
        <v>2734</v>
      </c>
      <c r="I265" s="304">
        <f>VLOOKUP(H265,'Im 1B'!$A$2:$C$1947,3,FALSE)</f>
        <v>0</v>
      </c>
      <c r="J265" s="304" t="str">
        <f>VLOOKUP(H265,'Im 1B'!$A$2:$D$3215,4,FALSE)</f>
        <v>V</v>
      </c>
      <c r="K265" s="305">
        <f>IF(J265="D",VLOOKUP(H265,'Im 1B'!$A$2:$C$1947,2,FALSE),0)</f>
        <v>0</v>
      </c>
      <c r="L265" s="305">
        <f>IF(J265="V",VLOOKUP(H265,Vtas1B!$A$2:$B$2313,2,FALSE),0)</f>
        <v>5000000</v>
      </c>
      <c r="N265" s="505" t="s">
        <v>3183</v>
      </c>
      <c r="O265" s="505">
        <f>VLOOKUP(N265,'Im 2'!$A$2:$C$2278,3,FALSE)</f>
        <v>0</v>
      </c>
      <c r="P265" s="304" t="str">
        <f>VLOOKUP(N265,'Im 2'!$A$2:$D$3546,4,FALSE)</f>
        <v>V</v>
      </c>
      <c r="Q265" s="305">
        <f>IF(P265="D",VLOOKUP(N265,'Im 2'!$A$2:$C$2278,2,FALSE),0)</f>
        <v>0</v>
      </c>
      <c r="R265" s="305">
        <f>IF(P265="V",VLOOKUP(N265,Vtas2!$A$2:$B$2425,2,FALSE),0)</f>
        <v>26000000</v>
      </c>
      <c r="T265" s="304" t="s">
        <v>1541</v>
      </c>
      <c r="U265" s="505">
        <f>VLOOKUP(T265,'Im 3A'!$A$2:$C$2278,3,FALSE)</f>
        <v>0</v>
      </c>
      <c r="V265" s="304" t="str">
        <f>VLOOKUP(T265,'Im 3A'!$A$2:$D$3546,4,FALSE)</f>
        <v>V</v>
      </c>
      <c r="W265" s="305">
        <f>IF(V265="D",VLOOKUP(T265,'Im 3A'!$A$2:$C$2278,2,FALSE),0)</f>
        <v>0</v>
      </c>
      <c r="X265" s="305">
        <f>IF(V265="V",VLOOKUP(T265,Vtas3A!$A$2:$B$2425,2,FALSE),0)</f>
        <v>24000000</v>
      </c>
      <c r="Z265" s="304" t="s">
        <v>1693</v>
      </c>
      <c r="AA265" s="505">
        <f>VLOOKUP(Z265,'Im 3B'!$A$2:$C$2280,3,FALSE)</f>
        <v>0</v>
      </c>
      <c r="AB265" s="304" t="str">
        <f>VLOOKUP(Z265,'Im 3B'!$A$2:$D$3548,4,FALSE)</f>
        <v>V</v>
      </c>
      <c r="AC265" s="305">
        <f>IF(AB265="D",VLOOKUP(Z265,'Im 3B'!$A$2:$C$2280,2,FALSE),0)</f>
        <v>0</v>
      </c>
      <c r="AD265" s="305">
        <f>IF(AB265="V",VLOOKUP(Z265,Vtas3B!$A$2:$B$2438,2,FALSE),0)</f>
        <v>5000000</v>
      </c>
    </row>
    <row r="266" spans="2:30" x14ac:dyDescent="0.2">
      <c r="B266" s="304" t="s">
        <v>1252</v>
      </c>
      <c r="C266" s="304">
        <f>VLOOKUP(B266,'Im 1A'!$A$2:$C$1963,3,FALSE)</f>
        <v>0</v>
      </c>
      <c r="D266" s="304" t="str">
        <f>VLOOKUP(B266,'Im 1A'!$A$2:$D$3231,4,FALSE)</f>
        <v>V</v>
      </c>
      <c r="E266" s="305">
        <f>IF(D266="D",VLOOKUP(B266,'Im 1A'!$A$2:$C$1963,2,FALSE),0)</f>
        <v>0</v>
      </c>
      <c r="F266" s="305">
        <f>IF(D266="V",VLOOKUP(B266,Vtas1A!$A$2:$B$2357,2,FALSE),0)</f>
        <v>27000000</v>
      </c>
      <c r="H266" s="304" t="s">
        <v>3034</v>
      </c>
      <c r="I266" s="304">
        <f>VLOOKUP(H266,'Im 1B'!$A$2:$C$1947,3,FALSE)</f>
        <v>0</v>
      </c>
      <c r="J266" s="304" t="str">
        <f>VLOOKUP(H266,'Im 1B'!$A$2:$D$3215,4,FALSE)</f>
        <v>V</v>
      </c>
      <c r="K266" s="305">
        <f>IF(J266="D",VLOOKUP(H266,'Im 1B'!$A$2:$C$1947,2,FALSE),0)</f>
        <v>0</v>
      </c>
      <c r="L266" s="305">
        <f>IF(J266="V",VLOOKUP(H266,Vtas1B!$A$2:$B$2313,2,FALSE),0)</f>
        <v>5000000</v>
      </c>
      <c r="N266" s="505" t="s">
        <v>2890</v>
      </c>
      <c r="O266" s="505">
        <f>VLOOKUP(N266,'Im 2'!$A$2:$C$2278,3,FALSE)</f>
        <v>0</v>
      </c>
      <c r="P266" s="304" t="str">
        <f>VLOOKUP(N266,'Im 2'!$A$2:$D$3546,4,FALSE)</f>
        <v>V</v>
      </c>
      <c r="Q266" s="305">
        <f>IF(P266="D",VLOOKUP(N266,'Im 2'!$A$2:$C$2278,2,FALSE),0)</f>
        <v>0</v>
      </c>
      <c r="R266" s="305">
        <f>IF(P266="V",VLOOKUP(N266,Vtas2!$A$2:$B$2425,2,FALSE),0)</f>
        <v>26000000</v>
      </c>
      <c r="T266" s="304" t="s">
        <v>1177</v>
      </c>
      <c r="U266" s="505">
        <f>VLOOKUP(T266,'Im 3A'!$A$2:$C$2278,3,FALSE)</f>
        <v>0</v>
      </c>
      <c r="V266" s="304" t="str">
        <f>VLOOKUP(T266,'Im 3A'!$A$2:$D$3546,4,FALSE)</f>
        <v>V</v>
      </c>
      <c r="W266" s="305">
        <f>IF(V266="D",VLOOKUP(T266,'Im 3A'!$A$2:$C$2278,2,FALSE),0)</f>
        <v>0</v>
      </c>
      <c r="X266" s="305">
        <f>IF(V266="V",VLOOKUP(T266,Vtas3A!$A$2:$B$2425,2,FALSE),0)</f>
        <v>23000000</v>
      </c>
      <c r="Z266" s="304" t="s">
        <v>1284</v>
      </c>
      <c r="AA266" s="505">
        <f>VLOOKUP(Z266,'Im 3B'!$A$2:$C$2280,3,FALSE)</f>
        <v>0</v>
      </c>
      <c r="AB266" s="304" t="str">
        <f>VLOOKUP(Z266,'Im 3B'!$A$2:$D$3548,4,FALSE)</f>
        <v>V</v>
      </c>
      <c r="AC266" s="305">
        <f>IF(AB266="D",VLOOKUP(Z266,'Im 3B'!$A$2:$C$2280,2,FALSE),0)</f>
        <v>0</v>
      </c>
      <c r="AD266" s="305">
        <f>IF(AB266="V",VLOOKUP(Z266,Vtas3B!$A$2:$B$2438,2,FALSE),0)</f>
        <v>5000000</v>
      </c>
    </row>
    <row r="267" spans="2:30" x14ac:dyDescent="0.2">
      <c r="B267" s="304" t="s">
        <v>1395</v>
      </c>
      <c r="C267" s="304">
        <f>VLOOKUP(B267,'Im 1A'!$A$2:$C$1963,3,FALSE)</f>
        <v>0</v>
      </c>
      <c r="D267" s="304" t="str">
        <f>VLOOKUP(B267,'Im 1A'!$A$2:$D$3231,4,FALSE)</f>
        <v>V</v>
      </c>
      <c r="E267" s="305">
        <f>IF(D267="D",VLOOKUP(B267,'Im 1A'!$A$2:$C$1963,2,FALSE),0)</f>
        <v>0</v>
      </c>
      <c r="F267" s="305">
        <f>IF(D267="V",VLOOKUP(B267,Vtas1A!$A$2:$B$2357,2,FALSE),0)</f>
        <v>22000000</v>
      </c>
      <c r="H267" s="304" t="s">
        <v>3297</v>
      </c>
      <c r="I267" s="304">
        <f>VLOOKUP(H267,'Im 1B'!$A$2:$C$1947,3,FALSE)</f>
        <v>0</v>
      </c>
      <c r="J267" s="304" t="str">
        <f>VLOOKUP(H267,'Im 1B'!$A$2:$D$3215,4,FALSE)</f>
        <v>V</v>
      </c>
      <c r="K267" s="305">
        <f>IF(J267="D",VLOOKUP(H267,'Im 1B'!$A$2:$C$1947,2,FALSE),0)</f>
        <v>0</v>
      </c>
      <c r="L267" s="305">
        <f>IF(J267="V",VLOOKUP(H267,Vtas1B!$A$2:$B$2313,2,FALSE),0)</f>
        <v>5000000</v>
      </c>
      <c r="N267" s="313" t="s">
        <v>2665</v>
      </c>
      <c r="O267" s="313">
        <f>++COUNTA(O142:O266)</f>
        <v>125</v>
      </c>
      <c r="P267" s="313"/>
      <c r="Q267" s="315">
        <f>SUM(Q142:Q266)</f>
        <v>234000000</v>
      </c>
      <c r="R267" s="315">
        <f>SUM(R142:R266)</f>
        <v>3016000000</v>
      </c>
      <c r="T267" s="304" t="s">
        <v>1198</v>
      </c>
      <c r="U267" s="505">
        <f>VLOOKUP(T267,'Im 3A'!$A$2:$C$2278,3,FALSE)</f>
        <v>0</v>
      </c>
      <c r="V267" s="304" t="str">
        <f>VLOOKUP(T267,'Im 3A'!$A$2:$D$3546,4,FALSE)</f>
        <v>V</v>
      </c>
      <c r="W267" s="305">
        <f>IF(V267="D",VLOOKUP(T267,'Im 3A'!$A$2:$C$2278,2,FALSE),0)</f>
        <v>0</v>
      </c>
      <c r="X267" s="305">
        <f>IF(V267="V",VLOOKUP(T267,Vtas3A!$A$2:$B$2425,2,FALSE),0)</f>
        <v>23000000</v>
      </c>
      <c r="Z267" s="304" t="s">
        <v>1521</v>
      </c>
      <c r="AA267" s="505">
        <f>VLOOKUP(Z267,'Im 3B'!$A$2:$C$2280,3,FALSE)</f>
        <v>0</v>
      </c>
      <c r="AB267" s="304" t="str">
        <f>VLOOKUP(Z267,'Im 3B'!$A$2:$D$3548,4,FALSE)</f>
        <v>V</v>
      </c>
      <c r="AC267" s="305">
        <f>IF(AB267="D",VLOOKUP(Z267,'Im 3B'!$A$2:$C$2280,2,FALSE),0)</f>
        <v>0</v>
      </c>
      <c r="AD267" s="305">
        <f>IF(AB267="V",VLOOKUP(Z267,Vtas3B!$A$2:$B$2438,2,FALSE),0)</f>
        <v>5000000</v>
      </c>
    </row>
    <row r="268" spans="2:30" x14ac:dyDescent="0.2">
      <c r="B268" s="304" t="s">
        <v>1324</v>
      </c>
      <c r="C268" s="304">
        <f>VLOOKUP(B268,'Im 1A'!$A$2:$C$1963,3,FALSE)</f>
        <v>0</v>
      </c>
      <c r="D268" s="304" t="str">
        <f>VLOOKUP(B268,'Im 1A'!$A$2:$D$3231,4,FALSE)</f>
        <v>V</v>
      </c>
      <c r="E268" s="305">
        <f>IF(D268="D",VLOOKUP(B268,'Im 1A'!$A$2:$C$1963,2,FALSE),0)</f>
        <v>0</v>
      </c>
      <c r="F268" s="305">
        <f>IF(D268="V",VLOOKUP(B268,Vtas1A!$A$2:$B$2357,2,FALSE),0)</f>
        <v>27000000</v>
      </c>
      <c r="H268" s="304" t="s">
        <v>3168</v>
      </c>
      <c r="I268" s="304">
        <f>VLOOKUP(H268,'Im 1B'!$A$2:$C$1947,3,FALSE)</f>
        <v>0</v>
      </c>
      <c r="J268" s="304" t="str">
        <f>VLOOKUP(H268,'Im 1B'!$A$2:$D$3215,4,FALSE)</f>
        <v>V</v>
      </c>
      <c r="K268" s="305">
        <f>IF(J268="D",VLOOKUP(H268,'Im 1B'!$A$2:$C$1947,2,FALSE),0)</f>
        <v>0</v>
      </c>
      <c r="L268" s="305">
        <f>IF(J268="V",VLOOKUP(H268,Vtas1B!$A$2:$B$2313,2,FALSE),0)</f>
        <v>5000000</v>
      </c>
      <c r="T268" s="304" t="s">
        <v>1494</v>
      </c>
      <c r="U268" s="505">
        <f>VLOOKUP(T268,'Im 3A'!$A$2:$C$2278,3,FALSE)</f>
        <v>0</v>
      </c>
      <c r="V268" s="304" t="str">
        <f>VLOOKUP(T268,'Im 3A'!$A$2:$D$3546,4,FALSE)</f>
        <v>V</v>
      </c>
      <c r="W268" s="305">
        <f>IF(V268="D",VLOOKUP(T268,'Im 3A'!$A$2:$C$2278,2,FALSE),0)</f>
        <v>0</v>
      </c>
      <c r="X268" s="305">
        <f>IF(V268="V",VLOOKUP(T268,Vtas3A!$A$2:$B$2425,2,FALSE),0)</f>
        <v>24000000</v>
      </c>
      <c r="Z268" s="304" t="s">
        <v>1508</v>
      </c>
      <c r="AA268" s="505">
        <f>VLOOKUP(Z268,'Im 3B'!$A$2:$C$2280,3,FALSE)</f>
        <v>0</v>
      </c>
      <c r="AB268" s="304" t="str">
        <f>VLOOKUP(Z268,'Im 3B'!$A$2:$D$3548,4,FALSE)</f>
        <v>V</v>
      </c>
      <c r="AC268" s="305">
        <f>IF(AB268="D",VLOOKUP(Z268,'Im 3B'!$A$2:$C$2280,2,FALSE),0)</f>
        <v>0</v>
      </c>
      <c r="AD268" s="305">
        <f>IF(AB268="V",VLOOKUP(Z268,Vtas3B!$A$2:$B$2438,2,FALSE),0)</f>
        <v>5000000</v>
      </c>
    </row>
    <row r="269" spans="2:30" x14ac:dyDescent="0.2">
      <c r="B269" s="304" t="s">
        <v>1325</v>
      </c>
      <c r="C269" s="304">
        <f>VLOOKUP(B269,'Im 1A'!$A$2:$C$1963,3,FALSE)</f>
        <v>0</v>
      </c>
      <c r="D269" s="304" t="str">
        <f>VLOOKUP(B269,'Im 1A'!$A$2:$D$3231,4,FALSE)</f>
        <v>V</v>
      </c>
      <c r="E269" s="305">
        <f>IF(D269="D",VLOOKUP(B269,'Im 1A'!$A$2:$C$1963,2,FALSE),0)</f>
        <v>0</v>
      </c>
      <c r="F269" s="305">
        <f>IF(D269="V",VLOOKUP(B269,Vtas1A!$A$2:$B$2357,2,FALSE),0)</f>
        <v>27000000</v>
      </c>
      <c r="H269" s="304" t="s">
        <v>3460</v>
      </c>
      <c r="I269" s="304">
        <f>VLOOKUP(H269,'Im 1B'!$A$2:$C$1947,3,FALSE)</f>
        <v>0</v>
      </c>
      <c r="J269" s="304" t="str">
        <f>VLOOKUP(H269,'Im 1B'!$A$2:$D$3215,4,FALSE)</f>
        <v>V</v>
      </c>
      <c r="K269" s="305">
        <f>IF(J269="D",VLOOKUP(H269,'Im 1B'!$A$2:$C$1947,2,FALSE),0)</f>
        <v>0</v>
      </c>
      <c r="L269" s="305">
        <f>IF(J269="V",VLOOKUP(H269,Vtas1B!$A$2:$B$2313,2,FALSE),0)</f>
        <v>5000000</v>
      </c>
      <c r="N269" s="833" t="s">
        <v>2667</v>
      </c>
      <c r="O269" s="834"/>
      <c r="P269" s="834"/>
      <c r="Q269" s="834"/>
      <c r="R269" s="835"/>
      <c r="T269" s="304" t="s">
        <v>1230</v>
      </c>
      <c r="U269" s="505">
        <f>VLOOKUP(T269,'Im 3A'!$A$2:$C$2278,3,FALSE)</f>
        <v>0</v>
      </c>
      <c r="V269" s="304" t="str">
        <f>VLOOKUP(T269,'Im 3A'!$A$2:$D$3546,4,FALSE)</f>
        <v>V</v>
      </c>
      <c r="W269" s="305">
        <f>IF(V269="D",VLOOKUP(T269,'Im 3A'!$A$2:$C$2278,2,FALSE),0)</f>
        <v>0</v>
      </c>
      <c r="X269" s="305">
        <f>IF(V269="V",VLOOKUP(T269,Vtas3A!$A$2:$B$2425,2,FALSE),0)</f>
        <v>23000000</v>
      </c>
      <c r="Z269" s="304" t="s">
        <v>1550</v>
      </c>
      <c r="AA269" s="505">
        <f>VLOOKUP(Z269,'Im 3B'!$A$2:$C$2280,3,FALSE)</f>
        <v>0</v>
      </c>
      <c r="AB269" s="304" t="str">
        <f>VLOOKUP(Z269,'Im 3B'!$A$2:$D$3548,4,FALSE)</f>
        <v>V</v>
      </c>
      <c r="AC269" s="305">
        <f>IF(AB269="D",VLOOKUP(Z269,'Im 3B'!$A$2:$C$2280,2,FALSE),0)</f>
        <v>0</v>
      </c>
      <c r="AD269" s="305">
        <f>IF(AB269="V",VLOOKUP(Z269,Vtas3B!$A$2:$B$2438,2,FALSE),0)</f>
        <v>5000000</v>
      </c>
    </row>
    <row r="270" spans="2:30" x14ac:dyDescent="0.2">
      <c r="B270" s="304" t="s">
        <v>1253</v>
      </c>
      <c r="C270" s="304">
        <f>VLOOKUP(B270,'Im 1A'!$A$2:$C$1963,3,FALSE)</f>
        <v>0</v>
      </c>
      <c r="D270" s="304" t="str">
        <f>VLOOKUP(B270,'Im 1A'!$A$2:$D$3231,4,FALSE)</f>
        <v>V</v>
      </c>
      <c r="E270" s="305">
        <f>IF(D270="D",VLOOKUP(B270,'Im 1A'!$A$2:$C$1963,2,FALSE),0)</f>
        <v>0</v>
      </c>
      <c r="F270" s="305">
        <f>IF(D270="V",VLOOKUP(B270,Vtas1A!$A$2:$B$2357,2,FALSE),0)</f>
        <v>27000000</v>
      </c>
      <c r="H270" s="304" t="s">
        <v>2735</v>
      </c>
      <c r="I270" s="304">
        <f>VLOOKUP(H270,'Im 1B'!$A$2:$C$1947,3,FALSE)</f>
        <v>0</v>
      </c>
      <c r="J270" s="304" t="str">
        <f>VLOOKUP(H270,'Im 1B'!$A$2:$D$3215,4,FALSE)</f>
        <v>V</v>
      </c>
      <c r="K270" s="305">
        <f>IF(J270="D",VLOOKUP(H270,'Im 1B'!$A$2:$C$1947,2,FALSE),0)</f>
        <v>0</v>
      </c>
      <c r="L270" s="305">
        <f>IF(J270="V",VLOOKUP(H270,Vtas1B!$A$2:$B$2313,2,FALSE),0)</f>
        <v>5000000</v>
      </c>
      <c r="N270" s="311" t="s">
        <v>46</v>
      </c>
      <c r="O270" s="311" t="s">
        <v>31</v>
      </c>
      <c r="P270" s="311" t="s">
        <v>47</v>
      </c>
      <c r="Q270" s="311" t="s">
        <v>48</v>
      </c>
      <c r="R270" s="316" t="s">
        <v>55</v>
      </c>
      <c r="T270" s="304" t="s">
        <v>1022</v>
      </c>
      <c r="U270" s="505">
        <f>VLOOKUP(T270,'Im 3A'!$A$2:$C$2278,3,FALSE)</f>
        <v>0</v>
      </c>
      <c r="V270" s="304" t="str">
        <f>VLOOKUP(T270,'Im 3A'!$A$2:$D$3546,4,FALSE)</f>
        <v>V</v>
      </c>
      <c r="W270" s="305">
        <f>IF(V270="D",VLOOKUP(T270,'Im 3A'!$A$2:$C$2278,2,FALSE),0)</f>
        <v>0</v>
      </c>
      <c r="X270" s="305">
        <f>IF(V270="V",VLOOKUP(T270,Vtas3A!$A$2:$B$2425,2,FALSE),0)</f>
        <v>24000000</v>
      </c>
      <c r="Z270" s="304" t="s">
        <v>1462</v>
      </c>
      <c r="AA270" s="505">
        <f>VLOOKUP(Z270,'Im 3B'!$A$2:$C$2280,3,FALSE)</f>
        <v>0</v>
      </c>
      <c r="AB270" s="304" t="str">
        <f>VLOOKUP(Z270,'Im 3B'!$A$2:$D$3548,4,FALSE)</f>
        <v>V</v>
      </c>
      <c r="AC270" s="305">
        <f>IF(AB270="D",VLOOKUP(Z270,'Im 3B'!$A$2:$C$2280,2,FALSE),0)</f>
        <v>0</v>
      </c>
      <c r="AD270" s="305">
        <f>IF(AB270="V",VLOOKUP(Z270,Vtas3B!$A$2:$B$2438,2,FALSE),0)</f>
        <v>5000000</v>
      </c>
    </row>
    <row r="271" spans="2:30" x14ac:dyDescent="0.2">
      <c r="B271" s="304" t="s">
        <v>2625</v>
      </c>
      <c r="C271" s="304">
        <f>VLOOKUP(B271,'Im 1A'!$A$2:$C$1963,3,FALSE)</f>
        <v>0</v>
      </c>
      <c r="D271" s="304" t="str">
        <f>VLOOKUP(B271,'Im 1A'!$A$2:$D$3231,4,FALSE)</f>
        <v>V</v>
      </c>
      <c r="E271" s="305">
        <f>IF(D271="D",VLOOKUP(B271,'Im 1A'!$A$2:$C$1963,2,FALSE),0)</f>
        <v>0</v>
      </c>
      <c r="F271" s="305">
        <f>IF(D271="V",VLOOKUP(B271,Vtas1A!$A$2:$B$2357,2,FALSE),0)</f>
        <v>27000000</v>
      </c>
      <c r="H271" s="304" t="s">
        <v>3035</v>
      </c>
      <c r="I271" s="304">
        <f>VLOOKUP(H271,'Im 1B'!$A$2:$C$1947,3,FALSE)</f>
        <v>0</v>
      </c>
      <c r="J271" s="304" t="str">
        <f>VLOOKUP(H271,'Im 1B'!$A$2:$D$3215,4,FALSE)</f>
        <v>V</v>
      </c>
      <c r="K271" s="305">
        <f>IF(J271="D",VLOOKUP(H271,'Im 1B'!$A$2:$C$1947,2,FALSE),0)</f>
        <v>0</v>
      </c>
      <c r="L271" s="305">
        <f>IF(J271="V",VLOOKUP(H271,Vtas1B!$A$2:$B$2313,2,FALSE),0)</f>
        <v>5000000</v>
      </c>
      <c r="N271" s="304" t="s">
        <v>2891</v>
      </c>
      <c r="O271" s="505">
        <f>VLOOKUP(N271,'Im 2'!$A$2:$C$2278,3,FALSE)</f>
        <v>0</v>
      </c>
      <c r="P271" s="304" t="str">
        <f>VLOOKUP(N271,'Im 2'!$A$2:$D$3546,4,FALSE)</f>
        <v>D</v>
      </c>
      <c r="Q271" s="305">
        <f>IF(P271="D",VLOOKUP(N271,'Im 2'!$A$2:$C$2278,2,FALSE),0)</f>
        <v>6000000</v>
      </c>
      <c r="R271" s="305">
        <f>IF(P271="V",VLOOKUP(N271,Vtas2!$A$2:$B$2425,2,FALSE),0)</f>
        <v>0</v>
      </c>
      <c r="T271" s="304" t="s">
        <v>1023</v>
      </c>
      <c r="U271" s="505">
        <f>VLOOKUP(T271,'Im 3A'!$A$2:$C$2278,3,FALSE)</f>
        <v>0</v>
      </c>
      <c r="V271" s="304" t="str">
        <f>VLOOKUP(T271,'Im 3A'!$A$2:$D$3546,4,FALSE)</f>
        <v>V</v>
      </c>
      <c r="W271" s="305">
        <f>IF(V271="D",VLOOKUP(T271,'Im 3A'!$A$2:$C$2278,2,FALSE),0)</f>
        <v>0</v>
      </c>
      <c r="X271" s="305">
        <f>IF(V271="V",VLOOKUP(T271,Vtas3A!$A$2:$B$2425,2,FALSE),0)</f>
        <v>24000000</v>
      </c>
      <c r="Z271" s="304" t="s">
        <v>1739</v>
      </c>
      <c r="AA271" s="505">
        <f>VLOOKUP(Z271,'Im 3B'!$A$2:$C$2280,3,FALSE)</f>
        <v>0</v>
      </c>
      <c r="AB271" s="304" t="str">
        <f>VLOOKUP(Z271,'Im 3B'!$A$2:$D$3548,4,FALSE)</f>
        <v>V</v>
      </c>
      <c r="AC271" s="305">
        <f>IF(AB271="D",VLOOKUP(Z271,'Im 3B'!$A$2:$C$2280,2,FALSE),0)</f>
        <v>0</v>
      </c>
      <c r="AD271" s="305">
        <f>IF(AB271="V",VLOOKUP(Z271,Vtas3B!$A$2:$B$2438,2,FALSE),0)</f>
        <v>5000000</v>
      </c>
    </row>
    <row r="272" spans="2:30" x14ac:dyDescent="0.2">
      <c r="B272" s="304" t="s">
        <v>1354</v>
      </c>
      <c r="C272" s="304">
        <f>VLOOKUP(B272,'Im 1A'!$A$2:$C$1963,3,FALSE)</f>
        <v>0</v>
      </c>
      <c r="D272" s="304" t="str">
        <f>VLOOKUP(B272,'Im 1A'!$A$2:$D$3231,4,FALSE)</f>
        <v>V</v>
      </c>
      <c r="E272" s="305">
        <f>IF(D272="D",VLOOKUP(B272,'Im 1A'!$A$2:$C$1963,2,FALSE),0)</f>
        <v>0</v>
      </c>
      <c r="F272" s="305">
        <f>IF(D272="V",VLOOKUP(B272,Vtas1A!$A$2:$B$2357,2,FALSE),0)</f>
        <v>27000000</v>
      </c>
      <c r="H272" s="304" t="s">
        <v>988</v>
      </c>
      <c r="I272" s="304">
        <f>VLOOKUP(H272,'Im 1B'!$A$2:$C$1947,3,FALSE)</f>
        <v>0</v>
      </c>
      <c r="J272" s="304" t="str">
        <f>VLOOKUP(H272,'Im 1B'!$A$2:$D$3215,4,FALSE)</f>
        <v>V</v>
      </c>
      <c r="K272" s="305">
        <f>IF(J272="D",VLOOKUP(H272,'Im 1B'!$A$2:$C$1947,2,FALSE),0)</f>
        <v>0</v>
      </c>
      <c r="L272" s="305">
        <f>IF(J272="V",VLOOKUP(H272,Vtas1B!$A$2:$B$2313,2,FALSE),0)</f>
        <v>5000000</v>
      </c>
      <c r="N272" s="304" t="s">
        <v>2892</v>
      </c>
      <c r="O272" s="505">
        <f>VLOOKUP(N272,'Im 2'!$A$2:$C$2278,3,FALSE)</f>
        <v>0</v>
      </c>
      <c r="P272" s="304" t="str">
        <f>VLOOKUP(N272,'Im 2'!$A$2:$D$3546,4,FALSE)</f>
        <v>D</v>
      </c>
      <c r="Q272" s="305">
        <f>IF(P272="D",VLOOKUP(N272,'Im 2'!$A$2:$C$2278,2,FALSE),0)</f>
        <v>6000000</v>
      </c>
      <c r="R272" s="305">
        <f>IF(P272="V",VLOOKUP(N272,Vtas2!$A$2:$B$2425,2,FALSE),0)</f>
        <v>0</v>
      </c>
      <c r="T272" s="304" t="s">
        <v>1154</v>
      </c>
      <c r="U272" s="505">
        <f>VLOOKUP(T272,'Im 3A'!$A$2:$C$2278,3,FALSE)</f>
        <v>0</v>
      </c>
      <c r="V272" s="304" t="str">
        <f>VLOOKUP(T272,'Im 3A'!$A$2:$D$3546,4,FALSE)</f>
        <v>V</v>
      </c>
      <c r="W272" s="305">
        <f>IF(V272="D",VLOOKUP(T272,'Im 3A'!$A$2:$C$2278,2,FALSE),0)</f>
        <v>0</v>
      </c>
      <c r="X272" s="305">
        <f>IF(V272="V",VLOOKUP(T272,Vtas3A!$A$2:$B$2425,2,FALSE),0)</f>
        <v>23000000</v>
      </c>
      <c r="Z272" s="304" t="s">
        <v>1374</v>
      </c>
      <c r="AA272" s="505">
        <f>VLOOKUP(Z272,'Im 3B'!$A$2:$C$2280,3,FALSE)</f>
        <v>0</v>
      </c>
      <c r="AB272" s="304" t="str">
        <f>VLOOKUP(Z272,'Im 3B'!$A$2:$D$3548,4,FALSE)</f>
        <v>V</v>
      </c>
      <c r="AC272" s="305">
        <f>IF(AB272="D",VLOOKUP(Z272,'Im 3B'!$A$2:$C$2280,2,FALSE),0)</f>
        <v>0</v>
      </c>
      <c r="AD272" s="305">
        <f>IF(AB272="V",VLOOKUP(Z272,Vtas3B!$A$2:$B$2438,2,FALSE),0)</f>
        <v>5000000</v>
      </c>
    </row>
    <row r="273" spans="2:30" x14ac:dyDescent="0.2">
      <c r="B273" s="304" t="s">
        <v>1355</v>
      </c>
      <c r="C273" s="304">
        <f>VLOOKUP(B273,'Im 1A'!$A$2:$C$1963,3,FALSE)</f>
        <v>0</v>
      </c>
      <c r="D273" s="304" t="str">
        <f>VLOOKUP(B273,'Im 1A'!$A$2:$D$3231,4,FALSE)</f>
        <v>V</v>
      </c>
      <c r="E273" s="305">
        <f>IF(D273="D",VLOOKUP(B273,'Im 1A'!$A$2:$C$1963,2,FALSE),0)</f>
        <v>0</v>
      </c>
      <c r="F273" s="305">
        <f>IF(D273="V",VLOOKUP(B273,Vtas1A!$A$2:$B$2357,2,FALSE),0)</f>
        <v>27000000</v>
      </c>
      <c r="H273" s="304" t="s">
        <v>2736</v>
      </c>
      <c r="I273" s="304">
        <f>VLOOKUP(H273,'Im 1B'!$A$2:$C$1947,3,FALSE)</f>
        <v>0</v>
      </c>
      <c r="J273" s="304" t="str">
        <f>VLOOKUP(H273,'Im 1B'!$A$2:$D$3215,4,FALSE)</f>
        <v>V</v>
      </c>
      <c r="K273" s="305">
        <f>IF(J273="D",VLOOKUP(H273,'Im 1B'!$A$2:$C$1947,2,FALSE),0)</f>
        <v>0</v>
      </c>
      <c r="L273" s="305">
        <f>IF(J273="V",VLOOKUP(H273,Vtas1B!$A$2:$B$2313,2,FALSE),0)</f>
        <v>5000000</v>
      </c>
      <c r="N273" s="304" t="s">
        <v>2893</v>
      </c>
      <c r="O273" s="505">
        <f>VLOOKUP(N273,'Im 2'!$A$2:$C$2278,3,FALSE)</f>
        <v>0</v>
      </c>
      <c r="P273" s="304" t="str">
        <f>VLOOKUP(N273,'Im 2'!$A$2:$D$3546,4,FALSE)</f>
        <v>D</v>
      </c>
      <c r="Q273" s="305">
        <f>IF(P273="D",VLOOKUP(N273,'Im 2'!$A$2:$C$2278,2,FALSE),0)</f>
        <v>6000000</v>
      </c>
      <c r="R273" s="305">
        <f>IF(P273="V",VLOOKUP(N273,Vtas2!$A$2:$B$2425,2,FALSE),0)</f>
        <v>0</v>
      </c>
      <c r="T273" s="304" t="s">
        <v>1258</v>
      </c>
      <c r="U273" s="505">
        <f>VLOOKUP(T273,'Im 3A'!$A$2:$C$2278,3,FALSE)</f>
        <v>0</v>
      </c>
      <c r="V273" s="304" t="str">
        <f>VLOOKUP(T273,'Im 3A'!$A$2:$D$3546,4,FALSE)</f>
        <v>V</v>
      </c>
      <c r="W273" s="305">
        <f>IF(V273="D",VLOOKUP(T273,'Im 3A'!$A$2:$C$2278,2,FALSE),0)</f>
        <v>0</v>
      </c>
      <c r="X273" s="305">
        <f>IF(V273="V",VLOOKUP(T273,Vtas3A!$A$2:$B$2425,2,FALSE),0)</f>
        <v>24000000</v>
      </c>
      <c r="Z273" s="304" t="s">
        <v>1556</v>
      </c>
      <c r="AA273" s="505">
        <f>VLOOKUP(Z273,'Im 3B'!$A$2:$C$2280,3,FALSE)</f>
        <v>0</v>
      </c>
      <c r="AB273" s="304" t="str">
        <f>VLOOKUP(Z273,'Im 3B'!$A$2:$D$3548,4,FALSE)</f>
        <v>V</v>
      </c>
      <c r="AC273" s="305">
        <f>IF(AB273="D",VLOOKUP(Z273,'Im 3B'!$A$2:$C$2280,2,FALSE),0)</f>
        <v>0</v>
      </c>
      <c r="AD273" s="305">
        <f>IF(AB273="V",VLOOKUP(Z273,Vtas3B!$A$2:$B$2438,2,FALSE),0)</f>
        <v>5000000</v>
      </c>
    </row>
    <row r="274" spans="2:30" x14ac:dyDescent="0.2">
      <c r="B274" s="304" t="s">
        <v>1326</v>
      </c>
      <c r="C274" s="304">
        <f>VLOOKUP(B274,'Im 1A'!$A$2:$C$1963,3,FALSE)</f>
        <v>0</v>
      </c>
      <c r="D274" s="304" t="str">
        <f>VLOOKUP(B274,'Im 1A'!$A$2:$D$3231,4,FALSE)</f>
        <v>V</v>
      </c>
      <c r="E274" s="305">
        <f>IF(D274="D",VLOOKUP(B274,'Im 1A'!$A$2:$C$1963,2,FALSE),0)</f>
        <v>0</v>
      </c>
      <c r="F274" s="305">
        <f>IF(D274="V",VLOOKUP(B274,Vtas1A!$A$2:$B$2357,2,FALSE),0)</f>
        <v>27000000</v>
      </c>
      <c r="H274" s="304" t="s">
        <v>3036</v>
      </c>
      <c r="I274" s="304">
        <f>VLOOKUP(H274,'Im 1B'!$A$2:$C$1947,3,FALSE)</f>
        <v>0</v>
      </c>
      <c r="J274" s="304" t="str">
        <f>VLOOKUP(H274,'Im 1B'!$A$2:$D$3215,4,FALSE)</f>
        <v>V</v>
      </c>
      <c r="K274" s="305">
        <f>IF(J274="D",VLOOKUP(H274,'Im 1B'!$A$2:$C$1947,2,FALSE),0)</f>
        <v>0</v>
      </c>
      <c r="L274" s="305">
        <f>IF(J274="V",VLOOKUP(H274,Vtas1B!$A$2:$B$2313,2,FALSE),0)</f>
        <v>5000000</v>
      </c>
      <c r="N274" s="304" t="s">
        <v>2894</v>
      </c>
      <c r="O274" s="505">
        <f>VLOOKUP(N274,'Im 2'!$A$2:$C$2278,3,FALSE)</f>
        <v>0</v>
      </c>
      <c r="P274" s="304" t="str">
        <f>VLOOKUP(N274,'Im 2'!$A$2:$D$3546,4,FALSE)</f>
        <v>D</v>
      </c>
      <c r="Q274" s="305">
        <f>IF(P274="D",VLOOKUP(N274,'Im 2'!$A$2:$C$2278,2,FALSE),0)</f>
        <v>6000000</v>
      </c>
      <c r="R274" s="305">
        <f>IF(P274="V",VLOOKUP(N274,Vtas2!$A$2:$B$2425,2,FALSE),0)</f>
        <v>0</v>
      </c>
      <c r="T274" s="304" t="s">
        <v>1155</v>
      </c>
      <c r="U274" s="505">
        <f>VLOOKUP(T274,'Im 3A'!$A$2:$C$2278,3,FALSE)</f>
        <v>0</v>
      </c>
      <c r="V274" s="304" t="str">
        <f>VLOOKUP(T274,'Im 3A'!$A$2:$D$3546,4,FALSE)</f>
        <v>V</v>
      </c>
      <c r="W274" s="305">
        <f>IF(V274="D",VLOOKUP(T274,'Im 3A'!$A$2:$C$2278,2,FALSE),0)</f>
        <v>0</v>
      </c>
      <c r="X274" s="305">
        <f>IF(V274="V",VLOOKUP(T274,Vtas3A!$A$2:$B$2425,2,FALSE),0)</f>
        <v>23000000</v>
      </c>
      <c r="Z274" s="304" t="s">
        <v>1607</v>
      </c>
      <c r="AA274" s="505">
        <f>VLOOKUP(Z274,'Im 3B'!$A$2:$C$2280,3,FALSE)</f>
        <v>0</v>
      </c>
      <c r="AB274" s="304" t="str">
        <f>VLOOKUP(Z274,'Im 3B'!$A$2:$D$3548,4,FALSE)</f>
        <v>V</v>
      </c>
      <c r="AC274" s="305">
        <f>IF(AB274="D",VLOOKUP(Z274,'Im 3B'!$A$2:$C$2280,2,FALSE),0)</f>
        <v>0</v>
      </c>
      <c r="AD274" s="305">
        <f>IF(AB274="V",VLOOKUP(Z274,Vtas3B!$A$2:$B$2438,2,FALSE),0)</f>
        <v>5000000</v>
      </c>
    </row>
    <row r="275" spans="2:30" x14ac:dyDescent="0.2">
      <c r="B275" s="304" t="s">
        <v>1396</v>
      </c>
      <c r="C275" s="304">
        <f>VLOOKUP(B275,'Im 1A'!$A$2:$C$1963,3,FALSE)</f>
        <v>0</v>
      </c>
      <c r="D275" s="304" t="str">
        <f>VLOOKUP(B275,'Im 1A'!$A$2:$D$3231,4,FALSE)</f>
        <v>V</v>
      </c>
      <c r="E275" s="305">
        <f>IF(D275="D",VLOOKUP(B275,'Im 1A'!$A$2:$C$1963,2,FALSE),0)</f>
        <v>0</v>
      </c>
      <c r="F275" s="305">
        <f>IF(D275="V",VLOOKUP(B275,Vtas1A!$A$2:$B$2357,2,FALSE),0)</f>
        <v>27000000</v>
      </c>
      <c r="H275" s="304" t="s">
        <v>3298</v>
      </c>
      <c r="I275" s="304">
        <f>VLOOKUP(H275,'Im 1B'!$A$2:$C$1947,3,FALSE)</f>
        <v>0</v>
      </c>
      <c r="J275" s="304" t="str">
        <f>VLOOKUP(H275,'Im 1B'!$A$2:$D$3215,4,FALSE)</f>
        <v>V</v>
      </c>
      <c r="K275" s="305">
        <f>IF(J275="D",VLOOKUP(H275,'Im 1B'!$A$2:$C$1947,2,FALSE),0)</f>
        <v>0</v>
      </c>
      <c r="L275" s="305">
        <f>IF(J275="V",VLOOKUP(H275,Vtas1B!$A$2:$B$2313,2,FALSE),0)</f>
        <v>5000000</v>
      </c>
      <c r="N275" s="304" t="s">
        <v>2895</v>
      </c>
      <c r="O275" s="505">
        <f>VLOOKUP(N275,'Im 2'!$A$2:$C$2278,3,FALSE)</f>
        <v>0</v>
      </c>
      <c r="P275" s="304" t="str">
        <f>VLOOKUP(N275,'Im 2'!$A$2:$D$3546,4,FALSE)</f>
        <v>D</v>
      </c>
      <c r="Q275" s="305">
        <f>IF(P275="D",VLOOKUP(N275,'Im 2'!$A$2:$C$2278,2,FALSE),0)</f>
        <v>6000000</v>
      </c>
      <c r="R275" s="305">
        <f>IF(P275="V",VLOOKUP(N275,Vtas2!$A$2:$B$2425,2,FALSE),0)</f>
        <v>0</v>
      </c>
      <c r="T275" s="304" t="s">
        <v>1368</v>
      </c>
      <c r="U275" s="505">
        <f>VLOOKUP(T275,'Im 3A'!$A$2:$C$2278,3,FALSE)</f>
        <v>0</v>
      </c>
      <c r="V275" s="304" t="str">
        <f>VLOOKUP(T275,'Im 3A'!$A$2:$D$3546,4,FALSE)</f>
        <v>V</v>
      </c>
      <c r="W275" s="305">
        <f>IF(V275="D",VLOOKUP(T275,'Im 3A'!$A$2:$C$2278,2,FALSE),0)</f>
        <v>0</v>
      </c>
      <c r="X275" s="305">
        <f>IF(V275="V",VLOOKUP(T275,Vtas3A!$A$2:$B$2425,2,FALSE),0)</f>
        <v>24000000</v>
      </c>
      <c r="Z275" s="304" t="s">
        <v>1522</v>
      </c>
      <c r="AA275" s="505">
        <f>VLOOKUP(Z275,'Im 3B'!$A$2:$C$2280,3,FALSE)</f>
        <v>0</v>
      </c>
      <c r="AB275" s="304" t="str">
        <f>VLOOKUP(Z275,'Im 3B'!$A$2:$D$3548,4,FALSE)</f>
        <v>V</v>
      </c>
      <c r="AC275" s="305">
        <f>IF(AB275="D",VLOOKUP(Z275,'Im 3B'!$A$2:$C$2280,2,FALSE),0)</f>
        <v>0</v>
      </c>
      <c r="AD275" s="305">
        <f>IF(AB275="V",VLOOKUP(Z275,Vtas3B!$A$2:$B$2438,2,FALSE),0)</f>
        <v>5000000</v>
      </c>
    </row>
    <row r="276" spans="2:30" x14ac:dyDescent="0.2">
      <c r="B276" s="304" t="s">
        <v>1397</v>
      </c>
      <c r="C276" s="304">
        <f>VLOOKUP(B276,'Im 1A'!$A$2:$C$1963,3,FALSE)</f>
        <v>0</v>
      </c>
      <c r="D276" s="304" t="str">
        <f>VLOOKUP(B276,'Im 1A'!$A$2:$D$3231,4,FALSE)</f>
        <v>V</v>
      </c>
      <c r="E276" s="305">
        <f>IF(D276="D",VLOOKUP(B276,'Im 1A'!$A$2:$C$1963,2,FALSE),0)</f>
        <v>0</v>
      </c>
      <c r="F276" s="305">
        <f>IF(D276="V",VLOOKUP(B276,Vtas1A!$A$2:$B$2357,2,FALSE),0)</f>
        <v>27000000</v>
      </c>
      <c r="H276" s="304" t="s">
        <v>3037</v>
      </c>
      <c r="I276" s="304">
        <f>VLOOKUP(H276,'Im 1B'!$A$2:$C$1947,3,FALSE)</f>
        <v>0</v>
      </c>
      <c r="J276" s="304" t="str">
        <f>VLOOKUP(H276,'Im 1B'!$A$2:$D$3215,4,FALSE)</f>
        <v>V</v>
      </c>
      <c r="K276" s="305">
        <f>IF(J276="D",VLOOKUP(H276,'Im 1B'!$A$2:$C$1947,2,FALSE),0)</f>
        <v>0</v>
      </c>
      <c r="L276" s="305">
        <f>IF(J276="V",VLOOKUP(H276,Vtas1B!$A$2:$B$2313,2,FALSE),0)</f>
        <v>5000000</v>
      </c>
      <c r="N276" s="304" t="s">
        <v>2896</v>
      </c>
      <c r="O276" s="505">
        <f>VLOOKUP(N276,'Im 2'!$A$2:$C$2278,3,FALSE)</f>
        <v>0</v>
      </c>
      <c r="P276" s="304" t="str">
        <f>VLOOKUP(N276,'Im 2'!$A$2:$D$3546,4,FALSE)</f>
        <v>D</v>
      </c>
      <c r="Q276" s="305">
        <f>IF(P276="D",VLOOKUP(N276,'Im 2'!$A$2:$C$2278,2,FALSE),0)</f>
        <v>6000000</v>
      </c>
      <c r="R276" s="305">
        <f>IF(P276="V",VLOOKUP(N276,Vtas2!$A$2:$B$2425,2,FALSE),0)</f>
        <v>0</v>
      </c>
      <c r="T276" s="304" t="s">
        <v>1102</v>
      </c>
      <c r="U276" s="505">
        <f>VLOOKUP(T276,'Im 3A'!$A$2:$C$2278,3,FALSE)</f>
        <v>0</v>
      </c>
      <c r="V276" s="304" t="str">
        <f>VLOOKUP(T276,'Im 3A'!$A$2:$D$3546,4,FALSE)</f>
        <v>V</v>
      </c>
      <c r="W276" s="305">
        <f>IF(V276="D",VLOOKUP(T276,'Im 3A'!$A$2:$C$2278,2,FALSE),0)</f>
        <v>0</v>
      </c>
      <c r="X276" s="305">
        <f>IF(V276="V",VLOOKUP(T276,Vtas3A!$A$2:$B$2425,2,FALSE),0)</f>
        <v>23000000</v>
      </c>
      <c r="Z276" s="304" t="s">
        <v>2304</v>
      </c>
      <c r="AA276" s="505">
        <f>VLOOKUP(Z276,'Im 3B'!$A$2:$C$2280,3,FALSE)</f>
        <v>0</v>
      </c>
      <c r="AB276" s="304" t="str">
        <f>VLOOKUP(Z276,'Im 3B'!$A$2:$D$3548,4,FALSE)</f>
        <v>V</v>
      </c>
      <c r="AC276" s="305">
        <f>IF(AB276="D",VLOOKUP(Z276,'Im 3B'!$A$2:$C$2280,2,FALSE),0)</f>
        <v>0</v>
      </c>
      <c r="AD276" s="305">
        <f>IF(AB276="V",VLOOKUP(Z276,Vtas3B!$A$2:$B$2438,2,FALSE),0)</f>
        <v>5000000</v>
      </c>
    </row>
    <row r="277" spans="2:30" x14ac:dyDescent="0.2">
      <c r="B277" s="304" t="s">
        <v>1328</v>
      </c>
      <c r="C277" s="304">
        <f>VLOOKUP(B277,'Im 1A'!$A$2:$C$1963,3,FALSE)</f>
        <v>0</v>
      </c>
      <c r="D277" s="304" t="str">
        <f>VLOOKUP(B277,'Im 1A'!$A$2:$D$3231,4,FALSE)</f>
        <v>V</v>
      </c>
      <c r="E277" s="305">
        <f>IF(D277="D",VLOOKUP(B277,'Im 1A'!$A$2:$C$1963,2,FALSE),0)</f>
        <v>0</v>
      </c>
      <c r="F277" s="305">
        <f>IF(D277="V",VLOOKUP(B277,Vtas1A!$A$2:$B$2357,2,FALSE),0)</f>
        <v>27000000</v>
      </c>
      <c r="H277" s="304" t="s">
        <v>2268</v>
      </c>
      <c r="I277" s="304">
        <f>VLOOKUP(H277,'Im 1B'!$A$2:$C$1947,3,FALSE)</f>
        <v>0</v>
      </c>
      <c r="J277" s="304" t="str">
        <f>VLOOKUP(H277,'Im 1B'!$A$2:$D$3215,4,FALSE)</f>
        <v>V</v>
      </c>
      <c r="K277" s="305">
        <f>IF(J277="D",VLOOKUP(H277,'Im 1B'!$A$2:$C$1947,2,FALSE),0)</f>
        <v>0</v>
      </c>
      <c r="L277" s="305">
        <f>IF(J277="V",VLOOKUP(H277,Vtas1B!$A$2:$B$2313,2,FALSE),0)</f>
        <v>5000000</v>
      </c>
      <c r="N277" s="304" t="s">
        <v>2897</v>
      </c>
      <c r="O277" s="505">
        <f>VLOOKUP(N277,'Im 2'!$A$2:$C$2278,3,FALSE)</f>
        <v>0</v>
      </c>
      <c r="P277" s="304" t="str">
        <f>VLOOKUP(N277,'Im 2'!$A$2:$D$3546,4,FALSE)</f>
        <v>D</v>
      </c>
      <c r="Q277" s="305">
        <f>IF(P277="D",VLOOKUP(N277,'Im 2'!$A$2:$C$2278,2,FALSE),0)</f>
        <v>6000000</v>
      </c>
      <c r="R277" s="305">
        <f>IF(P277="V",VLOOKUP(N277,Vtas2!$A$2:$B$2425,2,FALSE),0)</f>
        <v>0</v>
      </c>
      <c r="T277" s="304" t="s">
        <v>1103</v>
      </c>
      <c r="U277" s="505">
        <f>VLOOKUP(T277,'Im 3A'!$A$2:$C$2278,3,FALSE)</f>
        <v>0</v>
      </c>
      <c r="V277" s="304" t="str">
        <f>VLOOKUP(T277,'Im 3A'!$A$2:$D$3546,4,FALSE)</f>
        <v>V</v>
      </c>
      <c r="W277" s="305">
        <f>IF(V277="D",VLOOKUP(T277,'Im 3A'!$A$2:$C$2278,2,FALSE),0)</f>
        <v>0</v>
      </c>
      <c r="X277" s="305">
        <f>IF(V277="V",VLOOKUP(T277,Vtas3A!$A$2:$B$2425,2,FALSE),0)</f>
        <v>24000000</v>
      </c>
      <c r="Z277" s="304" t="s">
        <v>1740</v>
      </c>
      <c r="AA277" s="505">
        <f>VLOOKUP(Z277,'Im 3B'!$A$2:$C$2280,3,FALSE)</f>
        <v>0</v>
      </c>
      <c r="AB277" s="304" t="str">
        <f>VLOOKUP(Z277,'Im 3B'!$A$2:$D$3548,4,FALSE)</f>
        <v>V</v>
      </c>
      <c r="AC277" s="305">
        <f>IF(AB277="D",VLOOKUP(Z277,'Im 3B'!$A$2:$C$2280,2,FALSE),0)</f>
        <v>0</v>
      </c>
      <c r="AD277" s="305">
        <f>IF(AB277="V",VLOOKUP(Z277,Vtas3B!$A$2:$B$2438,2,FALSE),0)</f>
        <v>5000000</v>
      </c>
    </row>
    <row r="278" spans="2:30" x14ac:dyDescent="0.2">
      <c r="B278" s="304" t="s">
        <v>1329</v>
      </c>
      <c r="C278" s="304">
        <f>VLOOKUP(B278,'Im 1A'!$A$2:$C$1963,3,FALSE)</f>
        <v>0</v>
      </c>
      <c r="D278" s="304" t="str">
        <f>VLOOKUP(B278,'Im 1A'!$A$2:$D$3231,4,FALSE)</f>
        <v>V</v>
      </c>
      <c r="E278" s="305">
        <f>IF(D278="D",VLOOKUP(B278,'Im 1A'!$A$2:$C$1963,2,FALSE),0)</f>
        <v>0</v>
      </c>
      <c r="F278" s="305">
        <f>IF(D278="V",VLOOKUP(B278,Vtas1A!$A$2:$B$2357,2,FALSE),0)</f>
        <v>27000000</v>
      </c>
      <c r="H278" s="304" t="s">
        <v>2737</v>
      </c>
      <c r="I278" s="304">
        <f>VLOOKUP(H278,'Im 1B'!$A$2:$C$1947,3,FALSE)</f>
        <v>0</v>
      </c>
      <c r="J278" s="304" t="str">
        <f>VLOOKUP(H278,'Im 1B'!$A$2:$D$3215,4,FALSE)</f>
        <v>V</v>
      </c>
      <c r="K278" s="305">
        <f>IF(J278="D",VLOOKUP(H278,'Im 1B'!$A$2:$C$1947,2,FALSE),0)</f>
        <v>0</v>
      </c>
      <c r="L278" s="305">
        <f>IF(J278="V",VLOOKUP(H278,Vtas1B!$A$2:$B$2313,2,FALSE),0)</f>
        <v>5000000</v>
      </c>
      <c r="N278" s="304" t="s">
        <v>2898</v>
      </c>
      <c r="O278" s="505">
        <f>VLOOKUP(N278,'Im 2'!$A$2:$C$2278,3,FALSE)</f>
        <v>0</v>
      </c>
      <c r="P278" s="304" t="str">
        <f>VLOOKUP(N278,'Im 2'!$A$2:$D$3546,4,FALSE)</f>
        <v>D</v>
      </c>
      <c r="Q278" s="305">
        <f>IF(P278="D",VLOOKUP(N278,'Im 2'!$A$2:$C$2278,2,FALSE),0)</f>
        <v>6000000</v>
      </c>
      <c r="R278" s="305">
        <f>IF(P278="V",VLOOKUP(N278,Vtas2!$A$2:$B$2425,2,FALSE),0)</f>
        <v>0</v>
      </c>
      <c r="T278" s="304" t="s">
        <v>1031</v>
      </c>
      <c r="U278" s="505">
        <f>VLOOKUP(T278,'Im 3A'!$A$2:$C$2278,3,FALSE)</f>
        <v>0</v>
      </c>
      <c r="V278" s="304" t="str">
        <f>VLOOKUP(T278,'Im 3A'!$A$2:$D$3546,4,FALSE)</f>
        <v>V</v>
      </c>
      <c r="W278" s="305">
        <f>IF(V278="D",VLOOKUP(T278,'Im 3A'!$A$2:$C$2278,2,FALSE),0)</f>
        <v>0</v>
      </c>
      <c r="X278" s="305">
        <f>IF(V278="V",VLOOKUP(T278,Vtas3A!$A$2:$B$2425,2,FALSE),0)</f>
        <v>23000000</v>
      </c>
      <c r="Z278" s="304" t="s">
        <v>1608</v>
      </c>
      <c r="AA278" s="505">
        <f>VLOOKUP(Z278,'Im 3B'!$A$2:$C$2280,3,FALSE)</f>
        <v>0</v>
      </c>
      <c r="AB278" s="304" t="str">
        <f>VLOOKUP(Z278,'Im 3B'!$A$2:$D$3548,4,FALSE)</f>
        <v>V</v>
      </c>
      <c r="AC278" s="305">
        <f>IF(AB278="D",VLOOKUP(Z278,'Im 3B'!$A$2:$C$2280,2,FALSE),0)</f>
        <v>0</v>
      </c>
      <c r="AD278" s="305">
        <f>IF(AB278="V",VLOOKUP(Z278,Vtas3B!$A$2:$B$2438,2,FALSE),0)</f>
        <v>5000000</v>
      </c>
    </row>
    <row r="279" spans="2:30" x14ac:dyDescent="0.2">
      <c r="B279" s="304" t="s">
        <v>1330</v>
      </c>
      <c r="C279" s="304">
        <f>VLOOKUP(B279,'Im 1A'!$A$2:$C$1963,3,FALSE)</f>
        <v>0</v>
      </c>
      <c r="D279" s="304" t="str">
        <f>VLOOKUP(B279,'Im 1A'!$A$2:$D$3231,4,FALSE)</f>
        <v>V</v>
      </c>
      <c r="E279" s="305">
        <f>IF(D279="D",VLOOKUP(B279,'Im 1A'!$A$2:$C$1963,2,FALSE),0)</f>
        <v>0</v>
      </c>
      <c r="F279" s="305">
        <f>IF(D279="V",VLOOKUP(B279,Vtas1A!$A$2:$B$2357,2,FALSE),0)</f>
        <v>27000000</v>
      </c>
      <c r="H279" s="304" t="s">
        <v>3236</v>
      </c>
      <c r="I279" s="304">
        <f>VLOOKUP(H279,'Im 1B'!$A$2:$C$1947,3,FALSE)</f>
        <v>0</v>
      </c>
      <c r="J279" s="304" t="str">
        <f>VLOOKUP(H279,'Im 1B'!$A$2:$D$3215,4,FALSE)</f>
        <v>V</v>
      </c>
      <c r="K279" s="305">
        <f>IF(J279="D",VLOOKUP(H279,'Im 1B'!$A$2:$C$1947,2,FALSE),0)</f>
        <v>0</v>
      </c>
      <c r="L279" s="305">
        <f>IF(J279="V",VLOOKUP(H279,Vtas1B!$A$2:$B$2313,2,FALSE),0)</f>
        <v>5000000</v>
      </c>
      <c r="N279" s="304" t="s">
        <v>3245</v>
      </c>
      <c r="O279" s="505">
        <f>VLOOKUP(N279,'Im 2'!$A$2:$C$2278,3,FALSE)</f>
        <v>0</v>
      </c>
      <c r="P279" s="304" t="str">
        <f>VLOOKUP(N279,'Im 2'!$A$2:$D$3546,4,FALSE)</f>
        <v>D</v>
      </c>
      <c r="Q279" s="305">
        <f>IF(P279="D",VLOOKUP(N279,'Im 2'!$A$2:$C$2278,2,FALSE),0)</f>
        <v>6000000</v>
      </c>
      <c r="R279" s="305">
        <f>IF(P279="V",VLOOKUP(N279,Vtas2!$A$2:$B$2425,2,FALSE),0)</f>
        <v>0</v>
      </c>
      <c r="T279" s="304" t="s">
        <v>1032</v>
      </c>
      <c r="U279" s="505">
        <f>VLOOKUP(T279,'Im 3A'!$A$2:$C$2278,3,FALSE)</f>
        <v>0</v>
      </c>
      <c r="V279" s="304" t="str">
        <f>VLOOKUP(T279,'Im 3A'!$A$2:$D$3546,4,FALSE)</f>
        <v>V</v>
      </c>
      <c r="W279" s="305">
        <f>IF(V279="D",VLOOKUP(T279,'Im 3A'!$A$2:$C$2278,2,FALSE),0)</f>
        <v>0</v>
      </c>
      <c r="X279" s="305">
        <f>IF(V279="V",VLOOKUP(T279,Vtas3A!$A$2:$B$2425,2,FALSE),0)</f>
        <v>23000000</v>
      </c>
      <c r="Z279" s="304" t="s">
        <v>1509</v>
      </c>
      <c r="AA279" s="505">
        <f>VLOOKUP(Z279,'Im 3B'!$A$2:$C$2280,3,FALSE)</f>
        <v>0</v>
      </c>
      <c r="AB279" s="304" t="str">
        <f>VLOOKUP(Z279,'Im 3B'!$A$2:$D$3548,4,FALSE)</f>
        <v>V</v>
      </c>
      <c r="AC279" s="305">
        <f>IF(AB279="D",VLOOKUP(Z279,'Im 3B'!$A$2:$C$2280,2,FALSE),0)</f>
        <v>0</v>
      </c>
      <c r="AD279" s="305">
        <f>IF(AB279="V",VLOOKUP(Z279,Vtas3B!$A$2:$B$2438,2,FALSE),0)</f>
        <v>5000000</v>
      </c>
    </row>
    <row r="280" spans="2:30" x14ac:dyDescent="0.2">
      <c r="B280" s="304" t="s">
        <v>1443</v>
      </c>
      <c r="C280" s="304">
        <f>VLOOKUP(B280,'Im 1A'!$A$2:$C$1963,3,FALSE)</f>
        <v>0</v>
      </c>
      <c r="D280" s="304" t="str">
        <f>VLOOKUP(B280,'Im 1A'!$A$2:$D$3231,4,FALSE)</f>
        <v>V</v>
      </c>
      <c r="E280" s="305">
        <f>IF(D280="D",VLOOKUP(B280,'Im 1A'!$A$2:$C$1963,2,FALSE),0)</f>
        <v>0</v>
      </c>
      <c r="F280" s="305">
        <f>IF(D280="V",VLOOKUP(B280,Vtas1A!$A$2:$B$2357,2,FALSE),0)</f>
        <v>22000000</v>
      </c>
      <c r="H280" s="304" t="s">
        <v>2559</v>
      </c>
      <c r="I280" s="304">
        <f>VLOOKUP(H280,'Im 1B'!$A$2:$C$1947,3,FALSE)</f>
        <v>0</v>
      </c>
      <c r="J280" s="304" t="str">
        <f>VLOOKUP(H280,'Im 1B'!$A$2:$D$3215,4,FALSE)</f>
        <v>V</v>
      </c>
      <c r="K280" s="305">
        <f>IF(J280="D",VLOOKUP(H280,'Im 1B'!$A$2:$C$1947,2,FALSE),0)</f>
        <v>0</v>
      </c>
      <c r="L280" s="305">
        <f>IF(J280="V",VLOOKUP(H280,Vtas1B!$A$2:$B$2313,2,FALSE),0)</f>
        <v>5000000</v>
      </c>
      <c r="N280" s="304" t="s">
        <v>3094</v>
      </c>
      <c r="O280" s="505">
        <f>VLOOKUP(N280,'Im 2'!$A$2:$C$2278,3,FALSE)</f>
        <v>0</v>
      </c>
      <c r="P280" s="304" t="str">
        <f>VLOOKUP(N280,'Im 2'!$A$2:$D$3546,4,FALSE)</f>
        <v>D</v>
      </c>
      <c r="Q280" s="305">
        <f>IF(P280="D",VLOOKUP(N280,'Im 2'!$A$2:$C$2278,2,FALSE),0)</f>
        <v>6000000</v>
      </c>
      <c r="R280" s="305">
        <f>IF(P280="V",VLOOKUP(N280,Vtas2!$A$2:$B$2425,2,FALSE),0)</f>
        <v>0</v>
      </c>
      <c r="T280" s="512" t="s">
        <v>1033</v>
      </c>
      <c r="U280" s="505">
        <f>VLOOKUP(T280,'Im 3A'!$A$2:$C$2278,3,FALSE)</f>
        <v>0</v>
      </c>
      <c r="V280" s="304" t="str">
        <f>VLOOKUP(T280,'Im 3A'!$A$2:$D$3546,4,FALSE)</f>
        <v>V</v>
      </c>
      <c r="W280" s="305">
        <f>IF(V280="D",VLOOKUP(T280,'Im 3A'!$A$2:$C$2278,2,FALSE),0)</f>
        <v>0</v>
      </c>
      <c r="X280" s="305">
        <f>IF(V280="V",VLOOKUP(T280,Vtas3A!$A$2:$B$2425,2,FALSE),0)</f>
        <v>23000000</v>
      </c>
      <c r="Z280" s="304" t="s">
        <v>2567</v>
      </c>
      <c r="AA280" s="505">
        <f>VLOOKUP(Z280,'Im 3B'!$A$2:$C$2280,3,FALSE)</f>
        <v>0</v>
      </c>
      <c r="AB280" s="304" t="str">
        <f>VLOOKUP(Z280,'Im 3B'!$A$2:$D$3548,4,FALSE)</f>
        <v>V</v>
      </c>
      <c r="AC280" s="305">
        <f>IF(AB280="D",VLOOKUP(Z280,'Im 3B'!$A$2:$C$2280,2,FALSE),0)</f>
        <v>0</v>
      </c>
      <c r="AD280" s="305">
        <f>IF(AB280="V",VLOOKUP(Z280,Vtas3B!$A$2:$B$2438,2,FALSE),0)</f>
        <v>5000000</v>
      </c>
    </row>
    <row r="281" spans="2:30" x14ac:dyDescent="0.2">
      <c r="B281" s="304" t="s">
        <v>2550</v>
      </c>
      <c r="C281" s="304">
        <f>VLOOKUP(B281,'Im 1A'!$A$2:$C$1963,3,FALSE)</f>
        <v>0</v>
      </c>
      <c r="D281" s="304" t="str">
        <f>VLOOKUP(B281,'Im 1A'!$A$2:$D$3231,4,FALSE)</f>
        <v>V</v>
      </c>
      <c r="E281" s="305">
        <f>IF(D281="D",VLOOKUP(B281,'Im 1A'!$A$2:$C$1963,2,FALSE),0)</f>
        <v>0</v>
      </c>
      <c r="F281" s="305">
        <f>IF(D281="V",VLOOKUP(B281,Vtas1A!$A$2:$B$2357,2,FALSE),0)</f>
        <v>22000000</v>
      </c>
      <c r="H281" s="304" t="s">
        <v>2638</v>
      </c>
      <c r="I281" s="304">
        <f>VLOOKUP(H281,'Im 1B'!$A$2:$C$1947,3,FALSE)</f>
        <v>0</v>
      </c>
      <c r="J281" s="304" t="str">
        <f>VLOOKUP(H281,'Im 1B'!$A$2:$D$3215,4,FALSE)</f>
        <v>V</v>
      </c>
      <c r="K281" s="305">
        <f>IF(J281="D",VLOOKUP(H281,'Im 1B'!$A$2:$C$1947,2,FALSE),0)</f>
        <v>0</v>
      </c>
      <c r="L281" s="305">
        <f>IF(J281="V",VLOOKUP(H281,Vtas1B!$A$2:$B$2313,2,FALSE),0)</f>
        <v>5000000</v>
      </c>
      <c r="N281" s="304" t="s">
        <v>3467</v>
      </c>
      <c r="O281" s="505">
        <f>VLOOKUP(N281,'Im 2'!$A$2:$C$2278,3,FALSE)</f>
        <v>0</v>
      </c>
      <c r="P281" s="304" t="str">
        <f>VLOOKUP(N281,'Im 2'!$A$2:$D$3546,4,FALSE)</f>
        <v>V</v>
      </c>
      <c r="Q281" s="305">
        <f>IF(P281="D",VLOOKUP(N281,'Im 2'!$A$2:$C$2278,2,FALSE),0)</f>
        <v>0</v>
      </c>
      <c r="R281" s="305">
        <f>IF(P281="V",VLOOKUP(N281,Vtas2!$A$2:$B$2425,2,FALSE),0)</f>
        <v>6000000</v>
      </c>
      <c r="T281" s="304" t="s">
        <v>1188</v>
      </c>
      <c r="U281" s="505">
        <f>VLOOKUP(T281,'Im 3A'!$A$2:$C$2278,3,FALSE)</f>
        <v>0</v>
      </c>
      <c r="V281" s="304" t="str">
        <f>VLOOKUP(T281,'Im 3A'!$A$2:$D$3546,4,FALSE)</f>
        <v>V</v>
      </c>
      <c r="W281" s="305">
        <f>IF(V281="D",VLOOKUP(T281,'Im 3A'!$A$2:$C$2278,2,FALSE),0)</f>
        <v>0</v>
      </c>
      <c r="X281" s="305">
        <f>IF(V281="V",VLOOKUP(T281,Vtas3A!$A$2:$B$2425,2,FALSE),0)</f>
        <v>23000000</v>
      </c>
      <c r="Z281" s="304" t="s">
        <v>1694</v>
      </c>
      <c r="AA281" s="505">
        <f>VLOOKUP(Z281,'Im 3B'!$A$2:$C$2280,3,FALSE)</f>
        <v>0</v>
      </c>
      <c r="AB281" s="304" t="str">
        <f>VLOOKUP(Z281,'Im 3B'!$A$2:$D$3548,4,FALSE)</f>
        <v>V</v>
      </c>
      <c r="AC281" s="305">
        <f>IF(AB281="D",VLOOKUP(Z281,'Im 3B'!$A$2:$C$2280,2,FALSE),0)</f>
        <v>0</v>
      </c>
      <c r="AD281" s="305">
        <f>IF(AB281="V",VLOOKUP(Z281,Vtas3B!$A$2:$B$2438,2,FALSE),0)</f>
        <v>5000000</v>
      </c>
    </row>
    <row r="282" spans="2:30" x14ac:dyDescent="0.2">
      <c r="B282" s="304" t="s">
        <v>2626</v>
      </c>
      <c r="C282" s="304">
        <f>VLOOKUP(B282,'Im 1A'!$A$2:$C$1963,3,FALSE)</f>
        <v>0</v>
      </c>
      <c r="D282" s="304" t="str">
        <f>VLOOKUP(B282,'Im 1A'!$A$2:$D$3231,4,FALSE)</f>
        <v>V</v>
      </c>
      <c r="E282" s="305">
        <f>IF(D282="D",VLOOKUP(B282,'Im 1A'!$A$2:$C$1963,2,FALSE),0)</f>
        <v>0</v>
      </c>
      <c r="F282" s="305">
        <f>IF(D282="V",VLOOKUP(B282,Vtas1A!$A$2:$B$2357,2,FALSE),0)</f>
        <v>22000000</v>
      </c>
      <c r="H282" s="304" t="s">
        <v>3461</v>
      </c>
      <c r="I282" s="304">
        <f>VLOOKUP(H282,'Im 1B'!$A$2:$C$1947,3,FALSE)</f>
        <v>0</v>
      </c>
      <c r="J282" s="304" t="str">
        <f>VLOOKUP(H282,'Im 1B'!$A$2:$D$3215,4,FALSE)</f>
        <v>V</v>
      </c>
      <c r="K282" s="305">
        <f>IF(J282="D",VLOOKUP(H282,'Im 1B'!$A$2:$C$1947,2,FALSE),0)</f>
        <v>0</v>
      </c>
      <c r="L282" s="305">
        <f>IF(J282="V",VLOOKUP(H282,Vtas1B!$A$2:$B$2313,2,FALSE),0)</f>
        <v>5000000</v>
      </c>
      <c r="N282" s="304" t="s">
        <v>3738</v>
      </c>
      <c r="O282" s="505">
        <f>VLOOKUP(N282,'Im 2'!$A$2:$C$2278,3,FALSE)</f>
        <v>0</v>
      </c>
      <c r="P282" s="304" t="str">
        <f>VLOOKUP(N282,'Im 2'!$A$2:$D$3546,4,FALSE)</f>
        <v>V</v>
      </c>
      <c r="Q282" s="305">
        <f>IF(P282="D",VLOOKUP(N282,'Im 2'!$A$2:$C$2278,2,FALSE),0)</f>
        <v>0</v>
      </c>
      <c r="R282" s="305">
        <f>IF(P282="V",VLOOKUP(N282,Vtas2!$A$2:$B$2425,2,FALSE),0)</f>
        <v>6000000</v>
      </c>
      <c r="T282" s="304" t="s">
        <v>1104</v>
      </c>
      <c r="U282" s="505">
        <f>VLOOKUP(T282,'Im 3A'!$A$2:$C$2278,3,FALSE)</f>
        <v>0</v>
      </c>
      <c r="V282" s="304" t="str">
        <f>VLOOKUP(T282,'Im 3A'!$A$2:$D$3546,4,FALSE)</f>
        <v>V</v>
      </c>
      <c r="W282" s="305">
        <f>IF(V282="D",VLOOKUP(T282,'Im 3A'!$A$2:$C$2278,2,FALSE),0)</f>
        <v>0</v>
      </c>
      <c r="X282" s="305">
        <f>IF(V282="V",VLOOKUP(T282,Vtas3A!$A$2:$B$2425,2,FALSE),0)</f>
        <v>23000000</v>
      </c>
      <c r="Z282" s="304" t="s">
        <v>1609</v>
      </c>
      <c r="AA282" s="505">
        <f>VLOOKUP(Z282,'Im 3B'!$A$2:$C$2280,3,FALSE)</f>
        <v>0</v>
      </c>
      <c r="AB282" s="304" t="str">
        <f>VLOOKUP(Z282,'Im 3B'!$A$2:$D$3548,4,FALSE)</f>
        <v>V</v>
      </c>
      <c r="AC282" s="305">
        <f>IF(AB282="D",VLOOKUP(Z282,'Im 3B'!$A$2:$C$2280,2,FALSE),0)</f>
        <v>0</v>
      </c>
      <c r="AD282" s="305">
        <f>IF(AB282="V",VLOOKUP(Z282,Vtas3B!$A$2:$B$2438,2,FALSE),0)</f>
        <v>5000000</v>
      </c>
    </row>
    <row r="283" spans="2:30" x14ac:dyDescent="0.2">
      <c r="B283" s="304" t="s">
        <v>1331</v>
      </c>
      <c r="C283" s="304">
        <f>VLOOKUP(B283,'Im 1A'!$A$2:$C$1963,3,FALSE)</f>
        <v>0</v>
      </c>
      <c r="D283" s="304" t="str">
        <f>VLOOKUP(B283,'Im 1A'!$A$2:$D$3231,4,FALSE)</f>
        <v>V</v>
      </c>
      <c r="E283" s="305">
        <f>IF(D283="D",VLOOKUP(B283,'Im 1A'!$A$2:$C$1963,2,FALSE),0)</f>
        <v>0</v>
      </c>
      <c r="F283" s="305">
        <f>IF(D283="V",VLOOKUP(B283,Vtas1A!$A$2:$B$2357,2,FALSE),0)</f>
        <v>22000000</v>
      </c>
      <c r="H283" s="304" t="s">
        <v>3038</v>
      </c>
      <c r="I283" s="304">
        <f>VLOOKUP(H283,'Im 1B'!$A$2:$C$1947,3,FALSE)</f>
        <v>0</v>
      </c>
      <c r="J283" s="304" t="str">
        <f>VLOOKUP(H283,'Im 1B'!$A$2:$D$3215,4,FALSE)</f>
        <v>V</v>
      </c>
      <c r="K283" s="305">
        <f>IF(J283="D",VLOOKUP(H283,'Im 1B'!$A$2:$C$1947,2,FALSE),0)</f>
        <v>0</v>
      </c>
      <c r="L283" s="305">
        <f>IF(J283="V",VLOOKUP(H283,Vtas1B!$A$2:$B$2313,2,FALSE),0)</f>
        <v>5000000</v>
      </c>
      <c r="N283" s="304" t="s">
        <v>4254</v>
      </c>
      <c r="O283" s="505">
        <f>VLOOKUP(N283,'Im 2'!$A$2:$C$2278,3,FALSE)</f>
        <v>0</v>
      </c>
      <c r="P283" s="304" t="str">
        <f>VLOOKUP(N283,'Im 2'!$A$2:$D$3546,4,FALSE)</f>
        <v>V</v>
      </c>
      <c r="Q283" s="305">
        <f>IF(P283="D",VLOOKUP(N283,'Im 2'!$A$2:$C$2278,2,FALSE),0)</f>
        <v>0</v>
      </c>
      <c r="R283" s="305">
        <f>IF(P283="V",VLOOKUP(N283,Vtas2!$A$2:$B$2425,2,FALSE),0)</f>
        <v>6000000</v>
      </c>
      <c r="T283" s="304" t="s">
        <v>1156</v>
      </c>
      <c r="U283" s="505">
        <f>VLOOKUP(T283,'Im 3A'!$A$2:$C$2278,3,FALSE)</f>
        <v>0</v>
      </c>
      <c r="V283" s="304" t="str">
        <f>VLOOKUP(T283,'Im 3A'!$A$2:$D$3546,4,FALSE)</f>
        <v>V</v>
      </c>
      <c r="W283" s="305">
        <f>IF(V283="D",VLOOKUP(T283,'Im 3A'!$A$2:$C$2278,2,FALSE),0)</f>
        <v>0</v>
      </c>
      <c r="X283" s="305">
        <f>IF(V283="V",VLOOKUP(T283,Vtas3A!$A$2:$B$2425,2,FALSE),0)</f>
        <v>23000000</v>
      </c>
      <c r="Z283" s="304" t="s">
        <v>2568</v>
      </c>
      <c r="AA283" s="505">
        <f>VLOOKUP(Z283,'Im 3B'!$A$2:$C$2280,3,FALSE)</f>
        <v>0</v>
      </c>
      <c r="AB283" s="304" t="str">
        <f>VLOOKUP(Z283,'Im 3B'!$A$2:$D$3548,4,FALSE)</f>
        <v>V</v>
      </c>
      <c r="AC283" s="305">
        <f>IF(AB283="D",VLOOKUP(Z283,'Im 3B'!$A$2:$C$2280,2,FALSE),0)</f>
        <v>0</v>
      </c>
      <c r="AD283" s="305">
        <f>IF(AB283="V",VLOOKUP(Z283,Vtas3B!$A$2:$B$2438,2,FALSE),0)</f>
        <v>5000000</v>
      </c>
    </row>
    <row r="284" spans="2:30" x14ac:dyDescent="0.2">
      <c r="B284" s="304" t="s">
        <v>1398</v>
      </c>
      <c r="C284" s="304">
        <f>VLOOKUP(B284,'Im 1A'!$A$2:$C$1963,3,FALSE)</f>
        <v>0</v>
      </c>
      <c r="D284" s="304" t="str">
        <f>VLOOKUP(B284,'Im 1A'!$A$2:$D$3231,4,FALSE)</f>
        <v>V</v>
      </c>
      <c r="E284" s="305">
        <f>IF(D284="D",VLOOKUP(B284,'Im 1A'!$A$2:$C$1963,2,FALSE),0)</f>
        <v>0</v>
      </c>
      <c r="F284" s="305">
        <f>IF(D284="V",VLOOKUP(B284,Vtas1A!$A$2:$B$2357,2,FALSE),0)</f>
        <v>22000000</v>
      </c>
      <c r="H284" s="304" t="s">
        <v>3373</v>
      </c>
      <c r="I284" s="304">
        <f>VLOOKUP(H284,'Im 1B'!$A$2:$C$1947,3,FALSE)</f>
        <v>0</v>
      </c>
      <c r="J284" s="304" t="str">
        <f>VLOOKUP(H284,'Im 1B'!$A$2:$D$3215,4,FALSE)</f>
        <v>V</v>
      </c>
      <c r="K284" s="305">
        <f>IF(J284="D",VLOOKUP(H284,'Im 1B'!$A$2:$C$1947,2,FALSE),0)</f>
        <v>0</v>
      </c>
      <c r="L284" s="305">
        <f>IF(J284="V",VLOOKUP(H284,Vtas1B!$A$2:$B$2313,2,FALSE),0)</f>
        <v>5000000</v>
      </c>
      <c r="N284" s="304" t="s">
        <v>4303</v>
      </c>
      <c r="O284" s="505">
        <f>VLOOKUP(N284,'Im 2'!$A$2:$C$2278,3,FALSE)</f>
        <v>0</v>
      </c>
      <c r="P284" s="304" t="str">
        <f>VLOOKUP(N284,'Im 2'!$A$2:$D$3546,4,FALSE)</f>
        <v>V</v>
      </c>
      <c r="Q284" s="305">
        <f>IF(P284="D",VLOOKUP(N284,'Im 2'!$A$2:$C$2278,2,FALSE),0)</f>
        <v>0</v>
      </c>
      <c r="R284" s="305">
        <f>IF(P284="V",VLOOKUP(N284,Vtas2!$A$2:$B$2425,2,FALSE),0)</f>
        <v>6000000</v>
      </c>
      <c r="T284" s="304" t="s">
        <v>1035</v>
      </c>
      <c r="U284" s="505">
        <f>VLOOKUP(T284,'Im 3A'!$A$2:$C$2278,3,FALSE)</f>
        <v>0</v>
      </c>
      <c r="V284" s="304" t="str">
        <f>VLOOKUP(T284,'Im 3A'!$A$2:$D$3546,4,FALSE)</f>
        <v>V</v>
      </c>
      <c r="W284" s="305">
        <f>IF(V284="D",VLOOKUP(T284,'Im 3A'!$A$2:$C$2278,2,FALSE),0)</f>
        <v>0</v>
      </c>
      <c r="X284" s="305">
        <f>IF(V284="V",VLOOKUP(T284,Vtas3A!$A$2:$B$2425,2,FALSE),0)</f>
        <v>23000000</v>
      </c>
      <c r="Z284" s="304" t="s">
        <v>1510</v>
      </c>
      <c r="AA284" s="505">
        <f>VLOOKUP(Z284,'Im 3B'!$A$2:$C$2280,3,FALSE)</f>
        <v>0</v>
      </c>
      <c r="AB284" s="304" t="str">
        <f>VLOOKUP(Z284,'Im 3B'!$A$2:$D$3548,4,FALSE)</f>
        <v>V</v>
      </c>
      <c r="AC284" s="305">
        <f>IF(AB284="D",VLOOKUP(Z284,'Im 3B'!$A$2:$C$2280,2,FALSE),0)</f>
        <v>0</v>
      </c>
      <c r="AD284" s="305">
        <f>IF(AB284="V",VLOOKUP(Z284,Vtas3B!$A$2:$B$2438,2,FALSE),0)</f>
        <v>5000000</v>
      </c>
    </row>
    <row r="285" spans="2:30" x14ac:dyDescent="0.2">
      <c r="B285" s="304" t="s">
        <v>1399</v>
      </c>
      <c r="C285" s="304">
        <f>VLOOKUP(B285,'Im 1A'!$A$2:$C$1963,3,FALSE)</f>
        <v>0</v>
      </c>
      <c r="D285" s="304" t="str">
        <f>VLOOKUP(B285,'Im 1A'!$A$2:$D$3231,4,FALSE)</f>
        <v>V</v>
      </c>
      <c r="E285" s="305">
        <f>IF(D285="D",VLOOKUP(B285,'Im 1A'!$A$2:$C$1963,2,FALSE),0)</f>
        <v>0</v>
      </c>
      <c r="F285" s="305">
        <f>IF(D285="V",VLOOKUP(B285,Vtas1A!$A$2:$B$2357,2,FALSE),0)</f>
        <v>22000000</v>
      </c>
      <c r="H285" s="304" t="s">
        <v>3039</v>
      </c>
      <c r="I285" s="304">
        <f>VLOOKUP(H285,'Im 1B'!$A$2:$C$1947,3,FALSE)</f>
        <v>0</v>
      </c>
      <c r="J285" s="304" t="str">
        <f>VLOOKUP(H285,'Im 1B'!$A$2:$D$3215,4,FALSE)</f>
        <v>V</v>
      </c>
      <c r="K285" s="305">
        <f>IF(J285="D",VLOOKUP(H285,'Im 1B'!$A$2:$C$1947,2,FALSE),0)</f>
        <v>0</v>
      </c>
      <c r="L285" s="305">
        <f>IF(J285="V",VLOOKUP(H285,Vtas1B!$A$2:$B$2313,2,FALSE),0)</f>
        <v>5000000</v>
      </c>
      <c r="N285" s="304" t="s">
        <v>3387</v>
      </c>
      <c r="O285" s="505">
        <f>VLOOKUP(N285,'Im 2'!$A$2:$C$2278,3,FALSE)</f>
        <v>0</v>
      </c>
      <c r="P285" s="304" t="str">
        <f>VLOOKUP(N285,'Im 2'!$A$2:$D$3546,4,FALSE)</f>
        <v>V</v>
      </c>
      <c r="Q285" s="305">
        <f>IF(P285="D",VLOOKUP(N285,'Im 2'!$A$2:$C$2278,2,FALSE),0)</f>
        <v>0</v>
      </c>
      <c r="R285" s="305">
        <f>IF(P285="V",VLOOKUP(N285,Vtas2!$A$2:$B$2425,2,FALSE),0)</f>
        <v>6000000</v>
      </c>
      <c r="T285" s="304" t="s">
        <v>1105</v>
      </c>
      <c r="U285" s="505">
        <f>VLOOKUP(T285,'Im 3A'!$A$2:$C$2278,3,FALSE)</f>
        <v>0</v>
      </c>
      <c r="V285" s="304" t="str">
        <f>VLOOKUP(T285,'Im 3A'!$A$2:$D$3546,4,FALSE)</f>
        <v>V</v>
      </c>
      <c r="W285" s="305">
        <f>IF(V285="D",VLOOKUP(T285,'Im 3A'!$A$2:$C$2278,2,FALSE),0)</f>
        <v>0</v>
      </c>
      <c r="X285" s="305">
        <f>IF(V285="V",VLOOKUP(T285,Vtas3A!$A$2:$B$2425,2,FALSE),0)</f>
        <v>23000000</v>
      </c>
      <c r="Z285" s="304" t="s">
        <v>1551</v>
      </c>
      <c r="AA285" s="505">
        <f>VLOOKUP(Z285,'Im 3B'!$A$2:$C$2280,3,FALSE)</f>
        <v>0</v>
      </c>
      <c r="AB285" s="304" t="str">
        <f>VLOOKUP(Z285,'Im 3B'!$A$2:$D$3548,4,FALSE)</f>
        <v>V</v>
      </c>
      <c r="AC285" s="305">
        <f>IF(AB285="D",VLOOKUP(Z285,'Im 3B'!$A$2:$C$2280,2,FALSE),0)</f>
        <v>0</v>
      </c>
      <c r="AD285" s="305">
        <f>IF(AB285="V",VLOOKUP(Z285,Vtas3B!$A$2:$B$2438,2,FALSE),0)</f>
        <v>5000000</v>
      </c>
    </row>
    <row r="286" spans="2:30" x14ac:dyDescent="0.2">
      <c r="B286" s="304" t="s">
        <v>2586</v>
      </c>
      <c r="C286" s="304">
        <f>VLOOKUP(B286,'Im 1A'!$A$2:$C$1963,3,FALSE)</f>
        <v>0</v>
      </c>
      <c r="D286" s="304" t="str">
        <f>VLOOKUP(B286,'Im 1A'!$A$2:$D$3231,4,FALSE)</f>
        <v>V</v>
      </c>
      <c r="E286" s="305">
        <f>IF(D286="D",VLOOKUP(B286,'Im 1A'!$A$2:$C$1963,2,FALSE),0)</f>
        <v>0</v>
      </c>
      <c r="F286" s="305">
        <f>IF(D286="V",VLOOKUP(B286,Vtas1A!$A$2:$B$2357,2,FALSE),0)</f>
        <v>22000000</v>
      </c>
      <c r="H286" s="304" t="s">
        <v>3040</v>
      </c>
      <c r="I286" s="304">
        <f>VLOOKUP(H286,'Im 1B'!$A$2:$C$1947,3,FALSE)</f>
        <v>0</v>
      </c>
      <c r="J286" s="304" t="str">
        <f>VLOOKUP(H286,'Im 1B'!$A$2:$D$3215,4,FALSE)</f>
        <v>V</v>
      </c>
      <c r="K286" s="305">
        <f>IF(J286="D",VLOOKUP(H286,'Im 1B'!$A$2:$C$1947,2,FALSE),0)</f>
        <v>0</v>
      </c>
      <c r="L286" s="305">
        <f>IF(J286="V",VLOOKUP(H286,Vtas1B!$A$2:$B$2313,2,FALSE),0)</f>
        <v>5000000</v>
      </c>
      <c r="N286" s="304" t="s">
        <v>2899</v>
      </c>
      <c r="O286" s="505">
        <f>VLOOKUP(N286,'Im 2'!$A$2:$C$2278,3,FALSE)</f>
        <v>0</v>
      </c>
      <c r="P286" s="304" t="str">
        <f>VLOOKUP(N286,'Im 2'!$A$2:$D$3546,4,FALSE)</f>
        <v>V</v>
      </c>
      <c r="Q286" s="305">
        <f>IF(P286="D",VLOOKUP(N286,'Im 2'!$A$2:$C$2278,2,FALSE),0)</f>
        <v>0</v>
      </c>
      <c r="R286" s="305">
        <f>IF(P286="V",VLOOKUP(N286,Vtas2!$A$2:$B$2425,2,FALSE),0)</f>
        <v>6000000</v>
      </c>
      <c r="T286" s="304" t="s">
        <v>1131</v>
      </c>
      <c r="U286" s="505">
        <f>VLOOKUP(T286,'Im 3A'!$A$2:$C$2278,3,FALSE)</f>
        <v>0</v>
      </c>
      <c r="V286" s="304" t="str">
        <f>VLOOKUP(T286,'Im 3A'!$A$2:$D$3546,4,FALSE)</f>
        <v>V</v>
      </c>
      <c r="W286" s="305">
        <f>IF(V286="D",VLOOKUP(T286,'Im 3A'!$A$2:$C$2278,2,FALSE),0)</f>
        <v>0</v>
      </c>
      <c r="X286" s="305">
        <f>IF(V286="V",VLOOKUP(T286,Vtas3A!$A$2:$B$2425,2,FALSE),0)</f>
        <v>23000000</v>
      </c>
      <c r="Z286" s="304" t="s">
        <v>1623</v>
      </c>
      <c r="AA286" s="505">
        <f>VLOOKUP(Z286,'Im 3B'!$A$2:$C$2280,3,FALSE)</f>
        <v>0</v>
      </c>
      <c r="AB286" s="304" t="str">
        <f>VLOOKUP(Z286,'Im 3B'!$A$2:$D$3548,4,FALSE)</f>
        <v>V</v>
      </c>
      <c r="AC286" s="305">
        <f>IF(AB286="D",VLOOKUP(Z286,'Im 3B'!$A$2:$C$2280,2,FALSE),0)</f>
        <v>0</v>
      </c>
      <c r="AD286" s="305">
        <f>IF(AB286="V",VLOOKUP(Z286,Vtas3B!$A$2:$B$2438,2,FALSE),0)</f>
        <v>5000000</v>
      </c>
    </row>
    <row r="287" spans="2:30" x14ac:dyDescent="0.2">
      <c r="B287" s="304" t="s">
        <v>3286</v>
      </c>
      <c r="C287" s="304">
        <f>VLOOKUP(B287,'Im 1A'!$A$2:$C$1963,3,FALSE)</f>
        <v>0</v>
      </c>
      <c r="D287" s="304" t="str">
        <f>VLOOKUP(B287,'Im 1A'!$A$2:$D$3231,4,FALSE)</f>
        <v>V</v>
      </c>
      <c r="E287" s="305">
        <f>IF(D287="D",VLOOKUP(B287,'Im 1A'!$A$2:$C$1963,2,FALSE),0)</f>
        <v>0</v>
      </c>
      <c r="F287" s="305">
        <f>IF(D287="V",VLOOKUP(B287,Vtas1A!$A$2:$B$2357,2,FALSE),0)</f>
        <v>27000000</v>
      </c>
      <c r="H287" s="304" t="s">
        <v>3237</v>
      </c>
      <c r="I287" s="304">
        <f>VLOOKUP(H287,'Im 1B'!$A$2:$C$1947,3,FALSE)</f>
        <v>0</v>
      </c>
      <c r="J287" s="304" t="str">
        <f>VLOOKUP(H287,'Im 1B'!$A$2:$D$3215,4,FALSE)</f>
        <v>V</v>
      </c>
      <c r="K287" s="305">
        <f>IF(J287="D",VLOOKUP(H287,'Im 1B'!$A$2:$C$1947,2,FALSE),0)</f>
        <v>0</v>
      </c>
      <c r="L287" s="305">
        <f>IF(J287="V",VLOOKUP(H287,Vtas1B!$A$2:$B$2313,2,FALSE),0)</f>
        <v>5000000</v>
      </c>
      <c r="N287" s="304" t="s">
        <v>3388</v>
      </c>
      <c r="O287" s="505">
        <f>VLOOKUP(N287,'Im 2'!$A$2:$C$2278,3,FALSE)</f>
        <v>0</v>
      </c>
      <c r="P287" s="304" t="str">
        <f>VLOOKUP(N287,'Im 2'!$A$2:$D$3546,4,FALSE)</f>
        <v>V</v>
      </c>
      <c r="Q287" s="305">
        <f>IF(P287="D",VLOOKUP(N287,'Im 2'!$A$2:$C$2278,2,FALSE),0)</f>
        <v>0</v>
      </c>
      <c r="R287" s="305">
        <f>IF(P287="V",VLOOKUP(N287,Vtas2!$A$2:$B$2425,2,FALSE),0)</f>
        <v>6000000</v>
      </c>
      <c r="T287" s="304" t="s">
        <v>1036</v>
      </c>
      <c r="U287" s="505">
        <f>VLOOKUP(T287,'Im 3A'!$A$2:$C$2278,3,FALSE)</f>
        <v>0</v>
      </c>
      <c r="V287" s="304" t="str">
        <f>VLOOKUP(T287,'Im 3A'!$A$2:$D$3546,4,FALSE)</f>
        <v>V</v>
      </c>
      <c r="W287" s="305">
        <f>IF(V287="D",VLOOKUP(T287,'Im 3A'!$A$2:$C$2278,2,FALSE),0)</f>
        <v>0</v>
      </c>
      <c r="X287" s="305">
        <f>IF(V287="V",VLOOKUP(T287,Vtas3A!$A$2:$B$2425,2,FALSE),0)</f>
        <v>23000000</v>
      </c>
      <c r="Z287" s="304" t="s">
        <v>1523</v>
      </c>
      <c r="AA287" s="505">
        <f>VLOOKUP(Z287,'Im 3B'!$A$2:$C$2280,3,FALSE)</f>
        <v>0</v>
      </c>
      <c r="AB287" s="304" t="str">
        <f>VLOOKUP(Z287,'Im 3B'!$A$2:$D$3548,4,FALSE)</f>
        <v>V</v>
      </c>
      <c r="AC287" s="305">
        <f>IF(AB287="D",VLOOKUP(Z287,'Im 3B'!$A$2:$C$2280,2,FALSE),0)</f>
        <v>0</v>
      </c>
      <c r="AD287" s="305">
        <f>IF(AB287="V",VLOOKUP(Z287,Vtas3B!$A$2:$B$2438,2,FALSE),0)</f>
        <v>5000000</v>
      </c>
    </row>
    <row r="288" spans="2:30" x14ac:dyDescent="0.2">
      <c r="B288" s="304" t="s">
        <v>1332</v>
      </c>
      <c r="C288" s="304">
        <f>VLOOKUP(B288,'Im 1A'!$A$2:$C$1963,3,FALSE)</f>
        <v>0</v>
      </c>
      <c r="D288" s="304" t="str">
        <f>VLOOKUP(B288,'Im 1A'!$A$2:$D$3231,4,FALSE)</f>
        <v>V</v>
      </c>
      <c r="E288" s="305">
        <f>IF(D288="D",VLOOKUP(B288,'Im 1A'!$A$2:$C$1963,2,FALSE),0)</f>
        <v>0</v>
      </c>
      <c r="F288" s="305">
        <f>IF(D288="V",VLOOKUP(B288,Vtas1A!$A$2:$B$2357,2,FALSE),0)</f>
        <v>27000000</v>
      </c>
      <c r="H288" s="304" t="s">
        <v>3462</v>
      </c>
      <c r="I288" s="304">
        <f>VLOOKUP(H288,'Im 1B'!$A$2:$C$1947,3,FALSE)</f>
        <v>0</v>
      </c>
      <c r="J288" s="304" t="str">
        <f>VLOOKUP(H288,'Im 1B'!$A$2:$D$3215,4,FALSE)</f>
        <v>V</v>
      </c>
      <c r="K288" s="305">
        <f>IF(J288="D",VLOOKUP(H288,'Im 1B'!$A$2:$C$1947,2,FALSE),0)</f>
        <v>0</v>
      </c>
      <c r="L288" s="305">
        <f>IF(J288="V",VLOOKUP(H288,Vtas1B!$A$2:$B$2313,2,FALSE),0)</f>
        <v>5000000</v>
      </c>
      <c r="N288" s="304" t="s">
        <v>4255</v>
      </c>
      <c r="O288" s="505">
        <f>VLOOKUP(N288,'Im 2'!$A$2:$C$2278,3,FALSE)</f>
        <v>0</v>
      </c>
      <c r="P288" s="304" t="str">
        <f>VLOOKUP(N288,'Im 2'!$A$2:$D$3546,4,FALSE)</f>
        <v>V</v>
      </c>
      <c r="Q288" s="305">
        <f>IF(P288="D",VLOOKUP(N288,'Im 2'!$A$2:$C$2278,2,FALSE),0)</f>
        <v>0</v>
      </c>
      <c r="R288" s="305">
        <f>IF(P288="V",VLOOKUP(N288,Vtas2!$A$2:$B$2425,2,FALSE),0)</f>
        <v>6000000</v>
      </c>
      <c r="T288" s="304" t="s">
        <v>1157</v>
      </c>
      <c r="U288" s="505">
        <f>VLOOKUP(T288,'Im 3A'!$A$2:$C$2278,3,FALSE)</f>
        <v>0</v>
      </c>
      <c r="V288" s="304" t="str">
        <f>VLOOKUP(T288,'Im 3A'!$A$2:$D$3546,4,FALSE)</f>
        <v>V</v>
      </c>
      <c r="W288" s="305">
        <f>IF(V288="D",VLOOKUP(T288,'Im 3A'!$A$2:$C$2278,2,FALSE),0)</f>
        <v>0</v>
      </c>
      <c r="X288" s="305">
        <f>IF(V288="V",VLOOKUP(T288,Vtas3A!$A$2:$B$2425,2,FALSE),0)</f>
        <v>23000000</v>
      </c>
      <c r="Z288" s="304" t="s">
        <v>1524</v>
      </c>
      <c r="AA288" s="505">
        <f>VLOOKUP(Z288,'Im 3B'!$A$2:$C$2280,3,FALSE)</f>
        <v>0</v>
      </c>
      <c r="AB288" s="304" t="str">
        <f>VLOOKUP(Z288,'Im 3B'!$A$2:$D$3548,4,FALSE)</f>
        <v>V</v>
      </c>
      <c r="AC288" s="305">
        <f>IF(AB288="D",VLOOKUP(Z288,'Im 3B'!$A$2:$C$2280,2,FALSE),0)</f>
        <v>0</v>
      </c>
      <c r="AD288" s="305">
        <f>IF(AB288="V",VLOOKUP(Z288,Vtas3B!$A$2:$B$2438,2,FALSE),0)</f>
        <v>5000000</v>
      </c>
    </row>
    <row r="289" spans="2:30" x14ac:dyDescent="0.2">
      <c r="B289" s="304" t="s">
        <v>1254</v>
      </c>
      <c r="C289" s="304">
        <f>VLOOKUP(B289,'Im 1A'!$A$2:$C$1963,3,FALSE)</f>
        <v>0</v>
      </c>
      <c r="D289" s="304" t="str">
        <f>VLOOKUP(B289,'Im 1A'!$A$2:$D$3231,4,FALSE)</f>
        <v>V</v>
      </c>
      <c r="E289" s="305">
        <f>IF(D289="D",VLOOKUP(B289,'Im 1A'!$A$2:$C$1963,2,FALSE),0)</f>
        <v>0</v>
      </c>
      <c r="F289" s="305">
        <f>IF(D289="V",VLOOKUP(B289,Vtas1A!$A$2:$B$2357,2,FALSE),0)</f>
        <v>22000000</v>
      </c>
      <c r="H289" s="304" t="s">
        <v>4299</v>
      </c>
      <c r="I289" s="304">
        <f>VLOOKUP(H289,'Im 1B'!$A$2:$C$1947,3,FALSE)</f>
        <v>0</v>
      </c>
      <c r="J289" s="304" t="str">
        <f>VLOOKUP(H289,'Im 1B'!$A$2:$D$3215,4,FALSE)</f>
        <v>V</v>
      </c>
      <c r="K289" s="305">
        <f>IF(J289="D",VLOOKUP(H289,'Im 1B'!$A$2:$C$1947,2,FALSE),0)</f>
        <v>0</v>
      </c>
      <c r="L289" s="305">
        <f>IF(J289="V",VLOOKUP(H289,Vtas1B!$A$2:$B$2313,2,FALSE),0)</f>
        <v>5000000</v>
      </c>
      <c r="N289" s="304" t="s">
        <v>3070</v>
      </c>
      <c r="O289" s="505">
        <f>VLOOKUP(N289,'Im 2'!$A$2:$C$2278,3,FALSE)</f>
        <v>0</v>
      </c>
      <c r="P289" s="304" t="str">
        <f>VLOOKUP(N289,'Im 2'!$A$2:$D$3546,4,FALSE)</f>
        <v>V</v>
      </c>
      <c r="Q289" s="305">
        <f>IF(P289="D",VLOOKUP(N289,'Im 2'!$A$2:$C$2278,2,FALSE),0)</f>
        <v>0</v>
      </c>
      <c r="R289" s="305">
        <f>IF(P289="V",VLOOKUP(N289,Vtas2!$A$2:$B$2425,2,FALSE),0)</f>
        <v>6000000</v>
      </c>
      <c r="T289" s="304" t="s">
        <v>1158</v>
      </c>
      <c r="U289" s="505">
        <f>VLOOKUP(T289,'Im 3A'!$A$2:$C$2278,3,FALSE)</f>
        <v>0</v>
      </c>
      <c r="V289" s="304" t="str">
        <f>VLOOKUP(T289,'Im 3A'!$A$2:$D$3546,4,FALSE)</f>
        <v>V</v>
      </c>
      <c r="W289" s="305">
        <f>IF(V289="D",VLOOKUP(T289,'Im 3A'!$A$2:$C$2278,2,FALSE),0)</f>
        <v>0</v>
      </c>
      <c r="X289" s="305">
        <f>IF(V289="V",VLOOKUP(T289,Vtas3A!$A$2:$B$2425,2,FALSE),0)</f>
        <v>23000000</v>
      </c>
      <c r="Z289" s="304" t="s">
        <v>1741</v>
      </c>
      <c r="AA289" s="505">
        <f>VLOOKUP(Z289,'Im 3B'!$A$2:$C$2280,3,FALSE)</f>
        <v>0</v>
      </c>
      <c r="AB289" s="304" t="str">
        <f>VLOOKUP(Z289,'Im 3B'!$A$2:$D$3548,4,FALSE)</f>
        <v>V</v>
      </c>
      <c r="AC289" s="305">
        <f>IF(AB289="D",VLOOKUP(Z289,'Im 3B'!$A$2:$C$2280,2,FALSE),0)</f>
        <v>0</v>
      </c>
      <c r="AD289" s="305">
        <f>IF(AB289="V",VLOOKUP(Z289,Vtas3B!$A$2:$B$2438,2,FALSE),0)</f>
        <v>5000000</v>
      </c>
    </row>
    <row r="290" spans="2:30" x14ac:dyDescent="0.2">
      <c r="B290" s="304" t="s">
        <v>1255</v>
      </c>
      <c r="C290" s="304">
        <f>VLOOKUP(B290,'Im 1A'!$A$2:$C$1963,3,FALSE)</f>
        <v>0</v>
      </c>
      <c r="D290" s="304" t="str">
        <f>VLOOKUP(B290,'Im 1A'!$A$2:$D$3231,4,FALSE)</f>
        <v>V</v>
      </c>
      <c r="E290" s="305">
        <f>IF(D290="D",VLOOKUP(B290,'Im 1A'!$A$2:$C$1963,2,FALSE),0)</f>
        <v>0</v>
      </c>
      <c r="F290" s="305">
        <f>IF(D290="V",VLOOKUP(B290,Vtas1A!$A$2:$B$2357,2,FALSE),0)</f>
        <v>27000000</v>
      </c>
      <c r="H290" s="304" t="s">
        <v>989</v>
      </c>
      <c r="I290" s="304">
        <f>VLOOKUP(H290,'Im 1B'!$A$2:$C$1947,3,FALSE)</f>
        <v>0</v>
      </c>
      <c r="J290" s="304" t="str">
        <f>VLOOKUP(H290,'Im 1B'!$A$2:$D$3215,4,FALSE)</f>
        <v>V</v>
      </c>
      <c r="K290" s="305">
        <f>IF(J290="D",VLOOKUP(H290,'Im 1B'!$A$2:$C$1947,2,FALSE),0)</f>
        <v>0</v>
      </c>
      <c r="L290" s="305">
        <f>IF(J290="V",VLOOKUP(H290,Vtas1B!$A$2:$B$2313,2,FALSE),0)</f>
        <v>5000000</v>
      </c>
      <c r="N290" s="304" t="s">
        <v>3306</v>
      </c>
      <c r="O290" s="505">
        <f>VLOOKUP(N290,'Im 2'!$A$2:$C$2278,3,FALSE)</f>
        <v>0</v>
      </c>
      <c r="P290" s="304" t="str">
        <f>VLOOKUP(N290,'Im 2'!$A$2:$D$3546,4,FALSE)</f>
        <v>V</v>
      </c>
      <c r="Q290" s="305">
        <f>IF(P290="D",VLOOKUP(N290,'Im 2'!$A$2:$C$2278,2,FALSE),0)</f>
        <v>0</v>
      </c>
      <c r="R290" s="305">
        <f>IF(P290="V",VLOOKUP(N290,Vtas2!$A$2:$B$2425,2,FALSE),0)</f>
        <v>6000000</v>
      </c>
      <c r="T290" s="304" t="s">
        <v>1159</v>
      </c>
      <c r="U290" s="505">
        <f>VLOOKUP(T290,'Im 3A'!$A$2:$C$2278,3,FALSE)</f>
        <v>0</v>
      </c>
      <c r="V290" s="304" t="str">
        <f>VLOOKUP(T290,'Im 3A'!$A$2:$D$3546,4,FALSE)</f>
        <v>V</v>
      </c>
      <c r="W290" s="305">
        <f>IF(V290="D",VLOOKUP(T290,'Im 3A'!$A$2:$C$2278,2,FALSE),0)</f>
        <v>0</v>
      </c>
      <c r="X290" s="305">
        <f>IF(V290="V",VLOOKUP(T290,Vtas3A!$A$2:$B$2425,2,FALSE),0)</f>
        <v>23000000</v>
      </c>
      <c r="Z290" s="304" t="s">
        <v>1742</v>
      </c>
      <c r="AA290" s="505">
        <f>VLOOKUP(Z290,'Im 3B'!$A$2:$C$2280,3,FALSE)</f>
        <v>0</v>
      </c>
      <c r="AB290" s="304" t="str">
        <f>VLOOKUP(Z290,'Im 3B'!$A$2:$D$3548,4,FALSE)</f>
        <v>V</v>
      </c>
      <c r="AC290" s="305">
        <f>IF(AB290="D",VLOOKUP(Z290,'Im 3B'!$A$2:$C$2280,2,FALSE),0)</f>
        <v>0</v>
      </c>
      <c r="AD290" s="305">
        <f>IF(AB290="V",VLOOKUP(Z290,Vtas3B!$A$2:$B$2438,2,FALSE),0)</f>
        <v>5000000</v>
      </c>
    </row>
    <row r="291" spans="2:30" x14ac:dyDescent="0.2">
      <c r="B291" s="304" t="s">
        <v>1445</v>
      </c>
      <c r="C291" s="304">
        <f>VLOOKUP(B291,'Im 1A'!$A$2:$C$1963,3,FALSE)</f>
        <v>0</v>
      </c>
      <c r="D291" s="304" t="str">
        <f>VLOOKUP(B291,'Im 1A'!$A$2:$D$3231,4,FALSE)</f>
        <v>V</v>
      </c>
      <c r="E291" s="305">
        <f>IF(D291="D",VLOOKUP(B291,'Im 1A'!$A$2:$C$1963,2,FALSE),0)</f>
        <v>0</v>
      </c>
      <c r="F291" s="305">
        <f>IF(D291="V",VLOOKUP(B291,Vtas1A!$A$2:$B$2357,2,FALSE),0)</f>
        <v>27000000</v>
      </c>
      <c r="H291" s="313" t="s">
        <v>951</v>
      </c>
      <c r="I291" s="313">
        <f>++COUNTA(I218:I290)</f>
        <v>73</v>
      </c>
      <c r="J291" s="313"/>
      <c r="K291" s="315">
        <f>SUM(K218:K290)</f>
        <v>60000000</v>
      </c>
      <c r="L291" s="315">
        <f>SUM(L218:L290)</f>
        <v>305000000</v>
      </c>
      <c r="N291" s="304" t="s">
        <v>3739</v>
      </c>
      <c r="O291" s="505">
        <f>VLOOKUP(N291,'Im 2'!$A$2:$C$2278,3,FALSE)</f>
        <v>0</v>
      </c>
      <c r="P291" s="304" t="str">
        <f>VLOOKUP(N291,'Im 2'!$A$2:$D$3546,4,FALSE)</f>
        <v>V</v>
      </c>
      <c r="Q291" s="305">
        <f>IF(P291="D",VLOOKUP(N291,'Im 2'!$A$2:$C$2278,2,FALSE),0)</f>
        <v>0</v>
      </c>
      <c r="R291" s="305">
        <f>IF(P291="V",VLOOKUP(N291,Vtas2!$A$2:$B$2425,2,FALSE),0)</f>
        <v>6000000</v>
      </c>
      <c r="T291" s="304" t="s">
        <v>1106</v>
      </c>
      <c r="U291" s="505">
        <f>VLOOKUP(T291,'Im 3A'!$A$2:$C$2278,3,FALSE)</f>
        <v>0</v>
      </c>
      <c r="V291" s="304" t="str">
        <f>VLOOKUP(T291,'Im 3A'!$A$2:$D$3546,4,FALSE)</f>
        <v>V</v>
      </c>
      <c r="W291" s="305">
        <f>IF(V291="D",VLOOKUP(T291,'Im 3A'!$A$2:$C$2278,2,FALSE),0)</f>
        <v>0</v>
      </c>
      <c r="X291" s="305">
        <f>IF(V291="V",VLOOKUP(T291,Vtas3A!$A$2:$B$2425,2,FALSE),0)</f>
        <v>23000000</v>
      </c>
      <c r="Z291" s="304" t="s">
        <v>1552</v>
      </c>
      <c r="AA291" s="505">
        <f>VLOOKUP(Z291,'Im 3B'!$A$2:$C$2280,3,FALSE)</f>
        <v>0</v>
      </c>
      <c r="AB291" s="304" t="str">
        <f>VLOOKUP(Z291,'Im 3B'!$A$2:$D$3548,4,FALSE)</f>
        <v>V</v>
      </c>
      <c r="AC291" s="305">
        <f>IF(AB291="D",VLOOKUP(Z291,'Im 3B'!$A$2:$C$2280,2,FALSE),0)</f>
        <v>0</v>
      </c>
      <c r="AD291" s="305">
        <f>IF(AB291="V",VLOOKUP(Z291,Vtas3B!$A$2:$B$2438,2,FALSE),0)</f>
        <v>5000000</v>
      </c>
    </row>
    <row r="292" spans="2:30" x14ac:dyDescent="0.2">
      <c r="B292" s="304" t="s">
        <v>1356</v>
      </c>
      <c r="C292" s="304">
        <f>VLOOKUP(B292,'Im 1A'!$A$2:$C$1963,3,FALSE)</f>
        <v>0</v>
      </c>
      <c r="D292" s="304" t="str">
        <f>VLOOKUP(B292,'Im 1A'!$A$2:$D$3231,4,FALSE)</f>
        <v>V</v>
      </c>
      <c r="E292" s="305">
        <f>IF(D292="D",VLOOKUP(B292,'Im 1A'!$A$2:$C$1963,2,FALSE),0)</f>
        <v>0</v>
      </c>
      <c r="F292" s="305">
        <f>IF(D292="V",VLOOKUP(B292,Vtas1A!$A$2:$B$2357,2,FALSE),0)</f>
        <v>27000000</v>
      </c>
      <c r="N292" s="304" t="s">
        <v>3389</v>
      </c>
      <c r="O292" s="505">
        <f>VLOOKUP(N292,'Im 2'!$A$2:$C$2278,3,FALSE)</f>
        <v>0</v>
      </c>
      <c r="P292" s="304" t="str">
        <f>VLOOKUP(N292,'Im 2'!$A$2:$D$3546,4,FALSE)</f>
        <v>V</v>
      </c>
      <c r="Q292" s="305">
        <f>IF(P292="D",VLOOKUP(N292,'Im 2'!$A$2:$C$2278,2,FALSE),0)</f>
        <v>0</v>
      </c>
      <c r="R292" s="305">
        <f>IF(P292="V",VLOOKUP(N292,Vtas2!$A$2:$B$2425,2,FALSE),0)</f>
        <v>6000000</v>
      </c>
      <c r="T292" s="304" t="s">
        <v>1495</v>
      </c>
      <c r="U292" s="505">
        <f>VLOOKUP(T292,'Im 3A'!$A$2:$C$2278,3,FALSE)</f>
        <v>0</v>
      </c>
      <c r="V292" s="304" t="str">
        <f>VLOOKUP(T292,'Im 3A'!$A$2:$D$3546,4,FALSE)</f>
        <v>V</v>
      </c>
      <c r="W292" s="305">
        <f>IF(V292="D",VLOOKUP(T292,'Im 3A'!$A$2:$C$2278,2,FALSE),0)</f>
        <v>0</v>
      </c>
      <c r="X292" s="305">
        <f>IF(V292="V",VLOOKUP(T292,Vtas3A!$A$2:$B$2425,2,FALSE),0)</f>
        <v>24000000</v>
      </c>
      <c r="Z292" s="304" t="s">
        <v>1375</v>
      </c>
      <c r="AA292" s="505">
        <f>VLOOKUP(Z292,'Im 3B'!$A$2:$C$2280,3,FALSE)</f>
        <v>0</v>
      </c>
      <c r="AB292" s="304" t="str">
        <f>VLOOKUP(Z292,'Im 3B'!$A$2:$D$3548,4,FALSE)</f>
        <v>V</v>
      </c>
      <c r="AC292" s="305">
        <f>IF(AB292="D",VLOOKUP(Z292,'Im 3B'!$A$2:$C$2280,2,FALSE),0)</f>
        <v>0</v>
      </c>
      <c r="AD292" s="305">
        <f>IF(AB292="V",VLOOKUP(Z292,Vtas3B!$A$2:$B$2438,2,FALSE),0)</f>
        <v>5000000</v>
      </c>
    </row>
    <row r="293" spans="2:30" x14ac:dyDescent="0.2">
      <c r="B293" s="304" t="s">
        <v>1256</v>
      </c>
      <c r="C293" s="304">
        <f>VLOOKUP(B293,'Im 1A'!$A$2:$C$1963,3,FALSE)</f>
        <v>0</v>
      </c>
      <c r="D293" s="304" t="str">
        <f>VLOOKUP(B293,'Im 1A'!$A$2:$D$3231,4,FALSE)</f>
        <v>V</v>
      </c>
      <c r="E293" s="305">
        <f>IF(D293="D",VLOOKUP(B293,'Im 1A'!$A$2:$C$1963,2,FALSE),0)</f>
        <v>0</v>
      </c>
      <c r="F293" s="305">
        <f>IF(D293="V",VLOOKUP(B293,Vtas1A!$A$2:$B$2357,2,FALSE),0)</f>
        <v>27000000</v>
      </c>
      <c r="N293" s="304" t="s">
        <v>2900</v>
      </c>
      <c r="O293" s="505">
        <f>VLOOKUP(N293,'Im 2'!$A$2:$C$2278,3,FALSE)</f>
        <v>0</v>
      </c>
      <c r="P293" s="304" t="str">
        <f>VLOOKUP(N293,'Im 2'!$A$2:$D$3546,4,FALSE)</f>
        <v>V</v>
      </c>
      <c r="Q293" s="305">
        <f>IF(P293="D",VLOOKUP(N293,'Im 2'!$A$2:$C$2278,2,FALSE),0)</f>
        <v>0</v>
      </c>
      <c r="R293" s="305">
        <f>IF(P293="V",VLOOKUP(N293,Vtas2!$A$2:$B$2425,2,FALSE),0)</f>
        <v>6000000</v>
      </c>
      <c r="T293" s="304" t="s">
        <v>1132</v>
      </c>
      <c r="U293" s="505">
        <f>VLOOKUP(T293,'Im 3A'!$A$2:$C$2278,3,FALSE)</f>
        <v>0</v>
      </c>
      <c r="V293" s="304" t="str">
        <f>VLOOKUP(T293,'Im 3A'!$A$2:$D$3546,4,FALSE)</f>
        <v>V</v>
      </c>
      <c r="W293" s="305">
        <f>IF(V293="D",VLOOKUP(T293,'Im 3A'!$A$2:$C$2278,2,FALSE),0)</f>
        <v>0</v>
      </c>
      <c r="X293" s="305">
        <f>IF(V293="V",VLOOKUP(T293,Vtas3A!$A$2:$B$2425,2,FALSE),0)</f>
        <v>24000000</v>
      </c>
      <c r="Z293" s="304" t="s">
        <v>1592</v>
      </c>
      <c r="AA293" s="505">
        <f>VLOOKUP(Z293,'Im 3B'!$A$2:$C$2280,3,FALSE)</f>
        <v>0</v>
      </c>
      <c r="AB293" s="304" t="str">
        <f>VLOOKUP(Z293,'Im 3B'!$A$2:$D$3548,4,FALSE)</f>
        <v>V</v>
      </c>
      <c r="AC293" s="305">
        <f>IF(AB293="D",VLOOKUP(Z293,'Im 3B'!$A$2:$C$2280,2,FALSE),0)</f>
        <v>0</v>
      </c>
      <c r="AD293" s="305">
        <f>IF(AB293="V",VLOOKUP(Z293,Vtas3B!$A$2:$B$2438,2,FALSE),0)</f>
        <v>5000000</v>
      </c>
    </row>
    <row r="294" spans="2:30" x14ac:dyDescent="0.2">
      <c r="B294" s="304" t="s">
        <v>1357</v>
      </c>
      <c r="C294" s="304">
        <f>VLOOKUP(B294,'Im 1A'!$A$2:$C$1963,3,FALSE)</f>
        <v>0</v>
      </c>
      <c r="D294" s="304" t="str">
        <f>VLOOKUP(B294,'Im 1A'!$A$2:$D$3231,4,FALSE)</f>
        <v>V</v>
      </c>
      <c r="E294" s="305">
        <f>IF(D294="D",VLOOKUP(B294,'Im 1A'!$A$2:$C$1963,2,FALSE),0)</f>
        <v>0</v>
      </c>
      <c r="F294" s="305">
        <f>IF(D294="V",VLOOKUP(B294,Vtas1A!$A$2:$B$2357,2,FALSE),0)</f>
        <v>27000000</v>
      </c>
      <c r="N294" s="304" t="s">
        <v>3307</v>
      </c>
      <c r="O294" s="505">
        <f>VLOOKUP(N294,'Im 2'!$A$2:$C$2278,3,FALSE)</f>
        <v>0</v>
      </c>
      <c r="P294" s="304" t="str">
        <f>VLOOKUP(N294,'Im 2'!$A$2:$D$3546,4,FALSE)</f>
        <v>V</v>
      </c>
      <c r="Q294" s="305">
        <f>IF(P294="D",VLOOKUP(N294,'Im 2'!$A$2:$C$2278,2,FALSE),0)</f>
        <v>0</v>
      </c>
      <c r="R294" s="305">
        <f>IF(P294="V",VLOOKUP(N294,Vtas2!$A$2:$B$2425,2,FALSE),0)</f>
        <v>6000000</v>
      </c>
      <c r="T294" s="304" t="s">
        <v>1107</v>
      </c>
      <c r="U294" s="505">
        <f>VLOOKUP(T294,'Im 3A'!$A$2:$C$2278,3,FALSE)</f>
        <v>0</v>
      </c>
      <c r="V294" s="304" t="str">
        <f>VLOOKUP(T294,'Im 3A'!$A$2:$D$3546,4,FALSE)</f>
        <v>V</v>
      </c>
      <c r="W294" s="305">
        <f>IF(V294="D",VLOOKUP(T294,'Im 3A'!$A$2:$C$2278,2,FALSE),0)</f>
        <v>0</v>
      </c>
      <c r="X294" s="305">
        <f>IF(V294="V",VLOOKUP(T294,Vtas3A!$A$2:$B$2425,2,FALSE),0)</f>
        <v>23000000</v>
      </c>
      <c r="Z294" s="304" t="s">
        <v>1464</v>
      </c>
      <c r="AA294" s="505">
        <f>VLOOKUP(Z294,'Im 3B'!$A$2:$C$2280,3,FALSE)</f>
        <v>0</v>
      </c>
      <c r="AB294" s="304" t="str">
        <f>VLOOKUP(Z294,'Im 3B'!$A$2:$D$3548,4,FALSE)</f>
        <v>V</v>
      </c>
      <c r="AC294" s="305">
        <f>IF(AB294="D",VLOOKUP(Z294,'Im 3B'!$A$2:$C$2280,2,FALSE),0)</f>
        <v>0</v>
      </c>
      <c r="AD294" s="305">
        <f>IF(AB294="V",VLOOKUP(Z294,Vtas3B!$A$2:$B$2438,2,FALSE),0)</f>
        <v>5000000</v>
      </c>
    </row>
    <row r="295" spans="2:30" x14ac:dyDescent="0.2">
      <c r="B295" s="304" t="s">
        <v>2551</v>
      </c>
      <c r="C295" s="304">
        <f>VLOOKUP(B295,'Im 1A'!$A$2:$C$1963,3,FALSE)</f>
        <v>0</v>
      </c>
      <c r="D295" s="304" t="str">
        <f>VLOOKUP(B295,'Im 1A'!$A$2:$D$3231,4,FALSE)</f>
        <v>V</v>
      </c>
      <c r="E295" s="305">
        <f>IF(D295="D",VLOOKUP(B295,'Im 1A'!$A$2:$C$1963,2,FALSE),0)</f>
        <v>0</v>
      </c>
      <c r="F295" s="305">
        <f>IF(D295="V",VLOOKUP(B295,Vtas1A!$A$2:$B$2357,2,FALSE),0)</f>
        <v>27000000</v>
      </c>
      <c r="N295" s="304" t="s">
        <v>3184</v>
      </c>
      <c r="O295" s="505">
        <f>VLOOKUP(N295,'Im 2'!$A$2:$C$2278,3,FALSE)</f>
        <v>0</v>
      </c>
      <c r="P295" s="304" t="str">
        <f>VLOOKUP(N295,'Im 2'!$A$2:$D$3546,4,FALSE)</f>
        <v>V</v>
      </c>
      <c r="Q295" s="305">
        <f>IF(P295="D",VLOOKUP(N295,'Im 2'!$A$2:$C$2278,2,FALSE),0)</f>
        <v>0</v>
      </c>
      <c r="R295" s="305">
        <f>IF(P295="V",VLOOKUP(N295,Vtas2!$A$2:$B$2425,2,FALSE),0)</f>
        <v>6000000</v>
      </c>
      <c r="T295" s="304" t="s">
        <v>1037</v>
      </c>
      <c r="U295" s="505">
        <f>VLOOKUP(T295,'Im 3A'!$A$2:$C$2278,3,FALSE)</f>
        <v>0</v>
      </c>
      <c r="V295" s="304" t="str">
        <f>VLOOKUP(T295,'Im 3A'!$A$2:$D$3546,4,FALSE)</f>
        <v>V</v>
      </c>
      <c r="W295" s="305">
        <f>IF(V295="D",VLOOKUP(T295,'Im 3A'!$A$2:$C$2278,2,FALSE),0)</f>
        <v>0</v>
      </c>
      <c r="X295" s="305">
        <f>IF(V295="V",VLOOKUP(T295,Vtas3A!$A$2:$B$2425,2,FALSE),0)</f>
        <v>23000000</v>
      </c>
      <c r="Z295" s="304" t="s">
        <v>1756</v>
      </c>
      <c r="AA295" s="505">
        <f>VLOOKUP(Z295,'Im 3B'!$A$2:$C$2280,3,FALSE)</f>
        <v>0</v>
      </c>
      <c r="AB295" s="304" t="str">
        <f>VLOOKUP(Z295,'Im 3B'!$A$2:$D$3548,4,FALSE)</f>
        <v>V</v>
      </c>
      <c r="AC295" s="305">
        <f>IF(AB295="D",VLOOKUP(Z295,'Im 3B'!$A$2:$C$2280,2,FALSE),0)</f>
        <v>0</v>
      </c>
      <c r="AD295" s="305">
        <f>IF(AB295="V",VLOOKUP(Z295,Vtas3B!$A$2:$B$2438,2,FALSE),0)</f>
        <v>5000000</v>
      </c>
    </row>
    <row r="296" spans="2:30" x14ac:dyDescent="0.2">
      <c r="B296" s="304" t="s">
        <v>1333</v>
      </c>
      <c r="C296" s="304">
        <f>VLOOKUP(B296,'Im 1A'!$A$2:$C$1963,3,FALSE)</f>
        <v>0</v>
      </c>
      <c r="D296" s="304" t="str">
        <f>VLOOKUP(B296,'Im 1A'!$A$2:$D$3231,4,FALSE)</f>
        <v>V</v>
      </c>
      <c r="E296" s="305">
        <f>IF(D296="D",VLOOKUP(B296,'Im 1A'!$A$2:$C$1963,2,FALSE),0)</f>
        <v>0</v>
      </c>
      <c r="F296" s="305">
        <f>IF(D296="V",VLOOKUP(B296,Vtas1A!$A$2:$B$2357,2,FALSE),0)</f>
        <v>27000000</v>
      </c>
      <c r="N296" s="304" t="s">
        <v>3071</v>
      </c>
      <c r="O296" s="505">
        <f>VLOOKUP(N296,'Im 2'!$A$2:$C$2278,3,FALSE)</f>
        <v>0</v>
      </c>
      <c r="P296" s="304" t="str">
        <f>VLOOKUP(N296,'Im 2'!$A$2:$D$3546,4,FALSE)</f>
        <v>V</v>
      </c>
      <c r="Q296" s="305">
        <f>IF(P296="D",VLOOKUP(N296,'Im 2'!$A$2:$C$2278,2,FALSE),0)</f>
        <v>0</v>
      </c>
      <c r="R296" s="305">
        <f>IF(P296="V",VLOOKUP(N296,Vtas2!$A$2:$B$2425,2,FALSE),0)</f>
        <v>6000000</v>
      </c>
      <c r="T296" s="304" t="s">
        <v>1038</v>
      </c>
      <c r="U296" s="505">
        <f>VLOOKUP(T296,'Im 3A'!$A$2:$C$2278,3,FALSE)</f>
        <v>0</v>
      </c>
      <c r="V296" s="304" t="str">
        <f>VLOOKUP(T296,'Im 3A'!$A$2:$D$3546,4,FALSE)</f>
        <v>V</v>
      </c>
      <c r="W296" s="305">
        <f>IF(V296="D",VLOOKUP(T296,'Im 3A'!$A$2:$C$2278,2,FALSE),0)</f>
        <v>0</v>
      </c>
      <c r="X296" s="305">
        <f>IF(V296="V",VLOOKUP(T296,Vtas3A!$A$2:$B$2425,2,FALSE),0)</f>
        <v>23000000</v>
      </c>
      <c r="Z296" s="304" t="s">
        <v>1285</v>
      </c>
      <c r="AA296" s="505">
        <f>VLOOKUP(Z296,'Im 3B'!$A$2:$C$2280,3,FALSE)</f>
        <v>0</v>
      </c>
      <c r="AB296" s="304" t="str">
        <f>VLOOKUP(Z296,'Im 3B'!$A$2:$D$3548,4,FALSE)</f>
        <v>V</v>
      </c>
      <c r="AC296" s="305">
        <f>IF(AB296="D",VLOOKUP(Z296,'Im 3B'!$A$2:$C$2280,2,FALSE),0)</f>
        <v>0</v>
      </c>
      <c r="AD296" s="305">
        <f>IF(AB296="V",VLOOKUP(Z296,Vtas3B!$A$2:$B$2438,2,FALSE),0)</f>
        <v>5000000</v>
      </c>
    </row>
    <row r="297" spans="2:30" x14ac:dyDescent="0.2">
      <c r="B297" s="304" t="s">
        <v>1257</v>
      </c>
      <c r="C297" s="304">
        <f>VLOOKUP(B297,'Im 1A'!$A$2:$C$1963,3,FALSE)</f>
        <v>0</v>
      </c>
      <c r="D297" s="304" t="str">
        <f>VLOOKUP(B297,'Im 1A'!$A$2:$D$3231,4,FALSE)</f>
        <v>V</v>
      </c>
      <c r="E297" s="305">
        <f>IF(D297="D",VLOOKUP(B297,'Im 1A'!$A$2:$C$1963,2,FALSE),0)</f>
        <v>0</v>
      </c>
      <c r="F297" s="305">
        <f>IF(D297="V",VLOOKUP(B297,Vtas1A!$A$2:$B$2357,2,FALSE),0)</f>
        <v>27000000</v>
      </c>
      <c r="N297" s="304" t="s">
        <v>3072</v>
      </c>
      <c r="O297" s="505">
        <f>VLOOKUP(N297,'Im 2'!$A$2:$C$2278,3,FALSE)</f>
        <v>0</v>
      </c>
      <c r="P297" s="304" t="str">
        <f>VLOOKUP(N297,'Im 2'!$A$2:$D$3546,4,FALSE)</f>
        <v>V</v>
      </c>
      <c r="Q297" s="305">
        <f>IF(P297="D",VLOOKUP(N297,'Im 2'!$A$2:$C$2278,2,FALSE),0)</f>
        <v>0</v>
      </c>
      <c r="R297" s="305">
        <f>IF(P297="V",VLOOKUP(N297,Vtas2!$A$2:$B$2425,2,FALSE),0)</f>
        <v>6000000</v>
      </c>
      <c r="T297" s="304" t="s">
        <v>1133</v>
      </c>
      <c r="U297" s="505">
        <f>VLOOKUP(T297,'Im 3A'!$A$2:$C$2278,3,FALSE)</f>
        <v>0</v>
      </c>
      <c r="V297" s="304" t="str">
        <f>VLOOKUP(T297,'Im 3A'!$A$2:$D$3546,4,FALSE)</f>
        <v>V</v>
      </c>
      <c r="W297" s="305">
        <f>IF(V297="D",VLOOKUP(T297,'Im 3A'!$A$2:$C$2278,2,FALSE),0)</f>
        <v>0</v>
      </c>
      <c r="X297" s="305">
        <f>IF(V297="V",VLOOKUP(T297,Vtas3A!$A$2:$B$2425,2,FALSE),0)</f>
        <v>23000000</v>
      </c>
      <c r="Z297" s="304" t="s">
        <v>1743</v>
      </c>
      <c r="AA297" s="505">
        <f>VLOOKUP(Z297,'Im 3B'!$A$2:$C$2280,3,FALSE)</f>
        <v>0</v>
      </c>
      <c r="AB297" s="304" t="str">
        <f>VLOOKUP(Z297,'Im 3B'!$A$2:$D$3548,4,FALSE)</f>
        <v>V</v>
      </c>
      <c r="AC297" s="305">
        <f>IF(AB297="D",VLOOKUP(Z297,'Im 3B'!$A$2:$C$2280,2,FALSE),0)</f>
        <v>0</v>
      </c>
      <c r="AD297" s="305">
        <f>IF(AB297="V",VLOOKUP(Z297,Vtas3B!$A$2:$B$2438,2,FALSE),0)</f>
        <v>5000000</v>
      </c>
    </row>
    <row r="298" spans="2:30" x14ac:dyDescent="0.2">
      <c r="B298" s="304" t="s">
        <v>1400</v>
      </c>
      <c r="C298" s="304">
        <f>VLOOKUP(B298,'Im 1A'!$A$2:$C$1963,3,FALSE)</f>
        <v>0</v>
      </c>
      <c r="D298" s="304" t="str">
        <f>VLOOKUP(B298,'Im 1A'!$A$2:$D$3231,4,FALSE)</f>
        <v>V</v>
      </c>
      <c r="E298" s="305">
        <f>IF(D298="D",VLOOKUP(B298,'Im 1A'!$A$2:$C$1963,2,FALSE),0)</f>
        <v>0</v>
      </c>
      <c r="F298" s="305">
        <f>IF(D298="V",VLOOKUP(B298,Vtas1A!$A$2:$B$2357,2,FALSE),0)</f>
        <v>27000000</v>
      </c>
      <c r="N298" s="304" t="s">
        <v>3185</v>
      </c>
      <c r="O298" s="505">
        <f>VLOOKUP(N298,'Im 2'!$A$2:$C$2278,3,FALSE)</f>
        <v>0</v>
      </c>
      <c r="P298" s="304" t="str">
        <f>VLOOKUP(N298,'Im 2'!$A$2:$D$3546,4,FALSE)</f>
        <v>V</v>
      </c>
      <c r="Q298" s="305">
        <f>IF(P298="D",VLOOKUP(N298,'Im 2'!$A$2:$C$2278,2,FALSE),0)</f>
        <v>0</v>
      </c>
      <c r="R298" s="305">
        <f>IF(P298="V",VLOOKUP(N298,Vtas2!$A$2:$B$2425,2,FALSE),0)</f>
        <v>6000000</v>
      </c>
      <c r="T298" s="304" t="s">
        <v>1261</v>
      </c>
      <c r="U298" s="505">
        <f>VLOOKUP(T298,'Im 3A'!$A$2:$C$2278,3,FALSE)</f>
        <v>0</v>
      </c>
      <c r="V298" s="304" t="str">
        <f>VLOOKUP(T298,'Im 3A'!$A$2:$D$3546,4,FALSE)</f>
        <v>V</v>
      </c>
      <c r="W298" s="305">
        <f>IF(V298="D",VLOOKUP(T298,'Im 3A'!$A$2:$C$2278,2,FALSE),0)</f>
        <v>0</v>
      </c>
      <c r="X298" s="305">
        <f>IF(V298="V",VLOOKUP(T298,Vtas3A!$A$2:$B$2425,2,FALSE),0)</f>
        <v>24000000</v>
      </c>
      <c r="Z298" s="304" t="s">
        <v>2235</v>
      </c>
      <c r="AA298" s="505">
        <f>VLOOKUP(Z298,'Im 3B'!$A$2:$C$2280,3,FALSE)</f>
        <v>0</v>
      </c>
      <c r="AB298" s="304" t="str">
        <f>VLOOKUP(Z298,'Im 3B'!$A$2:$D$3548,4,FALSE)</f>
        <v>V</v>
      </c>
      <c r="AC298" s="305">
        <f>IF(AB298="D",VLOOKUP(Z298,'Im 3B'!$A$2:$C$2280,2,FALSE),0)</f>
        <v>0</v>
      </c>
      <c r="AD298" s="305">
        <f>IF(AB298="V",VLOOKUP(Z298,Vtas3B!$A$2:$B$2438,2,FALSE),0)</f>
        <v>5000000</v>
      </c>
    </row>
    <row r="299" spans="2:30" x14ac:dyDescent="0.2">
      <c r="B299" s="304" t="s">
        <v>1358</v>
      </c>
      <c r="C299" s="304">
        <f>VLOOKUP(B299,'Im 1A'!$A$2:$C$1963,3,FALSE)</f>
        <v>0</v>
      </c>
      <c r="D299" s="304" t="str">
        <f>VLOOKUP(B299,'Im 1A'!$A$2:$D$3231,4,FALSE)</f>
        <v>V</v>
      </c>
      <c r="E299" s="305">
        <f>IF(D299="D",VLOOKUP(B299,'Im 1A'!$A$2:$C$1963,2,FALSE),0)</f>
        <v>0</v>
      </c>
      <c r="F299" s="305">
        <f>IF(D299="V",VLOOKUP(B299,Vtas1A!$A$2:$B$2357,2,FALSE),0)</f>
        <v>27000000</v>
      </c>
      <c r="N299" s="304" t="s">
        <v>2901</v>
      </c>
      <c r="O299" s="505">
        <f>VLOOKUP(N299,'Im 2'!$A$2:$C$2278,3,FALSE)</f>
        <v>0</v>
      </c>
      <c r="P299" s="304" t="str">
        <f>VLOOKUP(N299,'Im 2'!$A$2:$D$3546,4,FALSE)</f>
        <v>V</v>
      </c>
      <c r="Q299" s="305">
        <f>IF(P299="D",VLOOKUP(N299,'Im 2'!$A$2:$C$2278,2,FALSE),0)</f>
        <v>0</v>
      </c>
      <c r="R299" s="305">
        <f>IF(P299="V",VLOOKUP(N299,Vtas2!$A$2:$B$2425,2,FALSE),0)</f>
        <v>6000000</v>
      </c>
      <c r="T299" s="304" t="s">
        <v>1262</v>
      </c>
      <c r="U299" s="505">
        <f>VLOOKUP(T299,'Im 3A'!$A$2:$C$2278,3,FALSE)</f>
        <v>0</v>
      </c>
      <c r="V299" s="304" t="str">
        <f>VLOOKUP(T299,'Im 3A'!$A$2:$D$3546,4,FALSE)</f>
        <v>V</v>
      </c>
      <c r="W299" s="305">
        <f>IF(V299="D",VLOOKUP(T299,'Im 3A'!$A$2:$C$2278,2,FALSE),0)</f>
        <v>0</v>
      </c>
      <c r="X299" s="305">
        <f>IF(V299="V",VLOOKUP(T299,Vtas3A!$A$2:$B$2425,2,FALSE),0)</f>
        <v>24000000</v>
      </c>
      <c r="Z299" s="304" t="s">
        <v>1286</v>
      </c>
      <c r="AA299" s="505">
        <f>VLOOKUP(Z299,'Im 3B'!$A$2:$C$2280,3,FALSE)</f>
        <v>0</v>
      </c>
      <c r="AB299" s="304" t="str">
        <f>VLOOKUP(Z299,'Im 3B'!$A$2:$D$3548,4,FALSE)</f>
        <v>V</v>
      </c>
      <c r="AC299" s="305">
        <f>IF(AB299="D",VLOOKUP(Z299,'Im 3B'!$A$2:$C$2280,2,FALSE),0)</f>
        <v>0</v>
      </c>
      <c r="AD299" s="305">
        <f>IF(AB299="V",VLOOKUP(Z299,Vtas3B!$A$2:$B$2438,2,FALSE),0)</f>
        <v>5000000</v>
      </c>
    </row>
    <row r="300" spans="2:30" x14ac:dyDescent="0.2">
      <c r="B300" s="304" t="s">
        <v>1401</v>
      </c>
      <c r="C300" s="304">
        <f>VLOOKUP(B300,'Im 1A'!$A$2:$C$1963,3,FALSE)</f>
        <v>0</v>
      </c>
      <c r="D300" s="304" t="str">
        <f>VLOOKUP(B300,'Im 1A'!$A$2:$D$3231,4,FALSE)</f>
        <v>V</v>
      </c>
      <c r="E300" s="305">
        <f>IF(D300="D",VLOOKUP(B300,'Im 1A'!$A$2:$C$1963,2,FALSE),0)</f>
        <v>0</v>
      </c>
      <c r="F300" s="305">
        <f>IF(D300="V",VLOOKUP(B300,Vtas1A!$A$2:$B$2357,2,FALSE),0)</f>
        <v>27000000</v>
      </c>
      <c r="N300" s="304" t="s">
        <v>2902</v>
      </c>
      <c r="O300" s="505">
        <f>VLOOKUP(N300,'Im 2'!$A$2:$C$2278,3,FALSE)</f>
        <v>0</v>
      </c>
      <c r="P300" s="304" t="str">
        <f>VLOOKUP(N300,'Im 2'!$A$2:$D$3546,4,FALSE)</f>
        <v>V</v>
      </c>
      <c r="Q300" s="305">
        <f>IF(P300="D",VLOOKUP(N300,'Im 2'!$A$2:$C$2278,2,FALSE),0)</f>
        <v>0</v>
      </c>
      <c r="R300" s="305">
        <f>IF(P300="V",VLOOKUP(N300,Vtas2!$A$2:$B$2425,2,FALSE),0)</f>
        <v>6000000</v>
      </c>
      <c r="T300" s="304" t="s">
        <v>1134</v>
      </c>
      <c r="U300" s="505">
        <f>VLOOKUP(T300,'Im 3A'!$A$2:$C$2278,3,FALSE)</f>
        <v>0</v>
      </c>
      <c r="V300" s="304" t="str">
        <f>VLOOKUP(T300,'Im 3A'!$A$2:$D$3546,4,FALSE)</f>
        <v>V</v>
      </c>
      <c r="W300" s="305">
        <f>IF(V300="D",VLOOKUP(T300,'Im 3A'!$A$2:$C$2278,2,FALSE),0)</f>
        <v>0</v>
      </c>
      <c r="X300" s="305">
        <f>IF(V300="V",VLOOKUP(T300,Vtas3A!$A$2:$B$2425,2,FALSE),0)</f>
        <v>23000000</v>
      </c>
      <c r="Z300" s="304" t="s">
        <v>1511</v>
      </c>
      <c r="AA300" s="505">
        <f>VLOOKUP(Z300,'Im 3B'!$A$2:$C$2280,3,FALSE)</f>
        <v>0</v>
      </c>
      <c r="AB300" s="304" t="str">
        <f>VLOOKUP(Z300,'Im 3B'!$A$2:$D$3548,4,FALSE)</f>
        <v>V</v>
      </c>
      <c r="AC300" s="305">
        <f>IF(AB300="D",VLOOKUP(Z300,'Im 3B'!$A$2:$C$2280,2,FALSE),0)</f>
        <v>0</v>
      </c>
      <c r="AD300" s="305">
        <f>IF(AB300="V",VLOOKUP(Z300,Vtas3B!$A$2:$B$2438,2,FALSE),0)</f>
        <v>5000000</v>
      </c>
    </row>
    <row r="301" spans="2:30" x14ac:dyDescent="0.2">
      <c r="B301" s="304" t="s">
        <v>3727</v>
      </c>
      <c r="C301" s="304">
        <f>VLOOKUP(B301,'Im 1A'!$A$2:$C$1963,3,FALSE)</f>
        <v>0</v>
      </c>
      <c r="D301" s="304" t="str">
        <f>VLOOKUP(B301,'Im 1A'!$A$2:$D$3231,4,FALSE)</f>
        <v>V</v>
      </c>
      <c r="E301" s="305">
        <f>IF(D301="D",VLOOKUP(B301,'Im 1A'!$A$2:$C$1963,2,FALSE),0)</f>
        <v>0</v>
      </c>
      <c r="F301" s="305">
        <f>IF(D301="V",VLOOKUP(B301,Vtas1A!$A$2:$B$2357,2,FALSE),0)</f>
        <v>27000000</v>
      </c>
      <c r="N301" s="304" t="s">
        <v>3073</v>
      </c>
      <c r="O301" s="505">
        <f>VLOOKUP(N301,'Im 2'!$A$2:$C$2278,3,FALSE)</f>
        <v>0</v>
      </c>
      <c r="P301" s="304" t="str">
        <f>VLOOKUP(N301,'Im 2'!$A$2:$D$3546,4,FALSE)</f>
        <v>V</v>
      </c>
      <c r="Q301" s="305">
        <f>IF(P301="D",VLOOKUP(N301,'Im 2'!$A$2:$C$2278,2,FALSE),0)</f>
        <v>0</v>
      </c>
      <c r="R301" s="305">
        <f>IF(P301="V",VLOOKUP(N301,Vtas2!$A$2:$B$2425,2,FALSE),0)</f>
        <v>6000000</v>
      </c>
      <c r="T301" s="304" t="s">
        <v>1160</v>
      </c>
      <c r="U301" s="505">
        <f>VLOOKUP(T301,'Im 3A'!$A$2:$C$2278,3,FALSE)</f>
        <v>0</v>
      </c>
      <c r="V301" s="304" t="str">
        <f>VLOOKUP(T301,'Im 3A'!$A$2:$D$3546,4,FALSE)</f>
        <v>V</v>
      </c>
      <c r="W301" s="305">
        <f>IF(V301="D",VLOOKUP(T301,'Im 3A'!$A$2:$C$2278,2,FALSE),0)</f>
        <v>0</v>
      </c>
      <c r="X301" s="305">
        <f>IF(V301="V",VLOOKUP(T301,Vtas3A!$A$2:$B$2425,2,FALSE),0)</f>
        <v>23000000</v>
      </c>
      <c r="Z301" s="304" t="s">
        <v>2569</v>
      </c>
      <c r="AA301" s="505">
        <f>VLOOKUP(Z301,'Im 3B'!$A$2:$C$2280,3,FALSE)</f>
        <v>0</v>
      </c>
      <c r="AB301" s="304" t="str">
        <f>VLOOKUP(Z301,'Im 3B'!$A$2:$D$3548,4,FALSE)</f>
        <v>V</v>
      </c>
      <c r="AC301" s="305">
        <f>IF(AB301="D",VLOOKUP(Z301,'Im 3B'!$A$2:$C$2280,2,FALSE),0)</f>
        <v>0</v>
      </c>
      <c r="AD301" s="305">
        <f>IF(AB301="V",VLOOKUP(Z301,Vtas3B!$A$2:$B$2438,2,FALSE),0)</f>
        <v>5000000</v>
      </c>
    </row>
    <row r="302" spans="2:30" x14ac:dyDescent="0.2">
      <c r="B302" s="304" t="s">
        <v>1425</v>
      </c>
      <c r="C302" s="304">
        <f>VLOOKUP(B302,'Im 1A'!$A$2:$C$1963,3,FALSE)</f>
        <v>0</v>
      </c>
      <c r="D302" s="304" t="str">
        <f>VLOOKUP(B302,'Im 1A'!$A$2:$D$3231,4,FALSE)</f>
        <v>V</v>
      </c>
      <c r="E302" s="305">
        <f>IF(D302="D",VLOOKUP(B302,'Im 1A'!$A$2:$C$1963,2,FALSE),0)</f>
        <v>0</v>
      </c>
      <c r="F302" s="305">
        <f>IF(D302="V",VLOOKUP(B302,Vtas1A!$A$2:$B$2357,2,FALSE),0)</f>
        <v>22000000</v>
      </c>
      <c r="N302" s="304" t="s">
        <v>3390</v>
      </c>
      <c r="O302" s="505">
        <f>VLOOKUP(N302,'Im 2'!$A$2:$C$2278,3,FALSE)</f>
        <v>0</v>
      </c>
      <c r="P302" s="304" t="str">
        <f>VLOOKUP(N302,'Im 2'!$A$2:$D$3546,4,FALSE)</f>
        <v>V</v>
      </c>
      <c r="Q302" s="305">
        <f>IF(P302="D",VLOOKUP(N302,'Im 2'!$A$2:$C$2278,2,FALSE),0)</f>
        <v>0</v>
      </c>
      <c r="R302" s="305">
        <f>IF(P302="V",VLOOKUP(N302,Vtas2!$A$2:$B$2425,2,FALSE),0)</f>
        <v>6000000</v>
      </c>
      <c r="T302" s="304" t="s">
        <v>1161</v>
      </c>
      <c r="U302" s="505">
        <f>VLOOKUP(T302,'Im 3A'!$A$2:$C$2278,3,FALSE)</f>
        <v>0</v>
      </c>
      <c r="V302" s="304" t="str">
        <f>VLOOKUP(T302,'Im 3A'!$A$2:$D$3546,4,FALSE)</f>
        <v>V</v>
      </c>
      <c r="W302" s="305">
        <f>IF(V302="D",VLOOKUP(T302,'Im 3A'!$A$2:$C$2278,2,FALSE),0)</f>
        <v>0</v>
      </c>
      <c r="X302" s="305">
        <f>IF(V302="V",VLOOKUP(T302,Vtas3A!$A$2:$B$2425,2,FALSE),0)</f>
        <v>23000000</v>
      </c>
      <c r="Z302" s="304" t="s">
        <v>1570</v>
      </c>
      <c r="AA302" s="505">
        <f>VLOOKUP(Z302,'Im 3B'!$A$2:$C$2280,3,FALSE)</f>
        <v>0</v>
      </c>
      <c r="AB302" s="304" t="str">
        <f>VLOOKUP(Z302,'Im 3B'!$A$2:$D$3548,4,FALSE)</f>
        <v>V</v>
      </c>
      <c r="AC302" s="305">
        <f>IF(AB302="D",VLOOKUP(Z302,'Im 3B'!$A$2:$C$2280,2,FALSE),0)</f>
        <v>0</v>
      </c>
      <c r="AD302" s="305">
        <f>IF(AB302="V",VLOOKUP(Z302,Vtas3B!$A$2:$B$2438,2,FALSE),0)</f>
        <v>5000000</v>
      </c>
    </row>
    <row r="303" spans="2:30" x14ac:dyDescent="0.2">
      <c r="B303" s="304" t="s">
        <v>1335</v>
      </c>
      <c r="C303" s="304">
        <f>VLOOKUP(B303,'Im 1A'!$A$2:$C$1963,3,FALSE)</f>
        <v>0</v>
      </c>
      <c r="D303" s="304" t="str">
        <f>VLOOKUP(B303,'Im 1A'!$A$2:$D$3231,4,FALSE)</f>
        <v>V</v>
      </c>
      <c r="E303" s="305">
        <f>IF(D303="D",VLOOKUP(B303,'Im 1A'!$A$2:$C$1963,2,FALSE),0)</f>
        <v>0</v>
      </c>
      <c r="F303" s="305">
        <f>IF(D303="V",VLOOKUP(B303,Vtas1A!$A$2:$B$2357,2,FALSE),0)</f>
        <v>22000000</v>
      </c>
      <c r="N303" s="304" t="s">
        <v>3074</v>
      </c>
      <c r="O303" s="505">
        <f>VLOOKUP(N303,'Im 2'!$A$2:$C$2278,3,FALSE)</f>
        <v>0</v>
      </c>
      <c r="P303" s="304" t="str">
        <f>VLOOKUP(N303,'Im 2'!$A$2:$D$3546,4,FALSE)</f>
        <v>V</v>
      </c>
      <c r="Q303" s="305">
        <f>IF(P303="D",VLOOKUP(N303,'Im 2'!$A$2:$C$2278,2,FALSE),0)</f>
        <v>0</v>
      </c>
      <c r="R303" s="305">
        <f>IF(P303="V",VLOOKUP(N303,Vtas2!$A$2:$B$2425,2,FALSE),0)</f>
        <v>6000000</v>
      </c>
      <c r="T303" s="304" t="s">
        <v>1199</v>
      </c>
      <c r="U303" s="505">
        <f>VLOOKUP(T303,'Im 3A'!$A$2:$C$2278,3,FALSE)</f>
        <v>0</v>
      </c>
      <c r="V303" s="304" t="str">
        <f>VLOOKUP(T303,'Im 3A'!$A$2:$D$3546,4,FALSE)</f>
        <v>V</v>
      </c>
      <c r="W303" s="305">
        <f>IF(V303="D",VLOOKUP(T303,'Im 3A'!$A$2:$C$2278,2,FALSE),0)</f>
        <v>0</v>
      </c>
      <c r="X303" s="305">
        <f>IF(V303="V",VLOOKUP(T303,Vtas3A!$A$2:$B$2425,2,FALSE),0)</f>
        <v>23000000</v>
      </c>
      <c r="Z303" s="313" t="s">
        <v>4009</v>
      </c>
      <c r="AA303" s="313">
        <f>++COUNTA(AA211:AA302)</f>
        <v>92</v>
      </c>
      <c r="AB303" s="313"/>
      <c r="AC303" s="315">
        <f>SUM(AC211:AC302)</f>
        <v>45000000</v>
      </c>
      <c r="AD303" s="315">
        <f>SUM(AD211:AD302)</f>
        <v>415000000</v>
      </c>
    </row>
    <row r="304" spans="2:30" x14ac:dyDescent="0.2">
      <c r="B304" s="304" t="s">
        <v>3443</v>
      </c>
      <c r="C304" s="304">
        <f>VLOOKUP(B304,'Im 1A'!$A$2:$C$1963,3,FALSE)</f>
        <v>0</v>
      </c>
      <c r="D304" s="304" t="str">
        <f>VLOOKUP(B304,'Im 1A'!$A$2:$D$3231,4,FALSE)</f>
        <v>V</v>
      </c>
      <c r="E304" s="305">
        <f>IF(D304="D",VLOOKUP(B304,'Im 1A'!$A$2:$C$1963,2,FALSE),0)</f>
        <v>0</v>
      </c>
      <c r="F304" s="305">
        <f>IF(D304="V",VLOOKUP(B304,Vtas1A!$A$2:$B$2357,2,FALSE),0)</f>
        <v>22000000</v>
      </c>
      <c r="N304" s="304" t="s">
        <v>3468</v>
      </c>
      <c r="O304" s="505">
        <f>VLOOKUP(N304,'Im 2'!$A$2:$C$2278,3,FALSE)</f>
        <v>0</v>
      </c>
      <c r="P304" s="304" t="str">
        <f>VLOOKUP(N304,'Im 2'!$A$2:$D$3546,4,FALSE)</f>
        <v>V</v>
      </c>
      <c r="Q304" s="305">
        <f>IF(P304="D",VLOOKUP(N304,'Im 2'!$A$2:$C$2278,2,FALSE),0)</f>
        <v>0</v>
      </c>
      <c r="R304" s="305">
        <f>IF(P304="V",VLOOKUP(N304,Vtas2!$A$2:$B$2425,2,FALSE),0)</f>
        <v>6000000</v>
      </c>
      <c r="T304" s="304" t="s">
        <v>1135</v>
      </c>
      <c r="U304" s="505">
        <f>VLOOKUP(T304,'Im 3A'!$A$2:$C$2278,3,FALSE)</f>
        <v>0</v>
      </c>
      <c r="V304" s="304" t="str">
        <f>VLOOKUP(T304,'Im 3A'!$A$2:$D$3546,4,FALSE)</f>
        <v>V</v>
      </c>
      <c r="W304" s="305">
        <f>IF(V304="D",VLOOKUP(T304,'Im 3A'!$A$2:$C$2278,2,FALSE),0)</f>
        <v>0</v>
      </c>
      <c r="X304" s="305">
        <f>IF(V304="V",VLOOKUP(T304,Vtas3A!$A$2:$B$2425,2,FALSE),0)</f>
        <v>24000000</v>
      </c>
    </row>
    <row r="305" spans="2:24" x14ac:dyDescent="0.2">
      <c r="B305" s="304" t="s">
        <v>1539</v>
      </c>
      <c r="C305" s="304">
        <f>VLOOKUP(B305,'Im 1A'!$A$2:$C$1963,3,FALSE)</f>
        <v>0</v>
      </c>
      <c r="D305" s="304" t="str">
        <f>VLOOKUP(B305,'Im 1A'!$A$2:$D$3231,4,FALSE)</f>
        <v>V</v>
      </c>
      <c r="E305" s="305">
        <f>IF(D305="D",VLOOKUP(B305,'Im 1A'!$A$2:$C$1963,2,FALSE),0)</f>
        <v>0</v>
      </c>
      <c r="F305" s="305">
        <f>IF(D305="V",VLOOKUP(B305,Vtas1A!$A$2:$B$2357,2,FALSE),0)</f>
        <v>27000000</v>
      </c>
      <c r="N305" s="304" t="s">
        <v>3391</v>
      </c>
      <c r="O305" s="505">
        <f>VLOOKUP(N305,'Im 2'!$A$2:$C$2278,3,FALSE)</f>
        <v>0</v>
      </c>
      <c r="P305" s="304" t="str">
        <f>VLOOKUP(N305,'Im 2'!$A$2:$D$3546,4,FALSE)</f>
        <v>V</v>
      </c>
      <c r="Q305" s="305">
        <f>IF(P305="D",VLOOKUP(N305,'Im 2'!$A$2:$C$2278,2,FALSE),0)</f>
        <v>0</v>
      </c>
      <c r="R305" s="305">
        <f>IF(P305="V",VLOOKUP(N305,Vtas2!$A$2:$B$2425,2,FALSE),0)</f>
        <v>6000000</v>
      </c>
      <c r="T305" s="304" t="s">
        <v>1136</v>
      </c>
      <c r="U305" s="505">
        <f>VLOOKUP(T305,'Im 3A'!$A$2:$C$2278,3,FALSE)</f>
        <v>0</v>
      </c>
      <c r="V305" s="304" t="str">
        <f>VLOOKUP(T305,'Im 3A'!$A$2:$D$3546,4,FALSE)</f>
        <v>V</v>
      </c>
      <c r="W305" s="305">
        <f>IF(V305="D",VLOOKUP(T305,'Im 3A'!$A$2:$C$2278,2,FALSE),0)</f>
        <v>0</v>
      </c>
      <c r="X305" s="305">
        <f>IF(V305="V",VLOOKUP(T305,Vtas3A!$A$2:$B$2425,2,FALSE),0)</f>
        <v>23000000</v>
      </c>
    </row>
    <row r="306" spans="2:24" x14ac:dyDescent="0.2">
      <c r="B306" s="304" t="s">
        <v>2255</v>
      </c>
      <c r="C306" s="304">
        <f>VLOOKUP(B306,'Im 1A'!$A$2:$C$1963,3,FALSE)</f>
        <v>0</v>
      </c>
      <c r="D306" s="304" t="str">
        <f>VLOOKUP(B306,'Im 1A'!$A$2:$D$3231,4,FALSE)</f>
        <v>V</v>
      </c>
      <c r="E306" s="305">
        <f>IF(D306="D",VLOOKUP(B306,'Im 1A'!$A$2:$C$1963,2,FALSE),0)</f>
        <v>0</v>
      </c>
      <c r="F306" s="305">
        <f>IF(D306="V",VLOOKUP(B306,Vtas1A!$A$2:$B$2357,2,FALSE),0)</f>
        <v>22000000</v>
      </c>
      <c r="N306" s="304" t="s">
        <v>2903</v>
      </c>
      <c r="O306" s="505">
        <f>VLOOKUP(N306,'Im 2'!$A$2:$C$2278,3,FALSE)</f>
        <v>0</v>
      </c>
      <c r="P306" s="304" t="str">
        <f>VLOOKUP(N306,'Im 2'!$A$2:$D$3546,4,FALSE)</f>
        <v>V</v>
      </c>
      <c r="Q306" s="305">
        <f>IF(P306="D",VLOOKUP(N306,'Im 2'!$A$2:$C$2278,2,FALSE),0)</f>
        <v>0</v>
      </c>
      <c r="R306" s="305">
        <f>IF(P306="V",VLOOKUP(N306,Vtas2!$A$2:$B$2425,2,FALSE),0)</f>
        <v>6000000</v>
      </c>
      <c r="T306" s="304" t="s">
        <v>1189</v>
      </c>
      <c r="U306" s="505">
        <f>VLOOKUP(T306,'Im 3A'!$A$2:$C$2278,3,FALSE)</f>
        <v>0</v>
      </c>
      <c r="V306" s="304" t="str">
        <f>VLOOKUP(T306,'Im 3A'!$A$2:$D$3546,4,FALSE)</f>
        <v>V</v>
      </c>
      <c r="W306" s="305">
        <f>IF(V306="D",VLOOKUP(T306,'Im 3A'!$A$2:$C$2278,2,FALSE),0)</f>
        <v>0</v>
      </c>
      <c r="X306" s="305">
        <f>IF(V306="V",VLOOKUP(T306,Vtas3A!$A$2:$B$2425,2,FALSE),0)</f>
        <v>23000000</v>
      </c>
    </row>
    <row r="307" spans="2:24" x14ac:dyDescent="0.2">
      <c r="B307" s="304" t="s">
        <v>2256</v>
      </c>
      <c r="C307" s="304">
        <f>VLOOKUP(B307,'Im 1A'!$A$2:$C$1963,3,FALSE)</f>
        <v>0</v>
      </c>
      <c r="D307" s="304" t="str">
        <f>VLOOKUP(B307,'Im 1A'!$A$2:$D$3231,4,FALSE)</f>
        <v>V</v>
      </c>
      <c r="E307" s="305">
        <f>IF(D307="D",VLOOKUP(B307,'Im 1A'!$A$2:$C$1963,2,FALSE),0)</f>
        <v>0</v>
      </c>
      <c r="F307" s="305">
        <f>IF(D307="V",VLOOKUP(B307,Vtas1A!$A$2:$B$2357,2,FALSE),0)</f>
        <v>22000000</v>
      </c>
      <c r="N307" s="304" t="s">
        <v>3075</v>
      </c>
      <c r="O307" s="505">
        <f>VLOOKUP(N307,'Im 2'!$A$2:$C$2278,3,FALSE)</f>
        <v>0</v>
      </c>
      <c r="P307" s="304" t="str">
        <f>VLOOKUP(N307,'Im 2'!$A$2:$D$3546,4,FALSE)</f>
        <v>V</v>
      </c>
      <c r="Q307" s="305">
        <f>IF(P307="D",VLOOKUP(N307,'Im 2'!$A$2:$C$2278,2,FALSE),0)</f>
        <v>0</v>
      </c>
      <c r="R307" s="305">
        <f>IF(P307="V",VLOOKUP(N307,Vtas2!$A$2:$B$2425,2,FALSE),0)</f>
        <v>6000000</v>
      </c>
      <c r="T307" s="304" t="s">
        <v>1688</v>
      </c>
      <c r="U307" s="505">
        <f>VLOOKUP(T307,'Im 3A'!$A$2:$C$2278,3,FALSE)</f>
        <v>0</v>
      </c>
      <c r="V307" s="304" t="str">
        <f>VLOOKUP(T307,'Im 3A'!$A$2:$D$3546,4,FALSE)</f>
        <v>V</v>
      </c>
      <c r="W307" s="305">
        <f>IF(V307="D",VLOOKUP(T307,'Im 3A'!$A$2:$C$2278,2,FALSE),0)</f>
        <v>0</v>
      </c>
      <c r="X307" s="305">
        <f>IF(V307="V",VLOOKUP(T307,Vtas3A!$A$2:$B$2425,2,FALSE),0)</f>
        <v>24000000</v>
      </c>
    </row>
    <row r="308" spans="2:24" x14ac:dyDescent="0.2">
      <c r="B308" s="304" t="s">
        <v>3444</v>
      </c>
      <c r="C308" s="304">
        <f>VLOOKUP(B308,'Im 1A'!$A$2:$C$1963,3,FALSE)</f>
        <v>0</v>
      </c>
      <c r="D308" s="304" t="str">
        <f>VLOOKUP(B308,'Im 1A'!$A$2:$D$3231,4,FALSE)</f>
        <v>V</v>
      </c>
      <c r="E308" s="305">
        <f>IF(D308="D",VLOOKUP(B308,'Im 1A'!$A$2:$C$1963,2,FALSE),0)</f>
        <v>0</v>
      </c>
      <c r="F308" s="305">
        <f>IF(D308="V",VLOOKUP(B308,Vtas1A!$A$2:$B$2357,2,FALSE),0)</f>
        <v>22000000</v>
      </c>
      <c r="N308" s="304" t="s">
        <v>3392</v>
      </c>
      <c r="O308" s="505">
        <f>VLOOKUP(N308,'Im 2'!$A$2:$C$2278,3,FALSE)</f>
        <v>0</v>
      </c>
      <c r="P308" s="304" t="str">
        <f>VLOOKUP(N308,'Im 2'!$A$2:$D$3546,4,FALSE)</f>
        <v>V</v>
      </c>
      <c r="Q308" s="305">
        <f>IF(P308="D",VLOOKUP(N308,'Im 2'!$A$2:$C$2278,2,FALSE),0)</f>
        <v>0</v>
      </c>
      <c r="R308" s="305">
        <f>IF(P308="V",VLOOKUP(N308,Vtas2!$A$2:$B$2425,2,FALSE),0)</f>
        <v>6000000</v>
      </c>
      <c r="T308" s="304" t="s">
        <v>1179</v>
      </c>
      <c r="U308" s="505">
        <f>VLOOKUP(T308,'Im 3A'!$A$2:$C$2278,3,FALSE)</f>
        <v>0</v>
      </c>
      <c r="V308" s="304" t="str">
        <f>VLOOKUP(T308,'Im 3A'!$A$2:$D$3546,4,FALSE)</f>
        <v>V</v>
      </c>
      <c r="W308" s="305">
        <f>IF(V308="D",VLOOKUP(T308,'Im 3A'!$A$2:$C$2278,2,FALSE),0)</f>
        <v>0</v>
      </c>
      <c r="X308" s="305">
        <f>IF(V308="V",VLOOKUP(T308,Vtas3A!$A$2:$B$2425,2,FALSE),0)</f>
        <v>23000000</v>
      </c>
    </row>
    <row r="309" spans="2:24" x14ac:dyDescent="0.2">
      <c r="B309" s="304" t="s">
        <v>3230</v>
      </c>
      <c r="C309" s="304">
        <f>VLOOKUP(B309,'Im 1A'!$A$2:$C$1963,3,FALSE)</f>
        <v>0</v>
      </c>
      <c r="D309" s="304" t="str">
        <f>VLOOKUP(B309,'Im 1A'!$A$2:$D$3231,4,FALSE)</f>
        <v>V</v>
      </c>
      <c r="E309" s="305">
        <f>IF(D309="D",VLOOKUP(B309,'Im 1A'!$A$2:$C$1963,2,FALSE),0)</f>
        <v>0</v>
      </c>
      <c r="F309" s="305">
        <f>IF(D309="V",VLOOKUP(B309,Vtas1A!$A$2:$B$2357,2,FALSE),0)</f>
        <v>27000000</v>
      </c>
      <c r="N309" s="304" t="s">
        <v>3393</v>
      </c>
      <c r="O309" s="505">
        <f>VLOOKUP(N309,'Im 2'!$A$2:$C$2278,3,FALSE)</f>
        <v>0</v>
      </c>
      <c r="P309" s="304" t="str">
        <f>VLOOKUP(N309,'Im 2'!$A$2:$D$3546,4,FALSE)</f>
        <v>V</v>
      </c>
      <c r="Q309" s="305">
        <f>IF(P309="D",VLOOKUP(N309,'Im 2'!$A$2:$C$2278,2,FALSE),0)</f>
        <v>0</v>
      </c>
      <c r="R309" s="305">
        <f>IF(P309="V",VLOOKUP(N309,Vtas2!$A$2:$B$2425,2,FALSE),0)</f>
        <v>6000000</v>
      </c>
      <c r="T309" s="304" t="s">
        <v>1039</v>
      </c>
      <c r="U309" s="505">
        <f>VLOOKUP(T309,'Im 3A'!$A$2:$C$2278,3,FALSE)</f>
        <v>0</v>
      </c>
      <c r="V309" s="304" t="str">
        <f>VLOOKUP(T309,'Im 3A'!$A$2:$D$3546,4,FALSE)</f>
        <v>V</v>
      </c>
      <c r="W309" s="305">
        <f>IF(V309="D",VLOOKUP(T309,'Im 3A'!$A$2:$C$2278,2,FALSE),0)</f>
        <v>0</v>
      </c>
      <c r="X309" s="305">
        <f>IF(V309="V",VLOOKUP(T309,Vtas3A!$A$2:$B$2425,2,FALSE),0)</f>
        <v>23000000</v>
      </c>
    </row>
    <row r="310" spans="2:24" x14ac:dyDescent="0.2">
      <c r="B310" s="304" t="s">
        <v>3164</v>
      </c>
      <c r="C310" s="304">
        <f>VLOOKUP(B310,'Im 1A'!$A$2:$C$1963,3,FALSE)</f>
        <v>0</v>
      </c>
      <c r="D310" s="304" t="str">
        <f>VLOOKUP(B310,'Im 1A'!$A$2:$D$3231,4,FALSE)</f>
        <v>V</v>
      </c>
      <c r="E310" s="305">
        <f>IF(D310="D",VLOOKUP(B310,'Im 1A'!$A$2:$C$1963,2,FALSE),0)</f>
        <v>0</v>
      </c>
      <c r="F310" s="305">
        <f>IF(D310="V",VLOOKUP(B310,Vtas1A!$A$2:$B$2357,2,FALSE),0)</f>
        <v>27000000</v>
      </c>
      <c r="N310" s="304" t="s">
        <v>3308</v>
      </c>
      <c r="O310" s="505">
        <f>VLOOKUP(N310,'Im 2'!$A$2:$C$2278,3,FALSE)</f>
        <v>0</v>
      </c>
      <c r="P310" s="304" t="str">
        <f>VLOOKUP(N310,'Im 2'!$A$2:$D$3546,4,FALSE)</f>
        <v>V</v>
      </c>
      <c r="Q310" s="305">
        <f>IF(P310="D",VLOOKUP(N310,'Im 2'!$A$2:$C$2278,2,FALSE),0)</f>
        <v>0</v>
      </c>
      <c r="R310" s="305">
        <f>IF(P310="V",VLOOKUP(N310,Vtas2!$A$2:$B$2425,2,FALSE),0)</f>
        <v>6000000</v>
      </c>
      <c r="T310" s="304" t="s">
        <v>1231</v>
      </c>
      <c r="U310" s="505">
        <f>VLOOKUP(T310,'Im 3A'!$A$2:$C$2278,3,FALSE)</f>
        <v>0</v>
      </c>
      <c r="V310" s="304" t="str">
        <f>VLOOKUP(T310,'Im 3A'!$A$2:$D$3546,4,FALSE)</f>
        <v>V</v>
      </c>
      <c r="W310" s="305">
        <f>IF(V310="D",VLOOKUP(T310,'Im 3A'!$A$2:$C$2278,2,FALSE),0)</f>
        <v>0</v>
      </c>
      <c r="X310" s="305">
        <f>IF(V310="V",VLOOKUP(T310,Vtas3A!$A$2:$B$2425,2,FALSE),0)</f>
        <v>24000000</v>
      </c>
    </row>
    <row r="311" spans="2:24" x14ac:dyDescent="0.2">
      <c r="B311" s="304" t="s">
        <v>3165</v>
      </c>
      <c r="C311" s="304">
        <f>VLOOKUP(B311,'Im 1A'!$A$2:$C$1963,3,FALSE)</f>
        <v>0</v>
      </c>
      <c r="D311" s="304" t="str">
        <f>VLOOKUP(B311,'Im 1A'!$A$2:$D$3231,4,FALSE)</f>
        <v>V</v>
      </c>
      <c r="E311" s="305">
        <f>IF(D311="D",VLOOKUP(B311,'Im 1A'!$A$2:$C$1963,2,FALSE),0)</f>
        <v>0</v>
      </c>
      <c r="F311" s="305">
        <f>IF(D311="V",VLOOKUP(B311,Vtas1A!$A$2:$B$2357,2,FALSE),0)</f>
        <v>27000000</v>
      </c>
      <c r="N311" s="304" t="s">
        <v>3076</v>
      </c>
      <c r="O311" s="505">
        <f>VLOOKUP(N311,'Im 2'!$A$2:$C$2278,3,FALSE)</f>
        <v>0</v>
      </c>
      <c r="P311" s="304" t="str">
        <f>VLOOKUP(N311,'Im 2'!$A$2:$D$3546,4,FALSE)</f>
        <v>V</v>
      </c>
      <c r="Q311" s="305">
        <f>IF(P311="D",VLOOKUP(N311,'Im 2'!$A$2:$C$2278,2,FALSE),0)</f>
        <v>0</v>
      </c>
      <c r="R311" s="305">
        <f>IF(P311="V",VLOOKUP(N311,Vtas2!$A$2:$B$2425,2,FALSE),0)</f>
        <v>6000000</v>
      </c>
      <c r="T311" s="304" t="s">
        <v>1137</v>
      </c>
      <c r="U311" s="505">
        <f>VLOOKUP(T311,'Im 3A'!$A$2:$C$2278,3,FALSE)</f>
        <v>0</v>
      </c>
      <c r="V311" s="304" t="str">
        <f>VLOOKUP(T311,'Im 3A'!$A$2:$D$3546,4,FALSE)</f>
        <v>V</v>
      </c>
      <c r="W311" s="305">
        <f>IF(V311="D",VLOOKUP(T311,'Im 3A'!$A$2:$C$2278,2,FALSE),0)</f>
        <v>0</v>
      </c>
      <c r="X311" s="305">
        <f>IF(V311="V",VLOOKUP(T311,Vtas3A!$A$2:$B$2425,2,FALSE),0)</f>
        <v>23000000</v>
      </c>
    </row>
    <row r="312" spans="2:24" x14ac:dyDescent="0.2">
      <c r="B312" s="304" t="s">
        <v>904</v>
      </c>
      <c r="C312" s="304">
        <f>VLOOKUP(B312,'Im 1A'!$A$2:$C$1963,3,FALSE)</f>
        <v>0</v>
      </c>
      <c r="D312" s="304" t="str">
        <f>VLOOKUP(B312,'Im 1A'!$A$2:$D$3231,4,FALSE)</f>
        <v>V</v>
      </c>
      <c r="E312" s="305">
        <f>IF(D312="D",VLOOKUP(B312,'Im 1A'!$A$2:$C$1963,2,FALSE),0)</f>
        <v>0</v>
      </c>
      <c r="F312" s="305">
        <f>IF(D312="V",VLOOKUP(B312,Vtas1A!$A$2:$B$2357,2,FALSE),0)</f>
        <v>22000000</v>
      </c>
      <c r="N312" s="304" t="s">
        <v>4382</v>
      </c>
      <c r="O312" s="505">
        <f>VLOOKUP(N312,'Im 2'!$A$2:$C$2278,3,FALSE)</f>
        <v>0</v>
      </c>
      <c r="P312" s="304" t="str">
        <f>VLOOKUP(N312,'Im 2'!$A$2:$D$3546,4,FALSE)</f>
        <v>V</v>
      </c>
      <c r="Q312" s="305">
        <f>IF(P312="D",VLOOKUP(N312,'Im 2'!$A$2:$C$2278,2,FALSE),0)</f>
        <v>0</v>
      </c>
      <c r="R312" s="305">
        <f>IF(P312="V",VLOOKUP(N312,Vtas2!$A$2:$B$2425,2,FALSE),0)</f>
        <v>6000000</v>
      </c>
      <c r="T312" s="304" t="s">
        <v>1040</v>
      </c>
      <c r="U312" s="505">
        <f>VLOOKUP(T312,'Im 3A'!$A$2:$C$2278,3,FALSE)</f>
        <v>0</v>
      </c>
      <c r="V312" s="304" t="str">
        <f>VLOOKUP(T312,'Im 3A'!$A$2:$D$3546,4,FALSE)</f>
        <v>V</v>
      </c>
      <c r="W312" s="305">
        <f>IF(V312="D",VLOOKUP(T312,'Im 3A'!$A$2:$C$2278,2,FALSE),0)</f>
        <v>0</v>
      </c>
      <c r="X312" s="305">
        <f>IF(V312="V",VLOOKUP(T312,Vtas3A!$A$2:$B$2425,2,FALSE),0)</f>
        <v>23000000</v>
      </c>
    </row>
    <row r="313" spans="2:24" x14ac:dyDescent="0.2">
      <c r="B313" s="304" t="s">
        <v>923</v>
      </c>
      <c r="C313" s="304">
        <f>VLOOKUP(B313,'Im 1A'!$A$2:$C$1963,3,FALSE)</f>
        <v>0</v>
      </c>
      <c r="D313" s="304" t="str">
        <f>VLOOKUP(B313,'Im 1A'!$A$2:$D$3231,4,FALSE)</f>
        <v>V</v>
      </c>
      <c r="E313" s="305">
        <f>IF(D313="D",VLOOKUP(B313,'Im 1A'!$A$2:$C$1963,2,FALSE),0)</f>
        <v>0</v>
      </c>
      <c r="F313" s="305">
        <f>IF(D313="V",VLOOKUP(B313,Vtas1A!$A$2:$B$2357,2,FALSE),0)</f>
        <v>22000000</v>
      </c>
      <c r="N313" s="304" t="s">
        <v>3077</v>
      </c>
      <c r="O313" s="505">
        <f>VLOOKUP(N313,'Im 2'!$A$2:$C$2278,3,FALSE)</f>
        <v>0</v>
      </c>
      <c r="P313" s="304" t="str">
        <f>VLOOKUP(N313,'Im 2'!$A$2:$D$3546,4,FALSE)</f>
        <v>V</v>
      </c>
      <c r="Q313" s="305">
        <f>IF(P313="D",VLOOKUP(N313,'Im 2'!$A$2:$C$2278,2,FALSE),0)</f>
        <v>0</v>
      </c>
      <c r="R313" s="305">
        <f>IF(P313="V",VLOOKUP(N313,Vtas2!$A$2:$B$2425,2,FALSE),0)</f>
        <v>6000000</v>
      </c>
      <c r="T313" s="304" t="s">
        <v>4415</v>
      </c>
      <c r="U313" s="505">
        <f>VLOOKUP(T313,'Im 3A'!$A$2:$C$2278,3,FALSE)</f>
        <v>0</v>
      </c>
      <c r="V313" s="304" t="str">
        <f>VLOOKUP(T313,'Im 3A'!$A$2:$D$3546,4,FALSE)</f>
        <v>V</v>
      </c>
      <c r="W313" s="305">
        <f>IF(V313="D",VLOOKUP(T313,'Im 3A'!$A$2:$C$2278,2,FALSE),0)</f>
        <v>0</v>
      </c>
      <c r="X313" s="305">
        <f>IF(V313="V",VLOOKUP(T313,Vtas3A!$A$2:$B$2425,2,FALSE),0)</f>
        <v>29000000</v>
      </c>
    </row>
    <row r="314" spans="2:24" x14ac:dyDescent="0.2">
      <c r="B314" s="304" t="s">
        <v>905</v>
      </c>
      <c r="C314" s="304">
        <f>VLOOKUP(B314,'Im 1A'!$A$2:$C$1963,3,FALSE)</f>
        <v>0</v>
      </c>
      <c r="D314" s="304" t="str">
        <f>VLOOKUP(B314,'Im 1A'!$A$2:$D$3231,4,FALSE)</f>
        <v>V</v>
      </c>
      <c r="E314" s="305">
        <f>IF(D314="D",VLOOKUP(B314,'Im 1A'!$A$2:$C$1963,2,FALSE),0)</f>
        <v>0</v>
      </c>
      <c r="F314" s="305">
        <f>IF(D314="V",VLOOKUP(B314,Vtas1A!$A$2:$B$2357,2,FALSE),0)</f>
        <v>22000000</v>
      </c>
      <c r="N314" s="304" t="s">
        <v>3740</v>
      </c>
      <c r="O314" s="505">
        <f>VLOOKUP(N314,'Im 2'!$A$2:$C$2278,3,FALSE)</f>
        <v>0</v>
      </c>
      <c r="P314" s="304" t="str">
        <f>VLOOKUP(N314,'Im 2'!$A$2:$D$3546,4,FALSE)</f>
        <v>V</v>
      </c>
      <c r="Q314" s="305">
        <f>IF(P314="D",VLOOKUP(N314,'Im 2'!$A$2:$C$2278,2,FALSE),0)</f>
        <v>0</v>
      </c>
      <c r="R314" s="305">
        <f>IF(P314="V",VLOOKUP(N314,Vtas2!$A$2:$B$2425,2,FALSE),0)</f>
        <v>6000000</v>
      </c>
      <c r="T314" s="304" t="s">
        <v>2273</v>
      </c>
      <c r="U314" s="505">
        <f>VLOOKUP(T314,'Im 3A'!$A$2:$C$2278,3,FALSE)</f>
        <v>0</v>
      </c>
      <c r="V314" s="304" t="str">
        <f>VLOOKUP(T314,'Im 3A'!$A$2:$D$3546,4,FALSE)</f>
        <v>D</v>
      </c>
      <c r="W314" s="305">
        <f>IF(V314="D",VLOOKUP(T314,'Im 3A'!$A$2:$C$2278,2,FALSE),0)</f>
        <v>10000000</v>
      </c>
      <c r="X314" s="305">
        <f>IF(V314="V",VLOOKUP(T314,Vtas3A!$A$2:$B$2425,2,FALSE),0)</f>
        <v>0</v>
      </c>
    </row>
    <row r="315" spans="2:24" x14ac:dyDescent="0.2">
      <c r="B315" s="304" t="s">
        <v>982</v>
      </c>
      <c r="C315" s="304">
        <f>VLOOKUP(B315,'Im 1A'!$A$2:$C$1963,3,FALSE)</f>
        <v>0</v>
      </c>
      <c r="D315" s="304" t="str">
        <f>VLOOKUP(B315,'Im 1A'!$A$2:$D$3231,4,FALSE)</f>
        <v>V</v>
      </c>
      <c r="E315" s="305">
        <f>IF(D315="D",VLOOKUP(B315,'Im 1A'!$A$2:$C$1963,2,FALSE),0)</f>
        <v>0</v>
      </c>
      <c r="F315" s="305">
        <f>IF(D315="V",VLOOKUP(B315,Vtas1A!$A$2:$B$2357,2,FALSE),0)</f>
        <v>22000000</v>
      </c>
      <c r="N315" s="304" t="s">
        <v>3469</v>
      </c>
      <c r="O315" s="505">
        <f>VLOOKUP(N315,'Im 2'!$A$2:$C$2278,3,FALSE)</f>
        <v>0</v>
      </c>
      <c r="P315" s="304" t="str">
        <f>VLOOKUP(N315,'Im 2'!$A$2:$D$3546,4,FALSE)</f>
        <v>V</v>
      </c>
      <c r="Q315" s="305">
        <f>IF(P315="D",VLOOKUP(N315,'Im 2'!$A$2:$C$2278,2,FALSE),0)</f>
        <v>0</v>
      </c>
      <c r="R315" s="305">
        <f>IF(P315="V",VLOOKUP(N315,Vtas2!$A$2:$B$2425,2,FALSE),0)</f>
        <v>6000000</v>
      </c>
      <c r="T315" s="304" t="s">
        <v>2274</v>
      </c>
      <c r="U315" s="505">
        <f>VLOOKUP(T315,'Im 3A'!$A$2:$C$2278,3,FALSE)</f>
        <v>0</v>
      </c>
      <c r="V315" s="304" t="str">
        <f>VLOOKUP(T315,'Im 3A'!$A$2:$D$3546,4,FALSE)</f>
        <v>D</v>
      </c>
      <c r="W315" s="305">
        <f>IF(V315="D",VLOOKUP(T315,'Im 3A'!$A$2:$C$2278,2,FALSE),0)</f>
        <v>10000000</v>
      </c>
      <c r="X315" s="305">
        <f>IF(V315="V",VLOOKUP(T315,Vtas3A!$A$2:$B$2425,2,FALSE),0)</f>
        <v>0</v>
      </c>
    </row>
    <row r="316" spans="2:24" x14ac:dyDescent="0.2">
      <c r="B316" s="304" t="s">
        <v>906</v>
      </c>
      <c r="C316" s="304">
        <f>VLOOKUP(B316,'Im 1A'!$A$2:$C$1963,3,FALSE)</f>
        <v>0</v>
      </c>
      <c r="D316" s="304" t="str">
        <f>VLOOKUP(B316,'Im 1A'!$A$2:$D$3231,4,FALSE)</f>
        <v>V</v>
      </c>
      <c r="E316" s="305">
        <f>IF(D316="D",VLOOKUP(B316,'Im 1A'!$A$2:$C$1963,2,FALSE),0)</f>
        <v>0</v>
      </c>
      <c r="F316" s="305">
        <f>IF(D316="V",VLOOKUP(B316,Vtas1A!$A$2:$B$2357,2,FALSE),0)</f>
        <v>22000000</v>
      </c>
      <c r="N316" s="304" t="s">
        <v>4304</v>
      </c>
      <c r="O316" s="505">
        <f>VLOOKUP(N316,'Im 2'!$A$2:$C$2278,3,FALSE)</f>
        <v>0</v>
      </c>
      <c r="P316" s="304" t="str">
        <f>VLOOKUP(N316,'Im 2'!$A$2:$D$3546,4,FALSE)</f>
        <v>V</v>
      </c>
      <c r="Q316" s="305">
        <f>IF(P316="D",VLOOKUP(N316,'Im 2'!$A$2:$C$2278,2,FALSE),0)</f>
        <v>0</v>
      </c>
      <c r="R316" s="305">
        <f>IF(P316="V",VLOOKUP(N316,Vtas2!$A$2:$B$2425,2,FALSE),0)</f>
        <v>6000000</v>
      </c>
      <c r="T316" s="304" t="s">
        <v>2280</v>
      </c>
      <c r="U316" s="505">
        <f>VLOOKUP(T316,'Im 3A'!$A$2:$C$2278,3,FALSE)</f>
        <v>0</v>
      </c>
      <c r="V316" s="304" t="str">
        <f>VLOOKUP(T316,'Im 3A'!$A$2:$D$3546,4,FALSE)</f>
        <v>D</v>
      </c>
      <c r="W316" s="305">
        <f>IF(V316="D",VLOOKUP(T316,'Im 3A'!$A$2:$C$2278,2,FALSE),0)</f>
        <v>10000000</v>
      </c>
      <c r="X316" s="305">
        <f>IF(V316="V",VLOOKUP(T316,Vtas3A!$A$2:$B$2425,2,FALSE),0)</f>
        <v>0</v>
      </c>
    </row>
    <row r="317" spans="2:24" x14ac:dyDescent="0.2">
      <c r="B317" s="304" t="s">
        <v>907</v>
      </c>
      <c r="C317" s="304">
        <f>VLOOKUP(B317,'Im 1A'!$A$2:$C$1963,3,FALSE)</f>
        <v>0</v>
      </c>
      <c r="D317" s="304" t="str">
        <f>VLOOKUP(B317,'Im 1A'!$A$2:$D$3231,4,FALSE)</f>
        <v>V</v>
      </c>
      <c r="E317" s="305">
        <f>IF(D317="D",VLOOKUP(B317,'Im 1A'!$A$2:$C$1963,2,FALSE),0)</f>
        <v>0</v>
      </c>
      <c r="F317" s="305">
        <f>IF(D317="V",VLOOKUP(B317,Vtas1A!$A$2:$B$2357,2,FALSE),0)</f>
        <v>22000000</v>
      </c>
      <c r="N317" s="304" t="s">
        <v>4383</v>
      </c>
      <c r="O317" s="505">
        <f>VLOOKUP(N317,'Im 2'!$A$2:$C$2278,3,FALSE)</f>
        <v>0</v>
      </c>
      <c r="P317" s="304" t="str">
        <f>VLOOKUP(N317,'Im 2'!$A$2:$D$3546,4,FALSE)</f>
        <v>V</v>
      </c>
      <c r="Q317" s="305">
        <f>IF(P317="D",VLOOKUP(N317,'Im 2'!$A$2:$C$2278,2,FALSE),0)</f>
        <v>0</v>
      </c>
      <c r="R317" s="305">
        <f>IF(P317="V",VLOOKUP(N317,Vtas2!$A$2:$B$2425,2,FALSE),0)</f>
        <v>6000000</v>
      </c>
      <c r="T317" s="304" t="s">
        <v>2281</v>
      </c>
      <c r="U317" s="505">
        <f>VLOOKUP(T317,'Im 3A'!$A$2:$C$2278,3,FALSE)</f>
        <v>0</v>
      </c>
      <c r="V317" s="304" t="str">
        <f>VLOOKUP(T317,'Im 3A'!$A$2:$D$3546,4,FALSE)</f>
        <v>V</v>
      </c>
      <c r="W317" s="305">
        <f>IF(V317="D",VLOOKUP(T317,'Im 3A'!$A$2:$C$2278,2,FALSE),0)</f>
        <v>0</v>
      </c>
      <c r="X317" s="305">
        <f>IF(V317="V",VLOOKUP(T317,Vtas3A!$A$2:$B$2425,2,FALSE),0)</f>
        <v>10000000</v>
      </c>
    </row>
    <row r="318" spans="2:24" x14ac:dyDescent="0.2">
      <c r="B318" s="313" t="s">
        <v>949</v>
      </c>
      <c r="C318" s="313">
        <f>++COUNTA(C166:C317)</f>
        <v>152</v>
      </c>
      <c r="D318" s="313"/>
      <c r="E318" s="315">
        <f>SUM(E166:E317)</f>
        <v>66000000</v>
      </c>
      <c r="F318" s="315">
        <f>SUM(F166:F317)</f>
        <v>3708000000</v>
      </c>
      <c r="N318" s="304" t="s">
        <v>2904</v>
      </c>
      <c r="O318" s="505">
        <f>VLOOKUP(N318,'Im 2'!$A$2:$C$2278,3,FALSE)</f>
        <v>0</v>
      </c>
      <c r="P318" s="304" t="str">
        <f>VLOOKUP(N318,'Im 2'!$A$2:$D$3546,4,FALSE)</f>
        <v>V</v>
      </c>
      <c r="Q318" s="305">
        <f>IF(P318="D",VLOOKUP(N318,'Im 2'!$A$2:$C$2278,2,FALSE),0)</f>
        <v>0</v>
      </c>
      <c r="R318" s="305">
        <f>IF(P318="V",VLOOKUP(N318,Vtas2!$A$2:$B$2425,2,FALSE),0)</f>
        <v>6000000</v>
      </c>
      <c r="T318" s="304" t="s">
        <v>2271</v>
      </c>
      <c r="U318" s="505">
        <f>VLOOKUP(T318,'Im 3A'!$A$2:$C$2278,3,FALSE)</f>
        <v>0</v>
      </c>
      <c r="V318" s="304" t="str">
        <f>VLOOKUP(T318,'Im 3A'!$A$2:$D$3546,4,FALSE)</f>
        <v>V</v>
      </c>
      <c r="W318" s="305">
        <f>IF(V318="D",VLOOKUP(T318,'Im 3A'!$A$2:$C$2278,2,FALSE),0)</f>
        <v>0</v>
      </c>
      <c r="X318" s="305">
        <f>IF(V318="V",VLOOKUP(T318,Vtas3A!$A$2:$B$2425,2,FALSE),0)</f>
        <v>12000000</v>
      </c>
    </row>
    <row r="319" spans="2:24" ht="12.75" customHeight="1" x14ac:dyDescent="0.2">
      <c r="N319" s="304" t="s">
        <v>3741</v>
      </c>
      <c r="O319" s="505">
        <f>VLOOKUP(N319,'Im 2'!$A$2:$C$2278,3,FALSE)</f>
        <v>0</v>
      </c>
      <c r="P319" s="304" t="str">
        <f>VLOOKUP(N319,'Im 2'!$A$2:$D$3546,4,FALSE)</f>
        <v>V</v>
      </c>
      <c r="Q319" s="305">
        <f>IF(P319="D",VLOOKUP(N319,'Im 2'!$A$2:$C$2278,2,FALSE),0)</f>
        <v>0</v>
      </c>
      <c r="R319" s="305">
        <f>IF(P319="V",VLOOKUP(N319,Vtas2!$A$2:$B$2425,2,FALSE),0)</f>
        <v>6000000</v>
      </c>
      <c r="T319" s="304" t="s">
        <v>2272</v>
      </c>
      <c r="U319" s="505">
        <f>VLOOKUP(T319,'Im 3A'!$A$2:$C$2278,3,FALSE)</f>
        <v>0</v>
      </c>
      <c r="V319" s="304" t="str">
        <f>VLOOKUP(T319,'Im 3A'!$A$2:$D$3546,4,FALSE)</f>
        <v>V</v>
      </c>
      <c r="W319" s="305">
        <f>IF(V319="D",VLOOKUP(T319,'Im 3A'!$A$2:$C$2278,2,FALSE),0)</f>
        <v>0</v>
      </c>
      <c r="X319" s="305">
        <f>IF(V319="V",VLOOKUP(T319,Vtas3A!$A$2:$B$2425,2,FALSE),0)</f>
        <v>12000000</v>
      </c>
    </row>
    <row r="320" spans="2:24" x14ac:dyDescent="0.2">
      <c r="B320" s="833" t="s">
        <v>956</v>
      </c>
      <c r="C320" s="834"/>
      <c r="D320" s="834"/>
      <c r="E320" s="834"/>
      <c r="F320" s="835"/>
      <c r="N320" s="304" t="s">
        <v>2905</v>
      </c>
      <c r="O320" s="505">
        <f>VLOOKUP(N320,'Im 2'!$A$2:$C$2278,3,FALSE)</f>
        <v>0</v>
      </c>
      <c r="P320" s="304" t="str">
        <f>VLOOKUP(N320,'Im 2'!$A$2:$D$3546,4,FALSE)</f>
        <v>V</v>
      </c>
      <c r="Q320" s="305">
        <f>IF(P320="D",VLOOKUP(N320,'Im 2'!$A$2:$C$2278,2,FALSE),0)</f>
        <v>0</v>
      </c>
      <c r="R320" s="305">
        <f>IF(P320="V",VLOOKUP(N320,Vtas2!$A$2:$B$2425,2,FALSE),0)</f>
        <v>6000000</v>
      </c>
      <c r="T320" s="304" t="s">
        <v>2275</v>
      </c>
      <c r="U320" s="505">
        <f>VLOOKUP(T320,'Im 3A'!$A$2:$C$2278,3,FALSE)</f>
        <v>0</v>
      </c>
      <c r="V320" s="304" t="str">
        <f>VLOOKUP(T320,'Im 3A'!$A$2:$D$3546,4,FALSE)</f>
        <v>V</v>
      </c>
      <c r="W320" s="305">
        <f>IF(V320="D",VLOOKUP(T320,'Im 3A'!$A$2:$C$2278,2,FALSE),0)</f>
        <v>0</v>
      </c>
      <c r="X320" s="305">
        <f>IF(V320="V",VLOOKUP(T320,Vtas3A!$A$2:$B$2425,2,FALSE),0)</f>
        <v>10000000</v>
      </c>
    </row>
    <row r="321" spans="2:24" x14ac:dyDescent="0.2">
      <c r="B321" s="311" t="s">
        <v>46</v>
      </c>
      <c r="C321" s="311" t="s">
        <v>31</v>
      </c>
      <c r="D321" s="311" t="s">
        <v>47</v>
      </c>
      <c r="E321" s="311" t="s">
        <v>48</v>
      </c>
      <c r="F321" s="316" t="s">
        <v>55</v>
      </c>
      <c r="N321" s="304" t="s">
        <v>3078</v>
      </c>
      <c r="O321" s="505">
        <f>VLOOKUP(N321,'Im 2'!$A$2:$C$2278,3,FALSE)</f>
        <v>0</v>
      </c>
      <c r="P321" s="304" t="str">
        <f>VLOOKUP(N321,'Im 2'!$A$2:$D$3546,4,FALSE)</f>
        <v>V</v>
      </c>
      <c r="Q321" s="305">
        <f>IF(P321="D",VLOOKUP(N321,'Im 2'!$A$2:$C$2278,2,FALSE),0)</f>
        <v>0</v>
      </c>
      <c r="R321" s="305">
        <f>IF(P321="V",VLOOKUP(N321,Vtas2!$A$2:$B$2425,2,FALSE),0)</f>
        <v>6000000</v>
      </c>
      <c r="T321" s="304" t="s">
        <v>2276</v>
      </c>
      <c r="U321" s="505">
        <f>VLOOKUP(T321,'Im 3A'!$A$2:$C$2278,3,FALSE)</f>
        <v>0</v>
      </c>
      <c r="V321" s="304" t="str">
        <f>VLOOKUP(T321,'Im 3A'!$A$2:$D$3546,4,FALSE)</f>
        <v>V</v>
      </c>
      <c r="W321" s="305">
        <f>IF(V321="D",VLOOKUP(T321,'Im 3A'!$A$2:$C$2278,2,FALSE),0)</f>
        <v>0</v>
      </c>
      <c r="X321" s="305">
        <f>IF(V321="V",VLOOKUP(T321,Vtas3A!$A$2:$B$2425,2,FALSE),0)</f>
        <v>10000000</v>
      </c>
    </row>
    <row r="322" spans="2:24" x14ac:dyDescent="0.2">
      <c r="B322" s="304" t="s">
        <v>912</v>
      </c>
      <c r="C322" s="304">
        <f>VLOOKUP(B322,'Im 1A'!$A$2:$C$963,3,FALSE)</f>
        <v>0</v>
      </c>
      <c r="D322" s="304" t="str">
        <f>VLOOKUP(B322,'Im 1A'!$A$2:$D$963,4,FALSE)</f>
        <v>D</v>
      </c>
      <c r="E322" s="305">
        <f>IF(D322="D",VLOOKUP(B322,'Im 1A'!$A$2:$C$1200,2,FALSE),0)</f>
        <v>5000000</v>
      </c>
      <c r="F322" s="305">
        <f>IF(D322="V",VLOOKUP(B322,Vtas1A!$A$2:$B$695,2,FALSE),0)</f>
        <v>0</v>
      </c>
      <c r="N322" s="304" t="s">
        <v>3079</v>
      </c>
      <c r="O322" s="505">
        <f>VLOOKUP(N322,'Im 2'!$A$2:$C$2278,3,FALSE)</f>
        <v>0</v>
      </c>
      <c r="P322" s="304" t="str">
        <f>VLOOKUP(N322,'Im 2'!$A$2:$D$3546,4,FALSE)</f>
        <v>V</v>
      </c>
      <c r="Q322" s="305">
        <f>IF(P322="D",VLOOKUP(N322,'Im 2'!$A$2:$C$2278,2,FALSE),0)</f>
        <v>0</v>
      </c>
      <c r="R322" s="305">
        <f>IF(P322="V",VLOOKUP(N322,Vtas2!$A$2:$B$2425,2,FALSE),0)</f>
        <v>6000000</v>
      </c>
      <c r="T322" s="304" t="s">
        <v>2277</v>
      </c>
      <c r="U322" s="505">
        <f>VLOOKUP(T322,'Im 3A'!$A$2:$C$2278,3,FALSE)</f>
        <v>0</v>
      </c>
      <c r="V322" s="304" t="str">
        <f>VLOOKUP(T322,'Im 3A'!$A$2:$D$3546,4,FALSE)</f>
        <v>V</v>
      </c>
      <c r="W322" s="305">
        <f>IF(V322="D",VLOOKUP(T322,'Im 3A'!$A$2:$C$2278,2,FALSE),0)</f>
        <v>0</v>
      </c>
      <c r="X322" s="305">
        <f>IF(V322="V",VLOOKUP(T322,Vtas3A!$A$2:$B$2425,2,FALSE),0)</f>
        <v>12000000</v>
      </c>
    </row>
    <row r="323" spans="2:24" x14ac:dyDescent="0.2">
      <c r="B323" s="304" t="s">
        <v>913</v>
      </c>
      <c r="C323" s="304">
        <f>VLOOKUP(B323,'Im 1A'!$A$2:$C$963,3,FALSE)</f>
        <v>0</v>
      </c>
      <c r="D323" s="304" t="str">
        <f>VLOOKUP(B323,'Im 1A'!$A$2:$D$963,4,FALSE)</f>
        <v>D</v>
      </c>
      <c r="E323" s="305">
        <f>IF(D323="D",VLOOKUP(B323,'Im 1A'!$A$2:$C$1200,2,FALSE),0)</f>
        <v>5000000</v>
      </c>
      <c r="F323" s="305">
        <f>IF(D323="V",VLOOKUP(B323,Vtas1A!$A$2:$B$695,2,FALSE),0)</f>
        <v>0</v>
      </c>
      <c r="N323" s="304" t="s">
        <v>2906</v>
      </c>
      <c r="O323" s="505">
        <f>VLOOKUP(N323,'Im 2'!$A$2:$C$2278,3,FALSE)</f>
        <v>0</v>
      </c>
      <c r="P323" s="304" t="str">
        <f>VLOOKUP(N323,'Im 2'!$A$2:$D$3546,4,FALSE)</f>
        <v>V</v>
      </c>
      <c r="Q323" s="305">
        <f>IF(P323="D",VLOOKUP(N323,'Im 2'!$A$2:$C$2278,2,FALSE),0)</f>
        <v>0</v>
      </c>
      <c r="R323" s="305">
        <f>IF(P323="V",VLOOKUP(N323,Vtas2!$A$2:$B$2425,2,FALSE),0)</f>
        <v>6000000</v>
      </c>
      <c r="T323" s="304" t="s">
        <v>2278</v>
      </c>
      <c r="U323" s="505">
        <f>VLOOKUP(T323,'Im 3A'!$A$2:$C$2278,3,FALSE)</f>
        <v>0</v>
      </c>
      <c r="V323" s="304" t="str">
        <f>VLOOKUP(T323,'Im 3A'!$A$2:$D$3546,4,FALSE)</f>
        <v>V</v>
      </c>
      <c r="W323" s="305">
        <f>IF(V323="D",VLOOKUP(T323,'Im 3A'!$A$2:$C$2278,2,FALSE),0)</f>
        <v>0</v>
      </c>
      <c r="X323" s="305">
        <f>IF(V323="V",VLOOKUP(T323,Vtas3A!$A$2:$B$2425,2,FALSE),0)</f>
        <v>12000000</v>
      </c>
    </row>
    <row r="324" spans="2:24" x14ac:dyDescent="0.2">
      <c r="B324" s="304" t="s">
        <v>1599</v>
      </c>
      <c r="C324" s="304">
        <f>VLOOKUP(B324,'Im 1A'!$A$2:$C$963,3,FALSE)</f>
        <v>0</v>
      </c>
      <c r="D324" s="304" t="str">
        <f>VLOOKUP(B324,'Im 1A'!$A$2:$D$963,4,FALSE)</f>
        <v>V</v>
      </c>
      <c r="E324" s="305">
        <f>IF(D324="D",VLOOKUP(B324,'Im 1A'!$A$2:$C$1200,2,FALSE),0)</f>
        <v>0</v>
      </c>
      <c r="F324" s="305">
        <f>IF(D324="V",VLOOKUP(B324,Vtas1A!$A$2:$B$695,2,FALSE),0)</f>
        <v>5000000</v>
      </c>
      <c r="N324" s="304" t="s">
        <v>2907</v>
      </c>
      <c r="O324" s="505">
        <f>VLOOKUP(N324,'Im 2'!$A$2:$C$2278,3,FALSE)</f>
        <v>0</v>
      </c>
      <c r="P324" s="304" t="str">
        <f>VLOOKUP(N324,'Im 2'!$A$2:$D$3546,4,FALSE)</f>
        <v>V</v>
      </c>
      <c r="Q324" s="305">
        <f>IF(P324="D",VLOOKUP(N324,'Im 2'!$A$2:$C$2278,2,FALSE),0)</f>
        <v>0</v>
      </c>
      <c r="R324" s="305">
        <f>IF(P324="V",VLOOKUP(N324,Vtas2!$A$2:$B$2425,2,FALSE),0)</f>
        <v>6000000</v>
      </c>
      <c r="T324" s="304" t="s">
        <v>2279</v>
      </c>
      <c r="U324" s="505">
        <f>VLOOKUP(T324,'Im 3A'!$A$2:$C$2278,3,FALSE)</f>
        <v>0</v>
      </c>
      <c r="V324" s="304" t="str">
        <f>VLOOKUP(T324,'Im 3A'!$A$2:$D$3546,4,FALSE)</f>
        <v>V</v>
      </c>
      <c r="W324" s="305">
        <f>IF(V324="D",VLOOKUP(T324,'Im 3A'!$A$2:$C$2278,2,FALSE),0)</f>
        <v>0</v>
      </c>
      <c r="X324" s="305">
        <f>IF(V324="V",VLOOKUP(T324,Vtas3A!$A$2:$B$2425,2,FALSE),0)</f>
        <v>12000000</v>
      </c>
    </row>
    <row r="325" spans="2:24" x14ac:dyDescent="0.2">
      <c r="B325" s="304" t="s">
        <v>3445</v>
      </c>
      <c r="C325" s="304">
        <f>VLOOKUP(B325,'Im 1A'!$A$2:$C$963,3,FALSE)</f>
        <v>0</v>
      </c>
      <c r="D325" s="304" t="str">
        <f>VLOOKUP(B325,'Im 1A'!$A$2:$D$963,4,FALSE)</f>
        <v>V</v>
      </c>
      <c r="E325" s="305">
        <f>IF(D325="D",VLOOKUP(B325,'Im 1A'!$A$2:$C$1200,2,FALSE),0)</f>
        <v>0</v>
      </c>
      <c r="F325" s="305">
        <f>IF(D325="V",VLOOKUP(B325,Vtas1A!$A$2:$B$695,2,FALSE),0)</f>
        <v>5000000</v>
      </c>
      <c r="N325" s="304" t="s">
        <v>3186</v>
      </c>
      <c r="O325" s="505">
        <f>VLOOKUP(N325,'Im 2'!$A$2:$C$2278,3,FALSE)</f>
        <v>0</v>
      </c>
      <c r="P325" s="304" t="str">
        <f>VLOOKUP(N325,'Im 2'!$A$2:$D$3546,4,FALSE)</f>
        <v>V</v>
      </c>
      <c r="Q325" s="305">
        <f>IF(P325="D",VLOOKUP(N325,'Im 2'!$A$2:$C$2278,2,FALSE),0)</f>
        <v>0</v>
      </c>
      <c r="R325" s="305">
        <f>IF(P325="V",VLOOKUP(N325,Vtas2!$A$2:$B$2425,2,FALSE),0)</f>
        <v>6000000</v>
      </c>
      <c r="T325" s="313" t="s">
        <v>1059</v>
      </c>
      <c r="U325" s="313">
        <f>++COUNTA(U167:U324)</f>
        <v>158</v>
      </c>
      <c r="V325" s="313"/>
      <c r="W325" s="315">
        <f>SUM(W167:W324)</f>
        <v>352000000</v>
      </c>
      <c r="X325" s="315">
        <f>SUM(X167:X324)</f>
        <v>3419000000</v>
      </c>
    </row>
    <row r="326" spans="2:24" x14ac:dyDescent="0.2">
      <c r="B326" s="304" t="s">
        <v>2298</v>
      </c>
      <c r="C326" s="304">
        <f>VLOOKUP(B326,'Im 1A'!$A$2:$C$963,3,FALSE)</f>
        <v>0</v>
      </c>
      <c r="D326" s="304" t="str">
        <f>VLOOKUP(B326,'Im 1A'!$A$2:$D$963,4,FALSE)</f>
        <v>V</v>
      </c>
      <c r="E326" s="305">
        <f>IF(D326="D",VLOOKUP(B326,'Im 1A'!$A$2:$C$1200,2,FALSE),0)</f>
        <v>0</v>
      </c>
      <c r="F326" s="305">
        <f>IF(D326="V",VLOOKUP(B326,Vtas1A!$A$2:$B$695,2,FALSE),0)</f>
        <v>5000000</v>
      </c>
      <c r="N326" s="304" t="s">
        <v>3080</v>
      </c>
      <c r="O326" s="505">
        <f>VLOOKUP(N326,'Im 2'!$A$2:$C$2278,3,FALSE)</f>
        <v>0</v>
      </c>
      <c r="P326" s="304" t="str">
        <f>VLOOKUP(N326,'Im 2'!$A$2:$D$3546,4,FALSE)</f>
        <v>V</v>
      </c>
      <c r="Q326" s="305">
        <f>IF(P326="D",VLOOKUP(N326,'Im 2'!$A$2:$C$2278,2,FALSE),0)</f>
        <v>0</v>
      </c>
      <c r="R326" s="305">
        <f>IF(P326="V",VLOOKUP(N326,Vtas2!$A$2:$B$2425,2,FALSE),0)</f>
        <v>6000000</v>
      </c>
    </row>
    <row r="327" spans="2:24" x14ac:dyDescent="0.2">
      <c r="B327" s="304" t="s">
        <v>2552</v>
      </c>
      <c r="C327" s="304">
        <f>VLOOKUP(B327,'Im 1A'!$A$2:$C$963,3,FALSE)</f>
        <v>0</v>
      </c>
      <c r="D327" s="304" t="str">
        <f>VLOOKUP(B327,'Im 1A'!$A$2:$D$963,4,FALSE)</f>
        <v>V</v>
      </c>
      <c r="E327" s="305">
        <f>IF(D327="D",VLOOKUP(B327,'Im 1A'!$A$2:$C$1200,2,FALSE),0)</f>
        <v>0</v>
      </c>
      <c r="F327" s="305">
        <f>IF(D327="V",VLOOKUP(B327,Vtas1A!$A$2:$B$695,2,FALSE),0)</f>
        <v>5000000</v>
      </c>
      <c r="N327" s="304" t="s">
        <v>3187</v>
      </c>
      <c r="O327" s="505">
        <f>VLOOKUP(N327,'Im 2'!$A$2:$C$2278,3,FALSE)</f>
        <v>0</v>
      </c>
      <c r="P327" s="304" t="str">
        <f>VLOOKUP(N327,'Im 2'!$A$2:$D$3546,4,FALSE)</f>
        <v>V</v>
      </c>
      <c r="Q327" s="305">
        <f>IF(P327="D",VLOOKUP(N327,'Im 2'!$A$2:$C$2278,2,FALSE),0)</f>
        <v>0</v>
      </c>
      <c r="R327" s="305">
        <f>IF(P327="V",VLOOKUP(N327,Vtas2!$A$2:$B$2425,2,FALSE),0)</f>
        <v>6000000</v>
      </c>
      <c r="T327" s="833" t="s">
        <v>2668</v>
      </c>
      <c r="U327" s="834"/>
      <c r="V327" s="834"/>
      <c r="W327" s="834"/>
      <c r="X327" s="835"/>
    </row>
    <row r="328" spans="2:24" x14ac:dyDescent="0.2">
      <c r="B328" s="304" t="s">
        <v>1481</v>
      </c>
      <c r="C328" s="304">
        <f>VLOOKUP(B328,'Im 1A'!$A$2:$C$963,3,FALSE)</f>
        <v>0</v>
      </c>
      <c r="D328" s="304" t="str">
        <f>VLOOKUP(B328,'Im 1A'!$A$2:$D$963,4,FALSE)</f>
        <v>V</v>
      </c>
      <c r="E328" s="305">
        <f>IF(D328="D",VLOOKUP(B328,'Im 1A'!$A$2:$C$1200,2,FALSE),0)</f>
        <v>0</v>
      </c>
      <c r="F328" s="305">
        <f>IF(D328="V",VLOOKUP(B328,Vtas1A!$A$2:$B$695,2,FALSE),0)</f>
        <v>5000000</v>
      </c>
      <c r="N328" s="304" t="s">
        <v>3244</v>
      </c>
      <c r="O328" s="505">
        <f>VLOOKUP(N328,'Im 2'!$A$2:$C$2278,3,FALSE)</f>
        <v>0</v>
      </c>
      <c r="P328" s="304" t="str">
        <f>VLOOKUP(N328,'Im 2'!$A$2:$D$3546,4,FALSE)</f>
        <v>V</v>
      </c>
      <c r="Q328" s="305">
        <f>IF(P328="D",VLOOKUP(N328,'Im 2'!$A$2:$C$2278,2,FALSE),0)</f>
        <v>0</v>
      </c>
      <c r="R328" s="305">
        <f>IF(P328="V",VLOOKUP(N328,Vtas2!$A$2:$B$2425,2,FALSE),0)</f>
        <v>6000000</v>
      </c>
      <c r="T328" s="311" t="s">
        <v>46</v>
      </c>
      <c r="U328" s="311" t="s">
        <v>31</v>
      </c>
      <c r="V328" s="311" t="s">
        <v>47</v>
      </c>
      <c r="W328" s="311" t="s">
        <v>48</v>
      </c>
      <c r="X328" s="316" t="s">
        <v>55</v>
      </c>
    </row>
    <row r="329" spans="2:24" x14ac:dyDescent="0.2">
      <c r="B329" s="304" t="s">
        <v>1482</v>
      </c>
      <c r="C329" s="304">
        <f>VLOOKUP(B329,'Im 1A'!$A$2:$C$963,3,FALSE)</f>
        <v>0</v>
      </c>
      <c r="D329" s="304" t="str">
        <f>VLOOKUP(B329,'Im 1A'!$A$2:$D$963,4,FALSE)</f>
        <v>V</v>
      </c>
      <c r="E329" s="305">
        <f>IF(D329="D",VLOOKUP(B329,'Im 1A'!$A$2:$C$1200,2,FALSE),0)</f>
        <v>0</v>
      </c>
      <c r="F329" s="305">
        <f>IF(D329="V",VLOOKUP(B329,Vtas1A!$A$2:$B$695,2,FALSE),0)</f>
        <v>5000000</v>
      </c>
      <c r="N329" s="304" t="s">
        <v>4256</v>
      </c>
      <c r="O329" s="505">
        <f>VLOOKUP(N329,'Im 2'!$A$2:$C$2278,3,FALSE)</f>
        <v>0</v>
      </c>
      <c r="P329" s="304" t="str">
        <f>VLOOKUP(N329,'Im 2'!$A$2:$D$3546,4,FALSE)</f>
        <v>V</v>
      </c>
      <c r="Q329" s="305">
        <f>IF(P329="D",VLOOKUP(N329,'Im 2'!$A$2:$C$2278,2,FALSE),0)</f>
        <v>0</v>
      </c>
      <c r="R329" s="305">
        <f>IF(P329="V",VLOOKUP(N329,Vtas2!$A$2:$B$2425,2,FALSE),0)</f>
        <v>6000000</v>
      </c>
      <c r="T329" s="304" t="s">
        <v>3897</v>
      </c>
      <c r="U329" s="505">
        <f>VLOOKUP(T329,'Im 3A'!$A$2:$C$2278,3,FALSE)</f>
        <v>0</v>
      </c>
      <c r="V329" s="304" t="str">
        <f>VLOOKUP(T329,'Im 3A'!$A$2:$D$3546,4,FALSE)</f>
        <v>D</v>
      </c>
      <c r="W329" s="305">
        <f>IF(V329="D",VLOOKUP(T329,'Im 3A'!$A$2:$C$2278,2,FALSE),0)</f>
        <v>5000000</v>
      </c>
      <c r="X329" s="305">
        <f>IF(V329="V",VLOOKUP(T329,Vtas3A!$A$2:$B$2425,2,FALSE),0)</f>
        <v>0</v>
      </c>
    </row>
    <row r="330" spans="2:24" x14ac:dyDescent="0.2">
      <c r="B330" s="304" t="s">
        <v>2587</v>
      </c>
      <c r="C330" s="304">
        <f>VLOOKUP(B330,'Im 1A'!$A$2:$C$963,3,FALSE)</f>
        <v>0</v>
      </c>
      <c r="D330" s="304" t="str">
        <f>VLOOKUP(B330,'Im 1A'!$A$2:$D$963,4,FALSE)</f>
        <v>V</v>
      </c>
      <c r="E330" s="305">
        <f>IF(D330="D",VLOOKUP(B330,'Im 1A'!$A$2:$C$1200,2,FALSE),0)</f>
        <v>0</v>
      </c>
      <c r="F330" s="305">
        <f>IF(D330="V",VLOOKUP(B330,Vtas1A!$A$2:$B$695,2,FALSE),0)</f>
        <v>5000000</v>
      </c>
      <c r="N330" s="304" t="s">
        <v>2908</v>
      </c>
      <c r="O330" s="505">
        <f>VLOOKUP(N330,'Im 2'!$A$2:$C$2278,3,FALSE)</f>
        <v>0</v>
      </c>
      <c r="P330" s="304" t="str">
        <f>VLOOKUP(N330,'Im 2'!$A$2:$D$3546,4,FALSE)</f>
        <v>V</v>
      </c>
      <c r="Q330" s="305">
        <f>IF(P330="D",VLOOKUP(N330,'Im 2'!$A$2:$C$2278,2,FALSE),0)</f>
        <v>0</v>
      </c>
      <c r="R330" s="305">
        <f>IF(P330="V",VLOOKUP(N330,Vtas2!$A$2:$B$2425,2,FALSE),0)</f>
        <v>6000000</v>
      </c>
      <c r="T330" s="304" t="s">
        <v>1043</v>
      </c>
      <c r="U330" s="505">
        <f>VLOOKUP(T330,'Im 3A'!$A$2:$C$2278,3,FALSE)</f>
        <v>0</v>
      </c>
      <c r="V330" s="304" t="str">
        <f>VLOOKUP(T330,'Im 3A'!$A$2:$D$3546,4,FALSE)</f>
        <v>D</v>
      </c>
      <c r="W330" s="305">
        <f>IF(V330="D",VLOOKUP(T330,'Im 3A'!$A$2:$C$2278,2,FALSE),0)</f>
        <v>5000000</v>
      </c>
      <c r="X330" s="305">
        <f>IF(V330="V",VLOOKUP(T330,Vtas3A!$A$2:$B$2425,2,FALSE),0)</f>
        <v>0</v>
      </c>
    </row>
    <row r="331" spans="2:24" x14ac:dyDescent="0.2">
      <c r="B331" s="304" t="s">
        <v>1618</v>
      </c>
      <c r="C331" s="304">
        <f>VLOOKUP(B331,'Im 1A'!$A$2:$C$963,3,FALSE)</f>
        <v>0</v>
      </c>
      <c r="D331" s="304" t="str">
        <f>VLOOKUP(B331,'Im 1A'!$A$2:$D$963,4,FALSE)</f>
        <v>V</v>
      </c>
      <c r="E331" s="305">
        <f>IF(D331="D",VLOOKUP(B331,'Im 1A'!$A$2:$C$1200,2,FALSE),0)</f>
        <v>0</v>
      </c>
      <c r="F331" s="305">
        <f>IF(D331="V",VLOOKUP(B331,Vtas1A!$A$2:$B$695,2,FALSE),0)</f>
        <v>5000000</v>
      </c>
      <c r="N331" s="304" t="s">
        <v>3309</v>
      </c>
      <c r="O331" s="505">
        <f>VLOOKUP(N331,'Im 2'!$A$2:$C$2278,3,FALSE)</f>
        <v>0</v>
      </c>
      <c r="P331" s="304" t="str">
        <f>VLOOKUP(N331,'Im 2'!$A$2:$D$3546,4,FALSE)</f>
        <v>V</v>
      </c>
      <c r="Q331" s="305">
        <f>IF(P331="D",VLOOKUP(N331,'Im 2'!$A$2:$C$2278,2,FALSE),0)</f>
        <v>0</v>
      </c>
      <c r="R331" s="305">
        <f>IF(P331="V",VLOOKUP(N331,Vtas2!$A$2:$B$2425,2,FALSE),0)</f>
        <v>6000000</v>
      </c>
      <c r="T331" s="304" t="s">
        <v>1044</v>
      </c>
      <c r="U331" s="505">
        <f>VLOOKUP(T331,'Im 3A'!$A$2:$C$2278,3,FALSE)</f>
        <v>0</v>
      </c>
      <c r="V331" s="304" t="str">
        <f>VLOOKUP(T331,'Im 3A'!$A$2:$D$3546,4,FALSE)</f>
        <v>D</v>
      </c>
      <c r="W331" s="305">
        <f>IF(V331="D",VLOOKUP(T331,'Im 3A'!$A$2:$C$2278,2,FALSE),0)</f>
        <v>5000000</v>
      </c>
      <c r="X331" s="305">
        <f>IF(V331="V",VLOOKUP(T331,Vtas3A!$A$2:$B$2425,2,FALSE),0)</f>
        <v>0</v>
      </c>
    </row>
    <row r="332" spans="2:24" x14ac:dyDescent="0.2">
      <c r="B332" s="304" t="s">
        <v>1359</v>
      </c>
      <c r="C332" s="304">
        <f>VLOOKUP(B332,'Im 1A'!$A$2:$C$963,3,FALSE)</f>
        <v>0</v>
      </c>
      <c r="D332" s="304" t="str">
        <f>VLOOKUP(B332,'Im 1A'!$A$2:$D$963,4,FALSE)</f>
        <v>V</v>
      </c>
      <c r="E332" s="305">
        <f>IF(D332="D",VLOOKUP(B332,'Im 1A'!$A$2:$C$1200,2,FALSE),0)</f>
        <v>0</v>
      </c>
      <c r="F332" s="305">
        <f>IF(D332="V",VLOOKUP(B332,Vtas1A!$A$2:$B$695,2,FALSE),0)</f>
        <v>5000000</v>
      </c>
      <c r="N332" s="304" t="s">
        <v>3310</v>
      </c>
      <c r="O332" s="505">
        <f>VLOOKUP(N332,'Im 2'!$A$2:$C$2278,3,FALSE)</f>
        <v>0</v>
      </c>
      <c r="P332" s="304" t="str">
        <f>VLOOKUP(N332,'Im 2'!$A$2:$D$3546,4,FALSE)</f>
        <v>V</v>
      </c>
      <c r="Q332" s="305">
        <f>IF(P332="D",VLOOKUP(N332,'Im 2'!$A$2:$C$2278,2,FALSE),0)</f>
        <v>0</v>
      </c>
      <c r="R332" s="305">
        <f>IF(P332="V",VLOOKUP(N332,Vtas2!$A$2:$B$2425,2,FALSE),0)</f>
        <v>6000000</v>
      </c>
      <c r="T332" s="304" t="s">
        <v>908</v>
      </c>
      <c r="U332" s="505">
        <f>VLOOKUP(T332,'Im 3A'!$A$2:$C$2278,3,FALSE)</f>
        <v>0</v>
      </c>
      <c r="V332" s="304" t="str">
        <f>VLOOKUP(T332,'Im 3A'!$A$2:$D$3546,4,FALSE)</f>
        <v>D</v>
      </c>
      <c r="W332" s="305">
        <f>IF(V332="D",VLOOKUP(T332,'Im 3A'!$A$2:$C$2278,2,FALSE),0)</f>
        <v>5000000</v>
      </c>
      <c r="X332" s="305">
        <f>IF(V332="V",VLOOKUP(T332,Vtas3A!$A$2:$B$2425,2,FALSE),0)</f>
        <v>0</v>
      </c>
    </row>
    <row r="333" spans="2:24" x14ac:dyDescent="0.2">
      <c r="B333" s="304" t="s">
        <v>1447</v>
      </c>
      <c r="C333" s="304">
        <f>VLOOKUP(B333,'Im 1A'!$A$2:$C$963,3,FALSE)</f>
        <v>0</v>
      </c>
      <c r="D333" s="304" t="str">
        <f>VLOOKUP(B333,'Im 1A'!$A$2:$D$963,4,FALSE)</f>
        <v>V</v>
      </c>
      <c r="E333" s="305">
        <f>IF(D333="D",VLOOKUP(B333,'Im 1A'!$A$2:$C$1200,2,FALSE),0)</f>
        <v>0</v>
      </c>
      <c r="F333" s="305">
        <f>IF(D333="V",VLOOKUP(B333,Vtas1A!$A$2:$B$695,2,FALSE),0)</f>
        <v>5000000</v>
      </c>
      <c r="N333" s="304" t="s">
        <v>4257</v>
      </c>
      <c r="O333" s="505">
        <f>VLOOKUP(N333,'Im 2'!$A$2:$C$2278,3,FALSE)</f>
        <v>0</v>
      </c>
      <c r="P333" s="304" t="str">
        <f>VLOOKUP(N333,'Im 2'!$A$2:$D$3546,4,FALSE)</f>
        <v>V</v>
      </c>
      <c r="Q333" s="305">
        <f>IF(P333="D",VLOOKUP(N333,'Im 2'!$A$2:$C$2278,2,FALSE),0)</f>
        <v>0</v>
      </c>
      <c r="R333" s="305">
        <f>IF(P333="V",VLOOKUP(N333,Vtas2!$A$2:$B$2425,2,FALSE),0)</f>
        <v>6000000</v>
      </c>
      <c r="T333" s="304" t="s">
        <v>909</v>
      </c>
      <c r="U333" s="505">
        <f>VLOOKUP(T333,'Im 3A'!$A$2:$C$2278,3,FALSE)</f>
        <v>0</v>
      </c>
      <c r="V333" s="304" t="str">
        <f>VLOOKUP(T333,'Im 3A'!$A$2:$D$3546,4,FALSE)</f>
        <v>D</v>
      </c>
      <c r="W333" s="305">
        <f>IF(V333="D",VLOOKUP(T333,'Im 3A'!$A$2:$C$2278,2,FALSE),0)</f>
        <v>5000000</v>
      </c>
      <c r="X333" s="305">
        <f>IF(V333="V",VLOOKUP(T333,Vtas3A!$A$2:$B$2425,2,FALSE),0)</f>
        <v>0</v>
      </c>
    </row>
    <row r="334" spans="2:24" x14ac:dyDescent="0.2">
      <c r="B334" s="304" t="s">
        <v>2257</v>
      </c>
      <c r="C334" s="304">
        <f>VLOOKUP(B334,'Im 1A'!$A$2:$C$963,3,FALSE)</f>
        <v>0</v>
      </c>
      <c r="D334" s="304" t="str">
        <f>VLOOKUP(B334,'Im 1A'!$A$2:$D$963,4,FALSE)</f>
        <v>V</v>
      </c>
      <c r="E334" s="305">
        <f>IF(D334="D",VLOOKUP(B334,'Im 1A'!$A$2:$C$1200,2,FALSE),0)</f>
        <v>0</v>
      </c>
      <c r="F334" s="305">
        <f>IF(D334="V",VLOOKUP(B334,Vtas1A!$A$2:$B$695,2,FALSE),0)</f>
        <v>5000000</v>
      </c>
      <c r="N334" s="304" t="s">
        <v>3188</v>
      </c>
      <c r="O334" s="505">
        <f>VLOOKUP(N334,'Im 2'!$A$2:$C$2278,3,FALSE)</f>
        <v>0</v>
      </c>
      <c r="P334" s="304" t="str">
        <f>VLOOKUP(N334,'Im 2'!$A$2:$D$3546,4,FALSE)</f>
        <v>V</v>
      </c>
      <c r="Q334" s="305">
        <f>IF(P334="D",VLOOKUP(N334,'Im 2'!$A$2:$C$2278,2,FALSE),0)</f>
        <v>0</v>
      </c>
      <c r="R334" s="305">
        <f>IF(P334="V",VLOOKUP(N334,Vtas2!$A$2:$B$2425,2,FALSE),0)</f>
        <v>6000000</v>
      </c>
      <c r="T334" s="304" t="s">
        <v>910</v>
      </c>
      <c r="U334" s="505">
        <f>VLOOKUP(T334,'Im 3A'!$A$2:$C$2278,3,FALSE)</f>
        <v>0</v>
      </c>
      <c r="V334" s="304" t="str">
        <f>VLOOKUP(T334,'Im 3A'!$A$2:$D$3546,4,FALSE)</f>
        <v>D</v>
      </c>
      <c r="W334" s="305">
        <f>IF(V334="D",VLOOKUP(T334,'Im 3A'!$A$2:$C$2278,2,FALSE),0)</f>
        <v>5000000</v>
      </c>
      <c r="X334" s="305">
        <f>IF(V334="V",VLOOKUP(T334,Vtas3A!$A$2:$B$2425,2,FALSE),0)</f>
        <v>0</v>
      </c>
    </row>
    <row r="335" spans="2:24" x14ac:dyDescent="0.2">
      <c r="B335" s="304" t="s">
        <v>2258</v>
      </c>
      <c r="C335" s="304">
        <f>VLOOKUP(B335,'Im 1A'!$A$2:$C$963,3,FALSE)</f>
        <v>0</v>
      </c>
      <c r="D335" s="304" t="str">
        <f>VLOOKUP(B335,'Im 1A'!$A$2:$D$963,4,FALSE)</f>
        <v>V</v>
      </c>
      <c r="E335" s="305">
        <f>IF(D335="D",VLOOKUP(B335,'Im 1A'!$A$2:$C$1200,2,FALSE),0)</f>
        <v>0</v>
      </c>
      <c r="F335" s="305">
        <f>IF(D335="V",VLOOKUP(B335,Vtas1A!$A$2:$B$695,2,FALSE),0)</f>
        <v>5000000</v>
      </c>
      <c r="N335" s="304" t="s">
        <v>3081</v>
      </c>
      <c r="O335" s="505">
        <f>VLOOKUP(N335,'Im 2'!$A$2:$C$2278,3,FALSE)</f>
        <v>0</v>
      </c>
      <c r="P335" s="304" t="str">
        <f>VLOOKUP(N335,'Im 2'!$A$2:$D$3546,4,FALSE)</f>
        <v>V</v>
      </c>
      <c r="Q335" s="305">
        <f>IF(P335="D",VLOOKUP(N335,'Im 2'!$A$2:$C$2278,2,FALSE),0)</f>
        <v>0</v>
      </c>
      <c r="R335" s="305">
        <f>IF(P335="V",VLOOKUP(N335,Vtas2!$A$2:$B$2425,2,FALSE),0)</f>
        <v>6000000</v>
      </c>
      <c r="T335" s="304" t="s">
        <v>911</v>
      </c>
      <c r="U335" s="505">
        <f>VLOOKUP(T335,'Im 3A'!$A$2:$C$2278,3,FALSE)</f>
        <v>0</v>
      </c>
      <c r="V335" s="304" t="str">
        <f>VLOOKUP(T335,'Im 3A'!$A$2:$D$3546,4,FALSE)</f>
        <v>D</v>
      </c>
      <c r="W335" s="305">
        <f>IF(V335="D",VLOOKUP(T335,'Im 3A'!$A$2:$C$2278,2,FALSE),0)</f>
        <v>5000000</v>
      </c>
      <c r="X335" s="305">
        <f>IF(V335="V",VLOOKUP(T335,Vtas3A!$A$2:$B$2425,2,FALSE),0)</f>
        <v>0</v>
      </c>
    </row>
    <row r="336" spans="2:24" x14ac:dyDescent="0.2">
      <c r="B336" s="304" t="s">
        <v>2588</v>
      </c>
      <c r="C336" s="304">
        <f>VLOOKUP(B336,'Im 1A'!$A$2:$C$963,3,FALSE)</f>
        <v>0</v>
      </c>
      <c r="D336" s="304" t="str">
        <f>VLOOKUP(B336,'Im 1A'!$A$2:$D$963,4,FALSE)</f>
        <v>V</v>
      </c>
      <c r="E336" s="305">
        <f>IF(D336="D",VLOOKUP(B336,'Im 1A'!$A$2:$C$1200,2,FALSE),0)</f>
        <v>0</v>
      </c>
      <c r="F336" s="305">
        <f>IF(D336="V",VLOOKUP(B336,Vtas1A!$A$2:$B$695,2,FALSE),0)</f>
        <v>5000000</v>
      </c>
      <c r="N336" s="304" t="s">
        <v>3082</v>
      </c>
      <c r="O336" s="505">
        <f>VLOOKUP(N336,'Im 2'!$A$2:$C$2278,3,FALSE)</f>
        <v>0</v>
      </c>
      <c r="P336" s="304" t="str">
        <f>VLOOKUP(N336,'Im 2'!$A$2:$D$3546,4,FALSE)</f>
        <v>V</v>
      </c>
      <c r="Q336" s="305">
        <f>IF(P336="D",VLOOKUP(N336,'Im 2'!$A$2:$C$2278,2,FALSE),0)</f>
        <v>0</v>
      </c>
      <c r="R336" s="305">
        <f>IF(P336="V",VLOOKUP(N336,Vtas2!$A$2:$B$2425,2,FALSE),0)</f>
        <v>6000000</v>
      </c>
      <c r="T336" s="304" t="s">
        <v>912</v>
      </c>
      <c r="U336" s="505">
        <f>VLOOKUP(T336,'Im 3A'!$A$2:$C$2278,3,FALSE)</f>
        <v>0</v>
      </c>
      <c r="V336" s="304" t="str">
        <f>VLOOKUP(T336,'Im 3A'!$A$2:$D$3546,4,FALSE)</f>
        <v>D</v>
      </c>
      <c r="W336" s="305">
        <f>IF(V336="D",VLOOKUP(T336,'Im 3A'!$A$2:$C$2278,2,FALSE),0)</f>
        <v>5000000</v>
      </c>
      <c r="X336" s="305">
        <f>IF(V336="V",VLOOKUP(T336,Vtas3A!$A$2:$B$2425,2,FALSE),0)</f>
        <v>0</v>
      </c>
    </row>
    <row r="337" spans="2:24" x14ac:dyDescent="0.2">
      <c r="B337" s="304" t="s">
        <v>2259</v>
      </c>
      <c r="C337" s="304">
        <f>VLOOKUP(B337,'Im 1A'!$A$2:$C$963,3,FALSE)</f>
        <v>0</v>
      </c>
      <c r="D337" s="304" t="str">
        <f>VLOOKUP(B337,'Im 1A'!$A$2:$D$963,4,FALSE)</f>
        <v>V</v>
      </c>
      <c r="E337" s="305">
        <f>IF(D337="D",VLOOKUP(B337,'Im 1A'!$A$2:$C$1200,2,FALSE),0)</f>
        <v>0</v>
      </c>
      <c r="F337" s="305">
        <f>IF(D337="V",VLOOKUP(B337,Vtas1A!$A$2:$B$695,2,FALSE),0)</f>
        <v>5000000</v>
      </c>
      <c r="N337" s="304" t="s">
        <v>4258</v>
      </c>
      <c r="O337" s="505">
        <f>VLOOKUP(N337,'Im 2'!$A$2:$C$2278,3,FALSE)</f>
        <v>0</v>
      </c>
      <c r="P337" s="304" t="str">
        <f>VLOOKUP(N337,'Im 2'!$A$2:$D$3546,4,FALSE)</f>
        <v>V</v>
      </c>
      <c r="Q337" s="305">
        <f>IF(P337="D",VLOOKUP(N337,'Im 2'!$A$2:$C$2278,2,FALSE),0)</f>
        <v>0</v>
      </c>
      <c r="R337" s="305">
        <f>IF(P337="V",VLOOKUP(N337,Vtas2!$A$2:$B$2425,2,FALSE),0)</f>
        <v>6000000</v>
      </c>
      <c r="T337" s="304" t="s">
        <v>913</v>
      </c>
      <c r="U337" s="505">
        <f>VLOOKUP(T337,'Im 3A'!$A$2:$C$2278,3,FALSE)</f>
        <v>0</v>
      </c>
      <c r="V337" s="304" t="str">
        <f>VLOOKUP(T337,'Im 3A'!$A$2:$D$3546,4,FALSE)</f>
        <v>D</v>
      </c>
      <c r="W337" s="305">
        <f>IF(V337="D",VLOOKUP(T337,'Im 3A'!$A$2:$C$2278,2,FALSE),0)</f>
        <v>5000000</v>
      </c>
      <c r="X337" s="305">
        <f>IF(V337="V",VLOOKUP(T337,Vtas3A!$A$2:$B$2425,2,FALSE),0)</f>
        <v>0</v>
      </c>
    </row>
    <row r="338" spans="2:24" x14ac:dyDescent="0.2">
      <c r="B338" s="304" t="s">
        <v>1402</v>
      </c>
      <c r="C338" s="304">
        <f>VLOOKUP(B338,'Im 1A'!$A$2:$C$963,3,FALSE)</f>
        <v>0</v>
      </c>
      <c r="D338" s="304" t="str">
        <f>VLOOKUP(B338,'Im 1A'!$A$2:$D$963,4,FALSE)</f>
        <v>V</v>
      </c>
      <c r="E338" s="305">
        <f>IF(D338="D",VLOOKUP(B338,'Im 1A'!$A$2:$C$1200,2,FALSE),0)</f>
        <v>0</v>
      </c>
      <c r="F338" s="305">
        <f>IF(D338="V",VLOOKUP(B338,Vtas1A!$A$2:$B$695,2,FALSE),0)</f>
        <v>5000000</v>
      </c>
      <c r="N338" s="304" t="s">
        <v>4259</v>
      </c>
      <c r="O338" s="505">
        <f>VLOOKUP(N338,'Im 2'!$A$2:$C$2278,3,FALSE)</f>
        <v>0</v>
      </c>
      <c r="P338" s="304" t="str">
        <f>VLOOKUP(N338,'Im 2'!$A$2:$D$3546,4,FALSE)</f>
        <v>V</v>
      </c>
      <c r="Q338" s="305">
        <f>IF(P338="D",VLOOKUP(N338,'Im 2'!$A$2:$C$2278,2,FALSE),0)</f>
        <v>0</v>
      </c>
      <c r="R338" s="305">
        <f>IF(P338="V",VLOOKUP(N338,Vtas2!$A$2:$B$2425,2,FALSE),0)</f>
        <v>6000000</v>
      </c>
      <c r="T338" s="304" t="s">
        <v>1138</v>
      </c>
      <c r="U338" s="505">
        <f>VLOOKUP(T338,'Im 3A'!$A$2:$C$2278,3,FALSE)</f>
        <v>0</v>
      </c>
      <c r="V338" s="304" t="str">
        <f>VLOOKUP(T338,'Im 3A'!$A$2:$D$3546,4,FALSE)</f>
        <v>D</v>
      </c>
      <c r="W338" s="305">
        <f>IF(V338="D",VLOOKUP(T338,'Im 3A'!$A$2:$C$2278,2,FALSE),0)</f>
        <v>5000000</v>
      </c>
      <c r="X338" s="305">
        <f>IF(V338="V",VLOOKUP(T338,Vtas3A!$A$2:$B$2425,2,FALSE),0)</f>
        <v>0</v>
      </c>
    </row>
    <row r="339" spans="2:24" x14ac:dyDescent="0.2">
      <c r="B339" s="304" t="s">
        <v>3446</v>
      </c>
      <c r="C339" s="304">
        <f>VLOOKUP(B339,'Im 1A'!$A$2:$C$963,3,FALSE)</f>
        <v>0</v>
      </c>
      <c r="D339" s="304" t="str">
        <f>VLOOKUP(B339,'Im 1A'!$A$2:$D$963,4,FALSE)</f>
        <v>V</v>
      </c>
      <c r="E339" s="305">
        <f>IF(D339="D",VLOOKUP(B339,'Im 1A'!$A$2:$C$1200,2,FALSE),0)</f>
        <v>0</v>
      </c>
      <c r="F339" s="305">
        <f>IF(D339="V",VLOOKUP(B339,Vtas1A!$A$2:$B$695,2,FALSE),0)</f>
        <v>5000000</v>
      </c>
      <c r="N339" s="304" t="s">
        <v>3083</v>
      </c>
      <c r="O339" s="505">
        <f>VLOOKUP(N339,'Im 2'!$A$2:$C$2278,3,FALSE)</f>
        <v>0</v>
      </c>
      <c r="P339" s="304" t="str">
        <f>VLOOKUP(N339,'Im 2'!$A$2:$D$3546,4,FALSE)</f>
        <v>V</v>
      </c>
      <c r="Q339" s="305">
        <f>IF(P339="D",VLOOKUP(N339,'Im 2'!$A$2:$C$2278,2,FALSE),0)</f>
        <v>0</v>
      </c>
      <c r="R339" s="305">
        <f>IF(P339="V",VLOOKUP(N339,Vtas2!$A$2:$B$2425,2,FALSE),0)</f>
        <v>6000000</v>
      </c>
      <c r="T339" s="304" t="s">
        <v>1264</v>
      </c>
      <c r="U339" s="505">
        <f>VLOOKUP(T339,'Im 3A'!$A$2:$C$2278,3,FALSE)</f>
        <v>0</v>
      </c>
      <c r="V339" s="304" t="str">
        <f>VLOOKUP(T339,'Im 3A'!$A$2:$D$3546,4,FALSE)</f>
        <v>D</v>
      </c>
      <c r="W339" s="305">
        <f>IF(V339="D",VLOOKUP(T339,'Im 3A'!$A$2:$C$2278,2,FALSE),0)</f>
        <v>5000000</v>
      </c>
      <c r="X339" s="305">
        <f>IF(V339="V",VLOOKUP(T339,Vtas3A!$A$2:$B$2425,2,FALSE),0)</f>
        <v>0</v>
      </c>
    </row>
    <row r="340" spans="2:24" x14ac:dyDescent="0.2">
      <c r="B340" s="304" t="s">
        <v>1403</v>
      </c>
      <c r="C340" s="304">
        <f>VLOOKUP(B340,'Im 1A'!$A$2:$C$963,3,FALSE)</f>
        <v>0</v>
      </c>
      <c r="D340" s="304" t="str">
        <f>VLOOKUP(B340,'Im 1A'!$A$2:$D$963,4,FALSE)</f>
        <v>V</v>
      </c>
      <c r="E340" s="305">
        <f>IF(D340="D",VLOOKUP(B340,'Im 1A'!$A$2:$C$1200,2,FALSE),0)</f>
        <v>0</v>
      </c>
      <c r="F340" s="305">
        <f>IF(D340="V",VLOOKUP(B340,Vtas1A!$A$2:$B$695,2,FALSE),0)</f>
        <v>5000000</v>
      </c>
      <c r="N340" s="304" t="s">
        <v>3189</v>
      </c>
      <c r="O340" s="505">
        <f>VLOOKUP(N340,'Im 2'!$A$2:$C$2278,3,FALSE)</f>
        <v>0</v>
      </c>
      <c r="P340" s="304" t="str">
        <f>VLOOKUP(N340,'Im 2'!$A$2:$D$3546,4,FALSE)</f>
        <v>V</v>
      </c>
      <c r="Q340" s="305">
        <f>IF(P340="D",VLOOKUP(N340,'Im 2'!$A$2:$C$2278,2,FALSE),0)</f>
        <v>0</v>
      </c>
      <c r="R340" s="305">
        <f>IF(P340="V",VLOOKUP(N340,Vtas2!$A$2:$B$2425,2,FALSE),0)</f>
        <v>6000000</v>
      </c>
      <c r="T340" s="304" t="s">
        <v>1045</v>
      </c>
      <c r="U340" s="505">
        <f>VLOOKUP(T340,'Im 3A'!$A$2:$C$2278,3,FALSE)</f>
        <v>0</v>
      </c>
      <c r="V340" s="304" t="str">
        <f>VLOOKUP(T340,'Im 3A'!$A$2:$D$3546,4,FALSE)</f>
        <v>D</v>
      </c>
      <c r="W340" s="305">
        <f>IF(V340="D",VLOOKUP(T340,'Im 3A'!$A$2:$C$2278,2,FALSE),0)</f>
        <v>5000000</v>
      </c>
      <c r="X340" s="305">
        <f>IF(V340="V",VLOOKUP(T340,Vtas3A!$A$2:$B$2425,2,FALSE),0)</f>
        <v>0</v>
      </c>
    </row>
    <row r="341" spans="2:24" x14ac:dyDescent="0.2">
      <c r="B341" s="304" t="s">
        <v>2730</v>
      </c>
      <c r="C341" s="304">
        <f>VLOOKUP(B341,'Im 1A'!$A$2:$C$963,3,FALSE)</f>
        <v>0</v>
      </c>
      <c r="D341" s="304" t="str">
        <f>VLOOKUP(B341,'Im 1A'!$A$2:$D$963,4,FALSE)</f>
        <v>V</v>
      </c>
      <c r="E341" s="305">
        <f>IF(D341="D",VLOOKUP(B341,'Im 1A'!$A$2:$C$1200,2,FALSE),0)</f>
        <v>0</v>
      </c>
      <c r="F341" s="305">
        <f>IF(D341="V",VLOOKUP(B341,Vtas1A!$A$2:$B$695,2,FALSE),0)</f>
        <v>5000000</v>
      </c>
      <c r="N341" s="304" t="s">
        <v>3470</v>
      </c>
      <c r="O341" s="505">
        <f>VLOOKUP(N341,'Im 2'!$A$2:$C$2278,3,FALSE)</f>
        <v>0</v>
      </c>
      <c r="P341" s="304" t="str">
        <f>VLOOKUP(N341,'Im 2'!$A$2:$D$3546,4,FALSE)</f>
        <v>V</v>
      </c>
      <c r="Q341" s="305">
        <f>IF(P341="D",VLOOKUP(N341,'Im 2'!$A$2:$C$2278,2,FALSE),0)</f>
        <v>0</v>
      </c>
      <c r="R341" s="305">
        <f>IF(P341="V",VLOOKUP(N341,Vtas2!$A$2:$B$2425,2,FALSE),0)</f>
        <v>6000000</v>
      </c>
      <c r="T341" s="304" t="s">
        <v>1049</v>
      </c>
      <c r="U341" s="505">
        <f>VLOOKUP(T341,'Im 3A'!$A$2:$C$2278,3,FALSE)</f>
        <v>0</v>
      </c>
      <c r="V341" s="304" t="str">
        <f>VLOOKUP(T341,'Im 3A'!$A$2:$D$3546,4,FALSE)</f>
        <v>D</v>
      </c>
      <c r="W341" s="305">
        <f>IF(V341="D",VLOOKUP(T341,'Im 3A'!$A$2:$C$2278,2,FALSE),0)</f>
        <v>5000000</v>
      </c>
      <c r="X341" s="305">
        <f>IF(V341="V",VLOOKUP(T341,Vtas3A!$A$2:$B$2425,2,FALSE),0)</f>
        <v>0</v>
      </c>
    </row>
    <row r="342" spans="2:24" x14ac:dyDescent="0.2">
      <c r="B342" s="304" t="s">
        <v>1404</v>
      </c>
      <c r="C342" s="304">
        <f>VLOOKUP(B342,'Im 1A'!$A$2:$C$963,3,FALSE)</f>
        <v>0</v>
      </c>
      <c r="D342" s="304" t="str">
        <f>VLOOKUP(B342,'Im 1A'!$A$2:$D$963,4,FALSE)</f>
        <v>V</v>
      </c>
      <c r="E342" s="305">
        <f>IF(D342="D",VLOOKUP(B342,'Im 1A'!$A$2:$C$1200,2,FALSE),0)</f>
        <v>0</v>
      </c>
      <c r="F342" s="305">
        <f>IF(D342="V",VLOOKUP(B342,Vtas1A!$A$2:$B$695,2,FALSE),0)</f>
        <v>5000000</v>
      </c>
      <c r="N342" s="304" t="s">
        <v>3246</v>
      </c>
      <c r="O342" s="505">
        <f>VLOOKUP(N342,'Im 2'!$A$2:$C$2278,3,FALSE)</f>
        <v>0</v>
      </c>
      <c r="P342" s="304" t="str">
        <f>VLOOKUP(N342,'Im 2'!$A$2:$D$3546,4,FALSE)</f>
        <v>V</v>
      </c>
      <c r="Q342" s="305">
        <f>IF(P342="D",VLOOKUP(N342,'Im 2'!$A$2:$C$2278,2,FALSE),0)</f>
        <v>0</v>
      </c>
      <c r="R342" s="305">
        <f>IF(P342="V",VLOOKUP(N342,Vtas2!$A$2:$B$2425,2,FALSE),0)</f>
        <v>6000000</v>
      </c>
      <c r="T342" s="304" t="s">
        <v>1265</v>
      </c>
      <c r="U342" s="505">
        <f>VLOOKUP(T342,'Im 3A'!$A$2:$C$2278,3,FALSE)</f>
        <v>0</v>
      </c>
      <c r="V342" s="304" t="str">
        <f>VLOOKUP(T342,'Im 3A'!$A$2:$D$3546,4,FALSE)</f>
        <v>D</v>
      </c>
      <c r="W342" s="305">
        <f>IF(V342="D",VLOOKUP(T342,'Im 3A'!$A$2:$C$2278,2,FALSE),0)</f>
        <v>5000000</v>
      </c>
      <c r="X342" s="305">
        <f>IF(V342="V",VLOOKUP(T342,Vtas3A!$A$2:$B$2425,2,FALSE),0)</f>
        <v>0</v>
      </c>
    </row>
    <row r="343" spans="2:24" x14ac:dyDescent="0.2">
      <c r="B343" s="304" t="s">
        <v>1483</v>
      </c>
      <c r="C343" s="304">
        <f>VLOOKUP(B343,'Im 1A'!$A$2:$C$963,3,FALSE)</f>
        <v>0</v>
      </c>
      <c r="D343" s="304" t="str">
        <f>VLOOKUP(B343,'Im 1A'!$A$2:$D$963,4,FALSE)</f>
        <v>V</v>
      </c>
      <c r="E343" s="305">
        <f>IF(D343="D",VLOOKUP(B343,'Im 1A'!$A$2:$C$1200,2,FALSE),0)</f>
        <v>0</v>
      </c>
      <c r="F343" s="305">
        <f>IF(D343="V",VLOOKUP(B343,Vtas1A!$A$2:$B$695,2,FALSE),0)</f>
        <v>5000000</v>
      </c>
      <c r="N343" s="304" t="s">
        <v>2909</v>
      </c>
      <c r="O343" s="505">
        <f>VLOOKUP(N343,'Im 2'!$A$2:$C$2278,3,FALSE)</f>
        <v>0</v>
      </c>
      <c r="P343" s="304" t="str">
        <f>VLOOKUP(N343,'Im 2'!$A$2:$D$3546,4,FALSE)</f>
        <v>V</v>
      </c>
      <c r="Q343" s="305">
        <f>IF(P343="D",VLOOKUP(N343,'Im 2'!$A$2:$C$2278,2,FALSE),0)</f>
        <v>0</v>
      </c>
      <c r="R343" s="305">
        <f>IF(P343="V",VLOOKUP(N343,Vtas2!$A$2:$B$2425,2,FALSE),0)</f>
        <v>6000000</v>
      </c>
      <c r="T343" s="304" t="s">
        <v>1344</v>
      </c>
      <c r="U343" s="505">
        <f>VLOOKUP(T343,'Im 3A'!$A$2:$C$2278,3,FALSE)</f>
        <v>0</v>
      </c>
      <c r="V343" s="304" t="str">
        <f>VLOOKUP(T343,'Im 3A'!$A$2:$D$3546,4,FALSE)</f>
        <v>D</v>
      </c>
      <c r="W343" s="305">
        <f>IF(V343="D",VLOOKUP(T343,'Im 3A'!$A$2:$C$2278,2,FALSE),0)</f>
        <v>5000000</v>
      </c>
      <c r="X343" s="305">
        <f>IF(V343="V",VLOOKUP(T343,Vtas3A!$A$2:$B$2425,2,FALSE),0)</f>
        <v>0</v>
      </c>
    </row>
    <row r="344" spans="2:24" x14ac:dyDescent="0.2">
      <c r="B344" s="304" t="s">
        <v>1336</v>
      </c>
      <c r="C344" s="304">
        <f>VLOOKUP(B344,'Im 1A'!$A$2:$C$963,3,FALSE)</f>
        <v>0</v>
      </c>
      <c r="D344" s="304" t="str">
        <f>VLOOKUP(B344,'Im 1A'!$A$2:$D$963,4,FALSE)</f>
        <v>V</v>
      </c>
      <c r="E344" s="305">
        <f>IF(D344="D",VLOOKUP(B344,'Im 1A'!$A$2:$C$1200,2,FALSE),0)</f>
        <v>0</v>
      </c>
      <c r="F344" s="305">
        <f>IF(D344="V",VLOOKUP(B344,Vtas1A!$A$2:$B$695,2,FALSE),0)</f>
        <v>5000000</v>
      </c>
      <c r="N344" s="304" t="s">
        <v>3084</v>
      </c>
      <c r="O344" s="505">
        <f>VLOOKUP(N344,'Im 2'!$A$2:$C$2278,3,FALSE)</f>
        <v>0</v>
      </c>
      <c r="P344" s="304" t="str">
        <f>VLOOKUP(N344,'Im 2'!$A$2:$D$3546,4,FALSE)</f>
        <v>V</v>
      </c>
      <c r="Q344" s="305">
        <f>IF(P344="D",VLOOKUP(N344,'Im 2'!$A$2:$C$2278,2,FALSE),0)</f>
        <v>0</v>
      </c>
      <c r="R344" s="305">
        <f>IF(P344="V",VLOOKUP(N344,Vtas2!$A$2:$B$2425,2,FALSE),0)</f>
        <v>6000000</v>
      </c>
      <c r="T344" s="304" t="s">
        <v>1729</v>
      </c>
      <c r="U344" s="505">
        <f>VLOOKUP(T344,'Im 3A'!$A$2:$C$2278,3,FALSE)</f>
        <v>0</v>
      </c>
      <c r="V344" s="304" t="str">
        <f>VLOOKUP(T344,'Im 3A'!$A$2:$D$3546,4,FALSE)</f>
        <v>D</v>
      </c>
      <c r="W344" s="305">
        <f>IF(V344="D",VLOOKUP(T344,'Im 3A'!$A$2:$C$2278,2,FALSE),0)</f>
        <v>5000000</v>
      </c>
      <c r="X344" s="305">
        <f>IF(V344="V",VLOOKUP(T344,Vtas3A!$A$2:$B$2425,2,FALSE),0)</f>
        <v>0</v>
      </c>
    </row>
    <row r="345" spans="2:24" x14ac:dyDescent="0.2">
      <c r="B345" s="304" t="s">
        <v>4295</v>
      </c>
      <c r="C345" s="304">
        <f>VLOOKUP(B345,'Im 1A'!$A$2:$C$963,3,FALSE)</f>
        <v>0</v>
      </c>
      <c r="D345" s="304" t="str">
        <f>VLOOKUP(B345,'Im 1A'!$A$2:$D$963,4,FALSE)</f>
        <v>V</v>
      </c>
      <c r="E345" s="305">
        <f>IF(D345="D",VLOOKUP(B345,'Im 1A'!$A$2:$C$1200,2,FALSE),0)</f>
        <v>0</v>
      </c>
      <c r="F345" s="305">
        <f>IF(D345="V",VLOOKUP(B345,Vtas1A!$A$2:$B$695,2,FALSE),0)</f>
        <v>5000000</v>
      </c>
      <c r="N345" s="304" t="s">
        <v>2910</v>
      </c>
      <c r="O345" s="505">
        <f>VLOOKUP(N345,'Im 2'!$A$2:$C$2278,3,FALSE)</f>
        <v>0</v>
      </c>
      <c r="P345" s="304" t="str">
        <f>VLOOKUP(N345,'Im 2'!$A$2:$D$3546,4,FALSE)</f>
        <v>V</v>
      </c>
      <c r="Q345" s="305">
        <f>IF(P345="D",VLOOKUP(N345,'Im 2'!$A$2:$C$2278,2,FALSE),0)</f>
        <v>0</v>
      </c>
      <c r="R345" s="305">
        <f>IF(P345="V",VLOOKUP(N345,Vtas2!$A$2:$B$2425,2,FALSE),0)</f>
        <v>6000000</v>
      </c>
      <c r="T345" s="304" t="s">
        <v>2282</v>
      </c>
      <c r="U345" s="505">
        <f>VLOOKUP(T345,'Im 3A'!$A$2:$C$2278,3,FALSE)</f>
        <v>0</v>
      </c>
      <c r="V345" s="304" t="str">
        <f>VLOOKUP(T345,'Im 3A'!$A$2:$D$3546,4,FALSE)</f>
        <v>V</v>
      </c>
      <c r="W345" s="305">
        <f>IF(V345="D",VLOOKUP(T345,'Im 3A'!$A$2:$C$2278,2,FALSE),0)</f>
        <v>0</v>
      </c>
      <c r="X345" s="305">
        <f>IF(V345="V",VLOOKUP(T345,Vtas3A!$A$2:$B$2425,2,FALSE),0)</f>
        <v>5000000</v>
      </c>
    </row>
    <row r="346" spans="2:24" x14ac:dyDescent="0.2">
      <c r="B346" s="304" t="s">
        <v>1337</v>
      </c>
      <c r="C346" s="304">
        <f>VLOOKUP(B346,'Im 1A'!$A$2:$C$963,3,FALSE)</f>
        <v>0</v>
      </c>
      <c r="D346" s="304" t="str">
        <f>VLOOKUP(B346,'Im 1A'!$A$2:$D$963,4,FALSE)</f>
        <v>V</v>
      </c>
      <c r="E346" s="305">
        <f>IF(D346="D",VLOOKUP(B346,'Im 1A'!$A$2:$C$1200,2,FALSE),0)</f>
        <v>0</v>
      </c>
      <c r="F346" s="305">
        <f>IF(D346="V",VLOOKUP(B346,Vtas1A!$A$2:$B$695,2,FALSE),0)</f>
        <v>5000000</v>
      </c>
      <c r="N346" s="304" t="s">
        <v>3394</v>
      </c>
      <c r="O346" s="505">
        <f>VLOOKUP(N346,'Im 2'!$A$2:$C$2278,3,FALSE)</f>
        <v>0</v>
      </c>
      <c r="P346" s="304" t="str">
        <f>VLOOKUP(N346,'Im 2'!$A$2:$D$3546,4,FALSE)</f>
        <v>V</v>
      </c>
      <c r="Q346" s="305">
        <f>IF(P346="D",VLOOKUP(N346,'Im 2'!$A$2:$C$2278,2,FALSE),0)</f>
        <v>0</v>
      </c>
      <c r="R346" s="305">
        <f>IF(P346="V",VLOOKUP(N346,Vtas2!$A$2:$B$2425,2,FALSE),0)</f>
        <v>6000000</v>
      </c>
      <c r="T346" s="304" t="s">
        <v>4416</v>
      </c>
      <c r="U346" s="505">
        <f>VLOOKUP(T346,'Im 3A'!$A$2:$C$2278,3,FALSE)</f>
        <v>0</v>
      </c>
      <c r="V346" s="304" t="str">
        <f>VLOOKUP(T346,'Im 3A'!$A$2:$D$3546,4,FALSE)</f>
        <v>V</v>
      </c>
      <c r="W346" s="305">
        <f>IF(V346="D",VLOOKUP(T346,'Im 3A'!$A$2:$C$2278,2,FALSE),0)</f>
        <v>0</v>
      </c>
      <c r="X346" s="305">
        <f>IF(V346="V",VLOOKUP(T346,Vtas3A!$A$2:$B$2425,2,FALSE),0)</f>
        <v>5000000</v>
      </c>
    </row>
    <row r="347" spans="2:24" x14ac:dyDescent="0.2">
      <c r="B347" s="304" t="s">
        <v>3287</v>
      </c>
      <c r="C347" s="304">
        <f>VLOOKUP(B347,'Im 1A'!$A$2:$C$963,3,FALSE)</f>
        <v>0</v>
      </c>
      <c r="D347" s="304" t="str">
        <f>VLOOKUP(B347,'Im 1A'!$A$2:$D$963,4,FALSE)</f>
        <v>V</v>
      </c>
      <c r="E347" s="305">
        <f>IF(D347="D",VLOOKUP(B347,'Im 1A'!$A$2:$C$1200,2,FALSE),0)</f>
        <v>0</v>
      </c>
      <c r="F347" s="305">
        <f>IF(D347="V",VLOOKUP(B347,Vtas1A!$A$2:$B$695,2,FALSE),0)</f>
        <v>5000000</v>
      </c>
      <c r="N347" s="304" t="s">
        <v>3247</v>
      </c>
      <c r="O347" s="505">
        <f>VLOOKUP(N347,'Im 2'!$A$2:$C$2278,3,FALSE)</f>
        <v>0</v>
      </c>
      <c r="P347" s="304" t="str">
        <f>VLOOKUP(N347,'Im 2'!$A$2:$D$3546,4,FALSE)</f>
        <v>V</v>
      </c>
      <c r="Q347" s="305">
        <f>IF(P347="D",VLOOKUP(N347,'Im 2'!$A$2:$C$2278,2,FALSE),0)</f>
        <v>0</v>
      </c>
      <c r="R347" s="305">
        <f>IF(P347="V",VLOOKUP(N347,Vtas2!$A$2:$B$2425,2,FALSE),0)</f>
        <v>6000000</v>
      </c>
      <c r="T347" s="304" t="s">
        <v>2594</v>
      </c>
      <c r="U347" s="505">
        <f>VLOOKUP(T347,'Im 3A'!$A$2:$C$2278,3,FALSE)</f>
        <v>0</v>
      </c>
      <c r="V347" s="304" t="str">
        <f>VLOOKUP(T347,'Im 3A'!$A$2:$D$3546,4,FALSE)</f>
        <v>V</v>
      </c>
      <c r="W347" s="305">
        <f>IF(V347="D",VLOOKUP(T347,'Im 3A'!$A$2:$C$2278,2,FALSE),0)</f>
        <v>0</v>
      </c>
      <c r="X347" s="305">
        <f>IF(V347="V",VLOOKUP(T347,Vtas3A!$A$2:$B$2425,2,FALSE),0)</f>
        <v>5000000</v>
      </c>
    </row>
    <row r="348" spans="2:24" x14ac:dyDescent="0.2">
      <c r="B348" s="304" t="s">
        <v>2553</v>
      </c>
      <c r="C348" s="304">
        <f>VLOOKUP(B348,'Im 1A'!$A$2:$C$963,3,FALSE)</f>
        <v>0</v>
      </c>
      <c r="D348" s="304" t="str">
        <f>VLOOKUP(B348,'Im 1A'!$A$2:$D$963,4,FALSE)</f>
        <v>V</v>
      </c>
      <c r="E348" s="305">
        <f>IF(D348="D",VLOOKUP(B348,'Im 1A'!$A$2:$C$1200,2,FALSE),0)</f>
        <v>0</v>
      </c>
      <c r="F348" s="305">
        <f>IF(D348="V",VLOOKUP(B348,Vtas1A!$A$2:$B$695,2,FALSE),0)</f>
        <v>5000000</v>
      </c>
      <c r="N348" s="304" t="s">
        <v>3742</v>
      </c>
      <c r="O348" s="505">
        <f>VLOOKUP(N348,'Im 2'!$A$2:$C$2278,3,FALSE)</f>
        <v>0</v>
      </c>
      <c r="P348" s="304" t="str">
        <f>VLOOKUP(N348,'Im 2'!$A$2:$D$3546,4,FALSE)</f>
        <v>V</v>
      </c>
      <c r="Q348" s="305">
        <f>IF(P348="D",VLOOKUP(N348,'Im 2'!$A$2:$C$2278,2,FALSE),0)</f>
        <v>0</v>
      </c>
      <c r="R348" s="305">
        <f>IF(P348="V",VLOOKUP(N348,Vtas2!$A$2:$B$2425,2,FALSE),0)</f>
        <v>6000000</v>
      </c>
      <c r="T348" s="304" t="s">
        <v>2283</v>
      </c>
      <c r="U348" s="505">
        <f>VLOOKUP(T348,'Im 3A'!$A$2:$C$2278,3,FALSE)</f>
        <v>0</v>
      </c>
      <c r="V348" s="304" t="str">
        <f>VLOOKUP(T348,'Im 3A'!$A$2:$D$3546,4,FALSE)</f>
        <v>V</v>
      </c>
      <c r="W348" s="305">
        <f>IF(V348="D",VLOOKUP(T348,'Im 3A'!$A$2:$C$2278,2,FALSE),0)</f>
        <v>0</v>
      </c>
      <c r="X348" s="305">
        <f>IF(V348="V",VLOOKUP(T348,Vtas3A!$A$2:$B$2425,2,FALSE),0)</f>
        <v>5000000</v>
      </c>
    </row>
    <row r="349" spans="2:24" x14ac:dyDescent="0.2">
      <c r="B349" s="304" t="s">
        <v>2554</v>
      </c>
      <c r="C349" s="304">
        <f>VLOOKUP(B349,'Im 1A'!$A$2:$C$963,3,FALSE)</f>
        <v>0</v>
      </c>
      <c r="D349" s="304" t="str">
        <f>VLOOKUP(B349,'Im 1A'!$A$2:$D$963,4,FALSE)</f>
        <v>V</v>
      </c>
      <c r="E349" s="305">
        <f>IF(D349="D",VLOOKUP(B349,'Im 1A'!$A$2:$C$1200,2,FALSE),0)</f>
        <v>0</v>
      </c>
      <c r="F349" s="305">
        <f>IF(D349="V",VLOOKUP(B349,Vtas1A!$A$2:$B$695,2,FALSE),0)</f>
        <v>5000000</v>
      </c>
      <c r="N349" s="304" t="s">
        <v>2911</v>
      </c>
      <c r="O349" s="505">
        <f>VLOOKUP(N349,'Im 2'!$A$2:$C$2278,3,FALSE)</f>
        <v>0</v>
      </c>
      <c r="P349" s="304" t="str">
        <f>VLOOKUP(N349,'Im 2'!$A$2:$D$3546,4,FALSE)</f>
        <v>V</v>
      </c>
      <c r="Q349" s="305">
        <f>IF(P349="D",VLOOKUP(N349,'Im 2'!$A$2:$C$2278,2,FALSE),0)</f>
        <v>0</v>
      </c>
      <c r="R349" s="305">
        <f>IF(P349="V",VLOOKUP(N349,Vtas2!$A$2:$B$2425,2,FALSE),0)</f>
        <v>6000000</v>
      </c>
      <c r="T349" s="304" t="s">
        <v>3898</v>
      </c>
      <c r="U349" s="505">
        <f>VLOOKUP(T349,'Im 3A'!$A$2:$C$2278,3,FALSE)</f>
        <v>0</v>
      </c>
      <c r="V349" s="304" t="str">
        <f>VLOOKUP(T349,'Im 3A'!$A$2:$D$3546,4,FALSE)</f>
        <v>V</v>
      </c>
      <c r="W349" s="305">
        <f>IF(V349="D",VLOOKUP(T349,'Im 3A'!$A$2:$C$2278,2,FALSE),0)</f>
        <v>0</v>
      </c>
      <c r="X349" s="305">
        <f>IF(V349="V",VLOOKUP(T349,Vtas3A!$A$2:$B$2425,2,FALSE),0)</f>
        <v>5000000</v>
      </c>
    </row>
    <row r="350" spans="2:24" x14ac:dyDescent="0.2">
      <c r="B350" s="304" t="s">
        <v>3447</v>
      </c>
      <c r="C350" s="304">
        <f>VLOOKUP(B350,'Im 1A'!$A$2:$C$963,3,FALSE)</f>
        <v>0</v>
      </c>
      <c r="D350" s="304" t="str">
        <f>VLOOKUP(B350,'Im 1A'!$A$2:$D$963,4,FALSE)</f>
        <v>V</v>
      </c>
      <c r="E350" s="305">
        <f>IF(D350="D",VLOOKUP(B350,'Im 1A'!$A$2:$C$1200,2,FALSE),0)</f>
        <v>0</v>
      </c>
      <c r="F350" s="305">
        <f>IF(D350="V",VLOOKUP(B350,Vtas1A!$A$2:$B$695,2,FALSE),0)</f>
        <v>5000000</v>
      </c>
      <c r="N350" s="304" t="s">
        <v>3190</v>
      </c>
      <c r="O350" s="505">
        <f>VLOOKUP(N350,'Im 2'!$A$2:$C$2278,3,FALSE)</f>
        <v>0</v>
      </c>
      <c r="P350" s="304" t="str">
        <f>VLOOKUP(N350,'Im 2'!$A$2:$D$3546,4,FALSE)</f>
        <v>V</v>
      </c>
      <c r="Q350" s="305">
        <f>IF(P350="D",VLOOKUP(N350,'Im 2'!$A$2:$C$2278,2,FALSE),0)</f>
        <v>0</v>
      </c>
      <c r="R350" s="305">
        <f>IF(P350="V",VLOOKUP(N350,Vtas2!$A$2:$B$2425,2,FALSE),0)</f>
        <v>6000000</v>
      </c>
      <c r="T350" s="304" t="s">
        <v>4417</v>
      </c>
      <c r="U350" s="505">
        <f>VLOOKUP(T350,'Im 3A'!$A$2:$C$2278,3,FALSE)</f>
        <v>0</v>
      </c>
      <c r="V350" s="304" t="str">
        <f>VLOOKUP(T350,'Im 3A'!$A$2:$D$3546,4,FALSE)</f>
        <v>V</v>
      </c>
      <c r="W350" s="305">
        <f>IF(V350="D",VLOOKUP(T350,'Im 3A'!$A$2:$C$2278,2,FALSE),0)</f>
        <v>0</v>
      </c>
      <c r="X350" s="305">
        <f>IF(V350="V",VLOOKUP(T350,Vtas3A!$A$2:$B$2425,2,FALSE),0)</f>
        <v>5000000</v>
      </c>
    </row>
    <row r="351" spans="2:24" x14ac:dyDescent="0.2">
      <c r="B351" s="304" t="s">
        <v>914</v>
      </c>
      <c r="C351" s="304">
        <f>VLOOKUP(B351,'Im 1A'!$A$2:$C$963,3,FALSE)</f>
        <v>0</v>
      </c>
      <c r="D351" s="304" t="str">
        <f>VLOOKUP(B351,'Im 1A'!$A$2:$D$963,4,FALSE)</f>
        <v>V</v>
      </c>
      <c r="E351" s="305">
        <f>IF(D351="D",VLOOKUP(B351,'Im 1A'!$A$2:$C$1200,2,FALSE),0)</f>
        <v>0</v>
      </c>
      <c r="F351" s="305">
        <f>IF(D351="V",VLOOKUP(B351,Vtas1A!$A$2:$B$695,2,FALSE),0)</f>
        <v>5000000</v>
      </c>
      <c r="N351" s="304" t="s">
        <v>3191</v>
      </c>
      <c r="O351" s="505">
        <f>VLOOKUP(N351,'Im 2'!$A$2:$C$2278,3,FALSE)</f>
        <v>0</v>
      </c>
      <c r="P351" s="304" t="str">
        <f>VLOOKUP(N351,'Im 2'!$A$2:$D$3546,4,FALSE)</f>
        <v>V</v>
      </c>
      <c r="Q351" s="305">
        <f>IF(P351="D",VLOOKUP(N351,'Im 2'!$A$2:$C$2278,2,FALSE),0)</f>
        <v>0</v>
      </c>
      <c r="R351" s="305">
        <f>IF(P351="V",VLOOKUP(N351,Vtas2!$A$2:$B$2425,2,FALSE),0)</f>
        <v>6000000</v>
      </c>
      <c r="T351" s="304" t="s">
        <v>3252</v>
      </c>
      <c r="U351" s="505">
        <f>VLOOKUP(T351,'Im 3A'!$A$2:$C$2278,3,FALSE)</f>
        <v>0</v>
      </c>
      <c r="V351" s="304" t="str">
        <f>VLOOKUP(T351,'Im 3A'!$A$2:$D$3546,4,FALSE)</f>
        <v>V</v>
      </c>
      <c r="W351" s="305">
        <f>IF(V351="D",VLOOKUP(T351,'Im 3A'!$A$2:$C$2278,2,FALSE),0)</f>
        <v>0</v>
      </c>
      <c r="X351" s="305">
        <f>IF(V351="V",VLOOKUP(T351,Vtas3A!$A$2:$B$2425,2,FALSE),0)</f>
        <v>5000000</v>
      </c>
    </row>
    <row r="352" spans="2:24" x14ac:dyDescent="0.2">
      <c r="B352" s="304" t="s">
        <v>2627</v>
      </c>
      <c r="C352" s="304">
        <f>VLOOKUP(B352,'Im 1A'!$A$2:$C$963,3,FALSE)</f>
        <v>0</v>
      </c>
      <c r="D352" s="304" t="str">
        <f>VLOOKUP(B352,'Im 1A'!$A$2:$D$963,4,FALSE)</f>
        <v>V</v>
      </c>
      <c r="E352" s="305">
        <f>IF(D352="D",VLOOKUP(B352,'Im 1A'!$A$2:$C$1200,2,FALSE),0)</f>
        <v>0</v>
      </c>
      <c r="F352" s="305">
        <f>IF(D352="V",VLOOKUP(B352,Vtas1A!$A$2:$B$695,2,FALSE),0)</f>
        <v>5000000</v>
      </c>
      <c r="N352" s="304" t="s">
        <v>3395</v>
      </c>
      <c r="O352" s="505">
        <f>VLOOKUP(N352,'Im 2'!$A$2:$C$2278,3,FALSE)</f>
        <v>0</v>
      </c>
      <c r="P352" s="304" t="str">
        <f>VLOOKUP(N352,'Im 2'!$A$2:$D$3546,4,FALSE)</f>
        <v>V</v>
      </c>
      <c r="Q352" s="305">
        <f>IF(P352="D",VLOOKUP(N352,'Im 2'!$A$2:$C$2278,2,FALSE),0)</f>
        <v>0</v>
      </c>
      <c r="R352" s="305">
        <f>IF(P352="V",VLOOKUP(N352,Vtas2!$A$2:$B$2425,2,FALSE),0)</f>
        <v>6000000</v>
      </c>
      <c r="T352" s="304" t="s">
        <v>4339</v>
      </c>
      <c r="U352" s="505">
        <f>VLOOKUP(T352,'Im 3A'!$A$2:$C$2278,3,FALSE)</f>
        <v>0</v>
      </c>
      <c r="V352" s="304" t="str">
        <f>VLOOKUP(T352,'Im 3A'!$A$2:$D$3546,4,FALSE)</f>
        <v>V</v>
      </c>
      <c r="W352" s="305">
        <f>IF(V352="D",VLOOKUP(T352,'Im 3A'!$A$2:$C$2278,2,FALSE),0)</f>
        <v>0</v>
      </c>
      <c r="X352" s="305">
        <f>IF(V352="V",VLOOKUP(T352,Vtas3A!$A$2:$B$2425,2,FALSE),0)</f>
        <v>5000000</v>
      </c>
    </row>
    <row r="353" spans="2:24" x14ac:dyDescent="0.2">
      <c r="B353" s="304" t="s">
        <v>3448</v>
      </c>
      <c r="C353" s="304">
        <f>VLOOKUP(B353,'Im 1A'!$A$2:$C$963,3,FALSE)</f>
        <v>0</v>
      </c>
      <c r="D353" s="304" t="str">
        <f>VLOOKUP(B353,'Im 1A'!$A$2:$D$963,4,FALSE)</f>
        <v>V</v>
      </c>
      <c r="E353" s="305">
        <f>IF(D353="D",VLOOKUP(B353,'Im 1A'!$A$2:$C$1200,2,FALSE),0)</f>
        <v>0</v>
      </c>
      <c r="F353" s="305">
        <f>IF(D353="V",VLOOKUP(B353,Vtas1A!$A$2:$B$695,2,FALSE),0)</f>
        <v>5000000</v>
      </c>
      <c r="N353" s="304" t="s">
        <v>3311</v>
      </c>
      <c r="O353" s="505">
        <f>VLOOKUP(N353,'Im 2'!$A$2:$C$2278,3,FALSE)</f>
        <v>0</v>
      </c>
      <c r="P353" s="304" t="str">
        <f>VLOOKUP(N353,'Im 2'!$A$2:$D$3546,4,FALSE)</f>
        <v>V</v>
      </c>
      <c r="Q353" s="305">
        <f>IF(P353="D",VLOOKUP(N353,'Im 2'!$A$2:$C$2278,2,FALSE),0)</f>
        <v>0</v>
      </c>
      <c r="R353" s="305">
        <f>IF(P353="V",VLOOKUP(N353,Vtas2!$A$2:$B$2425,2,FALSE),0)</f>
        <v>6000000</v>
      </c>
      <c r="T353" s="304" t="s">
        <v>3404</v>
      </c>
      <c r="U353" s="505">
        <f>VLOOKUP(T353,'Im 3A'!$A$2:$C$2278,3,FALSE)</f>
        <v>0</v>
      </c>
      <c r="V353" s="304" t="str">
        <f>VLOOKUP(T353,'Im 3A'!$A$2:$D$3546,4,FALSE)</f>
        <v>V</v>
      </c>
      <c r="W353" s="305">
        <f>IF(V353="D",VLOOKUP(T353,'Im 3A'!$A$2:$C$2278,2,FALSE),0)</f>
        <v>0</v>
      </c>
      <c r="X353" s="305">
        <f>IF(V353="V",VLOOKUP(T353,Vtas3A!$A$2:$B$2425,2,FALSE),0)</f>
        <v>5000000</v>
      </c>
    </row>
    <row r="354" spans="2:24" x14ac:dyDescent="0.2">
      <c r="B354" s="304" t="s">
        <v>2628</v>
      </c>
      <c r="C354" s="304">
        <f>VLOOKUP(B354,'Im 1A'!$A$2:$C$963,3,FALSE)</f>
        <v>0</v>
      </c>
      <c r="D354" s="304" t="str">
        <f>VLOOKUP(B354,'Im 1A'!$A$2:$D$963,4,FALSE)</f>
        <v>V</v>
      </c>
      <c r="E354" s="305">
        <f>IF(D354="D",VLOOKUP(B354,'Im 1A'!$A$2:$C$1200,2,FALSE),0)</f>
        <v>0</v>
      </c>
      <c r="F354" s="305">
        <f>IF(D354="V",VLOOKUP(B354,Vtas1A!$A$2:$B$695,2,FALSE),0)</f>
        <v>5000000</v>
      </c>
      <c r="N354" s="304" t="s">
        <v>2912</v>
      </c>
      <c r="O354" s="505">
        <f>VLOOKUP(N354,'Im 2'!$A$2:$C$2278,3,FALSE)</f>
        <v>0</v>
      </c>
      <c r="P354" s="304" t="str">
        <f>VLOOKUP(N354,'Im 2'!$A$2:$D$3546,4,FALSE)</f>
        <v>V</v>
      </c>
      <c r="Q354" s="305">
        <f>IF(P354="D",VLOOKUP(N354,'Im 2'!$A$2:$C$2278,2,FALSE),0)</f>
        <v>0</v>
      </c>
      <c r="R354" s="305">
        <f>IF(P354="V",VLOOKUP(N354,Vtas2!$A$2:$B$2425,2,FALSE),0)</f>
        <v>6000000</v>
      </c>
      <c r="T354" s="304" t="s">
        <v>4340</v>
      </c>
      <c r="U354" s="505">
        <f>VLOOKUP(T354,'Im 3A'!$A$2:$C$2278,3,FALSE)</f>
        <v>0</v>
      </c>
      <c r="V354" s="304" t="str">
        <f>VLOOKUP(T354,'Im 3A'!$A$2:$D$3546,4,FALSE)</f>
        <v>V</v>
      </c>
      <c r="W354" s="305">
        <f>IF(V354="D",VLOOKUP(T354,'Im 3A'!$A$2:$C$2278,2,FALSE),0)</f>
        <v>0</v>
      </c>
      <c r="X354" s="305">
        <f>IF(V354="V",VLOOKUP(T354,Vtas3A!$A$2:$B$2425,2,FALSE),0)</f>
        <v>5000000</v>
      </c>
    </row>
    <row r="355" spans="2:24" x14ac:dyDescent="0.2">
      <c r="B355" s="304" t="s">
        <v>924</v>
      </c>
      <c r="C355" s="304">
        <f>VLOOKUP(B355,'Im 1A'!$A$2:$C$963,3,FALSE)</f>
        <v>0</v>
      </c>
      <c r="D355" s="304" t="str">
        <f>VLOOKUP(B355,'Im 1A'!$A$2:$D$963,4,FALSE)</f>
        <v>V</v>
      </c>
      <c r="E355" s="305">
        <f>IF(D355="D",VLOOKUP(B355,'Im 1A'!$A$2:$C$1200,2,FALSE),0)</f>
        <v>0</v>
      </c>
      <c r="F355" s="305">
        <f>IF(D355="V",VLOOKUP(B355,Vtas1A!$A$2:$B$695,2,FALSE),0)</f>
        <v>5000000</v>
      </c>
      <c r="N355" s="304" t="s">
        <v>3396</v>
      </c>
      <c r="O355" s="505">
        <f>VLOOKUP(N355,'Im 2'!$A$2:$C$2278,3,FALSE)</f>
        <v>0</v>
      </c>
      <c r="P355" s="304" t="str">
        <f>VLOOKUP(N355,'Im 2'!$A$2:$D$3546,4,FALSE)</f>
        <v>V</v>
      </c>
      <c r="Q355" s="305">
        <f>IF(P355="D",VLOOKUP(N355,'Im 2'!$A$2:$C$2278,2,FALSE),0)</f>
        <v>0</v>
      </c>
      <c r="R355" s="305">
        <f>IF(P355="V",VLOOKUP(N355,Vtas2!$A$2:$B$2425,2,FALSE),0)</f>
        <v>6000000</v>
      </c>
      <c r="T355" s="304" t="s">
        <v>3405</v>
      </c>
      <c r="U355" s="505">
        <f>VLOOKUP(T355,'Im 3A'!$A$2:$C$2278,3,FALSE)</f>
        <v>0</v>
      </c>
      <c r="V355" s="304" t="str">
        <f>VLOOKUP(T355,'Im 3A'!$A$2:$D$3546,4,FALSE)</f>
        <v>V</v>
      </c>
      <c r="W355" s="305">
        <f>IF(V355="D",VLOOKUP(T355,'Im 3A'!$A$2:$C$2278,2,FALSE),0)</f>
        <v>0</v>
      </c>
      <c r="X355" s="305">
        <f>IF(V355="V",VLOOKUP(T355,Vtas3A!$A$2:$B$2425,2,FALSE),0)</f>
        <v>5000000</v>
      </c>
    </row>
    <row r="356" spans="2:24" x14ac:dyDescent="0.2">
      <c r="B356" s="304" t="s">
        <v>3449</v>
      </c>
      <c r="C356" s="304">
        <f>VLOOKUP(B356,'Im 1A'!$A$2:$C$963,3,FALSE)</f>
        <v>0</v>
      </c>
      <c r="D356" s="304" t="str">
        <f>VLOOKUP(B356,'Im 1A'!$A$2:$D$963,4,FALSE)</f>
        <v>V</v>
      </c>
      <c r="E356" s="305">
        <f>IF(D356="D",VLOOKUP(B356,'Im 1A'!$A$2:$C$1200,2,FALSE),0)</f>
        <v>0</v>
      </c>
      <c r="F356" s="305">
        <f>IF(D356="V",VLOOKUP(B356,Vtas1A!$A$2:$B$695,2,FALSE),0)</f>
        <v>5000000</v>
      </c>
      <c r="N356" s="304" t="s">
        <v>3192</v>
      </c>
      <c r="O356" s="505">
        <f>VLOOKUP(N356,'Im 2'!$A$2:$C$2278,3,FALSE)</f>
        <v>0</v>
      </c>
      <c r="P356" s="304" t="str">
        <f>VLOOKUP(N356,'Im 2'!$A$2:$D$3546,4,FALSE)</f>
        <v>V</v>
      </c>
      <c r="Q356" s="305">
        <f>IF(P356="D",VLOOKUP(N356,'Im 2'!$A$2:$C$2278,2,FALSE),0)</f>
        <v>0</v>
      </c>
      <c r="R356" s="305">
        <f>IF(P356="V",VLOOKUP(N356,Vtas2!$A$2:$B$2425,2,FALSE),0)</f>
        <v>6000000</v>
      </c>
      <c r="T356" s="304" t="s">
        <v>4262</v>
      </c>
      <c r="U356" s="505">
        <f>VLOOKUP(T356,'Im 3A'!$A$2:$C$2278,3,FALSE)</f>
        <v>0</v>
      </c>
      <c r="V356" s="304" t="str">
        <f>VLOOKUP(T356,'Im 3A'!$A$2:$D$3546,4,FALSE)</f>
        <v>V</v>
      </c>
      <c r="W356" s="305">
        <f>IF(V356="D",VLOOKUP(T356,'Im 3A'!$A$2:$C$2278,2,FALSE),0)</f>
        <v>0</v>
      </c>
      <c r="X356" s="305">
        <f>IF(V356="V",VLOOKUP(T356,Vtas3A!$A$2:$B$2425,2,FALSE),0)</f>
        <v>5000000</v>
      </c>
    </row>
    <row r="357" spans="2:24" x14ac:dyDescent="0.2">
      <c r="B357" s="304" t="s">
        <v>2260</v>
      </c>
      <c r="C357" s="304">
        <f>VLOOKUP(B357,'Im 1A'!$A$2:$C$963,3,FALSE)</f>
        <v>0</v>
      </c>
      <c r="D357" s="304" t="str">
        <f>VLOOKUP(B357,'Im 1A'!$A$2:$D$963,4,FALSE)</f>
        <v>V</v>
      </c>
      <c r="E357" s="305">
        <f>IF(D357="D",VLOOKUP(B357,'Im 1A'!$A$2:$C$1200,2,FALSE),0)</f>
        <v>0</v>
      </c>
      <c r="F357" s="305">
        <f>IF(D357="V",VLOOKUP(B357,Vtas1A!$A$2:$B$695,2,FALSE),0)</f>
        <v>5000000</v>
      </c>
      <c r="N357" s="304" t="s">
        <v>3085</v>
      </c>
      <c r="O357" s="505">
        <f>VLOOKUP(N357,'Im 2'!$A$2:$C$2278,3,FALSE)</f>
        <v>0</v>
      </c>
      <c r="P357" s="304" t="str">
        <f>VLOOKUP(N357,'Im 2'!$A$2:$D$3546,4,FALSE)</f>
        <v>V</v>
      </c>
      <c r="Q357" s="305">
        <f>IF(P357="D",VLOOKUP(N357,'Im 2'!$A$2:$C$2278,2,FALSE),0)</f>
        <v>0</v>
      </c>
      <c r="R357" s="305">
        <f>IF(P357="V",VLOOKUP(N357,Vtas2!$A$2:$B$2425,2,FALSE),0)</f>
        <v>6000000</v>
      </c>
      <c r="T357" s="304" t="s">
        <v>3315</v>
      </c>
      <c r="U357" s="505">
        <f>VLOOKUP(T357,'Im 3A'!$A$2:$C$2278,3,FALSE)</f>
        <v>0</v>
      </c>
      <c r="V357" s="304" t="str">
        <f>VLOOKUP(T357,'Im 3A'!$A$2:$D$3546,4,FALSE)</f>
        <v>V</v>
      </c>
      <c r="W357" s="305">
        <f>IF(V357="D",VLOOKUP(T357,'Im 3A'!$A$2:$C$2278,2,FALSE),0)</f>
        <v>0</v>
      </c>
      <c r="X357" s="305">
        <f>IF(V357="V",VLOOKUP(T357,Vtas3A!$A$2:$B$2425,2,FALSE),0)</f>
        <v>5000000</v>
      </c>
    </row>
    <row r="358" spans="2:24" x14ac:dyDescent="0.2">
      <c r="B358" s="304" t="s">
        <v>2629</v>
      </c>
      <c r="C358" s="304">
        <f>VLOOKUP(B358,'Im 1A'!$A$2:$C$963,3,FALSE)</f>
        <v>0</v>
      </c>
      <c r="D358" s="304" t="str">
        <f>VLOOKUP(B358,'Im 1A'!$A$2:$D$963,4,FALSE)</f>
        <v>V</v>
      </c>
      <c r="E358" s="305">
        <f>IF(D358="D",VLOOKUP(B358,'Im 1A'!$A$2:$C$1200,2,FALSE),0)</f>
        <v>0</v>
      </c>
      <c r="F358" s="305">
        <f>IF(D358="V",VLOOKUP(B358,Vtas1A!$A$2:$B$695,2,FALSE),0)</f>
        <v>5000000</v>
      </c>
      <c r="N358" s="304" t="s">
        <v>3397</v>
      </c>
      <c r="O358" s="505">
        <f>VLOOKUP(N358,'Im 2'!$A$2:$C$2278,3,FALSE)</f>
        <v>0</v>
      </c>
      <c r="P358" s="304" t="str">
        <f>VLOOKUP(N358,'Im 2'!$A$2:$D$3546,4,FALSE)</f>
        <v>V</v>
      </c>
      <c r="Q358" s="305">
        <f>IF(P358="D",VLOOKUP(N358,'Im 2'!$A$2:$C$2278,2,FALSE),0)</f>
        <v>0</v>
      </c>
      <c r="R358" s="305">
        <f>IF(P358="V",VLOOKUP(N358,Vtas2!$A$2:$B$2425,2,FALSE),0)</f>
        <v>6000000</v>
      </c>
      <c r="T358" s="304" t="s">
        <v>4418</v>
      </c>
      <c r="U358" s="505">
        <f>VLOOKUP(T358,'Im 3A'!$A$2:$C$2278,3,FALSE)</f>
        <v>0</v>
      </c>
      <c r="V358" s="304" t="str">
        <f>VLOOKUP(T358,'Im 3A'!$A$2:$D$3546,4,FALSE)</f>
        <v>V</v>
      </c>
      <c r="W358" s="305">
        <f>IF(V358="D",VLOOKUP(T358,'Im 3A'!$A$2:$C$2278,2,FALSE),0)</f>
        <v>0</v>
      </c>
      <c r="X358" s="305">
        <f>IF(V358="V",VLOOKUP(T358,Vtas3A!$A$2:$B$2425,2,FALSE),0)</f>
        <v>5000000</v>
      </c>
    </row>
    <row r="359" spans="2:24" x14ac:dyDescent="0.2">
      <c r="B359" s="304" t="s">
        <v>2555</v>
      </c>
      <c r="C359" s="304">
        <f>VLOOKUP(B359,'Im 1A'!$A$2:$C$963,3,FALSE)</f>
        <v>0</v>
      </c>
      <c r="D359" s="304" t="str">
        <f>VLOOKUP(B359,'Im 1A'!$A$2:$D$963,4,FALSE)</f>
        <v>V</v>
      </c>
      <c r="E359" s="305">
        <f>IF(D359="D",VLOOKUP(B359,'Im 1A'!$A$2:$C$1200,2,FALSE),0)</f>
        <v>0</v>
      </c>
      <c r="F359" s="305">
        <f>IF(D359="V",VLOOKUP(B359,Vtas1A!$A$2:$B$695,2,FALSE),0)</f>
        <v>5000000</v>
      </c>
      <c r="N359" s="304" t="s">
        <v>3398</v>
      </c>
      <c r="O359" s="505">
        <f>VLOOKUP(N359,'Im 2'!$A$2:$C$2278,3,FALSE)</f>
        <v>0</v>
      </c>
      <c r="P359" s="304" t="str">
        <f>VLOOKUP(N359,'Im 2'!$A$2:$D$3546,4,FALSE)</f>
        <v>V</v>
      </c>
      <c r="Q359" s="305">
        <f>IF(P359="D",VLOOKUP(N359,'Im 2'!$A$2:$C$2278,2,FALSE),0)</f>
        <v>0</v>
      </c>
      <c r="R359" s="305">
        <f>IF(P359="V",VLOOKUP(N359,Vtas2!$A$2:$B$2425,2,FALSE),0)</f>
        <v>6000000</v>
      </c>
      <c r="T359" s="304" t="s">
        <v>4341</v>
      </c>
      <c r="U359" s="505">
        <f>VLOOKUP(T359,'Im 3A'!$A$2:$C$2278,3,FALSE)</f>
        <v>0</v>
      </c>
      <c r="V359" s="304" t="str">
        <f>VLOOKUP(T359,'Im 3A'!$A$2:$D$3546,4,FALSE)</f>
        <v>V</v>
      </c>
      <c r="W359" s="305">
        <f>IF(V359="D",VLOOKUP(T359,'Im 3A'!$A$2:$C$2278,2,FALSE),0)</f>
        <v>0</v>
      </c>
      <c r="X359" s="305">
        <f>IF(V359="V",VLOOKUP(T359,Vtas3A!$A$2:$B$2425,2,FALSE),0)</f>
        <v>5000000</v>
      </c>
    </row>
    <row r="360" spans="2:24" x14ac:dyDescent="0.2">
      <c r="B360" s="304" t="s">
        <v>2299</v>
      </c>
      <c r="C360" s="304">
        <f>VLOOKUP(B360,'Im 1A'!$A$2:$C$963,3,FALSE)</f>
        <v>0</v>
      </c>
      <c r="D360" s="304" t="str">
        <f>VLOOKUP(B360,'Im 1A'!$A$2:$D$963,4,FALSE)</f>
        <v>V</v>
      </c>
      <c r="E360" s="305">
        <f>IF(D360="D",VLOOKUP(B360,'Im 1A'!$A$2:$C$1200,2,FALSE),0)</f>
        <v>0</v>
      </c>
      <c r="F360" s="305">
        <f>IF(D360="V",VLOOKUP(B360,Vtas1A!$A$2:$B$695,2,FALSE),0)</f>
        <v>5000000</v>
      </c>
      <c r="N360" s="304" t="s">
        <v>3086</v>
      </c>
      <c r="O360" s="505">
        <f>VLOOKUP(N360,'Im 2'!$A$2:$C$2278,3,FALSE)</f>
        <v>0</v>
      </c>
      <c r="P360" s="304" t="str">
        <f>VLOOKUP(N360,'Im 2'!$A$2:$D$3546,4,FALSE)</f>
        <v>V</v>
      </c>
      <c r="Q360" s="305">
        <f>IF(P360="D",VLOOKUP(N360,'Im 2'!$A$2:$C$2278,2,FALSE),0)</f>
        <v>0</v>
      </c>
      <c r="R360" s="305">
        <f>IF(P360="V",VLOOKUP(N360,Vtas2!$A$2:$B$2425,2,FALSE),0)</f>
        <v>6000000</v>
      </c>
      <c r="T360" s="304" t="s">
        <v>4342</v>
      </c>
      <c r="U360" s="505">
        <f>VLOOKUP(T360,'Im 3A'!$A$2:$C$2278,3,FALSE)</f>
        <v>0</v>
      </c>
      <c r="V360" s="304" t="str">
        <f>VLOOKUP(T360,'Im 3A'!$A$2:$D$3546,4,FALSE)</f>
        <v>V</v>
      </c>
      <c r="W360" s="305">
        <f>IF(V360="D",VLOOKUP(T360,'Im 3A'!$A$2:$C$2278,2,FALSE),0)</f>
        <v>0</v>
      </c>
      <c r="X360" s="305">
        <f>IF(V360="V",VLOOKUP(T360,Vtas3A!$A$2:$B$2425,2,FALSE),0)</f>
        <v>5000000</v>
      </c>
    </row>
    <row r="361" spans="2:24" x14ac:dyDescent="0.2">
      <c r="B361" s="304" t="s">
        <v>915</v>
      </c>
      <c r="C361" s="304">
        <f>VLOOKUP(B361,'Im 1A'!$A$2:$C$963,3,FALSE)</f>
        <v>0</v>
      </c>
      <c r="D361" s="304" t="str">
        <f>VLOOKUP(B361,'Im 1A'!$A$2:$D$963,4,FALSE)</f>
        <v>V</v>
      </c>
      <c r="E361" s="305">
        <f>IF(D361="D",VLOOKUP(B361,'Im 1A'!$A$2:$C$1200,2,FALSE),0)</f>
        <v>0</v>
      </c>
      <c r="F361" s="305">
        <f>IF(D361="V",VLOOKUP(B361,Vtas1A!$A$2:$B$695,2,FALSE),0)</f>
        <v>5000000</v>
      </c>
      <c r="N361" s="304" t="s">
        <v>3193</v>
      </c>
      <c r="O361" s="505">
        <f>VLOOKUP(N361,'Im 2'!$A$2:$C$2278,3,FALSE)</f>
        <v>0</v>
      </c>
      <c r="P361" s="304" t="str">
        <f>VLOOKUP(N361,'Im 2'!$A$2:$D$3546,4,FALSE)</f>
        <v>V</v>
      </c>
      <c r="Q361" s="305">
        <f>IF(P361="D",VLOOKUP(N361,'Im 2'!$A$2:$C$2278,2,FALSE),0)</f>
        <v>0</v>
      </c>
      <c r="R361" s="305">
        <f>IF(P361="V",VLOOKUP(N361,Vtas2!$A$2:$B$2425,2,FALSE),0)</f>
        <v>6000000</v>
      </c>
      <c r="T361" s="304" t="s">
        <v>3406</v>
      </c>
      <c r="U361" s="505">
        <f>VLOOKUP(T361,'Im 3A'!$A$2:$C$2278,3,FALSE)</f>
        <v>0</v>
      </c>
      <c r="V361" s="304" t="str">
        <f>VLOOKUP(T361,'Im 3A'!$A$2:$D$3546,4,FALSE)</f>
        <v>V</v>
      </c>
      <c r="W361" s="305">
        <f>IF(V361="D",VLOOKUP(T361,'Im 3A'!$A$2:$C$2278,2,FALSE),0)</f>
        <v>0</v>
      </c>
      <c r="X361" s="305">
        <f>IF(V361="V",VLOOKUP(T361,Vtas3A!$A$2:$B$2425,2,FALSE),0)</f>
        <v>5000000</v>
      </c>
    </row>
    <row r="362" spans="2:24" x14ac:dyDescent="0.2">
      <c r="B362" s="304" t="s">
        <v>2300</v>
      </c>
      <c r="C362" s="304">
        <f>VLOOKUP(B362,'Im 1A'!$A$2:$C$963,3,FALSE)</f>
        <v>0</v>
      </c>
      <c r="D362" s="304" t="str">
        <f>VLOOKUP(B362,'Im 1A'!$A$2:$D$963,4,FALSE)</f>
        <v>V</v>
      </c>
      <c r="E362" s="305">
        <f>IF(D362="D",VLOOKUP(B362,'Im 1A'!$A$2:$C$1200,2,FALSE),0)</f>
        <v>0</v>
      </c>
      <c r="F362" s="305">
        <f>IF(D362="V",VLOOKUP(B362,Vtas1A!$A$2:$B$695,2,FALSE),0)</f>
        <v>5000000</v>
      </c>
      <c r="N362" s="304" t="s">
        <v>2913</v>
      </c>
      <c r="O362" s="505">
        <f>VLOOKUP(N362,'Im 2'!$A$2:$C$2278,3,FALSE)</f>
        <v>0</v>
      </c>
      <c r="P362" s="304" t="str">
        <f>VLOOKUP(N362,'Im 2'!$A$2:$D$3546,4,FALSE)</f>
        <v>V</v>
      </c>
      <c r="Q362" s="305">
        <f>IF(P362="D",VLOOKUP(N362,'Im 2'!$A$2:$C$2278,2,FALSE),0)</f>
        <v>0</v>
      </c>
      <c r="R362" s="305">
        <f>IF(P362="V",VLOOKUP(N362,Vtas2!$A$2:$B$2425,2,FALSE),0)</f>
        <v>6000000</v>
      </c>
      <c r="T362" s="304" t="s">
        <v>3407</v>
      </c>
      <c r="U362" s="505">
        <f>VLOOKUP(T362,'Im 3A'!$A$2:$C$2278,3,FALSE)</f>
        <v>0</v>
      </c>
      <c r="V362" s="304" t="str">
        <f>VLOOKUP(T362,'Im 3A'!$A$2:$D$3546,4,FALSE)</f>
        <v>V</v>
      </c>
      <c r="W362" s="305">
        <f>IF(V362="D",VLOOKUP(T362,'Im 3A'!$A$2:$C$2278,2,FALSE),0)</f>
        <v>0</v>
      </c>
      <c r="X362" s="305">
        <f>IF(V362="V",VLOOKUP(T362,Vtas3A!$A$2:$B$2425,2,FALSE),0)</f>
        <v>5000000</v>
      </c>
    </row>
    <row r="363" spans="2:24" x14ac:dyDescent="0.2">
      <c r="B363" s="304" t="s">
        <v>983</v>
      </c>
      <c r="C363" s="304">
        <f>VLOOKUP(B363,'Im 1A'!$A$2:$C$963,3,FALSE)</f>
        <v>0</v>
      </c>
      <c r="D363" s="304" t="str">
        <f>VLOOKUP(B363,'Im 1A'!$A$2:$D$963,4,FALSE)</f>
        <v>V</v>
      </c>
      <c r="E363" s="305">
        <f>IF(D363="D",VLOOKUP(B363,'Im 1A'!$A$2:$C$1200,2,FALSE),0)</f>
        <v>0</v>
      </c>
      <c r="F363" s="305">
        <f>IF(D363="V",VLOOKUP(B363,Vtas1A!$A$2:$B$695,2,FALSE),0)</f>
        <v>5000000</v>
      </c>
      <c r="N363" s="304" t="s">
        <v>2914</v>
      </c>
      <c r="O363" s="505">
        <f>VLOOKUP(N363,'Im 2'!$A$2:$C$2278,3,FALSE)</f>
        <v>0</v>
      </c>
      <c r="P363" s="304" t="str">
        <f>VLOOKUP(N363,'Im 2'!$A$2:$D$3546,4,FALSE)</f>
        <v>V</v>
      </c>
      <c r="Q363" s="305">
        <f>IF(P363="D",VLOOKUP(N363,'Im 2'!$A$2:$C$2278,2,FALSE),0)</f>
        <v>0</v>
      </c>
      <c r="R363" s="305">
        <f>IF(P363="V",VLOOKUP(N363,Vtas2!$A$2:$B$2425,2,FALSE),0)</f>
        <v>6000000</v>
      </c>
      <c r="T363" s="304" t="s">
        <v>3474</v>
      </c>
      <c r="U363" s="505">
        <f>VLOOKUP(T363,'Im 3A'!$A$2:$C$2278,3,FALSE)</f>
        <v>0</v>
      </c>
      <c r="V363" s="304" t="str">
        <f>VLOOKUP(T363,'Im 3A'!$A$2:$D$3546,4,FALSE)</f>
        <v>V</v>
      </c>
      <c r="W363" s="305">
        <f>IF(V363="D",VLOOKUP(T363,'Im 3A'!$A$2:$C$2278,2,FALSE),0)</f>
        <v>0</v>
      </c>
      <c r="X363" s="305">
        <f>IF(V363="V",VLOOKUP(T363,Vtas3A!$A$2:$B$2425,2,FALSE),0)</f>
        <v>5000000</v>
      </c>
    </row>
    <row r="364" spans="2:24" x14ac:dyDescent="0.2">
      <c r="B364" s="304" t="s">
        <v>3231</v>
      </c>
      <c r="C364" s="304">
        <f>VLOOKUP(B364,'Im 1A'!$A$2:$C$963,3,FALSE)</f>
        <v>0</v>
      </c>
      <c r="D364" s="304" t="str">
        <f>VLOOKUP(B364,'Im 1A'!$A$2:$D$963,4,FALSE)</f>
        <v>V</v>
      </c>
      <c r="E364" s="305">
        <f>IF(D364="D",VLOOKUP(B364,'Im 1A'!$A$2:$C$1200,2,FALSE),0)</f>
        <v>0</v>
      </c>
      <c r="F364" s="305">
        <f>IF(D364="V",VLOOKUP(B364,Vtas1A!$A$2:$B$695,2,FALSE),0)</f>
        <v>5000000</v>
      </c>
      <c r="N364" s="304" t="s">
        <v>3087</v>
      </c>
      <c r="O364" s="505">
        <f>VLOOKUP(N364,'Im 2'!$A$2:$C$2278,3,FALSE)</f>
        <v>0</v>
      </c>
      <c r="P364" s="304" t="str">
        <f>VLOOKUP(N364,'Im 2'!$A$2:$D$3546,4,FALSE)</f>
        <v>V</v>
      </c>
      <c r="Q364" s="305">
        <f>IF(P364="D",VLOOKUP(N364,'Im 2'!$A$2:$C$2278,2,FALSE),0)</f>
        <v>0</v>
      </c>
      <c r="R364" s="305">
        <f>IF(P364="V",VLOOKUP(N364,Vtas2!$A$2:$B$2425,2,FALSE),0)</f>
        <v>6000000</v>
      </c>
      <c r="T364" s="304" t="s">
        <v>3099</v>
      </c>
      <c r="U364" s="505">
        <f>VLOOKUP(T364,'Im 3A'!$A$2:$C$2278,3,FALSE)</f>
        <v>0</v>
      </c>
      <c r="V364" s="304" t="str">
        <f>VLOOKUP(T364,'Im 3A'!$A$2:$D$3546,4,FALSE)</f>
        <v>V</v>
      </c>
      <c r="W364" s="305">
        <f>IF(V364="D",VLOOKUP(T364,'Im 3A'!$A$2:$C$2278,2,FALSE),0)</f>
        <v>0</v>
      </c>
      <c r="X364" s="305">
        <f>IF(V364="V",VLOOKUP(T364,Vtas3A!$A$2:$B$2425,2,FALSE),0)</f>
        <v>5000000</v>
      </c>
    </row>
    <row r="365" spans="2:24" x14ac:dyDescent="0.2">
      <c r="B365" s="304" t="s">
        <v>2630</v>
      </c>
      <c r="C365" s="304">
        <f>VLOOKUP(B365,'Im 1A'!$A$2:$C$963,3,FALSE)</f>
        <v>0</v>
      </c>
      <c r="D365" s="304" t="str">
        <f>VLOOKUP(B365,'Im 1A'!$A$2:$D$963,4,FALSE)</f>
        <v>V</v>
      </c>
      <c r="E365" s="305">
        <f>IF(D365="D",VLOOKUP(B365,'Im 1A'!$A$2:$C$1200,2,FALSE),0)</f>
        <v>0</v>
      </c>
      <c r="F365" s="305">
        <f>IF(D365="V",VLOOKUP(B365,Vtas1A!$A$2:$B$695,2,FALSE),0)</f>
        <v>5000000</v>
      </c>
      <c r="N365" s="304" t="s">
        <v>3088</v>
      </c>
      <c r="O365" s="505">
        <f>VLOOKUP(N365,'Im 2'!$A$2:$C$2278,3,FALSE)</f>
        <v>0</v>
      </c>
      <c r="P365" s="304" t="str">
        <f>VLOOKUP(N365,'Im 2'!$A$2:$D$3546,4,FALSE)</f>
        <v>V</v>
      </c>
      <c r="Q365" s="305">
        <f>IF(P365="D",VLOOKUP(N365,'Im 2'!$A$2:$C$2278,2,FALSE),0)</f>
        <v>0</v>
      </c>
      <c r="R365" s="305">
        <f>IF(P365="V",VLOOKUP(N365,Vtas2!$A$2:$B$2425,2,FALSE),0)</f>
        <v>6000000</v>
      </c>
      <c r="T365" s="304" t="s">
        <v>3316</v>
      </c>
      <c r="U365" s="505">
        <f>VLOOKUP(T365,'Im 3A'!$A$2:$C$2278,3,FALSE)</f>
        <v>0</v>
      </c>
      <c r="V365" s="304" t="str">
        <f>VLOOKUP(T365,'Im 3A'!$A$2:$D$3546,4,FALSE)</f>
        <v>V</v>
      </c>
      <c r="W365" s="305">
        <f>IF(V365="D",VLOOKUP(T365,'Im 3A'!$A$2:$C$2278,2,FALSE),0)</f>
        <v>0</v>
      </c>
      <c r="X365" s="305">
        <f>IF(V365="V",VLOOKUP(T365,Vtas3A!$A$2:$B$2425,2,FALSE),0)</f>
        <v>5000000</v>
      </c>
    </row>
    <row r="366" spans="2:24" x14ac:dyDescent="0.2">
      <c r="B366" s="304" t="s">
        <v>2261</v>
      </c>
      <c r="C366" s="304">
        <f>VLOOKUP(B366,'Im 1A'!$A$2:$C$963,3,FALSE)</f>
        <v>0</v>
      </c>
      <c r="D366" s="304" t="str">
        <f>VLOOKUP(B366,'Im 1A'!$A$2:$D$963,4,FALSE)</f>
        <v>V</v>
      </c>
      <c r="E366" s="305">
        <f>IF(D366="D",VLOOKUP(B366,'Im 1A'!$A$2:$C$1200,2,FALSE),0)</f>
        <v>0</v>
      </c>
      <c r="F366" s="305">
        <f>IF(D366="V",VLOOKUP(B366,Vtas1A!$A$2:$B$695,2,FALSE),0)</f>
        <v>5000000</v>
      </c>
      <c r="N366" s="304" t="s">
        <v>2915</v>
      </c>
      <c r="O366" s="505">
        <f>VLOOKUP(N366,'Im 2'!$A$2:$C$2278,3,FALSE)</f>
        <v>0</v>
      </c>
      <c r="P366" s="304" t="str">
        <f>VLOOKUP(N366,'Im 2'!$A$2:$D$3546,4,FALSE)</f>
        <v>V</v>
      </c>
      <c r="Q366" s="305">
        <f>IF(P366="D",VLOOKUP(N366,'Im 2'!$A$2:$C$2278,2,FALSE),0)</f>
        <v>0</v>
      </c>
      <c r="R366" s="305">
        <f>IF(P366="V",VLOOKUP(N366,Vtas2!$A$2:$B$2425,2,FALSE),0)</f>
        <v>6000000</v>
      </c>
      <c r="T366" s="304" t="s">
        <v>4343</v>
      </c>
      <c r="U366" s="505">
        <f>VLOOKUP(T366,'Im 3A'!$A$2:$C$2278,3,FALSE)</f>
        <v>0</v>
      </c>
      <c r="V366" s="304" t="str">
        <f>VLOOKUP(T366,'Im 3A'!$A$2:$D$3546,4,FALSE)</f>
        <v>V</v>
      </c>
      <c r="W366" s="305">
        <f>IF(V366="D",VLOOKUP(T366,'Im 3A'!$A$2:$C$2278,2,FALSE),0)</f>
        <v>0</v>
      </c>
      <c r="X366" s="305">
        <f>IF(V366="V",VLOOKUP(T366,Vtas3A!$A$2:$B$2425,2,FALSE),0)</f>
        <v>5000000</v>
      </c>
    </row>
    <row r="367" spans="2:24" x14ac:dyDescent="0.2">
      <c r="B367" s="304" t="s">
        <v>2589</v>
      </c>
      <c r="C367" s="304">
        <f>VLOOKUP(B367,'Im 1A'!$A$2:$C$963,3,FALSE)</f>
        <v>0</v>
      </c>
      <c r="D367" s="304" t="str">
        <f>VLOOKUP(B367,'Im 1A'!$A$2:$D$963,4,FALSE)</f>
        <v>V</v>
      </c>
      <c r="E367" s="305">
        <f>IF(D367="D",VLOOKUP(B367,'Im 1A'!$A$2:$C$1200,2,FALSE),0)</f>
        <v>0</v>
      </c>
      <c r="F367" s="305">
        <f>IF(D367="V",VLOOKUP(B367,Vtas1A!$A$2:$B$695,2,FALSE),0)</f>
        <v>5000000</v>
      </c>
      <c r="N367" s="304" t="s">
        <v>3194</v>
      </c>
      <c r="O367" s="505">
        <f>VLOOKUP(N367,'Im 2'!$A$2:$C$2278,3,FALSE)</f>
        <v>0</v>
      </c>
      <c r="P367" s="304" t="str">
        <f>VLOOKUP(N367,'Im 2'!$A$2:$D$3546,4,FALSE)</f>
        <v>V</v>
      </c>
      <c r="Q367" s="305">
        <f>IF(P367="D",VLOOKUP(N367,'Im 2'!$A$2:$C$2278,2,FALSE),0)</f>
        <v>0</v>
      </c>
      <c r="R367" s="305">
        <f>IF(P367="V",VLOOKUP(N367,Vtas2!$A$2:$B$2425,2,FALSE),0)</f>
        <v>6000000</v>
      </c>
      <c r="T367" s="304" t="s">
        <v>4344</v>
      </c>
      <c r="U367" s="505">
        <f>VLOOKUP(T367,'Im 3A'!$A$2:$C$2278,3,FALSE)</f>
        <v>0</v>
      </c>
      <c r="V367" s="304" t="str">
        <f>VLOOKUP(T367,'Im 3A'!$A$2:$D$3546,4,FALSE)</f>
        <v>V</v>
      </c>
      <c r="W367" s="305">
        <f>IF(V367="D",VLOOKUP(T367,'Im 3A'!$A$2:$C$2278,2,FALSE),0)</f>
        <v>0</v>
      </c>
      <c r="X367" s="305">
        <f>IF(V367="V",VLOOKUP(T367,Vtas3A!$A$2:$B$2425,2,FALSE),0)</f>
        <v>5000000</v>
      </c>
    </row>
    <row r="368" spans="2:24" x14ac:dyDescent="0.2">
      <c r="B368" s="304" t="s">
        <v>3450</v>
      </c>
      <c r="C368" s="304">
        <f>VLOOKUP(B368,'Im 1A'!$A$2:$C$963,3,FALSE)</f>
        <v>0</v>
      </c>
      <c r="D368" s="304" t="str">
        <f>VLOOKUP(B368,'Im 1A'!$A$2:$D$963,4,FALSE)</f>
        <v>V</v>
      </c>
      <c r="E368" s="305">
        <f>IF(D368="D",VLOOKUP(B368,'Im 1A'!$A$2:$C$1200,2,FALSE),0)</f>
        <v>0</v>
      </c>
      <c r="F368" s="305">
        <f>IF(D368="V",VLOOKUP(B368,Vtas1A!$A$2:$B$695,2,FALSE),0)</f>
        <v>5000000</v>
      </c>
      <c r="N368" s="304" t="s">
        <v>3743</v>
      </c>
      <c r="O368" s="505">
        <f>VLOOKUP(N368,'Im 2'!$A$2:$C$2278,3,FALSE)</f>
        <v>0</v>
      </c>
      <c r="P368" s="304" t="str">
        <f>VLOOKUP(N368,'Im 2'!$A$2:$D$3546,4,FALSE)</f>
        <v>V</v>
      </c>
      <c r="Q368" s="305">
        <f>IF(P368="D",VLOOKUP(N368,'Im 2'!$A$2:$C$2278,2,FALSE),0)</f>
        <v>0</v>
      </c>
      <c r="R368" s="305">
        <f>IF(P368="V",VLOOKUP(N368,Vtas2!$A$2:$B$2425,2,FALSE),0)</f>
        <v>6000000</v>
      </c>
      <c r="T368" s="304" t="s">
        <v>3475</v>
      </c>
      <c r="U368" s="505">
        <f>VLOOKUP(T368,'Im 3A'!$A$2:$C$2278,3,FALSE)</f>
        <v>0</v>
      </c>
      <c r="V368" s="304" t="str">
        <f>VLOOKUP(T368,'Im 3A'!$A$2:$D$3546,4,FALSE)</f>
        <v>V</v>
      </c>
      <c r="W368" s="305">
        <f>IF(V368="D",VLOOKUP(T368,'Im 3A'!$A$2:$C$2278,2,FALSE),0)</f>
        <v>0</v>
      </c>
      <c r="X368" s="305">
        <f>IF(V368="V",VLOOKUP(T368,Vtas3A!$A$2:$B$2425,2,FALSE),0)</f>
        <v>5000000</v>
      </c>
    </row>
    <row r="369" spans="2:24" x14ac:dyDescent="0.2">
      <c r="B369" s="304" t="s">
        <v>916</v>
      </c>
      <c r="C369" s="304">
        <f>VLOOKUP(B369,'Im 1A'!$A$2:$C$963,3,FALSE)</f>
        <v>0</v>
      </c>
      <c r="D369" s="304" t="str">
        <f>VLOOKUP(B369,'Im 1A'!$A$2:$D$963,4,FALSE)</f>
        <v>V</v>
      </c>
      <c r="E369" s="305">
        <f>IF(D369="D",VLOOKUP(B369,'Im 1A'!$A$2:$C$1200,2,FALSE),0)</f>
        <v>0</v>
      </c>
      <c r="F369" s="305">
        <f>IF(D369="V",VLOOKUP(B369,Vtas1A!$A$2:$B$695,2,FALSE),0)</f>
        <v>5000000</v>
      </c>
      <c r="N369" s="304" t="s">
        <v>2916</v>
      </c>
      <c r="O369" s="505">
        <f>VLOOKUP(N369,'Im 2'!$A$2:$C$2278,3,FALSE)</f>
        <v>0</v>
      </c>
      <c r="P369" s="304" t="str">
        <f>VLOOKUP(N369,'Im 2'!$A$2:$D$3546,4,FALSE)</f>
        <v>V</v>
      </c>
      <c r="Q369" s="305">
        <f>IF(P369="D",VLOOKUP(N369,'Im 2'!$A$2:$C$2278,2,FALSE),0)</f>
        <v>0</v>
      </c>
      <c r="R369" s="305">
        <f>IF(P369="V",VLOOKUP(N369,Vtas2!$A$2:$B$2425,2,FALSE),0)</f>
        <v>6000000</v>
      </c>
      <c r="T369" s="304" t="s">
        <v>4263</v>
      </c>
      <c r="U369" s="505">
        <f>VLOOKUP(T369,'Im 3A'!$A$2:$C$2278,3,FALSE)</f>
        <v>0</v>
      </c>
      <c r="V369" s="304" t="str">
        <f>VLOOKUP(T369,'Im 3A'!$A$2:$D$3546,4,FALSE)</f>
        <v>V</v>
      </c>
      <c r="W369" s="305">
        <f>IF(V369="D",VLOOKUP(T369,'Im 3A'!$A$2:$C$2278,2,FALSE),0)</f>
        <v>0</v>
      </c>
      <c r="X369" s="305">
        <f>IF(V369="V",VLOOKUP(T369,Vtas3A!$A$2:$B$2425,2,FALSE),0)</f>
        <v>5000000</v>
      </c>
    </row>
    <row r="370" spans="2:24" x14ac:dyDescent="0.2">
      <c r="B370" s="304" t="s">
        <v>2262</v>
      </c>
      <c r="C370" s="304">
        <f>VLOOKUP(B370,'Im 1A'!$A$2:$C$963,3,FALSE)</f>
        <v>0</v>
      </c>
      <c r="D370" s="304" t="str">
        <f>VLOOKUP(B370,'Im 1A'!$A$2:$D$963,4,FALSE)</f>
        <v>V</v>
      </c>
      <c r="E370" s="305">
        <f>IF(D370="D",VLOOKUP(B370,'Im 1A'!$A$2:$C$1200,2,FALSE),0)</f>
        <v>0</v>
      </c>
      <c r="F370" s="305">
        <f>IF(D370="V",VLOOKUP(B370,Vtas1A!$A$2:$B$695,2,FALSE),0)</f>
        <v>5000000</v>
      </c>
      <c r="N370" s="304" t="s">
        <v>3312</v>
      </c>
      <c r="O370" s="505">
        <f>VLOOKUP(N370,'Im 2'!$A$2:$C$2278,3,FALSE)</f>
        <v>0</v>
      </c>
      <c r="P370" s="304" t="str">
        <f>VLOOKUP(N370,'Im 2'!$A$2:$D$3546,4,FALSE)</f>
        <v>V</v>
      </c>
      <c r="Q370" s="305">
        <f>IF(P370="D",VLOOKUP(N370,'Im 2'!$A$2:$C$2278,2,FALSE),0)</f>
        <v>0</v>
      </c>
      <c r="R370" s="305">
        <f>IF(P370="V",VLOOKUP(N370,Vtas2!$A$2:$B$2425,2,FALSE),0)</f>
        <v>6000000</v>
      </c>
      <c r="T370" s="304" t="s">
        <v>4419</v>
      </c>
      <c r="U370" s="505">
        <f>VLOOKUP(T370,'Im 3A'!$A$2:$C$2278,3,FALSE)</f>
        <v>0</v>
      </c>
      <c r="V370" s="304" t="str">
        <f>VLOOKUP(T370,'Im 3A'!$A$2:$D$3546,4,FALSE)</f>
        <v>V</v>
      </c>
      <c r="W370" s="305">
        <f>IF(V370="D",VLOOKUP(T370,'Im 3A'!$A$2:$C$2278,2,FALSE),0)</f>
        <v>0</v>
      </c>
      <c r="X370" s="305">
        <f>IF(V370="V",VLOOKUP(T370,Vtas3A!$A$2:$B$2425,2,FALSE),0)</f>
        <v>5000000</v>
      </c>
    </row>
    <row r="371" spans="2:24" x14ac:dyDescent="0.2">
      <c r="B371" s="304" t="s">
        <v>3166</v>
      </c>
      <c r="C371" s="304">
        <f>VLOOKUP(B371,'Im 1A'!$A$2:$C$963,3,FALSE)</f>
        <v>0</v>
      </c>
      <c r="D371" s="304" t="str">
        <f>VLOOKUP(B371,'Im 1A'!$A$2:$D$963,4,FALSE)</f>
        <v>V</v>
      </c>
      <c r="E371" s="305">
        <f>IF(D371="D",VLOOKUP(B371,'Im 1A'!$A$2:$C$1200,2,FALSE),0)</f>
        <v>0</v>
      </c>
      <c r="F371" s="305">
        <f>IF(D371="V",VLOOKUP(B371,Vtas1A!$A$2:$B$695,2,FALSE),0)</f>
        <v>5000000</v>
      </c>
      <c r="N371" s="304" t="s">
        <v>3089</v>
      </c>
      <c r="O371" s="505">
        <f>VLOOKUP(N371,'Im 2'!$A$2:$C$2278,3,FALSE)</f>
        <v>0</v>
      </c>
      <c r="P371" s="304" t="str">
        <f>VLOOKUP(N371,'Im 2'!$A$2:$D$3546,4,FALSE)</f>
        <v>V</v>
      </c>
      <c r="Q371" s="305">
        <f>IF(P371="D",VLOOKUP(N371,'Im 2'!$A$2:$C$2278,2,FALSE),0)</f>
        <v>0</v>
      </c>
      <c r="R371" s="305">
        <f>IF(P371="V",VLOOKUP(N371,Vtas2!$A$2:$B$2425,2,FALSE),0)</f>
        <v>6000000</v>
      </c>
      <c r="T371" s="304" t="s">
        <v>3253</v>
      </c>
      <c r="U371" s="505">
        <f>VLOOKUP(T371,'Im 3A'!$A$2:$C$2278,3,FALSE)</f>
        <v>0</v>
      </c>
      <c r="V371" s="304" t="str">
        <f>VLOOKUP(T371,'Im 3A'!$A$2:$D$3546,4,FALSE)</f>
        <v>V</v>
      </c>
      <c r="W371" s="305">
        <f>IF(V371="D",VLOOKUP(T371,'Im 3A'!$A$2:$C$2278,2,FALSE),0)</f>
        <v>0</v>
      </c>
      <c r="X371" s="305">
        <f>IF(V371="V",VLOOKUP(T371,Vtas3A!$A$2:$B$2425,2,FALSE),0)</f>
        <v>5000000</v>
      </c>
    </row>
    <row r="372" spans="2:24" x14ac:dyDescent="0.2">
      <c r="B372" s="304" t="s">
        <v>917</v>
      </c>
      <c r="C372" s="304">
        <f>VLOOKUP(B372,'Im 1A'!$A$2:$C$963,3,FALSE)</f>
        <v>0</v>
      </c>
      <c r="D372" s="304" t="str">
        <f>VLOOKUP(B372,'Im 1A'!$A$2:$D$963,4,FALSE)</f>
        <v>V</v>
      </c>
      <c r="E372" s="305">
        <f>IF(D372="D",VLOOKUP(B372,'Im 1A'!$A$2:$C$1200,2,FALSE),0)</f>
        <v>0</v>
      </c>
      <c r="F372" s="305">
        <f>IF(D372="V",VLOOKUP(B372,Vtas1A!$A$2:$B$695,2,FALSE),0)</f>
        <v>5000000</v>
      </c>
      <c r="N372" s="304" t="s">
        <v>3090</v>
      </c>
      <c r="O372" s="505">
        <f>VLOOKUP(N372,'Im 2'!$A$2:$C$2278,3,FALSE)</f>
        <v>0</v>
      </c>
      <c r="P372" s="304" t="str">
        <f>VLOOKUP(N372,'Im 2'!$A$2:$D$3546,4,FALSE)</f>
        <v>V</v>
      </c>
      <c r="Q372" s="305">
        <f>IF(P372="D",VLOOKUP(N372,'Im 2'!$A$2:$C$2278,2,FALSE),0)</f>
        <v>0</v>
      </c>
      <c r="R372" s="305">
        <f>IF(P372="V",VLOOKUP(N372,Vtas2!$A$2:$B$2425,2,FALSE),0)</f>
        <v>6000000</v>
      </c>
      <c r="T372" s="304" t="s">
        <v>4345</v>
      </c>
      <c r="U372" s="505">
        <f>VLOOKUP(T372,'Im 3A'!$A$2:$C$2278,3,FALSE)</f>
        <v>0</v>
      </c>
      <c r="V372" s="304" t="str">
        <f>VLOOKUP(T372,'Im 3A'!$A$2:$D$3546,4,FALSE)</f>
        <v>V</v>
      </c>
      <c r="W372" s="305">
        <f>IF(V372="D",VLOOKUP(T372,'Im 3A'!$A$2:$C$2278,2,FALSE),0)</f>
        <v>0</v>
      </c>
      <c r="X372" s="305">
        <f>IF(V372="V",VLOOKUP(T372,Vtas3A!$A$2:$B$2425,2,FALSE),0)</f>
        <v>5000000</v>
      </c>
    </row>
    <row r="373" spans="2:24" x14ac:dyDescent="0.2">
      <c r="B373" s="304" t="s">
        <v>2556</v>
      </c>
      <c r="C373" s="304">
        <f>VLOOKUP(B373,'Im 1A'!$A$2:$C$963,3,FALSE)</f>
        <v>0</v>
      </c>
      <c r="D373" s="304" t="str">
        <f>VLOOKUP(B373,'Im 1A'!$A$2:$D$963,4,FALSE)</f>
        <v>V</v>
      </c>
      <c r="E373" s="305">
        <f>IF(D373="D",VLOOKUP(B373,'Im 1A'!$A$2:$C$1200,2,FALSE),0)</f>
        <v>0</v>
      </c>
      <c r="F373" s="305">
        <f>IF(D373="V",VLOOKUP(B373,Vtas1A!$A$2:$B$695,2,FALSE),0)</f>
        <v>5000000</v>
      </c>
      <c r="N373" s="304" t="s">
        <v>3248</v>
      </c>
      <c r="O373" s="505">
        <f>VLOOKUP(N373,'Im 2'!$A$2:$C$2278,3,FALSE)</f>
        <v>0</v>
      </c>
      <c r="P373" s="304" t="str">
        <f>VLOOKUP(N373,'Im 2'!$A$2:$D$3546,4,FALSE)</f>
        <v>V</v>
      </c>
      <c r="Q373" s="305">
        <f>IF(P373="D",VLOOKUP(N373,'Im 2'!$A$2:$C$2278,2,FALSE),0)</f>
        <v>0</v>
      </c>
      <c r="R373" s="305">
        <f>IF(P373="V",VLOOKUP(N373,Vtas2!$A$2:$B$2425,2,FALSE),0)</f>
        <v>6000000</v>
      </c>
      <c r="T373" s="304" t="s">
        <v>2641</v>
      </c>
      <c r="U373" s="505">
        <f>VLOOKUP(T373,'Im 3A'!$A$2:$C$2278,3,FALSE)</f>
        <v>0</v>
      </c>
      <c r="V373" s="304" t="str">
        <f>VLOOKUP(T373,'Im 3A'!$A$2:$D$3546,4,FALSE)</f>
        <v>V</v>
      </c>
      <c r="W373" s="305">
        <f>IF(V373="D",VLOOKUP(T373,'Im 3A'!$A$2:$C$2278,2,FALSE),0)</f>
        <v>0</v>
      </c>
      <c r="X373" s="305">
        <f>IF(V373="V",VLOOKUP(T373,Vtas3A!$A$2:$B$2425,2,FALSE),0)</f>
        <v>5000000</v>
      </c>
    </row>
    <row r="374" spans="2:24" x14ac:dyDescent="0.2">
      <c r="B374" s="304" t="s">
        <v>2590</v>
      </c>
      <c r="C374" s="304">
        <f>VLOOKUP(B374,'Im 1A'!$A$2:$C$963,3,FALSE)</f>
        <v>0</v>
      </c>
      <c r="D374" s="304" t="str">
        <f>VLOOKUP(B374,'Im 1A'!$A$2:$D$963,4,FALSE)</f>
        <v>V</v>
      </c>
      <c r="E374" s="305">
        <f>IF(D374="D",VLOOKUP(B374,'Im 1A'!$A$2:$C$1200,2,FALSE),0)</f>
        <v>0</v>
      </c>
      <c r="F374" s="305">
        <f>IF(D374="V",VLOOKUP(B374,Vtas1A!$A$2:$B$695,2,FALSE),0)</f>
        <v>5000000</v>
      </c>
      <c r="N374" s="304" t="s">
        <v>4305</v>
      </c>
      <c r="O374" s="505">
        <f>VLOOKUP(N374,'Im 2'!$A$2:$C$2278,3,FALSE)</f>
        <v>0</v>
      </c>
      <c r="P374" s="304" t="str">
        <f>VLOOKUP(N374,'Im 2'!$A$2:$D$3546,4,FALSE)</f>
        <v>V</v>
      </c>
      <c r="Q374" s="305">
        <f>IF(P374="D",VLOOKUP(N374,'Im 2'!$A$2:$C$2278,2,FALSE),0)</f>
        <v>0</v>
      </c>
      <c r="R374" s="305">
        <f>IF(P374="V",VLOOKUP(N374,Vtas2!$A$2:$B$2425,2,FALSE),0)</f>
        <v>6000000</v>
      </c>
      <c r="T374" s="304" t="s">
        <v>2642</v>
      </c>
      <c r="U374" s="505">
        <f>VLOOKUP(T374,'Im 3A'!$A$2:$C$2278,3,FALSE)</f>
        <v>0</v>
      </c>
      <c r="V374" s="304" t="str">
        <f>VLOOKUP(T374,'Im 3A'!$A$2:$D$3546,4,FALSE)</f>
        <v>V</v>
      </c>
      <c r="W374" s="305">
        <f>IF(V374="D",VLOOKUP(T374,'Im 3A'!$A$2:$C$2278,2,FALSE),0)</f>
        <v>0</v>
      </c>
      <c r="X374" s="305">
        <f>IF(V374="V",VLOOKUP(T374,Vtas3A!$A$2:$B$2425,2,FALSE),0)</f>
        <v>5000000</v>
      </c>
    </row>
    <row r="375" spans="2:24" x14ac:dyDescent="0.2">
      <c r="B375" s="304" t="s">
        <v>2263</v>
      </c>
      <c r="C375" s="304">
        <f>VLOOKUP(B375,'Im 1A'!$A$2:$C$963,3,FALSE)</f>
        <v>0</v>
      </c>
      <c r="D375" s="304" t="str">
        <f>VLOOKUP(B375,'Im 1A'!$A$2:$D$963,4,FALSE)</f>
        <v>V</v>
      </c>
      <c r="E375" s="305">
        <f>IF(D375="D",VLOOKUP(B375,'Im 1A'!$A$2:$C$1200,2,FALSE),0)</f>
        <v>0</v>
      </c>
      <c r="F375" s="305">
        <f>IF(D375="V",VLOOKUP(B375,Vtas1A!$A$2:$B$695,2,FALSE),0)</f>
        <v>5000000</v>
      </c>
      <c r="N375" s="304" t="s">
        <v>3091</v>
      </c>
      <c r="O375" s="505">
        <f>VLOOKUP(N375,'Im 2'!$A$2:$C$2278,3,FALSE)</f>
        <v>0</v>
      </c>
      <c r="P375" s="304" t="str">
        <f>VLOOKUP(N375,'Im 2'!$A$2:$D$3546,4,FALSE)</f>
        <v>V</v>
      </c>
      <c r="Q375" s="305">
        <f>IF(P375="D",VLOOKUP(N375,'Im 2'!$A$2:$C$2278,2,FALSE),0)</f>
        <v>0</v>
      </c>
      <c r="R375" s="305">
        <f>IF(P375="V",VLOOKUP(N375,Vtas2!$A$2:$B$2425,2,FALSE),0)</f>
        <v>6000000</v>
      </c>
      <c r="T375" s="304" t="s">
        <v>4420</v>
      </c>
      <c r="U375" s="505">
        <f>VLOOKUP(T375,'Im 3A'!$A$2:$C$2278,3,FALSE)</f>
        <v>0</v>
      </c>
      <c r="V375" s="304" t="str">
        <f>VLOOKUP(T375,'Im 3A'!$A$2:$D$3546,4,FALSE)</f>
        <v>V</v>
      </c>
      <c r="W375" s="305">
        <f>IF(V375="D",VLOOKUP(T375,'Im 3A'!$A$2:$C$2278,2,FALSE),0)</f>
        <v>0</v>
      </c>
      <c r="X375" s="305">
        <f>IF(V375="V",VLOOKUP(T375,Vtas3A!$A$2:$B$2425,2,FALSE),0)</f>
        <v>5000000</v>
      </c>
    </row>
    <row r="376" spans="2:24" x14ac:dyDescent="0.2">
      <c r="B376" s="304" t="s">
        <v>2631</v>
      </c>
      <c r="C376" s="304">
        <f>VLOOKUP(B376,'Im 1A'!$A$2:$C$963,3,FALSE)</f>
        <v>0</v>
      </c>
      <c r="D376" s="304" t="str">
        <f>VLOOKUP(B376,'Im 1A'!$A$2:$D$963,4,FALSE)</f>
        <v>V</v>
      </c>
      <c r="E376" s="305">
        <f>IF(D376="D",VLOOKUP(B376,'Im 1A'!$A$2:$C$1200,2,FALSE),0)</f>
        <v>0</v>
      </c>
      <c r="F376" s="305">
        <f>IF(D376="V",VLOOKUP(B376,Vtas1A!$A$2:$B$695,2,FALSE),0)</f>
        <v>5000000</v>
      </c>
      <c r="N376" s="304" t="s">
        <v>3092</v>
      </c>
      <c r="O376" s="505">
        <f>VLOOKUP(N376,'Im 2'!$A$2:$C$2278,3,FALSE)</f>
        <v>0</v>
      </c>
      <c r="P376" s="304" t="str">
        <f>VLOOKUP(N376,'Im 2'!$A$2:$D$3546,4,FALSE)</f>
        <v>V</v>
      </c>
      <c r="Q376" s="305">
        <f>IF(P376="D",VLOOKUP(N376,'Im 2'!$A$2:$C$2278,2,FALSE),0)</f>
        <v>0</v>
      </c>
      <c r="R376" s="305">
        <f>IF(P376="V",VLOOKUP(N376,Vtas2!$A$2:$B$2425,2,FALSE),0)</f>
        <v>6000000</v>
      </c>
      <c r="T376" s="304" t="s">
        <v>4346</v>
      </c>
      <c r="U376" s="505">
        <f>VLOOKUP(T376,'Im 3A'!$A$2:$C$2278,3,FALSE)</f>
        <v>0</v>
      </c>
      <c r="V376" s="304" t="str">
        <f>VLOOKUP(T376,'Im 3A'!$A$2:$D$3546,4,FALSE)</f>
        <v>V</v>
      </c>
      <c r="W376" s="305">
        <f>IF(V376="D",VLOOKUP(T376,'Im 3A'!$A$2:$C$2278,2,FALSE),0)</f>
        <v>0</v>
      </c>
      <c r="X376" s="305">
        <f>IF(V376="V",VLOOKUP(T376,Vtas3A!$A$2:$B$2425,2,FALSE),0)</f>
        <v>5000000</v>
      </c>
    </row>
    <row r="377" spans="2:24" x14ac:dyDescent="0.2">
      <c r="B377" s="304" t="s">
        <v>2591</v>
      </c>
      <c r="C377" s="304">
        <f>VLOOKUP(B377,'Im 1A'!$A$2:$C$963,3,FALSE)</f>
        <v>0</v>
      </c>
      <c r="D377" s="304" t="str">
        <f>VLOOKUP(B377,'Im 1A'!$A$2:$D$963,4,FALSE)</f>
        <v>V</v>
      </c>
      <c r="E377" s="305">
        <f>IF(D377="D",VLOOKUP(B377,'Im 1A'!$A$2:$C$1200,2,FALSE),0)</f>
        <v>0</v>
      </c>
      <c r="F377" s="305">
        <f>IF(D377="V",VLOOKUP(B377,Vtas1A!$A$2:$B$695,2,FALSE),0)</f>
        <v>5000000</v>
      </c>
      <c r="N377" s="304" t="s">
        <v>3195</v>
      </c>
      <c r="O377" s="505">
        <f>VLOOKUP(N377,'Im 2'!$A$2:$C$2278,3,FALSE)</f>
        <v>0</v>
      </c>
      <c r="P377" s="304" t="str">
        <f>VLOOKUP(N377,'Im 2'!$A$2:$D$3546,4,FALSE)</f>
        <v>V</v>
      </c>
      <c r="Q377" s="305">
        <f>IF(P377="D",VLOOKUP(N377,'Im 2'!$A$2:$C$2278,2,FALSE),0)</f>
        <v>0</v>
      </c>
      <c r="R377" s="305">
        <f>IF(P377="V",VLOOKUP(N377,Vtas2!$A$2:$B$2425,2,FALSE),0)</f>
        <v>6000000</v>
      </c>
      <c r="T377" s="304" t="s">
        <v>2284</v>
      </c>
      <c r="U377" s="505">
        <f>VLOOKUP(T377,'Im 3A'!$A$2:$C$2278,3,FALSE)</f>
        <v>0</v>
      </c>
      <c r="V377" s="304" t="str">
        <f>VLOOKUP(T377,'Im 3A'!$A$2:$D$3546,4,FALSE)</f>
        <v>V</v>
      </c>
      <c r="W377" s="305">
        <f>IF(V377="D",VLOOKUP(T377,'Im 3A'!$A$2:$C$2278,2,FALSE),0)</f>
        <v>0</v>
      </c>
      <c r="X377" s="305">
        <f>IF(V377="V",VLOOKUP(T377,Vtas3A!$A$2:$B$2425,2,FALSE),0)</f>
        <v>5000000</v>
      </c>
    </row>
    <row r="378" spans="2:24" x14ac:dyDescent="0.2">
      <c r="B378" s="304" t="s">
        <v>2592</v>
      </c>
      <c r="C378" s="304">
        <f>VLOOKUP(B378,'Im 1A'!$A$2:$C$963,3,FALSE)</f>
        <v>0</v>
      </c>
      <c r="D378" s="304" t="str">
        <f>VLOOKUP(B378,'Im 1A'!$A$2:$D$963,4,FALSE)</f>
        <v>V</v>
      </c>
      <c r="E378" s="305">
        <f>IF(D378="D",VLOOKUP(B378,'Im 1A'!$A$2:$C$1200,2,FALSE),0)</f>
        <v>0</v>
      </c>
      <c r="F378" s="305">
        <f>IF(D378="V",VLOOKUP(B378,Vtas1A!$A$2:$B$695,2,FALSE),0)</f>
        <v>5000000</v>
      </c>
      <c r="N378" s="304" t="s">
        <v>3249</v>
      </c>
      <c r="O378" s="505">
        <f>VLOOKUP(N378,'Im 2'!$A$2:$C$2278,3,FALSE)</f>
        <v>0</v>
      </c>
      <c r="P378" s="304" t="str">
        <f>VLOOKUP(N378,'Im 2'!$A$2:$D$3546,4,FALSE)</f>
        <v>V</v>
      </c>
      <c r="Q378" s="305">
        <f>IF(P378="D",VLOOKUP(N378,'Im 2'!$A$2:$C$2278,2,FALSE),0)</f>
        <v>0</v>
      </c>
      <c r="R378" s="305">
        <f>IF(P378="V",VLOOKUP(N378,Vtas2!$A$2:$B$2425,2,FALSE),0)</f>
        <v>6000000</v>
      </c>
      <c r="T378" s="304" t="s">
        <v>1542</v>
      </c>
      <c r="U378" s="505">
        <f>VLOOKUP(T378,'Im 3A'!$A$2:$C$2278,3,FALSE)</f>
        <v>0</v>
      </c>
      <c r="V378" s="304" t="str">
        <f>VLOOKUP(T378,'Im 3A'!$A$2:$D$3546,4,FALSE)</f>
        <v>V</v>
      </c>
      <c r="W378" s="305">
        <f>IF(V378="D",VLOOKUP(T378,'Im 3A'!$A$2:$C$2278,2,FALSE),0)</f>
        <v>0</v>
      </c>
      <c r="X378" s="305">
        <f>IF(V378="V",VLOOKUP(T378,Vtas3A!$A$2:$B$2425,2,FALSE),0)</f>
        <v>5000000</v>
      </c>
    </row>
    <row r="379" spans="2:24" x14ac:dyDescent="0.2">
      <c r="B379" s="304" t="s">
        <v>2264</v>
      </c>
      <c r="C379" s="304">
        <f>VLOOKUP(B379,'Im 1A'!$A$2:$C$963,3,FALSE)</f>
        <v>0</v>
      </c>
      <c r="D379" s="304" t="str">
        <f>VLOOKUP(B379,'Im 1A'!$A$2:$D$963,4,FALSE)</f>
        <v>V</v>
      </c>
      <c r="E379" s="305">
        <f>IF(D379="D",VLOOKUP(B379,'Im 1A'!$A$2:$C$1200,2,FALSE),0)</f>
        <v>0</v>
      </c>
      <c r="F379" s="305">
        <f>IF(D379="V",VLOOKUP(B379,Vtas1A!$A$2:$B$695,2,FALSE),0)</f>
        <v>5000000</v>
      </c>
      <c r="N379" s="304" t="s">
        <v>3093</v>
      </c>
      <c r="O379" s="505">
        <f>VLOOKUP(N379,'Im 2'!$A$2:$C$2278,3,FALSE)</f>
        <v>0</v>
      </c>
      <c r="P379" s="304" t="str">
        <f>VLOOKUP(N379,'Im 2'!$A$2:$D$3546,4,FALSE)</f>
        <v>V</v>
      </c>
      <c r="Q379" s="305">
        <f>IF(P379="D",VLOOKUP(N379,'Im 2'!$A$2:$C$2278,2,FALSE),0)</f>
        <v>0</v>
      </c>
      <c r="R379" s="305">
        <f>IF(P379="V",VLOOKUP(N379,Vtas2!$A$2:$B$2425,2,FALSE),0)</f>
        <v>6000000</v>
      </c>
      <c r="T379" s="304" t="s">
        <v>3899</v>
      </c>
      <c r="U379" s="505">
        <f>VLOOKUP(T379,'Im 3A'!$A$2:$C$2278,3,FALSE)</f>
        <v>0</v>
      </c>
      <c r="V379" s="304" t="str">
        <f>VLOOKUP(T379,'Im 3A'!$A$2:$D$3546,4,FALSE)</f>
        <v>V</v>
      </c>
      <c r="W379" s="305">
        <f>IF(V379="D",VLOOKUP(T379,'Im 3A'!$A$2:$C$2278,2,FALSE),0)</f>
        <v>0</v>
      </c>
      <c r="X379" s="305">
        <f>IF(V379="V",VLOOKUP(T379,Vtas3A!$A$2:$B$2425,2,FALSE),0)</f>
        <v>5000000</v>
      </c>
    </row>
    <row r="380" spans="2:24" x14ac:dyDescent="0.2">
      <c r="B380" s="313" t="s">
        <v>950</v>
      </c>
      <c r="C380" s="313">
        <f>++COUNTA(C322:C379)</f>
        <v>58</v>
      </c>
      <c r="D380" s="313"/>
      <c r="E380" s="315">
        <f>SUM(E322:E379)</f>
        <v>10000000</v>
      </c>
      <c r="F380" s="315">
        <f>SUM(F322:F379)</f>
        <v>280000000</v>
      </c>
      <c r="N380" s="304" t="s">
        <v>3196</v>
      </c>
      <c r="O380" s="505">
        <f>VLOOKUP(N380,'Im 2'!$A$2:$C$2278,3,FALSE)</f>
        <v>0</v>
      </c>
      <c r="P380" s="304" t="str">
        <f>VLOOKUP(N380,'Im 2'!$A$2:$D$3546,4,FALSE)</f>
        <v>V</v>
      </c>
      <c r="Q380" s="305">
        <f>IF(P380="D",VLOOKUP(N380,'Im 2'!$A$2:$C$2278,2,FALSE),0)</f>
        <v>0</v>
      </c>
      <c r="R380" s="305">
        <f>IF(P380="V",VLOOKUP(N380,Vtas2!$A$2:$B$2425,2,FALSE),0)</f>
        <v>6000000</v>
      </c>
      <c r="T380" s="304" t="s">
        <v>4347</v>
      </c>
      <c r="U380" s="505">
        <f>VLOOKUP(T380,'Im 3A'!$A$2:$C$2278,3,FALSE)</f>
        <v>0</v>
      </c>
      <c r="V380" s="304" t="str">
        <f>VLOOKUP(T380,'Im 3A'!$A$2:$D$3546,4,FALSE)</f>
        <v>V</v>
      </c>
      <c r="W380" s="305">
        <f>IF(V380="D",VLOOKUP(T380,'Im 3A'!$A$2:$C$2278,2,FALSE),0)</f>
        <v>0</v>
      </c>
      <c r="X380" s="305">
        <f>IF(V380="V",VLOOKUP(T380,Vtas3A!$A$2:$B$2425,2,FALSE),0)</f>
        <v>5000000</v>
      </c>
    </row>
    <row r="381" spans="2:24" x14ac:dyDescent="0.2">
      <c r="N381" s="304" t="s">
        <v>2917</v>
      </c>
      <c r="O381" s="505">
        <f>VLOOKUP(N381,'Im 2'!$A$2:$C$2278,3,FALSE)</f>
        <v>0</v>
      </c>
      <c r="P381" s="304" t="str">
        <f>VLOOKUP(N381,'Im 2'!$A$2:$D$3546,4,FALSE)</f>
        <v>V</v>
      </c>
      <c r="Q381" s="305">
        <f>IF(P381="D",VLOOKUP(N381,'Im 2'!$A$2:$C$2278,2,FALSE),0)</f>
        <v>0</v>
      </c>
      <c r="R381" s="305">
        <f>IF(P381="V",VLOOKUP(N381,Vtas2!$A$2:$B$2425,2,FALSE),0)</f>
        <v>6000000</v>
      </c>
      <c r="T381" s="304" t="s">
        <v>3900</v>
      </c>
      <c r="U381" s="505">
        <f>VLOOKUP(T381,'Im 3A'!$A$2:$C$2278,3,FALSE)</f>
        <v>0</v>
      </c>
      <c r="V381" s="304" t="str">
        <f>VLOOKUP(T381,'Im 3A'!$A$2:$D$3546,4,FALSE)</f>
        <v>V</v>
      </c>
      <c r="W381" s="305">
        <f>IF(V381="D",VLOOKUP(T381,'Im 3A'!$A$2:$C$2278,2,FALSE),0)</f>
        <v>0</v>
      </c>
      <c r="X381" s="305">
        <f>IF(V381="V",VLOOKUP(T381,Vtas3A!$A$2:$B$2425,2,FALSE),0)</f>
        <v>5000000</v>
      </c>
    </row>
    <row r="382" spans="2:24" x14ac:dyDescent="0.2">
      <c r="E382" s="395">
        <f>++E380+E318+E162+K111+K214+K291+W163+W325+W434+AC112+AC207+AC303-Inventario!J9+Q396+Q267+Q138-Inventario!O9</f>
        <v>0</v>
      </c>
      <c r="F382" s="703">
        <f>++F380+F318+F162+L111+L214+L291+X163+X325+X434+AD112+AD207+AD303-'Ventas mes a mes'!J64+R267+R138+R396</f>
        <v>0</v>
      </c>
      <c r="N382" s="304" t="s">
        <v>2918</v>
      </c>
      <c r="O382" s="505">
        <f>VLOOKUP(N382,'Im 2'!$A$2:$C$2278,3,FALSE)</f>
        <v>0</v>
      </c>
      <c r="P382" s="304" t="str">
        <f>VLOOKUP(N382,'Im 2'!$A$2:$D$3546,4,FALSE)</f>
        <v>V</v>
      </c>
      <c r="Q382" s="305">
        <f>IF(P382="D",VLOOKUP(N382,'Im 2'!$A$2:$C$2278,2,FALSE),0)</f>
        <v>0</v>
      </c>
      <c r="R382" s="305">
        <f>IF(P382="V",VLOOKUP(N382,Vtas2!$A$2:$B$2425,2,FALSE),0)</f>
        <v>6000000</v>
      </c>
      <c r="T382" s="304" t="s">
        <v>1180</v>
      </c>
      <c r="U382" s="505">
        <f>VLOOKUP(T382,'Im 3A'!$A$2:$C$2278,3,FALSE)</f>
        <v>0</v>
      </c>
      <c r="V382" s="304" t="str">
        <f>VLOOKUP(T382,'Im 3A'!$A$2:$D$3546,4,FALSE)</f>
        <v>V</v>
      </c>
      <c r="W382" s="305">
        <f>IF(V382="D",VLOOKUP(T382,'Im 3A'!$A$2:$C$2278,2,FALSE),0)</f>
        <v>0</v>
      </c>
      <c r="X382" s="305">
        <f>IF(V382="V",VLOOKUP(T382,Vtas3A!$A$2:$B$2425,2,FALSE),0)</f>
        <v>5000000</v>
      </c>
    </row>
    <row r="383" spans="2:24" x14ac:dyDescent="0.2">
      <c r="C383" s="513"/>
      <c r="D383" s="513"/>
      <c r="N383" s="304" t="s">
        <v>4384</v>
      </c>
      <c r="O383" s="505">
        <f>VLOOKUP(N383,'Im 2'!$A$2:$C$2278,3,FALSE)</f>
        <v>0</v>
      </c>
      <c r="P383" s="304" t="str">
        <f>VLOOKUP(N383,'Im 2'!$A$2:$D$3546,4,FALSE)</f>
        <v>V</v>
      </c>
      <c r="Q383" s="305">
        <f>IF(P383="D",VLOOKUP(N383,'Im 2'!$A$2:$C$2278,2,FALSE),0)</f>
        <v>0</v>
      </c>
      <c r="R383" s="305">
        <f>IF(P383="V",VLOOKUP(N383,Vtas2!$A$2:$B$2425,2,FALSE),0)</f>
        <v>6000000</v>
      </c>
      <c r="T383" s="304" t="s">
        <v>1200</v>
      </c>
      <c r="U383" s="505">
        <f>VLOOKUP(T383,'Im 3A'!$A$2:$C$2278,3,FALSE)</f>
        <v>0</v>
      </c>
      <c r="V383" s="304" t="str">
        <f>VLOOKUP(T383,'Im 3A'!$A$2:$D$3546,4,FALSE)</f>
        <v>V</v>
      </c>
      <c r="W383" s="305">
        <f>IF(V383="D",VLOOKUP(T383,'Im 3A'!$A$2:$C$2278,2,FALSE),0)</f>
        <v>0</v>
      </c>
      <c r="X383" s="305">
        <f>IF(V383="V",VLOOKUP(T383,Vtas3A!$A$2:$B$2425,2,FALSE),0)</f>
        <v>5000000</v>
      </c>
    </row>
    <row r="384" spans="2:24" x14ac:dyDescent="0.2">
      <c r="C384" s="513"/>
      <c r="D384" s="513"/>
      <c r="N384" s="304" t="s">
        <v>3095</v>
      </c>
      <c r="O384" s="505">
        <f>VLOOKUP(N384,'Im 2'!$A$2:$C$2278,3,FALSE)</f>
        <v>0</v>
      </c>
      <c r="P384" s="304" t="str">
        <f>VLOOKUP(N384,'Im 2'!$A$2:$D$3546,4,FALSE)</f>
        <v>V</v>
      </c>
      <c r="Q384" s="305">
        <f>IF(P384="D",VLOOKUP(N384,'Im 2'!$A$2:$C$2278,2,FALSE),0)</f>
        <v>0</v>
      </c>
      <c r="R384" s="305">
        <f>IF(P384="V",VLOOKUP(N384,Vtas2!$A$2:$B$2425,2,FALSE),0)</f>
        <v>6000000</v>
      </c>
      <c r="T384" s="304" t="s">
        <v>4348</v>
      </c>
      <c r="U384" s="505">
        <f>VLOOKUP(T384,'Im 3A'!$A$2:$C$2278,3,FALSE)</f>
        <v>0</v>
      </c>
      <c r="V384" s="304" t="str">
        <f>VLOOKUP(T384,'Im 3A'!$A$2:$D$3546,4,FALSE)</f>
        <v>V</v>
      </c>
      <c r="W384" s="305">
        <f>IF(V384="D",VLOOKUP(T384,'Im 3A'!$A$2:$C$2278,2,FALSE),0)</f>
        <v>0</v>
      </c>
      <c r="X384" s="305">
        <f>IF(V384="V",VLOOKUP(T384,Vtas3A!$A$2:$B$2425,2,FALSE),0)</f>
        <v>5000000</v>
      </c>
    </row>
    <row r="385" spans="3:24" x14ac:dyDescent="0.2">
      <c r="C385" s="513"/>
      <c r="D385" s="513"/>
      <c r="F385" s="307"/>
      <c r="N385" s="304" t="s">
        <v>2919</v>
      </c>
      <c r="O385" s="505">
        <f>VLOOKUP(N385,'Im 2'!$A$2:$C$2278,3,FALSE)</f>
        <v>0</v>
      </c>
      <c r="P385" s="304" t="str">
        <f>VLOOKUP(N385,'Im 2'!$A$2:$D$3546,4,FALSE)</f>
        <v>V</v>
      </c>
      <c r="Q385" s="305">
        <f>IF(P385="D",VLOOKUP(N385,'Im 2'!$A$2:$C$2278,2,FALSE),0)</f>
        <v>0</v>
      </c>
      <c r="R385" s="305">
        <f>IF(P385="V",VLOOKUP(N385,Vtas2!$A$2:$B$2425,2,FALSE),0)</f>
        <v>6000000</v>
      </c>
      <c r="T385" s="304" t="s">
        <v>1042</v>
      </c>
      <c r="U385" s="505">
        <f>VLOOKUP(T385,'Im 3A'!$A$2:$C$2278,3,FALSE)</f>
        <v>0</v>
      </c>
      <c r="V385" s="304" t="str">
        <f>VLOOKUP(T385,'Im 3A'!$A$2:$D$3546,4,FALSE)</f>
        <v>V</v>
      </c>
      <c r="W385" s="305">
        <f>IF(V385="D",VLOOKUP(T385,'Im 3A'!$A$2:$C$2278,2,FALSE),0)</f>
        <v>0</v>
      </c>
      <c r="X385" s="305">
        <f>IF(V385="V",VLOOKUP(T385,Vtas3A!$A$2:$B$2425,2,FALSE),0)</f>
        <v>5000000</v>
      </c>
    </row>
    <row r="386" spans="3:24" x14ac:dyDescent="0.2">
      <c r="C386" s="513"/>
      <c r="D386" s="513"/>
      <c r="F386" s="307"/>
      <c r="N386" s="304" t="s">
        <v>2920</v>
      </c>
      <c r="O386" s="505">
        <f>VLOOKUP(N386,'Im 2'!$A$2:$C$2278,3,FALSE)</f>
        <v>0</v>
      </c>
      <c r="P386" s="304" t="str">
        <f>VLOOKUP(N386,'Im 2'!$A$2:$D$3546,4,FALSE)</f>
        <v>V</v>
      </c>
      <c r="Q386" s="305">
        <f>IF(P386="D",VLOOKUP(N386,'Im 2'!$A$2:$C$2278,2,FALSE),0)</f>
        <v>0</v>
      </c>
      <c r="R386" s="305">
        <f>IF(P386="V",VLOOKUP(N386,Vtas2!$A$2:$B$2425,2,FALSE),0)</f>
        <v>6000000</v>
      </c>
      <c r="T386" s="304" t="s">
        <v>1496</v>
      </c>
      <c r="U386" s="505">
        <f>VLOOKUP(T386,'Im 3A'!$A$2:$C$2278,3,FALSE)</f>
        <v>0</v>
      </c>
      <c r="V386" s="304" t="str">
        <f>VLOOKUP(T386,'Im 3A'!$A$2:$D$3546,4,FALSE)</f>
        <v>V</v>
      </c>
      <c r="W386" s="305">
        <f>IF(V386="D",VLOOKUP(T386,'Im 3A'!$A$2:$C$2278,2,FALSE),0)</f>
        <v>0</v>
      </c>
      <c r="X386" s="305">
        <f>IF(V386="V",VLOOKUP(T386,Vtas3A!$A$2:$B$2425,2,FALSE),0)</f>
        <v>5000000</v>
      </c>
    </row>
    <row r="387" spans="3:24" x14ac:dyDescent="0.2">
      <c r="C387" s="513"/>
      <c r="D387" s="513"/>
      <c r="F387" s="307"/>
      <c r="N387" s="304" t="s">
        <v>2921</v>
      </c>
      <c r="O387" s="505">
        <f>VLOOKUP(N387,'Im 2'!$A$2:$C$2278,3,FALSE)</f>
        <v>0</v>
      </c>
      <c r="P387" s="304" t="str">
        <f>VLOOKUP(N387,'Im 2'!$A$2:$D$3546,4,FALSE)</f>
        <v>V</v>
      </c>
      <c r="Q387" s="305">
        <f>IF(P387="D",VLOOKUP(N387,'Im 2'!$A$2:$C$2278,2,FALSE),0)</f>
        <v>0</v>
      </c>
      <c r="R387" s="305">
        <f>IF(P387="V",VLOOKUP(N387,Vtas2!$A$2:$B$2425,2,FALSE),0)</f>
        <v>6000000</v>
      </c>
      <c r="T387" s="304" t="s">
        <v>1232</v>
      </c>
      <c r="U387" s="505">
        <f>VLOOKUP(T387,'Im 3A'!$A$2:$C$2278,3,FALSE)</f>
        <v>0</v>
      </c>
      <c r="V387" s="304" t="str">
        <f>VLOOKUP(T387,'Im 3A'!$A$2:$D$3546,4,FALSE)</f>
        <v>V</v>
      </c>
      <c r="W387" s="305">
        <f>IF(V387="D",VLOOKUP(T387,'Im 3A'!$A$2:$C$2278,2,FALSE),0)</f>
        <v>0</v>
      </c>
      <c r="X387" s="305">
        <f>IF(V387="V",VLOOKUP(T387,Vtas3A!$A$2:$B$2425,2,FALSE),0)</f>
        <v>5000000</v>
      </c>
    </row>
    <row r="388" spans="3:24" x14ac:dyDescent="0.2">
      <c r="C388" s="513"/>
      <c r="D388" s="513"/>
      <c r="F388" s="307"/>
      <c r="N388" s="304" t="s">
        <v>3096</v>
      </c>
      <c r="O388" s="505">
        <f>VLOOKUP(N388,'Im 2'!$A$2:$C$2278,3,FALSE)</f>
        <v>0</v>
      </c>
      <c r="P388" s="304" t="str">
        <f>VLOOKUP(N388,'Im 2'!$A$2:$D$3546,4,FALSE)</f>
        <v>V</v>
      </c>
      <c r="Q388" s="305">
        <f>IF(P388="D",VLOOKUP(N388,'Im 2'!$A$2:$C$2278,2,FALSE),0)</f>
        <v>0</v>
      </c>
      <c r="R388" s="305">
        <f>IF(P388="V",VLOOKUP(N388,Vtas2!$A$2:$B$2425,2,FALSE),0)</f>
        <v>6000000</v>
      </c>
      <c r="T388" s="304" t="s">
        <v>4421</v>
      </c>
      <c r="U388" s="505">
        <f>VLOOKUP(T388,'Im 3A'!$A$2:$C$2278,3,FALSE)</f>
        <v>0</v>
      </c>
      <c r="V388" s="304" t="str">
        <f>VLOOKUP(T388,'Im 3A'!$A$2:$D$3546,4,FALSE)</f>
        <v>V</v>
      </c>
      <c r="W388" s="305">
        <f>IF(V388="D",VLOOKUP(T388,'Im 3A'!$A$2:$C$2278,2,FALSE),0)</f>
        <v>0</v>
      </c>
      <c r="X388" s="305">
        <f>IF(V388="V",VLOOKUP(T388,Vtas3A!$A$2:$B$2425,2,FALSE),0)</f>
        <v>5000000</v>
      </c>
    </row>
    <row r="389" spans="3:24" x14ac:dyDescent="0.2">
      <c r="C389" s="559"/>
      <c r="D389" s="559"/>
      <c r="F389" s="307"/>
      <c r="N389" s="304" t="s">
        <v>2922</v>
      </c>
      <c r="O389" s="505">
        <f>VLOOKUP(N389,'Im 2'!$A$2:$C$2278,3,FALSE)</f>
        <v>0</v>
      </c>
      <c r="P389" s="304" t="str">
        <f>VLOOKUP(N389,'Im 2'!$A$2:$D$3546,4,FALSE)</f>
        <v>V</v>
      </c>
      <c r="Q389" s="305">
        <f>IF(P389="D",VLOOKUP(N389,'Im 2'!$A$2:$C$2278,2,FALSE),0)</f>
        <v>0</v>
      </c>
      <c r="R389" s="305">
        <f>IF(P389="V",VLOOKUP(N389,Vtas2!$A$2:$B$2425,2,FALSE),0)</f>
        <v>6000000</v>
      </c>
      <c r="T389" s="304" t="s">
        <v>1162</v>
      </c>
      <c r="U389" s="505">
        <f>VLOOKUP(T389,'Im 3A'!$A$2:$C$2278,3,FALSE)</f>
        <v>0</v>
      </c>
      <c r="V389" s="304" t="str">
        <f>VLOOKUP(T389,'Im 3A'!$A$2:$D$3546,4,FALSE)</f>
        <v>V</v>
      </c>
      <c r="W389" s="305">
        <f>IF(V389="D",VLOOKUP(T389,'Im 3A'!$A$2:$C$2278,2,FALSE),0)</f>
        <v>0</v>
      </c>
      <c r="X389" s="305">
        <f>IF(V389="V",VLOOKUP(T389,Vtas3A!$A$2:$B$2425,2,FALSE),0)</f>
        <v>5000000</v>
      </c>
    </row>
    <row r="390" spans="3:24" x14ac:dyDescent="0.2">
      <c r="C390" s="559"/>
      <c r="D390" s="559"/>
      <c r="E390" s="559"/>
      <c r="F390" s="307"/>
      <c r="N390" s="304" t="s">
        <v>3097</v>
      </c>
      <c r="O390" s="505">
        <f>VLOOKUP(N390,'Im 2'!$A$2:$C$2278,3,FALSE)</f>
        <v>0</v>
      </c>
      <c r="P390" s="304" t="str">
        <f>VLOOKUP(N390,'Im 2'!$A$2:$D$3546,4,FALSE)</f>
        <v>V</v>
      </c>
      <c r="Q390" s="305">
        <f>IF(P390="D",VLOOKUP(N390,'Im 2'!$A$2:$C$2278,2,FALSE),0)</f>
        <v>0</v>
      </c>
      <c r="R390" s="305">
        <f>IF(P390="V",VLOOKUP(N390,Vtas2!$A$2:$B$2425,2,FALSE),0)</f>
        <v>6000000</v>
      </c>
      <c r="T390" s="304" t="s">
        <v>1263</v>
      </c>
      <c r="U390" s="505">
        <f>VLOOKUP(T390,'Im 3A'!$A$2:$C$2278,3,FALSE)</f>
        <v>0</v>
      </c>
      <c r="V390" s="304" t="str">
        <f>VLOOKUP(T390,'Im 3A'!$A$2:$D$3546,4,FALSE)</f>
        <v>V</v>
      </c>
      <c r="W390" s="305">
        <f>IF(V390="D",VLOOKUP(T390,'Im 3A'!$A$2:$C$2278,2,FALSE),0)</f>
        <v>0</v>
      </c>
      <c r="X390" s="305">
        <f>IF(V390="V",VLOOKUP(T390,Vtas3A!$A$2:$B$2425,2,FALSE),0)</f>
        <v>5000000</v>
      </c>
    </row>
    <row r="391" spans="3:24" x14ac:dyDescent="0.2">
      <c r="F391" s="307"/>
      <c r="N391" s="304" t="s">
        <v>4385</v>
      </c>
      <c r="O391" s="505">
        <f>VLOOKUP(N391,'Im 2'!$A$2:$C$2278,3,FALSE)</f>
        <v>0</v>
      </c>
      <c r="P391" s="304" t="str">
        <f>VLOOKUP(N391,'Im 2'!$A$2:$D$3546,4,FALSE)</f>
        <v>V</v>
      </c>
      <c r="Q391" s="305">
        <f>IF(P391="D",VLOOKUP(N391,'Im 2'!$A$2:$C$2278,2,FALSE),0)</f>
        <v>0</v>
      </c>
      <c r="R391" s="305">
        <f>IF(P391="V",VLOOKUP(N391,Vtas2!$A$2:$B$2425,2,FALSE),0)</f>
        <v>6000000</v>
      </c>
      <c r="T391" s="304" t="s">
        <v>4349</v>
      </c>
      <c r="U391" s="505">
        <f>VLOOKUP(T391,'Im 3A'!$A$2:$C$2278,3,FALSE)</f>
        <v>0</v>
      </c>
      <c r="V391" s="304" t="str">
        <f>VLOOKUP(T391,'Im 3A'!$A$2:$D$3546,4,FALSE)</f>
        <v>V</v>
      </c>
      <c r="W391" s="305">
        <f>IF(V391="D",VLOOKUP(T391,'Im 3A'!$A$2:$C$2278,2,FALSE),0)</f>
        <v>0</v>
      </c>
      <c r="X391" s="305">
        <f>IF(V391="V",VLOOKUP(T391,Vtas3A!$A$2:$B$2425,2,FALSE),0)</f>
        <v>5000000</v>
      </c>
    </row>
    <row r="392" spans="3:24" x14ac:dyDescent="0.2">
      <c r="F392" s="307"/>
      <c r="N392" s="304" t="s">
        <v>3399</v>
      </c>
      <c r="O392" s="505">
        <f>VLOOKUP(N392,'Im 2'!$A$2:$C$2278,3,FALSE)</f>
        <v>0</v>
      </c>
      <c r="P392" s="304" t="str">
        <f>VLOOKUP(N392,'Im 2'!$A$2:$D$3546,4,FALSE)</f>
        <v>V</v>
      </c>
      <c r="Q392" s="305">
        <f>IF(P392="D",VLOOKUP(N392,'Im 2'!$A$2:$C$2278,2,FALSE),0)</f>
        <v>0</v>
      </c>
      <c r="R392" s="305">
        <f>IF(P392="V",VLOOKUP(N392,Vtas2!$A$2:$B$2425,2,FALSE),0)</f>
        <v>6000000</v>
      </c>
      <c r="T392" s="304" t="s">
        <v>1163</v>
      </c>
      <c r="U392" s="505">
        <f>VLOOKUP(T392,'Im 3A'!$A$2:$C$2278,3,FALSE)</f>
        <v>0</v>
      </c>
      <c r="V392" s="304" t="str">
        <f>VLOOKUP(T392,'Im 3A'!$A$2:$D$3546,4,FALSE)</f>
        <v>V</v>
      </c>
      <c r="W392" s="305">
        <f>IF(V392="D",VLOOKUP(T392,'Im 3A'!$A$2:$C$2278,2,FALSE),0)</f>
        <v>0</v>
      </c>
      <c r="X392" s="305">
        <f>IF(V392="V",VLOOKUP(T392,Vtas3A!$A$2:$B$2425,2,FALSE),0)</f>
        <v>5000000</v>
      </c>
    </row>
    <row r="393" spans="3:24" x14ac:dyDescent="0.2">
      <c r="F393" s="307"/>
      <c r="N393" s="304" t="s">
        <v>2923</v>
      </c>
      <c r="O393" s="505">
        <f>VLOOKUP(N393,'Im 2'!$A$2:$C$2278,3,FALSE)</f>
        <v>0</v>
      </c>
      <c r="P393" s="304" t="str">
        <f>VLOOKUP(N393,'Im 2'!$A$2:$D$3546,4,FALSE)</f>
        <v>V</v>
      </c>
      <c r="Q393" s="305">
        <f>IF(P393="D",VLOOKUP(N393,'Im 2'!$A$2:$C$2278,2,FALSE),0)</f>
        <v>0</v>
      </c>
      <c r="R393" s="305">
        <f>IF(P393="V",VLOOKUP(N393,Vtas2!$A$2:$B$2425,2,FALSE),0)</f>
        <v>6000000</v>
      </c>
      <c r="T393" s="304" t="s">
        <v>1369</v>
      </c>
      <c r="U393" s="505">
        <f>VLOOKUP(T393,'Im 3A'!$A$2:$C$2278,3,FALSE)</f>
        <v>0</v>
      </c>
      <c r="V393" s="304" t="str">
        <f>VLOOKUP(T393,'Im 3A'!$A$2:$D$3546,4,FALSE)</f>
        <v>V</v>
      </c>
      <c r="W393" s="305">
        <f>IF(V393="D",VLOOKUP(T393,'Im 3A'!$A$2:$C$2278,2,FALSE),0)</f>
        <v>0</v>
      </c>
      <c r="X393" s="305">
        <f>IF(V393="V",VLOOKUP(T393,Vtas3A!$A$2:$B$2425,2,FALSE),0)</f>
        <v>5000000</v>
      </c>
    </row>
    <row r="394" spans="3:24" x14ac:dyDescent="0.2">
      <c r="N394" s="304" t="s">
        <v>3197</v>
      </c>
      <c r="O394" s="505">
        <f>VLOOKUP(N394,'Im 2'!$A$2:$C$2278,3,FALSE)</f>
        <v>0</v>
      </c>
      <c r="P394" s="304" t="str">
        <f>VLOOKUP(N394,'Im 2'!$A$2:$D$3546,4,FALSE)</f>
        <v>V</v>
      </c>
      <c r="Q394" s="305">
        <f>IF(P394="D",VLOOKUP(N394,'Im 2'!$A$2:$C$2278,2,FALSE),0)</f>
        <v>0</v>
      </c>
      <c r="R394" s="305">
        <f>IF(P394="V",VLOOKUP(N394,Vtas2!$A$2:$B$2425,2,FALSE),0)</f>
        <v>6000000</v>
      </c>
      <c r="T394" s="304" t="s">
        <v>1108</v>
      </c>
      <c r="U394" s="505">
        <f>VLOOKUP(T394,'Im 3A'!$A$2:$C$2278,3,FALSE)</f>
        <v>0</v>
      </c>
      <c r="V394" s="304" t="str">
        <f>VLOOKUP(T394,'Im 3A'!$A$2:$D$3546,4,FALSE)</f>
        <v>V</v>
      </c>
      <c r="W394" s="305">
        <f>IF(V394="D",VLOOKUP(T394,'Im 3A'!$A$2:$C$2278,2,FALSE),0)</f>
        <v>0</v>
      </c>
      <c r="X394" s="305">
        <f>IF(V394="V",VLOOKUP(T394,Vtas3A!$A$2:$B$2425,2,FALSE),0)</f>
        <v>5000000</v>
      </c>
    </row>
    <row r="395" spans="3:24" x14ac:dyDescent="0.2">
      <c r="F395" s="682"/>
      <c r="N395" s="304" t="s">
        <v>2924</v>
      </c>
      <c r="O395" s="505">
        <f>VLOOKUP(N395,'Im 2'!$A$2:$C$2278,3,FALSE)</f>
        <v>0</v>
      </c>
      <c r="P395" s="304" t="str">
        <f>VLOOKUP(N395,'Im 2'!$A$2:$D$3546,4,FALSE)</f>
        <v>V</v>
      </c>
      <c r="Q395" s="305">
        <f>IF(P395="D",VLOOKUP(N395,'Im 2'!$A$2:$C$2278,2,FALSE),0)</f>
        <v>0</v>
      </c>
      <c r="R395" s="305">
        <f>IF(P395="V",VLOOKUP(N395,Vtas2!$A$2:$B$2425,2,FALSE),0)</f>
        <v>6000000</v>
      </c>
      <c r="T395" s="304" t="s">
        <v>1109</v>
      </c>
      <c r="U395" s="505">
        <f>VLOOKUP(T395,'Im 3A'!$A$2:$C$2278,3,FALSE)</f>
        <v>0</v>
      </c>
      <c r="V395" s="304" t="str">
        <f>VLOOKUP(T395,'Im 3A'!$A$2:$D$3546,4,FALSE)</f>
        <v>V</v>
      </c>
      <c r="W395" s="305">
        <f>IF(V395="D",VLOOKUP(T395,'Im 3A'!$A$2:$C$2278,2,FALSE),0)</f>
        <v>0</v>
      </c>
      <c r="X395" s="305">
        <f>IF(V395="V",VLOOKUP(T395,Vtas3A!$A$2:$B$2425,2,FALSE),0)</f>
        <v>5000000</v>
      </c>
    </row>
    <row r="396" spans="3:24" x14ac:dyDescent="0.2">
      <c r="N396" s="313" t="s">
        <v>2670</v>
      </c>
      <c r="O396" s="313">
        <f>++COUNTA(O271:O395)</f>
        <v>125</v>
      </c>
      <c r="P396" s="313"/>
      <c r="Q396" s="315">
        <f>SUM(Q271:Q395)</f>
        <v>60000000</v>
      </c>
      <c r="R396" s="315">
        <f>SUM(R271:R395)</f>
        <v>690000000</v>
      </c>
      <c r="T396" s="304" t="s">
        <v>1046</v>
      </c>
      <c r="U396" s="505">
        <f>VLOOKUP(T396,'Im 3A'!$A$2:$C$2278,3,FALSE)</f>
        <v>0</v>
      </c>
      <c r="V396" s="304" t="str">
        <f>VLOOKUP(T396,'Im 3A'!$A$2:$D$3546,4,FALSE)</f>
        <v>V</v>
      </c>
      <c r="W396" s="305">
        <f>IF(V396="D",VLOOKUP(T396,'Im 3A'!$A$2:$C$2278,2,FALSE),0)</f>
        <v>0</v>
      </c>
      <c r="X396" s="305">
        <f>IF(V396="V",VLOOKUP(T396,Vtas3A!$A$2:$B$2425,2,FALSE),0)</f>
        <v>5000000</v>
      </c>
    </row>
    <row r="397" spans="3:24" x14ac:dyDescent="0.2">
      <c r="C397" s="559"/>
      <c r="D397" s="559"/>
      <c r="E397" s="559"/>
      <c r="T397" s="304" t="s">
        <v>1047</v>
      </c>
      <c r="U397" s="505">
        <f>VLOOKUP(T397,'Im 3A'!$A$2:$C$2278,3,FALSE)</f>
        <v>0</v>
      </c>
      <c r="V397" s="304" t="str">
        <f>VLOOKUP(T397,'Im 3A'!$A$2:$D$3546,4,FALSE)</f>
        <v>V</v>
      </c>
      <c r="W397" s="305">
        <f>IF(V397="D",VLOOKUP(T397,'Im 3A'!$A$2:$C$2278,2,FALSE),0)</f>
        <v>0</v>
      </c>
      <c r="X397" s="305">
        <f>IF(V397="V",VLOOKUP(T397,Vtas3A!$A$2:$B$2425,2,FALSE),0)</f>
        <v>5000000</v>
      </c>
    </row>
    <row r="398" spans="3:24" x14ac:dyDescent="0.2">
      <c r="C398" s="559"/>
      <c r="D398" s="559"/>
      <c r="E398" s="559"/>
      <c r="T398" s="304" t="s">
        <v>1048</v>
      </c>
      <c r="U398" s="505">
        <f>VLOOKUP(T398,'Im 3A'!$A$2:$C$2278,3,FALSE)</f>
        <v>0</v>
      </c>
      <c r="V398" s="304" t="str">
        <f>VLOOKUP(T398,'Im 3A'!$A$2:$D$3546,4,FALSE)</f>
        <v>V</v>
      </c>
      <c r="W398" s="305">
        <f>IF(V398="D",VLOOKUP(T398,'Im 3A'!$A$2:$C$2278,2,FALSE),0)</f>
        <v>0</v>
      </c>
      <c r="X398" s="305">
        <f>IF(V398="V",VLOOKUP(T398,Vtas3A!$A$2:$B$2425,2,FALSE),0)</f>
        <v>5000000</v>
      </c>
    </row>
    <row r="399" spans="3:24" x14ac:dyDescent="0.2">
      <c r="C399" s="559"/>
      <c r="D399" s="559"/>
      <c r="E399" s="559"/>
      <c r="H399" s="513"/>
      <c r="T399" s="304" t="s">
        <v>1190</v>
      </c>
      <c r="U399" s="505">
        <f>VLOOKUP(T399,'Im 3A'!$A$2:$C$2278,3,FALSE)</f>
        <v>0</v>
      </c>
      <c r="V399" s="304" t="str">
        <f>VLOOKUP(T399,'Im 3A'!$A$2:$D$3546,4,FALSE)</f>
        <v>V</v>
      </c>
      <c r="W399" s="305">
        <f>IF(V399="D",VLOOKUP(T399,'Im 3A'!$A$2:$C$2278,2,FALSE),0)</f>
        <v>0</v>
      </c>
      <c r="X399" s="305">
        <f>IF(V399="V",VLOOKUP(T399,Vtas3A!$A$2:$B$2425,2,FALSE),0)</f>
        <v>5000000</v>
      </c>
    </row>
    <row r="400" spans="3:24" x14ac:dyDescent="0.2">
      <c r="C400" s="559"/>
      <c r="D400" s="559"/>
      <c r="E400" s="559"/>
      <c r="T400" s="304" t="s">
        <v>1110</v>
      </c>
      <c r="U400" s="505">
        <f>VLOOKUP(T400,'Im 3A'!$A$2:$C$2278,3,FALSE)</f>
        <v>0</v>
      </c>
      <c r="V400" s="304" t="str">
        <f>VLOOKUP(T400,'Im 3A'!$A$2:$D$3546,4,FALSE)</f>
        <v>V</v>
      </c>
      <c r="W400" s="305">
        <f>IF(V400="D",VLOOKUP(T400,'Im 3A'!$A$2:$C$2278,2,FALSE),0)</f>
        <v>0</v>
      </c>
      <c r="X400" s="305">
        <f>IF(V400="V",VLOOKUP(T400,Vtas3A!$A$2:$B$2425,2,FALSE),0)</f>
        <v>5000000</v>
      </c>
    </row>
    <row r="401" spans="3:24" x14ac:dyDescent="0.2">
      <c r="C401" s="559"/>
      <c r="D401" s="559"/>
      <c r="E401" s="559"/>
      <c r="T401" s="304" t="s">
        <v>4422</v>
      </c>
      <c r="U401" s="505">
        <f>VLOOKUP(T401,'Im 3A'!$A$2:$C$2278,3,FALSE)</f>
        <v>0</v>
      </c>
      <c r="V401" s="304" t="str">
        <f>VLOOKUP(T401,'Im 3A'!$A$2:$D$3546,4,FALSE)</f>
        <v>V</v>
      </c>
      <c r="W401" s="305">
        <f>IF(V401="D",VLOOKUP(T401,'Im 3A'!$A$2:$C$2278,2,FALSE),0)</f>
        <v>0</v>
      </c>
      <c r="X401" s="305">
        <f>IF(V401="V",VLOOKUP(T401,Vtas3A!$A$2:$B$2425,2,FALSE),0)</f>
        <v>5000000</v>
      </c>
    </row>
    <row r="402" spans="3:24" x14ac:dyDescent="0.2">
      <c r="T402" s="304" t="s">
        <v>1164</v>
      </c>
      <c r="U402" s="505">
        <f>VLOOKUP(T402,'Im 3A'!$A$2:$C$2278,3,FALSE)</f>
        <v>0</v>
      </c>
      <c r="V402" s="304" t="str">
        <f>VLOOKUP(T402,'Im 3A'!$A$2:$D$3546,4,FALSE)</f>
        <v>V</v>
      </c>
      <c r="W402" s="305">
        <f>IF(V402="D",VLOOKUP(T402,'Im 3A'!$A$2:$C$2278,2,FALSE),0)</f>
        <v>0</v>
      </c>
      <c r="X402" s="305">
        <f>IF(V402="V",VLOOKUP(T402,Vtas3A!$A$2:$B$2425,2,FALSE),0)</f>
        <v>5000000</v>
      </c>
    </row>
    <row r="403" spans="3:24" x14ac:dyDescent="0.2">
      <c r="T403" s="304" t="s">
        <v>1050</v>
      </c>
      <c r="U403" s="505">
        <f>VLOOKUP(T403,'Im 3A'!$A$2:$C$2278,3,FALSE)</f>
        <v>0</v>
      </c>
      <c r="V403" s="304" t="str">
        <f>VLOOKUP(T403,'Im 3A'!$A$2:$D$3546,4,FALSE)</f>
        <v>V</v>
      </c>
      <c r="W403" s="305">
        <f>IF(V403="D",VLOOKUP(T403,'Im 3A'!$A$2:$C$2278,2,FALSE),0)</f>
        <v>0</v>
      </c>
      <c r="X403" s="305">
        <f>IF(V403="V",VLOOKUP(T403,Vtas3A!$A$2:$B$2425,2,FALSE),0)</f>
        <v>5000000</v>
      </c>
    </row>
    <row r="404" spans="3:24" x14ac:dyDescent="0.2">
      <c r="T404" s="304" t="s">
        <v>1111</v>
      </c>
      <c r="U404" s="505">
        <f>VLOOKUP(T404,'Im 3A'!$A$2:$C$2278,3,FALSE)</f>
        <v>0</v>
      </c>
      <c r="V404" s="304" t="str">
        <f>VLOOKUP(T404,'Im 3A'!$A$2:$D$3546,4,FALSE)</f>
        <v>V</v>
      </c>
      <c r="W404" s="305">
        <f>IF(V404="D",VLOOKUP(T404,'Im 3A'!$A$2:$C$2278,2,FALSE),0)</f>
        <v>0</v>
      </c>
      <c r="X404" s="305">
        <f>IF(V404="V",VLOOKUP(T404,Vtas3A!$A$2:$B$2425,2,FALSE),0)</f>
        <v>5000000</v>
      </c>
    </row>
    <row r="405" spans="3:24" x14ac:dyDescent="0.2">
      <c r="T405" s="304" t="s">
        <v>1139</v>
      </c>
      <c r="U405" s="505">
        <f>VLOOKUP(T405,'Im 3A'!$A$2:$C$2278,3,FALSE)</f>
        <v>0</v>
      </c>
      <c r="V405" s="304" t="str">
        <f>VLOOKUP(T405,'Im 3A'!$A$2:$D$3546,4,FALSE)</f>
        <v>V</v>
      </c>
      <c r="W405" s="305">
        <f>IF(V405="D",VLOOKUP(T405,'Im 3A'!$A$2:$C$2278,2,FALSE),0)</f>
        <v>0</v>
      </c>
      <c r="X405" s="305">
        <f>IF(V405="V",VLOOKUP(T405,Vtas3A!$A$2:$B$2425,2,FALSE),0)</f>
        <v>5000000</v>
      </c>
    </row>
    <row r="406" spans="3:24" x14ac:dyDescent="0.2">
      <c r="T406" s="304" t="s">
        <v>1051</v>
      </c>
      <c r="U406" s="505">
        <f>VLOOKUP(T406,'Im 3A'!$A$2:$C$2278,3,FALSE)</f>
        <v>0</v>
      </c>
      <c r="V406" s="304" t="str">
        <f>VLOOKUP(T406,'Im 3A'!$A$2:$D$3546,4,FALSE)</f>
        <v>V</v>
      </c>
      <c r="W406" s="305">
        <f>IF(V406="D",VLOOKUP(T406,'Im 3A'!$A$2:$C$2278,2,FALSE),0)</f>
        <v>0</v>
      </c>
      <c r="X406" s="305">
        <f>IF(V406="V",VLOOKUP(T406,Vtas3A!$A$2:$B$2425,2,FALSE),0)</f>
        <v>5000000</v>
      </c>
    </row>
    <row r="407" spans="3:24" x14ac:dyDescent="0.2">
      <c r="T407" s="304" t="s">
        <v>1165</v>
      </c>
      <c r="U407" s="505">
        <f>VLOOKUP(T407,'Im 3A'!$A$2:$C$2278,3,FALSE)</f>
        <v>0</v>
      </c>
      <c r="V407" s="304" t="str">
        <f>VLOOKUP(T407,'Im 3A'!$A$2:$D$3546,4,FALSE)</f>
        <v>V</v>
      </c>
      <c r="W407" s="305">
        <f>IF(V407="D",VLOOKUP(T407,'Im 3A'!$A$2:$C$2278,2,FALSE),0)</f>
        <v>0</v>
      </c>
      <c r="X407" s="305">
        <f>IF(V407="V",VLOOKUP(T407,Vtas3A!$A$2:$B$2425,2,FALSE),0)</f>
        <v>5000000</v>
      </c>
    </row>
    <row r="408" spans="3:24" x14ac:dyDescent="0.2">
      <c r="T408" s="304" t="s">
        <v>2285</v>
      </c>
      <c r="U408" s="505">
        <f>VLOOKUP(T408,'Im 3A'!$A$2:$C$2278,3,FALSE)</f>
        <v>0</v>
      </c>
      <c r="V408" s="304" t="str">
        <f>VLOOKUP(T408,'Im 3A'!$A$2:$D$3546,4,FALSE)</f>
        <v>V</v>
      </c>
      <c r="W408" s="305">
        <f>IF(V408="D",VLOOKUP(T408,'Im 3A'!$A$2:$C$2278,2,FALSE),0)</f>
        <v>0</v>
      </c>
      <c r="X408" s="305">
        <f>IF(V408="V",VLOOKUP(T408,Vtas3A!$A$2:$B$2425,2,FALSE),0)</f>
        <v>5000000</v>
      </c>
    </row>
    <row r="409" spans="3:24" x14ac:dyDescent="0.2">
      <c r="T409" s="304" t="s">
        <v>1166</v>
      </c>
      <c r="U409" s="505">
        <f>VLOOKUP(T409,'Im 3A'!$A$2:$C$2278,3,FALSE)</f>
        <v>0</v>
      </c>
      <c r="V409" s="304" t="str">
        <f>VLOOKUP(T409,'Im 3A'!$A$2:$D$3546,4,FALSE)</f>
        <v>V</v>
      </c>
      <c r="W409" s="305">
        <f>IF(V409="D",VLOOKUP(T409,'Im 3A'!$A$2:$C$2278,2,FALSE),0)</f>
        <v>0</v>
      </c>
      <c r="X409" s="305">
        <f>IF(V409="V",VLOOKUP(T409,Vtas3A!$A$2:$B$2425,2,FALSE),0)</f>
        <v>5000000</v>
      </c>
    </row>
    <row r="410" spans="3:24" x14ac:dyDescent="0.2">
      <c r="T410" s="304" t="s">
        <v>1564</v>
      </c>
      <c r="U410" s="505">
        <f>VLOOKUP(T410,'Im 3A'!$A$2:$C$2278,3,FALSE)</f>
        <v>0</v>
      </c>
      <c r="V410" s="304" t="str">
        <f>VLOOKUP(T410,'Im 3A'!$A$2:$D$3546,4,FALSE)</f>
        <v>V</v>
      </c>
      <c r="W410" s="305">
        <f>IF(V410="D",VLOOKUP(T410,'Im 3A'!$A$2:$C$2278,2,FALSE),0)</f>
        <v>0</v>
      </c>
      <c r="X410" s="305">
        <f>IF(V410="V",VLOOKUP(T410,Vtas3A!$A$2:$B$2425,2,FALSE),0)</f>
        <v>5000000</v>
      </c>
    </row>
    <row r="411" spans="3:24" x14ac:dyDescent="0.2">
      <c r="T411" s="304" t="s">
        <v>1167</v>
      </c>
      <c r="U411" s="505">
        <f>VLOOKUP(T411,'Im 3A'!$A$2:$C$2278,3,FALSE)</f>
        <v>0</v>
      </c>
      <c r="V411" s="304" t="str">
        <f>VLOOKUP(T411,'Im 3A'!$A$2:$D$3546,4,FALSE)</f>
        <v>V</v>
      </c>
      <c r="W411" s="305">
        <f>IF(V411="D",VLOOKUP(T411,'Im 3A'!$A$2:$C$2278,2,FALSE),0)</f>
        <v>0</v>
      </c>
      <c r="X411" s="305">
        <f>IF(V411="V",VLOOKUP(T411,Vtas3A!$A$2:$B$2425,2,FALSE),0)</f>
        <v>5000000</v>
      </c>
    </row>
    <row r="412" spans="3:24" x14ac:dyDescent="0.2">
      <c r="C412" s="559">
        <f>++C5+I5+U5+AA5+O5</f>
        <v>576</v>
      </c>
      <c r="D412" s="559">
        <f t="shared" ref="D412:E416" si="0">++D5+J5+V5+AB5+P5</f>
        <v>41085.629999999997</v>
      </c>
      <c r="E412" s="559">
        <f t="shared" si="0"/>
        <v>209744799819</v>
      </c>
      <c r="T412" s="304" t="s">
        <v>1112</v>
      </c>
      <c r="U412" s="505">
        <f>VLOOKUP(T412,'Im 3A'!$A$2:$C$2278,3,FALSE)</f>
        <v>0</v>
      </c>
      <c r="V412" s="304" t="str">
        <f>VLOOKUP(T412,'Im 3A'!$A$2:$D$3546,4,FALSE)</f>
        <v>V</v>
      </c>
      <c r="W412" s="305">
        <f>IF(V412="D",VLOOKUP(T412,'Im 3A'!$A$2:$C$2278,2,FALSE),0)</f>
        <v>0</v>
      </c>
      <c r="X412" s="305">
        <f>IF(V412="V",VLOOKUP(T412,Vtas3A!$A$2:$B$2425,2,FALSE),0)</f>
        <v>5000000</v>
      </c>
    </row>
    <row r="413" spans="3:24" x14ac:dyDescent="0.2">
      <c r="C413" s="559">
        <f t="shared" ref="C413:C416" si="1">++C6+I6+U6+AA6+O6</f>
        <v>577</v>
      </c>
      <c r="D413" s="559">
        <f t="shared" si="0"/>
        <v>0</v>
      </c>
      <c r="E413" s="559">
        <f t="shared" si="0"/>
        <v>14388000000</v>
      </c>
      <c r="T413" s="304" t="s">
        <v>1497</v>
      </c>
      <c r="U413" s="505">
        <f>VLOOKUP(T413,'Im 3A'!$A$2:$C$2278,3,FALSE)</f>
        <v>0</v>
      </c>
      <c r="V413" s="304" t="str">
        <f>VLOOKUP(T413,'Im 3A'!$A$2:$D$3546,4,FALSE)</f>
        <v>V</v>
      </c>
      <c r="W413" s="305">
        <f>IF(V413="D",VLOOKUP(T413,'Im 3A'!$A$2:$C$2278,2,FALSE),0)</f>
        <v>0</v>
      </c>
      <c r="X413" s="305">
        <f>IF(V413="V",VLOOKUP(T413,Vtas3A!$A$2:$B$2425,2,FALSE),0)</f>
        <v>5000000</v>
      </c>
    </row>
    <row r="414" spans="3:24" x14ac:dyDescent="0.2">
      <c r="C414" s="559">
        <f t="shared" si="1"/>
        <v>7</v>
      </c>
      <c r="D414" s="559">
        <f t="shared" si="0"/>
        <v>0</v>
      </c>
      <c r="E414" s="559">
        <f t="shared" si="0"/>
        <v>80000000</v>
      </c>
      <c r="T414" s="304" t="s">
        <v>1140</v>
      </c>
      <c r="U414" s="505">
        <f>VLOOKUP(T414,'Im 3A'!$A$2:$C$2278,3,FALSE)</f>
        <v>0</v>
      </c>
      <c r="V414" s="304" t="str">
        <f>VLOOKUP(T414,'Im 3A'!$A$2:$D$3546,4,FALSE)</f>
        <v>V</v>
      </c>
      <c r="W414" s="305">
        <f>IF(V414="D",VLOOKUP(T414,'Im 3A'!$A$2:$C$2278,2,FALSE),0)</f>
        <v>0</v>
      </c>
      <c r="X414" s="305">
        <f>IF(V414="V",VLOOKUP(T414,Vtas3A!$A$2:$B$2425,2,FALSE),0)</f>
        <v>5000000</v>
      </c>
    </row>
    <row r="415" spans="3:24" x14ac:dyDescent="0.2">
      <c r="C415" s="559">
        <f t="shared" si="1"/>
        <v>404</v>
      </c>
      <c r="D415" s="559">
        <f t="shared" si="0"/>
        <v>0</v>
      </c>
      <c r="E415" s="559">
        <f t="shared" si="0"/>
        <v>2135000000</v>
      </c>
      <c r="T415" s="304" t="s">
        <v>1113</v>
      </c>
      <c r="U415" s="505">
        <f>VLOOKUP(T415,'Im 3A'!$A$2:$C$2278,3,FALSE)</f>
        <v>0</v>
      </c>
      <c r="V415" s="304" t="str">
        <f>VLOOKUP(T415,'Im 3A'!$A$2:$D$3546,4,FALSE)</f>
        <v>V</v>
      </c>
      <c r="W415" s="305">
        <f>IF(V415="D",VLOOKUP(T415,'Im 3A'!$A$2:$C$2278,2,FALSE),0)</f>
        <v>0</v>
      </c>
      <c r="X415" s="305">
        <f>IF(V415="V",VLOOKUP(T415,Vtas3A!$A$2:$B$2425,2,FALSE),0)</f>
        <v>5000000</v>
      </c>
    </row>
    <row r="416" spans="3:24" x14ac:dyDescent="0.2">
      <c r="C416" s="559">
        <f t="shared" si="1"/>
        <v>1564</v>
      </c>
      <c r="D416" s="559">
        <f t="shared" si="0"/>
        <v>41085.629999999997</v>
      </c>
      <c r="E416" s="559">
        <f t="shared" si="0"/>
        <v>226347799819</v>
      </c>
      <c r="T416" s="304" t="s">
        <v>1052</v>
      </c>
      <c r="U416" s="505">
        <f>VLOOKUP(T416,'Im 3A'!$A$2:$C$2278,3,FALSE)</f>
        <v>0</v>
      </c>
      <c r="V416" s="304" t="str">
        <f>VLOOKUP(T416,'Im 3A'!$A$2:$D$3546,4,FALSE)</f>
        <v>V</v>
      </c>
      <c r="W416" s="305">
        <f>IF(V416="D",VLOOKUP(T416,'Im 3A'!$A$2:$C$2278,2,FALSE),0)</f>
        <v>0</v>
      </c>
      <c r="X416" s="305">
        <f>IF(V416="V",VLOOKUP(T416,Vtas3A!$A$2:$B$2425,2,FALSE),0)</f>
        <v>5000000</v>
      </c>
    </row>
    <row r="417" spans="3:24" x14ac:dyDescent="0.2">
      <c r="C417" s="559"/>
      <c r="D417" s="559"/>
      <c r="E417" s="559"/>
      <c r="T417" s="304" t="s">
        <v>1053</v>
      </c>
      <c r="U417" s="505">
        <f>VLOOKUP(T417,'Im 3A'!$A$2:$C$2278,3,FALSE)</f>
        <v>0</v>
      </c>
      <c r="V417" s="304" t="str">
        <f>VLOOKUP(T417,'Im 3A'!$A$2:$D$3546,4,FALSE)</f>
        <v>V</v>
      </c>
      <c r="W417" s="305">
        <f>IF(V417="D",VLOOKUP(T417,'Im 3A'!$A$2:$C$2278,2,FALSE),0)</f>
        <v>0</v>
      </c>
      <c r="X417" s="305">
        <f>IF(V417="V",VLOOKUP(T417,Vtas3A!$A$2:$B$2425,2,FALSE),0)</f>
        <v>5000000</v>
      </c>
    </row>
    <row r="418" spans="3:24" x14ac:dyDescent="0.2">
      <c r="T418" s="304" t="s">
        <v>1141</v>
      </c>
      <c r="U418" s="505">
        <f>VLOOKUP(T418,'Im 3A'!$A$2:$C$2278,3,FALSE)</f>
        <v>0</v>
      </c>
      <c r="V418" s="304" t="str">
        <f>VLOOKUP(T418,'Im 3A'!$A$2:$D$3546,4,FALSE)</f>
        <v>V</v>
      </c>
      <c r="W418" s="305">
        <f>IF(V418="D",VLOOKUP(T418,'Im 3A'!$A$2:$C$2278,2,FALSE),0)</f>
        <v>0</v>
      </c>
      <c r="X418" s="305">
        <f>IF(V418="V",VLOOKUP(T418,Vtas3A!$A$2:$B$2425,2,FALSE),0)</f>
        <v>5000000</v>
      </c>
    </row>
    <row r="419" spans="3:24" x14ac:dyDescent="0.2">
      <c r="T419" s="304" t="s">
        <v>1266</v>
      </c>
      <c r="U419" s="505">
        <f>VLOOKUP(T419,'Im 3A'!$A$2:$C$2278,3,FALSE)</f>
        <v>0</v>
      </c>
      <c r="V419" s="304" t="str">
        <f>VLOOKUP(T419,'Im 3A'!$A$2:$D$3546,4,FALSE)</f>
        <v>V</v>
      </c>
      <c r="W419" s="305">
        <f>IF(V419="D",VLOOKUP(T419,'Im 3A'!$A$2:$C$2278,2,FALSE),0)</f>
        <v>0</v>
      </c>
      <c r="X419" s="305">
        <f>IF(V419="V",VLOOKUP(T419,Vtas3A!$A$2:$B$2425,2,FALSE),0)</f>
        <v>5000000</v>
      </c>
    </row>
    <row r="420" spans="3:24" x14ac:dyDescent="0.2">
      <c r="T420" s="304" t="s">
        <v>1267</v>
      </c>
      <c r="U420" s="505">
        <f>VLOOKUP(T420,'Im 3A'!$A$2:$C$2278,3,FALSE)</f>
        <v>0</v>
      </c>
      <c r="V420" s="304" t="str">
        <f>VLOOKUP(T420,'Im 3A'!$A$2:$D$3546,4,FALSE)</f>
        <v>V</v>
      </c>
      <c r="W420" s="305">
        <f>IF(V420="D",VLOOKUP(T420,'Im 3A'!$A$2:$C$2278,2,FALSE),0)</f>
        <v>0</v>
      </c>
      <c r="X420" s="305">
        <f>IF(V420="V",VLOOKUP(T420,Vtas3A!$A$2:$B$2425,2,FALSE),0)</f>
        <v>5000000</v>
      </c>
    </row>
    <row r="421" spans="3:24" x14ac:dyDescent="0.2">
      <c r="T421" s="304" t="s">
        <v>1142</v>
      </c>
      <c r="U421" s="505">
        <f>VLOOKUP(T421,'Im 3A'!$A$2:$C$2278,3,FALSE)</f>
        <v>0</v>
      </c>
      <c r="V421" s="304" t="str">
        <f>VLOOKUP(T421,'Im 3A'!$A$2:$D$3546,4,FALSE)</f>
        <v>V</v>
      </c>
      <c r="W421" s="305">
        <f>IF(V421="D",VLOOKUP(T421,'Im 3A'!$A$2:$C$2278,2,FALSE),0)</f>
        <v>0</v>
      </c>
      <c r="X421" s="305">
        <f>IF(V421="V",VLOOKUP(T421,Vtas3A!$A$2:$B$2425,2,FALSE),0)</f>
        <v>5000000</v>
      </c>
    </row>
    <row r="422" spans="3:24" x14ac:dyDescent="0.2">
      <c r="T422" s="304" t="s">
        <v>1168</v>
      </c>
      <c r="U422" s="505">
        <f>VLOOKUP(T422,'Im 3A'!$A$2:$C$2278,3,FALSE)</f>
        <v>0</v>
      </c>
      <c r="V422" s="304" t="str">
        <f>VLOOKUP(T422,'Im 3A'!$A$2:$D$3546,4,FALSE)</f>
        <v>V</v>
      </c>
      <c r="W422" s="305">
        <f>IF(V422="D",VLOOKUP(T422,'Im 3A'!$A$2:$C$2278,2,FALSE),0)</f>
        <v>0</v>
      </c>
      <c r="X422" s="305">
        <f>IF(V422="V",VLOOKUP(T422,Vtas3A!$A$2:$B$2425,2,FALSE),0)</f>
        <v>5000000</v>
      </c>
    </row>
    <row r="423" spans="3:24" x14ac:dyDescent="0.2">
      <c r="T423" s="304" t="s">
        <v>1169</v>
      </c>
      <c r="U423" s="505">
        <f>VLOOKUP(T423,'Im 3A'!$A$2:$C$2278,3,FALSE)</f>
        <v>0</v>
      </c>
      <c r="V423" s="304" t="str">
        <f>VLOOKUP(T423,'Im 3A'!$A$2:$D$3546,4,FALSE)</f>
        <v>V</v>
      </c>
      <c r="W423" s="305">
        <f>IF(V423="D",VLOOKUP(T423,'Im 3A'!$A$2:$C$2278,2,FALSE),0)</f>
        <v>0</v>
      </c>
      <c r="X423" s="305">
        <f>IF(V423="V",VLOOKUP(T423,Vtas3A!$A$2:$B$2425,2,FALSE),0)</f>
        <v>5000000</v>
      </c>
    </row>
    <row r="424" spans="3:24" x14ac:dyDescent="0.2">
      <c r="T424" s="304" t="s">
        <v>1201</v>
      </c>
      <c r="U424" s="505">
        <f>VLOOKUP(T424,'Im 3A'!$A$2:$C$2278,3,FALSE)</f>
        <v>0</v>
      </c>
      <c r="V424" s="304" t="str">
        <f>VLOOKUP(T424,'Im 3A'!$A$2:$D$3546,4,FALSE)</f>
        <v>V</v>
      </c>
      <c r="W424" s="305">
        <f>IF(V424="D",VLOOKUP(T424,'Im 3A'!$A$2:$C$2278,2,FALSE),0)</f>
        <v>0</v>
      </c>
      <c r="X424" s="305">
        <f>IF(V424="V",VLOOKUP(T424,Vtas3A!$A$2:$B$2425,2,FALSE),0)</f>
        <v>5000000</v>
      </c>
    </row>
    <row r="425" spans="3:24" x14ac:dyDescent="0.2">
      <c r="T425" s="304" t="s">
        <v>1143</v>
      </c>
      <c r="U425" s="505">
        <f>VLOOKUP(T425,'Im 3A'!$A$2:$C$2278,3,FALSE)</f>
        <v>0</v>
      </c>
      <c r="V425" s="304" t="str">
        <f>VLOOKUP(T425,'Im 3A'!$A$2:$D$3546,4,FALSE)</f>
        <v>V</v>
      </c>
      <c r="W425" s="305">
        <f>IF(V425="D",VLOOKUP(T425,'Im 3A'!$A$2:$C$2278,2,FALSE),0)</f>
        <v>0</v>
      </c>
      <c r="X425" s="305">
        <f>IF(V425="V",VLOOKUP(T425,Vtas3A!$A$2:$B$2425,2,FALSE),0)</f>
        <v>5000000</v>
      </c>
    </row>
    <row r="426" spans="3:24" x14ac:dyDescent="0.2">
      <c r="T426" s="304" t="s">
        <v>1144</v>
      </c>
      <c r="U426" s="505">
        <f>VLOOKUP(T426,'Im 3A'!$A$2:$C$2278,3,FALSE)</f>
        <v>0</v>
      </c>
      <c r="V426" s="304" t="str">
        <f>VLOOKUP(T426,'Im 3A'!$A$2:$D$3546,4,FALSE)</f>
        <v>V</v>
      </c>
      <c r="W426" s="305">
        <f>IF(V426="D",VLOOKUP(T426,'Im 3A'!$A$2:$C$2278,2,FALSE),0)</f>
        <v>0</v>
      </c>
      <c r="X426" s="305">
        <f>IF(V426="V",VLOOKUP(T426,Vtas3A!$A$2:$B$2425,2,FALSE),0)</f>
        <v>5000000</v>
      </c>
    </row>
    <row r="427" spans="3:24" x14ac:dyDescent="0.2">
      <c r="T427" s="304" t="s">
        <v>1191</v>
      </c>
      <c r="U427" s="505">
        <f>VLOOKUP(T427,'Im 3A'!$A$2:$C$2278,3,FALSE)</f>
        <v>0</v>
      </c>
      <c r="V427" s="304" t="str">
        <f>VLOOKUP(T427,'Im 3A'!$A$2:$D$3546,4,FALSE)</f>
        <v>V</v>
      </c>
      <c r="W427" s="305">
        <f>IF(V427="D",VLOOKUP(T427,'Im 3A'!$A$2:$C$2278,2,FALSE),0)</f>
        <v>0</v>
      </c>
      <c r="X427" s="305">
        <f>IF(V427="V",VLOOKUP(T427,Vtas3A!$A$2:$B$2425,2,FALSE),0)</f>
        <v>5000000</v>
      </c>
    </row>
    <row r="428" spans="3:24" x14ac:dyDescent="0.2">
      <c r="T428" s="304" t="s">
        <v>1689</v>
      </c>
      <c r="U428" s="505">
        <f>VLOOKUP(T428,'Im 3A'!$A$2:$C$2278,3,FALSE)</f>
        <v>0</v>
      </c>
      <c r="V428" s="304" t="str">
        <f>VLOOKUP(T428,'Im 3A'!$A$2:$D$3546,4,FALSE)</f>
        <v>V</v>
      </c>
      <c r="W428" s="305">
        <f>IF(V428="D",VLOOKUP(T428,'Im 3A'!$A$2:$C$2278,2,FALSE),0)</f>
        <v>0</v>
      </c>
      <c r="X428" s="305">
        <f>IF(V428="V",VLOOKUP(T428,Vtas3A!$A$2:$B$2425,2,FALSE),0)</f>
        <v>5000000</v>
      </c>
    </row>
    <row r="429" spans="3:24" x14ac:dyDescent="0.2">
      <c r="T429" s="304" t="s">
        <v>1181</v>
      </c>
      <c r="U429" s="505">
        <f>VLOOKUP(T429,'Im 3A'!$A$2:$C$2278,3,FALSE)</f>
        <v>0</v>
      </c>
      <c r="V429" s="304" t="str">
        <f>VLOOKUP(T429,'Im 3A'!$A$2:$D$3546,4,FALSE)</f>
        <v>V</v>
      </c>
      <c r="W429" s="305">
        <f>IF(V429="D",VLOOKUP(T429,'Im 3A'!$A$2:$C$2278,2,FALSE),0)</f>
        <v>0</v>
      </c>
      <c r="X429" s="305">
        <f>IF(V429="V",VLOOKUP(T429,Vtas3A!$A$2:$B$2425,2,FALSE),0)</f>
        <v>5000000</v>
      </c>
    </row>
    <row r="430" spans="3:24" x14ac:dyDescent="0.2">
      <c r="T430" s="304" t="s">
        <v>1054</v>
      </c>
      <c r="U430" s="505">
        <f>VLOOKUP(T430,'Im 3A'!$A$2:$C$2278,3,FALSE)</f>
        <v>0</v>
      </c>
      <c r="V430" s="304" t="str">
        <f>VLOOKUP(T430,'Im 3A'!$A$2:$D$3546,4,FALSE)</f>
        <v>V</v>
      </c>
      <c r="W430" s="305">
        <f>IF(V430="D",VLOOKUP(T430,'Im 3A'!$A$2:$C$2278,2,FALSE),0)</f>
        <v>0</v>
      </c>
      <c r="X430" s="305">
        <f>IF(V430="V",VLOOKUP(T430,Vtas3A!$A$2:$B$2425,2,FALSE),0)</f>
        <v>5000000</v>
      </c>
    </row>
    <row r="431" spans="3:24" x14ac:dyDescent="0.2">
      <c r="T431" s="304" t="s">
        <v>1233</v>
      </c>
      <c r="U431" s="505">
        <f>VLOOKUP(T431,'Im 3A'!$A$2:$C$2278,3,FALSE)</f>
        <v>0</v>
      </c>
      <c r="V431" s="304" t="str">
        <f>VLOOKUP(T431,'Im 3A'!$A$2:$D$3546,4,FALSE)</f>
        <v>V</v>
      </c>
      <c r="W431" s="305">
        <f>IF(V431="D",VLOOKUP(T431,'Im 3A'!$A$2:$C$2278,2,FALSE),0)</f>
        <v>0</v>
      </c>
      <c r="X431" s="305">
        <f>IF(V431="V",VLOOKUP(T431,Vtas3A!$A$2:$B$2425,2,FALSE),0)</f>
        <v>5000000</v>
      </c>
    </row>
    <row r="432" spans="3:24" x14ac:dyDescent="0.2">
      <c r="T432" s="304" t="s">
        <v>1145</v>
      </c>
      <c r="U432" s="505">
        <f>VLOOKUP(T432,'Im 3A'!$A$2:$C$2278,3,FALSE)</f>
        <v>0</v>
      </c>
      <c r="V432" s="304" t="str">
        <f>VLOOKUP(T432,'Im 3A'!$A$2:$D$3546,4,FALSE)</f>
        <v>V</v>
      </c>
      <c r="W432" s="305">
        <f>IF(V432="D",VLOOKUP(T432,'Im 3A'!$A$2:$C$2278,2,FALSE),0)</f>
        <v>0</v>
      </c>
      <c r="X432" s="305">
        <f>IF(V432="V",VLOOKUP(T432,Vtas3A!$A$2:$B$2425,2,FALSE),0)</f>
        <v>5000000</v>
      </c>
    </row>
    <row r="433" spans="20:24" x14ac:dyDescent="0.2">
      <c r="T433" s="304" t="s">
        <v>1055</v>
      </c>
      <c r="U433" s="505">
        <f>VLOOKUP(T433,'Im 3A'!$A$2:$C$2278,3,FALSE)</f>
        <v>0</v>
      </c>
      <c r="V433" s="304" t="str">
        <f>VLOOKUP(T433,'Im 3A'!$A$2:$D$3546,4,FALSE)</f>
        <v>V</v>
      </c>
      <c r="W433" s="305">
        <f>IF(V433="D",VLOOKUP(T433,'Im 3A'!$A$2:$C$2278,2,FALSE),0)</f>
        <v>0</v>
      </c>
      <c r="X433" s="305">
        <f>IF(V433="V",VLOOKUP(T433,Vtas3A!$A$2:$B$2425,2,FALSE),0)</f>
        <v>5000000</v>
      </c>
    </row>
    <row r="434" spans="20:24" x14ac:dyDescent="0.2">
      <c r="T434" s="313" t="s">
        <v>1060</v>
      </c>
      <c r="U434" s="313">
        <f>++COUNTA(U329:U433)</f>
        <v>105</v>
      </c>
      <c r="V434" s="313"/>
      <c r="W434" s="315">
        <f>SUM(W329:W433)</f>
        <v>80000000</v>
      </c>
      <c r="X434" s="315">
        <f>SUM(X329:X433)</f>
        <v>445000000</v>
      </c>
    </row>
    <row r="475" spans="3:8" x14ac:dyDescent="0.2">
      <c r="H475" s="528"/>
    </row>
    <row r="476" spans="3:8" x14ac:dyDescent="0.2">
      <c r="H476" s="528"/>
    </row>
    <row r="477" spans="3:8" x14ac:dyDescent="0.2">
      <c r="H477" s="528"/>
    </row>
    <row r="478" spans="3:8" x14ac:dyDescent="0.2">
      <c r="H478" s="528"/>
    </row>
    <row r="479" spans="3:8" x14ac:dyDescent="0.2">
      <c r="H479" s="528"/>
    </row>
    <row r="480" spans="3:8" x14ac:dyDescent="0.2">
      <c r="C480" s="683"/>
      <c r="D480" s="683"/>
      <c r="E480" s="683"/>
      <c r="H480" s="528"/>
    </row>
    <row r="481" spans="3:8" x14ac:dyDescent="0.2">
      <c r="C481" s="683"/>
      <c r="D481" s="683"/>
      <c r="E481" s="683"/>
      <c r="H481" s="528"/>
    </row>
    <row r="482" spans="3:8" x14ac:dyDescent="0.2">
      <c r="C482" s="683"/>
      <c r="D482" s="683"/>
      <c r="E482" s="683"/>
      <c r="H482" s="528"/>
    </row>
    <row r="483" spans="3:8" x14ac:dyDescent="0.2">
      <c r="C483" s="683"/>
      <c r="D483" s="683"/>
      <c r="E483" s="683"/>
    </row>
    <row r="484" spans="3:8" x14ac:dyDescent="0.2">
      <c r="C484" s="683"/>
      <c r="D484" s="683"/>
      <c r="E484" s="683"/>
    </row>
    <row r="485" spans="3:8" x14ac:dyDescent="0.2">
      <c r="C485" s="683"/>
      <c r="D485" s="683"/>
      <c r="E485" s="683"/>
    </row>
    <row r="486" spans="3:8" x14ac:dyDescent="0.2">
      <c r="C486" s="683"/>
      <c r="D486" s="683"/>
      <c r="E486" s="683"/>
    </row>
  </sheetData>
  <sortState xmlns:xlrd2="http://schemas.microsoft.com/office/spreadsheetml/2017/richdata2" ref="AD160:AH255">
    <sortCondition ref="AH160:AH255"/>
  </sortState>
  <mergeCells count="17">
    <mergeCell ref="Z11:AD11"/>
    <mergeCell ref="Z114:AD114"/>
    <mergeCell ref="H11:L11"/>
    <mergeCell ref="H114:L114"/>
    <mergeCell ref="H216:L216"/>
    <mergeCell ref="Z209:AD209"/>
    <mergeCell ref="N11:R11"/>
    <mergeCell ref="N140:R140"/>
    <mergeCell ref="T327:X327"/>
    <mergeCell ref="B1:W1"/>
    <mergeCell ref="B2:W2"/>
    <mergeCell ref="B320:F320"/>
    <mergeCell ref="T11:X11"/>
    <mergeCell ref="T165:X165"/>
    <mergeCell ref="B11:F11"/>
    <mergeCell ref="B164:F164"/>
    <mergeCell ref="N269:R269"/>
  </mergeCells>
  <printOptions horizontalCentered="1" verticalCentered="1"/>
  <pageMargins left="0.51181102362204722" right="0.51181102362204722" top="0.55118110236220474" bottom="0.55118110236220474" header="0.31496062992125984" footer="0.31496062992125984"/>
  <pageSetup paperSize="9" scale="30" fitToHeight="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7B863-1A57-4B99-A6A3-2BAA0A8CA426}">
  <dimension ref="A3:AJ426"/>
  <sheetViews>
    <sheetView showGridLines="0" topLeftCell="X3" zoomScale="115" zoomScaleNormal="115" zoomScaleSheetLayoutView="115" workbookViewId="0">
      <selection activeCell="AA14" sqref="AA14"/>
    </sheetView>
  </sheetViews>
  <sheetFormatPr baseColWidth="10" defaultRowHeight="12.75" x14ac:dyDescent="0.2"/>
  <cols>
    <col min="1" max="1" width="18.42578125" bestFit="1" customWidth="1"/>
    <col min="2" max="2" width="23.85546875" bestFit="1" customWidth="1"/>
    <col min="3" max="3" width="11.5703125" bestFit="1" customWidth="1"/>
    <col min="4" max="6" width="31.28515625" bestFit="1" customWidth="1"/>
    <col min="7" max="7" width="17.85546875" bestFit="1" customWidth="1"/>
    <col min="8" max="8" width="23" bestFit="1" customWidth="1"/>
    <col min="9" max="9" width="11.5703125" bestFit="1" customWidth="1"/>
    <col min="10" max="12" width="31.28515625" bestFit="1" customWidth="1"/>
    <col min="13" max="13" width="17.85546875" bestFit="1" customWidth="1"/>
    <col min="14" max="14" width="23" bestFit="1" customWidth="1"/>
    <col min="15" max="15" width="11.5703125" bestFit="1" customWidth="1"/>
    <col min="16" max="18" width="31.28515625" bestFit="1" customWidth="1"/>
    <col min="19" max="19" width="23.5703125" bestFit="1" customWidth="1"/>
    <col min="20" max="20" width="23" bestFit="1" customWidth="1"/>
    <col min="21" max="21" width="11.5703125" bestFit="1" customWidth="1"/>
    <col min="22" max="24" width="31.28515625" bestFit="1" customWidth="1"/>
    <col min="25" max="25" width="19.42578125" bestFit="1" customWidth="1"/>
    <col min="26" max="26" width="23" bestFit="1" customWidth="1"/>
    <col min="27" max="27" width="11.5703125" bestFit="1" customWidth="1"/>
    <col min="28" max="30" width="30.85546875" bestFit="1" customWidth="1"/>
    <col min="31" max="31" width="19.28515625" bestFit="1" customWidth="1"/>
    <col min="32" max="32" width="25.85546875" bestFit="1" customWidth="1"/>
    <col min="33" max="33" width="36.140625" bestFit="1" customWidth="1"/>
    <col min="36" max="36" width="19.140625" customWidth="1"/>
  </cols>
  <sheetData>
    <row r="3" spans="2:36" ht="33" customHeight="1" x14ac:dyDescent="0.2"/>
    <row r="4" spans="2:36" s="301" customFormat="1" ht="30.75" customHeight="1" x14ac:dyDescent="0.2">
      <c r="B4" s="736" t="s">
        <v>941</v>
      </c>
      <c r="C4" s="737" t="s">
        <v>835</v>
      </c>
      <c r="D4" s="737" t="s">
        <v>836</v>
      </c>
      <c r="E4" s="737" t="s">
        <v>837</v>
      </c>
      <c r="F4" s="738" t="s">
        <v>838</v>
      </c>
      <c r="H4" s="736" t="s">
        <v>942</v>
      </c>
      <c r="I4" s="738" t="s">
        <v>835</v>
      </c>
      <c r="J4" s="754" t="s">
        <v>836</v>
      </c>
      <c r="K4" s="754" t="s">
        <v>837</v>
      </c>
      <c r="L4" s="756" t="s">
        <v>838</v>
      </c>
      <c r="N4" s="736" t="s">
        <v>53</v>
      </c>
      <c r="O4" s="737" t="s">
        <v>835</v>
      </c>
      <c r="P4" s="737" t="s">
        <v>836</v>
      </c>
      <c r="Q4" s="737" t="s">
        <v>837</v>
      </c>
      <c r="R4" s="738" t="s">
        <v>838</v>
      </c>
      <c r="T4" s="736" t="s">
        <v>1009</v>
      </c>
      <c r="U4" s="737" t="s">
        <v>835</v>
      </c>
      <c r="V4" s="737" t="s">
        <v>836</v>
      </c>
      <c r="W4" s="737" t="s">
        <v>837</v>
      </c>
      <c r="X4" s="738" t="s">
        <v>838</v>
      </c>
      <c r="Z4" s="736" t="s">
        <v>1203</v>
      </c>
      <c r="AA4" s="737" t="s">
        <v>835</v>
      </c>
      <c r="AB4" s="737" t="s">
        <v>836</v>
      </c>
      <c r="AC4" s="737" t="s">
        <v>837</v>
      </c>
      <c r="AD4" s="738" t="s">
        <v>838</v>
      </c>
    </row>
    <row r="5" spans="2:36" x14ac:dyDescent="0.2">
      <c r="B5" s="739" t="s">
        <v>5097</v>
      </c>
      <c r="C5" s="746">
        <f>COUNTIF(C23:C171,"V")</f>
        <v>149</v>
      </c>
      <c r="D5" s="746">
        <f>SUMIF(C23:C171,"V",D23:D171)</f>
        <v>10427.739999999998</v>
      </c>
      <c r="E5" s="747">
        <f>SUM(F23:F171)</f>
        <v>43200619093</v>
      </c>
      <c r="F5" s="748">
        <f>E9/C5</f>
        <v>316702141.56375837</v>
      </c>
      <c r="H5" s="752" t="s">
        <v>5097</v>
      </c>
      <c r="I5" s="749">
        <f>COUNTIF(I23:I120,"V")</f>
        <v>95</v>
      </c>
      <c r="J5" s="747">
        <f>SUMIF(I23:I120,"V",J23:J120)</f>
        <v>6898.739999999998</v>
      </c>
      <c r="K5" s="757">
        <f>SUM(L23:L120)</f>
        <v>30426284564</v>
      </c>
      <c r="L5" s="748">
        <f>K9/I5</f>
        <v>347066153.30526316</v>
      </c>
      <c r="N5" s="739" t="s">
        <v>5097</v>
      </c>
      <c r="O5" s="749">
        <f>COUNTIF(O23:O147,"V")</f>
        <v>117</v>
      </c>
      <c r="P5">
        <f>SUMIF(O23:O147,"V",P23:P147)</f>
        <v>8464.7900000000027</v>
      </c>
      <c r="Q5" s="757">
        <f>SUM(R23:R147)</f>
        <v>53745860676</v>
      </c>
      <c r="R5" s="748">
        <f>Q9/O5</f>
        <v>491315048.51282054</v>
      </c>
      <c r="T5" s="739" t="s">
        <v>5101</v>
      </c>
      <c r="U5" s="749">
        <f>COUNTIF(U23:U172,"V")</f>
        <v>133</v>
      </c>
      <c r="V5">
        <f>SUMIF(U23:U172,"V",V23:V172)</f>
        <v>9352.9199999999928</v>
      </c>
      <c r="W5" s="757">
        <f>SUM(X23:X172)</f>
        <v>49087885881</v>
      </c>
      <c r="X5" s="748">
        <f>W9/U5</f>
        <v>398224705.87218046</v>
      </c>
      <c r="Z5" s="739" t="s">
        <v>5101</v>
      </c>
      <c r="AA5" s="749">
        <f>COUNTIF(AA23:AA121,"V")</f>
        <v>81</v>
      </c>
      <c r="AB5">
        <f ca="1">SUMIF(AA23:AA172,"V",AB23:AB121)</f>
        <v>5868.25</v>
      </c>
      <c r="AC5" s="757">
        <f>SUM(AD23:AD121)</f>
        <v>34632282775</v>
      </c>
      <c r="AD5" s="748">
        <f>AC9/AA5</f>
        <v>457682503.39506173</v>
      </c>
      <c r="AF5">
        <f>AA5+U5+O5+I5+C5</f>
        <v>575</v>
      </c>
    </row>
    <row r="6" spans="2:36" x14ac:dyDescent="0.2">
      <c r="B6" s="739" t="s">
        <v>5098</v>
      </c>
      <c r="C6" s="746">
        <f>COUNTIF(C172:C323,"V")</f>
        <v>149</v>
      </c>
      <c r="E6" s="747">
        <f>SUM(F172:F323)</f>
        <v>3708000000</v>
      </c>
      <c r="F6" s="750">
        <v>0</v>
      </c>
      <c r="H6" s="752" t="s">
        <v>5098</v>
      </c>
      <c r="I6" s="749">
        <f>COUNTIF(I21:I218,"V")</f>
        <v>190</v>
      </c>
      <c r="J6" s="755"/>
      <c r="K6" s="757">
        <f>SUM(L121:L218)</f>
        <v>2240000000</v>
      </c>
      <c r="L6" s="749"/>
      <c r="N6" s="739" t="s">
        <v>5098</v>
      </c>
      <c r="O6" s="749">
        <f>COUNTIF(O148:O272,"V")</f>
        <v>117</v>
      </c>
      <c r="Q6" s="757">
        <f>SUM(R148:R272)</f>
        <v>3042000000</v>
      </c>
      <c r="R6" s="740"/>
      <c r="T6" s="739" t="s">
        <v>5098</v>
      </c>
      <c r="U6" s="749">
        <f>COUNTIF(U173:U319,"V")</f>
        <v>133</v>
      </c>
      <c r="W6" s="757">
        <f>SUM(X173:X319)</f>
        <v>3384000000</v>
      </c>
      <c r="X6" s="740"/>
      <c r="Z6" s="739" t="s">
        <v>5103</v>
      </c>
      <c r="AA6" s="749">
        <f>COUNTIF(AA122:AA212,"V")</f>
        <v>81</v>
      </c>
      <c r="AC6" s="757">
        <f>SUM(AD122:AD212)</f>
        <v>2035000000</v>
      </c>
      <c r="AD6" s="740"/>
    </row>
    <row r="7" spans="2:36" x14ac:dyDescent="0.2">
      <c r="B7" s="739" t="s">
        <v>5099</v>
      </c>
      <c r="C7" s="746"/>
      <c r="D7" s="746"/>
      <c r="E7" s="747">
        <v>0</v>
      </c>
      <c r="F7" s="750">
        <v>0</v>
      </c>
      <c r="H7" s="752" t="s">
        <v>5099</v>
      </c>
      <c r="I7" s="749"/>
      <c r="J7" s="755"/>
      <c r="K7" s="755"/>
      <c r="L7" s="749"/>
      <c r="N7" s="739" t="s">
        <v>2661</v>
      </c>
      <c r="O7" s="749"/>
      <c r="R7" s="740"/>
      <c r="T7" s="739" t="s">
        <v>5102</v>
      </c>
      <c r="U7" s="749">
        <f>COUNTIF(U320:U330,"V")</f>
        <v>9</v>
      </c>
      <c r="W7" s="757">
        <f>SUM(X320:X330)</f>
        <v>102000000</v>
      </c>
      <c r="X7" s="740"/>
      <c r="Z7" s="739" t="s">
        <v>5104</v>
      </c>
      <c r="AD7" s="740"/>
    </row>
    <row r="8" spans="2:36" x14ac:dyDescent="0.2">
      <c r="B8" s="741" t="s">
        <v>834</v>
      </c>
      <c r="C8" s="746">
        <f>COUNTIF(C324:C381,"V")</f>
        <v>56</v>
      </c>
      <c r="D8" s="746"/>
      <c r="E8" s="747">
        <f>SUM(F324:F381)</f>
        <v>280000000</v>
      </c>
      <c r="F8" s="750">
        <v>0</v>
      </c>
      <c r="H8" s="753" t="s">
        <v>5100</v>
      </c>
      <c r="I8" s="749">
        <f>COUNTIF(I219:I291,"V")</f>
        <v>61</v>
      </c>
      <c r="J8" s="755"/>
      <c r="K8" s="757">
        <f>SUM(L219:L291)</f>
        <v>305000000</v>
      </c>
      <c r="L8" s="749"/>
      <c r="N8" s="741" t="s">
        <v>5100</v>
      </c>
      <c r="O8" s="749">
        <f>COUNTIF(O273:O397,"V")</f>
        <v>116</v>
      </c>
      <c r="Q8" s="757">
        <f>SUM(R273:R397)</f>
        <v>696000000</v>
      </c>
      <c r="R8" s="740"/>
      <c r="T8" s="741" t="s">
        <v>5100</v>
      </c>
      <c r="U8" s="749">
        <f>COUNTIF(U331:U425,"V")</f>
        <v>78</v>
      </c>
      <c r="W8" s="757">
        <f>SUM(X331:X425)</f>
        <v>390000000</v>
      </c>
      <c r="X8" s="740"/>
      <c r="Z8" s="741" t="s">
        <v>834</v>
      </c>
      <c r="AA8" s="749">
        <f>COUNTIF(AA213:AA304,"V")</f>
        <v>81</v>
      </c>
      <c r="AC8" s="757">
        <f>SUM(AD213:AD304)</f>
        <v>405000000</v>
      </c>
      <c r="AD8" s="740"/>
    </row>
    <row r="9" spans="2:36" x14ac:dyDescent="0.2">
      <c r="B9" s="742" t="s">
        <v>945</v>
      </c>
      <c r="C9" s="743">
        <f>SUM(C5:C8)</f>
        <v>354</v>
      </c>
      <c r="D9" s="743">
        <f>SUM(D5:D8)</f>
        <v>10427.739999999998</v>
      </c>
      <c r="E9" s="744">
        <f>SUM(E5:E8)</f>
        <v>47188619093</v>
      </c>
      <c r="F9" s="743">
        <f>SUM(F5:F8)</f>
        <v>316702141.56375837</v>
      </c>
      <c r="H9" s="751" t="s">
        <v>946</v>
      </c>
      <c r="I9" s="745">
        <f>SUM(I5:I8)</f>
        <v>346</v>
      </c>
      <c r="J9" s="743">
        <f>SUM(J5:J8)</f>
        <v>6898.739999999998</v>
      </c>
      <c r="K9" s="758">
        <f>SUM(K5:K8)</f>
        <v>32971284564</v>
      </c>
      <c r="L9" s="743">
        <f>SUM(L5:L8)</f>
        <v>347066153.30526316</v>
      </c>
      <c r="N9" s="751" t="s">
        <v>197</v>
      </c>
      <c r="O9" s="745">
        <f>SUM(O5:O8)</f>
        <v>350</v>
      </c>
      <c r="P9" s="743">
        <f>SUM(P5:P8)</f>
        <v>8464.7900000000027</v>
      </c>
      <c r="Q9" s="758">
        <f>SUM(Q5:Q8)</f>
        <v>57483860676</v>
      </c>
      <c r="R9" s="743">
        <f>SUM(R5:R8)</f>
        <v>491315048.51282054</v>
      </c>
      <c r="T9" s="751" t="s">
        <v>1012</v>
      </c>
      <c r="U9" s="745">
        <f>SUM(U5:U8)</f>
        <v>353</v>
      </c>
      <c r="V9" s="743">
        <f>SUM(V5:V8)</f>
        <v>9352.9199999999928</v>
      </c>
      <c r="W9" s="758">
        <f>SUM(W5:W8)</f>
        <v>52963885881</v>
      </c>
      <c r="X9" s="743">
        <f>SUM(X5:X8)</f>
        <v>398224705.87218046</v>
      </c>
      <c r="Z9" s="751" t="s">
        <v>1207</v>
      </c>
      <c r="AA9" s="745">
        <f>SUM(AA5:AA8)</f>
        <v>243</v>
      </c>
      <c r="AB9" s="743">
        <f ca="1">SUM(AB5:AB8)</f>
        <v>5868.25</v>
      </c>
      <c r="AC9" s="758">
        <f>SUM(AC5:AC8)</f>
        <v>37072282775</v>
      </c>
      <c r="AD9" s="758">
        <f>SUM(AD5:AD8)</f>
        <v>457682503.39506173</v>
      </c>
    </row>
    <row r="10" spans="2:36" ht="13.5" customHeight="1" x14ac:dyDescent="0.2"/>
    <row r="11" spans="2:36" ht="24" x14ac:dyDescent="0.2">
      <c r="AG11" s="761" t="s">
        <v>842</v>
      </c>
      <c r="AH11" s="759" t="s">
        <v>832</v>
      </c>
      <c r="AI11" s="759" t="s">
        <v>108</v>
      </c>
      <c r="AJ11" s="760" t="s">
        <v>70</v>
      </c>
    </row>
    <row r="12" spans="2:36" s="728" customFormat="1" x14ac:dyDescent="0.2">
      <c r="AG12" s="762" t="s">
        <v>799</v>
      </c>
      <c r="AH12" s="273">
        <f>C14+I14+O14+U14+AA14</f>
        <v>46</v>
      </c>
      <c r="AI12" s="273">
        <f>D14+J14+P14+V14+AB14</f>
        <v>3456.2200000000003</v>
      </c>
      <c r="AJ12" s="763">
        <f>E14+K14+Q14+W14+AC14</f>
        <v>22600635000</v>
      </c>
    </row>
    <row r="13" spans="2:36" s="691" customFormat="1" ht="24" x14ac:dyDescent="0.2">
      <c r="B13" s="736" t="s">
        <v>941</v>
      </c>
      <c r="C13" s="759" t="s">
        <v>832</v>
      </c>
      <c r="D13" s="759" t="s">
        <v>108</v>
      </c>
      <c r="E13" s="760" t="s">
        <v>32</v>
      </c>
      <c r="F13"/>
      <c r="H13" s="736" t="s">
        <v>942</v>
      </c>
      <c r="I13" s="372" t="s">
        <v>832</v>
      </c>
      <c r="J13" s="372" t="s">
        <v>108</v>
      </c>
      <c r="K13" s="372" t="s">
        <v>32</v>
      </c>
      <c r="N13" s="736" t="s">
        <v>53</v>
      </c>
      <c r="O13" s="372" t="s">
        <v>832</v>
      </c>
      <c r="P13" s="372" t="s">
        <v>108</v>
      </c>
      <c r="Q13" s="372" t="s">
        <v>32</v>
      </c>
      <c r="T13" s="736" t="s">
        <v>1009</v>
      </c>
      <c r="U13" s="372" t="s">
        <v>832</v>
      </c>
      <c r="V13" s="372" t="s">
        <v>108</v>
      </c>
      <c r="W13" s="372" t="s">
        <v>32</v>
      </c>
      <c r="Z13" s="736" t="s">
        <v>1203</v>
      </c>
      <c r="AA13" s="372" t="s">
        <v>832</v>
      </c>
      <c r="AB13" s="372" t="s">
        <v>108</v>
      </c>
      <c r="AC13" s="372" t="s">
        <v>32</v>
      </c>
      <c r="AG13" s="762" t="s">
        <v>833</v>
      </c>
      <c r="AH13" s="273">
        <f>C15+I15+O15+U15+AA15+U16+O16</f>
        <v>40</v>
      </c>
      <c r="AI13" s="273">
        <f>D15+J15+P15+V15+AB15</f>
        <v>0</v>
      </c>
      <c r="AJ13" s="763">
        <f>E15+K15+Q15+W15+AC15</f>
        <v>912000000</v>
      </c>
    </row>
    <row r="14" spans="2:36" x14ac:dyDescent="0.2">
      <c r="B14" s="739" t="s">
        <v>5097</v>
      </c>
      <c r="C14" s="746">
        <f>COUNTIF(C23:C171,"D")</f>
        <v>0</v>
      </c>
      <c r="D14" s="746">
        <f>SUMIF(C32:C180,"D",D32:D180)</f>
        <v>0</v>
      </c>
      <c r="E14" s="750">
        <f>SUM(E32:E180)</f>
        <v>0</v>
      </c>
      <c r="H14" s="739" t="s">
        <v>5097</v>
      </c>
      <c r="I14" s="746">
        <f>COUNTIF(I23:I120,"D")</f>
        <v>3</v>
      </c>
      <c r="J14" s="746">
        <f>SUMIF(I23:I120,"D",J23:J120)</f>
        <v>228.45000000000002</v>
      </c>
      <c r="K14" s="747">
        <f>SUM(K23:K120)</f>
        <v>1219485000</v>
      </c>
      <c r="N14" s="739" t="s">
        <v>5097</v>
      </c>
      <c r="O14" s="746">
        <f>COUNTIF(O23:O147,"D")</f>
        <v>8</v>
      </c>
      <c r="P14" s="746">
        <f>SUMIF(O23:O147,"D",P23:P147)</f>
        <v>650.25</v>
      </c>
      <c r="Q14" s="747">
        <f>SUM(Q23:Q147)</f>
        <v>4418200000</v>
      </c>
      <c r="T14" s="739" t="s">
        <v>5097</v>
      </c>
      <c r="U14" s="749">
        <f>COUNTIF(U23:U172,"D")</f>
        <v>17</v>
      </c>
      <c r="V14">
        <f>SUMIF(U23:U172,"D",V23:V172)</f>
        <v>1222.4500000000003</v>
      </c>
      <c r="W14" s="747">
        <f>SUM(W23:W172)</f>
        <v>8017995000</v>
      </c>
      <c r="Z14" s="739" t="s">
        <v>5097</v>
      </c>
      <c r="AA14" s="746">
        <f>COUNTIF(AA23:AA121,"D")</f>
        <v>18</v>
      </c>
      <c r="AB14">
        <f>SUMIF(AA23:AA121,"D",AB23:AB121)</f>
        <v>1355.0699999999997</v>
      </c>
      <c r="AC14" s="747">
        <f>SUM(AC23:AC121)</f>
        <v>8944955000</v>
      </c>
      <c r="AG14" s="764" t="s">
        <v>834</v>
      </c>
      <c r="AH14" s="273">
        <f>C17+I17+O17+U17+AA17</f>
        <v>51</v>
      </c>
      <c r="AI14" s="273">
        <f>D16+J16+P16+V16+AB16</f>
        <v>0</v>
      </c>
      <c r="AJ14" s="763">
        <f>E16+K16+Q16+W16+AC16</f>
        <v>20000000</v>
      </c>
    </row>
    <row r="15" spans="2:36" ht="15" x14ac:dyDescent="0.2">
      <c r="B15" s="739" t="s">
        <v>5098</v>
      </c>
      <c r="C15" s="746">
        <f>COUNTIF(C172:C323,"D")</f>
        <v>3</v>
      </c>
      <c r="E15" s="750">
        <f>SUM(E172:E323)</f>
        <v>66000000</v>
      </c>
      <c r="H15" s="739" t="s">
        <v>5098</v>
      </c>
      <c r="I15" s="746">
        <f>COUNTIF(I121:I218,"D")</f>
        <v>3</v>
      </c>
      <c r="K15" s="747">
        <f>SUM(K121:K218)</f>
        <v>66000000</v>
      </c>
      <c r="N15" s="739" t="s">
        <v>5098</v>
      </c>
      <c r="O15" s="746">
        <f>COUNTIF(O148:O272,"D")</f>
        <v>8</v>
      </c>
      <c r="Q15" s="747">
        <f>SUM(Q148:Q272)</f>
        <v>208000000</v>
      </c>
      <c r="T15" s="739" t="s">
        <v>5098</v>
      </c>
      <c r="U15" s="749">
        <f>COUNTIF(U173:U319,"D")</f>
        <v>14</v>
      </c>
      <c r="W15" s="747">
        <f>SUM(W173:W319)</f>
        <v>322000000</v>
      </c>
      <c r="Z15" s="739" t="s">
        <v>5098</v>
      </c>
      <c r="AA15" s="746">
        <f>COUNTIF(AA122:AA212,"D")</f>
        <v>10</v>
      </c>
      <c r="AC15" s="747">
        <f>SUM(AC122:AC212)</f>
        <v>250000000</v>
      </c>
      <c r="AG15" s="765" t="s">
        <v>831</v>
      </c>
      <c r="AH15" s="299">
        <f>SUM(AH12:AH14)</f>
        <v>137</v>
      </c>
      <c r="AI15" s="299">
        <f>SUM(AI12:AI14)</f>
        <v>3456.2200000000003</v>
      </c>
      <c r="AJ15" s="766">
        <f>SUM(AJ12:AJ14)</f>
        <v>23532635000</v>
      </c>
    </row>
    <row r="16" spans="2:36" x14ac:dyDescent="0.2">
      <c r="B16" s="739" t="s">
        <v>5099</v>
      </c>
      <c r="C16" s="746"/>
      <c r="D16" s="746"/>
      <c r="E16" s="750">
        <v>0</v>
      </c>
      <c r="H16" s="739" t="s">
        <v>5099</v>
      </c>
      <c r="I16" s="746"/>
      <c r="J16" s="746"/>
      <c r="K16" s="747">
        <v>0</v>
      </c>
      <c r="N16" s="739" t="s">
        <v>5099</v>
      </c>
      <c r="O16" s="746"/>
      <c r="P16" s="746"/>
      <c r="Q16" s="747">
        <v>0</v>
      </c>
      <c r="T16" s="739" t="s">
        <v>5099</v>
      </c>
      <c r="U16" s="749">
        <f>COUNTIF(U320:U330,"D")</f>
        <v>2</v>
      </c>
      <c r="V16" s="746"/>
      <c r="W16" s="747">
        <f>SUM(W320:W330)</f>
        <v>20000000</v>
      </c>
      <c r="Z16" s="739" t="s">
        <v>5099</v>
      </c>
      <c r="AA16" s="746"/>
      <c r="AB16" s="746"/>
      <c r="AC16" s="747">
        <v>0</v>
      </c>
    </row>
    <row r="17" spans="1:30" x14ac:dyDescent="0.2">
      <c r="B17" s="741" t="s">
        <v>834</v>
      </c>
      <c r="C17" s="746">
        <f>COUNTIF(C324:C381,"D")</f>
        <v>2</v>
      </c>
      <c r="D17" s="746"/>
      <c r="E17" s="750">
        <f>SUM(E333:E381)</f>
        <v>10000000</v>
      </c>
      <c r="H17" s="741" t="s">
        <v>834</v>
      </c>
      <c r="I17" s="746">
        <f>COUNTIF(I219:I291,"D")</f>
        <v>12</v>
      </c>
      <c r="J17" s="746"/>
      <c r="K17" s="747">
        <f>SUM(K219:K291)</f>
        <v>60000000</v>
      </c>
      <c r="N17" s="741" t="s">
        <v>834</v>
      </c>
      <c r="O17" s="746">
        <f>COUNTIF(O273:O397,"D")</f>
        <v>9</v>
      </c>
      <c r="P17" s="746"/>
      <c r="Q17" s="747">
        <f>SUM(Q333:Q390)</f>
        <v>0</v>
      </c>
      <c r="T17" s="741" t="s">
        <v>834</v>
      </c>
      <c r="U17" s="749">
        <f>COUNTIF(U331:U425,"D")</f>
        <v>17</v>
      </c>
      <c r="V17" s="746"/>
      <c r="W17" s="747">
        <f>SUM(W331:W425)</f>
        <v>85000000</v>
      </c>
      <c r="Z17" s="741" t="s">
        <v>834</v>
      </c>
      <c r="AA17" s="746">
        <f>COUNTIF(AA213:AA304,"D")</f>
        <v>11</v>
      </c>
      <c r="AB17" s="746"/>
      <c r="AC17" s="747">
        <f>SUM(AC213:AC304)</f>
        <v>55000000</v>
      </c>
    </row>
    <row r="18" spans="1:30" x14ac:dyDescent="0.2">
      <c r="B18" s="742" t="s">
        <v>945</v>
      </c>
      <c r="C18" s="743">
        <f>SUM(C14:C17)</f>
        <v>5</v>
      </c>
      <c r="D18" s="743">
        <f>SUM(D14:D17)</f>
        <v>0</v>
      </c>
      <c r="E18" s="745">
        <f>SUM(E14:E17)</f>
        <v>76000000</v>
      </c>
      <c r="H18" s="742" t="s">
        <v>946</v>
      </c>
      <c r="I18" s="743">
        <f>SUM(I14:I17)</f>
        <v>18</v>
      </c>
      <c r="J18" s="743">
        <f>SUM(J14:J17)</f>
        <v>228.45000000000002</v>
      </c>
      <c r="K18" s="744">
        <f>SUM(K14:K17)</f>
        <v>1345485000</v>
      </c>
      <c r="N18" s="742" t="s">
        <v>197</v>
      </c>
      <c r="O18" s="743">
        <f>SUM(O14:O17)</f>
        <v>25</v>
      </c>
      <c r="P18" s="743">
        <f>SUM(P14:P17)</f>
        <v>650.25</v>
      </c>
      <c r="Q18" s="744">
        <f>SUM(Q14:Q17)</f>
        <v>4626200000</v>
      </c>
      <c r="T18" s="742" t="s">
        <v>1012</v>
      </c>
      <c r="U18" s="743">
        <f>SUM(U14:U17)</f>
        <v>50</v>
      </c>
      <c r="V18" s="743">
        <f>SUM(V14:V17)</f>
        <v>1222.4500000000003</v>
      </c>
      <c r="W18" s="744">
        <f>SUM(W14:W17)</f>
        <v>8444995000</v>
      </c>
      <c r="Z18" s="742" t="s">
        <v>1207</v>
      </c>
      <c r="AA18" s="743">
        <f>SUM(AA14:AA17)</f>
        <v>39</v>
      </c>
      <c r="AB18" s="743">
        <f>SUM(AB14:AB17)</f>
        <v>1355.0699999999997</v>
      </c>
      <c r="AC18" s="744">
        <f>SUM(AC14:AC17)</f>
        <v>9249955000</v>
      </c>
    </row>
    <row r="20" spans="1:30" hidden="1" x14ac:dyDescent="0.2">
      <c r="A20" s="629"/>
      <c r="B20" s="629"/>
      <c r="C20" s="629"/>
      <c r="D20" s="714" t="s">
        <v>5092</v>
      </c>
      <c r="E20" s="714" t="s">
        <v>5093</v>
      </c>
      <c r="F20" s="629"/>
      <c r="G20" s="629"/>
      <c r="H20" s="629"/>
      <c r="I20" s="629"/>
      <c r="J20" s="714" t="s">
        <v>5092</v>
      </c>
      <c r="K20" s="714" t="s">
        <v>5093</v>
      </c>
      <c r="L20" s="629"/>
      <c r="M20" s="629"/>
      <c r="N20" s="629"/>
      <c r="O20" s="629"/>
      <c r="P20" s="714" t="s">
        <v>5092</v>
      </c>
      <c r="Q20" s="714" t="s">
        <v>5093</v>
      </c>
      <c r="R20" s="629"/>
      <c r="S20" s="629"/>
      <c r="T20" s="629"/>
      <c r="U20" s="629"/>
      <c r="V20" s="714" t="s">
        <v>5092</v>
      </c>
      <c r="W20" s="714" t="s">
        <v>5093</v>
      </c>
      <c r="X20" s="629"/>
      <c r="Y20" s="629"/>
      <c r="Z20" s="629"/>
      <c r="AA20" s="629"/>
      <c r="AB20" s="714" t="s">
        <v>5092</v>
      </c>
      <c r="AC20" s="714" t="s">
        <v>5093</v>
      </c>
      <c r="AD20" s="629"/>
    </row>
    <row r="21" spans="1:30" x14ac:dyDescent="0.2">
      <c r="A21" s="629"/>
      <c r="B21" s="629"/>
      <c r="C21" s="629"/>
      <c r="D21" s="838" t="s">
        <v>4460</v>
      </c>
      <c r="E21" s="839"/>
      <c r="F21" s="839"/>
      <c r="G21" s="629"/>
      <c r="H21" s="629"/>
      <c r="I21" s="629"/>
      <c r="J21" s="838" t="s">
        <v>4461</v>
      </c>
      <c r="K21" s="839"/>
      <c r="L21" s="839"/>
      <c r="M21" s="629"/>
      <c r="N21" s="629"/>
      <c r="O21" s="629"/>
      <c r="P21" s="838" t="s">
        <v>4462</v>
      </c>
      <c r="Q21" s="839"/>
      <c r="R21" s="839"/>
      <c r="S21" s="629"/>
      <c r="T21" s="629"/>
      <c r="U21" s="629"/>
      <c r="V21" s="838" t="s">
        <v>4463</v>
      </c>
      <c r="W21" s="839"/>
      <c r="X21" s="839"/>
      <c r="Y21" s="629"/>
      <c r="Z21" s="629"/>
      <c r="AA21" s="629"/>
      <c r="AB21" s="839" t="s">
        <v>4464</v>
      </c>
      <c r="AC21" s="839"/>
      <c r="AD21" s="839"/>
    </row>
    <row r="22" spans="1:30" x14ac:dyDescent="0.2">
      <c r="A22" s="722" t="s">
        <v>5094</v>
      </c>
      <c r="B22" s="722" t="s">
        <v>46</v>
      </c>
      <c r="C22" s="722" t="s">
        <v>47</v>
      </c>
      <c r="D22" s="713" t="s">
        <v>5089</v>
      </c>
      <c r="E22" s="713" t="s">
        <v>5090</v>
      </c>
      <c r="F22" s="713" t="s">
        <v>5096</v>
      </c>
      <c r="G22" s="722" t="s">
        <v>5094</v>
      </c>
      <c r="H22" s="722" t="s">
        <v>46</v>
      </c>
      <c r="I22" s="722" t="s">
        <v>47</v>
      </c>
      <c r="J22" s="713" t="s">
        <v>5089</v>
      </c>
      <c r="K22" s="713" t="s">
        <v>5090</v>
      </c>
      <c r="L22" s="713" t="s">
        <v>5096</v>
      </c>
      <c r="M22" s="722" t="s">
        <v>5094</v>
      </c>
      <c r="N22" s="722" t="s">
        <v>46</v>
      </c>
      <c r="O22" s="722" t="s">
        <v>47</v>
      </c>
      <c r="P22" s="713" t="s">
        <v>5089</v>
      </c>
      <c r="Q22" s="713" t="s">
        <v>5090</v>
      </c>
      <c r="R22" s="713" t="s">
        <v>5096</v>
      </c>
      <c r="S22" s="722" t="s">
        <v>5094</v>
      </c>
      <c r="T22" s="722" t="s">
        <v>46</v>
      </c>
      <c r="U22" s="722" t="s">
        <v>47</v>
      </c>
      <c r="V22" s="713" t="s">
        <v>5089</v>
      </c>
      <c r="W22" s="713" t="s">
        <v>5090</v>
      </c>
      <c r="X22" s="713" t="s">
        <v>5096</v>
      </c>
      <c r="Y22" s="722" t="s">
        <v>5094</v>
      </c>
      <c r="Z22" s="722" t="s">
        <v>46</v>
      </c>
      <c r="AA22" s="722" t="s">
        <v>47</v>
      </c>
      <c r="AB22" s="713" t="s">
        <v>5089</v>
      </c>
      <c r="AC22" s="713" t="s">
        <v>5090</v>
      </c>
      <c r="AD22" s="713" t="s">
        <v>5091</v>
      </c>
    </row>
    <row r="23" spans="1:30" x14ac:dyDescent="0.2">
      <c r="A23" s="838" t="s">
        <v>5095</v>
      </c>
      <c r="B23" s="713" t="s">
        <v>4516</v>
      </c>
      <c r="C23" s="713" t="s">
        <v>901</v>
      </c>
      <c r="D23" s="710">
        <v>71.900000000000006</v>
      </c>
      <c r="E23" s="712">
        <v>0</v>
      </c>
      <c r="F23" s="712">
        <v>334272235</v>
      </c>
      <c r="G23" s="838" t="s">
        <v>5095</v>
      </c>
      <c r="H23" s="713" t="s">
        <v>4514</v>
      </c>
      <c r="I23" s="713" t="s">
        <v>901</v>
      </c>
      <c r="J23">
        <v>77.25</v>
      </c>
      <c r="K23" s="712">
        <v>0</v>
      </c>
      <c r="L23" s="712">
        <v>378253500</v>
      </c>
      <c r="M23" s="838" t="s">
        <v>5095</v>
      </c>
      <c r="N23" s="713" t="s">
        <v>4530</v>
      </c>
      <c r="O23" s="713" t="s">
        <v>901</v>
      </c>
      <c r="P23">
        <v>95.65</v>
      </c>
      <c r="Q23" s="712">
        <v>0</v>
      </c>
      <c r="R23" s="712">
        <v>518245000</v>
      </c>
      <c r="S23" s="838" t="s">
        <v>5095</v>
      </c>
      <c r="T23" s="713" t="s">
        <v>4524</v>
      </c>
      <c r="U23" s="713" t="s">
        <v>901</v>
      </c>
      <c r="V23">
        <v>71.900000000000006</v>
      </c>
      <c r="W23" s="712">
        <v>0</v>
      </c>
      <c r="X23" s="712">
        <v>432878000</v>
      </c>
      <c r="Y23" s="839" t="s">
        <v>5095</v>
      </c>
      <c r="Z23" s="713" t="s">
        <v>4521</v>
      </c>
      <c r="AA23" s="713" t="s">
        <v>901</v>
      </c>
      <c r="AB23">
        <v>75.599999999999994</v>
      </c>
      <c r="AC23" s="712">
        <v>0</v>
      </c>
      <c r="AD23" s="712">
        <v>468865000</v>
      </c>
    </row>
    <row r="24" spans="1:30" x14ac:dyDescent="0.2">
      <c r="A24" s="839"/>
      <c r="B24" s="713" t="s">
        <v>4517</v>
      </c>
      <c r="C24" s="713" t="s">
        <v>901</v>
      </c>
      <c r="D24" s="710">
        <v>60.9</v>
      </c>
      <c r="E24" s="712">
        <v>0</v>
      </c>
      <c r="F24" s="712">
        <v>260029214</v>
      </c>
      <c r="G24" s="839"/>
      <c r="H24" s="713" t="s">
        <v>4515</v>
      </c>
      <c r="I24" s="713" t="s">
        <v>901</v>
      </c>
      <c r="J24">
        <v>64</v>
      </c>
      <c r="K24" s="712">
        <v>0</v>
      </c>
      <c r="L24" s="712">
        <v>274861600</v>
      </c>
      <c r="M24" s="839"/>
      <c r="N24" s="713" t="s">
        <v>4531</v>
      </c>
      <c r="O24" s="713" t="s">
        <v>901</v>
      </c>
      <c r="P24">
        <v>71.41</v>
      </c>
      <c r="Q24" s="712">
        <v>0</v>
      </c>
      <c r="R24" s="712">
        <v>406250000</v>
      </c>
      <c r="S24" s="839"/>
      <c r="T24" s="713" t="s">
        <v>4525</v>
      </c>
      <c r="U24" s="713" t="s">
        <v>901</v>
      </c>
      <c r="V24">
        <v>60.9</v>
      </c>
      <c r="W24" s="712">
        <v>0</v>
      </c>
      <c r="X24" s="712">
        <v>354926000</v>
      </c>
      <c r="Y24" s="839"/>
      <c r="Z24" s="713" t="s">
        <v>4522</v>
      </c>
      <c r="AA24" s="713" t="s">
        <v>901</v>
      </c>
      <c r="AB24">
        <v>76.25</v>
      </c>
      <c r="AC24" s="712">
        <v>0</v>
      </c>
      <c r="AD24" s="712">
        <v>452875000</v>
      </c>
    </row>
    <row r="25" spans="1:30" x14ac:dyDescent="0.2">
      <c r="A25" s="839"/>
      <c r="B25" s="713" t="s">
        <v>4518</v>
      </c>
      <c r="C25" s="713" t="s">
        <v>901</v>
      </c>
      <c r="D25" s="710">
        <v>62.75</v>
      </c>
      <c r="E25" s="712">
        <v>0</v>
      </c>
      <c r="F25" s="712">
        <v>278802542</v>
      </c>
      <c r="G25" s="839"/>
      <c r="H25" s="713" t="s">
        <v>5125</v>
      </c>
      <c r="I25" s="713" t="s">
        <v>61</v>
      </c>
      <c r="J25">
        <v>76.150000000000006</v>
      </c>
      <c r="K25" s="712">
        <v>405395000</v>
      </c>
      <c r="L25" s="712">
        <v>0</v>
      </c>
      <c r="M25" s="839"/>
      <c r="N25" s="713" t="s">
        <v>4532</v>
      </c>
      <c r="O25" s="713" t="s">
        <v>901</v>
      </c>
      <c r="P25">
        <v>113.38</v>
      </c>
      <c r="Q25" s="712">
        <v>0</v>
      </c>
      <c r="R25" s="712">
        <v>513920000</v>
      </c>
      <c r="S25" s="839"/>
      <c r="T25" s="713" t="s">
        <v>4526</v>
      </c>
      <c r="U25" s="713" t="s">
        <v>901</v>
      </c>
      <c r="V25">
        <v>79.7</v>
      </c>
      <c r="W25" s="712">
        <v>0</v>
      </c>
      <c r="X25" s="712">
        <v>466139000</v>
      </c>
      <c r="Y25" s="839"/>
      <c r="Z25" s="713" t="s">
        <v>4523</v>
      </c>
      <c r="AA25" s="713" t="s">
        <v>901</v>
      </c>
      <c r="AB25">
        <v>64</v>
      </c>
      <c r="AC25" s="712">
        <v>0</v>
      </c>
      <c r="AD25" s="712">
        <v>369740177</v>
      </c>
    </row>
    <row r="26" spans="1:30" x14ac:dyDescent="0.2">
      <c r="A26" s="839"/>
      <c r="B26" s="713" t="s">
        <v>4519</v>
      </c>
      <c r="C26" s="713" t="s">
        <v>901</v>
      </c>
      <c r="D26" s="710">
        <v>78.400000000000006</v>
      </c>
      <c r="E26" s="712">
        <v>0</v>
      </c>
      <c r="F26" s="712">
        <v>332277062</v>
      </c>
      <c r="G26" s="839"/>
      <c r="H26" s="713" t="s">
        <v>4535</v>
      </c>
      <c r="I26" s="713" t="s">
        <v>901</v>
      </c>
      <c r="J26">
        <v>75.5</v>
      </c>
      <c r="K26" s="712">
        <v>0</v>
      </c>
      <c r="L26" s="712">
        <v>317054400</v>
      </c>
      <c r="M26" s="839"/>
      <c r="N26" s="713" t="s">
        <v>4533</v>
      </c>
      <c r="O26" s="713" t="s">
        <v>901</v>
      </c>
      <c r="P26">
        <v>79.66</v>
      </c>
      <c r="Q26" s="712">
        <v>0</v>
      </c>
      <c r="R26" s="712">
        <v>424225000</v>
      </c>
      <c r="S26" s="839"/>
      <c r="T26" s="713" t="s">
        <v>4527</v>
      </c>
      <c r="U26" s="713" t="s">
        <v>901</v>
      </c>
      <c r="V26">
        <v>78.400000000000006</v>
      </c>
      <c r="W26" s="712">
        <v>0</v>
      </c>
      <c r="X26" s="712">
        <v>474914500</v>
      </c>
      <c r="Y26" s="839"/>
      <c r="Z26" s="713" t="s">
        <v>4544</v>
      </c>
      <c r="AA26" s="713" t="s">
        <v>901</v>
      </c>
      <c r="AB26">
        <v>76.150000000000006</v>
      </c>
      <c r="AC26" s="712">
        <v>0</v>
      </c>
      <c r="AD26" s="712">
        <v>439385500</v>
      </c>
    </row>
    <row r="27" spans="1:30" x14ac:dyDescent="0.2">
      <c r="A27" s="839"/>
      <c r="B27" s="713" t="s">
        <v>4520</v>
      </c>
      <c r="C27" s="713" t="s">
        <v>901</v>
      </c>
      <c r="D27" s="710">
        <v>60.9</v>
      </c>
      <c r="E27" s="712">
        <v>0</v>
      </c>
      <c r="F27" s="712">
        <v>243099835</v>
      </c>
      <c r="G27" s="839"/>
      <c r="H27" s="713" t="s">
        <v>4536</v>
      </c>
      <c r="I27" s="713" t="s">
        <v>901</v>
      </c>
      <c r="J27">
        <v>75.91</v>
      </c>
      <c r="K27" s="712">
        <v>0</v>
      </c>
      <c r="L27" s="712">
        <v>321422000</v>
      </c>
      <c r="M27" s="839"/>
      <c r="N27" s="713" t="s">
        <v>4534</v>
      </c>
      <c r="O27" s="713" t="s">
        <v>901</v>
      </c>
      <c r="P27">
        <v>112.7</v>
      </c>
      <c r="Q27" s="712">
        <v>0</v>
      </c>
      <c r="R27" s="712">
        <v>565350000</v>
      </c>
      <c r="S27" s="839"/>
      <c r="T27" s="713" t="s">
        <v>4528</v>
      </c>
      <c r="U27" s="713" t="s">
        <v>901</v>
      </c>
      <c r="V27">
        <v>60.89</v>
      </c>
      <c r="W27" s="712">
        <v>0</v>
      </c>
      <c r="X27" s="712">
        <v>294836543</v>
      </c>
      <c r="Y27" s="839"/>
      <c r="Z27" s="713" t="s">
        <v>4545</v>
      </c>
      <c r="AA27" s="713" t="s">
        <v>901</v>
      </c>
      <c r="AB27">
        <v>75.5</v>
      </c>
      <c r="AC27" s="712">
        <v>0</v>
      </c>
      <c r="AD27" s="712">
        <v>437380000</v>
      </c>
    </row>
    <row r="28" spans="1:30" x14ac:dyDescent="0.2">
      <c r="A28" s="839"/>
      <c r="B28" s="713" t="s">
        <v>4538</v>
      </c>
      <c r="C28" s="713" t="s">
        <v>901</v>
      </c>
      <c r="D28" s="710">
        <v>71.95</v>
      </c>
      <c r="E28" s="712">
        <v>0</v>
      </c>
      <c r="F28" s="712">
        <v>274653522</v>
      </c>
      <c r="G28" s="839"/>
      <c r="H28" s="713" t="s">
        <v>4537</v>
      </c>
      <c r="I28" s="713" t="s">
        <v>901</v>
      </c>
      <c r="J28">
        <v>64</v>
      </c>
      <c r="K28" s="712">
        <v>0</v>
      </c>
      <c r="L28" s="712">
        <v>271022000</v>
      </c>
      <c r="M28" s="839"/>
      <c r="N28" s="713" t="s">
        <v>4552</v>
      </c>
      <c r="O28" s="713" t="s">
        <v>901</v>
      </c>
      <c r="P28">
        <v>80.3</v>
      </c>
      <c r="Q28" s="712">
        <v>0</v>
      </c>
      <c r="R28" s="712">
        <v>494300000</v>
      </c>
      <c r="S28" s="839"/>
      <c r="T28" s="713" t="s">
        <v>4529</v>
      </c>
      <c r="U28" s="713" t="s">
        <v>901</v>
      </c>
      <c r="V28">
        <v>70.849999999999994</v>
      </c>
      <c r="W28" s="712">
        <v>0</v>
      </c>
      <c r="X28" s="712">
        <v>446355000</v>
      </c>
      <c r="Y28" s="839"/>
      <c r="Z28" s="713" t="s">
        <v>4546</v>
      </c>
      <c r="AA28" s="713" t="s">
        <v>901</v>
      </c>
      <c r="AB28">
        <v>76.3</v>
      </c>
      <c r="AC28" s="712">
        <v>0</v>
      </c>
      <c r="AD28" s="712">
        <v>447329000</v>
      </c>
    </row>
    <row r="29" spans="1:30" x14ac:dyDescent="0.2">
      <c r="A29" s="839"/>
      <c r="B29" s="713" t="s">
        <v>4539</v>
      </c>
      <c r="C29" s="713" t="s">
        <v>901</v>
      </c>
      <c r="D29" s="710">
        <v>60.9</v>
      </c>
      <c r="E29" s="712">
        <v>0</v>
      </c>
      <c r="F29" s="712">
        <v>279000000</v>
      </c>
      <c r="G29" s="839"/>
      <c r="H29" s="713" t="s">
        <v>4555</v>
      </c>
      <c r="I29" s="713" t="s">
        <v>901</v>
      </c>
      <c r="J29">
        <v>76.150000000000006</v>
      </c>
      <c r="K29" s="712">
        <v>0</v>
      </c>
      <c r="L29" s="712">
        <v>368607900</v>
      </c>
      <c r="M29" s="839"/>
      <c r="N29" s="713" t="s">
        <v>4553</v>
      </c>
      <c r="O29" s="713" t="s">
        <v>901</v>
      </c>
      <c r="P29">
        <v>57.65</v>
      </c>
      <c r="Q29" s="712">
        <v>0</v>
      </c>
      <c r="R29" s="712">
        <v>389225000</v>
      </c>
      <c r="S29" s="839"/>
      <c r="T29" s="713" t="s">
        <v>4547</v>
      </c>
      <c r="U29" s="713" t="s">
        <v>901</v>
      </c>
      <c r="V29">
        <v>71.92</v>
      </c>
      <c r="W29" s="712">
        <v>0</v>
      </c>
      <c r="X29" s="712">
        <v>336208800</v>
      </c>
      <c r="Y29" s="839"/>
      <c r="Z29" s="713" t="s">
        <v>5152</v>
      </c>
      <c r="AA29" s="713" t="s">
        <v>61</v>
      </c>
      <c r="AB29">
        <v>63.99</v>
      </c>
      <c r="AC29" s="712">
        <v>418435000</v>
      </c>
      <c r="AD29" s="712">
        <v>0</v>
      </c>
    </row>
    <row r="30" spans="1:30" x14ac:dyDescent="0.2">
      <c r="A30" s="839"/>
      <c r="B30" s="713" t="s">
        <v>4540</v>
      </c>
      <c r="C30" s="713" t="s">
        <v>901</v>
      </c>
      <c r="D30" s="710">
        <v>77.3</v>
      </c>
      <c r="E30" s="712">
        <v>0</v>
      </c>
      <c r="F30" s="712">
        <v>318322113</v>
      </c>
      <c r="G30" s="839"/>
      <c r="H30" s="713" t="s">
        <v>4556</v>
      </c>
      <c r="I30" s="713" t="s">
        <v>901</v>
      </c>
      <c r="J30">
        <v>75.5</v>
      </c>
      <c r="K30" s="712">
        <v>0</v>
      </c>
      <c r="L30" s="712">
        <v>327937000</v>
      </c>
      <c r="M30" s="839"/>
      <c r="N30" s="713" t="s">
        <v>5128</v>
      </c>
      <c r="O30" s="713" t="s">
        <v>61</v>
      </c>
      <c r="P30">
        <v>80.05</v>
      </c>
      <c r="Q30" s="712">
        <v>536835000</v>
      </c>
      <c r="R30" s="712">
        <v>0</v>
      </c>
      <c r="S30" s="839"/>
      <c r="T30" s="713" t="s">
        <v>4548</v>
      </c>
      <c r="U30" s="713" t="s">
        <v>901</v>
      </c>
      <c r="V30">
        <v>60.91</v>
      </c>
      <c r="W30" s="712">
        <v>0</v>
      </c>
      <c r="X30" s="712">
        <v>299832791</v>
      </c>
      <c r="Y30" s="839"/>
      <c r="Z30" s="713" t="s">
        <v>4565</v>
      </c>
      <c r="AA30" s="713" t="s">
        <v>901</v>
      </c>
      <c r="AB30">
        <v>76.150000000000006</v>
      </c>
      <c r="AC30" s="712">
        <v>0</v>
      </c>
      <c r="AD30" s="712">
        <v>439624000</v>
      </c>
    </row>
    <row r="31" spans="1:30" x14ac:dyDescent="0.2">
      <c r="A31" s="839"/>
      <c r="B31" s="713" t="s">
        <v>4541</v>
      </c>
      <c r="C31" s="713" t="s">
        <v>901</v>
      </c>
      <c r="D31" s="710">
        <v>78.400000000000006</v>
      </c>
      <c r="E31" s="712">
        <v>0</v>
      </c>
      <c r="F31" s="712">
        <v>311236938</v>
      </c>
      <c r="G31" s="839"/>
      <c r="H31" s="713" t="s">
        <v>4557</v>
      </c>
      <c r="I31" s="713" t="s">
        <v>901</v>
      </c>
      <c r="J31">
        <v>76.3</v>
      </c>
      <c r="K31" s="712">
        <v>0</v>
      </c>
      <c r="L31" s="712">
        <v>315649200</v>
      </c>
      <c r="M31" s="839"/>
      <c r="N31" s="713" t="s">
        <v>4554</v>
      </c>
      <c r="O31" s="713" t="s">
        <v>901</v>
      </c>
      <c r="P31">
        <v>60.4</v>
      </c>
      <c r="Q31" s="712">
        <v>0</v>
      </c>
      <c r="R31" s="712">
        <v>405180000</v>
      </c>
      <c r="S31" s="839"/>
      <c r="T31" s="713" t="s">
        <v>4549</v>
      </c>
      <c r="U31" s="713" t="s">
        <v>901</v>
      </c>
      <c r="V31">
        <v>78.45</v>
      </c>
      <c r="W31" s="712">
        <v>0</v>
      </c>
      <c r="X31" s="712">
        <v>382982500</v>
      </c>
      <c r="Y31" s="839"/>
      <c r="Z31" s="713" t="s">
        <v>4566</v>
      </c>
      <c r="AA31" s="713" t="s">
        <v>901</v>
      </c>
      <c r="AB31">
        <v>75.5</v>
      </c>
      <c r="AC31" s="712">
        <v>0</v>
      </c>
      <c r="AD31" s="712">
        <v>437880000</v>
      </c>
    </row>
    <row r="32" spans="1:30" x14ac:dyDescent="0.2">
      <c r="A32" s="839"/>
      <c r="B32" s="713" t="s">
        <v>4542</v>
      </c>
      <c r="C32" s="713" t="s">
        <v>901</v>
      </c>
      <c r="D32" s="710">
        <v>60.95</v>
      </c>
      <c r="E32" s="712">
        <v>0</v>
      </c>
      <c r="F32" s="712">
        <v>251272000</v>
      </c>
      <c r="G32" s="839"/>
      <c r="H32" s="713" t="s">
        <v>4558</v>
      </c>
      <c r="I32" s="713" t="s">
        <v>901</v>
      </c>
      <c r="J32">
        <v>64</v>
      </c>
      <c r="K32" s="712">
        <v>0</v>
      </c>
      <c r="L32" s="712">
        <v>268765600</v>
      </c>
      <c r="M32" s="839"/>
      <c r="N32" s="713" t="s">
        <v>5129</v>
      </c>
      <c r="O32" s="713" t="s">
        <v>61</v>
      </c>
      <c r="P32">
        <v>82.25</v>
      </c>
      <c r="Q32" s="712">
        <v>551600000</v>
      </c>
      <c r="R32" s="712">
        <v>0</v>
      </c>
      <c r="S32" s="839"/>
      <c r="T32" s="713" t="s">
        <v>4550</v>
      </c>
      <c r="U32" s="713" t="s">
        <v>901</v>
      </c>
      <c r="V32">
        <v>77.98</v>
      </c>
      <c r="W32" s="712">
        <v>0</v>
      </c>
      <c r="X32" s="712">
        <v>375375836</v>
      </c>
      <c r="Y32" s="839"/>
      <c r="Z32" s="713" t="s">
        <v>5153</v>
      </c>
      <c r="AA32" s="713" t="s">
        <v>61</v>
      </c>
      <c r="AB32">
        <v>76.28</v>
      </c>
      <c r="AC32" s="712">
        <v>498820000</v>
      </c>
      <c r="AD32" s="712">
        <v>0</v>
      </c>
    </row>
    <row r="33" spans="1:30" x14ac:dyDescent="0.2">
      <c r="A33" s="839"/>
      <c r="B33" s="713" t="s">
        <v>4543</v>
      </c>
      <c r="C33" s="713" t="s">
        <v>901</v>
      </c>
      <c r="D33" s="710">
        <v>71.900000000000006</v>
      </c>
      <c r="E33" s="712">
        <v>0</v>
      </c>
      <c r="F33" s="712">
        <v>279143327</v>
      </c>
      <c r="G33" s="839"/>
      <c r="H33" s="713" t="s">
        <v>4579</v>
      </c>
      <c r="I33" s="713" t="s">
        <v>901</v>
      </c>
      <c r="J33">
        <v>76.13</v>
      </c>
      <c r="K33" s="712">
        <v>0</v>
      </c>
      <c r="L33" s="712">
        <v>323229900</v>
      </c>
      <c r="M33" s="839"/>
      <c r="N33" s="713" t="s">
        <v>4574</v>
      </c>
      <c r="O33" s="713" t="s">
        <v>901</v>
      </c>
      <c r="P33">
        <v>80.3</v>
      </c>
      <c r="Q33" s="712">
        <v>0</v>
      </c>
      <c r="R33" s="712">
        <v>496517600</v>
      </c>
      <c r="S33" s="839"/>
      <c r="T33" s="713" t="s">
        <v>4551</v>
      </c>
      <c r="U33" s="713" t="s">
        <v>901</v>
      </c>
      <c r="V33">
        <v>60.95</v>
      </c>
      <c r="W33" s="712">
        <v>0</v>
      </c>
      <c r="X33" s="712">
        <v>384485000</v>
      </c>
      <c r="Y33" s="839"/>
      <c r="Z33" s="713" t="s">
        <v>4567</v>
      </c>
      <c r="AA33" s="713" t="s">
        <v>901</v>
      </c>
      <c r="AB33">
        <v>64</v>
      </c>
      <c r="AC33" s="712">
        <v>0</v>
      </c>
      <c r="AD33" s="712">
        <v>376120000</v>
      </c>
    </row>
    <row r="34" spans="1:30" x14ac:dyDescent="0.2">
      <c r="A34" s="839"/>
      <c r="B34" s="713" t="s">
        <v>4559</v>
      </c>
      <c r="C34" s="713" t="s">
        <v>901</v>
      </c>
      <c r="D34" s="710">
        <v>71</v>
      </c>
      <c r="E34" s="712">
        <v>0</v>
      </c>
      <c r="F34" s="712">
        <v>284290254</v>
      </c>
      <c r="G34" s="839"/>
      <c r="H34" s="713" t="s">
        <v>4580</v>
      </c>
      <c r="I34" s="713" t="s">
        <v>901</v>
      </c>
      <c r="J34">
        <v>75.5</v>
      </c>
      <c r="K34" s="712">
        <v>0</v>
      </c>
      <c r="L34" s="712">
        <v>354753529</v>
      </c>
      <c r="M34" s="839"/>
      <c r="N34" s="713" t="s">
        <v>4575</v>
      </c>
      <c r="O34" s="713" t="s">
        <v>901</v>
      </c>
      <c r="P34">
        <v>57.65</v>
      </c>
      <c r="Q34" s="712">
        <v>0</v>
      </c>
      <c r="R34" s="712">
        <v>389725000</v>
      </c>
      <c r="S34" s="839"/>
      <c r="T34" s="713" t="s">
        <v>5136</v>
      </c>
      <c r="U34" s="713" t="s">
        <v>61</v>
      </c>
      <c r="V34">
        <v>71.900000000000006</v>
      </c>
      <c r="W34" s="712">
        <v>467720000</v>
      </c>
      <c r="X34" s="712">
        <v>0</v>
      </c>
      <c r="Y34" s="839"/>
      <c r="Z34" s="713" t="s">
        <v>4589</v>
      </c>
      <c r="AA34" s="713" t="s">
        <v>901</v>
      </c>
      <c r="AB34">
        <v>76.150000000000006</v>
      </c>
      <c r="AC34" s="712">
        <v>0</v>
      </c>
      <c r="AD34" s="712">
        <v>433270500</v>
      </c>
    </row>
    <row r="35" spans="1:30" x14ac:dyDescent="0.2">
      <c r="A35" s="839"/>
      <c r="B35" s="713" t="s">
        <v>4560</v>
      </c>
      <c r="C35" s="713" t="s">
        <v>901</v>
      </c>
      <c r="D35" s="710">
        <v>60.8</v>
      </c>
      <c r="E35" s="712">
        <v>0</v>
      </c>
      <c r="F35" s="712">
        <v>244084552</v>
      </c>
      <c r="G35" s="839"/>
      <c r="H35" s="713" t="s">
        <v>4581</v>
      </c>
      <c r="I35" s="713" t="s">
        <v>901</v>
      </c>
      <c r="J35">
        <v>76.3</v>
      </c>
      <c r="K35" s="712">
        <v>0</v>
      </c>
      <c r="L35" s="712">
        <v>316900364</v>
      </c>
      <c r="M35" s="839"/>
      <c r="N35" s="713" t="s">
        <v>4576</v>
      </c>
      <c r="O35" s="713" t="s">
        <v>901</v>
      </c>
      <c r="P35">
        <v>80.05</v>
      </c>
      <c r="Q35" s="712">
        <v>0</v>
      </c>
      <c r="R35" s="712">
        <v>533332500</v>
      </c>
      <c r="S35" s="839"/>
      <c r="T35" s="713" t="s">
        <v>4568</v>
      </c>
      <c r="U35" s="713" t="s">
        <v>901</v>
      </c>
      <c r="V35">
        <v>71.95</v>
      </c>
      <c r="W35" s="712">
        <v>0</v>
      </c>
      <c r="X35" s="712">
        <v>456285000</v>
      </c>
      <c r="Y35" s="839"/>
      <c r="Z35" s="713" t="s">
        <v>4590</v>
      </c>
      <c r="AA35" s="713" t="s">
        <v>901</v>
      </c>
      <c r="AB35">
        <v>75.5</v>
      </c>
      <c r="AC35" s="712">
        <v>0</v>
      </c>
      <c r="AD35" s="712">
        <v>479150000</v>
      </c>
    </row>
    <row r="36" spans="1:30" x14ac:dyDescent="0.2">
      <c r="A36" s="839"/>
      <c r="B36" s="713" t="s">
        <v>4561</v>
      </c>
      <c r="C36" s="713" t="s">
        <v>901</v>
      </c>
      <c r="D36" s="710">
        <v>78.349999999999994</v>
      </c>
      <c r="E36" s="712">
        <v>0</v>
      </c>
      <c r="F36" s="712">
        <v>319376000</v>
      </c>
      <c r="G36" s="839"/>
      <c r="H36" s="713" t="s">
        <v>4582</v>
      </c>
      <c r="I36" s="713" t="s">
        <v>901</v>
      </c>
      <c r="J36">
        <v>64</v>
      </c>
      <c r="K36" s="712">
        <v>0</v>
      </c>
      <c r="L36" s="712">
        <v>267787400</v>
      </c>
      <c r="M36" s="839"/>
      <c r="N36" s="713" t="s">
        <v>4577</v>
      </c>
      <c r="O36" s="713" t="s">
        <v>901</v>
      </c>
      <c r="P36">
        <v>60.4</v>
      </c>
      <c r="Q36" s="712">
        <v>0</v>
      </c>
      <c r="R36" s="712">
        <v>393600000</v>
      </c>
      <c r="S36" s="839"/>
      <c r="T36" s="713" t="s">
        <v>4569</v>
      </c>
      <c r="U36" s="713" t="s">
        <v>901</v>
      </c>
      <c r="V36">
        <v>60.91</v>
      </c>
      <c r="W36" s="712">
        <v>0</v>
      </c>
      <c r="X36" s="712">
        <v>294470985</v>
      </c>
      <c r="Y36" s="839"/>
      <c r="Z36" s="713" t="s">
        <v>4591</v>
      </c>
      <c r="AA36" s="713" t="s">
        <v>901</v>
      </c>
      <c r="AB36">
        <v>76.3</v>
      </c>
      <c r="AC36" s="712">
        <v>0</v>
      </c>
      <c r="AD36" s="712">
        <v>426202000</v>
      </c>
    </row>
    <row r="37" spans="1:30" x14ac:dyDescent="0.2">
      <c r="A37" s="839"/>
      <c r="B37" s="713" t="s">
        <v>4562</v>
      </c>
      <c r="C37" s="713" t="s">
        <v>901</v>
      </c>
      <c r="D37" s="710">
        <v>77.3</v>
      </c>
      <c r="E37" s="712">
        <v>0</v>
      </c>
      <c r="F37" s="712">
        <v>319057000</v>
      </c>
      <c r="G37" s="839"/>
      <c r="H37" s="713" t="s">
        <v>4604</v>
      </c>
      <c r="I37" s="713" t="s">
        <v>901</v>
      </c>
      <c r="J37">
        <v>76.150000000000006</v>
      </c>
      <c r="K37" s="712">
        <v>0</v>
      </c>
      <c r="L37" s="712">
        <v>367033815</v>
      </c>
      <c r="M37" s="839"/>
      <c r="N37" s="713" t="s">
        <v>4578</v>
      </c>
      <c r="O37" s="713" t="s">
        <v>901</v>
      </c>
      <c r="P37">
        <v>82.25</v>
      </c>
      <c r="Q37" s="712">
        <v>0</v>
      </c>
      <c r="R37" s="712">
        <v>494500000</v>
      </c>
      <c r="S37" s="839"/>
      <c r="T37" s="713" t="s">
        <v>4570</v>
      </c>
      <c r="U37" s="713" t="s">
        <v>901</v>
      </c>
      <c r="V37">
        <v>78.45</v>
      </c>
      <c r="W37" s="712">
        <v>0</v>
      </c>
      <c r="X37" s="712">
        <v>383482500</v>
      </c>
      <c r="Y37" s="839"/>
      <c r="Z37" s="713" t="s">
        <v>4592</v>
      </c>
      <c r="AA37" s="713" t="s">
        <v>901</v>
      </c>
      <c r="AB37">
        <v>64</v>
      </c>
      <c r="AC37" s="712">
        <v>0</v>
      </c>
      <c r="AD37" s="712">
        <v>358060000</v>
      </c>
    </row>
    <row r="38" spans="1:30" x14ac:dyDescent="0.2">
      <c r="A38" s="839"/>
      <c r="B38" s="713" t="s">
        <v>4563</v>
      </c>
      <c r="C38" s="713" t="s">
        <v>901</v>
      </c>
      <c r="D38" s="710">
        <v>60.95</v>
      </c>
      <c r="E38" s="712">
        <v>0</v>
      </c>
      <c r="F38" s="712">
        <v>251572000</v>
      </c>
      <c r="G38" s="839"/>
      <c r="H38" s="713" t="s">
        <v>4605</v>
      </c>
      <c r="I38" s="713" t="s">
        <v>901</v>
      </c>
      <c r="J38">
        <v>75.5</v>
      </c>
      <c r="K38" s="712">
        <v>0</v>
      </c>
      <c r="L38" s="712">
        <v>357547679</v>
      </c>
      <c r="M38" s="839"/>
      <c r="N38" s="713" t="s">
        <v>4599</v>
      </c>
      <c r="O38" s="713" t="s">
        <v>901</v>
      </c>
      <c r="P38">
        <v>80.349999999999994</v>
      </c>
      <c r="Q38" s="712">
        <v>0</v>
      </c>
      <c r="R38" s="712">
        <v>535775000</v>
      </c>
      <c r="S38" s="839"/>
      <c r="T38" s="713" t="s">
        <v>4571</v>
      </c>
      <c r="U38" s="713" t="s">
        <v>901</v>
      </c>
      <c r="V38">
        <v>77.98</v>
      </c>
      <c r="W38" s="712">
        <v>0</v>
      </c>
      <c r="X38" s="712">
        <v>385592000</v>
      </c>
      <c r="Y38" s="839"/>
      <c r="Z38" s="713" t="s">
        <v>4614</v>
      </c>
      <c r="AA38" s="713" t="s">
        <v>901</v>
      </c>
      <c r="AB38">
        <v>76.150000000000006</v>
      </c>
      <c r="AC38" s="712">
        <v>0</v>
      </c>
      <c r="AD38" s="712">
        <v>427305726</v>
      </c>
    </row>
    <row r="39" spans="1:30" x14ac:dyDescent="0.2">
      <c r="A39" s="839"/>
      <c r="B39" s="713" t="s">
        <v>4564</v>
      </c>
      <c r="C39" s="713" t="s">
        <v>901</v>
      </c>
      <c r="D39" s="710">
        <v>71.900000000000006</v>
      </c>
      <c r="E39" s="712">
        <v>0</v>
      </c>
      <c r="F39" s="712">
        <v>299655996</v>
      </c>
      <c r="G39" s="839"/>
      <c r="H39" s="713" t="s">
        <v>4606</v>
      </c>
      <c r="I39" s="713" t="s">
        <v>901</v>
      </c>
      <c r="J39">
        <v>76.3</v>
      </c>
      <c r="K39" s="712">
        <v>0</v>
      </c>
      <c r="L39" s="712">
        <v>322279331</v>
      </c>
      <c r="M39" s="839"/>
      <c r="N39" s="713" t="s">
        <v>4600</v>
      </c>
      <c r="O39" s="713" t="s">
        <v>901</v>
      </c>
      <c r="P39">
        <v>57.65</v>
      </c>
      <c r="Q39" s="712">
        <v>0</v>
      </c>
      <c r="R39" s="712">
        <v>360500000</v>
      </c>
      <c r="S39" s="839"/>
      <c r="T39" s="713" t="s">
        <v>4572</v>
      </c>
      <c r="U39" s="713" t="s">
        <v>901</v>
      </c>
      <c r="V39">
        <v>71.92</v>
      </c>
      <c r="W39" s="712">
        <v>0</v>
      </c>
      <c r="X39" s="712">
        <v>282311800</v>
      </c>
      <c r="Y39" s="839"/>
      <c r="Z39" s="713" t="s">
        <v>4615</v>
      </c>
      <c r="AA39" s="713" t="s">
        <v>901</v>
      </c>
      <c r="AB39">
        <v>75.5</v>
      </c>
      <c r="AC39" s="712">
        <v>0</v>
      </c>
      <c r="AD39" s="712">
        <v>494750000</v>
      </c>
    </row>
    <row r="40" spans="1:30" x14ac:dyDescent="0.2">
      <c r="A40" s="839"/>
      <c r="B40" s="713" t="s">
        <v>4583</v>
      </c>
      <c r="C40" s="713" t="s">
        <v>901</v>
      </c>
      <c r="D40" s="710">
        <v>71.95</v>
      </c>
      <c r="E40" s="712">
        <v>0</v>
      </c>
      <c r="F40" s="712">
        <v>271517227</v>
      </c>
      <c r="G40" s="839"/>
      <c r="H40" s="713" t="s">
        <v>4607</v>
      </c>
      <c r="I40" s="713" t="s">
        <v>901</v>
      </c>
      <c r="J40">
        <v>63.91</v>
      </c>
      <c r="K40" s="712">
        <v>0</v>
      </c>
      <c r="L40" s="712">
        <v>267749367</v>
      </c>
      <c r="M40" s="839"/>
      <c r="N40" s="713" t="s">
        <v>4601</v>
      </c>
      <c r="O40" s="713" t="s">
        <v>901</v>
      </c>
      <c r="P40">
        <v>79.260000000000005</v>
      </c>
      <c r="Q40" s="712">
        <v>0</v>
      </c>
      <c r="R40" s="712">
        <v>477060000</v>
      </c>
      <c r="S40" s="839"/>
      <c r="T40" s="713" t="s">
        <v>4573</v>
      </c>
      <c r="U40" s="713" t="s">
        <v>901</v>
      </c>
      <c r="V40">
        <v>71.900000000000006</v>
      </c>
      <c r="W40" s="712">
        <v>0</v>
      </c>
      <c r="X40" s="712">
        <v>351969600</v>
      </c>
      <c r="Y40" s="839"/>
      <c r="Z40" s="713" t="s">
        <v>5154</v>
      </c>
      <c r="AA40" s="713" t="s">
        <v>61</v>
      </c>
      <c r="AB40">
        <v>76.28</v>
      </c>
      <c r="AC40" s="712">
        <v>499820000</v>
      </c>
      <c r="AD40" s="712">
        <v>0</v>
      </c>
    </row>
    <row r="41" spans="1:30" x14ac:dyDescent="0.2">
      <c r="A41" s="839"/>
      <c r="B41" s="713" t="s">
        <v>4584</v>
      </c>
      <c r="C41" s="713" t="s">
        <v>901</v>
      </c>
      <c r="D41" s="710">
        <v>58.4</v>
      </c>
      <c r="E41" s="712">
        <v>0</v>
      </c>
      <c r="F41" s="712">
        <v>239329528</v>
      </c>
      <c r="G41" s="839"/>
      <c r="H41" s="713" t="s">
        <v>5126</v>
      </c>
      <c r="I41" s="713" t="s">
        <v>61</v>
      </c>
      <c r="J41">
        <v>76.150000000000006</v>
      </c>
      <c r="K41" s="712">
        <v>404195000</v>
      </c>
      <c r="L41" s="712">
        <v>0</v>
      </c>
      <c r="M41" s="839"/>
      <c r="N41" s="713" t="s">
        <v>4602</v>
      </c>
      <c r="O41" s="713" t="s">
        <v>901</v>
      </c>
      <c r="P41">
        <v>59.7</v>
      </c>
      <c r="Q41" s="712">
        <v>0</v>
      </c>
      <c r="R41" s="712">
        <v>363900000</v>
      </c>
      <c r="S41" s="839"/>
      <c r="T41" s="713" t="s">
        <v>4593</v>
      </c>
      <c r="U41" s="713" t="s">
        <v>901</v>
      </c>
      <c r="V41">
        <v>71.95</v>
      </c>
      <c r="W41" s="712">
        <v>0</v>
      </c>
      <c r="X41" s="712">
        <v>460382500</v>
      </c>
      <c r="Y41" s="839"/>
      <c r="Z41" s="713" t="s">
        <v>4616</v>
      </c>
      <c r="AA41" s="713" t="s">
        <v>901</v>
      </c>
      <c r="AB41">
        <v>64</v>
      </c>
      <c r="AC41" s="712">
        <v>0</v>
      </c>
      <c r="AD41" s="712">
        <v>364960000</v>
      </c>
    </row>
    <row r="42" spans="1:30" x14ac:dyDescent="0.2">
      <c r="A42" s="839"/>
      <c r="B42" s="713" t="s">
        <v>4585</v>
      </c>
      <c r="C42" s="713" t="s">
        <v>901</v>
      </c>
      <c r="D42" s="710">
        <v>78.349999999999994</v>
      </c>
      <c r="E42" s="712">
        <v>0</v>
      </c>
      <c r="F42" s="712">
        <v>295048531</v>
      </c>
      <c r="G42" s="839"/>
      <c r="H42" s="713" t="s">
        <v>4627</v>
      </c>
      <c r="I42" s="713" t="s">
        <v>901</v>
      </c>
      <c r="J42">
        <v>75.59</v>
      </c>
      <c r="K42" s="712">
        <v>0</v>
      </c>
      <c r="L42" s="712">
        <v>316278000</v>
      </c>
      <c r="M42" s="839"/>
      <c r="N42" s="713" t="s">
        <v>4603</v>
      </c>
      <c r="O42" s="713" t="s">
        <v>901</v>
      </c>
      <c r="P42">
        <v>82.3</v>
      </c>
      <c r="Q42" s="712">
        <v>0</v>
      </c>
      <c r="R42" s="712">
        <v>500857562</v>
      </c>
      <c r="S42" s="839"/>
      <c r="T42" s="713" t="s">
        <v>4594</v>
      </c>
      <c r="U42" s="713" t="s">
        <v>901</v>
      </c>
      <c r="V42">
        <v>60.91</v>
      </c>
      <c r="W42" s="712">
        <v>0</v>
      </c>
      <c r="X42" s="712">
        <v>290429946</v>
      </c>
      <c r="Y42" s="839"/>
      <c r="Z42" s="713" t="s">
        <v>4636</v>
      </c>
      <c r="AA42" s="713" t="s">
        <v>901</v>
      </c>
      <c r="AB42">
        <v>76.150000000000006</v>
      </c>
      <c r="AC42" s="712">
        <v>0</v>
      </c>
      <c r="AD42" s="712">
        <v>439601000</v>
      </c>
    </row>
    <row r="43" spans="1:30" x14ac:dyDescent="0.2">
      <c r="A43" s="839"/>
      <c r="B43" s="713" t="s">
        <v>4586</v>
      </c>
      <c r="C43" s="713" t="s">
        <v>901</v>
      </c>
      <c r="D43" s="710">
        <v>78.400000000000006</v>
      </c>
      <c r="E43" s="712">
        <v>0</v>
      </c>
      <c r="F43" s="712">
        <v>293662611</v>
      </c>
      <c r="G43" s="839"/>
      <c r="H43" s="713" t="s">
        <v>4628</v>
      </c>
      <c r="I43" s="713" t="s">
        <v>901</v>
      </c>
      <c r="J43">
        <v>75.91</v>
      </c>
      <c r="K43" s="712">
        <v>0</v>
      </c>
      <c r="L43" s="712">
        <v>319585600</v>
      </c>
      <c r="M43" s="839"/>
      <c r="N43" s="713" t="s">
        <v>5130</v>
      </c>
      <c r="O43" s="713" t="s">
        <v>61</v>
      </c>
      <c r="P43">
        <v>80.349999999999994</v>
      </c>
      <c r="Q43" s="712">
        <v>552345000</v>
      </c>
      <c r="R43" s="712">
        <v>0</v>
      </c>
      <c r="S43" s="839"/>
      <c r="T43" s="713" t="s">
        <v>4595</v>
      </c>
      <c r="U43" s="713" t="s">
        <v>901</v>
      </c>
      <c r="V43">
        <v>78.45</v>
      </c>
      <c r="W43" s="712">
        <v>0</v>
      </c>
      <c r="X43" s="712">
        <v>414457027</v>
      </c>
      <c r="Y43" s="839"/>
      <c r="Z43" s="713" t="s">
        <v>5155</v>
      </c>
      <c r="AA43" s="713" t="s">
        <v>61</v>
      </c>
      <c r="AB43">
        <v>75.599999999999994</v>
      </c>
      <c r="AC43" s="712">
        <v>495900000</v>
      </c>
      <c r="AD43" s="712">
        <v>0</v>
      </c>
    </row>
    <row r="44" spans="1:30" x14ac:dyDescent="0.2">
      <c r="A44" s="839"/>
      <c r="B44" s="713" t="s">
        <v>4587</v>
      </c>
      <c r="C44" s="713" t="s">
        <v>901</v>
      </c>
      <c r="D44" s="710">
        <v>60.86</v>
      </c>
      <c r="E44" s="712">
        <v>0</v>
      </c>
      <c r="F44" s="712">
        <v>292161339</v>
      </c>
      <c r="G44" s="839"/>
      <c r="H44" s="713" t="s">
        <v>4629</v>
      </c>
      <c r="I44" s="713" t="s">
        <v>901</v>
      </c>
      <c r="J44">
        <v>63.91</v>
      </c>
      <c r="K44" s="712">
        <v>0</v>
      </c>
      <c r="L44" s="712">
        <v>268387400</v>
      </c>
      <c r="M44" s="839"/>
      <c r="N44" s="713" t="s">
        <v>4623</v>
      </c>
      <c r="O44" s="713" t="s">
        <v>901</v>
      </c>
      <c r="P44">
        <v>57.5</v>
      </c>
      <c r="Q44" s="712">
        <v>0</v>
      </c>
      <c r="R44" s="712">
        <v>361000000</v>
      </c>
      <c r="S44" s="839"/>
      <c r="T44" s="713" t="s">
        <v>4596</v>
      </c>
      <c r="U44" s="713" t="s">
        <v>901</v>
      </c>
      <c r="V44">
        <v>77.98</v>
      </c>
      <c r="W44" s="712">
        <v>0</v>
      </c>
      <c r="X44" s="712">
        <v>386092000</v>
      </c>
      <c r="Y44" s="839"/>
      <c r="Z44" s="713" t="s">
        <v>4637</v>
      </c>
      <c r="AA44" s="713" t="s">
        <v>901</v>
      </c>
      <c r="AB44">
        <v>76.3</v>
      </c>
      <c r="AC44" s="712">
        <v>0</v>
      </c>
      <c r="AD44" s="712">
        <v>485190000</v>
      </c>
    </row>
    <row r="45" spans="1:30" x14ac:dyDescent="0.2">
      <c r="A45" s="839"/>
      <c r="B45" s="713" t="s">
        <v>4588</v>
      </c>
      <c r="C45" s="713" t="s">
        <v>901</v>
      </c>
      <c r="D45" s="710">
        <v>71.88</v>
      </c>
      <c r="E45" s="712">
        <v>0</v>
      </c>
      <c r="F45" s="712">
        <v>373976000</v>
      </c>
      <c r="G45" s="839"/>
      <c r="H45" s="713" t="s">
        <v>4648</v>
      </c>
      <c r="I45" s="713" t="s">
        <v>901</v>
      </c>
      <c r="J45">
        <v>76.150000000000006</v>
      </c>
      <c r="K45" s="712">
        <v>0</v>
      </c>
      <c r="L45" s="712">
        <v>366097000</v>
      </c>
      <c r="M45" s="839"/>
      <c r="N45" s="713" t="s">
        <v>4624</v>
      </c>
      <c r="O45" s="713" t="s">
        <v>901</v>
      </c>
      <c r="P45">
        <v>79.260000000000005</v>
      </c>
      <c r="Q45" s="712">
        <v>0</v>
      </c>
      <c r="R45" s="712">
        <v>477560000</v>
      </c>
      <c r="S45" s="839"/>
      <c r="T45" s="713" t="s">
        <v>4597</v>
      </c>
      <c r="U45" s="713" t="s">
        <v>901</v>
      </c>
      <c r="V45">
        <v>60.95</v>
      </c>
      <c r="W45" s="712">
        <v>0</v>
      </c>
      <c r="X45" s="712">
        <v>298326500</v>
      </c>
      <c r="Y45" s="839"/>
      <c r="Z45" s="713" t="s">
        <v>4638</v>
      </c>
      <c r="AA45" s="713" t="s">
        <v>901</v>
      </c>
      <c r="AB45">
        <v>64</v>
      </c>
      <c r="AC45" s="712">
        <v>0</v>
      </c>
      <c r="AD45" s="712">
        <v>365561784</v>
      </c>
    </row>
    <row r="46" spans="1:30" x14ac:dyDescent="0.2">
      <c r="A46" s="839"/>
      <c r="B46" s="713" t="s">
        <v>4608</v>
      </c>
      <c r="C46" s="713" t="s">
        <v>901</v>
      </c>
      <c r="D46" s="710">
        <v>71.95</v>
      </c>
      <c r="E46" s="712">
        <v>0</v>
      </c>
      <c r="F46" s="712">
        <v>266843906</v>
      </c>
      <c r="G46" s="839"/>
      <c r="H46" s="713" t="s">
        <v>4649</v>
      </c>
      <c r="I46" s="713" t="s">
        <v>901</v>
      </c>
      <c r="J46">
        <v>75.5</v>
      </c>
      <c r="K46" s="712">
        <v>0</v>
      </c>
      <c r="L46" s="712">
        <v>336696000</v>
      </c>
      <c r="M46" s="839"/>
      <c r="N46" s="713" t="s">
        <v>4625</v>
      </c>
      <c r="O46" s="713" t="s">
        <v>901</v>
      </c>
      <c r="P46">
        <v>59.7</v>
      </c>
      <c r="Q46" s="712">
        <v>0</v>
      </c>
      <c r="R46" s="712">
        <v>364400000</v>
      </c>
      <c r="S46" s="839"/>
      <c r="T46" s="713" t="s">
        <v>4598</v>
      </c>
      <c r="U46" s="713" t="s">
        <v>901</v>
      </c>
      <c r="V46">
        <v>71.78</v>
      </c>
      <c r="W46" s="712">
        <v>0</v>
      </c>
      <c r="X46" s="712">
        <v>331688000</v>
      </c>
      <c r="Y46" s="839"/>
      <c r="Z46" s="713" t="s">
        <v>4658</v>
      </c>
      <c r="AA46" s="713" t="s">
        <v>901</v>
      </c>
      <c r="AB46">
        <v>76.150000000000006</v>
      </c>
      <c r="AC46" s="712">
        <v>0</v>
      </c>
      <c r="AD46" s="712">
        <v>434770500</v>
      </c>
    </row>
    <row r="47" spans="1:30" x14ac:dyDescent="0.2">
      <c r="A47" s="839"/>
      <c r="B47" s="713" t="s">
        <v>4609</v>
      </c>
      <c r="C47" s="713" t="s">
        <v>901</v>
      </c>
      <c r="D47" s="710">
        <v>60.9</v>
      </c>
      <c r="E47" s="712">
        <v>0</v>
      </c>
      <c r="F47" s="712">
        <v>247172000</v>
      </c>
      <c r="G47" s="839"/>
      <c r="H47" s="713" t="s">
        <v>4650</v>
      </c>
      <c r="I47" s="713" t="s">
        <v>901</v>
      </c>
      <c r="J47">
        <v>75.91</v>
      </c>
      <c r="K47" s="712">
        <v>0</v>
      </c>
      <c r="L47" s="712">
        <v>319885600</v>
      </c>
      <c r="M47" s="839"/>
      <c r="N47" s="713" t="s">
        <v>4626</v>
      </c>
      <c r="O47" s="713" t="s">
        <v>901</v>
      </c>
      <c r="P47">
        <v>82.3</v>
      </c>
      <c r="Q47" s="712">
        <v>0</v>
      </c>
      <c r="R47" s="712">
        <v>536950000</v>
      </c>
      <c r="S47" s="839"/>
      <c r="T47" s="713" t="s">
        <v>4617</v>
      </c>
      <c r="U47" s="713" t="s">
        <v>901</v>
      </c>
      <c r="V47">
        <v>71.95</v>
      </c>
      <c r="W47" s="712">
        <v>0</v>
      </c>
      <c r="X47" s="712">
        <v>471675000</v>
      </c>
      <c r="Y47" s="839"/>
      <c r="Z47" s="713" t="s">
        <v>5156</v>
      </c>
      <c r="AA47" s="713" t="s">
        <v>61</v>
      </c>
      <c r="AB47">
        <v>75.599999999999994</v>
      </c>
      <c r="AC47" s="712">
        <v>496400000</v>
      </c>
      <c r="AD47" s="712">
        <v>0</v>
      </c>
    </row>
    <row r="48" spans="1:30" x14ac:dyDescent="0.2">
      <c r="A48" s="839"/>
      <c r="B48" s="713" t="s">
        <v>4610</v>
      </c>
      <c r="C48" s="713" t="s">
        <v>901</v>
      </c>
      <c r="D48" s="710">
        <v>78.349999999999994</v>
      </c>
      <c r="E48" s="712">
        <v>0</v>
      </c>
      <c r="F48" s="712">
        <v>310699997</v>
      </c>
      <c r="G48" s="839"/>
      <c r="H48" s="713" t="s">
        <v>4651</v>
      </c>
      <c r="I48" s="713" t="s">
        <v>901</v>
      </c>
      <c r="J48">
        <v>63.91</v>
      </c>
      <c r="K48" s="712">
        <v>0</v>
      </c>
      <c r="L48" s="712">
        <v>267480517</v>
      </c>
      <c r="M48" s="839"/>
      <c r="N48" s="713" t="s">
        <v>5131</v>
      </c>
      <c r="O48" s="713" t="s">
        <v>61</v>
      </c>
      <c r="P48">
        <v>80.349999999999994</v>
      </c>
      <c r="Q48" s="712">
        <v>552845000</v>
      </c>
      <c r="R48" s="712">
        <v>0</v>
      </c>
      <c r="S48" s="839"/>
      <c r="T48" s="713" t="s">
        <v>4618</v>
      </c>
      <c r="U48" s="713" t="s">
        <v>901</v>
      </c>
      <c r="V48">
        <v>60.91</v>
      </c>
      <c r="W48" s="712">
        <v>0</v>
      </c>
      <c r="X48" s="712">
        <v>292322120</v>
      </c>
      <c r="Y48" s="839"/>
      <c r="Z48" s="713" t="s">
        <v>4659</v>
      </c>
      <c r="AA48" s="713" t="s">
        <v>901</v>
      </c>
      <c r="AB48">
        <v>76.3</v>
      </c>
      <c r="AC48" s="712">
        <v>0</v>
      </c>
      <c r="AD48" s="712">
        <v>437621000</v>
      </c>
    </row>
    <row r="49" spans="1:30" x14ac:dyDescent="0.2">
      <c r="A49" s="839"/>
      <c r="B49" s="713" t="s">
        <v>4611</v>
      </c>
      <c r="C49" s="713" t="s">
        <v>901</v>
      </c>
      <c r="D49" s="710">
        <v>77.3</v>
      </c>
      <c r="E49" s="712">
        <v>0</v>
      </c>
      <c r="F49" s="712">
        <v>318752518</v>
      </c>
      <c r="G49" s="839"/>
      <c r="H49" s="713" t="s">
        <v>4672</v>
      </c>
      <c r="I49" s="713" t="s">
        <v>901</v>
      </c>
      <c r="J49">
        <v>76.13</v>
      </c>
      <c r="K49" s="712">
        <v>0</v>
      </c>
      <c r="L49" s="712">
        <v>324429900</v>
      </c>
      <c r="M49" s="839"/>
      <c r="N49" s="713" t="s">
        <v>4644</v>
      </c>
      <c r="O49" s="713" t="s">
        <v>901</v>
      </c>
      <c r="P49">
        <v>57.5</v>
      </c>
      <c r="Q49" s="712">
        <v>0</v>
      </c>
      <c r="R49" s="712">
        <v>361500000</v>
      </c>
      <c r="S49" s="839"/>
      <c r="T49" s="713" t="s">
        <v>4619</v>
      </c>
      <c r="U49" s="713" t="s">
        <v>901</v>
      </c>
      <c r="V49">
        <v>78.45</v>
      </c>
      <c r="W49" s="712">
        <v>0</v>
      </c>
      <c r="X49" s="712">
        <v>404095000</v>
      </c>
      <c r="Y49" s="839"/>
      <c r="Z49" s="713" t="s">
        <v>4660</v>
      </c>
      <c r="AA49" s="713" t="s">
        <v>901</v>
      </c>
      <c r="AB49">
        <v>64</v>
      </c>
      <c r="AC49" s="712">
        <v>0</v>
      </c>
      <c r="AD49" s="712">
        <v>367880000</v>
      </c>
    </row>
    <row r="50" spans="1:30" x14ac:dyDescent="0.2">
      <c r="A50" s="839"/>
      <c r="B50" s="713" t="s">
        <v>4612</v>
      </c>
      <c r="C50" s="713" t="s">
        <v>901</v>
      </c>
      <c r="D50" s="710">
        <v>60.95</v>
      </c>
      <c r="E50" s="712">
        <v>0</v>
      </c>
      <c r="F50" s="712">
        <v>226342611</v>
      </c>
      <c r="G50" s="839"/>
      <c r="H50" s="713" t="s">
        <v>4673</v>
      </c>
      <c r="I50" s="713" t="s">
        <v>901</v>
      </c>
      <c r="J50">
        <v>75.59</v>
      </c>
      <c r="K50" s="712">
        <v>0</v>
      </c>
      <c r="L50" s="712">
        <v>324145700</v>
      </c>
      <c r="M50" s="839"/>
      <c r="N50" s="713" t="s">
        <v>4645</v>
      </c>
      <c r="O50" s="713" t="s">
        <v>901</v>
      </c>
      <c r="P50">
        <v>80.05</v>
      </c>
      <c r="Q50" s="712">
        <v>0</v>
      </c>
      <c r="R50" s="712">
        <v>530830000</v>
      </c>
      <c r="S50" s="839"/>
      <c r="T50" s="713" t="s">
        <v>4620</v>
      </c>
      <c r="U50" s="713" t="s">
        <v>901</v>
      </c>
      <c r="V50">
        <v>77.98</v>
      </c>
      <c r="W50" s="712">
        <v>0</v>
      </c>
      <c r="X50" s="712">
        <v>403840000</v>
      </c>
      <c r="Y50" s="839"/>
      <c r="Z50" s="713" t="s">
        <v>4682</v>
      </c>
      <c r="AA50" s="713" t="s">
        <v>901</v>
      </c>
      <c r="AB50">
        <v>76.150000000000006</v>
      </c>
      <c r="AC50" s="712">
        <v>0</v>
      </c>
      <c r="AD50" s="712">
        <v>444061246</v>
      </c>
    </row>
    <row r="51" spans="1:30" x14ac:dyDescent="0.2">
      <c r="A51" s="839"/>
      <c r="B51" s="713" t="s">
        <v>4613</v>
      </c>
      <c r="C51" s="713" t="s">
        <v>901</v>
      </c>
      <c r="D51" s="710">
        <v>71.900000000000006</v>
      </c>
      <c r="E51" s="712">
        <v>0</v>
      </c>
      <c r="F51" s="712">
        <v>288300000</v>
      </c>
      <c r="G51" s="839"/>
      <c r="H51" s="713" t="s">
        <v>4674</v>
      </c>
      <c r="I51" s="713" t="s">
        <v>901</v>
      </c>
      <c r="J51">
        <v>75.91</v>
      </c>
      <c r="K51" s="712">
        <v>0</v>
      </c>
      <c r="L51" s="712">
        <v>363010000</v>
      </c>
      <c r="M51" s="839"/>
      <c r="N51" s="713" t="s">
        <v>4646</v>
      </c>
      <c r="O51" s="713" t="s">
        <v>901</v>
      </c>
      <c r="P51">
        <v>60.4</v>
      </c>
      <c r="Q51" s="712">
        <v>0</v>
      </c>
      <c r="R51" s="712">
        <v>395100000</v>
      </c>
      <c r="S51" s="839"/>
      <c r="T51" s="713" t="s">
        <v>4621</v>
      </c>
      <c r="U51" s="713" t="s">
        <v>901</v>
      </c>
      <c r="V51">
        <v>60.95</v>
      </c>
      <c r="W51" s="712">
        <v>0</v>
      </c>
      <c r="X51" s="712">
        <v>288465000</v>
      </c>
      <c r="Y51" s="839"/>
      <c r="Z51" s="713" t="s">
        <v>5157</v>
      </c>
      <c r="AA51" s="713" t="s">
        <v>61</v>
      </c>
      <c r="AB51">
        <v>75.599999999999994</v>
      </c>
      <c r="AC51" s="712">
        <v>496900000</v>
      </c>
      <c r="AD51" s="712">
        <v>0</v>
      </c>
    </row>
    <row r="52" spans="1:30" x14ac:dyDescent="0.2">
      <c r="A52" s="839"/>
      <c r="B52" s="713" t="s">
        <v>4630</v>
      </c>
      <c r="C52" s="713" t="s">
        <v>901</v>
      </c>
      <c r="D52" s="710">
        <v>71.95</v>
      </c>
      <c r="E52" s="712">
        <v>0</v>
      </c>
      <c r="F52" s="712">
        <v>298192800</v>
      </c>
      <c r="G52" s="839"/>
      <c r="H52" s="713" t="s">
        <v>4675</v>
      </c>
      <c r="I52" s="713" t="s">
        <v>901</v>
      </c>
      <c r="J52">
        <v>63.91</v>
      </c>
      <c r="K52" s="712">
        <v>0</v>
      </c>
      <c r="L52" s="712">
        <v>268571788</v>
      </c>
      <c r="M52" s="839"/>
      <c r="N52" s="713" t="s">
        <v>4647</v>
      </c>
      <c r="O52" s="713" t="s">
        <v>901</v>
      </c>
      <c r="P52">
        <v>82.25</v>
      </c>
      <c r="Q52" s="712">
        <v>0</v>
      </c>
      <c r="R52" s="712">
        <v>496000000</v>
      </c>
      <c r="S52" s="839"/>
      <c r="T52" s="713" t="s">
        <v>4622</v>
      </c>
      <c r="U52" s="713" t="s">
        <v>901</v>
      </c>
      <c r="V52">
        <v>71.78</v>
      </c>
      <c r="W52" s="712">
        <v>0</v>
      </c>
      <c r="X52" s="712">
        <v>342351519</v>
      </c>
      <c r="Y52" s="839"/>
      <c r="Z52" s="713" t="s">
        <v>4683</v>
      </c>
      <c r="AA52" s="713" t="s">
        <v>901</v>
      </c>
      <c r="AB52">
        <v>76.3</v>
      </c>
      <c r="AC52" s="712">
        <v>0</v>
      </c>
      <c r="AD52" s="712">
        <v>449566000</v>
      </c>
    </row>
    <row r="53" spans="1:30" x14ac:dyDescent="0.2">
      <c r="A53" s="839"/>
      <c r="B53" s="713" t="s">
        <v>4631</v>
      </c>
      <c r="C53" s="713" t="s">
        <v>901</v>
      </c>
      <c r="D53" s="710">
        <v>60.9</v>
      </c>
      <c r="E53" s="712">
        <v>0</v>
      </c>
      <c r="F53" s="712">
        <v>244000000</v>
      </c>
      <c r="G53" s="839"/>
      <c r="H53" s="713" t="s">
        <v>4696</v>
      </c>
      <c r="I53" s="713" t="s">
        <v>901</v>
      </c>
      <c r="J53">
        <v>76.150000000000006</v>
      </c>
      <c r="K53" s="712">
        <v>0</v>
      </c>
      <c r="L53" s="712">
        <v>398680000</v>
      </c>
      <c r="M53" s="839"/>
      <c r="N53" s="713" t="s">
        <v>4667</v>
      </c>
      <c r="O53" s="713" t="s">
        <v>901</v>
      </c>
      <c r="P53">
        <v>80.3</v>
      </c>
      <c r="Q53" s="712">
        <v>0</v>
      </c>
      <c r="R53" s="712">
        <v>504954327</v>
      </c>
      <c r="S53" s="839"/>
      <c r="T53" s="713" t="s">
        <v>4639</v>
      </c>
      <c r="U53" s="713" t="s">
        <v>901</v>
      </c>
      <c r="V53">
        <v>71.95</v>
      </c>
      <c r="W53" s="712">
        <v>0</v>
      </c>
      <c r="X53" s="712">
        <v>472175000</v>
      </c>
      <c r="Y53" s="839"/>
      <c r="Z53" s="713" t="s">
        <v>4684</v>
      </c>
      <c r="AA53" s="713" t="s">
        <v>901</v>
      </c>
      <c r="AB53">
        <v>64</v>
      </c>
      <c r="AC53" s="712">
        <v>0</v>
      </c>
      <c r="AD53" s="712">
        <v>360060000</v>
      </c>
    </row>
    <row r="54" spans="1:30" x14ac:dyDescent="0.2">
      <c r="A54" s="839"/>
      <c r="B54" s="713" t="s">
        <v>4632</v>
      </c>
      <c r="C54" s="713" t="s">
        <v>901</v>
      </c>
      <c r="D54" s="710">
        <v>78.349999999999994</v>
      </c>
      <c r="E54" s="712">
        <v>0</v>
      </c>
      <c r="F54" s="712">
        <v>317957000</v>
      </c>
      <c r="G54" s="839"/>
      <c r="H54" s="713" t="s">
        <v>4697</v>
      </c>
      <c r="I54" s="713" t="s">
        <v>901</v>
      </c>
      <c r="J54">
        <v>75.5</v>
      </c>
      <c r="K54" s="712">
        <v>0</v>
      </c>
      <c r="L54" s="712">
        <v>317642600</v>
      </c>
      <c r="M54" s="839"/>
      <c r="N54" s="713" t="s">
        <v>4668</v>
      </c>
      <c r="O54" s="713" t="s">
        <v>901</v>
      </c>
      <c r="P54">
        <v>57.65</v>
      </c>
      <c r="Q54" s="712">
        <v>0</v>
      </c>
      <c r="R54" s="712">
        <v>395171917</v>
      </c>
      <c r="S54" s="839"/>
      <c r="T54" s="713" t="s">
        <v>4640</v>
      </c>
      <c r="U54" s="713" t="s">
        <v>901</v>
      </c>
      <c r="V54">
        <v>60.91</v>
      </c>
      <c r="W54" s="712">
        <v>0</v>
      </c>
      <c r="X54" s="712">
        <v>295467840</v>
      </c>
      <c r="Y54" s="839"/>
      <c r="Z54" s="713" t="s">
        <v>5158</v>
      </c>
      <c r="AA54" s="713" t="s">
        <v>61</v>
      </c>
      <c r="AB54">
        <v>76.16</v>
      </c>
      <c r="AC54" s="712">
        <v>499040000</v>
      </c>
      <c r="AD54" s="712">
        <v>0</v>
      </c>
    </row>
    <row r="55" spans="1:30" x14ac:dyDescent="0.2">
      <c r="A55" s="839"/>
      <c r="B55" s="713" t="s">
        <v>4633</v>
      </c>
      <c r="C55" s="713" t="s">
        <v>901</v>
      </c>
      <c r="D55" s="710">
        <v>77.3</v>
      </c>
      <c r="E55" s="712">
        <v>0</v>
      </c>
      <c r="F55" s="712">
        <v>322276000</v>
      </c>
      <c r="G55" s="839"/>
      <c r="H55" s="713" t="s">
        <v>4698</v>
      </c>
      <c r="I55" s="713" t="s">
        <v>901</v>
      </c>
      <c r="J55">
        <v>76.3</v>
      </c>
      <c r="K55" s="712">
        <v>0</v>
      </c>
      <c r="L55" s="712">
        <v>318967400</v>
      </c>
      <c r="M55" s="839"/>
      <c r="N55" s="713" t="s">
        <v>4669</v>
      </c>
      <c r="O55" s="713" t="s">
        <v>901</v>
      </c>
      <c r="P55">
        <v>80.05</v>
      </c>
      <c r="Q55" s="712">
        <v>0</v>
      </c>
      <c r="R55" s="712">
        <v>523325000</v>
      </c>
      <c r="S55" s="839"/>
      <c r="T55" s="713" t="s">
        <v>4641</v>
      </c>
      <c r="U55" s="713" t="s">
        <v>901</v>
      </c>
      <c r="V55">
        <v>78.45</v>
      </c>
      <c r="W55" s="712">
        <v>0</v>
      </c>
      <c r="X55" s="712">
        <v>377137500</v>
      </c>
      <c r="Y55" s="839"/>
      <c r="Z55" s="713" t="s">
        <v>4706</v>
      </c>
      <c r="AA55" s="713" t="s">
        <v>901</v>
      </c>
      <c r="AB55">
        <v>75.5</v>
      </c>
      <c r="AC55" s="712">
        <v>0</v>
      </c>
      <c r="AD55" s="712">
        <v>430310000</v>
      </c>
    </row>
    <row r="56" spans="1:30" x14ac:dyDescent="0.2">
      <c r="A56" s="839"/>
      <c r="B56" s="713" t="s">
        <v>4634</v>
      </c>
      <c r="C56" s="713" t="s">
        <v>901</v>
      </c>
      <c r="D56" s="710">
        <v>60.95</v>
      </c>
      <c r="E56" s="712">
        <v>0</v>
      </c>
      <c r="F56" s="712">
        <v>261245187</v>
      </c>
      <c r="G56" s="839"/>
      <c r="H56" s="713" t="s">
        <v>4699</v>
      </c>
      <c r="I56" s="713" t="s">
        <v>901</v>
      </c>
      <c r="J56">
        <v>64</v>
      </c>
      <c r="K56" s="712">
        <v>0</v>
      </c>
      <c r="L56" s="712">
        <v>269287400</v>
      </c>
      <c r="M56" s="839"/>
      <c r="N56" s="713" t="s">
        <v>4670</v>
      </c>
      <c r="O56" s="713" t="s">
        <v>901</v>
      </c>
      <c r="P56">
        <v>60.4</v>
      </c>
      <c r="Q56" s="712">
        <v>0</v>
      </c>
      <c r="R56" s="712">
        <v>395600000</v>
      </c>
      <c r="S56" s="839"/>
      <c r="T56" s="713" t="s">
        <v>4642</v>
      </c>
      <c r="U56" s="713" t="s">
        <v>901</v>
      </c>
      <c r="V56">
        <v>77.900000000000006</v>
      </c>
      <c r="W56" s="712">
        <v>0</v>
      </c>
      <c r="X56" s="712">
        <v>365956000</v>
      </c>
      <c r="Y56" s="839"/>
      <c r="Z56" s="713" t="s">
        <v>4707</v>
      </c>
      <c r="AA56" s="713" t="s">
        <v>901</v>
      </c>
      <c r="AB56">
        <v>76.3</v>
      </c>
      <c r="AC56" s="712">
        <v>0</v>
      </c>
      <c r="AD56" s="712">
        <v>428702000</v>
      </c>
    </row>
    <row r="57" spans="1:30" x14ac:dyDescent="0.2">
      <c r="A57" s="839"/>
      <c r="B57" s="713" t="s">
        <v>4635</v>
      </c>
      <c r="C57" s="713" t="s">
        <v>901</v>
      </c>
      <c r="D57" s="710">
        <v>71.900000000000006</v>
      </c>
      <c r="E57" s="712">
        <v>0</v>
      </c>
      <c r="F57" s="712">
        <v>365680000</v>
      </c>
      <c r="G57" s="839"/>
      <c r="H57" s="713" t="s">
        <v>4719</v>
      </c>
      <c r="I57" s="713" t="s">
        <v>901</v>
      </c>
      <c r="J57">
        <v>76.150000000000006</v>
      </c>
      <c r="K57" s="712">
        <v>0</v>
      </c>
      <c r="L57" s="712">
        <v>318178200</v>
      </c>
      <c r="M57" s="839"/>
      <c r="N57" s="713" t="s">
        <v>4671</v>
      </c>
      <c r="O57" s="713" t="s">
        <v>901</v>
      </c>
      <c r="P57">
        <v>82.25</v>
      </c>
      <c r="Q57" s="712">
        <v>0</v>
      </c>
      <c r="R57" s="712">
        <v>500612500</v>
      </c>
      <c r="S57" s="839"/>
      <c r="T57" s="713" t="s">
        <v>4643</v>
      </c>
      <c r="U57" s="713" t="s">
        <v>901</v>
      </c>
      <c r="V57">
        <v>60.95</v>
      </c>
      <c r="W57" s="712">
        <v>0</v>
      </c>
      <c r="X57" s="712">
        <v>313801204</v>
      </c>
      <c r="Y57" s="839"/>
      <c r="Z57" s="713" t="s">
        <v>4708</v>
      </c>
      <c r="AA57" s="713" t="s">
        <v>901</v>
      </c>
      <c r="AB57">
        <v>64</v>
      </c>
      <c r="AC57" s="712">
        <v>0</v>
      </c>
      <c r="AD57" s="712">
        <v>358000000</v>
      </c>
    </row>
    <row r="58" spans="1:30" x14ac:dyDescent="0.2">
      <c r="A58" s="839"/>
      <c r="B58" s="713" t="s">
        <v>4652</v>
      </c>
      <c r="C58" s="713" t="s">
        <v>901</v>
      </c>
      <c r="D58" s="710">
        <v>71</v>
      </c>
      <c r="E58" s="712">
        <v>0</v>
      </c>
      <c r="F58" s="712">
        <v>294620000</v>
      </c>
      <c r="G58" s="839"/>
      <c r="H58" s="713" t="s">
        <v>4720</v>
      </c>
      <c r="I58" s="713" t="s">
        <v>901</v>
      </c>
      <c r="J58">
        <v>75.5</v>
      </c>
      <c r="K58" s="712">
        <v>0</v>
      </c>
      <c r="L58" s="712">
        <v>369665000</v>
      </c>
      <c r="M58" s="839"/>
      <c r="N58" s="713" t="s">
        <v>4691</v>
      </c>
      <c r="O58" s="713" t="s">
        <v>901</v>
      </c>
      <c r="P58">
        <v>80.349999999999994</v>
      </c>
      <c r="Q58" s="712">
        <v>0</v>
      </c>
      <c r="R58" s="712">
        <v>549827500</v>
      </c>
      <c r="S58" s="839"/>
      <c r="T58" s="713" t="s">
        <v>5137</v>
      </c>
      <c r="U58" s="713" t="s">
        <v>61</v>
      </c>
      <c r="V58">
        <v>71.900000000000006</v>
      </c>
      <c r="W58" s="712">
        <v>469720000</v>
      </c>
      <c r="X58" s="712">
        <v>0</v>
      </c>
      <c r="Y58" s="839"/>
      <c r="Z58" s="713" t="s">
        <v>4729</v>
      </c>
      <c r="AA58" s="713" t="s">
        <v>901</v>
      </c>
      <c r="AB58">
        <v>76.150000000000006</v>
      </c>
      <c r="AC58" s="712">
        <v>0</v>
      </c>
      <c r="AD58" s="712">
        <v>436270500</v>
      </c>
    </row>
    <row r="59" spans="1:30" x14ac:dyDescent="0.2">
      <c r="A59" s="839"/>
      <c r="B59" s="713" t="s">
        <v>4653</v>
      </c>
      <c r="C59" s="713" t="s">
        <v>901</v>
      </c>
      <c r="D59" s="710">
        <v>60.8</v>
      </c>
      <c r="E59" s="712">
        <v>0</v>
      </c>
      <c r="F59" s="712">
        <v>245300000</v>
      </c>
      <c r="G59" s="839"/>
      <c r="H59" s="713" t="s">
        <v>4721</v>
      </c>
      <c r="I59" s="713" t="s">
        <v>901</v>
      </c>
      <c r="J59">
        <v>75.91</v>
      </c>
      <c r="K59" s="712">
        <v>0</v>
      </c>
      <c r="L59" s="712">
        <v>319267400</v>
      </c>
      <c r="M59" s="839"/>
      <c r="N59" s="713" t="s">
        <v>4692</v>
      </c>
      <c r="O59" s="713" t="s">
        <v>901</v>
      </c>
      <c r="P59">
        <v>57.65</v>
      </c>
      <c r="Q59" s="712">
        <v>0</v>
      </c>
      <c r="R59" s="712">
        <v>365375000</v>
      </c>
      <c r="S59" s="839"/>
      <c r="T59" s="713" t="s">
        <v>4661</v>
      </c>
      <c r="U59" s="713" t="s">
        <v>901</v>
      </c>
      <c r="V59">
        <v>71.95</v>
      </c>
      <c r="W59" s="712">
        <v>0</v>
      </c>
      <c r="X59" s="712">
        <v>415880616</v>
      </c>
      <c r="Y59" s="839"/>
      <c r="Z59" s="713" t="s">
        <v>4730</v>
      </c>
      <c r="AA59" s="713" t="s">
        <v>901</v>
      </c>
      <c r="AB59">
        <v>75.5</v>
      </c>
      <c r="AC59" s="712">
        <v>0</v>
      </c>
      <c r="AD59" s="712">
        <v>485925000</v>
      </c>
    </row>
    <row r="60" spans="1:30" x14ac:dyDescent="0.2">
      <c r="A60" s="839"/>
      <c r="B60" s="713" t="s">
        <v>4654</v>
      </c>
      <c r="C60" s="713" t="s">
        <v>901</v>
      </c>
      <c r="D60" s="710">
        <v>78.349999999999994</v>
      </c>
      <c r="E60" s="712">
        <v>0</v>
      </c>
      <c r="F60" s="712">
        <v>368613000</v>
      </c>
      <c r="G60" s="839"/>
      <c r="H60" s="713" t="s">
        <v>4722</v>
      </c>
      <c r="I60" s="713" t="s">
        <v>901</v>
      </c>
      <c r="J60">
        <v>64</v>
      </c>
      <c r="K60" s="712">
        <v>0</v>
      </c>
      <c r="L60" s="712">
        <v>269587400</v>
      </c>
      <c r="M60" s="839"/>
      <c r="N60" s="713" t="s">
        <v>4693</v>
      </c>
      <c r="O60" s="713" t="s">
        <v>901</v>
      </c>
      <c r="P60">
        <v>80.05</v>
      </c>
      <c r="Q60" s="712">
        <v>0</v>
      </c>
      <c r="R60" s="712">
        <v>535832500</v>
      </c>
      <c r="S60" s="839"/>
      <c r="T60" s="713" t="s">
        <v>4662</v>
      </c>
      <c r="U60" s="713" t="s">
        <v>901</v>
      </c>
      <c r="V60">
        <v>60.9</v>
      </c>
      <c r="W60" s="712">
        <v>0</v>
      </c>
      <c r="X60" s="712">
        <v>400850000</v>
      </c>
      <c r="Y60" s="839"/>
      <c r="Z60" s="713" t="s">
        <v>5159</v>
      </c>
      <c r="AA60" s="713" t="s">
        <v>61</v>
      </c>
      <c r="AB60">
        <v>76.28</v>
      </c>
      <c r="AC60" s="712">
        <v>502320000</v>
      </c>
      <c r="AD60" s="712">
        <v>0</v>
      </c>
    </row>
    <row r="61" spans="1:30" x14ac:dyDescent="0.2">
      <c r="A61" s="839"/>
      <c r="B61" s="713" t="s">
        <v>4655</v>
      </c>
      <c r="C61" s="713" t="s">
        <v>901</v>
      </c>
      <c r="D61" s="710">
        <v>78.400000000000006</v>
      </c>
      <c r="E61" s="712">
        <v>0</v>
      </c>
      <c r="F61" s="712">
        <v>321987542</v>
      </c>
      <c r="G61" s="839"/>
      <c r="H61" s="713" t="s">
        <v>4741</v>
      </c>
      <c r="I61" s="713" t="s">
        <v>901</v>
      </c>
      <c r="J61">
        <v>76.13</v>
      </c>
      <c r="K61" s="712">
        <v>0</v>
      </c>
      <c r="L61" s="712">
        <v>318478200</v>
      </c>
      <c r="M61" s="839"/>
      <c r="N61" s="713" t="s">
        <v>4694</v>
      </c>
      <c r="O61" s="713" t="s">
        <v>901</v>
      </c>
      <c r="P61">
        <v>60.4</v>
      </c>
      <c r="Q61" s="712">
        <v>0</v>
      </c>
      <c r="R61" s="712">
        <v>402140000</v>
      </c>
      <c r="S61" s="839"/>
      <c r="T61" s="713" t="s">
        <v>4663</v>
      </c>
      <c r="U61" s="713" t="s">
        <v>901</v>
      </c>
      <c r="V61">
        <v>78.45</v>
      </c>
      <c r="W61" s="712">
        <v>0</v>
      </c>
      <c r="X61" s="712">
        <v>377637500</v>
      </c>
      <c r="Y61" s="839"/>
      <c r="Z61" s="713" t="s">
        <v>4731</v>
      </c>
      <c r="AA61" s="713" t="s">
        <v>901</v>
      </c>
      <c r="AB61">
        <v>64</v>
      </c>
      <c r="AC61" s="712">
        <v>0</v>
      </c>
      <c r="AD61" s="712">
        <v>369380000</v>
      </c>
    </row>
    <row r="62" spans="1:30" x14ac:dyDescent="0.2">
      <c r="A62" s="839"/>
      <c r="B62" s="713" t="s">
        <v>4656</v>
      </c>
      <c r="C62" s="713" t="s">
        <v>901</v>
      </c>
      <c r="D62" s="710">
        <v>60.8</v>
      </c>
      <c r="E62" s="712">
        <v>0</v>
      </c>
      <c r="F62" s="712">
        <v>240324400</v>
      </c>
      <c r="G62" s="839"/>
      <c r="H62" s="713" t="s">
        <v>4742</v>
      </c>
      <c r="I62" s="713" t="s">
        <v>901</v>
      </c>
      <c r="J62">
        <v>75.5</v>
      </c>
      <c r="K62" s="712">
        <v>0</v>
      </c>
      <c r="L62" s="712">
        <v>322778000</v>
      </c>
      <c r="M62" s="839"/>
      <c r="N62" s="713" t="s">
        <v>4695</v>
      </c>
      <c r="O62" s="713" t="s">
        <v>901</v>
      </c>
      <c r="P62">
        <v>82.3</v>
      </c>
      <c r="Q62" s="712">
        <v>0</v>
      </c>
      <c r="R62" s="712">
        <v>556406110</v>
      </c>
      <c r="S62" s="839"/>
      <c r="T62" s="713" t="s">
        <v>4664</v>
      </c>
      <c r="U62" s="713" t="s">
        <v>901</v>
      </c>
      <c r="V62">
        <v>77.98</v>
      </c>
      <c r="W62" s="712">
        <v>0</v>
      </c>
      <c r="X62" s="712">
        <v>373480000</v>
      </c>
      <c r="Y62" s="839"/>
      <c r="Z62" s="713" t="s">
        <v>4751</v>
      </c>
      <c r="AA62" s="713" t="s">
        <v>901</v>
      </c>
      <c r="AB62">
        <v>76.150000000000006</v>
      </c>
      <c r="AC62" s="712">
        <v>0</v>
      </c>
      <c r="AD62" s="712">
        <v>442101000</v>
      </c>
    </row>
    <row r="63" spans="1:30" x14ac:dyDescent="0.2">
      <c r="A63" s="839"/>
      <c r="B63" s="713" t="s">
        <v>4657</v>
      </c>
      <c r="C63" s="713" t="s">
        <v>901</v>
      </c>
      <c r="D63" s="710">
        <v>71.900000000000006</v>
      </c>
      <c r="E63" s="712">
        <v>0</v>
      </c>
      <c r="F63" s="712">
        <v>290500385</v>
      </c>
      <c r="G63" s="839"/>
      <c r="H63" s="713" t="s">
        <v>4743</v>
      </c>
      <c r="I63" s="713" t="s">
        <v>901</v>
      </c>
      <c r="J63">
        <v>75.91</v>
      </c>
      <c r="K63" s="712">
        <v>0</v>
      </c>
      <c r="L63" s="712">
        <v>324153997</v>
      </c>
      <c r="M63" s="839"/>
      <c r="N63" s="713" t="s">
        <v>4715</v>
      </c>
      <c r="O63" s="713" t="s">
        <v>901</v>
      </c>
      <c r="P63">
        <v>80.349999999999994</v>
      </c>
      <c r="Q63" s="712">
        <v>0</v>
      </c>
      <c r="R63" s="712">
        <v>554345000</v>
      </c>
      <c r="S63" s="839"/>
      <c r="T63" s="713" t="s">
        <v>4665</v>
      </c>
      <c r="U63" s="713" t="s">
        <v>901</v>
      </c>
      <c r="V63">
        <v>60.95</v>
      </c>
      <c r="W63" s="712">
        <v>0</v>
      </c>
      <c r="X63" s="712">
        <v>322987500</v>
      </c>
      <c r="Y63" s="839"/>
      <c r="Z63" s="713" t="s">
        <v>5160</v>
      </c>
      <c r="AA63" s="713" t="s">
        <v>61</v>
      </c>
      <c r="AB63">
        <v>75.599999999999994</v>
      </c>
      <c r="AC63" s="712">
        <v>498400000</v>
      </c>
      <c r="AD63" s="712">
        <v>0</v>
      </c>
    </row>
    <row r="64" spans="1:30" x14ac:dyDescent="0.2">
      <c r="A64" s="839"/>
      <c r="B64" s="713" t="s">
        <v>4676</v>
      </c>
      <c r="C64" s="713" t="s">
        <v>901</v>
      </c>
      <c r="D64" s="710">
        <v>71.95</v>
      </c>
      <c r="E64" s="712">
        <v>0</v>
      </c>
      <c r="F64" s="712">
        <v>292062668</v>
      </c>
      <c r="G64" s="839"/>
      <c r="H64" s="713" t="s">
        <v>4744</v>
      </c>
      <c r="I64" s="713" t="s">
        <v>901</v>
      </c>
      <c r="J64">
        <v>63.91</v>
      </c>
      <c r="K64" s="712">
        <v>0</v>
      </c>
      <c r="L64" s="712">
        <v>269887400</v>
      </c>
      <c r="M64" s="839"/>
      <c r="N64" s="713" t="s">
        <v>4716</v>
      </c>
      <c r="O64" s="713" t="s">
        <v>901</v>
      </c>
      <c r="P64">
        <v>57.5</v>
      </c>
      <c r="Q64" s="712">
        <v>0</v>
      </c>
      <c r="R64" s="712">
        <v>363000000</v>
      </c>
      <c r="S64" s="839"/>
      <c r="T64" s="713" t="s">
        <v>4666</v>
      </c>
      <c r="U64" s="713" t="s">
        <v>901</v>
      </c>
      <c r="V64">
        <v>71.900000000000006</v>
      </c>
      <c r="W64" s="712">
        <v>0</v>
      </c>
      <c r="X64" s="712">
        <v>353153000</v>
      </c>
      <c r="Y64" s="839"/>
      <c r="Z64" s="713" t="s">
        <v>4752</v>
      </c>
      <c r="AA64" s="713" t="s">
        <v>901</v>
      </c>
      <c r="AB64">
        <v>76.3</v>
      </c>
      <c r="AC64" s="712">
        <v>0</v>
      </c>
      <c r="AD64" s="712">
        <v>429702000</v>
      </c>
    </row>
    <row r="65" spans="1:30" x14ac:dyDescent="0.2">
      <c r="A65" s="839"/>
      <c r="B65" s="713" t="s">
        <v>4677</v>
      </c>
      <c r="C65" s="713" t="s">
        <v>901</v>
      </c>
      <c r="D65" s="710">
        <v>60.9</v>
      </c>
      <c r="E65" s="712">
        <v>0</v>
      </c>
      <c r="F65" s="712">
        <v>252896000</v>
      </c>
      <c r="G65" s="839"/>
      <c r="H65" s="713" t="s">
        <v>4764</v>
      </c>
      <c r="I65" s="713" t="s">
        <v>901</v>
      </c>
      <c r="J65">
        <v>76.13</v>
      </c>
      <c r="K65" s="712">
        <v>0</v>
      </c>
      <c r="L65" s="712">
        <v>318778200</v>
      </c>
      <c r="M65" s="839"/>
      <c r="N65" s="713" t="s">
        <v>4717</v>
      </c>
      <c r="O65" s="713" t="s">
        <v>901</v>
      </c>
      <c r="P65">
        <v>80.05</v>
      </c>
      <c r="Q65" s="712">
        <v>0</v>
      </c>
      <c r="R65" s="712">
        <v>532330000</v>
      </c>
      <c r="S65" s="839"/>
      <c r="T65" s="713" t="s">
        <v>4685</v>
      </c>
      <c r="U65" s="713" t="s">
        <v>901</v>
      </c>
      <c r="V65">
        <v>71.95</v>
      </c>
      <c r="W65" s="712">
        <v>0</v>
      </c>
      <c r="X65" s="712">
        <v>458785000</v>
      </c>
      <c r="Y65" s="839"/>
      <c r="Z65" s="713" t="s">
        <v>4753</v>
      </c>
      <c r="AA65" s="713" t="s">
        <v>901</v>
      </c>
      <c r="AB65">
        <v>64</v>
      </c>
      <c r="AC65" s="712">
        <v>0</v>
      </c>
      <c r="AD65" s="712">
        <v>366680000</v>
      </c>
    </row>
    <row r="66" spans="1:30" x14ac:dyDescent="0.2">
      <c r="A66" s="839"/>
      <c r="B66" s="713" t="s">
        <v>4678</v>
      </c>
      <c r="C66" s="713" t="s">
        <v>901</v>
      </c>
      <c r="D66" s="710">
        <v>77.3</v>
      </c>
      <c r="E66" s="712">
        <v>0</v>
      </c>
      <c r="F66" s="712">
        <v>402845494</v>
      </c>
      <c r="G66" s="839"/>
      <c r="H66" s="713" t="s">
        <v>4765</v>
      </c>
      <c r="I66" s="713" t="s">
        <v>901</v>
      </c>
      <c r="J66">
        <v>75.5</v>
      </c>
      <c r="K66" s="712">
        <v>0</v>
      </c>
      <c r="L66" s="712">
        <v>330637000</v>
      </c>
      <c r="M66" s="839"/>
      <c r="N66" s="713" t="s">
        <v>4718</v>
      </c>
      <c r="O66" s="713" t="s">
        <v>901</v>
      </c>
      <c r="P66">
        <v>59.7</v>
      </c>
      <c r="Q66" s="712">
        <v>0</v>
      </c>
      <c r="R66" s="712">
        <v>362200000</v>
      </c>
      <c r="S66" s="839"/>
      <c r="T66" s="713" t="s">
        <v>4686</v>
      </c>
      <c r="U66" s="713" t="s">
        <v>901</v>
      </c>
      <c r="V66">
        <v>60.91</v>
      </c>
      <c r="W66" s="712">
        <v>0</v>
      </c>
      <c r="X66" s="712">
        <v>288122400</v>
      </c>
      <c r="Y66" s="839"/>
      <c r="Z66" s="713" t="s">
        <v>4774</v>
      </c>
      <c r="AA66" s="713" t="s">
        <v>901</v>
      </c>
      <c r="AB66">
        <v>76.150000000000006</v>
      </c>
      <c r="AC66" s="712">
        <v>0</v>
      </c>
      <c r="AD66" s="712">
        <v>442601000</v>
      </c>
    </row>
    <row r="67" spans="1:30" x14ac:dyDescent="0.2">
      <c r="A67" s="839"/>
      <c r="B67" s="713" t="s">
        <v>4679</v>
      </c>
      <c r="C67" s="713" t="s">
        <v>901</v>
      </c>
      <c r="D67" s="710">
        <v>78.349999999999994</v>
      </c>
      <c r="E67" s="712">
        <v>0</v>
      </c>
      <c r="F67" s="712">
        <v>399820000</v>
      </c>
      <c r="G67" s="839"/>
      <c r="H67" s="713" t="s">
        <v>4766</v>
      </c>
      <c r="I67" s="713" t="s">
        <v>901</v>
      </c>
      <c r="J67">
        <v>75.91</v>
      </c>
      <c r="K67" s="712">
        <v>0</v>
      </c>
      <c r="L67" s="712">
        <v>324422000</v>
      </c>
      <c r="M67" s="839"/>
      <c r="N67" s="713" t="s">
        <v>5132</v>
      </c>
      <c r="O67" s="713" t="s">
        <v>61</v>
      </c>
      <c r="P67">
        <v>82.3</v>
      </c>
      <c r="Q67" s="712">
        <v>555410000</v>
      </c>
      <c r="R67" s="712">
        <v>0</v>
      </c>
      <c r="S67" s="839"/>
      <c r="T67" s="713" t="s">
        <v>4687</v>
      </c>
      <c r="U67" s="713" t="s">
        <v>901</v>
      </c>
      <c r="V67">
        <v>78.45</v>
      </c>
      <c r="W67" s="712">
        <v>0</v>
      </c>
      <c r="X67" s="712">
        <v>385982500</v>
      </c>
      <c r="Y67" s="839"/>
      <c r="Z67" s="713" t="s">
        <v>5161</v>
      </c>
      <c r="AA67" s="713" t="s">
        <v>61</v>
      </c>
      <c r="AB67">
        <v>75.599999999999994</v>
      </c>
      <c r="AC67" s="712">
        <v>498900000</v>
      </c>
      <c r="AD67" s="712">
        <v>0</v>
      </c>
    </row>
    <row r="68" spans="1:30" x14ac:dyDescent="0.2">
      <c r="A68" s="839"/>
      <c r="B68" s="713" t="s">
        <v>4680</v>
      </c>
      <c r="C68" s="713" t="s">
        <v>901</v>
      </c>
      <c r="D68" s="710">
        <v>60.8</v>
      </c>
      <c r="E68" s="712">
        <v>0</v>
      </c>
      <c r="F68" s="712">
        <v>243479247</v>
      </c>
      <c r="G68" s="839"/>
      <c r="H68" s="713" t="s">
        <v>4767</v>
      </c>
      <c r="I68" s="713" t="s">
        <v>901</v>
      </c>
      <c r="J68">
        <v>63.91</v>
      </c>
      <c r="K68" s="712">
        <v>0</v>
      </c>
      <c r="L68" s="712">
        <v>270187400</v>
      </c>
      <c r="M68" s="839"/>
      <c r="N68" s="713" t="s">
        <v>4737</v>
      </c>
      <c r="O68" s="713" t="s">
        <v>901</v>
      </c>
      <c r="P68">
        <v>80.3</v>
      </c>
      <c r="Q68" s="712">
        <v>0</v>
      </c>
      <c r="R68" s="712">
        <v>498300000</v>
      </c>
      <c r="S68" s="839"/>
      <c r="T68" s="713" t="s">
        <v>4688</v>
      </c>
      <c r="U68" s="713" t="s">
        <v>901</v>
      </c>
      <c r="V68">
        <v>78.400000000000006</v>
      </c>
      <c r="W68" s="712">
        <v>0</v>
      </c>
      <c r="X68" s="712">
        <v>439836000</v>
      </c>
      <c r="Y68" s="839"/>
      <c r="Z68" s="713" t="s">
        <v>4775</v>
      </c>
      <c r="AA68" s="713" t="s">
        <v>901</v>
      </c>
      <c r="AB68">
        <v>76.3</v>
      </c>
      <c r="AC68" s="712">
        <v>0</v>
      </c>
      <c r="AD68" s="712">
        <v>451566000</v>
      </c>
    </row>
    <row r="69" spans="1:30" x14ac:dyDescent="0.2">
      <c r="A69" s="839"/>
      <c r="B69" s="713" t="s">
        <v>4681</v>
      </c>
      <c r="C69" s="713" t="s">
        <v>901</v>
      </c>
      <c r="D69" s="710">
        <v>71.2</v>
      </c>
      <c r="E69" s="712">
        <v>0</v>
      </c>
      <c r="F69" s="712">
        <v>283780540</v>
      </c>
      <c r="G69" s="839"/>
      <c r="H69" s="713" t="s">
        <v>4787</v>
      </c>
      <c r="I69" s="713" t="s">
        <v>901</v>
      </c>
      <c r="J69">
        <v>76.150000000000006</v>
      </c>
      <c r="K69" s="712">
        <v>0</v>
      </c>
      <c r="L69" s="712">
        <v>365612500</v>
      </c>
      <c r="M69" s="839"/>
      <c r="N69" s="713" t="s">
        <v>4738</v>
      </c>
      <c r="O69" s="713" t="s">
        <v>901</v>
      </c>
      <c r="P69">
        <v>57.5</v>
      </c>
      <c r="Q69" s="712">
        <v>0</v>
      </c>
      <c r="R69" s="712">
        <v>363500000</v>
      </c>
      <c r="S69" s="839"/>
      <c r="T69" s="713" t="s">
        <v>4689</v>
      </c>
      <c r="U69" s="713" t="s">
        <v>901</v>
      </c>
      <c r="V69">
        <v>60.95</v>
      </c>
      <c r="W69" s="712">
        <v>0</v>
      </c>
      <c r="X69" s="712">
        <v>357879800</v>
      </c>
      <c r="Y69" s="839"/>
      <c r="Z69" s="713" t="s">
        <v>4776</v>
      </c>
      <c r="AA69" s="713" t="s">
        <v>901</v>
      </c>
      <c r="AB69">
        <v>64</v>
      </c>
      <c r="AC69" s="712">
        <v>0</v>
      </c>
      <c r="AD69" s="712">
        <v>359500000</v>
      </c>
    </row>
    <row r="70" spans="1:30" x14ac:dyDescent="0.2">
      <c r="A70" s="839"/>
      <c r="B70" s="713" t="s">
        <v>4700</v>
      </c>
      <c r="C70" s="713" t="s">
        <v>901</v>
      </c>
      <c r="D70" s="710">
        <v>71.95</v>
      </c>
      <c r="E70" s="712">
        <v>0</v>
      </c>
      <c r="F70" s="712">
        <v>296666947</v>
      </c>
      <c r="G70" s="839"/>
      <c r="H70" s="713" t="s">
        <v>4788</v>
      </c>
      <c r="I70" s="713" t="s">
        <v>901</v>
      </c>
      <c r="J70">
        <v>75.59</v>
      </c>
      <c r="K70" s="712">
        <v>0</v>
      </c>
      <c r="L70" s="712">
        <v>318842600</v>
      </c>
      <c r="M70" s="839"/>
      <c r="N70" s="713" t="s">
        <v>4739</v>
      </c>
      <c r="O70" s="713" t="s">
        <v>901</v>
      </c>
      <c r="P70">
        <v>79.260000000000005</v>
      </c>
      <c r="Q70" s="712">
        <v>0</v>
      </c>
      <c r="R70" s="712">
        <v>480060000</v>
      </c>
      <c r="S70" s="839"/>
      <c r="T70" s="713" t="s">
        <v>4690</v>
      </c>
      <c r="U70" s="713" t="s">
        <v>901</v>
      </c>
      <c r="V70">
        <v>71.900000000000006</v>
      </c>
      <c r="W70" s="712">
        <v>0</v>
      </c>
      <c r="X70" s="712">
        <v>354469600</v>
      </c>
      <c r="Y70" s="839"/>
      <c r="Z70" s="713" t="s">
        <v>4797</v>
      </c>
      <c r="AA70" s="713" t="s">
        <v>901</v>
      </c>
      <c r="AB70">
        <v>76.150000000000006</v>
      </c>
      <c r="AC70" s="712">
        <v>0</v>
      </c>
      <c r="AD70" s="712">
        <v>433963000</v>
      </c>
    </row>
    <row r="71" spans="1:30" x14ac:dyDescent="0.2">
      <c r="A71" s="839"/>
      <c r="B71" s="713" t="s">
        <v>4701</v>
      </c>
      <c r="C71" s="713" t="s">
        <v>901</v>
      </c>
      <c r="D71" s="710">
        <v>60.8</v>
      </c>
      <c r="E71" s="712">
        <v>0</v>
      </c>
      <c r="F71" s="712">
        <v>247724000</v>
      </c>
      <c r="G71" s="839"/>
      <c r="H71" s="713" t="s">
        <v>4789</v>
      </c>
      <c r="I71" s="713" t="s">
        <v>901</v>
      </c>
      <c r="J71">
        <v>76.3</v>
      </c>
      <c r="K71" s="712">
        <v>0</v>
      </c>
      <c r="L71" s="712">
        <v>318649200</v>
      </c>
      <c r="M71" s="839"/>
      <c r="N71" s="713" t="s">
        <v>4740</v>
      </c>
      <c r="O71" s="713" t="s">
        <v>901</v>
      </c>
      <c r="P71">
        <v>59.7</v>
      </c>
      <c r="Q71" s="712">
        <v>0</v>
      </c>
      <c r="R71" s="712">
        <v>362700000</v>
      </c>
      <c r="S71" s="839"/>
      <c r="T71" s="713" t="s">
        <v>4709</v>
      </c>
      <c r="U71" s="713" t="s">
        <v>901</v>
      </c>
      <c r="V71">
        <v>71.92</v>
      </c>
      <c r="W71" s="712">
        <v>0</v>
      </c>
      <c r="X71" s="712">
        <v>338321631</v>
      </c>
      <c r="Y71" s="839"/>
      <c r="Z71" s="713" t="s">
        <v>4798</v>
      </c>
      <c r="AA71" s="713" t="s">
        <v>901</v>
      </c>
      <c r="AB71">
        <v>75.5</v>
      </c>
      <c r="AC71" s="712">
        <v>0</v>
      </c>
      <c r="AD71" s="712">
        <v>483650000</v>
      </c>
    </row>
    <row r="72" spans="1:30" x14ac:dyDescent="0.2">
      <c r="A72" s="839"/>
      <c r="B72" s="713" t="s">
        <v>4702</v>
      </c>
      <c r="C72" s="713" t="s">
        <v>901</v>
      </c>
      <c r="D72" s="710">
        <v>78.349999999999994</v>
      </c>
      <c r="E72" s="712">
        <v>0</v>
      </c>
      <c r="F72" s="712">
        <v>357320298</v>
      </c>
      <c r="G72" s="839"/>
      <c r="H72" s="713" t="s">
        <v>4790</v>
      </c>
      <c r="I72" s="713" t="s">
        <v>901</v>
      </c>
      <c r="J72">
        <v>64</v>
      </c>
      <c r="K72" s="712">
        <v>0</v>
      </c>
      <c r="L72" s="712">
        <v>270174980</v>
      </c>
      <c r="M72" s="839"/>
      <c r="N72" s="713" t="s">
        <v>5133</v>
      </c>
      <c r="O72" s="713" t="s">
        <v>61</v>
      </c>
      <c r="P72">
        <v>82.3</v>
      </c>
      <c r="Q72" s="712">
        <v>555910000</v>
      </c>
      <c r="R72" s="712">
        <v>0</v>
      </c>
      <c r="S72" s="839"/>
      <c r="T72" s="713" t="s">
        <v>4710</v>
      </c>
      <c r="U72" s="713" t="s">
        <v>901</v>
      </c>
      <c r="V72">
        <v>60.91</v>
      </c>
      <c r="W72" s="712">
        <v>0</v>
      </c>
      <c r="X72" s="712">
        <v>303192000</v>
      </c>
      <c r="Y72" s="839"/>
      <c r="Z72" s="713" t="s">
        <v>4799</v>
      </c>
      <c r="AA72" s="713" t="s">
        <v>901</v>
      </c>
      <c r="AB72">
        <v>76.3</v>
      </c>
      <c r="AC72" s="712">
        <v>0</v>
      </c>
      <c r="AD72" s="712">
        <v>436806000</v>
      </c>
    </row>
    <row r="73" spans="1:30" x14ac:dyDescent="0.2">
      <c r="A73" s="839"/>
      <c r="B73" s="713" t="s">
        <v>4703</v>
      </c>
      <c r="C73" s="713" t="s">
        <v>901</v>
      </c>
      <c r="D73" s="710">
        <v>77.3</v>
      </c>
      <c r="E73" s="712">
        <v>0</v>
      </c>
      <c r="F73" s="712">
        <v>312900000</v>
      </c>
      <c r="G73" s="839"/>
      <c r="H73" s="713" t="s">
        <v>4811</v>
      </c>
      <c r="I73" s="713" t="s">
        <v>901</v>
      </c>
      <c r="J73">
        <v>76.150000000000006</v>
      </c>
      <c r="K73" s="712">
        <v>0</v>
      </c>
      <c r="L73" s="712">
        <v>366429900</v>
      </c>
      <c r="M73" s="839"/>
      <c r="N73" s="713" t="s">
        <v>4759</v>
      </c>
      <c r="O73" s="713" t="s">
        <v>901</v>
      </c>
      <c r="P73">
        <v>80.349999999999994</v>
      </c>
      <c r="Q73" s="712">
        <v>0</v>
      </c>
      <c r="R73" s="712">
        <v>498800000</v>
      </c>
      <c r="S73" s="839"/>
      <c r="T73" s="713" t="s">
        <v>4711</v>
      </c>
      <c r="U73" s="713" t="s">
        <v>901</v>
      </c>
      <c r="V73">
        <v>78.45</v>
      </c>
      <c r="W73" s="712">
        <v>0</v>
      </c>
      <c r="X73" s="712">
        <v>374715000</v>
      </c>
      <c r="Y73" s="839"/>
      <c r="Z73" s="713" t="s">
        <v>4800</v>
      </c>
      <c r="AA73" s="713" t="s">
        <v>901</v>
      </c>
      <c r="AB73">
        <v>64</v>
      </c>
      <c r="AC73" s="712">
        <v>0</v>
      </c>
      <c r="AD73" s="712">
        <v>362560000</v>
      </c>
    </row>
    <row r="74" spans="1:30" x14ac:dyDescent="0.2">
      <c r="A74" s="839"/>
      <c r="B74" s="713" t="s">
        <v>4704</v>
      </c>
      <c r="C74" s="713" t="s">
        <v>901</v>
      </c>
      <c r="D74" s="710">
        <v>60.95</v>
      </c>
      <c r="E74" s="712">
        <v>0</v>
      </c>
      <c r="F74" s="712">
        <v>247900000</v>
      </c>
      <c r="G74" s="839"/>
      <c r="H74" s="713" t="s">
        <v>4812</v>
      </c>
      <c r="I74" s="713" t="s">
        <v>901</v>
      </c>
      <c r="J74">
        <v>75.59</v>
      </c>
      <c r="K74" s="712">
        <v>0</v>
      </c>
      <c r="L74" s="712">
        <v>323678000</v>
      </c>
      <c r="M74" s="839"/>
      <c r="N74" s="713" t="s">
        <v>4760</v>
      </c>
      <c r="O74" s="713" t="s">
        <v>901</v>
      </c>
      <c r="P74">
        <v>57.5</v>
      </c>
      <c r="Q74" s="712">
        <v>0</v>
      </c>
      <c r="R74" s="712">
        <v>364000000</v>
      </c>
      <c r="S74" s="839"/>
      <c r="T74" s="713" t="s">
        <v>4712</v>
      </c>
      <c r="U74" s="713" t="s">
        <v>901</v>
      </c>
      <c r="V74">
        <v>78.400000000000006</v>
      </c>
      <c r="W74" s="712">
        <v>0</v>
      </c>
      <c r="X74" s="712">
        <v>499920000</v>
      </c>
      <c r="Y74" s="839"/>
      <c r="Z74" s="713" t="s">
        <v>4821</v>
      </c>
      <c r="AA74" s="713" t="s">
        <v>901</v>
      </c>
      <c r="AB74">
        <v>76.150000000000006</v>
      </c>
      <c r="AC74" s="712">
        <v>0</v>
      </c>
      <c r="AD74" s="712">
        <v>444362500</v>
      </c>
    </row>
    <row r="75" spans="1:30" x14ac:dyDescent="0.2">
      <c r="A75" s="839"/>
      <c r="B75" s="713" t="s">
        <v>4705</v>
      </c>
      <c r="C75" s="713" t="s">
        <v>901</v>
      </c>
      <c r="D75" s="710">
        <v>71.900000000000006</v>
      </c>
      <c r="E75" s="712">
        <v>0</v>
      </c>
      <c r="F75" s="712">
        <v>236219927</v>
      </c>
      <c r="G75" s="839"/>
      <c r="H75" s="713" t="s">
        <v>4813</v>
      </c>
      <c r="I75" s="713" t="s">
        <v>901</v>
      </c>
      <c r="J75">
        <v>75.91</v>
      </c>
      <c r="K75" s="712">
        <v>0</v>
      </c>
      <c r="L75" s="712">
        <v>320467400</v>
      </c>
      <c r="M75" s="839"/>
      <c r="N75" s="713" t="s">
        <v>4761</v>
      </c>
      <c r="O75" s="713" t="s">
        <v>901</v>
      </c>
      <c r="P75">
        <v>80.05</v>
      </c>
      <c r="Q75" s="712">
        <v>0</v>
      </c>
      <c r="R75" s="712">
        <v>489302500</v>
      </c>
      <c r="S75" s="839"/>
      <c r="T75" s="713" t="s">
        <v>4713</v>
      </c>
      <c r="U75" s="713" t="s">
        <v>901</v>
      </c>
      <c r="V75">
        <v>60.95</v>
      </c>
      <c r="W75" s="712">
        <v>0</v>
      </c>
      <c r="X75" s="712">
        <v>387985000</v>
      </c>
      <c r="Y75" s="839"/>
      <c r="Z75" s="713" t="s">
        <v>4822</v>
      </c>
      <c r="AA75" s="713" t="s">
        <v>901</v>
      </c>
      <c r="AB75">
        <v>75.5</v>
      </c>
      <c r="AC75" s="712">
        <v>0</v>
      </c>
      <c r="AD75" s="712">
        <v>484150000</v>
      </c>
    </row>
    <row r="76" spans="1:30" x14ac:dyDescent="0.2">
      <c r="A76" s="839"/>
      <c r="B76" s="713" t="s">
        <v>4723</v>
      </c>
      <c r="C76" s="713" t="s">
        <v>901</v>
      </c>
      <c r="D76" s="710">
        <v>71</v>
      </c>
      <c r="E76" s="712">
        <v>0</v>
      </c>
      <c r="F76" s="712">
        <v>295520000</v>
      </c>
      <c r="G76" s="839"/>
      <c r="H76" s="713" t="s">
        <v>4814</v>
      </c>
      <c r="I76" s="713" t="s">
        <v>901</v>
      </c>
      <c r="J76">
        <v>63.91</v>
      </c>
      <c r="K76" s="712">
        <v>0</v>
      </c>
      <c r="L76" s="712">
        <v>270787400</v>
      </c>
      <c r="M76" s="839"/>
      <c r="N76" s="713" t="s">
        <v>4762</v>
      </c>
      <c r="O76" s="713" t="s">
        <v>901</v>
      </c>
      <c r="P76">
        <v>60.4</v>
      </c>
      <c r="Q76" s="712">
        <v>0</v>
      </c>
      <c r="R76" s="712">
        <v>397600000</v>
      </c>
      <c r="S76" s="839"/>
      <c r="T76" s="713" t="s">
        <v>4714</v>
      </c>
      <c r="U76" s="713" t="s">
        <v>901</v>
      </c>
      <c r="V76">
        <v>71.900000000000006</v>
      </c>
      <c r="W76" s="712">
        <v>0</v>
      </c>
      <c r="X76" s="712">
        <v>457163113</v>
      </c>
      <c r="Y76" s="839"/>
      <c r="Z76" s="713" t="s">
        <v>4823</v>
      </c>
      <c r="AA76" s="713" t="s">
        <v>901</v>
      </c>
      <c r="AB76">
        <v>76.3</v>
      </c>
      <c r="AC76" s="712">
        <v>0</v>
      </c>
      <c r="AD76" s="712">
        <v>436304100</v>
      </c>
    </row>
    <row r="77" spans="1:30" x14ac:dyDescent="0.2">
      <c r="A77" s="839"/>
      <c r="B77" s="713" t="s">
        <v>4724</v>
      </c>
      <c r="C77" s="713" t="s">
        <v>901</v>
      </c>
      <c r="D77" s="710">
        <v>60.9</v>
      </c>
      <c r="E77" s="712">
        <v>0</v>
      </c>
      <c r="F77" s="712">
        <v>246200000</v>
      </c>
      <c r="G77" s="839"/>
      <c r="H77" s="713" t="s">
        <v>4836</v>
      </c>
      <c r="I77" s="713" t="s">
        <v>901</v>
      </c>
      <c r="J77">
        <v>76.150000000000006</v>
      </c>
      <c r="K77" s="712">
        <v>0</v>
      </c>
      <c r="L77" s="712">
        <v>324246000</v>
      </c>
      <c r="M77" s="839"/>
      <c r="N77" s="713" t="s">
        <v>4763</v>
      </c>
      <c r="O77" s="713" t="s">
        <v>901</v>
      </c>
      <c r="P77">
        <v>82.3</v>
      </c>
      <c r="Q77" s="712">
        <v>0</v>
      </c>
      <c r="R77" s="712">
        <v>556410000</v>
      </c>
      <c r="S77" s="839"/>
      <c r="T77" s="713" t="s">
        <v>4732</v>
      </c>
      <c r="U77" s="713" t="s">
        <v>901</v>
      </c>
      <c r="V77">
        <v>71.92</v>
      </c>
      <c r="W77" s="712">
        <v>0</v>
      </c>
      <c r="X77" s="712">
        <v>340208800</v>
      </c>
      <c r="Y77" s="839"/>
      <c r="Z77" s="713" t="s">
        <v>4824</v>
      </c>
      <c r="AA77" s="713" t="s">
        <v>901</v>
      </c>
      <c r="AB77">
        <v>64</v>
      </c>
      <c r="AC77" s="712">
        <v>0</v>
      </c>
      <c r="AD77" s="712">
        <v>369460000</v>
      </c>
    </row>
    <row r="78" spans="1:30" x14ac:dyDescent="0.2">
      <c r="A78" s="839"/>
      <c r="B78" s="713" t="s">
        <v>4725</v>
      </c>
      <c r="C78" s="713" t="s">
        <v>901</v>
      </c>
      <c r="D78" s="710">
        <v>78.349999999999994</v>
      </c>
      <c r="E78" s="712">
        <v>0</v>
      </c>
      <c r="F78" s="712">
        <v>320702695</v>
      </c>
      <c r="G78" s="839"/>
      <c r="H78" s="713" t="s">
        <v>4837</v>
      </c>
      <c r="I78" s="713" t="s">
        <v>901</v>
      </c>
      <c r="J78">
        <v>75.5</v>
      </c>
      <c r="K78" s="712">
        <v>0</v>
      </c>
      <c r="L78" s="712">
        <v>323978000</v>
      </c>
      <c r="M78" s="839"/>
      <c r="N78" s="713" t="s">
        <v>5134</v>
      </c>
      <c r="O78" s="713" t="s">
        <v>61</v>
      </c>
      <c r="P78">
        <v>80.349999999999994</v>
      </c>
      <c r="Q78" s="712">
        <v>555845000</v>
      </c>
      <c r="R78" s="712">
        <v>0</v>
      </c>
      <c r="S78" s="839"/>
      <c r="T78" s="713" t="s">
        <v>4733</v>
      </c>
      <c r="U78" s="713" t="s">
        <v>901</v>
      </c>
      <c r="V78">
        <v>60.91</v>
      </c>
      <c r="W78" s="712">
        <v>0</v>
      </c>
      <c r="X78" s="712">
        <v>287904200</v>
      </c>
      <c r="Y78" s="839"/>
      <c r="Z78" s="713" t="s">
        <v>5162</v>
      </c>
      <c r="AA78" s="713" t="s">
        <v>61</v>
      </c>
      <c r="AB78">
        <v>76.16</v>
      </c>
      <c r="AC78" s="712">
        <v>502040000</v>
      </c>
      <c r="AD78" s="712">
        <v>0</v>
      </c>
    </row>
    <row r="79" spans="1:30" x14ac:dyDescent="0.2">
      <c r="A79" s="839"/>
      <c r="B79" s="713" t="s">
        <v>4726</v>
      </c>
      <c r="C79" s="713" t="s">
        <v>901</v>
      </c>
      <c r="D79" s="710">
        <v>77.3</v>
      </c>
      <c r="E79" s="712">
        <v>0</v>
      </c>
      <c r="F79" s="712">
        <v>266657354</v>
      </c>
      <c r="G79" s="839"/>
      <c r="H79" s="713" t="s">
        <v>4838</v>
      </c>
      <c r="I79" s="713" t="s">
        <v>901</v>
      </c>
      <c r="J79">
        <v>76.3</v>
      </c>
      <c r="K79" s="712">
        <v>0</v>
      </c>
      <c r="L79" s="712">
        <v>320767400</v>
      </c>
      <c r="M79" s="839"/>
      <c r="N79" s="713" t="s">
        <v>4783</v>
      </c>
      <c r="O79" s="713" t="s">
        <v>901</v>
      </c>
      <c r="P79">
        <v>57.5</v>
      </c>
      <c r="Q79" s="712">
        <v>0</v>
      </c>
      <c r="R79" s="712">
        <v>364500000</v>
      </c>
      <c r="S79" s="839"/>
      <c r="T79" s="713" t="s">
        <v>4734</v>
      </c>
      <c r="U79" s="713" t="s">
        <v>901</v>
      </c>
      <c r="V79">
        <v>78.45</v>
      </c>
      <c r="W79" s="712">
        <v>0</v>
      </c>
      <c r="X79" s="712">
        <v>381336631</v>
      </c>
      <c r="Y79" s="839"/>
      <c r="Z79" s="713" t="s">
        <v>4846</v>
      </c>
      <c r="AA79" s="713" t="s">
        <v>901</v>
      </c>
      <c r="AB79">
        <v>75.5</v>
      </c>
      <c r="AC79" s="712">
        <v>0</v>
      </c>
      <c r="AD79" s="712">
        <v>437085000</v>
      </c>
    </row>
    <row r="80" spans="1:30" x14ac:dyDescent="0.2">
      <c r="A80" s="839"/>
      <c r="B80" s="713" t="s">
        <v>4727</v>
      </c>
      <c r="C80" s="713" t="s">
        <v>901</v>
      </c>
      <c r="D80" s="710">
        <v>60.95</v>
      </c>
      <c r="E80" s="712">
        <v>0</v>
      </c>
      <c r="F80" s="712">
        <v>221576216</v>
      </c>
      <c r="G80" s="839"/>
      <c r="H80" s="713" t="s">
        <v>4839</v>
      </c>
      <c r="I80" s="713" t="s">
        <v>901</v>
      </c>
      <c r="J80">
        <v>63.91</v>
      </c>
      <c r="K80" s="712">
        <v>0</v>
      </c>
      <c r="L80" s="712">
        <v>269809200</v>
      </c>
      <c r="M80" s="839"/>
      <c r="N80" s="713" t="s">
        <v>4784</v>
      </c>
      <c r="O80" s="713" t="s">
        <v>901</v>
      </c>
      <c r="P80">
        <v>80.05</v>
      </c>
      <c r="Q80" s="712">
        <v>0</v>
      </c>
      <c r="R80" s="712">
        <v>525825000</v>
      </c>
      <c r="S80" s="839"/>
      <c r="T80" s="713" t="s">
        <v>4735</v>
      </c>
      <c r="U80" s="713" t="s">
        <v>901</v>
      </c>
      <c r="V80">
        <v>77.900000000000006</v>
      </c>
      <c r="W80" s="712">
        <v>0</v>
      </c>
      <c r="X80" s="712">
        <v>366398000</v>
      </c>
      <c r="Y80" s="839"/>
      <c r="Z80" s="713" t="s">
        <v>4847</v>
      </c>
      <c r="AA80" s="713" t="s">
        <v>901</v>
      </c>
      <c r="AB80">
        <v>76.3</v>
      </c>
      <c r="AC80" s="712">
        <v>0</v>
      </c>
      <c r="AD80" s="712">
        <v>441621000</v>
      </c>
    </row>
    <row r="81" spans="1:30" x14ac:dyDescent="0.2">
      <c r="A81" s="839"/>
      <c r="B81" s="713" t="s">
        <v>4728</v>
      </c>
      <c r="C81" s="713" t="s">
        <v>901</v>
      </c>
      <c r="D81" s="710">
        <v>71.2</v>
      </c>
      <c r="E81" s="712">
        <v>0</v>
      </c>
      <c r="F81" s="712">
        <v>298232358</v>
      </c>
      <c r="G81" s="839"/>
      <c r="H81" s="713" t="s">
        <v>4859</v>
      </c>
      <c r="I81" s="713" t="s">
        <v>901</v>
      </c>
      <c r="J81">
        <v>76.150000000000006</v>
      </c>
      <c r="K81" s="712">
        <v>0</v>
      </c>
      <c r="L81" s="712">
        <v>368797000</v>
      </c>
      <c r="M81" s="839"/>
      <c r="N81" s="713" t="s">
        <v>4785</v>
      </c>
      <c r="O81" s="713" t="s">
        <v>901</v>
      </c>
      <c r="P81">
        <v>60.4</v>
      </c>
      <c r="Q81" s="712">
        <v>0</v>
      </c>
      <c r="R81" s="712">
        <v>398100000</v>
      </c>
      <c r="S81" s="839"/>
      <c r="T81" s="713" t="s">
        <v>4736</v>
      </c>
      <c r="U81" s="713" t="s">
        <v>901</v>
      </c>
      <c r="V81">
        <v>60.89</v>
      </c>
      <c r="W81" s="712">
        <v>0</v>
      </c>
      <c r="X81" s="712">
        <v>285811800</v>
      </c>
      <c r="Y81" s="839"/>
      <c r="Z81" s="713" t="s">
        <v>4848</v>
      </c>
      <c r="AA81" s="713" t="s">
        <v>901</v>
      </c>
      <c r="AB81">
        <v>64</v>
      </c>
      <c r="AC81" s="712">
        <v>0</v>
      </c>
      <c r="AD81" s="712">
        <v>364503851</v>
      </c>
    </row>
    <row r="82" spans="1:30" x14ac:dyDescent="0.2">
      <c r="A82" s="839"/>
      <c r="B82" s="713" t="s">
        <v>4745</v>
      </c>
      <c r="C82" s="713" t="s">
        <v>901</v>
      </c>
      <c r="D82" s="710">
        <v>71.95</v>
      </c>
      <c r="E82" s="712">
        <v>0</v>
      </c>
      <c r="F82" s="712">
        <v>338411476</v>
      </c>
      <c r="G82" s="839"/>
      <c r="H82" s="713" t="s">
        <v>4860</v>
      </c>
      <c r="I82" s="713" t="s">
        <v>901</v>
      </c>
      <c r="J82">
        <v>75.59</v>
      </c>
      <c r="K82" s="712">
        <v>0</v>
      </c>
      <c r="L82" s="712">
        <v>319742600</v>
      </c>
      <c r="M82" s="839"/>
      <c r="N82" s="713" t="s">
        <v>4786</v>
      </c>
      <c r="O82" s="713" t="s">
        <v>901</v>
      </c>
      <c r="P82">
        <v>82.3</v>
      </c>
      <c r="Q82" s="712">
        <v>0</v>
      </c>
      <c r="R82" s="712">
        <v>556910000</v>
      </c>
      <c r="S82" s="839"/>
      <c r="T82" s="713" t="s">
        <v>5138</v>
      </c>
      <c r="U82" s="713" t="s">
        <v>61</v>
      </c>
      <c r="V82">
        <v>71.900000000000006</v>
      </c>
      <c r="W82" s="712">
        <v>471720000</v>
      </c>
      <c r="X82" s="712">
        <v>0</v>
      </c>
      <c r="Y82" s="839"/>
      <c r="Z82" s="713" t="s">
        <v>4869</v>
      </c>
      <c r="AA82" s="713" t="s">
        <v>901</v>
      </c>
      <c r="AB82">
        <v>76.150000000000006</v>
      </c>
      <c r="AC82" s="712">
        <v>0</v>
      </c>
      <c r="AD82" s="712">
        <v>450693000</v>
      </c>
    </row>
    <row r="83" spans="1:30" x14ac:dyDescent="0.2">
      <c r="A83" s="839"/>
      <c r="B83" s="713" t="s">
        <v>4746</v>
      </c>
      <c r="C83" s="713" t="s">
        <v>901</v>
      </c>
      <c r="D83" s="710">
        <v>60.8</v>
      </c>
      <c r="E83" s="712">
        <v>0</v>
      </c>
      <c r="F83" s="712">
        <v>246608279</v>
      </c>
      <c r="G83" s="839"/>
      <c r="H83" s="713" t="s">
        <v>4861</v>
      </c>
      <c r="I83" s="713" t="s">
        <v>901</v>
      </c>
      <c r="J83">
        <v>75.91</v>
      </c>
      <c r="K83" s="712">
        <v>0</v>
      </c>
      <c r="L83" s="712">
        <v>325622000</v>
      </c>
      <c r="M83" s="839"/>
      <c r="N83" s="713" t="s">
        <v>4807</v>
      </c>
      <c r="O83" s="713" t="s">
        <v>901</v>
      </c>
      <c r="P83">
        <v>80.349999999999994</v>
      </c>
      <c r="Q83" s="712">
        <v>0</v>
      </c>
      <c r="R83" s="712">
        <v>504117500</v>
      </c>
      <c r="S83" s="839"/>
      <c r="T83" s="713" t="s">
        <v>4754</v>
      </c>
      <c r="U83" s="713" t="s">
        <v>901</v>
      </c>
      <c r="V83">
        <v>71.95</v>
      </c>
      <c r="W83" s="712">
        <v>0</v>
      </c>
      <c r="X83" s="712">
        <v>355812000</v>
      </c>
      <c r="Y83" s="839"/>
      <c r="Z83" s="713" t="s">
        <v>4870</v>
      </c>
      <c r="AA83" s="713" t="s">
        <v>901</v>
      </c>
      <c r="AB83">
        <v>75.5</v>
      </c>
      <c r="AC83" s="712">
        <v>0</v>
      </c>
      <c r="AD83" s="712">
        <v>485150000</v>
      </c>
    </row>
    <row r="84" spans="1:30" x14ac:dyDescent="0.2">
      <c r="A84" s="839"/>
      <c r="B84" s="713" t="s">
        <v>4747</v>
      </c>
      <c r="C84" s="713" t="s">
        <v>901</v>
      </c>
      <c r="D84" s="710">
        <v>78.349999999999994</v>
      </c>
      <c r="E84" s="712">
        <v>0</v>
      </c>
      <c r="F84" s="712">
        <v>315676935</v>
      </c>
      <c r="G84" s="839"/>
      <c r="H84" s="713" t="s">
        <v>4862</v>
      </c>
      <c r="I84" s="713" t="s">
        <v>901</v>
      </c>
      <c r="J84">
        <v>64</v>
      </c>
      <c r="K84" s="712">
        <v>0</v>
      </c>
      <c r="L84" s="712">
        <v>271387397</v>
      </c>
      <c r="M84" s="839"/>
      <c r="N84" s="713" t="s">
        <v>4808</v>
      </c>
      <c r="O84" s="713" t="s">
        <v>901</v>
      </c>
      <c r="P84">
        <v>57.5</v>
      </c>
      <c r="Q84" s="712">
        <v>0</v>
      </c>
      <c r="R84" s="712">
        <v>365900000</v>
      </c>
      <c r="S84" s="839"/>
      <c r="T84" s="713" t="s">
        <v>4755</v>
      </c>
      <c r="U84" s="713" t="s">
        <v>901</v>
      </c>
      <c r="V84">
        <v>60.91</v>
      </c>
      <c r="W84" s="712">
        <v>0</v>
      </c>
      <c r="X84" s="712">
        <v>289749485</v>
      </c>
      <c r="Y84" s="839"/>
      <c r="Z84" s="713" t="s">
        <v>4871</v>
      </c>
      <c r="AA84" s="713" t="s">
        <v>901</v>
      </c>
      <c r="AB84">
        <v>76.3</v>
      </c>
      <c r="AC84" s="712">
        <v>0</v>
      </c>
      <c r="AD84" s="712">
        <v>459237093</v>
      </c>
    </row>
    <row r="85" spans="1:30" x14ac:dyDescent="0.2">
      <c r="A85" s="839"/>
      <c r="B85" s="713" t="s">
        <v>4748</v>
      </c>
      <c r="C85" s="713" t="s">
        <v>901</v>
      </c>
      <c r="D85" s="710">
        <v>77.3</v>
      </c>
      <c r="E85" s="712">
        <v>0</v>
      </c>
      <c r="F85" s="712">
        <v>321457000</v>
      </c>
      <c r="G85" s="839"/>
      <c r="H85" s="713" t="s">
        <v>4883</v>
      </c>
      <c r="I85" s="713" t="s">
        <v>901</v>
      </c>
      <c r="J85">
        <v>76.13</v>
      </c>
      <c r="K85" s="712">
        <v>0</v>
      </c>
      <c r="L85" s="712">
        <v>324846000</v>
      </c>
      <c r="M85" s="839"/>
      <c r="N85" s="713" t="s">
        <v>4809</v>
      </c>
      <c r="O85" s="713" t="s">
        <v>901</v>
      </c>
      <c r="P85">
        <v>79.260000000000005</v>
      </c>
      <c r="Q85" s="712">
        <v>0</v>
      </c>
      <c r="R85" s="712">
        <v>486300000</v>
      </c>
      <c r="S85" s="839"/>
      <c r="T85" s="713" t="s">
        <v>4756</v>
      </c>
      <c r="U85" s="713" t="s">
        <v>901</v>
      </c>
      <c r="V85">
        <v>78.45</v>
      </c>
      <c r="W85" s="712">
        <v>0</v>
      </c>
      <c r="X85" s="712">
        <v>376196619</v>
      </c>
      <c r="Y85" s="839"/>
      <c r="Z85" s="713" t="s">
        <v>4872</v>
      </c>
      <c r="AA85" s="713" t="s">
        <v>901</v>
      </c>
      <c r="AB85">
        <v>64</v>
      </c>
      <c r="AC85" s="712">
        <v>0</v>
      </c>
      <c r="AD85" s="712">
        <v>412700000</v>
      </c>
    </row>
    <row r="86" spans="1:30" x14ac:dyDescent="0.2">
      <c r="A86" s="839"/>
      <c r="B86" s="713" t="s">
        <v>4749</v>
      </c>
      <c r="C86" s="713" t="s">
        <v>901</v>
      </c>
      <c r="D86" s="710">
        <v>60.8</v>
      </c>
      <c r="E86" s="712">
        <v>0</v>
      </c>
      <c r="F86" s="712">
        <v>254909890</v>
      </c>
      <c r="G86" s="839"/>
      <c r="H86" s="713" t="s">
        <v>4884</v>
      </c>
      <c r="I86" s="713" t="s">
        <v>901</v>
      </c>
      <c r="J86">
        <v>75.59</v>
      </c>
      <c r="K86" s="712">
        <v>0</v>
      </c>
      <c r="L86" s="712">
        <v>321554400</v>
      </c>
      <c r="M86" s="839"/>
      <c r="N86" s="713" t="s">
        <v>4810</v>
      </c>
      <c r="O86" s="713" t="s">
        <v>901</v>
      </c>
      <c r="P86">
        <v>60.4</v>
      </c>
      <c r="Q86" s="712">
        <v>0</v>
      </c>
      <c r="R86" s="712">
        <v>410680000</v>
      </c>
      <c r="S86" s="839"/>
      <c r="T86" s="713" t="s">
        <v>4757</v>
      </c>
      <c r="U86" s="713" t="s">
        <v>901</v>
      </c>
      <c r="V86">
        <v>77.98</v>
      </c>
      <c r="W86" s="712">
        <v>0</v>
      </c>
      <c r="X86" s="712">
        <v>388808000</v>
      </c>
      <c r="Y86" s="839"/>
      <c r="Z86" s="713" t="s">
        <v>4893</v>
      </c>
      <c r="AA86" s="713" t="s">
        <v>901</v>
      </c>
      <c r="AB86">
        <v>76.150000000000006</v>
      </c>
      <c r="AC86" s="712">
        <v>0</v>
      </c>
      <c r="AD86" s="712">
        <v>447101000</v>
      </c>
    </row>
    <row r="87" spans="1:30" x14ac:dyDescent="0.2">
      <c r="A87" s="839"/>
      <c r="B87" s="713" t="s">
        <v>4750</v>
      </c>
      <c r="C87" s="713" t="s">
        <v>901</v>
      </c>
      <c r="D87" s="710">
        <v>71.900000000000006</v>
      </c>
      <c r="E87" s="712">
        <v>0</v>
      </c>
      <c r="F87" s="712">
        <v>290100000</v>
      </c>
      <c r="G87" s="839"/>
      <c r="H87" s="713" t="s">
        <v>4885</v>
      </c>
      <c r="I87" s="713" t="s">
        <v>901</v>
      </c>
      <c r="J87">
        <v>75.91</v>
      </c>
      <c r="K87" s="712">
        <v>0</v>
      </c>
      <c r="L87" s="712">
        <v>325922000</v>
      </c>
      <c r="M87" s="839"/>
      <c r="N87" s="713" t="s">
        <v>5135</v>
      </c>
      <c r="O87" s="713" t="s">
        <v>61</v>
      </c>
      <c r="P87">
        <v>82.3</v>
      </c>
      <c r="Q87" s="712">
        <v>557410000</v>
      </c>
      <c r="R87" s="712">
        <v>0</v>
      </c>
      <c r="S87" s="839"/>
      <c r="T87" s="713" t="s">
        <v>4758</v>
      </c>
      <c r="U87" s="713" t="s">
        <v>901</v>
      </c>
      <c r="V87">
        <v>60.89</v>
      </c>
      <c r="W87" s="712">
        <v>0</v>
      </c>
      <c r="X87" s="712">
        <v>287529600</v>
      </c>
      <c r="Y87" s="839"/>
      <c r="Z87" s="713" t="s">
        <v>4894</v>
      </c>
      <c r="AA87" s="713" t="s">
        <v>901</v>
      </c>
      <c r="AB87">
        <v>75.5</v>
      </c>
      <c r="AC87" s="712">
        <v>0</v>
      </c>
      <c r="AD87" s="712">
        <v>485650000</v>
      </c>
    </row>
    <row r="88" spans="1:30" x14ac:dyDescent="0.2">
      <c r="A88" s="839"/>
      <c r="B88" s="713" t="s">
        <v>4768</v>
      </c>
      <c r="C88" s="713" t="s">
        <v>901</v>
      </c>
      <c r="D88" s="710">
        <v>71</v>
      </c>
      <c r="E88" s="712">
        <v>0</v>
      </c>
      <c r="F88" s="712">
        <v>292905792</v>
      </c>
      <c r="G88" s="839"/>
      <c r="H88" s="713" t="s">
        <v>4886</v>
      </c>
      <c r="I88" s="713" t="s">
        <v>901</v>
      </c>
      <c r="J88">
        <v>63.91</v>
      </c>
      <c r="K88" s="712">
        <v>0</v>
      </c>
      <c r="L88" s="712">
        <v>271687400</v>
      </c>
      <c r="M88" s="839"/>
      <c r="N88" s="713" t="s">
        <v>4831</v>
      </c>
      <c r="O88" s="713" t="s">
        <v>901</v>
      </c>
      <c r="P88">
        <v>80.349999999999994</v>
      </c>
      <c r="Q88" s="712">
        <v>0</v>
      </c>
      <c r="R88" s="712">
        <v>552827500</v>
      </c>
      <c r="S88" s="839"/>
      <c r="T88" s="713" t="s">
        <v>5139</v>
      </c>
      <c r="U88" s="713" t="s">
        <v>61</v>
      </c>
      <c r="V88">
        <v>71.900000000000006</v>
      </c>
      <c r="W88" s="712">
        <v>472220000</v>
      </c>
      <c r="X88" s="712">
        <v>0</v>
      </c>
      <c r="Y88" s="839"/>
      <c r="Z88" s="713" t="s">
        <v>4895</v>
      </c>
      <c r="AA88" s="713" t="s">
        <v>901</v>
      </c>
      <c r="AB88">
        <v>76.3</v>
      </c>
      <c r="AC88" s="712">
        <v>0</v>
      </c>
      <c r="AD88" s="712">
        <v>450251000</v>
      </c>
    </row>
    <row r="89" spans="1:30" x14ac:dyDescent="0.2">
      <c r="A89" s="839"/>
      <c r="B89" s="713" t="s">
        <v>4769</v>
      </c>
      <c r="C89" s="713" t="s">
        <v>901</v>
      </c>
      <c r="D89" s="710">
        <v>60.8</v>
      </c>
      <c r="E89" s="712">
        <v>0</v>
      </c>
      <c r="F89" s="712">
        <v>246800000</v>
      </c>
      <c r="G89" s="839"/>
      <c r="H89" s="713" t="s">
        <v>4907</v>
      </c>
      <c r="I89" s="713" t="s">
        <v>901</v>
      </c>
      <c r="J89">
        <v>76.150000000000006</v>
      </c>
      <c r="K89" s="712">
        <v>0</v>
      </c>
      <c r="L89" s="712">
        <v>369397000</v>
      </c>
      <c r="M89" s="839"/>
      <c r="N89" s="713" t="s">
        <v>4832</v>
      </c>
      <c r="O89" s="713" t="s">
        <v>901</v>
      </c>
      <c r="P89">
        <v>57.5</v>
      </c>
      <c r="Q89" s="712">
        <v>0</v>
      </c>
      <c r="R89" s="712">
        <v>374314608</v>
      </c>
      <c r="S89" s="839"/>
      <c r="T89" s="713" t="s">
        <v>4777</v>
      </c>
      <c r="U89" s="713" t="s">
        <v>901</v>
      </c>
      <c r="V89">
        <v>71.95</v>
      </c>
      <c r="W89" s="712">
        <v>0</v>
      </c>
      <c r="X89" s="712">
        <v>460785000</v>
      </c>
      <c r="Y89" s="839"/>
      <c r="Z89" s="713" t="s">
        <v>4896</v>
      </c>
      <c r="AA89" s="713" t="s">
        <v>901</v>
      </c>
      <c r="AB89">
        <v>64</v>
      </c>
      <c r="AC89" s="712">
        <v>0</v>
      </c>
      <c r="AD89" s="712">
        <v>369680000</v>
      </c>
    </row>
    <row r="90" spans="1:30" x14ac:dyDescent="0.2">
      <c r="A90" s="839"/>
      <c r="B90" s="713" t="s">
        <v>4770</v>
      </c>
      <c r="C90" s="713" t="s">
        <v>901</v>
      </c>
      <c r="D90" s="710">
        <v>77.3</v>
      </c>
      <c r="E90" s="712">
        <v>0</v>
      </c>
      <c r="F90" s="712">
        <v>322076000</v>
      </c>
      <c r="G90" s="839"/>
      <c r="H90" s="713" t="s">
        <v>4908</v>
      </c>
      <c r="I90" s="713" t="s">
        <v>901</v>
      </c>
      <c r="J90">
        <v>75.59</v>
      </c>
      <c r="K90" s="712">
        <v>0</v>
      </c>
      <c r="L90" s="712">
        <v>320342600</v>
      </c>
      <c r="M90" s="839"/>
      <c r="N90" s="713" t="s">
        <v>4833</v>
      </c>
      <c r="O90" s="713" t="s">
        <v>901</v>
      </c>
      <c r="P90">
        <v>80.05</v>
      </c>
      <c r="Q90" s="712">
        <v>0</v>
      </c>
      <c r="R90" s="712">
        <v>490802500</v>
      </c>
      <c r="S90" s="839"/>
      <c r="T90" s="713" t="s">
        <v>4778</v>
      </c>
      <c r="U90" s="713" t="s">
        <v>901</v>
      </c>
      <c r="V90">
        <v>60.91</v>
      </c>
      <c r="W90" s="712">
        <v>0</v>
      </c>
      <c r="X90" s="712">
        <v>289717304</v>
      </c>
      <c r="Y90" s="839"/>
      <c r="Z90" s="713" t="s">
        <v>4917</v>
      </c>
      <c r="AA90" s="713" t="s">
        <v>901</v>
      </c>
      <c r="AB90">
        <v>76.150000000000006</v>
      </c>
      <c r="AC90" s="712">
        <v>0</v>
      </c>
      <c r="AD90" s="712">
        <v>430371000</v>
      </c>
    </row>
    <row r="91" spans="1:30" x14ac:dyDescent="0.2">
      <c r="A91" s="839"/>
      <c r="B91" s="713" t="s">
        <v>4771</v>
      </c>
      <c r="C91" s="713" t="s">
        <v>901</v>
      </c>
      <c r="D91" s="710">
        <v>77.3</v>
      </c>
      <c r="E91" s="712">
        <v>0</v>
      </c>
      <c r="F91" s="712">
        <v>314800000</v>
      </c>
      <c r="G91" s="839"/>
      <c r="H91" s="713" t="s">
        <v>4909</v>
      </c>
      <c r="I91" s="713" t="s">
        <v>901</v>
      </c>
      <c r="J91">
        <v>75.91</v>
      </c>
      <c r="K91" s="712">
        <v>0</v>
      </c>
      <c r="L91" s="712">
        <v>321667400</v>
      </c>
      <c r="M91" s="839"/>
      <c r="N91" s="713" t="s">
        <v>4834</v>
      </c>
      <c r="O91" s="713" t="s">
        <v>901</v>
      </c>
      <c r="P91">
        <v>60.4</v>
      </c>
      <c r="Q91" s="712">
        <v>0</v>
      </c>
      <c r="R91" s="712">
        <v>405140000</v>
      </c>
      <c r="S91" s="839"/>
      <c r="T91" s="713" t="s">
        <v>4779</v>
      </c>
      <c r="U91" s="713" t="s">
        <v>901</v>
      </c>
      <c r="V91">
        <v>78.45</v>
      </c>
      <c r="W91" s="712">
        <v>0</v>
      </c>
      <c r="X91" s="712">
        <v>380137500</v>
      </c>
      <c r="Y91" s="839"/>
      <c r="Z91" s="713" t="s">
        <v>5163</v>
      </c>
      <c r="AA91" s="713" t="s">
        <v>61</v>
      </c>
      <c r="AB91">
        <v>75.599999999999994</v>
      </c>
      <c r="AC91" s="712">
        <v>501900000</v>
      </c>
      <c r="AD91" s="712">
        <v>0</v>
      </c>
    </row>
    <row r="92" spans="1:30" x14ac:dyDescent="0.2">
      <c r="A92" s="839"/>
      <c r="B92" s="713" t="s">
        <v>4772</v>
      </c>
      <c r="C92" s="713" t="s">
        <v>901</v>
      </c>
      <c r="D92" s="710">
        <v>60.8</v>
      </c>
      <c r="E92" s="712">
        <v>0</v>
      </c>
      <c r="F92" s="712">
        <v>248800000</v>
      </c>
      <c r="G92" s="839"/>
      <c r="H92" s="713" t="s">
        <v>4910</v>
      </c>
      <c r="I92" s="713" t="s">
        <v>901</v>
      </c>
      <c r="J92">
        <v>64</v>
      </c>
      <c r="K92" s="712">
        <v>0</v>
      </c>
      <c r="L92" s="712">
        <v>271987400</v>
      </c>
      <c r="M92" s="839"/>
      <c r="N92" s="713" t="s">
        <v>4835</v>
      </c>
      <c r="O92" s="713" t="s">
        <v>901</v>
      </c>
      <c r="P92">
        <v>82.3</v>
      </c>
      <c r="Q92" s="712">
        <v>0</v>
      </c>
      <c r="R92" s="712">
        <v>541450000</v>
      </c>
      <c r="S92" s="839"/>
      <c r="T92" s="713" t="s">
        <v>4780</v>
      </c>
      <c r="U92" s="713" t="s">
        <v>901</v>
      </c>
      <c r="V92">
        <v>78.400000000000006</v>
      </c>
      <c r="W92" s="712">
        <v>0</v>
      </c>
      <c r="X92" s="712">
        <v>461489136</v>
      </c>
      <c r="Y92" s="839"/>
      <c r="Z92" s="713" t="s">
        <v>5164</v>
      </c>
      <c r="AA92" s="713" t="s">
        <v>61</v>
      </c>
      <c r="AB92">
        <v>76.28</v>
      </c>
      <c r="AC92" s="712">
        <v>506320000</v>
      </c>
      <c r="AD92" s="712">
        <v>0</v>
      </c>
    </row>
    <row r="93" spans="1:30" x14ac:dyDescent="0.2">
      <c r="A93" s="839"/>
      <c r="B93" s="713" t="s">
        <v>4773</v>
      </c>
      <c r="C93" s="713" t="s">
        <v>901</v>
      </c>
      <c r="D93" s="710">
        <v>71.2</v>
      </c>
      <c r="E93" s="712">
        <v>0</v>
      </c>
      <c r="F93" s="712">
        <v>290400000</v>
      </c>
      <c r="G93" s="839"/>
      <c r="H93" s="713" t="s">
        <v>4929</v>
      </c>
      <c r="I93" s="713" t="s">
        <v>901</v>
      </c>
      <c r="J93">
        <v>76.150000000000006</v>
      </c>
      <c r="K93" s="712">
        <v>0</v>
      </c>
      <c r="L93" s="712">
        <v>374414700</v>
      </c>
      <c r="M93" s="839"/>
      <c r="N93" s="713" t="s">
        <v>4854</v>
      </c>
      <c r="O93" s="713" t="s">
        <v>901</v>
      </c>
      <c r="P93">
        <v>80.3</v>
      </c>
      <c r="Q93" s="712">
        <v>0</v>
      </c>
      <c r="R93" s="712">
        <v>500800000</v>
      </c>
      <c r="S93" s="839"/>
      <c r="T93" s="713" t="s">
        <v>4781</v>
      </c>
      <c r="U93" s="713" t="s">
        <v>901</v>
      </c>
      <c r="V93">
        <v>60.89</v>
      </c>
      <c r="W93" s="712">
        <v>0</v>
      </c>
      <c r="X93" s="712">
        <v>288029590</v>
      </c>
      <c r="Y93" s="839"/>
      <c r="Z93" s="713" t="s">
        <v>4918</v>
      </c>
      <c r="AA93" s="713" t="s">
        <v>901</v>
      </c>
      <c r="AB93">
        <v>64</v>
      </c>
      <c r="AC93" s="712">
        <v>0</v>
      </c>
      <c r="AD93" s="712">
        <v>373380000</v>
      </c>
    </row>
    <row r="94" spans="1:30" x14ac:dyDescent="0.2">
      <c r="A94" s="839"/>
      <c r="B94" s="713" t="s">
        <v>4791</v>
      </c>
      <c r="C94" s="713" t="s">
        <v>901</v>
      </c>
      <c r="D94" s="710">
        <v>71.95</v>
      </c>
      <c r="E94" s="712">
        <v>0</v>
      </c>
      <c r="F94" s="712">
        <v>281344500</v>
      </c>
      <c r="G94" s="839"/>
      <c r="H94" s="713" t="s">
        <v>4930</v>
      </c>
      <c r="I94" s="713" t="s">
        <v>901</v>
      </c>
      <c r="J94">
        <v>75.59</v>
      </c>
      <c r="K94" s="712">
        <v>0</v>
      </c>
      <c r="L94" s="712">
        <v>364451074</v>
      </c>
      <c r="M94" s="839"/>
      <c r="N94" s="713" t="s">
        <v>4855</v>
      </c>
      <c r="O94" s="713" t="s">
        <v>901</v>
      </c>
      <c r="P94">
        <v>57.5</v>
      </c>
      <c r="Q94" s="712">
        <v>0</v>
      </c>
      <c r="R94" s="712">
        <v>366000000</v>
      </c>
      <c r="S94" s="839"/>
      <c r="T94" s="713" t="s">
        <v>4782</v>
      </c>
      <c r="U94" s="713" t="s">
        <v>901</v>
      </c>
      <c r="V94">
        <v>71.78</v>
      </c>
      <c r="W94" s="712">
        <v>0</v>
      </c>
      <c r="X94" s="712">
        <v>338559200</v>
      </c>
      <c r="Y94" s="839"/>
      <c r="Z94" s="713" t="s">
        <v>4939</v>
      </c>
      <c r="AA94" s="713" t="s">
        <v>901</v>
      </c>
      <c r="AB94">
        <v>76.150000000000006</v>
      </c>
      <c r="AC94" s="712">
        <v>0</v>
      </c>
      <c r="AD94" s="712">
        <v>441458293</v>
      </c>
    </row>
    <row r="95" spans="1:30" x14ac:dyDescent="0.2">
      <c r="A95" s="839"/>
      <c r="B95" s="713" t="s">
        <v>4792</v>
      </c>
      <c r="C95" s="713" t="s">
        <v>901</v>
      </c>
      <c r="D95" s="710">
        <v>60.8</v>
      </c>
      <c r="E95" s="712">
        <v>0</v>
      </c>
      <c r="F95" s="712">
        <v>246978674</v>
      </c>
      <c r="G95" s="839"/>
      <c r="H95" s="713" t="s">
        <v>4931</v>
      </c>
      <c r="I95" s="713" t="s">
        <v>901</v>
      </c>
      <c r="J95">
        <v>75.91</v>
      </c>
      <c r="K95" s="712">
        <v>0</v>
      </c>
      <c r="L95" s="712">
        <v>323485600</v>
      </c>
      <c r="M95" s="839"/>
      <c r="N95" s="713" t="s">
        <v>4856</v>
      </c>
      <c r="O95" s="713" t="s">
        <v>901</v>
      </c>
      <c r="P95">
        <v>79.260000000000005</v>
      </c>
      <c r="Q95" s="712">
        <v>0</v>
      </c>
      <c r="R95" s="712">
        <v>482560000</v>
      </c>
      <c r="S95" s="839"/>
      <c r="T95" s="713" t="s">
        <v>4801</v>
      </c>
      <c r="U95" s="713" t="s">
        <v>901</v>
      </c>
      <c r="V95">
        <v>71.95</v>
      </c>
      <c r="W95" s="712">
        <v>0</v>
      </c>
      <c r="X95" s="712">
        <v>461285000</v>
      </c>
      <c r="Y95" s="839"/>
      <c r="Z95" s="713" t="s">
        <v>5165</v>
      </c>
      <c r="AA95" s="713" t="s">
        <v>61</v>
      </c>
      <c r="AB95">
        <v>75.599999999999994</v>
      </c>
      <c r="AC95" s="712">
        <v>502400000</v>
      </c>
      <c r="AD95" s="712">
        <v>0</v>
      </c>
    </row>
    <row r="96" spans="1:30" x14ac:dyDescent="0.2">
      <c r="A96" s="839"/>
      <c r="B96" s="713" t="s">
        <v>4793</v>
      </c>
      <c r="C96" s="713" t="s">
        <v>901</v>
      </c>
      <c r="D96" s="710">
        <v>78.349999999999994</v>
      </c>
      <c r="E96" s="712">
        <v>0</v>
      </c>
      <c r="F96" s="712">
        <v>322376000</v>
      </c>
      <c r="G96" s="839"/>
      <c r="H96" s="713" t="s">
        <v>4932</v>
      </c>
      <c r="I96" s="713" t="s">
        <v>901</v>
      </c>
      <c r="J96">
        <v>63.91</v>
      </c>
      <c r="K96" s="712">
        <v>0</v>
      </c>
      <c r="L96" s="712">
        <v>275755605</v>
      </c>
      <c r="M96" s="839"/>
      <c r="N96" s="713" t="s">
        <v>4857</v>
      </c>
      <c r="O96" s="713" t="s">
        <v>901</v>
      </c>
      <c r="P96">
        <v>60.4</v>
      </c>
      <c r="Q96" s="712">
        <v>0</v>
      </c>
      <c r="R96" s="712">
        <v>399600000</v>
      </c>
      <c r="S96" s="839"/>
      <c r="T96" s="713" t="s">
        <v>4802</v>
      </c>
      <c r="U96" s="713" t="s">
        <v>901</v>
      </c>
      <c r="V96">
        <v>60.91</v>
      </c>
      <c r="W96" s="712">
        <v>0</v>
      </c>
      <c r="X96" s="712">
        <v>288186000</v>
      </c>
      <c r="Y96" s="839"/>
      <c r="Z96" s="713" t="s">
        <v>5166</v>
      </c>
      <c r="AA96" s="713" t="s">
        <v>61</v>
      </c>
      <c r="AB96">
        <v>76.28</v>
      </c>
      <c r="AC96" s="712">
        <v>506820000</v>
      </c>
      <c r="AD96" s="712">
        <v>0</v>
      </c>
    </row>
    <row r="97" spans="1:30" x14ac:dyDescent="0.2">
      <c r="A97" s="839"/>
      <c r="B97" s="713" t="s">
        <v>4794</v>
      </c>
      <c r="C97" s="713" t="s">
        <v>901</v>
      </c>
      <c r="D97" s="710">
        <v>77.3</v>
      </c>
      <c r="E97" s="712">
        <v>0</v>
      </c>
      <c r="F97" s="712">
        <v>322318635</v>
      </c>
      <c r="G97" s="839"/>
      <c r="H97" s="713" t="s">
        <v>4950</v>
      </c>
      <c r="I97" s="713" t="s">
        <v>901</v>
      </c>
      <c r="J97">
        <v>76.150000000000006</v>
      </c>
      <c r="K97" s="712">
        <v>0</v>
      </c>
      <c r="L97" s="712">
        <v>401980000</v>
      </c>
      <c r="M97" s="839"/>
      <c r="N97" s="713" t="s">
        <v>4858</v>
      </c>
      <c r="O97" s="713" t="s">
        <v>901</v>
      </c>
      <c r="P97">
        <v>82.3</v>
      </c>
      <c r="Q97" s="712">
        <v>0</v>
      </c>
      <c r="R97" s="712">
        <v>541950000</v>
      </c>
      <c r="S97" s="839"/>
      <c r="T97" s="713" t="s">
        <v>4803</v>
      </c>
      <c r="U97" s="713" t="s">
        <v>901</v>
      </c>
      <c r="V97">
        <v>78.45</v>
      </c>
      <c r="W97" s="712">
        <v>0</v>
      </c>
      <c r="X97" s="712">
        <v>376715000</v>
      </c>
      <c r="Y97" s="839"/>
      <c r="Z97" s="713" t="s">
        <v>4940</v>
      </c>
      <c r="AA97" s="713" t="s">
        <v>901</v>
      </c>
      <c r="AB97">
        <v>64</v>
      </c>
      <c r="AC97" s="712">
        <v>0</v>
      </c>
      <c r="AD97" s="712">
        <v>377800860</v>
      </c>
    </row>
    <row r="98" spans="1:30" x14ac:dyDescent="0.2">
      <c r="A98" s="839"/>
      <c r="B98" s="713" t="s">
        <v>4795</v>
      </c>
      <c r="C98" s="713" t="s">
        <v>901</v>
      </c>
      <c r="D98" s="710">
        <v>60.8</v>
      </c>
      <c r="E98" s="712">
        <v>0</v>
      </c>
      <c r="F98" s="712">
        <v>249100000</v>
      </c>
      <c r="G98" s="839"/>
      <c r="H98" s="713" t="s">
        <v>4951</v>
      </c>
      <c r="I98" s="713" t="s">
        <v>901</v>
      </c>
      <c r="J98">
        <v>75.59</v>
      </c>
      <c r="K98" s="712">
        <v>0</v>
      </c>
      <c r="L98" s="712">
        <v>319430800</v>
      </c>
      <c r="M98" s="839"/>
      <c r="N98" s="713" t="s">
        <v>4878</v>
      </c>
      <c r="O98" s="713" t="s">
        <v>901</v>
      </c>
      <c r="P98">
        <v>80.349999999999994</v>
      </c>
      <c r="Q98" s="712">
        <v>0</v>
      </c>
      <c r="R98" s="712">
        <v>553827500</v>
      </c>
      <c r="S98" s="839"/>
      <c r="T98" s="713" t="s">
        <v>4804</v>
      </c>
      <c r="U98" s="713" t="s">
        <v>901</v>
      </c>
      <c r="V98">
        <v>77.98</v>
      </c>
      <c r="W98" s="712">
        <v>0</v>
      </c>
      <c r="X98" s="712">
        <v>407840000</v>
      </c>
      <c r="Y98" s="839"/>
      <c r="Z98" s="713" t="s">
        <v>4960</v>
      </c>
      <c r="AA98" s="713" t="s">
        <v>901</v>
      </c>
      <c r="AB98">
        <v>76.150000000000006</v>
      </c>
      <c r="AC98" s="712">
        <v>0</v>
      </c>
      <c r="AD98" s="712">
        <v>489245000</v>
      </c>
    </row>
    <row r="99" spans="1:30" x14ac:dyDescent="0.2">
      <c r="A99" s="839"/>
      <c r="B99" s="713" t="s">
        <v>4796</v>
      </c>
      <c r="C99" s="713" t="s">
        <v>901</v>
      </c>
      <c r="D99" s="710">
        <v>71.900000000000006</v>
      </c>
      <c r="E99" s="712">
        <v>0</v>
      </c>
      <c r="F99" s="712">
        <v>340981258</v>
      </c>
      <c r="G99" s="839"/>
      <c r="H99" s="713" t="s">
        <v>4952</v>
      </c>
      <c r="I99" s="713" t="s">
        <v>901</v>
      </c>
      <c r="J99">
        <v>76.3</v>
      </c>
      <c r="K99" s="712">
        <v>0</v>
      </c>
      <c r="L99" s="712">
        <v>323785600</v>
      </c>
      <c r="M99" s="839"/>
      <c r="N99" s="713" t="s">
        <v>4879</v>
      </c>
      <c r="O99" s="713" t="s">
        <v>901</v>
      </c>
      <c r="P99">
        <v>57.5</v>
      </c>
      <c r="Q99" s="712">
        <v>0</v>
      </c>
      <c r="R99" s="712">
        <v>366500000</v>
      </c>
      <c r="S99" s="839"/>
      <c r="T99" s="713" t="s">
        <v>4805</v>
      </c>
      <c r="U99" s="713" t="s">
        <v>901</v>
      </c>
      <c r="V99">
        <v>60.95</v>
      </c>
      <c r="W99" s="712">
        <v>0</v>
      </c>
      <c r="X99" s="712">
        <v>295512500</v>
      </c>
      <c r="Y99" s="839"/>
      <c r="Z99" s="713" t="s">
        <v>5167</v>
      </c>
      <c r="AA99" s="713" t="s">
        <v>61</v>
      </c>
      <c r="AB99">
        <v>75.599999999999994</v>
      </c>
      <c r="AC99" s="712">
        <v>502900000</v>
      </c>
      <c r="AD99" s="712">
        <v>0</v>
      </c>
    </row>
    <row r="100" spans="1:30" x14ac:dyDescent="0.2">
      <c r="A100" s="839"/>
      <c r="B100" s="713" t="s">
        <v>4815</v>
      </c>
      <c r="C100" s="713" t="s">
        <v>901</v>
      </c>
      <c r="D100" s="710">
        <v>71.95</v>
      </c>
      <c r="E100" s="712">
        <v>0</v>
      </c>
      <c r="F100" s="712">
        <v>291292593</v>
      </c>
      <c r="G100" s="839"/>
      <c r="H100" s="713" t="s">
        <v>4953</v>
      </c>
      <c r="I100" s="713" t="s">
        <v>901</v>
      </c>
      <c r="J100">
        <v>64</v>
      </c>
      <c r="K100" s="712">
        <v>0</v>
      </c>
      <c r="L100" s="712">
        <v>272587400</v>
      </c>
      <c r="M100" s="839"/>
      <c r="N100" s="713" t="s">
        <v>4880</v>
      </c>
      <c r="O100" s="713" t="s">
        <v>901</v>
      </c>
      <c r="P100">
        <v>80.05</v>
      </c>
      <c r="Q100" s="712">
        <v>0</v>
      </c>
      <c r="R100" s="712">
        <v>491800000</v>
      </c>
      <c r="S100" s="839"/>
      <c r="T100" s="713" t="s">
        <v>4806</v>
      </c>
      <c r="U100" s="713" t="s">
        <v>901</v>
      </c>
      <c r="V100">
        <v>71.900000000000006</v>
      </c>
      <c r="W100" s="712">
        <v>0</v>
      </c>
      <c r="X100" s="712">
        <v>410078000</v>
      </c>
      <c r="Y100" s="839"/>
      <c r="Z100" s="713" t="s">
        <v>4961</v>
      </c>
      <c r="AA100" s="713" t="s">
        <v>901</v>
      </c>
      <c r="AB100">
        <v>76.3</v>
      </c>
      <c r="AC100" s="712">
        <v>0</v>
      </c>
      <c r="AD100" s="712">
        <v>457368176</v>
      </c>
    </row>
    <row r="101" spans="1:30" x14ac:dyDescent="0.2">
      <c r="A101" s="839"/>
      <c r="B101" s="713" t="s">
        <v>4816</v>
      </c>
      <c r="C101" s="713" t="s">
        <v>901</v>
      </c>
      <c r="D101" s="710">
        <v>60.8</v>
      </c>
      <c r="E101" s="712">
        <v>0</v>
      </c>
      <c r="F101" s="712">
        <v>249620622</v>
      </c>
      <c r="G101" s="839"/>
      <c r="H101" s="713" t="s">
        <v>5127</v>
      </c>
      <c r="I101" s="713" t="s">
        <v>61</v>
      </c>
      <c r="J101">
        <v>76.150000000000006</v>
      </c>
      <c r="K101" s="712">
        <v>409895000</v>
      </c>
      <c r="L101" s="712">
        <v>0</v>
      </c>
      <c r="M101" s="839"/>
      <c r="N101" s="713" t="s">
        <v>4881</v>
      </c>
      <c r="O101" s="713" t="s">
        <v>901</v>
      </c>
      <c r="P101">
        <v>60.4</v>
      </c>
      <c r="Q101" s="712">
        <v>0</v>
      </c>
      <c r="R101" s="712">
        <v>381980000</v>
      </c>
      <c r="S101" s="839"/>
      <c r="T101" s="713" t="s">
        <v>4825</v>
      </c>
      <c r="U101" s="713" t="s">
        <v>901</v>
      </c>
      <c r="V101">
        <v>71.95</v>
      </c>
      <c r="W101" s="712">
        <v>0</v>
      </c>
      <c r="X101" s="712">
        <v>391237500</v>
      </c>
      <c r="Y101" s="839"/>
      <c r="Z101" s="713" t="s">
        <v>4962</v>
      </c>
      <c r="AA101" s="713" t="s">
        <v>901</v>
      </c>
      <c r="AB101">
        <v>64</v>
      </c>
      <c r="AC101" s="712">
        <v>0</v>
      </c>
      <c r="AD101" s="712">
        <v>366060000</v>
      </c>
    </row>
    <row r="102" spans="1:30" x14ac:dyDescent="0.2">
      <c r="A102" s="839"/>
      <c r="B102" s="713" t="s">
        <v>4817</v>
      </c>
      <c r="C102" s="713" t="s">
        <v>901</v>
      </c>
      <c r="D102" s="710">
        <v>78.349999999999994</v>
      </c>
      <c r="E102" s="712">
        <v>0</v>
      </c>
      <c r="F102" s="712">
        <v>322676000</v>
      </c>
      <c r="G102" s="839"/>
      <c r="H102" s="713" t="s">
        <v>4974</v>
      </c>
      <c r="I102" s="713" t="s">
        <v>901</v>
      </c>
      <c r="J102">
        <v>75.5</v>
      </c>
      <c r="K102" s="712">
        <v>0</v>
      </c>
      <c r="L102" s="712">
        <v>325778000</v>
      </c>
      <c r="M102" s="839"/>
      <c r="N102" s="713" t="s">
        <v>4882</v>
      </c>
      <c r="O102" s="713" t="s">
        <v>901</v>
      </c>
      <c r="P102">
        <v>82.3</v>
      </c>
      <c r="Q102" s="712">
        <v>0</v>
      </c>
      <c r="R102" s="712">
        <v>542450000</v>
      </c>
      <c r="S102" s="839"/>
      <c r="T102" s="713" t="s">
        <v>4826</v>
      </c>
      <c r="U102" s="713" t="s">
        <v>901</v>
      </c>
      <c r="V102">
        <v>60.9</v>
      </c>
      <c r="W102" s="712">
        <v>0</v>
      </c>
      <c r="X102" s="712">
        <v>353803000</v>
      </c>
      <c r="Y102" s="839"/>
      <c r="Z102" s="713" t="s">
        <v>4983</v>
      </c>
      <c r="AA102" s="713" t="s">
        <v>901</v>
      </c>
      <c r="AB102">
        <v>76.150000000000006</v>
      </c>
      <c r="AC102" s="712">
        <v>0</v>
      </c>
      <c r="AD102" s="712">
        <v>447101000</v>
      </c>
    </row>
    <row r="103" spans="1:30" x14ac:dyDescent="0.2">
      <c r="A103" s="839"/>
      <c r="B103" s="713" t="s">
        <v>4818</v>
      </c>
      <c r="C103" s="713" t="s">
        <v>901</v>
      </c>
      <c r="D103" s="710">
        <v>78.400000000000006</v>
      </c>
      <c r="E103" s="712">
        <v>0</v>
      </c>
      <c r="F103" s="712">
        <v>306658150</v>
      </c>
      <c r="G103" s="839"/>
      <c r="H103" s="713" t="s">
        <v>4975</v>
      </c>
      <c r="I103" s="713" t="s">
        <v>901</v>
      </c>
      <c r="J103">
        <v>75.91</v>
      </c>
      <c r="K103" s="712">
        <v>0</v>
      </c>
      <c r="L103" s="712">
        <v>324331124</v>
      </c>
      <c r="M103" s="839"/>
      <c r="N103" s="713" t="s">
        <v>4902</v>
      </c>
      <c r="O103" s="713" t="s">
        <v>901</v>
      </c>
      <c r="P103">
        <v>80.349999999999994</v>
      </c>
      <c r="Q103" s="712">
        <v>0</v>
      </c>
      <c r="R103" s="712">
        <v>542275000</v>
      </c>
      <c r="S103" s="839"/>
      <c r="T103" s="713" t="s">
        <v>4827</v>
      </c>
      <c r="U103" s="713" t="s">
        <v>901</v>
      </c>
      <c r="V103">
        <v>78.45</v>
      </c>
      <c r="W103" s="712">
        <v>0</v>
      </c>
      <c r="X103" s="712">
        <v>381137500</v>
      </c>
      <c r="Y103" s="839"/>
      <c r="Z103" s="713" t="s">
        <v>4984</v>
      </c>
      <c r="AA103" s="713" t="s">
        <v>901</v>
      </c>
      <c r="AB103">
        <v>75.5</v>
      </c>
      <c r="AC103" s="712">
        <v>0</v>
      </c>
      <c r="AD103" s="712">
        <v>502978496</v>
      </c>
    </row>
    <row r="104" spans="1:30" x14ac:dyDescent="0.2">
      <c r="A104" s="839"/>
      <c r="B104" s="713" t="s">
        <v>4819</v>
      </c>
      <c r="C104" s="713" t="s">
        <v>901</v>
      </c>
      <c r="D104" s="710">
        <v>60.8</v>
      </c>
      <c r="E104" s="712">
        <v>0</v>
      </c>
      <c r="F104" s="712">
        <v>250306412</v>
      </c>
      <c r="G104" s="839"/>
      <c r="H104" s="713" t="s">
        <v>4976</v>
      </c>
      <c r="I104" s="713" t="s">
        <v>901</v>
      </c>
      <c r="J104">
        <v>63.91</v>
      </c>
      <c r="K104" s="712">
        <v>0</v>
      </c>
      <c r="L104" s="712">
        <v>279165600</v>
      </c>
      <c r="M104" s="839"/>
      <c r="N104" s="713" t="s">
        <v>4903</v>
      </c>
      <c r="O104" s="713" t="s">
        <v>901</v>
      </c>
      <c r="P104">
        <v>57.5</v>
      </c>
      <c r="Q104" s="712">
        <v>0</v>
      </c>
      <c r="R104" s="712">
        <v>371212269</v>
      </c>
      <c r="S104" s="839"/>
      <c r="T104" s="713" t="s">
        <v>4828</v>
      </c>
      <c r="U104" s="713" t="s">
        <v>901</v>
      </c>
      <c r="V104">
        <v>78.400000000000006</v>
      </c>
      <c r="W104" s="712">
        <v>0</v>
      </c>
      <c r="X104" s="712">
        <v>411104585</v>
      </c>
      <c r="Y104" s="839"/>
      <c r="Z104" s="713" t="s">
        <v>4985</v>
      </c>
      <c r="AA104" s="713" t="s">
        <v>901</v>
      </c>
      <c r="AB104">
        <v>76.3</v>
      </c>
      <c r="AC104" s="712">
        <v>0</v>
      </c>
      <c r="AD104" s="712">
        <v>449962000</v>
      </c>
    </row>
    <row r="105" spans="1:30" x14ac:dyDescent="0.2">
      <c r="A105" s="839"/>
      <c r="B105" s="713" t="s">
        <v>4820</v>
      </c>
      <c r="C105" s="713" t="s">
        <v>901</v>
      </c>
      <c r="D105" s="710">
        <v>71.900000000000006</v>
      </c>
      <c r="E105" s="712">
        <v>0</v>
      </c>
      <c r="F105" s="712">
        <v>284781315</v>
      </c>
      <c r="G105" s="839"/>
      <c r="H105" s="713" t="s">
        <v>4997</v>
      </c>
      <c r="I105" s="713" t="s">
        <v>901</v>
      </c>
      <c r="J105">
        <v>76.13</v>
      </c>
      <c r="K105" s="712">
        <v>0</v>
      </c>
      <c r="L105" s="712">
        <v>374104500</v>
      </c>
      <c r="M105" s="839"/>
      <c r="N105" s="713" t="s">
        <v>4904</v>
      </c>
      <c r="O105" s="713" t="s">
        <v>901</v>
      </c>
      <c r="P105">
        <v>80.05</v>
      </c>
      <c r="Q105" s="712">
        <v>0</v>
      </c>
      <c r="R105" s="712">
        <v>528325000</v>
      </c>
      <c r="S105" s="839"/>
      <c r="T105" s="713" t="s">
        <v>4829</v>
      </c>
      <c r="U105" s="713" t="s">
        <v>901</v>
      </c>
      <c r="V105">
        <v>60.95</v>
      </c>
      <c r="W105" s="712">
        <v>0</v>
      </c>
      <c r="X105" s="712">
        <v>302107500</v>
      </c>
      <c r="Y105" s="839"/>
      <c r="Z105" s="713" t="s">
        <v>4986</v>
      </c>
      <c r="AA105" s="713" t="s">
        <v>901</v>
      </c>
      <c r="AB105">
        <v>64</v>
      </c>
      <c r="AC105" s="712">
        <v>0</v>
      </c>
      <c r="AD105" s="712">
        <v>371680000</v>
      </c>
    </row>
    <row r="106" spans="1:30" x14ac:dyDescent="0.2">
      <c r="A106" s="839"/>
      <c r="B106" s="713" t="s">
        <v>4840</v>
      </c>
      <c r="C106" s="713" t="s">
        <v>901</v>
      </c>
      <c r="D106" s="710">
        <v>71.95</v>
      </c>
      <c r="E106" s="712">
        <v>0</v>
      </c>
      <c r="F106" s="712">
        <v>366640000</v>
      </c>
      <c r="G106" s="839"/>
      <c r="H106" s="713" t="s">
        <v>4998</v>
      </c>
      <c r="I106" s="713" t="s">
        <v>901</v>
      </c>
      <c r="J106">
        <v>75.59</v>
      </c>
      <c r="K106" s="712">
        <v>0</v>
      </c>
      <c r="L106" s="712">
        <v>322490541</v>
      </c>
      <c r="M106" s="839"/>
      <c r="N106" s="713" t="s">
        <v>4905</v>
      </c>
      <c r="O106" s="713" t="s">
        <v>901</v>
      </c>
      <c r="P106">
        <v>60.4</v>
      </c>
      <c r="Q106" s="712">
        <v>0</v>
      </c>
      <c r="R106" s="712">
        <v>366200000</v>
      </c>
      <c r="S106" s="839"/>
      <c r="T106" s="713" t="s">
        <v>4830</v>
      </c>
      <c r="U106" s="713" t="s">
        <v>901</v>
      </c>
      <c r="V106">
        <v>71.900000000000006</v>
      </c>
      <c r="W106" s="712">
        <v>0</v>
      </c>
      <c r="X106" s="712">
        <v>410578000</v>
      </c>
      <c r="Y106" s="839"/>
      <c r="Z106" s="713" t="s">
        <v>5007</v>
      </c>
      <c r="AA106" s="713" t="s">
        <v>901</v>
      </c>
      <c r="AB106">
        <v>76.150000000000006</v>
      </c>
      <c r="AC106" s="712">
        <v>0</v>
      </c>
      <c r="AD106" s="712">
        <v>447601000</v>
      </c>
    </row>
    <row r="107" spans="1:30" x14ac:dyDescent="0.2">
      <c r="A107" s="839"/>
      <c r="B107" s="713" t="s">
        <v>4841</v>
      </c>
      <c r="C107" s="713" t="s">
        <v>901</v>
      </c>
      <c r="D107" s="710">
        <v>60.9</v>
      </c>
      <c r="E107" s="712">
        <v>0</v>
      </c>
      <c r="F107" s="712">
        <v>245960910</v>
      </c>
      <c r="G107" s="839"/>
      <c r="H107" s="713" t="s">
        <v>4999</v>
      </c>
      <c r="I107" s="713" t="s">
        <v>901</v>
      </c>
      <c r="J107">
        <v>75.91</v>
      </c>
      <c r="K107" s="712">
        <v>0</v>
      </c>
      <c r="L107" s="712">
        <v>324385600</v>
      </c>
      <c r="M107" s="839"/>
      <c r="N107" s="713" t="s">
        <v>4906</v>
      </c>
      <c r="O107" s="713" t="s">
        <v>901</v>
      </c>
      <c r="P107">
        <v>82.3</v>
      </c>
      <c r="Q107" s="712">
        <v>0</v>
      </c>
      <c r="R107" s="712">
        <v>501500000</v>
      </c>
      <c r="S107" s="839"/>
      <c r="T107" s="713" t="s">
        <v>4849</v>
      </c>
      <c r="U107" s="713" t="s">
        <v>901</v>
      </c>
      <c r="V107">
        <v>71.95</v>
      </c>
      <c r="W107" s="712">
        <v>0</v>
      </c>
      <c r="X107" s="712">
        <v>413359000</v>
      </c>
      <c r="Y107" s="839"/>
      <c r="Z107" s="713" t="s">
        <v>5008</v>
      </c>
      <c r="AA107" s="713" t="s">
        <v>901</v>
      </c>
      <c r="AB107">
        <v>75.5</v>
      </c>
      <c r="AC107" s="712">
        <v>0</v>
      </c>
      <c r="AD107" s="712">
        <v>488150000</v>
      </c>
    </row>
    <row r="108" spans="1:30" x14ac:dyDescent="0.2">
      <c r="A108" s="839"/>
      <c r="B108" s="713" t="s">
        <v>4842</v>
      </c>
      <c r="C108" s="713" t="s">
        <v>901</v>
      </c>
      <c r="D108" s="710">
        <v>77.3</v>
      </c>
      <c r="E108" s="712">
        <v>0</v>
      </c>
      <c r="F108" s="712">
        <v>311080400</v>
      </c>
      <c r="G108" s="839"/>
      <c r="H108" s="713" t="s">
        <v>5000</v>
      </c>
      <c r="I108" s="713" t="s">
        <v>901</v>
      </c>
      <c r="J108">
        <v>63.91</v>
      </c>
      <c r="K108" s="712">
        <v>0</v>
      </c>
      <c r="L108" s="712">
        <v>276841056</v>
      </c>
      <c r="M108" s="839"/>
      <c r="N108" s="713" t="s">
        <v>4924</v>
      </c>
      <c r="O108" s="713" t="s">
        <v>901</v>
      </c>
      <c r="P108">
        <v>80.349999999999994</v>
      </c>
      <c r="Q108" s="712">
        <v>0</v>
      </c>
      <c r="R108" s="712">
        <v>506617500</v>
      </c>
      <c r="S108" s="839"/>
      <c r="T108" s="713" t="s">
        <v>4850</v>
      </c>
      <c r="U108" s="713" t="s">
        <v>901</v>
      </c>
      <c r="V108">
        <v>60.91</v>
      </c>
      <c r="W108" s="712">
        <v>0</v>
      </c>
      <c r="X108" s="712">
        <v>289186000</v>
      </c>
      <c r="Y108" s="839"/>
      <c r="Z108" s="713" t="s">
        <v>5168</v>
      </c>
      <c r="AA108" s="713" t="s">
        <v>61</v>
      </c>
      <c r="AB108">
        <v>76.28</v>
      </c>
      <c r="AC108" s="712">
        <v>508320000</v>
      </c>
      <c r="AD108" s="712">
        <v>0</v>
      </c>
    </row>
    <row r="109" spans="1:30" x14ac:dyDescent="0.2">
      <c r="A109" s="839"/>
      <c r="B109" s="713" t="s">
        <v>4843</v>
      </c>
      <c r="C109" s="713" t="s">
        <v>901</v>
      </c>
      <c r="D109" s="710">
        <v>78.400000000000006</v>
      </c>
      <c r="E109" s="712">
        <v>0</v>
      </c>
      <c r="F109" s="712">
        <v>322540790</v>
      </c>
      <c r="G109" s="839"/>
      <c r="H109" s="713" t="s">
        <v>5019</v>
      </c>
      <c r="I109" s="713" t="s">
        <v>901</v>
      </c>
      <c r="J109">
        <v>76.150000000000006</v>
      </c>
      <c r="K109" s="712">
        <v>0</v>
      </c>
      <c r="L109" s="712">
        <v>374704500</v>
      </c>
      <c r="M109" s="839"/>
      <c r="N109" s="713" t="s">
        <v>4925</v>
      </c>
      <c r="O109" s="713" t="s">
        <v>901</v>
      </c>
      <c r="P109">
        <v>57.65</v>
      </c>
      <c r="Q109" s="712">
        <v>0</v>
      </c>
      <c r="R109" s="712">
        <v>397225000</v>
      </c>
      <c r="S109" s="839"/>
      <c r="T109" s="713" t="s">
        <v>4851</v>
      </c>
      <c r="U109" s="713" t="s">
        <v>901</v>
      </c>
      <c r="V109">
        <v>77.87</v>
      </c>
      <c r="W109" s="712">
        <v>0</v>
      </c>
      <c r="X109" s="712">
        <v>370316800</v>
      </c>
      <c r="Y109" s="839"/>
      <c r="Z109" s="713" t="s">
        <v>5009</v>
      </c>
      <c r="AA109" s="713" t="s">
        <v>901</v>
      </c>
      <c r="AB109">
        <v>64</v>
      </c>
      <c r="AC109" s="712">
        <v>0</v>
      </c>
      <c r="AD109" s="712">
        <v>381780000</v>
      </c>
    </row>
    <row r="110" spans="1:30" x14ac:dyDescent="0.2">
      <c r="A110" s="839"/>
      <c r="B110" s="713" t="s">
        <v>4844</v>
      </c>
      <c r="C110" s="713" t="s">
        <v>901</v>
      </c>
      <c r="D110" s="710">
        <v>60.8</v>
      </c>
      <c r="E110" s="712">
        <v>0</v>
      </c>
      <c r="F110" s="712">
        <v>251524000</v>
      </c>
      <c r="G110" s="839"/>
      <c r="H110" s="713" t="s">
        <v>5020</v>
      </c>
      <c r="I110" s="713" t="s">
        <v>901</v>
      </c>
      <c r="J110">
        <v>60.9</v>
      </c>
      <c r="K110" s="712">
        <v>0</v>
      </c>
      <c r="L110" s="712">
        <v>321842600</v>
      </c>
      <c r="M110" s="839"/>
      <c r="N110" s="713" t="s">
        <v>4926</v>
      </c>
      <c r="O110" s="713" t="s">
        <v>901</v>
      </c>
      <c r="P110">
        <v>79.260000000000005</v>
      </c>
      <c r="Q110" s="712">
        <v>0</v>
      </c>
      <c r="R110" s="712">
        <v>488800000</v>
      </c>
      <c r="S110" s="839"/>
      <c r="T110" s="713" t="s">
        <v>4852</v>
      </c>
      <c r="U110" s="713" t="s">
        <v>901</v>
      </c>
      <c r="V110">
        <v>77.98</v>
      </c>
      <c r="W110" s="712">
        <v>0</v>
      </c>
      <c r="X110" s="712">
        <v>391736090</v>
      </c>
      <c r="Y110" s="839"/>
      <c r="Z110" s="713" t="s">
        <v>5029</v>
      </c>
      <c r="AA110" s="713" t="s">
        <v>901</v>
      </c>
      <c r="AB110">
        <v>76.150000000000006</v>
      </c>
      <c r="AC110" s="712">
        <v>0</v>
      </c>
      <c r="AD110" s="712">
        <v>448862500</v>
      </c>
    </row>
    <row r="111" spans="1:30" x14ac:dyDescent="0.2">
      <c r="A111" s="839"/>
      <c r="B111" s="713" t="s">
        <v>4845</v>
      </c>
      <c r="C111" s="713" t="s">
        <v>901</v>
      </c>
      <c r="D111" s="710">
        <v>71.2</v>
      </c>
      <c r="E111" s="712">
        <v>0</v>
      </c>
      <c r="F111" s="712">
        <v>287647857</v>
      </c>
      <c r="G111" s="839"/>
      <c r="H111" s="713" t="s">
        <v>5021</v>
      </c>
      <c r="I111" s="713" t="s">
        <v>901</v>
      </c>
      <c r="J111">
        <v>76.3</v>
      </c>
      <c r="K111" s="712">
        <v>0</v>
      </c>
      <c r="L111" s="712">
        <v>405660000</v>
      </c>
      <c r="M111" s="839"/>
      <c r="N111" s="713" t="s">
        <v>4927</v>
      </c>
      <c r="O111" s="713" t="s">
        <v>901</v>
      </c>
      <c r="P111">
        <v>60.4</v>
      </c>
      <c r="Q111" s="712">
        <v>0</v>
      </c>
      <c r="R111" s="712">
        <v>373920000</v>
      </c>
      <c r="S111" s="839"/>
      <c r="T111" s="713" t="s">
        <v>4853</v>
      </c>
      <c r="U111" s="713" t="s">
        <v>901</v>
      </c>
      <c r="V111">
        <v>60.89</v>
      </c>
      <c r="W111" s="712">
        <v>0</v>
      </c>
      <c r="X111" s="712">
        <v>289529600</v>
      </c>
      <c r="Y111" s="839"/>
      <c r="Z111" s="713" t="s">
        <v>5030</v>
      </c>
      <c r="AA111" s="713" t="s">
        <v>901</v>
      </c>
      <c r="AB111">
        <v>75.5</v>
      </c>
      <c r="AC111" s="712">
        <v>0</v>
      </c>
      <c r="AD111" s="712">
        <v>452410000</v>
      </c>
    </row>
    <row r="112" spans="1:30" x14ac:dyDescent="0.2">
      <c r="A112" s="839"/>
      <c r="B112" s="713" t="s">
        <v>4863</v>
      </c>
      <c r="C112" s="713" t="s">
        <v>901</v>
      </c>
      <c r="D112" s="710">
        <v>71</v>
      </c>
      <c r="E112" s="712">
        <v>0</v>
      </c>
      <c r="F112" s="712">
        <v>288800000</v>
      </c>
      <c r="G112" s="839"/>
      <c r="H112" s="713" t="s">
        <v>5022</v>
      </c>
      <c r="I112" s="713" t="s">
        <v>901</v>
      </c>
      <c r="J112">
        <v>63.91</v>
      </c>
      <c r="K112" s="712">
        <v>0</v>
      </c>
      <c r="L112" s="712">
        <v>274765600</v>
      </c>
      <c r="M112" s="839"/>
      <c r="N112" s="713" t="s">
        <v>4928</v>
      </c>
      <c r="O112" s="713" t="s">
        <v>901</v>
      </c>
      <c r="P112">
        <v>82.25</v>
      </c>
      <c r="Q112" s="712">
        <v>0</v>
      </c>
      <c r="R112" s="712">
        <v>502000000</v>
      </c>
      <c r="S112" s="839"/>
      <c r="T112" s="713" t="s">
        <v>5105</v>
      </c>
      <c r="U112" s="713" t="s">
        <v>61</v>
      </c>
      <c r="V112">
        <v>71.900000000000006</v>
      </c>
      <c r="W112" s="712">
        <v>474220000</v>
      </c>
      <c r="X112" s="712">
        <v>0</v>
      </c>
      <c r="Y112" s="839"/>
      <c r="Z112" s="713" t="s">
        <v>5031</v>
      </c>
      <c r="AA112" s="713" t="s">
        <v>901</v>
      </c>
      <c r="AB112">
        <v>76.3</v>
      </c>
      <c r="AC112" s="712">
        <v>0</v>
      </c>
      <c r="AD112" s="712">
        <v>435702000</v>
      </c>
    </row>
    <row r="113" spans="1:30" x14ac:dyDescent="0.2">
      <c r="A113" s="839"/>
      <c r="B113" s="713" t="s">
        <v>4864</v>
      </c>
      <c r="C113" s="713" t="s">
        <v>901</v>
      </c>
      <c r="D113" s="710">
        <v>60.9</v>
      </c>
      <c r="E113" s="712">
        <v>0</v>
      </c>
      <c r="F113" s="712">
        <v>254277159</v>
      </c>
      <c r="G113" s="839"/>
      <c r="H113" s="713" t="s">
        <v>5043</v>
      </c>
      <c r="I113" s="713" t="s">
        <v>901</v>
      </c>
      <c r="J113">
        <v>76.150000000000006</v>
      </c>
      <c r="K113" s="712">
        <v>0</v>
      </c>
      <c r="L113" s="712">
        <v>403180000</v>
      </c>
      <c r="M113" s="839"/>
      <c r="N113" s="713" t="s">
        <v>4945</v>
      </c>
      <c r="O113" s="713" t="s">
        <v>901</v>
      </c>
      <c r="P113">
        <v>80.3</v>
      </c>
      <c r="Q113" s="712">
        <v>0</v>
      </c>
      <c r="R113" s="712">
        <v>502800000</v>
      </c>
      <c r="S113" s="839"/>
      <c r="T113" s="713" t="s">
        <v>4873</v>
      </c>
      <c r="U113" s="713" t="s">
        <v>901</v>
      </c>
      <c r="V113">
        <v>71.95</v>
      </c>
      <c r="W113" s="712">
        <v>0</v>
      </c>
      <c r="X113" s="712">
        <v>462785000</v>
      </c>
      <c r="Y113" s="839"/>
      <c r="Z113" s="713" t="s">
        <v>5032</v>
      </c>
      <c r="AA113" s="713" t="s">
        <v>901</v>
      </c>
      <c r="AB113">
        <v>64</v>
      </c>
      <c r="AC113" s="712">
        <v>0</v>
      </c>
      <c r="AD113" s="712">
        <v>375880000</v>
      </c>
    </row>
    <row r="114" spans="1:30" x14ac:dyDescent="0.2">
      <c r="A114" s="839"/>
      <c r="B114" s="713" t="s">
        <v>4865</v>
      </c>
      <c r="C114" s="713" t="s">
        <v>901</v>
      </c>
      <c r="D114" s="710">
        <v>78.349999999999994</v>
      </c>
      <c r="E114" s="712">
        <v>0</v>
      </c>
      <c r="F114" s="712">
        <v>319438716</v>
      </c>
      <c r="G114" s="839"/>
      <c r="H114" s="713" t="s">
        <v>5044</v>
      </c>
      <c r="I114" s="713" t="s">
        <v>901</v>
      </c>
      <c r="J114">
        <v>75.59</v>
      </c>
      <c r="K114" s="712">
        <v>0</v>
      </c>
      <c r="L114" s="712">
        <v>320630800</v>
      </c>
      <c r="M114" s="839"/>
      <c r="N114" s="713" t="s">
        <v>4946</v>
      </c>
      <c r="O114" s="713" t="s">
        <v>901</v>
      </c>
      <c r="P114">
        <v>57.5</v>
      </c>
      <c r="Q114" s="712">
        <v>0</v>
      </c>
      <c r="R114" s="712">
        <v>368000000</v>
      </c>
      <c r="S114" s="839"/>
      <c r="T114" s="713" t="s">
        <v>4874</v>
      </c>
      <c r="U114" s="713" t="s">
        <v>901</v>
      </c>
      <c r="V114">
        <v>60.91</v>
      </c>
      <c r="W114" s="712">
        <v>0</v>
      </c>
      <c r="X114" s="712">
        <v>289686000</v>
      </c>
      <c r="Y114" s="839"/>
      <c r="Z114" s="713" t="s">
        <v>5053</v>
      </c>
      <c r="AA114" s="713" t="s">
        <v>901</v>
      </c>
      <c r="AB114">
        <v>76.150000000000006</v>
      </c>
      <c r="AC114" s="712">
        <v>0</v>
      </c>
      <c r="AD114" s="712">
        <v>450124000</v>
      </c>
    </row>
    <row r="115" spans="1:30" x14ac:dyDescent="0.2">
      <c r="A115" s="839"/>
      <c r="B115" s="713" t="s">
        <v>4866</v>
      </c>
      <c r="C115" s="713" t="s">
        <v>901</v>
      </c>
      <c r="D115" s="710">
        <v>77.3</v>
      </c>
      <c r="E115" s="712">
        <v>0</v>
      </c>
      <c r="F115" s="712">
        <v>324474090</v>
      </c>
      <c r="G115" s="839"/>
      <c r="H115" s="713" t="s">
        <v>5045</v>
      </c>
      <c r="I115" s="713" t="s">
        <v>901</v>
      </c>
      <c r="J115">
        <v>75.91</v>
      </c>
      <c r="K115" s="712">
        <v>0</v>
      </c>
      <c r="L115" s="712">
        <v>323467400</v>
      </c>
      <c r="M115" s="839"/>
      <c r="N115" s="713" t="s">
        <v>4947</v>
      </c>
      <c r="O115" s="713" t="s">
        <v>901</v>
      </c>
      <c r="P115">
        <v>80.05</v>
      </c>
      <c r="Q115" s="712">
        <v>0</v>
      </c>
      <c r="R115" s="712">
        <v>493302500</v>
      </c>
      <c r="S115" s="839"/>
      <c r="T115" s="713" t="s">
        <v>4875</v>
      </c>
      <c r="U115" s="713" t="s">
        <v>901</v>
      </c>
      <c r="V115">
        <v>78.45</v>
      </c>
      <c r="W115" s="712">
        <v>0</v>
      </c>
      <c r="X115" s="712">
        <v>412901590</v>
      </c>
      <c r="Y115" s="839"/>
      <c r="Z115" s="713" t="s">
        <v>5054</v>
      </c>
      <c r="AA115" s="713" t="s">
        <v>901</v>
      </c>
      <c r="AB115">
        <v>75.5</v>
      </c>
      <c r="AC115" s="712">
        <v>0</v>
      </c>
      <c r="AD115" s="712">
        <v>446870000</v>
      </c>
    </row>
    <row r="116" spans="1:30" x14ac:dyDescent="0.2">
      <c r="A116" s="839"/>
      <c r="B116" s="713" t="s">
        <v>4867</v>
      </c>
      <c r="C116" s="713" t="s">
        <v>901</v>
      </c>
      <c r="D116" s="710">
        <v>60.8</v>
      </c>
      <c r="E116" s="712">
        <v>0</v>
      </c>
      <c r="F116" s="712">
        <v>255361803</v>
      </c>
      <c r="G116" s="839"/>
      <c r="H116" s="713" t="s">
        <v>5046</v>
      </c>
      <c r="I116" s="713" t="s">
        <v>901</v>
      </c>
      <c r="J116">
        <v>63.91</v>
      </c>
      <c r="K116" s="712">
        <v>0</v>
      </c>
      <c r="L116" s="712">
        <v>275065600</v>
      </c>
      <c r="M116" s="839"/>
      <c r="N116" s="713" t="s">
        <v>4948</v>
      </c>
      <c r="O116" s="713" t="s">
        <v>901</v>
      </c>
      <c r="P116">
        <v>59.7</v>
      </c>
      <c r="Q116" s="712">
        <v>0</v>
      </c>
      <c r="R116" s="712">
        <v>367200000</v>
      </c>
      <c r="S116" s="839"/>
      <c r="T116" s="713" t="s">
        <v>4876</v>
      </c>
      <c r="U116" s="713" t="s">
        <v>901</v>
      </c>
      <c r="V116">
        <v>78.400000000000006</v>
      </c>
      <c r="W116" s="712">
        <v>0</v>
      </c>
      <c r="X116" s="712">
        <v>391308000</v>
      </c>
      <c r="Y116" s="839"/>
      <c r="Z116" s="713" t="s">
        <v>5169</v>
      </c>
      <c r="AA116" s="713" t="s">
        <v>61</v>
      </c>
      <c r="AB116">
        <v>76.28</v>
      </c>
      <c r="AC116" s="712">
        <v>509320000</v>
      </c>
      <c r="AD116" s="712">
        <v>0</v>
      </c>
    </row>
    <row r="117" spans="1:30" x14ac:dyDescent="0.2">
      <c r="A117" s="839"/>
      <c r="B117" s="713" t="s">
        <v>4868</v>
      </c>
      <c r="C117" s="713" t="s">
        <v>901</v>
      </c>
      <c r="D117" s="710">
        <v>71.2</v>
      </c>
      <c r="E117" s="712">
        <v>0</v>
      </c>
      <c r="F117" s="712">
        <v>343135019</v>
      </c>
      <c r="G117" s="839"/>
      <c r="H117" s="713" t="s">
        <v>5066</v>
      </c>
      <c r="I117" s="713" t="s">
        <v>901</v>
      </c>
      <c r="J117">
        <v>76.13</v>
      </c>
      <c r="K117" s="712">
        <v>0</v>
      </c>
      <c r="L117" s="712">
        <v>323155600</v>
      </c>
      <c r="M117" s="839"/>
      <c r="N117" s="713" t="s">
        <v>4949</v>
      </c>
      <c r="O117" s="713" t="s">
        <v>901</v>
      </c>
      <c r="P117">
        <v>82.3</v>
      </c>
      <c r="Q117" s="712">
        <v>0</v>
      </c>
      <c r="R117" s="712">
        <v>560410000</v>
      </c>
      <c r="S117" s="839"/>
      <c r="T117" s="713" t="s">
        <v>4877</v>
      </c>
      <c r="U117" s="713" t="s">
        <v>901</v>
      </c>
      <c r="V117">
        <v>60.89</v>
      </c>
      <c r="W117" s="712">
        <v>0</v>
      </c>
      <c r="X117" s="712">
        <v>290029600</v>
      </c>
      <c r="Y117" s="839"/>
      <c r="Z117" s="713" t="s">
        <v>5055</v>
      </c>
      <c r="AA117" s="713" t="s">
        <v>901</v>
      </c>
      <c r="AB117">
        <v>64</v>
      </c>
      <c r="AC117" s="712">
        <v>0</v>
      </c>
      <c r="AD117" s="712">
        <v>373353892</v>
      </c>
    </row>
    <row r="118" spans="1:30" x14ac:dyDescent="0.2">
      <c r="A118" s="839"/>
      <c r="B118" s="713" t="s">
        <v>4887</v>
      </c>
      <c r="C118" s="713" t="s">
        <v>901</v>
      </c>
      <c r="D118" s="710">
        <v>71.95</v>
      </c>
      <c r="E118" s="712">
        <v>0</v>
      </c>
      <c r="F118" s="712">
        <v>302620000</v>
      </c>
      <c r="G118" s="839"/>
      <c r="H118" s="713" t="s">
        <v>5067</v>
      </c>
      <c r="I118" s="713" t="s">
        <v>901</v>
      </c>
      <c r="J118">
        <v>75.59</v>
      </c>
      <c r="K118" s="712">
        <v>0</v>
      </c>
      <c r="L118" s="712">
        <v>320930800</v>
      </c>
      <c r="M118" s="839"/>
      <c r="N118" s="713" t="s">
        <v>4969</v>
      </c>
      <c r="O118" s="713" t="s">
        <v>901</v>
      </c>
      <c r="P118">
        <v>80.349999999999994</v>
      </c>
      <c r="Q118" s="712">
        <v>0</v>
      </c>
      <c r="R118" s="712">
        <v>559845000</v>
      </c>
      <c r="S118" s="839"/>
      <c r="T118" s="713" t="s">
        <v>5140</v>
      </c>
      <c r="U118" s="713" t="s">
        <v>61</v>
      </c>
      <c r="V118">
        <v>71.900000000000006</v>
      </c>
      <c r="W118" s="712">
        <v>474720000</v>
      </c>
      <c r="X118" s="712">
        <v>0</v>
      </c>
      <c r="Y118" s="839"/>
      <c r="Z118" s="713" t="s">
        <v>5076</v>
      </c>
      <c r="AA118" s="713" t="s">
        <v>901</v>
      </c>
      <c r="AB118">
        <v>76.150000000000006</v>
      </c>
      <c r="AC118" s="712">
        <v>0</v>
      </c>
      <c r="AD118" s="712">
        <v>443770500</v>
      </c>
    </row>
    <row r="119" spans="1:30" x14ac:dyDescent="0.2">
      <c r="A119" s="839"/>
      <c r="B119" s="713" t="s">
        <v>4888</v>
      </c>
      <c r="C119" s="713" t="s">
        <v>901</v>
      </c>
      <c r="D119" s="710">
        <v>60.8</v>
      </c>
      <c r="E119" s="712">
        <v>0</v>
      </c>
      <c r="F119" s="712">
        <v>246213733</v>
      </c>
      <c r="G119" s="839"/>
      <c r="H119" s="713" t="s">
        <v>5068</v>
      </c>
      <c r="I119" s="713" t="s">
        <v>901</v>
      </c>
      <c r="J119">
        <v>76.3</v>
      </c>
      <c r="K119" s="712">
        <v>0</v>
      </c>
      <c r="L119" s="712">
        <v>323767400</v>
      </c>
      <c r="M119" s="839"/>
      <c r="N119" s="713" t="s">
        <v>4970</v>
      </c>
      <c r="O119" s="713" t="s">
        <v>901</v>
      </c>
      <c r="P119">
        <v>57.5</v>
      </c>
      <c r="Q119" s="712">
        <v>0</v>
      </c>
      <c r="R119" s="712">
        <v>368500000</v>
      </c>
      <c r="S119" s="839"/>
      <c r="T119" s="713" t="s">
        <v>4897</v>
      </c>
      <c r="U119" s="713" t="s">
        <v>901</v>
      </c>
      <c r="V119">
        <v>71.95</v>
      </c>
      <c r="W119" s="712">
        <v>0</v>
      </c>
      <c r="X119" s="712">
        <v>464285000</v>
      </c>
      <c r="Y119" s="839"/>
      <c r="Z119" s="713" t="s">
        <v>5077</v>
      </c>
      <c r="AA119" s="713" t="s">
        <v>901</v>
      </c>
      <c r="AB119">
        <v>75.5</v>
      </c>
      <c r="AC119" s="712">
        <v>0</v>
      </c>
      <c r="AD119" s="712">
        <v>467109469</v>
      </c>
    </row>
    <row r="120" spans="1:30" x14ac:dyDescent="0.2">
      <c r="A120" s="839"/>
      <c r="B120" s="713" t="s">
        <v>4889</v>
      </c>
      <c r="C120" s="713" t="s">
        <v>901</v>
      </c>
      <c r="D120" s="710">
        <v>77.3</v>
      </c>
      <c r="E120" s="712">
        <v>0</v>
      </c>
      <c r="F120" s="712">
        <v>314300000</v>
      </c>
      <c r="G120" s="839"/>
      <c r="H120" s="713" t="s">
        <v>5069</v>
      </c>
      <c r="I120" s="713" t="s">
        <v>901</v>
      </c>
      <c r="J120">
        <v>63.91</v>
      </c>
      <c r="K120" s="712">
        <v>0</v>
      </c>
      <c r="L120" s="712">
        <v>313711600</v>
      </c>
      <c r="M120" s="839"/>
      <c r="N120" s="713" t="s">
        <v>4971</v>
      </c>
      <c r="O120" s="713" t="s">
        <v>901</v>
      </c>
      <c r="P120">
        <v>80.05</v>
      </c>
      <c r="Q120" s="712">
        <v>0</v>
      </c>
      <c r="R120" s="712">
        <v>529825000</v>
      </c>
      <c r="S120" s="839"/>
      <c r="T120" s="713" t="s">
        <v>4898</v>
      </c>
      <c r="U120" s="713" t="s">
        <v>901</v>
      </c>
      <c r="V120">
        <v>60.91</v>
      </c>
      <c r="W120" s="712">
        <v>0</v>
      </c>
      <c r="X120" s="712">
        <v>290186000</v>
      </c>
      <c r="Y120" s="839"/>
      <c r="Z120" s="713" t="s">
        <v>5078</v>
      </c>
      <c r="AA120" s="713" t="s">
        <v>901</v>
      </c>
      <c r="AB120">
        <v>76.3</v>
      </c>
      <c r="AC120" s="712">
        <v>0</v>
      </c>
      <c r="AD120" s="712">
        <v>444516062</v>
      </c>
    </row>
    <row r="121" spans="1:30" x14ac:dyDescent="0.2">
      <c r="A121" s="839"/>
      <c r="B121" s="713" t="s">
        <v>4890</v>
      </c>
      <c r="C121" s="713" t="s">
        <v>901</v>
      </c>
      <c r="D121" s="710">
        <v>78.400000000000006</v>
      </c>
      <c r="E121" s="712">
        <v>0</v>
      </c>
      <c r="F121" s="712">
        <v>314447367</v>
      </c>
      <c r="G121" s="838" t="s">
        <v>5170</v>
      </c>
      <c r="H121" s="713" t="s">
        <v>5382</v>
      </c>
      <c r="I121" s="713" t="s">
        <v>901</v>
      </c>
      <c r="J121">
        <v>0</v>
      </c>
      <c r="K121" s="712">
        <v>0</v>
      </c>
      <c r="L121" s="712">
        <v>22000000</v>
      </c>
      <c r="M121" s="839"/>
      <c r="N121" s="713" t="s">
        <v>4972</v>
      </c>
      <c r="O121" s="713" t="s">
        <v>901</v>
      </c>
      <c r="P121">
        <v>59.7</v>
      </c>
      <c r="Q121" s="712">
        <v>0</v>
      </c>
      <c r="R121" s="712">
        <v>367700000</v>
      </c>
      <c r="S121" s="839"/>
      <c r="T121" s="713" t="s">
        <v>4899</v>
      </c>
      <c r="U121" s="713" t="s">
        <v>901</v>
      </c>
      <c r="V121">
        <v>77.87</v>
      </c>
      <c r="W121" s="712">
        <v>0</v>
      </c>
      <c r="X121" s="712">
        <v>369759400</v>
      </c>
      <c r="Y121" s="839"/>
      <c r="Z121" s="713" t="s">
        <v>5079</v>
      </c>
      <c r="AA121" s="713" t="s">
        <v>901</v>
      </c>
      <c r="AB121">
        <v>64</v>
      </c>
      <c r="AC121" s="712">
        <v>0</v>
      </c>
      <c r="AD121" s="712">
        <v>375875050</v>
      </c>
    </row>
    <row r="122" spans="1:30" x14ac:dyDescent="0.2">
      <c r="A122" s="839"/>
      <c r="B122" s="713" t="s">
        <v>4891</v>
      </c>
      <c r="C122" s="713" t="s">
        <v>901</v>
      </c>
      <c r="D122" s="710">
        <v>60.95</v>
      </c>
      <c r="E122" s="712">
        <v>0</v>
      </c>
      <c r="F122" s="712">
        <v>255706695</v>
      </c>
      <c r="G122" s="839"/>
      <c r="H122" s="713" t="s">
        <v>5192</v>
      </c>
      <c r="I122" s="713" t="s">
        <v>901</v>
      </c>
      <c r="J122">
        <v>0</v>
      </c>
      <c r="K122" s="712">
        <v>0</v>
      </c>
      <c r="L122" s="712">
        <v>22000000</v>
      </c>
      <c r="M122" s="839"/>
      <c r="N122" s="713" t="s">
        <v>4973</v>
      </c>
      <c r="O122" s="713" t="s">
        <v>901</v>
      </c>
      <c r="P122">
        <v>82.25</v>
      </c>
      <c r="Q122" s="712">
        <v>0</v>
      </c>
      <c r="R122" s="712">
        <v>503000000</v>
      </c>
      <c r="S122" s="839"/>
      <c r="T122" s="713" t="s">
        <v>4900</v>
      </c>
      <c r="U122" s="713" t="s">
        <v>901</v>
      </c>
      <c r="V122">
        <v>78.400000000000006</v>
      </c>
      <c r="W122" s="712">
        <v>0</v>
      </c>
      <c r="X122" s="712">
        <v>390240000</v>
      </c>
      <c r="Y122" s="839" t="s">
        <v>5170</v>
      </c>
      <c r="Z122" s="713" t="s">
        <v>6048</v>
      </c>
      <c r="AA122" s="713" t="s">
        <v>901</v>
      </c>
      <c r="AB122">
        <v>0</v>
      </c>
      <c r="AC122" s="712">
        <v>0</v>
      </c>
      <c r="AD122" s="712">
        <v>25000000</v>
      </c>
    </row>
    <row r="123" spans="1:30" x14ac:dyDescent="0.2">
      <c r="A123" s="839"/>
      <c r="B123" s="713" t="s">
        <v>4892</v>
      </c>
      <c r="C123" s="713" t="s">
        <v>901</v>
      </c>
      <c r="D123" s="710">
        <v>71.900000000000006</v>
      </c>
      <c r="E123" s="712">
        <v>0</v>
      </c>
      <c r="F123" s="712">
        <v>303245600</v>
      </c>
      <c r="G123" s="839"/>
      <c r="H123" s="713" t="s">
        <v>5383</v>
      </c>
      <c r="I123" s="713" t="s">
        <v>901</v>
      </c>
      <c r="J123">
        <v>0</v>
      </c>
      <c r="K123" s="712">
        <v>0</v>
      </c>
      <c r="L123" s="712">
        <v>22000000</v>
      </c>
      <c r="M123" s="839"/>
      <c r="N123" s="713" t="s">
        <v>4992</v>
      </c>
      <c r="O123" s="713" t="s">
        <v>901</v>
      </c>
      <c r="P123">
        <v>80.349999999999994</v>
      </c>
      <c r="Q123" s="712">
        <v>0</v>
      </c>
      <c r="R123" s="712">
        <v>544275000</v>
      </c>
      <c r="S123" s="839"/>
      <c r="T123" s="713" t="s">
        <v>4901</v>
      </c>
      <c r="U123" s="713" t="s">
        <v>901</v>
      </c>
      <c r="V123">
        <v>60.95</v>
      </c>
      <c r="W123" s="712">
        <v>0</v>
      </c>
      <c r="X123" s="712">
        <v>391985000</v>
      </c>
      <c r="Y123" s="839"/>
      <c r="Z123" s="713" t="s">
        <v>6049</v>
      </c>
      <c r="AA123" s="713" t="s">
        <v>901</v>
      </c>
      <c r="AB123">
        <v>0</v>
      </c>
      <c r="AC123" s="712">
        <v>0</v>
      </c>
      <c r="AD123" s="712">
        <v>37000000</v>
      </c>
    </row>
    <row r="124" spans="1:30" x14ac:dyDescent="0.2">
      <c r="A124" s="839"/>
      <c r="B124" s="713" t="s">
        <v>4911</v>
      </c>
      <c r="C124" s="713" t="s">
        <v>901</v>
      </c>
      <c r="D124" s="710">
        <v>71.95</v>
      </c>
      <c r="E124" s="712">
        <v>0</v>
      </c>
      <c r="F124" s="712">
        <v>262169830</v>
      </c>
      <c r="G124" s="839"/>
      <c r="H124" s="713" t="s">
        <v>5384</v>
      </c>
      <c r="I124" s="713" t="s">
        <v>901</v>
      </c>
      <c r="J124">
        <v>0</v>
      </c>
      <c r="K124" s="712">
        <v>0</v>
      </c>
      <c r="L124" s="712">
        <v>22000000</v>
      </c>
      <c r="M124" s="839"/>
      <c r="N124" s="713" t="s">
        <v>4993</v>
      </c>
      <c r="O124" s="713" t="s">
        <v>901</v>
      </c>
      <c r="P124">
        <v>57.65</v>
      </c>
      <c r="Q124" s="712">
        <v>0</v>
      </c>
      <c r="R124" s="712">
        <v>410255000</v>
      </c>
      <c r="S124" s="839"/>
      <c r="T124" s="713" t="s">
        <v>5141</v>
      </c>
      <c r="U124" s="713" t="s">
        <v>61</v>
      </c>
      <c r="V124">
        <v>71.900000000000006</v>
      </c>
      <c r="W124" s="712">
        <v>475220000</v>
      </c>
      <c r="X124" s="712">
        <v>0</v>
      </c>
      <c r="Y124" s="839"/>
      <c r="Z124" s="713" t="s">
        <v>6050</v>
      </c>
      <c r="AA124" s="713" t="s">
        <v>901</v>
      </c>
      <c r="AB124">
        <v>0</v>
      </c>
      <c r="AC124" s="712">
        <v>0</v>
      </c>
      <c r="AD124" s="712">
        <v>25000000</v>
      </c>
    </row>
    <row r="125" spans="1:30" x14ac:dyDescent="0.2">
      <c r="A125" s="839"/>
      <c r="B125" s="713" t="s">
        <v>4912</v>
      </c>
      <c r="C125" s="713" t="s">
        <v>901</v>
      </c>
      <c r="D125" s="710">
        <v>60.9</v>
      </c>
      <c r="E125" s="712">
        <v>0</v>
      </c>
      <c r="F125" s="712">
        <v>247300000</v>
      </c>
      <c r="G125" s="839"/>
      <c r="H125" s="713" t="s">
        <v>5385</v>
      </c>
      <c r="I125" s="713" t="s">
        <v>901</v>
      </c>
      <c r="J125">
        <v>0</v>
      </c>
      <c r="K125" s="712">
        <v>0</v>
      </c>
      <c r="L125" s="712">
        <v>22000000</v>
      </c>
      <c r="M125" s="839"/>
      <c r="N125" s="713" t="s">
        <v>4994</v>
      </c>
      <c r="O125" s="713" t="s">
        <v>901</v>
      </c>
      <c r="P125">
        <v>80.05</v>
      </c>
      <c r="Q125" s="712">
        <v>0</v>
      </c>
      <c r="R125" s="712">
        <v>506310000</v>
      </c>
      <c r="S125" s="839"/>
      <c r="T125" s="713" t="s">
        <v>4919</v>
      </c>
      <c r="U125" s="713" t="s">
        <v>901</v>
      </c>
      <c r="V125">
        <v>71.95</v>
      </c>
      <c r="W125" s="712">
        <v>0</v>
      </c>
      <c r="X125" s="712">
        <v>463785000</v>
      </c>
      <c r="Y125" s="839"/>
      <c r="Z125" s="713" t="s">
        <v>6051</v>
      </c>
      <c r="AA125" s="713" t="s">
        <v>901</v>
      </c>
      <c r="AB125">
        <v>0</v>
      </c>
      <c r="AC125" s="712">
        <v>0</v>
      </c>
      <c r="AD125" s="712">
        <v>25000000</v>
      </c>
    </row>
    <row r="126" spans="1:30" x14ac:dyDescent="0.2">
      <c r="A126" s="839"/>
      <c r="B126" s="713" t="s">
        <v>4913</v>
      </c>
      <c r="C126" s="713" t="s">
        <v>901</v>
      </c>
      <c r="D126" s="710">
        <v>78.349999999999994</v>
      </c>
      <c r="E126" s="712">
        <v>0</v>
      </c>
      <c r="F126" s="712">
        <v>323876000</v>
      </c>
      <c r="G126" s="839"/>
      <c r="H126" s="713" t="s">
        <v>5386</v>
      </c>
      <c r="I126" s="713" t="s">
        <v>901</v>
      </c>
      <c r="J126">
        <v>0</v>
      </c>
      <c r="K126" s="712">
        <v>0</v>
      </c>
      <c r="L126" s="712">
        <v>22000000</v>
      </c>
      <c r="M126" s="839"/>
      <c r="N126" s="713" t="s">
        <v>4995</v>
      </c>
      <c r="O126" s="713" t="s">
        <v>901</v>
      </c>
      <c r="P126">
        <v>60.4</v>
      </c>
      <c r="Q126" s="712">
        <v>0</v>
      </c>
      <c r="R126" s="712">
        <v>375420000</v>
      </c>
      <c r="S126" s="839"/>
      <c r="T126" s="713" t="s">
        <v>4920</v>
      </c>
      <c r="U126" s="713" t="s">
        <v>901</v>
      </c>
      <c r="V126">
        <v>60.91</v>
      </c>
      <c r="W126" s="712">
        <v>0</v>
      </c>
      <c r="X126" s="712">
        <v>296777000</v>
      </c>
      <c r="Y126" s="839"/>
      <c r="Z126" s="713" t="s">
        <v>6052</v>
      </c>
      <c r="AA126" s="713" t="s">
        <v>901</v>
      </c>
      <c r="AB126">
        <v>0</v>
      </c>
      <c r="AC126" s="712">
        <v>0</v>
      </c>
      <c r="AD126" s="712">
        <v>25000000</v>
      </c>
    </row>
    <row r="127" spans="1:30" x14ac:dyDescent="0.2">
      <c r="A127" s="839"/>
      <c r="B127" s="713" t="s">
        <v>4914</v>
      </c>
      <c r="C127" s="713" t="s">
        <v>901</v>
      </c>
      <c r="D127" s="710">
        <v>78.400000000000006</v>
      </c>
      <c r="E127" s="712">
        <v>0</v>
      </c>
      <c r="F127" s="712">
        <v>316600000</v>
      </c>
      <c r="G127" s="839"/>
      <c r="H127" s="713" t="s">
        <v>5387</v>
      </c>
      <c r="I127" s="713" t="s">
        <v>901</v>
      </c>
      <c r="J127">
        <v>0</v>
      </c>
      <c r="K127" s="712">
        <v>0</v>
      </c>
      <c r="L127" s="712">
        <v>22000000</v>
      </c>
      <c r="M127" s="839"/>
      <c r="N127" s="713" t="s">
        <v>4996</v>
      </c>
      <c r="O127" s="713" t="s">
        <v>901</v>
      </c>
      <c r="P127">
        <v>82.25</v>
      </c>
      <c r="Q127" s="712">
        <v>0</v>
      </c>
      <c r="R127" s="712">
        <v>503800000</v>
      </c>
      <c r="S127" s="839"/>
      <c r="T127" s="713" t="s">
        <v>4921</v>
      </c>
      <c r="U127" s="713" t="s">
        <v>901</v>
      </c>
      <c r="V127">
        <v>78.45</v>
      </c>
      <c r="W127" s="712">
        <v>0</v>
      </c>
      <c r="X127" s="712">
        <v>383137500</v>
      </c>
      <c r="Y127" s="839"/>
      <c r="Z127" s="713" t="s">
        <v>6053</v>
      </c>
      <c r="AA127" s="713" t="s">
        <v>901</v>
      </c>
      <c r="AB127">
        <v>0</v>
      </c>
      <c r="AC127" s="712">
        <v>0</v>
      </c>
      <c r="AD127" s="712">
        <v>25000000</v>
      </c>
    </row>
    <row r="128" spans="1:30" x14ac:dyDescent="0.2">
      <c r="A128" s="839"/>
      <c r="B128" s="713" t="s">
        <v>4915</v>
      </c>
      <c r="C128" s="713" t="s">
        <v>901</v>
      </c>
      <c r="D128" s="710">
        <v>60.8</v>
      </c>
      <c r="E128" s="712">
        <v>0</v>
      </c>
      <c r="F128" s="712">
        <v>249637525</v>
      </c>
      <c r="G128" s="839"/>
      <c r="H128" s="713" t="s">
        <v>5388</v>
      </c>
      <c r="I128" s="713" t="s">
        <v>901</v>
      </c>
      <c r="J128">
        <v>0</v>
      </c>
      <c r="K128" s="712">
        <v>0</v>
      </c>
      <c r="L128" s="712">
        <v>22000000</v>
      </c>
      <c r="M128" s="839"/>
      <c r="N128" s="713" t="s">
        <v>5014</v>
      </c>
      <c r="O128" s="713" t="s">
        <v>901</v>
      </c>
      <c r="P128">
        <v>80.349999999999994</v>
      </c>
      <c r="Q128" s="712">
        <v>0</v>
      </c>
      <c r="R128" s="712">
        <v>508617500</v>
      </c>
      <c r="S128" s="839"/>
      <c r="T128" s="713" t="s">
        <v>4922</v>
      </c>
      <c r="U128" s="713" t="s">
        <v>901</v>
      </c>
      <c r="V128">
        <v>77.98</v>
      </c>
      <c r="W128" s="712">
        <v>0</v>
      </c>
      <c r="X128" s="712">
        <v>410340000</v>
      </c>
      <c r="Y128" s="839"/>
      <c r="Z128" s="713" t="s">
        <v>6054</v>
      </c>
      <c r="AA128" s="713" t="s">
        <v>901</v>
      </c>
      <c r="AB128">
        <v>0</v>
      </c>
      <c r="AC128" s="712">
        <v>0</v>
      </c>
      <c r="AD128" s="712">
        <v>25000000</v>
      </c>
    </row>
    <row r="129" spans="1:30" x14ac:dyDescent="0.2">
      <c r="A129" s="839"/>
      <c r="B129" s="713" t="s">
        <v>4916</v>
      </c>
      <c r="C129" s="713" t="s">
        <v>901</v>
      </c>
      <c r="D129" s="710">
        <v>71.900000000000006</v>
      </c>
      <c r="E129" s="712">
        <v>0</v>
      </c>
      <c r="F129" s="712">
        <v>346010476</v>
      </c>
      <c r="G129" s="839"/>
      <c r="H129" s="713" t="s">
        <v>5389</v>
      </c>
      <c r="I129" s="713" t="s">
        <v>901</v>
      </c>
      <c r="J129">
        <v>0</v>
      </c>
      <c r="K129" s="712">
        <v>0</v>
      </c>
      <c r="L129" s="712">
        <v>27000000</v>
      </c>
      <c r="M129" s="839"/>
      <c r="N129" s="713" t="s">
        <v>5015</v>
      </c>
      <c r="O129" s="713" t="s">
        <v>901</v>
      </c>
      <c r="P129">
        <v>57.65</v>
      </c>
      <c r="Q129" s="712">
        <v>0</v>
      </c>
      <c r="R129" s="712">
        <v>399225000</v>
      </c>
      <c r="S129" s="839"/>
      <c r="T129" s="713" t="s">
        <v>4923</v>
      </c>
      <c r="U129" s="713" t="s">
        <v>901</v>
      </c>
      <c r="V129">
        <v>60.95</v>
      </c>
      <c r="W129" s="712">
        <v>0</v>
      </c>
      <c r="X129" s="712">
        <v>392107000</v>
      </c>
      <c r="Y129" s="839"/>
      <c r="Z129" s="713" t="s">
        <v>6055</v>
      </c>
      <c r="AA129" s="713" t="s">
        <v>901</v>
      </c>
      <c r="AB129">
        <v>0</v>
      </c>
      <c r="AC129" s="712">
        <v>0</v>
      </c>
      <c r="AD129" s="712">
        <v>25000000</v>
      </c>
    </row>
    <row r="130" spans="1:30" x14ac:dyDescent="0.2">
      <c r="A130" s="839"/>
      <c r="B130" s="713" t="s">
        <v>4933</v>
      </c>
      <c r="C130" s="713" t="s">
        <v>901</v>
      </c>
      <c r="D130" s="710">
        <v>71.95</v>
      </c>
      <c r="E130" s="712">
        <v>0</v>
      </c>
      <c r="F130" s="712">
        <v>281598258</v>
      </c>
      <c r="G130" s="839"/>
      <c r="H130" s="713" t="s">
        <v>5390</v>
      </c>
      <c r="I130" s="713" t="s">
        <v>901</v>
      </c>
      <c r="J130">
        <v>0</v>
      </c>
      <c r="K130" s="712">
        <v>0</v>
      </c>
      <c r="L130" s="712">
        <v>27000000</v>
      </c>
      <c r="M130" s="839"/>
      <c r="N130" s="713" t="s">
        <v>5016</v>
      </c>
      <c r="O130" s="713" t="s">
        <v>901</v>
      </c>
      <c r="P130">
        <v>79.260000000000005</v>
      </c>
      <c r="Q130" s="712">
        <v>0</v>
      </c>
      <c r="R130" s="712">
        <v>490800000</v>
      </c>
      <c r="S130" s="839"/>
      <c r="T130" s="713" t="s">
        <v>5142</v>
      </c>
      <c r="U130" s="713" t="s">
        <v>61</v>
      </c>
      <c r="V130">
        <v>71.900000000000006</v>
      </c>
      <c r="W130" s="712">
        <v>475720000</v>
      </c>
      <c r="X130" s="712">
        <v>0</v>
      </c>
      <c r="Y130" s="839"/>
      <c r="Z130" s="713" t="s">
        <v>6056</v>
      </c>
      <c r="AA130" s="713" t="s">
        <v>901</v>
      </c>
      <c r="AB130">
        <v>0</v>
      </c>
      <c r="AC130" s="712">
        <v>0</v>
      </c>
      <c r="AD130" s="712">
        <v>25000000</v>
      </c>
    </row>
    <row r="131" spans="1:30" x14ac:dyDescent="0.2">
      <c r="A131" s="839"/>
      <c r="B131" s="713" t="s">
        <v>4934</v>
      </c>
      <c r="C131" s="713" t="s">
        <v>901</v>
      </c>
      <c r="D131" s="710">
        <v>60.8</v>
      </c>
      <c r="E131" s="712">
        <v>0</v>
      </c>
      <c r="F131" s="712">
        <v>218818349</v>
      </c>
      <c r="G131" s="839"/>
      <c r="H131" s="713" t="s">
        <v>5391</v>
      </c>
      <c r="I131" s="713" t="s">
        <v>901</v>
      </c>
      <c r="J131">
        <v>0</v>
      </c>
      <c r="K131" s="712">
        <v>0</v>
      </c>
      <c r="L131" s="712">
        <v>27000000</v>
      </c>
      <c r="M131" s="839"/>
      <c r="N131" s="713" t="s">
        <v>5017</v>
      </c>
      <c r="O131" s="713" t="s">
        <v>901</v>
      </c>
      <c r="P131">
        <v>60.4</v>
      </c>
      <c r="Q131" s="712">
        <v>0</v>
      </c>
      <c r="R131" s="712">
        <v>375920000</v>
      </c>
      <c r="S131" s="839"/>
      <c r="T131" s="713" t="s">
        <v>5143</v>
      </c>
      <c r="U131" s="713" t="s">
        <v>61</v>
      </c>
      <c r="V131">
        <v>71.95</v>
      </c>
      <c r="W131" s="712">
        <v>478675000</v>
      </c>
      <c r="X131" s="712">
        <v>0</v>
      </c>
      <c r="Y131" s="839"/>
      <c r="Z131" s="713" t="s">
        <v>6057</v>
      </c>
      <c r="AA131" s="713" t="s">
        <v>901</v>
      </c>
      <c r="AB131">
        <v>0</v>
      </c>
      <c r="AC131" s="712">
        <v>0</v>
      </c>
      <c r="AD131" s="712">
        <v>25000000</v>
      </c>
    </row>
    <row r="132" spans="1:30" x14ac:dyDescent="0.2">
      <c r="A132" s="839"/>
      <c r="B132" s="713" t="s">
        <v>4935</v>
      </c>
      <c r="C132" s="713" t="s">
        <v>901</v>
      </c>
      <c r="D132" s="710">
        <v>77.3</v>
      </c>
      <c r="E132" s="712">
        <v>0</v>
      </c>
      <c r="F132" s="712">
        <v>324176000</v>
      </c>
      <c r="G132" s="839"/>
      <c r="H132" s="713" t="s">
        <v>5392</v>
      </c>
      <c r="I132" s="713" t="s">
        <v>901</v>
      </c>
      <c r="J132">
        <v>0</v>
      </c>
      <c r="K132" s="712">
        <v>0</v>
      </c>
      <c r="L132" s="712">
        <v>27000000</v>
      </c>
      <c r="M132" s="839"/>
      <c r="N132" s="713" t="s">
        <v>5018</v>
      </c>
      <c r="O132" s="713" t="s">
        <v>901</v>
      </c>
      <c r="P132">
        <v>82.25</v>
      </c>
      <c r="Q132" s="712">
        <v>0</v>
      </c>
      <c r="R132" s="712">
        <v>504000000</v>
      </c>
      <c r="S132" s="839"/>
      <c r="T132" s="713" t="s">
        <v>4941</v>
      </c>
      <c r="U132" s="713" t="s">
        <v>901</v>
      </c>
      <c r="V132">
        <v>60.91</v>
      </c>
      <c r="W132" s="712">
        <v>0</v>
      </c>
      <c r="X132" s="712">
        <v>292404200</v>
      </c>
      <c r="Y132" s="839"/>
      <c r="Z132" s="713" t="s">
        <v>6058</v>
      </c>
      <c r="AA132" s="713" t="s">
        <v>901</v>
      </c>
      <c r="AB132">
        <v>0</v>
      </c>
      <c r="AC132" s="712">
        <v>0</v>
      </c>
      <c r="AD132" s="712">
        <v>25000000</v>
      </c>
    </row>
    <row r="133" spans="1:30" x14ac:dyDescent="0.2">
      <c r="A133" s="839"/>
      <c r="B133" s="713" t="s">
        <v>4936</v>
      </c>
      <c r="C133" s="713" t="s">
        <v>901</v>
      </c>
      <c r="D133" s="710">
        <v>77.3</v>
      </c>
      <c r="E133" s="712">
        <v>0</v>
      </c>
      <c r="F133" s="712">
        <v>316900000</v>
      </c>
      <c r="G133" s="839"/>
      <c r="H133" s="713" t="s">
        <v>5393</v>
      </c>
      <c r="I133" s="713" t="s">
        <v>901</v>
      </c>
      <c r="J133">
        <v>0</v>
      </c>
      <c r="K133" s="712">
        <v>0</v>
      </c>
      <c r="L133" s="712">
        <v>27000000</v>
      </c>
      <c r="M133" s="839"/>
      <c r="N133" s="713" t="s">
        <v>5038</v>
      </c>
      <c r="O133" s="713" t="s">
        <v>901</v>
      </c>
      <c r="P133">
        <v>80.3</v>
      </c>
      <c r="Q133" s="712">
        <v>0</v>
      </c>
      <c r="R133" s="712">
        <v>509219901</v>
      </c>
      <c r="S133" s="839"/>
      <c r="T133" s="713" t="s">
        <v>4942</v>
      </c>
      <c r="U133" s="713" t="s">
        <v>901</v>
      </c>
      <c r="V133">
        <v>78.45</v>
      </c>
      <c r="W133" s="712">
        <v>0</v>
      </c>
      <c r="X133" s="712">
        <v>383637500</v>
      </c>
      <c r="Y133" s="839"/>
      <c r="Z133" s="713" t="s">
        <v>6059</v>
      </c>
      <c r="AA133" s="713" t="s">
        <v>901</v>
      </c>
      <c r="AB133">
        <v>0</v>
      </c>
      <c r="AC133" s="712">
        <v>0</v>
      </c>
      <c r="AD133" s="712">
        <v>25000000</v>
      </c>
    </row>
    <row r="134" spans="1:30" x14ac:dyDescent="0.2">
      <c r="A134" s="839"/>
      <c r="B134" s="713" t="s">
        <v>4937</v>
      </c>
      <c r="C134" s="713" t="s">
        <v>901</v>
      </c>
      <c r="D134" s="710">
        <v>60.95</v>
      </c>
      <c r="E134" s="712">
        <v>0</v>
      </c>
      <c r="F134" s="712">
        <v>258469228</v>
      </c>
      <c r="G134" s="839"/>
      <c r="H134" s="713" t="s">
        <v>5394</v>
      </c>
      <c r="I134" s="713" t="s">
        <v>901</v>
      </c>
      <c r="J134">
        <v>0</v>
      </c>
      <c r="K134" s="712">
        <v>0</v>
      </c>
      <c r="L134" s="712">
        <v>27000000</v>
      </c>
      <c r="M134" s="839"/>
      <c r="N134" s="713" t="s">
        <v>5039</v>
      </c>
      <c r="O134" s="713" t="s">
        <v>901</v>
      </c>
      <c r="P134">
        <v>57.65</v>
      </c>
      <c r="Q134" s="712">
        <v>0</v>
      </c>
      <c r="R134" s="712">
        <v>411255000</v>
      </c>
      <c r="S134" s="839"/>
      <c r="T134" s="713" t="s">
        <v>4943</v>
      </c>
      <c r="U134" s="713" t="s">
        <v>901</v>
      </c>
      <c r="V134">
        <v>77.98</v>
      </c>
      <c r="W134" s="712">
        <v>0</v>
      </c>
      <c r="X134" s="712">
        <v>377130000</v>
      </c>
      <c r="Y134" s="839"/>
      <c r="Z134" s="713" t="s">
        <v>6060</v>
      </c>
      <c r="AA134" s="713" t="s">
        <v>901</v>
      </c>
      <c r="AB134">
        <v>0</v>
      </c>
      <c r="AC134" s="712">
        <v>0</v>
      </c>
      <c r="AD134" s="712">
        <v>25000000</v>
      </c>
    </row>
    <row r="135" spans="1:30" x14ac:dyDescent="0.2">
      <c r="A135" s="839"/>
      <c r="B135" s="713" t="s">
        <v>4938</v>
      </c>
      <c r="C135" s="713" t="s">
        <v>901</v>
      </c>
      <c r="D135" s="710">
        <v>71.2</v>
      </c>
      <c r="E135" s="712">
        <v>0</v>
      </c>
      <c r="F135" s="712">
        <v>302547078</v>
      </c>
      <c r="G135" s="839"/>
      <c r="H135" s="713" t="s">
        <v>5395</v>
      </c>
      <c r="I135" s="713" t="s">
        <v>901</v>
      </c>
      <c r="J135">
        <v>0</v>
      </c>
      <c r="K135" s="712">
        <v>0</v>
      </c>
      <c r="L135" s="712">
        <v>27000000</v>
      </c>
      <c r="M135" s="839"/>
      <c r="N135" s="713" t="s">
        <v>5040</v>
      </c>
      <c r="O135" s="713" t="s">
        <v>901</v>
      </c>
      <c r="P135">
        <v>79.260000000000005</v>
      </c>
      <c r="Q135" s="712">
        <v>0</v>
      </c>
      <c r="R135" s="712">
        <v>547335000</v>
      </c>
      <c r="S135" s="839"/>
      <c r="T135" s="713" t="s">
        <v>4944</v>
      </c>
      <c r="U135" s="713" t="s">
        <v>901</v>
      </c>
      <c r="V135">
        <v>60.95</v>
      </c>
      <c r="W135" s="712">
        <v>0</v>
      </c>
      <c r="X135" s="712">
        <v>321673698</v>
      </c>
      <c r="Y135" s="839"/>
      <c r="Z135" s="713" t="s">
        <v>6061</v>
      </c>
      <c r="AA135" s="713" t="s">
        <v>901</v>
      </c>
      <c r="AB135">
        <v>0</v>
      </c>
      <c r="AC135" s="712">
        <v>0</v>
      </c>
      <c r="AD135" s="712">
        <v>25000000</v>
      </c>
    </row>
    <row r="136" spans="1:30" x14ac:dyDescent="0.2">
      <c r="A136" s="839"/>
      <c r="B136" s="713" t="s">
        <v>4954</v>
      </c>
      <c r="C136" s="713" t="s">
        <v>901</v>
      </c>
      <c r="D136" s="710">
        <v>71.95</v>
      </c>
      <c r="E136" s="712">
        <v>0</v>
      </c>
      <c r="F136" s="712">
        <v>285140067</v>
      </c>
      <c r="G136" s="839"/>
      <c r="H136" s="713" t="s">
        <v>5396</v>
      </c>
      <c r="I136" s="713" t="s">
        <v>901</v>
      </c>
      <c r="J136">
        <v>0</v>
      </c>
      <c r="K136" s="712">
        <v>0</v>
      </c>
      <c r="L136" s="712">
        <v>27000000</v>
      </c>
      <c r="M136" s="839"/>
      <c r="N136" s="713" t="s">
        <v>5041</v>
      </c>
      <c r="O136" s="713" t="s">
        <v>901</v>
      </c>
      <c r="P136">
        <v>59.7</v>
      </c>
      <c r="Q136" s="712">
        <v>0</v>
      </c>
      <c r="R136" s="712">
        <v>376372116</v>
      </c>
      <c r="S136" s="839"/>
      <c r="T136" s="713" t="s">
        <v>5144</v>
      </c>
      <c r="U136" s="713" t="s">
        <v>61</v>
      </c>
      <c r="V136">
        <v>71.900000000000006</v>
      </c>
      <c r="W136" s="712">
        <v>476220000</v>
      </c>
      <c r="X136" s="712">
        <v>0</v>
      </c>
      <c r="Y136" s="839"/>
      <c r="Z136" s="713" t="s">
        <v>6062</v>
      </c>
      <c r="AA136" s="713" t="s">
        <v>901</v>
      </c>
      <c r="AB136">
        <v>0</v>
      </c>
      <c r="AC136" s="712">
        <v>0</v>
      </c>
      <c r="AD136" s="712">
        <v>25000000</v>
      </c>
    </row>
    <row r="137" spans="1:30" x14ac:dyDescent="0.2">
      <c r="A137" s="839"/>
      <c r="B137" s="713" t="s">
        <v>4955</v>
      </c>
      <c r="C137" s="713" t="s">
        <v>901</v>
      </c>
      <c r="D137" s="710">
        <v>60.8</v>
      </c>
      <c r="E137" s="712">
        <v>0</v>
      </c>
      <c r="F137" s="712">
        <v>251864929</v>
      </c>
      <c r="G137" s="839"/>
      <c r="H137" s="713" t="s">
        <v>5397</v>
      </c>
      <c r="I137" s="713" t="s">
        <v>901</v>
      </c>
      <c r="J137">
        <v>0</v>
      </c>
      <c r="K137" s="712">
        <v>0</v>
      </c>
      <c r="L137" s="712">
        <v>27000000</v>
      </c>
      <c r="M137" s="839"/>
      <c r="N137" s="713" t="s">
        <v>5042</v>
      </c>
      <c r="O137" s="713" t="s">
        <v>901</v>
      </c>
      <c r="P137">
        <v>82.25</v>
      </c>
      <c r="Q137" s="712">
        <v>0</v>
      </c>
      <c r="R137" s="712">
        <v>504500000</v>
      </c>
      <c r="S137" s="839"/>
      <c r="T137" s="713" t="s">
        <v>4963</v>
      </c>
      <c r="U137" s="713" t="s">
        <v>901</v>
      </c>
      <c r="V137">
        <v>71.95</v>
      </c>
      <c r="W137" s="712">
        <v>0</v>
      </c>
      <c r="X137" s="712">
        <v>361821765</v>
      </c>
      <c r="Y137" s="839"/>
      <c r="Z137" s="713" t="s">
        <v>6063</v>
      </c>
      <c r="AA137" s="713" t="s">
        <v>901</v>
      </c>
      <c r="AB137">
        <v>0</v>
      </c>
      <c r="AC137" s="712">
        <v>0</v>
      </c>
      <c r="AD137" s="712">
        <v>25000000</v>
      </c>
    </row>
    <row r="138" spans="1:30" x14ac:dyDescent="0.2">
      <c r="A138" s="839"/>
      <c r="B138" s="713" t="s">
        <v>4956</v>
      </c>
      <c r="C138" s="713" t="s">
        <v>901</v>
      </c>
      <c r="D138" s="710">
        <v>77.3</v>
      </c>
      <c r="E138" s="712">
        <v>0</v>
      </c>
      <c r="F138" s="712">
        <v>325608351</v>
      </c>
      <c r="G138" s="839"/>
      <c r="H138" s="713" t="s">
        <v>5398</v>
      </c>
      <c r="I138" s="713" t="s">
        <v>901</v>
      </c>
      <c r="J138">
        <v>0</v>
      </c>
      <c r="K138" s="712">
        <v>0</v>
      </c>
      <c r="L138" s="712">
        <v>22000000</v>
      </c>
      <c r="M138" s="839"/>
      <c r="N138" s="713" t="s">
        <v>5061</v>
      </c>
      <c r="O138" s="713" t="s">
        <v>901</v>
      </c>
      <c r="P138">
        <v>80.3</v>
      </c>
      <c r="Q138" s="712">
        <v>0</v>
      </c>
      <c r="R138" s="712">
        <v>505300000</v>
      </c>
      <c r="S138" s="839"/>
      <c r="T138" s="713" t="s">
        <v>4964</v>
      </c>
      <c r="U138" s="713" t="s">
        <v>901</v>
      </c>
      <c r="V138">
        <v>60.91</v>
      </c>
      <c r="W138" s="712">
        <v>0</v>
      </c>
      <c r="X138" s="712">
        <v>291686000</v>
      </c>
      <c r="Y138" s="839"/>
      <c r="Z138" s="713" t="s">
        <v>6064</v>
      </c>
      <c r="AA138" s="713" t="s">
        <v>901</v>
      </c>
      <c r="AB138">
        <v>0</v>
      </c>
      <c r="AC138" s="712">
        <v>0</v>
      </c>
      <c r="AD138" s="712">
        <v>25000000</v>
      </c>
    </row>
    <row r="139" spans="1:30" x14ac:dyDescent="0.2">
      <c r="A139" s="839"/>
      <c r="B139" s="713" t="s">
        <v>4957</v>
      </c>
      <c r="C139" s="713" t="s">
        <v>901</v>
      </c>
      <c r="D139" s="710">
        <v>78.400000000000006</v>
      </c>
      <c r="E139" s="712">
        <v>0</v>
      </c>
      <c r="F139" s="712">
        <v>313733421</v>
      </c>
      <c r="G139" s="839"/>
      <c r="H139" s="713" t="s">
        <v>5399</v>
      </c>
      <c r="I139" s="713" t="s">
        <v>901</v>
      </c>
      <c r="J139">
        <v>0</v>
      </c>
      <c r="K139" s="712">
        <v>0</v>
      </c>
      <c r="L139" s="712">
        <v>22000000</v>
      </c>
      <c r="M139" s="839"/>
      <c r="N139" s="713" t="s">
        <v>5062</v>
      </c>
      <c r="O139" s="713" t="s">
        <v>901</v>
      </c>
      <c r="P139">
        <v>57.5</v>
      </c>
      <c r="Q139" s="712">
        <v>0</v>
      </c>
      <c r="R139" s="712">
        <v>370500000</v>
      </c>
      <c r="S139" s="839"/>
      <c r="T139" s="713" t="s">
        <v>4965</v>
      </c>
      <c r="U139" s="713" t="s">
        <v>901</v>
      </c>
      <c r="V139">
        <v>78.45</v>
      </c>
      <c r="W139" s="712">
        <v>0</v>
      </c>
      <c r="X139" s="712">
        <v>384465915</v>
      </c>
      <c r="Y139" s="839"/>
      <c r="Z139" s="713" t="s">
        <v>6065</v>
      </c>
      <c r="AA139" s="713" t="s">
        <v>901</v>
      </c>
      <c r="AB139">
        <v>0</v>
      </c>
      <c r="AC139" s="712">
        <v>0</v>
      </c>
      <c r="AD139" s="712">
        <v>25000000</v>
      </c>
    </row>
    <row r="140" spans="1:30" x14ac:dyDescent="0.2">
      <c r="A140" s="839"/>
      <c r="B140" s="713" t="s">
        <v>4958</v>
      </c>
      <c r="C140" s="713" t="s">
        <v>901</v>
      </c>
      <c r="D140" s="710">
        <v>60.8</v>
      </c>
      <c r="E140" s="712">
        <v>0</v>
      </c>
      <c r="F140" s="712">
        <v>256672000</v>
      </c>
      <c r="G140" s="839"/>
      <c r="H140" s="713" t="s">
        <v>5400</v>
      </c>
      <c r="I140" s="713" t="s">
        <v>901</v>
      </c>
      <c r="J140">
        <v>0</v>
      </c>
      <c r="K140" s="712">
        <v>0</v>
      </c>
      <c r="L140" s="712">
        <v>22000000</v>
      </c>
      <c r="M140" s="839"/>
      <c r="N140" s="713" t="s">
        <v>5063</v>
      </c>
      <c r="O140" s="713" t="s">
        <v>901</v>
      </c>
      <c r="P140">
        <v>79.260000000000005</v>
      </c>
      <c r="Q140" s="712">
        <v>0</v>
      </c>
      <c r="R140" s="712">
        <v>487060000</v>
      </c>
      <c r="S140" s="839"/>
      <c r="T140" s="713" t="s">
        <v>4966</v>
      </c>
      <c r="U140" s="713" t="s">
        <v>901</v>
      </c>
      <c r="V140">
        <v>77.98</v>
      </c>
      <c r="W140" s="712">
        <v>0</v>
      </c>
      <c r="X140" s="712">
        <v>394092000</v>
      </c>
      <c r="Y140" s="839"/>
      <c r="Z140" s="713" t="s">
        <v>6066</v>
      </c>
      <c r="AA140" s="713" t="s">
        <v>901</v>
      </c>
      <c r="AB140">
        <v>0</v>
      </c>
      <c r="AC140" s="712">
        <v>0</v>
      </c>
      <c r="AD140" s="712">
        <v>25000000</v>
      </c>
    </row>
    <row r="141" spans="1:30" x14ac:dyDescent="0.2">
      <c r="A141" s="839"/>
      <c r="B141" s="713" t="s">
        <v>4959</v>
      </c>
      <c r="C141" s="713" t="s">
        <v>901</v>
      </c>
      <c r="D141" s="710">
        <v>71.2</v>
      </c>
      <c r="E141" s="712">
        <v>0</v>
      </c>
      <c r="F141" s="712">
        <v>301203680</v>
      </c>
      <c r="G141" s="839"/>
      <c r="H141" s="713" t="s">
        <v>5401</v>
      </c>
      <c r="I141" s="713" t="s">
        <v>901</v>
      </c>
      <c r="J141">
        <v>0</v>
      </c>
      <c r="K141" s="712">
        <v>0</v>
      </c>
      <c r="L141" s="712">
        <v>22000000</v>
      </c>
      <c r="M141" s="839"/>
      <c r="N141" s="713" t="s">
        <v>5064</v>
      </c>
      <c r="O141" s="713" t="s">
        <v>901</v>
      </c>
      <c r="P141">
        <v>59.7</v>
      </c>
      <c r="Q141" s="712">
        <v>0</v>
      </c>
      <c r="R141" s="712">
        <v>375674266</v>
      </c>
      <c r="S141" s="839"/>
      <c r="T141" s="713" t="s">
        <v>4967</v>
      </c>
      <c r="U141" s="713" t="s">
        <v>901</v>
      </c>
      <c r="V141">
        <v>60.95</v>
      </c>
      <c r="W141" s="712">
        <v>0</v>
      </c>
      <c r="X141" s="712">
        <v>299012500</v>
      </c>
      <c r="Y141" s="839"/>
      <c r="Z141" s="713" t="s">
        <v>6067</v>
      </c>
      <c r="AA141" s="713" t="s">
        <v>901</v>
      </c>
      <c r="AB141">
        <v>0</v>
      </c>
      <c r="AC141" s="712">
        <v>0</v>
      </c>
      <c r="AD141" s="712">
        <v>25000000</v>
      </c>
    </row>
    <row r="142" spans="1:30" x14ac:dyDescent="0.2">
      <c r="A142" s="839"/>
      <c r="B142" s="713" t="s">
        <v>4977</v>
      </c>
      <c r="C142" s="713" t="s">
        <v>901</v>
      </c>
      <c r="D142" s="710">
        <v>71.95</v>
      </c>
      <c r="E142" s="712">
        <v>0</v>
      </c>
      <c r="F142" s="712">
        <v>296998348</v>
      </c>
      <c r="G142" s="839"/>
      <c r="H142" s="713" t="s">
        <v>5402</v>
      </c>
      <c r="I142" s="713" t="s">
        <v>901</v>
      </c>
      <c r="J142">
        <v>0</v>
      </c>
      <c r="K142" s="712">
        <v>0</v>
      </c>
      <c r="L142" s="712">
        <v>22000000</v>
      </c>
      <c r="M142" s="839"/>
      <c r="N142" s="713" t="s">
        <v>5065</v>
      </c>
      <c r="O142" s="713" t="s">
        <v>901</v>
      </c>
      <c r="P142">
        <v>82.25</v>
      </c>
      <c r="Q142" s="712">
        <v>0</v>
      </c>
      <c r="R142" s="712">
        <v>509112500</v>
      </c>
      <c r="S142" s="839"/>
      <c r="T142" s="713" t="s">
        <v>4968</v>
      </c>
      <c r="U142" s="713" t="s">
        <v>901</v>
      </c>
      <c r="V142">
        <v>71.900000000000006</v>
      </c>
      <c r="W142" s="712">
        <v>0</v>
      </c>
      <c r="X142" s="712">
        <v>421535969</v>
      </c>
      <c r="Y142" s="839"/>
      <c r="Z142" s="713" t="s">
        <v>5468</v>
      </c>
      <c r="AA142" s="713" t="s">
        <v>901</v>
      </c>
      <c r="AB142">
        <v>0</v>
      </c>
      <c r="AC142" s="712">
        <v>0</v>
      </c>
      <c r="AD142" s="712">
        <v>25000000</v>
      </c>
    </row>
    <row r="143" spans="1:30" x14ac:dyDescent="0.2">
      <c r="A143" s="839"/>
      <c r="B143" s="713" t="s">
        <v>4978</v>
      </c>
      <c r="C143" s="713" t="s">
        <v>901</v>
      </c>
      <c r="D143" s="710">
        <v>60.9</v>
      </c>
      <c r="E143" s="712">
        <v>0</v>
      </c>
      <c r="F143" s="712">
        <v>242480400</v>
      </c>
      <c r="G143" s="839"/>
      <c r="H143" s="713" t="s">
        <v>5403</v>
      </c>
      <c r="I143" s="713" t="s">
        <v>901</v>
      </c>
      <c r="J143">
        <v>0</v>
      </c>
      <c r="K143" s="712">
        <v>0</v>
      </c>
      <c r="L143" s="712">
        <v>22000000</v>
      </c>
      <c r="M143" s="839"/>
      <c r="N143" s="713" t="s">
        <v>5084</v>
      </c>
      <c r="O143" s="713" t="s">
        <v>901</v>
      </c>
      <c r="P143">
        <v>80.349999999999994</v>
      </c>
      <c r="Q143" s="712">
        <v>0</v>
      </c>
      <c r="R143" s="712">
        <v>562345000</v>
      </c>
      <c r="S143" s="839"/>
      <c r="T143" s="713" t="s">
        <v>5145</v>
      </c>
      <c r="U143" s="713" t="s">
        <v>61</v>
      </c>
      <c r="V143">
        <v>71.95</v>
      </c>
      <c r="W143" s="712">
        <v>479675000</v>
      </c>
      <c r="X143" s="712">
        <v>0</v>
      </c>
      <c r="Y143" s="839"/>
      <c r="Z143" s="713" t="s">
        <v>6068</v>
      </c>
      <c r="AA143" s="713" t="s">
        <v>61</v>
      </c>
      <c r="AB143">
        <v>0</v>
      </c>
      <c r="AC143" s="712">
        <v>25000000</v>
      </c>
      <c r="AD143" s="712">
        <v>0</v>
      </c>
    </row>
    <row r="144" spans="1:30" x14ac:dyDescent="0.2">
      <c r="A144" s="839"/>
      <c r="B144" s="713" t="s">
        <v>4979</v>
      </c>
      <c r="C144" s="713" t="s">
        <v>901</v>
      </c>
      <c r="D144" s="710">
        <v>78.650000000000006</v>
      </c>
      <c r="E144" s="712">
        <v>0</v>
      </c>
      <c r="F144" s="712">
        <v>325563156</v>
      </c>
      <c r="G144" s="839"/>
      <c r="H144" s="713" t="s">
        <v>5404</v>
      </c>
      <c r="I144" s="713" t="s">
        <v>901</v>
      </c>
      <c r="J144">
        <v>0</v>
      </c>
      <c r="K144" s="712">
        <v>0</v>
      </c>
      <c r="L144" s="712">
        <v>22000000</v>
      </c>
      <c r="M144" s="839"/>
      <c r="N144" s="713" t="s">
        <v>5085</v>
      </c>
      <c r="O144" s="713" t="s">
        <v>901</v>
      </c>
      <c r="P144">
        <v>57.65</v>
      </c>
      <c r="Q144" s="712">
        <v>0</v>
      </c>
      <c r="R144" s="712">
        <v>400725000</v>
      </c>
      <c r="S144" s="839"/>
      <c r="T144" s="713" t="s">
        <v>4987</v>
      </c>
      <c r="U144" s="713" t="s">
        <v>901</v>
      </c>
      <c r="V144">
        <v>60.91</v>
      </c>
      <c r="W144" s="712">
        <v>0</v>
      </c>
      <c r="X144" s="712">
        <v>292186000</v>
      </c>
      <c r="Y144" s="839"/>
      <c r="Z144" s="713" t="s">
        <v>6069</v>
      </c>
      <c r="AA144" s="713" t="s">
        <v>61</v>
      </c>
      <c r="AB144">
        <v>0</v>
      </c>
      <c r="AC144" s="712">
        <v>25000000</v>
      </c>
      <c r="AD144" s="712">
        <v>0</v>
      </c>
    </row>
    <row r="145" spans="1:30" x14ac:dyDescent="0.2">
      <c r="A145" s="839"/>
      <c r="B145" s="713" t="s">
        <v>4980</v>
      </c>
      <c r="C145" s="713" t="s">
        <v>901</v>
      </c>
      <c r="D145" s="710">
        <v>78.400000000000006</v>
      </c>
      <c r="E145" s="712">
        <v>0</v>
      </c>
      <c r="F145" s="712">
        <v>321692895</v>
      </c>
      <c r="G145" s="839"/>
      <c r="H145" s="713" t="s">
        <v>5405</v>
      </c>
      <c r="I145" s="713" t="s">
        <v>901</v>
      </c>
      <c r="J145">
        <v>0</v>
      </c>
      <c r="K145" s="712">
        <v>0</v>
      </c>
      <c r="L145" s="712">
        <v>22000000</v>
      </c>
      <c r="M145" s="839"/>
      <c r="N145" s="713" t="s">
        <v>5086</v>
      </c>
      <c r="O145" s="713" t="s">
        <v>901</v>
      </c>
      <c r="P145">
        <v>80.05</v>
      </c>
      <c r="Q145" s="712">
        <v>0</v>
      </c>
      <c r="R145" s="712">
        <v>544332500</v>
      </c>
      <c r="S145" s="839"/>
      <c r="T145" s="713" t="s">
        <v>4988</v>
      </c>
      <c r="U145" s="713" t="s">
        <v>901</v>
      </c>
      <c r="V145">
        <v>78.45</v>
      </c>
      <c r="W145" s="712">
        <v>0</v>
      </c>
      <c r="X145" s="712">
        <v>393232804</v>
      </c>
      <c r="Y145" s="839"/>
      <c r="Z145" s="713" t="s">
        <v>6070</v>
      </c>
      <c r="AA145" s="713" t="s">
        <v>901</v>
      </c>
      <c r="AB145">
        <v>0</v>
      </c>
      <c r="AC145" s="712">
        <v>0</v>
      </c>
      <c r="AD145" s="712">
        <v>25000000</v>
      </c>
    </row>
    <row r="146" spans="1:30" x14ac:dyDescent="0.2">
      <c r="A146" s="839"/>
      <c r="B146" s="713" t="s">
        <v>4981</v>
      </c>
      <c r="C146" s="713" t="s">
        <v>901</v>
      </c>
      <c r="D146" s="710">
        <v>60.8</v>
      </c>
      <c r="E146" s="712">
        <v>0</v>
      </c>
      <c r="F146" s="712">
        <v>256962396</v>
      </c>
      <c r="G146" s="839"/>
      <c r="H146" s="713" t="s">
        <v>5406</v>
      </c>
      <c r="I146" s="713" t="s">
        <v>901</v>
      </c>
      <c r="J146">
        <v>0</v>
      </c>
      <c r="K146" s="712">
        <v>0</v>
      </c>
      <c r="L146" s="712">
        <v>22000000</v>
      </c>
      <c r="M146" s="839"/>
      <c r="N146" s="713" t="s">
        <v>5087</v>
      </c>
      <c r="O146" s="713" t="s">
        <v>901</v>
      </c>
      <c r="P146">
        <v>60.4</v>
      </c>
      <c r="Q146" s="712">
        <v>0</v>
      </c>
      <c r="R146" s="712">
        <v>377420000</v>
      </c>
      <c r="S146" s="839"/>
      <c r="T146" s="713" t="s">
        <v>4989</v>
      </c>
      <c r="U146" s="713" t="s">
        <v>901</v>
      </c>
      <c r="V146">
        <v>78.400000000000006</v>
      </c>
      <c r="W146" s="712">
        <v>0</v>
      </c>
      <c r="X146" s="712">
        <v>446336000</v>
      </c>
      <c r="Y146" s="839"/>
      <c r="Z146" s="713" t="s">
        <v>6071</v>
      </c>
      <c r="AA146" s="713" t="s">
        <v>901</v>
      </c>
      <c r="AB146">
        <v>0</v>
      </c>
      <c r="AC146" s="712">
        <v>0</v>
      </c>
      <c r="AD146" s="712">
        <v>25000000</v>
      </c>
    </row>
    <row r="147" spans="1:30" x14ac:dyDescent="0.2">
      <c r="A147" s="839"/>
      <c r="B147" s="713" t="s">
        <v>4982</v>
      </c>
      <c r="C147" s="713" t="s">
        <v>901</v>
      </c>
      <c r="D147" s="710">
        <v>71.900000000000006</v>
      </c>
      <c r="E147" s="712">
        <v>0</v>
      </c>
      <c r="F147" s="712">
        <v>340577000</v>
      </c>
      <c r="G147" s="839"/>
      <c r="H147" s="713" t="s">
        <v>5407</v>
      </c>
      <c r="I147" s="713" t="s">
        <v>901</v>
      </c>
      <c r="J147">
        <v>0</v>
      </c>
      <c r="K147" s="712">
        <v>0</v>
      </c>
      <c r="L147" s="712">
        <v>22000000</v>
      </c>
      <c r="M147" s="839"/>
      <c r="N147" s="713" t="s">
        <v>5088</v>
      </c>
      <c r="O147" s="713" t="s">
        <v>901</v>
      </c>
      <c r="P147">
        <v>82.25</v>
      </c>
      <c r="Q147" s="712">
        <v>0</v>
      </c>
      <c r="R147" s="712">
        <v>505500000</v>
      </c>
      <c r="S147" s="839"/>
      <c r="T147" s="713" t="s">
        <v>4990</v>
      </c>
      <c r="U147" s="713" t="s">
        <v>901</v>
      </c>
      <c r="V147">
        <v>60.95</v>
      </c>
      <c r="W147" s="712">
        <v>0</v>
      </c>
      <c r="X147" s="712">
        <v>393985000</v>
      </c>
      <c r="Y147" s="839"/>
      <c r="Z147" s="713" t="s">
        <v>6072</v>
      </c>
      <c r="AA147" s="713" t="s">
        <v>61</v>
      </c>
      <c r="AB147">
        <v>0</v>
      </c>
      <c r="AC147" s="712">
        <v>25000000</v>
      </c>
      <c r="AD147" s="712">
        <v>0</v>
      </c>
    </row>
    <row r="148" spans="1:30" x14ac:dyDescent="0.2">
      <c r="A148" s="839"/>
      <c r="B148" s="713" t="s">
        <v>5001</v>
      </c>
      <c r="C148" s="713" t="s">
        <v>901</v>
      </c>
      <c r="D148" s="710">
        <v>71</v>
      </c>
      <c r="E148" s="712">
        <v>0</v>
      </c>
      <c r="F148" s="712">
        <v>298609123</v>
      </c>
      <c r="G148" s="839"/>
      <c r="H148" s="713" t="s">
        <v>5408</v>
      </c>
      <c r="I148" s="713" t="s">
        <v>901</v>
      </c>
      <c r="J148">
        <v>0</v>
      </c>
      <c r="K148" s="712">
        <v>0</v>
      </c>
      <c r="L148" s="712">
        <v>22000000</v>
      </c>
      <c r="M148" s="838" t="s">
        <v>5170</v>
      </c>
      <c r="N148" s="713" t="s">
        <v>5546</v>
      </c>
      <c r="O148" s="713" t="s">
        <v>901</v>
      </c>
      <c r="P148">
        <v>0</v>
      </c>
      <c r="Q148" s="712">
        <v>0</v>
      </c>
      <c r="R148" s="712">
        <v>26000000</v>
      </c>
      <c r="S148" s="839"/>
      <c r="T148" s="713" t="s">
        <v>4991</v>
      </c>
      <c r="U148" s="713" t="s">
        <v>901</v>
      </c>
      <c r="V148">
        <v>71.900000000000006</v>
      </c>
      <c r="W148" s="712">
        <v>0</v>
      </c>
      <c r="X148" s="712">
        <v>365636242</v>
      </c>
      <c r="Y148" s="839"/>
      <c r="Z148" s="713" t="s">
        <v>6073</v>
      </c>
      <c r="AA148" s="713" t="s">
        <v>901</v>
      </c>
      <c r="AB148">
        <v>0</v>
      </c>
      <c r="AC148" s="712">
        <v>0</v>
      </c>
      <c r="AD148" s="712">
        <v>25000000</v>
      </c>
    </row>
    <row r="149" spans="1:30" x14ac:dyDescent="0.2">
      <c r="A149" s="839"/>
      <c r="B149" s="713" t="s">
        <v>5002</v>
      </c>
      <c r="C149" s="713" t="s">
        <v>901</v>
      </c>
      <c r="D149" s="710">
        <v>60.9</v>
      </c>
      <c r="E149" s="712">
        <v>0</v>
      </c>
      <c r="F149" s="712">
        <v>234591999</v>
      </c>
      <c r="G149" s="839"/>
      <c r="H149" s="713" t="s">
        <v>5228</v>
      </c>
      <c r="I149" s="713" t="s">
        <v>901</v>
      </c>
      <c r="J149">
        <v>0</v>
      </c>
      <c r="K149" s="712">
        <v>0</v>
      </c>
      <c r="L149" s="712">
        <v>22000000</v>
      </c>
      <c r="M149" s="839"/>
      <c r="N149" s="713" t="s">
        <v>5547</v>
      </c>
      <c r="O149" s="713" t="s">
        <v>901</v>
      </c>
      <c r="P149">
        <v>0</v>
      </c>
      <c r="Q149" s="712">
        <v>0</v>
      </c>
      <c r="R149" s="712">
        <v>26000000</v>
      </c>
      <c r="S149" s="839"/>
      <c r="T149" s="713" t="s">
        <v>5146</v>
      </c>
      <c r="U149" s="713" t="s">
        <v>61</v>
      </c>
      <c r="V149">
        <v>71.95</v>
      </c>
      <c r="W149" s="712">
        <v>480175000</v>
      </c>
      <c r="X149" s="712">
        <v>0</v>
      </c>
      <c r="Y149" s="839"/>
      <c r="Z149" s="713" t="s">
        <v>6074</v>
      </c>
      <c r="AA149" s="713" t="s">
        <v>901</v>
      </c>
      <c r="AB149">
        <v>0</v>
      </c>
      <c r="AC149" s="712">
        <v>0</v>
      </c>
      <c r="AD149" s="712">
        <v>25000000</v>
      </c>
    </row>
    <row r="150" spans="1:30" x14ac:dyDescent="0.2">
      <c r="A150" s="839"/>
      <c r="B150" s="713" t="s">
        <v>5003</v>
      </c>
      <c r="C150" s="713" t="s">
        <v>901</v>
      </c>
      <c r="D150" s="710">
        <v>77.3</v>
      </c>
      <c r="E150" s="712">
        <v>0</v>
      </c>
      <c r="F150" s="712">
        <v>320120750</v>
      </c>
      <c r="G150" s="839"/>
      <c r="H150" s="713" t="s">
        <v>5409</v>
      </c>
      <c r="I150" s="713" t="s">
        <v>901</v>
      </c>
      <c r="J150">
        <v>0</v>
      </c>
      <c r="K150" s="712">
        <v>0</v>
      </c>
      <c r="L150" s="712">
        <v>22000000</v>
      </c>
      <c r="M150" s="839"/>
      <c r="N150" s="713" t="s">
        <v>5548</v>
      </c>
      <c r="O150" s="713" t="s">
        <v>901</v>
      </c>
      <c r="P150">
        <v>0</v>
      </c>
      <c r="Q150" s="712">
        <v>0</v>
      </c>
      <c r="R150" s="712">
        <v>26000000</v>
      </c>
      <c r="S150" s="839"/>
      <c r="T150" s="713" t="s">
        <v>5010</v>
      </c>
      <c r="U150" s="713" t="s">
        <v>901</v>
      </c>
      <c r="V150">
        <v>60.91</v>
      </c>
      <c r="W150" s="712">
        <v>0</v>
      </c>
      <c r="X150" s="712">
        <v>298777000</v>
      </c>
      <c r="Y150" s="839"/>
      <c r="Z150" s="713" t="s">
        <v>6075</v>
      </c>
      <c r="AA150" s="713" t="s">
        <v>61</v>
      </c>
      <c r="AB150">
        <v>0</v>
      </c>
      <c r="AC150" s="712">
        <v>25000000</v>
      </c>
      <c r="AD150" s="712">
        <v>0</v>
      </c>
    </row>
    <row r="151" spans="1:30" x14ac:dyDescent="0.2">
      <c r="A151" s="839"/>
      <c r="B151" s="713" t="s">
        <v>5004</v>
      </c>
      <c r="C151" s="713" t="s">
        <v>901</v>
      </c>
      <c r="D151" s="710">
        <v>77.3</v>
      </c>
      <c r="E151" s="712">
        <v>0</v>
      </c>
      <c r="F151" s="712">
        <v>317111805</v>
      </c>
      <c r="G151" s="839"/>
      <c r="H151" s="713" t="s">
        <v>5410</v>
      </c>
      <c r="I151" s="713" t="s">
        <v>901</v>
      </c>
      <c r="J151">
        <v>0</v>
      </c>
      <c r="K151" s="712">
        <v>0</v>
      </c>
      <c r="L151" s="712">
        <v>22000000</v>
      </c>
      <c r="M151" s="839"/>
      <c r="N151" s="713" t="s">
        <v>5549</v>
      </c>
      <c r="O151" s="713" t="s">
        <v>901</v>
      </c>
      <c r="P151">
        <v>0</v>
      </c>
      <c r="Q151" s="712">
        <v>0</v>
      </c>
      <c r="R151" s="712">
        <v>26000000</v>
      </c>
      <c r="S151" s="839"/>
      <c r="T151" s="713" t="s">
        <v>5011</v>
      </c>
      <c r="U151" s="713" t="s">
        <v>901</v>
      </c>
      <c r="V151">
        <v>78.45</v>
      </c>
      <c r="W151" s="712">
        <v>0</v>
      </c>
      <c r="X151" s="712">
        <v>412595000</v>
      </c>
      <c r="Y151" s="839"/>
      <c r="Z151" s="713" t="s">
        <v>6076</v>
      </c>
      <c r="AA151" s="713" t="s">
        <v>901</v>
      </c>
      <c r="AB151">
        <v>0</v>
      </c>
      <c r="AC151" s="712">
        <v>0</v>
      </c>
      <c r="AD151" s="712">
        <v>25000000</v>
      </c>
    </row>
    <row r="152" spans="1:30" x14ac:dyDescent="0.2">
      <c r="A152" s="839"/>
      <c r="B152" s="713" t="s">
        <v>5005</v>
      </c>
      <c r="C152" s="713" t="s">
        <v>901</v>
      </c>
      <c r="D152" s="710">
        <v>60.95</v>
      </c>
      <c r="E152" s="712">
        <v>0</v>
      </c>
      <c r="F152" s="712">
        <v>226369524</v>
      </c>
      <c r="G152" s="839"/>
      <c r="H152" s="713" t="s">
        <v>5230</v>
      </c>
      <c r="I152" s="713" t="s">
        <v>901</v>
      </c>
      <c r="J152">
        <v>0</v>
      </c>
      <c r="K152" s="712">
        <v>0</v>
      </c>
      <c r="L152" s="712">
        <v>27000000</v>
      </c>
      <c r="M152" s="839"/>
      <c r="N152" s="713" t="s">
        <v>5550</v>
      </c>
      <c r="O152" s="713" t="s">
        <v>901</v>
      </c>
      <c r="P152">
        <v>0</v>
      </c>
      <c r="Q152" s="712">
        <v>0</v>
      </c>
      <c r="R152" s="712">
        <v>26000000</v>
      </c>
      <c r="S152" s="839"/>
      <c r="T152" s="713" t="s">
        <v>5012</v>
      </c>
      <c r="U152" s="713" t="s">
        <v>901</v>
      </c>
      <c r="V152">
        <v>77.98</v>
      </c>
      <c r="W152" s="712">
        <v>0</v>
      </c>
      <c r="X152" s="712">
        <v>394308000</v>
      </c>
      <c r="Y152" s="839"/>
      <c r="Z152" s="713" t="s">
        <v>6077</v>
      </c>
      <c r="AA152" s="713" t="s">
        <v>901</v>
      </c>
      <c r="AB152">
        <v>0</v>
      </c>
      <c r="AC152" s="712">
        <v>0</v>
      </c>
      <c r="AD152" s="712">
        <v>25000000</v>
      </c>
    </row>
    <row r="153" spans="1:30" x14ac:dyDescent="0.2">
      <c r="A153" s="839"/>
      <c r="B153" s="713" t="s">
        <v>5006</v>
      </c>
      <c r="C153" s="713" t="s">
        <v>901</v>
      </c>
      <c r="D153" s="710">
        <v>71.2</v>
      </c>
      <c r="E153" s="712">
        <v>0</v>
      </c>
      <c r="F153" s="712">
        <v>299271421</v>
      </c>
      <c r="G153" s="839"/>
      <c r="H153" s="713" t="s">
        <v>5411</v>
      </c>
      <c r="I153" s="713" t="s">
        <v>901</v>
      </c>
      <c r="J153">
        <v>0</v>
      </c>
      <c r="K153" s="712">
        <v>0</v>
      </c>
      <c r="L153" s="712">
        <v>22000000</v>
      </c>
      <c r="M153" s="839"/>
      <c r="N153" s="713" t="s">
        <v>5551</v>
      </c>
      <c r="O153" s="713" t="s">
        <v>901</v>
      </c>
      <c r="P153">
        <v>0</v>
      </c>
      <c r="Q153" s="712">
        <v>0</v>
      </c>
      <c r="R153" s="712">
        <v>26000000</v>
      </c>
      <c r="S153" s="839"/>
      <c r="T153" s="713" t="s">
        <v>5013</v>
      </c>
      <c r="U153" s="713" t="s">
        <v>901</v>
      </c>
      <c r="V153">
        <v>60.95</v>
      </c>
      <c r="W153" s="712">
        <v>0</v>
      </c>
      <c r="X153" s="712">
        <v>394485000</v>
      </c>
      <c r="Y153" s="839"/>
      <c r="Z153" s="713" t="s">
        <v>6078</v>
      </c>
      <c r="AA153" s="713" t="s">
        <v>901</v>
      </c>
      <c r="AB153">
        <v>0</v>
      </c>
      <c r="AC153" s="712">
        <v>0</v>
      </c>
      <c r="AD153" s="712">
        <v>25000000</v>
      </c>
    </row>
    <row r="154" spans="1:30" x14ac:dyDescent="0.2">
      <c r="A154" s="839"/>
      <c r="B154" s="713" t="s">
        <v>5023</v>
      </c>
      <c r="C154" s="713" t="s">
        <v>901</v>
      </c>
      <c r="D154" s="710">
        <v>71.95</v>
      </c>
      <c r="E154" s="712">
        <v>0</v>
      </c>
      <c r="F154" s="712">
        <v>282208144</v>
      </c>
      <c r="G154" s="839"/>
      <c r="H154" s="713" t="s">
        <v>5412</v>
      </c>
      <c r="I154" s="713" t="s">
        <v>901</v>
      </c>
      <c r="J154">
        <v>0</v>
      </c>
      <c r="K154" s="712">
        <v>0</v>
      </c>
      <c r="L154" s="712">
        <v>22000000</v>
      </c>
      <c r="M154" s="839"/>
      <c r="N154" s="713" t="s">
        <v>5552</v>
      </c>
      <c r="O154" s="713" t="s">
        <v>901</v>
      </c>
      <c r="P154">
        <v>0</v>
      </c>
      <c r="Q154" s="712">
        <v>0</v>
      </c>
      <c r="R154" s="712">
        <v>26000000</v>
      </c>
      <c r="S154" s="839"/>
      <c r="T154" s="713" t="s">
        <v>5147</v>
      </c>
      <c r="U154" s="713" t="s">
        <v>61</v>
      </c>
      <c r="V154">
        <v>71.900000000000006</v>
      </c>
      <c r="W154" s="712">
        <v>477720000</v>
      </c>
      <c r="X154" s="712">
        <v>0</v>
      </c>
      <c r="Y154" s="839"/>
      <c r="Z154" s="713" t="s">
        <v>6079</v>
      </c>
      <c r="AA154" s="713" t="s">
        <v>901</v>
      </c>
      <c r="AB154">
        <v>0</v>
      </c>
      <c r="AC154" s="712">
        <v>0</v>
      </c>
      <c r="AD154" s="712">
        <v>25000000</v>
      </c>
    </row>
    <row r="155" spans="1:30" x14ac:dyDescent="0.2">
      <c r="A155" s="839"/>
      <c r="B155" s="713" t="s">
        <v>5024</v>
      </c>
      <c r="C155" s="713" t="s">
        <v>901</v>
      </c>
      <c r="D155" s="710">
        <v>60.9</v>
      </c>
      <c r="E155" s="712">
        <v>0</v>
      </c>
      <c r="F155" s="712">
        <v>249850283</v>
      </c>
      <c r="G155" s="839"/>
      <c r="H155" s="713" t="s">
        <v>5413</v>
      </c>
      <c r="I155" s="713" t="s">
        <v>901</v>
      </c>
      <c r="J155">
        <v>0</v>
      </c>
      <c r="K155" s="712">
        <v>0</v>
      </c>
      <c r="L155" s="712">
        <v>27000000</v>
      </c>
      <c r="M155" s="839"/>
      <c r="N155" s="713" t="s">
        <v>5553</v>
      </c>
      <c r="O155" s="713" t="s">
        <v>901</v>
      </c>
      <c r="P155">
        <v>0</v>
      </c>
      <c r="Q155" s="712">
        <v>0</v>
      </c>
      <c r="R155" s="712">
        <v>26000000</v>
      </c>
      <c r="S155" s="839"/>
      <c r="T155" s="713" t="s">
        <v>5033</v>
      </c>
      <c r="U155" s="713" t="s">
        <v>901</v>
      </c>
      <c r="V155">
        <v>71.95</v>
      </c>
      <c r="W155" s="712">
        <v>0</v>
      </c>
      <c r="X155" s="712">
        <v>425993000</v>
      </c>
      <c r="Y155" s="839"/>
      <c r="Z155" s="713" t="s">
        <v>6080</v>
      </c>
      <c r="AA155" s="713" t="s">
        <v>901</v>
      </c>
      <c r="AB155">
        <v>0</v>
      </c>
      <c r="AC155" s="712">
        <v>0</v>
      </c>
      <c r="AD155" s="712">
        <v>25000000</v>
      </c>
    </row>
    <row r="156" spans="1:30" x14ac:dyDescent="0.2">
      <c r="A156" s="839"/>
      <c r="B156" s="713" t="s">
        <v>5025</v>
      </c>
      <c r="C156" s="713" t="s">
        <v>901</v>
      </c>
      <c r="D156" s="710">
        <v>78.45</v>
      </c>
      <c r="E156" s="712">
        <v>0</v>
      </c>
      <c r="F156" s="712">
        <v>313506333</v>
      </c>
      <c r="G156" s="839"/>
      <c r="H156" s="713" t="s">
        <v>5414</v>
      </c>
      <c r="I156" s="713" t="s">
        <v>901</v>
      </c>
      <c r="J156">
        <v>0</v>
      </c>
      <c r="K156" s="712">
        <v>0</v>
      </c>
      <c r="L156" s="712">
        <v>27000000</v>
      </c>
      <c r="M156" s="839"/>
      <c r="N156" s="713" t="s">
        <v>5554</v>
      </c>
      <c r="O156" s="713" t="s">
        <v>901</v>
      </c>
      <c r="P156">
        <v>0</v>
      </c>
      <c r="Q156" s="712">
        <v>0</v>
      </c>
      <c r="R156" s="712">
        <v>26000000</v>
      </c>
      <c r="S156" s="839"/>
      <c r="T156" s="713" t="s">
        <v>5034</v>
      </c>
      <c r="U156" s="713" t="s">
        <v>901</v>
      </c>
      <c r="V156">
        <v>60.91</v>
      </c>
      <c r="W156" s="712">
        <v>0</v>
      </c>
      <c r="X156" s="712">
        <v>358303000</v>
      </c>
      <c r="Y156" s="839"/>
      <c r="Z156" s="713" t="s">
        <v>6081</v>
      </c>
      <c r="AA156" s="713" t="s">
        <v>901</v>
      </c>
      <c r="AB156">
        <v>0</v>
      </c>
      <c r="AC156" s="712">
        <v>0</v>
      </c>
      <c r="AD156" s="712">
        <v>25000000</v>
      </c>
    </row>
    <row r="157" spans="1:30" x14ac:dyDescent="0.2">
      <c r="A157" s="839"/>
      <c r="B157" s="713" t="s">
        <v>5026</v>
      </c>
      <c r="C157" s="713" t="s">
        <v>901</v>
      </c>
      <c r="D157" s="710">
        <v>77.3</v>
      </c>
      <c r="E157" s="712">
        <v>0</v>
      </c>
      <c r="F157" s="712">
        <v>326591458</v>
      </c>
      <c r="G157" s="839"/>
      <c r="H157" s="713" t="s">
        <v>5415</v>
      </c>
      <c r="I157" s="713" t="s">
        <v>901</v>
      </c>
      <c r="J157">
        <v>0</v>
      </c>
      <c r="K157" s="712">
        <v>0</v>
      </c>
      <c r="L157" s="712">
        <v>22000000</v>
      </c>
      <c r="M157" s="839"/>
      <c r="N157" s="713" t="s">
        <v>5555</v>
      </c>
      <c r="O157" s="713" t="s">
        <v>901</v>
      </c>
      <c r="P157">
        <v>0</v>
      </c>
      <c r="Q157" s="712">
        <v>0</v>
      </c>
      <c r="R157" s="712">
        <v>26000000</v>
      </c>
      <c r="S157" s="839"/>
      <c r="T157" s="713" t="s">
        <v>5035</v>
      </c>
      <c r="U157" s="713" t="s">
        <v>901</v>
      </c>
      <c r="V157">
        <v>78.45</v>
      </c>
      <c r="W157" s="712">
        <v>0</v>
      </c>
      <c r="X157" s="712">
        <v>381715000</v>
      </c>
      <c r="Y157" s="839"/>
      <c r="Z157" s="713" t="s">
        <v>6082</v>
      </c>
      <c r="AA157" s="713" t="s">
        <v>901</v>
      </c>
      <c r="AB157">
        <v>0</v>
      </c>
      <c r="AC157" s="712">
        <v>0</v>
      </c>
      <c r="AD157" s="712">
        <v>25000000</v>
      </c>
    </row>
    <row r="158" spans="1:30" x14ac:dyDescent="0.2">
      <c r="A158" s="839"/>
      <c r="B158" s="713" t="s">
        <v>5027</v>
      </c>
      <c r="C158" s="713" t="s">
        <v>901</v>
      </c>
      <c r="D158" s="710">
        <v>60.95</v>
      </c>
      <c r="E158" s="712">
        <v>0</v>
      </c>
      <c r="F158" s="712">
        <v>252100000</v>
      </c>
      <c r="G158" s="839"/>
      <c r="H158" s="713" t="s">
        <v>5416</v>
      </c>
      <c r="I158" s="713" t="s">
        <v>901</v>
      </c>
      <c r="J158">
        <v>0</v>
      </c>
      <c r="K158" s="712">
        <v>0</v>
      </c>
      <c r="L158" s="712">
        <v>27000000</v>
      </c>
      <c r="M158" s="839"/>
      <c r="N158" s="713" t="s">
        <v>5556</v>
      </c>
      <c r="O158" s="713" t="s">
        <v>901</v>
      </c>
      <c r="P158">
        <v>0</v>
      </c>
      <c r="Q158" s="712">
        <v>0</v>
      </c>
      <c r="R158" s="712">
        <v>26000000</v>
      </c>
      <c r="S158" s="839"/>
      <c r="T158" s="713" t="s">
        <v>5036</v>
      </c>
      <c r="U158" s="713" t="s">
        <v>901</v>
      </c>
      <c r="V158">
        <v>77.900000000000006</v>
      </c>
      <c r="W158" s="712">
        <v>0</v>
      </c>
      <c r="X158" s="712">
        <v>447336000</v>
      </c>
      <c r="Y158" s="839"/>
      <c r="Z158" s="713" t="s">
        <v>6083</v>
      </c>
      <c r="AA158" s="713" t="s">
        <v>901</v>
      </c>
      <c r="AB158">
        <v>0</v>
      </c>
      <c r="AC158" s="712">
        <v>0</v>
      </c>
      <c r="AD158" s="712">
        <v>25000000</v>
      </c>
    </row>
    <row r="159" spans="1:30" x14ac:dyDescent="0.2">
      <c r="A159" s="839"/>
      <c r="B159" s="713" t="s">
        <v>5028</v>
      </c>
      <c r="C159" s="713" t="s">
        <v>901</v>
      </c>
      <c r="D159" s="710">
        <v>71.2</v>
      </c>
      <c r="E159" s="712">
        <v>0</v>
      </c>
      <c r="F159" s="712">
        <v>294594774</v>
      </c>
      <c r="G159" s="839"/>
      <c r="H159" s="713" t="s">
        <v>5417</v>
      </c>
      <c r="I159" s="713" t="s">
        <v>901</v>
      </c>
      <c r="J159">
        <v>0</v>
      </c>
      <c r="K159" s="712">
        <v>0</v>
      </c>
      <c r="L159" s="712">
        <v>22000000</v>
      </c>
      <c r="M159" s="839"/>
      <c r="N159" s="713" t="s">
        <v>5557</v>
      </c>
      <c r="O159" s="713" t="s">
        <v>901</v>
      </c>
      <c r="P159">
        <v>0</v>
      </c>
      <c r="Q159" s="712">
        <v>0</v>
      </c>
      <c r="R159" s="712">
        <v>26000000</v>
      </c>
      <c r="S159" s="839"/>
      <c r="T159" s="713" t="s">
        <v>5037</v>
      </c>
      <c r="U159" s="713" t="s">
        <v>901</v>
      </c>
      <c r="V159">
        <v>60.95</v>
      </c>
      <c r="W159" s="712">
        <v>0</v>
      </c>
      <c r="X159" s="712">
        <v>306607500</v>
      </c>
      <c r="Y159" s="839"/>
      <c r="Z159" s="713" t="s">
        <v>6084</v>
      </c>
      <c r="AA159" s="713" t="s">
        <v>901</v>
      </c>
      <c r="AB159">
        <v>0</v>
      </c>
      <c r="AC159" s="712">
        <v>0</v>
      </c>
      <c r="AD159" s="712">
        <v>25000000</v>
      </c>
    </row>
    <row r="160" spans="1:30" x14ac:dyDescent="0.2">
      <c r="A160" s="839"/>
      <c r="B160" s="713" t="s">
        <v>5047</v>
      </c>
      <c r="C160" s="713" t="s">
        <v>901</v>
      </c>
      <c r="D160" s="710">
        <v>71</v>
      </c>
      <c r="E160" s="712">
        <v>0</v>
      </c>
      <c r="F160" s="712">
        <v>288718270</v>
      </c>
      <c r="G160" s="839"/>
      <c r="H160" s="713" t="s">
        <v>5418</v>
      </c>
      <c r="I160" s="713" t="s">
        <v>901</v>
      </c>
      <c r="J160">
        <v>0</v>
      </c>
      <c r="K160" s="712">
        <v>0</v>
      </c>
      <c r="L160" s="712">
        <v>22000000</v>
      </c>
      <c r="M160" s="839"/>
      <c r="N160" s="713" t="s">
        <v>5558</v>
      </c>
      <c r="O160" s="713" t="s">
        <v>901</v>
      </c>
      <c r="P160">
        <v>0</v>
      </c>
      <c r="Q160" s="712">
        <v>0</v>
      </c>
      <c r="R160" s="712">
        <v>26000000</v>
      </c>
      <c r="S160" s="839"/>
      <c r="T160" s="713" t="s">
        <v>5148</v>
      </c>
      <c r="U160" s="713" t="s">
        <v>61</v>
      </c>
      <c r="V160">
        <v>71.900000000000006</v>
      </c>
      <c r="W160" s="712">
        <v>478220000</v>
      </c>
      <c r="X160" s="712">
        <v>0</v>
      </c>
      <c r="Y160" s="839"/>
      <c r="Z160" s="713" t="s">
        <v>6085</v>
      </c>
      <c r="AA160" s="713" t="s">
        <v>901</v>
      </c>
      <c r="AB160">
        <v>0</v>
      </c>
      <c r="AC160" s="712">
        <v>0</v>
      </c>
      <c r="AD160" s="712">
        <v>25000000</v>
      </c>
    </row>
    <row r="161" spans="1:30" x14ac:dyDescent="0.2">
      <c r="A161" s="839"/>
      <c r="B161" s="713" t="s">
        <v>5048</v>
      </c>
      <c r="C161" s="713" t="s">
        <v>901</v>
      </c>
      <c r="D161" s="710">
        <v>60.9</v>
      </c>
      <c r="E161" s="712">
        <v>0</v>
      </c>
      <c r="F161" s="712">
        <v>251250221</v>
      </c>
      <c r="G161" s="839"/>
      <c r="H161" s="713" t="s">
        <v>5419</v>
      </c>
      <c r="I161" s="713" t="s">
        <v>901</v>
      </c>
      <c r="J161">
        <v>0</v>
      </c>
      <c r="K161" s="712">
        <v>0</v>
      </c>
      <c r="L161" s="712">
        <v>22000000</v>
      </c>
      <c r="M161" s="839"/>
      <c r="N161" s="713" t="s">
        <v>5559</v>
      </c>
      <c r="O161" s="713" t="s">
        <v>901</v>
      </c>
      <c r="P161">
        <v>0</v>
      </c>
      <c r="Q161" s="712">
        <v>0</v>
      </c>
      <c r="R161" s="712">
        <v>26000000</v>
      </c>
      <c r="S161" s="839"/>
      <c r="T161" s="713" t="s">
        <v>5056</v>
      </c>
      <c r="U161" s="713" t="s">
        <v>901</v>
      </c>
      <c r="V161">
        <v>71.95</v>
      </c>
      <c r="W161" s="712">
        <v>0</v>
      </c>
      <c r="X161" s="712">
        <v>380659987</v>
      </c>
      <c r="Y161" s="839"/>
      <c r="Z161" s="713" t="s">
        <v>6086</v>
      </c>
      <c r="AA161" s="713" t="s">
        <v>901</v>
      </c>
      <c r="AB161">
        <v>0</v>
      </c>
      <c r="AC161" s="712">
        <v>0</v>
      </c>
      <c r="AD161" s="712">
        <v>25000000</v>
      </c>
    </row>
    <row r="162" spans="1:30" x14ac:dyDescent="0.2">
      <c r="A162" s="839"/>
      <c r="B162" s="713" t="s">
        <v>5049</v>
      </c>
      <c r="C162" s="713" t="s">
        <v>901</v>
      </c>
      <c r="D162" s="710">
        <v>77.3</v>
      </c>
      <c r="E162" s="712">
        <v>0</v>
      </c>
      <c r="F162" s="712">
        <v>325631376</v>
      </c>
      <c r="G162" s="839"/>
      <c r="H162" s="713" t="s">
        <v>5420</v>
      </c>
      <c r="I162" s="713" t="s">
        <v>901</v>
      </c>
      <c r="J162">
        <v>0</v>
      </c>
      <c r="K162" s="712">
        <v>0</v>
      </c>
      <c r="L162" s="712">
        <v>22000000</v>
      </c>
      <c r="M162" s="839"/>
      <c r="N162" s="713" t="s">
        <v>5560</v>
      </c>
      <c r="O162" s="713" t="s">
        <v>901</v>
      </c>
      <c r="P162">
        <v>0</v>
      </c>
      <c r="Q162" s="712">
        <v>0</v>
      </c>
      <c r="R162" s="712">
        <v>26000000</v>
      </c>
      <c r="S162" s="839"/>
      <c r="T162" s="713" t="s">
        <v>5057</v>
      </c>
      <c r="U162" s="713" t="s">
        <v>901</v>
      </c>
      <c r="V162">
        <v>60.91</v>
      </c>
      <c r="W162" s="712">
        <v>0</v>
      </c>
      <c r="X162" s="712">
        <v>294904200</v>
      </c>
      <c r="Y162" s="839"/>
      <c r="Z162" s="713" t="s">
        <v>6087</v>
      </c>
      <c r="AA162" s="713" t="s">
        <v>901</v>
      </c>
      <c r="AB162">
        <v>0</v>
      </c>
      <c r="AC162" s="712">
        <v>0</v>
      </c>
      <c r="AD162" s="712">
        <v>25000000</v>
      </c>
    </row>
    <row r="163" spans="1:30" x14ac:dyDescent="0.2">
      <c r="A163" s="839"/>
      <c r="B163" s="713" t="s">
        <v>5050</v>
      </c>
      <c r="C163" s="713" t="s">
        <v>901</v>
      </c>
      <c r="D163" s="710">
        <v>78.400000000000006</v>
      </c>
      <c r="E163" s="712">
        <v>0</v>
      </c>
      <c r="F163" s="712">
        <v>298118082</v>
      </c>
      <c r="G163" s="839"/>
      <c r="H163" s="713" t="s">
        <v>5421</v>
      </c>
      <c r="I163" s="713" t="s">
        <v>901</v>
      </c>
      <c r="J163">
        <v>0</v>
      </c>
      <c r="K163" s="712">
        <v>0</v>
      </c>
      <c r="L163" s="712">
        <v>22000000</v>
      </c>
      <c r="M163" s="839"/>
      <c r="N163" s="713" t="s">
        <v>5561</v>
      </c>
      <c r="O163" s="713" t="s">
        <v>901</v>
      </c>
      <c r="P163">
        <v>0</v>
      </c>
      <c r="Q163" s="712">
        <v>0</v>
      </c>
      <c r="R163" s="712">
        <v>26000000</v>
      </c>
      <c r="S163" s="839"/>
      <c r="T163" s="713" t="s">
        <v>5058</v>
      </c>
      <c r="U163" s="713" t="s">
        <v>901</v>
      </c>
      <c r="V163">
        <v>77.87</v>
      </c>
      <c r="W163" s="712">
        <v>0</v>
      </c>
      <c r="X163" s="712">
        <v>373259400</v>
      </c>
      <c r="Y163" s="839"/>
      <c r="Z163" s="713" t="s">
        <v>6088</v>
      </c>
      <c r="AA163" s="713" t="s">
        <v>61</v>
      </c>
      <c r="AB163">
        <v>0</v>
      </c>
      <c r="AC163" s="712">
        <v>25000000</v>
      </c>
      <c r="AD163" s="712">
        <v>0</v>
      </c>
    </row>
    <row r="164" spans="1:30" x14ac:dyDescent="0.2">
      <c r="A164" s="839"/>
      <c r="B164" s="713" t="s">
        <v>5051</v>
      </c>
      <c r="C164" s="713" t="s">
        <v>901</v>
      </c>
      <c r="D164" s="710">
        <v>60.95</v>
      </c>
      <c r="E164" s="712">
        <v>0</v>
      </c>
      <c r="F164" s="712">
        <v>252400000</v>
      </c>
      <c r="G164" s="839"/>
      <c r="H164" s="713" t="s">
        <v>5422</v>
      </c>
      <c r="I164" s="713" t="s">
        <v>901</v>
      </c>
      <c r="J164">
        <v>0</v>
      </c>
      <c r="K164" s="712">
        <v>0</v>
      </c>
      <c r="L164" s="712">
        <v>22000000</v>
      </c>
      <c r="M164" s="839"/>
      <c r="N164" s="713" t="s">
        <v>5562</v>
      </c>
      <c r="O164" s="713" t="s">
        <v>901</v>
      </c>
      <c r="P164">
        <v>0</v>
      </c>
      <c r="Q164" s="712">
        <v>0</v>
      </c>
      <c r="R164" s="712">
        <v>26000000</v>
      </c>
      <c r="S164" s="839"/>
      <c r="T164" s="713" t="s">
        <v>5059</v>
      </c>
      <c r="U164" s="713" t="s">
        <v>901</v>
      </c>
      <c r="V164">
        <v>77.900000000000006</v>
      </c>
      <c r="W164" s="712">
        <v>0</v>
      </c>
      <c r="X164" s="712">
        <v>373398000</v>
      </c>
      <c r="Y164" s="839"/>
      <c r="Z164" s="713" t="s">
        <v>6089</v>
      </c>
      <c r="AA164" s="713" t="s">
        <v>901</v>
      </c>
      <c r="AB164">
        <v>0</v>
      </c>
      <c r="AC164" s="712">
        <v>0</v>
      </c>
      <c r="AD164" s="712">
        <v>25000000</v>
      </c>
    </row>
    <row r="165" spans="1:30" x14ac:dyDescent="0.2">
      <c r="A165" s="839"/>
      <c r="B165" s="713" t="s">
        <v>5052</v>
      </c>
      <c r="C165" s="713" t="s">
        <v>901</v>
      </c>
      <c r="D165" s="710">
        <v>71.2</v>
      </c>
      <c r="E165" s="712">
        <v>0</v>
      </c>
      <c r="F165" s="712">
        <v>300687844</v>
      </c>
      <c r="G165" s="839"/>
      <c r="H165" s="713" t="s">
        <v>5423</v>
      </c>
      <c r="I165" s="713" t="s">
        <v>901</v>
      </c>
      <c r="J165">
        <v>0</v>
      </c>
      <c r="K165" s="712">
        <v>0</v>
      </c>
      <c r="L165" s="712">
        <v>22000000</v>
      </c>
      <c r="M165" s="839"/>
      <c r="N165" s="713" t="s">
        <v>5563</v>
      </c>
      <c r="O165" s="713" t="s">
        <v>901</v>
      </c>
      <c r="P165">
        <v>0</v>
      </c>
      <c r="Q165" s="712">
        <v>0</v>
      </c>
      <c r="R165" s="712">
        <v>26000000</v>
      </c>
      <c r="S165" s="839"/>
      <c r="T165" s="713" t="s">
        <v>5060</v>
      </c>
      <c r="U165" s="713" t="s">
        <v>901</v>
      </c>
      <c r="V165">
        <v>60.95</v>
      </c>
      <c r="W165" s="712">
        <v>0</v>
      </c>
      <c r="X165" s="712">
        <v>323345000</v>
      </c>
      <c r="Y165" s="839"/>
      <c r="Z165" s="713" t="s">
        <v>6090</v>
      </c>
      <c r="AA165" s="713" t="s">
        <v>61</v>
      </c>
      <c r="AB165">
        <v>0</v>
      </c>
      <c r="AC165" s="712">
        <v>25000000</v>
      </c>
      <c r="AD165" s="712">
        <v>0</v>
      </c>
    </row>
    <row r="166" spans="1:30" x14ac:dyDescent="0.2">
      <c r="A166" s="839"/>
      <c r="B166" s="713" t="s">
        <v>5070</v>
      </c>
      <c r="C166" s="713" t="s">
        <v>901</v>
      </c>
      <c r="D166" s="710">
        <v>71</v>
      </c>
      <c r="E166" s="712">
        <v>0</v>
      </c>
      <c r="F166" s="712">
        <v>309658017</v>
      </c>
      <c r="G166" s="839"/>
      <c r="H166" s="713" t="s">
        <v>5424</v>
      </c>
      <c r="I166" s="713" t="s">
        <v>901</v>
      </c>
      <c r="J166">
        <v>0</v>
      </c>
      <c r="K166" s="712">
        <v>0</v>
      </c>
      <c r="L166" s="712">
        <v>22000000</v>
      </c>
      <c r="M166" s="839"/>
      <c r="N166" s="713" t="s">
        <v>5564</v>
      </c>
      <c r="O166" s="713" t="s">
        <v>61</v>
      </c>
      <c r="P166">
        <v>0</v>
      </c>
      <c r="Q166" s="712">
        <v>26000000</v>
      </c>
      <c r="R166" s="712">
        <v>0</v>
      </c>
      <c r="S166" s="839"/>
      <c r="T166" s="713" t="s">
        <v>5149</v>
      </c>
      <c r="U166" s="713" t="s">
        <v>61</v>
      </c>
      <c r="V166">
        <v>71.900000000000006</v>
      </c>
      <c r="W166" s="712">
        <v>478720000</v>
      </c>
      <c r="X166" s="712">
        <v>0</v>
      </c>
      <c r="Y166" s="839"/>
      <c r="Z166" s="713" t="s">
        <v>6091</v>
      </c>
      <c r="AA166" s="713" t="s">
        <v>901</v>
      </c>
      <c r="AB166">
        <v>0</v>
      </c>
      <c r="AC166" s="712">
        <v>0</v>
      </c>
      <c r="AD166" s="712">
        <v>25000000</v>
      </c>
    </row>
    <row r="167" spans="1:30" x14ac:dyDescent="0.2">
      <c r="A167" s="839"/>
      <c r="B167" s="713" t="s">
        <v>5071</v>
      </c>
      <c r="C167" s="713" t="s">
        <v>901</v>
      </c>
      <c r="D167" s="710">
        <v>58.4</v>
      </c>
      <c r="E167" s="712">
        <v>0</v>
      </c>
      <c r="F167" s="712">
        <v>250700000</v>
      </c>
      <c r="G167" s="839"/>
      <c r="H167" s="713" t="s">
        <v>5425</v>
      </c>
      <c r="I167" s="713" t="s">
        <v>901</v>
      </c>
      <c r="J167">
        <v>0</v>
      </c>
      <c r="K167" s="712">
        <v>0</v>
      </c>
      <c r="L167" s="712">
        <v>22000000</v>
      </c>
      <c r="M167" s="839"/>
      <c r="N167" s="713" t="s">
        <v>5565</v>
      </c>
      <c r="O167" s="713" t="s">
        <v>61</v>
      </c>
      <c r="P167">
        <v>0</v>
      </c>
      <c r="Q167" s="712">
        <v>26000000</v>
      </c>
      <c r="R167" s="712">
        <v>0</v>
      </c>
      <c r="S167" s="839"/>
      <c r="T167" s="713" t="s">
        <v>5080</v>
      </c>
      <c r="U167" s="713" t="s">
        <v>901</v>
      </c>
      <c r="V167">
        <v>71.95</v>
      </c>
      <c r="W167" s="712">
        <v>0</v>
      </c>
      <c r="X167" s="712">
        <v>433468500</v>
      </c>
      <c r="Y167" s="839"/>
      <c r="Z167" s="713" t="s">
        <v>6092</v>
      </c>
      <c r="AA167" s="713" t="s">
        <v>901</v>
      </c>
      <c r="AB167">
        <v>0</v>
      </c>
      <c r="AC167" s="712">
        <v>0</v>
      </c>
      <c r="AD167" s="712">
        <v>25000000</v>
      </c>
    </row>
    <row r="168" spans="1:30" x14ac:dyDescent="0.2">
      <c r="A168" s="839"/>
      <c r="B168" s="713" t="s">
        <v>5072</v>
      </c>
      <c r="C168" s="713" t="s">
        <v>901</v>
      </c>
      <c r="D168" s="710">
        <v>78.349999999999994</v>
      </c>
      <c r="E168" s="712">
        <v>0</v>
      </c>
      <c r="F168" s="712">
        <v>323276157</v>
      </c>
      <c r="G168" s="839"/>
      <c r="H168" s="713" t="s">
        <v>5426</v>
      </c>
      <c r="I168" s="713" t="s">
        <v>901</v>
      </c>
      <c r="J168">
        <v>0</v>
      </c>
      <c r="K168" s="712">
        <v>0</v>
      </c>
      <c r="L168" s="712">
        <v>22000000</v>
      </c>
      <c r="M168" s="839"/>
      <c r="N168" s="713" t="s">
        <v>5566</v>
      </c>
      <c r="O168" s="713" t="s">
        <v>901</v>
      </c>
      <c r="P168">
        <v>0</v>
      </c>
      <c r="Q168" s="712">
        <v>0</v>
      </c>
      <c r="R168" s="712">
        <v>26000000</v>
      </c>
      <c r="S168" s="839"/>
      <c r="T168" s="713" t="s">
        <v>5081</v>
      </c>
      <c r="U168" s="713" t="s">
        <v>901</v>
      </c>
      <c r="V168">
        <v>60.91</v>
      </c>
      <c r="W168" s="712">
        <v>0</v>
      </c>
      <c r="X168" s="712">
        <v>300230000</v>
      </c>
      <c r="Y168" s="839"/>
      <c r="Z168" s="713" t="s">
        <v>6093</v>
      </c>
      <c r="AA168" s="713" t="s">
        <v>901</v>
      </c>
      <c r="AB168">
        <v>0</v>
      </c>
      <c r="AC168" s="712">
        <v>0</v>
      </c>
      <c r="AD168" s="712">
        <v>25000000</v>
      </c>
    </row>
    <row r="169" spans="1:30" x14ac:dyDescent="0.2">
      <c r="A169" s="839"/>
      <c r="B169" s="713" t="s">
        <v>5073</v>
      </c>
      <c r="C169" s="713" t="s">
        <v>901</v>
      </c>
      <c r="D169" s="710">
        <v>77.3</v>
      </c>
      <c r="E169" s="712">
        <v>0</v>
      </c>
      <c r="F169" s="712">
        <v>315700000</v>
      </c>
      <c r="G169" s="839"/>
      <c r="H169" s="713" t="s">
        <v>5427</v>
      </c>
      <c r="I169" s="713" t="s">
        <v>901</v>
      </c>
      <c r="J169">
        <v>0</v>
      </c>
      <c r="K169" s="712">
        <v>0</v>
      </c>
      <c r="L169" s="712">
        <v>27000000</v>
      </c>
      <c r="M169" s="839"/>
      <c r="N169" s="713" t="s">
        <v>5567</v>
      </c>
      <c r="O169" s="713" t="s">
        <v>901</v>
      </c>
      <c r="P169">
        <v>0</v>
      </c>
      <c r="Q169" s="712">
        <v>0</v>
      </c>
      <c r="R169" s="712">
        <v>26000000</v>
      </c>
      <c r="S169" s="839"/>
      <c r="T169" s="713" t="s">
        <v>5082</v>
      </c>
      <c r="U169" s="713" t="s">
        <v>901</v>
      </c>
      <c r="V169">
        <v>77.87</v>
      </c>
      <c r="W169" s="712">
        <v>0</v>
      </c>
      <c r="X169" s="712">
        <v>372202000</v>
      </c>
      <c r="Y169" s="839"/>
      <c r="Z169" s="713" t="s">
        <v>6094</v>
      </c>
      <c r="AA169" s="713" t="s">
        <v>901</v>
      </c>
      <c r="AB169">
        <v>0</v>
      </c>
      <c r="AC169" s="712">
        <v>0</v>
      </c>
      <c r="AD169" s="712">
        <v>25000000</v>
      </c>
    </row>
    <row r="170" spans="1:30" x14ac:dyDescent="0.2">
      <c r="A170" s="839"/>
      <c r="B170" s="713" t="s">
        <v>5074</v>
      </c>
      <c r="C170" s="713" t="s">
        <v>901</v>
      </c>
      <c r="D170" s="710">
        <v>60.8</v>
      </c>
      <c r="E170" s="712">
        <v>0</v>
      </c>
      <c r="F170" s="712">
        <v>252494246</v>
      </c>
      <c r="G170" s="839"/>
      <c r="H170" s="713" t="s">
        <v>5428</v>
      </c>
      <c r="I170" s="713" t="s">
        <v>901</v>
      </c>
      <c r="J170">
        <v>0</v>
      </c>
      <c r="K170" s="712">
        <v>0</v>
      </c>
      <c r="L170" s="712">
        <v>22000000</v>
      </c>
      <c r="M170" s="839"/>
      <c r="N170" s="713" t="s">
        <v>5568</v>
      </c>
      <c r="O170" s="713" t="s">
        <v>901</v>
      </c>
      <c r="P170">
        <v>0</v>
      </c>
      <c r="Q170" s="712">
        <v>0</v>
      </c>
      <c r="R170" s="712">
        <v>26000000</v>
      </c>
      <c r="S170" s="839"/>
      <c r="T170" s="713" t="s">
        <v>5083</v>
      </c>
      <c r="U170" s="713" t="s">
        <v>901</v>
      </c>
      <c r="V170">
        <v>77.900000000000006</v>
      </c>
      <c r="W170" s="712">
        <v>0</v>
      </c>
      <c r="X170" s="712">
        <v>373898000</v>
      </c>
      <c r="Y170" s="839"/>
      <c r="Z170" s="713" t="s">
        <v>6095</v>
      </c>
      <c r="AA170" s="713" t="s">
        <v>901</v>
      </c>
      <c r="AB170">
        <v>0</v>
      </c>
      <c r="AC170" s="712">
        <v>0</v>
      </c>
      <c r="AD170" s="712">
        <v>25000000</v>
      </c>
    </row>
    <row r="171" spans="1:30" x14ac:dyDescent="0.2">
      <c r="A171" s="839"/>
      <c r="B171" s="713" t="s">
        <v>5075</v>
      </c>
      <c r="C171" s="713" t="s">
        <v>901</v>
      </c>
      <c r="D171" s="710">
        <v>71.900000000000006</v>
      </c>
      <c r="E171" s="712">
        <v>0</v>
      </c>
      <c r="F171" s="712">
        <v>294515293</v>
      </c>
      <c r="G171" s="839"/>
      <c r="H171" s="713" t="s">
        <v>5429</v>
      </c>
      <c r="I171" s="713" t="s">
        <v>901</v>
      </c>
      <c r="J171">
        <v>0</v>
      </c>
      <c r="K171" s="712">
        <v>0</v>
      </c>
      <c r="L171" s="712">
        <v>22000000</v>
      </c>
      <c r="M171" s="839"/>
      <c r="N171" s="713" t="s">
        <v>5569</v>
      </c>
      <c r="O171" s="713" t="s">
        <v>901</v>
      </c>
      <c r="P171">
        <v>0</v>
      </c>
      <c r="Q171" s="712">
        <v>0</v>
      </c>
      <c r="R171" s="712">
        <v>26000000</v>
      </c>
      <c r="S171" s="839"/>
      <c r="T171" s="713" t="s">
        <v>5150</v>
      </c>
      <c r="U171" s="713" t="s">
        <v>61</v>
      </c>
      <c r="V171">
        <v>71.900000000000006</v>
      </c>
      <c r="W171" s="712">
        <v>408110000</v>
      </c>
      <c r="X171" s="712">
        <v>0</v>
      </c>
      <c r="Y171" s="839"/>
      <c r="Z171" s="713" t="s">
        <v>6096</v>
      </c>
      <c r="AA171" s="713" t="s">
        <v>901</v>
      </c>
      <c r="AB171">
        <v>0</v>
      </c>
      <c r="AC171" s="712">
        <v>0</v>
      </c>
      <c r="AD171" s="712">
        <v>25000000</v>
      </c>
    </row>
    <row r="172" spans="1:30" x14ac:dyDescent="0.2">
      <c r="A172" s="838" t="s">
        <v>5170</v>
      </c>
      <c r="B172" s="713" t="s">
        <v>5171</v>
      </c>
      <c r="C172" s="713" t="s">
        <v>901</v>
      </c>
      <c r="D172" s="710">
        <v>0</v>
      </c>
      <c r="E172" s="712">
        <v>0</v>
      </c>
      <c r="F172" s="712">
        <v>27000000</v>
      </c>
      <c r="G172" s="839"/>
      <c r="H172" s="713" t="s">
        <v>5430</v>
      </c>
      <c r="I172" s="713" t="s">
        <v>901</v>
      </c>
      <c r="J172">
        <v>0</v>
      </c>
      <c r="K172" s="712">
        <v>0</v>
      </c>
      <c r="L172" s="712">
        <v>27000000</v>
      </c>
      <c r="M172" s="839"/>
      <c r="N172" s="713" t="s">
        <v>5570</v>
      </c>
      <c r="O172" s="713" t="s">
        <v>61</v>
      </c>
      <c r="P172">
        <v>0</v>
      </c>
      <c r="Q172" s="712">
        <v>26000000</v>
      </c>
      <c r="R172" s="712">
        <v>0</v>
      </c>
      <c r="S172" s="839"/>
      <c r="T172" s="713" t="s">
        <v>5151</v>
      </c>
      <c r="U172" s="713" t="s">
        <v>61</v>
      </c>
      <c r="V172">
        <v>71.900000000000006</v>
      </c>
      <c r="W172" s="712">
        <v>479220000</v>
      </c>
      <c r="X172" s="712">
        <v>0</v>
      </c>
      <c r="Y172" s="839"/>
      <c r="Z172" s="713" t="s">
        <v>6097</v>
      </c>
      <c r="AA172" s="713" t="s">
        <v>901</v>
      </c>
      <c r="AB172">
        <v>0</v>
      </c>
      <c r="AC172" s="712">
        <v>0</v>
      </c>
      <c r="AD172" s="712">
        <v>25000000</v>
      </c>
    </row>
    <row r="173" spans="1:30" x14ac:dyDescent="0.2">
      <c r="A173" s="839"/>
      <c r="B173" s="713" t="s">
        <v>5172</v>
      </c>
      <c r="C173" s="713" t="s">
        <v>901</v>
      </c>
      <c r="D173" s="710">
        <v>0</v>
      </c>
      <c r="E173" s="712">
        <v>0</v>
      </c>
      <c r="F173" s="712">
        <v>22000000</v>
      </c>
      <c r="G173" s="839"/>
      <c r="H173" s="713" t="s">
        <v>5278</v>
      </c>
      <c r="I173" s="713" t="s">
        <v>901</v>
      </c>
      <c r="J173">
        <v>0</v>
      </c>
      <c r="K173" s="712">
        <v>0</v>
      </c>
      <c r="L173" s="712">
        <v>27000000</v>
      </c>
      <c r="M173" s="839"/>
      <c r="N173" s="713" t="s">
        <v>5571</v>
      </c>
      <c r="O173" s="713" t="s">
        <v>901</v>
      </c>
      <c r="P173">
        <v>0</v>
      </c>
      <c r="Q173" s="712">
        <v>0</v>
      </c>
      <c r="R173" s="712">
        <v>26000000</v>
      </c>
      <c r="S173" s="838" t="s">
        <v>5170</v>
      </c>
      <c r="T173" s="713" t="s">
        <v>5796</v>
      </c>
      <c r="U173" s="713" t="s">
        <v>901</v>
      </c>
      <c r="V173">
        <v>0</v>
      </c>
      <c r="W173" s="712">
        <v>0</v>
      </c>
      <c r="X173" s="712">
        <v>23000000</v>
      </c>
      <c r="Y173" s="839"/>
      <c r="Z173" s="713" t="s">
        <v>6098</v>
      </c>
      <c r="AA173" s="713" t="s">
        <v>901</v>
      </c>
      <c r="AB173">
        <v>0</v>
      </c>
      <c r="AC173" s="712">
        <v>0</v>
      </c>
      <c r="AD173" s="712">
        <v>25000000</v>
      </c>
    </row>
    <row r="174" spans="1:30" x14ac:dyDescent="0.2">
      <c r="A174" s="839"/>
      <c r="B174" s="713" t="s">
        <v>5173</v>
      </c>
      <c r="C174" s="713" t="s">
        <v>901</v>
      </c>
      <c r="D174" s="710">
        <v>0</v>
      </c>
      <c r="E174" s="712">
        <v>0</v>
      </c>
      <c r="F174" s="712">
        <v>27000000</v>
      </c>
      <c r="G174" s="839"/>
      <c r="H174" s="713" t="s">
        <v>5431</v>
      </c>
      <c r="I174" s="713" t="s">
        <v>901</v>
      </c>
      <c r="J174">
        <v>0</v>
      </c>
      <c r="K174" s="712">
        <v>0</v>
      </c>
      <c r="L174" s="712">
        <v>27000000</v>
      </c>
      <c r="M174" s="839"/>
      <c r="N174" s="713" t="s">
        <v>5572</v>
      </c>
      <c r="O174" s="713" t="s">
        <v>901</v>
      </c>
      <c r="P174">
        <v>0</v>
      </c>
      <c r="Q174" s="712">
        <v>0</v>
      </c>
      <c r="R174" s="712">
        <v>26000000</v>
      </c>
      <c r="S174" s="839"/>
      <c r="T174" s="713" t="s">
        <v>5797</v>
      </c>
      <c r="U174" s="713" t="s">
        <v>901</v>
      </c>
      <c r="V174">
        <v>0</v>
      </c>
      <c r="W174" s="712">
        <v>0</v>
      </c>
      <c r="X174" s="712">
        <v>24000000</v>
      </c>
      <c r="Y174" s="839"/>
      <c r="Z174" s="713" t="s">
        <v>6099</v>
      </c>
      <c r="AA174" s="713" t="s">
        <v>901</v>
      </c>
      <c r="AB174">
        <v>0</v>
      </c>
      <c r="AC174" s="712">
        <v>0</v>
      </c>
      <c r="AD174" s="712">
        <v>25000000</v>
      </c>
    </row>
    <row r="175" spans="1:30" x14ac:dyDescent="0.2">
      <c r="A175" s="839"/>
      <c r="B175" s="713" t="s">
        <v>5174</v>
      </c>
      <c r="C175" s="713" t="s">
        <v>901</v>
      </c>
      <c r="D175" s="710">
        <v>0</v>
      </c>
      <c r="E175" s="712">
        <v>0</v>
      </c>
      <c r="F175" s="712">
        <v>22000000</v>
      </c>
      <c r="G175" s="839"/>
      <c r="H175" s="713" t="s">
        <v>5432</v>
      </c>
      <c r="I175" s="713" t="s">
        <v>901</v>
      </c>
      <c r="J175">
        <v>0</v>
      </c>
      <c r="K175" s="712">
        <v>0</v>
      </c>
      <c r="L175" s="712">
        <v>22000000</v>
      </c>
      <c r="M175" s="839"/>
      <c r="N175" s="713" t="s">
        <v>5573</v>
      </c>
      <c r="O175" s="713" t="s">
        <v>901</v>
      </c>
      <c r="P175">
        <v>0</v>
      </c>
      <c r="Q175" s="712">
        <v>0</v>
      </c>
      <c r="R175" s="712">
        <v>26000000</v>
      </c>
      <c r="S175" s="839"/>
      <c r="T175" s="713" t="s">
        <v>5798</v>
      </c>
      <c r="U175" s="713" t="s">
        <v>901</v>
      </c>
      <c r="V175">
        <v>0</v>
      </c>
      <c r="W175" s="712">
        <v>0</v>
      </c>
      <c r="X175" s="712">
        <v>24000000</v>
      </c>
      <c r="Y175" s="839"/>
      <c r="Z175" s="713" t="s">
        <v>6100</v>
      </c>
      <c r="AA175" s="713" t="s">
        <v>901</v>
      </c>
      <c r="AB175">
        <v>0</v>
      </c>
      <c r="AC175" s="712">
        <v>0</v>
      </c>
      <c r="AD175" s="712">
        <v>25000000</v>
      </c>
    </row>
    <row r="176" spans="1:30" x14ac:dyDescent="0.2">
      <c r="A176" s="839"/>
      <c r="B176" s="713" t="s">
        <v>5175</v>
      </c>
      <c r="C176" s="713" t="s">
        <v>901</v>
      </c>
      <c r="D176" s="710">
        <v>0</v>
      </c>
      <c r="E176" s="712">
        <v>0</v>
      </c>
      <c r="F176" s="712">
        <v>27000000</v>
      </c>
      <c r="G176" s="839"/>
      <c r="H176" s="713" t="s">
        <v>5433</v>
      </c>
      <c r="I176" s="713" t="s">
        <v>901</v>
      </c>
      <c r="J176">
        <v>0</v>
      </c>
      <c r="K176" s="712">
        <v>0</v>
      </c>
      <c r="L176" s="712">
        <v>22000000</v>
      </c>
      <c r="M176" s="839"/>
      <c r="N176" s="713" t="s">
        <v>5574</v>
      </c>
      <c r="O176" s="713" t="s">
        <v>901</v>
      </c>
      <c r="P176">
        <v>0</v>
      </c>
      <c r="Q176" s="712">
        <v>0</v>
      </c>
      <c r="R176" s="712">
        <v>26000000</v>
      </c>
      <c r="S176" s="839"/>
      <c r="T176" s="713" t="s">
        <v>5799</v>
      </c>
      <c r="U176" s="713" t="s">
        <v>901</v>
      </c>
      <c r="V176">
        <v>0</v>
      </c>
      <c r="W176" s="712">
        <v>0</v>
      </c>
      <c r="X176" s="712">
        <v>29000000</v>
      </c>
      <c r="Y176" s="839"/>
      <c r="Z176" s="713" t="s">
        <v>6101</v>
      </c>
      <c r="AA176" s="713" t="s">
        <v>901</v>
      </c>
      <c r="AB176">
        <v>0</v>
      </c>
      <c r="AC176" s="712">
        <v>0</v>
      </c>
      <c r="AD176" s="712">
        <v>25000000</v>
      </c>
    </row>
    <row r="177" spans="1:30" x14ac:dyDescent="0.2">
      <c r="A177" s="839"/>
      <c r="B177" s="713" t="s">
        <v>5176</v>
      </c>
      <c r="C177" s="713" t="s">
        <v>901</v>
      </c>
      <c r="D177" s="710">
        <v>0</v>
      </c>
      <c r="E177" s="712">
        <v>0</v>
      </c>
      <c r="F177" s="712">
        <v>27000000</v>
      </c>
      <c r="G177" s="839"/>
      <c r="H177" s="713" t="s">
        <v>5434</v>
      </c>
      <c r="I177" s="713" t="s">
        <v>901</v>
      </c>
      <c r="J177">
        <v>0</v>
      </c>
      <c r="K177" s="712">
        <v>0</v>
      </c>
      <c r="L177" s="712">
        <v>22000000</v>
      </c>
      <c r="M177" s="839"/>
      <c r="N177" s="713" t="s">
        <v>5575</v>
      </c>
      <c r="O177" s="713" t="s">
        <v>61</v>
      </c>
      <c r="P177">
        <v>0</v>
      </c>
      <c r="Q177" s="712">
        <v>26000000</v>
      </c>
      <c r="R177" s="712">
        <v>0</v>
      </c>
      <c r="S177" s="839"/>
      <c r="T177" s="713" t="s">
        <v>5800</v>
      </c>
      <c r="U177" s="713" t="s">
        <v>901</v>
      </c>
      <c r="V177">
        <v>0</v>
      </c>
      <c r="W177" s="712">
        <v>0</v>
      </c>
      <c r="X177" s="712">
        <v>28000000</v>
      </c>
      <c r="Y177" s="839"/>
      <c r="Z177" s="713" t="s">
        <v>6102</v>
      </c>
      <c r="AA177" s="713" t="s">
        <v>901</v>
      </c>
      <c r="AB177">
        <v>0</v>
      </c>
      <c r="AC177" s="712">
        <v>0</v>
      </c>
      <c r="AD177" s="712">
        <v>25000000</v>
      </c>
    </row>
    <row r="178" spans="1:30" x14ac:dyDescent="0.2">
      <c r="A178" s="839"/>
      <c r="B178" s="713" t="s">
        <v>5177</v>
      </c>
      <c r="C178" s="713" t="s">
        <v>901</v>
      </c>
      <c r="D178" s="710">
        <v>0</v>
      </c>
      <c r="E178" s="712">
        <v>0</v>
      </c>
      <c r="F178" s="712">
        <v>27000000</v>
      </c>
      <c r="G178" s="839"/>
      <c r="H178" s="713" t="s">
        <v>5435</v>
      </c>
      <c r="I178" s="713" t="s">
        <v>901</v>
      </c>
      <c r="J178">
        <v>0</v>
      </c>
      <c r="K178" s="712">
        <v>0</v>
      </c>
      <c r="L178" s="712">
        <v>22000000</v>
      </c>
      <c r="M178" s="839"/>
      <c r="N178" s="713" t="s">
        <v>5576</v>
      </c>
      <c r="O178" s="713" t="s">
        <v>61</v>
      </c>
      <c r="P178">
        <v>0</v>
      </c>
      <c r="Q178" s="712">
        <v>26000000</v>
      </c>
      <c r="R178" s="712">
        <v>0</v>
      </c>
      <c r="S178" s="839"/>
      <c r="T178" s="713" t="s">
        <v>5801</v>
      </c>
      <c r="U178" s="713" t="s">
        <v>901</v>
      </c>
      <c r="V178">
        <v>0</v>
      </c>
      <c r="W178" s="712">
        <v>0</v>
      </c>
      <c r="X178" s="712">
        <v>23000000</v>
      </c>
      <c r="Y178" s="839"/>
      <c r="Z178" s="713" t="s">
        <v>6103</v>
      </c>
      <c r="AA178" s="713" t="s">
        <v>901</v>
      </c>
      <c r="AB178">
        <v>0</v>
      </c>
      <c r="AC178" s="712">
        <v>0</v>
      </c>
      <c r="AD178" s="712">
        <v>25000000</v>
      </c>
    </row>
    <row r="179" spans="1:30" x14ac:dyDescent="0.2">
      <c r="A179" s="839"/>
      <c r="B179" s="713" t="s">
        <v>5178</v>
      </c>
      <c r="C179" s="713" t="s">
        <v>901</v>
      </c>
      <c r="D179" s="710">
        <v>0</v>
      </c>
      <c r="E179" s="712">
        <v>0</v>
      </c>
      <c r="F179" s="712">
        <v>27000000</v>
      </c>
      <c r="G179" s="839"/>
      <c r="H179" s="713" t="s">
        <v>5436</v>
      </c>
      <c r="I179" s="713" t="s">
        <v>901</v>
      </c>
      <c r="J179">
        <v>0</v>
      </c>
      <c r="K179" s="712">
        <v>0</v>
      </c>
      <c r="L179" s="712">
        <v>22000000</v>
      </c>
      <c r="M179" s="839"/>
      <c r="N179" s="713" t="s">
        <v>5577</v>
      </c>
      <c r="O179" s="713" t="s">
        <v>61</v>
      </c>
      <c r="P179">
        <v>0</v>
      </c>
      <c r="Q179" s="712">
        <v>26000000</v>
      </c>
      <c r="R179" s="712">
        <v>0</v>
      </c>
      <c r="S179" s="839"/>
      <c r="T179" s="713" t="s">
        <v>5802</v>
      </c>
      <c r="U179" s="713" t="s">
        <v>901</v>
      </c>
      <c r="V179">
        <v>0</v>
      </c>
      <c r="W179" s="712">
        <v>0</v>
      </c>
      <c r="X179" s="712">
        <v>23000000</v>
      </c>
      <c r="Y179" s="839"/>
      <c r="Z179" s="713" t="s">
        <v>6104</v>
      </c>
      <c r="AA179" s="713" t="s">
        <v>901</v>
      </c>
      <c r="AB179">
        <v>0</v>
      </c>
      <c r="AC179" s="712">
        <v>0</v>
      </c>
      <c r="AD179" s="712">
        <v>25000000</v>
      </c>
    </row>
    <row r="180" spans="1:30" x14ac:dyDescent="0.2">
      <c r="A180" s="839"/>
      <c r="B180" s="713" t="s">
        <v>5179</v>
      </c>
      <c r="C180" s="713" t="s">
        <v>901</v>
      </c>
      <c r="D180" s="710">
        <v>0</v>
      </c>
      <c r="E180" s="712">
        <v>0</v>
      </c>
      <c r="F180" s="712">
        <v>27000000</v>
      </c>
      <c r="G180" s="839"/>
      <c r="H180" s="713" t="s">
        <v>5437</v>
      </c>
      <c r="I180" s="713" t="s">
        <v>901</v>
      </c>
      <c r="J180">
        <v>0</v>
      </c>
      <c r="K180" s="712">
        <v>0</v>
      </c>
      <c r="L180" s="712">
        <v>22000000</v>
      </c>
      <c r="M180" s="839"/>
      <c r="N180" s="713" t="s">
        <v>5578</v>
      </c>
      <c r="O180" s="713" t="s">
        <v>61</v>
      </c>
      <c r="P180">
        <v>0</v>
      </c>
      <c r="Q180" s="712">
        <v>26000000</v>
      </c>
      <c r="R180" s="712">
        <v>0</v>
      </c>
      <c r="S180" s="839"/>
      <c r="T180" s="713" t="s">
        <v>5803</v>
      </c>
      <c r="U180" s="713" t="s">
        <v>901</v>
      </c>
      <c r="V180">
        <v>0</v>
      </c>
      <c r="W180" s="712">
        <v>0</v>
      </c>
      <c r="X180" s="712">
        <v>29000000</v>
      </c>
      <c r="Y180" s="839"/>
      <c r="Z180" s="713" t="s">
        <v>6105</v>
      </c>
      <c r="AA180" s="713" t="s">
        <v>901</v>
      </c>
      <c r="AB180">
        <v>0</v>
      </c>
      <c r="AC180" s="712">
        <v>0</v>
      </c>
      <c r="AD180" s="712">
        <v>25000000</v>
      </c>
    </row>
    <row r="181" spans="1:30" x14ac:dyDescent="0.2">
      <c r="A181" s="839"/>
      <c r="B181" s="713" t="s">
        <v>5180</v>
      </c>
      <c r="C181" s="713" t="s">
        <v>901</v>
      </c>
      <c r="D181" s="710">
        <v>0</v>
      </c>
      <c r="E181" s="712">
        <v>0</v>
      </c>
      <c r="F181" s="712">
        <v>27000000</v>
      </c>
      <c r="G181" s="839"/>
      <c r="H181" s="713" t="s">
        <v>5438</v>
      </c>
      <c r="I181" s="713" t="s">
        <v>901</v>
      </c>
      <c r="J181">
        <v>0</v>
      </c>
      <c r="K181" s="712">
        <v>0</v>
      </c>
      <c r="L181" s="712">
        <v>22000000</v>
      </c>
      <c r="M181" s="839"/>
      <c r="N181" s="713" t="s">
        <v>5579</v>
      </c>
      <c r="O181" s="713" t="s">
        <v>901</v>
      </c>
      <c r="P181">
        <v>0</v>
      </c>
      <c r="Q181" s="712">
        <v>0</v>
      </c>
      <c r="R181" s="712">
        <v>26000000</v>
      </c>
      <c r="S181" s="839"/>
      <c r="T181" s="713" t="s">
        <v>5804</v>
      </c>
      <c r="U181" s="713" t="s">
        <v>901</v>
      </c>
      <c r="V181">
        <v>0</v>
      </c>
      <c r="W181" s="712">
        <v>0</v>
      </c>
      <c r="X181" s="712">
        <v>28000000</v>
      </c>
      <c r="Y181" s="839"/>
      <c r="Z181" s="713" t="s">
        <v>6106</v>
      </c>
      <c r="AA181" s="713" t="s">
        <v>901</v>
      </c>
      <c r="AB181">
        <v>0</v>
      </c>
      <c r="AC181" s="712">
        <v>0</v>
      </c>
      <c r="AD181" s="712">
        <v>25000000</v>
      </c>
    </row>
    <row r="182" spans="1:30" x14ac:dyDescent="0.2">
      <c r="A182" s="839"/>
      <c r="B182" s="713" t="s">
        <v>5181</v>
      </c>
      <c r="C182" s="713" t="s">
        <v>901</v>
      </c>
      <c r="D182" s="710">
        <v>0</v>
      </c>
      <c r="E182" s="712">
        <v>0</v>
      </c>
      <c r="F182" s="712">
        <v>27000000</v>
      </c>
      <c r="G182" s="839"/>
      <c r="H182" s="713" t="s">
        <v>5439</v>
      </c>
      <c r="I182" s="713" t="s">
        <v>901</v>
      </c>
      <c r="J182">
        <v>0</v>
      </c>
      <c r="K182" s="712">
        <v>0</v>
      </c>
      <c r="L182" s="712">
        <v>22000000</v>
      </c>
      <c r="M182" s="839"/>
      <c r="N182" s="713" t="s">
        <v>5580</v>
      </c>
      <c r="O182" s="713" t="s">
        <v>901</v>
      </c>
      <c r="P182">
        <v>0</v>
      </c>
      <c r="Q182" s="712">
        <v>0</v>
      </c>
      <c r="R182" s="712">
        <v>26000000</v>
      </c>
      <c r="S182" s="839"/>
      <c r="T182" s="713" t="s">
        <v>5805</v>
      </c>
      <c r="U182" s="713" t="s">
        <v>901</v>
      </c>
      <c r="V182">
        <v>0</v>
      </c>
      <c r="W182" s="712">
        <v>0</v>
      </c>
      <c r="X182" s="712">
        <v>28000000</v>
      </c>
      <c r="Y182" s="839"/>
      <c r="Z182" s="713" t="s">
        <v>6107</v>
      </c>
      <c r="AA182" s="713" t="s">
        <v>61</v>
      </c>
      <c r="AB182">
        <v>0</v>
      </c>
      <c r="AC182" s="712">
        <v>25000000</v>
      </c>
      <c r="AD182" s="712">
        <v>0</v>
      </c>
    </row>
    <row r="183" spans="1:30" x14ac:dyDescent="0.2">
      <c r="A183" s="839"/>
      <c r="B183" s="713" t="s">
        <v>5182</v>
      </c>
      <c r="C183" s="713" t="s">
        <v>901</v>
      </c>
      <c r="D183" s="710">
        <v>0</v>
      </c>
      <c r="E183" s="712">
        <v>0</v>
      </c>
      <c r="F183" s="712">
        <v>27000000</v>
      </c>
      <c r="G183" s="839"/>
      <c r="H183" s="713" t="s">
        <v>5440</v>
      </c>
      <c r="I183" s="713" t="s">
        <v>901</v>
      </c>
      <c r="J183">
        <v>0</v>
      </c>
      <c r="K183" s="712">
        <v>0</v>
      </c>
      <c r="L183" s="712">
        <v>22000000</v>
      </c>
      <c r="M183" s="839"/>
      <c r="N183" s="713" t="s">
        <v>5581</v>
      </c>
      <c r="O183" s="713" t="s">
        <v>901</v>
      </c>
      <c r="P183">
        <v>0</v>
      </c>
      <c r="Q183" s="712">
        <v>0</v>
      </c>
      <c r="R183" s="712">
        <v>26000000</v>
      </c>
      <c r="S183" s="839"/>
      <c r="T183" s="713" t="s">
        <v>5806</v>
      </c>
      <c r="U183" s="713" t="s">
        <v>901</v>
      </c>
      <c r="V183">
        <v>0</v>
      </c>
      <c r="W183" s="712">
        <v>0</v>
      </c>
      <c r="X183" s="712">
        <v>28000000</v>
      </c>
      <c r="Y183" s="839"/>
      <c r="Z183" s="713" t="s">
        <v>6108</v>
      </c>
      <c r="AA183" s="713" t="s">
        <v>901</v>
      </c>
      <c r="AB183">
        <v>0</v>
      </c>
      <c r="AC183" s="712">
        <v>0</v>
      </c>
      <c r="AD183" s="712">
        <v>25000000</v>
      </c>
    </row>
    <row r="184" spans="1:30" x14ac:dyDescent="0.2">
      <c r="A184" s="839"/>
      <c r="B184" s="713" t="s">
        <v>5183</v>
      </c>
      <c r="C184" s="713" t="s">
        <v>901</v>
      </c>
      <c r="D184" s="710">
        <v>0</v>
      </c>
      <c r="E184" s="712">
        <v>0</v>
      </c>
      <c r="F184" s="712">
        <v>27000000</v>
      </c>
      <c r="G184" s="839"/>
      <c r="H184" s="713" t="s">
        <v>5441</v>
      </c>
      <c r="I184" s="713" t="s">
        <v>901</v>
      </c>
      <c r="J184">
        <v>0</v>
      </c>
      <c r="K184" s="712">
        <v>0</v>
      </c>
      <c r="L184" s="712">
        <v>22000000</v>
      </c>
      <c r="M184" s="839"/>
      <c r="N184" s="713" t="s">
        <v>5582</v>
      </c>
      <c r="O184" s="713" t="s">
        <v>901</v>
      </c>
      <c r="P184">
        <v>0</v>
      </c>
      <c r="Q184" s="712">
        <v>0</v>
      </c>
      <c r="R184" s="712">
        <v>26000000</v>
      </c>
      <c r="S184" s="839"/>
      <c r="T184" s="713" t="s">
        <v>5807</v>
      </c>
      <c r="U184" s="713" t="s">
        <v>901</v>
      </c>
      <c r="V184">
        <v>0</v>
      </c>
      <c r="W184" s="712">
        <v>0</v>
      </c>
      <c r="X184" s="712">
        <v>28000000</v>
      </c>
      <c r="Y184" s="839"/>
      <c r="Z184" s="713" t="s">
        <v>6109</v>
      </c>
      <c r="AA184" s="713" t="s">
        <v>901</v>
      </c>
      <c r="AB184">
        <v>0</v>
      </c>
      <c r="AC184" s="712">
        <v>0</v>
      </c>
      <c r="AD184" s="712">
        <v>25000000</v>
      </c>
    </row>
    <row r="185" spans="1:30" x14ac:dyDescent="0.2">
      <c r="A185" s="839"/>
      <c r="B185" s="713" t="s">
        <v>5184</v>
      </c>
      <c r="C185" s="713" t="s">
        <v>901</v>
      </c>
      <c r="D185" s="710">
        <v>0</v>
      </c>
      <c r="E185" s="712">
        <v>0</v>
      </c>
      <c r="F185" s="712">
        <v>22000000</v>
      </c>
      <c r="G185" s="839"/>
      <c r="H185" s="713" t="s">
        <v>5442</v>
      </c>
      <c r="I185" s="713" t="s">
        <v>901</v>
      </c>
      <c r="J185">
        <v>0</v>
      </c>
      <c r="K185" s="712">
        <v>0</v>
      </c>
      <c r="L185" s="712">
        <v>27000000</v>
      </c>
      <c r="M185" s="839"/>
      <c r="N185" s="713" t="s">
        <v>5583</v>
      </c>
      <c r="O185" s="713" t="s">
        <v>901</v>
      </c>
      <c r="P185">
        <v>0</v>
      </c>
      <c r="Q185" s="712">
        <v>0</v>
      </c>
      <c r="R185" s="712">
        <v>26000000</v>
      </c>
      <c r="S185" s="839"/>
      <c r="T185" s="713" t="s">
        <v>5808</v>
      </c>
      <c r="U185" s="713" t="s">
        <v>901</v>
      </c>
      <c r="V185">
        <v>0</v>
      </c>
      <c r="W185" s="712">
        <v>0</v>
      </c>
      <c r="X185" s="712">
        <v>28000000</v>
      </c>
      <c r="Y185" s="839"/>
      <c r="Z185" s="713" t="s">
        <v>6110</v>
      </c>
      <c r="AA185" s="713" t="s">
        <v>901</v>
      </c>
      <c r="AB185">
        <v>0</v>
      </c>
      <c r="AC185" s="712">
        <v>0</v>
      </c>
      <c r="AD185" s="712">
        <v>25000000</v>
      </c>
    </row>
    <row r="186" spans="1:30" x14ac:dyDescent="0.2">
      <c r="A186" s="839"/>
      <c r="B186" s="713" t="s">
        <v>5185</v>
      </c>
      <c r="C186" s="713" t="s">
        <v>901</v>
      </c>
      <c r="D186" s="710">
        <v>0</v>
      </c>
      <c r="E186" s="712">
        <v>0</v>
      </c>
      <c r="F186" s="712">
        <v>27000000</v>
      </c>
      <c r="G186" s="839"/>
      <c r="H186" s="713" t="s">
        <v>5443</v>
      </c>
      <c r="I186" s="713" t="s">
        <v>901</v>
      </c>
      <c r="J186">
        <v>0</v>
      </c>
      <c r="K186" s="712">
        <v>0</v>
      </c>
      <c r="L186" s="712">
        <v>27000000</v>
      </c>
      <c r="M186" s="839"/>
      <c r="N186" s="713" t="s">
        <v>5584</v>
      </c>
      <c r="O186" s="713" t="s">
        <v>901</v>
      </c>
      <c r="P186">
        <v>0</v>
      </c>
      <c r="Q186" s="712">
        <v>0</v>
      </c>
      <c r="R186" s="712">
        <v>26000000</v>
      </c>
      <c r="S186" s="839"/>
      <c r="T186" s="713" t="s">
        <v>5809</v>
      </c>
      <c r="U186" s="713" t="s">
        <v>901</v>
      </c>
      <c r="V186">
        <v>0</v>
      </c>
      <c r="W186" s="712">
        <v>0</v>
      </c>
      <c r="X186" s="712">
        <v>28000000</v>
      </c>
      <c r="Y186" s="839"/>
      <c r="Z186" s="713" t="s">
        <v>6111</v>
      </c>
      <c r="AA186" s="713" t="s">
        <v>901</v>
      </c>
      <c r="AB186">
        <v>0</v>
      </c>
      <c r="AC186" s="712">
        <v>0</v>
      </c>
      <c r="AD186" s="712">
        <v>25000000</v>
      </c>
    </row>
    <row r="187" spans="1:30" x14ac:dyDescent="0.2">
      <c r="A187" s="839"/>
      <c r="B187" s="713" t="s">
        <v>5186</v>
      </c>
      <c r="C187" s="713" t="s">
        <v>901</v>
      </c>
      <c r="D187" s="710">
        <v>0</v>
      </c>
      <c r="E187" s="712">
        <v>0</v>
      </c>
      <c r="F187" s="712">
        <v>27000000</v>
      </c>
      <c r="G187" s="839"/>
      <c r="H187" s="713" t="s">
        <v>5444</v>
      </c>
      <c r="I187" s="713" t="s">
        <v>901</v>
      </c>
      <c r="J187">
        <v>0</v>
      </c>
      <c r="K187" s="712">
        <v>0</v>
      </c>
      <c r="L187" s="712">
        <v>27000000</v>
      </c>
      <c r="M187" s="839"/>
      <c r="N187" s="713" t="s">
        <v>5585</v>
      </c>
      <c r="O187" s="713" t="s">
        <v>901</v>
      </c>
      <c r="P187">
        <v>0</v>
      </c>
      <c r="Q187" s="712">
        <v>0</v>
      </c>
      <c r="R187" s="712">
        <v>26000000</v>
      </c>
      <c r="S187" s="839"/>
      <c r="T187" s="713" t="s">
        <v>5810</v>
      </c>
      <c r="U187" s="713" t="s">
        <v>901</v>
      </c>
      <c r="V187">
        <v>0</v>
      </c>
      <c r="W187" s="712">
        <v>0</v>
      </c>
      <c r="X187" s="712">
        <v>28000000</v>
      </c>
      <c r="Y187" s="839"/>
      <c r="Z187" s="713" t="s">
        <v>6112</v>
      </c>
      <c r="AA187" s="713" t="s">
        <v>901</v>
      </c>
      <c r="AB187">
        <v>0</v>
      </c>
      <c r="AC187" s="712">
        <v>0</v>
      </c>
      <c r="AD187" s="712">
        <v>25000000</v>
      </c>
    </row>
    <row r="188" spans="1:30" x14ac:dyDescent="0.2">
      <c r="A188" s="839"/>
      <c r="B188" s="713" t="s">
        <v>5187</v>
      </c>
      <c r="C188" s="713" t="s">
        <v>901</v>
      </c>
      <c r="D188" s="710">
        <v>0</v>
      </c>
      <c r="E188" s="712">
        <v>0</v>
      </c>
      <c r="F188" s="712">
        <v>27000000</v>
      </c>
      <c r="G188" s="839"/>
      <c r="H188" s="713" t="s">
        <v>5292</v>
      </c>
      <c r="I188" s="713" t="s">
        <v>901</v>
      </c>
      <c r="J188">
        <v>0</v>
      </c>
      <c r="K188" s="712">
        <v>0</v>
      </c>
      <c r="L188" s="712">
        <v>22000000</v>
      </c>
      <c r="M188" s="839"/>
      <c r="N188" s="713" t="s">
        <v>5586</v>
      </c>
      <c r="O188" s="713" t="s">
        <v>901</v>
      </c>
      <c r="P188">
        <v>0</v>
      </c>
      <c r="Q188" s="712">
        <v>0</v>
      </c>
      <c r="R188" s="712">
        <v>26000000</v>
      </c>
      <c r="S188" s="839"/>
      <c r="T188" s="713" t="s">
        <v>5811</v>
      </c>
      <c r="U188" s="713" t="s">
        <v>901</v>
      </c>
      <c r="V188">
        <v>0</v>
      </c>
      <c r="W188" s="712">
        <v>0</v>
      </c>
      <c r="X188" s="712">
        <v>28000000</v>
      </c>
      <c r="Y188" s="839"/>
      <c r="Z188" s="713" t="s">
        <v>6113</v>
      </c>
      <c r="AA188" s="713" t="s">
        <v>901</v>
      </c>
      <c r="AB188">
        <v>0</v>
      </c>
      <c r="AC188" s="712">
        <v>0</v>
      </c>
      <c r="AD188" s="712">
        <v>25000000</v>
      </c>
    </row>
    <row r="189" spans="1:30" x14ac:dyDescent="0.2">
      <c r="A189" s="839"/>
      <c r="B189" s="713" t="s">
        <v>5188</v>
      </c>
      <c r="C189" s="713" t="s">
        <v>901</v>
      </c>
      <c r="D189" s="710">
        <v>0</v>
      </c>
      <c r="E189" s="712">
        <v>0</v>
      </c>
      <c r="F189" s="712">
        <v>27000000</v>
      </c>
      <c r="G189" s="839"/>
      <c r="H189" s="713" t="s">
        <v>5445</v>
      </c>
      <c r="I189" s="713" t="s">
        <v>901</v>
      </c>
      <c r="J189">
        <v>0</v>
      </c>
      <c r="K189" s="712">
        <v>0</v>
      </c>
      <c r="L189" s="712">
        <v>22000000</v>
      </c>
      <c r="M189" s="839"/>
      <c r="N189" s="713" t="s">
        <v>5587</v>
      </c>
      <c r="O189" s="713" t="s">
        <v>901</v>
      </c>
      <c r="P189">
        <v>0</v>
      </c>
      <c r="Q189" s="712">
        <v>0</v>
      </c>
      <c r="R189" s="712">
        <v>26000000</v>
      </c>
      <c r="S189" s="839"/>
      <c r="T189" s="713" t="s">
        <v>5812</v>
      </c>
      <c r="U189" s="713" t="s">
        <v>901</v>
      </c>
      <c r="V189">
        <v>0</v>
      </c>
      <c r="W189" s="712">
        <v>0</v>
      </c>
      <c r="X189" s="712">
        <v>28000000</v>
      </c>
      <c r="Y189" s="839"/>
      <c r="Z189" s="713" t="s">
        <v>6114</v>
      </c>
      <c r="AA189" s="713" t="s">
        <v>901</v>
      </c>
      <c r="AB189">
        <v>0</v>
      </c>
      <c r="AC189" s="712">
        <v>0</v>
      </c>
      <c r="AD189" s="712">
        <v>25000000</v>
      </c>
    </row>
    <row r="190" spans="1:30" x14ac:dyDescent="0.2">
      <c r="A190" s="839"/>
      <c r="B190" s="713" t="s">
        <v>5189</v>
      </c>
      <c r="C190" s="713" t="s">
        <v>901</v>
      </c>
      <c r="D190" s="710">
        <v>0</v>
      </c>
      <c r="E190" s="712">
        <v>0</v>
      </c>
      <c r="F190" s="712">
        <v>27000000</v>
      </c>
      <c r="G190" s="839"/>
      <c r="H190" s="713" t="s">
        <v>5446</v>
      </c>
      <c r="I190" s="713" t="s">
        <v>901</v>
      </c>
      <c r="J190">
        <v>0</v>
      </c>
      <c r="K190" s="712">
        <v>0</v>
      </c>
      <c r="L190" s="712">
        <v>22000000</v>
      </c>
      <c r="M190" s="839"/>
      <c r="N190" s="713" t="s">
        <v>5588</v>
      </c>
      <c r="O190" s="713" t="s">
        <v>901</v>
      </c>
      <c r="P190">
        <v>0</v>
      </c>
      <c r="Q190" s="712">
        <v>0</v>
      </c>
      <c r="R190" s="712">
        <v>26000000</v>
      </c>
      <c r="S190" s="839"/>
      <c r="T190" s="713" t="s">
        <v>5813</v>
      </c>
      <c r="U190" s="713" t="s">
        <v>901</v>
      </c>
      <c r="V190">
        <v>0</v>
      </c>
      <c r="W190" s="712">
        <v>0</v>
      </c>
      <c r="X190" s="712">
        <v>28000000</v>
      </c>
      <c r="Y190" s="839"/>
      <c r="Z190" s="713" t="s">
        <v>6115</v>
      </c>
      <c r="AA190" s="713" t="s">
        <v>901</v>
      </c>
      <c r="AB190">
        <v>0</v>
      </c>
      <c r="AC190" s="712">
        <v>0</v>
      </c>
      <c r="AD190" s="712">
        <v>25000000</v>
      </c>
    </row>
    <row r="191" spans="1:30" x14ac:dyDescent="0.2">
      <c r="A191" s="839"/>
      <c r="B191" s="713" t="s">
        <v>5190</v>
      </c>
      <c r="C191" s="713" t="s">
        <v>901</v>
      </c>
      <c r="D191" s="710">
        <v>0</v>
      </c>
      <c r="E191" s="712">
        <v>0</v>
      </c>
      <c r="F191" s="712">
        <v>27000000</v>
      </c>
      <c r="G191" s="839"/>
      <c r="H191" s="713" t="s">
        <v>5447</v>
      </c>
      <c r="I191" s="713" t="s">
        <v>901</v>
      </c>
      <c r="J191">
        <v>0</v>
      </c>
      <c r="K191" s="712">
        <v>0</v>
      </c>
      <c r="L191" s="712">
        <v>27000000</v>
      </c>
      <c r="M191" s="839"/>
      <c r="N191" s="713" t="s">
        <v>5589</v>
      </c>
      <c r="O191" s="713" t="s">
        <v>901</v>
      </c>
      <c r="P191">
        <v>0</v>
      </c>
      <c r="Q191" s="712">
        <v>0</v>
      </c>
      <c r="R191" s="712">
        <v>26000000</v>
      </c>
      <c r="S191" s="839"/>
      <c r="T191" s="713" t="s">
        <v>5814</v>
      </c>
      <c r="U191" s="713" t="s">
        <v>901</v>
      </c>
      <c r="V191">
        <v>0</v>
      </c>
      <c r="W191" s="712">
        <v>0</v>
      </c>
      <c r="X191" s="712">
        <v>24000000</v>
      </c>
      <c r="Y191" s="839"/>
      <c r="Z191" s="713" t="s">
        <v>6116</v>
      </c>
      <c r="AA191" s="713" t="s">
        <v>61</v>
      </c>
      <c r="AB191">
        <v>0</v>
      </c>
      <c r="AC191" s="712">
        <v>25000000</v>
      </c>
      <c r="AD191" s="712">
        <v>0</v>
      </c>
    </row>
    <row r="192" spans="1:30" x14ac:dyDescent="0.2">
      <c r="A192" s="839"/>
      <c r="B192" s="713" t="s">
        <v>5191</v>
      </c>
      <c r="C192" s="713" t="s">
        <v>901</v>
      </c>
      <c r="D192" s="710">
        <v>0</v>
      </c>
      <c r="E192" s="712">
        <v>0</v>
      </c>
      <c r="F192" s="712">
        <v>22000000</v>
      </c>
      <c r="G192" s="839"/>
      <c r="H192" s="713" t="s">
        <v>5448</v>
      </c>
      <c r="I192" s="713" t="s">
        <v>901</v>
      </c>
      <c r="J192">
        <v>0</v>
      </c>
      <c r="K192" s="712">
        <v>0</v>
      </c>
      <c r="L192" s="712">
        <v>27000000</v>
      </c>
      <c r="M192" s="839"/>
      <c r="N192" s="713" t="s">
        <v>5590</v>
      </c>
      <c r="O192" s="713" t="s">
        <v>901</v>
      </c>
      <c r="P192">
        <v>0</v>
      </c>
      <c r="Q192" s="712">
        <v>0</v>
      </c>
      <c r="R192" s="712">
        <v>26000000</v>
      </c>
      <c r="S192" s="839"/>
      <c r="T192" s="713" t="s">
        <v>5815</v>
      </c>
      <c r="U192" s="713" t="s">
        <v>901</v>
      </c>
      <c r="V192">
        <v>0</v>
      </c>
      <c r="W192" s="712">
        <v>0</v>
      </c>
      <c r="X192" s="712">
        <v>23000000</v>
      </c>
      <c r="Y192" s="839"/>
      <c r="Z192" s="713" t="s">
        <v>6117</v>
      </c>
      <c r="AA192" s="713" t="s">
        <v>901</v>
      </c>
      <c r="AB192">
        <v>0</v>
      </c>
      <c r="AC192" s="712">
        <v>0</v>
      </c>
      <c r="AD192" s="712">
        <v>25000000</v>
      </c>
    </row>
    <row r="193" spans="1:30" x14ac:dyDescent="0.2">
      <c r="A193" s="839"/>
      <c r="B193" s="713" t="s">
        <v>5192</v>
      </c>
      <c r="C193" s="713" t="s">
        <v>901</v>
      </c>
      <c r="D193" s="710">
        <v>0</v>
      </c>
      <c r="E193" s="712">
        <v>0</v>
      </c>
      <c r="F193" s="712">
        <v>22000000</v>
      </c>
      <c r="G193" s="839"/>
      <c r="H193" s="713" t="s">
        <v>5449</v>
      </c>
      <c r="I193" s="713" t="s">
        <v>901</v>
      </c>
      <c r="J193">
        <v>0</v>
      </c>
      <c r="K193" s="712">
        <v>0</v>
      </c>
      <c r="L193" s="712">
        <v>27000000</v>
      </c>
      <c r="M193" s="839"/>
      <c r="N193" s="713" t="s">
        <v>5591</v>
      </c>
      <c r="O193" s="713" t="s">
        <v>901</v>
      </c>
      <c r="P193">
        <v>0</v>
      </c>
      <c r="Q193" s="712">
        <v>0</v>
      </c>
      <c r="R193" s="712">
        <v>26000000</v>
      </c>
      <c r="S193" s="839"/>
      <c r="T193" s="713" t="s">
        <v>5816</v>
      </c>
      <c r="U193" s="713" t="s">
        <v>901</v>
      </c>
      <c r="V193">
        <v>0</v>
      </c>
      <c r="W193" s="712">
        <v>0</v>
      </c>
      <c r="X193" s="712">
        <v>24000000</v>
      </c>
      <c r="Y193" s="839"/>
      <c r="Z193" s="713" t="s">
        <v>6118</v>
      </c>
      <c r="AA193" s="713" t="s">
        <v>901</v>
      </c>
      <c r="AB193">
        <v>0</v>
      </c>
      <c r="AC193" s="712">
        <v>0</v>
      </c>
      <c r="AD193" s="712">
        <v>25000000</v>
      </c>
    </row>
    <row r="194" spans="1:30" x14ac:dyDescent="0.2">
      <c r="A194" s="839"/>
      <c r="B194" s="713" t="s">
        <v>5193</v>
      </c>
      <c r="C194" s="713" t="s">
        <v>901</v>
      </c>
      <c r="D194" s="710">
        <v>0</v>
      </c>
      <c r="E194" s="712">
        <v>0</v>
      </c>
      <c r="F194" s="712">
        <v>22000000</v>
      </c>
      <c r="G194" s="839"/>
      <c r="H194" s="713" t="s">
        <v>5450</v>
      </c>
      <c r="I194" s="713" t="s">
        <v>901</v>
      </c>
      <c r="J194">
        <v>0</v>
      </c>
      <c r="K194" s="712">
        <v>0</v>
      </c>
      <c r="L194" s="712">
        <v>27000000</v>
      </c>
      <c r="M194" s="839"/>
      <c r="N194" s="713" t="s">
        <v>5592</v>
      </c>
      <c r="O194" s="713" t="s">
        <v>901</v>
      </c>
      <c r="P194">
        <v>0</v>
      </c>
      <c r="Q194" s="712">
        <v>0</v>
      </c>
      <c r="R194" s="712">
        <v>26000000</v>
      </c>
      <c r="S194" s="839"/>
      <c r="T194" s="713" t="s">
        <v>5817</v>
      </c>
      <c r="U194" s="713" t="s">
        <v>901</v>
      </c>
      <c r="V194">
        <v>0</v>
      </c>
      <c r="W194" s="712">
        <v>0</v>
      </c>
      <c r="X194" s="712">
        <v>24000000</v>
      </c>
      <c r="Y194" s="839"/>
      <c r="Z194" s="713" t="s">
        <v>6119</v>
      </c>
      <c r="AA194" s="713" t="s">
        <v>61</v>
      </c>
      <c r="AB194">
        <v>0</v>
      </c>
      <c r="AC194" s="712">
        <v>25000000</v>
      </c>
      <c r="AD194" s="712">
        <v>0</v>
      </c>
    </row>
    <row r="195" spans="1:30" x14ac:dyDescent="0.2">
      <c r="A195" s="839"/>
      <c r="B195" s="713" t="s">
        <v>5194</v>
      </c>
      <c r="C195" s="713" t="s">
        <v>901</v>
      </c>
      <c r="D195" s="710">
        <v>0</v>
      </c>
      <c r="E195" s="712">
        <v>0</v>
      </c>
      <c r="F195" s="712">
        <v>22000000</v>
      </c>
      <c r="G195" s="839"/>
      <c r="H195" s="713" t="s">
        <v>5451</v>
      </c>
      <c r="I195" s="713" t="s">
        <v>901</v>
      </c>
      <c r="J195">
        <v>0</v>
      </c>
      <c r="K195" s="712">
        <v>0</v>
      </c>
      <c r="L195" s="712">
        <v>27000000</v>
      </c>
      <c r="M195" s="839"/>
      <c r="N195" s="713" t="s">
        <v>5593</v>
      </c>
      <c r="O195" s="713" t="s">
        <v>901</v>
      </c>
      <c r="P195">
        <v>0</v>
      </c>
      <c r="Q195" s="712">
        <v>0</v>
      </c>
      <c r="R195" s="712">
        <v>26000000</v>
      </c>
      <c r="S195" s="839"/>
      <c r="T195" s="713" t="s">
        <v>5818</v>
      </c>
      <c r="U195" s="713" t="s">
        <v>901</v>
      </c>
      <c r="V195">
        <v>0</v>
      </c>
      <c r="W195" s="712">
        <v>0</v>
      </c>
      <c r="X195" s="712">
        <v>23000000</v>
      </c>
      <c r="Y195" s="839"/>
      <c r="Z195" s="713" t="s">
        <v>6120</v>
      </c>
      <c r="AA195" s="713" t="s">
        <v>901</v>
      </c>
      <c r="AB195">
        <v>0</v>
      </c>
      <c r="AC195" s="712">
        <v>0</v>
      </c>
      <c r="AD195" s="712">
        <v>25000000</v>
      </c>
    </row>
    <row r="196" spans="1:30" x14ac:dyDescent="0.2">
      <c r="A196" s="839"/>
      <c r="B196" s="713" t="s">
        <v>5195</v>
      </c>
      <c r="C196" s="713" t="s">
        <v>901</v>
      </c>
      <c r="D196" s="710">
        <v>0</v>
      </c>
      <c r="E196" s="712">
        <v>0</v>
      </c>
      <c r="F196" s="712">
        <v>22000000</v>
      </c>
      <c r="G196" s="839"/>
      <c r="H196" s="713" t="s">
        <v>5452</v>
      </c>
      <c r="I196" s="713" t="s">
        <v>901</v>
      </c>
      <c r="J196">
        <v>0</v>
      </c>
      <c r="K196" s="712">
        <v>0</v>
      </c>
      <c r="L196" s="712">
        <v>27000000</v>
      </c>
      <c r="M196" s="839"/>
      <c r="N196" s="713" t="s">
        <v>5594</v>
      </c>
      <c r="O196" s="713" t="s">
        <v>901</v>
      </c>
      <c r="P196">
        <v>0</v>
      </c>
      <c r="Q196" s="712">
        <v>0</v>
      </c>
      <c r="R196" s="712">
        <v>26000000</v>
      </c>
      <c r="S196" s="839"/>
      <c r="T196" s="713" t="s">
        <v>5819</v>
      </c>
      <c r="U196" s="713" t="s">
        <v>901</v>
      </c>
      <c r="V196">
        <v>0</v>
      </c>
      <c r="W196" s="712">
        <v>0</v>
      </c>
      <c r="X196" s="712">
        <v>24000000</v>
      </c>
      <c r="Y196" s="839"/>
      <c r="Z196" s="713" t="s">
        <v>6121</v>
      </c>
      <c r="AA196" s="713" t="s">
        <v>901</v>
      </c>
      <c r="AB196">
        <v>0</v>
      </c>
      <c r="AC196" s="712">
        <v>0</v>
      </c>
      <c r="AD196" s="712">
        <v>25000000</v>
      </c>
    </row>
    <row r="197" spans="1:30" x14ac:dyDescent="0.2">
      <c r="A197" s="839"/>
      <c r="B197" s="713" t="s">
        <v>5196</v>
      </c>
      <c r="C197" s="713" t="s">
        <v>901</v>
      </c>
      <c r="D197" s="710">
        <v>0</v>
      </c>
      <c r="E197" s="712">
        <v>0</v>
      </c>
      <c r="F197" s="712">
        <v>22000000</v>
      </c>
      <c r="G197" s="839"/>
      <c r="H197" s="713" t="s">
        <v>5453</v>
      </c>
      <c r="I197" s="713" t="s">
        <v>901</v>
      </c>
      <c r="J197">
        <v>0</v>
      </c>
      <c r="K197" s="712">
        <v>0</v>
      </c>
      <c r="L197" s="712">
        <v>27000000</v>
      </c>
      <c r="M197" s="839"/>
      <c r="N197" s="713" t="s">
        <v>5595</v>
      </c>
      <c r="O197" s="713" t="s">
        <v>901</v>
      </c>
      <c r="P197">
        <v>0</v>
      </c>
      <c r="Q197" s="712">
        <v>0</v>
      </c>
      <c r="R197" s="712">
        <v>26000000</v>
      </c>
      <c r="S197" s="839"/>
      <c r="T197" s="713" t="s">
        <v>5820</v>
      </c>
      <c r="U197" s="713" t="s">
        <v>901</v>
      </c>
      <c r="V197">
        <v>0</v>
      </c>
      <c r="W197" s="712">
        <v>0</v>
      </c>
      <c r="X197" s="712">
        <v>24000000</v>
      </c>
      <c r="Y197" s="839"/>
      <c r="Z197" s="713" t="s">
        <v>6122</v>
      </c>
      <c r="AA197" s="713" t="s">
        <v>901</v>
      </c>
      <c r="AB197">
        <v>0</v>
      </c>
      <c r="AC197" s="712">
        <v>0</v>
      </c>
      <c r="AD197" s="712">
        <v>25000000</v>
      </c>
    </row>
    <row r="198" spans="1:30" x14ac:dyDescent="0.2">
      <c r="A198" s="839"/>
      <c r="B198" s="713" t="s">
        <v>5197</v>
      </c>
      <c r="C198" s="713" t="s">
        <v>901</v>
      </c>
      <c r="D198" s="710">
        <v>0</v>
      </c>
      <c r="E198" s="712">
        <v>0</v>
      </c>
      <c r="F198" s="712">
        <v>22000000</v>
      </c>
      <c r="G198" s="839"/>
      <c r="H198" s="713" t="s">
        <v>5307</v>
      </c>
      <c r="I198" s="713" t="s">
        <v>901</v>
      </c>
      <c r="J198">
        <v>0</v>
      </c>
      <c r="K198" s="712">
        <v>0</v>
      </c>
      <c r="L198" s="712">
        <v>27000000</v>
      </c>
      <c r="M198" s="839"/>
      <c r="N198" s="713" t="s">
        <v>5596</v>
      </c>
      <c r="O198" s="713" t="s">
        <v>901</v>
      </c>
      <c r="P198">
        <v>0</v>
      </c>
      <c r="Q198" s="712">
        <v>0</v>
      </c>
      <c r="R198" s="712">
        <v>26000000</v>
      </c>
      <c r="S198" s="839"/>
      <c r="T198" s="713" t="s">
        <v>5821</v>
      </c>
      <c r="U198" s="713" t="s">
        <v>901</v>
      </c>
      <c r="V198">
        <v>0</v>
      </c>
      <c r="W198" s="712">
        <v>0</v>
      </c>
      <c r="X198" s="712">
        <v>24000000</v>
      </c>
      <c r="Y198" s="839"/>
      <c r="Z198" s="713" t="s">
        <v>6123</v>
      </c>
      <c r="AA198" s="713" t="s">
        <v>901</v>
      </c>
      <c r="AB198">
        <v>0</v>
      </c>
      <c r="AC198" s="712">
        <v>0</v>
      </c>
      <c r="AD198" s="712">
        <v>25000000</v>
      </c>
    </row>
    <row r="199" spans="1:30" x14ac:dyDescent="0.2">
      <c r="A199" s="839"/>
      <c r="B199" s="713" t="s">
        <v>5198</v>
      </c>
      <c r="C199" s="713" t="s">
        <v>901</v>
      </c>
      <c r="D199" s="710">
        <v>0</v>
      </c>
      <c r="E199" s="712">
        <v>0</v>
      </c>
      <c r="F199" s="712">
        <v>22000000</v>
      </c>
      <c r="G199" s="839"/>
      <c r="H199" s="713" t="s">
        <v>5454</v>
      </c>
      <c r="I199" s="713" t="s">
        <v>901</v>
      </c>
      <c r="J199">
        <v>0</v>
      </c>
      <c r="K199" s="712">
        <v>0</v>
      </c>
      <c r="L199" s="712">
        <v>22000000</v>
      </c>
      <c r="M199" s="839"/>
      <c r="N199" s="713" t="s">
        <v>5597</v>
      </c>
      <c r="O199" s="713" t="s">
        <v>901</v>
      </c>
      <c r="P199">
        <v>0</v>
      </c>
      <c r="Q199" s="712">
        <v>0</v>
      </c>
      <c r="R199" s="712">
        <v>26000000</v>
      </c>
      <c r="S199" s="839"/>
      <c r="T199" s="713" t="s">
        <v>5822</v>
      </c>
      <c r="U199" s="713" t="s">
        <v>901</v>
      </c>
      <c r="V199">
        <v>0</v>
      </c>
      <c r="W199" s="712">
        <v>0</v>
      </c>
      <c r="X199" s="712">
        <v>24000000</v>
      </c>
      <c r="Y199" s="839"/>
      <c r="Z199" s="713" t="s">
        <v>6124</v>
      </c>
      <c r="AA199" s="713" t="s">
        <v>901</v>
      </c>
      <c r="AB199">
        <v>0</v>
      </c>
      <c r="AC199" s="712">
        <v>0</v>
      </c>
      <c r="AD199" s="712">
        <v>25000000</v>
      </c>
    </row>
    <row r="200" spans="1:30" x14ac:dyDescent="0.2">
      <c r="A200" s="839"/>
      <c r="B200" s="713" t="s">
        <v>5199</v>
      </c>
      <c r="C200" s="713" t="s">
        <v>901</v>
      </c>
      <c r="D200" s="710">
        <v>0</v>
      </c>
      <c r="E200" s="712">
        <v>0</v>
      </c>
      <c r="F200" s="712">
        <v>22000000</v>
      </c>
      <c r="G200" s="839"/>
      <c r="H200" s="713" t="s">
        <v>5455</v>
      </c>
      <c r="I200" s="713" t="s">
        <v>901</v>
      </c>
      <c r="J200">
        <v>0</v>
      </c>
      <c r="K200" s="712">
        <v>0</v>
      </c>
      <c r="L200" s="712">
        <v>22000000</v>
      </c>
      <c r="M200" s="839"/>
      <c r="N200" s="713" t="s">
        <v>5598</v>
      </c>
      <c r="O200" s="713" t="s">
        <v>901</v>
      </c>
      <c r="P200">
        <v>0</v>
      </c>
      <c r="Q200" s="712">
        <v>0</v>
      </c>
      <c r="R200" s="712">
        <v>26000000</v>
      </c>
      <c r="S200" s="839"/>
      <c r="T200" s="713" t="s">
        <v>5823</v>
      </c>
      <c r="U200" s="713" t="s">
        <v>901</v>
      </c>
      <c r="V200">
        <v>0</v>
      </c>
      <c r="W200" s="712">
        <v>0</v>
      </c>
      <c r="X200" s="712">
        <v>24000000</v>
      </c>
      <c r="Y200" s="839"/>
      <c r="Z200" s="713" t="s">
        <v>6125</v>
      </c>
      <c r="AA200" s="713" t="s">
        <v>901</v>
      </c>
      <c r="AB200">
        <v>0</v>
      </c>
      <c r="AC200" s="712">
        <v>0</v>
      </c>
      <c r="AD200" s="712">
        <v>25000000</v>
      </c>
    </row>
    <row r="201" spans="1:30" x14ac:dyDescent="0.2">
      <c r="A201" s="839"/>
      <c r="B201" s="713" t="s">
        <v>5200</v>
      </c>
      <c r="C201" s="713" t="s">
        <v>901</v>
      </c>
      <c r="D201" s="710">
        <v>0</v>
      </c>
      <c r="E201" s="712">
        <v>0</v>
      </c>
      <c r="F201" s="712">
        <v>22000000</v>
      </c>
      <c r="G201" s="839"/>
      <c r="H201" s="713" t="s">
        <v>5456</v>
      </c>
      <c r="I201" s="713" t="s">
        <v>901</v>
      </c>
      <c r="J201">
        <v>0</v>
      </c>
      <c r="K201" s="712">
        <v>0</v>
      </c>
      <c r="L201" s="712">
        <v>22000000</v>
      </c>
      <c r="M201" s="839"/>
      <c r="N201" s="713" t="s">
        <v>5599</v>
      </c>
      <c r="O201" s="713" t="s">
        <v>901</v>
      </c>
      <c r="P201">
        <v>0</v>
      </c>
      <c r="Q201" s="712">
        <v>0</v>
      </c>
      <c r="R201" s="712">
        <v>26000000</v>
      </c>
      <c r="S201" s="839"/>
      <c r="T201" s="713" t="s">
        <v>5824</v>
      </c>
      <c r="U201" s="713" t="s">
        <v>901</v>
      </c>
      <c r="V201">
        <v>0</v>
      </c>
      <c r="W201" s="712">
        <v>0</v>
      </c>
      <c r="X201" s="712">
        <v>24000000</v>
      </c>
      <c r="Y201" s="839"/>
      <c r="Z201" s="713" t="s">
        <v>6126</v>
      </c>
      <c r="AA201" s="713" t="s">
        <v>901</v>
      </c>
      <c r="AB201">
        <v>0</v>
      </c>
      <c r="AC201" s="712">
        <v>0</v>
      </c>
      <c r="AD201" s="712">
        <v>25000000</v>
      </c>
    </row>
    <row r="202" spans="1:30" x14ac:dyDescent="0.2">
      <c r="A202" s="839"/>
      <c r="B202" s="713" t="s">
        <v>5201</v>
      </c>
      <c r="C202" s="713" t="s">
        <v>901</v>
      </c>
      <c r="D202" s="710">
        <v>0</v>
      </c>
      <c r="E202" s="712">
        <v>0</v>
      </c>
      <c r="F202" s="712">
        <v>22000000</v>
      </c>
      <c r="G202" s="839"/>
      <c r="H202" s="713" t="s">
        <v>5457</v>
      </c>
      <c r="I202" s="713" t="s">
        <v>901</v>
      </c>
      <c r="J202">
        <v>0</v>
      </c>
      <c r="K202" s="712">
        <v>0</v>
      </c>
      <c r="L202" s="712">
        <v>22000000</v>
      </c>
      <c r="M202" s="839"/>
      <c r="N202" s="713" t="s">
        <v>5600</v>
      </c>
      <c r="O202" s="713" t="s">
        <v>901</v>
      </c>
      <c r="P202">
        <v>0</v>
      </c>
      <c r="Q202" s="712">
        <v>0</v>
      </c>
      <c r="R202" s="712">
        <v>26000000</v>
      </c>
      <c r="S202" s="839"/>
      <c r="T202" s="713" t="s">
        <v>5825</v>
      </c>
      <c r="U202" s="713" t="s">
        <v>901</v>
      </c>
      <c r="V202">
        <v>0</v>
      </c>
      <c r="W202" s="712">
        <v>0</v>
      </c>
      <c r="X202" s="712">
        <v>24000000</v>
      </c>
      <c r="Y202" s="839"/>
      <c r="Z202" s="713" t="s">
        <v>6127</v>
      </c>
      <c r="AA202" s="713" t="s">
        <v>901</v>
      </c>
      <c r="AB202">
        <v>0</v>
      </c>
      <c r="AC202" s="712">
        <v>0</v>
      </c>
      <c r="AD202" s="712">
        <v>25000000</v>
      </c>
    </row>
    <row r="203" spans="1:30" x14ac:dyDescent="0.2">
      <c r="A203" s="839"/>
      <c r="B203" s="713" t="s">
        <v>5202</v>
      </c>
      <c r="C203" s="713" t="s">
        <v>901</v>
      </c>
      <c r="D203" s="710">
        <v>0</v>
      </c>
      <c r="E203" s="712">
        <v>0</v>
      </c>
      <c r="F203" s="712">
        <v>22000000</v>
      </c>
      <c r="G203" s="839"/>
      <c r="H203" s="713" t="s">
        <v>5458</v>
      </c>
      <c r="I203" s="713" t="s">
        <v>901</v>
      </c>
      <c r="J203">
        <v>0</v>
      </c>
      <c r="K203" s="712">
        <v>0</v>
      </c>
      <c r="L203" s="712">
        <v>22000000</v>
      </c>
      <c r="M203" s="839"/>
      <c r="N203" s="713" t="s">
        <v>5601</v>
      </c>
      <c r="O203" s="713" t="s">
        <v>901</v>
      </c>
      <c r="P203">
        <v>0</v>
      </c>
      <c r="Q203" s="712">
        <v>0</v>
      </c>
      <c r="R203" s="712">
        <v>26000000</v>
      </c>
      <c r="S203" s="839"/>
      <c r="T203" s="713" t="s">
        <v>5826</v>
      </c>
      <c r="U203" s="713" t="s">
        <v>901</v>
      </c>
      <c r="V203">
        <v>0</v>
      </c>
      <c r="W203" s="712">
        <v>0</v>
      </c>
      <c r="X203" s="712">
        <v>24000000</v>
      </c>
      <c r="Y203" s="839"/>
      <c r="Z203" s="713" t="s">
        <v>6128</v>
      </c>
      <c r="AA203" s="713" t="s">
        <v>901</v>
      </c>
      <c r="AB203">
        <v>0</v>
      </c>
      <c r="AC203" s="712">
        <v>0</v>
      </c>
      <c r="AD203" s="712">
        <v>25000000</v>
      </c>
    </row>
    <row r="204" spans="1:30" x14ac:dyDescent="0.2">
      <c r="A204" s="839"/>
      <c r="B204" s="713" t="s">
        <v>5203</v>
      </c>
      <c r="C204" s="713" t="s">
        <v>901</v>
      </c>
      <c r="D204" s="710">
        <v>0</v>
      </c>
      <c r="E204" s="712">
        <v>0</v>
      </c>
      <c r="F204" s="712">
        <v>22000000</v>
      </c>
      <c r="G204" s="839"/>
      <c r="H204" s="713" t="s">
        <v>5308</v>
      </c>
      <c r="I204" s="713" t="s">
        <v>61</v>
      </c>
      <c r="J204">
        <v>0</v>
      </c>
      <c r="K204" s="712">
        <v>22000000</v>
      </c>
      <c r="L204" s="712">
        <v>0</v>
      </c>
      <c r="M204" s="839"/>
      <c r="N204" s="713" t="s">
        <v>5602</v>
      </c>
      <c r="O204" s="713" t="s">
        <v>61</v>
      </c>
      <c r="P204">
        <v>0</v>
      </c>
      <c r="Q204" s="712">
        <v>26000000</v>
      </c>
      <c r="R204" s="712">
        <v>0</v>
      </c>
      <c r="S204" s="839"/>
      <c r="T204" s="713" t="s">
        <v>5827</v>
      </c>
      <c r="U204" s="713" t="s">
        <v>901</v>
      </c>
      <c r="V204">
        <v>0</v>
      </c>
      <c r="W204" s="712">
        <v>0</v>
      </c>
      <c r="X204" s="712">
        <v>28000000</v>
      </c>
      <c r="Y204" s="839"/>
      <c r="Z204" s="713" t="s">
        <v>6129</v>
      </c>
      <c r="AA204" s="713" t="s">
        <v>901</v>
      </c>
      <c r="AB204">
        <v>0</v>
      </c>
      <c r="AC204" s="712">
        <v>0</v>
      </c>
      <c r="AD204" s="712">
        <v>25000000</v>
      </c>
    </row>
    <row r="205" spans="1:30" x14ac:dyDescent="0.2">
      <c r="A205" s="839"/>
      <c r="B205" s="713" t="s">
        <v>5204</v>
      </c>
      <c r="C205" s="713" t="s">
        <v>901</v>
      </c>
      <c r="D205" s="710">
        <v>0</v>
      </c>
      <c r="E205" s="712">
        <v>0</v>
      </c>
      <c r="F205" s="712">
        <v>22000000</v>
      </c>
      <c r="G205" s="839"/>
      <c r="H205" s="713" t="s">
        <v>5459</v>
      </c>
      <c r="I205" s="713" t="s">
        <v>901</v>
      </c>
      <c r="J205">
        <v>0</v>
      </c>
      <c r="K205" s="712">
        <v>0</v>
      </c>
      <c r="L205" s="712">
        <v>22000000</v>
      </c>
      <c r="M205" s="839"/>
      <c r="N205" s="713" t="s">
        <v>5603</v>
      </c>
      <c r="O205" s="713" t="s">
        <v>901</v>
      </c>
      <c r="P205">
        <v>0</v>
      </c>
      <c r="Q205" s="712">
        <v>0</v>
      </c>
      <c r="R205" s="712">
        <v>26000000</v>
      </c>
      <c r="S205" s="839"/>
      <c r="T205" s="713" t="s">
        <v>5828</v>
      </c>
      <c r="U205" s="713" t="s">
        <v>901</v>
      </c>
      <c r="V205">
        <v>0</v>
      </c>
      <c r="W205" s="712">
        <v>0</v>
      </c>
      <c r="X205" s="712">
        <v>28000000</v>
      </c>
      <c r="Y205" s="839"/>
      <c r="Z205" s="713" t="s">
        <v>6130</v>
      </c>
      <c r="AA205" s="713" t="s">
        <v>901</v>
      </c>
      <c r="AB205">
        <v>0</v>
      </c>
      <c r="AC205" s="712">
        <v>0</v>
      </c>
      <c r="AD205" s="712">
        <v>24000000</v>
      </c>
    </row>
    <row r="206" spans="1:30" x14ac:dyDescent="0.2">
      <c r="A206" s="839"/>
      <c r="B206" s="713" t="s">
        <v>5205</v>
      </c>
      <c r="C206" s="713" t="s">
        <v>901</v>
      </c>
      <c r="D206" s="710">
        <v>0</v>
      </c>
      <c r="E206" s="712">
        <v>0</v>
      </c>
      <c r="F206" s="712">
        <v>27000000</v>
      </c>
      <c r="G206" s="839"/>
      <c r="H206" s="713" t="s">
        <v>5460</v>
      </c>
      <c r="I206" s="713" t="s">
        <v>901</v>
      </c>
      <c r="J206">
        <v>0</v>
      </c>
      <c r="K206" s="712">
        <v>0</v>
      </c>
      <c r="L206" s="712">
        <v>22000000</v>
      </c>
      <c r="M206" s="839"/>
      <c r="N206" s="713" t="s">
        <v>5604</v>
      </c>
      <c r="O206" s="713" t="s">
        <v>901</v>
      </c>
      <c r="P206">
        <v>0</v>
      </c>
      <c r="Q206" s="712">
        <v>0</v>
      </c>
      <c r="R206" s="712">
        <v>26000000</v>
      </c>
      <c r="S206" s="839"/>
      <c r="T206" s="713" t="s">
        <v>5829</v>
      </c>
      <c r="U206" s="713" t="s">
        <v>901</v>
      </c>
      <c r="V206">
        <v>0</v>
      </c>
      <c r="W206" s="712">
        <v>0</v>
      </c>
      <c r="X206" s="712">
        <v>28000000</v>
      </c>
      <c r="Y206" s="839"/>
      <c r="Z206" s="713" t="s">
        <v>6131</v>
      </c>
      <c r="AA206" s="713" t="s">
        <v>61</v>
      </c>
      <c r="AB206">
        <v>0</v>
      </c>
      <c r="AC206" s="712">
        <v>25000000</v>
      </c>
      <c r="AD206" s="712">
        <v>0</v>
      </c>
    </row>
    <row r="207" spans="1:30" x14ac:dyDescent="0.2">
      <c r="A207" s="839"/>
      <c r="B207" s="713" t="s">
        <v>5206</v>
      </c>
      <c r="C207" s="713" t="s">
        <v>901</v>
      </c>
      <c r="D207" s="710">
        <v>0</v>
      </c>
      <c r="E207" s="712">
        <v>0</v>
      </c>
      <c r="F207" s="712">
        <v>27000000</v>
      </c>
      <c r="G207" s="839"/>
      <c r="H207" s="713" t="s">
        <v>5461</v>
      </c>
      <c r="I207" s="713" t="s">
        <v>901</v>
      </c>
      <c r="J207">
        <v>0</v>
      </c>
      <c r="K207" s="712">
        <v>0</v>
      </c>
      <c r="L207" s="712">
        <v>22000000</v>
      </c>
      <c r="M207" s="839"/>
      <c r="N207" s="713" t="s">
        <v>5605</v>
      </c>
      <c r="O207" s="713" t="s">
        <v>901</v>
      </c>
      <c r="P207">
        <v>0</v>
      </c>
      <c r="Q207" s="712">
        <v>0</v>
      </c>
      <c r="R207" s="712">
        <v>26000000</v>
      </c>
      <c r="S207" s="839"/>
      <c r="T207" s="713" t="s">
        <v>5830</v>
      </c>
      <c r="U207" s="713" t="s">
        <v>901</v>
      </c>
      <c r="V207">
        <v>0</v>
      </c>
      <c r="W207" s="712">
        <v>0</v>
      </c>
      <c r="X207" s="712">
        <v>24000000</v>
      </c>
      <c r="Y207" s="839"/>
      <c r="Z207" s="713" t="s">
        <v>6132</v>
      </c>
      <c r="AA207" s="713" t="s">
        <v>901</v>
      </c>
      <c r="AB207">
        <v>0</v>
      </c>
      <c r="AC207" s="712">
        <v>0</v>
      </c>
      <c r="AD207" s="712">
        <v>25000000</v>
      </c>
    </row>
    <row r="208" spans="1:30" x14ac:dyDescent="0.2">
      <c r="A208" s="839"/>
      <c r="B208" s="713" t="s">
        <v>5207</v>
      </c>
      <c r="C208" s="713" t="s">
        <v>901</v>
      </c>
      <c r="D208" s="710">
        <v>0</v>
      </c>
      <c r="E208" s="712">
        <v>0</v>
      </c>
      <c r="F208" s="712">
        <v>22000000</v>
      </c>
      <c r="G208" s="839"/>
      <c r="H208" s="713" t="s">
        <v>5462</v>
      </c>
      <c r="I208" s="713" t="s">
        <v>901</v>
      </c>
      <c r="J208">
        <v>0</v>
      </c>
      <c r="K208" s="712">
        <v>0</v>
      </c>
      <c r="L208" s="712">
        <v>22000000</v>
      </c>
      <c r="M208" s="839"/>
      <c r="N208" s="713" t="s">
        <v>5606</v>
      </c>
      <c r="O208" s="713" t="s">
        <v>901</v>
      </c>
      <c r="P208">
        <v>0</v>
      </c>
      <c r="Q208" s="712">
        <v>0</v>
      </c>
      <c r="R208" s="712">
        <v>26000000</v>
      </c>
      <c r="S208" s="839"/>
      <c r="T208" s="713" t="s">
        <v>5831</v>
      </c>
      <c r="U208" s="713" t="s">
        <v>901</v>
      </c>
      <c r="V208">
        <v>0</v>
      </c>
      <c r="W208" s="712">
        <v>0</v>
      </c>
      <c r="X208" s="712">
        <v>28000000</v>
      </c>
      <c r="Y208" s="839"/>
      <c r="Z208" s="713" t="s">
        <v>6133</v>
      </c>
      <c r="AA208" s="713" t="s">
        <v>901</v>
      </c>
      <c r="AB208">
        <v>0</v>
      </c>
      <c r="AC208" s="712">
        <v>0</v>
      </c>
      <c r="AD208" s="712">
        <v>24000000</v>
      </c>
    </row>
    <row r="209" spans="1:30" x14ac:dyDescent="0.2">
      <c r="A209" s="839"/>
      <c r="B209" s="713" t="s">
        <v>5208</v>
      </c>
      <c r="C209" s="713" t="s">
        <v>901</v>
      </c>
      <c r="D209" s="710">
        <v>0</v>
      </c>
      <c r="E209" s="712">
        <v>0</v>
      </c>
      <c r="F209" s="712">
        <v>27000000</v>
      </c>
      <c r="G209" s="839"/>
      <c r="H209" s="713" t="s">
        <v>5463</v>
      </c>
      <c r="I209" s="713" t="s">
        <v>901</v>
      </c>
      <c r="J209">
        <v>0</v>
      </c>
      <c r="K209" s="712">
        <v>0</v>
      </c>
      <c r="L209" s="712">
        <v>27000000</v>
      </c>
      <c r="M209" s="839"/>
      <c r="N209" s="713" t="s">
        <v>5607</v>
      </c>
      <c r="O209" s="713" t="s">
        <v>901</v>
      </c>
      <c r="P209">
        <v>0</v>
      </c>
      <c r="Q209" s="712">
        <v>0</v>
      </c>
      <c r="R209" s="712">
        <v>26000000</v>
      </c>
      <c r="S209" s="839"/>
      <c r="T209" s="713" t="s">
        <v>5832</v>
      </c>
      <c r="U209" s="713" t="s">
        <v>901</v>
      </c>
      <c r="V209">
        <v>0</v>
      </c>
      <c r="W209" s="712">
        <v>0</v>
      </c>
      <c r="X209" s="712">
        <v>28000000</v>
      </c>
      <c r="Y209" s="839"/>
      <c r="Z209" s="713" t="s">
        <v>6134</v>
      </c>
      <c r="AA209" s="713" t="s">
        <v>901</v>
      </c>
      <c r="AB209">
        <v>0</v>
      </c>
      <c r="AC209" s="712">
        <v>0</v>
      </c>
      <c r="AD209" s="712">
        <v>25000000</v>
      </c>
    </row>
    <row r="210" spans="1:30" x14ac:dyDescent="0.2">
      <c r="A210" s="839"/>
      <c r="B210" s="713" t="s">
        <v>5209</v>
      </c>
      <c r="C210" s="713" t="s">
        <v>901</v>
      </c>
      <c r="D210" s="710">
        <v>0</v>
      </c>
      <c r="E210" s="712">
        <v>0</v>
      </c>
      <c r="F210" s="712">
        <v>27000000</v>
      </c>
      <c r="G210" s="839"/>
      <c r="H210" s="713" t="s">
        <v>5464</v>
      </c>
      <c r="I210" s="713" t="s">
        <v>901</v>
      </c>
      <c r="J210">
        <v>0</v>
      </c>
      <c r="K210" s="712">
        <v>0</v>
      </c>
      <c r="L210" s="712">
        <v>27000000</v>
      </c>
      <c r="M210" s="839"/>
      <c r="N210" s="713" t="s">
        <v>5608</v>
      </c>
      <c r="O210" s="713" t="s">
        <v>901</v>
      </c>
      <c r="P210">
        <v>0</v>
      </c>
      <c r="Q210" s="712">
        <v>0</v>
      </c>
      <c r="R210" s="712">
        <v>26000000</v>
      </c>
      <c r="S210" s="839"/>
      <c r="T210" s="713" t="s">
        <v>5833</v>
      </c>
      <c r="U210" s="713" t="s">
        <v>901</v>
      </c>
      <c r="V210">
        <v>0</v>
      </c>
      <c r="W210" s="712">
        <v>0</v>
      </c>
      <c r="X210" s="712">
        <v>28000000</v>
      </c>
      <c r="Y210" s="839"/>
      <c r="Z210" s="713" t="s">
        <v>6135</v>
      </c>
      <c r="AA210" s="713" t="s">
        <v>901</v>
      </c>
      <c r="AB210">
        <v>0</v>
      </c>
      <c r="AC210" s="712">
        <v>0</v>
      </c>
      <c r="AD210" s="712">
        <v>25000000</v>
      </c>
    </row>
    <row r="211" spans="1:30" x14ac:dyDescent="0.2">
      <c r="A211" s="839"/>
      <c r="B211" s="713" t="s">
        <v>5210</v>
      </c>
      <c r="C211" s="713" t="s">
        <v>901</v>
      </c>
      <c r="D211" s="710">
        <v>0</v>
      </c>
      <c r="E211" s="712">
        <v>0</v>
      </c>
      <c r="F211" s="712">
        <v>27000000</v>
      </c>
      <c r="G211" s="839"/>
      <c r="H211" s="713" t="s">
        <v>5465</v>
      </c>
      <c r="I211" s="713" t="s">
        <v>901</v>
      </c>
      <c r="J211">
        <v>0</v>
      </c>
      <c r="K211" s="712">
        <v>0</v>
      </c>
      <c r="L211" s="712">
        <v>22000000</v>
      </c>
      <c r="M211" s="839"/>
      <c r="N211" s="713" t="s">
        <v>5609</v>
      </c>
      <c r="O211" s="713" t="s">
        <v>901</v>
      </c>
      <c r="P211">
        <v>0</v>
      </c>
      <c r="Q211" s="712">
        <v>0</v>
      </c>
      <c r="R211" s="712">
        <v>26000000</v>
      </c>
      <c r="S211" s="839"/>
      <c r="T211" s="713" t="s">
        <v>5834</v>
      </c>
      <c r="U211" s="713" t="s">
        <v>901</v>
      </c>
      <c r="V211">
        <v>0</v>
      </c>
      <c r="W211" s="712">
        <v>0</v>
      </c>
      <c r="X211" s="712">
        <v>28000000</v>
      </c>
      <c r="Y211" s="839"/>
      <c r="Z211" s="713" t="s">
        <v>6136</v>
      </c>
      <c r="AA211" s="713" t="s">
        <v>901</v>
      </c>
      <c r="AB211">
        <v>0</v>
      </c>
      <c r="AC211" s="712">
        <v>0</v>
      </c>
      <c r="AD211" s="712">
        <v>25000000</v>
      </c>
    </row>
    <row r="212" spans="1:30" x14ac:dyDescent="0.2">
      <c r="A212" s="839"/>
      <c r="B212" s="713" t="s">
        <v>5211</v>
      </c>
      <c r="C212" s="713" t="s">
        <v>901</v>
      </c>
      <c r="D212" s="710">
        <v>0</v>
      </c>
      <c r="E212" s="712">
        <v>0</v>
      </c>
      <c r="F212" s="712">
        <v>27000000</v>
      </c>
      <c r="G212" s="839"/>
      <c r="H212" s="713" t="s">
        <v>5466</v>
      </c>
      <c r="I212" s="713" t="s">
        <v>61</v>
      </c>
      <c r="J212">
        <v>0</v>
      </c>
      <c r="K212" s="712">
        <v>22000000</v>
      </c>
      <c r="L212" s="712">
        <v>0</v>
      </c>
      <c r="M212" s="839"/>
      <c r="N212" s="713" t="s">
        <v>5610</v>
      </c>
      <c r="O212" s="713" t="s">
        <v>901</v>
      </c>
      <c r="P212">
        <v>0</v>
      </c>
      <c r="Q212" s="712">
        <v>0</v>
      </c>
      <c r="R212" s="712">
        <v>26000000</v>
      </c>
      <c r="S212" s="839"/>
      <c r="T212" s="713" t="s">
        <v>5835</v>
      </c>
      <c r="U212" s="713" t="s">
        <v>901</v>
      </c>
      <c r="V212">
        <v>0</v>
      </c>
      <c r="W212" s="712">
        <v>0</v>
      </c>
      <c r="X212" s="712">
        <v>28000000</v>
      </c>
      <c r="Y212" s="839"/>
      <c r="Z212" s="713" t="s">
        <v>6137</v>
      </c>
      <c r="AA212" s="713" t="s">
        <v>901</v>
      </c>
      <c r="AB212">
        <v>0</v>
      </c>
      <c r="AC212" s="712">
        <v>0</v>
      </c>
      <c r="AD212" s="712">
        <v>25000000</v>
      </c>
    </row>
    <row r="213" spans="1:30" x14ac:dyDescent="0.2">
      <c r="A213" s="839"/>
      <c r="B213" s="713" t="s">
        <v>5212</v>
      </c>
      <c r="C213" s="713" t="s">
        <v>901</v>
      </c>
      <c r="D213" s="710">
        <v>0</v>
      </c>
      <c r="E213" s="712">
        <v>0</v>
      </c>
      <c r="F213" s="712">
        <v>27000000</v>
      </c>
      <c r="G213" s="839"/>
      <c r="H213" s="713" t="s">
        <v>5467</v>
      </c>
      <c r="I213" s="713" t="s">
        <v>901</v>
      </c>
      <c r="J213">
        <v>0</v>
      </c>
      <c r="K213" s="712">
        <v>0</v>
      </c>
      <c r="L213" s="712">
        <v>22000000</v>
      </c>
      <c r="M213" s="839"/>
      <c r="N213" s="713" t="s">
        <v>5611</v>
      </c>
      <c r="O213" s="713" t="s">
        <v>901</v>
      </c>
      <c r="P213">
        <v>0</v>
      </c>
      <c r="Q213" s="712">
        <v>0</v>
      </c>
      <c r="R213" s="712">
        <v>26000000</v>
      </c>
      <c r="S213" s="839"/>
      <c r="T213" s="713" t="s">
        <v>5836</v>
      </c>
      <c r="U213" s="713" t="s">
        <v>901</v>
      </c>
      <c r="V213">
        <v>0</v>
      </c>
      <c r="W213" s="712">
        <v>0</v>
      </c>
      <c r="X213" s="712">
        <v>28000000</v>
      </c>
      <c r="Y213" s="839" t="s">
        <v>5323</v>
      </c>
      <c r="Z213" s="713" t="s">
        <v>5960</v>
      </c>
      <c r="AA213" s="713" t="s">
        <v>901</v>
      </c>
      <c r="AB213">
        <v>0</v>
      </c>
      <c r="AC213" s="712">
        <v>0</v>
      </c>
      <c r="AD213" s="712">
        <v>5000000</v>
      </c>
    </row>
    <row r="214" spans="1:30" x14ac:dyDescent="0.2">
      <c r="A214" s="839"/>
      <c r="B214" s="713" t="s">
        <v>5213</v>
      </c>
      <c r="C214" s="713" t="s">
        <v>901</v>
      </c>
      <c r="D214" s="710">
        <v>0</v>
      </c>
      <c r="E214" s="712">
        <v>0</v>
      </c>
      <c r="F214" s="712">
        <v>22000000</v>
      </c>
      <c r="G214" s="839"/>
      <c r="H214" s="713" t="s">
        <v>5468</v>
      </c>
      <c r="I214" s="713" t="s">
        <v>61</v>
      </c>
      <c r="J214">
        <v>0</v>
      </c>
      <c r="K214" s="712">
        <v>22000000</v>
      </c>
      <c r="L214" s="712">
        <v>0</v>
      </c>
      <c r="M214" s="839"/>
      <c r="N214" s="713" t="s">
        <v>5612</v>
      </c>
      <c r="O214" s="713" t="s">
        <v>901</v>
      </c>
      <c r="P214">
        <v>0</v>
      </c>
      <c r="Q214" s="712">
        <v>0</v>
      </c>
      <c r="R214" s="712">
        <v>26000000</v>
      </c>
      <c r="S214" s="839"/>
      <c r="T214" s="713" t="s">
        <v>5837</v>
      </c>
      <c r="U214" s="713" t="s">
        <v>901</v>
      </c>
      <c r="V214">
        <v>0</v>
      </c>
      <c r="W214" s="712">
        <v>0</v>
      </c>
      <c r="X214" s="712">
        <v>23000000</v>
      </c>
      <c r="Y214" s="839"/>
      <c r="Z214" s="713" t="s">
        <v>6138</v>
      </c>
      <c r="AA214" s="713" t="s">
        <v>901</v>
      </c>
      <c r="AB214">
        <v>0</v>
      </c>
      <c r="AC214" s="712">
        <v>0</v>
      </c>
      <c r="AD214" s="712">
        <v>5000000</v>
      </c>
    </row>
    <row r="215" spans="1:30" x14ac:dyDescent="0.2">
      <c r="A215" s="839"/>
      <c r="B215" s="713" t="s">
        <v>5214</v>
      </c>
      <c r="C215" s="713" t="s">
        <v>901</v>
      </c>
      <c r="D215" s="710">
        <v>0</v>
      </c>
      <c r="E215" s="712">
        <v>0</v>
      </c>
      <c r="F215" s="712">
        <v>27000000</v>
      </c>
      <c r="G215" s="839"/>
      <c r="H215" s="713" t="s">
        <v>5469</v>
      </c>
      <c r="I215" s="713" t="s">
        <v>901</v>
      </c>
      <c r="J215">
        <v>0</v>
      </c>
      <c r="K215" s="712">
        <v>0</v>
      </c>
      <c r="L215" s="712">
        <v>22000000</v>
      </c>
      <c r="M215" s="839"/>
      <c r="N215" s="713" t="s">
        <v>5613</v>
      </c>
      <c r="O215" s="713" t="s">
        <v>901</v>
      </c>
      <c r="P215">
        <v>0</v>
      </c>
      <c r="Q215" s="712">
        <v>0</v>
      </c>
      <c r="R215" s="712">
        <v>26000000</v>
      </c>
      <c r="S215" s="839"/>
      <c r="T215" s="713" t="s">
        <v>5838</v>
      </c>
      <c r="U215" s="713" t="s">
        <v>901</v>
      </c>
      <c r="V215">
        <v>0</v>
      </c>
      <c r="W215" s="712">
        <v>0</v>
      </c>
      <c r="X215" s="712">
        <v>24000000</v>
      </c>
      <c r="Y215" s="839"/>
      <c r="Z215" s="713" t="s">
        <v>6139</v>
      </c>
      <c r="AA215" s="713" t="s">
        <v>901</v>
      </c>
      <c r="AB215">
        <v>0</v>
      </c>
      <c r="AC215" s="712">
        <v>0</v>
      </c>
      <c r="AD215" s="712">
        <v>5000000</v>
      </c>
    </row>
    <row r="216" spans="1:30" x14ac:dyDescent="0.2">
      <c r="A216" s="839"/>
      <c r="B216" s="713" t="s">
        <v>5215</v>
      </c>
      <c r="C216" s="713" t="s">
        <v>901</v>
      </c>
      <c r="D216" s="710">
        <v>0</v>
      </c>
      <c r="E216" s="712">
        <v>0</v>
      </c>
      <c r="F216" s="712">
        <v>27000000</v>
      </c>
      <c r="G216" s="839"/>
      <c r="H216" s="713" t="s">
        <v>5470</v>
      </c>
      <c r="I216" s="713" t="s">
        <v>901</v>
      </c>
      <c r="J216">
        <v>0</v>
      </c>
      <c r="K216" s="712">
        <v>0</v>
      </c>
      <c r="L216" s="712">
        <v>22000000</v>
      </c>
      <c r="M216" s="839"/>
      <c r="N216" s="713" t="s">
        <v>5614</v>
      </c>
      <c r="O216" s="713" t="s">
        <v>901</v>
      </c>
      <c r="P216">
        <v>0</v>
      </c>
      <c r="Q216" s="712">
        <v>0</v>
      </c>
      <c r="R216" s="712">
        <v>26000000</v>
      </c>
      <c r="S216" s="839"/>
      <c r="T216" s="713" t="s">
        <v>5839</v>
      </c>
      <c r="U216" s="713" t="s">
        <v>901</v>
      </c>
      <c r="V216">
        <v>0</v>
      </c>
      <c r="W216" s="712">
        <v>0</v>
      </c>
      <c r="X216" s="712">
        <v>23000000</v>
      </c>
      <c r="Y216" s="839"/>
      <c r="Z216" s="713" t="s">
        <v>6140</v>
      </c>
      <c r="AA216" s="713" t="s">
        <v>901</v>
      </c>
      <c r="AB216">
        <v>0</v>
      </c>
      <c r="AC216" s="712">
        <v>0</v>
      </c>
      <c r="AD216" s="712">
        <v>5000000</v>
      </c>
    </row>
    <row r="217" spans="1:30" x14ac:dyDescent="0.2">
      <c r="A217" s="839"/>
      <c r="B217" s="713" t="s">
        <v>5216</v>
      </c>
      <c r="C217" s="713" t="s">
        <v>901</v>
      </c>
      <c r="D217" s="710">
        <v>0</v>
      </c>
      <c r="E217" s="712">
        <v>0</v>
      </c>
      <c r="F217" s="712">
        <v>27000000</v>
      </c>
      <c r="G217" s="839"/>
      <c r="H217" s="713" t="s">
        <v>5471</v>
      </c>
      <c r="I217" s="713" t="s">
        <v>901</v>
      </c>
      <c r="J217">
        <v>0</v>
      </c>
      <c r="K217" s="712">
        <v>0</v>
      </c>
      <c r="L217" s="712">
        <v>22000000</v>
      </c>
      <c r="M217" s="839"/>
      <c r="N217" s="713" t="s">
        <v>5615</v>
      </c>
      <c r="O217" s="713" t="s">
        <v>901</v>
      </c>
      <c r="P217">
        <v>0</v>
      </c>
      <c r="Q217" s="712">
        <v>0</v>
      </c>
      <c r="R217" s="712">
        <v>26000000</v>
      </c>
      <c r="S217" s="839"/>
      <c r="T217" s="713" t="s">
        <v>5840</v>
      </c>
      <c r="U217" s="713" t="s">
        <v>901</v>
      </c>
      <c r="V217">
        <v>0</v>
      </c>
      <c r="W217" s="712">
        <v>0</v>
      </c>
      <c r="X217" s="712">
        <v>23000000</v>
      </c>
      <c r="Y217" s="839"/>
      <c r="Z217" s="713" t="s">
        <v>6141</v>
      </c>
      <c r="AA217" s="713" t="s">
        <v>901</v>
      </c>
      <c r="AB217">
        <v>0</v>
      </c>
      <c r="AC217" s="712">
        <v>0</v>
      </c>
      <c r="AD217" s="712">
        <v>5000000</v>
      </c>
    </row>
    <row r="218" spans="1:30" x14ac:dyDescent="0.2">
      <c r="A218" s="839"/>
      <c r="B218" s="713" t="s">
        <v>5217</v>
      </c>
      <c r="C218" s="713" t="s">
        <v>901</v>
      </c>
      <c r="D218" s="710">
        <v>0</v>
      </c>
      <c r="E218" s="712">
        <v>0</v>
      </c>
      <c r="F218" s="712">
        <v>27000000</v>
      </c>
      <c r="G218" s="839"/>
      <c r="H218" s="713" t="s">
        <v>5472</v>
      </c>
      <c r="I218" s="713" t="s">
        <v>901</v>
      </c>
      <c r="J218">
        <v>0</v>
      </c>
      <c r="K218" s="712">
        <v>0</v>
      </c>
      <c r="L218" s="712">
        <v>22000000</v>
      </c>
      <c r="M218" s="839"/>
      <c r="N218" s="713" t="s">
        <v>5616</v>
      </c>
      <c r="O218" s="713" t="s">
        <v>901</v>
      </c>
      <c r="P218">
        <v>0</v>
      </c>
      <c r="Q218" s="712">
        <v>0</v>
      </c>
      <c r="R218" s="712">
        <v>26000000</v>
      </c>
      <c r="S218" s="839"/>
      <c r="T218" s="713" t="s">
        <v>5841</v>
      </c>
      <c r="U218" s="713" t="s">
        <v>901</v>
      </c>
      <c r="V218">
        <v>0</v>
      </c>
      <c r="W218" s="712">
        <v>0</v>
      </c>
      <c r="X218" s="712">
        <v>24000000</v>
      </c>
      <c r="Y218" s="839"/>
      <c r="Z218" s="713" t="s">
        <v>6142</v>
      </c>
      <c r="AA218" s="713" t="s">
        <v>901</v>
      </c>
      <c r="AB218">
        <v>0</v>
      </c>
      <c r="AC218" s="712">
        <v>0</v>
      </c>
      <c r="AD218" s="712">
        <v>5000000</v>
      </c>
    </row>
    <row r="219" spans="1:30" x14ac:dyDescent="0.2">
      <c r="A219" s="839"/>
      <c r="B219" s="713" t="s">
        <v>5218</v>
      </c>
      <c r="C219" s="713" t="s">
        <v>901</v>
      </c>
      <c r="D219" s="710">
        <v>0</v>
      </c>
      <c r="E219" s="712">
        <v>0</v>
      </c>
      <c r="F219" s="712">
        <v>22000000</v>
      </c>
      <c r="G219" s="838" t="s">
        <v>5323</v>
      </c>
      <c r="H219" s="713" t="s">
        <v>5473</v>
      </c>
      <c r="I219" s="713" t="s">
        <v>901</v>
      </c>
      <c r="J219">
        <v>0</v>
      </c>
      <c r="K219" s="712">
        <v>0</v>
      </c>
      <c r="L219" s="712">
        <v>5000000</v>
      </c>
      <c r="M219" s="839"/>
      <c r="N219" s="713" t="s">
        <v>5617</v>
      </c>
      <c r="O219" s="713" t="s">
        <v>901</v>
      </c>
      <c r="P219">
        <v>0</v>
      </c>
      <c r="Q219" s="712">
        <v>0</v>
      </c>
      <c r="R219" s="712">
        <v>26000000</v>
      </c>
      <c r="S219" s="839"/>
      <c r="T219" s="713" t="s">
        <v>5842</v>
      </c>
      <c r="U219" s="713" t="s">
        <v>901</v>
      </c>
      <c r="V219">
        <v>0</v>
      </c>
      <c r="W219" s="712">
        <v>0</v>
      </c>
      <c r="X219" s="712">
        <v>23000000</v>
      </c>
      <c r="Y219" s="839"/>
      <c r="Z219" s="713" t="s">
        <v>6143</v>
      </c>
      <c r="AA219" s="713" t="s">
        <v>901</v>
      </c>
      <c r="AB219">
        <v>0</v>
      </c>
      <c r="AC219" s="712">
        <v>0</v>
      </c>
      <c r="AD219" s="712">
        <v>5000000</v>
      </c>
    </row>
    <row r="220" spans="1:30" x14ac:dyDescent="0.2">
      <c r="A220" s="839"/>
      <c r="B220" s="713" t="s">
        <v>5219</v>
      </c>
      <c r="C220" s="713" t="s">
        <v>901</v>
      </c>
      <c r="D220" s="710">
        <v>0</v>
      </c>
      <c r="E220" s="712">
        <v>0</v>
      </c>
      <c r="F220" s="712">
        <v>27000000</v>
      </c>
      <c r="G220" s="839"/>
      <c r="H220" s="713" t="s">
        <v>5474</v>
      </c>
      <c r="I220" s="713" t="s">
        <v>901</v>
      </c>
      <c r="J220">
        <v>0</v>
      </c>
      <c r="K220" s="712">
        <v>0</v>
      </c>
      <c r="L220" s="712">
        <v>5000000</v>
      </c>
      <c r="M220" s="839"/>
      <c r="N220" s="713" t="s">
        <v>5618</v>
      </c>
      <c r="O220" s="713" t="s">
        <v>901</v>
      </c>
      <c r="P220">
        <v>0</v>
      </c>
      <c r="Q220" s="712">
        <v>0</v>
      </c>
      <c r="R220" s="712">
        <v>26000000</v>
      </c>
      <c r="S220" s="839"/>
      <c r="T220" s="713" t="s">
        <v>5843</v>
      </c>
      <c r="U220" s="713" t="s">
        <v>901</v>
      </c>
      <c r="V220">
        <v>0</v>
      </c>
      <c r="W220" s="712">
        <v>0</v>
      </c>
      <c r="X220" s="712">
        <v>29000000</v>
      </c>
      <c r="Y220" s="839"/>
      <c r="Z220" s="713" t="s">
        <v>6144</v>
      </c>
      <c r="AA220" s="713" t="s">
        <v>901</v>
      </c>
      <c r="AB220">
        <v>0</v>
      </c>
      <c r="AC220" s="712">
        <v>0</v>
      </c>
      <c r="AD220" s="712">
        <v>5000000</v>
      </c>
    </row>
    <row r="221" spans="1:30" x14ac:dyDescent="0.2">
      <c r="A221" s="839"/>
      <c r="B221" s="713" t="s">
        <v>5220</v>
      </c>
      <c r="C221" s="713" t="s">
        <v>901</v>
      </c>
      <c r="D221" s="710">
        <v>0</v>
      </c>
      <c r="E221" s="712">
        <v>0</v>
      </c>
      <c r="F221" s="712">
        <v>27000000</v>
      </c>
      <c r="G221" s="839"/>
      <c r="H221" s="713" t="s">
        <v>5475</v>
      </c>
      <c r="I221" s="713" t="s">
        <v>901</v>
      </c>
      <c r="J221">
        <v>0</v>
      </c>
      <c r="K221" s="712">
        <v>0</v>
      </c>
      <c r="L221" s="712">
        <v>5000000</v>
      </c>
      <c r="M221" s="839"/>
      <c r="N221" s="713" t="s">
        <v>5619</v>
      </c>
      <c r="O221" s="713" t="s">
        <v>901</v>
      </c>
      <c r="P221">
        <v>0</v>
      </c>
      <c r="Q221" s="712">
        <v>0</v>
      </c>
      <c r="R221" s="712">
        <v>26000000</v>
      </c>
      <c r="S221" s="839"/>
      <c r="T221" s="713" t="s">
        <v>5844</v>
      </c>
      <c r="U221" s="713" t="s">
        <v>901</v>
      </c>
      <c r="V221">
        <v>0</v>
      </c>
      <c r="W221" s="712">
        <v>0</v>
      </c>
      <c r="X221" s="712">
        <v>29000000</v>
      </c>
      <c r="Y221" s="839"/>
      <c r="Z221" s="713" t="s">
        <v>6145</v>
      </c>
      <c r="AA221" s="713" t="s">
        <v>901</v>
      </c>
      <c r="AB221">
        <v>0</v>
      </c>
      <c r="AC221" s="712">
        <v>0</v>
      </c>
      <c r="AD221" s="712">
        <v>5000000</v>
      </c>
    </row>
    <row r="222" spans="1:30" x14ac:dyDescent="0.2">
      <c r="A222" s="839"/>
      <c r="B222" s="713" t="s">
        <v>5221</v>
      </c>
      <c r="C222" s="713" t="s">
        <v>901</v>
      </c>
      <c r="D222" s="710">
        <v>0</v>
      </c>
      <c r="E222" s="712">
        <v>0</v>
      </c>
      <c r="F222" s="712">
        <v>27000000</v>
      </c>
      <c r="G222" s="839"/>
      <c r="H222" s="713" t="s">
        <v>5476</v>
      </c>
      <c r="I222" s="713" t="s">
        <v>901</v>
      </c>
      <c r="J222">
        <v>0</v>
      </c>
      <c r="K222" s="712">
        <v>0</v>
      </c>
      <c r="L222" s="712">
        <v>5000000</v>
      </c>
      <c r="M222" s="839"/>
      <c r="N222" s="713" t="s">
        <v>5620</v>
      </c>
      <c r="O222" s="713" t="s">
        <v>901</v>
      </c>
      <c r="P222">
        <v>0</v>
      </c>
      <c r="Q222" s="712">
        <v>0</v>
      </c>
      <c r="R222" s="712">
        <v>26000000</v>
      </c>
      <c r="S222" s="839"/>
      <c r="T222" s="713" t="s">
        <v>5845</v>
      </c>
      <c r="U222" s="713" t="s">
        <v>901</v>
      </c>
      <c r="V222">
        <v>0</v>
      </c>
      <c r="W222" s="712">
        <v>0</v>
      </c>
      <c r="X222" s="712">
        <v>24000000</v>
      </c>
      <c r="Y222" s="839"/>
      <c r="Z222" s="713" t="s">
        <v>6146</v>
      </c>
      <c r="AA222" s="713" t="s">
        <v>901</v>
      </c>
      <c r="AB222">
        <v>0</v>
      </c>
      <c r="AC222" s="712">
        <v>0</v>
      </c>
      <c r="AD222" s="712">
        <v>5000000</v>
      </c>
    </row>
    <row r="223" spans="1:30" x14ac:dyDescent="0.2">
      <c r="A223" s="839"/>
      <c r="B223" s="713" t="s">
        <v>5222</v>
      </c>
      <c r="C223" s="713" t="s">
        <v>901</v>
      </c>
      <c r="D223" s="710">
        <v>0</v>
      </c>
      <c r="E223" s="712">
        <v>0</v>
      </c>
      <c r="F223" s="712">
        <v>22000000</v>
      </c>
      <c r="G223" s="839"/>
      <c r="H223" s="713" t="s">
        <v>5477</v>
      </c>
      <c r="I223" s="713" t="s">
        <v>901</v>
      </c>
      <c r="J223">
        <v>0</v>
      </c>
      <c r="K223" s="712">
        <v>0</v>
      </c>
      <c r="L223" s="712">
        <v>5000000</v>
      </c>
      <c r="M223" s="839"/>
      <c r="N223" s="713" t="s">
        <v>5621</v>
      </c>
      <c r="O223" s="713" t="s">
        <v>901</v>
      </c>
      <c r="P223">
        <v>0</v>
      </c>
      <c r="Q223" s="712">
        <v>0</v>
      </c>
      <c r="R223" s="712">
        <v>26000000</v>
      </c>
      <c r="S223" s="839"/>
      <c r="T223" s="713" t="s">
        <v>5846</v>
      </c>
      <c r="U223" s="713" t="s">
        <v>901</v>
      </c>
      <c r="V223">
        <v>0</v>
      </c>
      <c r="W223" s="712">
        <v>0</v>
      </c>
      <c r="X223" s="712">
        <v>28000000</v>
      </c>
      <c r="Y223" s="839"/>
      <c r="Z223" s="713" t="s">
        <v>6147</v>
      </c>
      <c r="AA223" s="713" t="s">
        <v>901</v>
      </c>
      <c r="AB223">
        <v>0</v>
      </c>
      <c r="AC223" s="712">
        <v>0</v>
      </c>
      <c r="AD223" s="712">
        <v>5000000</v>
      </c>
    </row>
    <row r="224" spans="1:30" x14ac:dyDescent="0.2">
      <c r="A224" s="839"/>
      <c r="B224" s="713" t="s">
        <v>5223</v>
      </c>
      <c r="C224" s="713" t="s">
        <v>901</v>
      </c>
      <c r="D224" s="710">
        <v>0</v>
      </c>
      <c r="E224" s="712">
        <v>0</v>
      </c>
      <c r="F224" s="712">
        <v>22000000</v>
      </c>
      <c r="G224" s="839"/>
      <c r="H224" s="713" t="s">
        <v>5478</v>
      </c>
      <c r="I224" s="713" t="s">
        <v>901</v>
      </c>
      <c r="J224">
        <v>0</v>
      </c>
      <c r="K224" s="712">
        <v>0</v>
      </c>
      <c r="L224" s="712">
        <v>5000000</v>
      </c>
      <c r="M224" s="839"/>
      <c r="N224" s="713" t="s">
        <v>5622</v>
      </c>
      <c r="O224" s="713" t="s">
        <v>901</v>
      </c>
      <c r="P224">
        <v>0</v>
      </c>
      <c r="Q224" s="712">
        <v>0</v>
      </c>
      <c r="R224" s="712">
        <v>26000000</v>
      </c>
      <c r="S224" s="839"/>
      <c r="T224" s="713" t="s">
        <v>5847</v>
      </c>
      <c r="U224" s="713" t="s">
        <v>901</v>
      </c>
      <c r="V224">
        <v>0</v>
      </c>
      <c r="W224" s="712">
        <v>0</v>
      </c>
      <c r="X224" s="712">
        <v>28000000</v>
      </c>
      <c r="Y224" s="839"/>
      <c r="Z224" s="713" t="s">
        <v>6148</v>
      </c>
      <c r="AA224" s="713" t="s">
        <v>901</v>
      </c>
      <c r="AB224">
        <v>0</v>
      </c>
      <c r="AC224" s="712">
        <v>0</v>
      </c>
      <c r="AD224" s="712">
        <v>5000000</v>
      </c>
    </row>
    <row r="225" spans="1:30" x14ac:dyDescent="0.2">
      <c r="A225" s="839"/>
      <c r="B225" s="713" t="s">
        <v>5224</v>
      </c>
      <c r="C225" s="713" t="s">
        <v>901</v>
      </c>
      <c r="D225" s="710">
        <v>0</v>
      </c>
      <c r="E225" s="712">
        <v>0</v>
      </c>
      <c r="F225" s="712">
        <v>22000000</v>
      </c>
      <c r="G225" s="839"/>
      <c r="H225" s="713" t="s">
        <v>5479</v>
      </c>
      <c r="I225" s="713" t="s">
        <v>901</v>
      </c>
      <c r="J225">
        <v>0</v>
      </c>
      <c r="K225" s="712">
        <v>0</v>
      </c>
      <c r="L225" s="712">
        <v>5000000</v>
      </c>
      <c r="M225" s="839"/>
      <c r="N225" s="713" t="s">
        <v>5623</v>
      </c>
      <c r="O225" s="713" t="s">
        <v>901</v>
      </c>
      <c r="P225">
        <v>0</v>
      </c>
      <c r="Q225" s="712">
        <v>0</v>
      </c>
      <c r="R225" s="712">
        <v>26000000</v>
      </c>
      <c r="S225" s="839"/>
      <c r="T225" s="713" t="s">
        <v>5848</v>
      </c>
      <c r="U225" s="713" t="s">
        <v>901</v>
      </c>
      <c r="V225">
        <v>0</v>
      </c>
      <c r="W225" s="712">
        <v>0</v>
      </c>
      <c r="X225" s="712">
        <v>29000000</v>
      </c>
      <c r="Y225" s="839"/>
      <c r="Z225" s="713" t="s">
        <v>6149</v>
      </c>
      <c r="AA225" s="713" t="s">
        <v>901</v>
      </c>
      <c r="AB225">
        <v>0</v>
      </c>
      <c r="AC225" s="712">
        <v>0</v>
      </c>
      <c r="AD225" s="712">
        <v>5000000</v>
      </c>
    </row>
    <row r="226" spans="1:30" x14ac:dyDescent="0.2">
      <c r="A226" s="839"/>
      <c r="B226" s="713" t="s">
        <v>5225</v>
      </c>
      <c r="C226" s="713" t="s">
        <v>901</v>
      </c>
      <c r="D226" s="710">
        <v>0</v>
      </c>
      <c r="E226" s="712">
        <v>0</v>
      </c>
      <c r="F226" s="712">
        <v>22000000</v>
      </c>
      <c r="G226" s="839"/>
      <c r="H226" s="713" t="s">
        <v>5480</v>
      </c>
      <c r="I226" s="713" t="s">
        <v>901</v>
      </c>
      <c r="J226">
        <v>0</v>
      </c>
      <c r="K226" s="712">
        <v>0</v>
      </c>
      <c r="L226" s="712">
        <v>5000000</v>
      </c>
      <c r="M226" s="839"/>
      <c r="N226" s="713" t="s">
        <v>5624</v>
      </c>
      <c r="O226" s="713" t="s">
        <v>901</v>
      </c>
      <c r="P226">
        <v>0</v>
      </c>
      <c r="Q226" s="712">
        <v>0</v>
      </c>
      <c r="R226" s="712">
        <v>26000000</v>
      </c>
      <c r="S226" s="839"/>
      <c r="T226" s="713" t="s">
        <v>5849</v>
      </c>
      <c r="U226" s="713" t="s">
        <v>901</v>
      </c>
      <c r="V226">
        <v>0</v>
      </c>
      <c r="W226" s="712">
        <v>0</v>
      </c>
      <c r="X226" s="712">
        <v>28000000</v>
      </c>
      <c r="Y226" s="839"/>
      <c r="Z226" s="713" t="s">
        <v>6150</v>
      </c>
      <c r="AA226" s="713" t="s">
        <v>901</v>
      </c>
      <c r="AB226">
        <v>0</v>
      </c>
      <c r="AC226" s="712">
        <v>0</v>
      </c>
      <c r="AD226" s="712">
        <v>5000000</v>
      </c>
    </row>
    <row r="227" spans="1:30" x14ac:dyDescent="0.2">
      <c r="A227" s="839"/>
      <c r="B227" s="713" t="s">
        <v>5226</v>
      </c>
      <c r="C227" s="713" t="s">
        <v>901</v>
      </c>
      <c r="D227" s="710">
        <v>0</v>
      </c>
      <c r="E227" s="712">
        <v>0</v>
      </c>
      <c r="F227" s="712">
        <v>22000000</v>
      </c>
      <c r="G227" s="839"/>
      <c r="H227" s="713" t="s">
        <v>5481</v>
      </c>
      <c r="I227" s="713" t="s">
        <v>901</v>
      </c>
      <c r="J227">
        <v>0</v>
      </c>
      <c r="K227" s="712">
        <v>0</v>
      </c>
      <c r="L227" s="712">
        <v>5000000</v>
      </c>
      <c r="M227" s="839"/>
      <c r="N227" s="713" t="s">
        <v>5625</v>
      </c>
      <c r="O227" s="713" t="s">
        <v>901</v>
      </c>
      <c r="P227">
        <v>0</v>
      </c>
      <c r="Q227" s="712">
        <v>0</v>
      </c>
      <c r="R227" s="712">
        <v>26000000</v>
      </c>
      <c r="S227" s="839"/>
      <c r="T227" s="713" t="s">
        <v>5850</v>
      </c>
      <c r="U227" s="713" t="s">
        <v>901</v>
      </c>
      <c r="V227">
        <v>0</v>
      </c>
      <c r="W227" s="712">
        <v>0</v>
      </c>
      <c r="X227" s="712">
        <v>28000000</v>
      </c>
      <c r="Y227" s="839"/>
      <c r="Z227" s="713" t="s">
        <v>6151</v>
      </c>
      <c r="AA227" s="713" t="s">
        <v>901</v>
      </c>
      <c r="AB227">
        <v>0</v>
      </c>
      <c r="AC227" s="712">
        <v>0</v>
      </c>
      <c r="AD227" s="712">
        <v>5000000</v>
      </c>
    </row>
    <row r="228" spans="1:30" x14ac:dyDescent="0.2">
      <c r="A228" s="839"/>
      <c r="B228" s="713" t="s">
        <v>5227</v>
      </c>
      <c r="C228" s="713" t="s">
        <v>901</v>
      </c>
      <c r="D228" s="710">
        <v>0</v>
      </c>
      <c r="E228" s="712">
        <v>0</v>
      </c>
      <c r="F228" s="712">
        <v>22000000</v>
      </c>
      <c r="G228" s="839"/>
      <c r="H228" s="713" t="s">
        <v>5482</v>
      </c>
      <c r="I228" s="713" t="s">
        <v>901</v>
      </c>
      <c r="J228">
        <v>0</v>
      </c>
      <c r="K228" s="712">
        <v>0</v>
      </c>
      <c r="L228" s="712">
        <v>5000000</v>
      </c>
      <c r="M228" s="839"/>
      <c r="N228" s="713" t="s">
        <v>5626</v>
      </c>
      <c r="O228" s="713" t="s">
        <v>901</v>
      </c>
      <c r="P228">
        <v>0</v>
      </c>
      <c r="Q228" s="712">
        <v>0</v>
      </c>
      <c r="R228" s="712">
        <v>26000000</v>
      </c>
      <c r="S228" s="839"/>
      <c r="T228" s="713" t="s">
        <v>5851</v>
      </c>
      <c r="U228" s="713" t="s">
        <v>901</v>
      </c>
      <c r="V228">
        <v>0</v>
      </c>
      <c r="W228" s="712">
        <v>0</v>
      </c>
      <c r="X228" s="712">
        <v>29000000</v>
      </c>
      <c r="Y228" s="839"/>
      <c r="Z228" s="713" t="s">
        <v>6152</v>
      </c>
      <c r="AA228" s="713" t="s">
        <v>901</v>
      </c>
      <c r="AB228">
        <v>0</v>
      </c>
      <c r="AC228" s="712">
        <v>0</v>
      </c>
      <c r="AD228" s="712">
        <v>5000000</v>
      </c>
    </row>
    <row r="229" spans="1:30" x14ac:dyDescent="0.2">
      <c r="A229" s="839"/>
      <c r="B229" s="713" t="s">
        <v>5228</v>
      </c>
      <c r="C229" s="713" t="s">
        <v>901</v>
      </c>
      <c r="D229" s="710">
        <v>0</v>
      </c>
      <c r="E229" s="712">
        <v>0</v>
      </c>
      <c r="F229" s="712">
        <v>22000000</v>
      </c>
      <c r="G229" s="839"/>
      <c r="H229" s="713" t="s">
        <v>5483</v>
      </c>
      <c r="I229" s="713" t="s">
        <v>901</v>
      </c>
      <c r="J229">
        <v>0</v>
      </c>
      <c r="K229" s="712">
        <v>0</v>
      </c>
      <c r="L229" s="712">
        <v>5000000</v>
      </c>
      <c r="M229" s="839"/>
      <c r="N229" s="713" t="s">
        <v>5627</v>
      </c>
      <c r="O229" s="713" t="s">
        <v>901</v>
      </c>
      <c r="P229">
        <v>0</v>
      </c>
      <c r="Q229" s="712">
        <v>0</v>
      </c>
      <c r="R229" s="712">
        <v>26000000</v>
      </c>
      <c r="S229" s="839"/>
      <c r="T229" s="713" t="s">
        <v>5852</v>
      </c>
      <c r="U229" s="713" t="s">
        <v>901</v>
      </c>
      <c r="V229">
        <v>0</v>
      </c>
      <c r="W229" s="712">
        <v>0</v>
      </c>
      <c r="X229" s="712">
        <v>29000000</v>
      </c>
      <c r="Y229" s="839"/>
      <c r="Z229" s="713" t="s">
        <v>6153</v>
      </c>
      <c r="AA229" s="713" t="s">
        <v>901</v>
      </c>
      <c r="AB229">
        <v>0</v>
      </c>
      <c r="AC229" s="712">
        <v>0</v>
      </c>
      <c r="AD229" s="712">
        <v>5000000</v>
      </c>
    </row>
    <row r="230" spans="1:30" x14ac:dyDescent="0.2">
      <c r="A230" s="839"/>
      <c r="B230" s="713" t="s">
        <v>5229</v>
      </c>
      <c r="C230" s="713" t="s">
        <v>901</v>
      </c>
      <c r="D230" s="710">
        <v>0</v>
      </c>
      <c r="E230" s="712">
        <v>0</v>
      </c>
      <c r="F230" s="712">
        <v>27000000</v>
      </c>
      <c r="G230" s="839"/>
      <c r="H230" s="713" t="s">
        <v>5484</v>
      </c>
      <c r="I230" s="713" t="s">
        <v>901</v>
      </c>
      <c r="J230">
        <v>0</v>
      </c>
      <c r="K230" s="712">
        <v>0</v>
      </c>
      <c r="L230" s="712">
        <v>5000000</v>
      </c>
      <c r="M230" s="839"/>
      <c r="N230" s="713" t="s">
        <v>5628</v>
      </c>
      <c r="O230" s="713" t="s">
        <v>901</v>
      </c>
      <c r="P230">
        <v>0</v>
      </c>
      <c r="Q230" s="712">
        <v>0</v>
      </c>
      <c r="R230" s="712">
        <v>26000000</v>
      </c>
      <c r="S230" s="839"/>
      <c r="T230" s="713" t="s">
        <v>5853</v>
      </c>
      <c r="U230" s="713" t="s">
        <v>901</v>
      </c>
      <c r="V230">
        <v>0</v>
      </c>
      <c r="W230" s="712">
        <v>0</v>
      </c>
      <c r="X230" s="712">
        <v>29000000</v>
      </c>
      <c r="Y230" s="839"/>
      <c r="Z230" s="713" t="s">
        <v>6154</v>
      </c>
      <c r="AA230" s="713" t="s">
        <v>61</v>
      </c>
      <c r="AB230">
        <v>0</v>
      </c>
      <c r="AC230" s="712">
        <v>5000000</v>
      </c>
      <c r="AD230" s="712">
        <v>0</v>
      </c>
    </row>
    <row r="231" spans="1:30" x14ac:dyDescent="0.2">
      <c r="A231" s="839"/>
      <c r="B231" s="713" t="s">
        <v>5230</v>
      </c>
      <c r="C231" s="713" t="s">
        <v>901</v>
      </c>
      <c r="D231" s="710">
        <v>0</v>
      </c>
      <c r="E231" s="712">
        <v>0</v>
      </c>
      <c r="F231" s="712">
        <v>27000000</v>
      </c>
      <c r="G231" s="839"/>
      <c r="H231" s="713" t="s">
        <v>5485</v>
      </c>
      <c r="I231" s="713" t="s">
        <v>901</v>
      </c>
      <c r="J231">
        <v>0</v>
      </c>
      <c r="K231" s="712">
        <v>0</v>
      </c>
      <c r="L231" s="712">
        <v>5000000</v>
      </c>
      <c r="M231" s="839"/>
      <c r="N231" s="713" t="s">
        <v>5629</v>
      </c>
      <c r="O231" s="713" t="s">
        <v>901</v>
      </c>
      <c r="P231">
        <v>0</v>
      </c>
      <c r="Q231" s="712">
        <v>0</v>
      </c>
      <c r="R231" s="712">
        <v>26000000</v>
      </c>
      <c r="S231" s="839"/>
      <c r="T231" s="713" t="s">
        <v>5854</v>
      </c>
      <c r="U231" s="713" t="s">
        <v>901</v>
      </c>
      <c r="V231">
        <v>0</v>
      </c>
      <c r="W231" s="712">
        <v>0</v>
      </c>
      <c r="X231" s="712">
        <v>29000000</v>
      </c>
      <c r="Y231" s="839"/>
      <c r="Z231" s="713" t="s">
        <v>6155</v>
      </c>
      <c r="AA231" s="713" t="s">
        <v>901</v>
      </c>
      <c r="AB231">
        <v>0</v>
      </c>
      <c r="AC231" s="712">
        <v>0</v>
      </c>
      <c r="AD231" s="712">
        <v>5000000</v>
      </c>
    </row>
    <row r="232" spans="1:30" x14ac:dyDescent="0.2">
      <c r="A232" s="839"/>
      <c r="B232" s="713" t="s">
        <v>5231</v>
      </c>
      <c r="C232" s="713" t="s">
        <v>901</v>
      </c>
      <c r="D232" s="710">
        <v>0</v>
      </c>
      <c r="E232" s="712">
        <v>0</v>
      </c>
      <c r="F232" s="712">
        <v>27000000</v>
      </c>
      <c r="G232" s="839"/>
      <c r="H232" s="713" t="s">
        <v>5486</v>
      </c>
      <c r="I232" s="713" t="s">
        <v>901</v>
      </c>
      <c r="J232">
        <v>0</v>
      </c>
      <c r="K232" s="712">
        <v>0</v>
      </c>
      <c r="L232" s="712">
        <v>5000000</v>
      </c>
      <c r="M232" s="839"/>
      <c r="N232" s="713" t="s">
        <v>5630</v>
      </c>
      <c r="O232" s="713" t="s">
        <v>901</v>
      </c>
      <c r="P232">
        <v>0</v>
      </c>
      <c r="Q232" s="712">
        <v>0</v>
      </c>
      <c r="R232" s="712">
        <v>26000000</v>
      </c>
      <c r="S232" s="839"/>
      <c r="T232" s="713" t="s">
        <v>5855</v>
      </c>
      <c r="U232" s="713" t="s">
        <v>901</v>
      </c>
      <c r="V232">
        <v>0</v>
      </c>
      <c r="W232" s="712">
        <v>0</v>
      </c>
      <c r="X232" s="712">
        <v>28000000</v>
      </c>
      <c r="Y232" s="839"/>
      <c r="Z232" s="713" t="s">
        <v>6156</v>
      </c>
      <c r="AA232" s="713" t="s">
        <v>901</v>
      </c>
      <c r="AB232">
        <v>0</v>
      </c>
      <c r="AC232" s="712">
        <v>0</v>
      </c>
      <c r="AD232" s="712">
        <v>5000000</v>
      </c>
    </row>
    <row r="233" spans="1:30" x14ac:dyDescent="0.2">
      <c r="A233" s="839"/>
      <c r="B233" s="713" t="s">
        <v>5232</v>
      </c>
      <c r="C233" s="713" t="s">
        <v>901</v>
      </c>
      <c r="D233" s="710">
        <v>0</v>
      </c>
      <c r="E233" s="712">
        <v>0</v>
      </c>
      <c r="F233" s="712">
        <v>22000000</v>
      </c>
      <c r="G233" s="839"/>
      <c r="H233" s="713" t="s">
        <v>5487</v>
      </c>
      <c r="I233" s="713" t="s">
        <v>901</v>
      </c>
      <c r="J233">
        <v>0</v>
      </c>
      <c r="K233" s="712">
        <v>0</v>
      </c>
      <c r="L233" s="712">
        <v>5000000</v>
      </c>
      <c r="M233" s="839"/>
      <c r="N233" s="713" t="s">
        <v>5631</v>
      </c>
      <c r="O233" s="713" t="s">
        <v>901</v>
      </c>
      <c r="P233">
        <v>0</v>
      </c>
      <c r="Q233" s="712">
        <v>0</v>
      </c>
      <c r="R233" s="712">
        <v>26000000</v>
      </c>
      <c r="S233" s="839"/>
      <c r="T233" s="713" t="s">
        <v>5856</v>
      </c>
      <c r="U233" s="713" t="s">
        <v>901</v>
      </c>
      <c r="V233">
        <v>0</v>
      </c>
      <c r="W233" s="712">
        <v>0</v>
      </c>
      <c r="X233" s="712">
        <v>28000000</v>
      </c>
      <c r="Y233" s="839"/>
      <c r="Z233" s="713" t="s">
        <v>6157</v>
      </c>
      <c r="AA233" s="713" t="s">
        <v>901</v>
      </c>
      <c r="AB233">
        <v>0</v>
      </c>
      <c r="AC233" s="712">
        <v>0</v>
      </c>
      <c r="AD233" s="712">
        <v>5000000</v>
      </c>
    </row>
    <row r="234" spans="1:30" x14ac:dyDescent="0.2">
      <c r="A234" s="839"/>
      <c r="B234" s="713" t="s">
        <v>5233</v>
      </c>
      <c r="C234" s="713" t="s">
        <v>901</v>
      </c>
      <c r="D234" s="710">
        <v>0</v>
      </c>
      <c r="E234" s="712">
        <v>0</v>
      </c>
      <c r="F234" s="712">
        <v>22000000</v>
      </c>
      <c r="G234" s="839"/>
      <c r="H234" s="713" t="s">
        <v>5488</v>
      </c>
      <c r="I234" s="713" t="s">
        <v>901</v>
      </c>
      <c r="J234">
        <v>0</v>
      </c>
      <c r="K234" s="712">
        <v>0</v>
      </c>
      <c r="L234" s="712">
        <v>5000000</v>
      </c>
      <c r="M234" s="839"/>
      <c r="N234" s="713" t="s">
        <v>5632</v>
      </c>
      <c r="O234" s="713" t="s">
        <v>901</v>
      </c>
      <c r="P234">
        <v>0</v>
      </c>
      <c r="Q234" s="712">
        <v>0</v>
      </c>
      <c r="R234" s="712">
        <v>26000000</v>
      </c>
      <c r="S234" s="839"/>
      <c r="T234" s="713" t="s">
        <v>5857</v>
      </c>
      <c r="U234" s="713" t="s">
        <v>901</v>
      </c>
      <c r="V234">
        <v>0</v>
      </c>
      <c r="W234" s="712">
        <v>0</v>
      </c>
      <c r="X234" s="712">
        <v>28000000</v>
      </c>
      <c r="Y234" s="839"/>
      <c r="Z234" s="713" t="s">
        <v>6158</v>
      </c>
      <c r="AA234" s="713" t="s">
        <v>61</v>
      </c>
      <c r="AB234">
        <v>0</v>
      </c>
      <c r="AC234" s="712">
        <v>5000000</v>
      </c>
      <c r="AD234" s="712">
        <v>0</v>
      </c>
    </row>
    <row r="235" spans="1:30" x14ac:dyDescent="0.2">
      <c r="A235" s="839"/>
      <c r="B235" s="713" t="s">
        <v>5234</v>
      </c>
      <c r="C235" s="713" t="s">
        <v>901</v>
      </c>
      <c r="D235" s="710">
        <v>0</v>
      </c>
      <c r="E235" s="712">
        <v>0</v>
      </c>
      <c r="F235" s="712">
        <v>27000000</v>
      </c>
      <c r="G235" s="839"/>
      <c r="H235" s="713" t="s">
        <v>5489</v>
      </c>
      <c r="I235" s="713" t="s">
        <v>901</v>
      </c>
      <c r="J235">
        <v>0</v>
      </c>
      <c r="K235" s="712">
        <v>0</v>
      </c>
      <c r="L235" s="712">
        <v>5000000</v>
      </c>
      <c r="M235" s="839"/>
      <c r="N235" s="713" t="s">
        <v>5633</v>
      </c>
      <c r="O235" s="713" t="s">
        <v>901</v>
      </c>
      <c r="P235">
        <v>0</v>
      </c>
      <c r="Q235" s="712">
        <v>0</v>
      </c>
      <c r="R235" s="712">
        <v>26000000</v>
      </c>
      <c r="S235" s="839"/>
      <c r="T235" s="713" t="s">
        <v>5858</v>
      </c>
      <c r="U235" s="713" t="s">
        <v>901</v>
      </c>
      <c r="V235">
        <v>0</v>
      </c>
      <c r="W235" s="712">
        <v>0</v>
      </c>
      <c r="X235" s="712">
        <v>23000000</v>
      </c>
      <c r="Y235" s="839"/>
      <c r="Z235" s="713" t="s">
        <v>6159</v>
      </c>
      <c r="AA235" s="713" t="s">
        <v>61</v>
      </c>
      <c r="AB235">
        <v>0</v>
      </c>
      <c r="AC235" s="712">
        <v>5000000</v>
      </c>
      <c r="AD235" s="712">
        <v>0</v>
      </c>
    </row>
    <row r="236" spans="1:30" x14ac:dyDescent="0.2">
      <c r="A236" s="839"/>
      <c r="B236" s="713" t="s">
        <v>5235</v>
      </c>
      <c r="C236" s="713" t="s">
        <v>901</v>
      </c>
      <c r="D236" s="710">
        <v>0</v>
      </c>
      <c r="E236" s="712">
        <v>0</v>
      </c>
      <c r="F236" s="712">
        <v>27000000</v>
      </c>
      <c r="G236" s="839"/>
      <c r="H236" s="713" t="s">
        <v>5490</v>
      </c>
      <c r="I236" s="713" t="s">
        <v>901</v>
      </c>
      <c r="J236">
        <v>0</v>
      </c>
      <c r="K236" s="712">
        <v>0</v>
      </c>
      <c r="L236" s="712">
        <v>5000000</v>
      </c>
      <c r="M236" s="839"/>
      <c r="N236" s="713" t="s">
        <v>5634</v>
      </c>
      <c r="O236" s="713" t="s">
        <v>901</v>
      </c>
      <c r="P236">
        <v>0</v>
      </c>
      <c r="Q236" s="712">
        <v>0</v>
      </c>
      <c r="R236" s="712">
        <v>26000000</v>
      </c>
      <c r="S236" s="839"/>
      <c r="T236" s="713" t="s">
        <v>5859</v>
      </c>
      <c r="U236" s="713" t="s">
        <v>901</v>
      </c>
      <c r="V236">
        <v>0</v>
      </c>
      <c r="W236" s="712">
        <v>0</v>
      </c>
      <c r="X236" s="712">
        <v>24000000</v>
      </c>
      <c r="Y236" s="839"/>
      <c r="Z236" s="713" t="s">
        <v>5997</v>
      </c>
      <c r="AA236" s="713" t="s">
        <v>901</v>
      </c>
      <c r="AB236">
        <v>0</v>
      </c>
      <c r="AC236" s="712">
        <v>0</v>
      </c>
      <c r="AD236" s="712">
        <v>5000000</v>
      </c>
    </row>
    <row r="237" spans="1:30" x14ac:dyDescent="0.2">
      <c r="A237" s="839"/>
      <c r="B237" s="713" t="s">
        <v>5236</v>
      </c>
      <c r="C237" s="713" t="s">
        <v>901</v>
      </c>
      <c r="D237" s="710">
        <v>0</v>
      </c>
      <c r="E237" s="712">
        <v>0</v>
      </c>
      <c r="F237" s="712">
        <v>27000000</v>
      </c>
      <c r="G237" s="839"/>
      <c r="H237" s="713" t="s">
        <v>5491</v>
      </c>
      <c r="I237" s="713" t="s">
        <v>901</v>
      </c>
      <c r="J237">
        <v>0</v>
      </c>
      <c r="K237" s="712">
        <v>0</v>
      </c>
      <c r="L237" s="712">
        <v>5000000</v>
      </c>
      <c r="M237" s="839"/>
      <c r="N237" s="713" t="s">
        <v>5635</v>
      </c>
      <c r="O237" s="713" t="s">
        <v>901</v>
      </c>
      <c r="P237">
        <v>0</v>
      </c>
      <c r="Q237" s="712">
        <v>0</v>
      </c>
      <c r="R237" s="712">
        <v>26000000</v>
      </c>
      <c r="S237" s="839"/>
      <c r="T237" s="713" t="s">
        <v>5860</v>
      </c>
      <c r="U237" s="713" t="s">
        <v>901</v>
      </c>
      <c r="V237">
        <v>0</v>
      </c>
      <c r="W237" s="712">
        <v>0</v>
      </c>
      <c r="X237" s="712">
        <v>23000000</v>
      </c>
      <c r="Y237" s="839"/>
      <c r="Z237" s="713" t="s">
        <v>6160</v>
      </c>
      <c r="AA237" s="713" t="s">
        <v>901</v>
      </c>
      <c r="AB237">
        <v>0</v>
      </c>
      <c r="AC237" s="712">
        <v>0</v>
      </c>
      <c r="AD237" s="712">
        <v>5000000</v>
      </c>
    </row>
    <row r="238" spans="1:30" x14ac:dyDescent="0.2">
      <c r="A238" s="839"/>
      <c r="B238" s="713" t="s">
        <v>5237</v>
      </c>
      <c r="C238" s="713" t="s">
        <v>901</v>
      </c>
      <c r="D238" s="710">
        <v>0</v>
      </c>
      <c r="E238" s="712">
        <v>0</v>
      </c>
      <c r="F238" s="712">
        <v>22000000</v>
      </c>
      <c r="G238" s="839"/>
      <c r="H238" s="713" t="s">
        <v>5492</v>
      </c>
      <c r="I238" s="713" t="s">
        <v>901</v>
      </c>
      <c r="J238">
        <v>0</v>
      </c>
      <c r="K238" s="712">
        <v>0</v>
      </c>
      <c r="L238" s="712">
        <v>5000000</v>
      </c>
      <c r="M238" s="839"/>
      <c r="N238" s="713" t="s">
        <v>5636</v>
      </c>
      <c r="O238" s="713" t="s">
        <v>901</v>
      </c>
      <c r="P238">
        <v>0</v>
      </c>
      <c r="Q238" s="712">
        <v>0</v>
      </c>
      <c r="R238" s="712">
        <v>26000000</v>
      </c>
      <c r="S238" s="839"/>
      <c r="T238" s="713" t="s">
        <v>5861</v>
      </c>
      <c r="U238" s="713" t="s">
        <v>901</v>
      </c>
      <c r="V238">
        <v>0</v>
      </c>
      <c r="W238" s="712">
        <v>0</v>
      </c>
      <c r="X238" s="712">
        <v>24000000</v>
      </c>
      <c r="Y238" s="839"/>
      <c r="Z238" s="713" t="s">
        <v>6161</v>
      </c>
      <c r="AA238" s="713" t="s">
        <v>901</v>
      </c>
      <c r="AB238">
        <v>0</v>
      </c>
      <c r="AC238" s="712">
        <v>0</v>
      </c>
      <c r="AD238" s="712">
        <v>5000000</v>
      </c>
    </row>
    <row r="239" spans="1:30" x14ac:dyDescent="0.2">
      <c r="A239" s="839"/>
      <c r="B239" s="713" t="s">
        <v>5238</v>
      </c>
      <c r="C239" s="713" t="s">
        <v>901</v>
      </c>
      <c r="D239" s="710">
        <v>0</v>
      </c>
      <c r="E239" s="712">
        <v>0</v>
      </c>
      <c r="F239" s="712">
        <v>27000000</v>
      </c>
      <c r="G239" s="839"/>
      <c r="H239" s="713" t="s">
        <v>5493</v>
      </c>
      <c r="I239" s="713" t="s">
        <v>901</v>
      </c>
      <c r="J239">
        <v>0</v>
      </c>
      <c r="K239" s="712">
        <v>0</v>
      </c>
      <c r="L239" s="712">
        <v>5000000</v>
      </c>
      <c r="M239" s="839"/>
      <c r="N239" s="713" t="s">
        <v>5637</v>
      </c>
      <c r="O239" s="713" t="s">
        <v>901</v>
      </c>
      <c r="P239">
        <v>0</v>
      </c>
      <c r="Q239" s="712">
        <v>0</v>
      </c>
      <c r="R239" s="712">
        <v>26000000</v>
      </c>
      <c r="S239" s="839"/>
      <c r="T239" s="713" t="s">
        <v>5862</v>
      </c>
      <c r="U239" s="713" t="s">
        <v>901</v>
      </c>
      <c r="V239">
        <v>0</v>
      </c>
      <c r="W239" s="712">
        <v>0</v>
      </c>
      <c r="X239" s="712">
        <v>24000000</v>
      </c>
      <c r="Y239" s="839"/>
      <c r="Z239" s="713" t="s">
        <v>6162</v>
      </c>
      <c r="AA239" s="713" t="s">
        <v>61</v>
      </c>
      <c r="AB239">
        <v>0</v>
      </c>
      <c r="AC239" s="712">
        <v>5000000</v>
      </c>
      <c r="AD239" s="712">
        <v>0</v>
      </c>
    </row>
    <row r="240" spans="1:30" x14ac:dyDescent="0.2">
      <c r="A240" s="839"/>
      <c r="B240" s="713" t="s">
        <v>5239</v>
      </c>
      <c r="C240" s="713" t="s">
        <v>901</v>
      </c>
      <c r="D240" s="710">
        <v>0</v>
      </c>
      <c r="E240" s="712">
        <v>0</v>
      </c>
      <c r="F240" s="712">
        <v>27000000</v>
      </c>
      <c r="G240" s="839"/>
      <c r="H240" s="713" t="s">
        <v>5494</v>
      </c>
      <c r="I240" s="713" t="s">
        <v>61</v>
      </c>
      <c r="J240">
        <v>0</v>
      </c>
      <c r="K240" s="712">
        <v>5000000</v>
      </c>
      <c r="L240" s="712">
        <v>0</v>
      </c>
      <c r="M240" s="839"/>
      <c r="N240" s="713" t="s">
        <v>5638</v>
      </c>
      <c r="O240" s="713" t="s">
        <v>901</v>
      </c>
      <c r="P240">
        <v>0</v>
      </c>
      <c r="Q240" s="712">
        <v>0</v>
      </c>
      <c r="R240" s="712">
        <v>26000000</v>
      </c>
      <c r="S240" s="839"/>
      <c r="T240" s="713" t="s">
        <v>5863</v>
      </c>
      <c r="U240" s="713" t="s">
        <v>901</v>
      </c>
      <c r="V240">
        <v>0</v>
      </c>
      <c r="W240" s="712">
        <v>0</v>
      </c>
      <c r="X240" s="712">
        <v>24000000</v>
      </c>
      <c r="Y240" s="839"/>
      <c r="Z240" s="713" t="s">
        <v>6163</v>
      </c>
      <c r="AA240" s="713" t="s">
        <v>901</v>
      </c>
      <c r="AB240">
        <v>0</v>
      </c>
      <c r="AC240" s="712">
        <v>0</v>
      </c>
      <c r="AD240" s="712">
        <v>5000000</v>
      </c>
    </row>
    <row r="241" spans="1:30" x14ac:dyDescent="0.2">
      <c r="A241" s="839"/>
      <c r="B241" s="713" t="s">
        <v>5240</v>
      </c>
      <c r="C241" s="713" t="s">
        <v>901</v>
      </c>
      <c r="D241" s="710">
        <v>0</v>
      </c>
      <c r="E241" s="712">
        <v>0</v>
      </c>
      <c r="F241" s="712">
        <v>27000000</v>
      </c>
      <c r="G241" s="839"/>
      <c r="H241" s="713" t="s">
        <v>5495</v>
      </c>
      <c r="I241" s="713" t="s">
        <v>61</v>
      </c>
      <c r="J241">
        <v>0</v>
      </c>
      <c r="K241" s="712">
        <v>5000000</v>
      </c>
      <c r="L241" s="712">
        <v>0</v>
      </c>
      <c r="M241" s="839"/>
      <c r="N241" s="713" t="s">
        <v>5639</v>
      </c>
      <c r="O241" s="713" t="s">
        <v>901</v>
      </c>
      <c r="P241">
        <v>0</v>
      </c>
      <c r="Q241" s="712">
        <v>0</v>
      </c>
      <c r="R241" s="712">
        <v>26000000</v>
      </c>
      <c r="S241" s="839"/>
      <c r="T241" s="713" t="s">
        <v>5864</v>
      </c>
      <c r="U241" s="713" t="s">
        <v>901</v>
      </c>
      <c r="V241">
        <v>0</v>
      </c>
      <c r="W241" s="712">
        <v>0</v>
      </c>
      <c r="X241" s="712">
        <v>24000000</v>
      </c>
      <c r="Y241" s="839"/>
      <c r="Z241" s="713" t="s">
        <v>6164</v>
      </c>
      <c r="AA241" s="713" t="s">
        <v>901</v>
      </c>
      <c r="AB241">
        <v>0</v>
      </c>
      <c r="AC241" s="712">
        <v>0</v>
      </c>
      <c r="AD241" s="712">
        <v>5000000</v>
      </c>
    </row>
    <row r="242" spans="1:30" x14ac:dyDescent="0.2">
      <c r="A242" s="839"/>
      <c r="B242" s="713" t="s">
        <v>5241</v>
      </c>
      <c r="C242" s="713" t="s">
        <v>901</v>
      </c>
      <c r="D242" s="710">
        <v>0</v>
      </c>
      <c r="E242" s="712">
        <v>0</v>
      </c>
      <c r="F242" s="712">
        <v>22000000</v>
      </c>
      <c r="G242" s="839"/>
      <c r="H242" s="713" t="s">
        <v>5496</v>
      </c>
      <c r="I242" s="713" t="s">
        <v>901</v>
      </c>
      <c r="J242">
        <v>0</v>
      </c>
      <c r="K242" s="712">
        <v>0</v>
      </c>
      <c r="L242" s="712">
        <v>5000000</v>
      </c>
      <c r="M242" s="839"/>
      <c r="N242" s="713" t="s">
        <v>5640</v>
      </c>
      <c r="O242" s="713" t="s">
        <v>901</v>
      </c>
      <c r="P242">
        <v>0</v>
      </c>
      <c r="Q242" s="712">
        <v>0</v>
      </c>
      <c r="R242" s="712">
        <v>26000000</v>
      </c>
      <c r="S242" s="839"/>
      <c r="T242" s="713" t="s">
        <v>5865</v>
      </c>
      <c r="U242" s="713" t="s">
        <v>901</v>
      </c>
      <c r="V242">
        <v>0</v>
      </c>
      <c r="W242" s="712">
        <v>0</v>
      </c>
      <c r="X242" s="712">
        <v>23000000</v>
      </c>
      <c r="Y242" s="839"/>
      <c r="Z242" s="713" t="s">
        <v>6165</v>
      </c>
      <c r="AA242" s="713" t="s">
        <v>61</v>
      </c>
      <c r="AB242">
        <v>0</v>
      </c>
      <c r="AC242" s="712">
        <v>5000000</v>
      </c>
      <c r="AD242" s="712">
        <v>0</v>
      </c>
    </row>
    <row r="243" spans="1:30" x14ac:dyDescent="0.2">
      <c r="A243" s="839"/>
      <c r="B243" s="713" t="s">
        <v>5242</v>
      </c>
      <c r="C243" s="713" t="s">
        <v>901</v>
      </c>
      <c r="D243" s="710">
        <v>0</v>
      </c>
      <c r="E243" s="712">
        <v>0</v>
      </c>
      <c r="F243" s="712">
        <v>27000000</v>
      </c>
      <c r="G243" s="839"/>
      <c r="H243" s="713" t="s">
        <v>5497</v>
      </c>
      <c r="I243" s="713" t="s">
        <v>61</v>
      </c>
      <c r="J243">
        <v>0</v>
      </c>
      <c r="K243" s="712">
        <v>5000000</v>
      </c>
      <c r="L243" s="712">
        <v>0</v>
      </c>
      <c r="M243" s="839"/>
      <c r="N243" s="713" t="s">
        <v>5641</v>
      </c>
      <c r="O243" s="713" t="s">
        <v>901</v>
      </c>
      <c r="P243">
        <v>0</v>
      </c>
      <c r="Q243" s="712">
        <v>0</v>
      </c>
      <c r="R243" s="712">
        <v>26000000</v>
      </c>
      <c r="S243" s="839"/>
      <c r="T243" s="713" t="s">
        <v>5866</v>
      </c>
      <c r="U243" s="713" t="s">
        <v>901</v>
      </c>
      <c r="V243">
        <v>0</v>
      </c>
      <c r="W243" s="712">
        <v>0</v>
      </c>
      <c r="X243" s="712">
        <v>24000000</v>
      </c>
      <c r="Y243" s="839"/>
      <c r="Z243" s="713" t="s">
        <v>6166</v>
      </c>
      <c r="AA243" s="713" t="s">
        <v>901</v>
      </c>
      <c r="AB243">
        <v>0</v>
      </c>
      <c r="AC243" s="712">
        <v>0</v>
      </c>
      <c r="AD243" s="712">
        <v>5000000</v>
      </c>
    </row>
    <row r="244" spans="1:30" x14ac:dyDescent="0.2">
      <c r="A244" s="839"/>
      <c r="B244" s="713" t="s">
        <v>5243</v>
      </c>
      <c r="C244" s="713" t="s">
        <v>901</v>
      </c>
      <c r="D244" s="710">
        <v>0</v>
      </c>
      <c r="E244" s="712">
        <v>0</v>
      </c>
      <c r="F244" s="712">
        <v>27000000</v>
      </c>
      <c r="G244" s="839"/>
      <c r="H244" s="713" t="s">
        <v>5498</v>
      </c>
      <c r="I244" s="713" t="s">
        <v>61</v>
      </c>
      <c r="J244">
        <v>0</v>
      </c>
      <c r="K244" s="712">
        <v>5000000</v>
      </c>
      <c r="L244" s="712">
        <v>0</v>
      </c>
      <c r="M244" s="839"/>
      <c r="N244" s="713" t="s">
        <v>5642</v>
      </c>
      <c r="O244" s="713" t="s">
        <v>901</v>
      </c>
      <c r="P244">
        <v>0</v>
      </c>
      <c r="Q244" s="712">
        <v>0</v>
      </c>
      <c r="R244" s="712">
        <v>26000000</v>
      </c>
      <c r="S244" s="839"/>
      <c r="T244" s="713" t="s">
        <v>5867</v>
      </c>
      <c r="U244" s="713" t="s">
        <v>901</v>
      </c>
      <c r="V244">
        <v>0</v>
      </c>
      <c r="W244" s="712">
        <v>0</v>
      </c>
      <c r="X244" s="712">
        <v>28000000</v>
      </c>
      <c r="Y244" s="839"/>
      <c r="Z244" s="713" t="s">
        <v>6167</v>
      </c>
      <c r="AA244" s="713" t="s">
        <v>901</v>
      </c>
      <c r="AB244">
        <v>0</v>
      </c>
      <c r="AC244" s="712">
        <v>0</v>
      </c>
      <c r="AD244" s="712">
        <v>5000000</v>
      </c>
    </row>
    <row r="245" spans="1:30" x14ac:dyDescent="0.2">
      <c r="A245" s="839"/>
      <c r="B245" s="713" t="s">
        <v>5244</v>
      </c>
      <c r="C245" s="713" t="s">
        <v>901</v>
      </c>
      <c r="D245" s="710">
        <v>0</v>
      </c>
      <c r="E245" s="712">
        <v>0</v>
      </c>
      <c r="F245" s="712">
        <v>22000000</v>
      </c>
      <c r="G245" s="839"/>
      <c r="H245" s="713" t="s">
        <v>5499</v>
      </c>
      <c r="I245" s="713" t="s">
        <v>61</v>
      </c>
      <c r="J245">
        <v>0</v>
      </c>
      <c r="K245" s="712">
        <v>5000000</v>
      </c>
      <c r="L245" s="712">
        <v>0</v>
      </c>
      <c r="M245" s="839"/>
      <c r="N245" s="713" t="s">
        <v>5643</v>
      </c>
      <c r="O245" s="713" t="s">
        <v>901</v>
      </c>
      <c r="P245">
        <v>0</v>
      </c>
      <c r="Q245" s="712">
        <v>0</v>
      </c>
      <c r="R245" s="712">
        <v>26000000</v>
      </c>
      <c r="S245" s="839"/>
      <c r="T245" s="713" t="s">
        <v>5868</v>
      </c>
      <c r="U245" s="713" t="s">
        <v>901</v>
      </c>
      <c r="V245">
        <v>0</v>
      </c>
      <c r="W245" s="712">
        <v>0</v>
      </c>
      <c r="X245" s="712">
        <v>28000000</v>
      </c>
      <c r="Y245" s="839"/>
      <c r="Z245" s="713" t="s">
        <v>6168</v>
      </c>
      <c r="AA245" s="713" t="s">
        <v>901</v>
      </c>
      <c r="AB245">
        <v>0</v>
      </c>
      <c r="AC245" s="712">
        <v>0</v>
      </c>
      <c r="AD245" s="712">
        <v>5000000</v>
      </c>
    </row>
    <row r="246" spans="1:30" x14ac:dyDescent="0.2">
      <c r="A246" s="839"/>
      <c r="B246" s="713" t="s">
        <v>5245</v>
      </c>
      <c r="C246" s="713" t="s">
        <v>901</v>
      </c>
      <c r="D246" s="710">
        <v>0</v>
      </c>
      <c r="E246" s="712">
        <v>0</v>
      </c>
      <c r="F246" s="712">
        <v>27000000</v>
      </c>
      <c r="G246" s="839"/>
      <c r="H246" s="713" t="s">
        <v>5500</v>
      </c>
      <c r="I246" s="713" t="s">
        <v>61</v>
      </c>
      <c r="J246">
        <v>0</v>
      </c>
      <c r="K246" s="712">
        <v>5000000</v>
      </c>
      <c r="L246" s="712">
        <v>0</v>
      </c>
      <c r="M246" s="839"/>
      <c r="N246" s="713" t="s">
        <v>5644</v>
      </c>
      <c r="O246" s="713" t="s">
        <v>901</v>
      </c>
      <c r="P246">
        <v>0</v>
      </c>
      <c r="Q246" s="712">
        <v>0</v>
      </c>
      <c r="R246" s="712">
        <v>26000000</v>
      </c>
      <c r="S246" s="839"/>
      <c r="T246" s="713" t="s">
        <v>5869</v>
      </c>
      <c r="U246" s="713" t="s">
        <v>901</v>
      </c>
      <c r="V246">
        <v>0</v>
      </c>
      <c r="W246" s="712">
        <v>0</v>
      </c>
      <c r="X246" s="712">
        <v>23000000</v>
      </c>
      <c r="Y246" s="839"/>
      <c r="Z246" s="713" t="s">
        <v>6169</v>
      </c>
      <c r="AA246" s="713" t="s">
        <v>901</v>
      </c>
      <c r="AB246">
        <v>0</v>
      </c>
      <c r="AC246" s="712">
        <v>0</v>
      </c>
      <c r="AD246" s="712">
        <v>5000000</v>
      </c>
    </row>
    <row r="247" spans="1:30" x14ac:dyDescent="0.2">
      <c r="A247" s="839"/>
      <c r="B247" s="713" t="s">
        <v>5246</v>
      </c>
      <c r="C247" s="713" t="s">
        <v>901</v>
      </c>
      <c r="D247" s="710">
        <v>0</v>
      </c>
      <c r="E247" s="712">
        <v>0</v>
      </c>
      <c r="F247" s="712">
        <v>27000000</v>
      </c>
      <c r="G247" s="839"/>
      <c r="H247" s="713" t="s">
        <v>5501</v>
      </c>
      <c r="I247" s="713" t="s">
        <v>61</v>
      </c>
      <c r="J247">
        <v>0</v>
      </c>
      <c r="K247" s="712">
        <v>5000000</v>
      </c>
      <c r="L247" s="712">
        <v>0</v>
      </c>
      <c r="M247" s="839"/>
      <c r="N247" s="713" t="s">
        <v>5645</v>
      </c>
      <c r="O247" s="713" t="s">
        <v>901</v>
      </c>
      <c r="P247">
        <v>0</v>
      </c>
      <c r="Q247" s="712">
        <v>0</v>
      </c>
      <c r="R247" s="712">
        <v>26000000</v>
      </c>
      <c r="S247" s="839"/>
      <c r="T247" s="713" t="s">
        <v>5870</v>
      </c>
      <c r="U247" s="713" t="s">
        <v>901</v>
      </c>
      <c r="V247">
        <v>0</v>
      </c>
      <c r="W247" s="712">
        <v>0</v>
      </c>
      <c r="X247" s="712">
        <v>28000000</v>
      </c>
      <c r="Y247" s="839"/>
      <c r="Z247" s="713" t="s">
        <v>6170</v>
      </c>
      <c r="AA247" s="713" t="s">
        <v>901</v>
      </c>
      <c r="AB247">
        <v>0</v>
      </c>
      <c r="AC247" s="712">
        <v>0</v>
      </c>
      <c r="AD247" s="712">
        <v>5000000</v>
      </c>
    </row>
    <row r="248" spans="1:30" x14ac:dyDescent="0.2">
      <c r="A248" s="839"/>
      <c r="B248" s="713" t="s">
        <v>5247</v>
      </c>
      <c r="C248" s="713" t="s">
        <v>901</v>
      </c>
      <c r="D248" s="710">
        <v>0</v>
      </c>
      <c r="E248" s="712">
        <v>0</v>
      </c>
      <c r="F248" s="712">
        <v>27000000</v>
      </c>
      <c r="G248" s="839"/>
      <c r="H248" s="713" t="s">
        <v>5502</v>
      </c>
      <c r="I248" s="713" t="s">
        <v>61</v>
      </c>
      <c r="J248">
        <v>0</v>
      </c>
      <c r="K248" s="712">
        <v>5000000</v>
      </c>
      <c r="L248" s="712">
        <v>0</v>
      </c>
      <c r="M248" s="839"/>
      <c r="N248" s="713" t="s">
        <v>5646</v>
      </c>
      <c r="O248" s="713" t="s">
        <v>901</v>
      </c>
      <c r="P248">
        <v>0</v>
      </c>
      <c r="Q248" s="712">
        <v>0</v>
      </c>
      <c r="R248" s="712">
        <v>26000000</v>
      </c>
      <c r="S248" s="839"/>
      <c r="T248" s="713" t="s">
        <v>5871</v>
      </c>
      <c r="U248" s="713" t="s">
        <v>901</v>
      </c>
      <c r="V248">
        <v>0</v>
      </c>
      <c r="W248" s="712">
        <v>0</v>
      </c>
      <c r="X248" s="712">
        <v>28000000</v>
      </c>
      <c r="Y248" s="839"/>
      <c r="Z248" s="713" t="s">
        <v>6171</v>
      </c>
      <c r="AA248" s="713" t="s">
        <v>901</v>
      </c>
      <c r="AB248">
        <v>0</v>
      </c>
      <c r="AC248" s="712">
        <v>0</v>
      </c>
      <c r="AD248" s="712">
        <v>5000000</v>
      </c>
    </row>
    <row r="249" spans="1:30" x14ac:dyDescent="0.2">
      <c r="A249" s="839"/>
      <c r="B249" s="713" t="s">
        <v>5248</v>
      </c>
      <c r="C249" s="713" t="s">
        <v>901</v>
      </c>
      <c r="D249" s="710">
        <v>0</v>
      </c>
      <c r="E249" s="712">
        <v>0</v>
      </c>
      <c r="F249" s="712">
        <v>27000000</v>
      </c>
      <c r="G249" s="839"/>
      <c r="H249" s="713" t="s">
        <v>5503</v>
      </c>
      <c r="I249" s="713" t="s">
        <v>61</v>
      </c>
      <c r="J249">
        <v>0</v>
      </c>
      <c r="K249" s="712">
        <v>5000000</v>
      </c>
      <c r="L249" s="712">
        <v>0</v>
      </c>
      <c r="M249" s="839"/>
      <c r="N249" s="713" t="s">
        <v>5647</v>
      </c>
      <c r="O249" s="713" t="s">
        <v>901</v>
      </c>
      <c r="P249">
        <v>0</v>
      </c>
      <c r="Q249" s="712">
        <v>0</v>
      </c>
      <c r="R249" s="712">
        <v>26000000</v>
      </c>
      <c r="S249" s="839"/>
      <c r="T249" s="713" t="s">
        <v>5872</v>
      </c>
      <c r="U249" s="713" t="s">
        <v>901</v>
      </c>
      <c r="V249">
        <v>0</v>
      </c>
      <c r="W249" s="712">
        <v>0</v>
      </c>
      <c r="X249" s="712">
        <v>28000000</v>
      </c>
      <c r="Y249" s="839"/>
      <c r="Z249" s="713" t="s">
        <v>6172</v>
      </c>
      <c r="AA249" s="713" t="s">
        <v>901</v>
      </c>
      <c r="AB249">
        <v>0</v>
      </c>
      <c r="AC249" s="712">
        <v>0</v>
      </c>
      <c r="AD249" s="712">
        <v>5000000</v>
      </c>
    </row>
    <row r="250" spans="1:30" x14ac:dyDescent="0.2">
      <c r="A250" s="839"/>
      <c r="B250" s="713" t="s">
        <v>5249</v>
      </c>
      <c r="C250" s="713" t="s">
        <v>901</v>
      </c>
      <c r="D250" s="710">
        <v>0</v>
      </c>
      <c r="E250" s="712">
        <v>0</v>
      </c>
      <c r="F250" s="712">
        <v>22000000</v>
      </c>
      <c r="G250" s="839"/>
      <c r="H250" s="713" t="s">
        <v>5504</v>
      </c>
      <c r="I250" s="713" t="s">
        <v>901</v>
      </c>
      <c r="J250">
        <v>0</v>
      </c>
      <c r="K250" s="712">
        <v>0</v>
      </c>
      <c r="L250" s="712">
        <v>5000000</v>
      </c>
      <c r="M250" s="839"/>
      <c r="N250" s="713" t="s">
        <v>5648</v>
      </c>
      <c r="O250" s="713" t="s">
        <v>901</v>
      </c>
      <c r="P250">
        <v>0</v>
      </c>
      <c r="Q250" s="712">
        <v>0</v>
      </c>
      <c r="R250" s="712">
        <v>26000000</v>
      </c>
      <c r="S250" s="839"/>
      <c r="T250" s="713" t="s">
        <v>5873</v>
      </c>
      <c r="U250" s="713" t="s">
        <v>901</v>
      </c>
      <c r="V250">
        <v>0</v>
      </c>
      <c r="W250" s="712">
        <v>0</v>
      </c>
      <c r="X250" s="712">
        <v>29000000</v>
      </c>
      <c r="Y250" s="839"/>
      <c r="Z250" s="713" t="s">
        <v>6173</v>
      </c>
      <c r="AA250" s="713" t="s">
        <v>901</v>
      </c>
      <c r="AB250">
        <v>0</v>
      </c>
      <c r="AC250" s="712">
        <v>0</v>
      </c>
      <c r="AD250" s="712">
        <v>5000000</v>
      </c>
    </row>
    <row r="251" spans="1:30" x14ac:dyDescent="0.2">
      <c r="A251" s="839"/>
      <c r="B251" s="713" t="s">
        <v>5250</v>
      </c>
      <c r="C251" s="713" t="s">
        <v>901</v>
      </c>
      <c r="D251" s="710">
        <v>0</v>
      </c>
      <c r="E251" s="712">
        <v>0</v>
      </c>
      <c r="F251" s="712">
        <v>27000000</v>
      </c>
      <c r="G251" s="839"/>
      <c r="H251" s="713" t="s">
        <v>5505</v>
      </c>
      <c r="I251" s="713" t="s">
        <v>901</v>
      </c>
      <c r="J251">
        <v>0</v>
      </c>
      <c r="K251" s="712">
        <v>0</v>
      </c>
      <c r="L251" s="712">
        <v>5000000</v>
      </c>
      <c r="M251" s="839"/>
      <c r="N251" s="713" t="s">
        <v>5649</v>
      </c>
      <c r="O251" s="713" t="s">
        <v>901</v>
      </c>
      <c r="P251">
        <v>0</v>
      </c>
      <c r="Q251" s="712">
        <v>0</v>
      </c>
      <c r="R251" s="712">
        <v>26000000</v>
      </c>
      <c r="S251" s="839"/>
      <c r="T251" s="713" t="s">
        <v>5874</v>
      </c>
      <c r="U251" s="713" t="s">
        <v>901</v>
      </c>
      <c r="V251">
        <v>0</v>
      </c>
      <c r="W251" s="712">
        <v>0</v>
      </c>
      <c r="X251" s="712">
        <v>28000000</v>
      </c>
      <c r="Y251" s="839"/>
      <c r="Z251" s="713" t="s">
        <v>6174</v>
      </c>
      <c r="AA251" s="713" t="s">
        <v>901</v>
      </c>
      <c r="AB251">
        <v>0</v>
      </c>
      <c r="AC251" s="712">
        <v>0</v>
      </c>
      <c r="AD251" s="712">
        <v>5000000</v>
      </c>
    </row>
    <row r="252" spans="1:30" x14ac:dyDescent="0.2">
      <c r="A252" s="839"/>
      <c r="B252" s="713" t="s">
        <v>5251</v>
      </c>
      <c r="C252" s="713" t="s">
        <v>901</v>
      </c>
      <c r="D252" s="710">
        <v>0</v>
      </c>
      <c r="E252" s="712">
        <v>0</v>
      </c>
      <c r="F252" s="712">
        <v>22000000</v>
      </c>
      <c r="G252" s="839"/>
      <c r="H252" s="713" t="s">
        <v>5506</v>
      </c>
      <c r="I252" s="713" t="s">
        <v>61</v>
      </c>
      <c r="J252">
        <v>0</v>
      </c>
      <c r="K252" s="712">
        <v>5000000</v>
      </c>
      <c r="L252" s="712">
        <v>0</v>
      </c>
      <c r="M252" s="839"/>
      <c r="N252" s="713" t="s">
        <v>5650</v>
      </c>
      <c r="O252" s="713" t="s">
        <v>901</v>
      </c>
      <c r="P252">
        <v>0</v>
      </c>
      <c r="Q252" s="712">
        <v>0</v>
      </c>
      <c r="R252" s="712">
        <v>26000000</v>
      </c>
      <c r="S252" s="839"/>
      <c r="T252" s="713" t="s">
        <v>5875</v>
      </c>
      <c r="U252" s="713" t="s">
        <v>901</v>
      </c>
      <c r="V252">
        <v>0</v>
      </c>
      <c r="W252" s="712">
        <v>0</v>
      </c>
      <c r="X252" s="712">
        <v>28000000</v>
      </c>
      <c r="Y252" s="839"/>
      <c r="Z252" s="713" t="s">
        <v>6175</v>
      </c>
      <c r="AA252" s="713" t="s">
        <v>901</v>
      </c>
      <c r="AB252">
        <v>0</v>
      </c>
      <c r="AC252" s="712">
        <v>0</v>
      </c>
      <c r="AD252" s="712">
        <v>5000000</v>
      </c>
    </row>
    <row r="253" spans="1:30" x14ac:dyDescent="0.2">
      <c r="A253" s="839"/>
      <c r="B253" s="713" t="s">
        <v>5252</v>
      </c>
      <c r="C253" s="713" t="s">
        <v>901</v>
      </c>
      <c r="D253" s="710">
        <v>0</v>
      </c>
      <c r="E253" s="712">
        <v>0</v>
      </c>
      <c r="F253" s="712">
        <v>22000000</v>
      </c>
      <c r="G253" s="839"/>
      <c r="H253" s="713" t="s">
        <v>5507</v>
      </c>
      <c r="I253" s="713" t="s">
        <v>901</v>
      </c>
      <c r="J253">
        <v>0</v>
      </c>
      <c r="K253" s="712">
        <v>0</v>
      </c>
      <c r="L253" s="712">
        <v>5000000</v>
      </c>
      <c r="M253" s="839"/>
      <c r="N253" s="713" t="s">
        <v>5651</v>
      </c>
      <c r="O253" s="713" t="s">
        <v>901</v>
      </c>
      <c r="P253">
        <v>0</v>
      </c>
      <c r="Q253" s="712">
        <v>0</v>
      </c>
      <c r="R253" s="712">
        <v>26000000</v>
      </c>
      <c r="S253" s="839"/>
      <c r="T253" s="713" t="s">
        <v>5876</v>
      </c>
      <c r="U253" s="713" t="s">
        <v>901</v>
      </c>
      <c r="V253">
        <v>0</v>
      </c>
      <c r="W253" s="712">
        <v>0</v>
      </c>
      <c r="X253" s="712">
        <v>28000000</v>
      </c>
      <c r="Y253" s="839"/>
      <c r="Z253" s="713" t="s">
        <v>6176</v>
      </c>
      <c r="AA253" s="713" t="s">
        <v>901</v>
      </c>
      <c r="AB253">
        <v>0</v>
      </c>
      <c r="AC253" s="712">
        <v>0</v>
      </c>
      <c r="AD253" s="712">
        <v>5000000</v>
      </c>
    </row>
    <row r="254" spans="1:30" x14ac:dyDescent="0.2">
      <c r="A254" s="839"/>
      <c r="B254" s="713" t="s">
        <v>5253</v>
      </c>
      <c r="C254" s="713" t="s">
        <v>901</v>
      </c>
      <c r="D254" s="710">
        <v>0</v>
      </c>
      <c r="E254" s="712">
        <v>0</v>
      </c>
      <c r="F254" s="712">
        <v>22000000</v>
      </c>
      <c r="G254" s="839"/>
      <c r="H254" s="713" t="s">
        <v>5508</v>
      </c>
      <c r="I254" s="713" t="s">
        <v>901</v>
      </c>
      <c r="J254">
        <v>0</v>
      </c>
      <c r="K254" s="712">
        <v>0</v>
      </c>
      <c r="L254" s="712">
        <v>5000000</v>
      </c>
      <c r="M254" s="839"/>
      <c r="N254" s="713" t="s">
        <v>5652</v>
      </c>
      <c r="O254" s="713" t="s">
        <v>901</v>
      </c>
      <c r="P254">
        <v>0</v>
      </c>
      <c r="Q254" s="712">
        <v>0</v>
      </c>
      <c r="R254" s="712">
        <v>26000000</v>
      </c>
      <c r="S254" s="839"/>
      <c r="T254" s="713" t="s">
        <v>5877</v>
      </c>
      <c r="U254" s="713" t="s">
        <v>901</v>
      </c>
      <c r="V254">
        <v>0</v>
      </c>
      <c r="W254" s="712">
        <v>0</v>
      </c>
      <c r="X254" s="712">
        <v>28000000</v>
      </c>
      <c r="Y254" s="839"/>
      <c r="Z254" s="713" t="s">
        <v>6177</v>
      </c>
      <c r="AA254" s="713" t="s">
        <v>901</v>
      </c>
      <c r="AB254">
        <v>0</v>
      </c>
      <c r="AC254" s="712">
        <v>0</v>
      </c>
      <c r="AD254" s="712">
        <v>5000000</v>
      </c>
    </row>
    <row r="255" spans="1:30" x14ac:dyDescent="0.2">
      <c r="A255" s="839"/>
      <c r="B255" s="713" t="s">
        <v>5254</v>
      </c>
      <c r="C255" s="713" t="s">
        <v>901</v>
      </c>
      <c r="D255" s="710">
        <v>0</v>
      </c>
      <c r="E255" s="712">
        <v>0</v>
      </c>
      <c r="F255" s="712">
        <v>22000000</v>
      </c>
      <c r="G255" s="839"/>
      <c r="H255" s="713" t="s">
        <v>5509</v>
      </c>
      <c r="I255" s="713" t="s">
        <v>61</v>
      </c>
      <c r="J255">
        <v>0</v>
      </c>
      <c r="K255" s="712">
        <v>5000000</v>
      </c>
      <c r="L255" s="712">
        <v>0</v>
      </c>
      <c r="M255" s="839"/>
      <c r="N255" s="713" t="s">
        <v>5653</v>
      </c>
      <c r="O255" s="713" t="s">
        <v>901</v>
      </c>
      <c r="P255">
        <v>0</v>
      </c>
      <c r="Q255" s="712">
        <v>0</v>
      </c>
      <c r="R255" s="712">
        <v>26000000</v>
      </c>
      <c r="S255" s="839"/>
      <c r="T255" s="713" t="s">
        <v>5878</v>
      </c>
      <c r="U255" s="713" t="s">
        <v>901</v>
      </c>
      <c r="V255">
        <v>0</v>
      </c>
      <c r="W255" s="712">
        <v>0</v>
      </c>
      <c r="X255" s="712">
        <v>28000000</v>
      </c>
      <c r="Y255" s="839"/>
      <c r="Z255" s="713" t="s">
        <v>6178</v>
      </c>
      <c r="AA255" s="713" t="s">
        <v>61</v>
      </c>
      <c r="AB255">
        <v>0</v>
      </c>
      <c r="AC255" s="712">
        <v>5000000</v>
      </c>
      <c r="AD255" s="712">
        <v>0</v>
      </c>
    </row>
    <row r="256" spans="1:30" x14ac:dyDescent="0.2">
      <c r="A256" s="839"/>
      <c r="B256" s="713" t="s">
        <v>5255</v>
      </c>
      <c r="C256" s="713" t="s">
        <v>901</v>
      </c>
      <c r="D256" s="710">
        <v>0</v>
      </c>
      <c r="E256" s="712">
        <v>0</v>
      </c>
      <c r="F256" s="712">
        <v>22000000</v>
      </c>
      <c r="G256" s="839"/>
      <c r="H256" s="713" t="s">
        <v>5510</v>
      </c>
      <c r="I256" s="713" t="s">
        <v>61</v>
      </c>
      <c r="J256">
        <v>0</v>
      </c>
      <c r="K256" s="712">
        <v>5000000</v>
      </c>
      <c r="L256" s="712">
        <v>0</v>
      </c>
      <c r="M256" s="839"/>
      <c r="N256" s="713" t="s">
        <v>5654</v>
      </c>
      <c r="O256" s="713" t="s">
        <v>901</v>
      </c>
      <c r="P256">
        <v>0</v>
      </c>
      <c r="Q256" s="712">
        <v>0</v>
      </c>
      <c r="R256" s="712">
        <v>26000000</v>
      </c>
      <c r="S256" s="839"/>
      <c r="T256" s="713" t="s">
        <v>5879</v>
      </c>
      <c r="U256" s="713" t="s">
        <v>901</v>
      </c>
      <c r="V256">
        <v>0</v>
      </c>
      <c r="W256" s="712">
        <v>0</v>
      </c>
      <c r="X256" s="712">
        <v>24000000</v>
      </c>
      <c r="Y256" s="839"/>
      <c r="Z256" s="713" t="s">
        <v>6179</v>
      </c>
      <c r="AA256" s="713" t="s">
        <v>901</v>
      </c>
      <c r="AB256">
        <v>0</v>
      </c>
      <c r="AC256" s="712">
        <v>0</v>
      </c>
      <c r="AD256" s="712">
        <v>5000000</v>
      </c>
    </row>
    <row r="257" spans="1:30" x14ac:dyDescent="0.2">
      <c r="A257" s="839"/>
      <c r="B257" s="713" t="s">
        <v>5256</v>
      </c>
      <c r="C257" s="713" t="s">
        <v>901</v>
      </c>
      <c r="D257" s="710">
        <v>0</v>
      </c>
      <c r="E257" s="712">
        <v>0</v>
      </c>
      <c r="F257" s="712">
        <v>22000000</v>
      </c>
      <c r="G257" s="839"/>
      <c r="H257" s="713" t="s">
        <v>5511</v>
      </c>
      <c r="I257" s="713" t="s">
        <v>901</v>
      </c>
      <c r="J257">
        <v>0</v>
      </c>
      <c r="K257" s="712">
        <v>0</v>
      </c>
      <c r="L257" s="712">
        <v>5000000</v>
      </c>
      <c r="M257" s="839"/>
      <c r="N257" s="713" t="s">
        <v>5655</v>
      </c>
      <c r="O257" s="713" t="s">
        <v>901</v>
      </c>
      <c r="P257">
        <v>0</v>
      </c>
      <c r="Q257" s="712">
        <v>0</v>
      </c>
      <c r="R257" s="712">
        <v>26000000</v>
      </c>
      <c r="S257" s="839"/>
      <c r="T257" s="713" t="s">
        <v>5880</v>
      </c>
      <c r="U257" s="713" t="s">
        <v>901</v>
      </c>
      <c r="V257">
        <v>0</v>
      </c>
      <c r="W257" s="712">
        <v>0</v>
      </c>
      <c r="X257" s="712">
        <v>28000000</v>
      </c>
      <c r="Y257" s="839"/>
      <c r="Z257" s="713" t="s">
        <v>6180</v>
      </c>
      <c r="AA257" s="713" t="s">
        <v>61</v>
      </c>
      <c r="AB257">
        <v>0</v>
      </c>
      <c r="AC257" s="712">
        <v>5000000</v>
      </c>
      <c r="AD257" s="712">
        <v>0</v>
      </c>
    </row>
    <row r="258" spans="1:30" x14ac:dyDescent="0.2">
      <c r="A258" s="839"/>
      <c r="B258" s="713" t="s">
        <v>5257</v>
      </c>
      <c r="C258" s="713" t="s">
        <v>901</v>
      </c>
      <c r="D258" s="710">
        <v>0</v>
      </c>
      <c r="E258" s="712">
        <v>0</v>
      </c>
      <c r="F258" s="712">
        <v>22000000</v>
      </c>
      <c r="G258" s="839"/>
      <c r="H258" s="713" t="s">
        <v>5512</v>
      </c>
      <c r="I258" s="713" t="s">
        <v>901</v>
      </c>
      <c r="J258">
        <v>0</v>
      </c>
      <c r="K258" s="712">
        <v>0</v>
      </c>
      <c r="L258" s="712">
        <v>5000000</v>
      </c>
      <c r="M258" s="839"/>
      <c r="N258" s="713" t="s">
        <v>5656</v>
      </c>
      <c r="O258" s="713" t="s">
        <v>901</v>
      </c>
      <c r="P258">
        <v>0</v>
      </c>
      <c r="Q258" s="712">
        <v>0</v>
      </c>
      <c r="R258" s="712">
        <v>26000000</v>
      </c>
      <c r="S258" s="839"/>
      <c r="T258" s="713" t="s">
        <v>5881</v>
      </c>
      <c r="U258" s="713" t="s">
        <v>901</v>
      </c>
      <c r="V258">
        <v>0</v>
      </c>
      <c r="W258" s="712">
        <v>0</v>
      </c>
      <c r="X258" s="712">
        <v>29000000</v>
      </c>
      <c r="Y258" s="839"/>
      <c r="Z258" s="713" t="s">
        <v>6181</v>
      </c>
      <c r="AA258" s="713" t="s">
        <v>901</v>
      </c>
      <c r="AB258">
        <v>0</v>
      </c>
      <c r="AC258" s="712">
        <v>0</v>
      </c>
      <c r="AD258" s="712">
        <v>5000000</v>
      </c>
    </row>
    <row r="259" spans="1:30" x14ac:dyDescent="0.2">
      <c r="A259" s="839"/>
      <c r="B259" s="713" t="s">
        <v>5258</v>
      </c>
      <c r="C259" s="713" t="s">
        <v>901</v>
      </c>
      <c r="D259" s="710">
        <v>0</v>
      </c>
      <c r="E259" s="712">
        <v>0</v>
      </c>
      <c r="F259" s="712">
        <v>22000000</v>
      </c>
      <c r="G259" s="839"/>
      <c r="H259" s="713" t="s">
        <v>5513</v>
      </c>
      <c r="I259" s="713" t="s">
        <v>901</v>
      </c>
      <c r="J259">
        <v>0</v>
      </c>
      <c r="K259" s="712">
        <v>0</v>
      </c>
      <c r="L259" s="712">
        <v>5000000</v>
      </c>
      <c r="M259" s="839"/>
      <c r="N259" s="713" t="s">
        <v>5657</v>
      </c>
      <c r="O259" s="713" t="s">
        <v>901</v>
      </c>
      <c r="P259">
        <v>0</v>
      </c>
      <c r="Q259" s="712">
        <v>0</v>
      </c>
      <c r="R259" s="712">
        <v>26000000</v>
      </c>
      <c r="S259" s="839"/>
      <c r="T259" s="713" t="s">
        <v>5882</v>
      </c>
      <c r="U259" s="713" t="s">
        <v>901</v>
      </c>
      <c r="V259">
        <v>0</v>
      </c>
      <c r="W259" s="712">
        <v>0</v>
      </c>
      <c r="X259" s="712">
        <v>28000000</v>
      </c>
      <c r="Y259" s="839"/>
      <c r="Z259" s="713" t="s">
        <v>6182</v>
      </c>
      <c r="AA259" s="713" t="s">
        <v>901</v>
      </c>
      <c r="AB259">
        <v>0</v>
      </c>
      <c r="AC259" s="712">
        <v>0</v>
      </c>
      <c r="AD259" s="712">
        <v>5000000</v>
      </c>
    </row>
    <row r="260" spans="1:30" x14ac:dyDescent="0.2">
      <c r="A260" s="839"/>
      <c r="B260" s="713" t="s">
        <v>5259</v>
      </c>
      <c r="C260" s="713" t="s">
        <v>901</v>
      </c>
      <c r="D260" s="710">
        <v>0</v>
      </c>
      <c r="E260" s="712">
        <v>0</v>
      </c>
      <c r="F260" s="712">
        <v>22000000</v>
      </c>
      <c r="G260" s="839"/>
      <c r="H260" s="713" t="s">
        <v>5514</v>
      </c>
      <c r="I260" s="713" t="s">
        <v>901</v>
      </c>
      <c r="J260">
        <v>0</v>
      </c>
      <c r="K260" s="712">
        <v>0</v>
      </c>
      <c r="L260" s="712">
        <v>5000000</v>
      </c>
      <c r="M260" s="839"/>
      <c r="N260" s="713" t="s">
        <v>5658</v>
      </c>
      <c r="O260" s="713" t="s">
        <v>901</v>
      </c>
      <c r="P260">
        <v>0</v>
      </c>
      <c r="Q260" s="712">
        <v>0</v>
      </c>
      <c r="R260" s="712">
        <v>26000000</v>
      </c>
      <c r="S260" s="839"/>
      <c r="T260" s="713" t="s">
        <v>5883</v>
      </c>
      <c r="U260" s="713" t="s">
        <v>901</v>
      </c>
      <c r="V260">
        <v>0</v>
      </c>
      <c r="W260" s="712">
        <v>0</v>
      </c>
      <c r="X260" s="712">
        <v>28000000</v>
      </c>
      <c r="Y260" s="839"/>
      <c r="Z260" s="713" t="s">
        <v>6183</v>
      </c>
      <c r="AA260" s="713" t="s">
        <v>901</v>
      </c>
      <c r="AB260">
        <v>0</v>
      </c>
      <c r="AC260" s="712">
        <v>0</v>
      </c>
      <c r="AD260" s="712">
        <v>5000000</v>
      </c>
    </row>
    <row r="261" spans="1:30" x14ac:dyDescent="0.2">
      <c r="A261" s="839"/>
      <c r="B261" s="713" t="s">
        <v>5260</v>
      </c>
      <c r="C261" s="713" t="s">
        <v>901</v>
      </c>
      <c r="D261" s="710">
        <v>0</v>
      </c>
      <c r="E261" s="712">
        <v>0</v>
      </c>
      <c r="F261" s="712">
        <v>22000000</v>
      </c>
      <c r="G261" s="839"/>
      <c r="H261" s="713" t="s">
        <v>5515</v>
      </c>
      <c r="I261" s="713" t="s">
        <v>901</v>
      </c>
      <c r="J261">
        <v>0</v>
      </c>
      <c r="K261" s="712">
        <v>0</v>
      </c>
      <c r="L261" s="712">
        <v>5000000</v>
      </c>
      <c r="M261" s="839"/>
      <c r="N261" s="713" t="s">
        <v>5659</v>
      </c>
      <c r="O261" s="713" t="s">
        <v>901</v>
      </c>
      <c r="P261">
        <v>0</v>
      </c>
      <c r="Q261" s="712">
        <v>0</v>
      </c>
      <c r="R261" s="712">
        <v>26000000</v>
      </c>
      <c r="S261" s="839"/>
      <c r="T261" s="713" t="s">
        <v>5884</v>
      </c>
      <c r="U261" s="713" t="s">
        <v>901</v>
      </c>
      <c r="V261">
        <v>0</v>
      </c>
      <c r="W261" s="712">
        <v>0</v>
      </c>
      <c r="X261" s="712">
        <v>28000000</v>
      </c>
      <c r="Y261" s="839"/>
      <c r="Z261" s="713" t="s">
        <v>6184</v>
      </c>
      <c r="AA261" s="713" t="s">
        <v>901</v>
      </c>
      <c r="AB261">
        <v>0</v>
      </c>
      <c r="AC261" s="712">
        <v>0</v>
      </c>
      <c r="AD261" s="712">
        <v>5000000</v>
      </c>
    </row>
    <row r="262" spans="1:30" x14ac:dyDescent="0.2">
      <c r="A262" s="839"/>
      <c r="B262" s="713" t="s">
        <v>5261</v>
      </c>
      <c r="C262" s="713" t="s">
        <v>901</v>
      </c>
      <c r="D262" s="710">
        <v>0</v>
      </c>
      <c r="E262" s="712">
        <v>0</v>
      </c>
      <c r="F262" s="712">
        <v>27000000</v>
      </c>
      <c r="G262" s="839"/>
      <c r="H262" s="713" t="s">
        <v>5516</v>
      </c>
      <c r="I262" s="713" t="s">
        <v>901</v>
      </c>
      <c r="J262">
        <v>0</v>
      </c>
      <c r="K262" s="712">
        <v>0</v>
      </c>
      <c r="L262" s="712">
        <v>5000000</v>
      </c>
      <c r="M262" s="839"/>
      <c r="N262" s="713" t="s">
        <v>5660</v>
      </c>
      <c r="O262" s="713" t="s">
        <v>901</v>
      </c>
      <c r="P262">
        <v>0</v>
      </c>
      <c r="Q262" s="712">
        <v>0</v>
      </c>
      <c r="R262" s="712">
        <v>26000000</v>
      </c>
      <c r="S262" s="839"/>
      <c r="T262" s="713" t="s">
        <v>5885</v>
      </c>
      <c r="U262" s="713" t="s">
        <v>901</v>
      </c>
      <c r="V262">
        <v>0</v>
      </c>
      <c r="W262" s="712">
        <v>0</v>
      </c>
      <c r="X262" s="712">
        <v>28000000</v>
      </c>
      <c r="Y262" s="839"/>
      <c r="Z262" s="713" t="s">
        <v>6185</v>
      </c>
      <c r="AA262" s="713" t="s">
        <v>901</v>
      </c>
      <c r="AB262">
        <v>0</v>
      </c>
      <c r="AC262" s="712">
        <v>0</v>
      </c>
      <c r="AD262" s="712">
        <v>5000000</v>
      </c>
    </row>
    <row r="263" spans="1:30" x14ac:dyDescent="0.2">
      <c r="A263" s="839"/>
      <c r="B263" s="713" t="s">
        <v>5262</v>
      </c>
      <c r="C263" s="713" t="s">
        <v>901</v>
      </c>
      <c r="D263" s="710">
        <v>0</v>
      </c>
      <c r="E263" s="712">
        <v>0</v>
      </c>
      <c r="F263" s="712">
        <v>27000000</v>
      </c>
      <c r="G263" s="839"/>
      <c r="H263" s="713" t="s">
        <v>5517</v>
      </c>
      <c r="I263" s="713" t="s">
        <v>901</v>
      </c>
      <c r="J263">
        <v>0</v>
      </c>
      <c r="K263" s="712">
        <v>0</v>
      </c>
      <c r="L263" s="712">
        <v>5000000</v>
      </c>
      <c r="M263" s="839"/>
      <c r="N263" s="713" t="s">
        <v>5661</v>
      </c>
      <c r="O263" s="713" t="s">
        <v>901</v>
      </c>
      <c r="P263">
        <v>0</v>
      </c>
      <c r="Q263" s="712">
        <v>0</v>
      </c>
      <c r="R263" s="712">
        <v>26000000</v>
      </c>
      <c r="S263" s="839"/>
      <c r="T263" s="713" t="s">
        <v>5886</v>
      </c>
      <c r="U263" s="713" t="s">
        <v>901</v>
      </c>
      <c r="V263">
        <v>0</v>
      </c>
      <c r="W263" s="712">
        <v>0</v>
      </c>
      <c r="X263" s="712">
        <v>28000000</v>
      </c>
      <c r="Y263" s="839"/>
      <c r="Z263" s="713" t="s">
        <v>6186</v>
      </c>
      <c r="AA263" s="713" t="s">
        <v>901</v>
      </c>
      <c r="AB263">
        <v>0</v>
      </c>
      <c r="AC263" s="712">
        <v>0</v>
      </c>
      <c r="AD263" s="712">
        <v>5000000</v>
      </c>
    </row>
    <row r="264" spans="1:30" x14ac:dyDescent="0.2">
      <c r="A264" s="839"/>
      <c r="B264" s="713" t="s">
        <v>5263</v>
      </c>
      <c r="C264" s="713" t="s">
        <v>901</v>
      </c>
      <c r="D264" s="710">
        <v>0</v>
      </c>
      <c r="E264" s="712">
        <v>0</v>
      </c>
      <c r="F264" s="712">
        <v>27000000</v>
      </c>
      <c r="G264" s="839"/>
      <c r="H264" s="713" t="s">
        <v>5518</v>
      </c>
      <c r="I264" s="713" t="s">
        <v>901</v>
      </c>
      <c r="J264">
        <v>0</v>
      </c>
      <c r="K264" s="712">
        <v>0</v>
      </c>
      <c r="L264" s="712">
        <v>5000000</v>
      </c>
      <c r="M264" s="839"/>
      <c r="N264" s="713" t="s">
        <v>5662</v>
      </c>
      <c r="O264" s="713" t="s">
        <v>901</v>
      </c>
      <c r="P264">
        <v>0</v>
      </c>
      <c r="Q264" s="712">
        <v>0</v>
      </c>
      <c r="R264" s="712">
        <v>26000000</v>
      </c>
      <c r="S264" s="839"/>
      <c r="T264" s="713" t="s">
        <v>5887</v>
      </c>
      <c r="U264" s="713" t="s">
        <v>901</v>
      </c>
      <c r="V264">
        <v>0</v>
      </c>
      <c r="W264" s="712">
        <v>0</v>
      </c>
      <c r="X264" s="712">
        <v>28000000</v>
      </c>
      <c r="Y264" s="839"/>
      <c r="Z264" s="713" t="s">
        <v>6187</v>
      </c>
      <c r="AA264" s="713" t="s">
        <v>901</v>
      </c>
      <c r="AB264">
        <v>0</v>
      </c>
      <c r="AC264" s="712">
        <v>0</v>
      </c>
      <c r="AD264" s="712">
        <v>5000000</v>
      </c>
    </row>
    <row r="265" spans="1:30" x14ac:dyDescent="0.2">
      <c r="A265" s="839"/>
      <c r="B265" s="713" t="s">
        <v>5264</v>
      </c>
      <c r="C265" s="713" t="s">
        <v>901</v>
      </c>
      <c r="D265" s="710">
        <v>0</v>
      </c>
      <c r="E265" s="712">
        <v>0</v>
      </c>
      <c r="F265" s="712">
        <v>27000000</v>
      </c>
      <c r="G265" s="839"/>
      <c r="H265" s="713" t="s">
        <v>5519</v>
      </c>
      <c r="I265" s="713" t="s">
        <v>901</v>
      </c>
      <c r="J265">
        <v>0</v>
      </c>
      <c r="K265" s="712">
        <v>0</v>
      </c>
      <c r="L265" s="712">
        <v>5000000</v>
      </c>
      <c r="M265" s="839"/>
      <c r="N265" s="713" t="s">
        <v>5663</v>
      </c>
      <c r="O265" s="713" t="s">
        <v>901</v>
      </c>
      <c r="P265">
        <v>0</v>
      </c>
      <c r="Q265" s="712">
        <v>0</v>
      </c>
      <c r="R265" s="712">
        <v>26000000</v>
      </c>
      <c r="S265" s="839"/>
      <c r="T265" s="713" t="s">
        <v>5888</v>
      </c>
      <c r="U265" s="713" t="s">
        <v>901</v>
      </c>
      <c r="V265">
        <v>0</v>
      </c>
      <c r="W265" s="712">
        <v>0</v>
      </c>
      <c r="X265" s="712">
        <v>24000000</v>
      </c>
      <c r="Y265" s="839"/>
      <c r="Z265" s="713" t="s">
        <v>6188</v>
      </c>
      <c r="AA265" s="713" t="s">
        <v>901</v>
      </c>
      <c r="AB265">
        <v>0</v>
      </c>
      <c r="AC265" s="712">
        <v>0</v>
      </c>
      <c r="AD265" s="712">
        <v>5000000</v>
      </c>
    </row>
    <row r="266" spans="1:30" x14ac:dyDescent="0.2">
      <c r="A266" s="839"/>
      <c r="B266" s="713" t="s">
        <v>5265</v>
      </c>
      <c r="C266" s="713" t="s">
        <v>901</v>
      </c>
      <c r="D266" s="710">
        <v>0</v>
      </c>
      <c r="E266" s="712">
        <v>0</v>
      </c>
      <c r="F266" s="712">
        <v>27000000</v>
      </c>
      <c r="G266" s="839"/>
      <c r="H266" s="713" t="s">
        <v>5520</v>
      </c>
      <c r="I266" s="713" t="s">
        <v>901</v>
      </c>
      <c r="J266">
        <v>0</v>
      </c>
      <c r="K266" s="712">
        <v>0</v>
      </c>
      <c r="L266" s="712">
        <v>5000000</v>
      </c>
      <c r="M266" s="839"/>
      <c r="N266" s="713" t="s">
        <v>5664</v>
      </c>
      <c r="O266" s="713" t="s">
        <v>901</v>
      </c>
      <c r="P266">
        <v>0</v>
      </c>
      <c r="Q266" s="712">
        <v>0</v>
      </c>
      <c r="R266" s="712">
        <v>26000000</v>
      </c>
      <c r="S266" s="839"/>
      <c r="T266" s="713" t="s">
        <v>5889</v>
      </c>
      <c r="U266" s="713" t="s">
        <v>901</v>
      </c>
      <c r="V266">
        <v>0</v>
      </c>
      <c r="W266" s="712">
        <v>0</v>
      </c>
      <c r="X266" s="712">
        <v>24000000</v>
      </c>
      <c r="Y266" s="839"/>
      <c r="Z266" s="713" t="s">
        <v>6189</v>
      </c>
      <c r="AA266" s="713" t="s">
        <v>901</v>
      </c>
      <c r="AB266">
        <v>0</v>
      </c>
      <c r="AC266" s="712">
        <v>0</v>
      </c>
      <c r="AD266" s="712">
        <v>5000000</v>
      </c>
    </row>
    <row r="267" spans="1:30" x14ac:dyDescent="0.2">
      <c r="A267" s="839"/>
      <c r="B267" s="713" t="s">
        <v>5266</v>
      </c>
      <c r="C267" s="713" t="s">
        <v>901</v>
      </c>
      <c r="D267" s="710">
        <v>0</v>
      </c>
      <c r="E267" s="712">
        <v>0</v>
      </c>
      <c r="F267" s="712">
        <v>27000000</v>
      </c>
      <c r="G267" s="839"/>
      <c r="H267" s="713" t="s">
        <v>5521</v>
      </c>
      <c r="I267" s="713" t="s">
        <v>901</v>
      </c>
      <c r="J267">
        <v>0</v>
      </c>
      <c r="K267" s="712">
        <v>0</v>
      </c>
      <c r="L267" s="712">
        <v>5000000</v>
      </c>
      <c r="M267" s="839"/>
      <c r="N267" s="713" t="s">
        <v>5665</v>
      </c>
      <c r="O267" s="713" t="s">
        <v>901</v>
      </c>
      <c r="P267">
        <v>0</v>
      </c>
      <c r="Q267" s="712">
        <v>0</v>
      </c>
      <c r="R267" s="712">
        <v>26000000</v>
      </c>
      <c r="S267" s="839"/>
      <c r="T267" s="713" t="s">
        <v>5890</v>
      </c>
      <c r="U267" s="713" t="s">
        <v>901</v>
      </c>
      <c r="V267">
        <v>0</v>
      </c>
      <c r="W267" s="712">
        <v>0</v>
      </c>
      <c r="X267" s="712">
        <v>24000000</v>
      </c>
      <c r="Y267" s="839"/>
      <c r="Z267" s="713" t="s">
        <v>6190</v>
      </c>
      <c r="AA267" s="713" t="s">
        <v>901</v>
      </c>
      <c r="AB267">
        <v>0</v>
      </c>
      <c r="AC267" s="712">
        <v>0</v>
      </c>
      <c r="AD267" s="712">
        <v>5000000</v>
      </c>
    </row>
    <row r="268" spans="1:30" x14ac:dyDescent="0.2">
      <c r="A268" s="839"/>
      <c r="B268" s="713" t="s">
        <v>5267</v>
      </c>
      <c r="C268" s="713" t="s">
        <v>901</v>
      </c>
      <c r="D268" s="710">
        <v>0</v>
      </c>
      <c r="E268" s="712">
        <v>0</v>
      </c>
      <c r="F268" s="712">
        <v>27000000</v>
      </c>
      <c r="G268" s="839"/>
      <c r="H268" s="713" t="s">
        <v>5522</v>
      </c>
      <c r="I268" s="713" t="s">
        <v>901</v>
      </c>
      <c r="J268">
        <v>0</v>
      </c>
      <c r="K268" s="712">
        <v>0</v>
      </c>
      <c r="L268" s="712">
        <v>5000000</v>
      </c>
      <c r="M268" s="839"/>
      <c r="N268" s="713" t="s">
        <v>5666</v>
      </c>
      <c r="O268" s="713" t="s">
        <v>901</v>
      </c>
      <c r="P268">
        <v>0</v>
      </c>
      <c r="Q268" s="712">
        <v>0</v>
      </c>
      <c r="R268" s="712">
        <v>26000000</v>
      </c>
      <c r="S268" s="839"/>
      <c r="T268" s="713" t="s">
        <v>5891</v>
      </c>
      <c r="U268" s="713" t="s">
        <v>901</v>
      </c>
      <c r="V268">
        <v>0</v>
      </c>
      <c r="W268" s="712">
        <v>0</v>
      </c>
      <c r="X268" s="712">
        <v>24000000</v>
      </c>
      <c r="Y268" s="839"/>
      <c r="Z268" s="713" t="s">
        <v>6191</v>
      </c>
      <c r="AA268" s="713" t="s">
        <v>901</v>
      </c>
      <c r="AB268">
        <v>0</v>
      </c>
      <c r="AC268" s="712">
        <v>0</v>
      </c>
      <c r="AD268" s="712">
        <v>5000000</v>
      </c>
    </row>
    <row r="269" spans="1:30" x14ac:dyDescent="0.2">
      <c r="A269" s="839"/>
      <c r="B269" s="713" t="s">
        <v>5268</v>
      </c>
      <c r="C269" s="713" t="s">
        <v>901</v>
      </c>
      <c r="D269" s="710">
        <v>0</v>
      </c>
      <c r="E269" s="712">
        <v>0</v>
      </c>
      <c r="F269" s="712">
        <v>27000000</v>
      </c>
      <c r="G269" s="839"/>
      <c r="H269" s="713" t="s">
        <v>5523</v>
      </c>
      <c r="I269" s="713" t="s">
        <v>901</v>
      </c>
      <c r="J269">
        <v>0</v>
      </c>
      <c r="K269" s="712">
        <v>0</v>
      </c>
      <c r="L269" s="712">
        <v>5000000</v>
      </c>
      <c r="M269" s="839"/>
      <c r="N269" s="713" t="s">
        <v>5667</v>
      </c>
      <c r="O269" s="713" t="s">
        <v>901</v>
      </c>
      <c r="P269">
        <v>0</v>
      </c>
      <c r="Q269" s="712">
        <v>0</v>
      </c>
      <c r="R269" s="712">
        <v>26000000</v>
      </c>
      <c r="S269" s="839"/>
      <c r="T269" s="713" t="s">
        <v>5892</v>
      </c>
      <c r="U269" s="713" t="s">
        <v>901</v>
      </c>
      <c r="V269">
        <v>0</v>
      </c>
      <c r="W269" s="712">
        <v>0</v>
      </c>
      <c r="X269" s="712">
        <v>23000000</v>
      </c>
      <c r="Y269" s="839"/>
      <c r="Z269" s="713" t="s">
        <v>6192</v>
      </c>
      <c r="AA269" s="713" t="s">
        <v>901</v>
      </c>
      <c r="AB269">
        <v>0</v>
      </c>
      <c r="AC269" s="712">
        <v>0</v>
      </c>
      <c r="AD269" s="712">
        <v>5000000</v>
      </c>
    </row>
    <row r="270" spans="1:30" x14ac:dyDescent="0.2">
      <c r="A270" s="839"/>
      <c r="B270" s="713" t="s">
        <v>5269</v>
      </c>
      <c r="C270" s="713" t="s">
        <v>901</v>
      </c>
      <c r="D270" s="710">
        <v>0</v>
      </c>
      <c r="E270" s="712">
        <v>0</v>
      </c>
      <c r="F270" s="712">
        <v>27000000</v>
      </c>
      <c r="G270" s="839"/>
      <c r="H270" s="713" t="s">
        <v>5524</v>
      </c>
      <c r="I270" s="713" t="s">
        <v>901</v>
      </c>
      <c r="J270">
        <v>0</v>
      </c>
      <c r="K270" s="712">
        <v>0</v>
      </c>
      <c r="L270" s="712">
        <v>5000000</v>
      </c>
      <c r="M270" s="839"/>
      <c r="N270" s="713" t="s">
        <v>5668</v>
      </c>
      <c r="O270" s="713" t="s">
        <v>901</v>
      </c>
      <c r="P270">
        <v>0</v>
      </c>
      <c r="Q270" s="712">
        <v>0</v>
      </c>
      <c r="R270" s="712">
        <v>26000000</v>
      </c>
      <c r="S270" s="839"/>
      <c r="T270" s="713" t="s">
        <v>5893</v>
      </c>
      <c r="U270" s="713" t="s">
        <v>901</v>
      </c>
      <c r="V270">
        <v>0</v>
      </c>
      <c r="W270" s="712">
        <v>0</v>
      </c>
      <c r="X270" s="712">
        <v>24000000</v>
      </c>
      <c r="Y270" s="839"/>
      <c r="Z270" s="713" t="s">
        <v>6193</v>
      </c>
      <c r="AA270" s="713" t="s">
        <v>901</v>
      </c>
      <c r="AB270">
        <v>0</v>
      </c>
      <c r="AC270" s="712">
        <v>0</v>
      </c>
      <c r="AD270" s="712">
        <v>5000000</v>
      </c>
    </row>
    <row r="271" spans="1:30" x14ac:dyDescent="0.2">
      <c r="A271" s="839"/>
      <c r="B271" s="713" t="s">
        <v>5270</v>
      </c>
      <c r="C271" s="713" t="s">
        <v>901</v>
      </c>
      <c r="D271" s="710">
        <v>0</v>
      </c>
      <c r="E271" s="712">
        <v>0</v>
      </c>
      <c r="F271" s="712">
        <v>22000000</v>
      </c>
      <c r="G271" s="839"/>
      <c r="H271" s="713" t="s">
        <v>5525</v>
      </c>
      <c r="I271" s="713" t="s">
        <v>901</v>
      </c>
      <c r="J271">
        <v>0</v>
      </c>
      <c r="K271" s="712">
        <v>0</v>
      </c>
      <c r="L271" s="712">
        <v>5000000</v>
      </c>
      <c r="M271" s="839"/>
      <c r="N271" s="713" t="s">
        <v>5669</v>
      </c>
      <c r="O271" s="713" t="s">
        <v>901</v>
      </c>
      <c r="P271">
        <v>0</v>
      </c>
      <c r="Q271" s="712">
        <v>0</v>
      </c>
      <c r="R271" s="712">
        <v>26000000</v>
      </c>
      <c r="S271" s="839"/>
      <c r="T271" s="713" t="s">
        <v>5894</v>
      </c>
      <c r="U271" s="713" t="s">
        <v>901</v>
      </c>
      <c r="V271">
        <v>0</v>
      </c>
      <c r="W271" s="712">
        <v>0</v>
      </c>
      <c r="X271" s="712">
        <v>24000000</v>
      </c>
      <c r="Y271" s="839"/>
      <c r="Z271" s="713" t="s">
        <v>6194</v>
      </c>
      <c r="AA271" s="713" t="s">
        <v>901</v>
      </c>
      <c r="AB271">
        <v>0</v>
      </c>
      <c r="AC271" s="712">
        <v>0</v>
      </c>
      <c r="AD271" s="712">
        <v>5000000</v>
      </c>
    </row>
    <row r="272" spans="1:30" x14ac:dyDescent="0.2">
      <c r="A272" s="839"/>
      <c r="B272" s="713" t="s">
        <v>5271</v>
      </c>
      <c r="C272" s="713" t="s">
        <v>901</v>
      </c>
      <c r="D272" s="710">
        <v>0</v>
      </c>
      <c r="E272" s="712">
        <v>0</v>
      </c>
      <c r="F272" s="712">
        <v>27000000</v>
      </c>
      <c r="G272" s="839"/>
      <c r="H272" s="713" t="s">
        <v>5526</v>
      </c>
      <c r="I272" s="713" t="s">
        <v>901</v>
      </c>
      <c r="J272">
        <v>0</v>
      </c>
      <c r="K272" s="712">
        <v>0</v>
      </c>
      <c r="L272" s="712">
        <v>5000000</v>
      </c>
      <c r="M272" s="839"/>
      <c r="N272" s="713" t="s">
        <v>5670</v>
      </c>
      <c r="O272" s="713" t="s">
        <v>901</v>
      </c>
      <c r="P272">
        <v>0</v>
      </c>
      <c r="Q272" s="712">
        <v>0</v>
      </c>
      <c r="R272" s="712">
        <v>26000000</v>
      </c>
      <c r="S272" s="839"/>
      <c r="T272" s="713" t="s">
        <v>5895</v>
      </c>
      <c r="U272" s="713" t="s">
        <v>901</v>
      </c>
      <c r="V272">
        <v>0</v>
      </c>
      <c r="W272" s="712">
        <v>0</v>
      </c>
      <c r="X272" s="712">
        <v>23000000</v>
      </c>
      <c r="Y272" s="839"/>
      <c r="Z272" s="713" t="s">
        <v>6195</v>
      </c>
      <c r="AA272" s="713" t="s">
        <v>901</v>
      </c>
      <c r="AB272">
        <v>0</v>
      </c>
      <c r="AC272" s="712">
        <v>0</v>
      </c>
      <c r="AD272" s="712">
        <v>5000000</v>
      </c>
    </row>
    <row r="273" spans="1:30" x14ac:dyDescent="0.2">
      <c r="A273" s="839"/>
      <c r="B273" s="713" t="s">
        <v>5272</v>
      </c>
      <c r="C273" s="713" t="s">
        <v>901</v>
      </c>
      <c r="D273" s="710">
        <v>0</v>
      </c>
      <c r="E273" s="712">
        <v>0</v>
      </c>
      <c r="F273" s="712">
        <v>27000000</v>
      </c>
      <c r="G273" s="839"/>
      <c r="H273" s="713" t="s">
        <v>5527</v>
      </c>
      <c r="I273" s="713" t="s">
        <v>901</v>
      </c>
      <c r="J273">
        <v>0</v>
      </c>
      <c r="K273" s="712">
        <v>0</v>
      </c>
      <c r="L273" s="712">
        <v>5000000</v>
      </c>
      <c r="M273" s="838" t="s">
        <v>5323</v>
      </c>
      <c r="N273" s="713" t="s">
        <v>5671</v>
      </c>
      <c r="O273" s="713" t="s">
        <v>901</v>
      </c>
      <c r="P273">
        <v>0</v>
      </c>
      <c r="Q273" s="712">
        <v>0</v>
      </c>
      <c r="R273" s="712">
        <v>6000000</v>
      </c>
      <c r="S273" s="839"/>
      <c r="T273" s="713" t="s">
        <v>5896</v>
      </c>
      <c r="U273" s="713" t="s">
        <v>901</v>
      </c>
      <c r="V273">
        <v>0</v>
      </c>
      <c r="W273" s="712">
        <v>0</v>
      </c>
      <c r="X273" s="712">
        <v>24000000</v>
      </c>
      <c r="Y273" s="839"/>
      <c r="Z273" s="713" t="s">
        <v>6196</v>
      </c>
      <c r="AA273" s="713" t="s">
        <v>901</v>
      </c>
      <c r="AB273">
        <v>0</v>
      </c>
      <c r="AC273" s="712">
        <v>0</v>
      </c>
      <c r="AD273" s="712">
        <v>5000000</v>
      </c>
    </row>
    <row r="274" spans="1:30" x14ac:dyDescent="0.2">
      <c r="A274" s="839"/>
      <c r="B274" s="713" t="s">
        <v>5273</v>
      </c>
      <c r="C274" s="713" t="s">
        <v>901</v>
      </c>
      <c r="D274" s="710">
        <v>0</v>
      </c>
      <c r="E274" s="712">
        <v>0</v>
      </c>
      <c r="F274" s="712">
        <v>27000000</v>
      </c>
      <c r="G274" s="839"/>
      <c r="H274" s="713" t="s">
        <v>5528</v>
      </c>
      <c r="I274" s="713" t="s">
        <v>901</v>
      </c>
      <c r="J274">
        <v>0</v>
      </c>
      <c r="K274" s="712">
        <v>0</v>
      </c>
      <c r="L274" s="712">
        <v>5000000</v>
      </c>
      <c r="M274" s="839"/>
      <c r="N274" s="713" t="s">
        <v>5672</v>
      </c>
      <c r="O274" s="713" t="s">
        <v>901</v>
      </c>
      <c r="P274">
        <v>0</v>
      </c>
      <c r="Q274" s="712">
        <v>0</v>
      </c>
      <c r="R274" s="712">
        <v>6000000</v>
      </c>
      <c r="S274" s="839"/>
      <c r="T274" s="713" t="s">
        <v>5897</v>
      </c>
      <c r="U274" s="713" t="s">
        <v>901</v>
      </c>
      <c r="V274">
        <v>0</v>
      </c>
      <c r="W274" s="712">
        <v>0</v>
      </c>
      <c r="X274" s="712">
        <v>23000000</v>
      </c>
      <c r="Y274" s="839"/>
      <c r="Z274" s="713" t="s">
        <v>6197</v>
      </c>
      <c r="AA274" s="713" t="s">
        <v>61</v>
      </c>
      <c r="AB274">
        <v>0</v>
      </c>
      <c r="AC274" s="712">
        <v>5000000</v>
      </c>
      <c r="AD274" s="712">
        <v>0</v>
      </c>
    </row>
    <row r="275" spans="1:30" x14ac:dyDescent="0.2">
      <c r="A275" s="839"/>
      <c r="B275" s="713" t="s">
        <v>5274</v>
      </c>
      <c r="C275" s="713" t="s">
        <v>901</v>
      </c>
      <c r="D275" s="710">
        <v>0</v>
      </c>
      <c r="E275" s="712">
        <v>0</v>
      </c>
      <c r="F275" s="712">
        <v>27000000</v>
      </c>
      <c r="G275" s="839"/>
      <c r="H275" s="713" t="s">
        <v>5529</v>
      </c>
      <c r="I275" s="713" t="s">
        <v>901</v>
      </c>
      <c r="J275">
        <v>0</v>
      </c>
      <c r="K275" s="712">
        <v>0</v>
      </c>
      <c r="L275" s="712">
        <v>5000000</v>
      </c>
      <c r="M275" s="839"/>
      <c r="N275" s="713" t="s">
        <v>5673</v>
      </c>
      <c r="O275" s="713" t="s">
        <v>901</v>
      </c>
      <c r="P275">
        <v>0</v>
      </c>
      <c r="Q275" s="712">
        <v>0</v>
      </c>
      <c r="R275" s="712">
        <v>6000000</v>
      </c>
      <c r="S275" s="839"/>
      <c r="T275" s="713" t="s">
        <v>5898</v>
      </c>
      <c r="U275" s="713" t="s">
        <v>901</v>
      </c>
      <c r="V275">
        <v>0</v>
      </c>
      <c r="W275" s="712">
        <v>0</v>
      </c>
      <c r="X275" s="712">
        <v>24000000</v>
      </c>
      <c r="Y275" s="839"/>
      <c r="Z275" s="713" t="s">
        <v>6198</v>
      </c>
      <c r="AA275" s="713" t="s">
        <v>901</v>
      </c>
      <c r="AB275">
        <v>0</v>
      </c>
      <c r="AC275" s="712">
        <v>0</v>
      </c>
      <c r="AD275" s="712">
        <v>5000000</v>
      </c>
    </row>
    <row r="276" spans="1:30" x14ac:dyDescent="0.2">
      <c r="A276" s="839"/>
      <c r="B276" s="713" t="s">
        <v>5275</v>
      </c>
      <c r="C276" s="713" t="s">
        <v>901</v>
      </c>
      <c r="D276" s="710">
        <v>0</v>
      </c>
      <c r="E276" s="712">
        <v>0</v>
      </c>
      <c r="F276" s="712">
        <v>27000000</v>
      </c>
      <c r="G276" s="839"/>
      <c r="H276" s="713" t="s">
        <v>5530</v>
      </c>
      <c r="I276" s="713" t="s">
        <v>901</v>
      </c>
      <c r="J276">
        <v>0</v>
      </c>
      <c r="K276" s="712">
        <v>0</v>
      </c>
      <c r="L276" s="712">
        <v>5000000</v>
      </c>
      <c r="M276" s="839"/>
      <c r="N276" s="713" t="s">
        <v>5674</v>
      </c>
      <c r="O276" s="713" t="s">
        <v>901</v>
      </c>
      <c r="P276">
        <v>0</v>
      </c>
      <c r="Q276" s="712">
        <v>0</v>
      </c>
      <c r="R276" s="712">
        <v>6000000</v>
      </c>
      <c r="S276" s="839"/>
      <c r="T276" s="713" t="s">
        <v>5899</v>
      </c>
      <c r="U276" s="713" t="s">
        <v>901</v>
      </c>
      <c r="V276">
        <v>0</v>
      </c>
      <c r="W276" s="712">
        <v>0</v>
      </c>
      <c r="X276" s="712">
        <v>23000000</v>
      </c>
      <c r="Y276" s="839"/>
      <c r="Z276" s="713" t="s">
        <v>6199</v>
      </c>
      <c r="AA276" s="713" t="s">
        <v>901</v>
      </c>
      <c r="AB276">
        <v>0</v>
      </c>
      <c r="AC276" s="712">
        <v>0</v>
      </c>
      <c r="AD276" s="712">
        <v>5000000</v>
      </c>
    </row>
    <row r="277" spans="1:30" x14ac:dyDescent="0.2">
      <c r="A277" s="839"/>
      <c r="B277" s="713" t="s">
        <v>5276</v>
      </c>
      <c r="C277" s="713" t="s">
        <v>901</v>
      </c>
      <c r="D277" s="710">
        <v>0</v>
      </c>
      <c r="E277" s="712">
        <v>0</v>
      </c>
      <c r="F277" s="712">
        <v>27000000</v>
      </c>
      <c r="G277" s="839"/>
      <c r="H277" s="713" t="s">
        <v>5531</v>
      </c>
      <c r="I277" s="713" t="s">
        <v>901</v>
      </c>
      <c r="J277">
        <v>0</v>
      </c>
      <c r="K277" s="712">
        <v>0</v>
      </c>
      <c r="L277" s="712">
        <v>5000000</v>
      </c>
      <c r="M277" s="839"/>
      <c r="N277" s="713" t="s">
        <v>5675</v>
      </c>
      <c r="O277" s="713" t="s">
        <v>901</v>
      </c>
      <c r="P277">
        <v>0</v>
      </c>
      <c r="Q277" s="712">
        <v>0</v>
      </c>
      <c r="R277" s="712">
        <v>6000000</v>
      </c>
      <c r="S277" s="839"/>
      <c r="T277" s="713" t="s">
        <v>5900</v>
      </c>
      <c r="U277" s="713" t="s">
        <v>901</v>
      </c>
      <c r="V277">
        <v>0</v>
      </c>
      <c r="W277" s="712">
        <v>0</v>
      </c>
      <c r="X277" s="712">
        <v>24000000</v>
      </c>
      <c r="Y277" s="839"/>
      <c r="Z277" s="713" t="s">
        <v>6200</v>
      </c>
      <c r="AA277" s="713" t="s">
        <v>901</v>
      </c>
      <c r="AB277">
        <v>0</v>
      </c>
      <c r="AC277" s="712">
        <v>0</v>
      </c>
      <c r="AD277" s="712">
        <v>5000000</v>
      </c>
    </row>
    <row r="278" spans="1:30" x14ac:dyDescent="0.2">
      <c r="A278" s="839"/>
      <c r="B278" s="713" t="s">
        <v>5277</v>
      </c>
      <c r="C278" s="713" t="s">
        <v>901</v>
      </c>
      <c r="D278" s="710">
        <v>0</v>
      </c>
      <c r="E278" s="712">
        <v>0</v>
      </c>
      <c r="F278" s="712">
        <v>27000000</v>
      </c>
      <c r="G278" s="839"/>
      <c r="H278" s="713" t="s">
        <v>5532</v>
      </c>
      <c r="I278" s="713" t="s">
        <v>901</v>
      </c>
      <c r="J278">
        <v>0</v>
      </c>
      <c r="K278" s="712">
        <v>0</v>
      </c>
      <c r="L278" s="712">
        <v>5000000</v>
      </c>
      <c r="M278" s="839"/>
      <c r="N278" s="713" t="s">
        <v>5676</v>
      </c>
      <c r="O278" s="713" t="s">
        <v>901</v>
      </c>
      <c r="P278">
        <v>0</v>
      </c>
      <c r="Q278" s="712">
        <v>0</v>
      </c>
      <c r="R278" s="712">
        <v>6000000</v>
      </c>
      <c r="S278" s="839"/>
      <c r="T278" s="713" t="s">
        <v>5901</v>
      </c>
      <c r="U278" s="713" t="s">
        <v>901</v>
      </c>
      <c r="V278">
        <v>0</v>
      </c>
      <c r="W278" s="712">
        <v>0</v>
      </c>
      <c r="X278" s="712">
        <v>24000000</v>
      </c>
      <c r="Y278" s="839"/>
      <c r="Z278" s="713" t="s">
        <v>6201</v>
      </c>
      <c r="AA278" s="713" t="s">
        <v>901</v>
      </c>
      <c r="AB278">
        <v>0</v>
      </c>
      <c r="AC278" s="712">
        <v>0</v>
      </c>
      <c r="AD278" s="712">
        <v>5000000</v>
      </c>
    </row>
    <row r="279" spans="1:30" x14ac:dyDescent="0.2">
      <c r="A279" s="839"/>
      <c r="B279" s="713" t="s">
        <v>5278</v>
      </c>
      <c r="C279" s="713" t="s">
        <v>61</v>
      </c>
      <c r="D279" s="710">
        <v>0</v>
      </c>
      <c r="E279" s="712">
        <v>22000000</v>
      </c>
      <c r="F279" s="712">
        <v>0</v>
      </c>
      <c r="G279" s="839"/>
      <c r="H279" s="713" t="s">
        <v>5533</v>
      </c>
      <c r="I279" s="713" t="s">
        <v>901</v>
      </c>
      <c r="J279">
        <v>0</v>
      </c>
      <c r="K279" s="712">
        <v>0</v>
      </c>
      <c r="L279" s="712">
        <v>5000000</v>
      </c>
      <c r="M279" s="839"/>
      <c r="N279" s="713" t="s">
        <v>5677</v>
      </c>
      <c r="O279" s="713" t="s">
        <v>901</v>
      </c>
      <c r="P279">
        <v>0</v>
      </c>
      <c r="Q279" s="712">
        <v>0</v>
      </c>
      <c r="R279" s="712">
        <v>6000000</v>
      </c>
      <c r="S279" s="839"/>
      <c r="T279" s="713" t="s">
        <v>5902</v>
      </c>
      <c r="U279" s="713" t="s">
        <v>61</v>
      </c>
      <c r="V279">
        <v>0</v>
      </c>
      <c r="W279" s="712">
        <v>23000000</v>
      </c>
      <c r="X279" s="712">
        <v>0</v>
      </c>
      <c r="Y279" s="839"/>
      <c r="Z279" s="713" t="s">
        <v>6202</v>
      </c>
      <c r="AA279" s="713" t="s">
        <v>901</v>
      </c>
      <c r="AB279">
        <v>0</v>
      </c>
      <c r="AC279" s="712">
        <v>0</v>
      </c>
      <c r="AD279" s="712">
        <v>5000000</v>
      </c>
    </row>
    <row r="280" spans="1:30" x14ac:dyDescent="0.2">
      <c r="A280" s="839"/>
      <c r="B280" s="713" t="s">
        <v>5279</v>
      </c>
      <c r="C280" s="713" t="s">
        <v>901</v>
      </c>
      <c r="D280" s="710">
        <v>0</v>
      </c>
      <c r="E280" s="712">
        <v>0</v>
      </c>
      <c r="F280" s="712">
        <v>27000000</v>
      </c>
      <c r="G280" s="839"/>
      <c r="H280" s="713" t="s">
        <v>5534</v>
      </c>
      <c r="I280" s="713" t="s">
        <v>901</v>
      </c>
      <c r="J280">
        <v>0</v>
      </c>
      <c r="K280" s="712">
        <v>0</v>
      </c>
      <c r="L280" s="712">
        <v>5000000</v>
      </c>
      <c r="M280" s="839"/>
      <c r="N280" s="713" t="s">
        <v>5678</v>
      </c>
      <c r="O280" s="713" t="s">
        <v>901</v>
      </c>
      <c r="P280">
        <v>0</v>
      </c>
      <c r="Q280" s="712">
        <v>0</v>
      </c>
      <c r="R280" s="712">
        <v>6000000</v>
      </c>
      <c r="S280" s="839"/>
      <c r="T280" s="713" t="s">
        <v>5903</v>
      </c>
      <c r="U280" s="713" t="s">
        <v>61</v>
      </c>
      <c r="V280">
        <v>0</v>
      </c>
      <c r="W280" s="712">
        <v>23000000</v>
      </c>
      <c r="X280" s="712">
        <v>0</v>
      </c>
      <c r="Y280" s="839"/>
      <c r="Z280" s="713" t="s">
        <v>6203</v>
      </c>
      <c r="AA280" s="713" t="s">
        <v>901</v>
      </c>
      <c r="AB280">
        <v>0</v>
      </c>
      <c r="AC280" s="712">
        <v>0</v>
      </c>
      <c r="AD280" s="712">
        <v>5000000</v>
      </c>
    </row>
    <row r="281" spans="1:30" x14ac:dyDescent="0.2">
      <c r="A281" s="839"/>
      <c r="B281" s="713" t="s">
        <v>5280</v>
      </c>
      <c r="C281" s="713" t="s">
        <v>901</v>
      </c>
      <c r="D281" s="710">
        <v>0</v>
      </c>
      <c r="E281" s="712">
        <v>0</v>
      </c>
      <c r="F281" s="712">
        <v>27000000</v>
      </c>
      <c r="G281" s="839"/>
      <c r="H281" s="713" t="s">
        <v>5535</v>
      </c>
      <c r="I281" s="713" t="s">
        <v>901</v>
      </c>
      <c r="J281">
        <v>0</v>
      </c>
      <c r="K281" s="712">
        <v>0</v>
      </c>
      <c r="L281" s="712">
        <v>5000000</v>
      </c>
      <c r="M281" s="839"/>
      <c r="N281" s="713" t="s">
        <v>5679</v>
      </c>
      <c r="O281" s="713" t="s">
        <v>901</v>
      </c>
      <c r="P281">
        <v>0</v>
      </c>
      <c r="Q281" s="712">
        <v>0</v>
      </c>
      <c r="R281" s="712">
        <v>6000000</v>
      </c>
      <c r="S281" s="839"/>
      <c r="T281" s="713" t="s">
        <v>5904</v>
      </c>
      <c r="U281" s="713" t="s">
        <v>61</v>
      </c>
      <c r="V281">
        <v>0</v>
      </c>
      <c r="W281" s="712">
        <v>23000000</v>
      </c>
      <c r="X281" s="712">
        <v>0</v>
      </c>
      <c r="Y281" s="839"/>
      <c r="Z281" s="713" t="s">
        <v>6204</v>
      </c>
      <c r="AA281" s="713" t="s">
        <v>901</v>
      </c>
      <c r="AB281">
        <v>0</v>
      </c>
      <c r="AC281" s="712">
        <v>0</v>
      </c>
      <c r="AD281" s="712">
        <v>5000000</v>
      </c>
    </row>
    <row r="282" spans="1:30" x14ac:dyDescent="0.2">
      <c r="A282" s="839"/>
      <c r="B282" s="713" t="s">
        <v>5281</v>
      </c>
      <c r="C282" s="713" t="s">
        <v>901</v>
      </c>
      <c r="D282" s="710">
        <v>0</v>
      </c>
      <c r="E282" s="712">
        <v>0</v>
      </c>
      <c r="F282" s="712">
        <v>27000000</v>
      </c>
      <c r="G282" s="839"/>
      <c r="H282" s="713" t="s">
        <v>5536</v>
      </c>
      <c r="I282" s="713" t="s">
        <v>901</v>
      </c>
      <c r="J282">
        <v>0</v>
      </c>
      <c r="K282" s="712">
        <v>0</v>
      </c>
      <c r="L282" s="712">
        <v>5000000</v>
      </c>
      <c r="M282" s="839"/>
      <c r="N282" s="713" t="s">
        <v>5680</v>
      </c>
      <c r="O282" s="713" t="s">
        <v>901</v>
      </c>
      <c r="P282">
        <v>0</v>
      </c>
      <c r="Q282" s="712">
        <v>0</v>
      </c>
      <c r="R282" s="712">
        <v>6000000</v>
      </c>
      <c r="S282" s="839"/>
      <c r="T282" s="713" t="s">
        <v>5905</v>
      </c>
      <c r="U282" s="713" t="s">
        <v>61</v>
      </c>
      <c r="V282">
        <v>0</v>
      </c>
      <c r="W282" s="712">
        <v>23000000</v>
      </c>
      <c r="X282" s="712">
        <v>0</v>
      </c>
      <c r="Y282" s="839"/>
      <c r="Z282" s="713" t="s">
        <v>6205</v>
      </c>
      <c r="AA282" s="713" t="s">
        <v>901</v>
      </c>
      <c r="AB282">
        <v>0</v>
      </c>
      <c r="AC282" s="712">
        <v>0</v>
      </c>
      <c r="AD282" s="712">
        <v>5000000</v>
      </c>
    </row>
    <row r="283" spans="1:30" x14ac:dyDescent="0.2">
      <c r="A283" s="839"/>
      <c r="B283" s="713" t="s">
        <v>5282</v>
      </c>
      <c r="C283" s="713" t="s">
        <v>901</v>
      </c>
      <c r="D283" s="710">
        <v>0</v>
      </c>
      <c r="E283" s="712">
        <v>0</v>
      </c>
      <c r="F283" s="712">
        <v>27000000</v>
      </c>
      <c r="G283" s="839"/>
      <c r="H283" s="713" t="s">
        <v>5537</v>
      </c>
      <c r="I283" s="713" t="s">
        <v>901</v>
      </c>
      <c r="J283">
        <v>0</v>
      </c>
      <c r="K283" s="712">
        <v>0</v>
      </c>
      <c r="L283" s="712">
        <v>5000000</v>
      </c>
      <c r="M283" s="839"/>
      <c r="N283" s="713" t="s">
        <v>5681</v>
      </c>
      <c r="O283" s="713" t="s">
        <v>901</v>
      </c>
      <c r="P283">
        <v>0</v>
      </c>
      <c r="Q283" s="712">
        <v>0</v>
      </c>
      <c r="R283" s="712">
        <v>6000000</v>
      </c>
      <c r="S283" s="839"/>
      <c r="T283" s="713" t="s">
        <v>5906</v>
      </c>
      <c r="U283" s="713" t="s">
        <v>61</v>
      </c>
      <c r="V283">
        <v>0</v>
      </c>
      <c r="W283" s="712">
        <v>23000000</v>
      </c>
      <c r="X283" s="712">
        <v>0</v>
      </c>
      <c r="Y283" s="839"/>
      <c r="Z283" s="713" t="s">
        <v>6206</v>
      </c>
      <c r="AA283" s="713" t="s">
        <v>61</v>
      </c>
      <c r="AB283">
        <v>0</v>
      </c>
      <c r="AC283" s="712">
        <v>5000000</v>
      </c>
      <c r="AD283" s="712">
        <v>0</v>
      </c>
    </row>
    <row r="284" spans="1:30" x14ac:dyDescent="0.2">
      <c r="A284" s="839"/>
      <c r="B284" s="713" t="s">
        <v>5283</v>
      </c>
      <c r="C284" s="713" t="s">
        <v>901</v>
      </c>
      <c r="D284" s="710">
        <v>0</v>
      </c>
      <c r="E284" s="712">
        <v>0</v>
      </c>
      <c r="F284" s="712">
        <v>27000000</v>
      </c>
      <c r="G284" s="839"/>
      <c r="H284" s="713" t="s">
        <v>5538</v>
      </c>
      <c r="I284" s="713" t="s">
        <v>901</v>
      </c>
      <c r="J284">
        <v>0</v>
      </c>
      <c r="K284" s="712">
        <v>0</v>
      </c>
      <c r="L284" s="712">
        <v>5000000</v>
      </c>
      <c r="M284" s="839"/>
      <c r="N284" s="713" t="s">
        <v>5682</v>
      </c>
      <c r="O284" s="713" t="s">
        <v>901</v>
      </c>
      <c r="P284">
        <v>0</v>
      </c>
      <c r="Q284" s="712">
        <v>0</v>
      </c>
      <c r="R284" s="712">
        <v>6000000</v>
      </c>
      <c r="S284" s="839"/>
      <c r="T284" s="713" t="s">
        <v>5907</v>
      </c>
      <c r="U284" s="713" t="s">
        <v>61</v>
      </c>
      <c r="V284">
        <v>0</v>
      </c>
      <c r="W284" s="712">
        <v>23000000</v>
      </c>
      <c r="X284" s="712">
        <v>0</v>
      </c>
      <c r="Y284" s="839"/>
      <c r="Z284" s="713" t="s">
        <v>6207</v>
      </c>
      <c r="AA284" s="713" t="s">
        <v>901</v>
      </c>
      <c r="AB284">
        <v>0</v>
      </c>
      <c r="AC284" s="712">
        <v>0</v>
      </c>
      <c r="AD284" s="712">
        <v>5000000</v>
      </c>
    </row>
    <row r="285" spans="1:30" x14ac:dyDescent="0.2">
      <c r="A285" s="839"/>
      <c r="B285" s="713" t="s">
        <v>5284</v>
      </c>
      <c r="C285" s="713" t="s">
        <v>901</v>
      </c>
      <c r="D285" s="710">
        <v>0</v>
      </c>
      <c r="E285" s="712">
        <v>0</v>
      </c>
      <c r="F285" s="712">
        <v>22000000</v>
      </c>
      <c r="G285" s="839"/>
      <c r="H285" s="713" t="s">
        <v>5539</v>
      </c>
      <c r="I285" s="713" t="s">
        <v>901</v>
      </c>
      <c r="J285">
        <v>0</v>
      </c>
      <c r="K285" s="712">
        <v>0</v>
      </c>
      <c r="L285" s="712">
        <v>5000000</v>
      </c>
      <c r="M285" s="839"/>
      <c r="N285" s="713" t="s">
        <v>5683</v>
      </c>
      <c r="O285" s="713" t="s">
        <v>901</v>
      </c>
      <c r="P285">
        <v>0</v>
      </c>
      <c r="Q285" s="712">
        <v>0</v>
      </c>
      <c r="R285" s="712">
        <v>6000000</v>
      </c>
      <c r="S285" s="839"/>
      <c r="T285" s="713" t="s">
        <v>5908</v>
      </c>
      <c r="U285" s="713" t="s">
        <v>61</v>
      </c>
      <c r="V285">
        <v>0</v>
      </c>
      <c r="W285" s="712">
        <v>23000000</v>
      </c>
      <c r="X285" s="712">
        <v>0</v>
      </c>
      <c r="Y285" s="839"/>
      <c r="Z285" s="713" t="s">
        <v>6208</v>
      </c>
      <c r="AA285" s="713" t="s">
        <v>901</v>
      </c>
      <c r="AB285">
        <v>0</v>
      </c>
      <c r="AC285" s="712">
        <v>0</v>
      </c>
      <c r="AD285" s="712">
        <v>5000000</v>
      </c>
    </row>
    <row r="286" spans="1:30" x14ac:dyDescent="0.2">
      <c r="A286" s="839"/>
      <c r="B286" s="713" t="s">
        <v>5285</v>
      </c>
      <c r="C286" s="713" t="s">
        <v>901</v>
      </c>
      <c r="D286" s="710">
        <v>0</v>
      </c>
      <c r="E286" s="712">
        <v>0</v>
      </c>
      <c r="F286" s="712">
        <v>22000000</v>
      </c>
      <c r="G286" s="839"/>
      <c r="H286" s="713" t="s">
        <v>5540</v>
      </c>
      <c r="I286" s="713" t="s">
        <v>901</v>
      </c>
      <c r="J286">
        <v>0</v>
      </c>
      <c r="K286" s="712">
        <v>0</v>
      </c>
      <c r="L286" s="712">
        <v>5000000</v>
      </c>
      <c r="M286" s="839"/>
      <c r="N286" s="713" t="s">
        <v>5684</v>
      </c>
      <c r="O286" s="713" t="s">
        <v>901</v>
      </c>
      <c r="P286">
        <v>0</v>
      </c>
      <c r="Q286" s="712">
        <v>0</v>
      </c>
      <c r="R286" s="712">
        <v>6000000</v>
      </c>
      <c r="S286" s="839"/>
      <c r="T286" s="713" t="s">
        <v>5909</v>
      </c>
      <c r="U286" s="713" t="s">
        <v>61</v>
      </c>
      <c r="V286">
        <v>0</v>
      </c>
      <c r="W286" s="712">
        <v>23000000</v>
      </c>
      <c r="X286" s="712">
        <v>0</v>
      </c>
      <c r="Y286" s="839"/>
      <c r="Z286" s="713" t="s">
        <v>6209</v>
      </c>
      <c r="AA286" s="713" t="s">
        <v>61</v>
      </c>
      <c r="AB286">
        <v>0</v>
      </c>
      <c r="AC286" s="712">
        <v>5000000</v>
      </c>
      <c r="AD286" s="712">
        <v>0</v>
      </c>
    </row>
    <row r="287" spans="1:30" x14ac:dyDescent="0.2">
      <c r="A287" s="839"/>
      <c r="B287" s="713" t="s">
        <v>5286</v>
      </c>
      <c r="C287" s="713" t="s">
        <v>901</v>
      </c>
      <c r="D287" s="710">
        <v>0</v>
      </c>
      <c r="E287" s="712">
        <v>0</v>
      </c>
      <c r="F287" s="712">
        <v>22000000</v>
      </c>
      <c r="G287" s="839"/>
      <c r="H287" s="713" t="s">
        <v>5541</v>
      </c>
      <c r="I287" s="713" t="s">
        <v>901</v>
      </c>
      <c r="J287">
        <v>0</v>
      </c>
      <c r="K287" s="712">
        <v>0</v>
      </c>
      <c r="L287" s="712">
        <v>5000000</v>
      </c>
      <c r="M287" s="839"/>
      <c r="N287" s="713" t="s">
        <v>5685</v>
      </c>
      <c r="O287" s="713" t="s">
        <v>901</v>
      </c>
      <c r="P287">
        <v>0</v>
      </c>
      <c r="Q287" s="712">
        <v>0</v>
      </c>
      <c r="R287" s="712">
        <v>6000000</v>
      </c>
      <c r="S287" s="839"/>
      <c r="T287" s="713" t="s">
        <v>5910</v>
      </c>
      <c r="U287" s="713" t="s">
        <v>901</v>
      </c>
      <c r="V287">
        <v>0</v>
      </c>
      <c r="W287" s="712">
        <v>0</v>
      </c>
      <c r="X287" s="712">
        <v>23000000</v>
      </c>
      <c r="Y287" s="839"/>
      <c r="Z287" s="713" t="s">
        <v>6210</v>
      </c>
      <c r="AA287" s="713" t="s">
        <v>901</v>
      </c>
      <c r="AB287">
        <v>0</v>
      </c>
      <c r="AC287" s="712">
        <v>0</v>
      </c>
      <c r="AD287" s="712">
        <v>5000000</v>
      </c>
    </row>
    <row r="288" spans="1:30" x14ac:dyDescent="0.2">
      <c r="A288" s="839"/>
      <c r="B288" s="713" t="s">
        <v>5287</v>
      </c>
      <c r="C288" s="713" t="s">
        <v>901</v>
      </c>
      <c r="D288" s="710">
        <v>0</v>
      </c>
      <c r="E288" s="712">
        <v>0</v>
      </c>
      <c r="F288" s="712">
        <v>22000000</v>
      </c>
      <c r="G288" s="839"/>
      <c r="H288" s="713" t="s">
        <v>5542</v>
      </c>
      <c r="I288" s="713" t="s">
        <v>901</v>
      </c>
      <c r="J288">
        <v>0</v>
      </c>
      <c r="K288" s="712">
        <v>0</v>
      </c>
      <c r="L288" s="712">
        <v>5000000</v>
      </c>
      <c r="M288" s="839"/>
      <c r="N288" s="713" t="s">
        <v>5686</v>
      </c>
      <c r="O288" s="713" t="s">
        <v>901</v>
      </c>
      <c r="P288">
        <v>0</v>
      </c>
      <c r="Q288" s="712">
        <v>0</v>
      </c>
      <c r="R288" s="712">
        <v>6000000</v>
      </c>
      <c r="S288" s="839"/>
      <c r="T288" s="713" t="s">
        <v>5911</v>
      </c>
      <c r="U288" s="713" t="s">
        <v>901</v>
      </c>
      <c r="V288">
        <v>0</v>
      </c>
      <c r="W288" s="712">
        <v>0</v>
      </c>
      <c r="X288" s="712">
        <v>23000000</v>
      </c>
      <c r="Y288" s="839"/>
      <c r="Z288" s="713" t="s">
        <v>6211</v>
      </c>
      <c r="AA288" s="713" t="s">
        <v>901</v>
      </c>
      <c r="AB288">
        <v>0</v>
      </c>
      <c r="AC288" s="712">
        <v>0</v>
      </c>
      <c r="AD288" s="712">
        <v>5000000</v>
      </c>
    </row>
    <row r="289" spans="1:30" x14ac:dyDescent="0.2">
      <c r="A289" s="839"/>
      <c r="B289" s="713" t="s">
        <v>5288</v>
      </c>
      <c r="C289" s="713" t="s">
        <v>901</v>
      </c>
      <c r="D289" s="710">
        <v>0</v>
      </c>
      <c r="E289" s="712">
        <v>0</v>
      </c>
      <c r="F289" s="712">
        <v>22000000</v>
      </c>
      <c r="G289" s="839"/>
      <c r="H289" s="713" t="s">
        <v>5543</v>
      </c>
      <c r="I289" s="713" t="s">
        <v>901</v>
      </c>
      <c r="J289">
        <v>0</v>
      </c>
      <c r="K289" s="712">
        <v>0</v>
      </c>
      <c r="L289" s="712">
        <v>5000000</v>
      </c>
      <c r="M289" s="839"/>
      <c r="N289" s="713" t="s">
        <v>5687</v>
      </c>
      <c r="O289" s="713" t="s">
        <v>901</v>
      </c>
      <c r="P289">
        <v>0</v>
      </c>
      <c r="Q289" s="712">
        <v>0</v>
      </c>
      <c r="R289" s="712">
        <v>6000000</v>
      </c>
      <c r="S289" s="839"/>
      <c r="T289" s="713" t="s">
        <v>5912</v>
      </c>
      <c r="U289" s="713" t="s">
        <v>901</v>
      </c>
      <c r="V289">
        <v>0</v>
      </c>
      <c r="W289" s="712">
        <v>0</v>
      </c>
      <c r="X289" s="712">
        <v>23000000</v>
      </c>
      <c r="Y289" s="839"/>
      <c r="Z289" s="713" t="s">
        <v>6212</v>
      </c>
      <c r="AA289" s="713" t="s">
        <v>901</v>
      </c>
      <c r="AB289">
        <v>0</v>
      </c>
      <c r="AC289" s="712">
        <v>0</v>
      </c>
      <c r="AD289" s="712">
        <v>5000000</v>
      </c>
    </row>
    <row r="290" spans="1:30" x14ac:dyDescent="0.2">
      <c r="A290" s="839"/>
      <c r="B290" s="713" t="s">
        <v>5289</v>
      </c>
      <c r="C290" s="713" t="s">
        <v>901</v>
      </c>
      <c r="D290" s="710">
        <v>0</v>
      </c>
      <c r="E290" s="712">
        <v>0</v>
      </c>
      <c r="F290" s="712">
        <v>22000000</v>
      </c>
      <c r="G290" s="839"/>
      <c r="H290" s="713" t="s">
        <v>5544</v>
      </c>
      <c r="I290" s="713" t="s">
        <v>901</v>
      </c>
      <c r="J290">
        <v>0</v>
      </c>
      <c r="K290" s="712">
        <v>0</v>
      </c>
      <c r="L290" s="712">
        <v>5000000</v>
      </c>
      <c r="M290" s="839"/>
      <c r="N290" s="713" t="s">
        <v>5688</v>
      </c>
      <c r="O290" s="713" t="s">
        <v>901</v>
      </c>
      <c r="P290">
        <v>0</v>
      </c>
      <c r="Q290" s="712">
        <v>0</v>
      </c>
      <c r="R290" s="712">
        <v>6000000</v>
      </c>
      <c r="S290" s="839"/>
      <c r="T290" s="713" t="s">
        <v>5913</v>
      </c>
      <c r="U290" s="713" t="s">
        <v>61</v>
      </c>
      <c r="V290">
        <v>0</v>
      </c>
      <c r="W290" s="712">
        <v>23000000</v>
      </c>
      <c r="X290" s="712">
        <v>0</v>
      </c>
      <c r="Y290" s="839"/>
      <c r="Z290" s="713" t="s">
        <v>6213</v>
      </c>
      <c r="AA290" s="713" t="s">
        <v>901</v>
      </c>
      <c r="AB290">
        <v>0</v>
      </c>
      <c r="AC290" s="712">
        <v>0</v>
      </c>
      <c r="AD290" s="712">
        <v>5000000</v>
      </c>
    </row>
    <row r="291" spans="1:30" x14ac:dyDescent="0.2">
      <c r="A291" s="839"/>
      <c r="B291" s="713" t="s">
        <v>5290</v>
      </c>
      <c r="C291" s="713" t="s">
        <v>901</v>
      </c>
      <c r="D291" s="710">
        <v>0</v>
      </c>
      <c r="E291" s="712">
        <v>0</v>
      </c>
      <c r="F291" s="712">
        <v>22000000</v>
      </c>
      <c r="G291" s="839"/>
      <c r="H291" s="713" t="s">
        <v>5545</v>
      </c>
      <c r="I291" s="713" t="s">
        <v>901</v>
      </c>
      <c r="J291">
        <v>0</v>
      </c>
      <c r="K291" s="712">
        <v>0</v>
      </c>
      <c r="L291" s="712">
        <v>5000000</v>
      </c>
      <c r="M291" s="839"/>
      <c r="N291" s="713" t="s">
        <v>5689</v>
      </c>
      <c r="O291" s="713" t="s">
        <v>61</v>
      </c>
      <c r="P291">
        <v>0</v>
      </c>
      <c r="Q291" s="712">
        <v>6000000</v>
      </c>
      <c r="R291" s="712">
        <v>0</v>
      </c>
      <c r="S291" s="839"/>
      <c r="T291" s="713" t="s">
        <v>5914</v>
      </c>
      <c r="U291" s="713" t="s">
        <v>901</v>
      </c>
      <c r="V291">
        <v>0</v>
      </c>
      <c r="W291" s="712">
        <v>0</v>
      </c>
      <c r="X291" s="712">
        <v>23000000</v>
      </c>
      <c r="Y291" s="839"/>
      <c r="Z291" s="713" t="s">
        <v>6214</v>
      </c>
      <c r="AA291" s="713" t="s">
        <v>901</v>
      </c>
      <c r="AB291">
        <v>0</v>
      </c>
      <c r="AC291" s="712">
        <v>0</v>
      </c>
      <c r="AD291" s="712">
        <v>5000000</v>
      </c>
    </row>
    <row r="292" spans="1:30" x14ac:dyDescent="0.2">
      <c r="A292" s="839"/>
      <c r="B292" s="713" t="s">
        <v>5291</v>
      </c>
      <c r="C292" s="713" t="s">
        <v>901</v>
      </c>
      <c r="D292" s="710">
        <v>0</v>
      </c>
      <c r="E292" s="712">
        <v>0</v>
      </c>
      <c r="F292" s="712">
        <v>27000000</v>
      </c>
      <c r="G292" s="838" t="s">
        <v>4436</v>
      </c>
      <c r="H292" s="839"/>
      <c r="I292" s="839"/>
      <c r="J292">
        <v>7127.1899999999978</v>
      </c>
      <c r="K292" s="712">
        <v>1345485000</v>
      </c>
      <c r="L292" s="712">
        <v>32971284564</v>
      </c>
      <c r="M292" s="839"/>
      <c r="N292" s="713" t="s">
        <v>5690</v>
      </c>
      <c r="O292" s="713" t="s">
        <v>61</v>
      </c>
      <c r="P292">
        <v>0</v>
      </c>
      <c r="Q292" s="712">
        <v>6000000</v>
      </c>
      <c r="R292" s="712">
        <v>0</v>
      </c>
      <c r="S292" s="839"/>
      <c r="T292" s="713" t="s">
        <v>5915</v>
      </c>
      <c r="U292" s="713" t="s">
        <v>901</v>
      </c>
      <c r="V292">
        <v>0</v>
      </c>
      <c r="W292" s="712">
        <v>0</v>
      </c>
      <c r="X292" s="712">
        <v>23000000</v>
      </c>
      <c r="Y292" s="839"/>
      <c r="Z292" s="713" t="s">
        <v>6215</v>
      </c>
      <c r="AA292" s="713" t="s">
        <v>901</v>
      </c>
      <c r="AB292">
        <v>0</v>
      </c>
      <c r="AC292" s="712">
        <v>0</v>
      </c>
      <c r="AD292" s="712">
        <v>5000000</v>
      </c>
    </row>
    <row r="293" spans="1:30" x14ac:dyDescent="0.2">
      <c r="A293" s="839"/>
      <c r="B293" s="713" t="s">
        <v>5292</v>
      </c>
      <c r="C293" s="713" t="s">
        <v>61</v>
      </c>
      <c r="D293" s="710">
        <v>0</v>
      </c>
      <c r="E293" s="712">
        <v>22000000</v>
      </c>
      <c r="F293" s="712">
        <v>0</v>
      </c>
      <c r="M293" s="839"/>
      <c r="N293" s="713" t="s">
        <v>5691</v>
      </c>
      <c r="O293" s="713" t="s">
        <v>61</v>
      </c>
      <c r="P293">
        <v>0</v>
      </c>
      <c r="Q293" s="712">
        <v>6000000</v>
      </c>
      <c r="R293" s="712">
        <v>0</v>
      </c>
      <c r="S293" s="839"/>
      <c r="T293" s="713" t="s">
        <v>5916</v>
      </c>
      <c r="U293" s="713" t="s">
        <v>901</v>
      </c>
      <c r="V293">
        <v>0</v>
      </c>
      <c r="W293" s="712">
        <v>0</v>
      </c>
      <c r="X293" s="712">
        <v>23000000</v>
      </c>
      <c r="Y293" s="839"/>
      <c r="Z293" s="713" t="s">
        <v>6216</v>
      </c>
      <c r="AA293" s="713" t="s">
        <v>901</v>
      </c>
      <c r="AB293">
        <v>0</v>
      </c>
      <c r="AC293" s="712">
        <v>0</v>
      </c>
      <c r="AD293" s="712">
        <v>5000000</v>
      </c>
    </row>
    <row r="294" spans="1:30" x14ac:dyDescent="0.2">
      <c r="A294" s="839"/>
      <c r="B294" s="713" t="s">
        <v>5293</v>
      </c>
      <c r="C294" s="713" t="s">
        <v>901</v>
      </c>
      <c r="D294" s="710">
        <v>0</v>
      </c>
      <c r="E294" s="712">
        <v>0</v>
      </c>
      <c r="F294" s="712">
        <v>27000000</v>
      </c>
      <c r="M294" s="839"/>
      <c r="N294" s="713" t="s">
        <v>5692</v>
      </c>
      <c r="O294" s="713" t="s">
        <v>901</v>
      </c>
      <c r="P294">
        <v>0</v>
      </c>
      <c r="Q294" s="712">
        <v>0</v>
      </c>
      <c r="R294" s="712">
        <v>6000000</v>
      </c>
      <c r="S294" s="839"/>
      <c r="T294" s="713" t="s">
        <v>5917</v>
      </c>
      <c r="U294" s="713" t="s">
        <v>61</v>
      </c>
      <c r="V294">
        <v>0</v>
      </c>
      <c r="W294" s="712">
        <v>23000000</v>
      </c>
      <c r="X294" s="712">
        <v>0</v>
      </c>
      <c r="Y294" s="839"/>
      <c r="Z294" s="713" t="s">
        <v>6217</v>
      </c>
      <c r="AA294" s="713" t="s">
        <v>901</v>
      </c>
      <c r="AB294">
        <v>0</v>
      </c>
      <c r="AC294" s="712">
        <v>0</v>
      </c>
      <c r="AD294" s="712">
        <v>5000000</v>
      </c>
    </row>
    <row r="295" spans="1:30" x14ac:dyDescent="0.2">
      <c r="A295" s="839"/>
      <c r="B295" s="713" t="s">
        <v>5294</v>
      </c>
      <c r="C295" s="713" t="s">
        <v>901</v>
      </c>
      <c r="D295" s="710">
        <v>0</v>
      </c>
      <c r="E295" s="712">
        <v>0</v>
      </c>
      <c r="F295" s="712">
        <v>22000000</v>
      </c>
      <c r="M295" s="839"/>
      <c r="N295" s="713" t="s">
        <v>5693</v>
      </c>
      <c r="O295" s="713" t="s">
        <v>901</v>
      </c>
      <c r="P295">
        <v>0</v>
      </c>
      <c r="Q295" s="712">
        <v>0</v>
      </c>
      <c r="R295" s="712">
        <v>6000000</v>
      </c>
      <c r="S295" s="839"/>
      <c r="T295" s="713" t="s">
        <v>5918</v>
      </c>
      <c r="U295" s="713" t="s">
        <v>901</v>
      </c>
      <c r="V295">
        <v>0</v>
      </c>
      <c r="W295" s="712">
        <v>0</v>
      </c>
      <c r="X295" s="712">
        <v>23000000</v>
      </c>
      <c r="Y295" s="839"/>
      <c r="Z295" s="713" t="s">
        <v>6218</v>
      </c>
      <c r="AA295" s="713" t="s">
        <v>901</v>
      </c>
      <c r="AB295">
        <v>0</v>
      </c>
      <c r="AC295" s="712">
        <v>0</v>
      </c>
      <c r="AD295" s="712">
        <v>5000000</v>
      </c>
    </row>
    <row r="296" spans="1:30" x14ac:dyDescent="0.2">
      <c r="A296" s="839"/>
      <c r="B296" s="713" t="s">
        <v>5295</v>
      </c>
      <c r="C296" s="713" t="s">
        <v>901</v>
      </c>
      <c r="D296" s="710">
        <v>0</v>
      </c>
      <c r="E296" s="712">
        <v>0</v>
      </c>
      <c r="F296" s="712">
        <v>27000000</v>
      </c>
      <c r="M296" s="839"/>
      <c r="N296" s="713" t="s">
        <v>5694</v>
      </c>
      <c r="O296" s="713" t="s">
        <v>901</v>
      </c>
      <c r="P296">
        <v>0</v>
      </c>
      <c r="Q296" s="712">
        <v>0</v>
      </c>
      <c r="R296" s="712">
        <v>6000000</v>
      </c>
      <c r="S296" s="839"/>
      <c r="T296" s="713" t="s">
        <v>5919</v>
      </c>
      <c r="U296" s="713" t="s">
        <v>901</v>
      </c>
      <c r="V296">
        <v>0</v>
      </c>
      <c r="W296" s="712">
        <v>0</v>
      </c>
      <c r="X296" s="712">
        <v>23000000</v>
      </c>
      <c r="Y296" s="839"/>
      <c r="Z296" s="713" t="s">
        <v>6219</v>
      </c>
      <c r="AA296" s="713" t="s">
        <v>901</v>
      </c>
      <c r="AB296">
        <v>0</v>
      </c>
      <c r="AC296" s="712">
        <v>0</v>
      </c>
      <c r="AD296" s="712">
        <v>5000000</v>
      </c>
    </row>
    <row r="297" spans="1:30" x14ac:dyDescent="0.2">
      <c r="A297" s="839"/>
      <c r="B297" s="713" t="s">
        <v>5296</v>
      </c>
      <c r="C297" s="713" t="s">
        <v>901</v>
      </c>
      <c r="D297" s="710">
        <v>0</v>
      </c>
      <c r="E297" s="712">
        <v>0</v>
      </c>
      <c r="F297" s="712">
        <v>27000000</v>
      </c>
      <c r="M297" s="839"/>
      <c r="N297" s="713" t="s">
        <v>5695</v>
      </c>
      <c r="O297" s="713" t="s">
        <v>901</v>
      </c>
      <c r="P297">
        <v>0</v>
      </c>
      <c r="Q297" s="712">
        <v>0</v>
      </c>
      <c r="R297" s="712">
        <v>6000000</v>
      </c>
      <c r="S297" s="839"/>
      <c r="T297" s="713" t="s">
        <v>5920</v>
      </c>
      <c r="U297" s="713" t="s">
        <v>901</v>
      </c>
      <c r="V297">
        <v>0</v>
      </c>
      <c r="W297" s="712">
        <v>0</v>
      </c>
      <c r="X297" s="712">
        <v>23000000</v>
      </c>
      <c r="Y297" s="839"/>
      <c r="Z297" s="713" t="s">
        <v>6220</v>
      </c>
      <c r="AA297" s="713" t="s">
        <v>901</v>
      </c>
      <c r="AB297">
        <v>0</v>
      </c>
      <c r="AC297" s="712">
        <v>0</v>
      </c>
      <c r="AD297" s="712">
        <v>5000000</v>
      </c>
    </row>
    <row r="298" spans="1:30" x14ac:dyDescent="0.2">
      <c r="A298" s="839"/>
      <c r="B298" s="713" t="s">
        <v>5297</v>
      </c>
      <c r="C298" s="713" t="s">
        <v>901</v>
      </c>
      <c r="D298" s="710">
        <v>0</v>
      </c>
      <c r="E298" s="712">
        <v>0</v>
      </c>
      <c r="F298" s="712">
        <v>27000000</v>
      </c>
      <c r="M298" s="839"/>
      <c r="N298" s="713" t="s">
        <v>5696</v>
      </c>
      <c r="O298" s="713" t="s">
        <v>61</v>
      </c>
      <c r="P298">
        <v>0</v>
      </c>
      <c r="Q298" s="712">
        <v>6000000</v>
      </c>
      <c r="R298" s="712">
        <v>0</v>
      </c>
      <c r="S298" s="839"/>
      <c r="T298" s="713" t="s">
        <v>5921</v>
      </c>
      <c r="U298" s="713" t="s">
        <v>901</v>
      </c>
      <c r="V298">
        <v>0</v>
      </c>
      <c r="W298" s="712">
        <v>0</v>
      </c>
      <c r="X298" s="712">
        <v>23000000</v>
      </c>
      <c r="Y298" s="839"/>
      <c r="Z298" s="713" t="s">
        <v>6221</v>
      </c>
      <c r="AA298" s="713" t="s">
        <v>61</v>
      </c>
      <c r="AB298">
        <v>0</v>
      </c>
      <c r="AC298" s="712">
        <v>5000000</v>
      </c>
      <c r="AD298" s="712">
        <v>0</v>
      </c>
    </row>
    <row r="299" spans="1:30" x14ac:dyDescent="0.2">
      <c r="A299" s="839"/>
      <c r="B299" s="713" t="s">
        <v>5298</v>
      </c>
      <c r="C299" s="713" t="s">
        <v>901</v>
      </c>
      <c r="D299" s="710">
        <v>0</v>
      </c>
      <c r="E299" s="712">
        <v>0</v>
      </c>
      <c r="F299" s="712">
        <v>27000000</v>
      </c>
      <c r="M299" s="839"/>
      <c r="N299" s="713" t="s">
        <v>5697</v>
      </c>
      <c r="O299" s="713" t="s">
        <v>901</v>
      </c>
      <c r="P299">
        <v>0</v>
      </c>
      <c r="Q299" s="712">
        <v>0</v>
      </c>
      <c r="R299" s="712">
        <v>6000000</v>
      </c>
      <c r="S299" s="839"/>
      <c r="T299" s="713" t="s">
        <v>5922</v>
      </c>
      <c r="U299" s="713" t="s">
        <v>61</v>
      </c>
      <c r="V299">
        <v>0</v>
      </c>
      <c r="W299" s="712">
        <v>23000000</v>
      </c>
      <c r="X299" s="712">
        <v>0</v>
      </c>
      <c r="Y299" s="839"/>
      <c r="Z299" s="713" t="s">
        <v>6222</v>
      </c>
      <c r="AA299" s="713" t="s">
        <v>901</v>
      </c>
      <c r="AB299">
        <v>0</v>
      </c>
      <c r="AC299" s="712">
        <v>0</v>
      </c>
      <c r="AD299" s="712">
        <v>5000000</v>
      </c>
    </row>
    <row r="300" spans="1:30" x14ac:dyDescent="0.2">
      <c r="A300" s="839"/>
      <c r="B300" s="713" t="s">
        <v>5299</v>
      </c>
      <c r="C300" s="713" t="s">
        <v>901</v>
      </c>
      <c r="D300" s="710">
        <v>0</v>
      </c>
      <c r="E300" s="712">
        <v>0</v>
      </c>
      <c r="F300" s="712">
        <v>27000000</v>
      </c>
      <c r="M300" s="839"/>
      <c r="N300" s="713" t="s">
        <v>5698</v>
      </c>
      <c r="O300" s="713" t="s">
        <v>901</v>
      </c>
      <c r="P300">
        <v>0</v>
      </c>
      <c r="Q300" s="712">
        <v>0</v>
      </c>
      <c r="R300" s="712">
        <v>6000000</v>
      </c>
      <c r="S300" s="839"/>
      <c r="T300" s="713" t="s">
        <v>5923</v>
      </c>
      <c r="U300" s="713" t="s">
        <v>901</v>
      </c>
      <c r="V300">
        <v>0</v>
      </c>
      <c r="W300" s="712">
        <v>0</v>
      </c>
      <c r="X300" s="712">
        <v>23000000</v>
      </c>
      <c r="Y300" s="839"/>
      <c r="Z300" s="713" t="s">
        <v>6223</v>
      </c>
      <c r="AA300" s="713" t="s">
        <v>901</v>
      </c>
      <c r="AB300">
        <v>0</v>
      </c>
      <c r="AC300" s="712">
        <v>0</v>
      </c>
      <c r="AD300" s="712">
        <v>5000000</v>
      </c>
    </row>
    <row r="301" spans="1:30" x14ac:dyDescent="0.2">
      <c r="A301" s="839"/>
      <c r="B301" s="713" t="s">
        <v>5300</v>
      </c>
      <c r="C301" s="713" t="s">
        <v>901</v>
      </c>
      <c r="D301" s="710">
        <v>0</v>
      </c>
      <c r="E301" s="712">
        <v>0</v>
      </c>
      <c r="F301" s="712">
        <v>27000000</v>
      </c>
      <c r="M301" s="839"/>
      <c r="N301" s="713" t="s">
        <v>5699</v>
      </c>
      <c r="O301" s="713" t="s">
        <v>901</v>
      </c>
      <c r="P301">
        <v>0</v>
      </c>
      <c r="Q301" s="712">
        <v>0</v>
      </c>
      <c r="R301" s="712">
        <v>6000000</v>
      </c>
      <c r="S301" s="839"/>
      <c r="T301" s="713" t="s">
        <v>5924</v>
      </c>
      <c r="U301" s="713" t="s">
        <v>901</v>
      </c>
      <c r="V301">
        <v>0</v>
      </c>
      <c r="W301" s="712">
        <v>0</v>
      </c>
      <c r="X301" s="712">
        <v>24000000</v>
      </c>
      <c r="Y301" s="839"/>
      <c r="Z301" s="713" t="s">
        <v>6224</v>
      </c>
      <c r="AA301" s="713" t="s">
        <v>901</v>
      </c>
      <c r="AB301">
        <v>0</v>
      </c>
      <c r="AC301" s="712">
        <v>0</v>
      </c>
      <c r="AD301" s="712">
        <v>5000000</v>
      </c>
    </row>
    <row r="302" spans="1:30" x14ac:dyDescent="0.2">
      <c r="A302" s="839"/>
      <c r="B302" s="713" t="s">
        <v>5301</v>
      </c>
      <c r="C302" s="713" t="s">
        <v>901</v>
      </c>
      <c r="D302" s="710">
        <v>0</v>
      </c>
      <c r="E302" s="712">
        <v>0</v>
      </c>
      <c r="F302" s="712">
        <v>27000000</v>
      </c>
      <c r="M302" s="839"/>
      <c r="N302" s="713" t="s">
        <v>5700</v>
      </c>
      <c r="O302" s="713" t="s">
        <v>901</v>
      </c>
      <c r="P302">
        <v>0</v>
      </c>
      <c r="Q302" s="712">
        <v>0</v>
      </c>
      <c r="R302" s="712">
        <v>6000000</v>
      </c>
      <c r="S302" s="839"/>
      <c r="T302" s="713" t="s">
        <v>5925</v>
      </c>
      <c r="U302" s="713" t="s">
        <v>61</v>
      </c>
      <c r="V302">
        <v>0</v>
      </c>
      <c r="W302" s="712">
        <v>23000000</v>
      </c>
      <c r="X302" s="712">
        <v>0</v>
      </c>
      <c r="Y302" s="839"/>
      <c r="Z302" s="713" t="s">
        <v>6225</v>
      </c>
      <c r="AA302" s="713" t="s">
        <v>901</v>
      </c>
      <c r="AB302">
        <v>0</v>
      </c>
      <c r="AC302" s="712">
        <v>0</v>
      </c>
      <c r="AD302" s="712">
        <v>5000000</v>
      </c>
    </row>
    <row r="303" spans="1:30" x14ac:dyDescent="0.2">
      <c r="A303" s="839"/>
      <c r="B303" s="713" t="s">
        <v>5302</v>
      </c>
      <c r="C303" s="713" t="s">
        <v>901</v>
      </c>
      <c r="D303" s="710">
        <v>0</v>
      </c>
      <c r="E303" s="712">
        <v>0</v>
      </c>
      <c r="F303" s="712">
        <v>27000000</v>
      </c>
      <c r="M303" s="839"/>
      <c r="N303" s="713" t="s">
        <v>5701</v>
      </c>
      <c r="O303" s="713" t="s">
        <v>61</v>
      </c>
      <c r="P303">
        <v>0</v>
      </c>
      <c r="Q303" s="712">
        <v>6000000</v>
      </c>
      <c r="R303" s="712">
        <v>0</v>
      </c>
      <c r="S303" s="839"/>
      <c r="T303" s="713" t="s">
        <v>5926</v>
      </c>
      <c r="U303" s="713" t="s">
        <v>901</v>
      </c>
      <c r="V303">
        <v>0</v>
      </c>
      <c r="W303" s="712">
        <v>0</v>
      </c>
      <c r="X303" s="712">
        <v>24000000</v>
      </c>
      <c r="Y303" s="839"/>
      <c r="Z303" s="713" t="s">
        <v>6226</v>
      </c>
      <c r="AA303" s="713" t="s">
        <v>901</v>
      </c>
      <c r="AB303">
        <v>0</v>
      </c>
      <c r="AC303" s="712">
        <v>0</v>
      </c>
      <c r="AD303" s="712">
        <v>5000000</v>
      </c>
    </row>
    <row r="304" spans="1:30" x14ac:dyDescent="0.2">
      <c r="A304" s="839"/>
      <c r="B304" s="713" t="s">
        <v>5303</v>
      </c>
      <c r="C304" s="713" t="s">
        <v>901</v>
      </c>
      <c r="D304" s="710">
        <v>0</v>
      </c>
      <c r="E304" s="712">
        <v>0</v>
      </c>
      <c r="F304" s="712">
        <v>27000000</v>
      </c>
      <c r="M304" s="839"/>
      <c r="N304" s="713" t="s">
        <v>5702</v>
      </c>
      <c r="O304" s="713" t="s">
        <v>61</v>
      </c>
      <c r="P304">
        <v>0</v>
      </c>
      <c r="Q304" s="712">
        <v>6000000</v>
      </c>
      <c r="R304" s="712">
        <v>0</v>
      </c>
      <c r="S304" s="839"/>
      <c r="T304" s="713" t="s">
        <v>5927</v>
      </c>
      <c r="U304" s="713" t="s">
        <v>901</v>
      </c>
      <c r="V304">
        <v>0</v>
      </c>
      <c r="W304" s="712">
        <v>0</v>
      </c>
      <c r="X304" s="712">
        <v>23000000</v>
      </c>
      <c r="Y304" s="839"/>
      <c r="Z304" s="713" t="s">
        <v>6227</v>
      </c>
      <c r="AA304" s="713" t="s">
        <v>901</v>
      </c>
      <c r="AB304">
        <v>0</v>
      </c>
      <c r="AC304" s="712">
        <v>0</v>
      </c>
      <c r="AD304" s="712">
        <v>5000000</v>
      </c>
    </row>
    <row r="305" spans="1:30" x14ac:dyDescent="0.2">
      <c r="A305" s="839"/>
      <c r="B305" s="713" t="s">
        <v>5304</v>
      </c>
      <c r="C305" s="713" t="s">
        <v>901</v>
      </c>
      <c r="D305" s="710">
        <v>0</v>
      </c>
      <c r="E305" s="712">
        <v>0</v>
      </c>
      <c r="F305" s="712">
        <v>27000000</v>
      </c>
      <c r="M305" s="839"/>
      <c r="N305" s="713" t="s">
        <v>5703</v>
      </c>
      <c r="O305" s="713" t="s">
        <v>61</v>
      </c>
      <c r="P305">
        <v>0</v>
      </c>
      <c r="Q305" s="712">
        <v>6000000</v>
      </c>
      <c r="R305" s="712">
        <v>0</v>
      </c>
      <c r="S305" s="839"/>
      <c r="T305" s="713" t="s">
        <v>5928</v>
      </c>
      <c r="U305" s="713" t="s">
        <v>901</v>
      </c>
      <c r="V305">
        <v>0</v>
      </c>
      <c r="W305" s="712">
        <v>0</v>
      </c>
      <c r="X305" s="712">
        <v>23000000</v>
      </c>
      <c r="Y305" s="839" t="s">
        <v>4436</v>
      </c>
      <c r="Z305" s="839"/>
      <c r="AA305" s="839"/>
      <c r="AB305">
        <v>7223.3199999999988</v>
      </c>
      <c r="AC305" s="712">
        <v>9249955000</v>
      </c>
      <c r="AD305" s="712">
        <v>37072282775</v>
      </c>
    </row>
    <row r="306" spans="1:30" x14ac:dyDescent="0.2">
      <c r="A306" s="839"/>
      <c r="B306" s="713" t="s">
        <v>5305</v>
      </c>
      <c r="C306" s="713" t="s">
        <v>901</v>
      </c>
      <c r="D306" s="710">
        <v>0</v>
      </c>
      <c r="E306" s="712">
        <v>0</v>
      </c>
      <c r="F306" s="712">
        <v>27000000</v>
      </c>
      <c r="M306" s="839"/>
      <c r="N306" s="713" t="s">
        <v>5704</v>
      </c>
      <c r="O306" s="713" t="s">
        <v>61</v>
      </c>
      <c r="P306">
        <v>0</v>
      </c>
      <c r="Q306" s="712">
        <v>6000000</v>
      </c>
      <c r="R306" s="712">
        <v>0</v>
      </c>
      <c r="S306" s="839"/>
      <c r="T306" s="713" t="s">
        <v>5929</v>
      </c>
      <c r="U306" s="713" t="s">
        <v>901</v>
      </c>
      <c r="V306">
        <v>0</v>
      </c>
      <c r="W306" s="712">
        <v>0</v>
      </c>
      <c r="X306" s="712">
        <v>23000000</v>
      </c>
    </row>
    <row r="307" spans="1:30" x14ac:dyDescent="0.2">
      <c r="A307" s="839"/>
      <c r="B307" s="713" t="s">
        <v>5306</v>
      </c>
      <c r="C307" s="713" t="s">
        <v>901</v>
      </c>
      <c r="D307" s="710">
        <v>0</v>
      </c>
      <c r="E307" s="712">
        <v>0</v>
      </c>
      <c r="F307" s="712">
        <v>27000000</v>
      </c>
      <c r="M307" s="839"/>
      <c r="N307" s="713" t="s">
        <v>5705</v>
      </c>
      <c r="O307" s="713" t="s">
        <v>901</v>
      </c>
      <c r="P307">
        <v>0</v>
      </c>
      <c r="Q307" s="712">
        <v>0</v>
      </c>
      <c r="R307" s="712">
        <v>6000000</v>
      </c>
      <c r="S307" s="839"/>
      <c r="T307" s="713" t="s">
        <v>5930</v>
      </c>
      <c r="U307" s="713" t="s">
        <v>61</v>
      </c>
      <c r="V307">
        <v>0</v>
      </c>
      <c r="W307" s="712">
        <v>23000000</v>
      </c>
      <c r="X307" s="712">
        <v>0</v>
      </c>
    </row>
    <row r="308" spans="1:30" x14ac:dyDescent="0.2">
      <c r="A308" s="839"/>
      <c r="B308" s="713" t="s">
        <v>5307</v>
      </c>
      <c r="C308" s="713" t="s">
        <v>61</v>
      </c>
      <c r="D308" s="710">
        <v>0</v>
      </c>
      <c r="E308" s="712">
        <v>22000000</v>
      </c>
      <c r="F308" s="712">
        <v>0</v>
      </c>
      <c r="M308" s="839"/>
      <c r="N308" s="713" t="s">
        <v>5706</v>
      </c>
      <c r="O308" s="713" t="s">
        <v>901</v>
      </c>
      <c r="P308">
        <v>0</v>
      </c>
      <c r="Q308" s="712">
        <v>0</v>
      </c>
      <c r="R308" s="712">
        <v>6000000</v>
      </c>
      <c r="S308" s="839"/>
      <c r="T308" s="713" t="s">
        <v>5931</v>
      </c>
      <c r="U308" s="713" t="s">
        <v>901</v>
      </c>
      <c r="V308">
        <v>0</v>
      </c>
      <c r="W308" s="712">
        <v>0</v>
      </c>
      <c r="X308" s="712">
        <v>23000000</v>
      </c>
    </row>
    <row r="309" spans="1:30" x14ac:dyDescent="0.2">
      <c r="A309" s="839"/>
      <c r="B309" s="713" t="s">
        <v>5308</v>
      </c>
      <c r="C309" s="713" t="s">
        <v>901</v>
      </c>
      <c r="D309" s="710">
        <v>0</v>
      </c>
      <c r="E309" s="712">
        <v>0</v>
      </c>
      <c r="F309" s="712">
        <v>22000000</v>
      </c>
      <c r="M309" s="839"/>
      <c r="N309" s="713" t="s">
        <v>5707</v>
      </c>
      <c r="O309" s="713" t="s">
        <v>901</v>
      </c>
      <c r="P309">
        <v>0</v>
      </c>
      <c r="Q309" s="712">
        <v>0</v>
      </c>
      <c r="R309" s="712">
        <v>6000000</v>
      </c>
      <c r="S309" s="839"/>
      <c r="T309" s="713" t="s">
        <v>5932</v>
      </c>
      <c r="U309" s="713" t="s">
        <v>901</v>
      </c>
      <c r="V309">
        <v>0</v>
      </c>
      <c r="W309" s="712">
        <v>0</v>
      </c>
      <c r="X309" s="712">
        <v>24000000</v>
      </c>
    </row>
    <row r="310" spans="1:30" x14ac:dyDescent="0.2">
      <c r="A310" s="839"/>
      <c r="B310" s="713" t="s">
        <v>5309</v>
      </c>
      <c r="C310" s="713" t="s">
        <v>901</v>
      </c>
      <c r="D310" s="710">
        <v>0</v>
      </c>
      <c r="E310" s="712">
        <v>0</v>
      </c>
      <c r="F310" s="712">
        <v>22000000</v>
      </c>
      <c r="M310" s="839"/>
      <c r="N310" s="713" t="s">
        <v>5708</v>
      </c>
      <c r="O310" s="713" t="s">
        <v>901</v>
      </c>
      <c r="P310">
        <v>0</v>
      </c>
      <c r="Q310" s="712">
        <v>0</v>
      </c>
      <c r="R310" s="712">
        <v>6000000</v>
      </c>
      <c r="S310" s="839"/>
      <c r="T310" s="713" t="s">
        <v>5933</v>
      </c>
      <c r="U310" s="713" t="s">
        <v>61</v>
      </c>
      <c r="V310">
        <v>0</v>
      </c>
      <c r="W310" s="712">
        <v>23000000</v>
      </c>
      <c r="X310" s="712">
        <v>0</v>
      </c>
    </row>
    <row r="311" spans="1:30" x14ac:dyDescent="0.2">
      <c r="A311" s="839"/>
      <c r="B311" s="713" t="s">
        <v>5310</v>
      </c>
      <c r="C311" s="713" t="s">
        <v>901</v>
      </c>
      <c r="D311" s="710">
        <v>0</v>
      </c>
      <c r="E311" s="712">
        <v>0</v>
      </c>
      <c r="F311" s="712">
        <v>22000000</v>
      </c>
      <c r="M311" s="839"/>
      <c r="N311" s="713" t="s">
        <v>5709</v>
      </c>
      <c r="O311" s="713" t="s">
        <v>901</v>
      </c>
      <c r="P311">
        <v>0</v>
      </c>
      <c r="Q311" s="712">
        <v>0</v>
      </c>
      <c r="R311" s="712">
        <v>6000000</v>
      </c>
      <c r="S311" s="839"/>
      <c r="T311" s="713" t="s">
        <v>5934</v>
      </c>
      <c r="U311" s="713" t="s">
        <v>901</v>
      </c>
      <c r="V311">
        <v>0</v>
      </c>
      <c r="W311" s="712">
        <v>0</v>
      </c>
      <c r="X311" s="712">
        <v>24000000</v>
      </c>
    </row>
    <row r="312" spans="1:30" x14ac:dyDescent="0.2">
      <c r="A312" s="839"/>
      <c r="B312" s="713" t="s">
        <v>5311</v>
      </c>
      <c r="C312" s="713" t="s">
        <v>901</v>
      </c>
      <c r="D312" s="710">
        <v>0</v>
      </c>
      <c r="E312" s="712">
        <v>0</v>
      </c>
      <c r="F312" s="712">
        <v>27000000</v>
      </c>
      <c r="M312" s="839"/>
      <c r="N312" s="713" t="s">
        <v>5710</v>
      </c>
      <c r="O312" s="713" t="s">
        <v>901</v>
      </c>
      <c r="P312">
        <v>0</v>
      </c>
      <c r="Q312" s="712">
        <v>0</v>
      </c>
      <c r="R312" s="712">
        <v>6000000</v>
      </c>
      <c r="S312" s="839"/>
      <c r="T312" s="713" t="s">
        <v>5935</v>
      </c>
      <c r="U312" s="713" t="s">
        <v>901</v>
      </c>
      <c r="V312">
        <v>0</v>
      </c>
      <c r="W312" s="712">
        <v>0</v>
      </c>
      <c r="X312" s="712">
        <v>23000000</v>
      </c>
    </row>
    <row r="313" spans="1:30" x14ac:dyDescent="0.2">
      <c r="A313" s="839"/>
      <c r="B313" s="713" t="s">
        <v>5312</v>
      </c>
      <c r="C313" s="713" t="s">
        <v>901</v>
      </c>
      <c r="D313" s="710">
        <v>0</v>
      </c>
      <c r="E313" s="712">
        <v>0</v>
      </c>
      <c r="F313" s="712">
        <v>22000000</v>
      </c>
      <c r="M313" s="839"/>
      <c r="N313" s="713" t="s">
        <v>5711</v>
      </c>
      <c r="O313" s="713" t="s">
        <v>901</v>
      </c>
      <c r="P313">
        <v>0</v>
      </c>
      <c r="Q313" s="712">
        <v>0</v>
      </c>
      <c r="R313" s="712">
        <v>6000000</v>
      </c>
      <c r="S313" s="839"/>
      <c r="T313" s="713" t="s">
        <v>5936</v>
      </c>
      <c r="U313" s="713" t="s">
        <v>901</v>
      </c>
      <c r="V313">
        <v>0</v>
      </c>
      <c r="W313" s="712">
        <v>0</v>
      </c>
      <c r="X313" s="712">
        <v>23000000</v>
      </c>
    </row>
    <row r="314" spans="1:30" x14ac:dyDescent="0.2">
      <c r="A314" s="839"/>
      <c r="B314" s="713" t="s">
        <v>5313</v>
      </c>
      <c r="C314" s="713" t="s">
        <v>901</v>
      </c>
      <c r="D314" s="710">
        <v>0</v>
      </c>
      <c r="E314" s="712">
        <v>0</v>
      </c>
      <c r="F314" s="712">
        <v>22000000</v>
      </c>
      <c r="M314" s="839"/>
      <c r="N314" s="713" t="s">
        <v>5712</v>
      </c>
      <c r="O314" s="713" t="s">
        <v>901</v>
      </c>
      <c r="P314">
        <v>0</v>
      </c>
      <c r="Q314" s="712">
        <v>0</v>
      </c>
      <c r="R314" s="712">
        <v>6000000</v>
      </c>
      <c r="S314" s="839"/>
      <c r="T314" s="713" t="s">
        <v>5937</v>
      </c>
      <c r="U314" s="713" t="s">
        <v>901</v>
      </c>
      <c r="V314">
        <v>0</v>
      </c>
      <c r="W314" s="712">
        <v>0</v>
      </c>
      <c r="X314" s="712">
        <v>23000000</v>
      </c>
    </row>
    <row r="315" spans="1:30" x14ac:dyDescent="0.2">
      <c r="A315" s="839"/>
      <c r="B315" s="713" t="s">
        <v>5314</v>
      </c>
      <c r="C315" s="713" t="s">
        <v>901</v>
      </c>
      <c r="D315" s="710">
        <v>0</v>
      </c>
      <c r="E315" s="712">
        <v>0</v>
      </c>
      <c r="F315" s="712">
        <v>22000000</v>
      </c>
      <c r="M315" s="839"/>
      <c r="N315" s="713" t="s">
        <v>5713</v>
      </c>
      <c r="O315" s="713" t="s">
        <v>901</v>
      </c>
      <c r="P315">
        <v>0</v>
      </c>
      <c r="Q315" s="712">
        <v>0</v>
      </c>
      <c r="R315" s="712">
        <v>6000000</v>
      </c>
      <c r="S315" s="839"/>
      <c r="T315" s="713" t="s">
        <v>5938</v>
      </c>
      <c r="U315" s="713" t="s">
        <v>901</v>
      </c>
      <c r="V315">
        <v>0</v>
      </c>
      <c r="W315" s="712">
        <v>0</v>
      </c>
      <c r="X315" s="712">
        <v>23000000</v>
      </c>
    </row>
    <row r="316" spans="1:30" x14ac:dyDescent="0.2">
      <c r="A316" s="839"/>
      <c r="B316" s="713" t="s">
        <v>5315</v>
      </c>
      <c r="C316" s="713" t="s">
        <v>901</v>
      </c>
      <c r="D316" s="710">
        <v>0</v>
      </c>
      <c r="E316" s="712">
        <v>0</v>
      </c>
      <c r="F316" s="712">
        <v>27000000</v>
      </c>
      <c r="M316" s="839"/>
      <c r="N316" s="713" t="s">
        <v>5714</v>
      </c>
      <c r="O316" s="713" t="s">
        <v>901</v>
      </c>
      <c r="P316">
        <v>0</v>
      </c>
      <c r="Q316" s="712">
        <v>0</v>
      </c>
      <c r="R316" s="712">
        <v>6000000</v>
      </c>
      <c r="S316" s="839"/>
      <c r="T316" s="713" t="s">
        <v>5939</v>
      </c>
      <c r="U316" s="713" t="s">
        <v>901</v>
      </c>
      <c r="V316">
        <v>0</v>
      </c>
      <c r="W316" s="712">
        <v>0</v>
      </c>
      <c r="X316" s="712">
        <v>23000000</v>
      </c>
    </row>
    <row r="317" spans="1:30" x14ac:dyDescent="0.2">
      <c r="A317" s="839"/>
      <c r="B317" s="713" t="s">
        <v>5316</v>
      </c>
      <c r="C317" s="713" t="s">
        <v>901</v>
      </c>
      <c r="D317" s="710">
        <v>0</v>
      </c>
      <c r="E317" s="712">
        <v>0</v>
      </c>
      <c r="F317" s="712">
        <v>27000000</v>
      </c>
      <c r="M317" s="839"/>
      <c r="N317" s="713" t="s">
        <v>5715</v>
      </c>
      <c r="O317" s="713" t="s">
        <v>901</v>
      </c>
      <c r="P317">
        <v>0</v>
      </c>
      <c r="Q317" s="712">
        <v>0</v>
      </c>
      <c r="R317" s="712">
        <v>6000000</v>
      </c>
      <c r="S317" s="839"/>
      <c r="T317" s="713" t="s">
        <v>5940</v>
      </c>
      <c r="U317" s="713" t="s">
        <v>901</v>
      </c>
      <c r="V317">
        <v>0</v>
      </c>
      <c r="W317" s="712">
        <v>0</v>
      </c>
      <c r="X317" s="712">
        <v>24000000</v>
      </c>
    </row>
    <row r="318" spans="1:30" x14ac:dyDescent="0.2">
      <c r="A318" s="839"/>
      <c r="B318" s="713" t="s">
        <v>5317</v>
      </c>
      <c r="C318" s="713" t="s">
        <v>901</v>
      </c>
      <c r="D318" s="710">
        <v>0</v>
      </c>
      <c r="E318" s="712">
        <v>0</v>
      </c>
      <c r="F318" s="712">
        <v>27000000</v>
      </c>
      <c r="M318" s="839"/>
      <c r="N318" s="713" t="s">
        <v>5716</v>
      </c>
      <c r="O318" s="713" t="s">
        <v>901</v>
      </c>
      <c r="P318">
        <v>0</v>
      </c>
      <c r="Q318" s="712">
        <v>0</v>
      </c>
      <c r="R318" s="712">
        <v>6000000</v>
      </c>
      <c r="S318" s="839"/>
      <c r="T318" s="713" t="s">
        <v>5941</v>
      </c>
      <c r="U318" s="713" t="s">
        <v>901</v>
      </c>
      <c r="V318">
        <v>0</v>
      </c>
      <c r="W318" s="712">
        <v>0</v>
      </c>
      <c r="X318" s="712">
        <v>23000000</v>
      </c>
    </row>
    <row r="319" spans="1:30" x14ac:dyDescent="0.2">
      <c r="A319" s="839"/>
      <c r="B319" s="713" t="s">
        <v>5318</v>
      </c>
      <c r="C319" s="713" t="s">
        <v>901</v>
      </c>
      <c r="D319" s="710">
        <v>0</v>
      </c>
      <c r="E319" s="712">
        <v>0</v>
      </c>
      <c r="F319" s="712">
        <v>22000000</v>
      </c>
      <c r="M319" s="839"/>
      <c r="N319" s="713" t="s">
        <v>5717</v>
      </c>
      <c r="O319" s="713" t="s">
        <v>901</v>
      </c>
      <c r="P319">
        <v>0</v>
      </c>
      <c r="Q319" s="712">
        <v>0</v>
      </c>
      <c r="R319" s="712">
        <v>6000000</v>
      </c>
      <c r="S319" s="839"/>
      <c r="T319" s="713" t="s">
        <v>5942</v>
      </c>
      <c r="U319" s="713" t="s">
        <v>901</v>
      </c>
      <c r="V319">
        <v>0</v>
      </c>
      <c r="W319" s="712">
        <v>0</v>
      </c>
      <c r="X319" s="712">
        <v>23000000</v>
      </c>
    </row>
    <row r="320" spans="1:30" x14ac:dyDescent="0.2">
      <c r="A320" s="839"/>
      <c r="B320" s="713" t="s">
        <v>5319</v>
      </c>
      <c r="C320" s="713" t="s">
        <v>901</v>
      </c>
      <c r="D320" s="710">
        <v>0</v>
      </c>
      <c r="E320" s="712">
        <v>0</v>
      </c>
      <c r="F320" s="712">
        <v>22000000</v>
      </c>
      <c r="M320" s="839"/>
      <c r="N320" s="713" t="s">
        <v>5718</v>
      </c>
      <c r="O320" s="713" t="s">
        <v>901</v>
      </c>
      <c r="P320">
        <v>0</v>
      </c>
      <c r="Q320" s="712">
        <v>0</v>
      </c>
      <c r="R320" s="712">
        <v>6000000</v>
      </c>
      <c r="S320" s="838" t="s">
        <v>5943</v>
      </c>
      <c r="T320" s="713" t="s">
        <v>5944</v>
      </c>
      <c r="U320" s="713" t="s">
        <v>901</v>
      </c>
      <c r="V320">
        <v>0</v>
      </c>
      <c r="W320" s="712">
        <v>0</v>
      </c>
      <c r="X320" s="712">
        <v>10000000</v>
      </c>
    </row>
    <row r="321" spans="1:24" x14ac:dyDescent="0.2">
      <c r="A321" s="839"/>
      <c r="B321" s="713" t="s">
        <v>5320</v>
      </c>
      <c r="C321" s="713" t="s">
        <v>901</v>
      </c>
      <c r="D321" s="710">
        <v>0</v>
      </c>
      <c r="E321" s="712">
        <v>0</v>
      </c>
      <c r="F321" s="712">
        <v>22000000</v>
      </c>
      <c r="M321" s="839"/>
      <c r="N321" s="713" t="s">
        <v>5719</v>
      </c>
      <c r="O321" s="713" t="s">
        <v>901</v>
      </c>
      <c r="P321">
        <v>0</v>
      </c>
      <c r="Q321" s="712">
        <v>0</v>
      </c>
      <c r="R321" s="712">
        <v>6000000</v>
      </c>
      <c r="S321" s="839"/>
      <c r="T321" s="713" t="s">
        <v>5945</v>
      </c>
      <c r="U321" s="713" t="s">
        <v>901</v>
      </c>
      <c r="V321">
        <v>0</v>
      </c>
      <c r="W321" s="712">
        <v>0</v>
      </c>
      <c r="X321" s="712">
        <v>12000000</v>
      </c>
    </row>
    <row r="322" spans="1:24" x14ac:dyDescent="0.2">
      <c r="A322" s="839"/>
      <c r="B322" s="713" t="s">
        <v>5321</v>
      </c>
      <c r="C322" s="713" t="s">
        <v>901</v>
      </c>
      <c r="D322" s="710">
        <v>0</v>
      </c>
      <c r="E322" s="712">
        <v>0</v>
      </c>
      <c r="F322" s="712">
        <v>22000000</v>
      </c>
      <c r="M322" s="839"/>
      <c r="N322" s="713" t="s">
        <v>5720</v>
      </c>
      <c r="O322" s="713" t="s">
        <v>901</v>
      </c>
      <c r="P322">
        <v>0</v>
      </c>
      <c r="Q322" s="712">
        <v>0</v>
      </c>
      <c r="R322" s="712">
        <v>6000000</v>
      </c>
      <c r="S322" s="839"/>
      <c r="T322" s="713" t="s">
        <v>5946</v>
      </c>
      <c r="U322" s="713" t="s">
        <v>901</v>
      </c>
      <c r="V322">
        <v>0</v>
      </c>
      <c r="W322" s="712">
        <v>0</v>
      </c>
      <c r="X322" s="712">
        <v>12000000</v>
      </c>
    </row>
    <row r="323" spans="1:24" x14ac:dyDescent="0.2">
      <c r="A323" s="839"/>
      <c r="B323" s="713" t="s">
        <v>5322</v>
      </c>
      <c r="C323" s="713" t="s">
        <v>901</v>
      </c>
      <c r="D323" s="710">
        <v>0</v>
      </c>
      <c r="E323" s="712">
        <v>0</v>
      </c>
      <c r="F323" s="712">
        <v>22000000</v>
      </c>
      <c r="M323" s="839"/>
      <c r="N323" s="713" t="s">
        <v>5721</v>
      </c>
      <c r="O323" s="713" t="s">
        <v>901</v>
      </c>
      <c r="P323">
        <v>0</v>
      </c>
      <c r="Q323" s="712">
        <v>0</v>
      </c>
      <c r="R323" s="712">
        <v>6000000</v>
      </c>
      <c r="S323" s="839"/>
      <c r="T323" s="713" t="s">
        <v>5947</v>
      </c>
      <c r="U323" s="713" t="s">
        <v>61</v>
      </c>
      <c r="V323">
        <v>0</v>
      </c>
      <c r="W323" s="712">
        <v>10000000</v>
      </c>
      <c r="X323" s="712">
        <v>0</v>
      </c>
    </row>
    <row r="324" spans="1:24" x14ac:dyDescent="0.2">
      <c r="A324" s="838" t="s">
        <v>5323</v>
      </c>
      <c r="B324" s="713" t="s">
        <v>5324</v>
      </c>
      <c r="C324" s="713" t="s">
        <v>901</v>
      </c>
      <c r="D324" s="710">
        <v>0</v>
      </c>
      <c r="E324" s="712">
        <v>0</v>
      </c>
      <c r="F324" s="712">
        <v>5000000</v>
      </c>
      <c r="M324" s="839"/>
      <c r="N324" s="713" t="s">
        <v>5722</v>
      </c>
      <c r="O324" s="713" t="s">
        <v>901</v>
      </c>
      <c r="P324">
        <v>0</v>
      </c>
      <c r="Q324" s="712">
        <v>0</v>
      </c>
      <c r="R324" s="712">
        <v>6000000</v>
      </c>
      <c r="S324" s="839"/>
      <c r="T324" s="713" t="s">
        <v>5948</v>
      </c>
      <c r="U324" s="713" t="s">
        <v>901</v>
      </c>
      <c r="V324">
        <v>0</v>
      </c>
      <c r="W324" s="712">
        <v>0</v>
      </c>
      <c r="X324" s="712">
        <v>12000000</v>
      </c>
    </row>
    <row r="325" spans="1:24" x14ac:dyDescent="0.2">
      <c r="A325" s="839"/>
      <c r="B325" s="713" t="s">
        <v>5325</v>
      </c>
      <c r="C325" s="713" t="s">
        <v>901</v>
      </c>
      <c r="D325" s="710">
        <v>0</v>
      </c>
      <c r="E325" s="712">
        <v>0</v>
      </c>
      <c r="F325" s="712">
        <v>5000000</v>
      </c>
      <c r="M325" s="839"/>
      <c r="N325" s="713" t="s">
        <v>5723</v>
      </c>
      <c r="O325" s="713" t="s">
        <v>901</v>
      </c>
      <c r="P325">
        <v>0</v>
      </c>
      <c r="Q325" s="712">
        <v>0</v>
      </c>
      <c r="R325" s="712">
        <v>6000000</v>
      </c>
      <c r="S325" s="839"/>
      <c r="T325" s="713" t="s">
        <v>5949</v>
      </c>
      <c r="U325" s="713" t="s">
        <v>901</v>
      </c>
      <c r="V325">
        <v>0</v>
      </c>
      <c r="W325" s="712">
        <v>0</v>
      </c>
      <c r="X325" s="712">
        <v>10000000</v>
      </c>
    </row>
    <row r="326" spans="1:24" x14ac:dyDescent="0.2">
      <c r="A326" s="839"/>
      <c r="B326" s="713" t="s">
        <v>5326</v>
      </c>
      <c r="C326" s="713" t="s">
        <v>901</v>
      </c>
      <c r="D326" s="710">
        <v>0</v>
      </c>
      <c r="E326" s="712">
        <v>0</v>
      </c>
      <c r="F326" s="712">
        <v>5000000</v>
      </c>
      <c r="M326" s="839"/>
      <c r="N326" s="713" t="s">
        <v>5724</v>
      </c>
      <c r="O326" s="713" t="s">
        <v>901</v>
      </c>
      <c r="P326">
        <v>0</v>
      </c>
      <c r="Q326" s="712">
        <v>0</v>
      </c>
      <c r="R326" s="712">
        <v>6000000</v>
      </c>
      <c r="S326" s="839"/>
      <c r="T326" s="713" t="s">
        <v>5950</v>
      </c>
      <c r="U326" s="713" t="s">
        <v>901</v>
      </c>
      <c r="V326">
        <v>0</v>
      </c>
      <c r="W326" s="712">
        <v>0</v>
      </c>
      <c r="X326" s="712">
        <v>10000000</v>
      </c>
    </row>
    <row r="327" spans="1:24" x14ac:dyDescent="0.2">
      <c r="A327" s="839"/>
      <c r="B327" s="713" t="s">
        <v>5327</v>
      </c>
      <c r="C327" s="713" t="s">
        <v>901</v>
      </c>
      <c r="D327" s="710">
        <v>0</v>
      </c>
      <c r="E327" s="712">
        <v>0</v>
      </c>
      <c r="F327" s="712">
        <v>5000000</v>
      </c>
      <c r="M327" s="839"/>
      <c r="N327" s="713" t="s">
        <v>5725</v>
      </c>
      <c r="O327" s="713" t="s">
        <v>901</v>
      </c>
      <c r="P327">
        <v>0</v>
      </c>
      <c r="Q327" s="712">
        <v>0</v>
      </c>
      <c r="R327" s="712">
        <v>6000000</v>
      </c>
      <c r="S327" s="839"/>
      <c r="T327" s="713" t="s">
        <v>5951</v>
      </c>
      <c r="U327" s="713" t="s">
        <v>901</v>
      </c>
      <c r="V327">
        <v>0</v>
      </c>
      <c r="W327" s="712">
        <v>0</v>
      </c>
      <c r="X327" s="712">
        <v>12000000</v>
      </c>
    </row>
    <row r="328" spans="1:24" x14ac:dyDescent="0.2">
      <c r="A328" s="839"/>
      <c r="B328" s="713" t="s">
        <v>5328</v>
      </c>
      <c r="C328" s="713" t="s">
        <v>901</v>
      </c>
      <c r="D328" s="710">
        <v>0</v>
      </c>
      <c r="E328" s="712">
        <v>0</v>
      </c>
      <c r="F328" s="712">
        <v>5000000</v>
      </c>
      <c r="M328" s="839"/>
      <c r="N328" s="713" t="s">
        <v>5726</v>
      </c>
      <c r="O328" s="713" t="s">
        <v>901</v>
      </c>
      <c r="P328">
        <v>0</v>
      </c>
      <c r="Q328" s="712">
        <v>0</v>
      </c>
      <c r="R328" s="712">
        <v>6000000</v>
      </c>
      <c r="S328" s="839"/>
      <c r="T328" s="713" t="s">
        <v>5952</v>
      </c>
      <c r="U328" s="713" t="s">
        <v>901</v>
      </c>
      <c r="V328">
        <v>0</v>
      </c>
      <c r="W328" s="712">
        <v>0</v>
      </c>
      <c r="X328" s="712">
        <v>12000000</v>
      </c>
    </row>
    <row r="329" spans="1:24" x14ac:dyDescent="0.2">
      <c r="A329" s="839"/>
      <c r="B329" s="713" t="s">
        <v>5329</v>
      </c>
      <c r="C329" s="713" t="s">
        <v>901</v>
      </c>
      <c r="D329" s="710">
        <v>0</v>
      </c>
      <c r="E329" s="712">
        <v>0</v>
      </c>
      <c r="F329" s="712">
        <v>5000000</v>
      </c>
      <c r="M329" s="839"/>
      <c r="N329" s="713" t="s">
        <v>5727</v>
      </c>
      <c r="O329" s="713" t="s">
        <v>901</v>
      </c>
      <c r="P329">
        <v>0</v>
      </c>
      <c r="Q329" s="712">
        <v>0</v>
      </c>
      <c r="R329" s="712">
        <v>6000000</v>
      </c>
      <c r="S329" s="839"/>
      <c r="T329" s="713" t="s">
        <v>5953</v>
      </c>
      <c r="U329" s="713" t="s">
        <v>901</v>
      </c>
      <c r="V329">
        <v>0</v>
      </c>
      <c r="W329" s="712">
        <v>0</v>
      </c>
      <c r="X329" s="712">
        <v>12000000</v>
      </c>
    </row>
    <row r="330" spans="1:24" x14ac:dyDescent="0.2">
      <c r="A330" s="839"/>
      <c r="B330" s="713" t="s">
        <v>5330</v>
      </c>
      <c r="C330" s="713" t="s">
        <v>901</v>
      </c>
      <c r="D330" s="710">
        <v>0</v>
      </c>
      <c r="E330" s="712">
        <v>0</v>
      </c>
      <c r="F330" s="712">
        <v>5000000</v>
      </c>
      <c r="M330" s="839"/>
      <c r="N330" s="713" t="s">
        <v>5728</v>
      </c>
      <c r="O330" s="713" t="s">
        <v>61</v>
      </c>
      <c r="P330">
        <v>0</v>
      </c>
      <c r="Q330" s="712">
        <v>6000000</v>
      </c>
      <c r="R330" s="712">
        <v>0</v>
      </c>
      <c r="S330" s="839"/>
      <c r="T330" s="713" t="s">
        <v>5954</v>
      </c>
      <c r="U330" s="713" t="s">
        <v>61</v>
      </c>
      <c r="V330">
        <v>0</v>
      </c>
      <c r="W330" s="712">
        <v>10000000</v>
      </c>
      <c r="X330" s="712">
        <v>0</v>
      </c>
    </row>
    <row r="331" spans="1:24" x14ac:dyDescent="0.2">
      <c r="A331" s="839"/>
      <c r="B331" s="713" t="s">
        <v>5331</v>
      </c>
      <c r="C331" s="713" t="s">
        <v>901</v>
      </c>
      <c r="D331" s="710">
        <v>0</v>
      </c>
      <c r="E331" s="712">
        <v>0</v>
      </c>
      <c r="F331" s="712">
        <v>5000000</v>
      </c>
      <c r="M331" s="839"/>
      <c r="N331" s="713" t="s">
        <v>5729</v>
      </c>
      <c r="O331" s="713" t="s">
        <v>901</v>
      </c>
      <c r="P331">
        <v>0</v>
      </c>
      <c r="Q331" s="712">
        <v>0</v>
      </c>
      <c r="R331" s="712">
        <v>6000000</v>
      </c>
      <c r="S331" s="838" t="s">
        <v>5323</v>
      </c>
      <c r="T331" s="713" t="s">
        <v>5955</v>
      </c>
      <c r="U331" s="713" t="s">
        <v>901</v>
      </c>
      <c r="V331">
        <v>0</v>
      </c>
      <c r="W331" s="712">
        <v>0</v>
      </c>
      <c r="X331" s="712">
        <v>5000000</v>
      </c>
    </row>
    <row r="332" spans="1:24" x14ac:dyDescent="0.2">
      <c r="A332" s="839"/>
      <c r="B332" s="713" t="s">
        <v>5332</v>
      </c>
      <c r="C332" s="713" t="s">
        <v>901</v>
      </c>
      <c r="D332" s="710">
        <v>0</v>
      </c>
      <c r="E332" s="712">
        <v>0</v>
      </c>
      <c r="F332" s="712">
        <v>5000000</v>
      </c>
      <c r="M332" s="839"/>
      <c r="N332" s="713" t="s">
        <v>5730</v>
      </c>
      <c r="O332" s="713" t="s">
        <v>901</v>
      </c>
      <c r="P332">
        <v>0</v>
      </c>
      <c r="Q332" s="712">
        <v>0</v>
      </c>
      <c r="R332" s="712">
        <v>6000000</v>
      </c>
      <c r="S332" s="839"/>
      <c r="T332" s="713" t="s">
        <v>5956</v>
      </c>
      <c r="U332" s="713" t="s">
        <v>901</v>
      </c>
      <c r="V332">
        <v>0</v>
      </c>
      <c r="W332" s="712">
        <v>0</v>
      </c>
      <c r="X332" s="712">
        <v>5000000</v>
      </c>
    </row>
    <row r="333" spans="1:24" x14ac:dyDescent="0.2">
      <c r="A333" s="839"/>
      <c r="B333" s="713" t="s">
        <v>5333</v>
      </c>
      <c r="C333" s="713" t="s">
        <v>901</v>
      </c>
      <c r="D333" s="710">
        <v>0</v>
      </c>
      <c r="E333" s="712">
        <v>0</v>
      </c>
      <c r="F333" s="712">
        <v>5000000</v>
      </c>
      <c r="M333" s="839"/>
      <c r="N333" s="713" t="s">
        <v>5731</v>
      </c>
      <c r="O333" s="713" t="s">
        <v>901</v>
      </c>
      <c r="P333">
        <v>0</v>
      </c>
      <c r="Q333" s="712">
        <v>0</v>
      </c>
      <c r="R333" s="712">
        <v>6000000</v>
      </c>
      <c r="S333" s="839"/>
      <c r="T333" s="713" t="s">
        <v>5957</v>
      </c>
      <c r="U333" s="713" t="s">
        <v>901</v>
      </c>
      <c r="V333">
        <v>0</v>
      </c>
      <c r="W333" s="712">
        <v>0</v>
      </c>
      <c r="X333" s="712">
        <v>5000000</v>
      </c>
    </row>
    <row r="334" spans="1:24" x14ac:dyDescent="0.2">
      <c r="A334" s="839"/>
      <c r="B334" s="713" t="s">
        <v>5334</v>
      </c>
      <c r="C334" s="713" t="s">
        <v>901</v>
      </c>
      <c r="D334" s="710">
        <v>0</v>
      </c>
      <c r="E334" s="712">
        <v>0</v>
      </c>
      <c r="F334" s="712">
        <v>5000000</v>
      </c>
      <c r="M334" s="839"/>
      <c r="N334" s="713" t="s">
        <v>5732</v>
      </c>
      <c r="O334" s="713" t="s">
        <v>901</v>
      </c>
      <c r="P334">
        <v>0</v>
      </c>
      <c r="Q334" s="712">
        <v>0</v>
      </c>
      <c r="R334" s="712">
        <v>6000000</v>
      </c>
      <c r="S334" s="839"/>
      <c r="T334" s="713" t="s">
        <v>5958</v>
      </c>
      <c r="U334" s="713" t="s">
        <v>901</v>
      </c>
      <c r="V334">
        <v>0</v>
      </c>
      <c r="W334" s="712">
        <v>0</v>
      </c>
      <c r="X334" s="712">
        <v>5000000</v>
      </c>
    </row>
    <row r="335" spans="1:24" x14ac:dyDescent="0.2">
      <c r="A335" s="839"/>
      <c r="B335" s="713" t="s">
        <v>5335</v>
      </c>
      <c r="C335" s="713" t="s">
        <v>901</v>
      </c>
      <c r="D335" s="710">
        <v>0</v>
      </c>
      <c r="E335" s="712">
        <v>0</v>
      </c>
      <c r="F335" s="712">
        <v>5000000</v>
      </c>
      <c r="M335" s="839"/>
      <c r="N335" s="713" t="s">
        <v>5733</v>
      </c>
      <c r="O335" s="713" t="s">
        <v>901</v>
      </c>
      <c r="P335">
        <v>0</v>
      </c>
      <c r="Q335" s="712">
        <v>0</v>
      </c>
      <c r="R335" s="712">
        <v>6000000</v>
      </c>
      <c r="S335" s="839"/>
      <c r="T335" s="713" t="s">
        <v>5959</v>
      </c>
      <c r="U335" s="713" t="s">
        <v>901</v>
      </c>
      <c r="V335">
        <v>0</v>
      </c>
      <c r="W335" s="712">
        <v>0</v>
      </c>
      <c r="X335" s="712">
        <v>5000000</v>
      </c>
    </row>
    <row r="336" spans="1:24" x14ac:dyDescent="0.2">
      <c r="A336" s="839"/>
      <c r="B336" s="713" t="s">
        <v>5336</v>
      </c>
      <c r="C336" s="713" t="s">
        <v>901</v>
      </c>
      <c r="D336" s="710">
        <v>0</v>
      </c>
      <c r="E336" s="712">
        <v>0</v>
      </c>
      <c r="F336" s="712">
        <v>5000000</v>
      </c>
      <c r="M336" s="839"/>
      <c r="N336" s="713" t="s">
        <v>5734</v>
      </c>
      <c r="O336" s="713" t="s">
        <v>901</v>
      </c>
      <c r="P336">
        <v>0</v>
      </c>
      <c r="Q336" s="712">
        <v>0</v>
      </c>
      <c r="R336" s="712">
        <v>6000000</v>
      </c>
      <c r="S336" s="839"/>
      <c r="T336" s="713" t="s">
        <v>5960</v>
      </c>
      <c r="U336" s="713" t="s">
        <v>61</v>
      </c>
      <c r="V336">
        <v>0</v>
      </c>
      <c r="W336" s="712">
        <v>5000000</v>
      </c>
      <c r="X336" s="712">
        <v>0</v>
      </c>
    </row>
    <row r="337" spans="1:24" x14ac:dyDescent="0.2">
      <c r="A337" s="839"/>
      <c r="B337" s="713" t="s">
        <v>5337</v>
      </c>
      <c r="C337" s="713" t="s">
        <v>901</v>
      </c>
      <c r="D337" s="710">
        <v>0</v>
      </c>
      <c r="E337" s="712">
        <v>0</v>
      </c>
      <c r="F337" s="712">
        <v>5000000</v>
      </c>
      <c r="M337" s="839"/>
      <c r="N337" s="713" t="s">
        <v>5735</v>
      </c>
      <c r="O337" s="713" t="s">
        <v>901</v>
      </c>
      <c r="P337">
        <v>0</v>
      </c>
      <c r="Q337" s="712">
        <v>0</v>
      </c>
      <c r="R337" s="712">
        <v>6000000</v>
      </c>
      <c r="S337" s="839"/>
      <c r="T337" s="713" t="s">
        <v>5961</v>
      </c>
      <c r="U337" s="713" t="s">
        <v>901</v>
      </c>
      <c r="V337">
        <v>0</v>
      </c>
      <c r="W337" s="712">
        <v>0</v>
      </c>
      <c r="X337" s="712">
        <v>5000000</v>
      </c>
    </row>
    <row r="338" spans="1:24" x14ac:dyDescent="0.2">
      <c r="A338" s="839"/>
      <c r="B338" s="713" t="s">
        <v>5338</v>
      </c>
      <c r="C338" s="713" t="s">
        <v>901</v>
      </c>
      <c r="D338" s="710">
        <v>0</v>
      </c>
      <c r="E338" s="712">
        <v>0</v>
      </c>
      <c r="F338" s="712">
        <v>5000000</v>
      </c>
      <c r="M338" s="839"/>
      <c r="N338" s="713" t="s">
        <v>5736</v>
      </c>
      <c r="O338" s="713" t="s">
        <v>901</v>
      </c>
      <c r="P338">
        <v>0</v>
      </c>
      <c r="Q338" s="712">
        <v>0</v>
      </c>
      <c r="R338" s="712">
        <v>6000000</v>
      </c>
      <c r="S338" s="839"/>
      <c r="T338" s="713" t="s">
        <v>5962</v>
      </c>
      <c r="U338" s="713" t="s">
        <v>901</v>
      </c>
      <c r="V338">
        <v>0</v>
      </c>
      <c r="W338" s="712">
        <v>0</v>
      </c>
      <c r="X338" s="712">
        <v>5000000</v>
      </c>
    </row>
    <row r="339" spans="1:24" x14ac:dyDescent="0.2">
      <c r="A339" s="839"/>
      <c r="B339" s="713" t="s">
        <v>5339</v>
      </c>
      <c r="C339" s="713" t="s">
        <v>901</v>
      </c>
      <c r="D339" s="710">
        <v>0</v>
      </c>
      <c r="E339" s="712">
        <v>0</v>
      </c>
      <c r="F339" s="712">
        <v>5000000</v>
      </c>
      <c r="M339" s="839"/>
      <c r="N339" s="713" t="s">
        <v>5737</v>
      </c>
      <c r="O339" s="713" t="s">
        <v>901</v>
      </c>
      <c r="P339">
        <v>0</v>
      </c>
      <c r="Q339" s="712">
        <v>0</v>
      </c>
      <c r="R339" s="712">
        <v>6000000</v>
      </c>
      <c r="S339" s="839"/>
      <c r="T339" s="713" t="s">
        <v>5963</v>
      </c>
      <c r="U339" s="713" t="s">
        <v>901</v>
      </c>
      <c r="V339">
        <v>0</v>
      </c>
      <c r="W339" s="712">
        <v>0</v>
      </c>
      <c r="X339" s="712">
        <v>5000000</v>
      </c>
    </row>
    <row r="340" spans="1:24" x14ac:dyDescent="0.2">
      <c r="A340" s="839"/>
      <c r="B340" s="713" t="s">
        <v>5340</v>
      </c>
      <c r="C340" s="713" t="s">
        <v>901</v>
      </c>
      <c r="D340" s="710">
        <v>0</v>
      </c>
      <c r="E340" s="712">
        <v>0</v>
      </c>
      <c r="F340" s="712">
        <v>5000000</v>
      </c>
      <c r="M340" s="839"/>
      <c r="N340" s="713" t="s">
        <v>5738</v>
      </c>
      <c r="O340" s="713" t="s">
        <v>901</v>
      </c>
      <c r="P340">
        <v>0</v>
      </c>
      <c r="Q340" s="712">
        <v>0</v>
      </c>
      <c r="R340" s="712">
        <v>6000000</v>
      </c>
      <c r="S340" s="839"/>
      <c r="T340" s="713" t="s">
        <v>5964</v>
      </c>
      <c r="U340" s="713" t="s">
        <v>901</v>
      </c>
      <c r="V340">
        <v>0</v>
      </c>
      <c r="W340" s="712">
        <v>0</v>
      </c>
      <c r="X340" s="712">
        <v>5000000</v>
      </c>
    </row>
    <row r="341" spans="1:24" x14ac:dyDescent="0.2">
      <c r="A341" s="839"/>
      <c r="B341" s="713" t="s">
        <v>5341</v>
      </c>
      <c r="C341" s="713" t="s">
        <v>901</v>
      </c>
      <c r="D341" s="710">
        <v>0</v>
      </c>
      <c r="E341" s="712">
        <v>0</v>
      </c>
      <c r="F341" s="712">
        <v>5000000</v>
      </c>
      <c r="M341" s="839"/>
      <c r="N341" s="713" t="s">
        <v>5739</v>
      </c>
      <c r="O341" s="713" t="s">
        <v>901</v>
      </c>
      <c r="P341">
        <v>0</v>
      </c>
      <c r="Q341" s="712">
        <v>0</v>
      </c>
      <c r="R341" s="712">
        <v>6000000</v>
      </c>
      <c r="S341" s="839"/>
      <c r="T341" s="713" t="s">
        <v>5965</v>
      </c>
      <c r="U341" s="713" t="s">
        <v>901</v>
      </c>
      <c r="V341">
        <v>0</v>
      </c>
      <c r="W341" s="712">
        <v>0</v>
      </c>
      <c r="X341" s="712">
        <v>5000000</v>
      </c>
    </row>
    <row r="342" spans="1:24" x14ac:dyDescent="0.2">
      <c r="A342" s="839"/>
      <c r="B342" s="713" t="s">
        <v>5342</v>
      </c>
      <c r="C342" s="713" t="s">
        <v>901</v>
      </c>
      <c r="D342" s="710">
        <v>0</v>
      </c>
      <c r="E342" s="712">
        <v>0</v>
      </c>
      <c r="F342" s="712">
        <v>5000000</v>
      </c>
      <c r="M342" s="839"/>
      <c r="N342" s="713" t="s">
        <v>5740</v>
      </c>
      <c r="O342" s="713" t="s">
        <v>901</v>
      </c>
      <c r="P342">
        <v>0</v>
      </c>
      <c r="Q342" s="712">
        <v>0</v>
      </c>
      <c r="R342" s="712">
        <v>6000000</v>
      </c>
      <c r="S342" s="839"/>
      <c r="T342" s="713" t="s">
        <v>5966</v>
      </c>
      <c r="U342" s="713" t="s">
        <v>901</v>
      </c>
      <c r="V342">
        <v>0</v>
      </c>
      <c r="W342" s="712">
        <v>0</v>
      </c>
      <c r="X342" s="712">
        <v>5000000</v>
      </c>
    </row>
    <row r="343" spans="1:24" x14ac:dyDescent="0.2">
      <c r="A343" s="839"/>
      <c r="B343" s="713" t="s">
        <v>5343</v>
      </c>
      <c r="C343" s="713" t="s">
        <v>901</v>
      </c>
      <c r="D343" s="710">
        <v>0</v>
      </c>
      <c r="E343" s="712">
        <v>0</v>
      </c>
      <c r="F343" s="712">
        <v>5000000</v>
      </c>
      <c r="M343" s="839"/>
      <c r="N343" s="713" t="s">
        <v>5741</v>
      </c>
      <c r="O343" s="713" t="s">
        <v>901</v>
      </c>
      <c r="P343">
        <v>0</v>
      </c>
      <c r="Q343" s="712">
        <v>0</v>
      </c>
      <c r="R343" s="712">
        <v>6000000</v>
      </c>
      <c r="S343" s="839"/>
      <c r="T343" s="713" t="s">
        <v>5967</v>
      </c>
      <c r="U343" s="713" t="s">
        <v>901</v>
      </c>
      <c r="V343">
        <v>0</v>
      </c>
      <c r="W343" s="712">
        <v>0</v>
      </c>
      <c r="X343" s="712">
        <v>5000000</v>
      </c>
    </row>
    <row r="344" spans="1:24" x14ac:dyDescent="0.2">
      <c r="A344" s="839"/>
      <c r="B344" s="713" t="s">
        <v>5344</v>
      </c>
      <c r="C344" s="713" t="s">
        <v>901</v>
      </c>
      <c r="D344" s="710">
        <v>0</v>
      </c>
      <c r="E344" s="712">
        <v>0</v>
      </c>
      <c r="F344" s="712">
        <v>5000000</v>
      </c>
      <c r="M344" s="839"/>
      <c r="N344" s="713" t="s">
        <v>5742</v>
      </c>
      <c r="O344" s="713" t="s">
        <v>901</v>
      </c>
      <c r="P344">
        <v>0</v>
      </c>
      <c r="Q344" s="712">
        <v>0</v>
      </c>
      <c r="R344" s="712">
        <v>6000000</v>
      </c>
      <c r="S344" s="839"/>
      <c r="T344" s="713" t="s">
        <v>5968</v>
      </c>
      <c r="U344" s="713" t="s">
        <v>901</v>
      </c>
      <c r="V344">
        <v>0</v>
      </c>
      <c r="W344" s="712">
        <v>0</v>
      </c>
      <c r="X344" s="712">
        <v>5000000</v>
      </c>
    </row>
    <row r="345" spans="1:24" x14ac:dyDescent="0.2">
      <c r="A345" s="839"/>
      <c r="B345" s="713" t="s">
        <v>5345</v>
      </c>
      <c r="C345" s="713" t="s">
        <v>901</v>
      </c>
      <c r="D345" s="710">
        <v>0</v>
      </c>
      <c r="E345" s="712">
        <v>0</v>
      </c>
      <c r="F345" s="712">
        <v>5000000</v>
      </c>
      <c r="M345" s="839"/>
      <c r="N345" s="713" t="s">
        <v>5743</v>
      </c>
      <c r="O345" s="713" t="s">
        <v>901</v>
      </c>
      <c r="P345">
        <v>0</v>
      </c>
      <c r="Q345" s="712">
        <v>0</v>
      </c>
      <c r="R345" s="712">
        <v>6000000</v>
      </c>
      <c r="S345" s="839"/>
      <c r="T345" s="713" t="s">
        <v>5969</v>
      </c>
      <c r="U345" s="713" t="s">
        <v>901</v>
      </c>
      <c r="V345">
        <v>0</v>
      </c>
      <c r="W345" s="712">
        <v>0</v>
      </c>
      <c r="X345" s="712">
        <v>5000000</v>
      </c>
    </row>
    <row r="346" spans="1:24" x14ac:dyDescent="0.2">
      <c r="A346" s="839"/>
      <c r="B346" s="713" t="s">
        <v>5346</v>
      </c>
      <c r="C346" s="713" t="s">
        <v>901</v>
      </c>
      <c r="D346" s="710">
        <v>0</v>
      </c>
      <c r="E346" s="712">
        <v>0</v>
      </c>
      <c r="F346" s="712">
        <v>5000000</v>
      </c>
      <c r="M346" s="839"/>
      <c r="N346" s="713" t="s">
        <v>5744</v>
      </c>
      <c r="O346" s="713" t="s">
        <v>901</v>
      </c>
      <c r="P346">
        <v>0</v>
      </c>
      <c r="Q346" s="712">
        <v>0</v>
      </c>
      <c r="R346" s="712">
        <v>6000000</v>
      </c>
      <c r="S346" s="839"/>
      <c r="T346" s="713" t="s">
        <v>5970</v>
      </c>
      <c r="U346" s="713" t="s">
        <v>901</v>
      </c>
      <c r="V346">
        <v>0</v>
      </c>
      <c r="W346" s="712">
        <v>0</v>
      </c>
      <c r="X346" s="712">
        <v>5000000</v>
      </c>
    </row>
    <row r="347" spans="1:24" x14ac:dyDescent="0.2">
      <c r="A347" s="839"/>
      <c r="B347" s="713" t="s">
        <v>5347</v>
      </c>
      <c r="C347" s="713" t="s">
        <v>901</v>
      </c>
      <c r="D347" s="710">
        <v>0</v>
      </c>
      <c r="E347" s="712">
        <v>0</v>
      </c>
      <c r="F347" s="712">
        <v>5000000</v>
      </c>
      <c r="M347" s="839"/>
      <c r="N347" s="713" t="s">
        <v>5745</v>
      </c>
      <c r="O347" s="713" t="s">
        <v>901</v>
      </c>
      <c r="P347">
        <v>0</v>
      </c>
      <c r="Q347" s="712">
        <v>0</v>
      </c>
      <c r="R347" s="712">
        <v>6000000</v>
      </c>
      <c r="S347" s="839"/>
      <c r="T347" s="713" t="s">
        <v>5971</v>
      </c>
      <c r="U347" s="713" t="s">
        <v>901</v>
      </c>
      <c r="V347">
        <v>0</v>
      </c>
      <c r="W347" s="712">
        <v>0</v>
      </c>
      <c r="X347" s="712">
        <v>5000000</v>
      </c>
    </row>
    <row r="348" spans="1:24" x14ac:dyDescent="0.2">
      <c r="A348" s="839"/>
      <c r="B348" s="713" t="s">
        <v>5348</v>
      </c>
      <c r="C348" s="713" t="s">
        <v>901</v>
      </c>
      <c r="D348" s="710">
        <v>0</v>
      </c>
      <c r="E348" s="712">
        <v>0</v>
      </c>
      <c r="F348" s="712">
        <v>5000000</v>
      </c>
      <c r="M348" s="839"/>
      <c r="N348" s="713" t="s">
        <v>5746</v>
      </c>
      <c r="O348" s="713" t="s">
        <v>901</v>
      </c>
      <c r="P348">
        <v>0</v>
      </c>
      <c r="Q348" s="712">
        <v>0</v>
      </c>
      <c r="R348" s="712">
        <v>6000000</v>
      </c>
      <c r="S348" s="839"/>
      <c r="T348" s="713" t="s">
        <v>5972</v>
      </c>
      <c r="U348" s="713" t="s">
        <v>901</v>
      </c>
      <c r="V348">
        <v>0</v>
      </c>
      <c r="W348" s="712">
        <v>0</v>
      </c>
      <c r="X348" s="712">
        <v>5000000</v>
      </c>
    </row>
    <row r="349" spans="1:24" x14ac:dyDescent="0.2">
      <c r="A349" s="839"/>
      <c r="B349" s="713" t="s">
        <v>5349</v>
      </c>
      <c r="C349" s="713" t="s">
        <v>901</v>
      </c>
      <c r="D349" s="710">
        <v>0</v>
      </c>
      <c r="E349" s="712">
        <v>0</v>
      </c>
      <c r="F349" s="712">
        <v>5000000</v>
      </c>
      <c r="M349" s="839"/>
      <c r="N349" s="713" t="s">
        <v>5747</v>
      </c>
      <c r="O349" s="713" t="s">
        <v>901</v>
      </c>
      <c r="P349">
        <v>0</v>
      </c>
      <c r="Q349" s="712">
        <v>0</v>
      </c>
      <c r="R349" s="712">
        <v>6000000</v>
      </c>
      <c r="S349" s="839"/>
      <c r="T349" s="713" t="s">
        <v>5973</v>
      </c>
      <c r="U349" s="713" t="s">
        <v>901</v>
      </c>
      <c r="V349">
        <v>0</v>
      </c>
      <c r="W349" s="712">
        <v>0</v>
      </c>
      <c r="X349" s="712">
        <v>5000000</v>
      </c>
    </row>
    <row r="350" spans="1:24" x14ac:dyDescent="0.2">
      <c r="A350" s="839"/>
      <c r="B350" s="713" t="s">
        <v>5350</v>
      </c>
      <c r="C350" s="713" t="s">
        <v>901</v>
      </c>
      <c r="D350" s="710">
        <v>0</v>
      </c>
      <c r="E350" s="712">
        <v>0</v>
      </c>
      <c r="F350" s="712">
        <v>5000000</v>
      </c>
      <c r="M350" s="839"/>
      <c r="N350" s="713" t="s">
        <v>5748</v>
      </c>
      <c r="O350" s="713" t="s">
        <v>901</v>
      </c>
      <c r="P350">
        <v>0</v>
      </c>
      <c r="Q350" s="712">
        <v>0</v>
      </c>
      <c r="R350" s="712">
        <v>6000000</v>
      </c>
      <c r="S350" s="839"/>
      <c r="T350" s="713" t="s">
        <v>5974</v>
      </c>
      <c r="U350" s="713" t="s">
        <v>901</v>
      </c>
      <c r="V350">
        <v>0</v>
      </c>
      <c r="W350" s="712">
        <v>0</v>
      </c>
      <c r="X350" s="712">
        <v>5000000</v>
      </c>
    </row>
    <row r="351" spans="1:24" x14ac:dyDescent="0.2">
      <c r="A351" s="839"/>
      <c r="B351" s="713" t="s">
        <v>5351</v>
      </c>
      <c r="C351" s="713" t="s">
        <v>901</v>
      </c>
      <c r="D351" s="710">
        <v>0</v>
      </c>
      <c r="E351" s="712">
        <v>0</v>
      </c>
      <c r="F351" s="712">
        <v>5000000</v>
      </c>
      <c r="M351" s="839"/>
      <c r="N351" s="713" t="s">
        <v>5749</v>
      </c>
      <c r="O351" s="713" t="s">
        <v>901</v>
      </c>
      <c r="P351">
        <v>0</v>
      </c>
      <c r="Q351" s="712">
        <v>0</v>
      </c>
      <c r="R351" s="712">
        <v>6000000</v>
      </c>
      <c r="S351" s="839"/>
      <c r="T351" s="713" t="s">
        <v>5975</v>
      </c>
      <c r="U351" s="713" t="s">
        <v>901</v>
      </c>
      <c r="V351">
        <v>0</v>
      </c>
      <c r="W351" s="712">
        <v>0</v>
      </c>
      <c r="X351" s="712">
        <v>5000000</v>
      </c>
    </row>
    <row r="352" spans="1:24" x14ac:dyDescent="0.2">
      <c r="A352" s="839"/>
      <c r="B352" s="713" t="s">
        <v>5352</v>
      </c>
      <c r="C352" s="713" t="s">
        <v>901</v>
      </c>
      <c r="D352" s="710">
        <v>0</v>
      </c>
      <c r="E352" s="712">
        <v>0</v>
      </c>
      <c r="F352" s="712">
        <v>5000000</v>
      </c>
      <c r="M352" s="839"/>
      <c r="N352" s="713" t="s">
        <v>5750</v>
      </c>
      <c r="O352" s="713" t="s">
        <v>901</v>
      </c>
      <c r="P352">
        <v>0</v>
      </c>
      <c r="Q352" s="712">
        <v>0</v>
      </c>
      <c r="R352" s="712">
        <v>6000000</v>
      </c>
      <c r="S352" s="839"/>
      <c r="T352" s="713" t="s">
        <v>5976</v>
      </c>
      <c r="U352" s="713" t="s">
        <v>901</v>
      </c>
      <c r="V352">
        <v>0</v>
      </c>
      <c r="W352" s="712">
        <v>0</v>
      </c>
      <c r="X352" s="712">
        <v>5000000</v>
      </c>
    </row>
    <row r="353" spans="1:24" x14ac:dyDescent="0.2">
      <c r="A353" s="839"/>
      <c r="B353" s="713" t="s">
        <v>5353</v>
      </c>
      <c r="C353" s="713" t="s">
        <v>901</v>
      </c>
      <c r="D353" s="710">
        <v>0</v>
      </c>
      <c r="E353" s="712">
        <v>0</v>
      </c>
      <c r="F353" s="712">
        <v>5000000</v>
      </c>
      <c r="M353" s="839"/>
      <c r="N353" s="713" t="s">
        <v>5751</v>
      </c>
      <c r="O353" s="713" t="s">
        <v>901</v>
      </c>
      <c r="P353">
        <v>0</v>
      </c>
      <c r="Q353" s="712">
        <v>0</v>
      </c>
      <c r="R353" s="712">
        <v>6000000</v>
      </c>
      <c r="S353" s="839"/>
      <c r="T353" s="713" t="s">
        <v>5977</v>
      </c>
      <c r="U353" s="713" t="s">
        <v>901</v>
      </c>
      <c r="V353">
        <v>0</v>
      </c>
      <c r="W353" s="712">
        <v>0</v>
      </c>
      <c r="X353" s="712">
        <v>5000000</v>
      </c>
    </row>
    <row r="354" spans="1:24" x14ac:dyDescent="0.2">
      <c r="A354" s="839"/>
      <c r="B354" s="713" t="s">
        <v>5354</v>
      </c>
      <c r="C354" s="713" t="s">
        <v>901</v>
      </c>
      <c r="D354" s="710">
        <v>0</v>
      </c>
      <c r="E354" s="712">
        <v>0</v>
      </c>
      <c r="F354" s="712">
        <v>5000000</v>
      </c>
      <c r="M354" s="839"/>
      <c r="N354" s="713" t="s">
        <v>5752</v>
      </c>
      <c r="O354" s="713" t="s">
        <v>901</v>
      </c>
      <c r="P354">
        <v>0</v>
      </c>
      <c r="Q354" s="712">
        <v>0</v>
      </c>
      <c r="R354" s="712">
        <v>6000000</v>
      </c>
      <c r="S354" s="839"/>
      <c r="T354" s="713" t="s">
        <v>5978</v>
      </c>
      <c r="U354" s="713" t="s">
        <v>901</v>
      </c>
      <c r="V354">
        <v>0</v>
      </c>
      <c r="W354" s="712">
        <v>0</v>
      </c>
      <c r="X354" s="712">
        <v>5000000</v>
      </c>
    </row>
    <row r="355" spans="1:24" x14ac:dyDescent="0.2">
      <c r="A355" s="839"/>
      <c r="B355" s="713" t="s">
        <v>5355</v>
      </c>
      <c r="C355" s="713" t="s">
        <v>901</v>
      </c>
      <c r="D355" s="710">
        <v>0</v>
      </c>
      <c r="E355" s="712">
        <v>0</v>
      </c>
      <c r="F355" s="712">
        <v>5000000</v>
      </c>
      <c r="M355" s="839"/>
      <c r="N355" s="713" t="s">
        <v>5753</v>
      </c>
      <c r="O355" s="713" t="s">
        <v>901</v>
      </c>
      <c r="P355">
        <v>0</v>
      </c>
      <c r="Q355" s="712">
        <v>0</v>
      </c>
      <c r="R355" s="712">
        <v>6000000</v>
      </c>
      <c r="S355" s="839"/>
      <c r="T355" s="713" t="s">
        <v>5979</v>
      </c>
      <c r="U355" s="713" t="s">
        <v>901</v>
      </c>
      <c r="V355">
        <v>0</v>
      </c>
      <c r="W355" s="712">
        <v>0</v>
      </c>
      <c r="X355" s="712">
        <v>5000000</v>
      </c>
    </row>
    <row r="356" spans="1:24" x14ac:dyDescent="0.2">
      <c r="A356" s="839"/>
      <c r="B356" s="713" t="s">
        <v>5356</v>
      </c>
      <c r="C356" s="713" t="s">
        <v>901</v>
      </c>
      <c r="D356" s="710">
        <v>0</v>
      </c>
      <c r="E356" s="712">
        <v>0</v>
      </c>
      <c r="F356" s="712">
        <v>5000000</v>
      </c>
      <c r="M356" s="839"/>
      <c r="N356" s="713" t="s">
        <v>5754</v>
      </c>
      <c r="O356" s="713" t="s">
        <v>901</v>
      </c>
      <c r="P356">
        <v>0</v>
      </c>
      <c r="Q356" s="712">
        <v>0</v>
      </c>
      <c r="R356" s="712">
        <v>6000000</v>
      </c>
      <c r="S356" s="839"/>
      <c r="T356" s="713" t="s">
        <v>5980</v>
      </c>
      <c r="U356" s="713" t="s">
        <v>901</v>
      </c>
      <c r="V356">
        <v>0</v>
      </c>
      <c r="W356" s="712">
        <v>0</v>
      </c>
      <c r="X356" s="712">
        <v>5000000</v>
      </c>
    </row>
    <row r="357" spans="1:24" x14ac:dyDescent="0.2">
      <c r="A357" s="839"/>
      <c r="B357" s="713" t="s">
        <v>5357</v>
      </c>
      <c r="C357" s="713" t="s">
        <v>901</v>
      </c>
      <c r="D357" s="710">
        <v>0</v>
      </c>
      <c r="E357" s="712">
        <v>0</v>
      </c>
      <c r="F357" s="712">
        <v>5000000</v>
      </c>
      <c r="M357" s="839"/>
      <c r="N357" s="713" t="s">
        <v>5755</v>
      </c>
      <c r="O357" s="713" t="s">
        <v>901</v>
      </c>
      <c r="P357">
        <v>0</v>
      </c>
      <c r="Q357" s="712">
        <v>0</v>
      </c>
      <c r="R357" s="712">
        <v>6000000</v>
      </c>
      <c r="S357" s="839"/>
      <c r="T357" s="713" t="s">
        <v>5981</v>
      </c>
      <c r="U357" s="713" t="s">
        <v>901</v>
      </c>
      <c r="V357">
        <v>0</v>
      </c>
      <c r="W357" s="712">
        <v>0</v>
      </c>
      <c r="X357" s="712">
        <v>5000000</v>
      </c>
    </row>
    <row r="358" spans="1:24" x14ac:dyDescent="0.2">
      <c r="A358" s="839"/>
      <c r="B358" s="713" t="s">
        <v>5358</v>
      </c>
      <c r="C358" s="713" t="s">
        <v>901</v>
      </c>
      <c r="D358" s="710">
        <v>0</v>
      </c>
      <c r="E358" s="712">
        <v>0</v>
      </c>
      <c r="F358" s="712">
        <v>5000000</v>
      </c>
      <c r="M358" s="839"/>
      <c r="N358" s="713" t="s">
        <v>5756</v>
      </c>
      <c r="O358" s="713" t="s">
        <v>901</v>
      </c>
      <c r="P358">
        <v>0</v>
      </c>
      <c r="Q358" s="712">
        <v>0</v>
      </c>
      <c r="R358" s="712">
        <v>6000000</v>
      </c>
      <c r="S358" s="839"/>
      <c r="T358" s="713" t="s">
        <v>5982</v>
      </c>
      <c r="U358" s="713" t="s">
        <v>901</v>
      </c>
      <c r="V358">
        <v>0</v>
      </c>
      <c r="W358" s="712">
        <v>0</v>
      </c>
      <c r="X358" s="712">
        <v>5000000</v>
      </c>
    </row>
    <row r="359" spans="1:24" x14ac:dyDescent="0.2">
      <c r="A359" s="839"/>
      <c r="B359" s="713" t="s">
        <v>5359</v>
      </c>
      <c r="C359" s="713" t="s">
        <v>61</v>
      </c>
      <c r="D359" s="710">
        <v>0</v>
      </c>
      <c r="E359" s="712">
        <v>5000000</v>
      </c>
      <c r="F359" s="712">
        <v>0</v>
      </c>
      <c r="M359" s="839"/>
      <c r="N359" s="713" t="s">
        <v>5757</v>
      </c>
      <c r="O359" s="713" t="s">
        <v>901</v>
      </c>
      <c r="P359">
        <v>0</v>
      </c>
      <c r="Q359" s="712">
        <v>0</v>
      </c>
      <c r="R359" s="712">
        <v>6000000</v>
      </c>
      <c r="S359" s="839"/>
      <c r="T359" s="713" t="s">
        <v>5983</v>
      </c>
      <c r="U359" s="713" t="s">
        <v>901</v>
      </c>
      <c r="V359">
        <v>0</v>
      </c>
      <c r="W359" s="712">
        <v>0</v>
      </c>
      <c r="X359" s="712">
        <v>5000000</v>
      </c>
    </row>
    <row r="360" spans="1:24" x14ac:dyDescent="0.2">
      <c r="A360" s="839"/>
      <c r="B360" s="713" t="s">
        <v>5360</v>
      </c>
      <c r="C360" s="713" t="s">
        <v>61</v>
      </c>
      <c r="D360" s="710">
        <v>0</v>
      </c>
      <c r="E360" s="712">
        <v>5000000</v>
      </c>
      <c r="F360" s="712">
        <v>0</v>
      </c>
      <c r="M360" s="839"/>
      <c r="N360" s="713" t="s">
        <v>5758</v>
      </c>
      <c r="O360" s="713" t="s">
        <v>901</v>
      </c>
      <c r="P360">
        <v>0</v>
      </c>
      <c r="Q360" s="712">
        <v>0</v>
      </c>
      <c r="R360" s="712">
        <v>6000000</v>
      </c>
      <c r="S360" s="839"/>
      <c r="T360" s="713" t="s">
        <v>5984</v>
      </c>
      <c r="U360" s="713" t="s">
        <v>901</v>
      </c>
      <c r="V360">
        <v>0</v>
      </c>
      <c r="W360" s="712">
        <v>0</v>
      </c>
      <c r="X360" s="712">
        <v>5000000</v>
      </c>
    </row>
    <row r="361" spans="1:24" x14ac:dyDescent="0.2">
      <c r="A361" s="839"/>
      <c r="B361" s="713" t="s">
        <v>5361</v>
      </c>
      <c r="C361" s="713" t="s">
        <v>901</v>
      </c>
      <c r="D361" s="710">
        <v>0</v>
      </c>
      <c r="E361" s="712">
        <v>0</v>
      </c>
      <c r="F361" s="712">
        <v>5000000</v>
      </c>
      <c r="M361" s="839"/>
      <c r="N361" s="713" t="s">
        <v>5759</v>
      </c>
      <c r="O361" s="713" t="s">
        <v>901</v>
      </c>
      <c r="P361">
        <v>0</v>
      </c>
      <c r="Q361" s="712">
        <v>0</v>
      </c>
      <c r="R361" s="712">
        <v>6000000</v>
      </c>
      <c r="S361" s="839"/>
      <c r="T361" s="713" t="s">
        <v>5985</v>
      </c>
      <c r="U361" s="713" t="s">
        <v>901</v>
      </c>
      <c r="V361">
        <v>0</v>
      </c>
      <c r="W361" s="712">
        <v>0</v>
      </c>
      <c r="X361" s="712">
        <v>5000000</v>
      </c>
    </row>
    <row r="362" spans="1:24" x14ac:dyDescent="0.2">
      <c r="A362" s="839"/>
      <c r="B362" s="713" t="s">
        <v>5362</v>
      </c>
      <c r="C362" s="713" t="s">
        <v>901</v>
      </c>
      <c r="D362" s="710">
        <v>0</v>
      </c>
      <c r="E362" s="712">
        <v>0</v>
      </c>
      <c r="F362" s="712">
        <v>5000000</v>
      </c>
      <c r="M362" s="839"/>
      <c r="N362" s="713" t="s">
        <v>5760</v>
      </c>
      <c r="O362" s="713" t="s">
        <v>901</v>
      </c>
      <c r="P362">
        <v>0</v>
      </c>
      <c r="Q362" s="712">
        <v>0</v>
      </c>
      <c r="R362" s="712">
        <v>6000000</v>
      </c>
      <c r="S362" s="839"/>
      <c r="T362" s="713" t="s">
        <v>5986</v>
      </c>
      <c r="U362" s="713" t="s">
        <v>901</v>
      </c>
      <c r="V362">
        <v>0</v>
      </c>
      <c r="W362" s="712">
        <v>0</v>
      </c>
      <c r="X362" s="712">
        <v>5000000</v>
      </c>
    </row>
    <row r="363" spans="1:24" x14ac:dyDescent="0.2">
      <c r="A363" s="839"/>
      <c r="B363" s="713" t="s">
        <v>5363</v>
      </c>
      <c r="C363" s="713" t="s">
        <v>901</v>
      </c>
      <c r="D363" s="710">
        <v>0</v>
      </c>
      <c r="E363" s="712">
        <v>0</v>
      </c>
      <c r="F363" s="712">
        <v>5000000</v>
      </c>
      <c r="M363" s="839"/>
      <c r="N363" s="713" t="s">
        <v>5761</v>
      </c>
      <c r="O363" s="713" t="s">
        <v>901</v>
      </c>
      <c r="P363">
        <v>0</v>
      </c>
      <c r="Q363" s="712">
        <v>0</v>
      </c>
      <c r="R363" s="712">
        <v>6000000</v>
      </c>
      <c r="S363" s="839"/>
      <c r="T363" s="713" t="s">
        <v>5987</v>
      </c>
      <c r="U363" s="713" t="s">
        <v>901</v>
      </c>
      <c r="V363">
        <v>0</v>
      </c>
      <c r="W363" s="712">
        <v>0</v>
      </c>
      <c r="X363" s="712">
        <v>5000000</v>
      </c>
    </row>
    <row r="364" spans="1:24" x14ac:dyDescent="0.2">
      <c r="A364" s="839"/>
      <c r="B364" s="713" t="s">
        <v>5364</v>
      </c>
      <c r="C364" s="713" t="s">
        <v>901</v>
      </c>
      <c r="D364" s="710">
        <v>0</v>
      </c>
      <c r="E364" s="712">
        <v>0</v>
      </c>
      <c r="F364" s="712">
        <v>5000000</v>
      </c>
      <c r="M364" s="839"/>
      <c r="N364" s="713" t="s">
        <v>5762</v>
      </c>
      <c r="O364" s="713" t="s">
        <v>901</v>
      </c>
      <c r="P364">
        <v>0</v>
      </c>
      <c r="Q364" s="712">
        <v>0</v>
      </c>
      <c r="R364" s="712">
        <v>6000000</v>
      </c>
      <c r="S364" s="839"/>
      <c r="T364" s="713" t="s">
        <v>5988</v>
      </c>
      <c r="U364" s="713" t="s">
        <v>901</v>
      </c>
      <c r="V364">
        <v>0</v>
      </c>
      <c r="W364" s="712">
        <v>0</v>
      </c>
      <c r="X364" s="712">
        <v>5000000</v>
      </c>
    </row>
    <row r="365" spans="1:24" x14ac:dyDescent="0.2">
      <c r="A365" s="839"/>
      <c r="B365" s="713" t="s">
        <v>5365</v>
      </c>
      <c r="C365" s="713" t="s">
        <v>901</v>
      </c>
      <c r="D365" s="710">
        <v>0</v>
      </c>
      <c r="E365" s="712">
        <v>0</v>
      </c>
      <c r="F365" s="712">
        <v>5000000</v>
      </c>
      <c r="M365" s="839"/>
      <c r="N365" s="713" t="s">
        <v>5763</v>
      </c>
      <c r="O365" s="713" t="s">
        <v>901</v>
      </c>
      <c r="P365">
        <v>0</v>
      </c>
      <c r="Q365" s="712">
        <v>0</v>
      </c>
      <c r="R365" s="712">
        <v>6000000</v>
      </c>
      <c r="S365" s="839"/>
      <c r="T365" s="713" t="s">
        <v>5989</v>
      </c>
      <c r="U365" s="713" t="s">
        <v>901</v>
      </c>
      <c r="V365">
        <v>0</v>
      </c>
      <c r="W365" s="712">
        <v>0</v>
      </c>
      <c r="X365" s="712">
        <v>5000000</v>
      </c>
    </row>
    <row r="366" spans="1:24" x14ac:dyDescent="0.2">
      <c r="A366" s="839"/>
      <c r="B366" s="713" t="s">
        <v>5366</v>
      </c>
      <c r="C366" s="713" t="s">
        <v>901</v>
      </c>
      <c r="D366" s="710">
        <v>0</v>
      </c>
      <c r="E366" s="712">
        <v>0</v>
      </c>
      <c r="F366" s="712">
        <v>5000000</v>
      </c>
      <c r="M366" s="839"/>
      <c r="N366" s="713" t="s">
        <v>5764</v>
      </c>
      <c r="O366" s="713" t="s">
        <v>901</v>
      </c>
      <c r="P366">
        <v>0</v>
      </c>
      <c r="Q366" s="712">
        <v>0</v>
      </c>
      <c r="R366" s="712">
        <v>6000000</v>
      </c>
      <c r="S366" s="839"/>
      <c r="T366" s="713" t="s">
        <v>5990</v>
      </c>
      <c r="U366" s="713" t="s">
        <v>901</v>
      </c>
      <c r="V366">
        <v>0</v>
      </c>
      <c r="W366" s="712">
        <v>0</v>
      </c>
      <c r="X366" s="712">
        <v>5000000</v>
      </c>
    </row>
    <row r="367" spans="1:24" x14ac:dyDescent="0.2">
      <c r="A367" s="839"/>
      <c r="B367" s="713" t="s">
        <v>5367</v>
      </c>
      <c r="C367" s="713" t="s">
        <v>901</v>
      </c>
      <c r="D367" s="710">
        <v>0</v>
      </c>
      <c r="E367" s="712">
        <v>0</v>
      </c>
      <c r="F367" s="712">
        <v>5000000</v>
      </c>
      <c r="M367" s="839"/>
      <c r="N367" s="713" t="s">
        <v>5765</v>
      </c>
      <c r="O367" s="713" t="s">
        <v>901</v>
      </c>
      <c r="P367">
        <v>0</v>
      </c>
      <c r="Q367" s="712">
        <v>0</v>
      </c>
      <c r="R367" s="712">
        <v>6000000</v>
      </c>
      <c r="S367" s="839"/>
      <c r="T367" s="713" t="s">
        <v>5991</v>
      </c>
      <c r="U367" s="713" t="s">
        <v>901</v>
      </c>
      <c r="V367">
        <v>0</v>
      </c>
      <c r="W367" s="712">
        <v>0</v>
      </c>
      <c r="X367" s="712">
        <v>5000000</v>
      </c>
    </row>
    <row r="368" spans="1:24" x14ac:dyDescent="0.2">
      <c r="A368" s="839"/>
      <c r="B368" s="713" t="s">
        <v>5368</v>
      </c>
      <c r="C368" s="713" t="s">
        <v>901</v>
      </c>
      <c r="D368" s="710">
        <v>0</v>
      </c>
      <c r="E368" s="712">
        <v>0</v>
      </c>
      <c r="F368" s="712">
        <v>5000000</v>
      </c>
      <c r="M368" s="839"/>
      <c r="N368" s="713" t="s">
        <v>5766</v>
      </c>
      <c r="O368" s="713" t="s">
        <v>901</v>
      </c>
      <c r="P368">
        <v>0</v>
      </c>
      <c r="Q368" s="712">
        <v>0</v>
      </c>
      <c r="R368" s="712">
        <v>6000000</v>
      </c>
      <c r="S368" s="839"/>
      <c r="T368" s="713" t="s">
        <v>5992</v>
      </c>
      <c r="U368" s="713" t="s">
        <v>901</v>
      </c>
      <c r="V368">
        <v>0</v>
      </c>
      <c r="W368" s="712">
        <v>0</v>
      </c>
      <c r="X368" s="712">
        <v>5000000</v>
      </c>
    </row>
    <row r="369" spans="1:24" x14ac:dyDescent="0.2">
      <c r="A369" s="839"/>
      <c r="B369" s="713" t="s">
        <v>5369</v>
      </c>
      <c r="C369" s="713" t="s">
        <v>901</v>
      </c>
      <c r="D369" s="710">
        <v>0</v>
      </c>
      <c r="E369" s="712">
        <v>0</v>
      </c>
      <c r="F369" s="712">
        <v>5000000</v>
      </c>
      <c r="M369" s="839"/>
      <c r="N369" s="713" t="s">
        <v>5767</v>
      </c>
      <c r="O369" s="713" t="s">
        <v>901</v>
      </c>
      <c r="P369">
        <v>0</v>
      </c>
      <c r="Q369" s="712">
        <v>0</v>
      </c>
      <c r="R369" s="712">
        <v>6000000</v>
      </c>
      <c r="S369" s="839"/>
      <c r="T369" s="713" t="s">
        <v>5993</v>
      </c>
      <c r="U369" s="713" t="s">
        <v>901</v>
      </c>
      <c r="V369">
        <v>0</v>
      </c>
      <c r="W369" s="712">
        <v>0</v>
      </c>
      <c r="X369" s="712">
        <v>5000000</v>
      </c>
    </row>
    <row r="370" spans="1:24" x14ac:dyDescent="0.2">
      <c r="A370" s="839"/>
      <c r="B370" s="713" t="s">
        <v>5370</v>
      </c>
      <c r="C370" s="713" t="s">
        <v>901</v>
      </c>
      <c r="D370" s="710">
        <v>0</v>
      </c>
      <c r="E370" s="712">
        <v>0</v>
      </c>
      <c r="F370" s="712">
        <v>5000000</v>
      </c>
      <c r="M370" s="839"/>
      <c r="N370" s="713" t="s">
        <v>5768</v>
      </c>
      <c r="O370" s="713" t="s">
        <v>901</v>
      </c>
      <c r="P370">
        <v>0</v>
      </c>
      <c r="Q370" s="712">
        <v>0</v>
      </c>
      <c r="R370" s="712">
        <v>6000000</v>
      </c>
      <c r="S370" s="839"/>
      <c r="T370" s="713" t="s">
        <v>5994</v>
      </c>
      <c r="U370" s="713" t="s">
        <v>901</v>
      </c>
      <c r="V370">
        <v>0</v>
      </c>
      <c r="W370" s="712">
        <v>0</v>
      </c>
      <c r="X370" s="712">
        <v>5000000</v>
      </c>
    </row>
    <row r="371" spans="1:24" x14ac:dyDescent="0.2">
      <c r="A371" s="839"/>
      <c r="B371" s="713" t="s">
        <v>5371</v>
      </c>
      <c r="C371" s="713" t="s">
        <v>901</v>
      </c>
      <c r="D371" s="710">
        <v>0</v>
      </c>
      <c r="E371" s="712">
        <v>0</v>
      </c>
      <c r="F371" s="712">
        <v>5000000</v>
      </c>
      <c r="M371" s="839"/>
      <c r="N371" s="713" t="s">
        <v>5769</v>
      </c>
      <c r="O371" s="713" t="s">
        <v>901</v>
      </c>
      <c r="P371">
        <v>0</v>
      </c>
      <c r="Q371" s="712">
        <v>0</v>
      </c>
      <c r="R371" s="712">
        <v>6000000</v>
      </c>
      <c r="S371" s="839"/>
      <c r="T371" s="713" t="s">
        <v>5995</v>
      </c>
      <c r="U371" s="713" t="s">
        <v>901</v>
      </c>
      <c r="V371">
        <v>0</v>
      </c>
      <c r="W371" s="712">
        <v>0</v>
      </c>
      <c r="X371" s="712">
        <v>5000000</v>
      </c>
    </row>
    <row r="372" spans="1:24" x14ac:dyDescent="0.2">
      <c r="A372" s="839"/>
      <c r="B372" s="713" t="s">
        <v>5372</v>
      </c>
      <c r="C372" s="713" t="s">
        <v>901</v>
      </c>
      <c r="D372" s="710">
        <v>0</v>
      </c>
      <c r="E372" s="712">
        <v>0</v>
      </c>
      <c r="F372" s="712">
        <v>5000000</v>
      </c>
      <c r="M372" s="839"/>
      <c r="N372" s="713" t="s">
        <v>5770</v>
      </c>
      <c r="O372" s="713" t="s">
        <v>901</v>
      </c>
      <c r="P372">
        <v>0</v>
      </c>
      <c r="Q372" s="712">
        <v>0</v>
      </c>
      <c r="R372" s="712">
        <v>6000000</v>
      </c>
      <c r="S372" s="839"/>
      <c r="T372" s="713" t="s">
        <v>5996</v>
      </c>
      <c r="U372" s="713" t="s">
        <v>901</v>
      </c>
      <c r="V372">
        <v>0</v>
      </c>
      <c r="W372" s="712">
        <v>0</v>
      </c>
      <c r="X372" s="712">
        <v>5000000</v>
      </c>
    </row>
    <row r="373" spans="1:24" x14ac:dyDescent="0.2">
      <c r="A373" s="839"/>
      <c r="B373" s="713" t="s">
        <v>5373</v>
      </c>
      <c r="C373" s="713" t="s">
        <v>901</v>
      </c>
      <c r="D373" s="710">
        <v>0</v>
      </c>
      <c r="E373" s="712">
        <v>0</v>
      </c>
      <c r="F373" s="712">
        <v>5000000</v>
      </c>
      <c r="M373" s="839"/>
      <c r="N373" s="713" t="s">
        <v>5771</v>
      </c>
      <c r="O373" s="713" t="s">
        <v>901</v>
      </c>
      <c r="P373">
        <v>0</v>
      </c>
      <c r="Q373" s="712">
        <v>0</v>
      </c>
      <c r="R373" s="712">
        <v>6000000</v>
      </c>
      <c r="S373" s="839"/>
      <c r="T373" s="713" t="s">
        <v>5997</v>
      </c>
      <c r="U373" s="713" t="s">
        <v>901</v>
      </c>
      <c r="V373">
        <v>0</v>
      </c>
      <c r="W373" s="712">
        <v>0</v>
      </c>
      <c r="X373" s="712">
        <v>5000000</v>
      </c>
    </row>
    <row r="374" spans="1:24" x14ac:dyDescent="0.2">
      <c r="A374" s="839"/>
      <c r="B374" s="713" t="s">
        <v>5374</v>
      </c>
      <c r="C374" s="713" t="s">
        <v>901</v>
      </c>
      <c r="D374" s="710">
        <v>0</v>
      </c>
      <c r="E374" s="712">
        <v>0</v>
      </c>
      <c r="F374" s="712">
        <v>5000000</v>
      </c>
      <c r="M374" s="839"/>
      <c r="N374" s="713" t="s">
        <v>5772</v>
      </c>
      <c r="O374" s="713" t="s">
        <v>901</v>
      </c>
      <c r="P374">
        <v>0</v>
      </c>
      <c r="Q374" s="712">
        <v>0</v>
      </c>
      <c r="R374" s="712">
        <v>6000000</v>
      </c>
      <c r="S374" s="839"/>
      <c r="T374" s="713" t="s">
        <v>5998</v>
      </c>
      <c r="U374" s="713" t="s">
        <v>901</v>
      </c>
      <c r="V374">
        <v>0</v>
      </c>
      <c r="W374" s="712">
        <v>0</v>
      </c>
      <c r="X374" s="712">
        <v>5000000</v>
      </c>
    </row>
    <row r="375" spans="1:24" x14ac:dyDescent="0.2">
      <c r="A375" s="839"/>
      <c r="B375" s="713" t="s">
        <v>5375</v>
      </c>
      <c r="C375" s="713" t="s">
        <v>901</v>
      </c>
      <c r="D375" s="710">
        <v>0</v>
      </c>
      <c r="E375" s="712">
        <v>0</v>
      </c>
      <c r="F375" s="712">
        <v>5000000</v>
      </c>
      <c r="M375" s="839"/>
      <c r="N375" s="713" t="s">
        <v>5773</v>
      </c>
      <c r="O375" s="713" t="s">
        <v>901</v>
      </c>
      <c r="P375">
        <v>0</v>
      </c>
      <c r="Q375" s="712">
        <v>0</v>
      </c>
      <c r="R375" s="712">
        <v>6000000</v>
      </c>
      <c r="S375" s="839"/>
      <c r="T375" s="713" t="s">
        <v>5999</v>
      </c>
      <c r="U375" s="713" t="s">
        <v>901</v>
      </c>
      <c r="V375">
        <v>0</v>
      </c>
      <c r="W375" s="712">
        <v>0</v>
      </c>
      <c r="X375" s="712">
        <v>5000000</v>
      </c>
    </row>
    <row r="376" spans="1:24" x14ac:dyDescent="0.2">
      <c r="A376" s="839"/>
      <c r="B376" s="713" t="s">
        <v>5376</v>
      </c>
      <c r="C376" s="713" t="s">
        <v>901</v>
      </c>
      <c r="D376" s="710">
        <v>0</v>
      </c>
      <c r="E376" s="712">
        <v>0</v>
      </c>
      <c r="F376" s="712">
        <v>5000000</v>
      </c>
      <c r="M376" s="839"/>
      <c r="N376" s="713" t="s">
        <v>5774</v>
      </c>
      <c r="O376" s="713" t="s">
        <v>901</v>
      </c>
      <c r="P376">
        <v>0</v>
      </c>
      <c r="Q376" s="712">
        <v>0</v>
      </c>
      <c r="R376" s="712">
        <v>6000000</v>
      </c>
      <c r="S376" s="839"/>
      <c r="T376" s="713" t="s">
        <v>6000</v>
      </c>
      <c r="U376" s="713" t="s">
        <v>901</v>
      </c>
      <c r="V376">
        <v>0</v>
      </c>
      <c r="W376" s="712">
        <v>0</v>
      </c>
      <c r="X376" s="712">
        <v>5000000</v>
      </c>
    </row>
    <row r="377" spans="1:24" x14ac:dyDescent="0.2">
      <c r="A377" s="839"/>
      <c r="B377" s="713" t="s">
        <v>5377</v>
      </c>
      <c r="C377" s="713" t="s">
        <v>901</v>
      </c>
      <c r="D377" s="710">
        <v>0</v>
      </c>
      <c r="E377" s="712">
        <v>0</v>
      </c>
      <c r="F377" s="712">
        <v>5000000</v>
      </c>
      <c r="M377" s="839"/>
      <c r="N377" s="713" t="s">
        <v>5775</v>
      </c>
      <c r="O377" s="713" t="s">
        <v>901</v>
      </c>
      <c r="P377">
        <v>0</v>
      </c>
      <c r="Q377" s="712">
        <v>0</v>
      </c>
      <c r="R377" s="712">
        <v>6000000</v>
      </c>
      <c r="S377" s="839"/>
      <c r="T377" s="713" t="s">
        <v>6001</v>
      </c>
      <c r="U377" s="713" t="s">
        <v>901</v>
      </c>
      <c r="V377">
        <v>0</v>
      </c>
      <c r="W377" s="712">
        <v>0</v>
      </c>
      <c r="X377" s="712">
        <v>5000000</v>
      </c>
    </row>
    <row r="378" spans="1:24" x14ac:dyDescent="0.2">
      <c r="A378" s="839"/>
      <c r="B378" s="713" t="s">
        <v>5378</v>
      </c>
      <c r="C378" s="713" t="s">
        <v>901</v>
      </c>
      <c r="D378" s="710">
        <v>0</v>
      </c>
      <c r="E378" s="712">
        <v>0</v>
      </c>
      <c r="F378" s="712">
        <v>5000000</v>
      </c>
      <c r="M378" s="839"/>
      <c r="N378" s="713" t="s">
        <v>5776</v>
      </c>
      <c r="O378" s="713" t="s">
        <v>901</v>
      </c>
      <c r="P378">
        <v>0</v>
      </c>
      <c r="Q378" s="712">
        <v>0</v>
      </c>
      <c r="R378" s="712">
        <v>6000000</v>
      </c>
      <c r="S378" s="839"/>
      <c r="T378" s="713" t="s">
        <v>6002</v>
      </c>
      <c r="U378" s="713" t="s">
        <v>901</v>
      </c>
      <c r="V378">
        <v>0</v>
      </c>
      <c r="W378" s="712">
        <v>0</v>
      </c>
      <c r="X378" s="712">
        <v>5000000</v>
      </c>
    </row>
    <row r="379" spans="1:24" x14ac:dyDescent="0.2">
      <c r="A379" s="839"/>
      <c r="B379" s="713" t="s">
        <v>5379</v>
      </c>
      <c r="C379" s="713" t="s">
        <v>901</v>
      </c>
      <c r="D379" s="710">
        <v>0</v>
      </c>
      <c r="E379" s="712">
        <v>0</v>
      </c>
      <c r="F379" s="712">
        <v>5000000</v>
      </c>
      <c r="M379" s="839"/>
      <c r="N379" s="713" t="s">
        <v>5777</v>
      </c>
      <c r="O379" s="713" t="s">
        <v>901</v>
      </c>
      <c r="P379">
        <v>0</v>
      </c>
      <c r="Q379" s="712">
        <v>0</v>
      </c>
      <c r="R379" s="712">
        <v>6000000</v>
      </c>
      <c r="S379" s="839"/>
      <c r="T379" s="713" t="s">
        <v>6003</v>
      </c>
      <c r="U379" s="713" t="s">
        <v>901</v>
      </c>
      <c r="V379">
        <v>0</v>
      </c>
      <c r="W379" s="712">
        <v>0</v>
      </c>
      <c r="X379" s="712">
        <v>5000000</v>
      </c>
    </row>
    <row r="380" spans="1:24" x14ac:dyDescent="0.2">
      <c r="A380" s="839"/>
      <c r="B380" s="713" t="s">
        <v>5380</v>
      </c>
      <c r="C380" s="713" t="s">
        <v>901</v>
      </c>
      <c r="D380" s="710">
        <v>0</v>
      </c>
      <c r="E380" s="712">
        <v>0</v>
      </c>
      <c r="F380" s="712">
        <v>5000000</v>
      </c>
      <c r="M380" s="839"/>
      <c r="N380" s="713" t="s">
        <v>5778</v>
      </c>
      <c r="O380" s="713" t="s">
        <v>901</v>
      </c>
      <c r="P380">
        <v>0</v>
      </c>
      <c r="Q380" s="712">
        <v>0</v>
      </c>
      <c r="R380" s="712">
        <v>6000000</v>
      </c>
      <c r="S380" s="839"/>
      <c r="T380" s="713" t="s">
        <v>6004</v>
      </c>
      <c r="U380" s="713" t="s">
        <v>61</v>
      </c>
      <c r="V380">
        <v>0</v>
      </c>
      <c r="W380" s="712">
        <v>5000000</v>
      </c>
      <c r="X380" s="712">
        <v>0</v>
      </c>
    </row>
    <row r="381" spans="1:24" x14ac:dyDescent="0.2">
      <c r="A381" s="839"/>
      <c r="B381" s="713" t="s">
        <v>5381</v>
      </c>
      <c r="C381" s="713" t="s">
        <v>901</v>
      </c>
      <c r="D381" s="710">
        <v>0</v>
      </c>
      <c r="E381" s="712">
        <v>0</v>
      </c>
      <c r="F381" s="712">
        <v>5000000</v>
      </c>
      <c r="M381" s="839"/>
      <c r="N381" s="713" t="s">
        <v>5779</v>
      </c>
      <c r="O381" s="713" t="s">
        <v>901</v>
      </c>
      <c r="P381">
        <v>0</v>
      </c>
      <c r="Q381" s="712">
        <v>0</v>
      </c>
      <c r="R381" s="712">
        <v>6000000</v>
      </c>
      <c r="S381" s="839"/>
      <c r="T381" s="713" t="s">
        <v>6005</v>
      </c>
      <c r="U381" s="713" t="s">
        <v>61</v>
      </c>
      <c r="V381">
        <v>0</v>
      </c>
      <c r="W381" s="712">
        <v>5000000</v>
      </c>
      <c r="X381" s="712">
        <v>0</v>
      </c>
    </row>
    <row r="382" spans="1:24" x14ac:dyDescent="0.2">
      <c r="A382" s="838" t="s">
        <v>4436</v>
      </c>
      <c r="B382" s="839"/>
      <c r="C382" s="839"/>
      <c r="D382" s="710">
        <v>10427.739999999998</v>
      </c>
      <c r="E382" s="712">
        <v>76000000</v>
      </c>
      <c r="F382" s="712">
        <v>47188619093</v>
      </c>
      <c r="M382" s="839"/>
      <c r="N382" s="713" t="s">
        <v>5780</v>
      </c>
      <c r="O382" s="713" t="s">
        <v>901</v>
      </c>
      <c r="P382">
        <v>0</v>
      </c>
      <c r="Q382" s="712">
        <v>0</v>
      </c>
      <c r="R382" s="712">
        <v>6000000</v>
      </c>
      <c r="S382" s="839"/>
      <c r="T382" s="713" t="s">
        <v>6006</v>
      </c>
      <c r="U382" s="713" t="s">
        <v>901</v>
      </c>
      <c r="V382">
        <v>0</v>
      </c>
      <c r="W382" s="712">
        <v>0</v>
      </c>
      <c r="X382" s="712">
        <v>5000000</v>
      </c>
    </row>
    <row r="383" spans="1:24" x14ac:dyDescent="0.2">
      <c r="M383" s="839"/>
      <c r="N383" s="713" t="s">
        <v>5781</v>
      </c>
      <c r="O383" s="713" t="s">
        <v>901</v>
      </c>
      <c r="P383">
        <v>0</v>
      </c>
      <c r="Q383" s="712">
        <v>0</v>
      </c>
      <c r="R383" s="712">
        <v>6000000</v>
      </c>
      <c r="S383" s="839"/>
      <c r="T383" s="713" t="s">
        <v>6007</v>
      </c>
      <c r="U383" s="713" t="s">
        <v>61</v>
      </c>
      <c r="V383">
        <v>0</v>
      </c>
      <c r="W383" s="712">
        <v>5000000</v>
      </c>
      <c r="X383" s="712">
        <v>0</v>
      </c>
    </row>
    <row r="384" spans="1:24" x14ac:dyDescent="0.2">
      <c r="M384" s="839"/>
      <c r="N384" s="713" t="s">
        <v>5782</v>
      </c>
      <c r="O384" s="713" t="s">
        <v>901</v>
      </c>
      <c r="P384">
        <v>0</v>
      </c>
      <c r="Q384" s="712">
        <v>0</v>
      </c>
      <c r="R384" s="712">
        <v>6000000</v>
      </c>
      <c r="S384" s="839"/>
      <c r="T384" s="713" t="s">
        <v>6008</v>
      </c>
      <c r="U384" s="713" t="s">
        <v>61</v>
      </c>
      <c r="V384">
        <v>0</v>
      </c>
      <c r="W384" s="712">
        <v>5000000</v>
      </c>
      <c r="X384" s="712">
        <v>0</v>
      </c>
    </row>
    <row r="385" spans="13:24" x14ac:dyDescent="0.2">
      <c r="M385" s="839"/>
      <c r="N385" s="713" t="s">
        <v>5783</v>
      </c>
      <c r="O385" s="713" t="s">
        <v>901</v>
      </c>
      <c r="P385">
        <v>0</v>
      </c>
      <c r="Q385" s="712">
        <v>0</v>
      </c>
      <c r="R385" s="712">
        <v>6000000</v>
      </c>
      <c r="S385" s="839"/>
      <c r="T385" s="713" t="s">
        <v>6009</v>
      </c>
      <c r="U385" s="713" t="s">
        <v>61</v>
      </c>
      <c r="V385">
        <v>0</v>
      </c>
      <c r="W385" s="712">
        <v>5000000</v>
      </c>
      <c r="X385" s="712">
        <v>0</v>
      </c>
    </row>
    <row r="386" spans="13:24" x14ac:dyDescent="0.2">
      <c r="M386" s="839"/>
      <c r="N386" s="713" t="s">
        <v>5784</v>
      </c>
      <c r="O386" s="713" t="s">
        <v>901</v>
      </c>
      <c r="P386">
        <v>0</v>
      </c>
      <c r="Q386" s="712">
        <v>0</v>
      </c>
      <c r="R386" s="712">
        <v>6000000</v>
      </c>
      <c r="S386" s="839"/>
      <c r="T386" s="713" t="s">
        <v>6010</v>
      </c>
      <c r="U386" s="713" t="s">
        <v>61</v>
      </c>
      <c r="V386">
        <v>0</v>
      </c>
      <c r="W386" s="712">
        <v>5000000</v>
      </c>
      <c r="X386" s="712">
        <v>0</v>
      </c>
    </row>
    <row r="387" spans="13:24" x14ac:dyDescent="0.2">
      <c r="M387" s="839"/>
      <c r="N387" s="713" t="s">
        <v>5785</v>
      </c>
      <c r="O387" s="713" t="s">
        <v>901</v>
      </c>
      <c r="P387">
        <v>0</v>
      </c>
      <c r="Q387" s="712">
        <v>0</v>
      </c>
      <c r="R387" s="712">
        <v>6000000</v>
      </c>
      <c r="S387" s="839"/>
      <c r="T387" s="713" t="s">
        <v>5359</v>
      </c>
      <c r="U387" s="713" t="s">
        <v>61</v>
      </c>
      <c r="V387">
        <v>0</v>
      </c>
      <c r="W387" s="712">
        <v>5000000</v>
      </c>
      <c r="X387" s="712">
        <v>0</v>
      </c>
    </row>
    <row r="388" spans="13:24" x14ac:dyDescent="0.2">
      <c r="M388" s="839"/>
      <c r="N388" s="713" t="s">
        <v>5786</v>
      </c>
      <c r="O388" s="713" t="s">
        <v>901</v>
      </c>
      <c r="P388">
        <v>0</v>
      </c>
      <c r="Q388" s="712">
        <v>0</v>
      </c>
      <c r="R388" s="712">
        <v>6000000</v>
      </c>
      <c r="S388" s="839"/>
      <c r="T388" s="713" t="s">
        <v>5360</v>
      </c>
      <c r="U388" s="713" t="s">
        <v>61</v>
      </c>
      <c r="V388">
        <v>0</v>
      </c>
      <c r="W388" s="712">
        <v>5000000</v>
      </c>
      <c r="X388" s="712">
        <v>0</v>
      </c>
    </row>
    <row r="389" spans="13:24" x14ac:dyDescent="0.2">
      <c r="M389" s="839"/>
      <c r="N389" s="713" t="s">
        <v>5787</v>
      </c>
      <c r="O389" s="713" t="s">
        <v>901</v>
      </c>
      <c r="P389">
        <v>0</v>
      </c>
      <c r="Q389" s="712">
        <v>0</v>
      </c>
      <c r="R389" s="712">
        <v>6000000</v>
      </c>
      <c r="S389" s="839"/>
      <c r="T389" s="713" t="s">
        <v>6011</v>
      </c>
      <c r="U389" s="713" t="s">
        <v>61</v>
      </c>
      <c r="V389">
        <v>0</v>
      </c>
      <c r="W389" s="712">
        <v>5000000</v>
      </c>
      <c r="X389" s="712">
        <v>0</v>
      </c>
    </row>
    <row r="390" spans="13:24" x14ac:dyDescent="0.2">
      <c r="M390" s="839"/>
      <c r="N390" s="713" t="s">
        <v>5788</v>
      </c>
      <c r="O390" s="713" t="s">
        <v>901</v>
      </c>
      <c r="P390">
        <v>0</v>
      </c>
      <c r="Q390" s="712">
        <v>0</v>
      </c>
      <c r="R390" s="712">
        <v>6000000</v>
      </c>
      <c r="S390" s="839"/>
      <c r="T390" s="713" t="s">
        <v>6012</v>
      </c>
      <c r="U390" s="713" t="s">
        <v>61</v>
      </c>
      <c r="V390">
        <v>0</v>
      </c>
      <c r="W390" s="712">
        <v>5000000</v>
      </c>
      <c r="X390" s="712">
        <v>0</v>
      </c>
    </row>
    <row r="391" spans="13:24" x14ac:dyDescent="0.2">
      <c r="M391" s="839"/>
      <c r="N391" s="713" t="s">
        <v>5789</v>
      </c>
      <c r="O391" s="713" t="s">
        <v>901</v>
      </c>
      <c r="P391">
        <v>0</v>
      </c>
      <c r="Q391" s="712">
        <v>0</v>
      </c>
      <c r="R391" s="712">
        <v>6000000</v>
      </c>
      <c r="S391" s="839"/>
      <c r="T391" s="713" t="s">
        <v>6013</v>
      </c>
      <c r="U391" s="713" t="s">
        <v>61</v>
      </c>
      <c r="V391">
        <v>0</v>
      </c>
      <c r="W391" s="712">
        <v>5000000</v>
      </c>
      <c r="X391" s="712">
        <v>0</v>
      </c>
    </row>
    <row r="392" spans="13:24" x14ac:dyDescent="0.2">
      <c r="M392" s="839"/>
      <c r="N392" s="713" t="s">
        <v>5790</v>
      </c>
      <c r="O392" s="713" t="s">
        <v>901</v>
      </c>
      <c r="P392">
        <v>0</v>
      </c>
      <c r="Q392" s="712">
        <v>0</v>
      </c>
      <c r="R392" s="712">
        <v>6000000</v>
      </c>
      <c r="S392" s="839"/>
      <c r="T392" s="713" t="s">
        <v>6014</v>
      </c>
      <c r="U392" s="713" t="s">
        <v>901</v>
      </c>
      <c r="V392">
        <v>0</v>
      </c>
      <c r="W392" s="712">
        <v>0</v>
      </c>
      <c r="X392" s="712">
        <v>5000000</v>
      </c>
    </row>
    <row r="393" spans="13:24" x14ac:dyDescent="0.2">
      <c r="M393" s="839"/>
      <c r="N393" s="713" t="s">
        <v>5791</v>
      </c>
      <c r="O393" s="713" t="s">
        <v>901</v>
      </c>
      <c r="P393">
        <v>0</v>
      </c>
      <c r="Q393" s="712">
        <v>0</v>
      </c>
      <c r="R393" s="712">
        <v>6000000</v>
      </c>
      <c r="S393" s="839"/>
      <c r="T393" s="713" t="s">
        <v>6015</v>
      </c>
      <c r="U393" s="713" t="s">
        <v>901</v>
      </c>
      <c r="V393">
        <v>0</v>
      </c>
      <c r="W393" s="712">
        <v>0</v>
      </c>
      <c r="X393" s="712">
        <v>5000000</v>
      </c>
    </row>
    <row r="394" spans="13:24" x14ac:dyDescent="0.2">
      <c r="M394" s="839"/>
      <c r="N394" s="713" t="s">
        <v>5792</v>
      </c>
      <c r="O394" s="713" t="s">
        <v>901</v>
      </c>
      <c r="P394">
        <v>0</v>
      </c>
      <c r="Q394" s="712">
        <v>0</v>
      </c>
      <c r="R394" s="712">
        <v>6000000</v>
      </c>
      <c r="S394" s="839"/>
      <c r="T394" s="713" t="s">
        <v>6016</v>
      </c>
      <c r="U394" s="713" t="s">
        <v>901</v>
      </c>
      <c r="V394">
        <v>0</v>
      </c>
      <c r="W394" s="712">
        <v>0</v>
      </c>
      <c r="X394" s="712">
        <v>5000000</v>
      </c>
    </row>
    <row r="395" spans="13:24" x14ac:dyDescent="0.2">
      <c r="M395" s="839"/>
      <c r="N395" s="713" t="s">
        <v>5793</v>
      </c>
      <c r="O395" s="713" t="s">
        <v>901</v>
      </c>
      <c r="P395">
        <v>0</v>
      </c>
      <c r="Q395" s="712">
        <v>0</v>
      </c>
      <c r="R395" s="712">
        <v>6000000</v>
      </c>
      <c r="S395" s="839"/>
      <c r="T395" s="713" t="s">
        <v>6017</v>
      </c>
      <c r="U395" s="713" t="s">
        <v>61</v>
      </c>
      <c r="V395">
        <v>0</v>
      </c>
      <c r="W395" s="712">
        <v>5000000</v>
      </c>
      <c r="X395" s="712">
        <v>0</v>
      </c>
    </row>
    <row r="396" spans="13:24" x14ac:dyDescent="0.2">
      <c r="M396" s="839"/>
      <c r="N396" s="713" t="s">
        <v>5794</v>
      </c>
      <c r="O396" s="713" t="s">
        <v>901</v>
      </c>
      <c r="P396">
        <v>0</v>
      </c>
      <c r="Q396" s="712">
        <v>0</v>
      </c>
      <c r="R396" s="712">
        <v>6000000</v>
      </c>
      <c r="S396" s="839"/>
      <c r="T396" s="713" t="s">
        <v>6018</v>
      </c>
      <c r="U396" s="713" t="s">
        <v>901</v>
      </c>
      <c r="V396">
        <v>0</v>
      </c>
      <c r="W396" s="712">
        <v>0</v>
      </c>
      <c r="X396" s="712">
        <v>5000000</v>
      </c>
    </row>
    <row r="397" spans="13:24" x14ac:dyDescent="0.2">
      <c r="M397" s="839"/>
      <c r="N397" s="713" t="s">
        <v>5795</v>
      </c>
      <c r="O397" s="713" t="s">
        <v>901</v>
      </c>
      <c r="P397">
        <v>0</v>
      </c>
      <c r="Q397" s="712">
        <v>0</v>
      </c>
      <c r="R397" s="712">
        <v>6000000</v>
      </c>
      <c r="S397" s="839"/>
      <c r="T397" s="713" t="s">
        <v>6019</v>
      </c>
      <c r="U397" s="713" t="s">
        <v>901</v>
      </c>
      <c r="V397">
        <v>0</v>
      </c>
      <c r="W397" s="712">
        <v>0</v>
      </c>
      <c r="X397" s="712">
        <v>5000000</v>
      </c>
    </row>
    <row r="398" spans="13:24" x14ac:dyDescent="0.2">
      <c r="M398" s="838" t="s">
        <v>4436</v>
      </c>
      <c r="N398" s="839"/>
      <c r="O398" s="839"/>
      <c r="P398">
        <v>9115.0400000000027</v>
      </c>
      <c r="Q398" s="712">
        <v>4680200000</v>
      </c>
      <c r="R398" s="712">
        <v>57483860676</v>
      </c>
      <c r="S398" s="839"/>
      <c r="T398" s="713" t="s">
        <v>6020</v>
      </c>
      <c r="U398" s="713" t="s">
        <v>901</v>
      </c>
      <c r="V398">
        <v>0</v>
      </c>
      <c r="W398" s="712">
        <v>0</v>
      </c>
      <c r="X398" s="712">
        <v>5000000</v>
      </c>
    </row>
    <row r="399" spans="13:24" x14ac:dyDescent="0.2">
      <c r="S399" s="839"/>
      <c r="T399" s="713" t="s">
        <v>6021</v>
      </c>
      <c r="U399" s="713" t="s">
        <v>901</v>
      </c>
      <c r="V399">
        <v>0</v>
      </c>
      <c r="W399" s="712">
        <v>0</v>
      </c>
      <c r="X399" s="712">
        <v>5000000</v>
      </c>
    </row>
    <row r="400" spans="13:24" x14ac:dyDescent="0.2">
      <c r="S400" s="839"/>
      <c r="T400" s="713" t="s">
        <v>6022</v>
      </c>
      <c r="U400" s="713" t="s">
        <v>61</v>
      </c>
      <c r="V400">
        <v>0</v>
      </c>
      <c r="W400" s="712">
        <v>5000000</v>
      </c>
      <c r="X400" s="712">
        <v>0</v>
      </c>
    </row>
    <row r="401" spans="19:24" x14ac:dyDescent="0.2">
      <c r="S401" s="839"/>
      <c r="T401" s="713" t="s">
        <v>6023</v>
      </c>
      <c r="U401" s="713" t="s">
        <v>901</v>
      </c>
      <c r="V401">
        <v>0</v>
      </c>
      <c r="W401" s="712">
        <v>0</v>
      </c>
      <c r="X401" s="712">
        <v>5000000</v>
      </c>
    </row>
    <row r="402" spans="19:24" x14ac:dyDescent="0.2">
      <c r="S402" s="839"/>
      <c r="T402" s="713" t="s">
        <v>6024</v>
      </c>
      <c r="U402" s="713" t="s">
        <v>901</v>
      </c>
      <c r="V402">
        <v>0</v>
      </c>
      <c r="W402" s="712">
        <v>0</v>
      </c>
      <c r="X402" s="712">
        <v>5000000</v>
      </c>
    </row>
    <row r="403" spans="19:24" x14ac:dyDescent="0.2">
      <c r="S403" s="839"/>
      <c r="T403" s="713" t="s">
        <v>6025</v>
      </c>
      <c r="U403" s="713" t="s">
        <v>901</v>
      </c>
      <c r="V403">
        <v>0</v>
      </c>
      <c r="W403" s="712">
        <v>0</v>
      </c>
      <c r="X403" s="712">
        <v>5000000</v>
      </c>
    </row>
    <row r="404" spans="19:24" x14ac:dyDescent="0.2">
      <c r="S404" s="839"/>
      <c r="T404" s="713" t="s">
        <v>6026</v>
      </c>
      <c r="U404" s="713" t="s">
        <v>901</v>
      </c>
      <c r="V404">
        <v>0</v>
      </c>
      <c r="W404" s="712">
        <v>0</v>
      </c>
      <c r="X404" s="712">
        <v>5000000</v>
      </c>
    </row>
    <row r="405" spans="19:24" x14ac:dyDescent="0.2">
      <c r="S405" s="839"/>
      <c r="T405" s="713" t="s">
        <v>6027</v>
      </c>
      <c r="U405" s="713" t="s">
        <v>901</v>
      </c>
      <c r="V405">
        <v>0</v>
      </c>
      <c r="W405" s="712">
        <v>0</v>
      </c>
      <c r="X405" s="712">
        <v>5000000</v>
      </c>
    </row>
    <row r="406" spans="19:24" x14ac:dyDescent="0.2">
      <c r="S406" s="839"/>
      <c r="T406" s="713" t="s">
        <v>6028</v>
      </c>
      <c r="U406" s="713" t="s">
        <v>901</v>
      </c>
      <c r="V406">
        <v>0</v>
      </c>
      <c r="W406" s="712">
        <v>0</v>
      </c>
      <c r="X406" s="712">
        <v>5000000</v>
      </c>
    </row>
    <row r="407" spans="19:24" x14ac:dyDescent="0.2">
      <c r="S407" s="839"/>
      <c r="T407" s="713" t="s">
        <v>6029</v>
      </c>
      <c r="U407" s="713" t="s">
        <v>901</v>
      </c>
      <c r="V407">
        <v>0</v>
      </c>
      <c r="W407" s="712">
        <v>0</v>
      </c>
      <c r="X407" s="712">
        <v>5000000</v>
      </c>
    </row>
    <row r="408" spans="19:24" x14ac:dyDescent="0.2">
      <c r="S408" s="839"/>
      <c r="T408" s="713" t="s">
        <v>6030</v>
      </c>
      <c r="U408" s="713" t="s">
        <v>901</v>
      </c>
      <c r="V408">
        <v>0</v>
      </c>
      <c r="W408" s="712">
        <v>0</v>
      </c>
      <c r="X408" s="712">
        <v>5000000</v>
      </c>
    </row>
    <row r="409" spans="19:24" x14ac:dyDescent="0.2">
      <c r="S409" s="839"/>
      <c r="T409" s="713" t="s">
        <v>6031</v>
      </c>
      <c r="U409" s="713" t="s">
        <v>901</v>
      </c>
      <c r="V409">
        <v>0</v>
      </c>
      <c r="W409" s="712">
        <v>0</v>
      </c>
      <c r="X409" s="712">
        <v>5000000</v>
      </c>
    </row>
    <row r="410" spans="19:24" x14ac:dyDescent="0.2">
      <c r="S410" s="839"/>
      <c r="T410" s="713" t="s">
        <v>6032</v>
      </c>
      <c r="U410" s="713" t="s">
        <v>901</v>
      </c>
      <c r="V410">
        <v>0</v>
      </c>
      <c r="W410" s="712">
        <v>0</v>
      </c>
      <c r="X410" s="712">
        <v>5000000</v>
      </c>
    </row>
    <row r="411" spans="19:24" x14ac:dyDescent="0.2">
      <c r="S411" s="839"/>
      <c r="T411" s="713" t="s">
        <v>6033</v>
      </c>
      <c r="U411" s="713" t="s">
        <v>901</v>
      </c>
      <c r="V411">
        <v>0</v>
      </c>
      <c r="W411" s="712">
        <v>0</v>
      </c>
      <c r="X411" s="712">
        <v>5000000</v>
      </c>
    </row>
    <row r="412" spans="19:24" x14ac:dyDescent="0.2">
      <c r="S412" s="839"/>
      <c r="T412" s="713" t="s">
        <v>6034</v>
      </c>
      <c r="U412" s="713" t="s">
        <v>61</v>
      </c>
      <c r="V412">
        <v>0</v>
      </c>
      <c r="W412" s="712">
        <v>5000000</v>
      </c>
      <c r="X412" s="712">
        <v>0</v>
      </c>
    </row>
    <row r="413" spans="19:24" x14ac:dyDescent="0.2">
      <c r="S413" s="839"/>
      <c r="T413" s="713" t="s">
        <v>6035</v>
      </c>
      <c r="U413" s="713" t="s">
        <v>901</v>
      </c>
      <c r="V413">
        <v>0</v>
      </c>
      <c r="W413" s="712">
        <v>0</v>
      </c>
      <c r="X413" s="712">
        <v>5000000</v>
      </c>
    </row>
    <row r="414" spans="19:24" x14ac:dyDescent="0.2">
      <c r="S414" s="839"/>
      <c r="T414" s="713" t="s">
        <v>6036</v>
      </c>
      <c r="U414" s="713" t="s">
        <v>901</v>
      </c>
      <c r="V414">
        <v>0</v>
      </c>
      <c r="W414" s="712">
        <v>0</v>
      </c>
      <c r="X414" s="712">
        <v>5000000</v>
      </c>
    </row>
    <row r="415" spans="19:24" x14ac:dyDescent="0.2">
      <c r="S415" s="839"/>
      <c r="T415" s="713" t="s">
        <v>6037</v>
      </c>
      <c r="U415" s="713" t="s">
        <v>61</v>
      </c>
      <c r="V415">
        <v>0</v>
      </c>
      <c r="W415" s="712">
        <v>5000000</v>
      </c>
      <c r="X415" s="712">
        <v>0</v>
      </c>
    </row>
    <row r="416" spans="19:24" x14ac:dyDescent="0.2">
      <c r="S416" s="839"/>
      <c r="T416" s="713" t="s">
        <v>6038</v>
      </c>
      <c r="U416" s="713" t="s">
        <v>901</v>
      </c>
      <c r="V416">
        <v>0</v>
      </c>
      <c r="W416" s="712">
        <v>0</v>
      </c>
      <c r="X416" s="712">
        <v>5000000</v>
      </c>
    </row>
    <row r="417" spans="19:24" x14ac:dyDescent="0.2">
      <c r="S417" s="839"/>
      <c r="T417" s="713" t="s">
        <v>6039</v>
      </c>
      <c r="U417" s="713" t="s">
        <v>901</v>
      </c>
      <c r="V417">
        <v>0</v>
      </c>
      <c r="W417" s="712">
        <v>0</v>
      </c>
      <c r="X417" s="712">
        <v>5000000</v>
      </c>
    </row>
    <row r="418" spans="19:24" x14ac:dyDescent="0.2">
      <c r="S418" s="839"/>
      <c r="T418" s="713" t="s">
        <v>6040</v>
      </c>
      <c r="U418" s="713" t="s">
        <v>901</v>
      </c>
      <c r="V418">
        <v>0</v>
      </c>
      <c r="W418" s="712">
        <v>0</v>
      </c>
      <c r="X418" s="712">
        <v>5000000</v>
      </c>
    </row>
    <row r="419" spans="19:24" x14ac:dyDescent="0.2">
      <c r="S419" s="839"/>
      <c r="T419" s="713" t="s">
        <v>6041</v>
      </c>
      <c r="U419" s="713" t="s">
        <v>901</v>
      </c>
      <c r="V419">
        <v>0</v>
      </c>
      <c r="W419" s="712">
        <v>0</v>
      </c>
      <c r="X419" s="712">
        <v>5000000</v>
      </c>
    </row>
    <row r="420" spans="19:24" x14ac:dyDescent="0.2">
      <c r="S420" s="839"/>
      <c r="T420" s="713" t="s">
        <v>6042</v>
      </c>
      <c r="U420" s="713" t="s">
        <v>901</v>
      </c>
      <c r="V420">
        <v>0</v>
      </c>
      <c r="W420" s="712">
        <v>0</v>
      </c>
      <c r="X420" s="712">
        <v>5000000</v>
      </c>
    </row>
    <row r="421" spans="19:24" x14ac:dyDescent="0.2">
      <c r="S421" s="839"/>
      <c r="T421" s="713" t="s">
        <v>6043</v>
      </c>
      <c r="U421" s="713" t="s">
        <v>901</v>
      </c>
      <c r="V421">
        <v>0</v>
      </c>
      <c r="W421" s="712">
        <v>0</v>
      </c>
      <c r="X421" s="712">
        <v>5000000</v>
      </c>
    </row>
    <row r="422" spans="19:24" x14ac:dyDescent="0.2">
      <c r="S422" s="839"/>
      <c r="T422" s="713" t="s">
        <v>6044</v>
      </c>
      <c r="U422" s="713" t="s">
        <v>901</v>
      </c>
      <c r="V422">
        <v>0</v>
      </c>
      <c r="W422" s="712">
        <v>0</v>
      </c>
      <c r="X422" s="712">
        <v>5000000</v>
      </c>
    </row>
    <row r="423" spans="19:24" x14ac:dyDescent="0.2">
      <c r="S423" s="839"/>
      <c r="T423" s="713" t="s">
        <v>6045</v>
      </c>
      <c r="U423" s="713" t="s">
        <v>901</v>
      </c>
      <c r="V423">
        <v>0</v>
      </c>
      <c r="W423" s="712">
        <v>0</v>
      </c>
      <c r="X423" s="712">
        <v>5000000</v>
      </c>
    </row>
    <row r="424" spans="19:24" x14ac:dyDescent="0.2">
      <c r="S424" s="839"/>
      <c r="T424" s="713" t="s">
        <v>6046</v>
      </c>
      <c r="U424" s="713" t="s">
        <v>901</v>
      </c>
      <c r="V424">
        <v>0</v>
      </c>
      <c r="W424" s="712">
        <v>0</v>
      </c>
      <c r="X424" s="712">
        <v>5000000</v>
      </c>
    </row>
    <row r="425" spans="19:24" x14ac:dyDescent="0.2">
      <c r="S425" s="839"/>
      <c r="T425" s="713" t="s">
        <v>6047</v>
      </c>
      <c r="U425" s="713" t="s">
        <v>61</v>
      </c>
      <c r="V425">
        <v>0</v>
      </c>
      <c r="W425" s="712">
        <v>5000000</v>
      </c>
      <c r="X425" s="712">
        <v>0</v>
      </c>
    </row>
    <row r="426" spans="19:24" x14ac:dyDescent="0.2">
      <c r="S426" s="838" t="s">
        <v>4436</v>
      </c>
      <c r="T426" s="839"/>
      <c r="U426" s="839"/>
      <c r="V426">
        <v>10575.369999999994</v>
      </c>
      <c r="W426" s="712">
        <v>8444995000</v>
      </c>
      <c r="X426" s="712">
        <v>52963885881</v>
      </c>
    </row>
  </sheetData>
  <mergeCells count="26">
    <mergeCell ref="G23:G120"/>
    <mergeCell ref="G121:G218"/>
    <mergeCell ref="G219:G291"/>
    <mergeCell ref="G292:I292"/>
    <mergeCell ref="A23:A171"/>
    <mergeCell ref="A172:A323"/>
    <mergeCell ref="AB21:AD21"/>
    <mergeCell ref="M23:M147"/>
    <mergeCell ref="M148:M272"/>
    <mergeCell ref="M273:M397"/>
    <mergeCell ref="Y23:Y121"/>
    <mergeCell ref="Y122:Y212"/>
    <mergeCell ref="Y213:Y304"/>
    <mergeCell ref="Y305:AA305"/>
    <mergeCell ref="S23:S172"/>
    <mergeCell ref="S173:S319"/>
    <mergeCell ref="V21:X21"/>
    <mergeCell ref="J21:L21"/>
    <mergeCell ref="P21:R21"/>
    <mergeCell ref="S426:U426"/>
    <mergeCell ref="M398:O398"/>
    <mergeCell ref="S320:S330"/>
    <mergeCell ref="S331:S425"/>
    <mergeCell ref="A324:A381"/>
    <mergeCell ref="A382:C382"/>
    <mergeCell ref="D21:F21"/>
  </mergeCells>
  <pageMargins left="0.7" right="0.7" top="0.75" bottom="0.75" header="0.3" footer="0.3"/>
  <pageSetup paperSize="9" orientation="portrait" r:id="rId6"/>
  <drawing r:id="rId7"/>
  <extLst>
    <ext xmlns:x14="http://schemas.microsoft.com/office/spreadsheetml/2009/9/main" uri="{A8765BA9-456A-4dab-B4F3-ACF838C121DE}">
      <x14:slicerList>
        <x14:slicer r:id="rId8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7">
    <pageSetUpPr fitToPage="1"/>
  </sheetPr>
  <dimension ref="A1:Z1016"/>
  <sheetViews>
    <sheetView topLeftCell="A9" zoomScale="130" zoomScaleNormal="130" workbookViewId="0">
      <selection activeCell="E15" sqref="E15"/>
    </sheetView>
  </sheetViews>
  <sheetFormatPr baseColWidth="10" defaultColWidth="0" defaultRowHeight="0" customHeight="1" zeroHeight="1" x14ac:dyDescent="0.2"/>
  <cols>
    <col min="1" max="1" width="0.85546875" style="187" customWidth="1"/>
    <col min="2" max="2" width="14.42578125" style="187" bestFit="1" customWidth="1"/>
    <col min="3" max="3" width="10.42578125" style="187" bestFit="1" customWidth="1"/>
    <col min="4" max="4" width="8.42578125" style="187" customWidth="1"/>
    <col min="5" max="5" width="14.42578125" style="187" bestFit="1" customWidth="1"/>
    <col min="6" max="6" width="0.5703125" style="283" customWidth="1"/>
    <col min="7" max="7" width="14.42578125" style="187" bestFit="1" customWidth="1"/>
    <col min="8" max="8" width="10.42578125" style="192" bestFit="1" customWidth="1"/>
    <col min="9" max="9" width="6.5703125" style="192" bestFit="1" customWidth="1"/>
    <col min="10" max="10" width="14.5703125" style="192" bestFit="1" customWidth="1"/>
    <col min="11" max="11" width="0.42578125" style="192" customWidth="1"/>
    <col min="12" max="12" width="16.5703125" style="192" customWidth="1"/>
    <col min="13" max="13" width="12.42578125" style="192" customWidth="1"/>
    <col min="14" max="14" width="7.42578125" style="192" customWidth="1"/>
    <col min="15" max="15" width="16.5703125" style="192" customWidth="1"/>
    <col min="16" max="16" width="0.42578125" style="192" customWidth="1"/>
    <col min="17" max="17" width="14.42578125" style="192" bestFit="1" customWidth="1"/>
    <col min="18" max="18" width="10.42578125" style="192" bestFit="1" customWidth="1"/>
    <col min="19" max="19" width="4.85546875" style="192" bestFit="1" customWidth="1"/>
    <col min="20" max="20" width="14.5703125" style="192" customWidth="1"/>
    <col min="21" max="21" width="0.5703125" style="192" customWidth="1"/>
    <col min="22" max="23" width="14.5703125" style="192" customWidth="1"/>
    <col min="24" max="24" width="8.42578125" style="192" customWidth="1"/>
    <col min="25" max="25" width="15" style="192" customWidth="1"/>
    <col min="26" max="26" width="14.5703125" style="649" customWidth="1"/>
    <col min="27" max="16384" width="14.5703125" style="649" hidden="1"/>
  </cols>
  <sheetData>
    <row r="1" spans="1:25" ht="4.5" hidden="1" customHeight="1" x14ac:dyDescent="0.2">
      <c r="F1" s="274"/>
      <c r="H1" s="188"/>
      <c r="I1" s="188"/>
      <c r="J1" s="188"/>
      <c r="K1" s="188"/>
      <c r="L1" s="188"/>
      <c r="M1" s="188"/>
      <c r="N1" s="188"/>
      <c r="O1" s="188"/>
      <c r="P1" s="188"/>
      <c r="Q1" s="188"/>
      <c r="R1" s="188"/>
      <c r="S1" s="188"/>
      <c r="T1" s="188"/>
      <c r="U1" s="188"/>
      <c r="V1" s="188"/>
      <c r="W1" s="188"/>
      <c r="X1" s="188"/>
      <c r="Y1" s="188"/>
    </row>
    <row r="2" spans="1:25" ht="1.5" customHeight="1" x14ac:dyDescent="0.2">
      <c r="D2" s="854"/>
      <c r="E2" s="854"/>
      <c r="F2" s="275"/>
      <c r="G2" s="279"/>
      <c r="H2" s="279"/>
      <c r="I2" s="279"/>
      <c r="J2" s="279"/>
      <c r="K2" s="188"/>
      <c r="L2" s="188"/>
      <c r="M2" s="188"/>
      <c r="N2" s="188"/>
      <c r="O2" s="188"/>
      <c r="P2" s="188"/>
      <c r="Q2" s="188"/>
      <c r="R2" s="188"/>
      <c r="S2" s="188"/>
      <c r="T2" s="188"/>
      <c r="U2" s="188"/>
      <c r="V2" s="188"/>
      <c r="W2" s="188"/>
      <c r="X2" s="188"/>
      <c r="Y2" s="188"/>
    </row>
    <row r="3" spans="1:25" s="704" customFormat="1" ht="21" x14ac:dyDescent="0.2">
      <c r="A3" s="276"/>
      <c r="B3" s="277"/>
      <c r="C3" s="277"/>
      <c r="D3" s="277"/>
      <c r="E3" s="277"/>
      <c r="F3" s="558"/>
      <c r="G3" s="277"/>
      <c r="H3" s="277"/>
      <c r="I3" s="277"/>
      <c r="J3" s="277"/>
      <c r="K3" s="277"/>
      <c r="L3" s="841" t="s">
        <v>845</v>
      </c>
      <c r="M3" s="841"/>
      <c r="N3" s="841"/>
      <c r="O3" s="841"/>
      <c r="P3" s="277"/>
      <c r="Q3" s="277"/>
      <c r="R3" s="277"/>
      <c r="S3" s="277"/>
      <c r="T3" s="277"/>
      <c r="U3" s="277"/>
      <c r="V3" s="277"/>
      <c r="W3" s="277"/>
      <c r="X3" s="277"/>
      <c r="Y3" s="277"/>
    </row>
    <row r="4" spans="1:25" s="704" customFormat="1" ht="18.75" customHeight="1" x14ac:dyDescent="0.2">
      <c r="A4" s="276"/>
      <c r="B4" s="277"/>
      <c r="C4" s="277"/>
      <c r="D4" s="277"/>
      <c r="E4" s="277"/>
      <c r="F4" s="557"/>
      <c r="G4" s="277"/>
      <c r="H4" s="277"/>
      <c r="I4" s="277"/>
      <c r="J4" s="277"/>
      <c r="K4" s="277"/>
      <c r="L4" s="842">
        <f>+'Datos globales '!B10</f>
        <v>45900</v>
      </c>
      <c r="M4" s="842"/>
      <c r="N4" s="842"/>
      <c r="O4" s="842"/>
      <c r="P4" s="277"/>
      <c r="Q4" s="277"/>
      <c r="R4" s="277"/>
      <c r="S4" s="277"/>
      <c r="T4" s="277"/>
      <c r="U4" s="277"/>
      <c r="V4" s="277"/>
      <c r="W4" s="277"/>
      <c r="X4" s="277"/>
      <c r="Y4" s="277"/>
    </row>
    <row r="5" spans="1:25" s="704" customFormat="1" ht="35.25" customHeight="1" x14ac:dyDescent="0.2">
      <c r="A5" s="276"/>
      <c r="B5" s="277"/>
      <c r="C5" s="277"/>
      <c r="D5" s="277"/>
      <c r="E5" s="277"/>
      <c r="F5" s="373"/>
      <c r="G5" s="277"/>
      <c r="H5" s="277"/>
      <c r="I5" s="277"/>
      <c r="J5" s="277"/>
      <c r="K5" s="277"/>
      <c r="L5" s="372" t="s">
        <v>842</v>
      </c>
      <c r="M5" s="372" t="s">
        <v>832</v>
      </c>
      <c r="N5" s="372" t="s">
        <v>108</v>
      </c>
      <c r="O5" s="372" t="s">
        <v>70</v>
      </c>
      <c r="P5" s="277"/>
      <c r="Q5" s="277"/>
      <c r="R5" s="277"/>
      <c r="S5" s="277"/>
      <c r="T5" s="277"/>
      <c r="U5" s="277"/>
      <c r="V5" s="277"/>
      <c r="W5" s="277"/>
      <c r="X5" s="277"/>
      <c r="Y5" s="277"/>
    </row>
    <row r="6" spans="1:25" s="704" customFormat="1" ht="15.75" x14ac:dyDescent="0.2">
      <c r="A6" s="276"/>
      <c r="B6" s="277"/>
      <c r="C6" s="277"/>
      <c r="D6" s="277"/>
      <c r="E6" s="277"/>
      <c r="F6" s="373"/>
      <c r="G6" s="277"/>
      <c r="H6" s="277"/>
      <c r="I6" s="277"/>
      <c r="J6" s="277"/>
      <c r="K6" s="277"/>
      <c r="L6" s="309" t="s">
        <v>799</v>
      </c>
      <c r="M6" s="273">
        <f>+C13+H13+M13+W13+AB13+R13</f>
        <v>45</v>
      </c>
      <c r="N6" s="273">
        <f>D13+I13+N13+X13+AC13+S13</f>
        <v>3371.41</v>
      </c>
      <c r="O6" s="273">
        <f>E13+J13+O13+Y13+AD13+T13</f>
        <v>22111807000</v>
      </c>
      <c r="P6" s="277"/>
      <c r="Q6" s="277"/>
      <c r="R6" s="277"/>
      <c r="S6" s="277"/>
      <c r="T6" s="277"/>
      <c r="U6" s="277"/>
      <c r="V6" s="277"/>
      <c r="W6" s="277"/>
      <c r="X6" s="277"/>
      <c r="Y6" s="277"/>
    </row>
    <row r="7" spans="1:25" s="704" customFormat="1" ht="15.75" x14ac:dyDescent="0.2">
      <c r="A7" s="276"/>
      <c r="B7" s="277"/>
      <c r="C7" s="277"/>
      <c r="D7" s="277"/>
      <c r="E7" s="277"/>
      <c r="F7" s="373"/>
      <c r="G7" s="277"/>
      <c r="H7" s="277"/>
      <c r="I7" s="277"/>
      <c r="J7" s="277"/>
      <c r="K7" s="277"/>
      <c r="L7" s="309" t="s">
        <v>833</v>
      </c>
      <c r="M7" s="666">
        <f>+C14+C15+H14+H15+M14+M15+W14+W15+AB14+AB15+R14+R15</f>
        <v>40</v>
      </c>
      <c r="N7" s="666">
        <f>D14+D15+I14+I15+N14+N15+X14+X15+AC14+AC15+S14+S15</f>
        <v>0</v>
      </c>
      <c r="O7" s="666">
        <f>E14+E15+J14+J15+O14+O15+Y14+Y15+AD14+AD15+T14+T15</f>
        <v>918000000</v>
      </c>
      <c r="P7" s="277"/>
      <c r="Q7" s="277"/>
      <c r="R7" s="277"/>
      <c r="S7" s="277"/>
      <c r="T7" s="277"/>
      <c r="U7" s="277"/>
      <c r="V7" s="277"/>
      <c r="W7" s="277"/>
      <c r="X7" s="277"/>
      <c r="Y7" s="277"/>
    </row>
    <row r="8" spans="1:25" s="704" customFormat="1" ht="15.75" x14ac:dyDescent="0.2">
      <c r="A8" s="276"/>
      <c r="B8" s="277"/>
      <c r="C8" s="277"/>
      <c r="D8" s="277"/>
      <c r="E8" s="277"/>
      <c r="F8" s="373"/>
      <c r="G8" s="277"/>
      <c r="H8" s="277"/>
      <c r="I8" s="277"/>
      <c r="J8" s="277"/>
      <c r="K8" s="277"/>
      <c r="L8" s="310" t="s">
        <v>834</v>
      </c>
      <c r="M8" s="666">
        <f>C16+H16+M16+W16+AB16+R16</f>
        <v>49</v>
      </c>
      <c r="N8" s="666">
        <f>+D16+I16+N16+X16+AC16+S16</f>
        <v>0</v>
      </c>
      <c r="O8" s="666">
        <f>E16+J16+O16+Y16+AD16+T16</f>
        <v>255000000</v>
      </c>
      <c r="P8" s="277"/>
      <c r="Q8" s="277"/>
      <c r="R8" s="277"/>
      <c r="S8" s="277"/>
      <c r="T8" s="277"/>
      <c r="U8" s="277"/>
      <c r="V8" s="277"/>
      <c r="W8" s="277"/>
      <c r="X8" s="277"/>
      <c r="Y8" s="277"/>
    </row>
    <row r="9" spans="1:25" s="704" customFormat="1" ht="25.5" x14ac:dyDescent="0.2">
      <c r="A9" s="276"/>
      <c r="B9" s="277"/>
      <c r="C9" s="277"/>
      <c r="D9" s="277"/>
      <c r="E9" s="277"/>
      <c r="F9" s="373"/>
      <c r="G9" s="586"/>
      <c r="H9" s="586"/>
      <c r="I9" s="277"/>
      <c r="J9" s="586"/>
      <c r="K9" s="277"/>
      <c r="L9" s="298" t="s">
        <v>831</v>
      </c>
      <c r="M9" s="299">
        <f>SUM(M6:M8)</f>
        <v>134</v>
      </c>
      <c r="N9" s="299">
        <f>SUM(N6:N8)</f>
        <v>3371.41</v>
      </c>
      <c r="O9" s="300">
        <f>SUM(O6:O8)</f>
        <v>23284807000</v>
      </c>
      <c r="P9" s="277"/>
      <c r="Q9" s="586"/>
      <c r="R9" s="586"/>
      <c r="S9" s="277"/>
      <c r="T9" s="586"/>
      <c r="U9" s="277"/>
      <c r="V9" s="277"/>
      <c r="W9" s="277"/>
      <c r="X9" s="277"/>
      <c r="Y9" s="277"/>
    </row>
    <row r="10" spans="1:25" s="704" customFormat="1" ht="5.25" customHeight="1" x14ac:dyDescent="0.2">
      <c r="A10" s="276"/>
      <c r="B10" s="253"/>
      <c r="C10" s="272"/>
      <c r="D10" s="272"/>
      <c r="E10" s="279"/>
      <c r="F10" s="279"/>
      <c r="G10" s="279"/>
      <c r="H10" s="279"/>
      <c r="I10" s="279"/>
      <c r="J10" s="279"/>
      <c r="K10" s="277"/>
      <c r="L10" s="277"/>
      <c r="M10" s="277"/>
      <c r="N10" s="277"/>
      <c r="O10" s="277"/>
      <c r="P10" s="277"/>
      <c r="Q10" s="277"/>
      <c r="R10" s="277"/>
      <c r="S10" s="277"/>
      <c r="T10" s="277"/>
      <c r="U10" s="277"/>
      <c r="V10" s="277"/>
      <c r="W10" s="277"/>
      <c r="X10" s="277"/>
      <c r="Y10" s="277"/>
    </row>
    <row r="11" spans="1:25" s="704" customFormat="1" ht="15.75" x14ac:dyDescent="0.2">
      <c r="A11" s="276"/>
      <c r="B11" s="840" t="s">
        <v>941</v>
      </c>
      <c r="C11" s="840"/>
      <c r="D11" s="840"/>
      <c r="E11" s="840"/>
      <c r="F11" s="253"/>
      <c r="G11" s="840" t="s">
        <v>942</v>
      </c>
      <c r="H11" s="840"/>
      <c r="I11" s="840"/>
      <c r="J11" s="840"/>
      <c r="K11" s="537"/>
      <c r="L11" s="840" t="s">
        <v>53</v>
      </c>
      <c r="M11" s="840"/>
      <c r="N11" s="840"/>
      <c r="O11" s="840"/>
      <c r="P11" s="537"/>
      <c r="Q11" s="840" t="s">
        <v>1009</v>
      </c>
      <c r="R11" s="840"/>
      <c r="S11" s="840"/>
      <c r="T11" s="840"/>
      <c r="U11" s="278"/>
      <c r="V11" s="840" t="s">
        <v>1203</v>
      </c>
      <c r="W11" s="840"/>
      <c r="X11" s="840"/>
      <c r="Y11" s="840"/>
    </row>
    <row r="12" spans="1:25" s="704" customFormat="1" ht="26.25" customHeight="1" x14ac:dyDescent="0.2">
      <c r="A12" s="276"/>
      <c r="B12" s="536" t="s">
        <v>839</v>
      </c>
      <c r="C12" s="372" t="s">
        <v>832</v>
      </c>
      <c r="D12" s="372" t="s">
        <v>108</v>
      </c>
      <c r="E12" s="372" t="s">
        <v>32</v>
      </c>
      <c r="F12" s="534"/>
      <c r="G12" s="536" t="s">
        <v>839</v>
      </c>
      <c r="H12" s="372" t="s">
        <v>832</v>
      </c>
      <c r="I12" s="372" t="s">
        <v>108</v>
      </c>
      <c r="J12" s="372" t="s">
        <v>32</v>
      </c>
      <c r="K12" s="535"/>
      <c r="L12" s="536" t="s">
        <v>839</v>
      </c>
      <c r="M12" s="372" t="s">
        <v>832</v>
      </c>
      <c r="N12" s="372" t="s">
        <v>108</v>
      </c>
      <c r="O12" s="372" t="s">
        <v>32</v>
      </c>
      <c r="P12" s="535"/>
      <c r="Q12" s="536" t="s">
        <v>839</v>
      </c>
      <c r="R12" s="372" t="s">
        <v>832</v>
      </c>
      <c r="S12" s="372" t="s">
        <v>108</v>
      </c>
      <c r="T12" s="372" t="s">
        <v>32</v>
      </c>
      <c r="U12" s="278"/>
      <c r="V12" s="374" t="s">
        <v>839</v>
      </c>
      <c r="W12" s="372" t="s">
        <v>832</v>
      </c>
      <c r="X12" s="372" t="s">
        <v>108</v>
      </c>
      <c r="Y12" s="372" t="s">
        <v>32</v>
      </c>
    </row>
    <row r="13" spans="1:25" s="705" customFormat="1" ht="12" x14ac:dyDescent="0.2">
      <c r="A13" s="292"/>
      <c r="B13" s="485" t="s">
        <v>957</v>
      </c>
      <c r="C13" s="507">
        <f>+C21</f>
        <v>0</v>
      </c>
      <c r="D13" s="487">
        <f>+D21</f>
        <v>0</v>
      </c>
      <c r="E13" s="488">
        <f>+E21</f>
        <v>0</v>
      </c>
      <c r="F13" s="287"/>
      <c r="G13" s="485" t="s">
        <v>962</v>
      </c>
      <c r="H13" s="507">
        <f>+H23</f>
        <v>3</v>
      </c>
      <c r="I13" s="487">
        <f>+I23</f>
        <v>228.45000000000002</v>
      </c>
      <c r="J13" s="488">
        <f>+J23</f>
        <v>1196640000</v>
      </c>
      <c r="K13" s="489"/>
      <c r="L13" s="485" t="s">
        <v>2659</v>
      </c>
      <c r="M13" s="486">
        <f>+M29</f>
        <v>9</v>
      </c>
      <c r="N13" s="487">
        <f>+N29</f>
        <v>729.51</v>
      </c>
      <c r="O13" s="488">
        <f>+O29</f>
        <v>4960242000</v>
      </c>
      <c r="P13" s="489"/>
      <c r="Q13" s="485" t="s">
        <v>1067</v>
      </c>
      <c r="R13" s="486">
        <f>+R37</f>
        <v>17</v>
      </c>
      <c r="S13" s="487">
        <f>+S37</f>
        <v>1211.5000000000002</v>
      </c>
      <c r="T13" s="488">
        <f>+T37</f>
        <v>8019750000</v>
      </c>
      <c r="U13" s="489"/>
      <c r="V13" s="485" t="s">
        <v>1204</v>
      </c>
      <c r="W13" s="486">
        <f>+W36</f>
        <v>16</v>
      </c>
      <c r="X13" s="487">
        <f>+X36</f>
        <v>1201.9499999999998</v>
      </c>
      <c r="Y13" s="488">
        <f>+Y36</f>
        <v>7935175000</v>
      </c>
    </row>
    <row r="14" spans="1:25" s="705" customFormat="1" ht="18" customHeight="1" x14ac:dyDescent="0.2">
      <c r="A14" s="292"/>
      <c r="B14" s="485" t="s">
        <v>958</v>
      </c>
      <c r="C14" s="490">
        <f>+C27-C15</f>
        <v>3</v>
      </c>
      <c r="D14" s="487">
        <f>SUM(D24)</f>
        <v>0</v>
      </c>
      <c r="E14" s="491">
        <f>+E27-E15</f>
        <v>66000000</v>
      </c>
      <c r="F14" s="287"/>
      <c r="G14" s="485" t="s">
        <v>963</v>
      </c>
      <c r="H14" s="490">
        <f>+H29-H15</f>
        <v>3</v>
      </c>
      <c r="I14" s="487">
        <f>+I29-I15</f>
        <v>0</v>
      </c>
      <c r="J14" s="491">
        <f>+J29-J15</f>
        <v>66000000</v>
      </c>
      <c r="K14" s="489"/>
      <c r="L14" s="485" t="s">
        <v>2660</v>
      </c>
      <c r="M14" s="490">
        <f>+M41-M15</f>
        <v>9</v>
      </c>
      <c r="N14" s="487">
        <f>+N41-N15</f>
        <v>0</v>
      </c>
      <c r="O14" s="491">
        <f>+O41-O15</f>
        <v>234000000</v>
      </c>
      <c r="P14" s="489"/>
      <c r="Q14" s="485" t="s">
        <v>1068</v>
      </c>
      <c r="R14" s="490">
        <f>+R57-R15</f>
        <v>17</v>
      </c>
      <c r="S14" s="487">
        <f>+S57-S15</f>
        <v>0</v>
      </c>
      <c r="T14" s="491">
        <f>+T57-T15</f>
        <v>352000000</v>
      </c>
      <c r="U14" s="489"/>
      <c r="V14" s="485" t="s">
        <v>1205</v>
      </c>
      <c r="W14" s="490">
        <f>+W47-W15</f>
        <v>8</v>
      </c>
      <c r="X14" s="487">
        <f>+X47</f>
        <v>0</v>
      </c>
      <c r="Y14" s="488">
        <f>+Y47-Y15</f>
        <v>200000000</v>
      </c>
    </row>
    <row r="15" spans="1:25" s="705" customFormat="1" ht="11.25" x14ac:dyDescent="0.2">
      <c r="A15" s="292"/>
      <c r="B15" s="485" t="s">
        <v>2646</v>
      </c>
      <c r="C15" s="490">
        <v>0</v>
      </c>
      <c r="D15" s="487">
        <v>0</v>
      </c>
      <c r="E15" s="491">
        <v>0</v>
      </c>
      <c r="F15" s="287"/>
      <c r="G15" s="485" t="s">
        <v>2645</v>
      </c>
      <c r="H15" s="487">
        <v>0</v>
      </c>
      <c r="I15" s="487">
        <f>+G80</f>
        <v>0</v>
      </c>
      <c r="J15" s="491"/>
      <c r="K15" s="489"/>
      <c r="L15" s="485" t="s">
        <v>2661</v>
      </c>
      <c r="M15" s="487"/>
      <c r="N15" s="487">
        <f>+L70</f>
        <v>0</v>
      </c>
      <c r="O15" s="491"/>
      <c r="P15" s="489"/>
      <c r="Q15" s="485" t="s">
        <v>2286</v>
      </c>
      <c r="R15" s="487"/>
      <c r="S15" s="487">
        <f>+Q92</f>
        <v>0</v>
      </c>
      <c r="T15" s="491"/>
      <c r="U15" s="489"/>
      <c r="V15" s="485" t="s">
        <v>1211</v>
      </c>
      <c r="W15" s="487">
        <v>0</v>
      </c>
      <c r="X15" s="487">
        <f>+V228</f>
        <v>0</v>
      </c>
      <c r="Y15" s="488">
        <v>0</v>
      </c>
    </row>
    <row r="16" spans="1:25" s="705" customFormat="1" ht="11.25" x14ac:dyDescent="0.2">
      <c r="A16" s="292"/>
      <c r="B16" s="492" t="s">
        <v>948</v>
      </c>
      <c r="C16" s="487">
        <f>+C32</f>
        <v>2</v>
      </c>
      <c r="D16" s="487">
        <f>+D32</f>
        <v>0</v>
      </c>
      <c r="E16" s="491">
        <f>+E32</f>
        <v>10000000</v>
      </c>
      <c r="F16" s="287"/>
      <c r="G16" s="492" t="s">
        <v>947</v>
      </c>
      <c r="H16" s="487">
        <f>+H44</f>
        <v>12</v>
      </c>
      <c r="I16" s="487">
        <f>+I44</f>
        <v>0</v>
      </c>
      <c r="J16" s="488">
        <f>+J44</f>
        <v>60000000</v>
      </c>
      <c r="K16" s="489"/>
      <c r="L16" s="492" t="s">
        <v>2662</v>
      </c>
      <c r="M16" s="487">
        <f>+M54</f>
        <v>10</v>
      </c>
      <c r="N16" s="487">
        <f>+N54</f>
        <v>0</v>
      </c>
      <c r="O16" s="488">
        <f>+O54</f>
        <v>60000000</v>
      </c>
      <c r="P16" s="489"/>
      <c r="Q16" s="492" t="s">
        <v>1058</v>
      </c>
      <c r="R16" s="487">
        <f>+R76</f>
        <v>16</v>
      </c>
      <c r="S16" s="487">
        <f>+S76</f>
        <v>0</v>
      </c>
      <c r="T16" s="488">
        <f>+T76</f>
        <v>80000000</v>
      </c>
      <c r="U16" s="489"/>
      <c r="V16" s="492" t="s">
        <v>1206</v>
      </c>
      <c r="W16" s="487">
        <f>+W59</f>
        <v>9</v>
      </c>
      <c r="X16" s="487">
        <f>+X59</f>
        <v>0</v>
      </c>
      <c r="Y16" s="488">
        <f>+Y59</f>
        <v>45000000</v>
      </c>
    </row>
    <row r="17" spans="1:25" s="705" customFormat="1" ht="12.75" customHeight="1" x14ac:dyDescent="0.2">
      <c r="A17" s="292"/>
      <c r="B17" s="493" t="s">
        <v>945</v>
      </c>
      <c r="C17" s="494">
        <f>SUM(C13:C16)</f>
        <v>5</v>
      </c>
      <c r="D17" s="494">
        <f>SUM(D13:D16)</f>
        <v>0</v>
      </c>
      <c r="E17" s="495">
        <f>SUM(E13:E16)</f>
        <v>76000000</v>
      </c>
      <c r="F17" s="287"/>
      <c r="G17" s="493" t="s">
        <v>197</v>
      </c>
      <c r="H17" s="494">
        <f>SUM(H13:H16)</f>
        <v>18</v>
      </c>
      <c r="I17" s="494">
        <f>SUM(I13:I16)</f>
        <v>228.45000000000002</v>
      </c>
      <c r="J17" s="509">
        <f>SUM(J13:J16)</f>
        <v>1322640000</v>
      </c>
      <c r="K17" s="489"/>
      <c r="L17" s="493" t="s">
        <v>197</v>
      </c>
      <c r="M17" s="494">
        <f>SUM(M13:M16)</f>
        <v>28</v>
      </c>
      <c r="N17" s="494">
        <f>SUM(N13:N16)</f>
        <v>729.51</v>
      </c>
      <c r="O17" s="495">
        <f>SUM(O13:O16)</f>
        <v>5254242000</v>
      </c>
      <c r="P17" s="489"/>
      <c r="Q17" s="493" t="s">
        <v>1012</v>
      </c>
      <c r="R17" s="494">
        <f>SUM(R13:R16)</f>
        <v>50</v>
      </c>
      <c r="S17" s="494">
        <f>SUM(S13:S16)</f>
        <v>1211.5000000000002</v>
      </c>
      <c r="T17" s="495">
        <f>SUM(T13:T16)</f>
        <v>8451750000</v>
      </c>
      <c r="U17" s="489"/>
      <c r="V17" s="493" t="s">
        <v>1207</v>
      </c>
      <c r="W17" s="494">
        <f>SUM(W13:W16)</f>
        <v>33</v>
      </c>
      <c r="X17" s="494">
        <f>SUM(X13:X16)</f>
        <v>1201.9499999999998</v>
      </c>
      <c r="Y17" s="495">
        <f>SUM(Y13:Y16)</f>
        <v>8180175000</v>
      </c>
    </row>
    <row r="18" spans="1:25" s="705" customFormat="1" ht="4.5" customHeight="1" x14ac:dyDescent="0.2">
      <c r="A18" s="292"/>
      <c r="B18" s="292"/>
      <c r="C18" s="292"/>
      <c r="D18" s="496"/>
      <c r="E18" s="496"/>
      <c r="F18" s="287"/>
      <c r="G18" s="489"/>
      <c r="H18" s="489"/>
      <c r="I18" s="489"/>
      <c r="J18" s="489"/>
      <c r="K18" s="489"/>
      <c r="L18" s="489"/>
      <c r="M18" s="489"/>
      <c r="N18" s="489"/>
      <c r="O18" s="489"/>
      <c r="P18" s="489"/>
      <c r="Q18" s="489"/>
      <c r="R18" s="489"/>
      <c r="S18" s="489"/>
      <c r="T18" s="489"/>
      <c r="U18" s="489"/>
      <c r="V18" s="489"/>
      <c r="W18" s="489"/>
      <c r="X18" s="489"/>
      <c r="Y18" s="489"/>
    </row>
    <row r="19" spans="1:25" s="705" customFormat="1" ht="12.75" customHeight="1" x14ac:dyDescent="0.2">
      <c r="A19" s="292"/>
      <c r="B19" s="284" t="s">
        <v>839</v>
      </c>
      <c r="C19" s="285" t="s">
        <v>30</v>
      </c>
      <c r="D19" s="285" t="s">
        <v>31</v>
      </c>
      <c r="E19" s="286" t="s">
        <v>32</v>
      </c>
      <c r="F19" s="287"/>
      <c r="G19" s="284" t="s">
        <v>839</v>
      </c>
      <c r="H19" s="285" t="s">
        <v>30</v>
      </c>
      <c r="I19" s="285" t="s">
        <v>31</v>
      </c>
      <c r="J19" s="286" t="s">
        <v>32</v>
      </c>
      <c r="K19" s="489"/>
      <c r="L19" s="284" t="s">
        <v>839</v>
      </c>
      <c r="M19" s="285" t="s">
        <v>30</v>
      </c>
      <c r="N19" s="285" t="s">
        <v>31</v>
      </c>
      <c r="O19" s="286" t="s">
        <v>32</v>
      </c>
      <c r="P19" s="489"/>
      <c r="Q19" s="284" t="s">
        <v>839</v>
      </c>
      <c r="R19" s="285" t="s">
        <v>30</v>
      </c>
      <c r="S19" s="285" t="s">
        <v>31</v>
      </c>
      <c r="T19" s="286" t="s">
        <v>32</v>
      </c>
      <c r="U19" s="489"/>
      <c r="V19" s="284" t="s">
        <v>839</v>
      </c>
      <c r="W19" s="285" t="s">
        <v>30</v>
      </c>
      <c r="X19" s="285" t="s">
        <v>31</v>
      </c>
      <c r="Y19" s="286" t="s">
        <v>32</v>
      </c>
    </row>
    <row r="20" spans="1:25" s="705" customFormat="1" ht="14.25" customHeight="1" x14ac:dyDescent="0.2">
      <c r="A20" s="292"/>
      <c r="B20" s="711" t="s">
        <v>799</v>
      </c>
      <c r="C20" s="676"/>
      <c r="D20" s="281">
        <v>0</v>
      </c>
      <c r="E20" s="282">
        <v>0</v>
      </c>
      <c r="F20" s="287"/>
      <c r="G20" s="851" t="s">
        <v>799</v>
      </c>
      <c r="H20" s="624" t="s">
        <v>2134</v>
      </c>
      <c r="I20" s="281">
        <f>VLOOKUP(H20,'Im 1B'!$A$2:$C$983,3,FALSE)</f>
        <v>76.150000000000006</v>
      </c>
      <c r="J20" s="282">
        <f>VLOOKUP(H20,'Im 1B'!$A$2:C983,2,FALSE)</f>
        <v>396580000</v>
      </c>
      <c r="K20" s="489"/>
      <c r="L20" s="851" t="s">
        <v>799</v>
      </c>
      <c r="M20" s="280" t="s">
        <v>2744</v>
      </c>
      <c r="N20" s="281">
        <f>VLOOKUP(M20,'Im 2'!$A$2:$C$1998,3,FALSE)</f>
        <v>80.05</v>
      </c>
      <c r="O20" s="282">
        <f>VLOOKUP(M20,'Im 2'!$A$2:C983,2,FALSE)</f>
        <v>536835000</v>
      </c>
      <c r="P20" s="489"/>
      <c r="Q20" s="851" t="s">
        <v>799</v>
      </c>
      <c r="R20" s="280" t="s">
        <v>3744</v>
      </c>
      <c r="S20" s="281">
        <f>VLOOKUP(R20,'Im 3A'!$A$2:$C$998,3,FALSE)</f>
        <v>71.900000000000006</v>
      </c>
      <c r="T20" s="282">
        <f>VLOOKUP(R20,'Im 3A'!A2:C998,2,FALSE)</f>
        <v>467850000</v>
      </c>
      <c r="U20" s="489"/>
      <c r="V20" s="851" t="s">
        <v>799</v>
      </c>
      <c r="W20" s="280" t="s">
        <v>3901</v>
      </c>
      <c r="X20" s="281">
        <f>VLOOKUP(W20,'Im 3B'!$A$2:$C$8996,3,FALSE)</f>
        <v>64</v>
      </c>
      <c r="Y20" s="282">
        <f>VLOOKUP(W20,'Im 3B'!A2:C1996,2,FALSE)</f>
        <v>418500000</v>
      </c>
    </row>
    <row r="21" spans="1:25" s="705" customFormat="1" ht="11.25" x14ac:dyDescent="0.2">
      <c r="A21" s="292"/>
      <c r="B21" s="288" t="s">
        <v>959</v>
      </c>
      <c r="C21" s="289">
        <f>++COUNTA(C20:C20)</f>
        <v>0</v>
      </c>
      <c r="D21" s="290">
        <f>SUM(D20:D20)</f>
        <v>0</v>
      </c>
      <c r="E21" s="290">
        <f>SUM(E20:E20)</f>
        <v>0</v>
      </c>
      <c r="F21" s="287"/>
      <c r="G21" s="852"/>
      <c r="H21" s="624" t="s">
        <v>2161</v>
      </c>
      <c r="I21" s="281">
        <f>VLOOKUP(H21,'Im 1B'!$A$2:$C$983,3,FALSE)</f>
        <v>76.150000000000006</v>
      </c>
      <c r="J21" s="282">
        <f>VLOOKUP(H21,'Im 1B'!$A$2:C984,2,FALSE)</f>
        <v>397780000</v>
      </c>
      <c r="K21" s="489"/>
      <c r="L21" s="852"/>
      <c r="M21" s="280" t="s">
        <v>2746</v>
      </c>
      <c r="N21" s="281">
        <f>VLOOKUP(M21,'Im 2'!$A$2:$C$1998,3,FALSE)</f>
        <v>82.25</v>
      </c>
      <c r="O21" s="282">
        <f>VLOOKUP(M21,'Im 2'!$A$2:C984,2,FALSE)</f>
        <v>551600000</v>
      </c>
      <c r="P21" s="489"/>
      <c r="Q21" s="852"/>
      <c r="R21" s="280" t="s">
        <v>3748</v>
      </c>
      <c r="S21" s="281">
        <f>VLOOKUP(R21,'Im 3A'!$A$2:$C$998,3,FALSE)</f>
        <v>71.900000000000006</v>
      </c>
      <c r="T21" s="282">
        <f>VLOOKUP(R21,'Im 3A'!A3:C999,2,FALSE)</f>
        <v>469850000</v>
      </c>
      <c r="U21" s="489"/>
      <c r="V21" s="852"/>
      <c r="W21" s="280" t="s">
        <v>3902</v>
      </c>
      <c r="X21" s="281">
        <f>VLOOKUP(W21,'Im 3B'!$A$2:$C$8996,3,FALSE)</f>
        <v>76.3</v>
      </c>
      <c r="Y21" s="282">
        <f>VLOOKUP(W21,'Im 3B'!A3:C1997,2,FALSE)</f>
        <v>498950000</v>
      </c>
    </row>
    <row r="22" spans="1:25" s="706" customFormat="1" ht="15" customHeight="1" x14ac:dyDescent="0.2">
      <c r="A22" s="497"/>
      <c r="B22" s="291"/>
      <c r="C22" s="291"/>
      <c r="D22" s="291"/>
      <c r="E22" s="291"/>
      <c r="F22" s="287"/>
      <c r="G22" s="853"/>
      <c r="H22" s="624" t="s">
        <v>2141</v>
      </c>
      <c r="I22" s="281">
        <f>VLOOKUP(H22,'Im 1B'!$A$2:$C$983,3,FALSE)</f>
        <v>76.150000000000006</v>
      </c>
      <c r="J22" s="282">
        <f>VLOOKUP(H22,'Im 1B'!$A$2:C985,2,FALSE)</f>
        <v>402280000</v>
      </c>
      <c r="K22" s="498"/>
      <c r="L22" s="852"/>
      <c r="M22" s="280" t="s">
        <v>2756</v>
      </c>
      <c r="N22" s="281">
        <f>VLOOKUP(M22,'Im 2'!$A$2:$C$1998,3,FALSE)</f>
        <v>80.349999999999994</v>
      </c>
      <c r="O22" s="282">
        <f>VLOOKUP(M22,'Im 2'!$A$2:C985,2,FALSE)</f>
        <v>552345000</v>
      </c>
      <c r="P22" s="498"/>
      <c r="Q22" s="852"/>
      <c r="R22" s="280" t="s">
        <v>3749</v>
      </c>
      <c r="S22" s="281">
        <f>VLOOKUP(R22,'Im 3A'!$A$2:$C$998,3,FALSE)</f>
        <v>71.900000000000006</v>
      </c>
      <c r="T22" s="282">
        <f>VLOOKUP(R22,'Im 3A'!A4:C1000,2,FALSE)</f>
        <v>471850000</v>
      </c>
      <c r="U22" s="498"/>
      <c r="V22" s="852"/>
      <c r="W22" s="280" t="s">
        <v>3904</v>
      </c>
      <c r="X22" s="281">
        <f>VLOOKUP(W22,'Im 3B'!$A$2:$C$8996,3,FALSE)</f>
        <v>76.3</v>
      </c>
      <c r="Y22" s="282">
        <f>VLOOKUP(W22,'Im 3B'!A4:C1998,2,FALSE)</f>
        <v>499950000</v>
      </c>
    </row>
    <row r="23" spans="1:25" s="706" customFormat="1" ht="11.25" x14ac:dyDescent="0.2">
      <c r="A23" s="293"/>
      <c r="B23" s="284" t="s">
        <v>839</v>
      </c>
      <c r="C23" s="285" t="s">
        <v>30</v>
      </c>
      <c r="D23" s="285" t="s">
        <v>31</v>
      </c>
      <c r="E23" s="286" t="s">
        <v>32</v>
      </c>
      <c r="F23" s="287"/>
      <c r="G23" s="288" t="s">
        <v>964</v>
      </c>
      <c r="H23" s="289">
        <f>++COUNTA(H20:H22)</f>
        <v>3</v>
      </c>
      <c r="I23" s="290">
        <f>SUM(I20:I22)</f>
        <v>228.45000000000002</v>
      </c>
      <c r="J23" s="290">
        <f>SUM(J20:J22)</f>
        <v>1196640000</v>
      </c>
      <c r="K23" s="498"/>
      <c r="L23" s="852"/>
      <c r="M23" s="280" t="s">
        <v>2759</v>
      </c>
      <c r="N23" s="281">
        <f>VLOOKUP(M23,'Im 2'!$A$2:$C$1998,3,FALSE)</f>
        <v>80.349999999999994</v>
      </c>
      <c r="O23" s="282">
        <f>VLOOKUP(M23,'Im 2'!$A$2:C986,2,FALSE)</f>
        <v>552845000</v>
      </c>
      <c r="P23" s="498"/>
      <c r="Q23" s="852"/>
      <c r="R23" s="280" t="s">
        <v>3750</v>
      </c>
      <c r="S23" s="281">
        <f>VLOOKUP(R23,'Im 3A'!$A$2:$C$998,3,FALSE)</f>
        <v>71.900000000000006</v>
      </c>
      <c r="T23" s="282">
        <f>VLOOKUP(R23,'Im 3A'!A5:C1001,2,FALSE)</f>
        <v>472350000</v>
      </c>
      <c r="U23" s="498"/>
      <c r="V23" s="852"/>
      <c r="W23" s="280" t="s">
        <v>3905</v>
      </c>
      <c r="X23" s="281">
        <f>VLOOKUP(W23,'Im 3B'!$A$2:$C$8996,3,FALSE)</f>
        <v>75.5</v>
      </c>
      <c r="Y23" s="282">
        <f>VLOOKUP(W23,'Im 3B'!A5:C1999,2,FALSE)</f>
        <v>495250000</v>
      </c>
    </row>
    <row r="24" spans="1:25" s="706" customFormat="1" ht="15" customHeight="1" x14ac:dyDescent="0.2">
      <c r="A24" s="293"/>
      <c r="B24" s="843" t="s">
        <v>833</v>
      </c>
      <c r="C24" s="624" t="s">
        <v>1327</v>
      </c>
      <c r="D24" s="281">
        <f>VLOOKUP(C24,'Im 1A'!$A$2:$C$1877,3,FALSE)</f>
        <v>0</v>
      </c>
      <c r="E24" s="282">
        <f>VLOOKUP(C24,'Im 1A'!$A$2:C3979,2,FALSE)</f>
        <v>22000000</v>
      </c>
      <c r="F24" s="287"/>
      <c r="G24" s="291"/>
      <c r="H24" s="291"/>
      <c r="I24" s="291"/>
      <c r="J24" s="291"/>
      <c r="K24" s="498"/>
      <c r="L24" s="852"/>
      <c r="M24" s="280" t="s">
        <v>2775</v>
      </c>
      <c r="N24" s="281">
        <f>VLOOKUP(M24,'Im 2'!$A$2:$C$1998,3,FALSE)</f>
        <v>82.3</v>
      </c>
      <c r="O24" s="282">
        <f>VLOOKUP(M24,'Im 2'!$A$2:C987,2,FALSE)</f>
        <v>555410000</v>
      </c>
      <c r="P24" s="498"/>
      <c r="Q24" s="852"/>
      <c r="R24" s="280" t="s">
        <v>3751</v>
      </c>
      <c r="S24" s="281">
        <f>VLOOKUP(R24,'Im 3A'!$A$2:$C$998,3,FALSE)</f>
        <v>71.900000000000006</v>
      </c>
      <c r="T24" s="282">
        <f>VLOOKUP(R24,'Im 3A'!A6:C1002,2,FALSE)</f>
        <v>474350000</v>
      </c>
      <c r="U24" s="498"/>
      <c r="V24" s="852"/>
      <c r="W24" s="280" t="s">
        <v>3906</v>
      </c>
      <c r="X24" s="281">
        <f>VLOOKUP(W24,'Im 3B'!$A$2:$C$8996,3,FALSE)</f>
        <v>75.5</v>
      </c>
      <c r="Y24" s="282">
        <f>VLOOKUP(W24,'Im 3B'!A6:C2000,2,FALSE)</f>
        <v>495750000</v>
      </c>
    </row>
    <row r="25" spans="1:25" s="706" customFormat="1" ht="15" customHeight="1" x14ac:dyDescent="0.2">
      <c r="A25" s="293"/>
      <c r="B25" s="844"/>
      <c r="C25" s="676" t="s">
        <v>1617</v>
      </c>
      <c r="D25" s="281">
        <f>VLOOKUP(C25,'Im 1A'!$A$2:$C$1877,3,FALSE)</f>
        <v>0</v>
      </c>
      <c r="E25" s="282">
        <f>VLOOKUP(C25,'Im 1A'!$A$2:C3980,2,FALSE)</f>
        <v>22000000</v>
      </c>
      <c r="F25" s="287"/>
      <c r="G25" s="284" t="s">
        <v>839</v>
      </c>
      <c r="H25" s="285" t="s">
        <v>30</v>
      </c>
      <c r="I25" s="285" t="s">
        <v>31</v>
      </c>
      <c r="J25" s="286" t="s">
        <v>32</v>
      </c>
      <c r="K25" s="498"/>
      <c r="L25" s="852"/>
      <c r="M25" s="280" t="s">
        <v>2778</v>
      </c>
      <c r="N25" s="281">
        <f>VLOOKUP(M25,'Im 2'!$A$2:$C$1998,3,FALSE)</f>
        <v>82.3</v>
      </c>
      <c r="O25" s="282">
        <f>VLOOKUP(M25,'Im 2'!$A$2:C988,2,FALSE)</f>
        <v>555910000</v>
      </c>
      <c r="P25" s="498"/>
      <c r="Q25" s="852"/>
      <c r="R25" s="280" t="s">
        <v>3752</v>
      </c>
      <c r="S25" s="281">
        <f>VLOOKUP(R25,'Im 3A'!$A$2:$C$998,3,FALSE)</f>
        <v>71.900000000000006</v>
      </c>
      <c r="T25" s="282">
        <f>VLOOKUP(R25,'Im 3A'!A7:C1003,2,FALSE)</f>
        <v>474850000</v>
      </c>
      <c r="U25" s="498"/>
      <c r="V25" s="852"/>
      <c r="W25" s="280" t="s">
        <v>3907</v>
      </c>
      <c r="X25" s="281">
        <f>VLOOKUP(W25,'Im 3B'!$A$2:$C$8996,3,FALSE)</f>
        <v>75.5</v>
      </c>
      <c r="Y25" s="282">
        <f>VLOOKUP(W25,'Im 3B'!A7:C2001,2,FALSE)</f>
        <v>496250000</v>
      </c>
    </row>
    <row r="26" spans="1:25" s="706" customFormat="1" ht="15" customHeight="1" x14ac:dyDescent="0.2">
      <c r="A26" s="293"/>
      <c r="B26" s="845"/>
      <c r="C26" s="676" t="s">
        <v>1334</v>
      </c>
      <c r="D26" s="281">
        <f>VLOOKUP(C26,'Im 1A'!$A$2:$C$1877,3,FALSE)</f>
        <v>0</v>
      </c>
      <c r="E26" s="282">
        <f>VLOOKUP(C26,'Im 1A'!$A$2:C3980,2,FALSE)</f>
        <v>22000000</v>
      </c>
      <c r="F26" s="287"/>
      <c r="G26" s="849" t="s">
        <v>833</v>
      </c>
      <c r="H26" s="280" t="s">
        <v>1425</v>
      </c>
      <c r="I26" s="281">
        <f>VLOOKUP(H26,'Im 1B'!$A$2:$C$983,3,FALSE)</f>
        <v>0</v>
      </c>
      <c r="J26" s="282">
        <f>VLOOKUP(H26,'Im 1B'!A94:C1075,2,FALSE)</f>
        <v>22000000</v>
      </c>
      <c r="K26" s="498"/>
      <c r="L26" s="852"/>
      <c r="M26" s="280" t="s">
        <v>2784</v>
      </c>
      <c r="N26" s="281">
        <f>VLOOKUP(M26,'Im 2'!$A$2:$C$1998,3,FALSE)</f>
        <v>80.349999999999994</v>
      </c>
      <c r="O26" s="282">
        <f>VLOOKUP(M26,'Im 2'!$A$2:C989,2,FALSE)</f>
        <v>555845000</v>
      </c>
      <c r="P26" s="498"/>
      <c r="Q26" s="852"/>
      <c r="R26" s="280" t="s">
        <v>3753</v>
      </c>
      <c r="S26" s="281">
        <f>VLOOKUP(R26,'Im 3A'!$A$2:$C$998,3,FALSE)</f>
        <v>71.900000000000006</v>
      </c>
      <c r="T26" s="282">
        <f>VLOOKUP(R26,'Im 3A'!A8:C1004,2,FALSE)</f>
        <v>475350000</v>
      </c>
      <c r="U26" s="498"/>
      <c r="V26" s="852"/>
      <c r="W26" s="280" t="s">
        <v>3909</v>
      </c>
      <c r="X26" s="281">
        <f>VLOOKUP(W26,'Im 3B'!$A$2:$C$8996,3,FALSE)</f>
        <v>76.3</v>
      </c>
      <c r="Y26" s="282">
        <f>VLOOKUP(W26,'Im 3B'!A8:C2002,2,FALSE)</f>
        <v>502450000</v>
      </c>
    </row>
    <row r="27" spans="1:25" s="706" customFormat="1" ht="15" customHeight="1" x14ac:dyDescent="0.2">
      <c r="A27" s="293"/>
      <c r="B27" s="288" t="s">
        <v>960</v>
      </c>
      <c r="C27" s="289">
        <f>++COUNTA(C24:C26)</f>
        <v>3</v>
      </c>
      <c r="D27" s="290">
        <f>SUM(D24:D24)</f>
        <v>0</v>
      </c>
      <c r="E27" s="290">
        <f>SUM(E24:E26)</f>
        <v>66000000</v>
      </c>
      <c r="F27" s="287"/>
      <c r="G27" s="855"/>
      <c r="H27" s="280" t="s">
        <v>1540</v>
      </c>
      <c r="I27" s="281">
        <f>VLOOKUP(H27,'Im 1B'!$A$2:$C$983,3,FALSE)</f>
        <v>0</v>
      </c>
      <c r="J27" s="282">
        <f>VLOOKUP(H27,'Im 1B'!A95:C1076,2,FALSE)</f>
        <v>22000000</v>
      </c>
      <c r="K27" s="498"/>
      <c r="L27" s="852"/>
      <c r="M27" s="280" t="s">
        <v>2792</v>
      </c>
      <c r="N27" s="281">
        <f>VLOOKUP(M27,'Im 2'!$A$2:$C$1998,3,FALSE)</f>
        <v>82.3</v>
      </c>
      <c r="O27" s="282">
        <f>VLOOKUP(M27,'Im 2'!$A$2:C990,2,FALSE)</f>
        <v>557410000</v>
      </c>
      <c r="P27" s="498"/>
      <c r="Q27" s="852"/>
      <c r="R27" s="280" t="s">
        <v>3754</v>
      </c>
      <c r="S27" s="281">
        <f>VLOOKUP(R27,'Im 3A'!$A$2:$C$998,3,FALSE)</f>
        <v>71.900000000000006</v>
      </c>
      <c r="T27" s="282">
        <f>VLOOKUP(R27,'Im 3A'!A9:C1005,2,FALSE)</f>
        <v>475850000</v>
      </c>
      <c r="U27" s="498"/>
      <c r="V27" s="852"/>
      <c r="W27" s="280" t="s">
        <v>3910</v>
      </c>
      <c r="X27" s="281">
        <f>VLOOKUP(W27,'Im 3B'!$A$2:$C$8996,3,FALSE)</f>
        <v>75.5</v>
      </c>
      <c r="Y27" s="282">
        <f>VLOOKUP(W27,'Im 3B'!A9:C2003,2,FALSE)</f>
        <v>497750000</v>
      </c>
    </row>
    <row r="28" spans="1:25" s="706" customFormat="1" ht="15" customHeight="1" x14ac:dyDescent="0.2">
      <c r="A28" s="293"/>
      <c r="B28" s="291"/>
      <c r="C28" s="291"/>
      <c r="D28" s="291"/>
      <c r="E28" s="291"/>
      <c r="F28" s="287"/>
      <c r="G28" s="850"/>
      <c r="H28" s="280" t="s">
        <v>925</v>
      </c>
      <c r="I28" s="281">
        <f>VLOOKUP(H28,'Im 1B'!$A$2:$C$983,3,FALSE)</f>
        <v>0</v>
      </c>
      <c r="J28" s="282">
        <f>VLOOKUP(H28,'Im 1B'!A96:C1077,2,FALSE)</f>
        <v>22000000</v>
      </c>
      <c r="K28" s="498"/>
      <c r="L28" s="853"/>
      <c r="M28" s="280" t="s">
        <v>2830</v>
      </c>
      <c r="N28" s="281">
        <f>VLOOKUP(M28,'Im 2'!$A$2:$C$1998,3,FALSE)</f>
        <v>79.260000000000005</v>
      </c>
      <c r="O28" s="282">
        <f>VLOOKUP(M28,'Im 2'!$A$2:C991,2,FALSE)</f>
        <v>542042000</v>
      </c>
      <c r="P28" s="498"/>
      <c r="Q28" s="852"/>
      <c r="R28" s="280" t="s">
        <v>3755</v>
      </c>
      <c r="S28" s="281">
        <f>VLOOKUP(R28,'Im 3A'!$A$2:$C$998,3,FALSE)</f>
        <v>71.95</v>
      </c>
      <c r="T28" s="282">
        <f>VLOOKUP(R28,'Im 3A'!A10:C1006,2,FALSE)</f>
        <v>478675000</v>
      </c>
      <c r="U28" s="498"/>
      <c r="V28" s="852"/>
      <c r="W28" s="280" t="s">
        <v>3911</v>
      </c>
      <c r="X28" s="281">
        <f>VLOOKUP(W28,'Im 3B'!$A$2:$C$8996,3,FALSE)</f>
        <v>75.5</v>
      </c>
      <c r="Y28" s="282">
        <f>VLOOKUP(W28,'Im 3B'!A10:C2004,2,FALSE)</f>
        <v>498250000</v>
      </c>
    </row>
    <row r="29" spans="1:25" s="706" customFormat="1" ht="15" customHeight="1" x14ac:dyDescent="0.2">
      <c r="A29" s="293"/>
      <c r="B29" s="284" t="s">
        <v>839</v>
      </c>
      <c r="C29" s="285" t="s">
        <v>30</v>
      </c>
      <c r="D29" s="285" t="s">
        <v>31</v>
      </c>
      <c r="E29" s="286" t="s">
        <v>32</v>
      </c>
      <c r="F29" s="287"/>
      <c r="G29" s="294" t="s">
        <v>965</v>
      </c>
      <c r="H29" s="289">
        <f>+COUNTA(H26:H28)</f>
        <v>3</v>
      </c>
      <c r="I29" s="296">
        <f>SUM(I26:I28)</f>
        <v>0</v>
      </c>
      <c r="J29" s="296">
        <f>SUM(J26:J28)</f>
        <v>66000000</v>
      </c>
      <c r="K29" s="498"/>
      <c r="L29" s="288" t="s">
        <v>2673</v>
      </c>
      <c r="M29" s="289">
        <f>++COUNTA(M20:M28)</f>
        <v>9</v>
      </c>
      <c r="N29" s="290">
        <f>SUM(N20:N28)</f>
        <v>729.51</v>
      </c>
      <c r="O29" s="290">
        <f>SUM(O20:O28)</f>
        <v>4960242000</v>
      </c>
      <c r="P29" s="498"/>
      <c r="Q29" s="852"/>
      <c r="R29" s="280" t="s">
        <v>3756</v>
      </c>
      <c r="S29" s="281">
        <f>VLOOKUP(R29,'Im 3A'!$A$2:$C$998,3,FALSE)</f>
        <v>71.900000000000006</v>
      </c>
      <c r="T29" s="282">
        <f>VLOOKUP(R29,'Im 3A'!A11:C1007,2,FALSE)</f>
        <v>476350000</v>
      </c>
      <c r="U29" s="498"/>
      <c r="V29" s="852"/>
      <c r="W29" s="280" t="s">
        <v>3912</v>
      </c>
      <c r="X29" s="281">
        <f>VLOOKUP(W29,'Im 3B'!$A$2:$C$8996,3,FALSE)</f>
        <v>76.150000000000006</v>
      </c>
      <c r="Y29" s="282">
        <f>VLOOKUP(W29,'Im 3B'!A11:C2005,2,FALSE)</f>
        <v>501975000</v>
      </c>
    </row>
    <row r="30" spans="1:25" s="706" customFormat="1" ht="15" customHeight="1" x14ac:dyDescent="0.2">
      <c r="A30" s="293"/>
      <c r="B30" s="849" t="s">
        <v>834</v>
      </c>
      <c r="C30" s="280" t="s">
        <v>912</v>
      </c>
      <c r="D30" s="281">
        <f>VLOOKUP(C30,'Im 1A'!$A$2:$C$1877,3,FALSE)</f>
        <v>0</v>
      </c>
      <c r="E30" s="282">
        <f>VLOOKUP(C30,'Im 1A'!A158:C3983,2,FALSE)</f>
        <v>5000000</v>
      </c>
      <c r="F30" s="287"/>
      <c r="G30" s="499"/>
      <c r="H30" s="499"/>
      <c r="I30" s="499"/>
      <c r="J30" s="499"/>
      <c r="K30" s="498"/>
      <c r="L30" s="291"/>
      <c r="M30" s="291"/>
      <c r="N30" s="291"/>
      <c r="O30" s="291"/>
      <c r="P30" s="498"/>
      <c r="Q30" s="852"/>
      <c r="R30" s="280" t="s">
        <v>3757</v>
      </c>
      <c r="S30" s="281">
        <f>VLOOKUP(R30,'Im 3A'!$A$2:$C$998,3,FALSE)</f>
        <v>71.95</v>
      </c>
      <c r="T30" s="282">
        <f>VLOOKUP(R30,'Im 3A'!A12:C1008,2,FALSE)</f>
        <v>479675000</v>
      </c>
      <c r="U30" s="498"/>
      <c r="V30" s="852"/>
      <c r="W30" s="280" t="s">
        <v>3913</v>
      </c>
      <c r="X30" s="281">
        <f>VLOOKUP(W30,'Im 3B'!$A$2:$C$8996,3,FALSE)</f>
        <v>75.5</v>
      </c>
      <c r="Y30" s="282">
        <f>VLOOKUP(W30,'Im 3B'!A12:C2006,2,FALSE)</f>
        <v>501250000</v>
      </c>
    </row>
    <row r="31" spans="1:25" s="706" customFormat="1" ht="15" customHeight="1" x14ac:dyDescent="0.2">
      <c r="A31" s="293"/>
      <c r="B31" s="850"/>
      <c r="C31" s="280" t="s">
        <v>913</v>
      </c>
      <c r="D31" s="281">
        <f>VLOOKUP(C31,'Im 1A'!$A$2:$C$1877,3,FALSE)</f>
        <v>0</v>
      </c>
      <c r="E31" s="282">
        <f>VLOOKUP(C31,'Im 1A'!A159:C3984,2,FALSE)</f>
        <v>5000000</v>
      </c>
      <c r="F31" s="287"/>
      <c r="G31" s="284" t="s">
        <v>839</v>
      </c>
      <c r="H31" s="285" t="s">
        <v>30</v>
      </c>
      <c r="I31" s="285" t="s">
        <v>31</v>
      </c>
      <c r="J31" s="286" t="s">
        <v>32</v>
      </c>
      <c r="K31" s="498"/>
      <c r="L31" s="284" t="s">
        <v>839</v>
      </c>
      <c r="M31" s="285" t="s">
        <v>30</v>
      </c>
      <c r="N31" s="285" t="s">
        <v>31</v>
      </c>
      <c r="O31" s="286" t="s">
        <v>32</v>
      </c>
      <c r="P31" s="498"/>
      <c r="Q31" s="852"/>
      <c r="R31" s="280" t="s">
        <v>3759</v>
      </c>
      <c r="S31" s="281">
        <f>VLOOKUP(R31,'Im 3A'!$A$2:$C$998,3,FALSE)</f>
        <v>71.95</v>
      </c>
      <c r="T31" s="282">
        <f>VLOOKUP(R31,'Im 3A'!A13:C1009,2,FALSE)</f>
        <v>480175000</v>
      </c>
      <c r="U31" s="498"/>
      <c r="V31" s="852"/>
      <c r="W31" s="280" t="s">
        <v>3914</v>
      </c>
      <c r="X31" s="281">
        <f>VLOOKUP(W31,'Im 3B'!$A$2:$C$8996,3,FALSE)</f>
        <v>75.5</v>
      </c>
      <c r="Y31" s="282">
        <f>VLOOKUP(W31,'Im 3B'!A13:C2007,2,FALSE)</f>
        <v>501750000</v>
      </c>
    </row>
    <row r="32" spans="1:25" s="706" customFormat="1" ht="15" customHeight="1" x14ac:dyDescent="0.2">
      <c r="A32" s="293"/>
      <c r="B32" s="288" t="s">
        <v>961</v>
      </c>
      <c r="C32" s="289">
        <f>++COUNTA(C30:C31)</f>
        <v>2</v>
      </c>
      <c r="D32" s="290">
        <f>SUM(D30:D31)</f>
        <v>0</v>
      </c>
      <c r="E32" s="290">
        <f>SUM(E30:E31)</f>
        <v>10000000</v>
      </c>
      <c r="F32" s="287"/>
      <c r="G32" s="856" t="s">
        <v>834</v>
      </c>
      <c r="H32" s="280" t="s">
        <v>926</v>
      </c>
      <c r="I32" s="281">
        <f>VLOOKUP(H32,'Im 1B'!$A$2:$C$983,3,FALSE)</f>
        <v>0</v>
      </c>
      <c r="J32" s="282">
        <f>VLOOKUP(H32,'Im 1B'!A187:C1167,2,FALSE)</f>
        <v>5000000</v>
      </c>
      <c r="K32" s="498"/>
      <c r="L32" s="859" t="s">
        <v>833</v>
      </c>
      <c r="M32" s="280" t="s">
        <v>2861</v>
      </c>
      <c r="N32" s="281">
        <f>VLOOKUP(M32,'Im 2'!$A$2:$C$1998,3,FALSE)</f>
        <v>0</v>
      </c>
      <c r="O32" s="282">
        <f>VLOOKUP(M32,'Im 2'!$A$2:C1111,2,FALSE)</f>
        <v>26000000</v>
      </c>
      <c r="P32" s="498"/>
      <c r="Q32" s="852"/>
      <c r="R32" s="280" t="s">
        <v>3760</v>
      </c>
      <c r="S32" s="281">
        <f>VLOOKUP(R32,'Im 3A'!$A$2:$C$998,3,FALSE)</f>
        <v>71.900000000000006</v>
      </c>
      <c r="T32" s="282">
        <f>VLOOKUP(R32,'Im 3A'!A14:C1010,2,FALSE)</f>
        <v>477850000</v>
      </c>
      <c r="U32" s="498"/>
      <c r="V32" s="852"/>
      <c r="W32" s="280" t="s">
        <v>3915</v>
      </c>
      <c r="X32" s="281">
        <f>VLOOKUP(W32,'Im 3B'!$A$2:$C$8996,3,FALSE)</f>
        <v>76.3</v>
      </c>
      <c r="Y32" s="282">
        <f>VLOOKUP(W32,'Im 3B'!A14:C2008,2,FALSE)</f>
        <v>506950000</v>
      </c>
    </row>
    <row r="33" spans="1:25" s="706" customFormat="1" ht="15" customHeight="1" x14ac:dyDescent="0.2">
      <c r="A33" s="293"/>
      <c r="B33" s="499"/>
      <c r="C33" s="499"/>
      <c r="D33" s="499"/>
      <c r="E33" s="499"/>
      <c r="F33" s="287"/>
      <c r="G33" s="857"/>
      <c r="H33" s="280" t="s">
        <v>927</v>
      </c>
      <c r="I33" s="281">
        <f>VLOOKUP(H33,'Im 1B'!$A$2:$C$983,3,FALSE)</f>
        <v>0</v>
      </c>
      <c r="J33" s="282">
        <f>VLOOKUP(H33,'Im 1B'!A188:C1168,2,FALSE)</f>
        <v>5000000</v>
      </c>
      <c r="K33" s="498"/>
      <c r="L33" s="860"/>
      <c r="M33" s="280" t="s">
        <v>2862</v>
      </c>
      <c r="N33" s="281">
        <f>VLOOKUP(M33,'Im 2'!$A$2:$C$1998,3,FALSE)</f>
        <v>0</v>
      </c>
      <c r="O33" s="282">
        <f>VLOOKUP(M33,'Im 2'!$A$2:C1112,2,FALSE)</f>
        <v>26000000</v>
      </c>
      <c r="P33" s="498"/>
      <c r="Q33" s="852"/>
      <c r="R33" s="280" t="s">
        <v>3761</v>
      </c>
      <c r="S33" s="281">
        <f>VLOOKUP(R33,'Im 3A'!$A$2:$C$998,3,FALSE)</f>
        <v>71.900000000000006</v>
      </c>
      <c r="T33" s="282">
        <f>VLOOKUP(R33,'Im 3A'!A15:C1011,2,FALSE)</f>
        <v>478350000</v>
      </c>
      <c r="U33" s="498"/>
      <c r="V33" s="852"/>
      <c r="W33" s="280" t="s">
        <v>3916</v>
      </c>
      <c r="X33" s="281">
        <f>VLOOKUP(W33,'Im 3B'!$A$2:$C$8996,3,FALSE)</f>
        <v>75.5</v>
      </c>
      <c r="Y33" s="282">
        <f>VLOOKUP(W33,'Im 3B'!A15:C2009,2,FALSE)</f>
        <v>502250000</v>
      </c>
    </row>
    <row r="34" spans="1:25" s="706" customFormat="1" ht="11.25" x14ac:dyDescent="0.2">
      <c r="A34" s="293"/>
      <c r="B34" s="499"/>
      <c r="C34" s="499"/>
      <c r="D34" s="499"/>
      <c r="E34" s="499"/>
      <c r="F34" s="287"/>
      <c r="G34" s="857"/>
      <c r="H34" s="280" t="s">
        <v>928</v>
      </c>
      <c r="I34" s="281">
        <f>VLOOKUP(H34,'Im 1B'!$A$2:$C$983,3,FALSE)</f>
        <v>0</v>
      </c>
      <c r="J34" s="282">
        <f>VLOOKUP(H34,'Im 1B'!A189:C1169,2,FALSE)</f>
        <v>5000000</v>
      </c>
      <c r="K34" s="498"/>
      <c r="L34" s="860"/>
      <c r="M34" s="280" t="s">
        <v>1024</v>
      </c>
      <c r="N34" s="281">
        <f>VLOOKUP(M34,'Im 2'!$A$2:$C$1998,3,FALSE)</f>
        <v>0</v>
      </c>
      <c r="O34" s="282">
        <f>VLOOKUP(M34,'Im 2'!$A$2:C1113,2,FALSE)</f>
        <v>26000000</v>
      </c>
      <c r="P34" s="498"/>
      <c r="Q34" s="852"/>
      <c r="R34" s="280" t="s">
        <v>3762</v>
      </c>
      <c r="S34" s="281">
        <f>VLOOKUP(R34,'Im 3A'!$A$2:$C$998,3,FALSE)</f>
        <v>71.900000000000006</v>
      </c>
      <c r="T34" s="282">
        <f>VLOOKUP(R34,'Im 3A'!A16:C1012,2,FALSE)</f>
        <v>478850000</v>
      </c>
      <c r="U34" s="498"/>
      <c r="V34" s="852"/>
      <c r="W34" s="280" t="s">
        <v>3918</v>
      </c>
      <c r="X34" s="281">
        <f>VLOOKUP(W34,'Im 3B'!$A$2:$C$8996,3,FALSE)</f>
        <v>76.3</v>
      </c>
      <c r="Y34" s="282">
        <f>VLOOKUP(W34,'Im 3B'!A16:C2010,2,FALSE)</f>
        <v>508450000</v>
      </c>
    </row>
    <row r="35" spans="1:25" s="706" customFormat="1" ht="14.25" customHeight="1" x14ac:dyDescent="0.2">
      <c r="A35" s="293"/>
      <c r="B35" s="499"/>
      <c r="C35" s="499"/>
      <c r="D35" s="499"/>
      <c r="E35" s="499"/>
      <c r="F35" s="287"/>
      <c r="G35" s="857"/>
      <c r="H35" s="627" t="s">
        <v>929</v>
      </c>
      <c r="I35" s="281">
        <f>VLOOKUP(H35,'Im 1B'!$A$2:$C$983,3,FALSE)</f>
        <v>0</v>
      </c>
      <c r="J35" s="282">
        <f>VLOOKUP(H35,'Im 1B'!A190:C1170,2,FALSE)</f>
        <v>5000000</v>
      </c>
      <c r="K35" s="498"/>
      <c r="L35" s="860"/>
      <c r="M35" s="280" t="s">
        <v>2863</v>
      </c>
      <c r="N35" s="281">
        <f>VLOOKUP(M35,'Im 2'!$A$2:$C$1998,3,FALSE)</f>
        <v>0</v>
      </c>
      <c r="O35" s="282">
        <f>VLOOKUP(M35,'Im 2'!$A$2:C1114,2,FALSE)</f>
        <v>26000000</v>
      </c>
      <c r="P35" s="498"/>
      <c r="Q35" s="852"/>
      <c r="R35" s="280" t="s">
        <v>3763</v>
      </c>
      <c r="S35" s="281">
        <f>VLOOKUP(R35,'Im 3A'!$A$2:$C$998,3,FALSE)</f>
        <v>60.95</v>
      </c>
      <c r="T35" s="282">
        <f>VLOOKUP(R35,'Im 3A'!A17:C1013,2,FALSE)</f>
        <v>408175000</v>
      </c>
      <c r="U35" s="498"/>
      <c r="V35" s="853"/>
      <c r="W35" s="280" t="s">
        <v>3919</v>
      </c>
      <c r="X35" s="281">
        <f>VLOOKUP(W35,'Im 3B'!$A$2:$C$8996,3,FALSE)</f>
        <v>76.3</v>
      </c>
      <c r="Y35" s="282">
        <f>VLOOKUP(W35,'Im 3B'!A17:C2011,2,FALSE)</f>
        <v>509450000</v>
      </c>
    </row>
    <row r="36" spans="1:25" s="706" customFormat="1" ht="11.25" x14ac:dyDescent="0.2">
      <c r="A36" s="293"/>
      <c r="B36" s="499"/>
      <c r="C36" s="499"/>
      <c r="D36" s="499"/>
      <c r="E36" s="499"/>
      <c r="F36" s="287"/>
      <c r="G36" s="857"/>
      <c r="H36" s="627" t="s">
        <v>930</v>
      </c>
      <c r="I36" s="281">
        <f>VLOOKUP(H36,'Im 1B'!$A$2:$C$983,3,FALSE)</f>
        <v>0</v>
      </c>
      <c r="J36" s="282">
        <f>VLOOKUP(H36,'Im 1B'!A191:C1171,2,FALSE)</f>
        <v>5000000</v>
      </c>
      <c r="K36" s="498"/>
      <c r="L36" s="860"/>
      <c r="M36" s="280" t="s">
        <v>1025</v>
      </c>
      <c r="N36" s="281">
        <f>VLOOKUP(M36,'Im 2'!$A$2:$C$1998,3,FALSE)</f>
        <v>0</v>
      </c>
      <c r="O36" s="282">
        <f>VLOOKUP(M36,'Im 2'!$A$2:C1115,2,FALSE)</f>
        <v>26000000</v>
      </c>
      <c r="P36" s="498"/>
      <c r="Q36" s="853"/>
      <c r="R36" s="280" t="s">
        <v>3764</v>
      </c>
      <c r="S36" s="281">
        <f>VLOOKUP(R36,'Im 3A'!$A$2:$C$998,3,FALSE)</f>
        <v>71.900000000000006</v>
      </c>
      <c r="T36" s="282">
        <f>VLOOKUP(R36,'Im 3A'!A18:C1014,2,FALSE)</f>
        <v>479350000</v>
      </c>
      <c r="U36" s="498"/>
      <c r="V36" s="288" t="s">
        <v>1208</v>
      </c>
      <c r="W36" s="289">
        <f>++COUNTA(W20:W35)</f>
        <v>16</v>
      </c>
      <c r="X36" s="290">
        <f>SUM(X20:X35)</f>
        <v>1201.9499999999998</v>
      </c>
      <c r="Y36" s="290">
        <f>SUM(Y20:Y35)</f>
        <v>7935175000</v>
      </c>
    </row>
    <row r="37" spans="1:25" s="707" customFormat="1" ht="11.25" x14ac:dyDescent="0.2">
      <c r="A37" s="293"/>
      <c r="B37" s="499"/>
      <c r="C37" s="499"/>
      <c r="D37" s="499"/>
      <c r="E37" s="499"/>
      <c r="F37" s="287"/>
      <c r="G37" s="857"/>
      <c r="H37" s="627" t="s">
        <v>931</v>
      </c>
      <c r="I37" s="281">
        <f>VLOOKUP(H37,'Im 1B'!$A$2:$C$983,3,FALSE)</f>
        <v>0</v>
      </c>
      <c r="J37" s="282">
        <f>VLOOKUP(H37,'Im 1B'!A192:C1172,2,FALSE)</f>
        <v>5000000</v>
      </c>
      <c r="K37" s="291"/>
      <c r="L37" s="860"/>
      <c r="M37" s="280" t="s">
        <v>1026</v>
      </c>
      <c r="N37" s="281">
        <f>VLOOKUP(M37,'Im 2'!$A$2:$C$1998,3,FALSE)</f>
        <v>0</v>
      </c>
      <c r="O37" s="282">
        <f>VLOOKUP(M37,'Im 2'!$A$2:C1116,2,FALSE)</f>
        <v>26000000</v>
      </c>
      <c r="P37" s="291"/>
      <c r="Q37" s="288" t="s">
        <v>1069</v>
      </c>
      <c r="R37" s="289">
        <f>++COUNTA(R20:R36)</f>
        <v>17</v>
      </c>
      <c r="S37" s="290">
        <f>SUM(S20:S36)</f>
        <v>1211.5000000000002</v>
      </c>
      <c r="T37" s="290">
        <f>SUM(T20:T36)</f>
        <v>8019750000</v>
      </c>
      <c r="U37" s="498"/>
      <c r="V37" s="551"/>
      <c r="W37" s="280"/>
      <c r="X37" s="281"/>
      <c r="Y37" s="282"/>
    </row>
    <row r="38" spans="1:25" s="707" customFormat="1" ht="12.75" customHeight="1" x14ac:dyDescent="0.2">
      <c r="A38" s="293"/>
      <c r="B38" s="499"/>
      <c r="C38" s="499"/>
      <c r="D38" s="499"/>
      <c r="E38" s="499"/>
      <c r="F38" s="287"/>
      <c r="G38" s="857"/>
      <c r="H38" s="627" t="s">
        <v>932</v>
      </c>
      <c r="I38" s="281">
        <f>VLOOKUP(H38,'Im 1B'!$A$2:$C$983,3,FALSE)</f>
        <v>0</v>
      </c>
      <c r="J38" s="282">
        <f>VLOOKUP(H38,'Im 1B'!A193:C1173,2,FALSE)</f>
        <v>5000000</v>
      </c>
      <c r="K38" s="291"/>
      <c r="L38" s="860"/>
      <c r="M38" s="280" t="s">
        <v>2864</v>
      </c>
      <c r="N38" s="281">
        <f>VLOOKUP(M38,'Im 2'!$A$2:$C$1998,3,FALSE)</f>
        <v>0</v>
      </c>
      <c r="O38" s="282">
        <f>VLOOKUP(M38,'Im 2'!$A$2:C1117,2,FALSE)</f>
        <v>26000000</v>
      </c>
      <c r="P38" s="291"/>
      <c r="Q38" s="291"/>
      <c r="R38" s="291"/>
      <c r="S38" s="291"/>
      <c r="T38" s="291"/>
      <c r="U38" s="498"/>
      <c r="V38" s="284" t="s">
        <v>839</v>
      </c>
      <c r="W38" s="285" t="s">
        <v>30</v>
      </c>
      <c r="X38" s="285" t="s">
        <v>31</v>
      </c>
      <c r="Y38" s="286" t="s">
        <v>32</v>
      </c>
    </row>
    <row r="39" spans="1:25" s="707" customFormat="1" ht="12.75" customHeight="1" x14ac:dyDescent="0.2">
      <c r="A39" s="293"/>
      <c r="B39" s="499"/>
      <c r="C39" s="499"/>
      <c r="D39" s="499"/>
      <c r="E39" s="499"/>
      <c r="F39" s="287"/>
      <c r="G39" s="857"/>
      <c r="H39" s="627" t="s">
        <v>933</v>
      </c>
      <c r="I39" s="281">
        <f>VLOOKUP(H39,'Im 1B'!$A$2:$C$983,3,FALSE)</f>
        <v>0</v>
      </c>
      <c r="J39" s="282">
        <f>VLOOKUP(H39,'Im 1B'!A194:C1174,2,FALSE)</f>
        <v>5000000</v>
      </c>
      <c r="K39" s="291"/>
      <c r="L39" s="860"/>
      <c r="M39" s="280" t="s">
        <v>3239</v>
      </c>
      <c r="N39" s="281">
        <f>VLOOKUP(M39,'Im 2'!$A$2:$C$1998,3,FALSE)</f>
        <v>0</v>
      </c>
      <c r="O39" s="282">
        <f>VLOOKUP(M39,'Im 2'!$A$2:C1118,2,FALSE)</f>
        <v>26000000</v>
      </c>
      <c r="P39" s="291"/>
      <c r="Q39" s="284" t="s">
        <v>839</v>
      </c>
      <c r="R39" s="285" t="s">
        <v>30</v>
      </c>
      <c r="S39" s="285" t="s">
        <v>31</v>
      </c>
      <c r="T39" s="286" t="s">
        <v>32</v>
      </c>
      <c r="U39" s="498"/>
      <c r="V39" s="849" t="s">
        <v>833</v>
      </c>
      <c r="W39" s="280" t="s">
        <v>1021</v>
      </c>
      <c r="X39" s="281">
        <f>VLOOKUP(W39,'Im 3B'!$A$2:$C$8996,3,FALSE)</f>
        <v>0</v>
      </c>
      <c r="Y39" s="282">
        <f>VLOOKUP(W39,'Im 3B'!A10:C2098,2,FALSE)</f>
        <v>25000000</v>
      </c>
    </row>
    <row r="40" spans="1:25" s="707" customFormat="1" ht="12.75" customHeight="1" x14ac:dyDescent="0.2">
      <c r="A40" s="293"/>
      <c r="B40" s="499"/>
      <c r="C40" s="499"/>
      <c r="D40" s="499"/>
      <c r="E40" s="499"/>
      <c r="F40" s="287"/>
      <c r="G40" s="857"/>
      <c r="H40" s="627" t="s">
        <v>934</v>
      </c>
      <c r="I40" s="281">
        <f>VLOOKUP(H40,'Im 1B'!$A$2:$C$983,3,FALSE)</f>
        <v>0</v>
      </c>
      <c r="J40" s="282">
        <f>VLOOKUP(H40,'Im 1B'!A195:C1175,2,FALSE)</f>
        <v>5000000</v>
      </c>
      <c r="K40" s="291"/>
      <c r="L40" s="861"/>
      <c r="M40" s="280" t="s">
        <v>3066</v>
      </c>
      <c r="N40" s="281">
        <f>VLOOKUP(M40,'Im 2'!$A$2:$C$1998,3,FALSE)</f>
        <v>0</v>
      </c>
      <c r="O40" s="282">
        <f>VLOOKUP(M40,'Im 2'!$A$2:C1119,2,FALSE)</f>
        <v>26000000</v>
      </c>
      <c r="P40" s="291"/>
      <c r="Q40" s="862" t="s">
        <v>833</v>
      </c>
      <c r="R40" s="280" t="s">
        <v>1027</v>
      </c>
      <c r="S40" s="281">
        <f>VLOOKUP(R40,'Im 3A'!$A$2:$C$998,3,FALSE)</f>
        <v>0</v>
      </c>
      <c r="T40" s="282">
        <f>VLOOKUP(R40,'Im 3A'!A135:C1131,2,FALSE)</f>
        <v>23000000</v>
      </c>
      <c r="U40" s="291"/>
      <c r="V40" s="855"/>
      <c r="W40" s="280" t="s">
        <v>1268</v>
      </c>
      <c r="X40" s="281">
        <f>VLOOKUP(W40,'Im 3B'!$A$2:$C$8996,3,FALSE)</f>
        <v>0</v>
      </c>
      <c r="Y40" s="282">
        <f>VLOOKUP(W40,'Im 3B'!A11:C2099,2,FALSE)</f>
        <v>25000000</v>
      </c>
    </row>
    <row r="41" spans="1:25" s="707" customFormat="1" ht="12.75" customHeight="1" x14ac:dyDescent="0.2">
      <c r="A41" s="293"/>
      <c r="B41" s="499"/>
      <c r="C41" s="499"/>
      <c r="D41" s="499"/>
      <c r="E41" s="499"/>
      <c r="F41" s="287"/>
      <c r="G41" s="857"/>
      <c r="H41" s="627" t="s">
        <v>937</v>
      </c>
      <c r="I41" s="281">
        <f>VLOOKUP(H41,'Im 1B'!$A$2:$C$983,3,FALSE)</f>
        <v>0</v>
      </c>
      <c r="J41" s="282">
        <f>VLOOKUP(H41,'Im 1B'!A196:C1176,2,FALSE)</f>
        <v>5000000</v>
      </c>
      <c r="K41" s="291"/>
      <c r="L41" s="294" t="s">
        <v>2674</v>
      </c>
      <c r="M41" s="295">
        <f>+COUNTA(M32:M40)</f>
        <v>9</v>
      </c>
      <c r="N41" s="296">
        <f>SUM(N32:N40)</f>
        <v>0</v>
      </c>
      <c r="O41" s="296">
        <f>SUM(O32:O40)</f>
        <v>234000000</v>
      </c>
      <c r="P41" s="291"/>
      <c r="Q41" s="863"/>
      <c r="R41" s="280" t="s">
        <v>1028</v>
      </c>
      <c r="S41" s="281">
        <f>VLOOKUP(R41,'Im 3A'!$A$2:$C$998,3,FALSE)</f>
        <v>0</v>
      </c>
      <c r="T41" s="282">
        <f>VLOOKUP(R41,'Im 3A'!A136:C1132,2,FALSE)</f>
        <v>23000000</v>
      </c>
      <c r="U41" s="291"/>
      <c r="V41" s="855"/>
      <c r="W41" s="280" t="s">
        <v>1602</v>
      </c>
      <c r="X41" s="281">
        <f>VLOOKUP(W41,'Im 3B'!$A$2:$C$8996,3,FALSE)</f>
        <v>0</v>
      </c>
      <c r="Y41" s="282">
        <f>VLOOKUP(W41,'Im 3B'!A12:C2100,2,FALSE)</f>
        <v>25000000</v>
      </c>
    </row>
    <row r="42" spans="1:25" s="707" customFormat="1" ht="12.75" customHeight="1" x14ac:dyDescent="0.2">
      <c r="A42" s="293"/>
      <c r="B42" s="499"/>
      <c r="C42" s="499"/>
      <c r="D42" s="499"/>
      <c r="E42" s="499"/>
      <c r="F42" s="287"/>
      <c r="G42" s="857"/>
      <c r="H42" s="627" t="s">
        <v>939</v>
      </c>
      <c r="I42" s="281">
        <f>VLOOKUP(H42,'Im 1B'!$A$2:$C$983,3,FALSE)</f>
        <v>0</v>
      </c>
      <c r="J42" s="282">
        <f>VLOOKUP(H42,'Im 1B'!A197:C1177,2,FALSE)</f>
        <v>5000000</v>
      </c>
      <c r="K42" s="291"/>
      <c r="L42" s="291"/>
      <c r="M42" s="291"/>
      <c r="N42" s="291"/>
      <c r="O42" s="291"/>
      <c r="P42" s="291"/>
      <c r="Q42" s="863"/>
      <c r="R42" s="280" t="s">
        <v>1029</v>
      </c>
      <c r="S42" s="281">
        <f>VLOOKUP(R42,'Im 3A'!$A$2:$C$998,3,FALSE)</f>
        <v>0</v>
      </c>
      <c r="T42" s="282">
        <f>VLOOKUP(R42,'Im 3A'!A137:C1133,2,FALSE)</f>
        <v>23000000</v>
      </c>
      <c r="U42" s="291"/>
      <c r="V42" s="855"/>
      <c r="W42" s="280" t="s">
        <v>2560</v>
      </c>
      <c r="X42" s="281">
        <f>VLOOKUP(W42,'Im 3B'!$A$2:$C$8996,3,FALSE)</f>
        <v>0</v>
      </c>
      <c r="Y42" s="282">
        <f>VLOOKUP(W42,'Im 3B'!A13:C2101,2,FALSE)</f>
        <v>25000000</v>
      </c>
    </row>
    <row r="43" spans="1:25" s="707" customFormat="1" ht="12.75" customHeight="1" x14ac:dyDescent="0.2">
      <c r="A43" s="293"/>
      <c r="B43" s="499"/>
      <c r="C43" s="499"/>
      <c r="D43" s="499"/>
      <c r="E43" s="499"/>
      <c r="F43" s="287"/>
      <c r="G43" s="858"/>
      <c r="H43" s="627" t="s">
        <v>940</v>
      </c>
      <c r="I43" s="281">
        <f>VLOOKUP(H43,'Im 1B'!$A$2:$C$983,3,FALSE)</f>
        <v>0</v>
      </c>
      <c r="J43" s="282">
        <f>VLOOKUP(H43,'Im 1B'!A198:C1178,2,FALSE)</f>
        <v>5000000</v>
      </c>
      <c r="K43" s="291"/>
      <c r="L43" s="284" t="s">
        <v>839</v>
      </c>
      <c r="M43" s="285" t="s">
        <v>30</v>
      </c>
      <c r="N43" s="285" t="s">
        <v>31</v>
      </c>
      <c r="O43" s="286" t="s">
        <v>32</v>
      </c>
      <c r="P43" s="291"/>
      <c r="Q43" s="863"/>
      <c r="R43" s="280" t="s">
        <v>902</v>
      </c>
      <c r="S43" s="281">
        <f>VLOOKUP(R43,'Im 3A'!$A$2:$C$998,3,FALSE)</f>
        <v>0</v>
      </c>
      <c r="T43" s="282">
        <f>VLOOKUP(R43,'Im 3A'!A138:C1134,2,FALSE)</f>
        <v>23000000</v>
      </c>
      <c r="U43" s="291"/>
      <c r="V43" s="855"/>
      <c r="W43" s="280" t="s">
        <v>1455</v>
      </c>
      <c r="X43" s="281">
        <f>VLOOKUP(W43,'Im 3B'!$A$2:$C$8996,3,FALSE)</f>
        <v>0</v>
      </c>
      <c r="Y43" s="282">
        <f>VLOOKUP(W43,'Im 3B'!A14:C2102,2,FALSE)</f>
        <v>25000000</v>
      </c>
    </row>
    <row r="44" spans="1:25" s="707" customFormat="1" ht="12.75" customHeight="1" x14ac:dyDescent="0.2">
      <c r="A44" s="293"/>
      <c r="B44" s="499"/>
      <c r="C44" s="499"/>
      <c r="D44" s="499"/>
      <c r="E44" s="499"/>
      <c r="F44" s="287"/>
      <c r="G44" s="295" t="s">
        <v>966</v>
      </c>
      <c r="H44" s="297">
        <f>COUNTA(H32:H43)</f>
        <v>12</v>
      </c>
      <c r="I44" s="296"/>
      <c r="J44" s="296">
        <f>SUM(J32:J43)</f>
        <v>60000000</v>
      </c>
      <c r="K44" s="291"/>
      <c r="L44" s="849" t="s">
        <v>834</v>
      </c>
      <c r="M44" s="280" t="s">
        <v>2891</v>
      </c>
      <c r="N44" s="281">
        <f>VLOOKUP(M44,'Im 2'!$A$2:$C$1998,3,FALSE)</f>
        <v>0</v>
      </c>
      <c r="O44" s="282">
        <f>VLOOKUP(M44,'Im 2'!$A$2:C1239,2,FALSE)</f>
        <v>6000000</v>
      </c>
      <c r="P44" s="291"/>
      <c r="Q44" s="863"/>
      <c r="R44" s="280" t="s">
        <v>903</v>
      </c>
      <c r="S44" s="281">
        <f>VLOOKUP(R44,'Im 3A'!$A$2:$C$998,3,FALSE)</f>
        <v>0</v>
      </c>
      <c r="T44" s="282">
        <f>VLOOKUP(R44,'Im 3A'!A139:C1135,2,FALSE)</f>
        <v>23000000</v>
      </c>
      <c r="U44" s="291"/>
      <c r="V44" s="855"/>
      <c r="W44" s="280" t="s">
        <v>1457</v>
      </c>
      <c r="X44" s="281">
        <f>VLOOKUP(W44,'Im 3B'!$A$2:$C$8996,3,FALSE)</f>
        <v>0</v>
      </c>
      <c r="Y44" s="282">
        <f>VLOOKUP(W44,'Im 3B'!A15:C2103,2,FALSE)</f>
        <v>25000000</v>
      </c>
    </row>
    <row r="45" spans="1:25" s="707" customFormat="1" ht="12.75" customHeight="1" x14ac:dyDescent="0.2">
      <c r="A45" s="293"/>
      <c r="B45" s="499"/>
      <c r="C45" s="499"/>
      <c r="D45" s="499"/>
      <c r="E45" s="499"/>
      <c r="F45" s="287"/>
      <c r="G45" s="499"/>
      <c r="H45" s="499"/>
      <c r="I45" s="499"/>
      <c r="J45" s="499"/>
      <c r="K45" s="291"/>
      <c r="L45" s="855"/>
      <c r="M45" s="280" t="s">
        <v>2892</v>
      </c>
      <c r="N45" s="281">
        <f>VLOOKUP(M45,'Im 2'!$A$2:$C$1998,3,FALSE)</f>
        <v>0</v>
      </c>
      <c r="O45" s="282">
        <f>VLOOKUP(M45,'Im 2'!$A$2:C1240,2,FALSE)</f>
        <v>6000000</v>
      </c>
      <c r="P45" s="291"/>
      <c r="Q45" s="863"/>
      <c r="R45" s="280" t="s">
        <v>1130</v>
      </c>
      <c r="S45" s="281">
        <f>VLOOKUP(R45,'Im 3A'!$A$2:$C$998,3,FALSE)</f>
        <v>0</v>
      </c>
      <c r="T45" s="282">
        <f>VLOOKUP(R45,'Im 3A'!A140:C1136,2,FALSE)</f>
        <v>23000000</v>
      </c>
      <c r="U45" s="291"/>
      <c r="V45" s="855"/>
      <c r="W45" s="280" t="s">
        <v>2597</v>
      </c>
      <c r="X45" s="281">
        <f>VLOOKUP(W45,'Im 3B'!$A$2:$C$8996,3,FALSE)</f>
        <v>0</v>
      </c>
      <c r="Y45" s="282">
        <f>VLOOKUP(W45,'Im 3B'!A16:C2104,2,FALSE)</f>
        <v>25000000</v>
      </c>
    </row>
    <row r="46" spans="1:25" s="707" customFormat="1" ht="12.75" customHeight="1" x14ac:dyDescent="0.2">
      <c r="A46" s="293"/>
      <c r="B46" s="499"/>
      <c r="C46" s="499"/>
      <c r="D46" s="499"/>
      <c r="E46" s="499"/>
      <c r="F46" s="287"/>
      <c r="G46" s="499"/>
      <c r="H46" s="499"/>
      <c r="I46" s="499"/>
      <c r="J46" s="499"/>
      <c r="K46" s="291"/>
      <c r="L46" s="855"/>
      <c r="M46" s="280" t="s">
        <v>2893</v>
      </c>
      <c r="N46" s="281">
        <f>VLOOKUP(M46,'Im 2'!$A$2:$C$1998,3,FALSE)</f>
        <v>0</v>
      </c>
      <c r="O46" s="282">
        <f>VLOOKUP(M46,'Im 2'!$A$2:C1241,2,FALSE)</f>
        <v>6000000</v>
      </c>
      <c r="P46" s="291"/>
      <c r="Q46" s="863"/>
      <c r="R46" s="280" t="s">
        <v>1259</v>
      </c>
      <c r="S46" s="281">
        <f>VLOOKUP(R46,'Im 3A'!$A$2:$C$998,3,FALSE)</f>
        <v>0</v>
      </c>
      <c r="T46" s="282">
        <f>VLOOKUP(R46,'Im 3A'!A141:C1137,2,FALSE)</f>
        <v>23000000</v>
      </c>
      <c r="U46" s="291"/>
      <c r="V46" s="850"/>
      <c r="W46" s="280" t="s">
        <v>1692</v>
      </c>
      <c r="X46" s="281">
        <f>VLOOKUP(W46,'Im 3B'!$A$2:$C$8996,3,FALSE)</f>
        <v>0</v>
      </c>
      <c r="Y46" s="282">
        <f>VLOOKUP(W46,'Im 3B'!A17:C2105,2,FALSE)</f>
        <v>25000000</v>
      </c>
    </row>
    <row r="47" spans="1:25" s="707" customFormat="1" ht="12.75" customHeight="1" x14ac:dyDescent="0.2">
      <c r="A47" s="293"/>
      <c r="B47" s="499"/>
      <c r="C47" s="499"/>
      <c r="D47" s="499"/>
      <c r="E47" s="499"/>
      <c r="F47" s="287"/>
      <c r="G47" s="499"/>
      <c r="H47" s="499"/>
      <c r="I47" s="499"/>
      <c r="J47" s="499"/>
      <c r="K47" s="291"/>
      <c r="L47" s="855"/>
      <c r="M47" s="280" t="s">
        <v>2894</v>
      </c>
      <c r="N47" s="281">
        <f>VLOOKUP(M47,'Im 2'!$A$2:$C$1998,3,FALSE)</f>
        <v>0</v>
      </c>
      <c r="O47" s="282">
        <f>VLOOKUP(M47,'Im 2'!$A$2:C1242,2,FALSE)</f>
        <v>6000000</v>
      </c>
      <c r="P47" s="291"/>
      <c r="Q47" s="863"/>
      <c r="R47" s="280" t="s">
        <v>1030</v>
      </c>
      <c r="S47" s="281">
        <f>VLOOKUP(R47,'Im 3A'!$A$2:$C$998,3,FALSE)</f>
        <v>0</v>
      </c>
      <c r="T47" s="282">
        <f>VLOOKUP(R47,'Im 3A'!A142:C1138,2,FALSE)</f>
        <v>23000000</v>
      </c>
      <c r="U47" s="291"/>
      <c r="V47" s="294" t="s">
        <v>1209</v>
      </c>
      <c r="W47" s="295">
        <f>+COUNTA(W39:W46)</f>
        <v>8</v>
      </c>
      <c r="X47" s="296">
        <f>SUM(X39:X46)</f>
        <v>0</v>
      </c>
      <c r="Y47" s="296">
        <f>SUM(Y39:Y46)</f>
        <v>200000000</v>
      </c>
    </row>
    <row r="48" spans="1:25" s="707" customFormat="1" ht="12.75" customHeight="1" x14ac:dyDescent="0.2">
      <c r="A48" s="293"/>
      <c r="B48" s="499"/>
      <c r="C48" s="499"/>
      <c r="D48" s="499"/>
      <c r="E48" s="499"/>
      <c r="F48" s="287"/>
      <c r="G48" s="499"/>
      <c r="H48" s="499"/>
      <c r="I48" s="499"/>
      <c r="J48" s="499"/>
      <c r="K48" s="291"/>
      <c r="L48" s="855"/>
      <c r="M48" s="280" t="s">
        <v>2895</v>
      </c>
      <c r="N48" s="281">
        <f>VLOOKUP(M48,'Im 2'!$A$2:$C$1998,3,FALSE)</f>
        <v>0</v>
      </c>
      <c r="O48" s="282">
        <f>VLOOKUP(M48,'Im 2'!$A$2:C1243,2,FALSE)</f>
        <v>6000000</v>
      </c>
      <c r="P48" s="291"/>
      <c r="Q48" s="863"/>
      <c r="R48" s="280" t="s">
        <v>1034</v>
      </c>
      <c r="S48" s="281">
        <f>VLOOKUP(R48,'Im 3A'!$A$2:$C$998,3,FALSE)</f>
        <v>0</v>
      </c>
      <c r="T48" s="282">
        <f>VLOOKUP(R48,'Im 3A'!A143:C1139,2,FALSE)</f>
        <v>23000000</v>
      </c>
      <c r="U48" s="291"/>
      <c r="V48" s="499"/>
      <c r="W48" s="499"/>
      <c r="X48" s="499"/>
      <c r="Y48" s="499"/>
    </row>
    <row r="49" spans="1:25" s="707" customFormat="1" ht="12.75" customHeight="1" x14ac:dyDescent="0.2">
      <c r="A49" s="293"/>
      <c r="B49" s="499"/>
      <c r="C49" s="499"/>
      <c r="D49" s="499"/>
      <c r="E49" s="499"/>
      <c r="F49" s="287"/>
      <c r="G49" s="499"/>
      <c r="H49" s="499"/>
      <c r="I49" s="499"/>
      <c r="J49" s="499"/>
      <c r="K49" s="291"/>
      <c r="L49" s="855"/>
      <c r="M49" s="280" t="s">
        <v>2896</v>
      </c>
      <c r="N49" s="281">
        <f>VLOOKUP(M49,'Im 2'!$A$2:$C$1998,3,FALSE)</f>
        <v>0</v>
      </c>
      <c r="O49" s="282">
        <f>VLOOKUP(M49,'Im 2'!$A$2:C1244,2,FALSE)</f>
        <v>6000000</v>
      </c>
      <c r="P49" s="291"/>
      <c r="Q49" s="863"/>
      <c r="R49" s="280" t="s">
        <v>1260</v>
      </c>
      <c r="S49" s="281">
        <f>VLOOKUP(R49,'Im 3A'!$A$2:$C$998,3,FALSE)</f>
        <v>0</v>
      </c>
      <c r="T49" s="282">
        <f>VLOOKUP(R49,'Im 3A'!A144:C1140,2,FALSE)</f>
        <v>23000000</v>
      </c>
      <c r="U49" s="291"/>
      <c r="V49" s="284" t="s">
        <v>839</v>
      </c>
      <c r="W49" s="285" t="s">
        <v>30</v>
      </c>
      <c r="X49" s="285" t="s">
        <v>31</v>
      </c>
      <c r="Y49" s="286" t="s">
        <v>32</v>
      </c>
    </row>
    <row r="50" spans="1:25" s="707" customFormat="1" ht="12.75" customHeight="1" x14ac:dyDescent="0.2">
      <c r="A50" s="293"/>
      <c r="B50" s="499"/>
      <c r="C50" s="499"/>
      <c r="D50" s="499"/>
      <c r="E50" s="499"/>
      <c r="F50" s="287"/>
      <c r="G50" s="499"/>
      <c r="H50" s="499"/>
      <c r="I50" s="499"/>
      <c r="J50" s="499"/>
      <c r="K50" s="291"/>
      <c r="L50" s="855"/>
      <c r="M50" s="280" t="s">
        <v>2897</v>
      </c>
      <c r="N50" s="281">
        <f>VLOOKUP(M50,'Im 2'!$A$2:$C$1998,3,FALSE)</f>
        <v>0</v>
      </c>
      <c r="O50" s="282">
        <f>VLOOKUP(M50,'Im 2'!$A$2:C1245,2,FALSE)</f>
        <v>6000000</v>
      </c>
      <c r="P50" s="291"/>
      <c r="Q50" s="863"/>
      <c r="R50" s="280" t="s">
        <v>1129</v>
      </c>
      <c r="S50" s="281">
        <f>VLOOKUP(R50,'Im 3A'!$A$2:$C$998,3,FALSE)</f>
        <v>0</v>
      </c>
      <c r="T50" s="282">
        <f>VLOOKUP(R50,'Im 3A'!A145:C1141,2,FALSE)</f>
        <v>23000000</v>
      </c>
      <c r="U50" s="291"/>
      <c r="V50" s="849" t="s">
        <v>834</v>
      </c>
      <c r="W50" s="280" t="s">
        <v>936</v>
      </c>
      <c r="X50" s="281">
        <f>VLOOKUP(W50,'Im 3B'!$A$2:$C$8996,3,FALSE)</f>
        <v>0</v>
      </c>
      <c r="Y50" s="282">
        <f>VLOOKUP(W50,'Im 3B'!A10:C2200,2,FALSE)</f>
        <v>5000000</v>
      </c>
    </row>
    <row r="51" spans="1:25" s="707" customFormat="1" ht="12.75" customHeight="1" x14ac:dyDescent="0.2">
      <c r="A51" s="293"/>
      <c r="B51" s="499"/>
      <c r="C51" s="499"/>
      <c r="D51" s="499"/>
      <c r="E51" s="499"/>
      <c r="F51" s="287"/>
      <c r="G51" s="499"/>
      <c r="H51" s="499"/>
      <c r="I51" s="499"/>
      <c r="J51" s="499"/>
      <c r="K51" s="291"/>
      <c r="L51" s="855"/>
      <c r="M51" s="280" t="s">
        <v>2898</v>
      </c>
      <c r="N51" s="281">
        <f>VLOOKUP(M51,'Im 2'!$A$2:$C$1998,3,FALSE)</f>
        <v>0</v>
      </c>
      <c r="O51" s="282">
        <f>VLOOKUP(M51,'Im 2'!$A$2:C1246,2,FALSE)</f>
        <v>6000000</v>
      </c>
      <c r="P51" s="291"/>
      <c r="Q51" s="863"/>
      <c r="R51" s="280" t="s">
        <v>1178</v>
      </c>
      <c r="S51" s="281">
        <f>VLOOKUP(R51,'Im 3A'!$A$2:$C$998,3,FALSE)</f>
        <v>0</v>
      </c>
      <c r="T51" s="282">
        <f>VLOOKUP(R51,'Im 3A'!A146:C1142,2,FALSE)</f>
        <v>23000000</v>
      </c>
      <c r="U51" s="291"/>
      <c r="V51" s="855"/>
      <c r="W51" s="280" t="s">
        <v>938</v>
      </c>
      <c r="X51" s="281">
        <f>VLOOKUP(W51,'Im 3B'!$A$2:$C$8996,3,FALSE)</f>
        <v>0</v>
      </c>
      <c r="Y51" s="282">
        <f>VLOOKUP(W51,'Im 3B'!A11:C2201,2,FALSE)</f>
        <v>5000000</v>
      </c>
    </row>
    <row r="52" spans="1:25" s="707" customFormat="1" ht="12.75" customHeight="1" x14ac:dyDescent="0.2">
      <c r="A52" s="293"/>
      <c r="B52" s="499"/>
      <c r="C52" s="499"/>
      <c r="D52" s="499"/>
      <c r="E52" s="499"/>
      <c r="F52" s="287"/>
      <c r="G52" s="499"/>
      <c r="H52" s="499"/>
      <c r="I52" s="499"/>
      <c r="J52" s="499"/>
      <c r="K52" s="291"/>
      <c r="L52" s="855"/>
      <c r="M52" s="280" t="s">
        <v>3245</v>
      </c>
      <c r="N52" s="281">
        <f>VLOOKUP(M52,'Im 2'!$A$2:$C$1998,3,FALSE)</f>
        <v>0</v>
      </c>
      <c r="O52" s="282">
        <f>VLOOKUP(M52,'Im 2'!$A$2:C1247,2,FALSE)</f>
        <v>6000000</v>
      </c>
      <c r="P52" s="291"/>
      <c r="Q52" s="863"/>
      <c r="R52" s="280" t="s">
        <v>1343</v>
      </c>
      <c r="S52" s="281">
        <f>VLOOKUP(R52,'Im 3A'!$A$2:$C$998,3,FALSE)</f>
        <v>0</v>
      </c>
      <c r="T52" s="282">
        <f>VLOOKUP(R52,'Im 3A'!A147:C1143,2,FALSE)</f>
        <v>23000000</v>
      </c>
      <c r="U52" s="291"/>
      <c r="V52" s="855"/>
      <c r="W52" s="280" t="s">
        <v>1041</v>
      </c>
      <c r="X52" s="281">
        <f>VLOOKUP(W52,'Im 3B'!$A$2:$C$8996,3,FALSE)</f>
        <v>0</v>
      </c>
      <c r="Y52" s="282">
        <f>VLOOKUP(W52,'Im 3B'!A12:C2202,2,FALSE)</f>
        <v>5000000</v>
      </c>
    </row>
    <row r="53" spans="1:25" s="707" customFormat="1" ht="12.75" customHeight="1" x14ac:dyDescent="0.2">
      <c r="A53" s="293"/>
      <c r="B53" s="499"/>
      <c r="C53" s="499"/>
      <c r="D53" s="499"/>
      <c r="E53" s="499"/>
      <c r="F53" s="287"/>
      <c r="G53" s="499"/>
      <c r="H53" s="499"/>
      <c r="I53" s="499"/>
      <c r="J53" s="499"/>
      <c r="K53" s="291"/>
      <c r="L53" s="850"/>
      <c r="M53" s="280" t="s">
        <v>3094</v>
      </c>
      <c r="N53" s="281">
        <f>VLOOKUP(M53,'Im 2'!$A$2:$C$1998,3,FALSE)</f>
        <v>0</v>
      </c>
      <c r="O53" s="282">
        <f>VLOOKUP(M53,'Im 2'!$A$2:C1248,2,FALSE)</f>
        <v>6000000</v>
      </c>
      <c r="P53" s="291"/>
      <c r="Q53" s="863"/>
      <c r="R53" s="280" t="s">
        <v>1728</v>
      </c>
      <c r="S53" s="281">
        <f>VLOOKUP(R53,'Im 3A'!$A$2:$C$998,3,FALSE)</f>
        <v>0</v>
      </c>
      <c r="T53" s="282">
        <f>VLOOKUP(R53,'Im 3A'!A148:C1144,2,FALSE)</f>
        <v>23000000</v>
      </c>
      <c r="U53" s="291"/>
      <c r="V53" s="855"/>
      <c r="W53" s="280" t="s">
        <v>1606</v>
      </c>
      <c r="X53" s="281">
        <f>VLOOKUP(W53,'Im 3B'!$A$2:$C$8996,3,FALSE)</f>
        <v>0</v>
      </c>
      <c r="Y53" s="282">
        <f>VLOOKUP(W53,'Im 3B'!A13:C2203,2,FALSE)</f>
        <v>5000000</v>
      </c>
    </row>
    <row r="54" spans="1:25" s="707" customFormat="1" ht="12.75" customHeight="1" x14ac:dyDescent="0.2">
      <c r="A54" s="293"/>
      <c r="B54" s="499"/>
      <c r="C54" s="499"/>
      <c r="D54" s="499"/>
      <c r="E54" s="499"/>
      <c r="F54" s="287"/>
      <c r="G54" s="499"/>
      <c r="H54" s="499"/>
      <c r="I54" s="499"/>
      <c r="J54" s="499"/>
      <c r="K54" s="291"/>
      <c r="L54" s="295" t="s">
        <v>2675</v>
      </c>
      <c r="M54" s="297">
        <f>+COUNTA(M44:M53)</f>
        <v>10</v>
      </c>
      <c r="N54" s="296">
        <f>SUM(N44:N45)</f>
        <v>0</v>
      </c>
      <c r="O54" s="296">
        <f>SUM(O44:O53)</f>
        <v>60000000</v>
      </c>
      <c r="P54" s="291"/>
      <c r="Q54" s="863"/>
      <c r="R54" s="280" t="s">
        <v>2273</v>
      </c>
      <c r="S54" s="281">
        <f>VLOOKUP(R54,'Im 3A'!$A$2:$C$998,3,FALSE)</f>
        <v>0</v>
      </c>
      <c r="T54" s="282">
        <f>VLOOKUP(R54,'Im 3A'!A149:C1145,2,FALSE)</f>
        <v>10000000</v>
      </c>
      <c r="U54" s="291"/>
      <c r="V54" s="855"/>
      <c r="W54" s="280" t="s">
        <v>2565</v>
      </c>
      <c r="X54" s="281">
        <f>VLOOKUP(W54,'Im 3B'!$A$2:$C$8996,3,FALSE)</f>
        <v>0</v>
      </c>
      <c r="Y54" s="282">
        <f>VLOOKUP(W54,'Im 3B'!A14:C2204,2,FALSE)</f>
        <v>5000000</v>
      </c>
    </row>
    <row r="55" spans="1:25" s="707" customFormat="1" ht="12.75" customHeight="1" x14ac:dyDescent="0.2">
      <c r="A55" s="293"/>
      <c r="B55" s="499"/>
      <c r="C55" s="499"/>
      <c r="D55" s="499"/>
      <c r="E55" s="499"/>
      <c r="F55" s="287"/>
      <c r="G55" s="499"/>
      <c r="H55" s="499"/>
      <c r="I55" s="499"/>
      <c r="J55" s="499"/>
      <c r="K55" s="291"/>
      <c r="L55" s="499"/>
      <c r="M55" s="499"/>
      <c r="N55" s="499"/>
      <c r="O55" s="499"/>
      <c r="P55" s="291"/>
      <c r="Q55" s="863"/>
      <c r="R55" s="280" t="s">
        <v>2274</v>
      </c>
      <c r="S55" s="281">
        <f>VLOOKUP(R55,'Im 3A'!$A$2:$C$998,3,FALSE)</f>
        <v>0</v>
      </c>
      <c r="T55" s="282">
        <f>VLOOKUP(R55,'Im 3A'!A150:C1146,2,FALSE)</f>
        <v>10000000</v>
      </c>
      <c r="U55" s="291"/>
      <c r="V55" s="855"/>
      <c r="W55" s="280" t="s">
        <v>1461</v>
      </c>
      <c r="X55" s="281">
        <f>VLOOKUP(W55,'Im 3B'!$A$2:$C$8996,3,FALSE)</f>
        <v>0</v>
      </c>
      <c r="Y55" s="282">
        <f>VLOOKUP(W55,'Im 3B'!A15:C2205,2,FALSE)</f>
        <v>5000000</v>
      </c>
    </row>
    <row r="56" spans="1:25" s="707" customFormat="1" ht="12.75" customHeight="1" x14ac:dyDescent="0.2">
      <c r="A56" s="293"/>
      <c r="B56" s="499"/>
      <c r="C56" s="499"/>
      <c r="D56" s="499"/>
      <c r="E56" s="499"/>
      <c r="F56" s="287"/>
      <c r="G56" s="499"/>
      <c r="H56" s="499"/>
      <c r="I56" s="499"/>
      <c r="J56" s="499"/>
      <c r="K56" s="291"/>
      <c r="L56" s="499"/>
      <c r="M56" s="499"/>
      <c r="N56" s="499"/>
      <c r="O56" s="499"/>
      <c r="P56" s="291"/>
      <c r="Q56" s="864"/>
      <c r="R56" s="280" t="s">
        <v>2280</v>
      </c>
      <c r="S56" s="281">
        <f>VLOOKUP(R56,'Im 3A'!$A$2:$C$998,3,FALSE)</f>
        <v>0</v>
      </c>
      <c r="T56" s="282">
        <f>VLOOKUP(R56,'Im 3A'!A151:C1147,2,FALSE)</f>
        <v>10000000</v>
      </c>
      <c r="U56" s="291"/>
      <c r="V56" s="855"/>
      <c r="W56" s="280" t="s">
        <v>1463</v>
      </c>
      <c r="X56" s="281">
        <f>VLOOKUP(W56,'Im 3B'!$A$2:$C$8996,3,FALSE)</f>
        <v>0</v>
      </c>
      <c r="Y56" s="282">
        <f>VLOOKUP(W56,'Im 3B'!A16:C2206,2,FALSE)</f>
        <v>5000000</v>
      </c>
    </row>
    <row r="57" spans="1:25" s="707" customFormat="1" ht="12.75" customHeight="1" x14ac:dyDescent="0.2">
      <c r="A57" s="293"/>
      <c r="B57" s="499"/>
      <c r="C57" s="499"/>
      <c r="D57" s="499"/>
      <c r="E57" s="499"/>
      <c r="F57" s="287"/>
      <c r="G57" s="499"/>
      <c r="H57" s="499"/>
      <c r="I57" s="499"/>
      <c r="J57" s="499"/>
      <c r="K57" s="291"/>
      <c r="L57" s="499"/>
      <c r="M57" s="499"/>
      <c r="N57" s="499"/>
      <c r="O57" s="499"/>
      <c r="P57" s="291"/>
      <c r="Q57" s="294" t="s">
        <v>1070</v>
      </c>
      <c r="R57" s="295">
        <f>+COUNTA(R40:R56)</f>
        <v>17</v>
      </c>
      <c r="S57" s="296">
        <f>SUM(S40:S56)</f>
        <v>0</v>
      </c>
      <c r="T57" s="296">
        <f>SUM(T40:T56)</f>
        <v>352000000</v>
      </c>
      <c r="U57" s="291"/>
      <c r="V57" s="855"/>
      <c r="W57" s="280" t="s">
        <v>2600</v>
      </c>
      <c r="X57" s="281">
        <f>VLOOKUP(W57,'Im 3B'!$A$2:$C$8996,3,FALSE)</f>
        <v>0</v>
      </c>
      <c r="Y57" s="282">
        <f>VLOOKUP(W57,'Im 3B'!A17:C2207,2,FALSE)</f>
        <v>5000000</v>
      </c>
    </row>
    <row r="58" spans="1:25" s="707" customFormat="1" ht="12.75" customHeight="1" x14ac:dyDescent="0.2">
      <c r="A58" s="293"/>
      <c r="B58" s="499"/>
      <c r="C58" s="499"/>
      <c r="D58" s="499"/>
      <c r="E58" s="499"/>
      <c r="F58" s="287"/>
      <c r="G58" s="499"/>
      <c r="H58" s="499"/>
      <c r="I58" s="499"/>
      <c r="J58" s="499"/>
      <c r="K58" s="291"/>
      <c r="L58" s="499"/>
      <c r="M58" s="499"/>
      <c r="N58" s="499"/>
      <c r="O58" s="499"/>
      <c r="P58" s="291"/>
      <c r="Q58" s="291"/>
      <c r="R58" s="291"/>
      <c r="S58" s="291"/>
      <c r="T58" s="291"/>
      <c r="U58" s="291"/>
      <c r="V58" s="850"/>
      <c r="W58" s="280" t="s">
        <v>1695</v>
      </c>
      <c r="X58" s="281">
        <f>VLOOKUP(W58,'Im 3B'!$A$2:$C$8996,3,FALSE)</f>
        <v>0</v>
      </c>
      <c r="Y58" s="282">
        <f>VLOOKUP(W58,'Im 3B'!A18:C2208,2,FALSE)</f>
        <v>5000000</v>
      </c>
    </row>
    <row r="59" spans="1:25" s="707" customFormat="1" ht="12.75" customHeight="1" x14ac:dyDescent="0.2">
      <c r="A59" s="293"/>
      <c r="B59" s="499"/>
      <c r="C59" s="499"/>
      <c r="D59" s="499"/>
      <c r="E59" s="499"/>
      <c r="F59" s="287"/>
      <c r="G59" s="499"/>
      <c r="H59" s="499"/>
      <c r="I59" s="499"/>
      <c r="J59" s="499"/>
      <c r="K59" s="291"/>
      <c r="L59" s="499"/>
      <c r="M59" s="499"/>
      <c r="N59" s="499"/>
      <c r="O59" s="499"/>
      <c r="P59" s="291"/>
      <c r="Q59" s="284" t="s">
        <v>839</v>
      </c>
      <c r="R59" s="285" t="s">
        <v>30</v>
      </c>
      <c r="S59" s="285" t="s">
        <v>31</v>
      </c>
      <c r="T59" s="286" t="s">
        <v>32</v>
      </c>
      <c r="U59" s="291"/>
      <c r="V59" s="295" t="s">
        <v>1210</v>
      </c>
      <c r="W59" s="295">
        <f>+COUNTA(W50:W58)</f>
        <v>9</v>
      </c>
      <c r="X59" s="296">
        <f>SUM(X50:X58)</f>
        <v>0</v>
      </c>
      <c r="Y59" s="296">
        <f>SUM(Y50:Y58)</f>
        <v>45000000</v>
      </c>
    </row>
    <row r="60" spans="1:25" s="707" customFormat="1" ht="12.75" customHeight="1" x14ac:dyDescent="0.2">
      <c r="A60" s="293"/>
      <c r="B60" s="499"/>
      <c r="C60" s="499"/>
      <c r="D60" s="499"/>
      <c r="E60" s="499"/>
      <c r="F60" s="287"/>
      <c r="G60" s="499"/>
      <c r="H60" s="499"/>
      <c r="I60" s="499"/>
      <c r="J60" s="499"/>
      <c r="K60" s="291"/>
      <c r="L60" s="499"/>
      <c r="M60" s="499"/>
      <c r="N60" s="499"/>
      <c r="O60" s="499"/>
      <c r="P60" s="291"/>
      <c r="Q60" s="846" t="s">
        <v>834</v>
      </c>
      <c r="R60" s="280" t="s">
        <v>3897</v>
      </c>
      <c r="S60" s="281">
        <f>VLOOKUP(R60,'Im 3A'!$A$2:$C$998,3,FALSE)</f>
        <v>0</v>
      </c>
      <c r="T60" s="282">
        <f>VLOOKUP(R60,'Im 3A'!A269:C1264,2,FALSE)</f>
        <v>5000000</v>
      </c>
      <c r="U60" s="291"/>
      <c r="V60" s="499"/>
      <c r="W60" s="499"/>
      <c r="X60" s="499"/>
      <c r="Y60" s="499"/>
    </row>
    <row r="61" spans="1:25" s="707" customFormat="1" ht="12.75" customHeight="1" x14ac:dyDescent="0.2">
      <c r="A61" s="293"/>
      <c r="B61" s="499"/>
      <c r="C61" s="499"/>
      <c r="D61" s="499"/>
      <c r="E61" s="499"/>
      <c r="F61" s="499"/>
      <c r="G61" s="499"/>
      <c r="H61" s="499"/>
      <c r="I61" s="499"/>
      <c r="J61" s="499"/>
      <c r="K61" s="499"/>
      <c r="L61" s="499"/>
      <c r="M61" s="499"/>
      <c r="N61" s="499"/>
      <c r="O61" s="499"/>
      <c r="P61" s="499"/>
      <c r="Q61" s="847"/>
      <c r="R61" s="280" t="s">
        <v>1043</v>
      </c>
      <c r="S61" s="281">
        <f>VLOOKUP(R61,'Im 3A'!$A$2:$C$998,3,FALSE)</f>
        <v>0</v>
      </c>
      <c r="T61" s="282">
        <f>VLOOKUP(R61,'Im 3A'!A270:C1265,2,FALSE)</f>
        <v>5000000</v>
      </c>
      <c r="U61" s="291"/>
      <c r="V61" s="499"/>
      <c r="W61" s="499"/>
      <c r="X61" s="499"/>
      <c r="Y61" s="499"/>
    </row>
    <row r="62" spans="1:25" s="707" customFormat="1" ht="12.75" customHeight="1" x14ac:dyDescent="0.2">
      <c r="A62" s="293"/>
      <c r="B62" s="499"/>
      <c r="C62" s="499"/>
      <c r="D62" s="499"/>
      <c r="E62" s="499"/>
      <c r="F62" s="499"/>
      <c r="G62" s="499"/>
      <c r="H62" s="499"/>
      <c r="I62" s="499"/>
      <c r="J62" s="499"/>
      <c r="K62" s="499"/>
      <c r="L62" s="499"/>
      <c r="M62" s="499"/>
      <c r="N62" s="499"/>
      <c r="O62" s="499"/>
      <c r="P62" s="499"/>
      <c r="Q62" s="847"/>
      <c r="R62" s="627" t="s">
        <v>1044</v>
      </c>
      <c r="S62" s="281">
        <f>VLOOKUP(R62,'Im 3A'!$A$2:$C$998,3,FALSE)</f>
        <v>0</v>
      </c>
      <c r="T62" s="282">
        <f>VLOOKUP(R62,'Im 3A'!A271:C1266,2,FALSE)</f>
        <v>5000000</v>
      </c>
      <c r="U62" s="291"/>
      <c r="V62" s="499"/>
      <c r="W62" s="499"/>
      <c r="X62" s="499"/>
      <c r="Y62" s="499"/>
    </row>
    <row r="63" spans="1:25" s="707" customFormat="1" ht="12.75" customHeight="1" x14ac:dyDescent="0.2">
      <c r="A63" s="293"/>
      <c r="B63" s="499"/>
      <c r="C63" s="499"/>
      <c r="D63" s="499"/>
      <c r="E63" s="499"/>
      <c r="F63" s="499"/>
      <c r="G63" s="499"/>
      <c r="H63" s="499"/>
      <c r="I63" s="499"/>
      <c r="J63" s="499"/>
      <c r="K63" s="499"/>
      <c r="L63" s="499"/>
      <c r="M63" s="499"/>
      <c r="N63" s="499"/>
      <c r="O63" s="499"/>
      <c r="P63" s="499"/>
      <c r="Q63" s="847"/>
      <c r="R63" s="627" t="s">
        <v>908</v>
      </c>
      <c r="S63" s="281">
        <f>VLOOKUP(R63,'Im 3A'!$A$2:$C$998,3,FALSE)</f>
        <v>0</v>
      </c>
      <c r="T63" s="282">
        <f>VLOOKUP(R63,'Im 3A'!A272:C1267,2,FALSE)</f>
        <v>5000000</v>
      </c>
      <c r="U63" s="291"/>
      <c r="V63" s="499"/>
      <c r="W63" s="499"/>
      <c r="X63" s="499"/>
      <c r="Y63" s="499"/>
    </row>
    <row r="64" spans="1:25" s="707" customFormat="1" ht="12.75" customHeight="1" x14ac:dyDescent="0.2">
      <c r="A64" s="293"/>
      <c r="B64" s="499"/>
      <c r="C64" s="499"/>
      <c r="D64" s="499"/>
      <c r="E64" s="499"/>
      <c r="F64" s="499"/>
      <c r="G64" s="499"/>
      <c r="H64" s="499"/>
      <c r="I64" s="499"/>
      <c r="J64" s="499"/>
      <c r="K64" s="499"/>
      <c r="L64" s="499"/>
      <c r="M64" s="499"/>
      <c r="N64" s="499"/>
      <c r="O64" s="499"/>
      <c r="P64" s="499"/>
      <c r="Q64" s="847"/>
      <c r="R64" s="627" t="s">
        <v>909</v>
      </c>
      <c r="S64" s="281">
        <f>VLOOKUP(R64,'Im 3A'!$A$2:$C$998,3,FALSE)</f>
        <v>0</v>
      </c>
      <c r="T64" s="282">
        <f>VLOOKUP(R64,'Im 3A'!A273:C1268,2,FALSE)</f>
        <v>5000000</v>
      </c>
      <c r="U64" s="291"/>
      <c r="V64" s="499"/>
      <c r="W64" s="499"/>
      <c r="X64" s="499"/>
      <c r="Y64" s="499"/>
    </row>
    <row r="65" spans="1:25" s="707" customFormat="1" ht="12.75" customHeight="1" x14ac:dyDescent="0.2">
      <c r="A65" s="293"/>
      <c r="B65" s="499"/>
      <c r="C65" s="499"/>
      <c r="D65" s="499"/>
      <c r="E65" s="499"/>
      <c r="F65" s="499"/>
      <c r="G65" s="499"/>
      <c r="H65" s="499"/>
      <c r="I65" s="499"/>
      <c r="J65" s="499"/>
      <c r="K65" s="499"/>
      <c r="L65" s="499"/>
      <c r="M65" s="499"/>
      <c r="N65" s="499"/>
      <c r="O65" s="499"/>
      <c r="P65" s="499"/>
      <c r="Q65" s="847"/>
      <c r="R65" s="627" t="s">
        <v>910</v>
      </c>
      <c r="S65" s="281">
        <f>VLOOKUP(R65,'Im 3A'!$A$2:$C$998,3,FALSE)</f>
        <v>0</v>
      </c>
      <c r="T65" s="282">
        <f>VLOOKUP(R65,'Im 3A'!A274:C1269,2,FALSE)</f>
        <v>5000000</v>
      </c>
      <c r="U65" s="291"/>
      <c r="V65" s="499"/>
      <c r="W65" s="499"/>
      <c r="X65" s="499"/>
      <c r="Y65" s="499"/>
    </row>
    <row r="66" spans="1:25" s="707" customFormat="1" ht="15" customHeight="1" x14ac:dyDescent="0.2">
      <c r="A66" s="293"/>
      <c r="B66" s="499"/>
      <c r="C66" s="499"/>
      <c r="D66" s="499"/>
      <c r="E66" s="499"/>
      <c r="F66" s="499"/>
      <c r="G66" s="499"/>
      <c r="H66" s="499"/>
      <c r="I66" s="499"/>
      <c r="J66" s="499"/>
      <c r="K66" s="499"/>
      <c r="L66" s="499"/>
      <c r="M66" s="499"/>
      <c r="N66" s="499"/>
      <c r="O66" s="499"/>
      <c r="P66" s="499"/>
      <c r="Q66" s="847"/>
      <c r="R66" s="627" t="s">
        <v>911</v>
      </c>
      <c r="S66" s="281">
        <f>VLOOKUP(R66,'Im 3A'!$A$2:$C$998,3,FALSE)</f>
        <v>0</v>
      </c>
      <c r="T66" s="282">
        <f>VLOOKUP(R66,'Im 3A'!A275:C1270,2,FALSE)</f>
        <v>5000000</v>
      </c>
      <c r="U66" s="291"/>
      <c r="V66" s="499"/>
      <c r="W66" s="499"/>
      <c r="X66" s="499"/>
      <c r="Y66" s="499"/>
    </row>
    <row r="67" spans="1:25" s="707" customFormat="1" ht="12.75" customHeight="1" x14ac:dyDescent="0.2">
      <c r="A67" s="293"/>
      <c r="B67" s="499"/>
      <c r="C67" s="499"/>
      <c r="D67" s="499"/>
      <c r="E67" s="499"/>
      <c r="F67" s="499"/>
      <c r="G67" s="499"/>
      <c r="H67" s="499"/>
      <c r="I67" s="499"/>
      <c r="J67" s="499"/>
      <c r="K67" s="499"/>
      <c r="L67" s="499"/>
      <c r="M67" s="499"/>
      <c r="N67" s="499"/>
      <c r="O67" s="499"/>
      <c r="P67" s="499"/>
      <c r="Q67" s="847"/>
      <c r="R67" s="627" t="s">
        <v>912</v>
      </c>
      <c r="S67" s="281">
        <f>VLOOKUP(R67,'Im 3A'!$A$2:$C$998,3,FALSE)</f>
        <v>0</v>
      </c>
      <c r="T67" s="282">
        <f>VLOOKUP(R67,'Im 3A'!A276:C1271,2,FALSE)</f>
        <v>5000000</v>
      </c>
      <c r="U67" s="291"/>
      <c r="V67" s="499"/>
      <c r="W67" s="499"/>
      <c r="X67" s="499"/>
      <c r="Y67" s="499"/>
    </row>
    <row r="68" spans="1:25" s="707" customFormat="1" ht="12.75" customHeight="1" x14ac:dyDescent="0.2">
      <c r="A68" s="293"/>
      <c r="B68" s="499"/>
      <c r="C68" s="499"/>
      <c r="D68" s="499"/>
      <c r="E68" s="499"/>
      <c r="F68" s="499"/>
      <c r="G68" s="499"/>
      <c r="H68" s="499"/>
      <c r="I68" s="499"/>
      <c r="J68" s="499"/>
      <c r="K68" s="499"/>
      <c r="L68" s="499"/>
      <c r="M68" s="499"/>
      <c r="N68" s="499"/>
      <c r="O68" s="499"/>
      <c r="P68" s="499"/>
      <c r="Q68" s="847"/>
      <c r="R68" s="627" t="s">
        <v>913</v>
      </c>
      <c r="S68" s="281">
        <f>VLOOKUP(R68,'Im 3A'!$A$2:$C$998,3,FALSE)</f>
        <v>0</v>
      </c>
      <c r="T68" s="282">
        <f>VLOOKUP(R68,'Im 3A'!A277:C1272,2,FALSE)</f>
        <v>5000000</v>
      </c>
      <c r="U68" s="291"/>
      <c r="V68" s="499"/>
      <c r="W68" s="499"/>
      <c r="X68" s="499"/>
      <c r="Y68" s="499"/>
    </row>
    <row r="69" spans="1:25" s="707" customFormat="1" ht="12.75" customHeight="1" x14ac:dyDescent="0.2">
      <c r="A69" s="293"/>
      <c r="B69" s="499"/>
      <c r="C69" s="499"/>
      <c r="D69" s="499"/>
      <c r="E69" s="499"/>
      <c r="F69" s="499"/>
      <c r="G69" s="499"/>
      <c r="H69" s="499"/>
      <c r="I69" s="499"/>
      <c r="J69" s="499"/>
      <c r="K69" s="499"/>
      <c r="L69" s="499"/>
      <c r="M69" s="499"/>
      <c r="N69" s="499"/>
      <c r="O69" s="499"/>
      <c r="P69" s="499"/>
      <c r="Q69" s="847"/>
      <c r="R69" s="627" t="s">
        <v>1138</v>
      </c>
      <c r="S69" s="281">
        <f>VLOOKUP(R69,'Im 3A'!$A$2:$C$998,3,FALSE)</f>
        <v>0</v>
      </c>
      <c r="T69" s="282">
        <f>VLOOKUP(R69,'Im 3A'!A278:C1273,2,FALSE)</f>
        <v>5000000</v>
      </c>
      <c r="U69" s="291"/>
      <c r="V69" s="499"/>
      <c r="W69" s="499"/>
      <c r="X69" s="499"/>
      <c r="Y69" s="499"/>
    </row>
    <row r="70" spans="1:25" s="707" customFormat="1" ht="12.75" customHeight="1" x14ac:dyDescent="0.2">
      <c r="A70" s="293"/>
      <c r="B70" s="499"/>
      <c r="C70" s="499"/>
      <c r="D70" s="499"/>
      <c r="E70" s="499"/>
      <c r="F70" s="499"/>
      <c r="G70" s="499"/>
      <c r="H70" s="499"/>
      <c r="I70" s="499"/>
      <c r="J70" s="499"/>
      <c r="K70" s="499"/>
      <c r="L70" s="499"/>
      <c r="M70" s="499"/>
      <c r="N70" s="499"/>
      <c r="O70" s="499"/>
      <c r="P70" s="499"/>
      <c r="Q70" s="847"/>
      <c r="R70" s="627" t="s">
        <v>1264</v>
      </c>
      <c r="S70" s="281">
        <f>VLOOKUP(R70,'Im 3A'!$A$2:$C$998,3,FALSE)</f>
        <v>0</v>
      </c>
      <c r="T70" s="282">
        <f>VLOOKUP(R70,'Im 3A'!A279:C1274,2,FALSE)</f>
        <v>5000000</v>
      </c>
      <c r="U70" s="291"/>
      <c r="V70" s="499"/>
      <c r="W70" s="499"/>
      <c r="X70" s="499"/>
      <c r="Y70" s="499"/>
    </row>
    <row r="71" spans="1:25" s="707" customFormat="1" ht="12.75" customHeight="1" x14ac:dyDescent="0.2">
      <c r="A71" s="293"/>
      <c r="B71" s="499"/>
      <c r="C71" s="499"/>
      <c r="D71" s="499"/>
      <c r="E71" s="499"/>
      <c r="F71" s="499"/>
      <c r="G71" s="499"/>
      <c r="H71" s="499"/>
      <c r="I71" s="499"/>
      <c r="J71" s="499"/>
      <c r="K71" s="499"/>
      <c r="L71" s="499"/>
      <c r="M71" s="499"/>
      <c r="N71" s="499"/>
      <c r="O71" s="499"/>
      <c r="P71" s="499"/>
      <c r="Q71" s="847"/>
      <c r="R71" s="627" t="s">
        <v>1045</v>
      </c>
      <c r="S71" s="281">
        <f>VLOOKUP(R71,'Im 3A'!$A$2:$C$998,3,FALSE)</f>
        <v>0</v>
      </c>
      <c r="T71" s="282">
        <f>VLOOKUP(R71,'Im 3A'!A280:C1275,2,FALSE)</f>
        <v>5000000</v>
      </c>
      <c r="U71" s="291"/>
      <c r="V71" s="499"/>
      <c r="W71" s="499"/>
      <c r="X71" s="499"/>
      <c r="Y71" s="499"/>
    </row>
    <row r="72" spans="1:25" s="707" customFormat="1" ht="12.75" customHeight="1" x14ac:dyDescent="0.2">
      <c r="A72" s="293"/>
      <c r="B72" s="499"/>
      <c r="C72" s="499"/>
      <c r="D72" s="499"/>
      <c r="E72" s="499"/>
      <c r="F72" s="499"/>
      <c r="G72" s="499"/>
      <c r="H72" s="499"/>
      <c r="I72" s="499"/>
      <c r="J72" s="499"/>
      <c r="K72" s="499"/>
      <c r="L72" s="499"/>
      <c r="M72" s="499"/>
      <c r="N72" s="499"/>
      <c r="O72" s="499"/>
      <c r="P72" s="499"/>
      <c r="Q72" s="847"/>
      <c r="R72" s="627" t="s">
        <v>1049</v>
      </c>
      <c r="S72" s="281">
        <f>VLOOKUP(R72,'Im 3A'!$A$2:$C$998,3,FALSE)</f>
        <v>0</v>
      </c>
      <c r="T72" s="282">
        <f>VLOOKUP(R72,'Im 3A'!A281:C1276,2,FALSE)</f>
        <v>5000000</v>
      </c>
      <c r="U72" s="291"/>
      <c r="V72" s="499"/>
      <c r="W72" s="499"/>
      <c r="X72" s="499"/>
      <c r="Y72" s="499"/>
    </row>
    <row r="73" spans="1:25" s="707" customFormat="1" ht="12.75" customHeight="1" x14ac:dyDescent="0.2">
      <c r="A73" s="293"/>
      <c r="B73" s="499"/>
      <c r="C73" s="499"/>
      <c r="D73" s="499"/>
      <c r="E73" s="499"/>
      <c r="F73" s="499"/>
      <c r="G73" s="499"/>
      <c r="H73" s="499"/>
      <c r="I73" s="499"/>
      <c r="J73" s="499"/>
      <c r="K73" s="499"/>
      <c r="L73" s="499"/>
      <c r="M73" s="499"/>
      <c r="N73" s="499"/>
      <c r="O73" s="499"/>
      <c r="P73" s="499"/>
      <c r="Q73" s="847"/>
      <c r="R73" s="627" t="s">
        <v>1265</v>
      </c>
      <c r="S73" s="281">
        <f>VLOOKUP(R73,'Im 3A'!$A$2:$C$998,3,FALSE)</f>
        <v>0</v>
      </c>
      <c r="T73" s="282">
        <f>VLOOKUP(R73,'Im 3A'!A282:C1277,2,FALSE)</f>
        <v>5000000</v>
      </c>
      <c r="U73" s="291"/>
      <c r="V73" s="499"/>
      <c r="W73" s="499"/>
      <c r="X73" s="499"/>
      <c r="Y73" s="499"/>
    </row>
    <row r="74" spans="1:25" s="707" customFormat="1" ht="12.75" customHeight="1" x14ac:dyDescent="0.2">
      <c r="A74" s="293"/>
      <c r="B74" s="499"/>
      <c r="C74" s="499"/>
      <c r="D74" s="499"/>
      <c r="E74" s="499"/>
      <c r="F74" s="499"/>
      <c r="G74" s="499"/>
      <c r="H74" s="499"/>
      <c r="I74" s="499"/>
      <c r="J74" s="499"/>
      <c r="K74" s="499"/>
      <c r="L74" s="499"/>
      <c r="M74" s="499"/>
      <c r="N74" s="499"/>
      <c r="O74" s="499"/>
      <c r="P74" s="499"/>
      <c r="Q74" s="847"/>
      <c r="R74" s="627" t="s">
        <v>1344</v>
      </c>
      <c r="S74" s="281">
        <f>VLOOKUP(R74,'Im 3A'!$A$2:$C$998,3,FALSE)</f>
        <v>0</v>
      </c>
      <c r="T74" s="282">
        <f>VLOOKUP(R74,'Im 3A'!A283:C1278,2,FALSE)</f>
        <v>5000000</v>
      </c>
      <c r="U74" s="291"/>
      <c r="V74" s="499"/>
      <c r="W74" s="499"/>
      <c r="X74" s="499"/>
      <c r="Y74" s="499"/>
    </row>
    <row r="75" spans="1:25" s="707" customFormat="1" ht="12.75" customHeight="1" x14ac:dyDescent="0.2">
      <c r="A75" s="293"/>
      <c r="B75" s="499"/>
      <c r="C75" s="499"/>
      <c r="D75" s="499"/>
      <c r="E75" s="499"/>
      <c r="F75" s="499"/>
      <c r="G75" s="499"/>
      <c r="H75" s="499"/>
      <c r="I75" s="499"/>
      <c r="J75" s="499"/>
      <c r="K75" s="499"/>
      <c r="L75" s="499"/>
      <c r="M75" s="499"/>
      <c r="N75" s="499"/>
      <c r="O75" s="499"/>
      <c r="P75" s="499"/>
      <c r="Q75" s="848"/>
      <c r="R75" s="627" t="s">
        <v>1729</v>
      </c>
      <c r="S75" s="281">
        <f>VLOOKUP(R75,'Im 3A'!$A$2:$C$998,3,FALSE)</f>
        <v>0</v>
      </c>
      <c r="T75" s="282">
        <f>VLOOKUP(R75,'Im 3A'!A284:C1279,2,FALSE)</f>
        <v>5000000</v>
      </c>
      <c r="U75" s="291"/>
      <c r="V75" s="499"/>
      <c r="W75" s="499"/>
      <c r="X75" s="499"/>
      <c r="Y75" s="499"/>
    </row>
    <row r="76" spans="1:25" s="707" customFormat="1" ht="12.75" customHeight="1" x14ac:dyDescent="0.2">
      <c r="A76" s="293"/>
      <c r="B76" s="499"/>
      <c r="C76" s="499"/>
      <c r="D76" s="499"/>
      <c r="E76" s="499"/>
      <c r="F76" s="499"/>
      <c r="G76" s="499"/>
      <c r="H76" s="499"/>
      <c r="I76" s="499"/>
      <c r="J76" s="499"/>
      <c r="K76" s="499"/>
      <c r="L76" s="499"/>
      <c r="M76" s="499"/>
      <c r="N76" s="499"/>
      <c r="O76" s="499"/>
      <c r="P76" s="499"/>
      <c r="Q76" s="295" t="s">
        <v>1071</v>
      </c>
      <c r="R76" s="297">
        <f>+COUNTA(R60:R75)</f>
        <v>16</v>
      </c>
      <c r="S76" s="296">
        <f>SUM(S60:S61)</f>
        <v>0</v>
      </c>
      <c r="T76" s="296">
        <f>SUM(T60:T75)</f>
        <v>80000000</v>
      </c>
      <c r="U76" s="291"/>
      <c r="V76" s="499"/>
      <c r="W76" s="499"/>
      <c r="X76" s="499"/>
      <c r="Y76" s="499"/>
    </row>
    <row r="77" spans="1:25" s="707" customFormat="1" ht="12.75" customHeight="1" x14ac:dyDescent="0.2">
      <c r="A77" s="293"/>
      <c r="B77" s="499"/>
      <c r="C77" s="499"/>
      <c r="D77" s="499"/>
      <c r="E77" s="499"/>
      <c r="F77" s="499"/>
      <c r="G77" s="499"/>
      <c r="H77" s="499"/>
      <c r="I77" s="499"/>
      <c r="J77" s="499"/>
      <c r="K77" s="499"/>
      <c r="L77" s="499"/>
      <c r="M77" s="499"/>
      <c r="N77" s="499"/>
      <c r="O77" s="499"/>
      <c r="P77" s="499"/>
      <c r="Q77" s="499"/>
      <c r="R77" s="499"/>
      <c r="S77" s="499"/>
      <c r="T77" s="499"/>
      <c r="U77" s="291"/>
      <c r="V77" s="499"/>
      <c r="W77" s="499"/>
      <c r="X77" s="499"/>
      <c r="Y77" s="499"/>
    </row>
    <row r="78" spans="1:25" s="707" customFormat="1" ht="12.75" customHeight="1" x14ac:dyDescent="0.2">
      <c r="A78" s="293"/>
      <c r="B78" s="499"/>
      <c r="C78" s="499"/>
      <c r="D78" s="499"/>
      <c r="E78" s="499"/>
      <c r="F78" s="499"/>
      <c r="G78" s="499"/>
      <c r="H78" s="499"/>
      <c r="I78" s="499"/>
      <c r="J78" s="499"/>
      <c r="K78" s="499"/>
      <c r="L78" s="499"/>
      <c r="M78" s="499"/>
      <c r="N78" s="499"/>
      <c r="O78" s="499"/>
      <c r="P78" s="499"/>
      <c r="Q78" s="499"/>
      <c r="R78" s="499"/>
      <c r="S78" s="499"/>
      <c r="T78" s="499"/>
      <c r="U78" s="291"/>
      <c r="V78" s="499"/>
      <c r="W78" s="499"/>
      <c r="X78" s="499"/>
      <c r="Y78" s="499"/>
    </row>
    <row r="79" spans="1:25" s="707" customFormat="1" ht="12.75" customHeight="1" x14ac:dyDescent="0.2">
      <c r="A79" s="293"/>
      <c r="B79" s="499"/>
      <c r="C79" s="499"/>
      <c r="D79" s="499"/>
      <c r="E79" s="499"/>
      <c r="F79" s="499"/>
      <c r="G79" s="499"/>
      <c r="H79" s="499"/>
      <c r="I79" s="499"/>
      <c r="J79" s="499"/>
      <c r="K79" s="499"/>
      <c r="L79" s="499"/>
      <c r="M79" s="499"/>
      <c r="N79" s="499"/>
      <c r="O79" s="499"/>
      <c r="P79" s="499"/>
      <c r="Q79" s="499"/>
      <c r="R79" s="499"/>
      <c r="S79" s="499"/>
      <c r="T79" s="499"/>
      <c r="U79" s="291"/>
      <c r="V79" s="499"/>
      <c r="W79" s="499"/>
      <c r="X79" s="499"/>
      <c r="Y79" s="499"/>
    </row>
    <row r="80" spans="1:25" s="707" customFormat="1" ht="12.75" customHeight="1" x14ac:dyDescent="0.2">
      <c r="A80" s="293"/>
      <c r="B80" s="499"/>
      <c r="C80" s="499"/>
      <c r="D80" s="499"/>
      <c r="E80" s="499"/>
      <c r="F80" s="499"/>
      <c r="G80" s="499"/>
      <c r="H80" s="499"/>
      <c r="I80" s="499"/>
      <c r="J80" s="499"/>
      <c r="K80" s="499"/>
      <c r="L80" s="499"/>
      <c r="M80" s="499"/>
      <c r="N80" s="499"/>
      <c r="O80" s="499"/>
      <c r="P80" s="499"/>
      <c r="Q80" s="499"/>
      <c r="R80" s="499"/>
      <c r="S80" s="499"/>
      <c r="T80" s="499"/>
      <c r="U80" s="291"/>
      <c r="V80" s="499"/>
      <c r="W80" s="499"/>
      <c r="X80" s="499"/>
      <c r="Y80" s="499"/>
    </row>
    <row r="81" spans="1:25" s="707" customFormat="1" ht="12.75" customHeight="1" x14ac:dyDescent="0.2">
      <c r="A81" s="293"/>
      <c r="B81" s="499"/>
      <c r="C81" s="499"/>
      <c r="D81" s="499"/>
      <c r="E81" s="499"/>
      <c r="F81" s="499"/>
      <c r="G81" s="499"/>
      <c r="H81" s="499"/>
      <c r="I81" s="499"/>
      <c r="J81" s="499"/>
      <c r="K81" s="499"/>
      <c r="L81" s="499"/>
      <c r="M81" s="499"/>
      <c r="N81" s="499"/>
      <c r="O81" s="499"/>
      <c r="P81" s="499"/>
      <c r="Q81" s="499"/>
      <c r="R81" s="499"/>
      <c r="S81" s="499"/>
      <c r="T81" s="499"/>
      <c r="U81" s="291"/>
      <c r="V81" s="499"/>
      <c r="W81" s="499"/>
      <c r="X81" s="499"/>
      <c r="Y81" s="499"/>
    </row>
    <row r="82" spans="1:25" s="707" customFormat="1" ht="12.75" customHeight="1" x14ac:dyDescent="0.2">
      <c r="A82" s="293"/>
      <c r="B82" s="499"/>
      <c r="C82" s="499"/>
      <c r="D82" s="499"/>
      <c r="E82" s="499"/>
      <c r="F82" s="499"/>
      <c r="G82" s="499"/>
      <c r="H82" s="499"/>
      <c r="I82" s="499"/>
      <c r="J82" s="499"/>
      <c r="K82" s="499"/>
      <c r="L82" s="499"/>
      <c r="M82" s="499"/>
      <c r="N82" s="499"/>
      <c r="O82" s="499"/>
      <c r="P82" s="499"/>
      <c r="Q82" s="499"/>
      <c r="R82" s="499"/>
      <c r="S82" s="499"/>
      <c r="T82" s="499"/>
      <c r="U82" s="291"/>
      <c r="V82" s="499"/>
      <c r="W82" s="499"/>
      <c r="X82" s="499"/>
      <c r="Y82" s="499"/>
    </row>
    <row r="83" spans="1:25" s="707" customFormat="1" ht="12.75" customHeight="1" x14ac:dyDescent="0.2">
      <c r="A83" s="293"/>
      <c r="B83" s="499"/>
      <c r="C83" s="499"/>
      <c r="D83" s="499"/>
      <c r="E83" s="499"/>
      <c r="F83" s="499"/>
      <c r="G83" s="499"/>
      <c r="H83" s="499"/>
      <c r="I83" s="499"/>
      <c r="J83" s="499"/>
      <c r="K83" s="499"/>
      <c r="L83" s="499"/>
      <c r="M83" s="499"/>
      <c r="N83" s="499"/>
      <c r="O83" s="499"/>
      <c r="P83" s="499"/>
      <c r="Q83" s="499"/>
      <c r="R83" s="499"/>
      <c r="S83" s="499"/>
      <c r="T83" s="499"/>
      <c r="U83" s="291"/>
      <c r="V83" s="499"/>
      <c r="W83" s="499"/>
      <c r="X83" s="499"/>
      <c r="Y83" s="499"/>
    </row>
    <row r="84" spans="1:25" s="707" customFormat="1" ht="12.75" customHeight="1" x14ac:dyDescent="0.2">
      <c r="A84" s="293"/>
      <c r="B84" s="499"/>
      <c r="C84" s="499"/>
      <c r="D84" s="499"/>
      <c r="E84" s="499"/>
      <c r="F84" s="499"/>
      <c r="G84" s="499"/>
      <c r="H84" s="499"/>
      <c r="I84" s="499"/>
      <c r="J84" s="499"/>
      <c r="K84" s="499"/>
      <c r="L84" s="499"/>
      <c r="M84" s="499"/>
      <c r="N84" s="499"/>
      <c r="O84" s="499"/>
      <c r="P84" s="499"/>
      <c r="Q84" s="499"/>
      <c r="R84" s="499"/>
      <c r="S84" s="499"/>
      <c r="T84" s="499"/>
      <c r="U84" s="291"/>
      <c r="V84" s="499"/>
      <c r="W84" s="499"/>
      <c r="X84" s="499"/>
      <c r="Y84" s="499"/>
    </row>
    <row r="85" spans="1:25" s="707" customFormat="1" ht="12.75" customHeight="1" x14ac:dyDescent="0.2">
      <c r="A85" s="293"/>
      <c r="B85" s="499"/>
      <c r="C85" s="499"/>
      <c r="D85" s="499"/>
      <c r="E85" s="499"/>
      <c r="F85" s="499"/>
      <c r="G85" s="499"/>
      <c r="H85" s="499"/>
      <c r="I85" s="499"/>
      <c r="J85" s="499"/>
      <c r="K85" s="499"/>
      <c r="L85" s="499"/>
      <c r="M85" s="499"/>
      <c r="N85" s="499"/>
      <c r="O85" s="499"/>
      <c r="P85" s="499"/>
      <c r="Q85" s="499"/>
      <c r="R85" s="499"/>
      <c r="S85" s="499"/>
      <c r="T85" s="499"/>
      <c r="U85" s="291"/>
      <c r="V85" s="499"/>
      <c r="W85" s="499"/>
      <c r="X85" s="499"/>
      <c r="Y85" s="499"/>
    </row>
    <row r="86" spans="1:25" s="707" customFormat="1" ht="12.75" customHeight="1" x14ac:dyDescent="0.2">
      <c r="A86" s="293"/>
      <c r="B86" s="499"/>
      <c r="C86" s="499"/>
      <c r="D86" s="499"/>
      <c r="E86" s="499"/>
      <c r="F86" s="499"/>
      <c r="G86" s="499"/>
      <c r="H86" s="499"/>
      <c r="I86" s="499"/>
      <c r="J86" s="499"/>
      <c r="K86" s="499"/>
      <c r="L86" s="499"/>
      <c r="M86" s="499"/>
      <c r="N86" s="499"/>
      <c r="O86" s="499"/>
      <c r="P86" s="499"/>
      <c r="Q86" s="499"/>
      <c r="R86" s="499"/>
      <c r="S86" s="499"/>
      <c r="T86" s="499"/>
      <c r="U86" s="291"/>
      <c r="V86" s="499"/>
      <c r="W86" s="499"/>
      <c r="X86" s="499"/>
      <c r="Y86" s="499"/>
    </row>
    <row r="87" spans="1:25" s="707" customFormat="1" ht="12.75" customHeight="1" x14ac:dyDescent="0.2">
      <c r="A87" s="293"/>
      <c r="B87" s="499"/>
      <c r="C87" s="499"/>
      <c r="D87" s="499"/>
      <c r="E87" s="499"/>
      <c r="F87" s="499"/>
      <c r="G87" s="499"/>
      <c r="H87" s="499"/>
      <c r="I87" s="499"/>
      <c r="J87" s="499"/>
      <c r="K87" s="499"/>
      <c r="L87" s="499"/>
      <c r="M87" s="499"/>
      <c r="N87" s="499"/>
      <c r="O87" s="499"/>
      <c r="P87" s="499"/>
      <c r="Q87" s="499"/>
      <c r="R87" s="499"/>
      <c r="S87" s="499"/>
      <c r="T87" s="499"/>
      <c r="U87" s="291"/>
      <c r="V87" s="499"/>
      <c r="W87" s="499"/>
      <c r="X87" s="499"/>
      <c r="Y87" s="499"/>
    </row>
    <row r="88" spans="1:25" s="707" customFormat="1" ht="12.75" customHeight="1" x14ac:dyDescent="0.2">
      <c r="A88" s="293"/>
      <c r="B88" s="499"/>
      <c r="C88" s="499"/>
      <c r="D88" s="499"/>
      <c r="E88" s="499"/>
      <c r="F88" s="499"/>
      <c r="G88" s="499"/>
      <c r="H88" s="499"/>
      <c r="I88" s="499"/>
      <c r="J88" s="499"/>
      <c r="K88" s="499"/>
      <c r="L88" s="499"/>
      <c r="M88" s="499"/>
      <c r="N88" s="499"/>
      <c r="O88" s="499"/>
      <c r="P88" s="499"/>
      <c r="Q88" s="499"/>
      <c r="R88" s="499"/>
      <c r="S88" s="499"/>
      <c r="T88" s="499"/>
      <c r="U88" s="291"/>
      <c r="V88" s="499"/>
      <c r="W88" s="499"/>
      <c r="X88" s="499"/>
      <c r="Y88" s="499"/>
    </row>
    <row r="89" spans="1:25" s="707" customFormat="1" ht="12.75" customHeight="1" x14ac:dyDescent="0.2">
      <c r="A89" s="293"/>
      <c r="B89" s="499"/>
      <c r="C89" s="499"/>
      <c r="D89" s="499"/>
      <c r="E89" s="499"/>
      <c r="F89" s="499"/>
      <c r="G89" s="499"/>
      <c r="H89" s="499"/>
      <c r="I89" s="499"/>
      <c r="J89" s="499"/>
      <c r="K89" s="499"/>
      <c r="L89" s="499"/>
      <c r="M89" s="499"/>
      <c r="N89" s="499"/>
      <c r="O89" s="499"/>
      <c r="P89" s="499"/>
      <c r="Q89" s="499"/>
      <c r="R89" s="499"/>
      <c r="S89" s="499"/>
      <c r="T89" s="499"/>
      <c r="U89" s="291"/>
      <c r="V89" s="499"/>
      <c r="W89" s="499"/>
      <c r="X89" s="499"/>
      <c r="Y89" s="499"/>
    </row>
    <row r="90" spans="1:25" s="707" customFormat="1" ht="12.75" customHeight="1" x14ac:dyDescent="0.2">
      <c r="A90" s="293"/>
      <c r="B90" s="499"/>
      <c r="C90" s="499"/>
      <c r="D90" s="499"/>
      <c r="E90" s="499"/>
      <c r="F90" s="499"/>
      <c r="G90" s="499"/>
      <c r="H90" s="499"/>
      <c r="I90" s="499"/>
      <c r="J90" s="499"/>
      <c r="K90" s="499"/>
      <c r="L90" s="499"/>
      <c r="M90" s="499"/>
      <c r="N90" s="499"/>
      <c r="O90" s="499"/>
      <c r="P90" s="499"/>
      <c r="Q90" s="499"/>
      <c r="R90" s="499"/>
      <c r="S90" s="499"/>
      <c r="T90" s="499"/>
      <c r="U90" s="291"/>
      <c r="V90" s="499"/>
      <c r="W90" s="499"/>
      <c r="X90" s="499"/>
      <c r="Y90" s="499"/>
    </row>
    <row r="91" spans="1:25" s="707" customFormat="1" ht="12.75" customHeight="1" x14ac:dyDescent="0.2">
      <c r="A91" s="293"/>
      <c r="B91" s="499"/>
      <c r="C91" s="499"/>
      <c r="D91" s="499"/>
      <c r="E91" s="499"/>
      <c r="F91" s="499"/>
      <c r="G91" s="499"/>
      <c r="H91" s="499"/>
      <c r="I91" s="499"/>
      <c r="J91" s="499"/>
      <c r="K91" s="499"/>
      <c r="L91" s="499"/>
      <c r="M91" s="499"/>
      <c r="N91" s="499"/>
      <c r="O91" s="499"/>
      <c r="P91" s="499"/>
      <c r="Q91" s="499"/>
      <c r="R91" s="499"/>
      <c r="S91" s="499"/>
      <c r="T91" s="499"/>
      <c r="U91" s="291"/>
      <c r="V91" s="499"/>
      <c r="W91" s="499"/>
      <c r="X91" s="499"/>
      <c r="Y91" s="499"/>
    </row>
    <row r="92" spans="1:25" s="707" customFormat="1" ht="12.75" customHeight="1" x14ac:dyDescent="0.2">
      <c r="A92" s="293"/>
      <c r="B92" s="499"/>
      <c r="C92" s="499"/>
      <c r="D92" s="499"/>
      <c r="E92" s="499"/>
      <c r="F92" s="499"/>
      <c r="G92" s="499"/>
      <c r="H92" s="499"/>
      <c r="I92" s="499"/>
      <c r="J92" s="499"/>
      <c r="K92" s="499"/>
      <c r="L92" s="499"/>
      <c r="M92" s="499"/>
      <c r="N92" s="499"/>
      <c r="O92" s="499"/>
      <c r="P92" s="499"/>
      <c r="Q92" s="499"/>
      <c r="R92" s="499"/>
      <c r="S92" s="499"/>
      <c r="T92" s="499"/>
      <c r="U92" s="291"/>
      <c r="V92" s="499"/>
      <c r="W92" s="499"/>
      <c r="X92" s="499"/>
      <c r="Y92" s="499"/>
    </row>
    <row r="93" spans="1:25" s="707" customFormat="1" ht="11.25" x14ac:dyDescent="0.2">
      <c r="A93" s="293"/>
      <c r="B93" s="499"/>
      <c r="C93" s="499"/>
      <c r="D93" s="499"/>
      <c r="E93" s="499"/>
      <c r="F93" s="499"/>
      <c r="G93" s="499"/>
      <c r="H93" s="499"/>
      <c r="I93" s="499"/>
      <c r="J93" s="499"/>
      <c r="K93" s="499"/>
      <c r="L93" s="499"/>
      <c r="M93" s="499"/>
      <c r="N93" s="499"/>
      <c r="O93" s="499"/>
      <c r="P93" s="499"/>
      <c r="Q93" s="499"/>
      <c r="R93" s="499"/>
      <c r="S93" s="499"/>
      <c r="T93" s="499"/>
      <c r="U93" s="291"/>
      <c r="V93" s="499"/>
      <c r="W93" s="499"/>
      <c r="X93" s="499"/>
      <c r="Y93" s="499"/>
    </row>
    <row r="94" spans="1:25" s="707" customFormat="1" ht="12.75" customHeight="1" x14ac:dyDescent="0.2">
      <c r="A94" s="293"/>
      <c r="B94" s="499"/>
      <c r="C94" s="499"/>
      <c r="D94" s="499"/>
      <c r="E94" s="499"/>
      <c r="F94" s="499"/>
      <c r="G94" s="499"/>
      <c r="H94" s="499"/>
      <c r="I94" s="499"/>
      <c r="J94" s="499"/>
      <c r="K94" s="499"/>
      <c r="L94" s="499"/>
      <c r="M94" s="499"/>
      <c r="N94" s="499"/>
      <c r="O94" s="499"/>
      <c r="P94" s="499"/>
      <c r="Q94" s="499"/>
      <c r="R94" s="499"/>
      <c r="S94" s="499"/>
      <c r="T94" s="499"/>
      <c r="U94" s="291"/>
      <c r="V94" s="499"/>
      <c r="W94" s="499"/>
      <c r="X94" s="499"/>
      <c r="Y94" s="499"/>
    </row>
    <row r="95" spans="1:25" s="707" customFormat="1" ht="11.25" x14ac:dyDescent="0.2">
      <c r="A95" s="293"/>
      <c r="B95" s="499"/>
      <c r="C95" s="499"/>
      <c r="D95" s="499"/>
      <c r="E95" s="499"/>
      <c r="F95" s="499"/>
      <c r="G95" s="499"/>
      <c r="H95" s="499"/>
      <c r="I95" s="499"/>
      <c r="J95" s="499"/>
      <c r="K95" s="499"/>
      <c r="L95" s="499"/>
      <c r="M95" s="499"/>
      <c r="N95" s="499"/>
      <c r="O95" s="499"/>
      <c r="P95" s="499"/>
      <c r="Q95" s="499"/>
      <c r="R95" s="499"/>
      <c r="S95" s="499"/>
      <c r="T95" s="499"/>
      <c r="U95" s="291"/>
      <c r="V95" s="499"/>
      <c r="W95" s="499"/>
      <c r="X95" s="499"/>
      <c r="Y95" s="499"/>
    </row>
    <row r="96" spans="1:25" s="707" customFormat="1" ht="11.25" x14ac:dyDescent="0.2">
      <c r="A96" s="293"/>
      <c r="B96" s="499"/>
      <c r="C96" s="499"/>
      <c r="D96" s="499"/>
      <c r="E96" s="499"/>
      <c r="F96" s="499"/>
      <c r="G96" s="499"/>
      <c r="H96" s="499"/>
      <c r="I96" s="499"/>
      <c r="J96" s="499"/>
      <c r="K96" s="499"/>
      <c r="L96" s="499"/>
      <c r="M96" s="499"/>
      <c r="N96" s="499"/>
      <c r="O96" s="499"/>
      <c r="P96" s="499"/>
      <c r="Q96" s="499"/>
      <c r="R96" s="499"/>
      <c r="S96" s="499"/>
      <c r="T96" s="499"/>
      <c r="U96" s="291"/>
      <c r="V96" s="499"/>
      <c r="W96" s="499"/>
      <c r="X96" s="499"/>
      <c r="Y96" s="499"/>
    </row>
    <row r="97" spans="1:25" s="707" customFormat="1" ht="11.25" x14ac:dyDescent="0.2">
      <c r="A97" s="293"/>
      <c r="B97" s="499"/>
      <c r="C97" s="499"/>
      <c r="D97" s="499"/>
      <c r="E97" s="499"/>
      <c r="F97" s="499"/>
      <c r="G97" s="499"/>
      <c r="H97" s="499"/>
      <c r="I97" s="499"/>
      <c r="J97" s="499"/>
      <c r="K97" s="499"/>
      <c r="L97" s="499"/>
      <c r="M97" s="499"/>
      <c r="N97" s="499"/>
      <c r="O97" s="499"/>
      <c r="P97" s="499"/>
      <c r="Q97" s="499"/>
      <c r="R97" s="499"/>
      <c r="S97" s="499"/>
      <c r="T97" s="499"/>
      <c r="U97" s="291"/>
      <c r="V97" s="499"/>
      <c r="W97" s="499"/>
      <c r="X97" s="499"/>
      <c r="Y97" s="499"/>
    </row>
    <row r="98" spans="1:25" s="707" customFormat="1" ht="11.25" x14ac:dyDescent="0.2">
      <c r="A98" s="293"/>
      <c r="B98" s="499"/>
      <c r="C98" s="499"/>
      <c r="D98" s="499"/>
      <c r="E98" s="499"/>
      <c r="F98" s="499"/>
      <c r="G98" s="499"/>
      <c r="H98" s="499"/>
      <c r="I98" s="499"/>
      <c r="J98" s="499"/>
      <c r="K98" s="499"/>
      <c r="L98" s="499"/>
      <c r="M98" s="499"/>
      <c r="N98" s="499"/>
      <c r="O98" s="499"/>
      <c r="P98" s="499"/>
      <c r="Q98" s="499"/>
      <c r="R98" s="499"/>
      <c r="S98" s="499"/>
      <c r="T98" s="499"/>
      <c r="U98" s="291"/>
      <c r="V98" s="499"/>
      <c r="W98" s="499"/>
      <c r="X98" s="499"/>
      <c r="Y98" s="499"/>
    </row>
    <row r="99" spans="1:25" s="707" customFormat="1" ht="11.25" x14ac:dyDescent="0.2">
      <c r="A99" s="293"/>
      <c r="B99" s="499"/>
      <c r="C99" s="499"/>
      <c r="D99" s="499"/>
      <c r="E99" s="499"/>
      <c r="F99" s="499"/>
      <c r="G99" s="499"/>
      <c r="H99" s="499"/>
      <c r="I99" s="499"/>
      <c r="J99" s="499"/>
      <c r="K99" s="499"/>
      <c r="L99" s="499"/>
      <c r="M99" s="499"/>
      <c r="N99" s="499"/>
      <c r="O99" s="499"/>
      <c r="P99" s="499"/>
      <c r="Q99" s="499"/>
      <c r="R99" s="499"/>
      <c r="S99" s="499"/>
      <c r="T99" s="499"/>
      <c r="U99" s="291"/>
      <c r="V99" s="499"/>
      <c r="W99" s="499"/>
      <c r="X99" s="499"/>
      <c r="Y99" s="499"/>
    </row>
    <row r="100" spans="1:25" s="707" customFormat="1" ht="11.25" x14ac:dyDescent="0.2">
      <c r="A100" s="293"/>
      <c r="B100" s="499"/>
      <c r="C100" s="499"/>
      <c r="D100" s="499"/>
      <c r="E100" s="499"/>
      <c r="F100" s="499"/>
      <c r="G100" s="499"/>
      <c r="H100" s="499"/>
      <c r="I100" s="499"/>
      <c r="J100" s="499"/>
      <c r="K100" s="499"/>
      <c r="L100" s="499"/>
      <c r="M100" s="499"/>
      <c r="N100" s="499"/>
      <c r="O100" s="499"/>
      <c r="P100" s="499"/>
      <c r="Q100" s="499"/>
      <c r="R100" s="499"/>
      <c r="S100" s="499"/>
      <c r="T100" s="499"/>
      <c r="U100" s="291"/>
      <c r="V100" s="499"/>
      <c r="W100" s="499"/>
      <c r="X100" s="499"/>
      <c r="Y100" s="499"/>
    </row>
    <row r="101" spans="1:25" s="707" customFormat="1" ht="11.25" x14ac:dyDescent="0.2">
      <c r="A101" s="293"/>
      <c r="B101" s="499"/>
      <c r="C101" s="499"/>
      <c r="D101" s="499"/>
      <c r="E101" s="499"/>
      <c r="F101" s="499"/>
      <c r="G101" s="499"/>
      <c r="H101" s="499"/>
      <c r="I101" s="499"/>
      <c r="J101" s="499"/>
      <c r="K101" s="499"/>
      <c r="L101" s="499"/>
      <c r="M101" s="499"/>
      <c r="N101" s="499"/>
      <c r="O101" s="499"/>
      <c r="P101" s="499"/>
      <c r="Q101" s="499"/>
      <c r="R101" s="499"/>
      <c r="S101" s="499"/>
      <c r="T101" s="499"/>
      <c r="U101" s="291"/>
      <c r="V101" s="499"/>
      <c r="W101" s="499"/>
      <c r="X101" s="499"/>
      <c r="Y101" s="499"/>
    </row>
    <row r="102" spans="1:25" s="707" customFormat="1" ht="11.25" x14ac:dyDescent="0.2">
      <c r="A102" s="293"/>
      <c r="B102" s="499"/>
      <c r="C102" s="499"/>
      <c r="D102" s="499"/>
      <c r="E102" s="499"/>
      <c r="F102" s="499"/>
      <c r="G102" s="499"/>
      <c r="H102" s="499"/>
      <c r="I102" s="499"/>
      <c r="J102" s="499"/>
      <c r="K102" s="499"/>
      <c r="L102" s="499"/>
      <c r="M102" s="499"/>
      <c r="N102" s="499"/>
      <c r="O102" s="499"/>
      <c r="P102" s="499"/>
      <c r="Q102" s="499"/>
      <c r="R102" s="499"/>
      <c r="S102" s="499"/>
      <c r="T102" s="499"/>
      <c r="U102" s="291"/>
      <c r="V102" s="499"/>
      <c r="W102" s="499"/>
      <c r="X102" s="499"/>
      <c r="Y102" s="499"/>
    </row>
    <row r="103" spans="1:25" s="707" customFormat="1" ht="11.25" x14ac:dyDescent="0.2">
      <c r="A103" s="293"/>
      <c r="B103" s="499"/>
      <c r="C103" s="499"/>
      <c r="D103" s="499"/>
      <c r="E103" s="499"/>
      <c r="F103" s="499"/>
      <c r="G103" s="499"/>
      <c r="H103" s="499"/>
      <c r="I103" s="499"/>
      <c r="J103" s="499"/>
      <c r="K103" s="499"/>
      <c r="L103" s="499"/>
      <c r="M103" s="499"/>
      <c r="N103" s="499"/>
      <c r="O103" s="499"/>
      <c r="P103" s="499"/>
      <c r="Q103" s="499"/>
      <c r="R103" s="499"/>
      <c r="S103" s="499"/>
      <c r="T103" s="499"/>
      <c r="U103" s="291"/>
      <c r="V103" s="499"/>
      <c r="W103" s="499"/>
      <c r="X103" s="499"/>
      <c r="Y103" s="499"/>
    </row>
    <row r="104" spans="1:25" s="707" customFormat="1" ht="11.25" x14ac:dyDescent="0.2">
      <c r="A104" s="293"/>
      <c r="B104" s="499"/>
      <c r="C104" s="499"/>
      <c r="D104" s="499"/>
      <c r="E104" s="499"/>
      <c r="F104" s="499"/>
      <c r="G104" s="499"/>
      <c r="H104" s="499"/>
      <c r="I104" s="499"/>
      <c r="J104" s="499"/>
      <c r="K104" s="499"/>
      <c r="L104" s="499"/>
      <c r="M104" s="499"/>
      <c r="N104" s="499"/>
      <c r="O104" s="499"/>
      <c r="P104" s="499"/>
      <c r="Q104" s="499"/>
      <c r="R104" s="499"/>
      <c r="S104" s="499"/>
      <c r="T104" s="499"/>
      <c r="U104" s="291"/>
      <c r="V104" s="499"/>
      <c r="W104" s="499"/>
      <c r="X104" s="499"/>
      <c r="Y104" s="499"/>
    </row>
    <row r="105" spans="1:25" s="707" customFormat="1" ht="11.25" x14ac:dyDescent="0.2">
      <c r="A105" s="293"/>
      <c r="B105" s="499"/>
      <c r="C105" s="499"/>
      <c r="D105" s="499"/>
      <c r="E105" s="499"/>
      <c r="F105" s="499"/>
      <c r="G105" s="499"/>
      <c r="H105" s="499"/>
      <c r="I105" s="499"/>
      <c r="J105" s="499"/>
      <c r="K105" s="499"/>
      <c r="L105" s="499"/>
      <c r="M105" s="499"/>
      <c r="N105" s="499"/>
      <c r="O105" s="499"/>
      <c r="P105" s="499"/>
      <c r="Q105" s="499"/>
      <c r="R105" s="499"/>
      <c r="S105" s="499"/>
      <c r="T105" s="499"/>
      <c r="U105" s="291"/>
      <c r="V105" s="499"/>
      <c r="W105" s="499"/>
      <c r="X105" s="499"/>
      <c r="Y105" s="499"/>
    </row>
    <row r="106" spans="1:25" s="707" customFormat="1" ht="11.25" x14ac:dyDescent="0.2">
      <c r="A106" s="293"/>
      <c r="B106" s="499"/>
      <c r="C106" s="499"/>
      <c r="D106" s="499"/>
      <c r="E106" s="499"/>
      <c r="F106" s="499"/>
      <c r="G106" s="499"/>
      <c r="H106" s="499"/>
      <c r="I106" s="499"/>
      <c r="J106" s="499"/>
      <c r="K106" s="499"/>
      <c r="L106" s="499"/>
      <c r="M106" s="499"/>
      <c r="N106" s="499"/>
      <c r="O106" s="499"/>
      <c r="P106" s="499"/>
      <c r="Q106" s="499"/>
      <c r="R106" s="499"/>
      <c r="S106" s="499"/>
      <c r="T106" s="499"/>
      <c r="U106" s="291"/>
      <c r="V106" s="499"/>
      <c r="W106" s="499"/>
      <c r="X106" s="499"/>
      <c r="Y106" s="499"/>
    </row>
    <row r="107" spans="1:25" s="707" customFormat="1" ht="11.25" x14ac:dyDescent="0.2">
      <c r="A107" s="293"/>
      <c r="B107" s="499"/>
      <c r="C107" s="499"/>
      <c r="D107" s="499"/>
      <c r="E107" s="499"/>
      <c r="F107" s="499"/>
      <c r="G107" s="499"/>
      <c r="H107" s="499"/>
      <c r="I107" s="499"/>
      <c r="J107" s="499"/>
      <c r="K107" s="499"/>
      <c r="L107" s="499"/>
      <c r="M107" s="499"/>
      <c r="N107" s="499"/>
      <c r="O107" s="499"/>
      <c r="P107" s="499"/>
      <c r="Q107" s="499"/>
      <c r="R107" s="499"/>
      <c r="S107" s="499"/>
      <c r="T107" s="499"/>
      <c r="U107" s="291"/>
      <c r="V107" s="499"/>
      <c r="W107" s="499"/>
      <c r="X107" s="499"/>
      <c r="Y107" s="499"/>
    </row>
    <row r="108" spans="1:25" s="707" customFormat="1" ht="11.25" x14ac:dyDescent="0.2">
      <c r="A108" s="293"/>
      <c r="B108" s="499"/>
      <c r="C108" s="499"/>
      <c r="D108" s="499"/>
      <c r="E108" s="499"/>
      <c r="F108" s="499"/>
      <c r="G108" s="499"/>
      <c r="H108" s="499"/>
      <c r="I108" s="499"/>
      <c r="J108" s="499"/>
      <c r="K108" s="499"/>
      <c r="L108" s="499"/>
      <c r="M108" s="499"/>
      <c r="N108" s="499"/>
      <c r="O108" s="499"/>
      <c r="P108" s="499"/>
      <c r="Q108" s="499"/>
      <c r="R108" s="499"/>
      <c r="S108" s="499"/>
      <c r="T108" s="499"/>
      <c r="U108" s="291"/>
      <c r="V108" s="499"/>
      <c r="W108" s="499"/>
      <c r="X108" s="499"/>
      <c r="Y108" s="499"/>
    </row>
    <row r="109" spans="1:25" s="707" customFormat="1" ht="11.25" x14ac:dyDescent="0.2">
      <c r="A109" s="293"/>
      <c r="B109" s="499"/>
      <c r="C109" s="499"/>
      <c r="D109" s="499"/>
      <c r="E109" s="499"/>
      <c r="F109" s="499"/>
      <c r="G109" s="499"/>
      <c r="H109" s="499"/>
      <c r="I109" s="499"/>
      <c r="J109" s="499"/>
      <c r="K109" s="499"/>
      <c r="L109" s="499"/>
      <c r="M109" s="499"/>
      <c r="N109" s="499"/>
      <c r="O109" s="499"/>
      <c r="P109" s="499"/>
      <c r="Q109" s="499"/>
      <c r="R109" s="499"/>
      <c r="S109" s="499"/>
      <c r="T109" s="499"/>
      <c r="U109" s="291"/>
      <c r="V109" s="499"/>
      <c r="W109" s="499"/>
      <c r="X109" s="499"/>
      <c r="Y109" s="499"/>
    </row>
    <row r="110" spans="1:25" s="707" customFormat="1" ht="11.25" x14ac:dyDescent="0.2">
      <c r="A110" s="293"/>
      <c r="B110" s="499"/>
      <c r="C110" s="499"/>
      <c r="D110" s="499"/>
      <c r="E110" s="499"/>
      <c r="F110" s="499"/>
      <c r="G110" s="499"/>
      <c r="H110" s="499"/>
      <c r="I110" s="499"/>
      <c r="J110" s="499"/>
      <c r="K110" s="499"/>
      <c r="L110" s="499"/>
      <c r="M110" s="499"/>
      <c r="N110" s="499"/>
      <c r="O110" s="499"/>
      <c r="P110" s="499"/>
      <c r="Q110" s="499"/>
      <c r="R110" s="499"/>
      <c r="S110" s="499"/>
      <c r="T110" s="499"/>
      <c r="U110" s="291"/>
      <c r="V110" s="499"/>
      <c r="W110" s="499"/>
      <c r="X110" s="499"/>
      <c r="Y110" s="499"/>
    </row>
    <row r="111" spans="1:25" s="707" customFormat="1" ht="11.25" x14ac:dyDescent="0.2">
      <c r="A111" s="293"/>
      <c r="B111" s="499"/>
      <c r="C111" s="499"/>
      <c r="D111" s="499"/>
      <c r="E111" s="499"/>
      <c r="F111" s="499"/>
      <c r="G111" s="499"/>
      <c r="H111" s="499"/>
      <c r="I111" s="499"/>
      <c r="J111" s="499"/>
      <c r="K111" s="499"/>
      <c r="L111" s="499"/>
      <c r="M111" s="499"/>
      <c r="N111" s="499"/>
      <c r="O111" s="499"/>
      <c r="P111" s="499"/>
      <c r="Q111" s="499"/>
      <c r="R111" s="499"/>
      <c r="S111" s="499"/>
      <c r="T111" s="499"/>
      <c r="U111" s="291"/>
      <c r="V111" s="499"/>
      <c r="W111" s="499"/>
      <c r="X111" s="499"/>
      <c r="Y111" s="499"/>
    </row>
    <row r="112" spans="1:25" s="707" customFormat="1" ht="11.25" x14ac:dyDescent="0.2">
      <c r="A112" s="293"/>
      <c r="B112" s="499"/>
      <c r="C112" s="499"/>
      <c r="D112" s="499"/>
      <c r="E112" s="499"/>
      <c r="F112" s="499"/>
      <c r="G112" s="499"/>
      <c r="H112" s="499"/>
      <c r="I112" s="499"/>
      <c r="J112" s="499"/>
      <c r="K112" s="499"/>
      <c r="L112" s="499"/>
      <c r="M112" s="499"/>
      <c r="N112" s="499"/>
      <c r="O112" s="499"/>
      <c r="P112" s="499"/>
      <c r="Q112" s="499"/>
      <c r="R112" s="499"/>
      <c r="S112" s="499"/>
      <c r="T112" s="499"/>
      <c r="U112" s="291"/>
      <c r="V112" s="499"/>
      <c r="W112" s="499"/>
      <c r="X112" s="499"/>
      <c r="Y112" s="499"/>
    </row>
    <row r="113" spans="1:25" s="707" customFormat="1" ht="11.25" x14ac:dyDescent="0.2">
      <c r="A113" s="499"/>
      <c r="B113" s="499"/>
      <c r="C113" s="499"/>
      <c r="D113" s="499"/>
      <c r="E113" s="499"/>
      <c r="F113" s="499"/>
      <c r="G113" s="499"/>
      <c r="H113" s="499"/>
      <c r="I113" s="499"/>
      <c r="J113" s="499"/>
      <c r="K113" s="499"/>
      <c r="L113" s="499"/>
      <c r="M113" s="499"/>
      <c r="N113" s="499"/>
      <c r="O113" s="499"/>
      <c r="P113" s="499"/>
      <c r="Q113" s="499"/>
      <c r="R113" s="499"/>
      <c r="S113" s="499"/>
      <c r="T113" s="499"/>
      <c r="U113" s="291"/>
      <c r="V113" s="499"/>
      <c r="W113" s="499"/>
      <c r="X113" s="499"/>
      <c r="Y113" s="499"/>
    </row>
    <row r="114" spans="1:25" s="707" customFormat="1" ht="11.25" x14ac:dyDescent="0.2">
      <c r="A114" s="499"/>
      <c r="B114" s="499"/>
      <c r="C114" s="499"/>
      <c r="D114" s="499"/>
      <c r="E114" s="499"/>
      <c r="F114" s="499"/>
      <c r="G114" s="499"/>
      <c r="H114" s="499"/>
      <c r="I114" s="499"/>
      <c r="J114" s="499"/>
      <c r="K114" s="499"/>
      <c r="L114" s="499"/>
      <c r="M114" s="499"/>
      <c r="N114" s="499"/>
      <c r="O114" s="499"/>
      <c r="P114" s="499"/>
      <c r="Q114" s="499"/>
      <c r="R114" s="499"/>
      <c r="S114" s="499"/>
      <c r="T114" s="499"/>
      <c r="U114" s="291"/>
      <c r="V114" s="499"/>
      <c r="W114" s="499"/>
      <c r="X114" s="499"/>
      <c r="Y114" s="499"/>
    </row>
    <row r="115" spans="1:25" s="707" customFormat="1" ht="11.25" x14ac:dyDescent="0.2">
      <c r="A115" s="499"/>
      <c r="B115" s="499"/>
      <c r="C115" s="499"/>
      <c r="D115" s="499"/>
      <c r="E115" s="499"/>
      <c r="F115" s="499"/>
      <c r="G115" s="499"/>
      <c r="H115" s="499"/>
      <c r="I115" s="499"/>
      <c r="J115" s="499"/>
      <c r="K115" s="499"/>
      <c r="L115" s="499"/>
      <c r="M115" s="499"/>
      <c r="N115" s="499"/>
      <c r="O115" s="499"/>
      <c r="P115" s="499"/>
      <c r="Q115" s="499"/>
      <c r="R115" s="499"/>
      <c r="S115" s="499"/>
      <c r="T115" s="499"/>
      <c r="U115" s="499"/>
      <c r="V115" s="499"/>
      <c r="W115" s="499"/>
      <c r="X115" s="499"/>
      <c r="Y115" s="499"/>
    </row>
    <row r="116" spans="1:25" s="707" customFormat="1" ht="11.25" x14ac:dyDescent="0.2">
      <c r="A116" s="499"/>
      <c r="B116" s="499"/>
      <c r="C116" s="499"/>
      <c r="D116" s="499"/>
      <c r="E116" s="499"/>
      <c r="F116" s="499"/>
      <c r="G116" s="499"/>
      <c r="H116" s="499"/>
      <c r="I116" s="499"/>
      <c r="J116" s="499"/>
      <c r="K116" s="499"/>
      <c r="L116" s="499"/>
      <c r="M116" s="499"/>
      <c r="N116" s="499"/>
      <c r="O116" s="499"/>
      <c r="P116" s="499"/>
      <c r="Q116" s="499"/>
      <c r="R116" s="499"/>
      <c r="S116" s="499"/>
      <c r="T116" s="499"/>
      <c r="U116" s="499"/>
      <c r="V116" s="499"/>
      <c r="W116" s="499"/>
      <c r="X116" s="499"/>
      <c r="Y116" s="499"/>
    </row>
    <row r="117" spans="1:25" s="707" customFormat="1" ht="11.25" x14ac:dyDescent="0.2">
      <c r="A117" s="499"/>
      <c r="B117" s="499"/>
      <c r="C117" s="499"/>
      <c r="D117" s="499"/>
      <c r="E117" s="499"/>
      <c r="F117" s="499"/>
      <c r="G117" s="499"/>
      <c r="H117" s="499"/>
      <c r="I117" s="499"/>
      <c r="J117" s="499"/>
      <c r="K117" s="499"/>
      <c r="L117" s="499"/>
      <c r="M117" s="499"/>
      <c r="N117" s="499"/>
      <c r="O117" s="499"/>
      <c r="P117" s="499"/>
      <c r="Q117" s="499"/>
      <c r="R117" s="499"/>
      <c r="S117" s="499"/>
      <c r="T117" s="499"/>
      <c r="U117" s="499"/>
      <c r="V117" s="499"/>
      <c r="W117" s="499"/>
      <c r="X117" s="499"/>
      <c r="Y117" s="499"/>
    </row>
    <row r="118" spans="1:25" s="707" customFormat="1" ht="11.25" x14ac:dyDescent="0.2">
      <c r="A118" s="499"/>
      <c r="B118" s="499"/>
      <c r="C118" s="499"/>
      <c r="D118" s="499"/>
      <c r="E118" s="499"/>
      <c r="F118" s="499"/>
      <c r="G118" s="499"/>
      <c r="H118" s="499"/>
      <c r="I118" s="499"/>
      <c r="J118" s="499"/>
      <c r="K118" s="499"/>
      <c r="L118" s="499"/>
      <c r="M118" s="499"/>
      <c r="N118" s="499"/>
      <c r="O118" s="499"/>
      <c r="P118" s="499"/>
      <c r="Q118" s="499"/>
      <c r="R118" s="499"/>
      <c r="S118" s="499"/>
      <c r="T118" s="499"/>
      <c r="U118" s="499"/>
      <c r="V118" s="499"/>
      <c r="W118" s="499"/>
      <c r="X118" s="499"/>
      <c r="Y118" s="499"/>
    </row>
    <row r="119" spans="1:25" s="707" customFormat="1" ht="11.25" x14ac:dyDescent="0.2">
      <c r="A119" s="499"/>
      <c r="B119" s="499"/>
      <c r="C119" s="499"/>
      <c r="D119" s="499"/>
      <c r="E119" s="499"/>
      <c r="F119" s="499"/>
      <c r="G119" s="499"/>
      <c r="H119" s="499"/>
      <c r="I119" s="499"/>
      <c r="J119" s="499"/>
      <c r="K119" s="499"/>
      <c r="L119" s="499"/>
      <c r="M119" s="499"/>
      <c r="N119" s="499"/>
      <c r="O119" s="499"/>
      <c r="P119" s="499"/>
      <c r="Q119" s="499"/>
      <c r="R119" s="499"/>
      <c r="S119" s="499"/>
      <c r="T119" s="499"/>
      <c r="U119" s="499"/>
      <c r="V119" s="499"/>
      <c r="W119" s="499"/>
      <c r="X119" s="499"/>
      <c r="Y119" s="499"/>
    </row>
    <row r="120" spans="1:25" s="707" customFormat="1" ht="11.25" x14ac:dyDescent="0.2">
      <c r="A120" s="499"/>
      <c r="B120" s="499"/>
      <c r="C120" s="499"/>
      <c r="D120" s="499"/>
      <c r="E120" s="499"/>
      <c r="F120" s="499"/>
      <c r="G120" s="499"/>
      <c r="H120" s="499"/>
      <c r="I120" s="499"/>
      <c r="J120" s="499"/>
      <c r="K120" s="499"/>
      <c r="L120" s="499"/>
      <c r="M120" s="499"/>
      <c r="N120" s="499"/>
      <c r="O120" s="499"/>
      <c r="P120" s="499"/>
      <c r="Q120" s="499"/>
      <c r="R120" s="499"/>
      <c r="S120" s="499"/>
      <c r="T120" s="499"/>
      <c r="U120" s="499"/>
      <c r="V120" s="499"/>
      <c r="W120" s="499"/>
      <c r="X120" s="499"/>
      <c r="Y120" s="499"/>
    </row>
    <row r="121" spans="1:25" s="707" customFormat="1" ht="11.25" x14ac:dyDescent="0.2">
      <c r="A121" s="499"/>
      <c r="B121" s="499"/>
      <c r="C121" s="499"/>
      <c r="D121" s="499"/>
      <c r="E121" s="499"/>
      <c r="F121" s="499"/>
      <c r="G121" s="499"/>
      <c r="H121" s="499"/>
      <c r="I121" s="499"/>
      <c r="J121" s="499"/>
      <c r="K121" s="499"/>
      <c r="L121" s="499"/>
      <c r="M121" s="499"/>
      <c r="N121" s="499"/>
      <c r="O121" s="499"/>
      <c r="P121" s="499"/>
      <c r="Q121" s="499"/>
      <c r="R121" s="499"/>
      <c r="S121" s="499"/>
      <c r="T121" s="499"/>
      <c r="U121" s="499"/>
      <c r="V121" s="499"/>
      <c r="W121" s="499"/>
      <c r="X121" s="499"/>
      <c r="Y121" s="499"/>
    </row>
    <row r="122" spans="1:25" s="707" customFormat="1" ht="11.25" x14ac:dyDescent="0.2">
      <c r="A122" s="499"/>
      <c r="B122" s="499"/>
      <c r="C122" s="499"/>
      <c r="D122" s="499"/>
      <c r="E122" s="499"/>
      <c r="F122" s="499"/>
      <c r="G122" s="499"/>
      <c r="H122" s="499"/>
      <c r="I122" s="499"/>
      <c r="J122" s="499"/>
      <c r="K122" s="499"/>
      <c r="L122" s="499"/>
      <c r="M122" s="499"/>
      <c r="N122" s="499"/>
      <c r="O122" s="499"/>
      <c r="P122" s="499"/>
      <c r="Q122" s="499"/>
      <c r="R122" s="499"/>
      <c r="S122" s="499"/>
      <c r="T122" s="499"/>
      <c r="U122" s="499"/>
      <c r="V122" s="499"/>
      <c r="W122" s="499"/>
      <c r="X122" s="499"/>
      <c r="Y122" s="499"/>
    </row>
    <row r="123" spans="1:25" s="707" customFormat="1" ht="11.25" x14ac:dyDescent="0.2">
      <c r="A123" s="499"/>
      <c r="B123" s="499"/>
      <c r="C123" s="499"/>
      <c r="D123" s="499"/>
      <c r="E123" s="499"/>
      <c r="F123" s="499"/>
      <c r="G123" s="499"/>
      <c r="H123" s="499"/>
      <c r="I123" s="499"/>
      <c r="J123" s="499"/>
      <c r="K123" s="499"/>
      <c r="L123" s="499"/>
      <c r="M123" s="499"/>
      <c r="N123" s="499"/>
      <c r="O123" s="499"/>
      <c r="P123" s="499"/>
      <c r="Q123" s="499"/>
      <c r="R123" s="499"/>
      <c r="S123" s="499"/>
      <c r="T123" s="499"/>
      <c r="U123" s="499"/>
      <c r="V123" s="499"/>
      <c r="W123" s="499"/>
      <c r="X123" s="499"/>
      <c r="Y123" s="499"/>
    </row>
    <row r="124" spans="1:25" s="707" customFormat="1" ht="11.25" x14ac:dyDescent="0.2">
      <c r="A124" s="499"/>
      <c r="B124" s="499"/>
      <c r="C124" s="499"/>
      <c r="D124" s="499"/>
      <c r="E124" s="499"/>
      <c r="F124" s="499"/>
      <c r="G124" s="499"/>
      <c r="H124" s="499"/>
      <c r="I124" s="499"/>
      <c r="J124" s="499"/>
      <c r="K124" s="499"/>
      <c r="L124" s="499"/>
      <c r="M124" s="499"/>
      <c r="N124" s="499"/>
      <c r="O124" s="499"/>
      <c r="P124" s="499"/>
      <c r="Q124" s="499"/>
      <c r="R124" s="499"/>
      <c r="S124" s="499"/>
      <c r="T124" s="499"/>
      <c r="U124" s="499"/>
      <c r="V124" s="499"/>
      <c r="W124" s="499"/>
      <c r="X124" s="499"/>
      <c r="Y124" s="499"/>
    </row>
    <row r="125" spans="1:25" s="707" customFormat="1" ht="11.25" x14ac:dyDescent="0.2">
      <c r="A125" s="499"/>
      <c r="B125" s="499"/>
      <c r="C125" s="499"/>
      <c r="D125" s="499"/>
      <c r="E125" s="499"/>
      <c r="F125" s="499"/>
      <c r="G125" s="499"/>
      <c r="H125" s="499"/>
      <c r="I125" s="499"/>
      <c r="J125" s="499"/>
      <c r="K125" s="499"/>
      <c r="L125" s="499"/>
      <c r="M125" s="499"/>
      <c r="N125" s="499"/>
      <c r="O125" s="499"/>
      <c r="P125" s="499"/>
      <c r="Q125" s="499"/>
      <c r="R125" s="499"/>
      <c r="S125" s="499"/>
      <c r="T125" s="499"/>
      <c r="U125" s="499"/>
      <c r="V125" s="499"/>
      <c r="W125" s="499"/>
      <c r="X125" s="499"/>
      <c r="Y125" s="499"/>
    </row>
    <row r="126" spans="1:25" s="707" customFormat="1" ht="11.25" x14ac:dyDescent="0.2">
      <c r="A126" s="499"/>
      <c r="B126" s="499"/>
      <c r="C126" s="499"/>
      <c r="D126" s="499"/>
      <c r="E126" s="499"/>
      <c r="F126" s="499"/>
      <c r="G126" s="499"/>
      <c r="H126" s="499"/>
      <c r="I126" s="499"/>
      <c r="J126" s="499"/>
      <c r="K126" s="499"/>
      <c r="L126" s="499"/>
      <c r="M126" s="499"/>
      <c r="N126" s="499"/>
      <c r="O126" s="499"/>
      <c r="P126" s="499"/>
      <c r="Q126" s="499"/>
      <c r="R126" s="499"/>
      <c r="S126" s="499"/>
      <c r="T126" s="499"/>
      <c r="U126" s="499"/>
      <c r="V126" s="499"/>
      <c r="W126" s="499"/>
      <c r="X126" s="499"/>
      <c r="Y126" s="499"/>
    </row>
    <row r="127" spans="1:25" s="707" customFormat="1" ht="11.25" x14ac:dyDescent="0.2">
      <c r="A127" s="499"/>
      <c r="B127" s="499"/>
      <c r="C127" s="499"/>
      <c r="D127" s="499"/>
      <c r="E127" s="499"/>
      <c r="F127" s="499"/>
      <c r="G127" s="499"/>
      <c r="H127" s="499"/>
      <c r="I127" s="499"/>
      <c r="J127" s="499"/>
      <c r="K127" s="499"/>
      <c r="L127" s="499"/>
      <c r="M127" s="499"/>
      <c r="N127" s="499"/>
      <c r="O127" s="499"/>
      <c r="P127" s="499"/>
      <c r="Q127" s="499"/>
      <c r="R127" s="499"/>
      <c r="S127" s="499"/>
      <c r="T127" s="499"/>
      <c r="U127" s="499"/>
      <c r="V127" s="499"/>
      <c r="W127" s="499"/>
      <c r="X127" s="499"/>
      <c r="Y127" s="499"/>
    </row>
    <row r="128" spans="1:25" s="707" customFormat="1" ht="11.25" x14ac:dyDescent="0.2">
      <c r="A128" s="499"/>
      <c r="B128" s="499"/>
      <c r="C128" s="499"/>
      <c r="D128" s="499"/>
      <c r="E128" s="499"/>
      <c r="F128" s="499"/>
      <c r="G128" s="499"/>
      <c r="H128" s="499"/>
      <c r="I128" s="499"/>
      <c r="J128" s="499"/>
      <c r="K128" s="499"/>
      <c r="L128" s="499"/>
      <c r="M128" s="499"/>
      <c r="N128" s="499"/>
      <c r="O128" s="499"/>
      <c r="P128" s="499"/>
      <c r="Q128" s="499"/>
      <c r="R128" s="499"/>
      <c r="S128" s="499"/>
      <c r="T128" s="499"/>
      <c r="U128" s="499"/>
      <c r="V128" s="499"/>
      <c r="W128" s="499"/>
      <c r="X128" s="499"/>
      <c r="Y128" s="499"/>
    </row>
    <row r="129" spans="1:25" s="707" customFormat="1" ht="11.25" x14ac:dyDescent="0.2">
      <c r="A129" s="499"/>
      <c r="B129" s="499"/>
      <c r="C129" s="499"/>
      <c r="D129" s="499"/>
      <c r="E129" s="499"/>
      <c r="F129" s="499"/>
      <c r="G129" s="499"/>
      <c r="H129" s="499"/>
      <c r="I129" s="499"/>
      <c r="J129" s="499"/>
      <c r="K129" s="499"/>
      <c r="L129" s="499"/>
      <c r="M129" s="499"/>
      <c r="N129" s="499"/>
      <c r="O129" s="499"/>
      <c r="P129" s="499"/>
      <c r="Q129" s="499"/>
      <c r="R129" s="499"/>
      <c r="S129" s="499"/>
      <c r="T129" s="499"/>
      <c r="U129" s="499"/>
      <c r="V129" s="499"/>
      <c r="W129" s="499"/>
      <c r="X129" s="499"/>
      <c r="Y129" s="499"/>
    </row>
    <row r="130" spans="1:25" s="707" customFormat="1" ht="11.25" x14ac:dyDescent="0.2">
      <c r="A130" s="499"/>
      <c r="B130" s="499"/>
      <c r="C130" s="499"/>
      <c r="D130" s="499"/>
      <c r="E130" s="499"/>
      <c r="F130" s="499"/>
      <c r="G130" s="499"/>
      <c r="H130" s="499"/>
      <c r="I130" s="499"/>
      <c r="J130" s="499"/>
      <c r="K130" s="499"/>
      <c r="L130" s="499"/>
      <c r="M130" s="499"/>
      <c r="N130" s="499"/>
      <c r="O130" s="499"/>
      <c r="P130" s="499"/>
      <c r="Q130" s="499"/>
      <c r="R130" s="499"/>
      <c r="S130" s="499"/>
      <c r="T130" s="499"/>
      <c r="U130" s="499"/>
      <c r="V130" s="499"/>
      <c r="W130" s="499"/>
      <c r="X130" s="499"/>
      <c r="Y130" s="499"/>
    </row>
    <row r="131" spans="1:25" s="707" customFormat="1" ht="11.25" x14ac:dyDescent="0.2">
      <c r="A131" s="499"/>
      <c r="B131" s="499"/>
      <c r="C131" s="499"/>
      <c r="D131" s="499"/>
      <c r="E131" s="499"/>
      <c r="F131" s="499"/>
      <c r="G131" s="499"/>
      <c r="H131" s="499"/>
      <c r="I131" s="499"/>
      <c r="J131" s="499"/>
      <c r="K131" s="499"/>
      <c r="L131" s="499"/>
      <c r="M131" s="499"/>
      <c r="N131" s="499"/>
      <c r="O131" s="499"/>
      <c r="P131" s="499"/>
      <c r="Q131" s="499"/>
      <c r="R131" s="499"/>
      <c r="S131" s="499"/>
      <c r="T131" s="499"/>
      <c r="U131" s="499"/>
      <c r="V131" s="499"/>
      <c r="W131" s="499"/>
      <c r="X131" s="499"/>
      <c r="Y131" s="499"/>
    </row>
    <row r="132" spans="1:25" s="707" customFormat="1" ht="13.35" customHeight="1" x14ac:dyDescent="0.2">
      <c r="A132" s="499"/>
      <c r="B132" s="499"/>
      <c r="C132" s="499"/>
      <c r="D132" s="499"/>
      <c r="E132" s="499"/>
      <c r="F132" s="499"/>
      <c r="G132" s="499"/>
      <c r="H132" s="499"/>
      <c r="I132" s="499"/>
      <c r="J132" s="499"/>
      <c r="K132" s="499"/>
      <c r="L132" s="499"/>
      <c r="M132" s="499"/>
      <c r="N132" s="499"/>
      <c r="O132" s="499"/>
      <c r="P132" s="499"/>
      <c r="Q132" s="499"/>
      <c r="R132" s="499"/>
      <c r="S132" s="499"/>
      <c r="T132" s="499"/>
      <c r="U132" s="499"/>
      <c r="V132" s="499"/>
      <c r="W132" s="499"/>
      <c r="X132" s="499"/>
      <c r="Y132" s="499"/>
    </row>
    <row r="133" spans="1:25" s="707" customFormat="1" ht="13.35" customHeight="1" x14ac:dyDescent="0.2">
      <c r="A133" s="499"/>
      <c r="B133" s="499"/>
      <c r="C133" s="499"/>
      <c r="D133" s="499"/>
      <c r="E133" s="499"/>
      <c r="F133" s="499"/>
      <c r="G133" s="499"/>
      <c r="H133" s="499"/>
      <c r="I133" s="499"/>
      <c r="J133" s="499"/>
      <c r="K133" s="499"/>
      <c r="L133" s="499"/>
      <c r="M133" s="499"/>
      <c r="N133" s="499"/>
      <c r="O133" s="499"/>
      <c r="P133" s="499"/>
      <c r="Q133" s="499"/>
      <c r="R133" s="499"/>
      <c r="S133" s="499"/>
      <c r="T133" s="499"/>
      <c r="U133" s="499"/>
      <c r="V133" s="499"/>
      <c r="W133" s="499"/>
      <c r="X133" s="499"/>
      <c r="Y133" s="499"/>
    </row>
    <row r="134" spans="1:25" s="707" customFormat="1" ht="13.35" customHeight="1" x14ac:dyDescent="0.2">
      <c r="A134" s="499"/>
      <c r="B134" s="499"/>
      <c r="C134" s="499"/>
      <c r="D134" s="499"/>
      <c r="E134" s="499"/>
      <c r="F134" s="499"/>
      <c r="G134" s="499"/>
      <c r="H134" s="499"/>
      <c r="I134" s="499"/>
      <c r="J134" s="499"/>
      <c r="K134" s="499"/>
      <c r="L134" s="499"/>
      <c r="M134" s="499"/>
      <c r="N134" s="499"/>
      <c r="O134" s="499"/>
      <c r="P134" s="499"/>
      <c r="Q134" s="499"/>
      <c r="R134" s="499"/>
      <c r="S134" s="499"/>
      <c r="T134" s="499"/>
      <c r="U134" s="499"/>
      <c r="V134" s="499"/>
      <c r="W134" s="499"/>
      <c r="X134" s="499"/>
      <c r="Y134" s="499"/>
    </row>
    <row r="135" spans="1:25" s="707" customFormat="1" ht="13.35" customHeight="1" x14ac:dyDescent="0.2">
      <c r="A135" s="499"/>
      <c r="B135" s="499"/>
      <c r="C135" s="499"/>
      <c r="D135" s="499"/>
      <c r="E135" s="499"/>
      <c r="F135" s="499"/>
      <c r="G135" s="499"/>
      <c r="H135" s="499"/>
      <c r="I135" s="499"/>
      <c r="J135" s="499"/>
      <c r="K135" s="499"/>
      <c r="L135" s="499"/>
      <c r="M135" s="499"/>
      <c r="N135" s="499"/>
      <c r="O135" s="499"/>
      <c r="P135" s="499"/>
      <c r="Q135" s="499"/>
      <c r="R135" s="499"/>
      <c r="S135" s="499"/>
      <c r="T135" s="499"/>
      <c r="U135" s="499"/>
      <c r="V135" s="499"/>
      <c r="W135" s="499"/>
      <c r="X135" s="499"/>
      <c r="Y135" s="499"/>
    </row>
    <row r="136" spans="1:25" s="707" customFormat="1" ht="13.35" customHeight="1" x14ac:dyDescent="0.2">
      <c r="A136" s="499"/>
      <c r="B136" s="499"/>
      <c r="C136" s="499"/>
      <c r="D136" s="499"/>
      <c r="E136" s="499"/>
      <c r="F136" s="499"/>
      <c r="G136" s="499"/>
      <c r="H136" s="499"/>
      <c r="I136" s="499"/>
      <c r="J136" s="499"/>
      <c r="K136" s="499"/>
      <c r="L136" s="499"/>
      <c r="M136" s="499"/>
      <c r="N136" s="499"/>
      <c r="O136" s="499"/>
      <c r="P136" s="499"/>
      <c r="Q136" s="499"/>
      <c r="R136" s="499"/>
      <c r="S136" s="499"/>
      <c r="T136" s="499"/>
      <c r="U136" s="499"/>
      <c r="V136" s="499"/>
      <c r="W136" s="499"/>
      <c r="X136" s="499"/>
      <c r="Y136" s="499"/>
    </row>
    <row r="137" spans="1:25" s="707" customFormat="1" ht="13.35" customHeight="1" x14ac:dyDescent="0.2">
      <c r="A137" s="499"/>
      <c r="B137" s="499"/>
      <c r="C137" s="499"/>
      <c r="D137" s="499"/>
      <c r="E137" s="499"/>
      <c r="F137" s="499"/>
      <c r="G137" s="499"/>
      <c r="H137" s="499"/>
      <c r="I137" s="499"/>
      <c r="J137" s="499"/>
      <c r="K137" s="499"/>
      <c r="L137" s="499"/>
      <c r="M137" s="499"/>
      <c r="N137" s="499"/>
      <c r="O137" s="499"/>
      <c r="P137" s="499"/>
      <c r="Q137" s="499"/>
      <c r="R137" s="499"/>
      <c r="S137" s="499"/>
      <c r="T137" s="499"/>
      <c r="U137" s="499"/>
      <c r="V137" s="499"/>
      <c r="W137" s="499"/>
      <c r="X137" s="499"/>
      <c r="Y137" s="499"/>
    </row>
    <row r="138" spans="1:25" s="707" customFormat="1" ht="13.35" customHeight="1" x14ac:dyDescent="0.2">
      <c r="A138" s="499"/>
      <c r="B138" s="499"/>
      <c r="C138" s="499"/>
      <c r="D138" s="499"/>
      <c r="E138" s="499"/>
      <c r="F138" s="499"/>
      <c r="G138" s="499"/>
      <c r="H138" s="499"/>
      <c r="I138" s="499"/>
      <c r="J138" s="499"/>
      <c r="K138" s="499"/>
      <c r="L138" s="499"/>
      <c r="M138" s="499"/>
      <c r="N138" s="499"/>
      <c r="O138" s="499"/>
      <c r="P138" s="499"/>
      <c r="Q138" s="499"/>
      <c r="R138" s="499"/>
      <c r="S138" s="499"/>
      <c r="T138" s="499"/>
      <c r="U138" s="499"/>
      <c r="V138" s="499"/>
      <c r="W138" s="499"/>
      <c r="X138" s="499"/>
      <c r="Y138" s="499"/>
    </row>
    <row r="139" spans="1:25" s="707" customFormat="1" ht="13.35" customHeight="1" x14ac:dyDescent="0.2">
      <c r="A139" s="499"/>
      <c r="B139" s="499"/>
      <c r="C139" s="499"/>
      <c r="D139" s="499"/>
      <c r="E139" s="499"/>
      <c r="F139" s="499"/>
      <c r="G139" s="499"/>
      <c r="H139" s="499"/>
      <c r="I139" s="499"/>
      <c r="J139" s="499"/>
      <c r="K139" s="499"/>
      <c r="L139" s="499"/>
      <c r="M139" s="499"/>
      <c r="N139" s="499"/>
      <c r="O139" s="499"/>
      <c r="P139" s="499"/>
      <c r="Q139" s="499"/>
      <c r="R139" s="499"/>
      <c r="S139" s="499"/>
      <c r="T139" s="499"/>
      <c r="U139" s="499"/>
      <c r="V139" s="499"/>
      <c r="W139" s="499"/>
      <c r="X139" s="499"/>
      <c r="Y139" s="499"/>
    </row>
    <row r="140" spans="1:25" s="707" customFormat="1" ht="10.5" customHeight="1" x14ac:dyDescent="0.2">
      <c r="A140" s="499"/>
      <c r="B140" s="499"/>
      <c r="C140" s="499"/>
      <c r="D140" s="499"/>
      <c r="E140" s="499"/>
      <c r="F140" s="499"/>
      <c r="G140" s="499"/>
      <c r="H140" s="499"/>
      <c r="I140" s="499"/>
      <c r="J140" s="499"/>
      <c r="K140" s="499"/>
      <c r="L140" s="499"/>
      <c r="M140" s="499"/>
      <c r="N140" s="499"/>
      <c r="O140" s="499"/>
      <c r="P140" s="499"/>
      <c r="Q140" s="499"/>
      <c r="R140" s="499"/>
      <c r="S140" s="499"/>
      <c r="T140" s="499"/>
      <c r="U140" s="499"/>
      <c r="V140" s="499"/>
      <c r="W140" s="499"/>
      <c r="X140" s="499"/>
      <c r="Y140" s="499"/>
    </row>
    <row r="141" spans="1:25" s="707" customFormat="1" ht="13.35" customHeight="1" x14ac:dyDescent="0.2">
      <c r="A141" s="499"/>
      <c r="B141" s="499"/>
      <c r="C141" s="499"/>
      <c r="D141" s="499"/>
      <c r="E141" s="499"/>
      <c r="F141" s="499"/>
      <c r="G141" s="499"/>
      <c r="H141" s="499"/>
      <c r="I141" s="499"/>
      <c r="J141" s="499"/>
      <c r="K141" s="499"/>
      <c r="L141" s="499"/>
      <c r="M141" s="499"/>
      <c r="N141" s="499"/>
      <c r="O141" s="499"/>
      <c r="P141" s="499"/>
      <c r="Q141" s="499"/>
      <c r="R141" s="499"/>
      <c r="S141" s="499"/>
      <c r="T141" s="499"/>
      <c r="U141" s="499"/>
      <c r="V141" s="499"/>
      <c r="W141" s="499"/>
      <c r="X141" s="499"/>
      <c r="Y141" s="499"/>
    </row>
    <row r="142" spans="1:25" s="707" customFormat="1" ht="12.75" customHeight="1" x14ac:dyDescent="0.2">
      <c r="A142" s="499"/>
      <c r="B142" s="499"/>
      <c r="C142" s="499"/>
      <c r="D142" s="499"/>
      <c r="E142" s="499"/>
      <c r="F142" s="499"/>
      <c r="G142" s="499"/>
      <c r="H142" s="499"/>
      <c r="I142" s="499"/>
      <c r="J142" s="499"/>
      <c r="K142" s="499"/>
      <c r="L142" s="499"/>
      <c r="M142" s="499"/>
      <c r="N142" s="499"/>
      <c r="O142" s="499"/>
      <c r="P142" s="499"/>
      <c r="Q142" s="499"/>
      <c r="R142" s="499"/>
      <c r="S142" s="499"/>
      <c r="T142" s="499"/>
      <c r="U142" s="499"/>
      <c r="V142" s="499"/>
      <c r="W142" s="499"/>
      <c r="X142" s="499"/>
      <c r="Y142" s="499"/>
    </row>
    <row r="143" spans="1:25" s="707" customFormat="1" ht="12.75" customHeight="1" x14ac:dyDescent="0.2">
      <c r="A143" s="499"/>
      <c r="B143" s="499"/>
      <c r="C143" s="499"/>
      <c r="D143" s="499"/>
      <c r="E143" s="499"/>
      <c r="F143" s="499"/>
      <c r="G143" s="499"/>
      <c r="H143" s="499"/>
      <c r="I143" s="499"/>
      <c r="J143" s="499"/>
      <c r="K143" s="499"/>
      <c r="L143" s="499"/>
      <c r="M143" s="499"/>
      <c r="N143" s="499"/>
      <c r="O143" s="499"/>
      <c r="P143" s="499"/>
      <c r="Q143" s="499"/>
      <c r="R143" s="499"/>
      <c r="S143" s="499"/>
      <c r="T143" s="499"/>
      <c r="U143" s="499"/>
      <c r="V143" s="499"/>
      <c r="W143" s="499"/>
      <c r="X143" s="499"/>
      <c r="Y143" s="499"/>
    </row>
    <row r="144" spans="1:25" s="707" customFormat="1" ht="12.75" customHeight="1" x14ac:dyDescent="0.2">
      <c r="A144" s="499"/>
      <c r="B144" s="499"/>
      <c r="C144" s="499"/>
      <c r="D144" s="499"/>
      <c r="E144" s="499"/>
      <c r="F144" s="499"/>
      <c r="G144" s="499"/>
      <c r="H144" s="499"/>
      <c r="I144" s="499"/>
      <c r="J144" s="499"/>
      <c r="K144" s="499"/>
      <c r="L144" s="499"/>
      <c r="M144" s="499"/>
      <c r="N144" s="499"/>
      <c r="O144" s="499"/>
      <c r="P144" s="499"/>
      <c r="Q144" s="499"/>
      <c r="R144" s="499"/>
      <c r="S144" s="499"/>
      <c r="T144" s="499"/>
      <c r="U144" s="499"/>
      <c r="V144" s="499"/>
      <c r="W144" s="499"/>
      <c r="X144" s="499"/>
      <c r="Y144" s="499"/>
    </row>
    <row r="145" spans="1:25" s="707" customFormat="1" ht="12.75" customHeight="1" x14ac:dyDescent="0.2">
      <c r="A145" s="499"/>
      <c r="B145" s="499"/>
      <c r="C145" s="499"/>
      <c r="D145" s="499"/>
      <c r="E145" s="499"/>
      <c r="F145" s="499"/>
      <c r="G145" s="499"/>
      <c r="H145" s="499"/>
      <c r="I145" s="499"/>
      <c r="J145" s="499"/>
      <c r="K145" s="499"/>
      <c r="L145" s="499"/>
      <c r="M145" s="499"/>
      <c r="N145" s="499"/>
      <c r="O145" s="499"/>
      <c r="P145" s="499"/>
      <c r="Q145" s="499"/>
      <c r="R145" s="499"/>
      <c r="S145" s="499"/>
      <c r="T145" s="499"/>
      <c r="U145" s="499"/>
      <c r="V145" s="499"/>
      <c r="W145" s="499"/>
      <c r="X145" s="499"/>
      <c r="Y145" s="499"/>
    </row>
    <row r="146" spans="1:25" s="707" customFormat="1" ht="12.75" customHeight="1" x14ac:dyDescent="0.2">
      <c r="A146" s="499"/>
      <c r="B146" s="499"/>
      <c r="C146" s="499"/>
      <c r="D146" s="499"/>
      <c r="E146" s="499"/>
      <c r="F146" s="499"/>
      <c r="G146" s="499"/>
      <c r="H146" s="499"/>
      <c r="I146" s="499"/>
      <c r="J146" s="499"/>
      <c r="K146" s="499"/>
      <c r="L146" s="499"/>
      <c r="M146" s="499"/>
      <c r="N146" s="499"/>
      <c r="O146" s="499"/>
      <c r="P146" s="499"/>
      <c r="Q146" s="499"/>
      <c r="R146" s="499"/>
      <c r="S146" s="499"/>
      <c r="T146" s="499"/>
      <c r="U146" s="499"/>
      <c r="V146" s="499"/>
      <c r="W146" s="499"/>
      <c r="X146" s="499"/>
      <c r="Y146" s="499"/>
    </row>
    <row r="147" spans="1:25" s="707" customFormat="1" ht="12.75" customHeight="1" x14ac:dyDescent="0.2">
      <c r="A147" s="499"/>
      <c r="B147" s="499"/>
      <c r="C147" s="499"/>
      <c r="D147" s="499"/>
      <c r="E147" s="499"/>
      <c r="F147" s="499"/>
      <c r="G147" s="499"/>
      <c r="H147" s="499"/>
      <c r="I147" s="499"/>
      <c r="J147" s="499"/>
      <c r="K147" s="499"/>
      <c r="L147" s="499"/>
      <c r="M147" s="499"/>
      <c r="N147" s="499"/>
      <c r="O147" s="499"/>
      <c r="P147" s="499"/>
      <c r="Q147" s="499"/>
      <c r="R147" s="499"/>
      <c r="S147" s="499"/>
      <c r="T147" s="499"/>
      <c r="U147" s="499"/>
      <c r="V147" s="499"/>
      <c r="W147" s="499"/>
      <c r="X147" s="499"/>
      <c r="Y147" s="499"/>
    </row>
    <row r="148" spans="1:25" s="707" customFormat="1" ht="12.75" customHeight="1" x14ac:dyDescent="0.2">
      <c r="A148" s="499"/>
      <c r="B148" s="499"/>
      <c r="C148" s="499"/>
      <c r="D148" s="499"/>
      <c r="E148" s="499"/>
      <c r="F148" s="499"/>
      <c r="G148" s="499"/>
      <c r="H148" s="499"/>
      <c r="I148" s="499"/>
      <c r="J148" s="499"/>
      <c r="K148" s="499"/>
      <c r="L148" s="499"/>
      <c r="M148" s="499"/>
      <c r="N148" s="499"/>
      <c r="O148" s="499"/>
      <c r="P148" s="499"/>
      <c r="Q148" s="499"/>
      <c r="R148" s="499"/>
      <c r="S148" s="499"/>
      <c r="T148" s="499"/>
      <c r="U148" s="499"/>
      <c r="V148" s="499"/>
      <c r="W148" s="499"/>
      <c r="X148" s="499"/>
      <c r="Y148" s="499"/>
    </row>
    <row r="149" spans="1:25" s="707" customFormat="1" ht="12.75" customHeight="1" x14ac:dyDescent="0.2">
      <c r="A149" s="499"/>
      <c r="B149" s="499"/>
      <c r="C149" s="499"/>
      <c r="D149" s="499"/>
      <c r="E149" s="499"/>
      <c r="F149" s="499"/>
      <c r="G149" s="499"/>
      <c r="H149" s="499"/>
      <c r="I149" s="499"/>
      <c r="J149" s="499"/>
      <c r="K149" s="499"/>
      <c r="L149" s="499"/>
      <c r="M149" s="499"/>
      <c r="N149" s="499"/>
      <c r="O149" s="499"/>
      <c r="P149" s="499"/>
      <c r="Q149" s="499"/>
      <c r="R149" s="499"/>
      <c r="S149" s="499"/>
      <c r="T149" s="499"/>
      <c r="U149" s="499"/>
      <c r="V149" s="499"/>
      <c r="W149" s="499"/>
      <c r="X149" s="499"/>
      <c r="Y149" s="499"/>
    </row>
    <row r="150" spans="1:25" s="707" customFormat="1" ht="12.75" customHeight="1" x14ac:dyDescent="0.2">
      <c r="A150" s="499"/>
      <c r="B150" s="499"/>
      <c r="C150" s="499"/>
      <c r="D150" s="499"/>
      <c r="E150" s="499"/>
      <c r="F150" s="499"/>
      <c r="G150" s="499"/>
      <c r="H150" s="499"/>
      <c r="I150" s="499"/>
      <c r="J150" s="499"/>
      <c r="K150" s="499"/>
      <c r="L150" s="499"/>
      <c r="M150" s="499"/>
      <c r="N150" s="499"/>
      <c r="O150" s="499"/>
      <c r="P150" s="499"/>
      <c r="Q150" s="499"/>
      <c r="R150" s="499"/>
      <c r="S150" s="499"/>
      <c r="T150" s="499"/>
      <c r="U150" s="499"/>
      <c r="V150" s="499"/>
      <c r="W150" s="499"/>
      <c r="X150" s="499"/>
      <c r="Y150" s="499"/>
    </row>
    <row r="151" spans="1:25" s="707" customFormat="1" ht="12.75" customHeight="1" x14ac:dyDescent="0.2">
      <c r="A151" s="499"/>
      <c r="B151" s="499"/>
      <c r="C151" s="499"/>
      <c r="D151" s="499"/>
      <c r="E151" s="499"/>
      <c r="F151" s="499"/>
      <c r="G151" s="499"/>
      <c r="H151" s="499"/>
      <c r="I151" s="499"/>
      <c r="J151" s="499"/>
      <c r="K151" s="499"/>
      <c r="L151" s="499"/>
      <c r="M151" s="499"/>
      <c r="N151" s="499"/>
      <c r="O151" s="499"/>
      <c r="P151" s="499"/>
      <c r="Q151" s="499"/>
      <c r="R151" s="499"/>
      <c r="S151" s="499"/>
      <c r="T151" s="499"/>
      <c r="U151" s="499"/>
      <c r="V151" s="499"/>
      <c r="W151" s="499"/>
      <c r="X151" s="499"/>
      <c r="Y151" s="499"/>
    </row>
    <row r="152" spans="1:25" s="707" customFormat="1" ht="12.75" customHeight="1" x14ac:dyDescent="0.2">
      <c r="A152" s="499"/>
      <c r="B152" s="499"/>
      <c r="C152" s="499"/>
      <c r="D152" s="499"/>
      <c r="E152" s="499"/>
      <c r="F152" s="499"/>
      <c r="G152" s="499"/>
      <c r="H152" s="499"/>
      <c r="I152" s="499"/>
      <c r="J152" s="499"/>
      <c r="K152" s="499"/>
      <c r="L152" s="499"/>
      <c r="M152" s="499"/>
      <c r="N152" s="499"/>
      <c r="O152" s="499"/>
      <c r="P152" s="499"/>
      <c r="Q152" s="499"/>
      <c r="R152" s="499"/>
      <c r="S152" s="499"/>
      <c r="T152" s="499"/>
      <c r="U152" s="499"/>
      <c r="V152" s="499"/>
      <c r="W152" s="499"/>
      <c r="X152" s="499"/>
      <c r="Y152" s="499"/>
    </row>
    <row r="153" spans="1:25" s="707" customFormat="1" ht="12.75" customHeight="1" x14ac:dyDescent="0.2">
      <c r="A153" s="499"/>
      <c r="B153" s="499"/>
      <c r="C153" s="499"/>
      <c r="D153" s="499"/>
      <c r="E153" s="499"/>
      <c r="F153" s="499"/>
      <c r="G153" s="499"/>
      <c r="H153" s="499"/>
      <c r="I153" s="499"/>
      <c r="J153" s="499"/>
      <c r="K153" s="499"/>
      <c r="L153" s="499"/>
      <c r="M153" s="499"/>
      <c r="N153" s="499"/>
      <c r="O153" s="499"/>
      <c r="P153" s="499"/>
      <c r="Q153" s="499"/>
      <c r="R153" s="499"/>
      <c r="S153" s="499"/>
      <c r="T153" s="499"/>
      <c r="U153" s="499"/>
      <c r="V153" s="499"/>
      <c r="W153" s="499"/>
      <c r="X153" s="499"/>
      <c r="Y153" s="499"/>
    </row>
    <row r="154" spans="1:25" s="707" customFormat="1" ht="12.75" customHeight="1" x14ac:dyDescent="0.2">
      <c r="A154" s="499"/>
      <c r="B154" s="499"/>
      <c r="C154" s="499"/>
      <c r="D154" s="499"/>
      <c r="E154" s="499"/>
      <c r="F154" s="499"/>
      <c r="G154" s="499"/>
      <c r="H154" s="499"/>
      <c r="I154" s="499"/>
      <c r="J154" s="499"/>
      <c r="K154" s="499"/>
      <c r="L154" s="499"/>
      <c r="M154" s="499"/>
      <c r="N154" s="499"/>
      <c r="O154" s="499"/>
      <c r="P154" s="499"/>
      <c r="Q154" s="499"/>
      <c r="R154" s="499"/>
      <c r="S154" s="499"/>
      <c r="T154" s="499"/>
      <c r="U154" s="499"/>
      <c r="V154" s="499"/>
      <c r="W154" s="499"/>
      <c r="X154" s="499"/>
      <c r="Y154" s="499"/>
    </row>
    <row r="155" spans="1:25" s="707" customFormat="1" ht="12.75" customHeight="1" x14ac:dyDescent="0.2">
      <c r="A155" s="499"/>
      <c r="B155" s="499"/>
      <c r="C155" s="499"/>
      <c r="D155" s="499"/>
      <c r="E155" s="499"/>
      <c r="F155" s="499"/>
      <c r="G155" s="499"/>
      <c r="H155" s="499"/>
      <c r="I155" s="499"/>
      <c r="J155" s="499"/>
      <c r="K155" s="499"/>
      <c r="L155" s="499"/>
      <c r="M155" s="499"/>
      <c r="N155" s="499"/>
      <c r="O155" s="499"/>
      <c r="P155" s="499"/>
      <c r="Q155" s="499"/>
      <c r="R155" s="499"/>
      <c r="S155" s="499"/>
      <c r="T155" s="499"/>
      <c r="U155" s="499"/>
      <c r="V155" s="499"/>
      <c r="W155" s="499"/>
      <c r="X155" s="499"/>
      <c r="Y155" s="499"/>
    </row>
    <row r="156" spans="1:25" s="707" customFormat="1" ht="12.75" customHeight="1" x14ac:dyDescent="0.2">
      <c r="A156" s="499"/>
      <c r="B156" s="499"/>
      <c r="C156" s="499"/>
      <c r="D156" s="499"/>
      <c r="E156" s="499"/>
      <c r="F156" s="499"/>
      <c r="G156" s="499"/>
      <c r="H156" s="499"/>
      <c r="I156" s="499"/>
      <c r="J156" s="499"/>
      <c r="K156" s="499"/>
      <c r="L156" s="499"/>
      <c r="M156" s="499"/>
      <c r="N156" s="499"/>
      <c r="O156" s="499"/>
      <c r="P156" s="499"/>
      <c r="Q156" s="499"/>
      <c r="R156" s="499"/>
      <c r="S156" s="499"/>
      <c r="T156" s="499"/>
      <c r="U156" s="499"/>
      <c r="V156" s="499"/>
      <c r="W156" s="499"/>
      <c r="X156" s="499"/>
      <c r="Y156" s="499"/>
    </row>
    <row r="157" spans="1:25" s="707" customFormat="1" ht="12.75" customHeight="1" x14ac:dyDescent="0.2">
      <c r="A157" s="499"/>
      <c r="B157" s="499"/>
      <c r="C157" s="499"/>
      <c r="D157" s="499"/>
      <c r="E157" s="499"/>
      <c r="F157" s="499"/>
      <c r="G157" s="499"/>
      <c r="H157" s="499"/>
      <c r="I157" s="499"/>
      <c r="J157" s="499"/>
      <c r="K157" s="499"/>
      <c r="L157" s="499"/>
      <c r="M157" s="499"/>
      <c r="N157" s="499"/>
      <c r="O157" s="499"/>
      <c r="P157" s="499"/>
      <c r="Q157" s="499"/>
      <c r="R157" s="499"/>
      <c r="S157" s="499"/>
      <c r="T157" s="499"/>
      <c r="U157" s="499"/>
      <c r="V157" s="499"/>
      <c r="W157" s="499"/>
      <c r="X157" s="499"/>
      <c r="Y157" s="499"/>
    </row>
    <row r="158" spans="1:25" s="707" customFormat="1" ht="12.75" customHeight="1" x14ac:dyDescent="0.2">
      <c r="A158" s="499"/>
      <c r="B158" s="499"/>
      <c r="C158" s="499"/>
      <c r="D158" s="499"/>
      <c r="E158" s="499"/>
      <c r="F158" s="499"/>
      <c r="G158" s="499"/>
      <c r="H158" s="499"/>
      <c r="I158" s="499"/>
      <c r="J158" s="499"/>
      <c r="K158" s="499"/>
      <c r="L158" s="499"/>
      <c r="M158" s="499"/>
      <c r="N158" s="499"/>
      <c r="O158" s="499"/>
      <c r="P158" s="499"/>
      <c r="Q158" s="499"/>
      <c r="R158" s="499"/>
      <c r="S158" s="499"/>
      <c r="T158" s="499"/>
      <c r="U158" s="499"/>
      <c r="V158" s="499"/>
      <c r="W158" s="499"/>
      <c r="X158" s="499"/>
      <c r="Y158" s="499"/>
    </row>
    <row r="159" spans="1:25" s="707" customFormat="1" ht="12.75" customHeight="1" x14ac:dyDescent="0.2">
      <c r="A159" s="499"/>
      <c r="B159" s="499"/>
      <c r="C159" s="499"/>
      <c r="D159" s="499"/>
      <c r="E159" s="499"/>
      <c r="F159" s="499"/>
      <c r="G159" s="499"/>
      <c r="H159" s="499"/>
      <c r="I159" s="499"/>
      <c r="J159" s="499"/>
      <c r="K159" s="499"/>
      <c r="L159" s="499"/>
      <c r="M159" s="499"/>
      <c r="N159" s="499"/>
      <c r="O159" s="499"/>
      <c r="P159" s="499"/>
      <c r="Q159" s="499"/>
      <c r="R159" s="499"/>
      <c r="S159" s="499"/>
      <c r="T159" s="499"/>
      <c r="U159" s="499"/>
      <c r="V159" s="499"/>
      <c r="W159" s="499"/>
      <c r="X159" s="499"/>
      <c r="Y159" s="499"/>
    </row>
    <row r="160" spans="1:25" s="707" customFormat="1" ht="12.75" customHeight="1" x14ac:dyDescent="0.2">
      <c r="A160" s="499"/>
      <c r="B160" s="499"/>
      <c r="C160" s="499"/>
      <c r="D160" s="499"/>
      <c r="E160" s="499"/>
      <c r="F160" s="499"/>
      <c r="G160" s="499"/>
      <c r="H160" s="499"/>
      <c r="I160" s="499"/>
      <c r="J160" s="499"/>
      <c r="K160" s="499"/>
      <c r="L160" s="499"/>
      <c r="M160" s="499"/>
      <c r="N160" s="499"/>
      <c r="O160" s="499"/>
      <c r="P160" s="499"/>
      <c r="Q160" s="499"/>
      <c r="R160" s="499"/>
      <c r="S160" s="499"/>
      <c r="T160" s="499"/>
      <c r="U160" s="499"/>
      <c r="V160" s="499"/>
      <c r="W160" s="499"/>
      <c r="X160" s="499"/>
      <c r="Y160" s="499"/>
    </row>
    <row r="161" spans="1:25" s="707" customFormat="1" ht="12.75" customHeight="1" x14ac:dyDescent="0.2">
      <c r="A161" s="499"/>
      <c r="B161" s="499"/>
      <c r="C161" s="499"/>
      <c r="D161" s="499"/>
      <c r="E161" s="499"/>
      <c r="F161" s="499"/>
      <c r="G161" s="499"/>
      <c r="H161" s="499"/>
      <c r="I161" s="499"/>
      <c r="J161" s="499"/>
      <c r="K161" s="499"/>
      <c r="L161" s="499"/>
      <c r="M161" s="499"/>
      <c r="N161" s="499"/>
      <c r="O161" s="499"/>
      <c r="P161" s="499"/>
      <c r="Q161" s="499"/>
      <c r="R161" s="499"/>
      <c r="S161" s="499"/>
      <c r="T161" s="499"/>
      <c r="U161" s="499"/>
      <c r="V161" s="499"/>
      <c r="W161" s="499"/>
      <c r="X161" s="499"/>
      <c r="Y161" s="499"/>
    </row>
    <row r="162" spans="1:25" s="707" customFormat="1" ht="12.75" customHeight="1" x14ac:dyDescent="0.2">
      <c r="A162" s="499"/>
      <c r="B162" s="499"/>
      <c r="C162" s="499"/>
      <c r="D162" s="499"/>
      <c r="E162" s="499"/>
      <c r="F162" s="499"/>
      <c r="G162" s="499"/>
      <c r="H162" s="499"/>
      <c r="I162" s="499"/>
      <c r="J162" s="499"/>
      <c r="K162" s="499"/>
      <c r="L162" s="499"/>
      <c r="M162" s="499"/>
      <c r="N162" s="499"/>
      <c r="O162" s="499"/>
      <c r="P162" s="499"/>
      <c r="Q162" s="499"/>
      <c r="R162" s="499"/>
      <c r="S162" s="499"/>
      <c r="T162" s="499"/>
      <c r="U162" s="499"/>
      <c r="V162" s="499"/>
      <c r="W162" s="499"/>
      <c r="X162" s="499"/>
      <c r="Y162" s="499"/>
    </row>
    <row r="163" spans="1:25" s="707" customFormat="1" ht="12.75" customHeight="1" x14ac:dyDescent="0.2">
      <c r="A163" s="499"/>
      <c r="B163" s="499"/>
      <c r="C163" s="499"/>
      <c r="D163" s="499"/>
      <c r="E163" s="499"/>
      <c r="F163" s="499"/>
      <c r="G163" s="499"/>
      <c r="H163" s="499"/>
      <c r="I163" s="499"/>
      <c r="J163" s="499"/>
      <c r="K163" s="499"/>
      <c r="L163" s="499"/>
      <c r="M163" s="499"/>
      <c r="N163" s="499"/>
      <c r="O163" s="499"/>
      <c r="P163" s="499"/>
      <c r="Q163" s="499"/>
      <c r="R163" s="499"/>
      <c r="S163" s="499"/>
      <c r="T163" s="499"/>
      <c r="U163" s="499"/>
      <c r="V163" s="499"/>
      <c r="W163" s="499"/>
      <c r="X163" s="499"/>
      <c r="Y163" s="499"/>
    </row>
    <row r="164" spans="1:25" s="707" customFormat="1" ht="12.75" customHeight="1" x14ac:dyDescent="0.2">
      <c r="A164" s="499"/>
      <c r="B164" s="499"/>
      <c r="C164" s="499"/>
      <c r="D164" s="499"/>
      <c r="E164" s="499"/>
      <c r="F164" s="499"/>
      <c r="G164" s="499"/>
      <c r="H164" s="499"/>
      <c r="I164" s="499"/>
      <c r="J164" s="499"/>
      <c r="K164" s="499"/>
      <c r="L164" s="499"/>
      <c r="M164" s="499"/>
      <c r="N164" s="499"/>
      <c r="O164" s="499"/>
      <c r="P164" s="499"/>
      <c r="Q164" s="499"/>
      <c r="R164" s="499"/>
      <c r="S164" s="499"/>
      <c r="T164" s="499"/>
      <c r="U164" s="499"/>
      <c r="V164" s="499"/>
      <c r="W164" s="499"/>
      <c r="X164" s="499"/>
      <c r="Y164" s="499"/>
    </row>
    <row r="165" spans="1:25" s="707" customFormat="1" ht="12.75" customHeight="1" x14ac:dyDescent="0.2">
      <c r="A165" s="499"/>
      <c r="B165" s="499"/>
      <c r="C165" s="499"/>
      <c r="D165" s="499"/>
      <c r="E165" s="499"/>
      <c r="F165" s="499"/>
      <c r="G165" s="499"/>
      <c r="H165" s="499"/>
      <c r="I165" s="499"/>
      <c r="J165" s="499"/>
      <c r="K165" s="499"/>
      <c r="L165" s="499"/>
      <c r="M165" s="499"/>
      <c r="N165" s="499"/>
      <c r="O165" s="499"/>
      <c r="P165" s="499"/>
      <c r="Q165" s="499"/>
      <c r="R165" s="499"/>
      <c r="S165" s="499"/>
      <c r="T165" s="499"/>
      <c r="U165" s="499"/>
      <c r="V165" s="499"/>
      <c r="W165" s="499"/>
      <c r="X165" s="499"/>
      <c r="Y165" s="499"/>
    </row>
    <row r="166" spans="1:25" s="707" customFormat="1" ht="12.75" customHeight="1" x14ac:dyDescent="0.2">
      <c r="A166" s="499"/>
      <c r="B166" s="499"/>
      <c r="C166" s="499"/>
      <c r="D166" s="499"/>
      <c r="E166" s="499"/>
      <c r="F166" s="499"/>
      <c r="G166" s="499"/>
      <c r="H166" s="499"/>
      <c r="I166" s="499"/>
      <c r="J166" s="499"/>
      <c r="K166" s="499"/>
      <c r="L166" s="499"/>
      <c r="M166" s="499"/>
      <c r="N166" s="499"/>
      <c r="O166" s="499"/>
      <c r="P166" s="499"/>
      <c r="Q166" s="499"/>
      <c r="R166" s="499"/>
      <c r="S166" s="499"/>
      <c r="T166" s="499"/>
      <c r="U166" s="499"/>
      <c r="V166" s="499"/>
      <c r="W166" s="499"/>
      <c r="X166" s="499"/>
      <c r="Y166" s="499"/>
    </row>
    <row r="167" spans="1:25" s="707" customFormat="1" ht="12.75" customHeight="1" x14ac:dyDescent="0.2">
      <c r="A167" s="499"/>
      <c r="B167" s="499"/>
      <c r="C167" s="499"/>
      <c r="D167" s="499"/>
      <c r="E167" s="499"/>
      <c r="F167" s="499"/>
      <c r="G167" s="499"/>
      <c r="H167" s="499"/>
      <c r="I167" s="499"/>
      <c r="J167" s="499"/>
      <c r="K167" s="499"/>
      <c r="L167" s="499"/>
      <c r="M167" s="499"/>
      <c r="N167" s="499"/>
      <c r="O167" s="499"/>
      <c r="P167" s="499"/>
      <c r="Q167" s="499"/>
      <c r="R167" s="499"/>
      <c r="S167" s="499"/>
      <c r="T167" s="499"/>
      <c r="U167" s="499"/>
      <c r="V167" s="499"/>
      <c r="W167" s="499"/>
      <c r="X167" s="499"/>
      <c r="Y167" s="499"/>
    </row>
    <row r="168" spans="1:25" s="707" customFormat="1" ht="12.75" customHeight="1" x14ac:dyDescent="0.2">
      <c r="A168" s="499"/>
      <c r="B168" s="499"/>
      <c r="C168" s="499"/>
      <c r="D168" s="499"/>
      <c r="E168" s="499"/>
      <c r="F168" s="499"/>
      <c r="G168" s="499"/>
      <c r="H168" s="499"/>
      <c r="I168" s="499"/>
      <c r="J168" s="499"/>
      <c r="K168" s="499"/>
      <c r="L168" s="499"/>
      <c r="M168" s="499"/>
      <c r="N168" s="499"/>
      <c r="O168" s="499"/>
      <c r="P168" s="499"/>
      <c r="Q168" s="499"/>
      <c r="R168" s="499"/>
      <c r="S168" s="499"/>
      <c r="T168" s="499"/>
      <c r="U168" s="499"/>
      <c r="V168" s="499"/>
      <c r="W168" s="499"/>
      <c r="X168" s="499"/>
      <c r="Y168" s="499"/>
    </row>
    <row r="169" spans="1:25" s="707" customFormat="1" ht="12.75" customHeight="1" x14ac:dyDescent="0.2">
      <c r="A169" s="499"/>
      <c r="B169" s="499"/>
      <c r="C169" s="499"/>
      <c r="D169" s="499"/>
      <c r="E169" s="499"/>
      <c r="F169" s="499"/>
      <c r="G169" s="499"/>
      <c r="H169" s="499"/>
      <c r="I169" s="499"/>
      <c r="J169" s="499"/>
      <c r="K169" s="499"/>
      <c r="L169" s="499"/>
      <c r="M169" s="499"/>
      <c r="N169" s="499"/>
      <c r="O169" s="499"/>
      <c r="P169" s="499"/>
      <c r="Q169" s="499"/>
      <c r="R169" s="499"/>
      <c r="S169" s="499"/>
      <c r="T169" s="499"/>
      <c r="U169" s="499"/>
      <c r="V169" s="499"/>
      <c r="W169" s="499"/>
      <c r="X169" s="499"/>
      <c r="Y169" s="499"/>
    </row>
    <row r="170" spans="1:25" s="707" customFormat="1" ht="12.75" customHeight="1" x14ac:dyDescent="0.2">
      <c r="A170" s="499"/>
      <c r="B170" s="499"/>
      <c r="C170" s="499"/>
      <c r="D170" s="499"/>
      <c r="E170" s="499"/>
      <c r="F170" s="499"/>
      <c r="G170" s="499"/>
      <c r="H170" s="499"/>
      <c r="I170" s="499"/>
      <c r="J170" s="499"/>
      <c r="K170" s="499"/>
      <c r="L170" s="499"/>
      <c r="M170" s="499"/>
      <c r="N170" s="499"/>
      <c r="O170" s="499"/>
      <c r="P170" s="499"/>
      <c r="Q170" s="499"/>
      <c r="R170" s="499"/>
      <c r="S170" s="499"/>
      <c r="T170" s="499"/>
      <c r="U170" s="499"/>
      <c r="V170" s="499"/>
      <c r="W170" s="499"/>
      <c r="X170" s="499"/>
      <c r="Y170" s="499"/>
    </row>
    <row r="171" spans="1:25" s="707" customFormat="1" ht="13.35" customHeight="1" x14ac:dyDescent="0.2">
      <c r="A171" s="499"/>
      <c r="B171" s="499"/>
      <c r="C171" s="499"/>
      <c r="D171" s="499"/>
      <c r="E171" s="499"/>
      <c r="F171" s="499"/>
      <c r="G171" s="499"/>
      <c r="H171" s="499"/>
      <c r="I171" s="499"/>
      <c r="J171" s="499"/>
      <c r="K171" s="499"/>
      <c r="L171" s="499"/>
      <c r="M171" s="499"/>
      <c r="N171" s="499"/>
      <c r="O171" s="499"/>
      <c r="P171" s="499"/>
      <c r="Q171" s="499"/>
      <c r="R171" s="499"/>
      <c r="S171" s="499"/>
      <c r="T171" s="499"/>
      <c r="U171" s="499"/>
      <c r="V171" s="499"/>
      <c r="W171" s="499"/>
      <c r="X171" s="499"/>
      <c r="Y171" s="499"/>
    </row>
    <row r="172" spans="1:25" s="707" customFormat="1" ht="13.35" customHeight="1" x14ac:dyDescent="0.2">
      <c r="A172" s="499"/>
      <c r="B172" s="499"/>
      <c r="C172" s="499"/>
      <c r="D172" s="499"/>
      <c r="E172" s="499"/>
      <c r="F172" s="499"/>
      <c r="G172" s="499"/>
      <c r="H172" s="499"/>
      <c r="I172" s="499"/>
      <c r="J172" s="499"/>
      <c r="K172" s="499"/>
      <c r="L172" s="499"/>
      <c r="M172" s="499"/>
      <c r="N172" s="499"/>
      <c r="O172" s="499"/>
      <c r="P172" s="499"/>
      <c r="Q172" s="499"/>
      <c r="R172" s="499"/>
      <c r="S172" s="499"/>
      <c r="T172" s="499"/>
      <c r="U172" s="499"/>
      <c r="V172" s="499"/>
      <c r="W172" s="499"/>
      <c r="X172" s="499"/>
      <c r="Y172" s="499"/>
    </row>
    <row r="173" spans="1:25" s="707" customFormat="1" ht="13.35" customHeight="1" x14ac:dyDescent="0.2">
      <c r="A173" s="499"/>
      <c r="B173" s="499"/>
      <c r="C173" s="499"/>
      <c r="D173" s="499"/>
      <c r="E173" s="499"/>
      <c r="F173" s="499"/>
      <c r="G173" s="499"/>
      <c r="H173" s="499"/>
      <c r="I173" s="499"/>
      <c r="J173" s="499"/>
      <c r="K173" s="499"/>
      <c r="L173" s="499"/>
      <c r="M173" s="499"/>
      <c r="N173" s="499"/>
      <c r="O173" s="499"/>
      <c r="P173" s="499"/>
      <c r="Q173" s="499"/>
      <c r="R173" s="499"/>
      <c r="S173" s="499"/>
      <c r="T173" s="499"/>
      <c r="U173" s="499"/>
      <c r="V173" s="499"/>
      <c r="W173" s="499"/>
      <c r="X173" s="499"/>
      <c r="Y173" s="499"/>
    </row>
    <row r="174" spans="1:25" s="707" customFormat="1" ht="13.35" customHeight="1" x14ac:dyDescent="0.2">
      <c r="A174" s="499"/>
      <c r="B174" s="499"/>
      <c r="C174" s="499"/>
      <c r="D174" s="499"/>
      <c r="E174" s="499"/>
      <c r="F174" s="499"/>
      <c r="G174" s="499"/>
      <c r="H174" s="499"/>
      <c r="I174" s="499"/>
      <c r="J174" s="499"/>
      <c r="K174" s="499"/>
      <c r="L174" s="499"/>
      <c r="M174" s="499"/>
      <c r="N174" s="499"/>
      <c r="O174" s="499"/>
      <c r="P174" s="499"/>
      <c r="Q174" s="499"/>
      <c r="R174" s="499"/>
      <c r="S174" s="499"/>
      <c r="T174" s="499"/>
      <c r="U174" s="499"/>
      <c r="V174" s="499"/>
      <c r="W174" s="499"/>
      <c r="X174" s="499"/>
      <c r="Y174" s="499"/>
    </row>
    <row r="175" spans="1:25" s="707" customFormat="1" ht="13.35" customHeight="1" x14ac:dyDescent="0.2">
      <c r="A175" s="499"/>
      <c r="B175" s="499"/>
      <c r="C175" s="499"/>
      <c r="D175" s="499"/>
      <c r="E175" s="499"/>
      <c r="F175" s="499"/>
      <c r="G175" s="499"/>
      <c r="H175" s="499"/>
      <c r="I175" s="499"/>
      <c r="J175" s="499"/>
      <c r="K175" s="499"/>
      <c r="L175" s="499"/>
      <c r="M175" s="499"/>
      <c r="N175" s="499"/>
      <c r="O175" s="499"/>
      <c r="P175" s="499"/>
      <c r="Q175" s="499"/>
      <c r="R175" s="499"/>
      <c r="S175" s="499"/>
      <c r="T175" s="499"/>
      <c r="U175" s="499"/>
      <c r="V175" s="499"/>
      <c r="W175" s="499"/>
      <c r="X175" s="499"/>
      <c r="Y175" s="499"/>
    </row>
    <row r="176" spans="1:25" s="707" customFormat="1" ht="13.35" customHeight="1" x14ac:dyDescent="0.2">
      <c r="A176" s="499"/>
      <c r="B176" s="499"/>
      <c r="C176" s="499"/>
      <c r="D176" s="499"/>
      <c r="E176" s="499"/>
      <c r="F176" s="499"/>
      <c r="G176" s="499"/>
      <c r="H176" s="499"/>
      <c r="I176" s="499"/>
      <c r="J176" s="499"/>
      <c r="K176" s="499"/>
      <c r="L176" s="499"/>
      <c r="M176" s="499"/>
      <c r="N176" s="499"/>
      <c r="O176" s="499"/>
      <c r="P176" s="499"/>
      <c r="Q176" s="499"/>
      <c r="R176" s="499"/>
      <c r="S176" s="499"/>
      <c r="T176" s="499"/>
      <c r="U176" s="499"/>
      <c r="V176" s="499"/>
      <c r="W176" s="499"/>
      <c r="X176" s="499"/>
      <c r="Y176" s="499"/>
    </row>
    <row r="177" spans="1:25" s="707" customFormat="1" ht="13.35" customHeight="1" x14ac:dyDescent="0.2">
      <c r="A177" s="499"/>
      <c r="B177" s="499"/>
      <c r="C177" s="499"/>
      <c r="D177" s="499"/>
      <c r="E177" s="499"/>
      <c r="F177" s="499"/>
      <c r="G177" s="499"/>
      <c r="H177" s="499"/>
      <c r="I177" s="499"/>
      <c r="J177" s="499"/>
      <c r="K177" s="499"/>
      <c r="L177" s="499"/>
      <c r="M177" s="499"/>
      <c r="N177" s="499"/>
      <c r="O177" s="499"/>
      <c r="P177" s="499"/>
      <c r="Q177" s="499"/>
      <c r="R177" s="499"/>
      <c r="S177" s="499"/>
      <c r="T177" s="499"/>
      <c r="U177" s="499"/>
      <c r="V177" s="499"/>
      <c r="W177" s="499"/>
      <c r="X177" s="499"/>
      <c r="Y177" s="499"/>
    </row>
    <row r="178" spans="1:25" s="707" customFormat="1" ht="13.35" customHeight="1" x14ac:dyDescent="0.2">
      <c r="A178" s="499"/>
      <c r="B178" s="499"/>
      <c r="C178" s="499"/>
      <c r="D178" s="499"/>
      <c r="E178" s="499"/>
      <c r="F178" s="499"/>
      <c r="G178" s="499"/>
      <c r="H178" s="499"/>
      <c r="I178" s="499"/>
      <c r="J178" s="499"/>
      <c r="K178" s="499"/>
      <c r="L178" s="499"/>
      <c r="M178" s="499"/>
      <c r="N178" s="499"/>
      <c r="O178" s="499"/>
      <c r="P178" s="499"/>
      <c r="Q178" s="499"/>
      <c r="R178" s="499"/>
      <c r="S178" s="499"/>
      <c r="T178" s="499"/>
      <c r="U178" s="499"/>
      <c r="V178" s="499"/>
      <c r="W178" s="499"/>
      <c r="X178" s="499"/>
      <c r="Y178" s="499"/>
    </row>
    <row r="179" spans="1:25" s="707" customFormat="1" ht="13.35" customHeight="1" x14ac:dyDescent="0.2">
      <c r="A179" s="499"/>
      <c r="B179" s="499"/>
      <c r="C179" s="499"/>
      <c r="D179" s="499"/>
      <c r="E179" s="499"/>
      <c r="F179" s="499"/>
      <c r="G179" s="499"/>
      <c r="H179" s="499"/>
      <c r="I179" s="499"/>
      <c r="J179" s="499"/>
      <c r="K179" s="499"/>
      <c r="L179" s="499"/>
      <c r="M179" s="499"/>
      <c r="N179" s="499"/>
      <c r="O179" s="499"/>
      <c r="P179" s="499"/>
      <c r="Q179" s="499"/>
      <c r="R179" s="499"/>
      <c r="S179" s="499"/>
      <c r="T179" s="499"/>
      <c r="U179" s="499"/>
      <c r="V179" s="499"/>
      <c r="W179" s="499"/>
      <c r="X179" s="499"/>
      <c r="Y179" s="499"/>
    </row>
    <row r="180" spans="1:25" s="707" customFormat="1" ht="13.35" customHeight="1" x14ac:dyDescent="0.2">
      <c r="A180" s="499"/>
      <c r="B180" s="499"/>
      <c r="C180" s="499"/>
      <c r="D180" s="499"/>
      <c r="E180" s="499"/>
      <c r="F180" s="499"/>
      <c r="G180" s="499"/>
      <c r="H180" s="499"/>
      <c r="I180" s="499"/>
      <c r="J180" s="499"/>
      <c r="K180" s="499"/>
      <c r="L180" s="499"/>
      <c r="M180" s="499"/>
      <c r="N180" s="499"/>
      <c r="O180" s="499"/>
      <c r="P180" s="499"/>
      <c r="Q180" s="499"/>
      <c r="R180" s="499"/>
      <c r="S180" s="499"/>
      <c r="T180" s="499"/>
      <c r="U180" s="499"/>
      <c r="V180" s="499"/>
      <c r="W180" s="499"/>
      <c r="X180" s="499"/>
      <c r="Y180" s="499"/>
    </row>
    <row r="181" spans="1:25" s="707" customFormat="1" ht="13.35" customHeight="1" x14ac:dyDescent="0.2">
      <c r="A181" s="499"/>
      <c r="B181" s="499"/>
      <c r="C181" s="499"/>
      <c r="D181" s="499"/>
      <c r="E181" s="499"/>
      <c r="F181" s="499"/>
      <c r="G181" s="499"/>
      <c r="H181" s="499"/>
      <c r="I181" s="499"/>
      <c r="J181" s="499"/>
      <c r="K181" s="499"/>
      <c r="L181" s="499"/>
      <c r="M181" s="499"/>
      <c r="N181" s="499"/>
      <c r="O181" s="499"/>
      <c r="P181" s="499"/>
      <c r="Q181" s="499"/>
      <c r="R181" s="499"/>
      <c r="S181" s="499"/>
      <c r="T181" s="499"/>
      <c r="U181" s="499"/>
      <c r="V181" s="499"/>
      <c r="W181" s="499"/>
      <c r="X181" s="499"/>
      <c r="Y181" s="499"/>
    </row>
    <row r="182" spans="1:25" s="707" customFormat="1" ht="13.35" customHeight="1" x14ac:dyDescent="0.2">
      <c r="A182" s="499"/>
      <c r="B182" s="499"/>
      <c r="C182" s="499"/>
      <c r="D182" s="499"/>
      <c r="E182" s="499"/>
      <c r="F182" s="499"/>
      <c r="G182" s="499"/>
      <c r="H182" s="499"/>
      <c r="I182" s="499"/>
      <c r="J182" s="499"/>
      <c r="K182" s="499"/>
      <c r="L182" s="499"/>
      <c r="M182" s="499"/>
      <c r="N182" s="499"/>
      <c r="O182" s="499"/>
      <c r="P182" s="499"/>
      <c r="Q182" s="499"/>
      <c r="R182" s="499"/>
      <c r="S182" s="499"/>
      <c r="T182" s="499"/>
      <c r="U182" s="499"/>
      <c r="V182" s="499"/>
      <c r="W182" s="499"/>
      <c r="X182" s="499"/>
      <c r="Y182" s="499"/>
    </row>
    <row r="183" spans="1:25" s="707" customFormat="1" ht="13.35" customHeight="1" x14ac:dyDescent="0.2">
      <c r="A183" s="499"/>
      <c r="B183" s="499"/>
      <c r="C183" s="499"/>
      <c r="D183" s="499"/>
      <c r="E183" s="499"/>
      <c r="F183" s="499"/>
      <c r="G183" s="499"/>
      <c r="H183" s="499"/>
      <c r="I183" s="499"/>
      <c r="J183" s="499"/>
      <c r="K183" s="499"/>
      <c r="L183" s="499"/>
      <c r="M183" s="499"/>
      <c r="N183" s="499"/>
      <c r="O183" s="499"/>
      <c r="P183" s="499"/>
      <c r="Q183" s="499"/>
      <c r="R183" s="499"/>
      <c r="S183" s="499"/>
      <c r="T183" s="499"/>
      <c r="U183" s="499"/>
      <c r="V183" s="499"/>
      <c r="W183" s="499"/>
      <c r="X183" s="499"/>
      <c r="Y183" s="499"/>
    </row>
    <row r="184" spans="1:25" s="707" customFormat="1" ht="13.35" customHeight="1" x14ac:dyDescent="0.2">
      <c r="A184" s="499"/>
      <c r="B184" s="499"/>
      <c r="C184" s="499"/>
      <c r="D184" s="499"/>
      <c r="E184" s="499"/>
      <c r="F184" s="499"/>
      <c r="G184" s="499"/>
      <c r="H184" s="499"/>
      <c r="I184" s="499"/>
      <c r="J184" s="499"/>
      <c r="K184" s="499"/>
      <c r="L184" s="499"/>
      <c r="M184" s="499"/>
      <c r="N184" s="499"/>
      <c r="O184" s="499"/>
      <c r="P184" s="499"/>
      <c r="Q184" s="499"/>
      <c r="R184" s="499"/>
      <c r="S184" s="499"/>
      <c r="T184" s="499"/>
      <c r="U184" s="499"/>
      <c r="V184" s="499"/>
      <c r="W184" s="499"/>
      <c r="X184" s="499"/>
      <c r="Y184" s="499"/>
    </row>
    <row r="185" spans="1:25" s="707" customFormat="1" ht="13.35" customHeight="1" x14ac:dyDescent="0.2">
      <c r="A185" s="499"/>
      <c r="B185" s="499"/>
      <c r="C185" s="499"/>
      <c r="D185" s="499"/>
      <c r="E185" s="499"/>
      <c r="F185" s="499"/>
      <c r="G185" s="499"/>
      <c r="H185" s="499"/>
      <c r="I185" s="499"/>
      <c r="J185" s="499"/>
      <c r="K185" s="499"/>
      <c r="L185" s="499"/>
      <c r="M185" s="499"/>
      <c r="N185" s="499"/>
      <c r="O185" s="499"/>
      <c r="P185" s="499"/>
      <c r="Q185" s="499"/>
      <c r="R185" s="499"/>
      <c r="S185" s="499"/>
      <c r="T185" s="499"/>
      <c r="U185" s="499"/>
      <c r="V185" s="499"/>
      <c r="W185" s="499"/>
      <c r="X185" s="499"/>
      <c r="Y185" s="499"/>
    </row>
    <row r="186" spans="1:25" s="707" customFormat="1" ht="13.35" customHeight="1" x14ac:dyDescent="0.2">
      <c r="A186" s="499"/>
      <c r="B186" s="499"/>
      <c r="C186" s="499"/>
      <c r="D186" s="499"/>
      <c r="E186" s="499"/>
      <c r="F186" s="499"/>
      <c r="G186" s="499"/>
      <c r="H186" s="499"/>
      <c r="I186" s="499"/>
      <c r="J186" s="499"/>
      <c r="K186" s="499"/>
      <c r="L186" s="499"/>
      <c r="M186" s="499"/>
      <c r="N186" s="499"/>
      <c r="O186" s="499"/>
      <c r="P186" s="499"/>
      <c r="Q186" s="499"/>
      <c r="R186" s="499"/>
      <c r="S186" s="499"/>
      <c r="T186" s="499"/>
      <c r="U186" s="499"/>
      <c r="V186" s="499"/>
      <c r="W186" s="499"/>
      <c r="X186" s="499"/>
      <c r="Y186" s="499"/>
    </row>
    <row r="187" spans="1:25" s="707" customFormat="1" ht="11.25" x14ac:dyDescent="0.2">
      <c r="A187" s="499"/>
      <c r="B187" s="499"/>
      <c r="C187" s="499"/>
      <c r="D187" s="499"/>
      <c r="E187" s="499"/>
      <c r="F187" s="499"/>
      <c r="G187" s="499"/>
      <c r="H187" s="499"/>
      <c r="I187" s="499"/>
      <c r="J187" s="499"/>
      <c r="K187" s="499"/>
      <c r="L187" s="499"/>
      <c r="M187" s="499"/>
      <c r="N187" s="499"/>
      <c r="O187" s="499"/>
      <c r="P187" s="499"/>
      <c r="Q187" s="499"/>
      <c r="R187" s="499"/>
      <c r="S187" s="499"/>
      <c r="T187" s="499"/>
      <c r="U187" s="499"/>
      <c r="V187" s="499"/>
      <c r="W187" s="499"/>
      <c r="X187" s="499"/>
      <c r="Y187" s="499"/>
    </row>
    <row r="188" spans="1:25" s="707" customFormat="1" ht="11.25" x14ac:dyDescent="0.2">
      <c r="A188" s="499"/>
      <c r="B188" s="499"/>
      <c r="C188" s="499"/>
      <c r="D188" s="499"/>
      <c r="E188" s="499"/>
      <c r="F188" s="499"/>
      <c r="G188" s="499"/>
      <c r="H188" s="499"/>
      <c r="I188" s="499"/>
      <c r="J188" s="499"/>
      <c r="K188" s="499"/>
      <c r="L188" s="499"/>
      <c r="M188" s="499"/>
      <c r="N188" s="499"/>
      <c r="O188" s="499"/>
      <c r="P188" s="499"/>
      <c r="Q188" s="499"/>
      <c r="R188" s="499"/>
      <c r="S188" s="499"/>
      <c r="T188" s="499"/>
      <c r="U188" s="499"/>
      <c r="V188" s="499"/>
      <c r="W188" s="499"/>
      <c r="X188" s="499"/>
      <c r="Y188" s="499"/>
    </row>
    <row r="189" spans="1:25" s="707" customFormat="1" ht="11.25" x14ac:dyDescent="0.2">
      <c r="A189" s="499"/>
      <c r="B189" s="499"/>
      <c r="C189" s="499"/>
      <c r="D189" s="499"/>
      <c r="E189" s="499"/>
      <c r="F189" s="499"/>
      <c r="G189" s="499"/>
      <c r="H189" s="499"/>
      <c r="I189" s="499"/>
      <c r="J189" s="499"/>
      <c r="K189" s="499"/>
      <c r="L189" s="499"/>
      <c r="M189" s="499"/>
      <c r="N189" s="499"/>
      <c r="O189" s="499"/>
      <c r="P189" s="499"/>
      <c r="Q189" s="499"/>
      <c r="R189" s="499"/>
      <c r="S189" s="499"/>
      <c r="T189" s="499"/>
      <c r="U189" s="499"/>
      <c r="V189" s="499"/>
      <c r="W189" s="499"/>
      <c r="X189" s="499"/>
      <c r="Y189" s="499"/>
    </row>
    <row r="190" spans="1:25" s="707" customFormat="1" ht="11.25" x14ac:dyDescent="0.2">
      <c r="A190" s="499"/>
      <c r="B190" s="499"/>
      <c r="C190" s="499"/>
      <c r="D190" s="499"/>
      <c r="E190" s="499"/>
      <c r="F190" s="499"/>
      <c r="G190" s="499"/>
      <c r="H190" s="499"/>
      <c r="I190" s="499"/>
      <c r="J190" s="499"/>
      <c r="K190" s="499"/>
      <c r="L190" s="499"/>
      <c r="M190" s="499"/>
      <c r="N190" s="499"/>
      <c r="O190" s="499"/>
      <c r="P190" s="499"/>
      <c r="Q190" s="499"/>
      <c r="R190" s="499"/>
      <c r="S190" s="499"/>
      <c r="T190" s="499"/>
      <c r="U190" s="499"/>
      <c r="V190" s="499"/>
      <c r="W190" s="499"/>
      <c r="X190" s="499"/>
      <c r="Y190" s="499"/>
    </row>
    <row r="191" spans="1:25" s="707" customFormat="1" ht="12.75" customHeight="1" x14ac:dyDescent="0.2">
      <c r="A191" s="291"/>
      <c r="B191" s="499"/>
      <c r="C191" s="499"/>
      <c r="D191" s="499"/>
      <c r="E191" s="499"/>
      <c r="F191" s="499"/>
      <c r="G191" s="499"/>
      <c r="H191" s="499"/>
      <c r="I191" s="499"/>
      <c r="J191" s="499"/>
      <c r="K191" s="499"/>
      <c r="L191" s="499"/>
      <c r="M191" s="499"/>
      <c r="N191" s="499"/>
      <c r="O191" s="499"/>
      <c r="P191" s="499"/>
      <c r="Q191" s="499"/>
      <c r="R191" s="499"/>
      <c r="S191" s="499"/>
      <c r="T191" s="499"/>
      <c r="U191" s="499"/>
      <c r="V191" s="499"/>
      <c r="W191" s="499"/>
      <c r="X191" s="499"/>
      <c r="Y191" s="499"/>
    </row>
    <row r="192" spans="1:25" s="707" customFormat="1" ht="12.75" customHeight="1" x14ac:dyDescent="0.2">
      <c r="A192" s="291"/>
      <c r="B192" s="499"/>
      <c r="C192" s="499"/>
      <c r="D192" s="499"/>
      <c r="E192" s="499"/>
      <c r="F192" s="499"/>
      <c r="G192" s="499"/>
      <c r="H192" s="499"/>
      <c r="I192" s="499"/>
      <c r="J192" s="499"/>
      <c r="K192" s="499"/>
      <c r="L192" s="499"/>
      <c r="M192" s="499"/>
      <c r="N192" s="499"/>
      <c r="O192" s="499"/>
      <c r="P192" s="499"/>
      <c r="Q192" s="499"/>
      <c r="R192" s="499"/>
      <c r="S192" s="499"/>
      <c r="T192" s="499"/>
      <c r="U192" s="499"/>
      <c r="V192" s="499"/>
      <c r="W192" s="499"/>
      <c r="X192" s="499"/>
      <c r="Y192" s="499"/>
    </row>
    <row r="193" spans="1:25" s="707" customFormat="1" ht="12.75" customHeight="1" x14ac:dyDescent="0.2">
      <c r="A193" s="291"/>
      <c r="B193" s="499"/>
      <c r="C193" s="499"/>
      <c r="D193" s="499"/>
      <c r="E193" s="499"/>
      <c r="F193" s="499"/>
      <c r="G193" s="499"/>
      <c r="H193" s="499"/>
      <c r="I193" s="499"/>
      <c r="J193" s="499"/>
      <c r="K193" s="499"/>
      <c r="L193" s="499"/>
      <c r="M193" s="499"/>
      <c r="N193" s="499"/>
      <c r="O193" s="499"/>
      <c r="P193" s="499"/>
      <c r="Q193" s="499"/>
      <c r="R193" s="499"/>
      <c r="S193" s="499"/>
      <c r="T193" s="499"/>
      <c r="U193" s="291"/>
      <c r="V193" s="499"/>
      <c r="W193" s="499"/>
      <c r="X193" s="499"/>
      <c r="Y193" s="499"/>
    </row>
    <row r="194" spans="1:25" s="707" customFormat="1" ht="12.75" customHeight="1" x14ac:dyDescent="0.2">
      <c r="A194" s="291"/>
      <c r="B194" s="499"/>
      <c r="C194" s="499"/>
      <c r="D194" s="499"/>
      <c r="E194" s="499"/>
      <c r="F194" s="499"/>
      <c r="G194" s="499"/>
      <c r="H194" s="499"/>
      <c r="I194" s="499"/>
      <c r="J194" s="499"/>
      <c r="K194" s="499"/>
      <c r="L194" s="499"/>
      <c r="M194" s="499"/>
      <c r="N194" s="499"/>
      <c r="O194" s="499"/>
      <c r="P194" s="499"/>
      <c r="Q194" s="499"/>
      <c r="R194" s="499"/>
      <c r="S194" s="499"/>
      <c r="T194" s="499"/>
      <c r="U194" s="291"/>
      <c r="V194" s="499"/>
      <c r="W194" s="499"/>
      <c r="X194" s="499"/>
      <c r="Y194" s="499"/>
    </row>
    <row r="195" spans="1:25" s="707" customFormat="1" ht="12.75" customHeight="1" x14ac:dyDescent="0.2">
      <c r="A195" s="291"/>
      <c r="B195" s="499"/>
      <c r="C195" s="499"/>
      <c r="D195" s="499"/>
      <c r="E195" s="499"/>
      <c r="F195" s="499"/>
      <c r="G195" s="499"/>
      <c r="H195" s="499"/>
      <c r="I195" s="499"/>
      <c r="J195" s="499"/>
      <c r="K195" s="499"/>
      <c r="L195" s="499"/>
      <c r="M195" s="499"/>
      <c r="N195" s="499"/>
      <c r="O195" s="499"/>
      <c r="P195" s="499"/>
      <c r="Q195" s="499"/>
      <c r="R195" s="499"/>
      <c r="S195" s="499"/>
      <c r="T195" s="499"/>
      <c r="U195" s="291"/>
      <c r="V195" s="499"/>
      <c r="W195" s="499"/>
      <c r="X195" s="499"/>
      <c r="Y195" s="499"/>
    </row>
    <row r="196" spans="1:25" s="707" customFormat="1" ht="12.75" customHeight="1" x14ac:dyDescent="0.2">
      <c r="A196" s="291"/>
      <c r="B196" s="499"/>
      <c r="C196" s="499"/>
      <c r="D196" s="499"/>
      <c r="E196" s="499"/>
      <c r="F196" s="499"/>
      <c r="G196" s="499"/>
      <c r="H196" s="499"/>
      <c r="I196" s="499"/>
      <c r="J196" s="499"/>
      <c r="K196" s="499"/>
      <c r="L196" s="499"/>
      <c r="M196" s="499"/>
      <c r="N196" s="499"/>
      <c r="O196" s="499"/>
      <c r="P196" s="499"/>
      <c r="Q196" s="499"/>
      <c r="R196" s="499"/>
      <c r="S196" s="499"/>
      <c r="T196" s="499"/>
      <c r="U196" s="291"/>
      <c r="V196" s="499"/>
      <c r="W196" s="499"/>
      <c r="X196" s="499"/>
      <c r="Y196" s="499"/>
    </row>
    <row r="197" spans="1:25" s="707" customFormat="1" ht="12.75" customHeight="1" x14ac:dyDescent="0.2">
      <c r="A197" s="291"/>
      <c r="B197" s="499"/>
      <c r="C197" s="499"/>
      <c r="D197" s="499"/>
      <c r="E197" s="499"/>
      <c r="F197" s="499"/>
      <c r="G197" s="499"/>
      <c r="H197" s="499"/>
      <c r="I197" s="499"/>
      <c r="J197" s="499"/>
      <c r="K197" s="499"/>
      <c r="L197" s="499"/>
      <c r="M197" s="499"/>
      <c r="N197" s="499"/>
      <c r="O197" s="499"/>
      <c r="P197" s="499"/>
      <c r="Q197" s="499"/>
      <c r="R197" s="499"/>
      <c r="S197" s="499"/>
      <c r="T197" s="499"/>
      <c r="U197" s="291"/>
      <c r="V197" s="499"/>
      <c r="W197" s="499"/>
      <c r="X197" s="499"/>
      <c r="Y197" s="499"/>
    </row>
    <row r="198" spans="1:25" s="707" customFormat="1" ht="12.75" customHeight="1" x14ac:dyDescent="0.2">
      <c r="A198" s="291"/>
      <c r="B198" s="499"/>
      <c r="C198" s="499"/>
      <c r="D198" s="499"/>
      <c r="E198" s="499"/>
      <c r="F198" s="499"/>
      <c r="G198" s="499"/>
      <c r="H198" s="499"/>
      <c r="I198" s="499"/>
      <c r="J198" s="499"/>
      <c r="K198" s="499"/>
      <c r="L198" s="499"/>
      <c r="M198" s="499"/>
      <c r="N198" s="499"/>
      <c r="O198" s="499"/>
      <c r="P198" s="499"/>
      <c r="Q198" s="499"/>
      <c r="R198" s="499"/>
      <c r="S198" s="499"/>
      <c r="T198" s="499"/>
      <c r="U198" s="291"/>
      <c r="V198" s="499"/>
      <c r="W198" s="499"/>
      <c r="X198" s="499"/>
      <c r="Y198" s="499"/>
    </row>
    <row r="199" spans="1:25" s="707" customFormat="1" ht="12.75" customHeight="1" x14ac:dyDescent="0.2">
      <c r="A199" s="291"/>
      <c r="B199" s="499"/>
      <c r="C199" s="499"/>
      <c r="D199" s="499"/>
      <c r="E199" s="499"/>
      <c r="F199" s="499"/>
      <c r="G199" s="499"/>
      <c r="H199" s="499"/>
      <c r="I199" s="499"/>
      <c r="J199" s="499"/>
      <c r="K199" s="499"/>
      <c r="L199" s="499"/>
      <c r="M199" s="499"/>
      <c r="N199" s="499"/>
      <c r="O199" s="499"/>
      <c r="P199" s="499"/>
      <c r="Q199" s="499"/>
      <c r="R199" s="499"/>
      <c r="S199" s="499"/>
      <c r="T199" s="499"/>
      <c r="U199" s="291"/>
      <c r="V199" s="499"/>
      <c r="W199" s="499"/>
      <c r="X199" s="499"/>
      <c r="Y199" s="499"/>
    </row>
    <row r="200" spans="1:25" s="707" customFormat="1" ht="12.75" customHeight="1" x14ac:dyDescent="0.2">
      <c r="A200" s="291"/>
      <c r="B200" s="499"/>
      <c r="C200" s="499"/>
      <c r="D200" s="499"/>
      <c r="E200" s="499"/>
      <c r="F200" s="499"/>
      <c r="G200" s="499"/>
      <c r="H200" s="499"/>
      <c r="I200" s="499"/>
      <c r="J200" s="499"/>
      <c r="K200" s="499"/>
      <c r="L200" s="499"/>
      <c r="M200" s="499"/>
      <c r="N200" s="499"/>
      <c r="O200" s="499"/>
      <c r="P200" s="499"/>
      <c r="Q200" s="499"/>
      <c r="R200" s="499"/>
      <c r="S200" s="499"/>
      <c r="T200" s="499"/>
      <c r="U200" s="291"/>
      <c r="V200" s="499"/>
      <c r="W200" s="499"/>
      <c r="X200" s="499"/>
      <c r="Y200" s="499"/>
    </row>
    <row r="201" spans="1:25" s="707" customFormat="1" ht="12.75" customHeight="1" x14ac:dyDescent="0.2">
      <c r="A201" s="291"/>
      <c r="B201" s="499"/>
      <c r="C201" s="499"/>
      <c r="D201" s="499"/>
      <c r="E201" s="499"/>
      <c r="F201" s="499"/>
      <c r="G201" s="499"/>
      <c r="H201" s="499"/>
      <c r="I201" s="499"/>
      <c r="J201" s="499"/>
      <c r="K201" s="499"/>
      <c r="L201" s="499"/>
      <c r="M201" s="499"/>
      <c r="N201" s="499"/>
      <c r="O201" s="499"/>
      <c r="P201" s="499"/>
      <c r="Q201" s="499"/>
      <c r="R201" s="499"/>
      <c r="S201" s="499"/>
      <c r="T201" s="499"/>
      <c r="U201" s="291"/>
      <c r="V201" s="499"/>
      <c r="W201" s="499"/>
      <c r="X201" s="499"/>
      <c r="Y201" s="499"/>
    </row>
    <row r="202" spans="1:25" s="707" customFormat="1" ht="12.75" customHeight="1" x14ac:dyDescent="0.2">
      <c r="A202" s="291"/>
      <c r="B202" s="499"/>
      <c r="C202" s="499"/>
      <c r="D202" s="499"/>
      <c r="E202" s="499"/>
      <c r="F202" s="499"/>
      <c r="G202" s="188"/>
      <c r="H202" s="188"/>
      <c r="I202" s="188"/>
      <c r="J202" s="188"/>
      <c r="K202" s="499"/>
      <c r="L202" s="499"/>
      <c r="M202" s="499"/>
      <c r="N202" s="499"/>
      <c r="O202" s="499"/>
      <c r="P202" s="499"/>
      <c r="Q202" s="499"/>
      <c r="R202" s="499"/>
      <c r="S202" s="499"/>
      <c r="T202" s="499"/>
      <c r="U202" s="291"/>
      <c r="V202" s="499"/>
      <c r="W202" s="499"/>
      <c r="X202" s="499"/>
      <c r="Y202" s="499"/>
    </row>
    <row r="203" spans="1:25" s="707" customFormat="1" ht="12.75" customHeight="1" x14ac:dyDescent="0.2">
      <c r="A203" s="291"/>
      <c r="B203" s="499"/>
      <c r="C203" s="499"/>
      <c r="D203" s="499"/>
      <c r="E203" s="499"/>
      <c r="F203" s="499"/>
      <c r="G203" s="188"/>
      <c r="H203" s="188"/>
      <c r="I203" s="188"/>
      <c r="J203" s="188"/>
      <c r="K203" s="499"/>
      <c r="L203" s="499"/>
      <c r="M203" s="499"/>
      <c r="N203" s="499"/>
      <c r="O203" s="499"/>
      <c r="P203" s="499"/>
      <c r="Q203" s="499"/>
      <c r="R203" s="499"/>
      <c r="S203" s="499"/>
      <c r="T203" s="499"/>
      <c r="U203" s="291"/>
      <c r="V203" s="499"/>
      <c r="W203" s="499"/>
      <c r="X203" s="499"/>
      <c r="Y203" s="499"/>
    </row>
    <row r="204" spans="1:25" s="707" customFormat="1" ht="12.75" customHeight="1" x14ac:dyDescent="0.2">
      <c r="A204" s="291"/>
      <c r="B204" s="499"/>
      <c r="C204" s="499"/>
      <c r="D204" s="499"/>
      <c r="E204" s="499"/>
      <c r="F204" s="499"/>
      <c r="G204" s="188"/>
      <c r="H204" s="188"/>
      <c r="I204" s="188"/>
      <c r="J204" s="188"/>
      <c r="K204" s="499"/>
      <c r="L204" s="499"/>
      <c r="M204" s="499"/>
      <c r="N204" s="499"/>
      <c r="O204" s="499"/>
      <c r="P204" s="499"/>
      <c r="Q204" s="499"/>
      <c r="R204" s="499"/>
      <c r="S204" s="499"/>
      <c r="T204" s="499"/>
      <c r="U204" s="291"/>
      <c r="V204" s="499"/>
      <c r="W204" s="499"/>
      <c r="X204" s="499"/>
      <c r="Y204" s="499"/>
    </row>
    <row r="205" spans="1:25" s="707" customFormat="1" ht="12.75" customHeight="1" x14ac:dyDescent="0.2">
      <c r="A205" s="499"/>
      <c r="B205" s="499"/>
      <c r="C205" s="499"/>
      <c r="D205" s="499"/>
      <c r="E205" s="499"/>
      <c r="F205" s="499"/>
      <c r="G205" s="188"/>
      <c r="H205" s="188"/>
      <c r="I205" s="188"/>
      <c r="J205" s="188"/>
      <c r="K205" s="499"/>
      <c r="L205" s="499"/>
      <c r="M205" s="499"/>
      <c r="N205" s="499"/>
      <c r="O205" s="499"/>
      <c r="P205" s="499"/>
      <c r="Q205" s="499"/>
      <c r="R205" s="499"/>
      <c r="S205" s="499"/>
      <c r="T205" s="499"/>
      <c r="U205" s="291"/>
      <c r="V205" s="499"/>
      <c r="W205" s="499"/>
      <c r="X205" s="499"/>
      <c r="Y205" s="499"/>
    </row>
    <row r="206" spans="1:25" s="707" customFormat="1" ht="12.75" customHeight="1" x14ac:dyDescent="0.2">
      <c r="A206" s="499"/>
      <c r="B206" s="499"/>
      <c r="C206" s="499"/>
      <c r="D206" s="499"/>
      <c r="E206" s="499"/>
      <c r="F206" s="499"/>
      <c r="G206" s="188"/>
      <c r="H206" s="188"/>
      <c r="I206" s="188"/>
      <c r="J206" s="188"/>
      <c r="K206" s="499"/>
      <c r="L206" s="499"/>
      <c r="M206" s="499"/>
      <c r="N206" s="499"/>
      <c r="O206" s="499"/>
      <c r="P206" s="499"/>
      <c r="Q206" s="499"/>
      <c r="R206" s="499"/>
      <c r="S206" s="499"/>
      <c r="T206" s="499"/>
      <c r="U206" s="291"/>
      <c r="V206" s="499"/>
      <c r="W206" s="499"/>
      <c r="X206" s="499"/>
      <c r="Y206" s="499"/>
    </row>
    <row r="207" spans="1:25" s="707" customFormat="1" ht="12.75" customHeight="1" x14ac:dyDescent="0.2">
      <c r="A207" s="499"/>
      <c r="B207" s="188"/>
      <c r="C207" s="188"/>
      <c r="D207" s="188"/>
      <c r="E207" s="188"/>
      <c r="F207" s="499"/>
      <c r="G207" s="188"/>
      <c r="H207" s="188"/>
      <c r="I207" s="188"/>
      <c r="J207" s="188"/>
      <c r="K207" s="499"/>
      <c r="L207" s="499"/>
      <c r="M207" s="499"/>
      <c r="N207" s="499"/>
      <c r="O207" s="499"/>
      <c r="P207" s="499"/>
      <c r="Q207" s="499"/>
      <c r="R207" s="499"/>
      <c r="S207" s="499"/>
      <c r="T207" s="499"/>
      <c r="U207" s="499"/>
      <c r="V207" s="499"/>
      <c r="W207" s="499"/>
      <c r="X207" s="499"/>
      <c r="Y207" s="499"/>
    </row>
    <row r="208" spans="1:25" s="707" customFormat="1" ht="12.75" customHeight="1" x14ac:dyDescent="0.2">
      <c r="A208" s="499"/>
      <c r="B208" s="188"/>
      <c r="C208" s="188"/>
      <c r="D208" s="188"/>
      <c r="E208" s="188"/>
      <c r="F208" s="499"/>
      <c r="G208" s="188"/>
      <c r="H208" s="188"/>
      <c r="I208" s="188"/>
      <c r="J208" s="188"/>
      <c r="K208" s="499"/>
      <c r="L208" s="499"/>
      <c r="M208" s="499"/>
      <c r="N208" s="499"/>
      <c r="O208" s="499"/>
      <c r="P208" s="499"/>
      <c r="Q208" s="499"/>
      <c r="R208" s="499"/>
      <c r="S208" s="499"/>
      <c r="T208" s="499"/>
      <c r="U208" s="499"/>
      <c r="V208" s="499"/>
      <c r="W208" s="499"/>
      <c r="X208" s="499"/>
      <c r="Y208" s="499"/>
    </row>
    <row r="209" spans="1:25" s="707" customFormat="1" ht="12.75" customHeight="1" x14ac:dyDescent="0.2">
      <c r="A209" s="499"/>
      <c r="B209" s="188"/>
      <c r="C209" s="188"/>
      <c r="D209" s="188"/>
      <c r="E209" s="188"/>
      <c r="F209" s="499"/>
      <c r="G209" s="188"/>
      <c r="H209" s="188"/>
      <c r="I209" s="188"/>
      <c r="J209" s="188"/>
      <c r="K209" s="499"/>
      <c r="L209" s="499"/>
      <c r="M209" s="499"/>
      <c r="N209" s="499"/>
      <c r="O209" s="499"/>
      <c r="P209" s="499"/>
      <c r="Q209" s="499"/>
      <c r="R209" s="499"/>
      <c r="S209" s="499"/>
      <c r="T209" s="499"/>
      <c r="U209" s="499"/>
      <c r="V209" s="499"/>
      <c r="W209" s="499"/>
      <c r="X209" s="499"/>
      <c r="Y209" s="499"/>
    </row>
    <row r="210" spans="1:25" s="707" customFormat="1" ht="12.75" customHeight="1" x14ac:dyDescent="0.2">
      <c r="A210" s="499"/>
      <c r="B210" s="188"/>
      <c r="C210" s="188"/>
      <c r="D210" s="188"/>
      <c r="E210" s="188"/>
      <c r="F210" s="499"/>
      <c r="G210" s="188"/>
      <c r="H210" s="188"/>
      <c r="I210" s="188"/>
      <c r="J210" s="188"/>
      <c r="K210" s="499"/>
      <c r="L210" s="499"/>
      <c r="M210" s="499"/>
      <c r="N210" s="499"/>
      <c r="O210" s="499"/>
      <c r="P210" s="499"/>
      <c r="Q210" s="499"/>
      <c r="R210" s="499"/>
      <c r="S210" s="499"/>
      <c r="T210" s="499"/>
      <c r="U210" s="499"/>
      <c r="V210" s="499"/>
      <c r="W210" s="499"/>
      <c r="X210" s="499"/>
      <c r="Y210" s="499"/>
    </row>
    <row r="211" spans="1:25" s="707" customFormat="1" ht="12.75" customHeight="1" x14ac:dyDescent="0.2">
      <c r="A211" s="499"/>
      <c r="B211" s="188"/>
      <c r="C211" s="188"/>
      <c r="D211" s="188"/>
      <c r="E211" s="188"/>
      <c r="F211" s="499"/>
      <c r="G211" s="188"/>
      <c r="H211" s="188"/>
      <c r="I211" s="188"/>
      <c r="J211" s="188"/>
      <c r="K211" s="499"/>
      <c r="L211" s="499"/>
      <c r="M211" s="499"/>
      <c r="N211" s="499"/>
      <c r="O211" s="499"/>
      <c r="P211" s="499"/>
      <c r="Q211" s="499"/>
      <c r="R211" s="499"/>
      <c r="S211" s="499"/>
      <c r="T211" s="499"/>
      <c r="U211" s="499"/>
      <c r="V211" s="499"/>
      <c r="W211" s="499"/>
      <c r="X211" s="499"/>
      <c r="Y211" s="499"/>
    </row>
    <row r="212" spans="1:25" s="707" customFormat="1" ht="12.75" customHeight="1" x14ac:dyDescent="0.2">
      <c r="A212" s="499"/>
      <c r="B212" s="188"/>
      <c r="C212" s="188"/>
      <c r="D212" s="188"/>
      <c r="E212" s="188"/>
      <c r="F212" s="499"/>
      <c r="G212" s="188"/>
      <c r="H212" s="188"/>
      <c r="I212" s="188"/>
      <c r="J212" s="188"/>
      <c r="K212" s="499"/>
      <c r="L212" s="499"/>
      <c r="M212" s="499"/>
      <c r="N212" s="499"/>
      <c r="O212" s="499"/>
      <c r="P212" s="499"/>
      <c r="Q212" s="499"/>
      <c r="R212" s="499"/>
      <c r="S212" s="499"/>
      <c r="T212" s="499"/>
      <c r="U212" s="499"/>
      <c r="V212" s="499"/>
      <c r="W212" s="499"/>
      <c r="X212" s="499"/>
      <c r="Y212" s="499"/>
    </row>
    <row r="213" spans="1:25" s="707" customFormat="1" ht="12.75" customHeight="1" x14ac:dyDescent="0.2">
      <c r="A213" s="499"/>
      <c r="B213" s="188"/>
      <c r="C213" s="188"/>
      <c r="D213" s="188"/>
      <c r="E213" s="188"/>
      <c r="F213" s="499"/>
      <c r="G213" s="188"/>
      <c r="H213" s="188"/>
      <c r="I213" s="188"/>
      <c r="J213" s="188"/>
      <c r="K213" s="499"/>
      <c r="L213" s="499"/>
      <c r="M213" s="499"/>
      <c r="N213" s="499"/>
      <c r="O213" s="499"/>
      <c r="P213" s="499"/>
      <c r="Q213" s="499"/>
      <c r="R213" s="499"/>
      <c r="S213" s="499"/>
      <c r="T213" s="499"/>
      <c r="U213" s="499"/>
      <c r="V213" s="499"/>
      <c r="W213" s="499"/>
      <c r="X213" s="499"/>
      <c r="Y213" s="499"/>
    </row>
    <row r="214" spans="1:25" s="707" customFormat="1" ht="12.75" customHeight="1" x14ac:dyDescent="0.2">
      <c r="A214" s="499"/>
      <c r="B214" s="188"/>
      <c r="C214" s="188"/>
      <c r="D214" s="188"/>
      <c r="E214" s="188"/>
      <c r="F214" s="499"/>
      <c r="G214" s="188"/>
      <c r="H214" s="188"/>
      <c r="I214" s="188"/>
      <c r="J214" s="188"/>
      <c r="K214" s="499"/>
      <c r="L214" s="499"/>
      <c r="M214" s="499"/>
      <c r="N214" s="499"/>
      <c r="O214" s="499"/>
      <c r="P214" s="499"/>
      <c r="Q214" s="499"/>
      <c r="R214" s="499"/>
      <c r="S214" s="499"/>
      <c r="T214" s="499"/>
      <c r="U214" s="188"/>
      <c r="V214" s="499"/>
      <c r="W214" s="499"/>
      <c r="X214" s="499"/>
      <c r="Y214" s="499"/>
    </row>
    <row r="215" spans="1:25" ht="12.75" customHeight="1" x14ac:dyDescent="0.2">
      <c r="A215" s="188"/>
      <c r="B215" s="188"/>
      <c r="C215" s="188"/>
      <c r="D215" s="188"/>
      <c r="E215" s="188"/>
      <c r="F215" s="499"/>
      <c r="G215" s="188"/>
      <c r="H215" s="188"/>
      <c r="I215" s="188"/>
      <c r="J215" s="188"/>
      <c r="K215" s="499"/>
      <c r="L215" s="499"/>
      <c r="M215" s="499"/>
      <c r="N215" s="499"/>
      <c r="O215" s="499"/>
      <c r="P215" s="499"/>
      <c r="Q215" s="188"/>
      <c r="R215" s="188"/>
      <c r="S215" s="188"/>
      <c r="T215" s="188"/>
      <c r="U215" s="188"/>
      <c r="V215" s="499"/>
      <c r="W215" s="499"/>
      <c r="X215" s="499"/>
      <c r="Y215" s="499"/>
    </row>
    <row r="216" spans="1:25" ht="12.75" customHeight="1" x14ac:dyDescent="0.2">
      <c r="A216" s="188"/>
      <c r="B216" s="188"/>
      <c r="C216" s="188"/>
      <c r="D216" s="188"/>
      <c r="E216" s="188"/>
      <c r="F216" s="499"/>
      <c r="G216" s="188"/>
      <c r="H216" s="188"/>
      <c r="I216" s="188"/>
      <c r="J216" s="188"/>
      <c r="K216" s="499"/>
      <c r="L216" s="499"/>
      <c r="M216" s="499"/>
      <c r="N216" s="499"/>
      <c r="O216" s="499"/>
      <c r="P216" s="499"/>
      <c r="Q216" s="188"/>
      <c r="R216" s="188"/>
      <c r="S216" s="188"/>
      <c r="T216" s="188"/>
      <c r="U216" s="188"/>
      <c r="V216" s="499"/>
      <c r="W216" s="499"/>
      <c r="X216" s="499"/>
      <c r="Y216" s="499"/>
    </row>
    <row r="217" spans="1:25" ht="12.75" customHeight="1" x14ac:dyDescent="0.2">
      <c r="A217" s="188"/>
      <c r="B217" s="188"/>
      <c r="C217" s="188"/>
      <c r="D217" s="188"/>
      <c r="E217" s="188"/>
      <c r="F217" s="499"/>
      <c r="G217" s="188"/>
      <c r="H217" s="188"/>
      <c r="I217" s="188"/>
      <c r="J217" s="188"/>
      <c r="K217" s="499"/>
      <c r="L217" s="499"/>
      <c r="M217" s="499"/>
      <c r="N217" s="499"/>
      <c r="O217" s="499"/>
      <c r="P217" s="499"/>
      <c r="Q217" s="188"/>
      <c r="R217" s="188"/>
      <c r="S217" s="188"/>
      <c r="T217" s="188"/>
      <c r="U217" s="188"/>
      <c r="V217" s="499"/>
      <c r="W217" s="499"/>
      <c r="X217" s="499"/>
      <c r="Y217" s="499"/>
    </row>
    <row r="218" spans="1:25" ht="12.75" customHeight="1" x14ac:dyDescent="0.2">
      <c r="A218" s="188"/>
      <c r="B218" s="188"/>
      <c r="C218" s="188"/>
      <c r="D218" s="188"/>
      <c r="E218" s="188"/>
      <c r="F218" s="499"/>
      <c r="G218" s="188"/>
      <c r="H218" s="188"/>
      <c r="I218" s="188"/>
      <c r="J218" s="188"/>
      <c r="K218" s="499"/>
      <c r="L218" s="499"/>
      <c r="M218" s="499"/>
      <c r="N218" s="499"/>
      <c r="O218" s="499"/>
      <c r="P218" s="499"/>
      <c r="Q218" s="188"/>
      <c r="R218" s="188"/>
      <c r="S218" s="188"/>
      <c r="T218" s="188"/>
      <c r="U218" s="188"/>
      <c r="V218" s="499"/>
      <c r="W218" s="499"/>
      <c r="X218" s="499"/>
      <c r="Y218" s="499"/>
    </row>
    <row r="219" spans="1:25" ht="12.75" customHeight="1" x14ac:dyDescent="0.2">
      <c r="A219" s="188"/>
      <c r="B219" s="188"/>
      <c r="C219" s="188"/>
      <c r="D219" s="188"/>
      <c r="E219" s="188"/>
      <c r="F219" s="499"/>
      <c r="G219" s="188"/>
      <c r="H219" s="188"/>
      <c r="I219" s="188"/>
      <c r="J219" s="188"/>
      <c r="K219" s="499"/>
      <c r="L219" s="499"/>
      <c r="M219" s="499"/>
      <c r="N219" s="499"/>
      <c r="O219" s="499"/>
      <c r="P219" s="499"/>
      <c r="Q219" s="188"/>
      <c r="R219" s="188"/>
      <c r="S219" s="188"/>
      <c r="T219" s="188"/>
      <c r="U219" s="188"/>
      <c r="V219" s="499"/>
      <c r="W219" s="499"/>
      <c r="X219" s="499"/>
      <c r="Y219" s="499"/>
    </row>
    <row r="220" spans="1:25" ht="12.75" customHeight="1" x14ac:dyDescent="0.2">
      <c r="A220" s="188"/>
      <c r="B220" s="188"/>
      <c r="C220" s="188"/>
      <c r="D220" s="188"/>
      <c r="E220" s="188"/>
      <c r="F220" s="499"/>
      <c r="G220" s="188"/>
      <c r="H220" s="188"/>
      <c r="I220" s="188"/>
      <c r="J220" s="188"/>
      <c r="K220" s="499"/>
      <c r="L220" s="499"/>
      <c r="M220" s="499"/>
      <c r="N220" s="499"/>
      <c r="O220" s="499"/>
      <c r="P220" s="499"/>
      <c r="Q220" s="188"/>
      <c r="R220" s="188"/>
      <c r="S220" s="188"/>
      <c r="T220" s="188"/>
      <c r="U220" s="188"/>
      <c r="V220" s="499"/>
      <c r="W220" s="499"/>
      <c r="X220" s="499"/>
      <c r="Y220" s="499"/>
    </row>
    <row r="221" spans="1:25" ht="12.75" customHeight="1" x14ac:dyDescent="0.2">
      <c r="A221" s="188"/>
      <c r="B221" s="188"/>
      <c r="C221" s="188"/>
      <c r="D221" s="188"/>
      <c r="E221" s="188"/>
      <c r="F221" s="499"/>
      <c r="G221" s="188"/>
      <c r="H221" s="188"/>
      <c r="I221" s="188"/>
      <c r="J221" s="188"/>
      <c r="K221" s="499"/>
      <c r="L221" s="499"/>
      <c r="M221" s="499"/>
      <c r="N221" s="499"/>
      <c r="O221" s="499"/>
      <c r="P221" s="499"/>
      <c r="Q221" s="188"/>
      <c r="R221" s="188"/>
      <c r="S221" s="188"/>
      <c r="T221" s="188"/>
      <c r="U221" s="188"/>
      <c r="V221" s="499"/>
      <c r="W221" s="499"/>
      <c r="X221" s="499"/>
      <c r="Y221" s="499"/>
    </row>
    <row r="222" spans="1:25" ht="12.75" customHeight="1" x14ac:dyDescent="0.2">
      <c r="A222" s="188"/>
      <c r="B222" s="188"/>
      <c r="C222" s="188"/>
      <c r="D222" s="188"/>
      <c r="E222" s="188"/>
      <c r="F222" s="499"/>
      <c r="G222" s="188"/>
      <c r="H222" s="188"/>
      <c r="I222" s="188"/>
      <c r="J222" s="188"/>
      <c r="K222" s="499"/>
      <c r="L222" s="499"/>
      <c r="M222" s="499"/>
      <c r="N222" s="499"/>
      <c r="O222" s="499"/>
      <c r="P222" s="499"/>
      <c r="Q222" s="188"/>
      <c r="R222" s="188"/>
      <c r="S222" s="188"/>
      <c r="T222" s="188"/>
      <c r="U222" s="188"/>
      <c r="V222" s="499"/>
      <c r="W222" s="499"/>
      <c r="X222" s="499"/>
      <c r="Y222" s="499"/>
    </row>
    <row r="223" spans="1:25" ht="12.75" customHeight="1" x14ac:dyDescent="0.2">
      <c r="A223" s="188"/>
      <c r="B223" s="188"/>
      <c r="C223" s="188"/>
      <c r="D223" s="188"/>
      <c r="E223" s="188"/>
      <c r="F223" s="499"/>
      <c r="G223" s="188"/>
      <c r="H223" s="188"/>
      <c r="I223" s="188"/>
      <c r="J223" s="188"/>
      <c r="K223" s="499"/>
      <c r="L223" s="499"/>
      <c r="M223" s="499"/>
      <c r="N223" s="499"/>
      <c r="O223" s="499"/>
      <c r="P223" s="499"/>
      <c r="Q223" s="188"/>
      <c r="R223" s="188"/>
      <c r="S223" s="188"/>
      <c r="T223" s="188"/>
      <c r="U223" s="188"/>
      <c r="V223" s="499"/>
      <c r="W223" s="499"/>
      <c r="X223" s="499"/>
      <c r="Y223" s="499"/>
    </row>
    <row r="224" spans="1:25" ht="12.75" customHeight="1" x14ac:dyDescent="0.2">
      <c r="A224" s="188"/>
      <c r="B224" s="188"/>
      <c r="C224" s="188"/>
      <c r="D224" s="188"/>
      <c r="E224" s="188"/>
      <c r="F224" s="499"/>
      <c r="G224" s="188"/>
      <c r="H224" s="188"/>
      <c r="I224" s="188"/>
      <c r="J224" s="188"/>
      <c r="K224" s="499"/>
      <c r="L224" s="499"/>
      <c r="M224" s="499"/>
      <c r="N224" s="499"/>
      <c r="O224" s="499"/>
      <c r="P224" s="499"/>
      <c r="Q224" s="188"/>
      <c r="R224" s="188"/>
      <c r="S224" s="188"/>
      <c r="T224" s="188"/>
      <c r="U224" s="188"/>
      <c r="V224" s="499"/>
      <c r="W224" s="499"/>
      <c r="X224" s="499"/>
      <c r="Y224" s="499"/>
    </row>
    <row r="225" spans="1:25" ht="12.75" customHeight="1" x14ac:dyDescent="0.2">
      <c r="A225" s="188"/>
      <c r="B225" s="188"/>
      <c r="C225" s="188"/>
      <c r="D225" s="188"/>
      <c r="E225" s="188"/>
      <c r="F225" s="499"/>
      <c r="G225" s="188"/>
      <c r="H225" s="188"/>
      <c r="I225" s="188"/>
      <c r="J225" s="188"/>
      <c r="K225" s="499"/>
      <c r="L225" s="499"/>
      <c r="M225" s="499"/>
      <c r="N225" s="499"/>
      <c r="O225" s="499"/>
      <c r="P225" s="499"/>
      <c r="Q225" s="188"/>
      <c r="R225" s="188"/>
      <c r="S225" s="188"/>
      <c r="T225" s="188"/>
      <c r="U225" s="188"/>
      <c r="V225" s="499"/>
      <c r="W225" s="499"/>
      <c r="X225" s="499"/>
      <c r="Y225" s="499"/>
    </row>
    <row r="226" spans="1:25" ht="12.75" customHeight="1" x14ac:dyDescent="0.2">
      <c r="A226" s="188"/>
      <c r="B226" s="188"/>
      <c r="C226" s="188"/>
      <c r="D226" s="188"/>
      <c r="E226" s="188"/>
      <c r="F226" s="499"/>
      <c r="G226" s="188"/>
      <c r="H226" s="188"/>
      <c r="I226" s="188"/>
      <c r="J226" s="188"/>
      <c r="K226" s="499"/>
      <c r="L226" s="499"/>
      <c r="M226" s="499"/>
      <c r="N226" s="499"/>
      <c r="O226" s="499"/>
      <c r="P226" s="499"/>
      <c r="Q226" s="188"/>
      <c r="R226" s="188"/>
      <c r="S226" s="188"/>
      <c r="T226" s="188"/>
      <c r="U226" s="188"/>
      <c r="V226" s="499"/>
      <c r="W226" s="499"/>
      <c r="X226" s="499"/>
      <c r="Y226" s="499"/>
    </row>
    <row r="227" spans="1:25" ht="12.75" customHeight="1" x14ac:dyDescent="0.2">
      <c r="A227" s="188"/>
      <c r="B227" s="188"/>
      <c r="C227" s="188"/>
      <c r="D227" s="188"/>
      <c r="E227" s="188"/>
      <c r="F227" s="499"/>
      <c r="G227" s="188"/>
      <c r="H227" s="188"/>
      <c r="I227" s="188"/>
      <c r="J227" s="188"/>
      <c r="K227" s="499"/>
      <c r="L227" s="499"/>
      <c r="M227" s="499"/>
      <c r="N227" s="499"/>
      <c r="O227" s="499"/>
      <c r="P227" s="499"/>
      <c r="Q227" s="188"/>
      <c r="R227" s="188"/>
      <c r="S227" s="188"/>
      <c r="T227" s="188"/>
      <c r="U227" s="188"/>
      <c r="V227" s="499"/>
      <c r="W227" s="499"/>
      <c r="X227" s="499"/>
      <c r="Y227" s="499"/>
    </row>
    <row r="228" spans="1:25" ht="12.75" customHeight="1" x14ac:dyDescent="0.2">
      <c r="A228" s="188"/>
      <c r="B228" s="188"/>
      <c r="C228" s="188"/>
      <c r="D228" s="188"/>
      <c r="E228" s="188"/>
      <c r="F228" s="499"/>
      <c r="G228" s="188"/>
      <c r="H228" s="188"/>
      <c r="I228" s="188"/>
      <c r="J228" s="188"/>
      <c r="K228" s="499"/>
      <c r="L228" s="499"/>
      <c r="M228" s="499"/>
      <c r="N228" s="499"/>
      <c r="O228" s="499"/>
      <c r="P228" s="499"/>
      <c r="Q228" s="188"/>
      <c r="R228" s="188"/>
      <c r="S228" s="188"/>
      <c r="T228" s="188"/>
      <c r="U228" s="188"/>
      <c r="V228" s="499"/>
      <c r="W228" s="499"/>
      <c r="X228" s="499"/>
      <c r="Y228" s="499"/>
    </row>
    <row r="229" spans="1:25" ht="12.75" customHeight="1" x14ac:dyDescent="0.2">
      <c r="A229" s="188"/>
      <c r="B229" s="188"/>
      <c r="C229" s="188"/>
      <c r="D229" s="188"/>
      <c r="E229" s="188"/>
      <c r="F229" s="499"/>
      <c r="G229" s="188"/>
      <c r="H229" s="188"/>
      <c r="I229" s="188"/>
      <c r="J229" s="188"/>
      <c r="K229" s="499"/>
      <c r="L229" s="499"/>
      <c r="M229" s="499"/>
      <c r="N229" s="499"/>
      <c r="O229" s="499"/>
      <c r="P229" s="499"/>
      <c r="Q229" s="188"/>
      <c r="R229" s="188"/>
      <c r="S229" s="188"/>
      <c r="T229" s="188"/>
      <c r="U229" s="188"/>
      <c r="V229" s="499"/>
      <c r="W229" s="499"/>
      <c r="X229" s="499"/>
      <c r="Y229" s="499"/>
    </row>
    <row r="230" spans="1:25" ht="12.75" customHeight="1" x14ac:dyDescent="0.2">
      <c r="A230" s="188"/>
      <c r="B230" s="188"/>
      <c r="C230" s="188"/>
      <c r="D230" s="188"/>
      <c r="E230" s="188"/>
      <c r="F230" s="499"/>
      <c r="G230" s="188"/>
      <c r="H230" s="188"/>
      <c r="I230" s="188"/>
      <c r="J230" s="188"/>
      <c r="K230" s="499"/>
      <c r="L230" s="499"/>
      <c r="M230" s="499"/>
      <c r="N230" s="499"/>
      <c r="O230" s="499"/>
      <c r="P230" s="499"/>
      <c r="Q230" s="188"/>
      <c r="R230" s="188"/>
      <c r="S230" s="188"/>
      <c r="T230" s="188"/>
      <c r="U230" s="188"/>
      <c r="V230" s="499"/>
      <c r="W230" s="499"/>
      <c r="X230" s="499"/>
      <c r="Y230" s="499"/>
    </row>
    <row r="231" spans="1:25" ht="12.75" customHeight="1" x14ac:dyDescent="0.2">
      <c r="A231" s="188"/>
      <c r="B231" s="188"/>
      <c r="C231" s="188"/>
      <c r="D231" s="188"/>
      <c r="E231" s="188"/>
      <c r="F231" s="499"/>
      <c r="G231" s="188"/>
      <c r="H231" s="188"/>
      <c r="I231" s="188"/>
      <c r="J231" s="188"/>
      <c r="K231" s="499"/>
      <c r="L231" s="499"/>
      <c r="M231" s="499"/>
      <c r="N231" s="499"/>
      <c r="O231" s="499"/>
      <c r="P231" s="499"/>
      <c r="Q231" s="188"/>
      <c r="R231" s="188"/>
      <c r="S231" s="188"/>
      <c r="T231" s="188"/>
      <c r="U231" s="188"/>
      <c r="V231" s="499"/>
      <c r="W231" s="499"/>
      <c r="X231" s="499"/>
      <c r="Y231" s="499"/>
    </row>
    <row r="232" spans="1:25" ht="12.75" customHeight="1" x14ac:dyDescent="0.2">
      <c r="A232" s="188"/>
      <c r="B232" s="188"/>
      <c r="C232" s="188"/>
      <c r="D232" s="188"/>
      <c r="E232" s="188"/>
      <c r="F232" s="499"/>
      <c r="G232" s="188"/>
      <c r="H232" s="188"/>
      <c r="I232" s="188"/>
      <c r="J232" s="188"/>
      <c r="K232" s="499"/>
      <c r="L232" s="499"/>
      <c r="M232" s="499"/>
      <c r="N232" s="499"/>
      <c r="O232" s="499"/>
      <c r="P232" s="499"/>
      <c r="Q232" s="188"/>
      <c r="R232" s="188"/>
      <c r="S232" s="188"/>
      <c r="T232" s="188"/>
      <c r="U232" s="188"/>
      <c r="V232" s="499"/>
      <c r="W232" s="499"/>
      <c r="X232" s="499"/>
      <c r="Y232" s="499"/>
    </row>
    <row r="233" spans="1:25" ht="12.75" customHeight="1" x14ac:dyDescent="0.2">
      <c r="A233" s="188"/>
      <c r="B233" s="188"/>
      <c r="C233" s="188"/>
      <c r="D233" s="188"/>
      <c r="E233" s="188"/>
      <c r="F233" s="499"/>
      <c r="G233" s="188"/>
      <c r="H233" s="188"/>
      <c r="I233" s="188"/>
      <c r="J233" s="188"/>
      <c r="K233" s="499"/>
      <c r="L233" s="499"/>
      <c r="M233" s="499"/>
      <c r="N233" s="499"/>
      <c r="O233" s="499"/>
      <c r="P233" s="499"/>
      <c r="Q233" s="188"/>
      <c r="R233" s="188"/>
      <c r="S233" s="188"/>
      <c r="T233" s="188"/>
      <c r="U233" s="188"/>
      <c r="V233" s="499"/>
      <c r="W233" s="499"/>
      <c r="X233" s="499"/>
      <c r="Y233" s="499"/>
    </row>
    <row r="234" spans="1:25" ht="12.75" customHeight="1" x14ac:dyDescent="0.2">
      <c r="A234" s="188"/>
      <c r="B234" s="188"/>
      <c r="C234" s="188"/>
      <c r="D234" s="188"/>
      <c r="E234" s="188"/>
      <c r="F234" s="499"/>
      <c r="G234" s="188"/>
      <c r="H234" s="188"/>
      <c r="I234" s="188"/>
      <c r="J234" s="188"/>
      <c r="K234" s="499"/>
      <c r="L234" s="499"/>
      <c r="M234" s="499"/>
      <c r="N234" s="499"/>
      <c r="O234" s="499"/>
      <c r="P234" s="499"/>
      <c r="Q234" s="188"/>
      <c r="R234" s="188"/>
      <c r="S234" s="188"/>
      <c r="T234" s="188"/>
      <c r="U234" s="188"/>
      <c r="V234" s="499"/>
      <c r="W234" s="499"/>
      <c r="X234" s="499"/>
      <c r="Y234" s="499"/>
    </row>
    <row r="235" spans="1:25" ht="12.75" customHeight="1" x14ac:dyDescent="0.2">
      <c r="A235" s="188"/>
      <c r="B235" s="188"/>
      <c r="C235" s="188"/>
      <c r="D235" s="188"/>
      <c r="E235" s="188"/>
      <c r="F235" s="499"/>
      <c r="G235" s="188"/>
      <c r="H235" s="188"/>
      <c r="I235" s="188"/>
      <c r="J235" s="188"/>
      <c r="K235" s="499"/>
      <c r="L235" s="499"/>
      <c r="M235" s="499"/>
      <c r="N235" s="499"/>
      <c r="O235" s="499"/>
      <c r="P235" s="499"/>
      <c r="Q235" s="188"/>
      <c r="R235" s="188"/>
      <c r="S235" s="188"/>
      <c r="T235" s="188"/>
      <c r="U235" s="188"/>
      <c r="V235" s="499"/>
      <c r="W235" s="499"/>
      <c r="X235" s="499"/>
      <c r="Y235" s="499"/>
    </row>
    <row r="236" spans="1:25" ht="12.75" customHeight="1" x14ac:dyDescent="0.2">
      <c r="A236" s="188"/>
      <c r="B236" s="188"/>
      <c r="C236" s="188"/>
      <c r="D236" s="188"/>
      <c r="E236" s="188"/>
      <c r="F236" s="499"/>
      <c r="G236" s="188"/>
      <c r="H236" s="188"/>
      <c r="I236" s="188"/>
      <c r="J236" s="188"/>
      <c r="K236" s="499"/>
      <c r="L236" s="499"/>
      <c r="M236" s="499"/>
      <c r="N236" s="499"/>
      <c r="O236" s="499"/>
      <c r="P236" s="499"/>
      <c r="Q236" s="188"/>
      <c r="R236" s="188"/>
      <c r="S236" s="188"/>
      <c r="T236" s="188"/>
      <c r="U236" s="188"/>
      <c r="V236" s="499"/>
      <c r="W236" s="499"/>
      <c r="X236" s="499"/>
      <c r="Y236" s="499"/>
    </row>
    <row r="237" spans="1:25" ht="12.75" customHeight="1" x14ac:dyDescent="0.2">
      <c r="A237" s="188"/>
      <c r="B237" s="188"/>
      <c r="C237" s="188"/>
      <c r="D237" s="188"/>
      <c r="E237" s="188"/>
      <c r="F237" s="499"/>
      <c r="G237" s="188"/>
      <c r="H237" s="188"/>
      <c r="I237" s="188"/>
      <c r="J237" s="188"/>
      <c r="K237" s="499"/>
      <c r="L237" s="499"/>
      <c r="M237" s="499"/>
      <c r="N237" s="499"/>
      <c r="O237" s="499"/>
      <c r="P237" s="499"/>
      <c r="Q237" s="188"/>
      <c r="R237" s="188"/>
      <c r="S237" s="188"/>
      <c r="T237" s="188"/>
      <c r="U237" s="188"/>
      <c r="V237" s="499"/>
      <c r="W237" s="499"/>
      <c r="X237" s="499"/>
      <c r="Y237" s="499"/>
    </row>
    <row r="238" spans="1:25" ht="12.75" customHeight="1" x14ac:dyDescent="0.2">
      <c r="A238" s="188"/>
      <c r="B238" s="188"/>
      <c r="C238" s="188"/>
      <c r="D238" s="188"/>
      <c r="E238" s="188"/>
      <c r="F238" s="499"/>
      <c r="G238" s="188"/>
      <c r="H238" s="188"/>
      <c r="I238" s="188"/>
      <c r="J238" s="188"/>
      <c r="K238" s="499"/>
      <c r="L238" s="499"/>
      <c r="M238" s="499"/>
      <c r="N238" s="499"/>
      <c r="O238" s="499"/>
      <c r="P238" s="499"/>
      <c r="Q238" s="188"/>
      <c r="R238" s="188"/>
      <c r="S238" s="188"/>
      <c r="T238" s="188"/>
      <c r="U238" s="188"/>
      <c r="V238" s="499"/>
      <c r="W238" s="499"/>
      <c r="X238" s="499"/>
      <c r="Y238" s="499"/>
    </row>
    <row r="239" spans="1:25" ht="12.75" customHeight="1" x14ac:dyDescent="0.2">
      <c r="A239" s="188"/>
      <c r="B239" s="188"/>
      <c r="C239" s="188"/>
      <c r="D239" s="188"/>
      <c r="E239" s="188"/>
      <c r="F239" s="499"/>
      <c r="G239" s="188"/>
      <c r="H239" s="188"/>
      <c r="I239" s="188"/>
      <c r="J239" s="188"/>
      <c r="K239" s="499"/>
      <c r="L239" s="499"/>
      <c r="M239" s="499"/>
      <c r="N239" s="499"/>
      <c r="O239" s="499"/>
      <c r="P239" s="499"/>
      <c r="Q239" s="188"/>
      <c r="R239" s="188"/>
      <c r="S239" s="188"/>
      <c r="T239" s="188"/>
      <c r="U239" s="188"/>
      <c r="V239" s="499"/>
      <c r="W239" s="499"/>
      <c r="X239" s="499"/>
      <c r="Y239" s="499"/>
    </row>
    <row r="240" spans="1:25" ht="12.75" customHeight="1" x14ac:dyDescent="0.2">
      <c r="A240" s="188"/>
      <c r="B240" s="188"/>
      <c r="C240" s="188"/>
      <c r="D240" s="188"/>
      <c r="E240" s="188"/>
      <c r="F240" s="499"/>
      <c r="G240" s="188"/>
      <c r="H240" s="188"/>
      <c r="I240" s="188"/>
      <c r="J240" s="188"/>
      <c r="K240" s="499"/>
      <c r="L240" s="499"/>
      <c r="M240" s="499"/>
      <c r="N240" s="499"/>
      <c r="O240" s="499"/>
      <c r="P240" s="499"/>
      <c r="Q240" s="188"/>
      <c r="R240" s="188"/>
      <c r="S240" s="188"/>
      <c r="T240" s="188"/>
      <c r="U240" s="188"/>
      <c r="V240" s="499"/>
      <c r="W240" s="499"/>
      <c r="X240" s="499"/>
      <c r="Y240" s="499"/>
    </row>
    <row r="241" spans="1:25" ht="12.75" customHeight="1" x14ac:dyDescent="0.2">
      <c r="A241" s="188"/>
      <c r="B241" s="188"/>
      <c r="C241" s="188"/>
      <c r="D241" s="188"/>
      <c r="E241" s="188"/>
      <c r="F241" s="499"/>
      <c r="G241" s="188"/>
      <c r="H241" s="188"/>
      <c r="I241" s="188"/>
      <c r="J241" s="188"/>
      <c r="K241" s="499"/>
      <c r="L241" s="499"/>
      <c r="M241" s="499"/>
      <c r="N241" s="499"/>
      <c r="O241" s="499"/>
      <c r="P241" s="499"/>
      <c r="Q241" s="188"/>
      <c r="R241" s="188"/>
      <c r="S241" s="188"/>
      <c r="T241" s="188"/>
      <c r="U241" s="188"/>
      <c r="V241" s="499"/>
      <c r="W241" s="499"/>
      <c r="X241" s="499"/>
      <c r="Y241" s="499"/>
    </row>
    <row r="242" spans="1:25" ht="12.75" customHeight="1" x14ac:dyDescent="0.2">
      <c r="A242" s="188"/>
      <c r="B242" s="188"/>
      <c r="C242" s="188"/>
      <c r="D242" s="188"/>
      <c r="E242" s="188"/>
      <c r="F242" s="499"/>
      <c r="G242" s="188"/>
      <c r="H242" s="188"/>
      <c r="I242" s="188"/>
      <c r="J242" s="188"/>
      <c r="K242" s="499"/>
      <c r="L242" s="499"/>
      <c r="M242" s="499"/>
      <c r="N242" s="499"/>
      <c r="O242" s="499"/>
      <c r="P242" s="499"/>
      <c r="Q242" s="188"/>
      <c r="R242" s="188"/>
      <c r="S242" s="188"/>
      <c r="T242" s="188"/>
      <c r="U242" s="188"/>
      <c r="V242" s="499"/>
      <c r="W242" s="499"/>
      <c r="X242" s="499"/>
      <c r="Y242" s="499"/>
    </row>
    <row r="243" spans="1:25" ht="12.75" customHeight="1" x14ac:dyDescent="0.2">
      <c r="A243" s="188"/>
      <c r="B243" s="188"/>
      <c r="C243" s="188"/>
      <c r="D243" s="188"/>
      <c r="E243" s="188"/>
      <c r="F243" s="499"/>
      <c r="G243" s="188"/>
      <c r="H243" s="188"/>
      <c r="I243" s="188"/>
      <c r="J243" s="188"/>
      <c r="K243" s="499"/>
      <c r="L243" s="499"/>
      <c r="M243" s="499"/>
      <c r="N243" s="499"/>
      <c r="O243" s="499"/>
      <c r="P243" s="499"/>
      <c r="Q243" s="188"/>
      <c r="R243" s="188"/>
      <c r="S243" s="188"/>
      <c r="T243" s="188"/>
      <c r="U243" s="188"/>
      <c r="V243" s="499"/>
      <c r="W243" s="499"/>
      <c r="X243" s="499"/>
      <c r="Y243" s="499"/>
    </row>
    <row r="244" spans="1:25" ht="12.75" customHeight="1" x14ac:dyDescent="0.2">
      <c r="A244" s="188"/>
      <c r="B244" s="188"/>
      <c r="C244" s="188"/>
      <c r="D244" s="188"/>
      <c r="E244" s="188"/>
      <c r="F244" s="499"/>
      <c r="G244" s="188"/>
      <c r="H244" s="188"/>
      <c r="I244" s="188"/>
      <c r="J244" s="188"/>
      <c r="K244" s="499"/>
      <c r="L244" s="499"/>
      <c r="M244" s="499"/>
      <c r="N244" s="499"/>
      <c r="O244" s="499"/>
      <c r="P244" s="499"/>
      <c r="Q244" s="188"/>
      <c r="R244" s="188"/>
      <c r="S244" s="188"/>
      <c r="T244" s="188"/>
      <c r="U244" s="188"/>
      <c r="V244" s="499"/>
      <c r="W244" s="499"/>
      <c r="X244" s="499"/>
      <c r="Y244" s="499"/>
    </row>
    <row r="245" spans="1:25" ht="12.75" customHeight="1" x14ac:dyDescent="0.2">
      <c r="A245" s="188"/>
      <c r="B245" s="188"/>
      <c r="C245" s="188"/>
      <c r="D245" s="188"/>
      <c r="E245" s="188"/>
      <c r="F245" s="499"/>
      <c r="G245" s="188"/>
      <c r="H245" s="188"/>
      <c r="I245" s="188"/>
      <c r="J245" s="188"/>
      <c r="K245" s="499"/>
      <c r="L245" s="499"/>
      <c r="M245" s="499"/>
      <c r="N245" s="499"/>
      <c r="O245" s="499"/>
      <c r="P245" s="499"/>
      <c r="Q245" s="188"/>
      <c r="R245" s="188"/>
      <c r="S245" s="188"/>
      <c r="T245" s="188"/>
      <c r="U245" s="188"/>
      <c r="V245" s="499"/>
      <c r="W245" s="499"/>
      <c r="X245" s="499"/>
      <c r="Y245" s="499"/>
    </row>
    <row r="246" spans="1:25" ht="12.75" customHeight="1" x14ac:dyDescent="0.2">
      <c r="A246" s="188"/>
      <c r="B246" s="188"/>
      <c r="C246" s="188"/>
      <c r="D246" s="188"/>
      <c r="E246" s="188"/>
      <c r="F246" s="499"/>
      <c r="G246" s="188"/>
      <c r="H246" s="188"/>
      <c r="I246" s="188"/>
      <c r="J246" s="188"/>
      <c r="K246" s="499"/>
      <c r="L246" s="499"/>
      <c r="M246" s="499"/>
      <c r="N246" s="499"/>
      <c r="O246" s="499"/>
      <c r="P246" s="499"/>
      <c r="Q246" s="188"/>
      <c r="R246" s="188"/>
      <c r="S246" s="188"/>
      <c r="T246" s="188"/>
      <c r="U246" s="188"/>
      <c r="V246" s="499"/>
      <c r="W246" s="499"/>
      <c r="X246" s="499"/>
      <c r="Y246" s="499"/>
    </row>
    <row r="247" spans="1:25" ht="12.75" customHeight="1" x14ac:dyDescent="0.2">
      <c r="A247" s="188"/>
      <c r="B247" s="188"/>
      <c r="C247" s="188"/>
      <c r="D247" s="188"/>
      <c r="E247" s="188"/>
      <c r="F247" s="499"/>
      <c r="G247" s="188"/>
      <c r="H247" s="188"/>
      <c r="I247" s="188"/>
      <c r="J247" s="188"/>
      <c r="K247" s="499"/>
      <c r="L247" s="499"/>
      <c r="M247" s="499"/>
      <c r="N247" s="499"/>
      <c r="O247" s="499"/>
      <c r="P247" s="499"/>
      <c r="Q247" s="188"/>
      <c r="R247" s="188"/>
      <c r="S247" s="188"/>
      <c r="T247" s="188"/>
      <c r="U247" s="188"/>
      <c r="V247" s="499"/>
      <c r="W247" s="499"/>
      <c r="X247" s="499"/>
      <c r="Y247" s="499"/>
    </row>
    <row r="248" spans="1:25" ht="12.75" customHeight="1" x14ac:dyDescent="0.2">
      <c r="A248" s="188"/>
      <c r="B248" s="188"/>
      <c r="C248" s="188"/>
      <c r="D248" s="188"/>
      <c r="E248" s="188"/>
      <c r="F248" s="499"/>
      <c r="G248" s="188"/>
      <c r="H248" s="188"/>
      <c r="I248" s="188"/>
      <c r="J248" s="188"/>
      <c r="K248" s="499"/>
      <c r="L248" s="499"/>
      <c r="M248" s="499"/>
      <c r="N248" s="499"/>
      <c r="O248" s="499"/>
      <c r="P248" s="499"/>
      <c r="Q248" s="188"/>
      <c r="R248" s="188"/>
      <c r="S248" s="188"/>
      <c r="T248" s="188"/>
      <c r="U248" s="188"/>
      <c r="V248" s="499"/>
      <c r="W248" s="499"/>
      <c r="X248" s="499"/>
      <c r="Y248" s="499"/>
    </row>
    <row r="249" spans="1:25" ht="12.75" customHeight="1" x14ac:dyDescent="0.2">
      <c r="A249" s="188"/>
      <c r="B249" s="188"/>
      <c r="C249" s="188"/>
      <c r="D249" s="188"/>
      <c r="E249" s="188"/>
      <c r="F249" s="499"/>
      <c r="G249" s="188"/>
      <c r="H249" s="188"/>
      <c r="I249" s="188"/>
      <c r="J249" s="188"/>
      <c r="K249" s="499"/>
      <c r="L249" s="499"/>
      <c r="M249" s="499"/>
      <c r="N249" s="499"/>
      <c r="O249" s="499"/>
      <c r="P249" s="499"/>
      <c r="Q249" s="188"/>
      <c r="R249" s="188"/>
      <c r="S249" s="188"/>
      <c r="T249" s="188"/>
      <c r="U249" s="188"/>
      <c r="V249" s="499"/>
      <c r="W249" s="499"/>
      <c r="X249" s="499"/>
      <c r="Y249" s="499"/>
    </row>
    <row r="250" spans="1:25" ht="12.75" customHeight="1" x14ac:dyDescent="0.2">
      <c r="A250" s="188"/>
      <c r="B250" s="188"/>
      <c r="C250" s="188"/>
      <c r="D250" s="188"/>
      <c r="E250" s="188"/>
      <c r="F250" s="499"/>
      <c r="G250" s="188"/>
      <c r="H250" s="188"/>
      <c r="I250" s="188"/>
      <c r="J250" s="188"/>
      <c r="K250" s="499"/>
      <c r="L250" s="499"/>
      <c r="M250" s="499"/>
      <c r="N250" s="499"/>
      <c r="O250" s="499"/>
      <c r="P250" s="499"/>
      <c r="Q250" s="188"/>
      <c r="R250" s="188"/>
      <c r="S250" s="188"/>
      <c r="T250" s="188"/>
      <c r="U250" s="188"/>
      <c r="V250" s="499"/>
      <c r="W250" s="499"/>
      <c r="X250" s="499"/>
      <c r="Y250" s="499"/>
    </row>
    <row r="251" spans="1:25" ht="12.75" x14ac:dyDescent="0.2">
      <c r="A251" s="188"/>
      <c r="B251" s="188"/>
      <c r="C251" s="188"/>
      <c r="D251" s="188"/>
      <c r="E251" s="188"/>
      <c r="F251" s="499"/>
      <c r="G251" s="188"/>
      <c r="H251" s="188"/>
      <c r="I251" s="188"/>
      <c r="J251" s="188"/>
      <c r="K251" s="499"/>
      <c r="L251" s="499"/>
      <c r="M251" s="499"/>
      <c r="N251" s="499"/>
      <c r="O251" s="499"/>
      <c r="P251" s="499"/>
      <c r="Q251" s="188"/>
      <c r="R251" s="188"/>
      <c r="S251" s="188"/>
      <c r="T251" s="188"/>
      <c r="U251" s="188"/>
      <c r="V251" s="499"/>
      <c r="W251" s="499"/>
      <c r="X251" s="499"/>
      <c r="Y251" s="499"/>
    </row>
    <row r="252" spans="1:25" ht="12.75" x14ac:dyDescent="0.2">
      <c r="A252" s="188"/>
      <c r="B252" s="188"/>
      <c r="C252" s="188"/>
      <c r="D252" s="188"/>
      <c r="E252" s="188"/>
      <c r="F252" s="499"/>
      <c r="G252" s="188"/>
      <c r="H252" s="188"/>
      <c r="I252" s="188"/>
      <c r="J252" s="188"/>
      <c r="K252" s="499"/>
      <c r="L252" s="499"/>
      <c r="M252" s="499"/>
      <c r="N252" s="499"/>
      <c r="O252" s="499"/>
      <c r="P252" s="499"/>
      <c r="Q252" s="188"/>
      <c r="R252" s="188"/>
      <c r="S252" s="188"/>
      <c r="T252" s="188"/>
      <c r="U252" s="188"/>
      <c r="V252" s="499"/>
      <c r="W252" s="499"/>
      <c r="X252" s="499"/>
      <c r="Y252" s="499"/>
    </row>
    <row r="253" spans="1:25" ht="12.75" x14ac:dyDescent="0.2">
      <c r="A253" s="188"/>
      <c r="B253" s="188"/>
      <c r="C253" s="188"/>
      <c r="D253" s="188"/>
      <c r="E253" s="188"/>
      <c r="F253" s="499"/>
      <c r="G253" s="188"/>
      <c r="H253" s="188"/>
      <c r="I253" s="188"/>
      <c r="J253" s="188"/>
      <c r="K253" s="499"/>
      <c r="L253" s="499"/>
      <c r="M253" s="499"/>
      <c r="N253" s="499"/>
      <c r="O253" s="499"/>
      <c r="P253" s="499"/>
      <c r="Q253" s="188"/>
      <c r="R253" s="188"/>
      <c r="S253" s="188"/>
      <c r="T253" s="188"/>
      <c r="U253" s="188"/>
      <c r="V253" s="499"/>
      <c r="W253" s="499"/>
      <c r="X253" s="499"/>
      <c r="Y253" s="499"/>
    </row>
    <row r="254" spans="1:25" ht="12.75" x14ac:dyDescent="0.2">
      <c r="A254" s="188"/>
      <c r="B254" s="188"/>
      <c r="C254" s="188"/>
      <c r="D254" s="188"/>
      <c r="E254" s="188"/>
      <c r="F254" s="499"/>
      <c r="G254" s="188"/>
      <c r="H254" s="188"/>
      <c r="I254" s="188"/>
      <c r="J254" s="188"/>
      <c r="K254" s="499"/>
      <c r="L254" s="499"/>
      <c r="M254" s="499"/>
      <c r="N254" s="499"/>
      <c r="O254" s="499"/>
      <c r="P254" s="499"/>
      <c r="Q254" s="188"/>
      <c r="R254" s="188"/>
      <c r="S254" s="188"/>
      <c r="T254" s="188"/>
      <c r="U254" s="188"/>
      <c r="V254" s="499"/>
      <c r="W254" s="499"/>
      <c r="X254" s="499"/>
      <c r="Y254" s="499"/>
    </row>
    <row r="255" spans="1:25" ht="12.75" x14ac:dyDescent="0.2">
      <c r="A255" s="188"/>
      <c r="B255" s="188"/>
      <c r="C255" s="188"/>
      <c r="D255" s="188"/>
      <c r="E255" s="188"/>
      <c r="F255" s="499"/>
      <c r="G255" s="188"/>
      <c r="H255" s="188"/>
      <c r="I255" s="188"/>
      <c r="J255" s="188"/>
      <c r="K255" s="499"/>
      <c r="L255" s="499"/>
      <c r="M255" s="499"/>
      <c r="N255" s="499"/>
      <c r="O255" s="499"/>
      <c r="P255" s="499"/>
      <c r="Q255" s="188"/>
      <c r="R255" s="188"/>
      <c r="S255" s="188"/>
      <c r="T255" s="188"/>
      <c r="U255" s="188"/>
      <c r="V255" s="499"/>
      <c r="W255" s="499"/>
      <c r="X255" s="499"/>
      <c r="Y255" s="499"/>
    </row>
    <row r="256" spans="1:25" ht="12.75" x14ac:dyDescent="0.2">
      <c r="A256" s="188"/>
      <c r="B256" s="188"/>
      <c r="C256" s="188"/>
      <c r="D256" s="188"/>
      <c r="E256" s="188"/>
      <c r="F256" s="499"/>
      <c r="G256" s="188"/>
      <c r="H256" s="188"/>
      <c r="I256" s="188"/>
      <c r="J256" s="188"/>
      <c r="K256" s="499"/>
      <c r="L256" s="499"/>
      <c r="M256" s="499"/>
      <c r="N256" s="499"/>
      <c r="O256" s="499"/>
      <c r="P256" s="499"/>
      <c r="Q256" s="188"/>
      <c r="R256" s="188"/>
      <c r="S256" s="188"/>
      <c r="T256" s="188"/>
      <c r="U256" s="188"/>
      <c r="V256" s="499"/>
      <c r="W256" s="499"/>
      <c r="X256" s="499"/>
      <c r="Y256" s="499"/>
    </row>
    <row r="257" spans="1:25" ht="12.75" x14ac:dyDescent="0.2">
      <c r="A257" s="188"/>
      <c r="B257" s="188"/>
      <c r="C257" s="188"/>
      <c r="D257" s="188"/>
      <c r="E257" s="188"/>
      <c r="F257" s="499"/>
      <c r="G257" s="188"/>
      <c r="H257" s="188"/>
      <c r="I257" s="188"/>
      <c r="J257" s="188"/>
      <c r="K257" s="499"/>
      <c r="L257" s="499"/>
      <c r="M257" s="499"/>
      <c r="N257" s="499"/>
      <c r="O257" s="499"/>
      <c r="P257" s="499"/>
      <c r="Q257" s="188"/>
      <c r="R257" s="188"/>
      <c r="S257" s="188"/>
      <c r="T257" s="188"/>
      <c r="U257" s="188"/>
      <c r="V257" s="499"/>
      <c r="W257" s="499"/>
      <c r="X257" s="499"/>
      <c r="Y257" s="499"/>
    </row>
    <row r="258" spans="1:25" ht="12.75" x14ac:dyDescent="0.2">
      <c r="A258" s="188"/>
      <c r="B258" s="188"/>
      <c r="C258" s="188"/>
      <c r="D258" s="188"/>
      <c r="E258" s="188"/>
      <c r="F258" s="499"/>
      <c r="G258" s="188"/>
      <c r="H258" s="188"/>
      <c r="I258" s="188"/>
      <c r="J258" s="188"/>
      <c r="K258" s="499"/>
      <c r="L258" s="499"/>
      <c r="M258" s="499"/>
      <c r="N258" s="499"/>
      <c r="O258" s="499"/>
      <c r="P258" s="499"/>
      <c r="Q258" s="188"/>
      <c r="R258" s="188"/>
      <c r="S258" s="188"/>
      <c r="T258" s="188"/>
      <c r="U258" s="188"/>
      <c r="V258" s="499"/>
      <c r="W258" s="499"/>
      <c r="X258" s="499"/>
      <c r="Y258" s="499"/>
    </row>
    <row r="259" spans="1:25" ht="12.75" x14ac:dyDescent="0.2">
      <c r="A259" s="188"/>
      <c r="B259" s="188"/>
      <c r="C259" s="188"/>
      <c r="D259" s="188"/>
      <c r="E259" s="188"/>
      <c r="F259" s="499"/>
      <c r="G259" s="188"/>
      <c r="H259" s="188"/>
      <c r="I259" s="188"/>
      <c r="J259" s="188"/>
      <c r="K259" s="499"/>
      <c r="L259" s="499"/>
      <c r="M259" s="499"/>
      <c r="N259" s="499"/>
      <c r="O259" s="499"/>
      <c r="P259" s="499"/>
      <c r="Q259" s="188"/>
      <c r="R259" s="188"/>
      <c r="S259" s="188"/>
      <c r="T259" s="188"/>
      <c r="U259" s="188"/>
      <c r="V259" s="499"/>
      <c r="W259" s="499"/>
      <c r="X259" s="499"/>
      <c r="Y259" s="499"/>
    </row>
    <row r="260" spans="1:25" ht="12.75" x14ac:dyDescent="0.2">
      <c r="A260" s="188"/>
      <c r="B260" s="188"/>
      <c r="C260" s="188"/>
      <c r="D260" s="188"/>
      <c r="E260" s="188"/>
      <c r="F260" s="499"/>
      <c r="G260" s="188"/>
      <c r="H260" s="188"/>
      <c r="I260" s="188"/>
      <c r="J260" s="188"/>
      <c r="K260" s="499"/>
      <c r="L260" s="499"/>
      <c r="M260" s="499"/>
      <c r="N260" s="499"/>
      <c r="O260" s="499"/>
      <c r="P260" s="499"/>
      <c r="Q260" s="188"/>
      <c r="R260" s="188"/>
      <c r="S260" s="188"/>
      <c r="T260" s="188"/>
      <c r="U260" s="188"/>
      <c r="V260" s="499"/>
      <c r="W260" s="499"/>
      <c r="X260" s="499"/>
      <c r="Y260" s="499"/>
    </row>
    <row r="261" spans="1:25" ht="12.75" x14ac:dyDescent="0.2">
      <c r="A261" s="188"/>
      <c r="B261" s="188"/>
      <c r="C261" s="188"/>
      <c r="D261" s="188"/>
      <c r="E261" s="188"/>
      <c r="F261" s="499"/>
      <c r="G261" s="188"/>
      <c r="H261" s="188"/>
      <c r="I261" s="188"/>
      <c r="J261" s="188"/>
      <c r="K261" s="499"/>
      <c r="L261" s="499"/>
      <c r="M261" s="499"/>
      <c r="N261" s="499"/>
      <c r="O261" s="499"/>
      <c r="P261" s="499"/>
      <c r="Q261" s="188"/>
      <c r="R261" s="188"/>
      <c r="S261" s="188"/>
      <c r="T261" s="188"/>
      <c r="U261" s="188"/>
      <c r="V261" s="499"/>
      <c r="W261" s="499"/>
      <c r="X261" s="499"/>
      <c r="Y261" s="499"/>
    </row>
    <row r="262" spans="1:25" ht="12.75" x14ac:dyDescent="0.2">
      <c r="A262" s="188"/>
      <c r="B262" s="188"/>
      <c r="C262" s="188"/>
      <c r="D262" s="188"/>
      <c r="E262" s="188"/>
      <c r="F262" s="499"/>
      <c r="G262" s="188"/>
      <c r="H262" s="188"/>
      <c r="I262" s="188"/>
      <c r="J262" s="188"/>
      <c r="K262" s="499"/>
      <c r="L262" s="291"/>
      <c r="M262" s="291"/>
      <c r="N262" s="291"/>
      <c r="O262" s="291"/>
      <c r="P262" s="499"/>
      <c r="Q262" s="188"/>
      <c r="R262" s="188"/>
      <c r="S262" s="188"/>
      <c r="T262" s="188"/>
      <c r="U262" s="188"/>
      <c r="V262" s="499"/>
      <c r="W262" s="499"/>
      <c r="X262" s="499"/>
      <c r="Y262" s="499"/>
    </row>
    <row r="263" spans="1:25" ht="12.75" x14ac:dyDescent="0.2">
      <c r="A263" s="188"/>
      <c r="B263" s="188"/>
      <c r="C263" s="188"/>
      <c r="D263" s="188"/>
      <c r="E263" s="188"/>
      <c r="F263" s="499"/>
      <c r="G263" s="188"/>
      <c r="H263" s="188"/>
      <c r="I263" s="188"/>
      <c r="J263" s="188"/>
      <c r="K263" s="499"/>
      <c r="L263" s="291"/>
      <c r="M263" s="291"/>
      <c r="N263" s="291"/>
      <c r="O263" s="291"/>
      <c r="P263" s="499"/>
      <c r="Q263" s="188"/>
      <c r="R263" s="188"/>
      <c r="S263" s="188"/>
      <c r="T263" s="188"/>
      <c r="U263" s="188"/>
      <c r="V263" s="499"/>
      <c r="W263" s="499"/>
      <c r="X263" s="499"/>
      <c r="Y263" s="499"/>
    </row>
    <row r="264" spans="1:25" ht="12.75" x14ac:dyDescent="0.2">
      <c r="A264" s="188"/>
      <c r="B264" s="188"/>
      <c r="C264" s="188"/>
      <c r="D264" s="188"/>
      <c r="E264" s="188"/>
      <c r="F264" s="499"/>
      <c r="G264" s="188"/>
      <c r="H264" s="188"/>
      <c r="I264" s="188"/>
      <c r="J264" s="188"/>
      <c r="K264" s="499"/>
      <c r="L264" s="291"/>
      <c r="M264" s="291"/>
      <c r="N264" s="291"/>
      <c r="O264" s="291"/>
      <c r="P264" s="499"/>
      <c r="Q264" s="188"/>
      <c r="R264" s="188"/>
      <c r="S264" s="188"/>
      <c r="T264" s="188"/>
      <c r="U264" s="188"/>
      <c r="V264" s="499"/>
      <c r="W264" s="499"/>
      <c r="X264" s="499"/>
      <c r="Y264" s="499"/>
    </row>
    <row r="265" spans="1:25" ht="12.75" x14ac:dyDescent="0.2">
      <c r="A265" s="188"/>
      <c r="B265" s="188"/>
      <c r="C265" s="188"/>
      <c r="D265" s="188"/>
      <c r="E265" s="188"/>
      <c r="F265" s="291"/>
      <c r="G265" s="188"/>
      <c r="H265" s="188"/>
      <c r="I265" s="188"/>
      <c r="J265" s="188"/>
      <c r="K265" s="499"/>
      <c r="L265" s="291"/>
      <c r="M265" s="291"/>
      <c r="N265" s="291"/>
      <c r="O265" s="291"/>
      <c r="P265" s="499"/>
      <c r="Q265" s="188"/>
      <c r="R265" s="188"/>
      <c r="S265" s="188"/>
      <c r="T265" s="188"/>
      <c r="U265" s="188"/>
      <c r="V265" s="499"/>
      <c r="W265" s="499"/>
      <c r="X265" s="499"/>
      <c r="Y265" s="499"/>
    </row>
    <row r="266" spans="1:25" ht="12.75" x14ac:dyDescent="0.2">
      <c r="A266" s="188"/>
      <c r="B266" s="188"/>
      <c r="C266" s="188"/>
      <c r="D266" s="188"/>
      <c r="E266" s="188"/>
      <c r="F266" s="499"/>
      <c r="G266" s="188"/>
      <c r="H266" s="188"/>
      <c r="I266" s="188"/>
      <c r="J266" s="188"/>
      <c r="K266" s="291"/>
      <c r="L266" s="291"/>
      <c r="M266" s="291"/>
      <c r="N266" s="291"/>
      <c r="O266" s="291"/>
      <c r="P266" s="291"/>
      <c r="Q266" s="188"/>
      <c r="R266" s="188"/>
      <c r="S266" s="188"/>
      <c r="T266" s="188"/>
      <c r="U266" s="188"/>
      <c r="V266" s="499"/>
      <c r="W266" s="499"/>
      <c r="X266" s="499"/>
      <c r="Y266" s="499"/>
    </row>
    <row r="267" spans="1:25" ht="12.75" x14ac:dyDescent="0.2">
      <c r="A267" s="188"/>
      <c r="B267" s="188"/>
      <c r="C267" s="188"/>
      <c r="D267" s="188"/>
      <c r="E267" s="188"/>
      <c r="F267" s="499"/>
      <c r="G267" s="188"/>
      <c r="H267" s="188"/>
      <c r="I267" s="188"/>
      <c r="J267" s="188"/>
      <c r="K267" s="291"/>
      <c r="L267" s="291"/>
      <c r="M267" s="291"/>
      <c r="N267" s="291"/>
      <c r="O267" s="291"/>
      <c r="P267" s="291"/>
      <c r="Q267" s="188"/>
      <c r="R267" s="188"/>
      <c r="S267" s="188"/>
      <c r="T267" s="188"/>
      <c r="U267" s="188"/>
      <c r="V267" s="499"/>
      <c r="W267" s="499"/>
      <c r="X267" s="499"/>
      <c r="Y267" s="499"/>
    </row>
    <row r="268" spans="1:25" ht="12.75" x14ac:dyDescent="0.2">
      <c r="A268" s="188"/>
      <c r="B268" s="188"/>
      <c r="C268" s="188"/>
      <c r="D268" s="188"/>
      <c r="E268" s="188"/>
      <c r="F268" s="499"/>
      <c r="G268" s="188"/>
      <c r="H268" s="188"/>
      <c r="I268" s="188"/>
      <c r="J268" s="188"/>
      <c r="K268" s="291"/>
      <c r="L268" s="291"/>
      <c r="M268" s="291"/>
      <c r="N268" s="291"/>
      <c r="O268" s="291"/>
      <c r="P268" s="291"/>
      <c r="Q268" s="188"/>
      <c r="R268" s="188"/>
      <c r="S268" s="188"/>
      <c r="T268" s="188"/>
      <c r="U268" s="188"/>
      <c r="V268" s="499"/>
      <c r="W268" s="499"/>
      <c r="X268" s="499"/>
      <c r="Y268" s="499"/>
    </row>
    <row r="269" spans="1:25" ht="12.75" x14ac:dyDescent="0.2">
      <c r="A269" s="188"/>
      <c r="B269" s="188"/>
      <c r="C269" s="188"/>
      <c r="D269" s="188"/>
      <c r="E269" s="188"/>
      <c r="F269" s="499"/>
      <c r="G269" s="188"/>
      <c r="H269" s="188"/>
      <c r="I269" s="188"/>
      <c r="J269" s="188"/>
      <c r="K269" s="291"/>
      <c r="L269" s="291"/>
      <c r="M269" s="291"/>
      <c r="N269" s="291"/>
      <c r="O269" s="291"/>
      <c r="P269" s="291"/>
      <c r="Q269" s="188"/>
      <c r="R269" s="188"/>
      <c r="S269" s="188"/>
      <c r="T269" s="188"/>
      <c r="U269" s="188"/>
      <c r="V269" s="499"/>
      <c r="W269" s="499"/>
      <c r="X269" s="499"/>
      <c r="Y269" s="499"/>
    </row>
    <row r="270" spans="1:25" ht="12.75" x14ac:dyDescent="0.2">
      <c r="A270" s="188"/>
      <c r="B270" s="188"/>
      <c r="C270" s="188"/>
      <c r="D270" s="188"/>
      <c r="E270" s="188"/>
      <c r="F270" s="499"/>
      <c r="G270" s="188"/>
      <c r="H270" s="188"/>
      <c r="I270" s="188"/>
      <c r="J270" s="188"/>
      <c r="K270" s="291"/>
      <c r="L270" s="291"/>
      <c r="M270" s="291"/>
      <c r="N270" s="291"/>
      <c r="O270" s="291"/>
      <c r="P270" s="291"/>
      <c r="Q270" s="188"/>
      <c r="R270" s="188"/>
      <c r="S270" s="188"/>
      <c r="T270" s="188"/>
      <c r="U270" s="188"/>
      <c r="V270" s="499"/>
      <c r="W270" s="499"/>
      <c r="X270" s="499"/>
      <c r="Y270" s="499"/>
    </row>
    <row r="271" spans="1:25" ht="12.75" x14ac:dyDescent="0.2">
      <c r="A271" s="188"/>
      <c r="B271" s="188"/>
      <c r="C271" s="188"/>
      <c r="D271" s="188"/>
      <c r="E271" s="188"/>
      <c r="F271" s="499"/>
      <c r="G271" s="188"/>
      <c r="H271" s="188"/>
      <c r="I271" s="188"/>
      <c r="J271" s="188"/>
      <c r="K271" s="291"/>
      <c r="L271" s="291"/>
      <c r="M271" s="291"/>
      <c r="N271" s="291"/>
      <c r="O271" s="291"/>
      <c r="P271" s="291"/>
      <c r="Q271" s="188"/>
      <c r="R271" s="188"/>
      <c r="S271" s="188"/>
      <c r="T271" s="188"/>
      <c r="U271" s="188"/>
      <c r="V271" s="499"/>
      <c r="W271" s="499"/>
      <c r="X271" s="499"/>
      <c r="Y271" s="499"/>
    </row>
    <row r="272" spans="1:25" ht="12.75" x14ac:dyDescent="0.2">
      <c r="A272" s="188"/>
      <c r="B272" s="188"/>
      <c r="C272" s="188"/>
      <c r="D272" s="188"/>
      <c r="E272" s="188"/>
      <c r="F272" s="499"/>
      <c r="G272" s="188"/>
      <c r="H272" s="188"/>
      <c r="I272" s="188"/>
      <c r="J272" s="188"/>
      <c r="K272" s="291"/>
      <c r="L272" s="291"/>
      <c r="M272" s="291"/>
      <c r="N272" s="291"/>
      <c r="O272" s="291"/>
      <c r="P272" s="291"/>
      <c r="Q272" s="188"/>
      <c r="R272" s="188"/>
      <c r="S272" s="188"/>
      <c r="T272" s="188"/>
      <c r="U272" s="188"/>
      <c r="V272" s="499"/>
      <c r="W272" s="499"/>
      <c r="X272" s="499"/>
      <c r="Y272" s="499"/>
    </row>
    <row r="273" spans="1:25" ht="12.75" x14ac:dyDescent="0.2">
      <c r="A273" s="188"/>
      <c r="B273" s="188"/>
      <c r="C273" s="188"/>
      <c r="D273" s="188"/>
      <c r="E273" s="188"/>
      <c r="F273" s="499"/>
      <c r="G273" s="188"/>
      <c r="H273" s="188"/>
      <c r="I273" s="188"/>
      <c r="J273" s="188"/>
      <c r="K273" s="291"/>
      <c r="L273" s="291"/>
      <c r="M273" s="291"/>
      <c r="N273" s="291"/>
      <c r="O273" s="291"/>
      <c r="P273" s="291"/>
      <c r="Q273" s="188"/>
      <c r="R273" s="188"/>
      <c r="S273" s="188"/>
      <c r="T273" s="188"/>
      <c r="U273" s="188"/>
      <c r="V273" s="499"/>
      <c r="W273" s="499"/>
      <c r="X273" s="499"/>
      <c r="Y273" s="499"/>
    </row>
    <row r="274" spans="1:25" ht="12.75" x14ac:dyDescent="0.2">
      <c r="A274" s="188"/>
      <c r="B274" s="188"/>
      <c r="C274" s="188"/>
      <c r="D274" s="188"/>
      <c r="E274" s="188"/>
      <c r="F274" s="499"/>
      <c r="G274" s="188"/>
      <c r="H274" s="188"/>
      <c r="I274" s="188"/>
      <c r="J274" s="188"/>
      <c r="K274" s="291"/>
      <c r="L274" s="291"/>
      <c r="M274" s="291"/>
      <c r="N274" s="291"/>
      <c r="O274" s="291"/>
      <c r="P274" s="291"/>
      <c r="Q274" s="188"/>
      <c r="R274" s="188"/>
      <c r="S274" s="188"/>
      <c r="T274" s="188"/>
      <c r="U274" s="188"/>
      <c r="V274" s="499"/>
      <c r="W274" s="499"/>
      <c r="X274" s="499"/>
      <c r="Y274" s="499"/>
    </row>
    <row r="275" spans="1:25" ht="12.75" x14ac:dyDescent="0.2">
      <c r="A275" s="188"/>
      <c r="B275" s="188"/>
      <c r="C275" s="188"/>
      <c r="D275" s="188"/>
      <c r="E275" s="188"/>
      <c r="F275" s="499"/>
      <c r="G275" s="188"/>
      <c r="H275" s="188"/>
      <c r="I275" s="188"/>
      <c r="J275" s="188"/>
      <c r="K275" s="291"/>
      <c r="L275" s="291"/>
      <c r="M275" s="291"/>
      <c r="N275" s="291"/>
      <c r="O275" s="291"/>
      <c r="P275" s="291"/>
      <c r="Q275" s="188"/>
      <c r="R275" s="188"/>
      <c r="S275" s="188"/>
      <c r="T275" s="188"/>
      <c r="U275" s="188"/>
      <c r="V275" s="499"/>
      <c r="W275" s="499"/>
      <c r="X275" s="499"/>
      <c r="Y275" s="499"/>
    </row>
    <row r="276" spans="1:25" ht="12.75" x14ac:dyDescent="0.2">
      <c r="A276" s="188"/>
      <c r="B276" s="188"/>
      <c r="C276" s="188"/>
      <c r="D276" s="188"/>
      <c r="E276" s="188"/>
      <c r="F276" s="499"/>
      <c r="G276" s="188"/>
      <c r="H276" s="188"/>
      <c r="I276" s="188"/>
      <c r="J276" s="188"/>
      <c r="K276" s="291"/>
      <c r="L276" s="291"/>
      <c r="M276" s="291"/>
      <c r="N276" s="291"/>
      <c r="O276" s="291"/>
      <c r="P276" s="291"/>
      <c r="Q276" s="188"/>
      <c r="R276" s="188"/>
      <c r="S276" s="188"/>
      <c r="T276" s="188"/>
      <c r="U276" s="188"/>
      <c r="V276" s="499"/>
      <c r="W276" s="499"/>
      <c r="X276" s="499"/>
      <c r="Y276" s="499"/>
    </row>
    <row r="277" spans="1:25" ht="12.75" x14ac:dyDescent="0.2">
      <c r="A277" s="188"/>
      <c r="B277" s="188"/>
      <c r="C277" s="188"/>
      <c r="D277" s="188"/>
      <c r="E277" s="188"/>
      <c r="F277" s="499"/>
      <c r="G277" s="188"/>
      <c r="H277" s="188"/>
      <c r="I277" s="188"/>
      <c r="J277" s="188"/>
      <c r="K277" s="291"/>
      <c r="L277" s="291"/>
      <c r="M277" s="291"/>
      <c r="N277" s="291"/>
      <c r="O277" s="291"/>
      <c r="P277" s="291"/>
      <c r="Q277" s="188"/>
      <c r="R277" s="188"/>
      <c r="S277" s="188"/>
      <c r="T277" s="188"/>
      <c r="U277" s="188"/>
      <c r="V277" s="499"/>
      <c r="W277" s="499"/>
      <c r="X277" s="499"/>
      <c r="Y277" s="499"/>
    </row>
    <row r="278" spans="1:25" ht="12.75" x14ac:dyDescent="0.2">
      <c r="A278" s="188"/>
      <c r="B278" s="188"/>
      <c r="C278" s="188"/>
      <c r="D278" s="188"/>
      <c r="E278" s="188"/>
      <c r="F278" s="499"/>
      <c r="G278" s="188"/>
      <c r="H278" s="188"/>
      <c r="I278" s="188"/>
      <c r="J278" s="188"/>
      <c r="K278" s="291"/>
      <c r="L278" s="291"/>
      <c r="M278" s="291"/>
      <c r="N278" s="291"/>
      <c r="O278" s="291"/>
      <c r="P278" s="291"/>
      <c r="Q278" s="188"/>
      <c r="R278" s="188"/>
      <c r="S278" s="188"/>
      <c r="T278" s="188"/>
      <c r="U278" s="188"/>
      <c r="V278" s="499"/>
      <c r="W278" s="499"/>
      <c r="X278" s="499"/>
      <c r="Y278" s="499"/>
    </row>
    <row r="279" spans="1:25" ht="12.75" x14ac:dyDescent="0.2">
      <c r="A279" s="188"/>
      <c r="B279" s="188"/>
      <c r="C279" s="188"/>
      <c r="D279" s="188"/>
      <c r="E279" s="188"/>
      <c r="F279" s="499"/>
      <c r="G279" s="188"/>
      <c r="H279" s="188"/>
      <c r="I279" s="188"/>
      <c r="J279" s="188"/>
      <c r="K279" s="291"/>
      <c r="L279" s="291"/>
      <c r="M279" s="291"/>
      <c r="N279" s="291"/>
      <c r="O279" s="291"/>
      <c r="P279" s="291"/>
      <c r="Q279" s="188"/>
      <c r="R279" s="188"/>
      <c r="S279" s="188"/>
      <c r="T279" s="188"/>
      <c r="U279" s="188"/>
      <c r="V279" s="499"/>
      <c r="W279" s="499"/>
      <c r="X279" s="499"/>
      <c r="Y279" s="499"/>
    </row>
    <row r="280" spans="1:25" ht="12.75" x14ac:dyDescent="0.2">
      <c r="A280" s="188"/>
      <c r="B280" s="188"/>
      <c r="C280" s="188"/>
      <c r="D280" s="188"/>
      <c r="E280" s="188"/>
      <c r="F280" s="499"/>
      <c r="G280" s="188"/>
      <c r="H280" s="188"/>
      <c r="I280" s="188"/>
      <c r="J280" s="188"/>
      <c r="K280" s="291"/>
      <c r="L280" s="291"/>
      <c r="M280" s="291"/>
      <c r="N280" s="291"/>
      <c r="O280" s="291"/>
      <c r="P280" s="291"/>
      <c r="Q280" s="188"/>
      <c r="R280" s="188"/>
      <c r="S280" s="188"/>
      <c r="T280" s="188"/>
      <c r="U280" s="188"/>
      <c r="V280" s="499"/>
      <c r="W280" s="499"/>
      <c r="X280" s="499"/>
      <c r="Y280" s="499"/>
    </row>
    <row r="281" spans="1:25" ht="12.75" x14ac:dyDescent="0.2">
      <c r="A281" s="188"/>
      <c r="B281" s="188"/>
      <c r="C281" s="188"/>
      <c r="D281" s="188"/>
      <c r="E281" s="188"/>
      <c r="F281" s="499"/>
      <c r="G281" s="188"/>
      <c r="H281" s="188"/>
      <c r="I281" s="188"/>
      <c r="J281" s="188"/>
      <c r="K281" s="291"/>
      <c r="L281" s="291"/>
      <c r="M281" s="291"/>
      <c r="N281" s="291"/>
      <c r="O281" s="291"/>
      <c r="P281" s="291"/>
      <c r="Q281" s="188"/>
      <c r="R281" s="188"/>
      <c r="S281" s="188"/>
      <c r="T281" s="188"/>
      <c r="U281" s="188"/>
      <c r="V281" s="499"/>
      <c r="W281" s="499"/>
      <c r="X281" s="499"/>
      <c r="Y281" s="499"/>
    </row>
    <row r="282" spans="1:25" ht="12.75" x14ac:dyDescent="0.2">
      <c r="A282" s="188"/>
      <c r="B282" s="188"/>
      <c r="C282" s="188"/>
      <c r="D282" s="188"/>
      <c r="E282" s="188"/>
      <c r="F282" s="499"/>
      <c r="G282" s="188"/>
      <c r="H282" s="188"/>
      <c r="I282" s="188"/>
      <c r="J282" s="188"/>
      <c r="K282" s="291"/>
      <c r="L282" s="291"/>
      <c r="M282" s="291"/>
      <c r="N282" s="291"/>
      <c r="O282" s="291"/>
      <c r="P282" s="291"/>
      <c r="Q282" s="188"/>
      <c r="R282" s="188"/>
      <c r="S282" s="188"/>
      <c r="T282" s="188"/>
      <c r="U282" s="188"/>
      <c r="V282" s="499"/>
      <c r="W282" s="499"/>
      <c r="X282" s="499"/>
      <c r="Y282" s="499"/>
    </row>
    <row r="283" spans="1:25" ht="12.75" x14ac:dyDescent="0.2">
      <c r="A283" s="188"/>
      <c r="B283" s="188"/>
      <c r="C283" s="188"/>
      <c r="D283" s="188"/>
      <c r="E283" s="188"/>
      <c r="F283" s="499"/>
      <c r="G283" s="188"/>
      <c r="H283" s="188"/>
      <c r="I283" s="188"/>
      <c r="J283" s="188"/>
      <c r="K283" s="291"/>
      <c r="L283" s="291"/>
      <c r="M283" s="291"/>
      <c r="N283" s="291"/>
      <c r="O283" s="291"/>
      <c r="P283" s="291"/>
      <c r="Q283" s="188"/>
      <c r="R283" s="188"/>
      <c r="S283" s="188"/>
      <c r="T283" s="188"/>
      <c r="U283" s="188"/>
      <c r="V283" s="499"/>
      <c r="W283" s="499"/>
      <c r="X283" s="499"/>
      <c r="Y283" s="499"/>
    </row>
    <row r="284" spans="1:25" ht="12.75" x14ac:dyDescent="0.2">
      <c r="A284" s="188"/>
      <c r="B284" s="188"/>
      <c r="C284" s="188"/>
      <c r="D284" s="188"/>
      <c r="E284" s="188"/>
      <c r="F284" s="499"/>
      <c r="G284" s="188"/>
      <c r="H284" s="188"/>
      <c r="I284" s="188"/>
      <c r="J284" s="188"/>
      <c r="K284" s="291"/>
      <c r="L284" s="291"/>
      <c r="M284" s="291"/>
      <c r="N284" s="291"/>
      <c r="O284" s="291"/>
      <c r="P284" s="291"/>
      <c r="Q284" s="188"/>
      <c r="R284" s="188"/>
      <c r="S284" s="188"/>
      <c r="T284" s="188"/>
      <c r="U284" s="188"/>
      <c r="V284" s="499"/>
      <c r="W284" s="499"/>
      <c r="X284" s="499"/>
      <c r="Y284" s="499"/>
    </row>
    <row r="285" spans="1:25" ht="12.75" x14ac:dyDescent="0.2">
      <c r="A285" s="188"/>
      <c r="B285" s="188"/>
      <c r="C285" s="188"/>
      <c r="D285" s="188"/>
      <c r="E285" s="188"/>
      <c r="F285" s="499"/>
      <c r="G285" s="188"/>
      <c r="H285" s="188"/>
      <c r="I285" s="188"/>
      <c r="J285" s="188"/>
      <c r="K285" s="291"/>
      <c r="L285" s="291"/>
      <c r="M285" s="291"/>
      <c r="N285" s="291"/>
      <c r="O285" s="291"/>
      <c r="P285" s="291"/>
      <c r="Q285" s="188"/>
      <c r="R285" s="188"/>
      <c r="S285" s="188"/>
      <c r="T285" s="188"/>
      <c r="U285" s="188"/>
      <c r="V285" s="499"/>
      <c r="W285" s="499"/>
      <c r="X285" s="499"/>
      <c r="Y285" s="499"/>
    </row>
    <row r="286" spans="1:25" ht="12.75" x14ac:dyDescent="0.2">
      <c r="A286" s="188"/>
      <c r="B286" s="188"/>
      <c r="C286" s="188"/>
      <c r="D286" s="188"/>
      <c r="E286" s="188"/>
      <c r="F286" s="499"/>
      <c r="G286" s="188"/>
      <c r="H286" s="188"/>
      <c r="I286" s="188"/>
      <c r="J286" s="188"/>
      <c r="K286" s="291"/>
      <c r="L286" s="291"/>
      <c r="M286" s="291"/>
      <c r="N286" s="291"/>
      <c r="O286" s="291"/>
      <c r="P286" s="291"/>
      <c r="Q286" s="188"/>
      <c r="R286" s="188"/>
      <c r="S286" s="188"/>
      <c r="T286" s="188"/>
      <c r="U286" s="188"/>
      <c r="V286" s="499"/>
      <c r="W286" s="499"/>
      <c r="X286" s="499"/>
      <c r="Y286" s="499"/>
    </row>
    <row r="287" spans="1:25" ht="12.75" x14ac:dyDescent="0.2">
      <c r="A287" s="188"/>
      <c r="B287" s="188"/>
      <c r="C287" s="188"/>
      <c r="D287" s="188"/>
      <c r="E287" s="188"/>
      <c r="F287" s="499"/>
      <c r="G287" s="188"/>
      <c r="H287" s="188"/>
      <c r="I287" s="188"/>
      <c r="J287" s="188"/>
      <c r="K287" s="291"/>
      <c r="L287" s="291"/>
      <c r="M287" s="291"/>
      <c r="N287" s="291"/>
      <c r="O287" s="291"/>
      <c r="P287" s="291"/>
      <c r="Q287" s="188"/>
      <c r="R287" s="188"/>
      <c r="S287" s="188"/>
      <c r="T287" s="188"/>
      <c r="U287" s="188"/>
      <c r="V287" s="499"/>
      <c r="W287" s="499"/>
      <c r="X287" s="499"/>
      <c r="Y287" s="499"/>
    </row>
    <row r="288" spans="1:25" ht="12.75" x14ac:dyDescent="0.2">
      <c r="A288" s="188"/>
      <c r="B288" s="188"/>
      <c r="C288" s="188"/>
      <c r="D288" s="188"/>
      <c r="E288" s="188"/>
      <c r="F288" s="499"/>
      <c r="G288" s="188"/>
      <c r="H288" s="188"/>
      <c r="I288" s="188"/>
      <c r="J288" s="188"/>
      <c r="K288" s="291"/>
      <c r="L288" s="291"/>
      <c r="M288" s="291"/>
      <c r="N288" s="291"/>
      <c r="O288" s="291"/>
      <c r="P288" s="291"/>
      <c r="Q288" s="188"/>
      <c r="R288" s="188"/>
      <c r="S288" s="188"/>
      <c r="T288" s="188"/>
      <c r="U288" s="188"/>
      <c r="V288" s="499"/>
      <c r="W288" s="499"/>
      <c r="X288" s="499"/>
      <c r="Y288" s="499"/>
    </row>
    <row r="289" spans="1:25" ht="12.75" x14ac:dyDescent="0.2">
      <c r="A289" s="188"/>
      <c r="B289" s="188"/>
      <c r="C289" s="188"/>
      <c r="D289" s="188"/>
      <c r="E289" s="188"/>
      <c r="F289" s="499"/>
      <c r="G289" s="188"/>
      <c r="H289" s="188"/>
      <c r="I289" s="188"/>
      <c r="J289" s="188"/>
      <c r="K289" s="291"/>
      <c r="L289" s="291"/>
      <c r="M289" s="291"/>
      <c r="N289" s="291"/>
      <c r="O289" s="291"/>
      <c r="P289" s="291"/>
      <c r="Q289" s="188"/>
      <c r="R289" s="188"/>
      <c r="S289" s="188"/>
      <c r="T289" s="188"/>
      <c r="U289" s="188"/>
      <c r="V289" s="499"/>
      <c r="W289" s="499"/>
      <c r="X289" s="499"/>
      <c r="Y289" s="499"/>
    </row>
    <row r="290" spans="1:25" ht="12.75" x14ac:dyDescent="0.2">
      <c r="A290" s="188"/>
      <c r="B290" s="188"/>
      <c r="C290" s="188"/>
      <c r="D290" s="188"/>
      <c r="E290" s="188"/>
      <c r="F290" s="499"/>
      <c r="G290" s="188"/>
      <c r="H290" s="188"/>
      <c r="I290" s="188"/>
      <c r="J290" s="188"/>
      <c r="K290" s="291"/>
      <c r="L290" s="291"/>
      <c r="M290" s="291"/>
      <c r="N290" s="291"/>
      <c r="O290" s="291"/>
      <c r="P290" s="291"/>
      <c r="Q290" s="188"/>
      <c r="R290" s="188"/>
      <c r="S290" s="188"/>
      <c r="T290" s="188"/>
      <c r="U290" s="188"/>
      <c r="V290" s="499"/>
      <c r="W290" s="499"/>
      <c r="X290" s="499"/>
      <c r="Y290" s="499"/>
    </row>
    <row r="291" spans="1:25" ht="12.75" x14ac:dyDescent="0.2">
      <c r="A291" s="188"/>
      <c r="B291" s="188"/>
      <c r="C291" s="188"/>
      <c r="D291" s="188"/>
      <c r="E291" s="188"/>
      <c r="F291" s="499"/>
      <c r="G291" s="188"/>
      <c r="H291" s="188"/>
      <c r="I291" s="188"/>
      <c r="J291" s="188"/>
      <c r="K291" s="291"/>
      <c r="L291" s="291"/>
      <c r="M291" s="291"/>
      <c r="N291" s="291"/>
      <c r="O291" s="291"/>
      <c r="P291" s="291"/>
      <c r="Q291" s="188"/>
      <c r="R291" s="188"/>
      <c r="S291" s="188"/>
      <c r="T291" s="188"/>
      <c r="U291" s="188"/>
      <c r="V291" s="499"/>
      <c r="W291" s="499"/>
      <c r="X291" s="499"/>
      <c r="Y291" s="499"/>
    </row>
    <row r="292" spans="1:25" ht="12.75" x14ac:dyDescent="0.2">
      <c r="A292" s="188"/>
      <c r="B292" s="188"/>
      <c r="C292" s="188"/>
      <c r="D292" s="188"/>
      <c r="E292" s="188"/>
      <c r="F292" s="499"/>
      <c r="G292" s="188"/>
      <c r="H292" s="188"/>
      <c r="I292" s="188"/>
      <c r="J292" s="188"/>
      <c r="K292" s="291"/>
      <c r="L292" s="291"/>
      <c r="M292" s="291"/>
      <c r="N292" s="291"/>
      <c r="O292" s="291"/>
      <c r="P292" s="291"/>
      <c r="Q292" s="188"/>
      <c r="R292" s="188"/>
      <c r="S292" s="188"/>
      <c r="T292" s="188"/>
      <c r="U292" s="188"/>
      <c r="V292" s="499"/>
      <c r="W292" s="499"/>
      <c r="X292" s="499"/>
      <c r="Y292" s="499"/>
    </row>
    <row r="293" spans="1:25" ht="12.75" x14ac:dyDescent="0.2">
      <c r="A293" s="188"/>
      <c r="B293" s="188"/>
      <c r="C293" s="188"/>
      <c r="D293" s="188"/>
      <c r="E293" s="188"/>
      <c r="F293" s="499"/>
      <c r="G293" s="188"/>
      <c r="H293" s="188"/>
      <c r="I293" s="188"/>
      <c r="J293" s="188"/>
      <c r="K293" s="291"/>
      <c r="L293" s="291"/>
      <c r="M293" s="291"/>
      <c r="N293" s="291"/>
      <c r="O293" s="291"/>
      <c r="P293" s="291"/>
      <c r="Q293" s="188"/>
      <c r="R293" s="188"/>
      <c r="S293" s="188"/>
      <c r="T293" s="188"/>
      <c r="U293" s="188"/>
      <c r="V293" s="499"/>
      <c r="W293" s="499"/>
      <c r="X293" s="499"/>
      <c r="Y293" s="499"/>
    </row>
    <row r="294" spans="1:25" ht="12.75" x14ac:dyDescent="0.2">
      <c r="A294" s="188"/>
      <c r="B294" s="188"/>
      <c r="C294" s="188"/>
      <c r="D294" s="188"/>
      <c r="E294" s="188"/>
      <c r="F294" s="499"/>
      <c r="G294" s="188"/>
      <c r="H294" s="188"/>
      <c r="I294" s="188"/>
      <c r="J294" s="188"/>
      <c r="K294" s="291"/>
      <c r="L294" s="291"/>
      <c r="M294" s="291"/>
      <c r="N294" s="291"/>
      <c r="O294" s="291"/>
      <c r="P294" s="291"/>
      <c r="Q294" s="188"/>
      <c r="R294" s="188"/>
      <c r="S294" s="188"/>
      <c r="T294" s="188"/>
      <c r="U294" s="188"/>
      <c r="V294" s="499"/>
      <c r="W294" s="499"/>
      <c r="X294" s="499"/>
      <c r="Y294" s="499"/>
    </row>
    <row r="295" spans="1:25" ht="12.75" x14ac:dyDescent="0.2">
      <c r="A295" s="188"/>
      <c r="B295" s="188"/>
      <c r="C295" s="188"/>
      <c r="D295" s="188"/>
      <c r="E295" s="188"/>
      <c r="F295" s="499"/>
      <c r="G295" s="188"/>
      <c r="H295" s="188"/>
      <c r="I295" s="188"/>
      <c r="J295" s="188"/>
      <c r="K295" s="291"/>
      <c r="L295" s="291"/>
      <c r="M295" s="291"/>
      <c r="N295" s="291"/>
      <c r="O295" s="291"/>
      <c r="P295" s="291"/>
      <c r="Q295" s="188"/>
      <c r="R295" s="188"/>
      <c r="S295" s="188"/>
      <c r="T295" s="188"/>
      <c r="U295" s="188"/>
      <c r="V295" s="499"/>
      <c r="W295" s="499"/>
      <c r="X295" s="499"/>
      <c r="Y295" s="499"/>
    </row>
    <row r="296" spans="1:25" ht="12.75" x14ac:dyDescent="0.2">
      <c r="A296" s="188"/>
      <c r="B296" s="188"/>
      <c r="C296" s="188"/>
      <c r="D296" s="188"/>
      <c r="E296" s="188"/>
      <c r="F296" s="499"/>
      <c r="G296" s="188"/>
      <c r="H296" s="188"/>
      <c r="I296" s="188"/>
      <c r="J296" s="188"/>
      <c r="K296" s="291"/>
      <c r="L296" s="291"/>
      <c r="M296" s="291"/>
      <c r="N296" s="291"/>
      <c r="O296" s="291"/>
      <c r="P296" s="291"/>
      <c r="Q296" s="188"/>
      <c r="R296" s="188"/>
      <c r="S296" s="188"/>
      <c r="T296" s="188"/>
      <c r="U296" s="188"/>
      <c r="V296" s="499"/>
      <c r="W296" s="499"/>
      <c r="X296" s="499"/>
      <c r="Y296" s="499"/>
    </row>
    <row r="297" spans="1:25" ht="12.75" x14ac:dyDescent="0.2">
      <c r="A297" s="188"/>
      <c r="B297" s="188"/>
      <c r="C297" s="188"/>
      <c r="D297" s="188"/>
      <c r="E297" s="188"/>
      <c r="F297" s="499"/>
      <c r="G297" s="188"/>
      <c r="H297" s="188"/>
      <c r="I297" s="188"/>
      <c r="J297" s="188"/>
      <c r="K297" s="499"/>
      <c r="L297" s="291"/>
      <c r="M297" s="291"/>
      <c r="N297" s="291"/>
      <c r="O297" s="291"/>
      <c r="P297" s="499"/>
      <c r="Q297" s="188"/>
      <c r="R297" s="188"/>
      <c r="S297" s="188"/>
      <c r="T297" s="188"/>
      <c r="U297" s="188"/>
      <c r="V297" s="499"/>
      <c r="W297" s="499"/>
      <c r="X297" s="499"/>
      <c r="Y297" s="499"/>
    </row>
    <row r="298" spans="1:25" ht="12.75" x14ac:dyDescent="0.2">
      <c r="A298" s="188"/>
      <c r="B298" s="188"/>
      <c r="C298" s="188"/>
      <c r="D298" s="188"/>
      <c r="E298" s="188"/>
      <c r="F298" s="499"/>
      <c r="G298" s="188"/>
      <c r="H298" s="188"/>
      <c r="I298" s="188"/>
      <c r="J298" s="188"/>
      <c r="K298" s="499"/>
      <c r="L298" s="291"/>
      <c r="M298" s="291"/>
      <c r="N298" s="291"/>
      <c r="O298" s="291"/>
      <c r="P298" s="499"/>
      <c r="Q298" s="188"/>
      <c r="R298" s="188"/>
      <c r="S298" s="188"/>
      <c r="T298" s="188"/>
      <c r="U298" s="188"/>
      <c r="V298" s="499"/>
      <c r="W298" s="499"/>
      <c r="X298" s="499"/>
      <c r="Y298" s="499"/>
    </row>
    <row r="299" spans="1:25" ht="12.75" x14ac:dyDescent="0.2">
      <c r="A299" s="188"/>
      <c r="B299" s="188"/>
      <c r="C299" s="188"/>
      <c r="D299" s="188"/>
      <c r="E299" s="188"/>
      <c r="F299" s="499"/>
      <c r="G299" s="188"/>
      <c r="H299" s="188"/>
      <c r="I299" s="188"/>
      <c r="J299" s="188"/>
      <c r="K299" s="499"/>
      <c r="L299" s="291"/>
      <c r="M299" s="291"/>
      <c r="N299" s="291"/>
      <c r="O299" s="291"/>
      <c r="P299" s="499"/>
      <c r="Q299" s="188"/>
      <c r="R299" s="188"/>
      <c r="S299" s="188"/>
      <c r="T299" s="188"/>
      <c r="U299" s="188"/>
      <c r="V299" s="499"/>
      <c r="W299" s="499"/>
      <c r="X299" s="499"/>
      <c r="Y299" s="499"/>
    </row>
    <row r="300" spans="1:25" ht="12.75" x14ac:dyDescent="0.2">
      <c r="A300" s="188"/>
      <c r="B300" s="188"/>
      <c r="C300" s="188"/>
      <c r="D300" s="188"/>
      <c r="E300" s="188"/>
      <c r="F300" s="499"/>
      <c r="G300" s="188"/>
      <c r="H300" s="188"/>
      <c r="I300" s="188"/>
      <c r="J300" s="188"/>
      <c r="K300" s="499"/>
      <c r="L300" s="291"/>
      <c r="M300" s="291"/>
      <c r="N300" s="291"/>
      <c r="O300" s="291"/>
      <c r="P300" s="499"/>
      <c r="Q300" s="188"/>
      <c r="R300" s="188"/>
      <c r="S300" s="188"/>
      <c r="T300" s="188"/>
      <c r="U300" s="188"/>
      <c r="V300" s="499"/>
      <c r="W300" s="499"/>
      <c r="X300" s="499"/>
      <c r="Y300" s="499"/>
    </row>
    <row r="301" spans="1:25" ht="12.75" x14ac:dyDescent="0.2">
      <c r="A301" s="188"/>
      <c r="B301" s="188"/>
      <c r="C301" s="188"/>
      <c r="D301" s="188"/>
      <c r="E301" s="188"/>
      <c r="F301" s="499"/>
      <c r="G301" s="188"/>
      <c r="H301" s="188"/>
      <c r="I301" s="188"/>
      <c r="J301" s="188"/>
      <c r="K301" s="499"/>
      <c r="L301" s="291"/>
      <c r="M301" s="291"/>
      <c r="N301" s="291"/>
      <c r="O301" s="291"/>
      <c r="P301" s="499"/>
      <c r="Q301" s="188"/>
      <c r="R301" s="188"/>
      <c r="S301" s="188"/>
      <c r="T301" s="188"/>
      <c r="U301" s="188"/>
      <c r="V301" s="499"/>
      <c r="W301" s="499"/>
      <c r="X301" s="499"/>
      <c r="Y301" s="499"/>
    </row>
    <row r="302" spans="1:25" ht="12.75" x14ac:dyDescent="0.2">
      <c r="A302" s="188"/>
      <c r="B302" s="188"/>
      <c r="C302" s="188"/>
      <c r="D302" s="188"/>
      <c r="E302" s="188"/>
      <c r="F302" s="499"/>
      <c r="G302" s="188"/>
      <c r="H302" s="188"/>
      <c r="I302" s="188"/>
      <c r="J302" s="188"/>
      <c r="K302" s="499"/>
      <c r="L302" s="291"/>
      <c r="M302" s="291"/>
      <c r="N302" s="291"/>
      <c r="O302" s="291"/>
      <c r="P302" s="499"/>
      <c r="Q302" s="188"/>
      <c r="R302" s="188"/>
      <c r="S302" s="188"/>
      <c r="T302" s="188"/>
      <c r="U302" s="188"/>
      <c r="V302" s="499"/>
      <c r="W302" s="499"/>
      <c r="X302" s="499"/>
      <c r="Y302" s="499"/>
    </row>
    <row r="303" spans="1:25" ht="12.75" x14ac:dyDescent="0.2">
      <c r="A303" s="188"/>
      <c r="B303" s="188"/>
      <c r="C303" s="188"/>
      <c r="D303" s="188"/>
      <c r="E303" s="188"/>
      <c r="F303" s="499"/>
      <c r="G303" s="188"/>
      <c r="H303" s="188"/>
      <c r="I303" s="188"/>
      <c r="J303" s="188"/>
      <c r="K303" s="499"/>
      <c r="L303" s="291"/>
      <c r="M303" s="291"/>
      <c r="N303" s="291"/>
      <c r="O303" s="291"/>
      <c r="P303" s="499"/>
      <c r="Q303" s="188"/>
      <c r="R303" s="188"/>
      <c r="S303" s="188"/>
      <c r="T303" s="188"/>
      <c r="U303" s="188"/>
      <c r="V303" s="499"/>
      <c r="W303" s="499"/>
      <c r="X303" s="499"/>
      <c r="Y303" s="499"/>
    </row>
    <row r="304" spans="1:25" ht="12.75" x14ac:dyDescent="0.2">
      <c r="A304" s="188"/>
      <c r="B304" s="188"/>
      <c r="C304" s="188"/>
      <c r="D304" s="188"/>
      <c r="E304" s="188"/>
      <c r="F304" s="499"/>
      <c r="G304" s="188"/>
      <c r="H304" s="188"/>
      <c r="I304" s="188"/>
      <c r="J304" s="188"/>
      <c r="K304" s="499"/>
      <c r="L304" s="291"/>
      <c r="M304" s="291"/>
      <c r="N304" s="291"/>
      <c r="O304" s="291"/>
      <c r="P304" s="499"/>
      <c r="Q304" s="188"/>
      <c r="R304" s="188"/>
      <c r="S304" s="188"/>
      <c r="T304" s="188"/>
      <c r="U304" s="188"/>
      <c r="V304" s="499"/>
      <c r="W304" s="499"/>
      <c r="X304" s="499"/>
      <c r="Y304" s="499"/>
    </row>
    <row r="305" spans="1:25" ht="12.75" x14ac:dyDescent="0.2">
      <c r="A305" s="188"/>
      <c r="B305" s="188"/>
      <c r="C305" s="188"/>
      <c r="D305" s="188"/>
      <c r="E305" s="188"/>
      <c r="F305" s="499"/>
      <c r="G305" s="188"/>
      <c r="H305" s="188"/>
      <c r="I305" s="188"/>
      <c r="J305" s="188"/>
      <c r="K305" s="499"/>
      <c r="L305" s="291"/>
      <c r="M305" s="291"/>
      <c r="N305" s="291"/>
      <c r="O305" s="291"/>
      <c r="P305" s="499"/>
      <c r="Q305" s="188"/>
      <c r="R305" s="188"/>
      <c r="S305" s="188"/>
      <c r="T305" s="188"/>
      <c r="U305" s="188"/>
      <c r="V305" s="499"/>
      <c r="W305" s="499"/>
      <c r="X305" s="499"/>
      <c r="Y305" s="499"/>
    </row>
    <row r="306" spans="1:25" ht="12.75" x14ac:dyDescent="0.2">
      <c r="A306" s="188"/>
      <c r="B306" s="188"/>
      <c r="C306" s="188"/>
      <c r="D306" s="188"/>
      <c r="E306" s="188"/>
      <c r="F306" s="499"/>
      <c r="G306" s="188"/>
      <c r="H306" s="188"/>
      <c r="I306" s="188"/>
      <c r="J306" s="188"/>
      <c r="K306" s="499"/>
      <c r="L306" s="291"/>
      <c r="M306" s="291"/>
      <c r="N306" s="291"/>
      <c r="O306" s="291"/>
      <c r="P306" s="499"/>
      <c r="Q306" s="188"/>
      <c r="R306" s="188"/>
      <c r="S306" s="188"/>
      <c r="T306" s="188"/>
      <c r="U306" s="188"/>
      <c r="V306" s="499"/>
      <c r="W306" s="499"/>
      <c r="X306" s="499"/>
      <c r="Y306" s="499"/>
    </row>
    <row r="307" spans="1:25" ht="12.75" x14ac:dyDescent="0.2">
      <c r="A307" s="188"/>
      <c r="B307" s="188"/>
      <c r="C307" s="188"/>
      <c r="D307" s="188"/>
      <c r="E307" s="188"/>
      <c r="F307" s="499"/>
      <c r="G307" s="188"/>
      <c r="H307" s="188"/>
      <c r="I307" s="188"/>
      <c r="J307" s="188"/>
      <c r="K307" s="499"/>
      <c r="L307" s="291"/>
      <c r="M307" s="291"/>
      <c r="N307" s="291"/>
      <c r="O307" s="291"/>
      <c r="P307" s="499"/>
      <c r="Q307" s="188"/>
      <c r="R307" s="188"/>
      <c r="S307" s="188"/>
      <c r="T307" s="188"/>
      <c r="U307" s="188"/>
      <c r="V307" s="499"/>
      <c r="W307" s="499"/>
      <c r="X307" s="499"/>
      <c r="Y307" s="499"/>
    </row>
    <row r="308" spans="1:25" ht="12.75" x14ac:dyDescent="0.2">
      <c r="A308" s="188"/>
      <c r="B308" s="188"/>
      <c r="C308" s="188"/>
      <c r="D308" s="188"/>
      <c r="E308" s="188"/>
      <c r="F308" s="499"/>
      <c r="G308" s="188"/>
      <c r="H308" s="188"/>
      <c r="I308" s="188"/>
      <c r="J308" s="188"/>
      <c r="K308" s="499"/>
      <c r="L308" s="291"/>
      <c r="M308" s="291"/>
      <c r="N308" s="291"/>
      <c r="O308" s="291"/>
      <c r="P308" s="499"/>
      <c r="Q308" s="188"/>
      <c r="R308" s="188"/>
      <c r="S308" s="188"/>
      <c r="T308" s="188"/>
      <c r="U308" s="188"/>
      <c r="V308" s="499"/>
      <c r="W308" s="499"/>
      <c r="X308" s="499"/>
      <c r="Y308" s="499"/>
    </row>
    <row r="309" spans="1:25" ht="12.75" x14ac:dyDescent="0.2">
      <c r="A309" s="188"/>
      <c r="B309" s="188"/>
      <c r="C309" s="188"/>
      <c r="D309" s="188"/>
      <c r="E309" s="188"/>
      <c r="F309" s="499"/>
      <c r="G309" s="188"/>
      <c r="H309" s="188"/>
      <c r="I309" s="188"/>
      <c r="J309" s="188"/>
      <c r="K309" s="499"/>
      <c r="L309" s="291"/>
      <c r="M309" s="291"/>
      <c r="N309" s="291"/>
      <c r="O309" s="291"/>
      <c r="P309" s="499"/>
      <c r="Q309" s="188"/>
      <c r="R309" s="188"/>
      <c r="S309" s="188"/>
      <c r="T309" s="188"/>
      <c r="U309" s="188"/>
      <c r="V309" s="499"/>
      <c r="W309" s="499"/>
      <c r="X309" s="499"/>
      <c r="Y309" s="499"/>
    </row>
    <row r="310" spans="1:25" ht="12.75" x14ac:dyDescent="0.2">
      <c r="A310" s="188"/>
      <c r="B310" s="188"/>
      <c r="C310" s="188"/>
      <c r="D310" s="188"/>
      <c r="E310" s="188"/>
      <c r="F310" s="499"/>
      <c r="G310" s="188"/>
      <c r="H310" s="188"/>
      <c r="I310" s="188"/>
      <c r="J310" s="188"/>
      <c r="K310" s="499"/>
      <c r="L310" s="291"/>
      <c r="M310" s="291"/>
      <c r="N310" s="291"/>
      <c r="O310" s="291"/>
      <c r="P310" s="499"/>
      <c r="Q310" s="188"/>
      <c r="R310" s="188"/>
      <c r="S310" s="188"/>
      <c r="T310" s="188"/>
      <c r="U310" s="188"/>
      <c r="V310" s="499"/>
      <c r="W310" s="499"/>
      <c r="X310" s="499"/>
      <c r="Y310" s="499"/>
    </row>
    <row r="311" spans="1:25" ht="12.75" x14ac:dyDescent="0.2">
      <c r="A311" s="188"/>
      <c r="B311" s="188"/>
      <c r="C311" s="188"/>
      <c r="D311" s="188"/>
      <c r="E311" s="188"/>
      <c r="F311" s="499"/>
      <c r="G311" s="188"/>
      <c r="H311" s="188"/>
      <c r="I311" s="188"/>
      <c r="J311" s="188"/>
      <c r="K311" s="499"/>
      <c r="L311" s="291"/>
      <c r="M311" s="291"/>
      <c r="N311" s="291"/>
      <c r="O311" s="291"/>
      <c r="P311" s="499"/>
      <c r="Q311" s="188"/>
      <c r="R311" s="188"/>
      <c r="S311" s="188"/>
      <c r="T311" s="188"/>
      <c r="U311" s="188"/>
      <c r="V311" s="499"/>
      <c r="W311" s="499"/>
      <c r="X311" s="499"/>
      <c r="Y311" s="499"/>
    </row>
    <row r="312" spans="1:25" ht="12.75" x14ac:dyDescent="0.2">
      <c r="A312" s="188"/>
      <c r="B312" s="188"/>
      <c r="C312" s="188"/>
      <c r="D312" s="188"/>
      <c r="E312" s="188"/>
      <c r="F312" s="499"/>
      <c r="G312" s="188"/>
      <c r="H312" s="188"/>
      <c r="I312" s="188"/>
      <c r="J312" s="188"/>
      <c r="K312" s="499"/>
      <c r="L312" s="291"/>
      <c r="M312" s="291"/>
      <c r="N312" s="291"/>
      <c r="O312" s="291"/>
      <c r="P312" s="499"/>
      <c r="Q312" s="188"/>
      <c r="R312" s="188"/>
      <c r="S312" s="188"/>
      <c r="T312" s="188"/>
      <c r="U312" s="188"/>
      <c r="V312" s="499"/>
      <c r="W312" s="499"/>
      <c r="X312" s="499"/>
      <c r="Y312" s="499"/>
    </row>
    <row r="313" spans="1:25" ht="12.75" x14ac:dyDescent="0.2">
      <c r="A313" s="188"/>
      <c r="B313" s="188"/>
      <c r="C313" s="188"/>
      <c r="D313" s="188"/>
      <c r="E313" s="188"/>
      <c r="F313" s="499"/>
      <c r="G313" s="188"/>
      <c r="H313" s="188"/>
      <c r="I313" s="188"/>
      <c r="J313" s="188"/>
      <c r="K313" s="499"/>
      <c r="L313" s="291"/>
      <c r="M313" s="291"/>
      <c r="N313" s="291"/>
      <c r="O313" s="291"/>
      <c r="P313" s="499"/>
      <c r="Q313" s="188"/>
      <c r="R313" s="188"/>
      <c r="S313" s="188"/>
      <c r="T313" s="188"/>
      <c r="U313" s="188"/>
      <c r="V313" s="499"/>
      <c r="W313" s="499"/>
      <c r="X313" s="499"/>
      <c r="Y313" s="499"/>
    </row>
    <row r="314" spans="1:25" ht="12.75" x14ac:dyDescent="0.2">
      <c r="A314" s="188"/>
      <c r="B314" s="188"/>
      <c r="C314" s="188"/>
      <c r="D314" s="188"/>
      <c r="E314" s="188"/>
      <c r="F314" s="499"/>
      <c r="G314" s="188"/>
      <c r="H314" s="188"/>
      <c r="I314" s="188"/>
      <c r="J314" s="188"/>
      <c r="K314" s="499"/>
      <c r="L314" s="291"/>
      <c r="M314" s="291"/>
      <c r="N314" s="291"/>
      <c r="O314" s="291"/>
      <c r="P314" s="499"/>
      <c r="Q314" s="188"/>
      <c r="R314" s="188"/>
      <c r="S314" s="188"/>
      <c r="T314" s="188"/>
      <c r="U314" s="188"/>
      <c r="V314" s="499"/>
      <c r="W314" s="499"/>
      <c r="X314" s="499"/>
      <c r="Y314" s="499"/>
    </row>
    <row r="315" spans="1:25" ht="12.75" x14ac:dyDescent="0.2">
      <c r="A315" s="188"/>
      <c r="B315" s="188"/>
      <c r="C315" s="188"/>
      <c r="D315" s="188"/>
      <c r="E315" s="188"/>
      <c r="F315" s="499"/>
      <c r="G315" s="188"/>
      <c r="H315" s="188"/>
      <c r="I315" s="188"/>
      <c r="J315" s="188"/>
      <c r="K315" s="499"/>
      <c r="L315" s="291"/>
      <c r="M315" s="291"/>
      <c r="N315" s="291"/>
      <c r="O315" s="291"/>
      <c r="P315" s="499"/>
      <c r="Q315" s="188"/>
      <c r="R315" s="188"/>
      <c r="S315" s="188"/>
      <c r="T315" s="188"/>
      <c r="U315" s="188"/>
      <c r="V315" s="499"/>
      <c r="W315" s="499"/>
      <c r="X315" s="499"/>
      <c r="Y315" s="499"/>
    </row>
    <row r="316" spans="1:25" ht="12.75" x14ac:dyDescent="0.2">
      <c r="A316" s="188"/>
      <c r="B316" s="188"/>
      <c r="C316" s="188"/>
      <c r="D316" s="188"/>
      <c r="E316" s="188"/>
      <c r="F316" s="499"/>
      <c r="G316" s="188"/>
      <c r="H316" s="188"/>
      <c r="I316" s="188"/>
      <c r="J316" s="188"/>
      <c r="K316" s="499"/>
      <c r="L316" s="291"/>
      <c r="M316" s="291"/>
      <c r="N316" s="291"/>
      <c r="O316" s="291"/>
      <c r="P316" s="499"/>
      <c r="Q316" s="188"/>
      <c r="R316" s="188"/>
      <c r="S316" s="188"/>
      <c r="T316" s="188"/>
      <c r="U316" s="188"/>
      <c r="V316" s="499"/>
      <c r="W316" s="499"/>
      <c r="X316" s="499"/>
      <c r="Y316" s="499"/>
    </row>
    <row r="317" spans="1:25" ht="12.75" x14ac:dyDescent="0.2">
      <c r="A317" s="188"/>
      <c r="B317" s="188"/>
      <c r="C317" s="188"/>
      <c r="D317" s="188"/>
      <c r="E317" s="188"/>
      <c r="F317" s="499"/>
      <c r="G317" s="188"/>
      <c r="H317" s="188"/>
      <c r="I317" s="188"/>
      <c r="J317" s="188"/>
      <c r="K317" s="499"/>
      <c r="L317" s="291"/>
      <c r="M317" s="291"/>
      <c r="N317" s="291"/>
      <c r="O317" s="291"/>
      <c r="P317" s="499"/>
      <c r="Q317" s="188"/>
      <c r="R317" s="188"/>
      <c r="S317" s="188"/>
      <c r="T317" s="188"/>
      <c r="U317" s="188"/>
      <c r="V317" s="499"/>
      <c r="W317" s="499"/>
      <c r="X317" s="499"/>
      <c r="Y317" s="499"/>
    </row>
    <row r="318" spans="1:25" ht="12.75" x14ac:dyDescent="0.2">
      <c r="A318" s="188"/>
      <c r="B318" s="188"/>
      <c r="C318" s="188"/>
      <c r="D318" s="188"/>
      <c r="E318" s="188"/>
      <c r="F318" s="499"/>
      <c r="G318" s="188"/>
      <c r="H318" s="188"/>
      <c r="I318" s="188"/>
      <c r="J318" s="188"/>
      <c r="K318" s="499"/>
      <c r="L318" s="291"/>
      <c r="M318" s="291"/>
      <c r="N318" s="291"/>
      <c r="O318" s="291"/>
      <c r="P318" s="499"/>
      <c r="Q318" s="188"/>
      <c r="R318" s="188"/>
      <c r="S318" s="188"/>
      <c r="T318" s="188"/>
      <c r="U318" s="188"/>
      <c r="V318" s="499"/>
      <c r="W318" s="499"/>
      <c r="X318" s="499"/>
      <c r="Y318" s="499"/>
    </row>
    <row r="319" spans="1:25" ht="12.75" x14ac:dyDescent="0.2">
      <c r="A319" s="188"/>
      <c r="B319" s="188"/>
      <c r="C319" s="188"/>
      <c r="D319" s="188"/>
      <c r="E319" s="188"/>
      <c r="F319" s="499"/>
      <c r="G319" s="188"/>
      <c r="H319" s="188"/>
      <c r="I319" s="188"/>
      <c r="J319" s="188"/>
      <c r="K319" s="188"/>
      <c r="L319" s="499"/>
      <c r="M319" s="499"/>
      <c r="N319" s="499"/>
      <c r="O319" s="499"/>
      <c r="P319" s="188"/>
      <c r="Q319" s="188"/>
      <c r="R319" s="188"/>
      <c r="S319" s="188"/>
      <c r="T319" s="188"/>
      <c r="U319" s="188"/>
      <c r="V319" s="499"/>
      <c r="W319" s="499"/>
      <c r="X319" s="499"/>
      <c r="Y319" s="499"/>
    </row>
    <row r="320" spans="1:25" ht="12.75" x14ac:dyDescent="0.2">
      <c r="A320" s="188"/>
      <c r="B320" s="188"/>
      <c r="C320" s="188"/>
      <c r="D320" s="188"/>
      <c r="E320" s="188"/>
      <c r="F320" s="499"/>
      <c r="G320" s="188"/>
      <c r="H320" s="188"/>
      <c r="I320" s="188"/>
      <c r="J320" s="188"/>
      <c r="K320" s="188"/>
      <c r="L320" s="499"/>
      <c r="M320" s="499"/>
      <c r="N320" s="499"/>
      <c r="O320" s="499"/>
      <c r="P320" s="188"/>
      <c r="Q320" s="188"/>
      <c r="R320" s="188"/>
      <c r="S320" s="188"/>
      <c r="T320" s="188"/>
      <c r="U320" s="188"/>
      <c r="V320" s="499"/>
      <c r="W320" s="499"/>
      <c r="X320" s="499"/>
      <c r="Y320" s="499"/>
    </row>
    <row r="321" spans="1:25" ht="12.75" x14ac:dyDescent="0.2">
      <c r="A321" s="188"/>
      <c r="B321" s="188"/>
      <c r="C321" s="188"/>
      <c r="D321" s="188"/>
      <c r="E321" s="188"/>
      <c r="F321" s="499"/>
      <c r="G321" s="188"/>
      <c r="H321" s="188"/>
      <c r="I321" s="188"/>
      <c r="J321" s="188"/>
      <c r="K321" s="188"/>
      <c r="L321" s="499"/>
      <c r="M321" s="499"/>
      <c r="N321" s="499"/>
      <c r="O321" s="499"/>
      <c r="P321" s="188"/>
      <c r="Q321" s="188"/>
      <c r="R321" s="188"/>
      <c r="S321" s="188"/>
      <c r="T321" s="188"/>
      <c r="U321" s="188"/>
      <c r="V321" s="499"/>
      <c r="W321" s="499"/>
      <c r="X321" s="499"/>
      <c r="Y321" s="499"/>
    </row>
    <row r="322" spans="1:25" ht="12.75" x14ac:dyDescent="0.2">
      <c r="A322" s="188"/>
      <c r="B322" s="188"/>
      <c r="C322" s="188"/>
      <c r="D322" s="188"/>
      <c r="E322" s="188"/>
      <c r="F322" s="499"/>
      <c r="G322" s="188"/>
      <c r="H322" s="188"/>
      <c r="I322" s="188"/>
      <c r="J322" s="188"/>
      <c r="K322" s="188"/>
      <c r="L322" s="499"/>
      <c r="M322" s="499"/>
      <c r="N322" s="499"/>
      <c r="O322" s="499"/>
      <c r="P322" s="188"/>
      <c r="Q322" s="188"/>
      <c r="R322" s="188"/>
      <c r="S322" s="188"/>
      <c r="T322" s="188"/>
      <c r="U322" s="188"/>
      <c r="V322" s="499"/>
      <c r="W322" s="499"/>
      <c r="X322" s="499"/>
      <c r="Y322" s="499"/>
    </row>
    <row r="323" spans="1:25" ht="12.75" x14ac:dyDescent="0.2">
      <c r="A323" s="188"/>
      <c r="B323" s="188"/>
      <c r="C323" s="188"/>
      <c r="D323" s="188"/>
      <c r="E323" s="188"/>
      <c r="F323" s="499"/>
      <c r="G323" s="188"/>
      <c r="H323" s="188"/>
      <c r="I323" s="188"/>
      <c r="J323" s="188"/>
      <c r="K323" s="188"/>
      <c r="L323" s="499"/>
      <c r="M323" s="499"/>
      <c r="N323" s="499"/>
      <c r="O323" s="499"/>
      <c r="P323" s="188"/>
      <c r="Q323" s="188"/>
      <c r="R323" s="188"/>
      <c r="S323" s="188"/>
      <c r="T323" s="188"/>
      <c r="U323" s="188"/>
      <c r="V323" s="499"/>
      <c r="W323" s="499"/>
      <c r="X323" s="499"/>
      <c r="Y323" s="499"/>
    </row>
    <row r="324" spans="1:25" ht="12.75" x14ac:dyDescent="0.2">
      <c r="A324" s="188"/>
      <c r="B324" s="188"/>
      <c r="C324" s="188"/>
      <c r="D324" s="188"/>
      <c r="E324" s="188"/>
      <c r="F324" s="499"/>
      <c r="G324" s="188"/>
      <c r="H324" s="188"/>
      <c r="I324" s="188"/>
      <c r="J324" s="188"/>
      <c r="K324" s="188"/>
      <c r="L324" s="499"/>
      <c r="M324" s="499"/>
      <c r="N324" s="499"/>
      <c r="O324" s="499"/>
      <c r="P324" s="188"/>
      <c r="Q324" s="188"/>
      <c r="R324" s="188"/>
      <c r="S324" s="188"/>
      <c r="T324" s="188"/>
      <c r="U324" s="188"/>
      <c r="V324" s="499"/>
      <c r="W324" s="499"/>
      <c r="X324" s="499"/>
      <c r="Y324" s="499"/>
    </row>
    <row r="325" spans="1:25" ht="12.75" x14ac:dyDescent="0.2">
      <c r="A325" s="188"/>
      <c r="B325" s="188"/>
      <c r="C325" s="188"/>
      <c r="D325" s="188"/>
      <c r="E325" s="188"/>
      <c r="F325" s="499"/>
      <c r="G325" s="188"/>
      <c r="H325" s="188"/>
      <c r="I325" s="188"/>
      <c r="J325" s="188"/>
      <c r="K325" s="188"/>
      <c r="L325" s="499"/>
      <c r="M325" s="499"/>
      <c r="N325" s="499"/>
      <c r="O325" s="499"/>
      <c r="P325" s="188"/>
      <c r="Q325" s="188"/>
      <c r="R325" s="188"/>
      <c r="S325" s="188"/>
      <c r="T325" s="188"/>
      <c r="U325" s="188"/>
      <c r="V325" s="499"/>
      <c r="W325" s="499"/>
      <c r="X325" s="499"/>
      <c r="Y325" s="499"/>
    </row>
    <row r="326" spans="1:25" ht="12.75" x14ac:dyDescent="0.2">
      <c r="A326" s="188"/>
      <c r="B326" s="188"/>
      <c r="C326" s="188"/>
      <c r="D326" s="188"/>
      <c r="E326" s="188"/>
      <c r="F326" s="499"/>
      <c r="G326" s="188"/>
      <c r="H326" s="188"/>
      <c r="I326" s="188"/>
      <c r="J326" s="188"/>
      <c r="K326" s="188"/>
      <c r="L326" s="499"/>
      <c r="M326" s="499"/>
      <c r="N326" s="499"/>
      <c r="O326" s="499"/>
      <c r="P326" s="188"/>
      <c r="Q326" s="188"/>
      <c r="R326" s="188"/>
      <c r="S326" s="188"/>
      <c r="T326" s="188"/>
      <c r="U326" s="188"/>
      <c r="V326" s="499"/>
      <c r="W326" s="499"/>
      <c r="X326" s="499"/>
      <c r="Y326" s="499"/>
    </row>
    <row r="327" spans="1:25" ht="12.75" x14ac:dyDescent="0.2">
      <c r="A327" s="188"/>
      <c r="B327" s="188"/>
      <c r="C327" s="188"/>
      <c r="D327" s="188"/>
      <c r="E327" s="188"/>
      <c r="F327" s="499"/>
      <c r="G327" s="188"/>
      <c r="H327" s="188"/>
      <c r="I327" s="188"/>
      <c r="J327" s="188"/>
      <c r="K327" s="188"/>
      <c r="L327" s="499"/>
      <c r="M327" s="499"/>
      <c r="N327" s="499"/>
      <c r="O327" s="499"/>
      <c r="P327" s="188"/>
      <c r="Q327" s="188"/>
      <c r="R327" s="188"/>
      <c r="S327" s="188"/>
      <c r="T327" s="188"/>
      <c r="U327" s="188"/>
      <c r="V327" s="499"/>
      <c r="W327" s="499"/>
      <c r="X327" s="499"/>
      <c r="Y327" s="499"/>
    </row>
    <row r="328" spans="1:25" ht="12.75" x14ac:dyDescent="0.2">
      <c r="A328" s="188"/>
      <c r="B328" s="188"/>
      <c r="C328" s="188"/>
      <c r="D328" s="188"/>
      <c r="E328" s="188"/>
      <c r="F328" s="499"/>
      <c r="G328" s="188"/>
      <c r="H328" s="188"/>
      <c r="I328" s="188"/>
      <c r="J328" s="188"/>
      <c r="K328" s="188"/>
      <c r="L328" s="499"/>
      <c r="M328" s="499"/>
      <c r="N328" s="499"/>
      <c r="O328" s="499"/>
      <c r="P328" s="188"/>
      <c r="Q328" s="188"/>
      <c r="R328" s="188"/>
      <c r="S328" s="188"/>
      <c r="T328" s="188"/>
      <c r="U328" s="188"/>
      <c r="V328" s="499"/>
      <c r="W328" s="499"/>
      <c r="X328" s="499"/>
      <c r="Y328" s="499"/>
    </row>
    <row r="329" spans="1:25" ht="12.75" x14ac:dyDescent="0.2">
      <c r="A329" s="188"/>
      <c r="B329" s="188"/>
      <c r="C329" s="188"/>
      <c r="D329" s="188"/>
      <c r="E329" s="188"/>
      <c r="F329" s="499"/>
      <c r="G329" s="188"/>
      <c r="H329" s="188"/>
      <c r="I329" s="188"/>
      <c r="J329" s="188"/>
      <c r="K329" s="188"/>
      <c r="L329" s="499"/>
      <c r="M329" s="499"/>
      <c r="N329" s="499"/>
      <c r="O329" s="499"/>
      <c r="P329" s="188"/>
      <c r="Q329" s="188"/>
      <c r="R329" s="188"/>
      <c r="S329" s="188"/>
      <c r="T329" s="188"/>
      <c r="U329" s="188"/>
      <c r="V329" s="499"/>
      <c r="W329" s="499"/>
      <c r="X329" s="499"/>
      <c r="Y329" s="499"/>
    </row>
    <row r="330" spans="1:25" ht="12.75" x14ac:dyDescent="0.2">
      <c r="A330" s="188"/>
      <c r="B330" s="188"/>
      <c r="C330" s="188"/>
      <c r="D330" s="188"/>
      <c r="E330" s="188"/>
      <c r="F330" s="499"/>
      <c r="G330" s="188"/>
      <c r="H330" s="188"/>
      <c r="I330" s="188"/>
      <c r="J330" s="188"/>
      <c r="K330" s="188"/>
      <c r="L330" s="499"/>
      <c r="M330" s="499"/>
      <c r="N330" s="499"/>
      <c r="O330" s="499"/>
      <c r="P330" s="188"/>
      <c r="Q330" s="188"/>
      <c r="R330" s="188"/>
      <c r="S330" s="188"/>
      <c r="T330" s="188"/>
      <c r="U330" s="188"/>
      <c r="V330" s="499"/>
      <c r="W330" s="499"/>
      <c r="X330" s="499"/>
      <c r="Y330" s="499"/>
    </row>
    <row r="331" spans="1:25" ht="12.75" x14ac:dyDescent="0.2">
      <c r="A331" s="188"/>
      <c r="B331" s="188"/>
      <c r="C331" s="188"/>
      <c r="D331" s="188"/>
      <c r="E331" s="188"/>
      <c r="F331" s="499"/>
      <c r="G331" s="188"/>
      <c r="H331" s="188"/>
      <c r="I331" s="188"/>
      <c r="J331" s="188"/>
      <c r="K331" s="188"/>
      <c r="L331" s="499"/>
      <c r="M331" s="499"/>
      <c r="N331" s="499"/>
      <c r="O331" s="499"/>
      <c r="P331" s="188"/>
      <c r="Q331" s="188"/>
      <c r="R331" s="188"/>
      <c r="S331" s="188"/>
      <c r="T331" s="188"/>
      <c r="U331" s="188"/>
      <c r="V331" s="499"/>
      <c r="W331" s="499"/>
      <c r="X331" s="499"/>
      <c r="Y331" s="499"/>
    </row>
    <row r="332" spans="1:25" ht="12.75" x14ac:dyDescent="0.2">
      <c r="A332" s="188"/>
      <c r="B332" s="188"/>
      <c r="C332" s="188"/>
      <c r="D332" s="188"/>
      <c r="E332" s="188"/>
      <c r="F332" s="499"/>
      <c r="G332" s="188"/>
      <c r="H332" s="188"/>
      <c r="I332" s="188"/>
      <c r="J332" s="188"/>
      <c r="K332" s="188"/>
      <c r="L332" s="499"/>
      <c r="M332" s="499"/>
      <c r="N332" s="499"/>
      <c r="O332" s="499"/>
      <c r="P332" s="188"/>
      <c r="Q332" s="188"/>
      <c r="R332" s="188"/>
      <c r="S332" s="188"/>
      <c r="T332" s="188"/>
      <c r="U332" s="188"/>
      <c r="V332" s="499"/>
      <c r="W332" s="499"/>
      <c r="X332" s="499"/>
      <c r="Y332" s="499"/>
    </row>
    <row r="333" spans="1:25" ht="12.75" x14ac:dyDescent="0.2">
      <c r="A333" s="188"/>
      <c r="B333" s="188"/>
      <c r="C333" s="188"/>
      <c r="D333" s="188"/>
      <c r="E333" s="188"/>
      <c r="F333" s="499"/>
      <c r="G333" s="188"/>
      <c r="H333" s="188"/>
      <c r="I333" s="188"/>
      <c r="J333" s="188"/>
      <c r="K333" s="188"/>
      <c r="L333" s="499"/>
      <c r="M333" s="499"/>
      <c r="N333" s="499"/>
      <c r="O333" s="499"/>
      <c r="P333" s="188"/>
      <c r="Q333" s="188"/>
      <c r="R333" s="188"/>
      <c r="S333" s="188"/>
      <c r="T333" s="188"/>
      <c r="U333" s="188"/>
      <c r="V333" s="499"/>
      <c r="W333" s="499"/>
      <c r="X333" s="499"/>
      <c r="Y333" s="499"/>
    </row>
    <row r="334" spans="1:25" ht="12.75" x14ac:dyDescent="0.2">
      <c r="A334" s="188"/>
      <c r="B334" s="188"/>
      <c r="C334" s="188"/>
      <c r="D334" s="188"/>
      <c r="E334" s="188"/>
      <c r="F334" s="499"/>
      <c r="G334" s="188"/>
      <c r="H334" s="188"/>
      <c r="I334" s="188"/>
      <c r="J334" s="188"/>
      <c r="K334" s="188"/>
      <c r="L334" s="499"/>
      <c r="M334" s="499"/>
      <c r="N334" s="499"/>
      <c r="O334" s="499"/>
      <c r="P334" s="188"/>
      <c r="Q334" s="188"/>
      <c r="R334" s="188"/>
      <c r="S334" s="188"/>
      <c r="T334" s="188"/>
      <c r="U334" s="188"/>
      <c r="V334" s="499"/>
      <c r="W334" s="499"/>
      <c r="X334" s="499"/>
      <c r="Y334" s="499"/>
    </row>
    <row r="335" spans="1:25" ht="12.75" x14ac:dyDescent="0.2">
      <c r="A335" s="188"/>
      <c r="B335" s="188"/>
      <c r="C335" s="188"/>
      <c r="D335" s="188"/>
      <c r="E335" s="188"/>
      <c r="F335" s="499"/>
      <c r="G335" s="188"/>
      <c r="H335" s="188"/>
      <c r="I335" s="188"/>
      <c r="J335" s="188"/>
      <c r="K335" s="188"/>
      <c r="L335" s="499"/>
      <c r="M335" s="499"/>
      <c r="N335" s="499"/>
      <c r="O335" s="499"/>
      <c r="P335" s="188"/>
      <c r="Q335" s="188"/>
      <c r="R335" s="188"/>
      <c r="S335" s="188"/>
      <c r="T335" s="188"/>
      <c r="U335" s="188"/>
      <c r="V335" s="499"/>
      <c r="W335" s="499"/>
      <c r="X335" s="499"/>
      <c r="Y335" s="499"/>
    </row>
    <row r="336" spans="1:25" ht="12.75" x14ac:dyDescent="0.2">
      <c r="A336" s="188"/>
      <c r="B336" s="188"/>
      <c r="C336" s="188"/>
      <c r="D336" s="188"/>
      <c r="E336" s="188"/>
      <c r="F336" s="499"/>
      <c r="G336" s="188"/>
      <c r="H336" s="188"/>
      <c r="I336" s="188"/>
      <c r="J336" s="188"/>
      <c r="K336" s="188"/>
      <c r="L336" s="499"/>
      <c r="M336" s="499"/>
      <c r="N336" s="499"/>
      <c r="O336" s="499"/>
      <c r="P336" s="188"/>
      <c r="Q336" s="188"/>
      <c r="R336" s="188"/>
      <c r="S336" s="188"/>
      <c r="T336" s="188"/>
      <c r="U336" s="188"/>
      <c r="V336" s="499"/>
      <c r="W336" s="499"/>
      <c r="X336" s="499"/>
      <c r="Y336" s="499"/>
    </row>
    <row r="337" spans="1:25" ht="12.75" x14ac:dyDescent="0.2">
      <c r="A337" s="188"/>
      <c r="B337" s="188"/>
      <c r="C337" s="188"/>
      <c r="D337" s="188"/>
      <c r="E337" s="188"/>
      <c r="F337" s="499"/>
      <c r="G337" s="188"/>
      <c r="H337" s="188"/>
      <c r="I337" s="188"/>
      <c r="J337" s="188"/>
      <c r="K337" s="188"/>
      <c r="L337" s="499"/>
      <c r="M337" s="499"/>
      <c r="N337" s="499"/>
      <c r="O337" s="499"/>
      <c r="P337" s="188"/>
      <c r="Q337" s="188"/>
      <c r="R337" s="188"/>
      <c r="S337" s="188"/>
      <c r="T337" s="188"/>
      <c r="U337" s="188"/>
      <c r="V337" s="499"/>
      <c r="W337" s="499"/>
      <c r="X337" s="499"/>
      <c r="Y337" s="499"/>
    </row>
    <row r="338" spans="1:25" ht="12.75" x14ac:dyDescent="0.2">
      <c r="A338" s="188"/>
      <c r="B338" s="188"/>
      <c r="C338" s="188"/>
      <c r="D338" s="188"/>
      <c r="E338" s="188"/>
      <c r="F338" s="499"/>
      <c r="G338" s="188"/>
      <c r="H338" s="188"/>
      <c r="I338" s="188"/>
      <c r="J338" s="188"/>
      <c r="K338" s="188"/>
      <c r="L338" s="499"/>
      <c r="M338" s="499"/>
      <c r="N338" s="499"/>
      <c r="O338" s="499"/>
      <c r="P338" s="188"/>
      <c r="Q338" s="188"/>
      <c r="R338" s="188"/>
      <c r="S338" s="188"/>
      <c r="T338" s="188"/>
      <c r="U338" s="188"/>
      <c r="V338" s="499"/>
      <c r="W338" s="499"/>
      <c r="X338" s="499"/>
      <c r="Y338" s="499"/>
    </row>
    <row r="339" spans="1:25" ht="12.75" x14ac:dyDescent="0.2">
      <c r="A339" s="188"/>
      <c r="B339" s="188"/>
      <c r="C339" s="188"/>
      <c r="D339" s="188"/>
      <c r="E339" s="188"/>
      <c r="F339" s="499"/>
      <c r="G339" s="188"/>
      <c r="H339" s="188"/>
      <c r="I339" s="188"/>
      <c r="J339" s="188"/>
      <c r="K339" s="188"/>
      <c r="L339" s="499"/>
      <c r="M339" s="499"/>
      <c r="N339" s="499"/>
      <c r="O339" s="499"/>
      <c r="P339" s="188"/>
      <c r="Q339" s="188"/>
      <c r="R339" s="188"/>
      <c r="S339" s="188"/>
      <c r="T339" s="188"/>
      <c r="U339" s="188"/>
      <c r="V339" s="499"/>
      <c r="W339" s="499"/>
      <c r="X339" s="499"/>
      <c r="Y339" s="499"/>
    </row>
    <row r="340" spans="1:25" ht="12.75" x14ac:dyDescent="0.2">
      <c r="A340" s="188"/>
      <c r="B340" s="188"/>
      <c r="C340" s="188"/>
      <c r="D340" s="188"/>
      <c r="E340" s="188"/>
      <c r="F340" s="499"/>
      <c r="G340" s="188"/>
      <c r="H340" s="188"/>
      <c r="I340" s="188"/>
      <c r="J340" s="188"/>
      <c r="K340" s="188"/>
      <c r="L340" s="499"/>
      <c r="M340" s="499"/>
      <c r="N340" s="499"/>
      <c r="O340" s="499"/>
      <c r="P340" s="188"/>
      <c r="Q340" s="188"/>
      <c r="R340" s="188"/>
      <c r="S340" s="188"/>
      <c r="T340" s="188"/>
      <c r="U340" s="188"/>
      <c r="V340" s="499"/>
      <c r="W340" s="499"/>
      <c r="X340" s="499"/>
      <c r="Y340" s="499"/>
    </row>
    <row r="341" spans="1:25" ht="12.75" x14ac:dyDescent="0.2">
      <c r="A341" s="188"/>
      <c r="B341" s="188"/>
      <c r="C341" s="188"/>
      <c r="D341" s="188"/>
      <c r="E341" s="188"/>
      <c r="F341" s="499"/>
      <c r="G341" s="188"/>
      <c r="H341" s="188"/>
      <c r="I341" s="188"/>
      <c r="J341" s="188"/>
      <c r="K341" s="188"/>
      <c r="L341" s="188"/>
      <c r="M341" s="188"/>
      <c r="N341" s="188"/>
      <c r="O341" s="188"/>
      <c r="P341" s="188"/>
      <c r="Q341" s="188"/>
      <c r="R341" s="188"/>
      <c r="S341" s="188"/>
      <c r="T341" s="188"/>
      <c r="U341" s="188"/>
      <c r="V341" s="499"/>
      <c r="W341" s="499"/>
      <c r="X341" s="499"/>
      <c r="Y341" s="499"/>
    </row>
    <row r="342" spans="1:25" ht="12.75" x14ac:dyDescent="0.2">
      <c r="A342" s="188"/>
      <c r="B342" s="188"/>
      <c r="C342" s="188"/>
      <c r="D342" s="188"/>
      <c r="E342" s="188"/>
      <c r="F342" s="499"/>
      <c r="G342" s="188"/>
      <c r="H342" s="188"/>
      <c r="I342" s="188"/>
      <c r="J342" s="188"/>
      <c r="K342" s="188"/>
      <c r="L342" s="188"/>
      <c r="M342" s="188"/>
      <c r="N342" s="188"/>
      <c r="O342" s="188"/>
      <c r="P342" s="188"/>
      <c r="Q342" s="188"/>
      <c r="R342" s="188"/>
      <c r="S342" s="188"/>
      <c r="T342" s="188"/>
      <c r="U342" s="188"/>
      <c r="V342" s="499"/>
      <c r="W342" s="499"/>
      <c r="X342" s="499"/>
      <c r="Y342" s="499"/>
    </row>
    <row r="343" spans="1:25" ht="12.75" x14ac:dyDescent="0.2">
      <c r="A343" s="188"/>
      <c r="B343" s="188"/>
      <c r="C343" s="188"/>
      <c r="D343" s="188"/>
      <c r="E343" s="188"/>
      <c r="F343" s="499"/>
      <c r="G343" s="188"/>
      <c r="H343" s="188"/>
      <c r="I343" s="188"/>
      <c r="J343" s="188"/>
      <c r="K343" s="188"/>
      <c r="L343" s="188"/>
      <c r="M343" s="188"/>
      <c r="N343" s="188"/>
      <c r="O343" s="188"/>
      <c r="P343" s="188"/>
      <c r="Q343" s="188"/>
      <c r="R343" s="188"/>
      <c r="S343" s="188"/>
      <c r="T343" s="188"/>
      <c r="U343" s="188"/>
      <c r="V343" s="499"/>
      <c r="W343" s="499"/>
      <c r="X343" s="499"/>
      <c r="Y343" s="499"/>
    </row>
    <row r="344" spans="1:25" ht="12.75" x14ac:dyDescent="0.2">
      <c r="A344" s="188"/>
      <c r="B344" s="188"/>
      <c r="C344" s="188"/>
      <c r="D344" s="188"/>
      <c r="E344" s="188"/>
      <c r="F344" s="499"/>
      <c r="G344" s="188"/>
      <c r="H344" s="188"/>
      <c r="I344" s="188"/>
      <c r="J344" s="188"/>
      <c r="K344" s="188"/>
      <c r="L344" s="188"/>
      <c r="M344" s="188"/>
      <c r="N344" s="188"/>
      <c r="O344" s="188"/>
      <c r="P344" s="188"/>
      <c r="Q344" s="188"/>
      <c r="R344" s="188"/>
      <c r="S344" s="188"/>
      <c r="T344" s="188"/>
      <c r="U344" s="188"/>
      <c r="V344" s="499"/>
      <c r="W344" s="499"/>
      <c r="X344" s="499"/>
      <c r="Y344" s="499"/>
    </row>
    <row r="345" spans="1:25" ht="12.75" x14ac:dyDescent="0.2">
      <c r="A345" s="188"/>
      <c r="B345" s="188"/>
      <c r="C345" s="188"/>
      <c r="D345" s="188"/>
      <c r="E345" s="188"/>
      <c r="F345" s="499"/>
      <c r="G345" s="188"/>
      <c r="H345" s="188"/>
      <c r="I345" s="188"/>
      <c r="J345" s="188"/>
      <c r="K345" s="188"/>
      <c r="L345" s="188"/>
      <c r="M345" s="188"/>
      <c r="N345" s="188"/>
      <c r="O345" s="188"/>
      <c r="P345" s="188"/>
      <c r="Q345" s="188"/>
      <c r="R345" s="188"/>
      <c r="S345" s="188"/>
      <c r="T345" s="188"/>
      <c r="U345" s="188"/>
      <c r="V345" s="499"/>
      <c r="W345" s="499"/>
      <c r="X345" s="499"/>
      <c r="Y345" s="499"/>
    </row>
    <row r="346" spans="1:25" ht="12.75" x14ac:dyDescent="0.2">
      <c r="A346" s="188"/>
      <c r="B346" s="188"/>
      <c r="C346" s="188"/>
      <c r="D346" s="188"/>
      <c r="E346" s="188"/>
      <c r="F346" s="188"/>
      <c r="G346" s="188"/>
      <c r="H346" s="188"/>
      <c r="I346" s="188"/>
      <c r="J346" s="188"/>
      <c r="K346" s="188"/>
      <c r="L346" s="188"/>
      <c r="M346" s="188"/>
      <c r="N346" s="188"/>
      <c r="O346" s="188"/>
      <c r="P346" s="188"/>
      <c r="Q346" s="188"/>
      <c r="R346" s="188"/>
      <c r="S346" s="188"/>
      <c r="T346" s="188"/>
      <c r="U346" s="188"/>
      <c r="V346" s="499"/>
      <c r="W346" s="499"/>
      <c r="X346" s="499"/>
      <c r="Y346" s="499"/>
    </row>
    <row r="347" spans="1:25" ht="12.75" x14ac:dyDescent="0.2">
      <c r="A347" s="188"/>
      <c r="B347" s="188"/>
      <c r="C347" s="188"/>
      <c r="D347" s="188"/>
      <c r="E347" s="188"/>
      <c r="F347" s="188"/>
      <c r="G347" s="188"/>
      <c r="H347" s="188"/>
      <c r="I347" s="188"/>
      <c r="J347" s="188"/>
      <c r="K347" s="188"/>
      <c r="L347" s="188"/>
      <c r="M347" s="188"/>
      <c r="N347" s="188"/>
      <c r="O347" s="188"/>
      <c r="P347" s="188"/>
      <c r="Q347" s="188"/>
      <c r="R347" s="188"/>
      <c r="S347" s="188"/>
      <c r="T347" s="188"/>
      <c r="U347" s="188"/>
      <c r="V347" s="499"/>
      <c r="W347" s="499"/>
      <c r="X347" s="499"/>
      <c r="Y347" s="499"/>
    </row>
    <row r="348" spans="1:25" ht="12.75" x14ac:dyDescent="0.2">
      <c r="A348" s="188"/>
      <c r="B348" s="188"/>
      <c r="C348" s="188"/>
      <c r="D348" s="188"/>
      <c r="E348" s="188"/>
      <c r="F348" s="188"/>
      <c r="G348" s="188"/>
      <c r="H348" s="188"/>
      <c r="I348" s="188"/>
      <c r="J348" s="188"/>
      <c r="K348" s="188"/>
      <c r="L348" s="188"/>
      <c r="M348" s="188"/>
      <c r="N348" s="188"/>
      <c r="O348" s="188"/>
      <c r="P348" s="188"/>
      <c r="Q348" s="188"/>
      <c r="R348" s="188"/>
      <c r="S348" s="188"/>
      <c r="T348" s="188"/>
      <c r="U348" s="188"/>
      <c r="V348" s="499"/>
      <c r="W348" s="499"/>
      <c r="X348" s="499"/>
      <c r="Y348" s="499"/>
    </row>
    <row r="349" spans="1:25" ht="12.75" x14ac:dyDescent="0.2">
      <c r="A349" s="188"/>
      <c r="B349" s="188"/>
      <c r="C349" s="188"/>
      <c r="D349" s="188"/>
      <c r="E349" s="188"/>
      <c r="F349" s="188"/>
      <c r="G349" s="188"/>
      <c r="H349" s="188"/>
      <c r="I349" s="188"/>
      <c r="J349" s="188"/>
      <c r="K349" s="188"/>
      <c r="L349" s="188"/>
      <c r="M349" s="188"/>
      <c r="N349" s="188"/>
      <c r="O349" s="188"/>
      <c r="P349" s="188"/>
      <c r="Q349" s="188"/>
      <c r="R349" s="188"/>
      <c r="S349" s="188"/>
      <c r="T349" s="188"/>
      <c r="U349" s="188"/>
      <c r="V349" s="499"/>
      <c r="W349" s="499"/>
      <c r="X349" s="499"/>
      <c r="Y349" s="499"/>
    </row>
    <row r="350" spans="1:25" ht="12.75" x14ac:dyDescent="0.2">
      <c r="A350" s="188"/>
      <c r="B350" s="188"/>
      <c r="C350" s="188"/>
      <c r="D350" s="188"/>
      <c r="E350" s="188"/>
      <c r="F350" s="188"/>
      <c r="G350" s="188"/>
      <c r="H350" s="188"/>
      <c r="I350" s="188"/>
      <c r="J350" s="188"/>
      <c r="K350" s="188"/>
      <c r="L350" s="188"/>
      <c r="M350" s="188"/>
      <c r="N350" s="188"/>
      <c r="O350" s="188"/>
      <c r="P350" s="188"/>
      <c r="Q350" s="188"/>
      <c r="R350" s="188"/>
      <c r="S350" s="188"/>
      <c r="T350" s="188"/>
      <c r="U350" s="188"/>
      <c r="V350" s="499"/>
      <c r="W350" s="499"/>
      <c r="X350" s="499"/>
      <c r="Y350" s="499"/>
    </row>
    <row r="351" spans="1:25" ht="12.75" x14ac:dyDescent="0.2">
      <c r="A351" s="188"/>
      <c r="B351" s="188"/>
      <c r="C351" s="188"/>
      <c r="D351" s="188"/>
      <c r="E351" s="188"/>
      <c r="F351" s="188"/>
      <c r="G351" s="188"/>
      <c r="H351" s="188"/>
      <c r="I351" s="188"/>
      <c r="J351" s="188"/>
      <c r="K351" s="188"/>
      <c r="L351" s="188"/>
      <c r="M351" s="188"/>
      <c r="N351" s="188"/>
      <c r="O351" s="188"/>
      <c r="P351" s="188"/>
      <c r="Q351" s="188"/>
      <c r="R351" s="188"/>
      <c r="S351" s="188"/>
      <c r="T351" s="188"/>
      <c r="U351" s="188"/>
      <c r="V351" s="499"/>
      <c r="W351" s="499"/>
      <c r="X351" s="499"/>
      <c r="Y351" s="499"/>
    </row>
    <row r="352" spans="1:25" ht="12.75" x14ac:dyDescent="0.2">
      <c r="A352" s="188"/>
      <c r="B352" s="188"/>
      <c r="C352" s="188"/>
      <c r="D352" s="188"/>
      <c r="E352" s="188"/>
      <c r="F352" s="188"/>
      <c r="G352" s="188"/>
      <c r="H352" s="188"/>
      <c r="I352" s="188"/>
      <c r="J352" s="188"/>
      <c r="K352" s="188"/>
      <c r="L352" s="188"/>
      <c r="M352" s="188"/>
      <c r="N352" s="188"/>
      <c r="O352" s="188"/>
      <c r="P352" s="188"/>
      <c r="Q352" s="188"/>
      <c r="R352" s="188"/>
      <c r="S352" s="188"/>
      <c r="T352" s="188"/>
      <c r="U352" s="188"/>
      <c r="V352" s="499"/>
      <c r="W352" s="499"/>
      <c r="X352" s="499"/>
      <c r="Y352" s="499"/>
    </row>
    <row r="353" spans="1:25" ht="12.75" x14ac:dyDescent="0.2">
      <c r="A353" s="188"/>
      <c r="B353" s="188"/>
      <c r="C353" s="188"/>
      <c r="D353" s="188"/>
      <c r="E353" s="188"/>
      <c r="F353" s="188"/>
      <c r="G353" s="188"/>
      <c r="H353" s="188"/>
      <c r="I353" s="188"/>
      <c r="J353" s="188"/>
      <c r="K353" s="188"/>
      <c r="L353" s="188"/>
      <c r="M353" s="188"/>
      <c r="N353" s="188"/>
      <c r="O353" s="188"/>
      <c r="P353" s="188"/>
      <c r="Q353" s="188"/>
      <c r="R353" s="188"/>
      <c r="S353" s="188"/>
      <c r="T353" s="188"/>
      <c r="U353" s="188"/>
      <c r="V353" s="499"/>
      <c r="W353" s="499"/>
      <c r="X353" s="499"/>
      <c r="Y353" s="499"/>
    </row>
    <row r="354" spans="1:25" ht="12.75" x14ac:dyDescent="0.2">
      <c r="A354" s="188"/>
      <c r="B354" s="188"/>
      <c r="C354" s="188"/>
      <c r="D354" s="188"/>
      <c r="E354" s="188"/>
      <c r="F354" s="188"/>
      <c r="G354" s="188"/>
      <c r="H354" s="188"/>
      <c r="I354" s="188"/>
      <c r="J354" s="188"/>
      <c r="K354" s="188"/>
      <c r="L354" s="188"/>
      <c r="M354" s="188"/>
      <c r="N354" s="188"/>
      <c r="O354" s="188"/>
      <c r="P354" s="188"/>
      <c r="Q354" s="188"/>
      <c r="R354" s="188"/>
      <c r="S354" s="188"/>
      <c r="T354" s="188"/>
      <c r="U354" s="188"/>
      <c r="V354" s="499"/>
      <c r="W354" s="499"/>
      <c r="X354" s="499"/>
      <c r="Y354" s="499"/>
    </row>
    <row r="355" spans="1:25" ht="12.75" x14ac:dyDescent="0.2">
      <c r="A355" s="188"/>
      <c r="B355" s="188"/>
      <c r="C355" s="188"/>
      <c r="D355" s="188"/>
      <c r="E355" s="188"/>
      <c r="F355" s="188"/>
      <c r="G355" s="188"/>
      <c r="H355" s="188"/>
      <c r="I355" s="188"/>
      <c r="J355" s="188"/>
      <c r="K355" s="188"/>
      <c r="L355" s="188"/>
      <c r="M355" s="188"/>
      <c r="N355" s="188"/>
      <c r="O355" s="188"/>
      <c r="P355" s="188"/>
      <c r="Q355" s="188"/>
      <c r="R355" s="188"/>
      <c r="S355" s="188"/>
      <c r="T355" s="188"/>
      <c r="U355" s="188"/>
      <c r="V355" s="499"/>
      <c r="W355" s="499"/>
      <c r="X355" s="499"/>
      <c r="Y355" s="499"/>
    </row>
    <row r="356" spans="1:25" ht="12.75" x14ac:dyDescent="0.2">
      <c r="A356" s="188"/>
      <c r="B356" s="188"/>
      <c r="C356" s="188"/>
      <c r="D356" s="188"/>
      <c r="E356" s="188"/>
      <c r="F356" s="188"/>
      <c r="G356" s="188"/>
      <c r="H356" s="188"/>
      <c r="I356" s="188"/>
      <c r="J356" s="188"/>
      <c r="K356" s="188"/>
      <c r="L356" s="188"/>
      <c r="M356" s="188"/>
      <c r="N356" s="188"/>
      <c r="O356" s="188"/>
      <c r="P356" s="188"/>
      <c r="Q356" s="188"/>
      <c r="R356" s="188"/>
      <c r="S356" s="188"/>
      <c r="T356" s="188"/>
      <c r="U356" s="188"/>
      <c r="V356" s="188"/>
      <c r="W356" s="188"/>
      <c r="X356" s="188"/>
      <c r="Y356" s="188"/>
    </row>
    <row r="357" spans="1:25" ht="12.75" x14ac:dyDescent="0.2">
      <c r="A357" s="188"/>
      <c r="B357" s="188"/>
      <c r="C357" s="188"/>
      <c r="D357" s="188"/>
      <c r="E357" s="188"/>
      <c r="F357" s="188"/>
      <c r="G357" s="188"/>
      <c r="H357" s="188"/>
      <c r="I357" s="188"/>
      <c r="J357" s="188"/>
      <c r="K357" s="188"/>
      <c r="L357" s="188"/>
      <c r="M357" s="188"/>
      <c r="N357" s="188"/>
      <c r="O357" s="188"/>
      <c r="P357" s="188"/>
      <c r="Q357" s="188"/>
      <c r="R357" s="188"/>
      <c r="S357" s="188"/>
      <c r="T357" s="188"/>
      <c r="U357" s="188"/>
      <c r="V357" s="188"/>
      <c r="W357" s="188"/>
      <c r="X357" s="188"/>
      <c r="Y357" s="188"/>
    </row>
    <row r="358" spans="1:25" ht="12.75" x14ac:dyDescent="0.2">
      <c r="A358" s="188"/>
      <c r="B358" s="188"/>
      <c r="C358" s="188"/>
      <c r="D358" s="188"/>
      <c r="E358" s="188"/>
      <c r="F358" s="188"/>
      <c r="G358" s="188"/>
      <c r="H358" s="188"/>
      <c r="I358" s="188"/>
      <c r="J358" s="188"/>
      <c r="K358" s="188"/>
      <c r="L358" s="188"/>
      <c r="M358" s="188"/>
      <c r="N358" s="188"/>
      <c r="O358" s="188"/>
      <c r="P358" s="188"/>
      <c r="Q358" s="188"/>
      <c r="R358" s="188"/>
      <c r="S358" s="188"/>
      <c r="T358" s="188"/>
      <c r="U358" s="188"/>
      <c r="V358" s="188"/>
      <c r="W358" s="188"/>
      <c r="X358" s="188"/>
      <c r="Y358" s="188"/>
    </row>
    <row r="359" spans="1:25" ht="12.75" x14ac:dyDescent="0.2">
      <c r="A359" s="188"/>
      <c r="B359" s="188"/>
      <c r="C359" s="188"/>
      <c r="D359" s="188"/>
      <c r="E359" s="188"/>
      <c r="F359" s="188"/>
      <c r="G359" s="188"/>
      <c r="H359" s="188"/>
      <c r="I359" s="188"/>
      <c r="J359" s="188"/>
      <c r="K359" s="188"/>
      <c r="L359" s="188"/>
      <c r="M359" s="188"/>
      <c r="N359" s="188"/>
      <c r="O359" s="188"/>
      <c r="P359" s="188"/>
      <c r="Q359" s="188"/>
      <c r="R359" s="188"/>
      <c r="S359" s="188"/>
      <c r="T359" s="188"/>
      <c r="U359" s="188"/>
      <c r="V359" s="188"/>
      <c r="W359" s="188"/>
      <c r="X359" s="188"/>
      <c r="Y359" s="188"/>
    </row>
    <row r="360" spans="1:25" ht="12.75" x14ac:dyDescent="0.2">
      <c r="A360" s="188"/>
      <c r="B360" s="188"/>
      <c r="C360" s="188"/>
      <c r="D360" s="188"/>
      <c r="E360" s="188"/>
      <c r="F360" s="188"/>
      <c r="G360" s="188"/>
      <c r="H360" s="188"/>
      <c r="I360" s="188"/>
      <c r="J360" s="188"/>
      <c r="K360" s="188"/>
      <c r="L360" s="188"/>
      <c r="M360" s="188"/>
      <c r="N360" s="188"/>
      <c r="O360" s="188"/>
      <c r="P360" s="188"/>
      <c r="Q360" s="188"/>
      <c r="R360" s="188"/>
      <c r="S360" s="188"/>
      <c r="T360" s="188"/>
      <c r="U360" s="188"/>
      <c r="V360" s="188"/>
      <c r="W360" s="188"/>
      <c r="X360" s="188"/>
      <c r="Y360" s="188"/>
    </row>
    <row r="361" spans="1:25" ht="12.75" x14ac:dyDescent="0.2">
      <c r="A361" s="188"/>
      <c r="B361" s="188"/>
      <c r="C361" s="188"/>
      <c r="D361" s="188"/>
      <c r="E361" s="188"/>
      <c r="F361" s="188"/>
      <c r="G361" s="188"/>
      <c r="H361" s="188"/>
      <c r="I361" s="188"/>
      <c r="J361" s="188"/>
      <c r="K361" s="188"/>
      <c r="L361" s="188"/>
      <c r="M361" s="188"/>
      <c r="N361" s="188"/>
      <c r="O361" s="188"/>
      <c r="P361" s="188"/>
      <c r="Q361" s="188"/>
      <c r="R361" s="188"/>
      <c r="S361" s="188"/>
      <c r="T361" s="188"/>
      <c r="U361" s="188"/>
      <c r="V361" s="188"/>
      <c r="W361" s="188"/>
      <c r="X361" s="188"/>
      <c r="Y361" s="188"/>
    </row>
    <row r="362" spans="1:25" ht="12.75" x14ac:dyDescent="0.2">
      <c r="A362" s="188"/>
      <c r="B362" s="188"/>
      <c r="C362" s="188"/>
      <c r="D362" s="188"/>
      <c r="E362" s="188"/>
      <c r="F362" s="188"/>
      <c r="G362" s="188"/>
      <c r="H362" s="188"/>
      <c r="I362" s="188"/>
      <c r="J362" s="188"/>
      <c r="K362" s="188"/>
      <c r="L362" s="188"/>
      <c r="M362" s="188"/>
      <c r="N362" s="188"/>
      <c r="O362" s="188"/>
      <c r="P362" s="188"/>
      <c r="Q362" s="188"/>
      <c r="R362" s="188"/>
      <c r="S362" s="188"/>
      <c r="T362" s="188"/>
      <c r="U362" s="188"/>
      <c r="V362" s="188"/>
      <c r="W362" s="188"/>
      <c r="X362" s="188"/>
      <c r="Y362" s="188"/>
    </row>
    <row r="363" spans="1:25" ht="12.75" x14ac:dyDescent="0.2">
      <c r="A363" s="188"/>
      <c r="B363" s="188"/>
      <c r="C363" s="188"/>
      <c r="D363" s="188"/>
      <c r="E363" s="188"/>
      <c r="F363" s="188"/>
      <c r="G363" s="188"/>
      <c r="H363" s="188"/>
      <c r="I363" s="188"/>
      <c r="J363" s="188"/>
      <c r="K363" s="188"/>
      <c r="L363" s="188"/>
      <c r="M363" s="188"/>
      <c r="N363" s="188"/>
      <c r="O363" s="188"/>
      <c r="P363" s="188"/>
      <c r="Q363" s="188"/>
      <c r="R363" s="188"/>
      <c r="S363" s="188"/>
      <c r="T363" s="188"/>
      <c r="U363" s="188"/>
      <c r="V363" s="188"/>
      <c r="W363" s="188"/>
      <c r="X363" s="188"/>
      <c r="Y363" s="188"/>
    </row>
    <row r="364" spans="1:25" ht="12.75" x14ac:dyDescent="0.2">
      <c r="A364" s="188"/>
      <c r="B364" s="188"/>
      <c r="C364" s="188"/>
      <c r="D364" s="188"/>
      <c r="E364" s="188"/>
      <c r="F364" s="188"/>
      <c r="G364" s="188"/>
      <c r="H364" s="188"/>
      <c r="I364" s="188"/>
      <c r="J364" s="188"/>
      <c r="K364" s="188"/>
      <c r="L364" s="188"/>
      <c r="M364" s="188"/>
      <c r="N364" s="188"/>
      <c r="O364" s="188"/>
      <c r="P364" s="188"/>
      <c r="Q364" s="188"/>
      <c r="R364" s="188"/>
      <c r="S364" s="188"/>
      <c r="T364" s="188"/>
      <c r="U364" s="188"/>
      <c r="V364" s="188"/>
      <c r="W364" s="188"/>
      <c r="X364" s="188"/>
      <c r="Y364" s="188"/>
    </row>
    <row r="365" spans="1:25" ht="12.75" x14ac:dyDescent="0.2">
      <c r="A365" s="188"/>
      <c r="B365" s="188"/>
      <c r="C365" s="188"/>
      <c r="D365" s="188"/>
      <c r="E365" s="188"/>
      <c r="F365" s="188"/>
      <c r="G365" s="188"/>
      <c r="H365" s="188"/>
      <c r="I365" s="188"/>
      <c r="J365" s="188"/>
      <c r="K365" s="188"/>
      <c r="L365" s="188"/>
      <c r="M365" s="188"/>
      <c r="N365" s="188"/>
      <c r="O365" s="188"/>
      <c r="P365" s="188"/>
      <c r="Q365" s="188"/>
      <c r="R365" s="188"/>
      <c r="S365" s="188"/>
      <c r="T365" s="188"/>
      <c r="U365" s="188"/>
      <c r="V365" s="188"/>
      <c r="W365" s="188"/>
      <c r="X365" s="188"/>
      <c r="Y365" s="188"/>
    </row>
    <row r="366" spans="1:25" ht="12.75" x14ac:dyDescent="0.2">
      <c r="A366" s="188"/>
      <c r="B366" s="188"/>
      <c r="C366" s="188"/>
      <c r="D366" s="188"/>
      <c r="E366" s="188"/>
      <c r="F366" s="188"/>
      <c r="G366" s="188"/>
      <c r="H366" s="188"/>
      <c r="I366" s="188"/>
      <c r="J366" s="188"/>
      <c r="K366" s="188"/>
      <c r="L366" s="188"/>
      <c r="M366" s="188"/>
      <c r="N366" s="188"/>
      <c r="O366" s="188"/>
      <c r="P366" s="188"/>
      <c r="Q366" s="188"/>
      <c r="R366" s="188"/>
      <c r="S366" s="188"/>
      <c r="T366" s="188"/>
      <c r="U366" s="188"/>
      <c r="V366" s="188"/>
      <c r="W366" s="188"/>
      <c r="X366" s="188"/>
      <c r="Y366" s="188"/>
    </row>
    <row r="367" spans="1:25" ht="12.75" x14ac:dyDescent="0.2">
      <c r="A367" s="188"/>
      <c r="B367" s="188"/>
      <c r="C367" s="188"/>
      <c r="D367" s="188"/>
      <c r="E367" s="188"/>
      <c r="F367" s="188"/>
      <c r="G367" s="188"/>
      <c r="H367" s="188"/>
      <c r="I367" s="188"/>
      <c r="J367" s="188"/>
      <c r="K367" s="188"/>
      <c r="L367" s="188"/>
      <c r="M367" s="188"/>
      <c r="N367" s="188"/>
      <c r="O367" s="188"/>
      <c r="P367" s="188"/>
      <c r="Q367" s="188"/>
      <c r="R367" s="188"/>
      <c r="S367" s="188"/>
      <c r="T367" s="188"/>
      <c r="U367" s="188"/>
      <c r="V367" s="188"/>
      <c r="W367" s="188"/>
      <c r="X367" s="188"/>
      <c r="Y367" s="188"/>
    </row>
    <row r="368" spans="1:25" ht="12.75" x14ac:dyDescent="0.2">
      <c r="A368" s="188"/>
      <c r="B368" s="188"/>
      <c r="C368" s="188"/>
      <c r="D368" s="188"/>
      <c r="E368" s="188"/>
      <c r="F368" s="188"/>
      <c r="G368" s="188"/>
      <c r="H368" s="188"/>
      <c r="I368" s="188"/>
      <c r="J368" s="188"/>
      <c r="K368" s="188"/>
      <c r="L368" s="188"/>
      <c r="M368" s="188"/>
      <c r="N368" s="188"/>
      <c r="O368" s="188"/>
      <c r="P368" s="188"/>
      <c r="Q368" s="188"/>
      <c r="R368" s="188"/>
      <c r="S368" s="188"/>
      <c r="T368" s="188"/>
      <c r="U368" s="188"/>
      <c r="V368" s="188"/>
      <c r="W368" s="188"/>
      <c r="X368" s="188"/>
      <c r="Y368" s="188"/>
    </row>
    <row r="369" spans="1:25" ht="12.75" x14ac:dyDescent="0.2">
      <c r="A369" s="188"/>
      <c r="B369" s="188"/>
      <c r="C369" s="188"/>
      <c r="D369" s="188"/>
      <c r="E369" s="188"/>
      <c r="F369" s="188"/>
      <c r="G369" s="188"/>
      <c r="H369" s="188"/>
      <c r="I369" s="188"/>
      <c r="J369" s="188"/>
      <c r="K369" s="188"/>
      <c r="L369" s="188"/>
      <c r="M369" s="188"/>
      <c r="N369" s="188"/>
      <c r="O369" s="188"/>
      <c r="P369" s="188"/>
      <c r="Q369" s="188"/>
      <c r="R369" s="188"/>
      <c r="S369" s="188"/>
      <c r="T369" s="188"/>
      <c r="U369" s="188"/>
      <c r="V369" s="188"/>
      <c r="W369" s="188"/>
      <c r="X369" s="188"/>
      <c r="Y369" s="188"/>
    </row>
    <row r="370" spans="1:25" ht="12.75" x14ac:dyDescent="0.2">
      <c r="A370" s="188"/>
      <c r="B370" s="188"/>
      <c r="C370" s="188"/>
      <c r="D370" s="188"/>
      <c r="E370" s="188"/>
      <c r="F370" s="188"/>
      <c r="G370" s="188"/>
      <c r="H370" s="188"/>
      <c r="I370" s="188"/>
      <c r="J370" s="188"/>
      <c r="K370" s="188"/>
      <c r="L370" s="188"/>
      <c r="M370" s="188"/>
      <c r="N370" s="188"/>
      <c r="O370" s="188"/>
      <c r="P370" s="188"/>
      <c r="Q370" s="188"/>
      <c r="R370" s="188"/>
      <c r="S370" s="188"/>
      <c r="T370" s="188"/>
      <c r="U370" s="188"/>
      <c r="V370" s="188"/>
      <c r="W370" s="188"/>
      <c r="X370" s="188"/>
      <c r="Y370" s="188"/>
    </row>
    <row r="371" spans="1:25" ht="12.75" x14ac:dyDescent="0.2">
      <c r="A371" s="188"/>
      <c r="B371" s="188"/>
      <c r="C371" s="188"/>
      <c r="D371" s="188"/>
      <c r="E371" s="188"/>
      <c r="F371" s="188"/>
      <c r="G371" s="188"/>
      <c r="H371" s="188"/>
      <c r="I371" s="188"/>
      <c r="J371" s="188"/>
      <c r="K371" s="188"/>
      <c r="L371" s="188"/>
      <c r="M371" s="188"/>
      <c r="N371" s="188"/>
      <c r="O371" s="188"/>
      <c r="P371" s="188"/>
      <c r="Q371" s="188"/>
      <c r="R371" s="188"/>
      <c r="S371" s="188"/>
      <c r="T371" s="188"/>
      <c r="U371" s="188"/>
      <c r="V371" s="188"/>
      <c r="W371" s="188"/>
      <c r="X371" s="188"/>
      <c r="Y371" s="188"/>
    </row>
    <row r="372" spans="1:25" ht="12.75" x14ac:dyDescent="0.2">
      <c r="A372" s="188"/>
      <c r="B372" s="188"/>
      <c r="C372" s="188"/>
      <c r="D372" s="188"/>
      <c r="E372" s="188"/>
      <c r="F372" s="188"/>
      <c r="G372" s="188"/>
      <c r="H372" s="188"/>
      <c r="I372" s="188"/>
      <c r="J372" s="188"/>
      <c r="K372" s="188"/>
      <c r="L372" s="188"/>
      <c r="M372" s="188"/>
      <c r="N372" s="188"/>
      <c r="O372" s="188"/>
      <c r="P372" s="188"/>
      <c r="Q372" s="188"/>
      <c r="R372" s="188"/>
      <c r="S372" s="188"/>
      <c r="T372" s="188"/>
      <c r="U372" s="188"/>
      <c r="V372" s="188"/>
      <c r="W372" s="188"/>
      <c r="X372" s="188"/>
      <c r="Y372" s="188"/>
    </row>
    <row r="373" spans="1:25" ht="12.75" x14ac:dyDescent="0.2">
      <c r="A373" s="188"/>
      <c r="B373" s="188"/>
      <c r="C373" s="188"/>
      <c r="D373" s="188"/>
      <c r="E373" s="188"/>
      <c r="F373" s="188"/>
      <c r="G373" s="188"/>
      <c r="H373" s="188"/>
      <c r="I373" s="188"/>
      <c r="J373" s="188"/>
      <c r="K373" s="188"/>
      <c r="L373" s="188"/>
      <c r="M373" s="188"/>
      <c r="N373" s="188"/>
      <c r="O373" s="188"/>
      <c r="P373" s="188"/>
      <c r="Q373" s="188"/>
      <c r="R373" s="188"/>
      <c r="S373" s="188"/>
      <c r="T373" s="188"/>
      <c r="U373" s="188"/>
      <c r="V373" s="188"/>
      <c r="W373" s="188"/>
      <c r="X373" s="188"/>
      <c r="Y373" s="188"/>
    </row>
    <row r="374" spans="1:25" ht="12.75" x14ac:dyDescent="0.2">
      <c r="A374" s="188"/>
      <c r="B374" s="188"/>
      <c r="C374" s="188"/>
      <c r="D374" s="188"/>
      <c r="E374" s="188"/>
      <c r="F374" s="188"/>
      <c r="G374" s="188"/>
      <c r="H374" s="188"/>
      <c r="I374" s="188"/>
      <c r="J374" s="188"/>
      <c r="K374" s="188"/>
      <c r="L374" s="188"/>
      <c r="M374" s="188"/>
      <c r="N374" s="188"/>
      <c r="O374" s="188"/>
      <c r="P374" s="188"/>
      <c r="Q374" s="188"/>
      <c r="R374" s="188"/>
      <c r="S374" s="188"/>
      <c r="T374" s="188"/>
      <c r="U374" s="188"/>
      <c r="V374" s="188"/>
      <c r="W374" s="188"/>
      <c r="X374" s="188"/>
      <c r="Y374" s="188"/>
    </row>
    <row r="375" spans="1:25" ht="12.75" x14ac:dyDescent="0.2">
      <c r="A375" s="188"/>
      <c r="B375" s="188"/>
      <c r="C375" s="188"/>
      <c r="D375" s="188"/>
      <c r="E375" s="188"/>
      <c r="F375" s="188"/>
      <c r="G375" s="188"/>
      <c r="H375" s="188"/>
      <c r="I375" s="188"/>
      <c r="J375" s="188"/>
      <c r="K375" s="188"/>
      <c r="L375" s="188"/>
      <c r="M375" s="188"/>
      <c r="N375" s="188"/>
      <c r="O375" s="188"/>
      <c r="P375" s="188"/>
      <c r="Q375" s="188"/>
      <c r="R375" s="188"/>
      <c r="S375" s="188"/>
      <c r="T375" s="188"/>
      <c r="U375" s="188"/>
      <c r="V375" s="188"/>
      <c r="W375" s="188"/>
      <c r="X375" s="188"/>
      <c r="Y375" s="188"/>
    </row>
    <row r="376" spans="1:25" ht="12.75" x14ac:dyDescent="0.2">
      <c r="A376" s="188"/>
      <c r="B376" s="188"/>
      <c r="C376" s="188"/>
      <c r="D376" s="188"/>
      <c r="E376" s="188"/>
      <c r="F376" s="188"/>
      <c r="G376" s="188"/>
      <c r="H376" s="188"/>
      <c r="I376" s="188"/>
      <c r="J376" s="188"/>
      <c r="K376" s="188"/>
      <c r="L376" s="188"/>
      <c r="M376" s="188"/>
      <c r="N376" s="188"/>
      <c r="O376" s="188"/>
      <c r="P376" s="188"/>
      <c r="Q376" s="188"/>
      <c r="R376" s="188"/>
      <c r="S376" s="188"/>
      <c r="T376" s="188"/>
      <c r="U376" s="188"/>
      <c r="V376" s="188"/>
      <c r="W376" s="188"/>
      <c r="X376" s="188"/>
      <c r="Y376" s="188"/>
    </row>
    <row r="377" spans="1:25" ht="12.75" x14ac:dyDescent="0.2">
      <c r="A377" s="188"/>
      <c r="B377" s="188"/>
      <c r="C377" s="188"/>
      <c r="D377" s="188"/>
      <c r="E377" s="188"/>
      <c r="F377" s="188"/>
      <c r="G377" s="188"/>
      <c r="H377" s="188"/>
      <c r="I377" s="188"/>
      <c r="J377" s="188"/>
      <c r="K377" s="188"/>
      <c r="L377" s="188"/>
      <c r="M377" s="188"/>
      <c r="N377" s="188"/>
      <c r="O377" s="188"/>
      <c r="P377" s="188"/>
      <c r="Q377" s="188"/>
      <c r="R377" s="188"/>
      <c r="S377" s="188"/>
      <c r="T377" s="188"/>
      <c r="U377" s="188"/>
      <c r="V377" s="188"/>
      <c r="W377" s="188"/>
      <c r="X377" s="188"/>
      <c r="Y377" s="188"/>
    </row>
    <row r="378" spans="1:25" ht="12.75" x14ac:dyDescent="0.2">
      <c r="A378" s="188"/>
      <c r="B378" s="188"/>
      <c r="C378" s="188"/>
      <c r="D378" s="188"/>
      <c r="E378" s="188"/>
      <c r="F378" s="188"/>
      <c r="G378" s="188"/>
      <c r="H378" s="188"/>
      <c r="I378" s="188"/>
      <c r="J378" s="188"/>
      <c r="K378" s="188"/>
      <c r="L378" s="188"/>
      <c r="M378" s="188"/>
      <c r="N378" s="188"/>
      <c r="O378" s="188"/>
      <c r="P378" s="188"/>
      <c r="Q378" s="188"/>
      <c r="R378" s="188"/>
      <c r="S378" s="188"/>
      <c r="T378" s="188"/>
      <c r="U378" s="188"/>
      <c r="V378" s="188"/>
      <c r="W378" s="188"/>
      <c r="X378" s="188"/>
      <c r="Y378" s="188"/>
    </row>
    <row r="379" spans="1:25" ht="12.75" x14ac:dyDescent="0.2">
      <c r="A379" s="188"/>
      <c r="B379" s="188"/>
      <c r="C379" s="188"/>
      <c r="D379" s="188"/>
      <c r="E379" s="188"/>
      <c r="F379" s="188"/>
      <c r="G379" s="188"/>
      <c r="H379" s="188"/>
      <c r="I379" s="188"/>
      <c r="J379" s="188"/>
      <c r="K379" s="188"/>
      <c r="L379" s="188"/>
      <c r="M379" s="188"/>
      <c r="N379" s="188"/>
      <c r="O379" s="188"/>
      <c r="P379" s="188"/>
      <c r="Q379" s="188"/>
      <c r="R379" s="188"/>
      <c r="S379" s="188"/>
      <c r="T379" s="188"/>
      <c r="U379" s="188"/>
      <c r="V379" s="188"/>
      <c r="W379" s="188"/>
      <c r="X379" s="188"/>
      <c r="Y379" s="188"/>
    </row>
    <row r="380" spans="1:25" ht="12.75" x14ac:dyDescent="0.2">
      <c r="A380" s="188"/>
      <c r="B380" s="188"/>
      <c r="C380" s="188"/>
      <c r="D380" s="188"/>
      <c r="E380" s="188"/>
      <c r="F380" s="188"/>
      <c r="G380" s="188"/>
      <c r="H380" s="188"/>
      <c r="I380" s="188"/>
      <c r="J380" s="188"/>
      <c r="K380" s="188"/>
      <c r="L380" s="188"/>
      <c r="M380" s="188"/>
      <c r="N380" s="188"/>
      <c r="O380" s="188"/>
      <c r="P380" s="188"/>
      <c r="Q380" s="188"/>
      <c r="R380" s="188"/>
      <c r="S380" s="188"/>
      <c r="T380" s="188"/>
      <c r="U380" s="188"/>
      <c r="V380" s="188"/>
      <c r="W380" s="188"/>
      <c r="X380" s="188"/>
      <c r="Y380" s="188"/>
    </row>
    <row r="381" spans="1:25" ht="12.75" x14ac:dyDescent="0.2">
      <c r="A381" s="188"/>
      <c r="B381" s="188"/>
      <c r="C381" s="188"/>
      <c r="D381" s="188"/>
      <c r="E381" s="188"/>
      <c r="F381" s="188"/>
      <c r="G381" s="188"/>
      <c r="H381" s="188"/>
      <c r="I381" s="188"/>
      <c r="J381" s="188"/>
      <c r="K381" s="188"/>
      <c r="L381" s="188"/>
      <c r="M381" s="188"/>
      <c r="N381" s="188"/>
      <c r="O381" s="188"/>
      <c r="P381" s="188"/>
      <c r="Q381" s="188"/>
      <c r="R381" s="188"/>
      <c r="S381" s="188"/>
      <c r="T381" s="188"/>
      <c r="U381" s="188"/>
      <c r="V381" s="188"/>
      <c r="W381" s="188"/>
      <c r="X381" s="188"/>
      <c r="Y381" s="188"/>
    </row>
    <row r="382" spans="1:25" ht="12.75" x14ac:dyDescent="0.2">
      <c r="A382" s="188"/>
      <c r="B382" s="188"/>
      <c r="C382" s="188"/>
      <c r="D382" s="188"/>
      <c r="E382" s="188"/>
      <c r="F382" s="188"/>
      <c r="G382" s="188"/>
      <c r="H382" s="188"/>
      <c r="I382" s="188"/>
      <c r="J382" s="188"/>
      <c r="K382" s="188"/>
      <c r="L382" s="188"/>
      <c r="M382" s="188"/>
      <c r="N382" s="188"/>
      <c r="O382" s="188"/>
      <c r="P382" s="188"/>
      <c r="Q382" s="188"/>
      <c r="R382" s="188"/>
      <c r="S382" s="188"/>
      <c r="T382" s="188"/>
      <c r="U382" s="188"/>
      <c r="V382" s="188"/>
      <c r="W382" s="188"/>
      <c r="X382" s="188"/>
      <c r="Y382" s="188"/>
    </row>
    <row r="383" spans="1:25" ht="12.75" x14ac:dyDescent="0.2">
      <c r="A383" s="188"/>
      <c r="B383" s="188"/>
      <c r="C383" s="188"/>
      <c r="D383" s="188"/>
      <c r="E383" s="188"/>
      <c r="F383" s="188"/>
      <c r="G383" s="188"/>
      <c r="H383" s="188"/>
      <c r="I383" s="188"/>
      <c r="J383" s="188"/>
      <c r="K383" s="188"/>
      <c r="L383" s="188"/>
      <c r="M383" s="188"/>
      <c r="N383" s="188"/>
      <c r="O383" s="188"/>
      <c r="P383" s="188"/>
      <c r="Q383" s="188"/>
      <c r="R383" s="188"/>
      <c r="S383" s="188"/>
      <c r="T383" s="188"/>
      <c r="U383" s="188"/>
      <c r="V383" s="188"/>
      <c r="W383" s="188"/>
      <c r="X383" s="188"/>
      <c r="Y383" s="188"/>
    </row>
    <row r="384" spans="1:25" ht="12.75" x14ac:dyDescent="0.2">
      <c r="A384" s="188"/>
      <c r="B384" s="188"/>
      <c r="C384" s="188"/>
      <c r="D384" s="188"/>
      <c r="E384" s="188"/>
      <c r="F384" s="188"/>
      <c r="G384" s="188"/>
      <c r="H384" s="188"/>
      <c r="I384" s="188"/>
      <c r="J384" s="188"/>
      <c r="K384" s="188"/>
      <c r="L384" s="188"/>
      <c r="M384" s="188"/>
      <c r="N384" s="188"/>
      <c r="O384" s="188"/>
      <c r="P384" s="188"/>
      <c r="Q384" s="188"/>
      <c r="R384" s="188"/>
      <c r="S384" s="188"/>
      <c r="T384" s="188"/>
      <c r="U384" s="188"/>
      <c r="V384" s="188"/>
      <c r="W384" s="188"/>
      <c r="X384" s="188"/>
      <c r="Y384" s="188"/>
    </row>
    <row r="385" spans="1:25" ht="12.75" x14ac:dyDescent="0.2">
      <c r="A385" s="188"/>
      <c r="B385" s="188"/>
      <c r="C385" s="188"/>
      <c r="D385" s="188"/>
      <c r="E385" s="188"/>
      <c r="F385" s="188"/>
      <c r="G385" s="188"/>
      <c r="H385" s="188"/>
      <c r="I385" s="188"/>
      <c r="J385" s="188"/>
      <c r="K385" s="188"/>
      <c r="L385" s="188"/>
      <c r="M385" s="188"/>
      <c r="N385" s="188"/>
      <c r="O385" s="188"/>
      <c r="P385" s="188"/>
      <c r="Q385" s="188"/>
      <c r="R385" s="188"/>
      <c r="S385" s="188"/>
      <c r="T385" s="188"/>
      <c r="U385" s="188"/>
      <c r="V385" s="188"/>
      <c r="W385" s="188"/>
      <c r="X385" s="188"/>
      <c r="Y385" s="188"/>
    </row>
    <row r="386" spans="1:25" ht="12.75" x14ac:dyDescent="0.2">
      <c r="A386" s="188"/>
      <c r="B386" s="188"/>
      <c r="C386" s="188"/>
      <c r="D386" s="188"/>
      <c r="E386" s="188"/>
      <c r="F386" s="188"/>
      <c r="G386" s="188"/>
      <c r="H386" s="188"/>
      <c r="I386" s="188"/>
      <c r="J386" s="188"/>
      <c r="K386" s="188"/>
      <c r="L386" s="188"/>
      <c r="M386" s="188"/>
      <c r="N386" s="188"/>
      <c r="O386" s="188"/>
      <c r="P386" s="188"/>
      <c r="Q386" s="188"/>
      <c r="R386" s="188"/>
      <c r="S386" s="188"/>
      <c r="T386" s="188"/>
      <c r="U386" s="188"/>
      <c r="V386" s="188"/>
      <c r="W386" s="188"/>
      <c r="X386" s="188"/>
      <c r="Y386" s="188"/>
    </row>
    <row r="387" spans="1:25" ht="12.75" x14ac:dyDescent="0.2">
      <c r="A387" s="188"/>
      <c r="B387" s="188"/>
      <c r="C387" s="188"/>
      <c r="D387" s="188"/>
      <c r="E387" s="188"/>
      <c r="F387" s="188"/>
      <c r="G387" s="188"/>
      <c r="H387" s="188"/>
      <c r="I387" s="188"/>
      <c r="J387" s="188"/>
      <c r="K387" s="188"/>
      <c r="L387" s="188"/>
      <c r="M387" s="188"/>
      <c r="N387" s="188"/>
      <c r="O387" s="188"/>
      <c r="P387" s="188"/>
      <c r="Q387" s="188"/>
      <c r="R387" s="188"/>
      <c r="S387" s="188"/>
      <c r="T387" s="188"/>
      <c r="U387" s="188"/>
      <c r="V387" s="188"/>
      <c r="W387" s="188"/>
      <c r="X387" s="188"/>
      <c r="Y387" s="188"/>
    </row>
    <row r="388" spans="1:25" ht="12.75" x14ac:dyDescent="0.2">
      <c r="A388" s="188"/>
      <c r="B388" s="188"/>
      <c r="C388" s="188"/>
      <c r="D388" s="188"/>
      <c r="E388" s="188"/>
      <c r="F388" s="188"/>
      <c r="G388" s="188"/>
      <c r="H388" s="188"/>
      <c r="I388" s="188"/>
      <c r="J388" s="188"/>
      <c r="K388" s="188"/>
      <c r="L388" s="188"/>
      <c r="M388" s="188"/>
      <c r="N388" s="188"/>
      <c r="O388" s="188"/>
      <c r="P388" s="188"/>
      <c r="Q388" s="188"/>
      <c r="R388" s="188"/>
      <c r="S388" s="188"/>
      <c r="T388" s="188"/>
      <c r="U388" s="188"/>
      <c r="V388" s="188"/>
      <c r="W388" s="188"/>
      <c r="X388" s="188"/>
      <c r="Y388" s="188"/>
    </row>
    <row r="389" spans="1:25" ht="12.75" x14ac:dyDescent="0.2">
      <c r="A389" s="188"/>
      <c r="B389" s="188"/>
      <c r="C389" s="188"/>
      <c r="D389" s="188"/>
      <c r="E389" s="188"/>
      <c r="F389" s="188"/>
      <c r="G389" s="188"/>
      <c r="H389" s="188"/>
      <c r="I389" s="188"/>
      <c r="J389" s="188"/>
      <c r="K389" s="188"/>
      <c r="L389" s="188"/>
      <c r="M389" s="188"/>
      <c r="N389" s="188"/>
      <c r="O389" s="188"/>
      <c r="P389" s="188"/>
      <c r="Q389" s="188"/>
      <c r="R389" s="188"/>
      <c r="S389" s="188"/>
      <c r="T389" s="188"/>
      <c r="U389" s="188"/>
      <c r="V389" s="188"/>
      <c r="W389" s="188"/>
      <c r="X389" s="188"/>
      <c r="Y389" s="188"/>
    </row>
    <row r="390" spans="1:25" ht="12.75" x14ac:dyDescent="0.2">
      <c r="A390" s="188"/>
      <c r="B390" s="188"/>
      <c r="C390" s="188"/>
      <c r="D390" s="188"/>
      <c r="E390" s="188"/>
      <c r="F390" s="188"/>
      <c r="G390" s="188"/>
      <c r="H390" s="188"/>
      <c r="I390" s="188"/>
      <c r="J390" s="188"/>
      <c r="K390" s="188"/>
      <c r="L390" s="188"/>
      <c r="M390" s="188"/>
      <c r="N390" s="188"/>
      <c r="O390" s="188"/>
      <c r="P390" s="188"/>
      <c r="Q390" s="188"/>
      <c r="R390" s="188"/>
      <c r="S390" s="188"/>
      <c r="T390" s="188"/>
      <c r="U390" s="188"/>
      <c r="V390" s="188"/>
      <c r="W390" s="188"/>
      <c r="X390" s="188"/>
      <c r="Y390" s="188"/>
    </row>
    <row r="391" spans="1:25" ht="12.75" x14ac:dyDescent="0.2">
      <c r="A391" s="188"/>
      <c r="B391" s="188"/>
      <c r="C391" s="188"/>
      <c r="D391" s="188"/>
      <c r="E391" s="188"/>
      <c r="F391" s="188"/>
      <c r="G391" s="188"/>
      <c r="H391" s="188"/>
      <c r="I391" s="188"/>
      <c r="J391" s="188"/>
      <c r="K391" s="188"/>
      <c r="L391" s="188"/>
      <c r="M391" s="188"/>
      <c r="N391" s="188"/>
      <c r="O391" s="188"/>
      <c r="P391" s="188"/>
      <c r="Q391" s="188"/>
      <c r="R391" s="188"/>
      <c r="S391" s="188"/>
      <c r="T391" s="188"/>
      <c r="U391" s="188"/>
      <c r="V391" s="188"/>
      <c r="W391" s="188"/>
      <c r="X391" s="188"/>
      <c r="Y391" s="188"/>
    </row>
    <row r="392" spans="1:25" ht="12.75" x14ac:dyDescent="0.2">
      <c r="A392" s="188"/>
      <c r="B392" s="188"/>
      <c r="C392" s="188"/>
      <c r="D392" s="188"/>
      <c r="E392" s="188"/>
      <c r="F392" s="188"/>
      <c r="G392" s="188"/>
      <c r="H392" s="188"/>
      <c r="I392" s="188"/>
      <c r="J392" s="188"/>
      <c r="K392" s="188"/>
      <c r="L392" s="188"/>
      <c r="M392" s="188"/>
      <c r="N392" s="188"/>
      <c r="O392" s="188"/>
      <c r="P392" s="188"/>
      <c r="Q392" s="188"/>
      <c r="R392" s="188"/>
      <c r="S392" s="188"/>
      <c r="T392" s="188"/>
      <c r="U392" s="188"/>
      <c r="V392" s="188"/>
      <c r="W392" s="188"/>
      <c r="X392" s="188"/>
      <c r="Y392" s="188"/>
    </row>
    <row r="393" spans="1:25" ht="12.75" x14ac:dyDescent="0.2">
      <c r="A393" s="188"/>
      <c r="B393" s="188"/>
      <c r="C393" s="188"/>
      <c r="D393" s="188"/>
      <c r="E393" s="188"/>
      <c r="F393" s="188"/>
      <c r="G393" s="188"/>
      <c r="H393" s="188"/>
      <c r="I393" s="188"/>
      <c r="J393" s="188"/>
      <c r="K393" s="188"/>
      <c r="L393" s="188"/>
      <c r="M393" s="188"/>
      <c r="N393" s="188"/>
      <c r="O393" s="188"/>
      <c r="P393" s="188"/>
      <c r="Q393" s="188"/>
      <c r="R393" s="188"/>
      <c r="S393" s="188"/>
      <c r="T393" s="188"/>
      <c r="U393" s="188"/>
      <c r="V393" s="188"/>
      <c r="W393" s="188"/>
      <c r="X393" s="188"/>
      <c r="Y393" s="188"/>
    </row>
    <row r="394" spans="1:25" ht="12.75" x14ac:dyDescent="0.2">
      <c r="A394" s="188"/>
      <c r="B394" s="188"/>
      <c r="C394" s="188"/>
      <c r="D394" s="188"/>
      <c r="E394" s="188"/>
      <c r="F394" s="188"/>
      <c r="G394" s="188"/>
      <c r="H394" s="188"/>
      <c r="I394" s="188"/>
      <c r="J394" s="188"/>
      <c r="K394" s="188"/>
      <c r="L394" s="188"/>
      <c r="M394" s="188"/>
      <c r="N394" s="188"/>
      <c r="O394" s="188"/>
      <c r="P394" s="188"/>
      <c r="Q394" s="188"/>
      <c r="R394" s="188"/>
      <c r="S394" s="188"/>
      <c r="T394" s="188"/>
      <c r="U394" s="188"/>
      <c r="V394" s="188"/>
      <c r="W394" s="188"/>
      <c r="X394" s="188"/>
      <c r="Y394" s="188"/>
    </row>
    <row r="395" spans="1:25" ht="12.75" x14ac:dyDescent="0.2">
      <c r="A395" s="188"/>
      <c r="B395" s="188"/>
      <c r="C395" s="188"/>
      <c r="D395" s="188"/>
      <c r="E395" s="188"/>
      <c r="F395" s="188"/>
      <c r="G395" s="188"/>
      <c r="H395" s="188"/>
      <c r="I395" s="188"/>
      <c r="J395" s="188"/>
      <c r="K395" s="188"/>
      <c r="L395" s="188"/>
      <c r="M395" s="188"/>
      <c r="N395" s="188"/>
      <c r="O395" s="188"/>
      <c r="P395" s="188"/>
      <c r="Q395" s="188"/>
      <c r="R395" s="188"/>
      <c r="S395" s="188"/>
      <c r="T395" s="188"/>
      <c r="U395" s="188"/>
      <c r="V395" s="188"/>
      <c r="W395" s="188"/>
      <c r="X395" s="188"/>
      <c r="Y395" s="188"/>
    </row>
    <row r="396" spans="1:25" ht="12.75" x14ac:dyDescent="0.2">
      <c r="A396" s="188"/>
      <c r="B396" s="188"/>
      <c r="C396" s="188"/>
      <c r="D396" s="188"/>
      <c r="E396" s="188"/>
      <c r="F396" s="188"/>
      <c r="G396" s="188"/>
      <c r="H396" s="188"/>
      <c r="I396" s="188"/>
      <c r="J396" s="188"/>
      <c r="K396" s="188"/>
      <c r="L396" s="188"/>
      <c r="M396" s="188"/>
      <c r="N396" s="188"/>
      <c r="O396" s="188"/>
      <c r="P396" s="188"/>
      <c r="Q396" s="188"/>
      <c r="R396" s="188"/>
      <c r="S396" s="188"/>
      <c r="T396" s="188"/>
      <c r="U396" s="188"/>
      <c r="V396" s="188"/>
      <c r="W396" s="188"/>
      <c r="X396" s="188"/>
      <c r="Y396" s="188"/>
    </row>
    <row r="397" spans="1:25" ht="12.75" x14ac:dyDescent="0.2">
      <c r="A397" s="188"/>
      <c r="B397" s="188"/>
      <c r="C397" s="188"/>
      <c r="D397" s="188"/>
      <c r="E397" s="188"/>
      <c r="F397" s="188"/>
      <c r="G397" s="188"/>
      <c r="H397" s="188"/>
      <c r="I397" s="188"/>
      <c r="J397" s="188"/>
      <c r="K397" s="188"/>
      <c r="L397" s="188"/>
      <c r="M397" s="188"/>
      <c r="N397" s="188"/>
      <c r="O397" s="188"/>
      <c r="P397" s="188"/>
      <c r="Q397" s="188"/>
      <c r="R397" s="188"/>
      <c r="S397" s="188"/>
      <c r="T397" s="188"/>
      <c r="U397" s="188"/>
      <c r="V397" s="188"/>
      <c r="W397" s="188"/>
      <c r="X397" s="188"/>
      <c r="Y397" s="188"/>
    </row>
    <row r="398" spans="1:25" ht="12.75" x14ac:dyDescent="0.2">
      <c r="A398" s="188"/>
      <c r="B398" s="188"/>
      <c r="C398" s="188"/>
      <c r="D398" s="188"/>
      <c r="E398" s="188"/>
      <c r="F398" s="188"/>
      <c r="G398" s="188"/>
      <c r="H398" s="188"/>
      <c r="I398" s="188"/>
      <c r="J398" s="188"/>
      <c r="K398" s="188"/>
      <c r="L398" s="188"/>
      <c r="M398" s="188"/>
      <c r="N398" s="188"/>
      <c r="O398" s="188"/>
      <c r="P398" s="188"/>
      <c r="Q398" s="188"/>
      <c r="R398" s="188"/>
      <c r="S398" s="188"/>
      <c r="T398" s="188"/>
      <c r="U398" s="188"/>
      <c r="V398" s="188"/>
      <c r="W398" s="188"/>
      <c r="X398" s="188"/>
      <c r="Y398" s="188"/>
    </row>
    <row r="399" spans="1:25" ht="12.75" x14ac:dyDescent="0.2">
      <c r="A399" s="188"/>
      <c r="B399" s="188"/>
      <c r="C399" s="188"/>
      <c r="D399" s="188"/>
      <c r="E399" s="188"/>
      <c r="F399" s="188"/>
      <c r="G399" s="188"/>
      <c r="H399" s="188"/>
      <c r="I399" s="188"/>
      <c r="J399" s="188"/>
      <c r="K399" s="188"/>
      <c r="L399" s="188"/>
      <c r="M399" s="188"/>
      <c r="N399" s="188"/>
      <c r="O399" s="188"/>
      <c r="P399" s="188"/>
      <c r="Q399" s="188"/>
      <c r="R399" s="188"/>
      <c r="S399" s="188"/>
      <c r="T399" s="188"/>
      <c r="U399" s="188"/>
      <c r="V399" s="188"/>
      <c r="W399" s="188"/>
      <c r="X399" s="188"/>
      <c r="Y399" s="188"/>
    </row>
    <row r="400" spans="1:25" ht="12.75" x14ac:dyDescent="0.2">
      <c r="A400" s="188"/>
      <c r="B400" s="188"/>
      <c r="C400" s="188"/>
      <c r="D400" s="188"/>
      <c r="E400" s="188"/>
      <c r="F400" s="188"/>
      <c r="G400" s="188"/>
      <c r="H400" s="188"/>
      <c r="I400" s="188"/>
      <c r="J400" s="188"/>
      <c r="K400" s="188"/>
      <c r="L400" s="188"/>
      <c r="M400" s="188"/>
      <c r="N400" s="188"/>
      <c r="O400" s="188"/>
      <c r="P400" s="188"/>
      <c r="Q400" s="188"/>
      <c r="R400" s="188"/>
      <c r="S400" s="188"/>
      <c r="T400" s="188"/>
      <c r="U400" s="188"/>
      <c r="V400" s="188"/>
      <c r="W400" s="188"/>
      <c r="X400" s="188"/>
      <c r="Y400" s="188"/>
    </row>
    <row r="401" spans="1:25" ht="12.75" x14ac:dyDescent="0.2">
      <c r="A401" s="188"/>
      <c r="B401" s="188"/>
      <c r="C401" s="188"/>
      <c r="D401" s="188"/>
      <c r="E401" s="188"/>
      <c r="F401" s="188"/>
      <c r="G401" s="188"/>
      <c r="H401" s="188"/>
      <c r="I401" s="188"/>
      <c r="J401" s="188"/>
      <c r="K401" s="188"/>
      <c r="L401" s="188"/>
      <c r="M401" s="188"/>
      <c r="N401" s="188"/>
      <c r="O401" s="188"/>
      <c r="P401" s="188"/>
      <c r="Q401" s="188"/>
      <c r="R401" s="188"/>
      <c r="S401" s="188"/>
      <c r="T401" s="188"/>
      <c r="U401" s="188"/>
      <c r="V401" s="188"/>
      <c r="W401" s="188"/>
      <c r="X401" s="188"/>
      <c r="Y401" s="188"/>
    </row>
    <row r="402" spans="1:25" ht="12.75" x14ac:dyDescent="0.2">
      <c r="A402" s="188"/>
      <c r="B402" s="188"/>
      <c r="C402" s="188"/>
      <c r="D402" s="188"/>
      <c r="E402" s="188"/>
      <c r="F402" s="188"/>
      <c r="G402" s="188"/>
      <c r="H402" s="188"/>
      <c r="I402" s="188"/>
      <c r="J402" s="188"/>
      <c r="K402" s="188"/>
      <c r="L402" s="188"/>
      <c r="M402" s="188"/>
      <c r="N402" s="188"/>
      <c r="O402" s="188"/>
      <c r="P402" s="188"/>
      <c r="Q402" s="188"/>
      <c r="R402" s="188"/>
      <c r="S402" s="188"/>
      <c r="T402" s="188"/>
      <c r="U402" s="188"/>
      <c r="V402" s="188"/>
      <c r="W402" s="188"/>
      <c r="X402" s="188"/>
      <c r="Y402" s="188"/>
    </row>
    <row r="403" spans="1:25" ht="12.75" x14ac:dyDescent="0.2">
      <c r="A403" s="188"/>
      <c r="B403" s="188"/>
      <c r="C403" s="188"/>
      <c r="D403" s="188"/>
      <c r="E403" s="188"/>
      <c r="F403" s="188"/>
      <c r="G403" s="188"/>
      <c r="H403" s="188"/>
      <c r="I403" s="188"/>
      <c r="J403" s="188"/>
      <c r="K403" s="188"/>
      <c r="L403" s="188"/>
      <c r="M403" s="188"/>
      <c r="N403" s="188"/>
      <c r="O403" s="188"/>
      <c r="P403" s="188"/>
      <c r="Q403" s="188"/>
      <c r="R403" s="188"/>
      <c r="S403" s="188"/>
      <c r="T403" s="188"/>
      <c r="U403" s="188"/>
      <c r="V403" s="188"/>
      <c r="W403" s="188"/>
      <c r="X403" s="188"/>
      <c r="Y403" s="188"/>
    </row>
    <row r="404" spans="1:25" ht="12.75" x14ac:dyDescent="0.2">
      <c r="A404" s="188"/>
      <c r="B404" s="188"/>
      <c r="C404" s="188"/>
      <c r="D404" s="188"/>
      <c r="E404" s="188"/>
      <c r="F404" s="188"/>
      <c r="G404" s="188"/>
      <c r="H404" s="188"/>
      <c r="I404" s="188"/>
      <c r="J404" s="188"/>
      <c r="K404" s="188"/>
      <c r="L404" s="188"/>
      <c r="M404" s="188"/>
      <c r="N404" s="188"/>
      <c r="O404" s="188"/>
      <c r="P404" s="188"/>
      <c r="Q404" s="188"/>
      <c r="R404" s="188"/>
      <c r="S404" s="188"/>
      <c r="T404" s="188"/>
      <c r="U404" s="188"/>
      <c r="V404" s="188"/>
      <c r="W404" s="188"/>
      <c r="X404" s="188"/>
      <c r="Y404" s="188"/>
    </row>
    <row r="405" spans="1:25" ht="12.75" x14ac:dyDescent="0.2">
      <c r="A405" s="188"/>
      <c r="B405" s="188"/>
      <c r="C405" s="188"/>
      <c r="D405" s="188"/>
      <c r="E405" s="188"/>
      <c r="F405" s="188"/>
      <c r="G405" s="188"/>
      <c r="H405" s="188"/>
      <c r="I405" s="188"/>
      <c r="J405" s="188"/>
      <c r="K405" s="188"/>
      <c r="L405" s="188"/>
      <c r="M405" s="188"/>
      <c r="N405" s="188"/>
      <c r="O405" s="188"/>
      <c r="P405" s="188"/>
      <c r="Q405" s="188"/>
      <c r="R405" s="188"/>
      <c r="S405" s="188"/>
      <c r="T405" s="188"/>
      <c r="U405" s="188"/>
      <c r="V405" s="188"/>
      <c r="W405" s="188"/>
      <c r="X405" s="188"/>
      <c r="Y405" s="188"/>
    </row>
    <row r="406" spans="1:25" ht="12.75" x14ac:dyDescent="0.2">
      <c r="A406" s="188"/>
      <c r="B406" s="188"/>
      <c r="C406" s="188"/>
      <c r="D406" s="188"/>
      <c r="E406" s="188"/>
      <c r="F406" s="188"/>
      <c r="G406" s="188"/>
      <c r="H406" s="188"/>
      <c r="I406" s="188"/>
      <c r="J406" s="188"/>
      <c r="K406" s="188"/>
      <c r="L406" s="188"/>
      <c r="M406" s="188"/>
      <c r="N406" s="188"/>
      <c r="O406" s="188"/>
      <c r="P406" s="188"/>
      <c r="Q406" s="188"/>
      <c r="R406" s="188"/>
      <c r="S406" s="188"/>
      <c r="T406" s="188"/>
      <c r="U406" s="188"/>
      <c r="V406" s="188"/>
      <c r="W406" s="188"/>
      <c r="X406" s="188"/>
      <c r="Y406" s="188"/>
    </row>
    <row r="407" spans="1:25" ht="12.75" x14ac:dyDescent="0.2">
      <c r="A407" s="188"/>
      <c r="B407" s="188"/>
      <c r="C407" s="188"/>
      <c r="D407" s="188"/>
      <c r="E407" s="188"/>
      <c r="F407" s="188"/>
      <c r="G407" s="188"/>
      <c r="H407" s="188"/>
      <c r="I407" s="188"/>
      <c r="J407" s="188"/>
      <c r="K407" s="188"/>
      <c r="L407" s="188"/>
      <c r="M407" s="188"/>
      <c r="N407" s="188"/>
      <c r="O407" s="188"/>
      <c r="P407" s="188"/>
      <c r="Q407" s="188"/>
      <c r="R407" s="188"/>
      <c r="S407" s="188"/>
      <c r="T407" s="188"/>
      <c r="U407" s="188"/>
      <c r="V407" s="188"/>
      <c r="W407" s="188"/>
      <c r="X407" s="188"/>
      <c r="Y407" s="188"/>
    </row>
    <row r="408" spans="1:25" ht="12.75" x14ac:dyDescent="0.2">
      <c r="A408" s="188"/>
      <c r="B408" s="188"/>
      <c r="C408" s="188"/>
      <c r="D408" s="188"/>
      <c r="E408" s="188"/>
      <c r="F408" s="188"/>
      <c r="G408" s="188"/>
      <c r="H408" s="188"/>
      <c r="I408" s="188"/>
      <c r="J408" s="188"/>
      <c r="K408" s="188"/>
      <c r="L408" s="188"/>
      <c r="M408" s="188"/>
      <c r="N408" s="188"/>
      <c r="O408" s="188"/>
      <c r="P408" s="188"/>
      <c r="Q408" s="188"/>
      <c r="R408" s="188"/>
      <c r="S408" s="188"/>
      <c r="T408" s="188"/>
      <c r="U408" s="188"/>
      <c r="V408" s="188"/>
      <c r="W408" s="188"/>
      <c r="X408" s="188"/>
      <c r="Y408" s="188"/>
    </row>
    <row r="409" spans="1:25" ht="12.75" x14ac:dyDescent="0.2">
      <c r="A409" s="188"/>
      <c r="B409" s="188"/>
      <c r="C409" s="188"/>
      <c r="D409" s="188"/>
      <c r="E409" s="188"/>
      <c r="F409" s="188"/>
      <c r="G409" s="188"/>
      <c r="H409" s="188"/>
      <c r="I409" s="188"/>
      <c r="J409" s="188"/>
      <c r="K409" s="188"/>
      <c r="L409" s="188"/>
      <c r="M409" s="188"/>
      <c r="N409" s="188"/>
      <c r="O409" s="188"/>
      <c r="P409" s="188"/>
      <c r="Q409" s="188"/>
      <c r="R409" s="188"/>
      <c r="S409" s="188"/>
      <c r="T409" s="188"/>
      <c r="U409" s="188"/>
      <c r="V409" s="188"/>
      <c r="W409" s="188"/>
      <c r="X409" s="188"/>
      <c r="Y409" s="188"/>
    </row>
    <row r="410" spans="1:25" ht="12.75" x14ac:dyDescent="0.2">
      <c r="A410" s="188"/>
      <c r="B410" s="188"/>
      <c r="C410" s="188"/>
      <c r="D410" s="188"/>
      <c r="E410" s="188"/>
      <c r="F410" s="188"/>
      <c r="G410" s="188"/>
      <c r="H410" s="188"/>
      <c r="I410" s="188"/>
      <c r="J410" s="188"/>
      <c r="K410" s="188"/>
      <c r="L410" s="188"/>
      <c r="M410" s="188"/>
      <c r="N410" s="188"/>
      <c r="O410" s="188"/>
      <c r="P410" s="188"/>
      <c r="Q410" s="188"/>
      <c r="R410" s="188"/>
      <c r="S410" s="188"/>
      <c r="T410" s="188"/>
      <c r="U410" s="188"/>
      <c r="V410" s="188"/>
      <c r="W410" s="188"/>
      <c r="X410" s="188"/>
      <c r="Y410" s="188"/>
    </row>
    <row r="411" spans="1:25" ht="12.75" x14ac:dyDescent="0.2">
      <c r="A411" s="188"/>
      <c r="B411" s="188"/>
      <c r="C411" s="188"/>
      <c r="D411" s="188"/>
      <c r="E411" s="188"/>
      <c r="F411" s="188"/>
      <c r="G411" s="188"/>
      <c r="H411" s="188"/>
      <c r="I411" s="188"/>
      <c r="J411" s="188"/>
      <c r="K411" s="188"/>
      <c r="L411" s="188"/>
      <c r="M411" s="188"/>
      <c r="N411" s="188"/>
      <c r="O411" s="188"/>
      <c r="P411" s="188"/>
      <c r="Q411" s="188"/>
      <c r="R411" s="188"/>
      <c r="S411" s="188"/>
      <c r="T411" s="188"/>
      <c r="U411" s="188"/>
      <c r="V411" s="188"/>
      <c r="W411" s="188"/>
      <c r="X411" s="188"/>
      <c r="Y411" s="188"/>
    </row>
    <row r="412" spans="1:25" ht="12.75" x14ac:dyDescent="0.2">
      <c r="A412" s="188"/>
      <c r="B412" s="188"/>
      <c r="C412" s="188"/>
      <c r="D412" s="188"/>
      <c r="E412" s="188"/>
      <c r="F412" s="188"/>
      <c r="G412" s="188"/>
      <c r="H412" s="188"/>
      <c r="I412" s="188"/>
      <c r="J412" s="188"/>
      <c r="K412" s="188"/>
      <c r="L412" s="188"/>
      <c r="M412" s="188"/>
      <c r="N412" s="188"/>
      <c r="O412" s="188"/>
      <c r="P412" s="188"/>
      <c r="Q412" s="188"/>
      <c r="R412" s="188"/>
      <c r="S412" s="188"/>
      <c r="T412" s="188"/>
      <c r="U412" s="188"/>
      <c r="V412" s="188"/>
      <c r="W412" s="188"/>
      <c r="X412" s="188"/>
      <c r="Y412" s="188"/>
    </row>
    <row r="413" spans="1:25" ht="12.75" x14ac:dyDescent="0.2">
      <c r="A413" s="188"/>
      <c r="B413" s="188"/>
      <c r="C413" s="188"/>
      <c r="D413" s="188"/>
      <c r="E413" s="188"/>
      <c r="F413" s="188"/>
      <c r="G413" s="188"/>
      <c r="H413" s="188"/>
      <c r="I413" s="188"/>
      <c r="J413" s="188"/>
      <c r="K413" s="188"/>
      <c r="L413" s="188"/>
      <c r="M413" s="188"/>
      <c r="N413" s="188"/>
      <c r="O413" s="188"/>
      <c r="P413" s="188"/>
      <c r="Q413" s="188"/>
      <c r="R413" s="188"/>
      <c r="S413" s="188"/>
      <c r="T413" s="188"/>
      <c r="U413" s="188"/>
      <c r="V413" s="188"/>
      <c r="W413" s="188"/>
      <c r="X413" s="188"/>
      <c r="Y413" s="188"/>
    </row>
    <row r="414" spans="1:25" ht="12.75" x14ac:dyDescent="0.2">
      <c r="A414" s="188"/>
      <c r="B414" s="188"/>
      <c r="C414" s="188"/>
      <c r="D414" s="188"/>
      <c r="E414" s="188"/>
      <c r="F414" s="188"/>
      <c r="G414" s="188"/>
      <c r="H414" s="188"/>
      <c r="I414" s="188"/>
      <c r="J414" s="188"/>
      <c r="K414" s="188"/>
      <c r="L414" s="188"/>
      <c r="M414" s="188"/>
      <c r="N414" s="188"/>
      <c r="O414" s="188"/>
      <c r="P414" s="188"/>
      <c r="Q414" s="188"/>
      <c r="R414" s="188"/>
      <c r="S414" s="188"/>
      <c r="T414" s="188"/>
      <c r="U414" s="188"/>
      <c r="V414" s="188"/>
      <c r="W414" s="188"/>
      <c r="X414" s="188"/>
      <c r="Y414" s="188"/>
    </row>
    <row r="415" spans="1:25" ht="12.75" x14ac:dyDescent="0.2">
      <c r="A415" s="188"/>
      <c r="B415" s="188"/>
      <c r="C415" s="188"/>
      <c r="D415" s="188"/>
      <c r="E415" s="188"/>
      <c r="F415" s="188"/>
      <c r="G415" s="188"/>
      <c r="H415" s="188"/>
      <c r="I415" s="188"/>
      <c r="J415" s="188"/>
      <c r="K415" s="188"/>
      <c r="L415" s="188"/>
      <c r="M415" s="188"/>
      <c r="N415" s="188"/>
      <c r="O415" s="188"/>
      <c r="P415" s="188"/>
      <c r="Q415" s="188"/>
      <c r="R415" s="188"/>
      <c r="S415" s="188"/>
      <c r="T415" s="188"/>
      <c r="U415" s="188"/>
      <c r="V415" s="188"/>
      <c r="W415" s="188"/>
      <c r="X415" s="188"/>
      <c r="Y415" s="188"/>
    </row>
    <row r="416" spans="1:25" ht="12.75" x14ac:dyDescent="0.2">
      <c r="A416" s="188"/>
      <c r="B416" s="188"/>
      <c r="C416" s="188"/>
      <c r="D416" s="188"/>
      <c r="E416" s="188"/>
      <c r="F416" s="188"/>
      <c r="G416" s="188"/>
      <c r="H416" s="188"/>
      <c r="I416" s="188"/>
      <c r="J416" s="188"/>
      <c r="K416" s="188"/>
      <c r="L416" s="188"/>
      <c r="M416" s="188"/>
      <c r="N416" s="188"/>
      <c r="O416" s="188"/>
      <c r="P416" s="188"/>
      <c r="Q416" s="188"/>
      <c r="R416" s="188"/>
      <c r="S416" s="188"/>
      <c r="T416" s="188"/>
      <c r="U416" s="188"/>
      <c r="V416" s="188"/>
      <c r="W416" s="188"/>
      <c r="X416" s="188"/>
      <c r="Y416" s="188"/>
    </row>
    <row r="417" spans="1:25" ht="12.75" x14ac:dyDescent="0.2">
      <c r="A417" s="188"/>
      <c r="B417" s="188"/>
      <c r="C417" s="188"/>
      <c r="D417" s="188"/>
      <c r="E417" s="188"/>
      <c r="F417" s="188"/>
      <c r="G417" s="188"/>
      <c r="H417" s="188"/>
      <c r="I417" s="188"/>
      <c r="J417" s="188"/>
      <c r="K417" s="188"/>
      <c r="L417" s="188"/>
      <c r="M417" s="188"/>
      <c r="N417" s="188"/>
      <c r="O417" s="188"/>
      <c r="P417" s="188"/>
      <c r="Q417" s="188"/>
      <c r="R417" s="188"/>
      <c r="S417" s="188"/>
      <c r="T417" s="188"/>
      <c r="U417" s="188"/>
      <c r="V417" s="188"/>
      <c r="W417" s="188"/>
      <c r="X417" s="188"/>
      <c r="Y417" s="188"/>
    </row>
    <row r="418" spans="1:25" ht="12.75" x14ac:dyDescent="0.2">
      <c r="A418" s="188"/>
      <c r="B418" s="188"/>
      <c r="C418" s="188"/>
      <c r="D418" s="188"/>
      <c r="E418" s="188"/>
      <c r="F418" s="188"/>
      <c r="G418" s="188"/>
      <c r="H418" s="188"/>
      <c r="I418" s="188"/>
      <c r="J418" s="188"/>
      <c r="K418" s="188"/>
      <c r="L418" s="188"/>
      <c r="M418" s="188"/>
      <c r="N418" s="188"/>
      <c r="O418" s="188"/>
      <c r="P418" s="188"/>
      <c r="Q418" s="188"/>
      <c r="R418" s="188"/>
      <c r="S418" s="188"/>
      <c r="T418" s="188"/>
      <c r="U418" s="188"/>
      <c r="V418" s="188"/>
      <c r="W418" s="188"/>
      <c r="X418" s="188"/>
      <c r="Y418" s="188"/>
    </row>
    <row r="419" spans="1:25" ht="12.75" x14ac:dyDescent="0.2">
      <c r="A419" s="188"/>
      <c r="B419" s="188"/>
      <c r="C419" s="188"/>
      <c r="D419" s="188"/>
      <c r="E419" s="188"/>
      <c r="F419" s="188"/>
      <c r="G419" s="188"/>
      <c r="H419" s="188"/>
      <c r="I419" s="188"/>
      <c r="J419" s="188"/>
      <c r="K419" s="188"/>
      <c r="L419" s="188"/>
      <c r="M419" s="188"/>
      <c r="N419" s="188"/>
      <c r="O419" s="188"/>
      <c r="P419" s="188"/>
      <c r="Q419" s="188"/>
      <c r="R419" s="188"/>
      <c r="S419" s="188"/>
      <c r="T419" s="188"/>
      <c r="U419" s="188"/>
      <c r="V419" s="188"/>
      <c r="W419" s="188"/>
      <c r="X419" s="188"/>
      <c r="Y419" s="188"/>
    </row>
    <row r="420" spans="1:25" ht="12.75" x14ac:dyDescent="0.2">
      <c r="A420" s="188"/>
      <c r="B420" s="188"/>
      <c r="C420" s="188"/>
      <c r="D420" s="188"/>
      <c r="E420" s="188"/>
      <c r="F420" s="188"/>
      <c r="G420" s="188"/>
      <c r="H420" s="188"/>
      <c r="I420" s="188"/>
      <c r="J420" s="188"/>
      <c r="K420" s="188"/>
      <c r="L420" s="188"/>
      <c r="M420" s="188"/>
      <c r="N420" s="188"/>
      <c r="O420" s="188"/>
      <c r="P420" s="188"/>
      <c r="Q420" s="188"/>
      <c r="R420" s="188"/>
      <c r="S420" s="188"/>
      <c r="T420" s="188"/>
      <c r="U420" s="188"/>
      <c r="V420" s="188"/>
      <c r="W420" s="188"/>
      <c r="X420" s="188"/>
      <c r="Y420" s="188"/>
    </row>
    <row r="421" spans="1:25" ht="12.75" x14ac:dyDescent="0.2">
      <c r="A421" s="188"/>
      <c r="B421" s="188"/>
      <c r="C421" s="188"/>
      <c r="D421" s="188"/>
      <c r="E421" s="188"/>
      <c r="F421" s="188"/>
      <c r="G421" s="188"/>
      <c r="H421" s="188"/>
      <c r="I421" s="188"/>
      <c r="J421" s="188"/>
      <c r="K421" s="188"/>
      <c r="L421" s="188"/>
      <c r="M421" s="188"/>
      <c r="N421" s="188"/>
      <c r="O421" s="188"/>
      <c r="P421" s="188"/>
      <c r="Q421" s="188"/>
      <c r="R421" s="188"/>
      <c r="S421" s="188"/>
      <c r="T421" s="188"/>
      <c r="U421" s="188"/>
      <c r="V421" s="188"/>
      <c r="W421" s="188"/>
      <c r="X421" s="188"/>
      <c r="Y421" s="188"/>
    </row>
    <row r="422" spans="1:25" ht="12.75" x14ac:dyDescent="0.2">
      <c r="A422" s="188"/>
      <c r="B422" s="188"/>
      <c r="C422" s="188"/>
      <c r="D422" s="188"/>
      <c r="E422" s="188"/>
      <c r="F422" s="188"/>
      <c r="G422" s="188"/>
      <c r="H422" s="188"/>
      <c r="I422" s="188"/>
      <c r="J422" s="188"/>
      <c r="K422" s="188"/>
      <c r="L422" s="188"/>
      <c r="M422" s="188"/>
      <c r="N422" s="188"/>
      <c r="O422" s="188"/>
      <c r="P422" s="188"/>
      <c r="Q422" s="188"/>
      <c r="R422" s="188"/>
      <c r="S422" s="188"/>
      <c r="T422" s="188"/>
      <c r="U422" s="188"/>
      <c r="V422" s="188"/>
      <c r="W422" s="188"/>
      <c r="X422" s="188"/>
      <c r="Y422" s="188"/>
    </row>
    <row r="423" spans="1:25" ht="12.75" x14ac:dyDescent="0.2">
      <c r="A423" s="188"/>
      <c r="B423" s="188"/>
      <c r="C423" s="188"/>
      <c r="D423" s="188"/>
      <c r="E423" s="188"/>
      <c r="F423" s="188"/>
      <c r="G423" s="188"/>
      <c r="H423" s="188"/>
      <c r="I423" s="188"/>
      <c r="J423" s="188"/>
      <c r="K423" s="188"/>
      <c r="L423" s="188"/>
      <c r="M423" s="188"/>
      <c r="N423" s="188"/>
      <c r="O423" s="188"/>
      <c r="P423" s="188"/>
      <c r="Q423" s="188"/>
      <c r="R423" s="188"/>
      <c r="S423" s="188"/>
      <c r="T423" s="188"/>
      <c r="U423" s="188"/>
      <c r="V423" s="188"/>
      <c r="W423" s="188"/>
      <c r="X423" s="188"/>
      <c r="Y423" s="188"/>
    </row>
    <row r="424" spans="1:25" ht="12.75" x14ac:dyDescent="0.2">
      <c r="A424" s="188"/>
      <c r="B424" s="188"/>
      <c r="C424" s="188"/>
      <c r="D424" s="188"/>
      <c r="E424" s="188"/>
      <c r="F424" s="188"/>
      <c r="G424" s="188"/>
      <c r="H424" s="188"/>
      <c r="I424" s="188"/>
      <c r="J424" s="188"/>
      <c r="K424" s="188"/>
      <c r="L424" s="188"/>
      <c r="M424" s="188"/>
      <c r="N424" s="188"/>
      <c r="O424" s="188"/>
      <c r="P424" s="188"/>
      <c r="Q424" s="188"/>
      <c r="R424" s="188"/>
      <c r="S424" s="188"/>
      <c r="T424" s="188"/>
      <c r="U424" s="188"/>
      <c r="V424" s="188"/>
      <c r="W424" s="188"/>
      <c r="X424" s="188"/>
      <c r="Y424" s="188"/>
    </row>
    <row r="425" spans="1:25" ht="12.75" x14ac:dyDescent="0.2">
      <c r="A425" s="188"/>
      <c r="B425" s="188"/>
      <c r="C425" s="188"/>
      <c r="D425" s="188"/>
      <c r="E425" s="188"/>
      <c r="F425" s="188"/>
      <c r="G425" s="188"/>
      <c r="H425" s="188"/>
      <c r="I425" s="188"/>
      <c r="J425" s="188"/>
      <c r="K425" s="188"/>
      <c r="L425" s="188"/>
      <c r="M425" s="188"/>
      <c r="N425" s="188"/>
      <c r="O425" s="188"/>
      <c r="P425" s="188"/>
      <c r="Q425" s="188"/>
      <c r="R425" s="188"/>
      <c r="S425" s="188"/>
      <c r="T425" s="188"/>
      <c r="U425" s="188"/>
      <c r="V425" s="188"/>
      <c r="W425" s="188"/>
      <c r="X425" s="188"/>
      <c r="Y425" s="188"/>
    </row>
    <row r="426" spans="1:25" ht="12.75" x14ac:dyDescent="0.2">
      <c r="A426" s="188"/>
      <c r="B426" s="188"/>
      <c r="C426" s="188"/>
      <c r="D426" s="188"/>
      <c r="E426" s="188"/>
      <c r="F426" s="188"/>
      <c r="G426" s="188"/>
      <c r="H426" s="188"/>
      <c r="I426" s="188"/>
      <c r="J426" s="188"/>
      <c r="K426" s="188"/>
      <c r="L426" s="188"/>
      <c r="M426" s="188"/>
      <c r="N426" s="188"/>
      <c r="O426" s="188"/>
      <c r="P426" s="188"/>
      <c r="Q426" s="188"/>
      <c r="R426" s="188"/>
      <c r="S426" s="188"/>
      <c r="T426" s="188"/>
      <c r="U426" s="188"/>
      <c r="V426" s="188"/>
      <c r="W426" s="188"/>
      <c r="X426" s="188"/>
      <c r="Y426" s="188"/>
    </row>
    <row r="427" spans="1:25" ht="12.75" x14ac:dyDescent="0.2">
      <c r="A427" s="188"/>
      <c r="B427" s="188"/>
      <c r="C427" s="188"/>
      <c r="D427" s="188"/>
      <c r="E427" s="188"/>
      <c r="F427" s="188"/>
      <c r="G427" s="188"/>
      <c r="H427" s="188"/>
      <c r="I427" s="188"/>
      <c r="J427" s="188"/>
      <c r="K427" s="188"/>
      <c r="L427" s="188"/>
      <c r="M427" s="188"/>
      <c r="N427" s="188"/>
      <c r="O427" s="188"/>
      <c r="P427" s="188"/>
      <c r="Q427" s="188"/>
      <c r="R427" s="188"/>
      <c r="S427" s="188"/>
      <c r="T427" s="188"/>
      <c r="U427" s="188"/>
      <c r="V427" s="188"/>
      <c r="W427" s="188"/>
      <c r="X427" s="188"/>
      <c r="Y427" s="188"/>
    </row>
    <row r="428" spans="1:25" ht="12.75" x14ac:dyDescent="0.2">
      <c r="A428" s="188"/>
      <c r="B428" s="188"/>
      <c r="C428" s="188"/>
      <c r="D428" s="188"/>
      <c r="E428" s="188"/>
      <c r="F428" s="188"/>
      <c r="G428" s="188"/>
      <c r="H428" s="188"/>
      <c r="I428" s="188"/>
      <c r="J428" s="188"/>
      <c r="K428" s="188"/>
      <c r="L428" s="188"/>
      <c r="M428" s="188"/>
      <c r="N428" s="188"/>
      <c r="O428" s="188"/>
      <c r="P428" s="188"/>
      <c r="Q428" s="188"/>
      <c r="R428" s="188"/>
      <c r="S428" s="188"/>
      <c r="T428" s="188"/>
      <c r="U428" s="188"/>
      <c r="V428" s="188"/>
      <c r="W428" s="188"/>
      <c r="X428" s="188"/>
      <c r="Y428" s="188"/>
    </row>
    <row r="429" spans="1:25" ht="12.75" x14ac:dyDescent="0.2">
      <c r="A429" s="188"/>
      <c r="B429" s="188"/>
      <c r="C429" s="188"/>
      <c r="D429" s="188"/>
      <c r="E429" s="188"/>
      <c r="F429" s="188"/>
      <c r="G429" s="188"/>
      <c r="H429" s="188"/>
      <c r="I429" s="188"/>
      <c r="J429" s="188"/>
      <c r="K429" s="188"/>
      <c r="L429" s="188"/>
      <c r="M429" s="188"/>
      <c r="N429" s="188"/>
      <c r="O429" s="188"/>
      <c r="P429" s="188"/>
      <c r="Q429" s="188"/>
      <c r="R429" s="188"/>
      <c r="S429" s="188"/>
      <c r="T429" s="188"/>
      <c r="U429" s="188"/>
      <c r="V429" s="188"/>
      <c r="W429" s="188"/>
      <c r="X429" s="188"/>
      <c r="Y429" s="188"/>
    </row>
    <row r="430" spans="1:25" ht="12.75" x14ac:dyDescent="0.2">
      <c r="A430" s="188"/>
      <c r="B430" s="188"/>
      <c r="C430" s="188"/>
      <c r="D430" s="188"/>
      <c r="E430" s="188"/>
      <c r="F430" s="188"/>
      <c r="G430" s="188"/>
      <c r="H430" s="188"/>
      <c r="I430" s="188"/>
      <c r="J430" s="188"/>
      <c r="K430" s="188"/>
      <c r="L430" s="188"/>
      <c r="M430" s="188"/>
      <c r="N430" s="188"/>
      <c r="O430" s="188"/>
      <c r="P430" s="188"/>
      <c r="Q430" s="188"/>
      <c r="R430" s="188"/>
      <c r="S430" s="188"/>
      <c r="T430" s="188"/>
      <c r="U430" s="188"/>
      <c r="V430" s="188"/>
      <c r="W430" s="188"/>
      <c r="X430" s="188"/>
      <c r="Y430" s="188"/>
    </row>
    <row r="431" spans="1:25" ht="12.75" x14ac:dyDescent="0.2">
      <c r="A431" s="188"/>
      <c r="B431" s="188"/>
      <c r="C431" s="188"/>
      <c r="D431" s="188"/>
      <c r="E431" s="188"/>
      <c r="F431" s="188"/>
      <c r="G431" s="188"/>
      <c r="H431" s="188"/>
      <c r="I431" s="188"/>
      <c r="J431" s="188"/>
      <c r="K431" s="188"/>
      <c r="L431" s="188"/>
      <c r="M431" s="188"/>
      <c r="N431" s="188"/>
      <c r="O431" s="188"/>
      <c r="P431" s="188"/>
      <c r="Q431" s="188"/>
      <c r="R431" s="188"/>
      <c r="S431" s="188"/>
      <c r="T431" s="188"/>
      <c r="U431" s="188"/>
      <c r="V431" s="188"/>
      <c r="W431" s="188"/>
      <c r="X431" s="188"/>
      <c r="Y431" s="188"/>
    </row>
    <row r="432" spans="1:25" ht="12.75" x14ac:dyDescent="0.2">
      <c r="A432" s="188"/>
      <c r="B432" s="188"/>
      <c r="C432" s="188"/>
      <c r="D432" s="188"/>
      <c r="E432" s="188"/>
      <c r="F432" s="188"/>
      <c r="G432" s="188"/>
      <c r="H432" s="188"/>
      <c r="I432" s="188"/>
      <c r="J432" s="188"/>
      <c r="K432" s="188"/>
      <c r="L432" s="188"/>
      <c r="M432" s="188"/>
      <c r="N432" s="188"/>
      <c r="O432" s="188"/>
      <c r="P432" s="188"/>
      <c r="Q432" s="188"/>
      <c r="R432" s="188"/>
      <c r="S432" s="188"/>
      <c r="T432" s="188"/>
      <c r="U432" s="188"/>
      <c r="V432" s="188"/>
      <c r="W432" s="188"/>
      <c r="X432" s="188"/>
      <c r="Y432" s="188"/>
    </row>
    <row r="433" spans="1:25" ht="12.75" x14ac:dyDescent="0.2">
      <c r="A433" s="188"/>
      <c r="B433" s="188"/>
      <c r="C433" s="188"/>
      <c r="D433" s="188"/>
      <c r="E433" s="188"/>
      <c r="F433" s="188"/>
      <c r="G433" s="188"/>
      <c r="H433" s="188"/>
      <c r="I433" s="188"/>
      <c r="J433" s="188"/>
      <c r="K433" s="188"/>
      <c r="L433" s="188"/>
      <c r="M433" s="188"/>
      <c r="N433" s="188"/>
      <c r="O433" s="188"/>
      <c r="P433" s="188"/>
      <c r="Q433" s="188"/>
      <c r="R433" s="188"/>
      <c r="S433" s="188"/>
      <c r="T433" s="188"/>
      <c r="U433" s="188"/>
      <c r="V433" s="188"/>
      <c r="W433" s="188"/>
      <c r="X433" s="188"/>
      <c r="Y433" s="188"/>
    </row>
    <row r="434" spans="1:25" ht="12.75" x14ac:dyDescent="0.2">
      <c r="A434" s="188"/>
      <c r="B434" s="188"/>
      <c r="C434" s="188"/>
      <c r="D434" s="188"/>
      <c r="E434" s="188"/>
      <c r="F434" s="188"/>
      <c r="G434" s="188"/>
      <c r="H434" s="188"/>
      <c r="I434" s="188"/>
      <c r="J434" s="188"/>
      <c r="K434" s="188"/>
      <c r="L434" s="188"/>
      <c r="M434" s="188"/>
      <c r="N434" s="188"/>
      <c r="O434" s="188"/>
      <c r="P434" s="188"/>
      <c r="Q434" s="188"/>
      <c r="R434" s="188"/>
      <c r="S434" s="188"/>
      <c r="T434" s="188"/>
      <c r="U434" s="188"/>
      <c r="V434" s="188"/>
      <c r="W434" s="188"/>
      <c r="X434" s="188"/>
      <c r="Y434" s="188"/>
    </row>
    <row r="435" spans="1:25" ht="12.75" x14ac:dyDescent="0.2">
      <c r="A435" s="188"/>
      <c r="B435" s="188"/>
      <c r="C435" s="188"/>
      <c r="D435" s="188"/>
      <c r="E435" s="188"/>
      <c r="F435" s="188"/>
      <c r="G435" s="188"/>
      <c r="H435" s="188"/>
      <c r="I435" s="188"/>
      <c r="J435" s="188"/>
      <c r="K435" s="188"/>
      <c r="L435" s="188"/>
      <c r="M435" s="188"/>
      <c r="N435" s="188"/>
      <c r="O435" s="188"/>
      <c r="P435" s="188"/>
      <c r="Q435" s="188"/>
      <c r="R435" s="188"/>
      <c r="S435" s="188"/>
      <c r="T435" s="188"/>
      <c r="U435" s="188"/>
      <c r="V435" s="188"/>
      <c r="W435" s="188"/>
      <c r="X435" s="188"/>
      <c r="Y435" s="188"/>
    </row>
    <row r="436" spans="1:25" ht="12.75" x14ac:dyDescent="0.2">
      <c r="A436" s="188"/>
      <c r="B436" s="188"/>
      <c r="C436" s="188"/>
      <c r="D436" s="188"/>
      <c r="E436" s="188"/>
      <c r="F436" s="188"/>
      <c r="G436" s="188"/>
      <c r="H436" s="188"/>
      <c r="I436" s="188"/>
      <c r="J436" s="188"/>
      <c r="K436" s="188"/>
      <c r="L436" s="188"/>
      <c r="M436" s="188"/>
      <c r="N436" s="188"/>
      <c r="O436" s="188"/>
      <c r="P436" s="188"/>
      <c r="Q436" s="188"/>
      <c r="R436" s="188"/>
      <c r="S436" s="188"/>
      <c r="T436" s="188"/>
      <c r="U436" s="188"/>
      <c r="V436" s="188"/>
      <c r="W436" s="188"/>
      <c r="X436" s="188"/>
      <c r="Y436" s="188"/>
    </row>
    <row r="437" spans="1:25" ht="12.75" x14ac:dyDescent="0.2">
      <c r="A437" s="188"/>
      <c r="B437" s="188"/>
      <c r="C437" s="188"/>
      <c r="D437" s="188"/>
      <c r="E437" s="188"/>
      <c r="F437" s="188"/>
      <c r="G437" s="188"/>
      <c r="H437" s="188"/>
      <c r="I437" s="188"/>
      <c r="J437" s="188"/>
      <c r="K437" s="188"/>
      <c r="L437" s="188"/>
      <c r="M437" s="188"/>
      <c r="N437" s="188"/>
      <c r="O437" s="188"/>
      <c r="P437" s="188"/>
      <c r="Q437" s="188"/>
      <c r="R437" s="188"/>
      <c r="S437" s="188"/>
      <c r="T437" s="188"/>
      <c r="U437" s="188"/>
      <c r="V437" s="188"/>
      <c r="W437" s="188"/>
      <c r="X437" s="188"/>
      <c r="Y437" s="188"/>
    </row>
    <row r="438" spans="1:25" ht="12.75" x14ac:dyDescent="0.2">
      <c r="A438" s="188"/>
      <c r="B438" s="188"/>
      <c r="C438" s="188"/>
      <c r="D438" s="188"/>
      <c r="E438" s="188"/>
      <c r="F438" s="188"/>
      <c r="G438" s="188"/>
      <c r="H438" s="188"/>
      <c r="I438" s="188"/>
      <c r="J438" s="188"/>
      <c r="K438" s="188"/>
      <c r="L438" s="188"/>
      <c r="M438" s="188"/>
      <c r="N438" s="188"/>
      <c r="O438" s="188"/>
      <c r="P438" s="188"/>
      <c r="Q438" s="188"/>
      <c r="R438" s="188"/>
      <c r="S438" s="188"/>
      <c r="T438" s="188"/>
      <c r="U438" s="188"/>
      <c r="V438" s="188"/>
      <c r="W438" s="188"/>
      <c r="X438" s="188"/>
      <c r="Y438" s="188"/>
    </row>
    <row r="439" spans="1:25" ht="12.75" x14ac:dyDescent="0.2">
      <c r="A439" s="188"/>
      <c r="B439" s="188"/>
      <c r="C439" s="188"/>
      <c r="D439" s="188"/>
      <c r="E439" s="188"/>
      <c r="F439" s="188"/>
      <c r="G439" s="188"/>
      <c r="H439" s="188"/>
      <c r="I439" s="188"/>
      <c r="J439" s="188"/>
      <c r="K439" s="188"/>
      <c r="L439" s="188"/>
      <c r="M439" s="188"/>
      <c r="N439" s="188"/>
      <c r="O439" s="188"/>
      <c r="P439" s="188"/>
      <c r="Q439" s="188"/>
      <c r="R439" s="188"/>
      <c r="S439" s="188"/>
      <c r="T439" s="188"/>
      <c r="U439" s="188"/>
      <c r="V439" s="188"/>
      <c r="W439" s="188"/>
      <c r="X439" s="188"/>
      <c r="Y439" s="188"/>
    </row>
    <row r="440" spans="1:25" ht="12.75" x14ac:dyDescent="0.2">
      <c r="A440" s="188"/>
      <c r="B440" s="188"/>
      <c r="C440" s="188"/>
      <c r="D440" s="541"/>
      <c r="E440" s="188"/>
      <c r="F440" s="188"/>
      <c r="G440" s="188"/>
      <c r="H440" s="188"/>
      <c r="I440" s="188"/>
      <c r="J440" s="188"/>
      <c r="K440" s="188"/>
      <c r="L440" s="188"/>
      <c r="M440" s="188"/>
      <c r="N440" s="188"/>
      <c r="O440" s="188"/>
      <c r="P440" s="188"/>
      <c r="Q440" s="188"/>
      <c r="R440" s="188"/>
      <c r="S440" s="188"/>
      <c r="T440" s="188"/>
      <c r="U440" s="188"/>
      <c r="V440" s="188"/>
      <c r="W440" s="188"/>
      <c r="X440" s="188"/>
      <c r="Y440" s="188"/>
    </row>
    <row r="441" spans="1:25" ht="12.75" x14ac:dyDescent="0.2">
      <c r="A441" s="188"/>
      <c r="B441" s="188"/>
      <c r="C441" s="188"/>
      <c r="D441" s="188"/>
      <c r="E441" s="188"/>
      <c r="F441" s="188"/>
      <c r="G441" s="188"/>
      <c r="H441" s="188"/>
      <c r="I441" s="188"/>
      <c r="J441" s="188"/>
      <c r="K441" s="188"/>
      <c r="L441" s="188"/>
      <c r="M441" s="188"/>
      <c r="N441" s="188"/>
      <c r="O441" s="188"/>
      <c r="P441" s="188"/>
      <c r="Q441" s="188"/>
      <c r="R441" s="188"/>
      <c r="S441" s="188"/>
      <c r="T441" s="188"/>
      <c r="U441" s="188"/>
      <c r="V441" s="188"/>
      <c r="W441" s="188"/>
      <c r="X441" s="188"/>
      <c r="Y441" s="188"/>
    </row>
    <row r="442" spans="1:25" ht="12.75" x14ac:dyDescent="0.2">
      <c r="A442" s="188"/>
      <c r="B442" s="188"/>
      <c r="C442" s="188"/>
      <c r="D442" s="188"/>
      <c r="E442" s="188"/>
      <c r="F442" s="188"/>
      <c r="G442" s="188"/>
      <c r="H442" s="188"/>
      <c r="I442" s="188"/>
      <c r="J442" s="188"/>
      <c r="K442" s="188"/>
      <c r="L442" s="188"/>
      <c r="M442" s="188"/>
      <c r="N442" s="188"/>
      <c r="O442" s="188"/>
      <c r="P442" s="188"/>
      <c r="Q442" s="188"/>
      <c r="R442" s="188"/>
      <c r="S442" s="188"/>
      <c r="T442" s="188"/>
      <c r="U442" s="188"/>
      <c r="V442" s="188"/>
      <c r="W442" s="188"/>
      <c r="X442" s="188"/>
      <c r="Y442" s="188"/>
    </row>
    <row r="443" spans="1:25" ht="12.75" x14ac:dyDescent="0.2">
      <c r="A443" s="188"/>
      <c r="B443" s="188"/>
      <c r="C443" s="188"/>
      <c r="D443" s="188"/>
      <c r="E443" s="188"/>
      <c r="F443" s="188"/>
      <c r="G443" s="188"/>
      <c r="H443" s="188"/>
      <c r="I443" s="188"/>
      <c r="J443" s="188"/>
      <c r="K443" s="188"/>
      <c r="L443" s="188"/>
      <c r="M443" s="188"/>
      <c r="N443" s="188"/>
      <c r="O443" s="188"/>
      <c r="P443" s="188"/>
      <c r="Q443" s="188"/>
      <c r="R443" s="188"/>
      <c r="S443" s="188"/>
      <c r="T443" s="188"/>
      <c r="U443" s="188"/>
      <c r="V443" s="188"/>
      <c r="W443" s="188"/>
      <c r="X443" s="188"/>
      <c r="Y443" s="188"/>
    </row>
    <row r="444" spans="1:25" ht="12.75" x14ac:dyDescent="0.2">
      <c r="A444" s="188"/>
      <c r="B444" s="188"/>
      <c r="C444" s="188"/>
      <c r="D444" s="188"/>
      <c r="E444" s="188"/>
      <c r="F444" s="188"/>
      <c r="G444" s="188"/>
      <c r="H444" s="188"/>
      <c r="I444" s="188"/>
      <c r="J444" s="188"/>
      <c r="K444" s="188"/>
      <c r="L444" s="188"/>
      <c r="M444" s="188"/>
      <c r="N444" s="188"/>
      <c r="O444" s="188"/>
      <c r="P444" s="188"/>
      <c r="Q444" s="188"/>
      <c r="R444" s="188"/>
      <c r="S444" s="188"/>
      <c r="T444" s="188"/>
      <c r="U444" s="188"/>
      <c r="V444" s="188"/>
      <c r="W444" s="188"/>
      <c r="X444" s="188"/>
      <c r="Y444" s="188"/>
    </row>
    <row r="445" spans="1:25" ht="12.75" x14ac:dyDescent="0.2">
      <c r="A445" s="188"/>
      <c r="B445" s="188"/>
      <c r="C445" s="188"/>
      <c r="D445" s="188"/>
      <c r="E445" s="188"/>
      <c r="F445" s="188"/>
      <c r="G445" s="188"/>
      <c r="H445" s="188"/>
      <c r="I445" s="188"/>
      <c r="J445" s="188"/>
      <c r="K445" s="188"/>
      <c r="L445" s="188"/>
      <c r="M445" s="188"/>
      <c r="N445" s="188"/>
      <c r="O445" s="188"/>
      <c r="P445" s="188"/>
      <c r="Q445" s="188"/>
      <c r="R445" s="188"/>
      <c r="S445" s="188"/>
      <c r="T445" s="188"/>
      <c r="U445" s="188"/>
      <c r="V445" s="188"/>
      <c r="W445" s="188"/>
      <c r="X445" s="188"/>
      <c r="Y445" s="188"/>
    </row>
    <row r="446" spans="1:25" ht="12.75" x14ac:dyDescent="0.2">
      <c r="A446" s="188"/>
      <c r="B446" s="188"/>
      <c r="C446" s="188"/>
      <c r="D446" s="188"/>
      <c r="E446" s="188"/>
      <c r="F446" s="188"/>
      <c r="G446" s="188"/>
      <c r="H446" s="188"/>
      <c r="I446" s="188"/>
      <c r="J446" s="188"/>
      <c r="K446" s="188"/>
      <c r="L446" s="188"/>
      <c r="M446" s="188"/>
      <c r="N446" s="188"/>
      <c r="O446" s="188"/>
      <c r="P446" s="188"/>
      <c r="Q446" s="188"/>
      <c r="R446" s="188"/>
      <c r="S446" s="188"/>
      <c r="T446" s="188"/>
      <c r="U446" s="188"/>
      <c r="V446" s="188"/>
      <c r="W446" s="188"/>
      <c r="X446" s="188"/>
      <c r="Y446" s="188"/>
    </row>
    <row r="447" spans="1:25" ht="12.75" x14ac:dyDescent="0.2">
      <c r="A447" s="188"/>
      <c r="B447" s="188"/>
      <c r="C447" s="188"/>
      <c r="D447" s="188"/>
      <c r="E447" s="188"/>
      <c r="F447" s="188"/>
      <c r="G447" s="188"/>
      <c r="H447" s="188"/>
      <c r="I447" s="188"/>
      <c r="J447" s="188"/>
      <c r="K447" s="188"/>
      <c r="L447" s="188"/>
      <c r="M447" s="188"/>
      <c r="N447" s="188"/>
      <c r="O447" s="188"/>
      <c r="P447" s="188"/>
      <c r="Q447" s="188"/>
      <c r="R447" s="188"/>
      <c r="S447" s="188"/>
      <c r="T447" s="188"/>
      <c r="U447" s="188"/>
      <c r="V447" s="188"/>
      <c r="W447" s="188"/>
      <c r="X447" s="188"/>
      <c r="Y447" s="188"/>
    </row>
    <row r="448" spans="1:25" ht="12.75" x14ac:dyDescent="0.2">
      <c r="A448" s="188"/>
      <c r="B448" s="188"/>
      <c r="C448" s="188"/>
      <c r="D448" s="188"/>
      <c r="E448" s="188"/>
      <c r="F448" s="188"/>
      <c r="G448" s="188"/>
      <c r="H448" s="188"/>
      <c r="I448" s="188"/>
      <c r="J448" s="188"/>
      <c r="K448" s="188"/>
      <c r="L448" s="188"/>
      <c r="M448" s="188"/>
      <c r="N448" s="188"/>
      <c r="O448" s="188"/>
      <c r="P448" s="188"/>
      <c r="Q448" s="188"/>
      <c r="R448" s="188"/>
      <c r="S448" s="188"/>
      <c r="T448" s="188"/>
      <c r="U448" s="188"/>
      <c r="V448" s="188"/>
      <c r="W448" s="188"/>
      <c r="X448" s="188"/>
      <c r="Y448" s="188"/>
    </row>
    <row r="449" spans="1:25" ht="12.75" x14ac:dyDescent="0.2">
      <c r="A449" s="188"/>
      <c r="B449" s="188"/>
      <c r="C449" s="188"/>
      <c r="D449" s="188"/>
      <c r="E449" s="188"/>
      <c r="F449" s="188"/>
      <c r="G449" s="188"/>
      <c r="H449" s="188"/>
      <c r="I449" s="188"/>
      <c r="J449" s="188"/>
      <c r="K449" s="188"/>
      <c r="L449" s="188"/>
      <c r="M449" s="188"/>
      <c r="N449" s="188"/>
      <c r="O449" s="188"/>
      <c r="P449" s="188"/>
      <c r="Q449" s="188"/>
      <c r="R449" s="188"/>
      <c r="S449" s="188"/>
      <c r="T449" s="188"/>
      <c r="U449" s="188"/>
      <c r="V449" s="188"/>
      <c r="W449" s="188"/>
      <c r="X449" s="188"/>
      <c r="Y449" s="188"/>
    </row>
    <row r="450" spans="1:25" ht="12.75" x14ac:dyDescent="0.2">
      <c r="A450" s="188"/>
      <c r="B450" s="188"/>
      <c r="C450" s="188"/>
      <c r="D450" s="188"/>
      <c r="E450" s="188"/>
      <c r="F450" s="188"/>
      <c r="G450" s="188"/>
      <c r="H450" s="188"/>
      <c r="I450" s="188"/>
      <c r="J450" s="188"/>
      <c r="K450" s="188"/>
      <c r="L450" s="188"/>
      <c r="M450" s="188"/>
      <c r="N450" s="188"/>
      <c r="O450" s="188"/>
      <c r="P450" s="188"/>
      <c r="Q450" s="188"/>
      <c r="R450" s="188"/>
      <c r="S450" s="188"/>
      <c r="T450" s="188"/>
      <c r="U450" s="188"/>
      <c r="V450" s="188"/>
      <c r="W450" s="188"/>
      <c r="X450" s="188"/>
      <c r="Y450" s="188"/>
    </row>
    <row r="451" spans="1:25" ht="12.75" x14ac:dyDescent="0.2">
      <c r="A451" s="188"/>
      <c r="B451" s="188"/>
      <c r="C451" s="188"/>
      <c r="D451" s="188"/>
      <c r="E451" s="188"/>
      <c r="F451" s="188"/>
      <c r="G451" s="188"/>
      <c r="H451" s="188"/>
      <c r="I451" s="188"/>
      <c r="J451" s="188"/>
      <c r="K451" s="188"/>
      <c r="L451" s="188"/>
      <c r="M451" s="188"/>
      <c r="N451" s="188"/>
      <c r="O451" s="188"/>
      <c r="P451" s="188"/>
      <c r="Q451" s="188"/>
      <c r="R451" s="188"/>
      <c r="S451" s="188"/>
      <c r="T451" s="188"/>
      <c r="U451" s="188"/>
      <c r="V451" s="188"/>
      <c r="W451" s="188"/>
      <c r="X451" s="188"/>
      <c r="Y451" s="188"/>
    </row>
    <row r="452" spans="1:25" ht="12.75" x14ac:dyDescent="0.2">
      <c r="A452" s="188"/>
      <c r="B452" s="188"/>
      <c r="C452" s="188"/>
      <c r="D452" s="188"/>
      <c r="E452" s="188"/>
      <c r="F452" s="188"/>
      <c r="G452" s="188"/>
      <c r="H452" s="188"/>
      <c r="I452" s="188"/>
      <c r="J452" s="188"/>
      <c r="K452" s="188"/>
      <c r="L452" s="188"/>
      <c r="M452" s="188"/>
      <c r="N452" s="188"/>
      <c r="O452" s="188"/>
      <c r="P452" s="188"/>
      <c r="Q452" s="188"/>
      <c r="R452" s="188"/>
      <c r="S452" s="188"/>
      <c r="T452" s="188"/>
      <c r="U452" s="188"/>
      <c r="V452" s="188"/>
      <c r="W452" s="188"/>
      <c r="X452" s="188"/>
      <c r="Y452" s="188"/>
    </row>
    <row r="453" spans="1:25" ht="12.75" x14ac:dyDescent="0.2">
      <c r="A453" s="188"/>
      <c r="B453" s="188"/>
      <c r="C453" s="188"/>
      <c r="D453" s="188"/>
      <c r="E453" s="188"/>
      <c r="F453" s="188"/>
      <c r="G453" s="188"/>
      <c r="H453" s="188"/>
      <c r="I453" s="188"/>
      <c r="J453" s="188"/>
      <c r="K453" s="188"/>
      <c r="L453" s="188"/>
      <c r="M453" s="188"/>
      <c r="N453" s="188"/>
      <c r="O453" s="188"/>
      <c r="P453" s="188"/>
      <c r="Q453" s="188"/>
      <c r="R453" s="188"/>
      <c r="S453" s="188"/>
      <c r="T453" s="188"/>
      <c r="U453" s="188"/>
      <c r="V453" s="188"/>
      <c r="W453" s="188"/>
      <c r="X453" s="188"/>
      <c r="Y453" s="188"/>
    </row>
    <row r="454" spans="1:25" ht="12.75" x14ac:dyDescent="0.2">
      <c r="A454" s="188"/>
      <c r="B454" s="188"/>
      <c r="C454" s="188"/>
      <c r="D454" s="188"/>
      <c r="E454" s="188"/>
      <c r="F454" s="188"/>
      <c r="G454" s="188"/>
      <c r="H454" s="188"/>
      <c r="I454" s="188"/>
      <c r="J454" s="188"/>
      <c r="K454" s="188"/>
      <c r="L454" s="188"/>
      <c r="M454" s="188"/>
      <c r="N454" s="188"/>
      <c r="O454" s="188"/>
      <c r="P454" s="188"/>
      <c r="Q454" s="188"/>
      <c r="R454" s="188"/>
      <c r="S454" s="188"/>
      <c r="T454" s="188"/>
      <c r="U454" s="188"/>
      <c r="V454" s="188"/>
      <c r="W454" s="188"/>
      <c r="X454" s="188"/>
      <c r="Y454" s="188"/>
    </row>
    <row r="455" spans="1:25" ht="12.75" x14ac:dyDescent="0.2">
      <c r="A455" s="188"/>
      <c r="B455" s="188"/>
      <c r="C455" s="188"/>
      <c r="D455" s="188"/>
      <c r="E455" s="188"/>
      <c r="F455" s="188"/>
      <c r="G455" s="188"/>
      <c r="H455" s="188"/>
      <c r="I455" s="188"/>
      <c r="J455" s="188"/>
      <c r="K455" s="188"/>
      <c r="L455" s="188"/>
      <c r="M455" s="188"/>
      <c r="N455" s="188"/>
      <c r="O455" s="188"/>
      <c r="P455" s="188"/>
      <c r="Q455" s="188"/>
      <c r="R455" s="188"/>
      <c r="S455" s="188"/>
      <c r="T455" s="188"/>
      <c r="U455" s="188"/>
      <c r="V455" s="188"/>
      <c r="W455" s="188"/>
      <c r="X455" s="188"/>
      <c r="Y455" s="188"/>
    </row>
    <row r="456" spans="1:25" ht="12.75" x14ac:dyDescent="0.2">
      <c r="A456" s="188"/>
      <c r="B456" s="188"/>
      <c r="C456" s="188"/>
      <c r="D456" s="188"/>
      <c r="E456" s="188"/>
      <c r="F456" s="188"/>
      <c r="G456" s="188"/>
      <c r="H456" s="188"/>
      <c r="I456" s="188"/>
      <c r="J456" s="188"/>
      <c r="K456" s="188"/>
      <c r="L456" s="188"/>
      <c r="M456" s="188"/>
      <c r="N456" s="188"/>
      <c r="O456" s="188"/>
      <c r="P456" s="188"/>
      <c r="Q456" s="188"/>
      <c r="R456" s="188"/>
      <c r="S456" s="188"/>
      <c r="T456" s="188"/>
      <c r="U456" s="188"/>
      <c r="V456" s="188"/>
      <c r="W456" s="188"/>
      <c r="X456" s="188"/>
      <c r="Y456" s="188"/>
    </row>
    <row r="457" spans="1:25" ht="12.75" x14ac:dyDescent="0.2">
      <c r="A457" s="188"/>
      <c r="B457" s="188"/>
      <c r="C457" s="188"/>
      <c r="D457" s="188"/>
      <c r="E457" s="188"/>
      <c r="F457" s="188"/>
      <c r="G457" s="188"/>
      <c r="H457" s="188"/>
      <c r="I457" s="188"/>
      <c r="J457" s="188"/>
      <c r="K457" s="188"/>
      <c r="L457" s="188"/>
      <c r="M457" s="188"/>
      <c r="N457" s="188"/>
      <c r="O457" s="188"/>
      <c r="P457" s="188"/>
      <c r="Q457" s="188"/>
      <c r="R457" s="188"/>
      <c r="S457" s="188"/>
      <c r="T457" s="188"/>
      <c r="U457" s="188"/>
      <c r="V457" s="188"/>
      <c r="W457" s="188"/>
      <c r="X457" s="188"/>
      <c r="Y457" s="188"/>
    </row>
    <row r="458" spans="1:25" ht="12.75" x14ac:dyDescent="0.2">
      <c r="A458" s="188"/>
      <c r="B458" s="188"/>
      <c r="C458" s="188"/>
      <c r="D458" s="188"/>
      <c r="E458" s="188"/>
      <c r="F458" s="188"/>
      <c r="G458" s="188"/>
      <c r="H458" s="188"/>
      <c r="I458" s="188"/>
      <c r="J458" s="188"/>
      <c r="K458" s="188"/>
      <c r="L458" s="188"/>
      <c r="M458" s="188"/>
      <c r="N458" s="188"/>
      <c r="O458" s="188"/>
      <c r="P458" s="188"/>
      <c r="Q458" s="188"/>
      <c r="R458" s="188"/>
      <c r="S458" s="188"/>
      <c r="T458" s="188"/>
      <c r="U458" s="188"/>
      <c r="V458" s="188"/>
      <c r="W458" s="188"/>
      <c r="X458" s="188"/>
      <c r="Y458" s="188"/>
    </row>
    <row r="459" spans="1:25" ht="12.75" x14ac:dyDescent="0.2">
      <c r="A459" s="188"/>
      <c r="B459" s="188"/>
      <c r="C459" s="188"/>
      <c r="D459" s="188"/>
      <c r="E459" s="188"/>
      <c r="F459" s="188"/>
      <c r="G459" s="188"/>
      <c r="H459" s="188"/>
      <c r="I459" s="188"/>
      <c r="J459" s="188"/>
      <c r="K459" s="188"/>
      <c r="L459" s="188"/>
      <c r="M459" s="188"/>
      <c r="N459" s="188"/>
      <c r="O459" s="188"/>
      <c r="P459" s="188"/>
      <c r="Q459" s="188"/>
      <c r="R459" s="188"/>
      <c r="S459" s="188"/>
      <c r="T459" s="188"/>
      <c r="U459" s="188"/>
      <c r="V459" s="188"/>
      <c r="W459" s="188"/>
      <c r="X459" s="188"/>
      <c r="Y459" s="188"/>
    </row>
    <row r="460" spans="1:25" ht="12.75" x14ac:dyDescent="0.2">
      <c r="A460" s="188"/>
      <c r="B460" s="188"/>
      <c r="C460" s="188"/>
      <c r="D460" s="188"/>
      <c r="E460" s="188"/>
      <c r="F460" s="188"/>
      <c r="G460" s="188"/>
      <c r="H460" s="188"/>
      <c r="I460" s="188"/>
      <c r="J460" s="188"/>
      <c r="K460" s="188"/>
      <c r="L460" s="188"/>
      <c r="M460" s="188"/>
      <c r="N460" s="188"/>
      <c r="O460" s="188"/>
      <c r="P460" s="188"/>
      <c r="Q460" s="188"/>
      <c r="R460" s="188"/>
      <c r="S460" s="188"/>
      <c r="T460" s="188"/>
      <c r="U460" s="188"/>
      <c r="V460" s="188"/>
      <c r="W460" s="188"/>
      <c r="X460" s="188"/>
      <c r="Y460" s="188"/>
    </row>
    <row r="461" spans="1:25" ht="12.75" x14ac:dyDescent="0.2">
      <c r="A461" s="188"/>
      <c r="B461" s="188"/>
      <c r="C461" s="188"/>
      <c r="D461" s="188"/>
      <c r="E461" s="188"/>
      <c r="F461" s="188"/>
      <c r="G461" s="188"/>
      <c r="H461" s="188"/>
      <c r="I461" s="188"/>
      <c r="J461" s="188"/>
      <c r="K461" s="188"/>
      <c r="L461" s="188"/>
      <c r="M461" s="188"/>
      <c r="N461" s="188"/>
      <c r="O461" s="188"/>
      <c r="P461" s="188"/>
      <c r="Q461" s="188"/>
      <c r="R461" s="188"/>
      <c r="S461" s="188"/>
      <c r="T461" s="188"/>
      <c r="U461" s="188"/>
      <c r="V461" s="188"/>
      <c r="W461" s="188"/>
      <c r="X461" s="188"/>
      <c r="Y461" s="188"/>
    </row>
    <row r="462" spans="1:25" ht="12.75" x14ac:dyDescent="0.2">
      <c r="A462" s="188"/>
      <c r="B462" s="188"/>
      <c r="C462" s="188"/>
      <c r="D462" s="188"/>
      <c r="E462" s="188"/>
      <c r="F462" s="188"/>
      <c r="G462" s="188"/>
      <c r="H462" s="188"/>
      <c r="I462" s="188"/>
      <c r="J462" s="188"/>
      <c r="K462" s="188"/>
      <c r="L462" s="188"/>
      <c r="M462" s="188"/>
      <c r="N462" s="188"/>
      <c r="O462" s="188"/>
      <c r="P462" s="188"/>
      <c r="Q462" s="188"/>
      <c r="R462" s="188"/>
      <c r="S462" s="188"/>
      <c r="T462" s="188"/>
      <c r="U462" s="188"/>
      <c r="V462" s="188"/>
      <c r="W462" s="188"/>
      <c r="X462" s="188"/>
      <c r="Y462" s="188"/>
    </row>
    <row r="463" spans="1:25" ht="12.75" x14ac:dyDescent="0.2">
      <c r="A463" s="188"/>
      <c r="B463" s="188"/>
      <c r="C463" s="188"/>
      <c r="D463" s="188"/>
      <c r="E463" s="188"/>
      <c r="F463" s="188"/>
      <c r="G463" s="188"/>
      <c r="H463" s="188"/>
      <c r="I463" s="188"/>
      <c r="J463" s="188"/>
      <c r="K463" s="188"/>
      <c r="L463" s="188"/>
      <c r="M463" s="188"/>
      <c r="N463" s="188"/>
      <c r="O463" s="188"/>
      <c r="P463" s="188"/>
      <c r="Q463" s="188"/>
      <c r="R463" s="188"/>
      <c r="S463" s="188"/>
      <c r="T463" s="188"/>
      <c r="U463" s="188"/>
      <c r="V463" s="188"/>
      <c r="W463" s="188"/>
      <c r="X463" s="188"/>
      <c r="Y463" s="188"/>
    </row>
    <row r="464" spans="1:25" ht="12.75" x14ac:dyDescent="0.2">
      <c r="A464" s="188"/>
      <c r="B464" s="188"/>
      <c r="C464" s="188"/>
      <c r="D464" s="188"/>
      <c r="E464" s="188"/>
      <c r="F464" s="188"/>
      <c r="G464" s="188"/>
      <c r="H464" s="188"/>
      <c r="I464" s="188"/>
      <c r="J464" s="188"/>
      <c r="K464" s="188"/>
      <c r="L464" s="188"/>
      <c r="M464" s="188"/>
      <c r="N464" s="188"/>
      <c r="O464" s="188"/>
      <c r="P464" s="188"/>
      <c r="Q464" s="188"/>
      <c r="R464" s="188"/>
      <c r="S464" s="188"/>
      <c r="T464" s="188"/>
      <c r="U464" s="188"/>
      <c r="V464" s="188"/>
      <c r="W464" s="188"/>
      <c r="X464" s="188"/>
      <c r="Y464" s="188"/>
    </row>
    <row r="465" spans="1:25" ht="12.75" x14ac:dyDescent="0.2">
      <c r="A465" s="188"/>
      <c r="B465" s="188"/>
      <c r="C465" s="188"/>
      <c r="D465" s="188"/>
      <c r="E465" s="188"/>
      <c r="F465" s="188"/>
      <c r="G465" s="188"/>
      <c r="H465" s="188"/>
      <c r="I465" s="188"/>
      <c r="J465" s="188"/>
      <c r="K465" s="188"/>
      <c r="L465" s="188"/>
      <c r="M465" s="188"/>
      <c r="N465" s="188"/>
      <c r="O465" s="188"/>
      <c r="P465" s="188"/>
      <c r="Q465" s="188"/>
      <c r="R465" s="188"/>
      <c r="S465" s="188"/>
      <c r="T465" s="188"/>
      <c r="U465" s="188"/>
      <c r="V465" s="188"/>
      <c r="W465" s="188"/>
      <c r="X465" s="188"/>
      <c r="Y465" s="188"/>
    </row>
    <row r="466" spans="1:25" ht="12.75" x14ac:dyDescent="0.2">
      <c r="A466" s="188"/>
      <c r="B466" s="188"/>
      <c r="C466" s="188"/>
      <c r="D466" s="188"/>
      <c r="E466" s="188"/>
      <c r="F466" s="188"/>
      <c r="G466" s="188"/>
      <c r="H466" s="188"/>
      <c r="I466" s="188"/>
      <c r="J466" s="188"/>
      <c r="K466" s="188"/>
      <c r="L466" s="188"/>
      <c r="M466" s="188"/>
      <c r="N466" s="188"/>
      <c r="O466" s="188"/>
      <c r="P466" s="188"/>
      <c r="Q466" s="188"/>
      <c r="R466" s="188"/>
      <c r="S466" s="188"/>
      <c r="T466" s="188"/>
      <c r="U466" s="188"/>
      <c r="V466" s="188"/>
      <c r="W466" s="188"/>
      <c r="X466" s="188"/>
      <c r="Y466" s="188"/>
    </row>
    <row r="467" spans="1:25" ht="12.75" x14ac:dyDescent="0.2">
      <c r="A467" s="188"/>
      <c r="B467" s="188"/>
      <c r="C467" s="188"/>
      <c r="D467" s="188"/>
      <c r="E467" s="188"/>
      <c r="F467" s="188"/>
      <c r="G467" s="188"/>
      <c r="H467" s="188"/>
      <c r="I467" s="188"/>
      <c r="J467" s="188"/>
      <c r="K467" s="188"/>
      <c r="L467" s="188"/>
      <c r="M467" s="188"/>
      <c r="N467" s="188"/>
      <c r="O467" s="188"/>
      <c r="P467" s="188"/>
      <c r="Q467" s="188"/>
      <c r="R467" s="188"/>
      <c r="S467" s="188"/>
      <c r="T467" s="188"/>
      <c r="U467" s="188"/>
      <c r="V467" s="188"/>
      <c r="W467" s="188"/>
      <c r="X467" s="188"/>
      <c r="Y467" s="188"/>
    </row>
    <row r="468" spans="1:25" ht="12.75" x14ac:dyDescent="0.2">
      <c r="A468" s="188"/>
      <c r="B468" s="188"/>
      <c r="C468" s="188"/>
      <c r="D468" s="188"/>
      <c r="E468" s="188"/>
      <c r="F468" s="188"/>
      <c r="G468" s="188"/>
      <c r="H468" s="188"/>
      <c r="I468" s="188"/>
      <c r="J468" s="188"/>
      <c r="K468" s="188"/>
      <c r="L468" s="188"/>
      <c r="M468" s="188"/>
      <c r="N468" s="188"/>
      <c r="O468" s="188"/>
      <c r="P468" s="188"/>
      <c r="Q468" s="188"/>
      <c r="R468" s="188"/>
      <c r="S468" s="188"/>
      <c r="T468" s="188"/>
      <c r="U468" s="188"/>
      <c r="V468" s="188"/>
      <c r="W468" s="188"/>
      <c r="X468" s="188"/>
      <c r="Y468" s="188"/>
    </row>
    <row r="469" spans="1:25" ht="12.75" x14ac:dyDescent="0.2">
      <c r="A469" s="188"/>
      <c r="B469" s="188"/>
      <c r="C469" s="188"/>
      <c r="D469" s="188"/>
      <c r="E469" s="188"/>
      <c r="F469" s="188"/>
      <c r="G469" s="188"/>
      <c r="H469" s="188"/>
      <c r="I469" s="188"/>
      <c r="J469" s="188"/>
      <c r="K469" s="188"/>
      <c r="L469" s="188"/>
      <c r="M469" s="188"/>
      <c r="N469" s="188"/>
      <c r="O469" s="188"/>
      <c r="P469" s="188"/>
      <c r="Q469" s="188"/>
      <c r="R469" s="188"/>
      <c r="S469" s="188"/>
      <c r="T469" s="188"/>
      <c r="U469" s="188"/>
      <c r="V469" s="188"/>
      <c r="W469" s="188"/>
      <c r="X469" s="188"/>
      <c r="Y469" s="188"/>
    </row>
    <row r="470" spans="1:25" ht="12.75" x14ac:dyDescent="0.2">
      <c r="A470" s="188"/>
      <c r="B470" s="188"/>
      <c r="C470" s="188"/>
      <c r="D470" s="188"/>
      <c r="E470" s="188"/>
      <c r="F470" s="188"/>
      <c r="G470" s="188"/>
      <c r="H470" s="188"/>
      <c r="I470" s="188"/>
      <c r="J470" s="188"/>
      <c r="K470" s="188"/>
      <c r="L470" s="188"/>
      <c r="M470" s="188"/>
      <c r="N470" s="188"/>
      <c r="O470" s="188"/>
      <c r="P470" s="188"/>
      <c r="Q470" s="188"/>
      <c r="R470" s="188"/>
      <c r="S470" s="188"/>
      <c r="T470" s="188"/>
      <c r="U470" s="188"/>
      <c r="V470" s="188"/>
      <c r="W470" s="188"/>
      <c r="X470" s="188"/>
      <c r="Y470" s="188"/>
    </row>
    <row r="471" spans="1:25" ht="12.75" x14ac:dyDescent="0.2">
      <c r="A471" s="188"/>
      <c r="B471" s="188"/>
      <c r="C471" s="188"/>
      <c r="D471" s="188"/>
      <c r="E471" s="188"/>
      <c r="F471" s="188"/>
      <c r="G471" s="188"/>
      <c r="H471" s="188"/>
      <c r="I471" s="188"/>
      <c r="J471" s="188"/>
      <c r="K471" s="188"/>
      <c r="L471" s="188"/>
      <c r="M471" s="188"/>
      <c r="N471" s="188"/>
      <c r="O471" s="188"/>
      <c r="P471" s="188"/>
      <c r="Q471" s="188"/>
      <c r="R471" s="188"/>
      <c r="S471" s="188"/>
      <c r="T471" s="188"/>
      <c r="U471" s="188"/>
      <c r="V471" s="188"/>
      <c r="W471" s="188"/>
      <c r="X471" s="188"/>
      <c r="Y471" s="188"/>
    </row>
    <row r="472" spans="1:25" ht="12.75" x14ac:dyDescent="0.2">
      <c r="A472" s="188"/>
      <c r="B472" s="188"/>
      <c r="C472" s="188"/>
      <c r="D472" s="188"/>
      <c r="E472" s="188"/>
      <c r="F472" s="188"/>
      <c r="G472" s="188"/>
      <c r="H472" s="188"/>
      <c r="I472" s="188"/>
      <c r="J472" s="188"/>
      <c r="K472" s="188"/>
      <c r="L472" s="188"/>
      <c r="M472" s="188"/>
      <c r="N472" s="188"/>
      <c r="O472" s="188"/>
      <c r="P472" s="188"/>
      <c r="Q472" s="188"/>
      <c r="R472" s="188"/>
      <c r="S472" s="188"/>
      <c r="T472" s="188"/>
      <c r="U472" s="188"/>
      <c r="V472" s="188"/>
      <c r="W472" s="188"/>
      <c r="X472" s="188"/>
      <c r="Y472" s="188"/>
    </row>
    <row r="473" spans="1:25" ht="12.75" x14ac:dyDescent="0.2">
      <c r="A473" s="188"/>
      <c r="B473" s="188"/>
      <c r="C473" s="188"/>
      <c r="D473" s="188"/>
      <c r="E473" s="188"/>
      <c r="F473" s="188"/>
      <c r="G473" s="188"/>
      <c r="H473" s="188"/>
      <c r="I473" s="188"/>
      <c r="J473" s="188"/>
      <c r="K473" s="188"/>
      <c r="L473" s="188"/>
      <c r="M473" s="188"/>
      <c r="N473" s="188"/>
      <c r="O473" s="188"/>
      <c r="P473" s="188"/>
      <c r="Q473" s="188"/>
      <c r="R473" s="188"/>
      <c r="S473" s="188"/>
      <c r="T473" s="188"/>
      <c r="U473" s="188"/>
      <c r="V473" s="188"/>
      <c r="W473" s="188"/>
      <c r="X473" s="188"/>
      <c r="Y473" s="188"/>
    </row>
    <row r="474" spans="1:25" ht="12.75" x14ac:dyDescent="0.2">
      <c r="A474" s="188"/>
      <c r="B474" s="188"/>
      <c r="C474" s="188"/>
      <c r="D474" s="188"/>
      <c r="E474" s="188"/>
      <c r="F474" s="188"/>
      <c r="G474" s="188"/>
      <c r="H474" s="188"/>
      <c r="I474" s="188"/>
      <c r="J474" s="188"/>
      <c r="K474" s="188"/>
      <c r="L474" s="188"/>
      <c r="M474" s="188"/>
      <c r="N474" s="188"/>
      <c r="O474" s="188"/>
      <c r="P474" s="188"/>
      <c r="Q474" s="188"/>
      <c r="R474" s="188"/>
      <c r="S474" s="188"/>
      <c r="T474" s="188"/>
      <c r="U474" s="188"/>
      <c r="V474" s="188"/>
      <c r="W474" s="188"/>
      <c r="X474" s="188"/>
      <c r="Y474" s="188"/>
    </row>
    <row r="475" spans="1:25" ht="12.75" x14ac:dyDescent="0.2">
      <c r="A475" s="188"/>
      <c r="B475" s="188"/>
      <c r="C475" s="188"/>
      <c r="D475" s="188"/>
      <c r="E475" s="188"/>
      <c r="F475" s="188"/>
      <c r="G475" s="188"/>
      <c r="H475" s="188"/>
      <c r="I475" s="188"/>
      <c r="J475" s="188"/>
      <c r="K475" s="188"/>
      <c r="L475" s="188"/>
      <c r="M475" s="188"/>
      <c r="N475" s="188"/>
      <c r="O475" s="188"/>
      <c r="P475" s="188"/>
      <c r="Q475" s="188"/>
      <c r="R475" s="188"/>
      <c r="S475" s="188"/>
      <c r="T475" s="188"/>
      <c r="U475" s="188"/>
      <c r="V475" s="188"/>
      <c r="W475" s="188"/>
      <c r="X475" s="188"/>
      <c r="Y475" s="188"/>
    </row>
    <row r="476" spans="1:25" ht="12.75" x14ac:dyDescent="0.2">
      <c r="A476" s="188"/>
      <c r="B476" s="188"/>
      <c r="C476" s="188"/>
      <c r="D476" s="188"/>
      <c r="E476" s="188"/>
      <c r="F476" s="188"/>
      <c r="G476" s="188"/>
      <c r="H476" s="188"/>
      <c r="I476" s="188"/>
      <c r="J476" s="188"/>
      <c r="K476" s="188"/>
      <c r="L476" s="188"/>
      <c r="M476" s="188"/>
      <c r="N476" s="188"/>
      <c r="O476" s="188"/>
      <c r="P476" s="188"/>
      <c r="Q476" s="188"/>
      <c r="R476" s="188"/>
      <c r="S476" s="188"/>
      <c r="T476" s="188"/>
      <c r="U476" s="188"/>
      <c r="V476" s="188"/>
      <c r="W476" s="188"/>
      <c r="X476" s="188"/>
      <c r="Y476" s="188"/>
    </row>
    <row r="477" spans="1:25" ht="12.75" x14ac:dyDescent="0.2">
      <c r="A477" s="188"/>
      <c r="B477" s="188"/>
      <c r="C477" s="188"/>
      <c r="D477" s="188"/>
      <c r="E477" s="188"/>
      <c r="F477" s="188"/>
      <c r="G477" s="188"/>
      <c r="H477" s="188"/>
      <c r="I477" s="188"/>
      <c r="J477" s="188"/>
      <c r="K477" s="188"/>
      <c r="L477" s="188"/>
      <c r="M477" s="188"/>
      <c r="N477" s="188"/>
      <c r="O477" s="188"/>
      <c r="P477" s="188"/>
      <c r="Q477" s="188"/>
      <c r="R477" s="188"/>
      <c r="S477" s="188"/>
      <c r="T477" s="188"/>
      <c r="U477" s="188"/>
      <c r="V477" s="188"/>
      <c r="W477" s="188"/>
      <c r="X477" s="188"/>
      <c r="Y477" s="188"/>
    </row>
    <row r="478" spans="1:25" ht="12.75" x14ac:dyDescent="0.2">
      <c r="A478" s="188"/>
      <c r="B478" s="188"/>
      <c r="C478" s="188"/>
      <c r="D478" s="188"/>
      <c r="E478" s="188"/>
      <c r="F478" s="188"/>
      <c r="G478" s="188"/>
      <c r="H478" s="188"/>
      <c r="I478" s="188"/>
      <c r="J478" s="188"/>
      <c r="K478" s="188"/>
      <c r="L478" s="188"/>
      <c r="M478" s="188"/>
      <c r="N478" s="188"/>
      <c r="O478" s="188"/>
      <c r="P478" s="188"/>
      <c r="Q478" s="188"/>
      <c r="R478" s="188"/>
      <c r="S478" s="188"/>
      <c r="T478" s="188"/>
      <c r="U478" s="188"/>
      <c r="V478" s="188"/>
      <c r="W478" s="188"/>
      <c r="X478" s="188"/>
      <c r="Y478" s="188"/>
    </row>
    <row r="479" spans="1:25" ht="12.75" x14ac:dyDescent="0.2">
      <c r="A479" s="188"/>
      <c r="B479" s="188"/>
      <c r="C479" s="188"/>
      <c r="D479" s="188"/>
      <c r="E479" s="188"/>
      <c r="F479" s="188"/>
      <c r="G479" s="188"/>
      <c r="H479" s="188"/>
      <c r="I479" s="188"/>
      <c r="J479" s="188"/>
      <c r="K479" s="188"/>
      <c r="L479" s="188"/>
      <c r="M479" s="188"/>
      <c r="N479" s="188"/>
      <c r="O479" s="188"/>
      <c r="P479" s="188"/>
      <c r="Q479" s="188"/>
      <c r="R479" s="188"/>
      <c r="S479" s="188"/>
      <c r="T479" s="188"/>
      <c r="U479" s="188"/>
      <c r="V479" s="188"/>
      <c r="W479" s="188"/>
      <c r="X479" s="188"/>
      <c r="Y479" s="188"/>
    </row>
    <row r="480" spans="1:25" ht="12.75" x14ac:dyDescent="0.2">
      <c r="A480" s="188"/>
      <c r="B480" s="188"/>
      <c r="C480" s="188"/>
      <c r="D480" s="188"/>
      <c r="E480" s="188"/>
      <c r="F480" s="188"/>
      <c r="G480" s="188"/>
      <c r="H480" s="188"/>
      <c r="I480" s="188"/>
      <c r="J480" s="188"/>
      <c r="K480" s="188"/>
      <c r="L480" s="188"/>
      <c r="M480" s="188"/>
      <c r="N480" s="188"/>
      <c r="O480" s="188"/>
      <c r="P480" s="188"/>
      <c r="Q480" s="188"/>
      <c r="R480" s="188"/>
      <c r="S480" s="188"/>
      <c r="T480" s="188"/>
      <c r="U480" s="188"/>
      <c r="V480" s="188"/>
      <c r="W480" s="188"/>
      <c r="X480" s="188"/>
      <c r="Y480" s="188"/>
    </row>
    <row r="481" spans="1:25" ht="12.75" x14ac:dyDescent="0.2">
      <c r="A481" s="188"/>
      <c r="B481" s="188"/>
      <c r="C481" s="188"/>
      <c r="D481" s="188"/>
      <c r="E481" s="188"/>
      <c r="F481" s="188"/>
      <c r="G481" s="188"/>
      <c r="H481" s="188"/>
      <c r="I481" s="188"/>
      <c r="J481" s="188"/>
      <c r="K481" s="188"/>
      <c r="L481" s="188"/>
      <c r="M481" s="188"/>
      <c r="N481" s="188"/>
      <c r="O481" s="188"/>
      <c r="P481" s="188"/>
      <c r="Q481" s="188"/>
      <c r="R481" s="188"/>
      <c r="S481" s="188"/>
      <c r="T481" s="188"/>
      <c r="U481" s="188"/>
      <c r="V481" s="188"/>
      <c r="W481" s="188"/>
      <c r="X481" s="188"/>
      <c r="Y481" s="188"/>
    </row>
    <row r="482" spans="1:25" ht="12.75" x14ac:dyDescent="0.2">
      <c r="A482" s="188"/>
      <c r="B482" s="188"/>
      <c r="C482" s="188"/>
      <c r="D482" s="188"/>
      <c r="E482" s="188"/>
      <c r="F482" s="188"/>
      <c r="G482" s="188"/>
      <c r="H482" s="188"/>
      <c r="I482" s="188"/>
      <c r="J482" s="188"/>
      <c r="K482" s="188"/>
      <c r="L482" s="188"/>
      <c r="M482" s="188"/>
      <c r="N482" s="188"/>
      <c r="O482" s="188"/>
      <c r="P482" s="188"/>
      <c r="Q482" s="188"/>
      <c r="R482" s="188"/>
      <c r="S482" s="188"/>
      <c r="T482" s="188"/>
      <c r="U482" s="188"/>
      <c r="V482" s="188"/>
      <c r="W482" s="188"/>
      <c r="X482" s="188"/>
      <c r="Y482" s="188"/>
    </row>
    <row r="483" spans="1:25" ht="12.75" x14ac:dyDescent="0.2">
      <c r="A483" s="188"/>
      <c r="B483" s="188"/>
      <c r="C483" s="188"/>
      <c r="D483" s="188"/>
      <c r="E483" s="188"/>
      <c r="F483" s="188"/>
      <c r="G483" s="188"/>
      <c r="H483" s="188"/>
      <c r="I483" s="188"/>
      <c r="J483" s="188"/>
      <c r="K483" s="188"/>
      <c r="L483" s="188"/>
      <c r="M483" s="188"/>
      <c r="N483" s="188"/>
      <c r="O483" s="188"/>
      <c r="P483" s="188"/>
      <c r="Q483" s="188"/>
      <c r="R483" s="188"/>
      <c r="S483" s="188"/>
      <c r="T483" s="188"/>
      <c r="U483" s="188"/>
      <c r="V483" s="188"/>
      <c r="W483" s="188"/>
      <c r="X483" s="188"/>
      <c r="Y483" s="188"/>
    </row>
    <row r="484" spans="1:25" ht="12.75" x14ac:dyDescent="0.2">
      <c r="A484" s="188"/>
      <c r="B484" s="188"/>
      <c r="C484" s="188"/>
      <c r="D484" s="188"/>
      <c r="E484" s="188"/>
      <c r="F484" s="188"/>
      <c r="G484" s="188"/>
      <c r="H484" s="188"/>
      <c r="I484" s="188"/>
      <c r="J484" s="188"/>
      <c r="K484" s="188"/>
      <c r="L484" s="188"/>
      <c r="M484" s="188"/>
      <c r="N484" s="188"/>
      <c r="O484" s="188"/>
      <c r="P484" s="188"/>
      <c r="Q484" s="188"/>
      <c r="R484" s="188"/>
      <c r="S484" s="188"/>
      <c r="T484" s="188"/>
      <c r="U484" s="188"/>
      <c r="V484" s="188"/>
      <c r="W484" s="188"/>
      <c r="X484" s="188"/>
      <c r="Y484" s="188"/>
    </row>
    <row r="485" spans="1:25" ht="12.75" x14ac:dyDescent="0.2">
      <c r="A485" s="188"/>
      <c r="B485" s="188"/>
      <c r="C485" s="188"/>
      <c r="D485" s="188"/>
      <c r="E485" s="188"/>
      <c r="F485" s="188"/>
      <c r="G485" s="188"/>
      <c r="H485" s="188"/>
      <c r="I485" s="188"/>
      <c r="J485" s="188"/>
      <c r="K485" s="188"/>
      <c r="L485" s="188"/>
      <c r="M485" s="188"/>
      <c r="N485" s="188"/>
      <c r="O485" s="188"/>
      <c r="P485" s="188"/>
      <c r="Q485" s="188"/>
      <c r="R485" s="188"/>
      <c r="S485" s="188"/>
      <c r="T485" s="188"/>
      <c r="U485" s="188"/>
      <c r="V485" s="188"/>
      <c r="W485" s="188"/>
      <c r="X485" s="188"/>
      <c r="Y485" s="188"/>
    </row>
    <row r="486" spans="1:25" ht="12.75" x14ac:dyDescent="0.2">
      <c r="A486" s="188"/>
      <c r="B486" s="188"/>
      <c r="C486" s="188"/>
      <c r="D486" s="188"/>
      <c r="E486" s="188"/>
      <c r="F486" s="188"/>
      <c r="G486" s="188"/>
      <c r="H486" s="188"/>
      <c r="I486" s="188"/>
      <c r="J486" s="188"/>
      <c r="K486" s="188"/>
      <c r="L486" s="188"/>
      <c r="M486" s="188"/>
      <c r="N486" s="188"/>
      <c r="O486" s="188"/>
      <c r="P486" s="188"/>
      <c r="Q486" s="188"/>
      <c r="R486" s="188"/>
      <c r="S486" s="188"/>
      <c r="T486" s="188"/>
      <c r="U486" s="188"/>
      <c r="V486" s="188"/>
      <c r="W486" s="188"/>
      <c r="X486" s="188"/>
      <c r="Y486" s="188"/>
    </row>
    <row r="487" spans="1:25" ht="12.75" x14ac:dyDescent="0.2">
      <c r="A487" s="188"/>
      <c r="B487" s="188"/>
      <c r="C487" s="188"/>
      <c r="D487" s="188"/>
      <c r="E487" s="188"/>
      <c r="F487" s="188"/>
      <c r="G487" s="188"/>
      <c r="H487" s="188"/>
      <c r="I487" s="188"/>
      <c r="J487" s="188"/>
      <c r="K487" s="188"/>
      <c r="L487" s="188"/>
      <c r="M487" s="188"/>
      <c r="N487" s="188"/>
      <c r="O487" s="188"/>
      <c r="P487" s="188"/>
      <c r="Q487" s="188"/>
      <c r="R487" s="188"/>
      <c r="S487" s="188"/>
      <c r="T487" s="188"/>
      <c r="U487" s="188"/>
      <c r="V487" s="188"/>
      <c r="W487" s="188"/>
      <c r="X487" s="188"/>
      <c r="Y487" s="188"/>
    </row>
    <row r="488" spans="1:25" ht="12.75" x14ac:dyDescent="0.2">
      <c r="A488" s="188"/>
      <c r="B488" s="188"/>
      <c r="C488" s="188"/>
      <c r="D488" s="188"/>
      <c r="E488" s="188"/>
      <c r="F488" s="188"/>
      <c r="G488" s="188"/>
      <c r="H488" s="188"/>
      <c r="I488" s="188"/>
      <c r="J488" s="188"/>
      <c r="K488" s="188"/>
      <c r="L488" s="188"/>
      <c r="M488" s="188"/>
      <c r="N488" s="188"/>
      <c r="O488" s="188"/>
      <c r="P488" s="188"/>
      <c r="Q488" s="188"/>
      <c r="R488" s="188"/>
      <c r="S488" s="188"/>
      <c r="T488" s="188"/>
      <c r="U488" s="188"/>
      <c r="V488" s="188"/>
      <c r="W488" s="188"/>
      <c r="X488" s="188"/>
      <c r="Y488" s="188"/>
    </row>
    <row r="489" spans="1:25" ht="12.75" x14ac:dyDescent="0.2">
      <c r="A489" s="188"/>
      <c r="B489" s="188"/>
      <c r="C489" s="188"/>
      <c r="D489" s="188"/>
      <c r="E489" s="188"/>
      <c r="F489" s="188"/>
      <c r="G489" s="188"/>
      <c r="H489" s="188"/>
      <c r="I489" s="188"/>
      <c r="J489" s="188"/>
      <c r="K489" s="188"/>
      <c r="L489" s="188"/>
      <c r="M489" s="188"/>
      <c r="N489" s="188"/>
      <c r="O489" s="188"/>
      <c r="P489" s="188"/>
      <c r="Q489" s="188"/>
      <c r="R489" s="188"/>
      <c r="S489" s="188"/>
      <c r="T489" s="188"/>
      <c r="U489" s="188"/>
      <c r="V489" s="188"/>
      <c r="W489" s="188"/>
      <c r="X489" s="188"/>
      <c r="Y489" s="188"/>
    </row>
    <row r="490" spans="1:25" ht="12.75" x14ac:dyDescent="0.2">
      <c r="A490" s="188"/>
      <c r="B490" s="188"/>
      <c r="C490" s="188"/>
      <c r="D490" s="188"/>
      <c r="E490" s="188"/>
      <c r="F490" s="188"/>
      <c r="G490" s="188"/>
      <c r="H490" s="188"/>
      <c r="I490" s="188"/>
      <c r="J490" s="188"/>
      <c r="K490" s="188"/>
      <c r="L490" s="188"/>
      <c r="M490" s="188"/>
      <c r="N490" s="188"/>
      <c r="O490" s="188"/>
      <c r="P490" s="188"/>
      <c r="Q490" s="188"/>
      <c r="R490" s="188"/>
      <c r="S490" s="188"/>
      <c r="T490" s="188"/>
      <c r="U490" s="188"/>
      <c r="V490" s="188"/>
      <c r="W490" s="188"/>
      <c r="X490" s="188"/>
      <c r="Y490" s="188"/>
    </row>
    <row r="491" spans="1:25" ht="12.75" x14ac:dyDescent="0.2">
      <c r="A491" s="188"/>
      <c r="B491" s="188"/>
      <c r="C491" s="188"/>
      <c r="D491" s="188"/>
      <c r="E491" s="188"/>
      <c r="F491" s="188"/>
      <c r="G491" s="188"/>
      <c r="H491" s="188"/>
      <c r="I491" s="188"/>
      <c r="J491" s="188"/>
      <c r="K491" s="188"/>
      <c r="L491" s="188"/>
      <c r="M491" s="188"/>
      <c r="N491" s="188"/>
      <c r="O491" s="188"/>
      <c r="P491" s="188"/>
      <c r="Q491" s="188"/>
      <c r="R491" s="188"/>
      <c r="S491" s="188"/>
      <c r="T491" s="188"/>
      <c r="U491" s="188"/>
      <c r="V491" s="188"/>
      <c r="W491" s="188"/>
      <c r="X491" s="188"/>
      <c r="Y491" s="188"/>
    </row>
    <row r="492" spans="1:25" ht="12.75" x14ac:dyDescent="0.2">
      <c r="A492" s="188"/>
      <c r="B492" s="188"/>
      <c r="C492" s="188"/>
      <c r="D492" s="188"/>
      <c r="E492" s="188"/>
      <c r="F492" s="188"/>
      <c r="G492" s="188"/>
      <c r="H492" s="188"/>
      <c r="I492" s="188"/>
      <c r="J492" s="188"/>
      <c r="K492" s="188"/>
      <c r="L492" s="188"/>
      <c r="M492" s="188"/>
      <c r="N492" s="188"/>
      <c r="O492" s="188"/>
      <c r="P492" s="188"/>
      <c r="Q492" s="188"/>
      <c r="R492" s="188"/>
      <c r="S492" s="188"/>
      <c r="T492" s="188"/>
      <c r="U492" s="188"/>
      <c r="V492" s="188"/>
      <c r="W492" s="188"/>
      <c r="X492" s="188"/>
      <c r="Y492" s="188"/>
    </row>
    <row r="493" spans="1:25" ht="12.75" x14ac:dyDescent="0.2">
      <c r="A493" s="188"/>
      <c r="B493" s="188"/>
      <c r="C493" s="188"/>
      <c r="D493" s="188"/>
      <c r="E493" s="188"/>
      <c r="F493" s="188"/>
      <c r="G493" s="188"/>
      <c r="H493" s="188"/>
      <c r="I493" s="188"/>
      <c r="J493" s="188"/>
      <c r="K493" s="188"/>
      <c r="L493" s="188"/>
      <c r="M493" s="188"/>
      <c r="N493" s="188"/>
      <c r="O493" s="188"/>
      <c r="P493" s="188"/>
      <c r="Q493" s="188"/>
      <c r="R493" s="188"/>
      <c r="S493" s="188"/>
      <c r="T493" s="188"/>
      <c r="U493" s="188"/>
      <c r="V493" s="188"/>
      <c r="W493" s="188"/>
      <c r="X493" s="188"/>
      <c r="Y493" s="188"/>
    </row>
    <row r="494" spans="1:25" ht="12.75" x14ac:dyDescent="0.2">
      <c r="A494" s="188"/>
      <c r="B494" s="188"/>
      <c r="C494" s="188"/>
      <c r="D494" s="188"/>
      <c r="E494" s="188"/>
      <c r="F494" s="188"/>
      <c r="G494" s="188"/>
      <c r="H494" s="188"/>
      <c r="I494" s="188"/>
      <c r="J494" s="188"/>
      <c r="K494" s="188"/>
      <c r="L494" s="188"/>
      <c r="M494" s="188"/>
      <c r="N494" s="188"/>
      <c r="O494" s="188"/>
      <c r="P494" s="188"/>
      <c r="Q494" s="188"/>
      <c r="R494" s="188"/>
      <c r="S494" s="188"/>
      <c r="T494" s="188"/>
      <c r="U494" s="188"/>
      <c r="V494" s="188"/>
      <c r="W494" s="188"/>
      <c r="X494" s="188"/>
      <c r="Y494" s="188"/>
    </row>
    <row r="495" spans="1:25" ht="12.75" x14ac:dyDescent="0.2">
      <c r="A495" s="188"/>
      <c r="B495" s="188"/>
      <c r="C495" s="188"/>
      <c r="D495" s="188"/>
      <c r="E495" s="188"/>
      <c r="F495" s="188"/>
      <c r="G495" s="188"/>
      <c r="H495" s="188"/>
      <c r="I495" s="188"/>
      <c r="J495" s="188"/>
      <c r="K495" s="188"/>
      <c r="L495" s="188"/>
      <c r="M495" s="188"/>
      <c r="N495" s="188"/>
      <c r="O495" s="188"/>
      <c r="P495" s="188"/>
      <c r="Q495" s="188"/>
      <c r="R495" s="188"/>
      <c r="S495" s="188"/>
      <c r="T495" s="188"/>
      <c r="U495" s="188"/>
      <c r="V495" s="188"/>
      <c r="W495" s="188"/>
      <c r="X495" s="188"/>
      <c r="Y495" s="188"/>
    </row>
    <row r="496" spans="1:25" ht="12.75" x14ac:dyDescent="0.2">
      <c r="A496" s="188"/>
      <c r="B496" s="188"/>
      <c r="C496" s="188"/>
      <c r="D496" s="188"/>
      <c r="E496" s="188"/>
      <c r="F496" s="188"/>
      <c r="G496" s="188"/>
      <c r="H496" s="188"/>
      <c r="I496" s="188"/>
      <c r="J496" s="188"/>
      <c r="K496" s="188"/>
      <c r="L496" s="188"/>
      <c r="M496" s="188"/>
      <c r="N496" s="188"/>
      <c r="O496" s="188"/>
      <c r="P496" s="188"/>
      <c r="Q496" s="188"/>
      <c r="R496" s="188"/>
      <c r="S496" s="188"/>
      <c r="T496" s="188"/>
      <c r="U496" s="188"/>
      <c r="V496" s="188"/>
      <c r="W496" s="188"/>
      <c r="X496" s="188"/>
      <c r="Y496" s="188"/>
    </row>
    <row r="497" spans="1:25" ht="12.75" x14ac:dyDescent="0.2">
      <c r="A497" s="188"/>
      <c r="B497" s="188"/>
      <c r="C497" s="188"/>
      <c r="D497" s="188"/>
      <c r="E497" s="188"/>
      <c r="F497" s="188"/>
      <c r="G497" s="188"/>
      <c r="H497" s="188"/>
      <c r="I497" s="188"/>
      <c r="J497" s="188"/>
      <c r="K497" s="188"/>
      <c r="L497" s="188"/>
      <c r="M497" s="188"/>
      <c r="N497" s="188"/>
      <c r="O497" s="188"/>
      <c r="P497" s="188"/>
      <c r="Q497" s="188"/>
      <c r="R497" s="188"/>
      <c r="S497" s="188"/>
      <c r="T497" s="188"/>
      <c r="U497" s="188"/>
      <c r="V497" s="188"/>
      <c r="W497" s="188"/>
      <c r="X497" s="188"/>
      <c r="Y497" s="188"/>
    </row>
    <row r="498" spans="1:25" ht="12.75" x14ac:dyDescent="0.2">
      <c r="A498" s="188"/>
      <c r="B498" s="188"/>
      <c r="C498" s="188"/>
      <c r="D498" s="188"/>
      <c r="E498" s="188"/>
      <c r="F498" s="188"/>
      <c r="G498" s="188"/>
      <c r="H498" s="188"/>
      <c r="I498" s="188"/>
      <c r="J498" s="188"/>
      <c r="K498" s="188"/>
      <c r="L498" s="188"/>
      <c r="M498" s="188"/>
      <c r="N498" s="188"/>
      <c r="O498" s="188"/>
      <c r="P498" s="188"/>
      <c r="Q498" s="188"/>
      <c r="R498" s="188"/>
      <c r="S498" s="188"/>
      <c r="T498" s="188"/>
      <c r="U498" s="188"/>
      <c r="V498" s="188"/>
      <c r="W498" s="188"/>
      <c r="X498" s="188"/>
      <c r="Y498" s="188"/>
    </row>
    <row r="499" spans="1:25" ht="12.75" x14ac:dyDescent="0.2">
      <c r="A499" s="188"/>
      <c r="B499" s="188"/>
      <c r="C499" s="188"/>
      <c r="D499" s="188"/>
      <c r="E499" s="188"/>
      <c r="F499" s="188"/>
      <c r="G499" s="188"/>
      <c r="H499" s="188"/>
      <c r="I499" s="188"/>
      <c r="J499" s="188"/>
      <c r="K499" s="188"/>
      <c r="L499" s="188"/>
      <c r="M499" s="188"/>
      <c r="N499" s="188"/>
      <c r="O499" s="188"/>
      <c r="P499" s="188"/>
      <c r="Q499" s="188"/>
      <c r="R499" s="188"/>
      <c r="S499" s="188"/>
      <c r="T499" s="188"/>
      <c r="U499" s="188"/>
      <c r="V499" s="188"/>
      <c r="W499" s="188"/>
      <c r="X499" s="188"/>
      <c r="Y499" s="188"/>
    </row>
    <row r="500" spans="1:25" ht="12.75" x14ac:dyDescent="0.2">
      <c r="A500" s="188"/>
      <c r="B500" s="188"/>
      <c r="C500" s="188"/>
      <c r="D500" s="188"/>
      <c r="E500" s="188"/>
      <c r="F500" s="188"/>
      <c r="G500" s="188"/>
      <c r="H500" s="188"/>
      <c r="I500" s="188"/>
      <c r="J500" s="188"/>
      <c r="K500" s="188"/>
      <c r="L500" s="188"/>
      <c r="M500" s="188"/>
      <c r="N500" s="188"/>
      <c r="O500" s="188"/>
      <c r="P500" s="188"/>
      <c r="Q500" s="188"/>
      <c r="R500" s="188"/>
      <c r="S500" s="188"/>
      <c r="T500" s="188"/>
      <c r="U500" s="188"/>
      <c r="V500" s="188"/>
      <c r="W500" s="188"/>
      <c r="X500" s="188"/>
      <c r="Y500" s="188"/>
    </row>
    <row r="501" spans="1:25" ht="12.75" x14ac:dyDescent="0.2">
      <c r="A501" s="188"/>
      <c r="B501" s="188"/>
      <c r="C501" s="188"/>
      <c r="D501" s="188"/>
      <c r="E501" s="188"/>
      <c r="F501" s="188"/>
      <c r="G501" s="188"/>
      <c r="H501" s="188"/>
      <c r="I501" s="188"/>
      <c r="J501" s="188"/>
      <c r="K501" s="188"/>
      <c r="L501" s="188"/>
      <c r="M501" s="188"/>
      <c r="N501" s="188"/>
      <c r="O501" s="188"/>
      <c r="P501" s="188"/>
      <c r="Q501" s="188"/>
      <c r="R501" s="188"/>
      <c r="S501" s="188"/>
      <c r="T501" s="188"/>
      <c r="U501" s="188"/>
      <c r="V501" s="188"/>
      <c r="W501" s="188"/>
      <c r="X501" s="188"/>
      <c r="Y501" s="188"/>
    </row>
    <row r="502" spans="1:25" ht="12.75" x14ac:dyDescent="0.2">
      <c r="A502" s="188"/>
      <c r="B502" s="188"/>
      <c r="C502" s="188"/>
      <c r="D502" s="188"/>
      <c r="E502" s="188"/>
      <c r="F502" s="188"/>
      <c r="G502" s="188"/>
      <c r="H502" s="188"/>
      <c r="I502" s="188"/>
      <c r="J502" s="188"/>
      <c r="K502" s="188"/>
      <c r="L502" s="188"/>
      <c r="M502" s="188"/>
      <c r="N502" s="188"/>
      <c r="O502" s="188"/>
      <c r="P502" s="188"/>
      <c r="Q502" s="188"/>
      <c r="R502" s="188"/>
      <c r="S502" s="188"/>
      <c r="T502" s="188"/>
      <c r="U502" s="188"/>
      <c r="V502" s="188"/>
      <c r="W502" s="188"/>
      <c r="X502" s="188"/>
      <c r="Y502" s="188"/>
    </row>
    <row r="503" spans="1:25" ht="12.75" x14ac:dyDescent="0.2">
      <c r="A503" s="188"/>
      <c r="B503" s="188"/>
      <c r="C503" s="188"/>
      <c r="D503" s="188"/>
      <c r="E503" s="188"/>
      <c r="F503" s="188"/>
      <c r="G503" s="188"/>
      <c r="H503" s="188"/>
      <c r="I503" s="188"/>
      <c r="J503" s="188"/>
      <c r="K503" s="188"/>
      <c r="L503" s="188"/>
      <c r="M503" s="188"/>
      <c r="N503" s="188"/>
      <c r="O503" s="188"/>
      <c r="P503" s="188"/>
      <c r="Q503" s="188"/>
      <c r="R503" s="188"/>
      <c r="S503" s="188"/>
      <c r="T503" s="188"/>
      <c r="U503" s="188"/>
      <c r="V503" s="188"/>
      <c r="W503" s="188"/>
      <c r="X503" s="188"/>
      <c r="Y503" s="188"/>
    </row>
    <row r="504" spans="1:25" ht="12.75" x14ac:dyDescent="0.2">
      <c r="A504" s="188"/>
      <c r="B504" s="188"/>
      <c r="C504" s="188"/>
      <c r="D504" s="188"/>
      <c r="E504" s="188"/>
      <c r="F504" s="188"/>
      <c r="G504" s="188"/>
      <c r="H504" s="188"/>
      <c r="I504" s="188"/>
      <c r="J504" s="188"/>
      <c r="K504" s="188"/>
      <c r="L504" s="188"/>
      <c r="M504" s="188"/>
      <c r="N504" s="188"/>
      <c r="O504" s="188"/>
      <c r="P504" s="188"/>
      <c r="Q504" s="188"/>
      <c r="R504" s="188"/>
      <c r="S504" s="188"/>
      <c r="T504" s="188"/>
      <c r="U504" s="188"/>
      <c r="V504" s="188"/>
      <c r="W504" s="188"/>
      <c r="X504" s="188"/>
      <c r="Y504" s="188"/>
    </row>
    <row r="505" spans="1:25" ht="12.75" x14ac:dyDescent="0.2">
      <c r="A505" s="188"/>
      <c r="B505" s="188"/>
      <c r="C505" s="188"/>
      <c r="D505" s="188"/>
      <c r="E505" s="188"/>
      <c r="F505" s="188"/>
      <c r="G505" s="188"/>
      <c r="H505" s="188"/>
      <c r="I505" s="188"/>
      <c r="J505" s="188"/>
      <c r="K505" s="188"/>
      <c r="L505" s="188"/>
      <c r="M505" s="188"/>
      <c r="N505" s="188"/>
      <c r="O505" s="188"/>
      <c r="P505" s="188"/>
      <c r="Q505" s="188"/>
      <c r="R505" s="188"/>
      <c r="S505" s="188"/>
      <c r="T505" s="188"/>
      <c r="U505" s="188"/>
      <c r="V505" s="188"/>
      <c r="W505" s="188"/>
      <c r="X505" s="188"/>
      <c r="Y505" s="188"/>
    </row>
    <row r="506" spans="1:25" ht="12.75" x14ac:dyDescent="0.2">
      <c r="A506" s="188"/>
      <c r="B506" s="188"/>
      <c r="C506" s="188"/>
      <c r="D506" s="188"/>
      <c r="E506" s="188"/>
      <c r="F506" s="188"/>
      <c r="G506" s="188"/>
      <c r="H506" s="188"/>
      <c r="I506" s="188"/>
      <c r="J506" s="188"/>
      <c r="K506" s="188"/>
      <c r="L506" s="188"/>
      <c r="M506" s="188"/>
      <c r="N506" s="188"/>
      <c r="O506" s="188"/>
      <c r="P506" s="188"/>
      <c r="Q506" s="188"/>
      <c r="R506" s="188"/>
      <c r="S506" s="188"/>
      <c r="T506" s="188"/>
      <c r="U506" s="188"/>
      <c r="V506" s="188"/>
      <c r="W506" s="188"/>
      <c r="X506" s="188"/>
      <c r="Y506" s="188"/>
    </row>
    <row r="507" spans="1:25" ht="12.75" x14ac:dyDescent="0.2">
      <c r="A507" s="188"/>
      <c r="B507" s="188"/>
      <c r="C507" s="188"/>
      <c r="D507" s="188"/>
      <c r="E507" s="188"/>
      <c r="F507" s="188"/>
      <c r="G507" s="188"/>
      <c r="H507" s="188"/>
      <c r="I507" s="188"/>
      <c r="J507" s="188"/>
      <c r="K507" s="188"/>
      <c r="L507" s="188"/>
      <c r="M507" s="188"/>
      <c r="N507" s="188"/>
      <c r="O507" s="188"/>
      <c r="P507" s="188"/>
      <c r="Q507" s="188"/>
      <c r="R507" s="188"/>
      <c r="S507" s="188"/>
      <c r="T507" s="188"/>
      <c r="U507" s="188"/>
      <c r="V507" s="188"/>
      <c r="W507" s="188"/>
      <c r="X507" s="188"/>
      <c r="Y507" s="188"/>
    </row>
    <row r="508" spans="1:25" ht="12.75" x14ac:dyDescent="0.2">
      <c r="A508" s="188"/>
      <c r="B508" s="188"/>
      <c r="C508" s="188"/>
      <c r="D508" s="188"/>
      <c r="E508" s="188"/>
      <c r="F508" s="188"/>
      <c r="G508" s="188"/>
      <c r="H508" s="188"/>
      <c r="I508" s="188"/>
      <c r="J508" s="188"/>
      <c r="K508" s="188"/>
      <c r="L508" s="188"/>
      <c r="M508" s="188"/>
      <c r="N508" s="188"/>
      <c r="O508" s="188"/>
      <c r="P508" s="188"/>
      <c r="Q508" s="188"/>
      <c r="R508" s="188"/>
      <c r="S508" s="188"/>
      <c r="T508" s="188"/>
      <c r="U508" s="188"/>
      <c r="V508" s="188"/>
      <c r="W508" s="188"/>
      <c r="X508" s="188"/>
      <c r="Y508" s="188"/>
    </row>
    <row r="509" spans="1:25" ht="12.75" x14ac:dyDescent="0.2">
      <c r="A509" s="188"/>
      <c r="B509" s="188"/>
      <c r="C509" s="188"/>
      <c r="D509" s="188"/>
      <c r="E509" s="188"/>
      <c r="F509" s="188"/>
      <c r="G509" s="188"/>
      <c r="H509" s="188"/>
      <c r="I509" s="188"/>
      <c r="J509" s="188"/>
      <c r="K509" s="188"/>
      <c r="L509" s="188"/>
      <c r="M509" s="188"/>
      <c r="N509" s="188"/>
      <c r="O509" s="188"/>
      <c r="P509" s="188"/>
      <c r="Q509" s="188"/>
      <c r="R509" s="188"/>
      <c r="S509" s="188"/>
      <c r="T509" s="188"/>
      <c r="U509" s="188"/>
      <c r="V509" s="188"/>
      <c r="W509" s="188"/>
      <c r="X509" s="188"/>
      <c r="Y509" s="188"/>
    </row>
    <row r="510" spans="1:25" ht="12.75" x14ac:dyDescent="0.2">
      <c r="A510" s="188"/>
      <c r="B510" s="188"/>
      <c r="C510" s="188"/>
      <c r="D510" s="188"/>
      <c r="E510" s="188"/>
      <c r="F510" s="188"/>
      <c r="G510" s="188"/>
      <c r="H510" s="188"/>
      <c r="I510" s="188"/>
      <c r="J510" s="188"/>
      <c r="K510" s="188"/>
      <c r="L510" s="188"/>
      <c r="M510" s="188"/>
      <c r="N510" s="188"/>
      <c r="O510" s="188"/>
      <c r="P510" s="188"/>
      <c r="Q510" s="188"/>
      <c r="R510" s="188"/>
      <c r="S510" s="188"/>
      <c r="T510" s="188"/>
      <c r="U510" s="188"/>
      <c r="V510" s="188"/>
      <c r="W510" s="188"/>
      <c r="X510" s="188"/>
      <c r="Y510" s="188"/>
    </row>
    <row r="511" spans="1:25" ht="12.75" x14ac:dyDescent="0.2">
      <c r="A511" s="188"/>
      <c r="B511" s="188"/>
      <c r="C511" s="188"/>
      <c r="D511" s="188"/>
      <c r="E511" s="188"/>
      <c r="F511" s="188"/>
      <c r="G511" s="188"/>
      <c r="H511" s="188"/>
      <c r="I511" s="188"/>
      <c r="J511" s="188"/>
      <c r="K511" s="188"/>
      <c r="L511" s="188"/>
      <c r="M511" s="188"/>
      <c r="N511" s="188"/>
      <c r="O511" s="188"/>
      <c r="P511" s="188"/>
      <c r="Q511" s="188"/>
      <c r="R511" s="188"/>
      <c r="S511" s="188"/>
      <c r="T511" s="188"/>
      <c r="U511" s="188"/>
      <c r="V511" s="188"/>
      <c r="W511" s="188"/>
      <c r="X511" s="188"/>
      <c r="Y511" s="188"/>
    </row>
    <row r="512" spans="1:25" ht="12.75" x14ac:dyDescent="0.2">
      <c r="A512" s="188"/>
      <c r="B512" s="188"/>
      <c r="C512" s="188"/>
      <c r="D512" s="188"/>
      <c r="E512" s="188"/>
      <c r="F512" s="188"/>
      <c r="G512" s="188"/>
      <c r="H512" s="188"/>
      <c r="I512" s="188"/>
      <c r="J512" s="188"/>
      <c r="K512" s="188"/>
      <c r="L512" s="188"/>
      <c r="M512" s="188"/>
      <c r="N512" s="188"/>
      <c r="O512" s="188"/>
      <c r="P512" s="188"/>
      <c r="Q512" s="188"/>
      <c r="R512" s="188"/>
      <c r="S512" s="188"/>
      <c r="T512" s="188"/>
      <c r="U512" s="188"/>
      <c r="V512" s="188"/>
      <c r="W512" s="188"/>
      <c r="X512" s="188"/>
      <c r="Y512" s="188"/>
    </row>
    <row r="513" spans="1:25" ht="12.75" x14ac:dyDescent="0.2">
      <c r="A513" s="188"/>
      <c r="B513" s="188"/>
      <c r="C513" s="188"/>
      <c r="D513" s="188"/>
      <c r="E513" s="188"/>
      <c r="F513" s="188"/>
      <c r="G513" s="188"/>
      <c r="H513" s="188"/>
      <c r="I513" s="188"/>
      <c r="J513" s="188"/>
      <c r="K513" s="188"/>
      <c r="L513" s="188"/>
      <c r="M513" s="188"/>
      <c r="N513" s="188"/>
      <c r="O513" s="188"/>
      <c r="P513" s="188"/>
      <c r="Q513" s="188"/>
      <c r="R513" s="188"/>
      <c r="S513" s="188"/>
      <c r="T513" s="188"/>
      <c r="U513" s="188"/>
      <c r="V513" s="188"/>
      <c r="W513" s="188"/>
      <c r="X513" s="188"/>
      <c r="Y513" s="188"/>
    </row>
    <row r="514" spans="1:25" ht="12.75" x14ac:dyDescent="0.2">
      <c r="A514" s="188"/>
      <c r="B514" s="188"/>
      <c r="C514" s="188"/>
      <c r="D514" s="188"/>
      <c r="E514" s="188"/>
      <c r="F514" s="188"/>
      <c r="G514" s="188"/>
      <c r="H514" s="188"/>
      <c r="I514" s="188"/>
      <c r="J514" s="188"/>
      <c r="K514" s="188"/>
      <c r="L514" s="188"/>
      <c r="M514" s="188"/>
      <c r="N514" s="188"/>
      <c r="O514" s="188"/>
      <c r="P514" s="188"/>
      <c r="Q514" s="188"/>
      <c r="R514" s="188"/>
      <c r="S514" s="188"/>
      <c r="T514" s="188"/>
      <c r="U514" s="188"/>
      <c r="V514" s="188"/>
      <c r="W514" s="188"/>
      <c r="X514" s="188"/>
      <c r="Y514" s="188"/>
    </row>
    <row r="515" spans="1:25" ht="12.75" x14ac:dyDescent="0.2">
      <c r="A515" s="188"/>
      <c r="B515" s="188"/>
      <c r="C515" s="188"/>
      <c r="D515" s="188"/>
      <c r="E515" s="188"/>
      <c r="F515" s="188"/>
      <c r="G515" s="188"/>
      <c r="H515" s="188"/>
      <c r="I515" s="188"/>
      <c r="J515" s="188"/>
      <c r="K515" s="188"/>
      <c r="L515" s="188"/>
      <c r="M515" s="188"/>
      <c r="N515" s="188"/>
      <c r="O515" s="188"/>
      <c r="P515" s="188"/>
      <c r="Q515" s="188"/>
      <c r="R515" s="188"/>
      <c r="S515" s="188"/>
      <c r="T515" s="188"/>
      <c r="U515" s="188"/>
      <c r="V515" s="188"/>
      <c r="W515" s="188"/>
      <c r="X515" s="188"/>
      <c r="Y515" s="188"/>
    </row>
    <row r="516" spans="1:25" ht="12.75" x14ac:dyDescent="0.2">
      <c r="A516" s="188"/>
      <c r="B516" s="188"/>
      <c r="C516" s="188"/>
      <c r="D516" s="188"/>
      <c r="E516" s="188"/>
      <c r="F516" s="188"/>
      <c r="G516" s="188"/>
      <c r="H516" s="188"/>
      <c r="I516" s="188"/>
      <c r="J516" s="188"/>
      <c r="K516" s="188"/>
      <c r="L516" s="188"/>
      <c r="M516" s="188"/>
      <c r="N516" s="188"/>
      <c r="O516" s="188"/>
      <c r="P516" s="188"/>
      <c r="Q516" s="188"/>
      <c r="R516" s="188"/>
      <c r="S516" s="188"/>
      <c r="T516" s="188"/>
      <c r="U516" s="188"/>
      <c r="V516" s="188"/>
      <c r="W516" s="188"/>
      <c r="X516" s="188"/>
      <c r="Y516" s="188"/>
    </row>
    <row r="517" spans="1:25" ht="12.75" x14ac:dyDescent="0.2">
      <c r="A517" s="188"/>
      <c r="B517" s="188"/>
      <c r="C517" s="188"/>
      <c r="D517" s="188"/>
      <c r="E517" s="188"/>
      <c r="F517" s="188"/>
      <c r="G517" s="188"/>
      <c r="H517" s="188"/>
      <c r="I517" s="188"/>
      <c r="J517" s="188"/>
      <c r="K517" s="188"/>
      <c r="L517" s="188"/>
      <c r="M517" s="188"/>
      <c r="N517" s="188"/>
      <c r="O517" s="188"/>
      <c r="P517" s="188"/>
      <c r="Q517" s="188"/>
      <c r="R517" s="188"/>
      <c r="S517" s="188"/>
      <c r="T517" s="188"/>
      <c r="U517" s="188"/>
      <c r="V517" s="188"/>
      <c r="W517" s="188"/>
      <c r="X517" s="188"/>
      <c r="Y517" s="188"/>
    </row>
    <row r="518" spans="1:25" ht="12.75" x14ac:dyDescent="0.2">
      <c r="A518" s="188"/>
      <c r="B518" s="188"/>
      <c r="C518" s="188"/>
      <c r="D518" s="188"/>
      <c r="E518" s="188"/>
      <c r="F518" s="188"/>
      <c r="G518" s="188"/>
      <c r="H518" s="188"/>
      <c r="I518" s="188"/>
      <c r="J518" s="188"/>
      <c r="K518" s="188"/>
      <c r="L518" s="188"/>
      <c r="M518" s="188"/>
      <c r="N518" s="188"/>
      <c r="O518" s="188"/>
      <c r="P518" s="188"/>
      <c r="Q518" s="188"/>
      <c r="R518" s="188"/>
      <c r="S518" s="188"/>
      <c r="T518" s="188"/>
      <c r="U518" s="188"/>
      <c r="V518" s="188"/>
      <c r="W518" s="188"/>
      <c r="X518" s="188"/>
      <c r="Y518" s="188"/>
    </row>
    <row r="519" spans="1:25" ht="12.75" x14ac:dyDescent="0.2">
      <c r="A519" s="188"/>
      <c r="B519" s="188"/>
      <c r="C519" s="188"/>
      <c r="D519" s="188"/>
      <c r="E519" s="188"/>
      <c r="F519" s="188"/>
      <c r="G519" s="188"/>
      <c r="H519" s="188"/>
      <c r="I519" s="188"/>
      <c r="J519" s="188"/>
      <c r="K519" s="188"/>
      <c r="L519" s="188"/>
      <c r="M519" s="188"/>
      <c r="N519" s="188"/>
      <c r="O519" s="188"/>
      <c r="P519" s="188"/>
      <c r="Q519" s="188"/>
      <c r="R519" s="188"/>
      <c r="S519" s="188"/>
      <c r="T519" s="188"/>
      <c r="U519" s="188"/>
      <c r="V519" s="188"/>
      <c r="W519" s="188"/>
      <c r="X519" s="188"/>
      <c r="Y519" s="188"/>
    </row>
    <row r="520" spans="1:25" ht="12.75" x14ac:dyDescent="0.2">
      <c r="A520" s="188"/>
      <c r="B520" s="188"/>
      <c r="C520" s="188"/>
      <c r="D520" s="188"/>
      <c r="E520" s="188"/>
      <c r="F520" s="188"/>
      <c r="G520" s="188"/>
      <c r="H520" s="188"/>
      <c r="I520" s="188"/>
      <c r="J520" s="188"/>
      <c r="K520" s="188"/>
      <c r="L520" s="188"/>
      <c r="M520" s="188"/>
      <c r="N520" s="188"/>
      <c r="O520" s="188"/>
      <c r="P520" s="188"/>
      <c r="Q520" s="188"/>
      <c r="R520" s="188"/>
      <c r="S520" s="188"/>
      <c r="T520" s="188"/>
      <c r="U520" s="188"/>
      <c r="V520" s="188"/>
      <c r="W520" s="188"/>
      <c r="X520" s="188"/>
      <c r="Y520" s="188"/>
    </row>
    <row r="521" spans="1:25" ht="12.75" x14ac:dyDescent="0.2">
      <c r="A521" s="188"/>
      <c r="B521" s="188"/>
      <c r="C521" s="188"/>
      <c r="D521" s="188"/>
      <c r="E521" s="188"/>
      <c r="F521" s="188"/>
      <c r="G521" s="188"/>
      <c r="H521" s="188"/>
      <c r="I521" s="188"/>
      <c r="J521" s="188"/>
      <c r="K521" s="188"/>
      <c r="L521" s="188"/>
      <c r="M521" s="188"/>
      <c r="N521" s="188"/>
      <c r="O521" s="188"/>
      <c r="P521" s="188"/>
      <c r="Q521" s="188"/>
      <c r="R521" s="188"/>
      <c r="S521" s="188"/>
      <c r="T521" s="188"/>
      <c r="U521" s="188"/>
      <c r="V521" s="188"/>
      <c r="W521" s="188"/>
      <c r="X521" s="188"/>
      <c r="Y521" s="188"/>
    </row>
    <row r="522" spans="1:25" ht="12.75" x14ac:dyDescent="0.2">
      <c r="A522" s="188"/>
      <c r="B522" s="188"/>
      <c r="C522" s="188"/>
      <c r="D522" s="188"/>
      <c r="E522" s="188"/>
      <c r="F522" s="188"/>
      <c r="G522" s="188"/>
      <c r="H522" s="188"/>
      <c r="I522" s="188"/>
      <c r="J522" s="188"/>
      <c r="K522" s="188"/>
      <c r="L522" s="188"/>
      <c r="M522" s="188"/>
      <c r="N522" s="188"/>
      <c r="O522" s="188"/>
      <c r="P522" s="188"/>
      <c r="Q522" s="188"/>
      <c r="R522" s="188"/>
      <c r="S522" s="188"/>
      <c r="T522" s="188"/>
      <c r="U522" s="188"/>
      <c r="V522" s="188"/>
      <c r="W522" s="188"/>
      <c r="X522" s="188"/>
      <c r="Y522" s="188"/>
    </row>
    <row r="523" spans="1:25" ht="12.75" x14ac:dyDescent="0.2">
      <c r="A523" s="188"/>
      <c r="B523" s="188"/>
      <c r="C523" s="188"/>
      <c r="D523" s="188"/>
      <c r="E523" s="188"/>
      <c r="F523" s="188"/>
      <c r="G523" s="188"/>
      <c r="H523" s="188"/>
      <c r="I523" s="188"/>
      <c r="J523" s="188"/>
      <c r="K523" s="188"/>
      <c r="L523" s="188"/>
      <c r="M523" s="188"/>
      <c r="N523" s="188"/>
      <c r="O523" s="188"/>
      <c r="P523" s="188"/>
      <c r="Q523" s="188"/>
      <c r="R523" s="188"/>
      <c r="S523" s="188"/>
      <c r="T523" s="188"/>
      <c r="U523" s="188"/>
      <c r="V523" s="188"/>
      <c r="W523" s="188"/>
      <c r="X523" s="188"/>
      <c r="Y523" s="188"/>
    </row>
    <row r="524" spans="1:25" ht="12.75" x14ac:dyDescent="0.2">
      <c r="A524" s="188"/>
      <c r="B524" s="188"/>
      <c r="C524" s="188"/>
      <c r="D524" s="188"/>
      <c r="E524" s="188"/>
      <c r="F524" s="188"/>
      <c r="G524" s="188"/>
      <c r="H524" s="188"/>
      <c r="I524" s="188"/>
      <c r="J524" s="188"/>
      <c r="K524" s="188"/>
      <c r="L524" s="188"/>
      <c r="M524" s="188"/>
      <c r="N524" s="188"/>
      <c r="O524" s="188"/>
      <c r="P524" s="188"/>
      <c r="Q524" s="188"/>
      <c r="R524" s="188"/>
      <c r="S524" s="188"/>
      <c r="T524" s="188"/>
      <c r="U524" s="188"/>
      <c r="V524" s="188"/>
      <c r="W524" s="188"/>
      <c r="X524" s="188"/>
      <c r="Y524" s="188"/>
    </row>
    <row r="525" spans="1:25" ht="12.75" x14ac:dyDescent="0.2">
      <c r="A525" s="188"/>
      <c r="B525" s="188"/>
      <c r="C525" s="188"/>
      <c r="D525" s="188"/>
      <c r="E525" s="188"/>
      <c r="F525" s="188"/>
      <c r="G525" s="188"/>
      <c r="H525" s="188"/>
      <c r="I525" s="188"/>
      <c r="J525" s="188"/>
      <c r="K525" s="188"/>
      <c r="L525" s="188"/>
      <c r="M525" s="188"/>
      <c r="N525" s="188"/>
      <c r="O525" s="188"/>
      <c r="P525" s="188"/>
      <c r="Q525" s="188"/>
      <c r="R525" s="188"/>
      <c r="S525" s="188"/>
      <c r="T525" s="188"/>
      <c r="U525" s="188"/>
      <c r="V525" s="188"/>
      <c r="W525" s="188"/>
      <c r="X525" s="188"/>
      <c r="Y525" s="188"/>
    </row>
    <row r="526" spans="1:25" ht="12.75" x14ac:dyDescent="0.2">
      <c r="A526" s="188"/>
      <c r="B526" s="188"/>
      <c r="C526" s="188"/>
      <c r="D526" s="188"/>
      <c r="E526" s="188"/>
      <c r="F526" s="188"/>
      <c r="G526" s="188"/>
      <c r="H526" s="188"/>
      <c r="I526" s="188"/>
      <c r="J526" s="188"/>
      <c r="K526" s="188"/>
      <c r="L526" s="188"/>
      <c r="M526" s="188"/>
      <c r="N526" s="188"/>
      <c r="O526" s="188"/>
      <c r="P526" s="188"/>
      <c r="Q526" s="188"/>
      <c r="R526" s="188"/>
      <c r="S526" s="188"/>
      <c r="T526" s="188"/>
      <c r="U526" s="188"/>
      <c r="V526" s="188"/>
      <c r="W526" s="188"/>
      <c r="X526" s="188"/>
      <c r="Y526" s="188"/>
    </row>
    <row r="527" spans="1:25" ht="12.75" x14ac:dyDescent="0.2">
      <c r="A527" s="188"/>
      <c r="B527" s="188"/>
      <c r="C527" s="188"/>
      <c r="D527" s="188"/>
      <c r="E527" s="188"/>
      <c r="F527" s="188"/>
      <c r="G527" s="188"/>
      <c r="H527" s="188"/>
      <c r="I527" s="188"/>
      <c r="J527" s="188"/>
      <c r="K527" s="188"/>
      <c r="L527" s="188"/>
      <c r="M527" s="188"/>
      <c r="N527" s="188"/>
      <c r="O527" s="188"/>
      <c r="P527" s="188"/>
      <c r="Q527" s="188"/>
      <c r="R527" s="188"/>
      <c r="S527" s="188"/>
      <c r="T527" s="188"/>
      <c r="U527" s="188"/>
      <c r="V527" s="188"/>
      <c r="W527" s="188"/>
      <c r="X527" s="188"/>
      <c r="Y527" s="188"/>
    </row>
    <row r="528" spans="1:25" ht="12.75" x14ac:dyDescent="0.2">
      <c r="A528" s="188"/>
      <c r="B528" s="188"/>
      <c r="C528" s="188"/>
      <c r="D528" s="188"/>
      <c r="E528" s="188"/>
      <c r="F528" s="188"/>
      <c r="G528" s="188"/>
      <c r="H528" s="188"/>
      <c r="I528" s="188"/>
      <c r="J528" s="188"/>
      <c r="K528" s="188"/>
      <c r="L528" s="188"/>
      <c r="M528" s="188"/>
      <c r="N528" s="188"/>
      <c r="O528" s="188"/>
      <c r="P528" s="188"/>
      <c r="Q528" s="188"/>
      <c r="R528" s="188"/>
      <c r="S528" s="188"/>
      <c r="T528" s="188"/>
      <c r="U528" s="188"/>
      <c r="V528" s="188"/>
      <c r="W528" s="188"/>
      <c r="X528" s="188"/>
      <c r="Y528" s="188"/>
    </row>
    <row r="529" spans="1:25" ht="12.75" x14ac:dyDescent="0.2">
      <c r="A529" s="188"/>
      <c r="B529" s="188"/>
      <c r="C529" s="188"/>
      <c r="D529" s="188"/>
      <c r="E529" s="188"/>
      <c r="F529" s="188"/>
      <c r="G529" s="188"/>
      <c r="H529" s="188"/>
      <c r="I529" s="188"/>
      <c r="J529" s="188"/>
      <c r="K529" s="188"/>
      <c r="L529" s="188"/>
      <c r="M529" s="188"/>
      <c r="N529" s="188"/>
      <c r="O529" s="188"/>
      <c r="P529" s="188"/>
      <c r="Q529" s="188"/>
      <c r="R529" s="188"/>
      <c r="S529" s="188"/>
      <c r="T529" s="188"/>
      <c r="U529" s="188"/>
      <c r="V529" s="188"/>
      <c r="W529" s="188"/>
      <c r="X529" s="188"/>
      <c r="Y529" s="188"/>
    </row>
    <row r="530" spans="1:25" ht="12.75" x14ac:dyDescent="0.2">
      <c r="A530" s="188"/>
      <c r="B530" s="188"/>
      <c r="C530" s="188"/>
      <c r="D530" s="188"/>
      <c r="E530" s="188"/>
      <c r="F530" s="188"/>
      <c r="G530" s="188"/>
      <c r="H530" s="188"/>
      <c r="I530" s="188"/>
      <c r="J530" s="188"/>
      <c r="K530" s="188"/>
      <c r="L530" s="188"/>
      <c r="M530" s="188"/>
      <c r="N530" s="188"/>
      <c r="O530" s="188"/>
      <c r="P530" s="188"/>
      <c r="Q530" s="188"/>
      <c r="R530" s="188"/>
      <c r="S530" s="188"/>
      <c r="T530" s="188"/>
      <c r="U530" s="188"/>
      <c r="V530" s="188"/>
      <c r="W530" s="188"/>
      <c r="X530" s="188"/>
      <c r="Y530" s="188"/>
    </row>
    <row r="531" spans="1:25" ht="12.75" x14ac:dyDescent="0.2">
      <c r="A531" s="188"/>
      <c r="B531" s="188"/>
      <c r="C531" s="188"/>
      <c r="D531" s="188"/>
      <c r="E531" s="188"/>
      <c r="F531" s="188"/>
      <c r="G531" s="188"/>
      <c r="H531" s="188"/>
      <c r="I531" s="188"/>
      <c r="J531" s="188"/>
      <c r="K531" s="188"/>
      <c r="L531" s="188"/>
      <c r="M531" s="188"/>
      <c r="N531" s="188"/>
      <c r="O531" s="188"/>
      <c r="P531" s="188"/>
      <c r="Q531" s="188"/>
      <c r="R531" s="188"/>
      <c r="S531" s="188"/>
      <c r="T531" s="188"/>
      <c r="U531" s="188"/>
      <c r="V531" s="188"/>
      <c r="W531" s="188"/>
      <c r="X531" s="188"/>
      <c r="Y531" s="188"/>
    </row>
    <row r="532" spans="1:25" ht="12.75" x14ac:dyDescent="0.2">
      <c r="A532" s="188"/>
      <c r="B532" s="188"/>
      <c r="C532" s="188"/>
      <c r="D532" s="188"/>
      <c r="E532" s="188"/>
      <c r="F532" s="188"/>
      <c r="G532" s="188"/>
      <c r="H532" s="188"/>
      <c r="I532" s="188"/>
      <c r="J532" s="188"/>
      <c r="K532" s="188"/>
      <c r="L532" s="188"/>
      <c r="M532" s="188"/>
      <c r="N532" s="188"/>
      <c r="O532" s="188"/>
      <c r="P532" s="188"/>
      <c r="Q532" s="188"/>
      <c r="R532" s="188"/>
      <c r="S532" s="188"/>
      <c r="T532" s="188"/>
      <c r="U532" s="188"/>
      <c r="V532" s="188"/>
      <c r="W532" s="188"/>
      <c r="X532" s="188"/>
      <c r="Y532" s="188"/>
    </row>
    <row r="533" spans="1:25" ht="12.75" x14ac:dyDescent="0.2">
      <c r="A533" s="188"/>
      <c r="B533" s="188"/>
      <c r="C533" s="188"/>
      <c r="D533" s="188"/>
      <c r="E533" s="188"/>
      <c r="F533" s="188"/>
      <c r="G533" s="188"/>
      <c r="H533" s="188"/>
      <c r="I533" s="188"/>
      <c r="J533" s="188"/>
      <c r="K533" s="188"/>
      <c r="L533" s="188"/>
      <c r="M533" s="188"/>
      <c r="N533" s="188"/>
      <c r="O533" s="188"/>
      <c r="P533" s="188"/>
      <c r="Q533" s="188"/>
      <c r="R533" s="188"/>
      <c r="S533" s="188"/>
      <c r="T533" s="188"/>
      <c r="U533" s="188"/>
      <c r="V533" s="188"/>
      <c r="W533" s="188"/>
      <c r="X533" s="188"/>
      <c r="Y533" s="188"/>
    </row>
    <row r="534" spans="1:25" ht="12.75" x14ac:dyDescent="0.2">
      <c r="A534" s="188"/>
      <c r="B534" s="188"/>
      <c r="C534" s="188"/>
      <c r="D534" s="188"/>
      <c r="E534" s="188"/>
      <c r="F534" s="188"/>
      <c r="G534" s="188"/>
      <c r="H534" s="188"/>
      <c r="I534" s="188"/>
      <c r="J534" s="188"/>
      <c r="K534" s="188"/>
      <c r="L534" s="188"/>
      <c r="M534" s="188"/>
      <c r="N534" s="188"/>
      <c r="O534" s="188"/>
      <c r="P534" s="188"/>
      <c r="Q534" s="188"/>
      <c r="R534" s="188"/>
      <c r="S534" s="188"/>
      <c r="T534" s="188"/>
      <c r="U534" s="188"/>
      <c r="V534" s="188"/>
      <c r="W534" s="188"/>
      <c r="X534" s="188"/>
      <c r="Y534" s="188"/>
    </row>
    <row r="535" spans="1:25" ht="12.75" x14ac:dyDescent="0.2">
      <c r="A535" s="188"/>
      <c r="B535" s="188"/>
      <c r="C535" s="188"/>
      <c r="D535" s="188"/>
      <c r="E535" s="188"/>
      <c r="F535" s="188"/>
      <c r="G535" s="188"/>
      <c r="H535" s="188"/>
      <c r="I535" s="188"/>
      <c r="J535" s="188"/>
      <c r="K535" s="188"/>
      <c r="L535" s="188"/>
      <c r="M535" s="188"/>
      <c r="N535" s="188"/>
      <c r="O535" s="188"/>
      <c r="P535" s="188"/>
      <c r="Q535" s="188"/>
      <c r="R535" s="188"/>
      <c r="S535" s="188"/>
      <c r="T535" s="188"/>
      <c r="U535" s="188"/>
      <c r="V535" s="188"/>
      <c r="W535" s="188"/>
      <c r="X535" s="188"/>
      <c r="Y535" s="188"/>
    </row>
    <row r="536" spans="1:25" ht="12.75" x14ac:dyDescent="0.2">
      <c r="A536" s="188"/>
      <c r="B536" s="188"/>
      <c r="C536" s="188"/>
      <c r="D536" s="188"/>
      <c r="E536" s="188"/>
      <c r="F536" s="188"/>
      <c r="G536" s="188"/>
      <c r="H536" s="188"/>
      <c r="I536" s="188"/>
      <c r="J536" s="188"/>
      <c r="K536" s="188"/>
      <c r="L536" s="188"/>
      <c r="M536" s="188"/>
      <c r="N536" s="188"/>
      <c r="O536" s="188"/>
      <c r="P536" s="188"/>
      <c r="Q536" s="188"/>
      <c r="R536" s="188"/>
      <c r="S536" s="188"/>
      <c r="T536" s="188"/>
      <c r="U536" s="188"/>
      <c r="V536" s="188"/>
      <c r="W536" s="188"/>
      <c r="X536" s="188"/>
      <c r="Y536" s="188"/>
    </row>
    <row r="537" spans="1:25" ht="12.75" x14ac:dyDescent="0.2">
      <c r="A537" s="188"/>
      <c r="B537" s="188"/>
      <c r="C537" s="188"/>
      <c r="D537" s="188"/>
      <c r="E537" s="188"/>
      <c r="F537" s="188"/>
      <c r="G537" s="188"/>
      <c r="H537" s="188"/>
      <c r="I537" s="188"/>
      <c r="J537" s="188"/>
      <c r="K537" s="188"/>
      <c r="L537" s="188"/>
      <c r="M537" s="188"/>
      <c r="N537" s="188"/>
      <c r="O537" s="188"/>
      <c r="P537" s="188"/>
      <c r="Q537" s="188"/>
      <c r="R537" s="188"/>
      <c r="S537" s="188"/>
      <c r="T537" s="188"/>
      <c r="U537" s="188"/>
      <c r="V537" s="188"/>
      <c r="W537" s="188"/>
      <c r="X537" s="188"/>
      <c r="Y537" s="188"/>
    </row>
    <row r="538" spans="1:25" ht="12.75" x14ac:dyDescent="0.2">
      <c r="A538" s="188"/>
      <c r="B538" s="188"/>
      <c r="C538" s="188"/>
      <c r="D538" s="188"/>
      <c r="E538" s="188"/>
      <c r="F538" s="188"/>
      <c r="G538" s="188"/>
      <c r="H538" s="188"/>
      <c r="I538" s="188"/>
      <c r="J538" s="188"/>
      <c r="K538" s="188"/>
      <c r="L538" s="188"/>
      <c r="M538" s="188"/>
      <c r="N538" s="188"/>
      <c r="O538" s="188"/>
      <c r="P538" s="188"/>
      <c r="Q538" s="188"/>
      <c r="R538" s="188"/>
      <c r="S538" s="188"/>
      <c r="T538" s="188"/>
      <c r="U538" s="188"/>
      <c r="V538" s="188"/>
      <c r="W538" s="188"/>
      <c r="X538" s="188"/>
      <c r="Y538" s="188"/>
    </row>
    <row r="539" spans="1:25" ht="12.75" x14ac:dyDescent="0.2">
      <c r="A539" s="188"/>
      <c r="B539" s="188"/>
      <c r="C539" s="188"/>
      <c r="D539" s="188"/>
      <c r="E539" s="188"/>
      <c r="F539" s="188"/>
      <c r="G539" s="188"/>
      <c r="H539" s="188"/>
      <c r="I539" s="188"/>
      <c r="J539" s="188"/>
      <c r="K539" s="188"/>
      <c r="L539" s="188"/>
      <c r="M539" s="188"/>
      <c r="N539" s="188"/>
      <c r="O539" s="188"/>
      <c r="P539" s="188"/>
      <c r="Q539" s="188"/>
      <c r="R539" s="188"/>
      <c r="S539" s="188"/>
      <c r="T539" s="188"/>
      <c r="U539" s="188"/>
      <c r="V539" s="188"/>
      <c r="W539" s="188"/>
      <c r="X539" s="188"/>
      <c r="Y539" s="188"/>
    </row>
    <row r="540" spans="1:25" ht="12.75" x14ac:dyDescent="0.2">
      <c r="A540" s="188"/>
      <c r="B540" s="188"/>
      <c r="C540" s="188"/>
      <c r="D540" s="188"/>
      <c r="E540" s="188"/>
      <c r="F540" s="188"/>
      <c r="G540" s="188"/>
      <c r="H540" s="188"/>
      <c r="I540" s="188"/>
      <c r="J540" s="188"/>
      <c r="K540" s="188"/>
      <c r="L540" s="188"/>
      <c r="M540" s="188"/>
      <c r="N540" s="188"/>
      <c r="O540" s="188"/>
      <c r="P540" s="188"/>
      <c r="Q540" s="188"/>
      <c r="R540" s="188"/>
      <c r="S540" s="188"/>
      <c r="T540" s="188"/>
      <c r="U540" s="188"/>
      <c r="V540" s="188"/>
      <c r="W540" s="188"/>
      <c r="X540" s="188"/>
      <c r="Y540" s="188"/>
    </row>
    <row r="541" spans="1:25" ht="12.75" x14ac:dyDescent="0.2">
      <c r="A541" s="188"/>
      <c r="B541" s="188"/>
      <c r="C541" s="188"/>
      <c r="D541" s="188"/>
      <c r="E541" s="188"/>
      <c r="F541" s="188"/>
      <c r="G541" s="188"/>
      <c r="H541" s="188"/>
      <c r="I541" s="188"/>
      <c r="J541" s="188"/>
      <c r="K541" s="188"/>
      <c r="L541" s="188"/>
      <c r="M541" s="188"/>
      <c r="N541" s="188"/>
      <c r="O541" s="188"/>
      <c r="P541" s="188"/>
      <c r="Q541" s="188"/>
      <c r="R541" s="188"/>
      <c r="S541" s="188"/>
      <c r="T541" s="188"/>
      <c r="U541" s="188"/>
      <c r="V541" s="188"/>
      <c r="W541" s="188"/>
      <c r="X541" s="188"/>
      <c r="Y541" s="188"/>
    </row>
    <row r="542" spans="1:25" ht="12.75" x14ac:dyDescent="0.2">
      <c r="A542" s="188"/>
      <c r="B542" s="188"/>
      <c r="C542" s="188"/>
      <c r="D542" s="188"/>
      <c r="E542" s="188"/>
      <c r="F542" s="188"/>
      <c r="G542" s="188"/>
      <c r="H542" s="188"/>
      <c r="I542" s="188"/>
      <c r="J542" s="188"/>
      <c r="K542" s="188"/>
      <c r="L542" s="188"/>
      <c r="M542" s="188"/>
      <c r="N542" s="188"/>
      <c r="O542" s="188"/>
      <c r="P542" s="188"/>
      <c r="Q542" s="188"/>
      <c r="R542" s="188"/>
      <c r="S542" s="188"/>
      <c r="T542" s="188"/>
      <c r="U542" s="188"/>
      <c r="V542" s="188"/>
      <c r="W542" s="188"/>
      <c r="X542" s="188"/>
      <c r="Y542" s="188"/>
    </row>
    <row r="543" spans="1:25" ht="12.75" x14ac:dyDescent="0.2">
      <c r="A543" s="188"/>
      <c r="B543" s="188"/>
      <c r="C543" s="188"/>
      <c r="D543" s="188"/>
      <c r="E543" s="188"/>
      <c r="F543" s="188"/>
      <c r="G543" s="188"/>
      <c r="H543" s="188"/>
      <c r="I543" s="188"/>
      <c r="J543" s="188"/>
      <c r="K543" s="188"/>
      <c r="L543" s="188"/>
      <c r="M543" s="188"/>
      <c r="N543" s="188"/>
      <c r="O543" s="188"/>
      <c r="P543" s="188"/>
      <c r="Q543" s="188"/>
      <c r="R543" s="188"/>
      <c r="S543" s="188"/>
      <c r="T543" s="188"/>
      <c r="U543" s="188"/>
      <c r="V543" s="188"/>
      <c r="W543" s="188"/>
      <c r="X543" s="188"/>
      <c r="Y543" s="188"/>
    </row>
    <row r="544" spans="1:25" ht="12.75" x14ac:dyDescent="0.2">
      <c r="A544" s="188"/>
      <c r="B544" s="188"/>
      <c r="C544" s="188"/>
      <c r="D544" s="188"/>
      <c r="E544" s="188"/>
      <c r="F544" s="188"/>
      <c r="G544" s="188"/>
      <c r="H544" s="188"/>
      <c r="I544" s="188"/>
      <c r="J544" s="188"/>
      <c r="K544" s="188"/>
      <c r="L544" s="188"/>
      <c r="M544" s="188"/>
      <c r="N544" s="188"/>
      <c r="O544" s="188"/>
      <c r="P544" s="188"/>
      <c r="Q544" s="188"/>
      <c r="R544" s="188"/>
      <c r="S544" s="188"/>
      <c r="T544" s="188"/>
      <c r="U544" s="188"/>
      <c r="V544" s="188"/>
      <c r="W544" s="188"/>
      <c r="X544" s="188"/>
      <c r="Y544" s="188"/>
    </row>
    <row r="545" spans="1:25" ht="12.75" x14ac:dyDescent="0.2">
      <c r="A545" s="188"/>
      <c r="B545" s="188"/>
      <c r="C545" s="188"/>
      <c r="D545" s="188"/>
      <c r="E545" s="188"/>
      <c r="F545" s="188"/>
      <c r="G545" s="188"/>
      <c r="H545" s="188"/>
      <c r="I545" s="188"/>
      <c r="J545" s="188"/>
      <c r="K545" s="188"/>
      <c r="L545" s="188"/>
      <c r="M545" s="188"/>
      <c r="N545" s="188"/>
      <c r="O545" s="188"/>
      <c r="P545" s="188"/>
      <c r="Q545" s="188"/>
      <c r="R545" s="188"/>
      <c r="S545" s="188"/>
      <c r="T545" s="188"/>
      <c r="U545" s="188"/>
      <c r="V545" s="188"/>
      <c r="W545" s="188"/>
      <c r="X545" s="188"/>
      <c r="Y545" s="188"/>
    </row>
    <row r="546" spans="1:25" ht="12.75" x14ac:dyDescent="0.2">
      <c r="A546" s="188"/>
      <c r="B546" s="188"/>
      <c r="C546" s="188"/>
      <c r="D546" s="188"/>
      <c r="E546" s="188"/>
      <c r="F546" s="188"/>
      <c r="G546" s="188"/>
      <c r="H546" s="188"/>
      <c r="I546" s="188"/>
      <c r="J546" s="188"/>
      <c r="K546" s="188"/>
      <c r="L546" s="188"/>
      <c r="M546" s="188"/>
      <c r="N546" s="188"/>
      <c r="O546" s="188"/>
      <c r="P546" s="188"/>
      <c r="Q546" s="188"/>
      <c r="R546" s="188"/>
      <c r="S546" s="188"/>
      <c r="T546" s="188"/>
      <c r="U546" s="188"/>
      <c r="V546" s="188"/>
      <c r="W546" s="188"/>
      <c r="X546" s="188"/>
      <c r="Y546" s="188"/>
    </row>
    <row r="547" spans="1:25" ht="12.75" x14ac:dyDescent="0.2">
      <c r="A547" s="188"/>
      <c r="B547" s="188"/>
      <c r="C547" s="188"/>
      <c r="D547" s="188"/>
      <c r="E547" s="188"/>
      <c r="F547" s="188"/>
      <c r="G547" s="188"/>
      <c r="H547" s="188"/>
      <c r="I547" s="188"/>
      <c r="J547" s="188"/>
      <c r="K547" s="188"/>
      <c r="L547" s="188"/>
      <c r="M547" s="188"/>
      <c r="N547" s="188"/>
      <c r="O547" s="188"/>
      <c r="P547" s="188"/>
      <c r="Q547" s="188"/>
      <c r="R547" s="188"/>
      <c r="S547" s="188"/>
      <c r="T547" s="188"/>
      <c r="U547" s="188"/>
      <c r="V547" s="188"/>
      <c r="W547" s="188"/>
      <c r="X547" s="188"/>
      <c r="Y547" s="188"/>
    </row>
    <row r="548" spans="1:25" ht="12.75" x14ac:dyDescent="0.2">
      <c r="A548" s="188"/>
      <c r="B548" s="188"/>
      <c r="C548" s="188"/>
      <c r="D548" s="188"/>
      <c r="E548" s="188"/>
      <c r="F548" s="188"/>
      <c r="G548" s="188"/>
      <c r="H548" s="188"/>
      <c r="I548" s="188"/>
      <c r="J548" s="188"/>
      <c r="K548" s="188"/>
      <c r="L548" s="188"/>
      <c r="M548" s="188"/>
      <c r="N548" s="188"/>
      <c r="O548" s="188"/>
      <c r="P548" s="188"/>
      <c r="Q548" s="188"/>
      <c r="R548" s="188"/>
      <c r="S548" s="188"/>
      <c r="T548" s="188"/>
      <c r="U548" s="188"/>
      <c r="V548" s="188"/>
      <c r="W548" s="188"/>
      <c r="X548" s="188"/>
      <c r="Y548" s="188"/>
    </row>
    <row r="549" spans="1:25" ht="12.75" x14ac:dyDescent="0.2">
      <c r="A549" s="188"/>
      <c r="B549" s="188"/>
      <c r="C549" s="188"/>
      <c r="D549" s="188"/>
      <c r="E549" s="188"/>
      <c r="F549" s="188"/>
      <c r="G549" s="188"/>
      <c r="H549" s="188"/>
      <c r="I549" s="188"/>
      <c r="J549" s="188"/>
      <c r="K549" s="188"/>
      <c r="L549" s="188"/>
      <c r="M549" s="188"/>
      <c r="N549" s="188"/>
      <c r="O549" s="188"/>
      <c r="P549" s="188"/>
      <c r="Q549" s="188"/>
      <c r="R549" s="188"/>
      <c r="S549" s="188"/>
      <c r="T549" s="188"/>
      <c r="U549" s="188"/>
      <c r="V549" s="188"/>
      <c r="W549" s="188"/>
      <c r="X549" s="188"/>
      <c r="Y549" s="188"/>
    </row>
    <row r="550" spans="1:25" ht="12.75" x14ac:dyDescent="0.2">
      <c r="A550" s="188"/>
      <c r="B550" s="188"/>
      <c r="C550" s="188"/>
      <c r="D550" s="188"/>
      <c r="E550" s="188"/>
      <c r="F550" s="188"/>
      <c r="G550" s="188"/>
      <c r="H550" s="188"/>
      <c r="I550" s="188"/>
      <c r="J550" s="188"/>
      <c r="K550" s="188"/>
      <c r="L550" s="188"/>
      <c r="M550" s="188"/>
      <c r="N550" s="188"/>
      <c r="O550" s="188"/>
      <c r="P550" s="188"/>
      <c r="Q550" s="188"/>
      <c r="R550" s="188"/>
      <c r="S550" s="188"/>
      <c r="T550" s="188"/>
      <c r="U550" s="188"/>
      <c r="V550" s="188"/>
      <c r="W550" s="188"/>
      <c r="X550" s="188"/>
      <c r="Y550" s="188"/>
    </row>
    <row r="551" spans="1:25" ht="12.75" x14ac:dyDescent="0.2">
      <c r="A551" s="188"/>
      <c r="B551" s="188"/>
      <c r="C551" s="188"/>
      <c r="D551" s="188"/>
      <c r="E551" s="188"/>
      <c r="F551" s="188"/>
      <c r="G551" s="188"/>
      <c r="H551" s="188"/>
      <c r="I551" s="188"/>
      <c r="J551" s="188"/>
      <c r="K551" s="188"/>
      <c r="L551" s="188"/>
      <c r="M551" s="188"/>
      <c r="N551" s="188"/>
      <c r="O551" s="188"/>
      <c r="P551" s="188"/>
      <c r="Q551" s="188"/>
      <c r="R551" s="188"/>
      <c r="S551" s="188"/>
      <c r="T551" s="188"/>
      <c r="U551" s="188"/>
      <c r="V551" s="188"/>
      <c r="W551" s="188"/>
      <c r="X551" s="188"/>
      <c r="Y551" s="188"/>
    </row>
    <row r="552" spans="1:25" ht="12.75" x14ac:dyDescent="0.2">
      <c r="A552" s="188"/>
      <c r="B552" s="188"/>
      <c r="C552" s="188"/>
      <c r="D552" s="188"/>
      <c r="E552" s="188"/>
      <c r="F552" s="188"/>
      <c r="G552" s="188"/>
      <c r="H552" s="188"/>
      <c r="I552" s="188"/>
      <c r="J552" s="188"/>
      <c r="K552" s="188"/>
      <c r="L552" s="188"/>
      <c r="M552" s="188"/>
      <c r="N552" s="188"/>
      <c r="O552" s="188"/>
      <c r="P552" s="188"/>
      <c r="Q552" s="188"/>
      <c r="R552" s="188"/>
      <c r="S552" s="188"/>
      <c r="T552" s="188"/>
      <c r="U552" s="188"/>
      <c r="V552" s="188"/>
      <c r="W552" s="188"/>
      <c r="X552" s="188"/>
      <c r="Y552" s="188"/>
    </row>
    <row r="553" spans="1:25" ht="12.75" x14ac:dyDescent="0.2">
      <c r="A553" s="188"/>
      <c r="B553" s="188"/>
      <c r="C553" s="188"/>
      <c r="D553" s="188"/>
      <c r="E553" s="188"/>
      <c r="F553" s="188"/>
      <c r="G553" s="188"/>
      <c r="H553" s="188"/>
      <c r="I553" s="188"/>
      <c r="J553" s="188"/>
      <c r="K553" s="188"/>
      <c r="L553" s="188"/>
      <c r="M553" s="188"/>
      <c r="N553" s="188"/>
      <c r="O553" s="188"/>
      <c r="P553" s="188"/>
      <c r="Q553" s="188"/>
      <c r="R553" s="188"/>
      <c r="S553" s="188"/>
      <c r="T553" s="188"/>
      <c r="U553" s="188"/>
      <c r="V553" s="188"/>
      <c r="W553" s="188"/>
      <c r="X553" s="188"/>
      <c r="Y553" s="188"/>
    </row>
    <row r="554" spans="1:25" ht="12.75" x14ac:dyDescent="0.2">
      <c r="A554" s="188"/>
      <c r="B554" s="188"/>
      <c r="C554" s="188"/>
      <c r="D554" s="188"/>
      <c r="E554" s="188"/>
      <c r="F554" s="188"/>
      <c r="G554" s="188"/>
      <c r="H554" s="188"/>
      <c r="I554" s="188"/>
      <c r="J554" s="188"/>
      <c r="K554" s="188"/>
      <c r="L554" s="188"/>
      <c r="M554" s="188"/>
      <c r="N554" s="188"/>
      <c r="O554" s="188"/>
      <c r="P554" s="188"/>
      <c r="Q554" s="188"/>
      <c r="R554" s="188"/>
      <c r="S554" s="188"/>
      <c r="T554" s="188"/>
      <c r="U554" s="188"/>
      <c r="V554" s="188"/>
      <c r="W554" s="188"/>
      <c r="X554" s="188"/>
      <c r="Y554" s="188"/>
    </row>
    <row r="555" spans="1:25" ht="12.75" x14ac:dyDescent="0.2">
      <c r="A555" s="188"/>
      <c r="B555" s="188"/>
      <c r="C555" s="188"/>
      <c r="D555" s="188"/>
      <c r="E555" s="188"/>
      <c r="F555" s="188"/>
      <c r="G555" s="188"/>
      <c r="H555" s="188"/>
      <c r="I555" s="188"/>
      <c r="J555" s="188"/>
      <c r="K555" s="188"/>
      <c r="L555" s="188"/>
      <c r="M555" s="188"/>
      <c r="N555" s="188"/>
      <c r="O555" s="188"/>
      <c r="P555" s="188"/>
      <c r="Q555" s="188"/>
      <c r="R555" s="188"/>
      <c r="S555" s="188"/>
      <c r="T555" s="188"/>
      <c r="U555" s="188"/>
      <c r="V555" s="188"/>
      <c r="W555" s="188"/>
      <c r="X555" s="188"/>
      <c r="Y555" s="188"/>
    </row>
    <row r="556" spans="1:25" ht="12.75" x14ac:dyDescent="0.2">
      <c r="A556" s="188"/>
      <c r="B556" s="188"/>
      <c r="C556" s="188"/>
      <c r="D556" s="188"/>
      <c r="E556" s="188"/>
      <c r="F556" s="188"/>
      <c r="G556" s="188"/>
      <c r="H556" s="188"/>
      <c r="I556" s="188"/>
      <c r="J556" s="188"/>
      <c r="K556" s="188"/>
      <c r="L556" s="188"/>
      <c r="M556" s="188"/>
      <c r="N556" s="188"/>
      <c r="O556" s="188"/>
      <c r="P556" s="188"/>
      <c r="Q556" s="188"/>
      <c r="R556" s="188"/>
      <c r="S556" s="188"/>
      <c r="T556" s="188"/>
      <c r="U556" s="188"/>
      <c r="V556" s="188"/>
      <c r="W556" s="188"/>
      <c r="X556" s="188"/>
      <c r="Y556" s="188"/>
    </row>
    <row r="557" spans="1:25" ht="12.75" x14ac:dyDescent="0.2">
      <c r="A557" s="188"/>
      <c r="B557" s="188"/>
      <c r="C557" s="188"/>
      <c r="D557" s="188"/>
      <c r="E557" s="188"/>
      <c r="F557" s="188"/>
      <c r="G557" s="188"/>
      <c r="H557" s="188"/>
      <c r="I557" s="188"/>
      <c r="J557" s="188"/>
      <c r="K557" s="188"/>
      <c r="L557" s="188"/>
      <c r="M557" s="188"/>
      <c r="N557" s="188"/>
      <c r="O557" s="188"/>
      <c r="P557" s="188"/>
      <c r="Q557" s="188"/>
      <c r="R557" s="188"/>
      <c r="S557" s="188"/>
      <c r="T557" s="188"/>
      <c r="U557" s="188"/>
      <c r="V557" s="188"/>
      <c r="W557" s="188"/>
      <c r="X557" s="188"/>
      <c r="Y557" s="188"/>
    </row>
    <row r="558" spans="1:25" ht="12.75" x14ac:dyDescent="0.2">
      <c r="A558" s="188"/>
      <c r="B558" s="188"/>
      <c r="C558" s="188"/>
      <c r="D558" s="188"/>
      <c r="E558" s="188"/>
      <c r="F558" s="188"/>
      <c r="G558" s="188"/>
      <c r="H558" s="188"/>
      <c r="I558" s="188"/>
      <c r="J558" s="188"/>
      <c r="K558" s="188"/>
      <c r="L558" s="188"/>
      <c r="M558" s="188"/>
      <c r="N558" s="188"/>
      <c r="O558" s="188"/>
      <c r="P558" s="188"/>
      <c r="Q558" s="188"/>
      <c r="R558" s="188"/>
      <c r="S558" s="188"/>
      <c r="T558" s="188"/>
      <c r="U558" s="188"/>
      <c r="V558" s="188"/>
      <c r="W558" s="188"/>
      <c r="X558" s="188"/>
      <c r="Y558" s="188"/>
    </row>
    <row r="559" spans="1:25" ht="12.75" x14ac:dyDescent="0.2">
      <c r="A559" s="188"/>
      <c r="B559" s="188"/>
      <c r="C559" s="188"/>
      <c r="D559" s="188"/>
      <c r="E559" s="188"/>
      <c r="F559" s="188"/>
      <c r="G559" s="188"/>
      <c r="H559" s="188"/>
      <c r="I559" s="188"/>
      <c r="J559" s="188"/>
      <c r="K559" s="188"/>
      <c r="L559" s="188"/>
      <c r="M559" s="188"/>
      <c r="N559" s="188"/>
      <c r="O559" s="188"/>
      <c r="P559" s="188"/>
      <c r="Q559" s="188"/>
      <c r="R559" s="188"/>
      <c r="S559" s="188"/>
      <c r="T559" s="188"/>
      <c r="U559" s="188"/>
      <c r="V559" s="188"/>
      <c r="W559" s="188"/>
      <c r="X559" s="188"/>
      <c r="Y559" s="188"/>
    </row>
    <row r="560" spans="1:25" ht="12.75" x14ac:dyDescent="0.2">
      <c r="A560" s="188"/>
      <c r="B560" s="188"/>
      <c r="C560" s="188"/>
      <c r="D560" s="188"/>
      <c r="E560" s="188"/>
      <c r="F560" s="188"/>
      <c r="G560" s="188"/>
      <c r="H560" s="188"/>
      <c r="I560" s="188"/>
      <c r="J560" s="188"/>
      <c r="K560" s="188"/>
      <c r="L560" s="188"/>
      <c r="M560" s="188"/>
      <c r="N560" s="188"/>
      <c r="O560" s="188"/>
      <c r="P560" s="188"/>
      <c r="Q560" s="188"/>
      <c r="R560" s="188"/>
      <c r="S560" s="188"/>
      <c r="T560" s="188"/>
      <c r="U560" s="188"/>
      <c r="V560" s="188"/>
      <c r="W560" s="188"/>
      <c r="X560" s="188"/>
      <c r="Y560" s="188"/>
    </row>
    <row r="561" spans="1:25" ht="12.75" x14ac:dyDescent="0.2">
      <c r="A561" s="188"/>
      <c r="B561" s="188"/>
      <c r="C561" s="188"/>
      <c r="D561" s="188"/>
      <c r="E561" s="188"/>
      <c r="F561" s="188"/>
      <c r="G561" s="188"/>
      <c r="H561" s="188"/>
      <c r="I561" s="188"/>
      <c r="J561" s="188"/>
      <c r="K561" s="188"/>
      <c r="L561" s="188"/>
      <c r="M561" s="188"/>
      <c r="N561" s="188"/>
      <c r="O561" s="188"/>
      <c r="P561" s="188"/>
      <c r="Q561" s="188"/>
      <c r="R561" s="188"/>
      <c r="S561" s="188"/>
      <c r="T561" s="188"/>
      <c r="U561" s="188"/>
      <c r="V561" s="188"/>
      <c r="W561" s="188"/>
      <c r="X561" s="188"/>
      <c r="Y561" s="188"/>
    </row>
    <row r="562" spans="1:25" ht="12.75" x14ac:dyDescent="0.2">
      <c r="A562" s="188"/>
      <c r="B562" s="188"/>
      <c r="C562" s="188"/>
      <c r="D562" s="188"/>
      <c r="E562" s="188"/>
      <c r="F562" s="188"/>
      <c r="G562" s="188"/>
      <c r="H562" s="188"/>
      <c r="I562" s="188"/>
      <c r="J562" s="188"/>
      <c r="K562" s="188"/>
      <c r="L562" s="188"/>
      <c r="M562" s="188"/>
      <c r="N562" s="188"/>
      <c r="O562" s="188"/>
      <c r="P562" s="188"/>
      <c r="Q562" s="188"/>
      <c r="R562" s="188"/>
      <c r="S562" s="188"/>
      <c r="T562" s="188"/>
      <c r="U562" s="188"/>
      <c r="V562" s="188"/>
      <c r="W562" s="188"/>
      <c r="X562" s="188"/>
      <c r="Y562" s="188"/>
    </row>
    <row r="563" spans="1:25" ht="12.75" x14ac:dyDescent="0.2">
      <c r="A563" s="188"/>
      <c r="B563" s="188"/>
      <c r="C563" s="188"/>
      <c r="D563" s="188"/>
      <c r="E563" s="188"/>
      <c r="F563" s="188"/>
      <c r="G563" s="188"/>
      <c r="H563" s="188"/>
      <c r="I563" s="188"/>
      <c r="J563" s="188"/>
      <c r="K563" s="188"/>
      <c r="L563" s="188"/>
      <c r="M563" s="188"/>
      <c r="N563" s="188"/>
      <c r="O563" s="188"/>
      <c r="P563" s="188"/>
      <c r="Q563" s="188"/>
      <c r="R563" s="188"/>
      <c r="S563" s="188"/>
      <c r="T563" s="188"/>
      <c r="U563" s="188"/>
      <c r="V563" s="188"/>
      <c r="W563" s="188"/>
      <c r="X563" s="188"/>
      <c r="Y563" s="188"/>
    </row>
    <row r="564" spans="1:25" ht="12.75" x14ac:dyDescent="0.2">
      <c r="A564" s="188"/>
      <c r="B564" s="188"/>
      <c r="C564" s="188"/>
      <c r="D564" s="188"/>
      <c r="E564" s="188"/>
      <c r="F564" s="188"/>
      <c r="G564" s="188"/>
      <c r="H564" s="188"/>
      <c r="I564" s="188"/>
      <c r="J564" s="188"/>
      <c r="K564" s="188"/>
      <c r="L564" s="188"/>
      <c r="M564" s="188"/>
      <c r="N564" s="188"/>
      <c r="O564" s="188"/>
      <c r="P564" s="188"/>
      <c r="Q564" s="188"/>
      <c r="R564" s="188"/>
      <c r="S564" s="188"/>
      <c r="T564" s="188"/>
      <c r="U564" s="188"/>
      <c r="V564" s="188"/>
      <c r="W564" s="188"/>
      <c r="X564" s="188"/>
      <c r="Y564" s="188"/>
    </row>
    <row r="565" spans="1:25" ht="12.75" x14ac:dyDescent="0.2">
      <c r="A565" s="188"/>
      <c r="B565" s="188"/>
      <c r="C565" s="188"/>
      <c r="D565" s="188"/>
      <c r="E565" s="188"/>
      <c r="F565" s="188"/>
      <c r="G565" s="188"/>
      <c r="H565" s="188"/>
      <c r="I565" s="188"/>
      <c r="J565" s="188"/>
      <c r="K565" s="188"/>
      <c r="L565" s="188"/>
      <c r="M565" s="188"/>
      <c r="N565" s="188"/>
      <c r="O565" s="188"/>
      <c r="P565" s="188"/>
      <c r="Q565" s="188"/>
      <c r="R565" s="188"/>
      <c r="S565" s="188"/>
      <c r="T565" s="188"/>
      <c r="U565" s="188"/>
      <c r="V565" s="188"/>
      <c r="W565" s="188"/>
      <c r="X565" s="188"/>
      <c r="Y565" s="188"/>
    </row>
    <row r="566" spans="1:25" ht="12.75" x14ac:dyDescent="0.2">
      <c r="A566" s="188"/>
      <c r="B566" s="188"/>
      <c r="C566" s="188"/>
      <c r="D566" s="188"/>
      <c r="E566" s="188"/>
      <c r="F566" s="188"/>
      <c r="G566" s="188"/>
      <c r="H566" s="188"/>
      <c r="I566" s="188"/>
      <c r="J566" s="188"/>
      <c r="K566" s="188"/>
      <c r="L566" s="188"/>
      <c r="M566" s="188"/>
      <c r="N566" s="188"/>
      <c r="O566" s="188"/>
      <c r="P566" s="188"/>
      <c r="Q566" s="188"/>
      <c r="R566" s="188"/>
      <c r="S566" s="188"/>
      <c r="T566" s="188"/>
      <c r="U566" s="188"/>
      <c r="V566" s="188"/>
      <c r="W566" s="188"/>
      <c r="X566" s="188"/>
      <c r="Y566" s="188"/>
    </row>
    <row r="567" spans="1:25" ht="12.75" x14ac:dyDescent="0.2">
      <c r="A567" s="188"/>
      <c r="B567" s="188"/>
      <c r="C567" s="188"/>
      <c r="D567" s="188"/>
      <c r="E567" s="188"/>
      <c r="F567" s="188"/>
      <c r="G567" s="188"/>
      <c r="H567" s="188"/>
      <c r="I567" s="188"/>
      <c r="J567" s="188"/>
      <c r="K567" s="188"/>
      <c r="L567" s="188"/>
      <c r="M567" s="188"/>
      <c r="N567" s="188"/>
      <c r="O567" s="188"/>
      <c r="P567" s="188"/>
      <c r="Q567" s="188"/>
      <c r="R567" s="188"/>
      <c r="S567" s="188"/>
      <c r="T567" s="188"/>
      <c r="U567" s="188"/>
      <c r="V567" s="188"/>
      <c r="W567" s="188"/>
      <c r="X567" s="188"/>
      <c r="Y567" s="188"/>
    </row>
    <row r="568" spans="1:25" ht="12.75" x14ac:dyDescent="0.2">
      <c r="A568" s="188"/>
      <c r="B568" s="188"/>
      <c r="C568" s="188"/>
      <c r="D568" s="188"/>
      <c r="E568" s="188"/>
      <c r="F568" s="188"/>
      <c r="G568" s="188"/>
      <c r="H568" s="188"/>
      <c r="I568" s="188"/>
      <c r="J568" s="188"/>
      <c r="K568" s="188"/>
      <c r="L568" s="188"/>
      <c r="M568" s="188"/>
      <c r="N568" s="188"/>
      <c r="O568" s="188"/>
      <c r="P568" s="188"/>
      <c r="Q568" s="188"/>
      <c r="R568" s="188"/>
      <c r="S568" s="188"/>
      <c r="T568" s="188"/>
      <c r="U568" s="188"/>
      <c r="V568" s="188"/>
      <c r="W568" s="188"/>
      <c r="X568" s="188"/>
      <c r="Y568" s="188"/>
    </row>
    <row r="569" spans="1:25" ht="12.75" x14ac:dyDescent="0.2">
      <c r="A569" s="188"/>
      <c r="B569" s="188"/>
      <c r="C569" s="188"/>
      <c r="D569" s="188"/>
      <c r="E569" s="188"/>
      <c r="F569" s="188"/>
      <c r="G569" s="188"/>
      <c r="H569" s="188"/>
      <c r="I569" s="188"/>
      <c r="J569" s="188"/>
      <c r="K569" s="188"/>
      <c r="L569" s="188"/>
      <c r="M569" s="188"/>
      <c r="N569" s="188"/>
      <c r="O569" s="188"/>
      <c r="P569" s="188"/>
      <c r="Q569" s="188"/>
      <c r="R569" s="188"/>
      <c r="S569" s="188"/>
      <c r="T569" s="188"/>
      <c r="U569" s="188"/>
      <c r="V569" s="188"/>
      <c r="W569" s="188"/>
      <c r="X569" s="188"/>
      <c r="Y569" s="188"/>
    </row>
    <row r="570" spans="1:25" ht="12.75" x14ac:dyDescent="0.2">
      <c r="A570" s="188"/>
      <c r="B570" s="188"/>
      <c r="C570" s="188"/>
      <c r="D570" s="188"/>
      <c r="E570" s="188"/>
      <c r="F570" s="188"/>
      <c r="G570" s="188"/>
      <c r="H570" s="188"/>
      <c r="I570" s="188"/>
      <c r="J570" s="188"/>
      <c r="K570" s="188"/>
      <c r="L570" s="188"/>
      <c r="M570" s="188"/>
      <c r="N570" s="188"/>
      <c r="O570" s="188"/>
      <c r="P570" s="188"/>
      <c r="Q570" s="188"/>
      <c r="R570" s="188"/>
      <c r="S570" s="188"/>
      <c r="T570" s="188"/>
      <c r="U570" s="188"/>
      <c r="V570" s="188"/>
      <c r="W570" s="188"/>
      <c r="X570" s="188"/>
      <c r="Y570" s="188"/>
    </row>
    <row r="571" spans="1:25" ht="12.75" x14ac:dyDescent="0.2">
      <c r="A571" s="188"/>
      <c r="B571" s="188"/>
      <c r="C571" s="188"/>
      <c r="D571" s="188"/>
      <c r="E571" s="188"/>
      <c r="F571" s="188"/>
      <c r="G571" s="188"/>
      <c r="H571" s="188"/>
      <c r="I571" s="188"/>
      <c r="J571" s="188"/>
      <c r="K571" s="188"/>
      <c r="L571" s="188"/>
      <c r="M571" s="188"/>
      <c r="N571" s="188"/>
      <c r="O571" s="188"/>
      <c r="P571" s="188"/>
      <c r="Q571" s="188"/>
      <c r="R571" s="188"/>
      <c r="S571" s="188"/>
      <c r="T571" s="188"/>
      <c r="U571" s="188"/>
      <c r="V571" s="188"/>
      <c r="W571" s="188"/>
      <c r="X571" s="188"/>
      <c r="Y571" s="188"/>
    </row>
    <row r="572" spans="1:25" ht="12.75" x14ac:dyDescent="0.2">
      <c r="A572" s="188"/>
      <c r="B572" s="188"/>
      <c r="C572" s="188"/>
      <c r="D572" s="188"/>
      <c r="E572" s="188"/>
      <c r="F572" s="188"/>
      <c r="G572" s="188"/>
      <c r="H572" s="188"/>
      <c r="I572" s="188"/>
      <c r="J572" s="188"/>
      <c r="K572" s="188"/>
      <c r="L572" s="188"/>
      <c r="M572" s="188"/>
      <c r="N572" s="188"/>
      <c r="O572" s="188"/>
      <c r="P572" s="188"/>
      <c r="Q572" s="188"/>
      <c r="R572" s="188"/>
      <c r="S572" s="188"/>
      <c r="T572" s="188"/>
      <c r="U572" s="188"/>
      <c r="V572" s="188"/>
      <c r="W572" s="188"/>
      <c r="X572" s="188"/>
      <c r="Y572" s="188"/>
    </row>
    <row r="573" spans="1:25" ht="12.75" x14ac:dyDescent="0.2">
      <c r="A573" s="188"/>
      <c r="B573" s="188"/>
      <c r="C573" s="188"/>
      <c r="D573" s="188"/>
      <c r="E573" s="188"/>
      <c r="F573" s="188"/>
      <c r="G573" s="188"/>
      <c r="H573" s="188"/>
      <c r="I573" s="188"/>
      <c r="J573" s="188"/>
      <c r="K573" s="188"/>
      <c r="L573" s="188"/>
      <c r="M573" s="188"/>
      <c r="N573" s="188"/>
      <c r="O573" s="188"/>
      <c r="P573" s="188"/>
      <c r="Q573" s="188"/>
      <c r="R573" s="188"/>
      <c r="S573" s="188"/>
      <c r="T573" s="188"/>
      <c r="U573" s="188"/>
      <c r="V573" s="188"/>
      <c r="W573" s="188"/>
      <c r="X573" s="188"/>
      <c r="Y573" s="188"/>
    </row>
    <row r="574" spans="1:25" ht="12.75" x14ac:dyDescent="0.2">
      <c r="A574" s="188"/>
      <c r="B574" s="188"/>
      <c r="C574" s="188"/>
      <c r="D574" s="188"/>
      <c r="E574" s="188"/>
      <c r="F574" s="188"/>
      <c r="G574" s="188"/>
      <c r="H574" s="188"/>
      <c r="I574" s="188"/>
      <c r="J574" s="188"/>
      <c r="K574" s="188"/>
      <c r="L574" s="188"/>
      <c r="M574" s="188"/>
      <c r="N574" s="188"/>
      <c r="O574" s="188"/>
      <c r="P574" s="188"/>
      <c r="Q574" s="188"/>
      <c r="R574" s="188"/>
      <c r="S574" s="188"/>
      <c r="T574" s="188"/>
      <c r="U574" s="188"/>
      <c r="V574" s="188"/>
      <c r="W574" s="188"/>
      <c r="X574" s="188"/>
      <c r="Y574" s="188"/>
    </row>
    <row r="575" spans="1:25" ht="12.75" x14ac:dyDescent="0.2">
      <c r="A575" s="188"/>
      <c r="B575" s="188"/>
      <c r="C575" s="188"/>
      <c r="D575" s="188"/>
      <c r="E575" s="188"/>
      <c r="F575" s="188"/>
      <c r="G575" s="188"/>
      <c r="H575" s="188"/>
      <c r="I575" s="188"/>
      <c r="J575" s="188"/>
      <c r="K575" s="188"/>
      <c r="L575" s="188"/>
      <c r="M575" s="188"/>
      <c r="N575" s="188"/>
      <c r="O575" s="188"/>
      <c r="P575" s="188"/>
      <c r="Q575" s="188"/>
      <c r="R575" s="188"/>
      <c r="S575" s="188"/>
      <c r="T575" s="188"/>
      <c r="U575" s="188"/>
      <c r="V575" s="188"/>
      <c r="W575" s="188"/>
      <c r="X575" s="188"/>
      <c r="Y575" s="188"/>
    </row>
    <row r="576" spans="1:25" ht="12.75" x14ac:dyDescent="0.2">
      <c r="A576" s="188"/>
      <c r="B576" s="188"/>
      <c r="C576" s="188"/>
      <c r="D576" s="188"/>
      <c r="E576" s="188"/>
      <c r="F576" s="188"/>
      <c r="G576" s="188"/>
      <c r="H576" s="188"/>
      <c r="I576" s="188"/>
      <c r="J576" s="188"/>
      <c r="K576" s="188"/>
      <c r="L576" s="188"/>
      <c r="M576" s="188"/>
      <c r="N576" s="188"/>
      <c r="O576" s="188"/>
      <c r="P576" s="188"/>
      <c r="Q576" s="188"/>
      <c r="R576" s="188"/>
      <c r="S576" s="188"/>
      <c r="T576" s="188"/>
      <c r="U576" s="188"/>
      <c r="V576" s="188"/>
      <c r="W576" s="188"/>
      <c r="X576" s="188"/>
      <c r="Y576" s="188"/>
    </row>
    <row r="577" spans="1:25" ht="12.75" x14ac:dyDescent="0.2">
      <c r="A577" s="188"/>
      <c r="B577" s="188"/>
      <c r="C577" s="188"/>
      <c r="D577" s="188"/>
      <c r="E577" s="188"/>
      <c r="F577" s="188"/>
      <c r="G577" s="188"/>
      <c r="H577" s="188"/>
      <c r="I577" s="188"/>
      <c r="J577" s="188"/>
      <c r="K577" s="188"/>
      <c r="L577" s="188"/>
      <c r="M577" s="188"/>
      <c r="N577" s="188"/>
      <c r="O577" s="188"/>
      <c r="P577" s="188"/>
      <c r="Q577" s="188"/>
      <c r="R577" s="188"/>
      <c r="S577" s="188"/>
      <c r="T577" s="188"/>
      <c r="U577" s="188"/>
      <c r="V577" s="188"/>
      <c r="W577" s="188"/>
      <c r="X577" s="188"/>
      <c r="Y577" s="188"/>
    </row>
    <row r="578" spans="1:25" ht="12.75" x14ac:dyDescent="0.2">
      <c r="A578" s="188"/>
      <c r="B578" s="188"/>
      <c r="C578" s="188"/>
      <c r="D578" s="188"/>
      <c r="E578" s="188"/>
      <c r="F578" s="188"/>
      <c r="G578" s="188"/>
      <c r="H578" s="188"/>
      <c r="I578" s="188"/>
      <c r="J578" s="188"/>
      <c r="K578" s="188"/>
      <c r="L578" s="188"/>
      <c r="M578" s="188"/>
      <c r="N578" s="188"/>
      <c r="O578" s="188"/>
      <c r="P578" s="188"/>
      <c r="Q578" s="188"/>
      <c r="R578" s="188"/>
      <c r="S578" s="188"/>
      <c r="T578" s="188"/>
      <c r="U578" s="188"/>
      <c r="V578" s="188"/>
      <c r="W578" s="188"/>
      <c r="X578" s="188"/>
      <c r="Y578" s="188"/>
    </row>
    <row r="579" spans="1:25" ht="12.75" x14ac:dyDescent="0.2">
      <c r="A579" s="188"/>
      <c r="B579" s="188"/>
      <c r="C579" s="188"/>
      <c r="D579" s="188"/>
      <c r="E579" s="188"/>
      <c r="F579" s="188"/>
      <c r="G579" s="188"/>
      <c r="H579" s="188"/>
      <c r="I579" s="188"/>
      <c r="J579" s="188"/>
      <c r="K579" s="188"/>
      <c r="L579" s="188"/>
      <c r="M579" s="188"/>
      <c r="N579" s="188"/>
      <c r="O579" s="188"/>
      <c r="P579" s="188"/>
      <c r="Q579" s="188"/>
      <c r="R579" s="188"/>
      <c r="S579" s="188"/>
      <c r="T579" s="188"/>
      <c r="U579" s="188"/>
      <c r="V579" s="188"/>
      <c r="W579" s="188"/>
      <c r="X579" s="188"/>
      <c r="Y579" s="188"/>
    </row>
    <row r="580" spans="1:25" ht="12.75" x14ac:dyDescent="0.2">
      <c r="A580" s="188"/>
      <c r="B580" s="188"/>
      <c r="C580" s="188"/>
      <c r="D580" s="188"/>
      <c r="E580" s="188"/>
      <c r="F580" s="188"/>
      <c r="G580" s="188"/>
      <c r="H580" s="188"/>
      <c r="I580" s="188"/>
      <c r="J580" s="188"/>
      <c r="K580" s="188"/>
      <c r="L580" s="188"/>
      <c r="M580" s="188"/>
      <c r="N580" s="188"/>
      <c r="O580" s="188"/>
      <c r="P580" s="188"/>
      <c r="Q580" s="188"/>
      <c r="R580" s="188"/>
      <c r="S580" s="188"/>
      <c r="T580" s="188"/>
      <c r="U580" s="188"/>
      <c r="V580" s="188"/>
      <c r="W580" s="188"/>
      <c r="X580" s="188"/>
      <c r="Y580" s="188"/>
    </row>
    <row r="581" spans="1:25" ht="12.75" x14ac:dyDescent="0.2">
      <c r="A581" s="188"/>
      <c r="B581" s="188"/>
      <c r="C581" s="188"/>
      <c r="D581" s="188"/>
      <c r="E581" s="188"/>
      <c r="F581" s="188"/>
      <c r="G581" s="188"/>
      <c r="H581" s="188"/>
      <c r="I581" s="188"/>
      <c r="J581" s="188"/>
      <c r="K581" s="188"/>
      <c r="L581" s="188"/>
      <c r="M581" s="188"/>
      <c r="N581" s="188"/>
      <c r="O581" s="188"/>
      <c r="P581" s="188"/>
      <c r="Q581" s="188"/>
      <c r="R581" s="188"/>
      <c r="S581" s="188"/>
      <c r="T581" s="188"/>
      <c r="U581" s="188"/>
      <c r="V581" s="188"/>
      <c r="W581" s="188"/>
      <c r="X581" s="188"/>
      <c r="Y581" s="188"/>
    </row>
    <row r="582" spans="1:25" ht="12.75" x14ac:dyDescent="0.2">
      <c r="A582" s="188"/>
      <c r="B582" s="188"/>
      <c r="C582" s="188"/>
      <c r="D582" s="188"/>
      <c r="E582" s="188"/>
      <c r="F582" s="188"/>
      <c r="G582" s="188"/>
      <c r="H582" s="188"/>
      <c r="I582" s="188"/>
      <c r="J582" s="188"/>
      <c r="K582" s="188"/>
      <c r="L582" s="188"/>
      <c r="M582" s="188"/>
      <c r="N582" s="188"/>
      <c r="O582" s="188"/>
      <c r="P582" s="188"/>
      <c r="Q582" s="188"/>
      <c r="R582" s="188"/>
      <c r="S582" s="188"/>
      <c r="T582" s="188"/>
      <c r="U582" s="188"/>
      <c r="V582" s="188"/>
      <c r="W582" s="188"/>
      <c r="X582" s="188"/>
      <c r="Y582" s="188"/>
    </row>
    <row r="583" spans="1:25" ht="12.75" x14ac:dyDescent="0.2">
      <c r="A583" s="188"/>
      <c r="B583" s="188"/>
      <c r="C583" s="188"/>
      <c r="D583" s="188"/>
      <c r="E583" s="188"/>
      <c r="F583" s="188"/>
      <c r="G583" s="188"/>
      <c r="H583" s="188"/>
      <c r="I583" s="188"/>
      <c r="J583" s="188"/>
      <c r="K583" s="188"/>
      <c r="L583" s="188"/>
      <c r="M583" s="188"/>
      <c r="N583" s="188"/>
      <c r="O583" s="188"/>
      <c r="P583" s="188"/>
      <c r="Q583" s="188"/>
      <c r="R583" s="188"/>
      <c r="S583" s="188"/>
      <c r="T583" s="188"/>
      <c r="U583" s="188"/>
      <c r="V583" s="188"/>
      <c r="W583" s="188"/>
      <c r="X583" s="188"/>
      <c r="Y583" s="188"/>
    </row>
    <row r="584" spans="1:25" ht="12.75" x14ac:dyDescent="0.2">
      <c r="A584" s="188"/>
      <c r="B584" s="188"/>
      <c r="C584" s="188"/>
      <c r="D584" s="188"/>
      <c r="E584" s="188"/>
      <c r="F584" s="188"/>
      <c r="G584" s="188"/>
      <c r="H584" s="188"/>
      <c r="I584" s="188"/>
      <c r="J584" s="188"/>
      <c r="K584" s="188"/>
      <c r="L584" s="188"/>
      <c r="M584" s="188"/>
      <c r="N584" s="188"/>
      <c r="O584" s="188"/>
      <c r="P584" s="188"/>
      <c r="Q584" s="188"/>
      <c r="R584" s="188"/>
      <c r="S584" s="188"/>
      <c r="T584" s="188"/>
      <c r="U584" s="188"/>
      <c r="V584" s="188"/>
      <c r="W584" s="188"/>
      <c r="X584" s="188"/>
      <c r="Y584" s="188"/>
    </row>
    <row r="585" spans="1:25" ht="12.75" x14ac:dyDescent="0.2">
      <c r="A585" s="188"/>
      <c r="B585" s="188"/>
      <c r="C585" s="188"/>
      <c r="D585" s="188"/>
      <c r="E585" s="188"/>
      <c r="F585" s="188"/>
      <c r="G585" s="188"/>
      <c r="H585" s="188"/>
      <c r="I585" s="188"/>
      <c r="J585" s="188"/>
      <c r="K585" s="188"/>
      <c r="L585" s="188"/>
      <c r="M585" s="188"/>
      <c r="N585" s="188"/>
      <c r="O585" s="188"/>
      <c r="P585" s="188"/>
      <c r="Q585" s="188"/>
      <c r="R585" s="188"/>
      <c r="S585" s="188"/>
      <c r="T585" s="188"/>
      <c r="U585" s="188"/>
      <c r="V585" s="188"/>
      <c r="W585" s="188"/>
      <c r="X585" s="188"/>
      <c r="Y585" s="188"/>
    </row>
    <row r="586" spans="1:25" ht="12.75" x14ac:dyDescent="0.2">
      <c r="A586" s="188"/>
      <c r="B586" s="188"/>
      <c r="C586" s="188"/>
      <c r="D586" s="188"/>
      <c r="E586" s="188"/>
      <c r="F586" s="188"/>
      <c r="G586" s="188"/>
      <c r="H586" s="188"/>
      <c r="I586" s="188"/>
      <c r="J586" s="188"/>
      <c r="K586" s="188"/>
      <c r="L586" s="188"/>
      <c r="M586" s="188"/>
      <c r="N586" s="188"/>
      <c r="O586" s="188"/>
      <c r="P586" s="188"/>
      <c r="Q586" s="188"/>
      <c r="R586" s="188"/>
      <c r="S586" s="188"/>
      <c r="T586" s="188"/>
      <c r="U586" s="188"/>
      <c r="V586" s="188"/>
      <c r="W586" s="188"/>
      <c r="X586" s="188"/>
      <c r="Y586" s="188"/>
    </row>
    <row r="587" spans="1:25" ht="12.75" x14ac:dyDescent="0.2">
      <c r="A587" s="188"/>
      <c r="B587" s="188"/>
      <c r="C587" s="188"/>
      <c r="D587" s="188"/>
      <c r="E587" s="188"/>
      <c r="F587" s="188"/>
      <c r="G587" s="188"/>
      <c r="H587" s="188"/>
      <c r="I587" s="188"/>
      <c r="J587" s="188"/>
      <c r="K587" s="188"/>
      <c r="L587" s="188"/>
      <c r="M587" s="188"/>
      <c r="N587" s="188"/>
      <c r="O587" s="188"/>
      <c r="P587" s="188"/>
      <c r="Q587" s="188"/>
      <c r="R587" s="188"/>
      <c r="S587" s="188"/>
      <c r="T587" s="188"/>
      <c r="U587" s="188"/>
      <c r="V587" s="188"/>
      <c r="W587" s="188"/>
      <c r="X587" s="188"/>
      <c r="Y587" s="188"/>
    </row>
    <row r="588" spans="1:25" ht="12.75" x14ac:dyDescent="0.2">
      <c r="A588" s="188"/>
      <c r="B588" s="188"/>
      <c r="C588" s="188"/>
      <c r="D588" s="188"/>
      <c r="E588" s="188"/>
      <c r="F588" s="188"/>
      <c r="G588" s="188"/>
      <c r="H588" s="188"/>
      <c r="I588" s="188"/>
      <c r="J588" s="188"/>
      <c r="K588" s="188"/>
      <c r="L588" s="188"/>
      <c r="M588" s="188"/>
      <c r="N588" s="188"/>
      <c r="O588" s="188"/>
      <c r="P588" s="188"/>
      <c r="Q588" s="188"/>
      <c r="R588" s="188"/>
      <c r="S588" s="188"/>
      <c r="T588" s="188"/>
      <c r="U588" s="188"/>
      <c r="V588" s="188"/>
      <c r="W588" s="188"/>
      <c r="X588" s="188"/>
      <c r="Y588" s="188"/>
    </row>
    <row r="589" spans="1:25" ht="12.75" x14ac:dyDescent="0.2">
      <c r="A589" s="188"/>
      <c r="B589" s="188"/>
      <c r="C589" s="188"/>
      <c r="D589" s="188"/>
      <c r="E589" s="188"/>
      <c r="F589" s="188"/>
      <c r="G589" s="188"/>
      <c r="H589" s="188"/>
      <c r="I589" s="188"/>
      <c r="J589" s="188"/>
      <c r="K589" s="188"/>
      <c r="L589" s="188"/>
      <c r="M589" s="188"/>
      <c r="N589" s="188"/>
      <c r="O589" s="188"/>
      <c r="P589" s="188"/>
      <c r="Q589" s="188"/>
      <c r="R589" s="188"/>
      <c r="S589" s="188"/>
      <c r="T589" s="188"/>
      <c r="U589" s="188"/>
      <c r="V589" s="188"/>
      <c r="W589" s="188"/>
      <c r="X589" s="188"/>
      <c r="Y589" s="188"/>
    </row>
    <row r="590" spans="1:25" ht="12.75" x14ac:dyDescent="0.2">
      <c r="A590" s="188"/>
      <c r="B590" s="188"/>
      <c r="C590" s="188"/>
      <c r="D590" s="188"/>
      <c r="E590" s="188"/>
      <c r="F590" s="188"/>
      <c r="G590" s="188"/>
      <c r="H590" s="188"/>
      <c r="I590" s="188"/>
      <c r="J590" s="188"/>
      <c r="K590" s="188"/>
      <c r="L590" s="188"/>
      <c r="M590" s="188"/>
      <c r="N590" s="188"/>
      <c r="O590" s="188"/>
      <c r="P590" s="188"/>
      <c r="Q590" s="188"/>
      <c r="R590" s="188"/>
      <c r="S590" s="188"/>
      <c r="T590" s="188"/>
      <c r="U590" s="188"/>
      <c r="V590" s="188"/>
      <c r="W590" s="188"/>
      <c r="X590" s="188"/>
      <c r="Y590" s="188"/>
    </row>
    <row r="591" spans="1:25" ht="12.75" x14ac:dyDescent="0.2">
      <c r="A591" s="188"/>
      <c r="B591" s="188"/>
      <c r="C591" s="188"/>
      <c r="D591" s="188"/>
      <c r="E591" s="188"/>
      <c r="F591" s="188"/>
      <c r="G591" s="188"/>
      <c r="H591" s="188"/>
      <c r="I591" s="188"/>
      <c r="J591" s="188"/>
      <c r="K591" s="188"/>
      <c r="L591" s="188"/>
      <c r="M591" s="188"/>
      <c r="N591" s="188"/>
      <c r="O591" s="188"/>
      <c r="P591" s="188"/>
      <c r="Q591" s="188"/>
      <c r="R591" s="188"/>
      <c r="S591" s="188"/>
      <c r="T591" s="188"/>
      <c r="U591" s="188"/>
      <c r="V591" s="188"/>
      <c r="W591" s="188"/>
      <c r="X591" s="188"/>
      <c r="Y591" s="188"/>
    </row>
    <row r="592" spans="1:25" ht="12.75" x14ac:dyDescent="0.2">
      <c r="A592" s="188"/>
      <c r="B592" s="188"/>
      <c r="C592" s="188"/>
      <c r="D592" s="188"/>
      <c r="E592" s="188"/>
      <c r="F592" s="188"/>
      <c r="G592" s="188"/>
      <c r="H592" s="188"/>
      <c r="I592" s="188"/>
      <c r="J592" s="188"/>
      <c r="K592" s="188"/>
      <c r="L592" s="188"/>
      <c r="M592" s="188"/>
      <c r="N592" s="188"/>
      <c r="O592" s="188"/>
      <c r="P592" s="188"/>
      <c r="Q592" s="188"/>
      <c r="R592" s="188"/>
      <c r="S592" s="188"/>
      <c r="T592" s="188"/>
      <c r="U592" s="188"/>
      <c r="V592" s="188"/>
      <c r="W592" s="188"/>
      <c r="X592" s="188"/>
      <c r="Y592" s="188"/>
    </row>
    <row r="593" spans="1:25" ht="12.75" x14ac:dyDescent="0.2">
      <c r="A593" s="188"/>
      <c r="B593" s="188"/>
      <c r="C593" s="188"/>
      <c r="D593" s="188"/>
      <c r="E593" s="188"/>
      <c r="F593" s="188"/>
      <c r="G593" s="188"/>
      <c r="H593" s="188"/>
      <c r="I593" s="188"/>
      <c r="J593" s="188"/>
      <c r="K593" s="188"/>
      <c r="L593" s="188"/>
      <c r="M593" s="188"/>
      <c r="N593" s="188"/>
      <c r="O593" s="188"/>
      <c r="P593" s="188"/>
      <c r="Q593" s="188"/>
      <c r="R593" s="188"/>
      <c r="S593" s="188"/>
      <c r="T593" s="188"/>
      <c r="U593" s="188"/>
      <c r="V593" s="188"/>
      <c r="W593" s="188"/>
      <c r="X593" s="188"/>
      <c r="Y593" s="188"/>
    </row>
    <row r="594" spans="1:25" ht="12.75" x14ac:dyDescent="0.2">
      <c r="A594" s="188"/>
      <c r="B594" s="188"/>
      <c r="C594" s="188"/>
      <c r="D594" s="188"/>
      <c r="E594" s="188"/>
      <c r="F594" s="188"/>
      <c r="G594" s="188"/>
      <c r="H594" s="188"/>
      <c r="I594" s="188"/>
      <c r="J594" s="188"/>
      <c r="K594" s="188"/>
      <c r="L594" s="188"/>
      <c r="M594" s="188"/>
      <c r="N594" s="188"/>
      <c r="O594" s="188"/>
      <c r="P594" s="188"/>
      <c r="Q594" s="188"/>
      <c r="R594" s="188"/>
      <c r="S594" s="188"/>
      <c r="T594" s="188"/>
      <c r="U594" s="188"/>
      <c r="V594" s="188"/>
      <c r="W594" s="188"/>
      <c r="X594" s="188"/>
      <c r="Y594" s="188"/>
    </row>
    <row r="595" spans="1:25" ht="12.75" x14ac:dyDescent="0.2">
      <c r="A595" s="188"/>
      <c r="B595" s="188"/>
      <c r="C595" s="188"/>
      <c r="D595" s="188"/>
      <c r="E595" s="188"/>
      <c r="F595" s="188"/>
      <c r="G595" s="188"/>
      <c r="H595" s="188"/>
      <c r="I595" s="188"/>
      <c r="J595" s="188"/>
      <c r="K595" s="188"/>
      <c r="L595" s="188"/>
      <c r="M595" s="188"/>
      <c r="N595" s="188"/>
      <c r="O595" s="188"/>
      <c r="P595" s="188"/>
      <c r="Q595" s="188"/>
      <c r="R595" s="188"/>
      <c r="S595" s="188"/>
      <c r="T595" s="188"/>
      <c r="U595" s="188"/>
      <c r="V595" s="188"/>
      <c r="W595" s="188"/>
      <c r="X595" s="188"/>
      <c r="Y595" s="188"/>
    </row>
    <row r="596" spans="1:25" ht="12.75" x14ac:dyDescent="0.2">
      <c r="A596" s="188"/>
      <c r="B596" s="188"/>
      <c r="C596" s="188"/>
      <c r="D596" s="188"/>
      <c r="E596" s="188"/>
      <c r="F596" s="188"/>
      <c r="G596" s="188"/>
      <c r="H596" s="188"/>
      <c r="I596" s="188"/>
      <c r="J596" s="188"/>
      <c r="K596" s="188"/>
      <c r="L596" s="188"/>
      <c r="M596" s="188"/>
      <c r="N596" s="188"/>
      <c r="O596" s="188"/>
      <c r="P596" s="188"/>
      <c r="Q596" s="188"/>
      <c r="R596" s="188"/>
      <c r="S596" s="188"/>
      <c r="T596" s="188"/>
      <c r="U596" s="188"/>
      <c r="V596" s="188"/>
      <c r="W596" s="188"/>
      <c r="X596" s="188"/>
      <c r="Y596" s="188"/>
    </row>
    <row r="597" spans="1:25" ht="12.75" x14ac:dyDescent="0.2">
      <c r="A597" s="188"/>
      <c r="B597" s="188"/>
      <c r="C597" s="188"/>
      <c r="D597" s="188"/>
      <c r="E597" s="188"/>
      <c r="F597" s="188"/>
      <c r="G597" s="188"/>
      <c r="H597" s="188"/>
      <c r="I597" s="188"/>
      <c r="J597" s="188"/>
      <c r="K597" s="188"/>
      <c r="L597" s="188"/>
      <c r="M597" s="188"/>
      <c r="N597" s="188"/>
      <c r="O597" s="188"/>
      <c r="P597" s="188"/>
      <c r="Q597" s="188"/>
      <c r="R597" s="188"/>
      <c r="S597" s="188"/>
      <c r="T597" s="188"/>
      <c r="U597" s="188"/>
      <c r="V597" s="188"/>
      <c r="W597" s="188"/>
      <c r="X597" s="188"/>
      <c r="Y597" s="188"/>
    </row>
    <row r="598" spans="1:25" ht="12.75" x14ac:dyDescent="0.2">
      <c r="A598" s="188"/>
      <c r="B598" s="188"/>
      <c r="C598" s="188"/>
      <c r="D598" s="188"/>
      <c r="E598" s="188"/>
      <c r="F598" s="188"/>
      <c r="G598" s="188"/>
      <c r="H598" s="188"/>
      <c r="I598" s="188"/>
      <c r="J598" s="188"/>
      <c r="K598" s="188"/>
      <c r="L598" s="188"/>
      <c r="M598" s="188"/>
      <c r="N598" s="188"/>
      <c r="O598" s="188"/>
      <c r="P598" s="188"/>
      <c r="Q598" s="188"/>
      <c r="R598" s="188"/>
      <c r="S598" s="188"/>
      <c r="T598" s="188"/>
      <c r="U598" s="188"/>
      <c r="V598" s="188"/>
      <c r="W598" s="188"/>
      <c r="X598" s="188"/>
      <c r="Y598" s="188"/>
    </row>
    <row r="599" spans="1:25" ht="12.75" x14ac:dyDescent="0.2">
      <c r="A599" s="188"/>
      <c r="B599" s="188"/>
      <c r="C599" s="188"/>
      <c r="D599" s="188"/>
      <c r="E599" s="188"/>
      <c r="F599" s="188"/>
      <c r="G599" s="188"/>
      <c r="H599" s="188"/>
      <c r="I599" s="188"/>
      <c r="J599" s="188"/>
      <c r="K599" s="188"/>
      <c r="L599" s="188"/>
      <c r="M599" s="188"/>
      <c r="N599" s="188"/>
      <c r="O599" s="188"/>
      <c r="P599" s="188"/>
      <c r="Q599" s="188"/>
      <c r="R599" s="188"/>
      <c r="S599" s="188"/>
      <c r="T599" s="188"/>
      <c r="U599" s="188"/>
      <c r="V599" s="188"/>
      <c r="W599" s="188"/>
      <c r="X599" s="188"/>
      <c r="Y599" s="188"/>
    </row>
    <row r="600" spans="1:25" ht="12.75" x14ac:dyDescent="0.2">
      <c r="A600" s="188"/>
      <c r="B600" s="188"/>
      <c r="C600" s="188"/>
      <c r="D600" s="188"/>
      <c r="E600" s="188"/>
      <c r="F600" s="188"/>
      <c r="G600" s="188"/>
      <c r="H600" s="188"/>
      <c r="I600" s="188"/>
      <c r="J600" s="188"/>
      <c r="K600" s="188"/>
      <c r="L600" s="188"/>
      <c r="M600" s="188"/>
      <c r="N600" s="188"/>
      <c r="O600" s="188"/>
      <c r="P600" s="188"/>
      <c r="Q600" s="188"/>
      <c r="R600" s="188"/>
      <c r="S600" s="188"/>
      <c r="T600" s="188"/>
      <c r="U600" s="188"/>
      <c r="V600" s="188"/>
      <c r="W600" s="188"/>
      <c r="X600" s="188"/>
      <c r="Y600" s="188"/>
    </row>
    <row r="601" spans="1:25" ht="12.75" x14ac:dyDescent="0.2">
      <c r="A601" s="188"/>
      <c r="B601" s="188"/>
      <c r="C601" s="188"/>
      <c r="D601" s="188"/>
      <c r="E601" s="188"/>
      <c r="F601" s="188"/>
      <c r="G601" s="188"/>
      <c r="H601" s="188"/>
      <c r="I601" s="188"/>
      <c r="J601" s="188"/>
      <c r="K601" s="188"/>
      <c r="L601" s="188"/>
      <c r="M601" s="188"/>
      <c r="N601" s="188"/>
      <c r="O601" s="188"/>
      <c r="P601" s="188"/>
      <c r="Q601" s="188"/>
      <c r="R601" s="188"/>
      <c r="S601" s="188"/>
      <c r="T601" s="188"/>
      <c r="U601" s="188"/>
      <c r="V601" s="188"/>
      <c r="W601" s="188"/>
      <c r="X601" s="188"/>
      <c r="Y601" s="188"/>
    </row>
    <row r="602" spans="1:25" ht="12.75" x14ac:dyDescent="0.2">
      <c r="A602" s="188"/>
      <c r="B602" s="188"/>
      <c r="C602" s="188"/>
      <c r="D602" s="188"/>
      <c r="E602" s="188"/>
      <c r="F602" s="188"/>
      <c r="G602" s="188"/>
      <c r="H602" s="188"/>
      <c r="I602" s="188"/>
      <c r="J602" s="188"/>
      <c r="K602" s="188"/>
      <c r="L602" s="188"/>
      <c r="M602" s="188"/>
      <c r="N602" s="188"/>
      <c r="O602" s="188"/>
      <c r="P602" s="188"/>
      <c r="Q602" s="188"/>
      <c r="R602" s="188"/>
      <c r="S602" s="188"/>
      <c r="T602" s="188"/>
      <c r="U602" s="188"/>
      <c r="V602" s="188"/>
      <c r="W602" s="188"/>
      <c r="X602" s="188"/>
      <c r="Y602" s="188"/>
    </row>
    <row r="603" spans="1:25" ht="12.75" x14ac:dyDescent="0.2">
      <c r="A603" s="188"/>
      <c r="B603" s="188"/>
      <c r="C603" s="188"/>
      <c r="D603" s="188"/>
      <c r="E603" s="188"/>
      <c r="F603" s="188"/>
      <c r="G603" s="188"/>
      <c r="H603" s="188"/>
      <c r="I603" s="188"/>
      <c r="J603" s="188"/>
      <c r="K603" s="188"/>
      <c r="L603" s="188"/>
      <c r="M603" s="188"/>
      <c r="N603" s="188"/>
      <c r="O603" s="188"/>
      <c r="P603" s="188"/>
      <c r="Q603" s="188"/>
      <c r="R603" s="188"/>
      <c r="S603" s="188"/>
      <c r="T603" s="188"/>
      <c r="U603" s="188"/>
      <c r="V603" s="188"/>
      <c r="W603" s="188"/>
      <c r="X603" s="188"/>
      <c r="Y603" s="188"/>
    </row>
    <row r="604" spans="1:25" ht="12.75" x14ac:dyDescent="0.2">
      <c r="A604" s="188"/>
      <c r="B604" s="188"/>
      <c r="C604" s="188"/>
      <c r="D604" s="188"/>
      <c r="E604" s="188"/>
      <c r="F604" s="188"/>
      <c r="G604" s="188"/>
      <c r="H604" s="188"/>
      <c r="I604" s="188"/>
      <c r="J604" s="188"/>
      <c r="K604" s="188"/>
      <c r="L604" s="188"/>
      <c r="M604" s="188"/>
      <c r="N604" s="188"/>
      <c r="O604" s="188"/>
      <c r="P604" s="188"/>
      <c r="Q604" s="188"/>
      <c r="R604" s="188"/>
      <c r="S604" s="188"/>
      <c r="T604" s="188"/>
      <c r="U604" s="188"/>
      <c r="V604" s="188"/>
      <c r="W604" s="188"/>
      <c r="X604" s="188"/>
      <c r="Y604" s="188"/>
    </row>
    <row r="605" spans="1:25" ht="12.75" x14ac:dyDescent="0.2">
      <c r="A605" s="188"/>
      <c r="B605" s="188"/>
      <c r="C605" s="188"/>
      <c r="D605" s="188"/>
      <c r="E605" s="188"/>
      <c r="F605" s="188"/>
      <c r="G605" s="188"/>
      <c r="H605" s="188"/>
      <c r="I605" s="188"/>
      <c r="J605" s="188"/>
      <c r="K605" s="188"/>
      <c r="L605" s="188"/>
      <c r="M605" s="188"/>
      <c r="N605" s="188"/>
      <c r="O605" s="188"/>
      <c r="P605" s="188"/>
      <c r="Q605" s="188"/>
      <c r="R605" s="188"/>
      <c r="S605" s="188"/>
      <c r="T605" s="188"/>
      <c r="U605" s="188"/>
      <c r="V605" s="188"/>
      <c r="W605" s="188"/>
      <c r="X605" s="188"/>
      <c r="Y605" s="188"/>
    </row>
    <row r="606" spans="1:25" ht="12.75" x14ac:dyDescent="0.2">
      <c r="A606" s="188"/>
      <c r="B606" s="188"/>
      <c r="C606" s="188"/>
      <c r="D606" s="188"/>
      <c r="E606" s="188"/>
      <c r="F606" s="188"/>
      <c r="G606" s="188"/>
      <c r="H606" s="188"/>
      <c r="I606" s="188"/>
      <c r="J606" s="188"/>
      <c r="K606" s="188"/>
      <c r="L606" s="188"/>
      <c r="M606" s="188"/>
      <c r="N606" s="188"/>
      <c r="O606" s="188"/>
      <c r="P606" s="188"/>
      <c r="Q606" s="188"/>
      <c r="R606" s="188"/>
      <c r="S606" s="188"/>
      <c r="T606" s="188"/>
      <c r="U606" s="188"/>
      <c r="V606" s="188"/>
      <c r="W606" s="188"/>
      <c r="X606" s="188"/>
      <c r="Y606" s="188"/>
    </row>
    <row r="607" spans="1:25" ht="12.75" x14ac:dyDescent="0.2">
      <c r="A607" s="188"/>
      <c r="B607" s="188"/>
      <c r="C607" s="188"/>
      <c r="D607" s="188"/>
      <c r="E607" s="188"/>
      <c r="F607" s="188"/>
      <c r="G607" s="188"/>
      <c r="H607" s="188"/>
      <c r="I607" s="188"/>
      <c r="J607" s="188"/>
      <c r="K607" s="188"/>
      <c r="L607" s="188"/>
      <c r="M607" s="188"/>
      <c r="N607" s="188"/>
      <c r="O607" s="188"/>
      <c r="P607" s="188"/>
      <c r="Q607" s="188"/>
      <c r="R607" s="188"/>
      <c r="S607" s="188"/>
      <c r="T607" s="188"/>
      <c r="U607" s="188"/>
      <c r="V607" s="188"/>
      <c r="W607" s="188"/>
      <c r="X607" s="188"/>
      <c r="Y607" s="188"/>
    </row>
    <row r="608" spans="1:25" ht="12.75" x14ac:dyDescent="0.2">
      <c r="A608" s="188"/>
      <c r="B608" s="188"/>
      <c r="C608" s="188"/>
      <c r="D608" s="188"/>
      <c r="E608" s="188"/>
      <c r="F608" s="188"/>
      <c r="G608" s="188"/>
      <c r="H608" s="188"/>
      <c r="I608" s="188"/>
      <c r="J608" s="188"/>
      <c r="K608" s="188"/>
      <c r="L608" s="188"/>
      <c r="M608" s="188"/>
      <c r="N608" s="188"/>
      <c r="O608" s="188"/>
      <c r="P608" s="188"/>
      <c r="Q608" s="188"/>
      <c r="R608" s="188"/>
      <c r="S608" s="188"/>
      <c r="T608" s="188"/>
      <c r="U608" s="188"/>
      <c r="V608" s="188"/>
      <c r="W608" s="188"/>
      <c r="X608" s="188"/>
      <c r="Y608" s="188"/>
    </row>
    <row r="609" spans="1:25" ht="12.75" x14ac:dyDescent="0.2">
      <c r="A609" s="188"/>
      <c r="B609" s="188"/>
      <c r="C609" s="188"/>
      <c r="D609" s="188"/>
      <c r="E609" s="188"/>
      <c r="F609" s="188"/>
      <c r="G609" s="188"/>
      <c r="H609" s="188"/>
      <c r="I609" s="188"/>
      <c r="J609" s="188"/>
      <c r="K609" s="188"/>
      <c r="L609" s="188"/>
      <c r="M609" s="188"/>
      <c r="N609" s="188"/>
      <c r="O609" s="188"/>
      <c r="P609" s="188"/>
      <c r="Q609" s="188"/>
      <c r="R609" s="188"/>
      <c r="S609" s="188"/>
      <c r="T609" s="188"/>
      <c r="U609" s="188"/>
      <c r="V609" s="188"/>
      <c r="W609" s="188"/>
      <c r="X609" s="188"/>
      <c r="Y609" s="188"/>
    </row>
    <row r="610" spans="1:25" ht="12.75" x14ac:dyDescent="0.2">
      <c r="A610" s="188"/>
      <c r="B610" s="188"/>
      <c r="C610" s="188"/>
      <c r="D610" s="188"/>
      <c r="E610" s="188"/>
      <c r="F610" s="188"/>
      <c r="G610" s="188"/>
      <c r="H610" s="188"/>
      <c r="I610" s="188"/>
      <c r="J610" s="188"/>
      <c r="K610" s="188"/>
      <c r="L610" s="188"/>
      <c r="M610" s="188"/>
      <c r="N610" s="188"/>
      <c r="O610" s="188"/>
      <c r="P610" s="188"/>
      <c r="Q610" s="188"/>
      <c r="R610" s="188"/>
      <c r="S610" s="188"/>
      <c r="T610" s="188"/>
      <c r="U610" s="188"/>
      <c r="V610" s="188"/>
      <c r="W610" s="188"/>
      <c r="X610" s="188"/>
      <c r="Y610" s="188"/>
    </row>
    <row r="611" spans="1:25" ht="12.75" x14ac:dyDescent="0.2">
      <c r="A611" s="188"/>
      <c r="B611" s="188"/>
      <c r="C611" s="188"/>
      <c r="D611" s="188"/>
      <c r="E611" s="188"/>
      <c r="F611" s="188"/>
      <c r="G611" s="188"/>
      <c r="H611" s="188"/>
      <c r="I611" s="188"/>
      <c r="J611" s="188"/>
      <c r="K611" s="188"/>
      <c r="L611" s="188"/>
      <c r="M611" s="188"/>
      <c r="N611" s="188"/>
      <c r="O611" s="188"/>
      <c r="P611" s="188"/>
      <c r="Q611" s="188"/>
      <c r="R611" s="188"/>
      <c r="S611" s="188"/>
      <c r="T611" s="188"/>
      <c r="U611" s="188"/>
      <c r="V611" s="188"/>
      <c r="W611" s="188"/>
      <c r="X611" s="188"/>
      <c r="Y611" s="188"/>
    </row>
    <row r="612" spans="1:25" ht="12.75" x14ac:dyDescent="0.2">
      <c r="A612" s="188"/>
      <c r="B612" s="188"/>
      <c r="C612" s="188"/>
      <c r="D612" s="188"/>
      <c r="E612" s="188"/>
      <c r="F612" s="188"/>
      <c r="G612" s="188"/>
      <c r="H612" s="188"/>
      <c r="I612" s="188"/>
      <c r="J612" s="188"/>
      <c r="K612" s="188"/>
      <c r="L612" s="188"/>
      <c r="M612" s="188"/>
      <c r="N612" s="188"/>
      <c r="O612" s="188"/>
      <c r="P612" s="188"/>
      <c r="Q612" s="188"/>
      <c r="R612" s="188"/>
      <c r="S612" s="188"/>
      <c r="T612" s="188"/>
      <c r="U612" s="188"/>
      <c r="V612" s="188"/>
      <c r="W612" s="188"/>
      <c r="X612" s="188"/>
      <c r="Y612" s="188"/>
    </row>
    <row r="613" spans="1:25" ht="12.75" x14ac:dyDescent="0.2">
      <c r="A613" s="188"/>
      <c r="B613" s="188"/>
      <c r="C613" s="188"/>
      <c r="D613" s="188"/>
      <c r="E613" s="188"/>
      <c r="F613" s="188"/>
      <c r="G613" s="188"/>
      <c r="H613" s="188"/>
      <c r="I613" s="188"/>
      <c r="J613" s="188"/>
      <c r="K613" s="188"/>
      <c r="L613" s="188"/>
      <c r="M613" s="188"/>
      <c r="N613" s="188"/>
      <c r="O613" s="188"/>
      <c r="P613" s="188"/>
      <c r="Q613" s="188"/>
      <c r="R613" s="188"/>
      <c r="S613" s="188"/>
      <c r="T613" s="188"/>
      <c r="U613" s="188"/>
      <c r="V613" s="188"/>
      <c r="W613" s="188"/>
      <c r="X613" s="188"/>
      <c r="Y613" s="188"/>
    </row>
    <row r="614" spans="1:25" ht="12.75" x14ac:dyDescent="0.2">
      <c r="A614" s="188"/>
      <c r="B614" s="188"/>
      <c r="C614" s="188"/>
      <c r="D614" s="188"/>
      <c r="E614" s="188"/>
      <c r="F614" s="188"/>
      <c r="G614" s="188"/>
      <c r="H614" s="188"/>
      <c r="I614" s="188"/>
      <c r="J614" s="188"/>
      <c r="K614" s="188"/>
      <c r="L614" s="188"/>
      <c r="M614" s="188"/>
      <c r="N614" s="188"/>
      <c r="O614" s="188"/>
      <c r="P614" s="188"/>
      <c r="Q614" s="188"/>
      <c r="R614" s="188"/>
      <c r="S614" s="188"/>
      <c r="T614" s="188"/>
      <c r="U614" s="188"/>
      <c r="V614" s="188"/>
      <c r="W614" s="188"/>
      <c r="X614" s="188"/>
      <c r="Y614" s="188"/>
    </row>
    <row r="615" spans="1:25" ht="12.75" x14ac:dyDescent="0.2">
      <c r="A615" s="188"/>
      <c r="B615" s="188"/>
      <c r="C615" s="188"/>
      <c r="D615" s="188"/>
      <c r="E615" s="188"/>
      <c r="F615" s="188"/>
      <c r="G615" s="188"/>
      <c r="H615" s="188"/>
      <c r="I615" s="188"/>
      <c r="J615" s="188"/>
      <c r="K615" s="188"/>
      <c r="L615" s="188"/>
      <c r="M615" s="188"/>
      <c r="N615" s="188"/>
      <c r="O615" s="188"/>
      <c r="P615" s="188"/>
      <c r="Q615" s="188"/>
      <c r="R615" s="188"/>
      <c r="S615" s="188"/>
      <c r="T615" s="188"/>
      <c r="U615" s="188"/>
      <c r="V615" s="188"/>
      <c r="W615" s="188"/>
      <c r="X615" s="188"/>
      <c r="Y615" s="188"/>
    </row>
    <row r="616" spans="1:25" ht="12.75" x14ac:dyDescent="0.2">
      <c r="A616" s="188"/>
      <c r="B616" s="188"/>
      <c r="C616" s="188"/>
      <c r="D616" s="188"/>
      <c r="E616" s="188"/>
      <c r="F616" s="188"/>
      <c r="G616" s="188"/>
      <c r="H616" s="188"/>
      <c r="I616" s="188"/>
      <c r="J616" s="188"/>
      <c r="K616" s="188"/>
      <c r="L616" s="188"/>
      <c r="M616" s="188"/>
      <c r="N616" s="188"/>
      <c r="O616" s="188"/>
      <c r="P616" s="188"/>
      <c r="Q616" s="188"/>
      <c r="R616" s="188"/>
      <c r="S616" s="188"/>
      <c r="T616" s="188"/>
      <c r="U616" s="188"/>
      <c r="V616" s="188"/>
      <c r="W616" s="188"/>
      <c r="X616" s="188"/>
      <c r="Y616" s="188"/>
    </row>
    <row r="617" spans="1:25" ht="12.75" x14ac:dyDescent="0.2">
      <c r="A617" s="188"/>
      <c r="B617" s="188"/>
      <c r="C617" s="188"/>
      <c r="D617" s="188"/>
      <c r="E617" s="188"/>
      <c r="F617" s="188"/>
      <c r="G617" s="188"/>
      <c r="H617" s="188"/>
      <c r="I617" s="188"/>
      <c r="J617" s="188"/>
      <c r="K617" s="188"/>
      <c r="L617" s="188"/>
      <c r="M617" s="188"/>
      <c r="N617" s="188"/>
      <c r="O617" s="188"/>
      <c r="P617" s="188"/>
      <c r="Q617" s="188"/>
      <c r="R617" s="188"/>
      <c r="S617" s="188"/>
      <c r="T617" s="188"/>
      <c r="U617" s="188"/>
      <c r="V617" s="188"/>
      <c r="W617" s="188"/>
      <c r="X617" s="188"/>
      <c r="Y617" s="188"/>
    </row>
    <row r="618" spans="1:25" ht="12.75" x14ac:dyDescent="0.2">
      <c r="A618" s="188"/>
      <c r="B618" s="188"/>
      <c r="C618" s="188"/>
      <c r="D618" s="188"/>
      <c r="E618" s="188"/>
      <c r="F618" s="188"/>
      <c r="G618" s="188"/>
      <c r="H618" s="188"/>
      <c r="I618" s="188"/>
      <c r="J618" s="188"/>
      <c r="K618" s="188"/>
      <c r="L618" s="188"/>
      <c r="M618" s="188"/>
      <c r="N618" s="188"/>
      <c r="O618" s="188"/>
      <c r="P618" s="188"/>
      <c r="Q618" s="188"/>
      <c r="R618" s="188"/>
      <c r="S618" s="188"/>
      <c r="T618" s="188"/>
      <c r="U618" s="188"/>
      <c r="V618" s="188"/>
      <c r="W618" s="188"/>
      <c r="X618" s="188"/>
      <c r="Y618" s="188"/>
    </row>
    <row r="619" spans="1:25" ht="12.75" x14ac:dyDescent="0.2">
      <c r="A619" s="188"/>
      <c r="B619" s="188"/>
      <c r="C619" s="188"/>
      <c r="D619" s="188"/>
      <c r="E619" s="188"/>
      <c r="F619" s="188"/>
      <c r="G619" s="188"/>
      <c r="H619" s="188"/>
      <c r="I619" s="188"/>
      <c r="J619" s="188"/>
      <c r="K619" s="188"/>
      <c r="L619" s="188"/>
      <c r="M619" s="188"/>
      <c r="N619" s="188"/>
      <c r="O619" s="188"/>
      <c r="P619" s="188"/>
      <c r="Q619" s="188"/>
      <c r="R619" s="188"/>
      <c r="S619" s="188"/>
      <c r="T619" s="188"/>
      <c r="U619" s="188"/>
      <c r="V619" s="188"/>
      <c r="W619" s="188"/>
      <c r="X619" s="188"/>
      <c r="Y619" s="188"/>
    </row>
    <row r="620" spans="1:25" ht="12.75" x14ac:dyDescent="0.2">
      <c r="A620" s="188"/>
      <c r="B620" s="188"/>
      <c r="C620" s="188"/>
      <c r="D620" s="188"/>
      <c r="E620" s="188"/>
      <c r="F620" s="188"/>
      <c r="G620" s="188"/>
      <c r="H620" s="188"/>
      <c r="I620" s="188"/>
      <c r="J620" s="188"/>
      <c r="K620" s="188"/>
      <c r="L620" s="188"/>
      <c r="M620" s="188"/>
      <c r="N620" s="188"/>
      <c r="O620" s="188"/>
      <c r="P620" s="188"/>
      <c r="Q620" s="188"/>
      <c r="R620" s="188"/>
      <c r="S620" s="188"/>
      <c r="T620" s="188"/>
      <c r="U620" s="188"/>
      <c r="V620" s="188"/>
      <c r="W620" s="188"/>
      <c r="X620" s="188"/>
      <c r="Y620" s="188"/>
    </row>
    <row r="621" spans="1:25" ht="12.75" x14ac:dyDescent="0.2">
      <c r="A621" s="188"/>
      <c r="B621" s="188"/>
      <c r="C621" s="188"/>
      <c r="D621" s="188"/>
      <c r="E621" s="188"/>
      <c r="F621" s="188"/>
      <c r="G621" s="188"/>
      <c r="H621" s="188"/>
      <c r="I621" s="188"/>
      <c r="J621" s="188"/>
      <c r="K621" s="188"/>
      <c r="L621" s="188"/>
      <c r="M621" s="188"/>
      <c r="N621" s="188"/>
      <c r="O621" s="188"/>
      <c r="P621" s="188"/>
      <c r="Q621" s="188"/>
      <c r="R621" s="188"/>
      <c r="S621" s="188"/>
      <c r="T621" s="188"/>
      <c r="U621" s="188"/>
      <c r="V621" s="188"/>
      <c r="W621" s="188"/>
      <c r="X621" s="188"/>
      <c r="Y621" s="188"/>
    </row>
    <row r="622" spans="1:25" ht="12.75" x14ac:dyDescent="0.2">
      <c r="A622" s="188"/>
      <c r="B622" s="188"/>
      <c r="C622" s="188"/>
      <c r="D622" s="188"/>
      <c r="E622" s="188"/>
      <c r="F622" s="188"/>
      <c r="G622" s="188"/>
      <c r="H622" s="188"/>
      <c r="I622" s="188"/>
      <c r="J622" s="188"/>
      <c r="K622" s="188"/>
      <c r="L622" s="188"/>
      <c r="M622" s="188"/>
      <c r="N622" s="188"/>
      <c r="O622" s="188"/>
      <c r="P622" s="188"/>
      <c r="Q622" s="188"/>
      <c r="R622" s="188"/>
      <c r="S622" s="188"/>
      <c r="T622" s="188"/>
      <c r="U622" s="188"/>
      <c r="V622" s="188"/>
      <c r="W622" s="188"/>
      <c r="X622" s="188"/>
      <c r="Y622" s="188"/>
    </row>
    <row r="623" spans="1:25" ht="12.75" x14ac:dyDescent="0.2">
      <c r="A623" s="188"/>
      <c r="B623" s="188"/>
      <c r="C623" s="188"/>
      <c r="D623" s="188"/>
      <c r="E623" s="188"/>
      <c r="F623" s="188"/>
      <c r="G623" s="188"/>
      <c r="H623" s="188"/>
      <c r="I623" s="188"/>
      <c r="J623" s="188"/>
      <c r="K623" s="188"/>
      <c r="L623" s="188"/>
      <c r="M623" s="188"/>
      <c r="N623" s="188"/>
      <c r="O623" s="188"/>
      <c r="P623" s="188"/>
      <c r="Q623" s="188"/>
      <c r="R623" s="188"/>
      <c r="S623" s="188"/>
      <c r="T623" s="188"/>
      <c r="U623" s="188"/>
      <c r="V623" s="188"/>
      <c r="W623" s="188"/>
      <c r="X623" s="188"/>
      <c r="Y623" s="188"/>
    </row>
    <row r="624" spans="1:25" ht="12.75" x14ac:dyDescent="0.2">
      <c r="A624" s="188"/>
      <c r="B624" s="188"/>
      <c r="C624" s="188"/>
      <c r="D624" s="188"/>
      <c r="E624" s="188"/>
      <c r="F624" s="188"/>
      <c r="G624" s="188"/>
      <c r="H624" s="188"/>
      <c r="I624" s="188"/>
      <c r="J624" s="188"/>
      <c r="K624" s="188"/>
      <c r="L624" s="188"/>
      <c r="M624" s="188"/>
      <c r="N624" s="188"/>
      <c r="O624" s="188"/>
      <c r="P624" s="188"/>
      <c r="Q624" s="188"/>
      <c r="R624" s="188"/>
      <c r="S624" s="188"/>
      <c r="T624" s="188"/>
      <c r="U624" s="188"/>
      <c r="V624" s="188"/>
      <c r="W624" s="188"/>
      <c r="X624" s="188"/>
      <c r="Y624" s="188"/>
    </row>
    <row r="625" spans="1:25" ht="12.75" x14ac:dyDescent="0.2">
      <c r="A625" s="188"/>
      <c r="B625" s="188"/>
      <c r="C625" s="188"/>
      <c r="D625" s="188"/>
      <c r="E625" s="188"/>
      <c r="F625" s="188"/>
      <c r="G625" s="188"/>
      <c r="H625" s="188"/>
      <c r="I625" s="188"/>
      <c r="J625" s="188"/>
      <c r="K625" s="188"/>
      <c r="L625" s="188"/>
      <c r="M625" s="188"/>
      <c r="N625" s="188"/>
      <c r="O625" s="188"/>
      <c r="P625" s="188"/>
      <c r="Q625" s="188"/>
      <c r="R625" s="188"/>
      <c r="S625" s="188"/>
      <c r="T625" s="188"/>
      <c r="U625" s="188"/>
      <c r="V625" s="188"/>
      <c r="W625" s="188"/>
      <c r="X625" s="188"/>
      <c r="Y625" s="188"/>
    </row>
    <row r="626" spans="1:25" ht="12.75" x14ac:dyDescent="0.2">
      <c r="A626" s="188"/>
      <c r="B626" s="188"/>
      <c r="C626" s="188"/>
      <c r="D626" s="188"/>
      <c r="E626" s="188"/>
      <c r="F626" s="188"/>
      <c r="G626" s="188"/>
      <c r="H626" s="188"/>
      <c r="I626" s="188"/>
      <c r="J626" s="188"/>
      <c r="K626" s="188"/>
      <c r="L626" s="188"/>
      <c r="M626" s="188"/>
      <c r="N626" s="188"/>
      <c r="O626" s="188"/>
      <c r="P626" s="188"/>
      <c r="Q626" s="188"/>
      <c r="R626" s="188"/>
      <c r="S626" s="188"/>
      <c r="T626" s="188"/>
      <c r="U626" s="188"/>
      <c r="V626" s="188"/>
      <c r="W626" s="188"/>
      <c r="X626" s="188"/>
      <c r="Y626" s="188"/>
    </row>
    <row r="627" spans="1:25" ht="12.75" x14ac:dyDescent="0.2">
      <c r="A627" s="188"/>
      <c r="B627" s="188"/>
      <c r="C627" s="188"/>
      <c r="D627" s="188"/>
      <c r="E627" s="188"/>
      <c r="F627" s="188"/>
      <c r="G627" s="188"/>
      <c r="H627" s="188"/>
      <c r="I627" s="188"/>
      <c r="J627" s="188"/>
      <c r="K627" s="188"/>
      <c r="L627" s="188"/>
      <c r="M627" s="188"/>
      <c r="N627" s="188"/>
      <c r="O627" s="188"/>
      <c r="P627" s="188"/>
      <c r="Q627" s="188"/>
      <c r="R627" s="188"/>
      <c r="S627" s="188"/>
      <c r="T627" s="188"/>
      <c r="U627" s="188"/>
      <c r="V627" s="188"/>
      <c r="W627" s="188"/>
      <c r="X627" s="188"/>
      <c r="Y627" s="188"/>
    </row>
    <row r="628" spans="1:25" ht="12.75" x14ac:dyDescent="0.2">
      <c r="A628" s="188"/>
      <c r="B628" s="188"/>
      <c r="C628" s="188"/>
      <c r="D628" s="188"/>
      <c r="E628" s="188"/>
      <c r="F628" s="188"/>
      <c r="G628" s="188"/>
      <c r="H628" s="188"/>
      <c r="I628" s="188"/>
      <c r="J628" s="188"/>
      <c r="K628" s="188"/>
      <c r="L628" s="188"/>
      <c r="M628" s="188"/>
      <c r="N628" s="188"/>
      <c r="O628" s="188"/>
      <c r="P628" s="188"/>
      <c r="Q628" s="188"/>
      <c r="R628" s="188"/>
      <c r="S628" s="188"/>
      <c r="T628" s="188"/>
      <c r="U628" s="188"/>
      <c r="V628" s="188"/>
      <c r="W628" s="188"/>
      <c r="X628" s="188"/>
      <c r="Y628" s="188"/>
    </row>
    <row r="629" spans="1:25" ht="12.75" x14ac:dyDescent="0.2">
      <c r="A629" s="188"/>
      <c r="B629" s="188"/>
      <c r="C629" s="188"/>
      <c r="D629" s="188"/>
      <c r="E629" s="188"/>
      <c r="F629" s="188"/>
      <c r="G629" s="188"/>
      <c r="H629" s="188"/>
      <c r="I629" s="188"/>
      <c r="J629" s="188"/>
      <c r="K629" s="188"/>
      <c r="L629" s="188"/>
      <c r="M629" s="188"/>
      <c r="N629" s="188"/>
      <c r="O629" s="188"/>
      <c r="P629" s="188"/>
      <c r="Q629" s="188"/>
      <c r="R629" s="188"/>
      <c r="S629" s="188"/>
      <c r="T629" s="188"/>
      <c r="U629" s="188"/>
      <c r="V629" s="188"/>
      <c r="W629" s="188"/>
      <c r="X629" s="188"/>
      <c r="Y629" s="188"/>
    </row>
    <row r="630" spans="1:25" ht="12.75" x14ac:dyDescent="0.2">
      <c r="A630" s="188"/>
      <c r="B630" s="188"/>
      <c r="C630" s="188"/>
      <c r="D630" s="188"/>
      <c r="E630" s="188"/>
      <c r="F630" s="188"/>
      <c r="G630" s="188"/>
      <c r="H630" s="188"/>
      <c r="I630" s="188"/>
      <c r="J630" s="188"/>
      <c r="K630" s="188"/>
      <c r="L630" s="188"/>
      <c r="M630" s="188"/>
      <c r="N630" s="188"/>
      <c r="O630" s="188"/>
      <c r="P630" s="188"/>
      <c r="Q630" s="188"/>
      <c r="R630" s="188"/>
      <c r="S630" s="188"/>
      <c r="T630" s="188"/>
      <c r="U630" s="188"/>
      <c r="V630" s="188"/>
      <c r="W630" s="188"/>
      <c r="X630" s="188"/>
      <c r="Y630" s="188"/>
    </row>
    <row r="631" spans="1:25" ht="12.75" x14ac:dyDescent="0.2">
      <c r="A631" s="188"/>
      <c r="B631" s="188"/>
      <c r="C631" s="188"/>
      <c r="D631" s="188"/>
      <c r="E631" s="188"/>
      <c r="F631" s="188"/>
      <c r="G631" s="188"/>
      <c r="H631" s="188"/>
      <c r="I631" s="188"/>
      <c r="J631" s="188"/>
      <c r="K631" s="188"/>
      <c r="L631" s="188"/>
      <c r="M631" s="188"/>
      <c r="N631" s="188"/>
      <c r="O631" s="188"/>
      <c r="P631" s="188"/>
      <c r="Q631" s="188"/>
      <c r="R631" s="188"/>
      <c r="S631" s="188"/>
      <c r="T631" s="188"/>
      <c r="U631" s="188"/>
      <c r="V631" s="188"/>
      <c r="W631" s="188"/>
      <c r="X631" s="188"/>
      <c r="Y631" s="188"/>
    </row>
    <row r="632" spans="1:25" ht="12.75" x14ac:dyDescent="0.2">
      <c r="A632" s="188"/>
      <c r="B632" s="188"/>
      <c r="C632" s="188"/>
      <c r="D632" s="188"/>
      <c r="E632" s="188"/>
      <c r="F632" s="188"/>
      <c r="G632" s="188"/>
      <c r="H632" s="188"/>
      <c r="I632" s="188"/>
      <c r="J632" s="188"/>
      <c r="K632" s="188"/>
      <c r="L632" s="188"/>
      <c r="M632" s="188"/>
      <c r="N632" s="188"/>
      <c r="O632" s="188"/>
      <c r="P632" s="188"/>
      <c r="Q632" s="188"/>
      <c r="R632" s="188"/>
      <c r="S632" s="188"/>
      <c r="T632" s="188"/>
      <c r="U632" s="188"/>
      <c r="V632" s="188"/>
      <c r="W632" s="188"/>
      <c r="X632" s="188"/>
      <c r="Y632" s="188"/>
    </row>
    <row r="633" spans="1:25" ht="12.75" x14ac:dyDescent="0.2">
      <c r="A633" s="188"/>
      <c r="B633" s="188"/>
      <c r="C633" s="188"/>
      <c r="D633" s="188"/>
      <c r="E633" s="188"/>
      <c r="F633" s="188"/>
      <c r="G633" s="188"/>
      <c r="H633" s="188"/>
      <c r="I633" s="188"/>
      <c r="J633" s="188"/>
      <c r="K633" s="188"/>
      <c r="L633" s="188"/>
      <c r="M633" s="188"/>
      <c r="N633" s="188"/>
      <c r="O633" s="188"/>
      <c r="P633" s="188"/>
      <c r="Q633" s="188"/>
      <c r="R633" s="188"/>
      <c r="S633" s="188"/>
      <c r="T633" s="188"/>
      <c r="U633" s="188"/>
      <c r="V633" s="188"/>
      <c r="W633" s="188"/>
      <c r="X633" s="188"/>
      <c r="Y633" s="188"/>
    </row>
    <row r="634" spans="1:25" ht="12.75" x14ac:dyDescent="0.2">
      <c r="A634" s="188"/>
      <c r="B634" s="188"/>
      <c r="C634" s="188"/>
      <c r="D634" s="188"/>
      <c r="E634" s="188"/>
      <c r="F634" s="188"/>
      <c r="G634" s="188"/>
      <c r="H634" s="188"/>
      <c r="I634" s="188"/>
      <c r="J634" s="188"/>
      <c r="K634" s="188"/>
      <c r="L634" s="188"/>
      <c r="M634" s="188"/>
      <c r="N634" s="188"/>
      <c r="O634" s="188"/>
      <c r="P634" s="188"/>
      <c r="Q634" s="188"/>
      <c r="R634" s="188"/>
      <c r="S634" s="188"/>
      <c r="T634" s="188"/>
      <c r="U634" s="188"/>
      <c r="V634" s="188"/>
      <c r="W634" s="188"/>
      <c r="X634" s="188"/>
      <c r="Y634" s="188"/>
    </row>
    <row r="635" spans="1:25" ht="12.75" x14ac:dyDescent="0.2">
      <c r="A635" s="188"/>
      <c r="B635" s="188"/>
      <c r="C635" s="188"/>
      <c r="D635" s="188"/>
      <c r="E635" s="188"/>
      <c r="F635" s="188"/>
      <c r="G635" s="188"/>
      <c r="H635" s="188"/>
      <c r="I635" s="188"/>
      <c r="J635" s="188"/>
      <c r="K635" s="188"/>
      <c r="L635" s="188"/>
      <c r="M635" s="188"/>
      <c r="N635" s="188"/>
      <c r="O635" s="188"/>
      <c r="P635" s="188"/>
      <c r="Q635" s="188"/>
      <c r="R635" s="188"/>
      <c r="S635" s="188"/>
      <c r="T635" s="188"/>
      <c r="U635" s="188"/>
      <c r="V635" s="188"/>
      <c r="W635" s="188"/>
      <c r="X635" s="188"/>
      <c r="Y635" s="188"/>
    </row>
    <row r="636" spans="1:25" ht="12.75" x14ac:dyDescent="0.2">
      <c r="A636" s="188"/>
      <c r="B636" s="188"/>
      <c r="C636" s="188"/>
      <c r="D636" s="188"/>
      <c r="E636" s="188"/>
      <c r="F636" s="188"/>
      <c r="G636" s="188"/>
      <c r="H636" s="188"/>
      <c r="I636" s="188"/>
      <c r="J636" s="188"/>
      <c r="K636" s="188"/>
      <c r="L636" s="188"/>
      <c r="M636" s="188"/>
      <c r="N636" s="188"/>
      <c r="O636" s="188"/>
      <c r="P636" s="188"/>
      <c r="Q636" s="188"/>
      <c r="R636" s="188"/>
      <c r="S636" s="188"/>
      <c r="T636" s="188"/>
      <c r="U636" s="188"/>
      <c r="V636" s="188"/>
      <c r="W636" s="188"/>
      <c r="X636" s="188"/>
      <c r="Y636" s="188"/>
    </row>
    <row r="637" spans="1:25" ht="12.75" x14ac:dyDescent="0.2">
      <c r="A637" s="188"/>
      <c r="B637" s="188"/>
      <c r="C637" s="188"/>
      <c r="D637" s="188"/>
      <c r="E637" s="188"/>
      <c r="F637" s="188"/>
      <c r="G637" s="188"/>
      <c r="H637" s="188"/>
      <c r="I637" s="188"/>
      <c r="J637" s="188"/>
      <c r="K637" s="188"/>
      <c r="L637" s="188"/>
      <c r="M637" s="188"/>
      <c r="N637" s="188"/>
      <c r="O637" s="188"/>
      <c r="P637" s="188"/>
      <c r="Q637" s="188"/>
      <c r="R637" s="188"/>
      <c r="S637" s="188"/>
      <c r="T637" s="188"/>
      <c r="U637" s="188"/>
      <c r="V637" s="188"/>
      <c r="W637" s="188"/>
      <c r="X637" s="188"/>
      <c r="Y637" s="188"/>
    </row>
    <row r="638" spans="1:25" ht="12.75" x14ac:dyDescent="0.2">
      <c r="A638" s="188"/>
      <c r="B638" s="188"/>
      <c r="C638" s="188"/>
      <c r="D638" s="188"/>
      <c r="E638" s="188"/>
      <c r="F638" s="188"/>
      <c r="G638" s="188"/>
      <c r="H638" s="188"/>
      <c r="I638" s="188"/>
      <c r="J638" s="188"/>
      <c r="K638" s="188"/>
      <c r="L638" s="188"/>
      <c r="M638" s="188"/>
      <c r="N638" s="188"/>
      <c r="O638" s="188"/>
      <c r="P638" s="188"/>
      <c r="Q638" s="188"/>
      <c r="R638" s="188"/>
      <c r="S638" s="188"/>
      <c r="T638" s="188"/>
      <c r="U638" s="188"/>
      <c r="V638" s="188"/>
      <c r="W638" s="188"/>
      <c r="X638" s="188"/>
      <c r="Y638" s="188"/>
    </row>
    <row r="639" spans="1:25" ht="12.75" x14ac:dyDescent="0.2">
      <c r="A639" s="188"/>
      <c r="B639" s="188"/>
      <c r="C639" s="188"/>
      <c r="D639" s="188"/>
      <c r="E639" s="188"/>
      <c r="F639" s="188"/>
      <c r="G639" s="188"/>
      <c r="H639" s="188"/>
      <c r="I639" s="188"/>
      <c r="J639" s="188"/>
      <c r="K639" s="188"/>
      <c r="L639" s="188"/>
      <c r="M639" s="188"/>
      <c r="N639" s="188"/>
      <c r="O639" s="188"/>
      <c r="P639" s="188"/>
      <c r="Q639" s="188"/>
      <c r="R639" s="188"/>
      <c r="S639" s="188"/>
      <c r="T639" s="188"/>
      <c r="U639" s="188"/>
      <c r="V639" s="188"/>
      <c r="W639" s="188"/>
      <c r="X639" s="188"/>
      <c r="Y639" s="188"/>
    </row>
    <row r="640" spans="1:25" ht="12.75" x14ac:dyDescent="0.2">
      <c r="A640" s="188"/>
      <c r="B640" s="188"/>
      <c r="C640" s="188"/>
      <c r="D640" s="188"/>
      <c r="E640" s="188"/>
      <c r="F640" s="188"/>
      <c r="G640" s="188"/>
      <c r="H640" s="188"/>
      <c r="I640" s="188"/>
      <c r="J640" s="188"/>
      <c r="K640" s="188"/>
      <c r="L640" s="188"/>
      <c r="M640" s="188"/>
      <c r="N640" s="188"/>
      <c r="O640" s="188"/>
      <c r="P640" s="188"/>
      <c r="Q640" s="188"/>
      <c r="R640" s="188"/>
      <c r="S640" s="188"/>
      <c r="T640" s="188"/>
      <c r="U640" s="188"/>
      <c r="V640" s="188"/>
      <c r="W640" s="188"/>
      <c r="X640" s="188"/>
      <c r="Y640" s="188"/>
    </row>
    <row r="641" spans="1:25" ht="12.75" x14ac:dyDescent="0.2">
      <c r="A641" s="188"/>
      <c r="B641" s="188"/>
      <c r="C641" s="188"/>
      <c r="D641" s="188"/>
      <c r="E641" s="188"/>
      <c r="F641" s="188"/>
      <c r="G641" s="188"/>
      <c r="H641" s="188"/>
      <c r="I641" s="188"/>
      <c r="J641" s="188"/>
      <c r="K641" s="188"/>
      <c r="L641" s="188"/>
      <c r="M641" s="188"/>
      <c r="N641" s="188"/>
      <c r="O641" s="188"/>
      <c r="P641" s="188"/>
      <c r="Q641" s="188"/>
      <c r="R641" s="188"/>
      <c r="S641" s="188"/>
      <c r="T641" s="188"/>
      <c r="U641" s="188"/>
      <c r="V641" s="188"/>
      <c r="W641" s="188"/>
      <c r="X641" s="188"/>
      <c r="Y641" s="188"/>
    </row>
    <row r="642" spans="1:25" ht="12.75" x14ac:dyDescent="0.2">
      <c r="A642" s="188"/>
      <c r="B642" s="188"/>
      <c r="C642" s="188"/>
      <c r="D642" s="188"/>
      <c r="E642" s="188"/>
      <c r="F642" s="188"/>
      <c r="G642" s="188"/>
      <c r="H642" s="188"/>
      <c r="I642" s="188"/>
      <c r="J642" s="188"/>
      <c r="K642" s="188"/>
      <c r="L642" s="188"/>
      <c r="M642" s="188"/>
      <c r="N642" s="188"/>
      <c r="O642" s="188"/>
      <c r="P642" s="188"/>
      <c r="Q642" s="188"/>
      <c r="R642" s="188"/>
      <c r="S642" s="188"/>
      <c r="T642" s="188"/>
      <c r="U642" s="188"/>
      <c r="V642" s="188"/>
      <c r="W642" s="188"/>
      <c r="X642" s="188"/>
      <c r="Y642" s="188"/>
    </row>
    <row r="643" spans="1:25" ht="12.75" x14ac:dyDescent="0.2">
      <c r="A643" s="188"/>
      <c r="B643" s="188"/>
      <c r="C643" s="188"/>
      <c r="D643" s="188"/>
      <c r="E643" s="188"/>
      <c r="F643" s="188"/>
      <c r="G643" s="188"/>
      <c r="H643" s="188"/>
      <c r="I643" s="188"/>
      <c r="J643" s="188"/>
      <c r="K643" s="188"/>
      <c r="L643" s="188"/>
      <c r="M643" s="188"/>
      <c r="N643" s="188"/>
      <c r="O643" s="188"/>
      <c r="P643" s="188"/>
      <c r="Q643" s="188"/>
      <c r="R643" s="188"/>
      <c r="S643" s="188"/>
      <c r="T643" s="188"/>
      <c r="U643" s="188"/>
      <c r="V643" s="188"/>
      <c r="W643" s="188"/>
      <c r="X643" s="188"/>
      <c r="Y643" s="188"/>
    </row>
    <row r="644" spans="1:25" ht="12.75" x14ac:dyDescent="0.2">
      <c r="A644" s="188"/>
      <c r="B644" s="188"/>
      <c r="C644" s="188"/>
      <c r="D644" s="188"/>
      <c r="E644" s="188"/>
      <c r="F644" s="188"/>
      <c r="G644" s="188"/>
      <c r="H644" s="188"/>
      <c r="I644" s="188"/>
      <c r="J644" s="188"/>
      <c r="K644" s="188"/>
      <c r="L644" s="188"/>
      <c r="M644" s="188"/>
      <c r="N644" s="188"/>
      <c r="O644" s="188"/>
      <c r="P644" s="188"/>
      <c r="Q644" s="188"/>
      <c r="R644" s="188"/>
      <c r="S644" s="188"/>
      <c r="T644" s="188"/>
      <c r="U644" s="188"/>
      <c r="V644" s="188"/>
      <c r="W644" s="188"/>
      <c r="X644" s="188"/>
      <c r="Y644" s="188"/>
    </row>
    <row r="645" spans="1:25" ht="12.75" x14ac:dyDescent="0.2">
      <c r="A645" s="188"/>
      <c r="B645" s="188"/>
      <c r="C645" s="188"/>
      <c r="D645" s="188"/>
      <c r="E645" s="188"/>
      <c r="F645" s="188"/>
      <c r="G645" s="188"/>
      <c r="H645" s="188"/>
      <c r="I645" s="188"/>
      <c r="J645" s="188"/>
      <c r="K645" s="188"/>
      <c r="L645" s="188"/>
      <c r="M645" s="188"/>
      <c r="N645" s="188"/>
      <c r="O645" s="188"/>
      <c r="P645" s="188"/>
      <c r="Q645" s="188"/>
      <c r="R645" s="188"/>
      <c r="S645" s="188"/>
      <c r="T645" s="188"/>
      <c r="U645" s="188"/>
      <c r="V645" s="188"/>
      <c r="W645" s="188"/>
      <c r="X645" s="188"/>
      <c r="Y645" s="188"/>
    </row>
    <row r="646" spans="1:25" ht="12.75" x14ac:dyDescent="0.2">
      <c r="A646" s="188"/>
      <c r="B646" s="188"/>
      <c r="C646" s="188"/>
      <c r="D646" s="188"/>
      <c r="E646" s="188"/>
      <c r="F646" s="188"/>
      <c r="G646" s="188"/>
      <c r="H646" s="188"/>
      <c r="I646" s="188"/>
      <c r="J646" s="188"/>
      <c r="K646" s="188"/>
      <c r="L646" s="188"/>
      <c r="M646" s="188"/>
      <c r="N646" s="188"/>
      <c r="O646" s="188"/>
      <c r="P646" s="188"/>
      <c r="Q646" s="188"/>
      <c r="R646" s="188"/>
      <c r="S646" s="188"/>
      <c r="T646" s="188"/>
      <c r="U646" s="188"/>
      <c r="V646" s="188"/>
      <c r="W646" s="188"/>
      <c r="X646" s="188"/>
      <c r="Y646" s="188"/>
    </row>
    <row r="647" spans="1:25" ht="12.75" x14ac:dyDescent="0.2">
      <c r="A647" s="188"/>
      <c r="B647" s="188"/>
      <c r="C647" s="188"/>
      <c r="D647" s="188"/>
      <c r="E647" s="188"/>
      <c r="F647" s="188"/>
      <c r="G647" s="188"/>
      <c r="H647" s="188"/>
      <c r="I647" s="188"/>
      <c r="J647" s="188"/>
      <c r="K647" s="188"/>
      <c r="L647" s="188"/>
      <c r="M647" s="188"/>
      <c r="N647" s="188"/>
      <c r="O647" s="188"/>
      <c r="P647" s="188"/>
      <c r="Q647" s="188"/>
      <c r="R647" s="188"/>
      <c r="S647" s="188"/>
      <c r="T647" s="188"/>
      <c r="U647" s="188"/>
      <c r="V647" s="188"/>
      <c r="W647" s="188"/>
      <c r="X647" s="188"/>
      <c r="Y647" s="188"/>
    </row>
    <row r="648" spans="1:25" ht="12.75" x14ac:dyDescent="0.2">
      <c r="A648" s="188"/>
      <c r="B648" s="188"/>
      <c r="C648" s="188"/>
      <c r="D648" s="188"/>
      <c r="E648" s="188"/>
      <c r="F648" s="188"/>
      <c r="G648" s="188"/>
      <c r="H648" s="188"/>
      <c r="I648" s="188"/>
      <c r="J648" s="188"/>
      <c r="K648" s="188"/>
      <c r="L648" s="188"/>
      <c r="M648" s="188"/>
      <c r="N648" s="188"/>
      <c r="O648" s="188"/>
      <c r="P648" s="188"/>
      <c r="Q648" s="188"/>
      <c r="R648" s="188"/>
      <c r="S648" s="188"/>
      <c r="T648" s="188"/>
      <c r="U648" s="188"/>
      <c r="V648" s="188"/>
      <c r="W648" s="188"/>
      <c r="X648" s="188"/>
      <c r="Y648" s="188"/>
    </row>
    <row r="649" spans="1:25" ht="12.75" x14ac:dyDescent="0.2">
      <c r="A649" s="188"/>
      <c r="B649" s="188"/>
      <c r="C649" s="188"/>
      <c r="D649" s="188"/>
      <c r="E649" s="188"/>
      <c r="F649" s="188"/>
      <c r="G649" s="188"/>
      <c r="H649" s="188"/>
      <c r="I649" s="188"/>
      <c r="J649" s="188"/>
      <c r="K649" s="188"/>
      <c r="L649" s="188"/>
      <c r="M649" s="188"/>
      <c r="N649" s="188"/>
      <c r="O649" s="188"/>
      <c r="P649" s="188"/>
      <c r="Q649" s="188"/>
      <c r="R649" s="188"/>
      <c r="S649" s="188"/>
      <c r="T649" s="188"/>
      <c r="U649" s="188"/>
      <c r="V649" s="188"/>
      <c r="W649" s="188"/>
      <c r="X649" s="188"/>
      <c r="Y649" s="188"/>
    </row>
    <row r="650" spans="1:25" ht="12.75" x14ac:dyDescent="0.2">
      <c r="A650" s="188"/>
      <c r="B650" s="188"/>
      <c r="C650" s="188"/>
      <c r="D650" s="188"/>
      <c r="E650" s="188"/>
      <c r="F650" s="188"/>
      <c r="G650" s="188"/>
      <c r="H650" s="188"/>
      <c r="I650" s="188"/>
      <c r="J650" s="188"/>
      <c r="K650" s="188"/>
      <c r="L650" s="188"/>
      <c r="M650" s="188"/>
      <c r="N650" s="188"/>
      <c r="O650" s="188"/>
      <c r="P650" s="188"/>
      <c r="Q650" s="188"/>
      <c r="R650" s="188"/>
      <c r="S650" s="188"/>
      <c r="T650" s="188"/>
      <c r="U650" s="188"/>
      <c r="V650" s="188"/>
      <c r="W650" s="188"/>
      <c r="X650" s="188"/>
      <c r="Y650" s="188"/>
    </row>
    <row r="651" spans="1:25" ht="12.75" x14ac:dyDescent="0.2">
      <c r="A651" s="188"/>
      <c r="B651" s="188"/>
      <c r="C651" s="188"/>
      <c r="D651" s="188"/>
      <c r="E651" s="188"/>
      <c r="F651" s="188"/>
      <c r="G651" s="188"/>
      <c r="H651" s="188"/>
      <c r="I651" s="188"/>
      <c r="J651" s="188"/>
      <c r="K651" s="188"/>
      <c r="L651" s="188"/>
      <c r="M651" s="188"/>
      <c r="N651" s="188"/>
      <c r="O651" s="188"/>
      <c r="P651" s="188"/>
      <c r="Q651" s="188"/>
      <c r="R651" s="188"/>
      <c r="S651" s="188"/>
      <c r="T651" s="188"/>
      <c r="U651" s="188"/>
      <c r="V651" s="188"/>
      <c r="W651" s="188"/>
      <c r="X651" s="188"/>
      <c r="Y651" s="188"/>
    </row>
    <row r="652" spans="1:25" ht="12.75" x14ac:dyDescent="0.2">
      <c r="A652" s="188"/>
      <c r="B652" s="188"/>
      <c r="C652" s="188"/>
      <c r="D652" s="188"/>
      <c r="E652" s="188"/>
      <c r="F652" s="188"/>
      <c r="G652" s="188"/>
      <c r="H652" s="188"/>
      <c r="I652" s="188"/>
      <c r="J652" s="188"/>
      <c r="K652" s="188"/>
      <c r="L652" s="188"/>
      <c r="M652" s="188"/>
      <c r="N652" s="188"/>
      <c r="O652" s="188"/>
      <c r="P652" s="188"/>
      <c r="Q652" s="188"/>
      <c r="R652" s="188"/>
      <c r="S652" s="188"/>
      <c r="T652" s="188"/>
      <c r="U652" s="188"/>
      <c r="V652" s="188"/>
      <c r="W652" s="188"/>
      <c r="X652" s="188"/>
      <c r="Y652" s="188"/>
    </row>
    <row r="653" spans="1:25" ht="12.75" x14ac:dyDescent="0.2">
      <c r="A653" s="188"/>
      <c r="B653" s="188"/>
      <c r="C653" s="188"/>
      <c r="D653" s="188"/>
      <c r="E653" s="188"/>
      <c r="F653" s="188"/>
      <c r="G653" s="188"/>
      <c r="H653" s="188"/>
      <c r="I653" s="188"/>
      <c r="J653" s="188"/>
      <c r="K653" s="188"/>
      <c r="L653" s="188"/>
      <c r="M653" s="188"/>
      <c r="N653" s="188"/>
      <c r="O653" s="188"/>
      <c r="P653" s="188"/>
      <c r="Q653" s="188"/>
      <c r="R653" s="188"/>
      <c r="S653" s="188"/>
      <c r="T653" s="188"/>
      <c r="U653" s="188"/>
      <c r="V653" s="188"/>
      <c r="W653" s="188"/>
      <c r="X653" s="188"/>
      <c r="Y653" s="188"/>
    </row>
    <row r="654" spans="1:25" ht="12.75" x14ac:dyDescent="0.2">
      <c r="A654" s="188"/>
      <c r="B654" s="188"/>
      <c r="C654" s="188"/>
      <c r="D654" s="188"/>
      <c r="E654" s="188"/>
      <c r="F654" s="188"/>
      <c r="G654" s="188"/>
      <c r="H654" s="188"/>
      <c r="I654" s="188"/>
      <c r="J654" s="188"/>
      <c r="K654" s="188"/>
      <c r="L654" s="188"/>
      <c r="M654" s="188"/>
      <c r="N654" s="188"/>
      <c r="O654" s="188"/>
      <c r="P654" s="188"/>
      <c r="Q654" s="188"/>
      <c r="R654" s="188"/>
      <c r="S654" s="188"/>
      <c r="T654" s="188"/>
      <c r="U654" s="188"/>
      <c r="V654" s="188"/>
      <c r="W654" s="188"/>
      <c r="X654" s="188"/>
      <c r="Y654" s="188"/>
    </row>
    <row r="655" spans="1:25" ht="12.75" x14ac:dyDescent="0.2">
      <c r="A655" s="188"/>
      <c r="B655" s="188"/>
      <c r="C655" s="188"/>
      <c r="D655" s="188"/>
      <c r="E655" s="188"/>
      <c r="F655" s="188"/>
      <c r="G655" s="188"/>
      <c r="H655" s="188"/>
      <c r="I655" s="188"/>
      <c r="J655" s="188"/>
      <c r="K655" s="188"/>
      <c r="L655" s="188"/>
      <c r="M655" s="188"/>
      <c r="N655" s="188"/>
      <c r="O655" s="188"/>
      <c r="P655" s="188"/>
      <c r="Q655" s="188"/>
      <c r="R655" s="188"/>
      <c r="S655" s="188"/>
      <c r="T655" s="188"/>
      <c r="U655" s="188"/>
      <c r="V655" s="188"/>
      <c r="W655" s="188"/>
      <c r="X655" s="188"/>
      <c r="Y655" s="188"/>
    </row>
    <row r="656" spans="1:25" ht="12.75" x14ac:dyDescent="0.2">
      <c r="A656" s="188"/>
      <c r="B656" s="188"/>
      <c r="C656" s="188"/>
      <c r="D656" s="188"/>
      <c r="E656" s="188"/>
      <c r="F656" s="188"/>
      <c r="G656" s="188"/>
      <c r="H656" s="188"/>
      <c r="I656" s="188"/>
      <c r="J656" s="188"/>
      <c r="K656" s="188"/>
      <c r="L656" s="188"/>
      <c r="M656" s="188"/>
      <c r="N656" s="188"/>
      <c r="O656" s="188"/>
      <c r="P656" s="188"/>
      <c r="Q656" s="188"/>
      <c r="R656" s="188"/>
      <c r="S656" s="188"/>
      <c r="T656" s="188"/>
      <c r="U656" s="188"/>
      <c r="V656" s="188"/>
      <c r="W656" s="188"/>
      <c r="X656" s="188"/>
      <c r="Y656" s="188"/>
    </row>
    <row r="657" spans="1:25" ht="12.75" x14ac:dyDescent="0.2">
      <c r="A657" s="188"/>
      <c r="B657" s="188"/>
      <c r="C657" s="188"/>
      <c r="D657" s="188"/>
      <c r="E657" s="188"/>
      <c r="F657" s="188"/>
      <c r="G657" s="188"/>
      <c r="H657" s="188"/>
      <c r="I657" s="188"/>
      <c r="J657" s="188"/>
      <c r="K657" s="188"/>
      <c r="L657" s="188"/>
      <c r="M657" s="188"/>
      <c r="N657" s="188"/>
      <c r="O657" s="188"/>
      <c r="P657" s="188"/>
      <c r="Q657" s="188"/>
      <c r="R657" s="188"/>
      <c r="S657" s="188"/>
      <c r="T657" s="188"/>
      <c r="U657" s="188"/>
      <c r="V657" s="188"/>
      <c r="W657" s="188"/>
      <c r="X657" s="188"/>
      <c r="Y657" s="188"/>
    </row>
    <row r="658" spans="1:25" ht="12.75" x14ac:dyDescent="0.2">
      <c r="A658" s="188"/>
      <c r="B658" s="188"/>
      <c r="C658" s="188"/>
      <c r="D658" s="188"/>
      <c r="E658" s="188"/>
      <c r="F658" s="188"/>
      <c r="G658" s="188"/>
      <c r="H658" s="188"/>
      <c r="I658" s="188"/>
      <c r="J658" s="188"/>
      <c r="K658" s="188"/>
      <c r="L658" s="188"/>
      <c r="M658" s="188"/>
      <c r="N658" s="188"/>
      <c r="O658" s="188"/>
      <c r="P658" s="188"/>
      <c r="Q658" s="188"/>
      <c r="R658" s="188"/>
      <c r="S658" s="188"/>
      <c r="T658" s="188"/>
      <c r="U658" s="188"/>
      <c r="V658" s="188"/>
      <c r="W658" s="188"/>
      <c r="X658" s="188"/>
      <c r="Y658" s="188"/>
    </row>
    <row r="659" spans="1:25" ht="12.75" x14ac:dyDescent="0.2">
      <c r="A659" s="188"/>
      <c r="B659" s="188"/>
      <c r="C659" s="188"/>
      <c r="D659" s="188"/>
      <c r="E659" s="188"/>
      <c r="F659" s="188"/>
      <c r="G659" s="188"/>
      <c r="H659" s="188"/>
      <c r="I659" s="188"/>
      <c r="J659" s="188"/>
      <c r="K659" s="188"/>
      <c r="L659" s="188"/>
      <c r="M659" s="188"/>
      <c r="N659" s="188"/>
      <c r="O659" s="188"/>
      <c r="P659" s="188"/>
      <c r="Q659" s="188"/>
      <c r="R659" s="188"/>
      <c r="S659" s="188"/>
      <c r="T659" s="188"/>
      <c r="U659" s="188"/>
      <c r="V659" s="188"/>
      <c r="W659" s="188"/>
      <c r="X659" s="188"/>
      <c r="Y659" s="188"/>
    </row>
    <row r="660" spans="1:25" ht="12.75" x14ac:dyDescent="0.2">
      <c r="A660" s="188"/>
      <c r="B660" s="188"/>
      <c r="C660" s="188"/>
      <c r="D660" s="188"/>
      <c r="E660" s="188"/>
      <c r="F660" s="188"/>
      <c r="G660" s="188"/>
      <c r="H660" s="188"/>
      <c r="I660" s="188"/>
      <c r="J660" s="188"/>
      <c r="K660" s="188"/>
      <c r="L660" s="188"/>
      <c r="M660" s="188"/>
      <c r="N660" s="188"/>
      <c r="O660" s="188"/>
      <c r="P660" s="188"/>
      <c r="Q660" s="188"/>
      <c r="R660" s="188"/>
      <c r="S660" s="188"/>
      <c r="T660" s="188"/>
      <c r="U660" s="188"/>
      <c r="V660" s="188"/>
      <c r="W660" s="188"/>
      <c r="X660" s="188"/>
      <c r="Y660" s="188"/>
    </row>
    <row r="661" spans="1:25" ht="12.75" x14ac:dyDescent="0.2">
      <c r="A661" s="188"/>
      <c r="B661" s="188"/>
      <c r="C661" s="188"/>
      <c r="D661" s="188"/>
      <c r="E661" s="188"/>
      <c r="F661" s="188"/>
      <c r="G661" s="188"/>
      <c r="H661" s="188"/>
      <c r="I661" s="188"/>
      <c r="J661" s="188"/>
      <c r="K661" s="188"/>
      <c r="L661" s="188"/>
      <c r="M661" s="188"/>
      <c r="N661" s="188"/>
      <c r="O661" s="188"/>
      <c r="P661" s="188"/>
      <c r="Q661" s="188"/>
      <c r="R661" s="188"/>
      <c r="S661" s="188"/>
      <c r="T661" s="188"/>
      <c r="U661" s="188"/>
      <c r="V661" s="188"/>
      <c r="W661" s="188"/>
      <c r="X661" s="188"/>
      <c r="Y661" s="188"/>
    </row>
    <row r="662" spans="1:25" ht="12.75" x14ac:dyDescent="0.2">
      <c r="A662" s="188"/>
      <c r="B662" s="188"/>
      <c r="C662" s="188"/>
      <c r="D662" s="188"/>
      <c r="E662" s="188"/>
      <c r="F662" s="188"/>
      <c r="G662" s="188"/>
      <c r="H662" s="188"/>
      <c r="I662" s="188"/>
      <c r="J662" s="188"/>
      <c r="K662" s="188"/>
      <c r="L662" s="188"/>
      <c r="M662" s="188"/>
      <c r="N662" s="188"/>
      <c r="O662" s="188"/>
      <c r="P662" s="188"/>
      <c r="Q662" s="188"/>
      <c r="R662" s="188"/>
      <c r="S662" s="188"/>
      <c r="T662" s="188"/>
      <c r="U662" s="188"/>
      <c r="V662" s="188"/>
      <c r="W662" s="188"/>
      <c r="X662" s="188"/>
      <c r="Y662" s="188"/>
    </row>
    <row r="663" spans="1:25" ht="12.75" x14ac:dyDescent="0.2">
      <c r="A663" s="188"/>
      <c r="B663" s="188"/>
      <c r="C663" s="188"/>
      <c r="D663" s="188"/>
      <c r="E663" s="188"/>
      <c r="F663" s="188"/>
      <c r="G663" s="188"/>
      <c r="H663" s="188"/>
      <c r="I663" s="188"/>
      <c r="J663" s="188"/>
      <c r="K663" s="188"/>
      <c r="L663" s="188"/>
      <c r="M663" s="188"/>
      <c r="N663" s="188"/>
      <c r="O663" s="188"/>
      <c r="P663" s="188"/>
      <c r="Q663" s="188"/>
      <c r="R663" s="188"/>
      <c r="S663" s="188"/>
      <c r="T663" s="188"/>
      <c r="U663" s="188"/>
      <c r="V663" s="188"/>
      <c r="W663" s="188"/>
      <c r="X663" s="188"/>
      <c r="Y663" s="188"/>
    </row>
    <row r="664" spans="1:25" ht="12.75" x14ac:dyDescent="0.2">
      <c r="A664" s="188"/>
      <c r="B664" s="188"/>
      <c r="C664" s="188"/>
      <c r="D664" s="188"/>
      <c r="E664" s="188"/>
      <c r="F664" s="188"/>
      <c r="G664" s="188"/>
      <c r="H664" s="188"/>
      <c r="I664" s="188"/>
      <c r="J664" s="188"/>
      <c r="K664" s="188"/>
      <c r="L664" s="188"/>
      <c r="M664" s="188"/>
      <c r="N664" s="188"/>
      <c r="O664" s="188"/>
      <c r="P664" s="188"/>
      <c r="Q664" s="188"/>
      <c r="R664" s="188"/>
      <c r="S664" s="188"/>
      <c r="T664" s="188"/>
      <c r="U664" s="188"/>
      <c r="V664" s="188"/>
      <c r="W664" s="188"/>
      <c r="X664" s="188"/>
      <c r="Y664" s="188"/>
    </row>
    <row r="665" spans="1:25" ht="12.75" x14ac:dyDescent="0.2">
      <c r="A665" s="188"/>
      <c r="B665" s="188"/>
      <c r="C665" s="188"/>
      <c r="D665" s="188"/>
      <c r="E665" s="188"/>
      <c r="F665" s="188"/>
      <c r="G665" s="188"/>
      <c r="H665" s="188"/>
      <c r="I665" s="188"/>
      <c r="J665" s="188"/>
      <c r="K665" s="188"/>
      <c r="L665" s="188"/>
      <c r="M665" s="188"/>
      <c r="N665" s="188"/>
      <c r="O665" s="188"/>
      <c r="P665" s="188"/>
      <c r="Q665" s="188"/>
      <c r="R665" s="188"/>
      <c r="S665" s="188"/>
      <c r="T665" s="188"/>
      <c r="U665" s="188"/>
      <c r="V665" s="188"/>
      <c r="W665" s="188"/>
      <c r="X665" s="188"/>
      <c r="Y665" s="188"/>
    </row>
    <row r="666" spans="1:25" ht="12.75" x14ac:dyDescent="0.2">
      <c r="A666" s="188"/>
      <c r="B666" s="188"/>
      <c r="C666" s="188"/>
      <c r="D666" s="188"/>
      <c r="E666" s="188"/>
      <c r="F666" s="188"/>
      <c r="G666" s="188"/>
      <c r="H666" s="188"/>
      <c r="I666" s="188"/>
      <c r="J666" s="188"/>
      <c r="K666" s="188"/>
      <c r="L666" s="188"/>
      <c r="M666" s="188"/>
      <c r="N666" s="188"/>
      <c r="O666" s="188"/>
      <c r="P666" s="188"/>
      <c r="Q666" s="188"/>
      <c r="R666" s="188"/>
      <c r="S666" s="188"/>
      <c r="T666" s="188"/>
      <c r="U666" s="188"/>
      <c r="V666" s="188"/>
      <c r="W666" s="188"/>
      <c r="X666" s="188"/>
      <c r="Y666" s="188"/>
    </row>
    <row r="667" spans="1:25" ht="12.75" x14ac:dyDescent="0.2">
      <c r="A667" s="188"/>
      <c r="B667" s="188"/>
      <c r="C667" s="188"/>
      <c r="D667" s="188"/>
      <c r="E667" s="188"/>
      <c r="F667" s="188"/>
      <c r="G667" s="188"/>
      <c r="H667" s="188"/>
      <c r="I667" s="188"/>
      <c r="J667" s="188"/>
      <c r="K667" s="188"/>
      <c r="L667" s="188"/>
      <c r="M667" s="188"/>
      <c r="N667" s="188"/>
      <c r="O667" s="188"/>
      <c r="P667" s="188"/>
      <c r="Q667" s="188"/>
      <c r="R667" s="188"/>
      <c r="S667" s="188"/>
      <c r="T667" s="188"/>
      <c r="U667" s="188"/>
      <c r="V667" s="188"/>
      <c r="W667" s="188"/>
      <c r="X667" s="188"/>
      <c r="Y667" s="188"/>
    </row>
    <row r="668" spans="1:25" ht="12.75" x14ac:dyDescent="0.2">
      <c r="A668" s="188"/>
      <c r="B668" s="188"/>
      <c r="C668" s="188"/>
      <c r="D668" s="188"/>
      <c r="E668" s="188"/>
      <c r="F668" s="188"/>
      <c r="G668" s="188"/>
      <c r="H668" s="188"/>
      <c r="I668" s="188"/>
      <c r="J668" s="188"/>
      <c r="K668" s="188"/>
      <c r="L668" s="188"/>
      <c r="M668" s="188"/>
      <c r="N668" s="188"/>
      <c r="O668" s="188"/>
      <c r="P668" s="188"/>
      <c r="Q668" s="188"/>
      <c r="R668" s="188"/>
      <c r="S668" s="188"/>
      <c r="T668" s="188"/>
      <c r="U668" s="188"/>
      <c r="V668" s="188"/>
      <c r="W668" s="188"/>
      <c r="X668" s="188"/>
      <c r="Y668" s="188"/>
    </row>
    <row r="669" spans="1:25" ht="12.75" x14ac:dyDescent="0.2">
      <c r="A669" s="188"/>
      <c r="B669" s="188"/>
      <c r="C669" s="188"/>
      <c r="D669" s="188"/>
      <c r="E669" s="188"/>
      <c r="F669" s="188"/>
      <c r="G669" s="188"/>
      <c r="H669" s="188"/>
      <c r="I669" s="188"/>
      <c r="J669" s="188"/>
      <c r="K669" s="188"/>
      <c r="L669" s="188"/>
      <c r="M669" s="188"/>
      <c r="N669" s="188"/>
      <c r="O669" s="188"/>
      <c r="P669" s="188"/>
      <c r="Q669" s="188"/>
      <c r="R669" s="188"/>
      <c r="S669" s="188"/>
      <c r="T669" s="188"/>
      <c r="U669" s="188"/>
      <c r="V669" s="188"/>
      <c r="W669" s="188"/>
      <c r="X669" s="188"/>
      <c r="Y669" s="188"/>
    </row>
    <row r="670" spans="1:25" ht="12.75" x14ac:dyDescent="0.2">
      <c r="A670" s="188"/>
      <c r="B670" s="188"/>
      <c r="C670" s="188"/>
      <c r="D670" s="188"/>
      <c r="E670" s="188"/>
      <c r="F670" s="188"/>
      <c r="G670" s="188"/>
      <c r="H670" s="188"/>
      <c r="I670" s="188"/>
      <c r="J670" s="188"/>
      <c r="K670" s="188"/>
      <c r="L670" s="188"/>
      <c r="M670" s="188"/>
      <c r="N670" s="188"/>
      <c r="O670" s="188"/>
      <c r="P670" s="188"/>
      <c r="Q670" s="188"/>
      <c r="R670" s="188"/>
      <c r="S670" s="188"/>
      <c r="T670" s="188"/>
      <c r="U670" s="188"/>
      <c r="V670" s="188"/>
      <c r="W670" s="188"/>
      <c r="X670" s="188"/>
      <c r="Y670" s="188"/>
    </row>
    <row r="671" spans="1:25" ht="12.75" x14ac:dyDescent="0.2">
      <c r="A671" s="188"/>
      <c r="B671" s="188"/>
      <c r="C671" s="188"/>
      <c r="D671" s="188"/>
      <c r="E671" s="188"/>
      <c r="F671" s="188"/>
      <c r="G671" s="188"/>
      <c r="H671" s="188"/>
      <c r="I671" s="188"/>
      <c r="J671" s="188"/>
      <c r="K671" s="188"/>
      <c r="L671" s="188"/>
      <c r="M671" s="188"/>
      <c r="N671" s="188"/>
      <c r="O671" s="188"/>
      <c r="P671" s="188"/>
      <c r="Q671" s="188"/>
      <c r="R671" s="188"/>
      <c r="S671" s="188"/>
      <c r="T671" s="188"/>
      <c r="U671" s="188"/>
      <c r="V671" s="188"/>
      <c r="W671" s="188"/>
      <c r="X671" s="188"/>
      <c r="Y671" s="188"/>
    </row>
    <row r="672" spans="1:25" ht="12.75" x14ac:dyDescent="0.2">
      <c r="A672" s="188"/>
      <c r="B672" s="188"/>
      <c r="C672" s="188"/>
      <c r="D672" s="188"/>
      <c r="E672" s="188"/>
      <c r="F672" s="188"/>
      <c r="G672" s="188"/>
      <c r="H672" s="188"/>
      <c r="I672" s="188"/>
      <c r="J672" s="188"/>
      <c r="K672" s="188"/>
      <c r="L672" s="188"/>
      <c r="M672" s="188"/>
      <c r="N672" s="188"/>
      <c r="O672" s="188"/>
      <c r="P672" s="188"/>
      <c r="Q672" s="188"/>
      <c r="R672" s="188"/>
      <c r="S672" s="188"/>
      <c r="T672" s="188"/>
      <c r="U672" s="188"/>
      <c r="V672" s="188"/>
      <c r="W672" s="188"/>
      <c r="X672" s="188"/>
      <c r="Y672" s="188"/>
    </row>
    <row r="673" spans="1:25" ht="12.75" x14ac:dyDescent="0.2">
      <c r="A673" s="188"/>
      <c r="B673" s="188"/>
      <c r="C673" s="188"/>
      <c r="D673" s="188"/>
      <c r="E673" s="188"/>
      <c r="F673" s="188"/>
      <c r="G673" s="188"/>
      <c r="H673" s="188"/>
      <c r="I673" s="188"/>
      <c r="J673" s="188"/>
      <c r="K673" s="188"/>
      <c r="L673" s="188"/>
      <c r="M673" s="188"/>
      <c r="N673" s="188"/>
      <c r="O673" s="188"/>
      <c r="P673" s="188"/>
      <c r="Q673" s="188"/>
      <c r="R673" s="188"/>
      <c r="S673" s="188"/>
      <c r="T673" s="188"/>
      <c r="U673" s="188"/>
      <c r="V673" s="188"/>
      <c r="W673" s="188"/>
      <c r="X673" s="188"/>
      <c r="Y673" s="188"/>
    </row>
    <row r="674" spans="1:25" ht="12.75" x14ac:dyDescent="0.2">
      <c r="A674" s="188"/>
      <c r="B674" s="188"/>
      <c r="C674" s="188"/>
      <c r="D674" s="188"/>
      <c r="E674" s="188"/>
      <c r="F674" s="188"/>
      <c r="G674" s="188"/>
      <c r="H674" s="188"/>
      <c r="I674" s="188"/>
      <c r="J674" s="188"/>
      <c r="K674" s="188"/>
      <c r="L674" s="188"/>
      <c r="M674" s="188"/>
      <c r="N674" s="188"/>
      <c r="O674" s="188"/>
      <c r="P674" s="188"/>
      <c r="Q674" s="188"/>
      <c r="R674" s="188"/>
      <c r="S674" s="188"/>
      <c r="T674" s="188"/>
      <c r="U674" s="188"/>
      <c r="V674" s="188"/>
      <c r="W674" s="188"/>
      <c r="X674" s="188"/>
      <c r="Y674" s="188"/>
    </row>
    <row r="675" spans="1:25" ht="12.75" x14ac:dyDescent="0.2">
      <c r="A675" s="188"/>
      <c r="B675" s="188"/>
      <c r="C675" s="188"/>
      <c r="D675" s="188"/>
      <c r="E675" s="188"/>
      <c r="F675" s="188"/>
      <c r="G675" s="188"/>
      <c r="H675" s="188"/>
      <c r="I675" s="188"/>
      <c r="J675" s="188"/>
      <c r="K675" s="188"/>
      <c r="L675" s="188"/>
      <c r="M675" s="188"/>
      <c r="N675" s="188"/>
      <c r="O675" s="188"/>
      <c r="P675" s="188"/>
      <c r="Q675" s="188"/>
      <c r="R675" s="188"/>
      <c r="S675" s="188"/>
      <c r="T675" s="188"/>
      <c r="U675" s="188"/>
      <c r="V675" s="188"/>
      <c r="W675" s="188"/>
      <c r="X675" s="188"/>
      <c r="Y675" s="188"/>
    </row>
    <row r="676" spans="1:25" ht="12.75" x14ac:dyDescent="0.2">
      <c r="A676" s="188"/>
      <c r="B676" s="188"/>
      <c r="C676" s="188"/>
      <c r="D676" s="188"/>
      <c r="E676" s="188"/>
      <c r="F676" s="188"/>
      <c r="G676" s="188"/>
      <c r="H676" s="188"/>
      <c r="I676" s="188"/>
      <c r="J676" s="188"/>
      <c r="K676" s="188"/>
      <c r="L676" s="188"/>
      <c r="M676" s="188"/>
      <c r="N676" s="188"/>
      <c r="O676" s="188"/>
      <c r="P676" s="188"/>
      <c r="Q676" s="188"/>
      <c r="R676" s="188"/>
      <c r="S676" s="188"/>
      <c r="T676" s="188"/>
      <c r="U676" s="188"/>
      <c r="V676" s="188"/>
      <c r="W676" s="188"/>
      <c r="X676" s="188"/>
      <c r="Y676" s="188"/>
    </row>
    <row r="677" spans="1:25" ht="12.75" x14ac:dyDescent="0.2">
      <c r="A677" s="188"/>
      <c r="B677" s="188"/>
      <c r="C677" s="188"/>
      <c r="D677" s="188"/>
      <c r="E677" s="188"/>
      <c r="F677" s="188"/>
      <c r="G677" s="188"/>
      <c r="H677" s="188"/>
      <c r="I677" s="188"/>
      <c r="J677" s="188"/>
      <c r="K677" s="188"/>
      <c r="L677" s="188"/>
      <c r="M677" s="188"/>
      <c r="N677" s="188"/>
      <c r="O677" s="188"/>
      <c r="P677" s="188"/>
      <c r="Q677" s="188"/>
      <c r="R677" s="188"/>
      <c r="S677" s="188"/>
      <c r="T677" s="188"/>
      <c r="U677" s="188"/>
      <c r="V677" s="188"/>
      <c r="W677" s="188"/>
      <c r="X677" s="188"/>
      <c r="Y677" s="188"/>
    </row>
    <row r="678" spans="1:25" ht="12.75" x14ac:dyDescent="0.2">
      <c r="A678" s="188"/>
      <c r="B678" s="188"/>
      <c r="C678" s="188"/>
      <c r="D678" s="188"/>
      <c r="E678" s="188"/>
      <c r="F678" s="188"/>
      <c r="G678" s="188"/>
      <c r="H678" s="188"/>
      <c r="I678" s="188"/>
      <c r="J678" s="188"/>
      <c r="K678" s="188"/>
      <c r="L678" s="188"/>
      <c r="M678" s="188"/>
      <c r="N678" s="188"/>
      <c r="O678" s="188"/>
      <c r="P678" s="188"/>
      <c r="Q678" s="188"/>
      <c r="R678" s="188"/>
      <c r="S678" s="188"/>
      <c r="T678" s="188"/>
      <c r="U678" s="188"/>
      <c r="V678" s="188"/>
      <c r="W678" s="188"/>
      <c r="X678" s="188"/>
      <c r="Y678" s="188"/>
    </row>
    <row r="679" spans="1:25" ht="12.75" x14ac:dyDescent="0.2">
      <c r="A679" s="188"/>
      <c r="B679" s="188"/>
      <c r="C679" s="188"/>
      <c r="D679" s="188"/>
      <c r="E679" s="188"/>
      <c r="F679" s="188"/>
      <c r="G679" s="188"/>
      <c r="H679" s="188"/>
      <c r="I679" s="188"/>
      <c r="J679" s="188"/>
      <c r="K679" s="188"/>
      <c r="L679" s="188"/>
      <c r="M679" s="188"/>
      <c r="N679" s="188"/>
      <c r="O679" s="188"/>
      <c r="P679" s="188"/>
      <c r="Q679" s="188"/>
      <c r="R679" s="188"/>
      <c r="S679" s="188"/>
      <c r="T679" s="188"/>
      <c r="U679" s="188"/>
      <c r="V679" s="188"/>
      <c r="W679" s="188"/>
      <c r="X679" s="188"/>
      <c r="Y679" s="188"/>
    </row>
    <row r="680" spans="1:25" ht="12.75" x14ac:dyDescent="0.2">
      <c r="A680" s="188"/>
      <c r="B680" s="188"/>
      <c r="C680" s="188"/>
      <c r="D680" s="188"/>
      <c r="E680" s="188"/>
      <c r="F680" s="188"/>
      <c r="G680" s="188"/>
      <c r="H680" s="188"/>
      <c r="I680" s="188"/>
      <c r="J680" s="188"/>
      <c r="K680" s="188"/>
      <c r="L680" s="188"/>
      <c r="M680" s="188"/>
      <c r="N680" s="188"/>
      <c r="O680" s="188"/>
      <c r="P680" s="188"/>
      <c r="Q680" s="188"/>
      <c r="R680" s="188"/>
      <c r="S680" s="188"/>
      <c r="T680" s="188"/>
      <c r="U680" s="188"/>
      <c r="V680" s="188"/>
      <c r="W680" s="188"/>
      <c r="X680" s="188"/>
      <c r="Y680" s="188"/>
    </row>
    <row r="681" spans="1:25" ht="12.75" x14ac:dyDescent="0.2">
      <c r="A681" s="188"/>
      <c r="B681" s="188"/>
      <c r="C681" s="188"/>
      <c r="D681" s="188"/>
      <c r="E681" s="188"/>
      <c r="F681" s="188"/>
      <c r="G681" s="188"/>
      <c r="H681" s="188"/>
      <c r="I681" s="188"/>
      <c r="J681" s="188"/>
      <c r="K681" s="188"/>
      <c r="L681" s="188"/>
      <c r="M681" s="188"/>
      <c r="N681" s="188"/>
      <c r="O681" s="188"/>
      <c r="P681" s="188"/>
      <c r="Q681" s="188"/>
      <c r="R681" s="188"/>
      <c r="S681" s="188"/>
      <c r="T681" s="188"/>
      <c r="U681" s="188"/>
      <c r="V681" s="188"/>
      <c r="W681" s="188"/>
      <c r="X681" s="188"/>
      <c r="Y681" s="188"/>
    </row>
    <row r="682" spans="1:25" ht="12.75" x14ac:dyDescent="0.2">
      <c r="A682" s="188"/>
      <c r="B682" s="188"/>
      <c r="C682" s="188"/>
      <c r="D682" s="188"/>
      <c r="E682" s="188"/>
      <c r="F682" s="188"/>
      <c r="G682" s="188"/>
      <c r="H682" s="188"/>
      <c r="I682" s="188"/>
      <c r="J682" s="188"/>
      <c r="K682" s="188"/>
      <c r="L682" s="188"/>
      <c r="M682" s="188"/>
      <c r="N682" s="188"/>
      <c r="O682" s="188"/>
      <c r="P682" s="188"/>
      <c r="Q682" s="188"/>
      <c r="R682" s="188"/>
      <c r="S682" s="188"/>
      <c r="T682" s="188"/>
      <c r="U682" s="188"/>
      <c r="V682" s="188"/>
      <c r="W682" s="188"/>
      <c r="X682" s="188"/>
      <c r="Y682" s="188"/>
    </row>
    <row r="683" spans="1:25" ht="12.75" x14ac:dyDescent="0.2">
      <c r="A683" s="188"/>
      <c r="B683" s="188"/>
      <c r="C683" s="188"/>
      <c r="D683" s="188"/>
      <c r="E683" s="188"/>
      <c r="F683" s="188"/>
      <c r="G683" s="188"/>
      <c r="H683" s="188"/>
      <c r="I683" s="188"/>
      <c r="J683" s="188"/>
      <c r="K683" s="188"/>
      <c r="L683" s="188"/>
      <c r="M683" s="188"/>
      <c r="N683" s="188"/>
      <c r="O683" s="188"/>
      <c r="P683" s="188"/>
      <c r="Q683" s="188"/>
      <c r="R683" s="188"/>
      <c r="S683" s="188"/>
      <c r="T683" s="188"/>
      <c r="U683" s="188"/>
      <c r="V683" s="188"/>
      <c r="W683" s="188"/>
      <c r="X683" s="188"/>
      <c r="Y683" s="188"/>
    </row>
    <row r="684" spans="1:25" ht="12.75" x14ac:dyDescent="0.2">
      <c r="A684" s="188"/>
      <c r="B684" s="188"/>
      <c r="C684" s="188"/>
      <c r="D684" s="188"/>
      <c r="E684" s="188"/>
      <c r="F684" s="188"/>
      <c r="G684" s="188"/>
      <c r="H684" s="188"/>
      <c r="I684" s="188"/>
      <c r="J684" s="188"/>
      <c r="K684" s="188"/>
      <c r="L684" s="188"/>
      <c r="M684" s="188"/>
      <c r="N684" s="188"/>
      <c r="O684" s="188"/>
      <c r="P684" s="188"/>
      <c r="Q684" s="188"/>
      <c r="R684" s="188"/>
      <c r="S684" s="188"/>
      <c r="T684" s="188"/>
      <c r="U684" s="188"/>
      <c r="V684" s="188"/>
      <c r="W684" s="188"/>
      <c r="X684" s="188"/>
      <c r="Y684" s="188"/>
    </row>
    <row r="685" spans="1:25" ht="12.75" x14ac:dyDescent="0.2">
      <c r="A685" s="188"/>
      <c r="B685" s="188"/>
      <c r="C685" s="188"/>
      <c r="D685" s="188"/>
      <c r="E685" s="188"/>
      <c r="F685" s="188"/>
      <c r="G685" s="188"/>
      <c r="H685" s="188"/>
      <c r="I685" s="188"/>
      <c r="J685" s="188"/>
      <c r="K685" s="188"/>
      <c r="L685" s="188"/>
      <c r="M685" s="188"/>
      <c r="N685" s="188"/>
      <c r="O685" s="188"/>
      <c r="P685" s="188"/>
      <c r="Q685" s="188"/>
      <c r="R685" s="188"/>
      <c r="S685" s="188"/>
      <c r="T685" s="188"/>
      <c r="U685" s="188"/>
      <c r="V685" s="188"/>
      <c r="W685" s="188"/>
      <c r="X685" s="188"/>
      <c r="Y685" s="188"/>
    </row>
    <row r="686" spans="1:25" ht="12.75" x14ac:dyDescent="0.2">
      <c r="A686" s="188"/>
      <c r="B686" s="188"/>
      <c r="C686" s="188"/>
      <c r="D686" s="188"/>
      <c r="E686" s="188"/>
      <c r="F686" s="188"/>
      <c r="G686" s="188"/>
      <c r="H686" s="188"/>
      <c r="I686" s="188"/>
      <c r="J686" s="188"/>
      <c r="K686" s="188"/>
      <c r="L686" s="188"/>
      <c r="M686" s="188"/>
      <c r="N686" s="188"/>
      <c r="O686" s="188"/>
      <c r="P686" s="188"/>
      <c r="Q686" s="188"/>
      <c r="R686" s="188"/>
      <c r="S686" s="188"/>
      <c r="T686" s="188"/>
      <c r="U686" s="188"/>
      <c r="V686" s="188"/>
      <c r="W686" s="188"/>
      <c r="X686" s="188"/>
      <c r="Y686" s="188"/>
    </row>
    <row r="687" spans="1:25" ht="12.75" x14ac:dyDescent="0.2">
      <c r="A687" s="188"/>
      <c r="B687" s="188"/>
      <c r="C687" s="188"/>
      <c r="D687" s="188"/>
      <c r="E687" s="188"/>
      <c r="F687" s="188"/>
      <c r="G687" s="188"/>
      <c r="H687" s="188"/>
      <c r="I687" s="188"/>
      <c r="J687" s="188"/>
      <c r="K687" s="188"/>
      <c r="L687" s="188"/>
      <c r="M687" s="188"/>
      <c r="N687" s="188"/>
      <c r="O687" s="188"/>
      <c r="P687" s="188"/>
      <c r="Q687" s="188"/>
      <c r="R687" s="188"/>
      <c r="S687" s="188"/>
      <c r="T687" s="188"/>
      <c r="U687" s="188"/>
      <c r="V687" s="188"/>
      <c r="W687" s="188"/>
      <c r="X687" s="188"/>
      <c r="Y687" s="188"/>
    </row>
    <row r="688" spans="1:25" ht="12.75" x14ac:dyDescent="0.2">
      <c r="A688" s="188"/>
      <c r="B688" s="188"/>
      <c r="C688" s="188"/>
      <c r="D688" s="188"/>
      <c r="E688" s="188"/>
      <c r="F688" s="188"/>
      <c r="G688" s="188"/>
      <c r="H688" s="188"/>
      <c r="I688" s="188"/>
      <c r="J688" s="188"/>
      <c r="K688" s="188"/>
      <c r="L688" s="188"/>
      <c r="M688" s="188"/>
      <c r="N688" s="188"/>
      <c r="O688" s="188"/>
      <c r="P688" s="188"/>
      <c r="Q688" s="188"/>
      <c r="R688" s="188"/>
      <c r="S688" s="188"/>
      <c r="T688" s="188"/>
      <c r="U688" s="188"/>
      <c r="V688" s="188"/>
      <c r="W688" s="188"/>
      <c r="X688" s="188"/>
      <c r="Y688" s="188"/>
    </row>
    <row r="689" spans="1:25" ht="12.75" x14ac:dyDescent="0.2">
      <c r="A689" s="188"/>
      <c r="B689" s="188"/>
      <c r="C689" s="188"/>
      <c r="D689" s="188"/>
      <c r="E689" s="188"/>
      <c r="F689" s="188"/>
      <c r="G689" s="188"/>
      <c r="H689" s="188"/>
      <c r="I689" s="188"/>
      <c r="J689" s="188"/>
      <c r="K689" s="188"/>
      <c r="L689" s="188"/>
      <c r="M689" s="188"/>
      <c r="N689" s="188"/>
      <c r="O689" s="188"/>
      <c r="P689" s="188"/>
      <c r="Q689" s="188"/>
      <c r="R689" s="188"/>
      <c r="S689" s="188"/>
      <c r="T689" s="188"/>
      <c r="U689" s="188"/>
      <c r="V689" s="188"/>
      <c r="W689" s="188"/>
      <c r="X689" s="188"/>
      <c r="Y689" s="188"/>
    </row>
    <row r="690" spans="1:25" ht="12.75" x14ac:dyDescent="0.2">
      <c r="A690" s="188"/>
      <c r="B690" s="188"/>
      <c r="C690" s="188"/>
      <c r="D690" s="188"/>
      <c r="E690" s="188"/>
      <c r="F690" s="188"/>
      <c r="G690" s="188"/>
      <c r="H690" s="188"/>
      <c r="I690" s="188"/>
      <c r="J690" s="188"/>
      <c r="K690" s="188"/>
      <c r="L690" s="188"/>
      <c r="M690" s="188"/>
      <c r="N690" s="188"/>
      <c r="O690" s="188"/>
      <c r="P690" s="188"/>
      <c r="Q690" s="188"/>
      <c r="R690" s="188"/>
      <c r="S690" s="188"/>
      <c r="T690" s="188"/>
      <c r="U690" s="188"/>
      <c r="V690" s="188"/>
      <c r="W690" s="188"/>
      <c r="X690" s="188"/>
      <c r="Y690" s="188"/>
    </row>
    <row r="691" spans="1:25" ht="12.75" x14ac:dyDescent="0.2">
      <c r="A691" s="188"/>
      <c r="B691" s="188"/>
      <c r="C691" s="188"/>
      <c r="D691" s="188"/>
      <c r="E691" s="188"/>
      <c r="F691" s="188"/>
      <c r="G691" s="188"/>
      <c r="H691" s="188"/>
      <c r="I691" s="188"/>
      <c r="J691" s="188"/>
      <c r="K691" s="188"/>
      <c r="L691" s="188"/>
      <c r="M691" s="188"/>
      <c r="N691" s="188"/>
      <c r="O691" s="188"/>
      <c r="P691" s="188"/>
      <c r="Q691" s="188"/>
      <c r="R691" s="188"/>
      <c r="S691" s="188"/>
      <c r="T691" s="188"/>
      <c r="U691" s="188"/>
      <c r="V691" s="188"/>
      <c r="W691" s="188"/>
      <c r="X691" s="188"/>
      <c r="Y691" s="188"/>
    </row>
    <row r="692" spans="1:25" ht="12.75" x14ac:dyDescent="0.2">
      <c r="A692" s="188"/>
      <c r="B692" s="188"/>
      <c r="C692" s="188"/>
      <c r="D692" s="188"/>
      <c r="E692" s="188"/>
      <c r="F692" s="188"/>
      <c r="G692" s="188"/>
      <c r="H692" s="188"/>
      <c r="I692" s="188"/>
      <c r="J692" s="188"/>
      <c r="K692" s="188"/>
      <c r="L692" s="188"/>
      <c r="M692" s="188"/>
      <c r="N692" s="188"/>
      <c r="O692" s="188"/>
      <c r="P692" s="188"/>
      <c r="Q692" s="188"/>
      <c r="R692" s="188"/>
      <c r="S692" s="188"/>
      <c r="T692" s="188"/>
      <c r="U692" s="188"/>
      <c r="V692" s="188"/>
      <c r="W692" s="188"/>
      <c r="X692" s="188"/>
      <c r="Y692" s="188"/>
    </row>
    <row r="693" spans="1:25" ht="12.75" x14ac:dyDescent="0.2">
      <c r="A693" s="188"/>
      <c r="B693" s="188"/>
      <c r="C693" s="188"/>
      <c r="D693" s="188"/>
      <c r="E693" s="188"/>
      <c r="F693" s="188"/>
      <c r="G693" s="188"/>
      <c r="H693" s="188"/>
      <c r="I693" s="188"/>
      <c r="J693" s="188"/>
      <c r="K693" s="188"/>
      <c r="L693" s="188"/>
      <c r="M693" s="188"/>
      <c r="N693" s="188"/>
      <c r="O693" s="188"/>
      <c r="P693" s="188"/>
      <c r="Q693" s="188"/>
      <c r="R693" s="188"/>
      <c r="S693" s="188"/>
      <c r="T693" s="188"/>
      <c r="U693" s="188"/>
      <c r="V693" s="188"/>
      <c r="W693" s="188"/>
      <c r="X693" s="188"/>
      <c r="Y693" s="188"/>
    </row>
    <row r="694" spans="1:25" ht="12.75" x14ac:dyDescent="0.2">
      <c r="A694" s="188"/>
      <c r="B694" s="188"/>
      <c r="C694" s="188"/>
      <c r="D694" s="188"/>
      <c r="E694" s="188"/>
      <c r="F694" s="188"/>
      <c r="G694" s="188"/>
      <c r="H694" s="188"/>
      <c r="I694" s="188"/>
      <c r="J694" s="188"/>
      <c r="K694" s="188"/>
      <c r="L694" s="188"/>
      <c r="M694" s="188"/>
      <c r="N694" s="188"/>
      <c r="O694" s="188"/>
      <c r="P694" s="188"/>
      <c r="Q694" s="188"/>
      <c r="R694" s="188"/>
      <c r="S694" s="188"/>
      <c r="T694" s="188"/>
      <c r="U694" s="188"/>
      <c r="V694" s="188"/>
      <c r="W694" s="188"/>
      <c r="X694" s="188"/>
      <c r="Y694" s="188"/>
    </row>
    <row r="695" spans="1:25" ht="12.75" x14ac:dyDescent="0.2">
      <c r="A695" s="188"/>
      <c r="B695" s="188"/>
      <c r="C695" s="188"/>
      <c r="D695" s="188"/>
      <c r="E695" s="188"/>
      <c r="F695" s="188"/>
      <c r="G695" s="188"/>
      <c r="H695" s="188"/>
      <c r="I695" s="188"/>
      <c r="J695" s="188"/>
      <c r="K695" s="188"/>
      <c r="L695" s="188"/>
      <c r="M695" s="188"/>
      <c r="N695" s="188"/>
      <c r="O695" s="188"/>
      <c r="P695" s="188"/>
      <c r="Q695" s="188"/>
      <c r="R695" s="188"/>
      <c r="S695" s="188"/>
      <c r="T695" s="188"/>
      <c r="U695" s="188"/>
      <c r="V695" s="188"/>
      <c r="W695" s="188"/>
      <c r="X695" s="188"/>
      <c r="Y695" s="188"/>
    </row>
    <row r="696" spans="1:25" ht="12.75" x14ac:dyDescent="0.2">
      <c r="A696" s="188"/>
      <c r="B696" s="188"/>
      <c r="C696" s="188"/>
      <c r="D696" s="188"/>
      <c r="E696" s="188"/>
      <c r="F696" s="188"/>
      <c r="G696" s="188"/>
      <c r="H696" s="188"/>
      <c r="I696" s="188"/>
      <c r="J696" s="188"/>
      <c r="K696" s="188"/>
      <c r="L696" s="188"/>
      <c r="M696" s="188"/>
      <c r="N696" s="188"/>
      <c r="O696" s="188"/>
      <c r="P696" s="188"/>
      <c r="Q696" s="188"/>
      <c r="R696" s="188"/>
      <c r="S696" s="188"/>
      <c r="T696" s="188"/>
      <c r="U696" s="188"/>
      <c r="V696" s="188"/>
      <c r="W696" s="188"/>
      <c r="X696" s="188"/>
      <c r="Y696" s="188"/>
    </row>
    <row r="697" spans="1:25" ht="12.75" x14ac:dyDescent="0.2">
      <c r="A697" s="188"/>
      <c r="B697" s="188"/>
      <c r="C697" s="188"/>
      <c r="D697" s="188"/>
      <c r="E697" s="188"/>
      <c r="F697" s="188"/>
      <c r="G697" s="188"/>
      <c r="H697" s="188"/>
      <c r="I697" s="188"/>
      <c r="J697" s="188"/>
      <c r="K697" s="188"/>
      <c r="L697" s="188"/>
      <c r="M697" s="188"/>
      <c r="N697" s="188"/>
      <c r="O697" s="188"/>
      <c r="P697" s="188"/>
      <c r="Q697" s="188"/>
      <c r="R697" s="188"/>
      <c r="S697" s="188"/>
      <c r="T697" s="188"/>
      <c r="U697" s="188"/>
      <c r="V697" s="188"/>
      <c r="W697" s="188"/>
      <c r="X697" s="188"/>
      <c r="Y697" s="188"/>
    </row>
    <row r="698" spans="1:25" ht="12.75" x14ac:dyDescent="0.2">
      <c r="A698" s="188"/>
      <c r="B698" s="188"/>
      <c r="C698" s="188"/>
      <c r="D698" s="188"/>
      <c r="E698" s="188"/>
      <c r="F698" s="188"/>
      <c r="K698" s="188"/>
      <c r="L698" s="188"/>
      <c r="M698" s="188"/>
      <c r="N698" s="188"/>
      <c r="O698" s="188"/>
      <c r="P698" s="188"/>
      <c r="Q698" s="188"/>
      <c r="R698" s="188"/>
      <c r="S698" s="188"/>
      <c r="T698" s="188"/>
      <c r="U698" s="188"/>
      <c r="V698" s="188"/>
      <c r="W698" s="188"/>
      <c r="X698" s="188"/>
      <c r="Y698" s="188"/>
    </row>
    <row r="699" spans="1:25" ht="12.75" x14ac:dyDescent="0.2">
      <c r="A699" s="188"/>
      <c r="B699" s="188"/>
      <c r="C699" s="188"/>
      <c r="D699" s="188"/>
      <c r="E699" s="188"/>
      <c r="F699" s="188"/>
      <c r="K699" s="188"/>
      <c r="L699" s="188"/>
      <c r="M699" s="188"/>
      <c r="N699" s="188"/>
      <c r="O699" s="188"/>
      <c r="P699" s="188"/>
      <c r="Q699" s="188"/>
      <c r="R699" s="188"/>
      <c r="S699" s="188"/>
      <c r="T699" s="188"/>
      <c r="U699" s="188"/>
      <c r="V699" s="188"/>
      <c r="W699" s="188"/>
      <c r="X699" s="188"/>
      <c r="Y699" s="188"/>
    </row>
    <row r="700" spans="1:25" ht="12.75" x14ac:dyDescent="0.2">
      <c r="A700" s="188"/>
      <c r="B700" s="188"/>
      <c r="C700" s="188"/>
      <c r="D700" s="188"/>
      <c r="E700" s="188"/>
      <c r="F700" s="188"/>
      <c r="K700" s="188"/>
      <c r="L700" s="188"/>
      <c r="M700" s="188"/>
      <c r="N700" s="188"/>
      <c r="O700" s="188"/>
      <c r="P700" s="188"/>
      <c r="Q700" s="188"/>
      <c r="R700" s="188"/>
      <c r="S700" s="188"/>
      <c r="T700" s="188"/>
      <c r="U700" s="188"/>
      <c r="V700" s="188"/>
      <c r="W700" s="188"/>
      <c r="X700" s="188"/>
      <c r="Y700" s="188"/>
    </row>
    <row r="701" spans="1:25" ht="12.75" x14ac:dyDescent="0.2">
      <c r="A701" s="188"/>
      <c r="B701" s="188"/>
      <c r="C701" s="188"/>
      <c r="D701" s="188"/>
      <c r="E701" s="188"/>
      <c r="F701" s="188"/>
      <c r="K701" s="188"/>
      <c r="L701" s="188"/>
      <c r="M701" s="188"/>
      <c r="N701" s="188"/>
      <c r="O701" s="188"/>
      <c r="P701" s="188"/>
      <c r="Q701" s="188"/>
      <c r="R701" s="188"/>
      <c r="S701" s="188"/>
      <c r="T701" s="188"/>
      <c r="U701" s="188"/>
      <c r="V701" s="188"/>
      <c r="W701" s="188"/>
      <c r="X701" s="188"/>
      <c r="Y701" s="188"/>
    </row>
    <row r="702" spans="1:25" ht="12.75" x14ac:dyDescent="0.2">
      <c r="A702" s="188"/>
      <c r="F702" s="188"/>
      <c r="K702" s="188"/>
      <c r="L702" s="188"/>
      <c r="M702" s="188"/>
      <c r="N702" s="188"/>
      <c r="O702" s="188"/>
      <c r="P702" s="188"/>
      <c r="Q702" s="188"/>
      <c r="R702" s="188"/>
      <c r="S702" s="188"/>
      <c r="T702" s="188"/>
      <c r="U702" s="188"/>
      <c r="V702" s="188"/>
      <c r="W702" s="188"/>
      <c r="X702" s="188"/>
      <c r="Y702" s="188"/>
    </row>
    <row r="703" spans="1:25" ht="12.75" x14ac:dyDescent="0.2">
      <c r="A703" s="188"/>
      <c r="F703" s="188"/>
      <c r="K703" s="188"/>
      <c r="L703" s="188"/>
      <c r="M703" s="188"/>
      <c r="N703" s="188"/>
      <c r="O703" s="188"/>
      <c r="P703" s="188"/>
      <c r="Q703" s="188"/>
      <c r="R703" s="188"/>
      <c r="S703" s="188"/>
      <c r="T703" s="188"/>
      <c r="U703" s="188"/>
      <c r="V703" s="188"/>
      <c r="W703" s="188"/>
      <c r="X703" s="188"/>
      <c r="Y703" s="188"/>
    </row>
    <row r="704" spans="1:25" ht="12.75" x14ac:dyDescent="0.2">
      <c r="A704" s="188"/>
      <c r="F704" s="188"/>
      <c r="K704" s="188"/>
      <c r="L704" s="188"/>
      <c r="M704" s="188"/>
      <c r="N704" s="188"/>
      <c r="O704" s="188"/>
      <c r="P704" s="188"/>
      <c r="Q704" s="188"/>
      <c r="R704" s="188"/>
      <c r="S704" s="188"/>
      <c r="T704" s="188"/>
      <c r="U704" s="188"/>
      <c r="V704" s="188"/>
      <c r="W704" s="188"/>
      <c r="X704" s="188"/>
      <c r="Y704" s="188"/>
    </row>
    <row r="705" spans="1:25" ht="12.75" x14ac:dyDescent="0.2">
      <c r="A705" s="188"/>
      <c r="F705" s="188"/>
      <c r="K705" s="188"/>
      <c r="L705" s="188"/>
      <c r="M705" s="188"/>
      <c r="N705" s="188"/>
      <c r="O705" s="188"/>
      <c r="P705" s="188"/>
      <c r="Q705" s="188"/>
      <c r="R705" s="188"/>
      <c r="S705" s="188"/>
      <c r="T705" s="188"/>
      <c r="U705" s="188"/>
      <c r="V705" s="188"/>
      <c r="W705" s="188"/>
      <c r="X705" s="188"/>
      <c r="Y705" s="188"/>
    </row>
    <row r="706" spans="1:25" ht="12.75" x14ac:dyDescent="0.2">
      <c r="A706" s="188"/>
      <c r="F706" s="188"/>
      <c r="K706" s="188"/>
      <c r="L706" s="188"/>
      <c r="M706" s="188"/>
      <c r="N706" s="188"/>
      <c r="O706" s="188"/>
      <c r="P706" s="188"/>
      <c r="Q706" s="188"/>
      <c r="R706" s="188"/>
      <c r="S706" s="188"/>
      <c r="T706" s="188"/>
      <c r="U706" s="188"/>
      <c r="V706" s="188"/>
      <c r="W706" s="188"/>
      <c r="X706" s="188"/>
      <c r="Y706" s="188"/>
    </row>
    <row r="707" spans="1:25" ht="12.75" x14ac:dyDescent="0.2">
      <c r="A707" s="188"/>
      <c r="F707" s="188"/>
      <c r="K707" s="188"/>
      <c r="L707" s="188"/>
      <c r="M707" s="188"/>
      <c r="N707" s="188"/>
      <c r="O707" s="188"/>
      <c r="P707" s="188"/>
      <c r="Q707" s="188"/>
      <c r="R707" s="188"/>
      <c r="S707" s="188"/>
      <c r="T707" s="188"/>
      <c r="U707" s="188"/>
      <c r="V707" s="188"/>
      <c r="W707" s="188"/>
      <c r="X707" s="188"/>
      <c r="Y707" s="188"/>
    </row>
    <row r="708" spans="1:25" ht="12.75" x14ac:dyDescent="0.2">
      <c r="A708" s="188"/>
      <c r="F708" s="188"/>
      <c r="K708" s="188"/>
      <c r="L708" s="188"/>
      <c r="M708" s="188"/>
      <c r="N708" s="188"/>
      <c r="O708" s="188"/>
      <c r="P708" s="188"/>
      <c r="U708" s="188"/>
      <c r="V708" s="188"/>
      <c r="W708" s="188"/>
      <c r="X708" s="188"/>
      <c r="Y708" s="188"/>
    </row>
    <row r="709" spans="1:25" ht="12.75" x14ac:dyDescent="0.2">
      <c r="A709" s="188"/>
      <c r="F709" s="188"/>
      <c r="K709" s="188"/>
      <c r="L709" s="188"/>
      <c r="M709" s="188"/>
      <c r="N709" s="188"/>
      <c r="O709" s="188"/>
      <c r="P709" s="188"/>
      <c r="U709" s="188"/>
      <c r="V709" s="188"/>
      <c r="W709" s="188"/>
      <c r="X709" s="188"/>
      <c r="Y709" s="188"/>
    </row>
    <row r="710" spans="1:25" ht="12.75" x14ac:dyDescent="0.2">
      <c r="A710" s="188"/>
      <c r="F710" s="188"/>
      <c r="K710" s="188"/>
      <c r="L710" s="188"/>
      <c r="M710" s="188"/>
      <c r="N710" s="188"/>
      <c r="O710" s="188"/>
      <c r="P710" s="188"/>
      <c r="U710" s="188"/>
      <c r="V710" s="188"/>
      <c r="W710" s="188"/>
      <c r="X710" s="188"/>
      <c r="Y710" s="188"/>
    </row>
    <row r="711" spans="1:25" ht="12.75" x14ac:dyDescent="0.2">
      <c r="A711" s="188"/>
      <c r="F711" s="188"/>
      <c r="K711" s="188"/>
      <c r="L711" s="188"/>
      <c r="M711" s="188"/>
      <c r="N711" s="188"/>
      <c r="O711" s="188"/>
      <c r="P711" s="188"/>
      <c r="U711" s="188"/>
      <c r="V711" s="188"/>
      <c r="W711" s="188"/>
      <c r="X711" s="188"/>
      <c r="Y711" s="188"/>
    </row>
    <row r="712" spans="1:25" ht="12.75" x14ac:dyDescent="0.2">
      <c r="A712" s="188"/>
      <c r="F712" s="188"/>
      <c r="K712" s="188"/>
      <c r="L712" s="188"/>
      <c r="M712" s="188"/>
      <c r="N712" s="188"/>
      <c r="O712" s="188"/>
      <c r="P712" s="188"/>
      <c r="U712" s="188"/>
      <c r="V712" s="188"/>
      <c r="W712" s="188"/>
      <c r="X712" s="188"/>
      <c r="Y712" s="188"/>
    </row>
    <row r="713" spans="1:25" ht="12.75" x14ac:dyDescent="0.2">
      <c r="A713" s="188"/>
      <c r="F713" s="188"/>
      <c r="K713" s="188"/>
      <c r="L713" s="188"/>
      <c r="M713" s="188"/>
      <c r="N713" s="188"/>
      <c r="O713" s="188"/>
      <c r="P713" s="188"/>
      <c r="U713" s="188"/>
      <c r="V713" s="188"/>
      <c r="W713" s="188"/>
      <c r="X713" s="188"/>
      <c r="Y713" s="188"/>
    </row>
    <row r="714" spans="1:25" ht="12.75" x14ac:dyDescent="0.2">
      <c r="A714" s="188"/>
      <c r="F714" s="188"/>
      <c r="K714" s="188"/>
      <c r="L714" s="188"/>
      <c r="M714" s="188"/>
      <c r="N714" s="188"/>
      <c r="O714" s="188"/>
      <c r="P714" s="188"/>
      <c r="U714" s="188"/>
      <c r="V714" s="188"/>
      <c r="W714" s="188"/>
      <c r="X714" s="188"/>
      <c r="Y714" s="188"/>
    </row>
    <row r="715" spans="1:25" ht="12.75" x14ac:dyDescent="0.2">
      <c r="A715" s="188"/>
      <c r="F715" s="188"/>
      <c r="K715" s="188"/>
      <c r="L715" s="188"/>
      <c r="M715" s="188"/>
      <c r="N715" s="188"/>
      <c r="O715" s="188"/>
      <c r="P715" s="188"/>
      <c r="U715" s="188"/>
      <c r="V715" s="188"/>
      <c r="W715" s="188"/>
      <c r="X715" s="188"/>
      <c r="Y715" s="188"/>
    </row>
    <row r="716" spans="1:25" ht="12.75" x14ac:dyDescent="0.2">
      <c r="A716" s="188"/>
      <c r="F716" s="188"/>
      <c r="K716" s="188"/>
      <c r="L716" s="188"/>
      <c r="M716" s="188"/>
      <c r="N716" s="188"/>
      <c r="O716" s="188"/>
      <c r="P716" s="188"/>
      <c r="U716" s="188"/>
      <c r="V716" s="188"/>
      <c r="W716" s="188"/>
      <c r="X716" s="188"/>
      <c r="Y716" s="188"/>
    </row>
    <row r="717" spans="1:25" ht="12.75" x14ac:dyDescent="0.2">
      <c r="A717" s="188"/>
      <c r="F717" s="188"/>
      <c r="K717" s="188"/>
      <c r="L717" s="188"/>
      <c r="M717" s="188"/>
      <c r="N717" s="188"/>
      <c r="O717" s="188"/>
      <c r="P717" s="188"/>
      <c r="U717" s="188"/>
      <c r="V717" s="188"/>
      <c r="W717" s="188"/>
      <c r="X717" s="188"/>
      <c r="Y717" s="188"/>
    </row>
    <row r="718" spans="1:25" ht="12.75" x14ac:dyDescent="0.2">
      <c r="A718" s="188"/>
      <c r="F718" s="188"/>
      <c r="K718" s="188"/>
      <c r="L718" s="188"/>
      <c r="M718" s="188"/>
      <c r="N718" s="188"/>
      <c r="O718" s="188"/>
      <c r="P718" s="188"/>
      <c r="U718" s="188"/>
      <c r="V718" s="188"/>
      <c r="W718" s="188"/>
      <c r="X718" s="188"/>
      <c r="Y718" s="188"/>
    </row>
    <row r="719" spans="1:25" ht="12.75" x14ac:dyDescent="0.2">
      <c r="A719" s="188"/>
      <c r="F719" s="188"/>
      <c r="K719" s="188"/>
      <c r="L719" s="188"/>
      <c r="M719" s="188"/>
      <c r="N719" s="188"/>
      <c r="O719" s="188"/>
      <c r="P719" s="188"/>
      <c r="U719" s="188"/>
      <c r="V719" s="188"/>
      <c r="W719" s="188"/>
      <c r="X719" s="188"/>
      <c r="Y719" s="188"/>
    </row>
    <row r="720" spans="1:25" ht="12.75" x14ac:dyDescent="0.2">
      <c r="A720" s="188"/>
      <c r="F720" s="188"/>
      <c r="K720" s="188"/>
      <c r="L720" s="188"/>
      <c r="M720" s="188"/>
      <c r="N720" s="188"/>
      <c r="O720" s="188"/>
      <c r="P720" s="188"/>
      <c r="U720" s="188"/>
      <c r="V720" s="188"/>
      <c r="W720" s="188"/>
      <c r="X720" s="188"/>
      <c r="Y720" s="188"/>
    </row>
    <row r="721" spans="1:25" ht="12.75" x14ac:dyDescent="0.2">
      <c r="A721" s="188"/>
      <c r="F721" s="188"/>
      <c r="K721" s="188"/>
      <c r="L721" s="188"/>
      <c r="M721" s="188"/>
      <c r="N721" s="188"/>
      <c r="O721" s="188"/>
      <c r="P721" s="188"/>
      <c r="U721" s="188"/>
      <c r="V721" s="188"/>
      <c r="W721" s="188"/>
      <c r="X721" s="188"/>
      <c r="Y721" s="188"/>
    </row>
    <row r="722" spans="1:25" ht="12.75" x14ac:dyDescent="0.2">
      <c r="A722" s="188"/>
      <c r="F722" s="188"/>
      <c r="K722" s="188"/>
      <c r="L722" s="188"/>
      <c r="M722" s="188"/>
      <c r="N722" s="188"/>
      <c r="O722" s="188"/>
      <c r="P722" s="188"/>
      <c r="U722" s="188"/>
      <c r="V722" s="188"/>
      <c r="W722" s="188"/>
      <c r="X722" s="188"/>
      <c r="Y722" s="188"/>
    </row>
    <row r="723" spans="1:25" ht="12.75" x14ac:dyDescent="0.2">
      <c r="A723" s="188"/>
      <c r="F723" s="188"/>
      <c r="K723" s="188"/>
      <c r="L723" s="188"/>
      <c r="M723" s="188"/>
      <c r="N723" s="188"/>
      <c r="O723" s="188"/>
      <c r="P723" s="188"/>
      <c r="U723" s="188"/>
      <c r="V723" s="188"/>
      <c r="W723" s="188"/>
      <c r="X723" s="188"/>
      <c r="Y723" s="188"/>
    </row>
    <row r="724" spans="1:25" ht="12.75" x14ac:dyDescent="0.2">
      <c r="A724" s="188"/>
      <c r="F724" s="188"/>
      <c r="K724" s="188"/>
      <c r="L724" s="188"/>
      <c r="M724" s="188"/>
      <c r="N724" s="188"/>
      <c r="O724" s="188"/>
      <c r="P724" s="188"/>
      <c r="U724" s="188"/>
      <c r="V724" s="188"/>
      <c r="W724" s="188"/>
      <c r="X724" s="188"/>
      <c r="Y724" s="188"/>
    </row>
    <row r="725" spans="1:25" ht="12.75" x14ac:dyDescent="0.2">
      <c r="A725" s="188"/>
      <c r="F725" s="188"/>
      <c r="K725" s="188"/>
      <c r="L725" s="188"/>
      <c r="M725" s="188"/>
      <c r="N725" s="188"/>
      <c r="O725" s="188"/>
      <c r="P725" s="188"/>
      <c r="U725" s="188"/>
      <c r="V725" s="188"/>
      <c r="W725" s="188"/>
      <c r="X725" s="188"/>
      <c r="Y725" s="188"/>
    </row>
    <row r="726" spans="1:25" ht="12.75" x14ac:dyDescent="0.2">
      <c r="A726" s="188"/>
      <c r="F726" s="188"/>
      <c r="K726" s="188"/>
      <c r="L726" s="188"/>
      <c r="M726" s="188"/>
      <c r="N726" s="188"/>
      <c r="O726" s="188"/>
      <c r="P726" s="188"/>
      <c r="U726" s="188"/>
      <c r="V726" s="188"/>
      <c r="W726" s="188"/>
      <c r="X726" s="188"/>
      <c r="Y726" s="188"/>
    </row>
    <row r="727" spans="1:25" ht="12.75" x14ac:dyDescent="0.2">
      <c r="A727" s="188"/>
      <c r="F727" s="188"/>
      <c r="K727" s="188"/>
      <c r="L727" s="188"/>
      <c r="M727" s="188"/>
      <c r="N727" s="188"/>
      <c r="O727" s="188"/>
      <c r="P727" s="188"/>
      <c r="U727" s="188"/>
      <c r="V727" s="188"/>
      <c r="W727" s="188"/>
      <c r="X727" s="188"/>
      <c r="Y727" s="188"/>
    </row>
    <row r="728" spans="1:25" ht="12.75" x14ac:dyDescent="0.2">
      <c r="A728" s="188"/>
      <c r="F728" s="188"/>
      <c r="K728" s="188"/>
      <c r="L728" s="188"/>
      <c r="M728" s="188"/>
      <c r="N728" s="188"/>
      <c r="O728" s="188"/>
      <c r="P728" s="188"/>
      <c r="U728" s="188"/>
      <c r="V728" s="188"/>
      <c r="W728" s="188"/>
      <c r="X728" s="188"/>
      <c r="Y728" s="188"/>
    </row>
    <row r="729" spans="1:25" ht="12.75" x14ac:dyDescent="0.2">
      <c r="A729" s="188"/>
      <c r="F729" s="188"/>
      <c r="K729" s="188"/>
      <c r="L729" s="188"/>
      <c r="M729" s="188"/>
      <c r="N729" s="188"/>
      <c r="O729" s="188"/>
      <c r="P729" s="188"/>
      <c r="U729" s="188"/>
      <c r="V729" s="188"/>
      <c r="W729" s="188"/>
      <c r="X729" s="188"/>
      <c r="Y729" s="188"/>
    </row>
    <row r="730" spans="1:25" ht="12.75" x14ac:dyDescent="0.2">
      <c r="A730" s="188"/>
      <c r="F730" s="188"/>
      <c r="K730" s="188"/>
      <c r="L730" s="188"/>
      <c r="M730" s="188"/>
      <c r="N730" s="188"/>
      <c r="O730" s="188"/>
      <c r="P730" s="188"/>
      <c r="U730" s="188"/>
      <c r="V730" s="188"/>
      <c r="W730" s="188"/>
      <c r="X730" s="188"/>
      <c r="Y730" s="188"/>
    </row>
    <row r="731" spans="1:25" ht="12.75" x14ac:dyDescent="0.2">
      <c r="A731" s="188"/>
      <c r="F731" s="188"/>
      <c r="K731" s="188"/>
      <c r="L731" s="188"/>
      <c r="M731" s="188"/>
      <c r="N731" s="188"/>
      <c r="O731" s="188"/>
      <c r="P731" s="188"/>
      <c r="U731" s="188"/>
      <c r="V731" s="188"/>
      <c r="W731" s="188"/>
      <c r="X731" s="188"/>
      <c r="Y731" s="188"/>
    </row>
    <row r="732" spans="1:25" ht="12.75" x14ac:dyDescent="0.2">
      <c r="A732" s="188"/>
      <c r="F732" s="188"/>
      <c r="K732" s="188"/>
      <c r="L732" s="188"/>
      <c r="M732" s="188"/>
      <c r="N732" s="188"/>
      <c r="O732" s="188"/>
      <c r="P732" s="188"/>
      <c r="U732" s="188"/>
      <c r="V732" s="188"/>
      <c r="W732" s="188"/>
      <c r="X732" s="188"/>
      <c r="Y732" s="188"/>
    </row>
    <row r="733" spans="1:25" ht="12.75" x14ac:dyDescent="0.2">
      <c r="A733" s="188"/>
      <c r="F733" s="188"/>
      <c r="K733" s="188"/>
      <c r="L733" s="188"/>
      <c r="M733" s="188"/>
      <c r="N733" s="188"/>
      <c r="O733" s="188"/>
      <c r="P733" s="188"/>
      <c r="U733" s="188"/>
      <c r="V733" s="188"/>
      <c r="W733" s="188"/>
      <c r="X733" s="188"/>
      <c r="Y733" s="188"/>
    </row>
    <row r="734" spans="1:25" ht="12.75" x14ac:dyDescent="0.2">
      <c r="A734" s="188"/>
      <c r="F734" s="188"/>
      <c r="K734" s="188"/>
      <c r="L734" s="188"/>
      <c r="M734" s="188"/>
      <c r="N734" s="188"/>
      <c r="O734" s="188"/>
      <c r="P734" s="188"/>
      <c r="U734" s="188"/>
      <c r="V734" s="188"/>
      <c r="W734" s="188"/>
      <c r="X734" s="188"/>
      <c r="Y734" s="188"/>
    </row>
    <row r="735" spans="1:25" ht="12.75" x14ac:dyDescent="0.2">
      <c r="A735" s="188"/>
      <c r="F735" s="188"/>
      <c r="K735" s="188"/>
      <c r="L735" s="188"/>
      <c r="M735" s="188"/>
      <c r="N735" s="188"/>
      <c r="O735" s="188"/>
      <c r="P735" s="188"/>
      <c r="U735" s="188"/>
      <c r="V735" s="188"/>
      <c r="W735" s="188"/>
      <c r="X735" s="188"/>
      <c r="Y735" s="188"/>
    </row>
    <row r="736" spans="1:25" ht="12.75" x14ac:dyDescent="0.2">
      <c r="A736" s="188"/>
      <c r="F736" s="188"/>
      <c r="K736" s="188"/>
      <c r="L736" s="188"/>
      <c r="M736" s="188"/>
      <c r="N736" s="188"/>
      <c r="O736" s="188"/>
      <c r="P736" s="188"/>
      <c r="U736" s="188"/>
      <c r="V736" s="188"/>
      <c r="W736" s="188"/>
      <c r="X736" s="188"/>
      <c r="Y736" s="188"/>
    </row>
    <row r="737" spans="1:25" ht="12.75" x14ac:dyDescent="0.2">
      <c r="A737" s="188"/>
      <c r="F737" s="188"/>
      <c r="K737" s="188"/>
      <c r="L737" s="188"/>
      <c r="M737" s="188"/>
      <c r="N737" s="188"/>
      <c r="O737" s="188"/>
      <c r="P737" s="188"/>
      <c r="U737" s="188"/>
      <c r="V737" s="188"/>
      <c r="W737" s="188"/>
      <c r="X737" s="188"/>
      <c r="Y737" s="188"/>
    </row>
    <row r="738" spans="1:25" ht="12.75" x14ac:dyDescent="0.2">
      <c r="A738" s="188"/>
      <c r="F738" s="188"/>
      <c r="K738" s="188"/>
      <c r="L738" s="188"/>
      <c r="M738" s="188"/>
      <c r="N738" s="188"/>
      <c r="O738" s="188"/>
      <c r="P738" s="188"/>
      <c r="U738" s="188"/>
      <c r="V738" s="188"/>
      <c r="W738" s="188"/>
      <c r="X738" s="188"/>
      <c r="Y738" s="188"/>
    </row>
    <row r="739" spans="1:25" ht="12.75" x14ac:dyDescent="0.2">
      <c r="A739" s="188"/>
      <c r="F739" s="188"/>
      <c r="K739" s="188"/>
      <c r="L739" s="188"/>
      <c r="M739" s="188"/>
      <c r="N739" s="188"/>
      <c r="O739" s="188"/>
      <c r="P739" s="188"/>
      <c r="U739" s="188"/>
      <c r="V739" s="188"/>
      <c r="W739" s="188"/>
      <c r="X739" s="188"/>
      <c r="Y739" s="188"/>
    </row>
    <row r="740" spans="1:25" ht="12.75" x14ac:dyDescent="0.2">
      <c r="A740" s="188"/>
      <c r="F740" s="188"/>
      <c r="K740" s="188"/>
      <c r="L740" s="188"/>
      <c r="M740" s="188"/>
      <c r="N740" s="188"/>
      <c r="O740" s="188"/>
      <c r="P740" s="188"/>
      <c r="U740" s="188"/>
      <c r="V740" s="188"/>
      <c r="W740" s="188"/>
      <c r="X740" s="188"/>
      <c r="Y740" s="188"/>
    </row>
    <row r="741" spans="1:25" ht="12.75" x14ac:dyDescent="0.2">
      <c r="A741" s="188"/>
      <c r="F741" s="188"/>
      <c r="K741" s="188"/>
      <c r="L741" s="188"/>
      <c r="M741" s="188"/>
      <c r="N741" s="188"/>
      <c r="O741" s="188"/>
      <c r="P741" s="188"/>
      <c r="U741" s="188"/>
      <c r="V741" s="188"/>
      <c r="W741" s="188"/>
      <c r="X741" s="188"/>
      <c r="Y741" s="188"/>
    </row>
    <row r="742" spans="1:25" ht="12.75" x14ac:dyDescent="0.2">
      <c r="A742" s="188"/>
      <c r="F742" s="188"/>
      <c r="K742" s="188"/>
      <c r="L742" s="188"/>
      <c r="M742" s="188"/>
      <c r="N742" s="188"/>
      <c r="O742" s="188"/>
      <c r="P742" s="188"/>
      <c r="U742" s="188"/>
      <c r="V742" s="188"/>
      <c r="W742" s="188"/>
      <c r="X742" s="188"/>
      <c r="Y742" s="188"/>
    </row>
    <row r="743" spans="1:25" ht="12.75" x14ac:dyDescent="0.2">
      <c r="A743" s="188"/>
      <c r="F743" s="188"/>
      <c r="K743" s="188"/>
      <c r="L743" s="188"/>
      <c r="M743" s="188"/>
      <c r="N743" s="188"/>
      <c r="O743" s="188"/>
      <c r="P743" s="188"/>
      <c r="U743" s="188"/>
      <c r="V743" s="188"/>
      <c r="W743" s="188"/>
      <c r="X743" s="188"/>
      <c r="Y743" s="188"/>
    </row>
    <row r="744" spans="1:25" ht="12.75" x14ac:dyDescent="0.2">
      <c r="A744" s="188"/>
      <c r="F744" s="188"/>
      <c r="K744" s="188"/>
      <c r="L744" s="188"/>
      <c r="M744" s="188"/>
      <c r="N744" s="188"/>
      <c r="O744" s="188"/>
      <c r="P744" s="188"/>
      <c r="U744" s="188"/>
      <c r="V744" s="188"/>
      <c r="W744" s="188"/>
      <c r="X744" s="188"/>
      <c r="Y744" s="188"/>
    </row>
    <row r="745" spans="1:25" ht="0" hidden="1" customHeight="1" x14ac:dyDescent="0.2">
      <c r="F745" s="188"/>
      <c r="K745" s="188"/>
      <c r="L745" s="188"/>
      <c r="M745" s="188"/>
      <c r="N745" s="188"/>
      <c r="O745" s="188"/>
      <c r="P745" s="188"/>
      <c r="U745" s="188"/>
      <c r="V745" s="188"/>
      <c r="W745" s="188"/>
      <c r="X745" s="188"/>
      <c r="Y745" s="188"/>
    </row>
    <row r="746" spans="1:25" ht="0" hidden="1" customHeight="1" x14ac:dyDescent="0.2">
      <c r="F746" s="188"/>
      <c r="K746" s="188"/>
      <c r="L746" s="188"/>
      <c r="M746" s="188"/>
      <c r="N746" s="188"/>
      <c r="O746" s="188"/>
      <c r="P746" s="188"/>
      <c r="U746" s="188"/>
      <c r="V746" s="188"/>
      <c r="W746" s="188"/>
      <c r="X746" s="188"/>
      <c r="Y746" s="188"/>
    </row>
    <row r="747" spans="1:25" ht="0" hidden="1" customHeight="1" x14ac:dyDescent="0.2">
      <c r="F747" s="188"/>
      <c r="K747" s="188"/>
      <c r="L747" s="188"/>
      <c r="M747" s="188"/>
      <c r="N747" s="188"/>
      <c r="O747" s="188"/>
      <c r="P747" s="188"/>
      <c r="V747" s="188"/>
      <c r="W747" s="188"/>
      <c r="X747" s="188"/>
      <c r="Y747" s="188"/>
    </row>
    <row r="748" spans="1:25" ht="0" hidden="1" customHeight="1" x14ac:dyDescent="0.2">
      <c r="F748" s="188"/>
      <c r="K748" s="188"/>
      <c r="L748" s="188"/>
      <c r="M748" s="188"/>
      <c r="N748" s="188"/>
      <c r="O748" s="188"/>
      <c r="P748" s="188"/>
      <c r="V748" s="188"/>
      <c r="W748" s="188"/>
      <c r="X748" s="188"/>
      <c r="Y748" s="188"/>
    </row>
    <row r="749" spans="1:25" ht="0" hidden="1" customHeight="1" x14ac:dyDescent="0.2">
      <c r="F749" s="188"/>
      <c r="K749" s="188"/>
      <c r="L749" s="188"/>
      <c r="M749" s="188"/>
      <c r="N749" s="188"/>
      <c r="O749" s="188"/>
      <c r="P749" s="188"/>
      <c r="V749" s="188"/>
      <c r="W749" s="188"/>
      <c r="X749" s="188"/>
      <c r="Y749" s="188"/>
    </row>
    <row r="750" spans="1:25" ht="0" hidden="1" customHeight="1" x14ac:dyDescent="0.2">
      <c r="F750" s="188"/>
      <c r="K750" s="188"/>
      <c r="L750" s="188"/>
      <c r="M750" s="188"/>
      <c r="N750" s="188"/>
      <c r="O750" s="188"/>
      <c r="P750" s="188"/>
      <c r="V750" s="188"/>
      <c r="W750" s="188"/>
      <c r="X750" s="188"/>
      <c r="Y750" s="188"/>
    </row>
    <row r="751" spans="1:25" ht="0" hidden="1" customHeight="1" x14ac:dyDescent="0.2">
      <c r="F751" s="188"/>
      <c r="K751" s="188"/>
      <c r="L751" s="188"/>
      <c r="M751" s="188"/>
      <c r="N751" s="188"/>
      <c r="O751" s="188"/>
      <c r="P751" s="188"/>
      <c r="V751" s="188"/>
      <c r="W751" s="188"/>
      <c r="X751" s="188"/>
      <c r="Y751" s="188"/>
    </row>
    <row r="752" spans="1:25" ht="0" hidden="1" customHeight="1" x14ac:dyDescent="0.2">
      <c r="F752" s="188"/>
      <c r="K752" s="188"/>
      <c r="L752" s="188"/>
      <c r="M752" s="188"/>
      <c r="N752" s="188"/>
      <c r="O752" s="188"/>
      <c r="P752" s="188"/>
      <c r="V752" s="188"/>
      <c r="W752" s="188"/>
      <c r="X752" s="188"/>
      <c r="Y752" s="188"/>
    </row>
    <row r="753" spans="6:25" ht="0" hidden="1" customHeight="1" x14ac:dyDescent="0.2">
      <c r="F753" s="188"/>
      <c r="K753" s="188"/>
      <c r="L753" s="188"/>
      <c r="M753" s="188"/>
      <c r="N753" s="188"/>
      <c r="O753" s="188"/>
      <c r="P753" s="188"/>
      <c r="V753" s="188"/>
      <c r="W753" s="188"/>
      <c r="X753" s="188"/>
      <c r="Y753" s="188"/>
    </row>
    <row r="754" spans="6:25" ht="0" hidden="1" customHeight="1" x14ac:dyDescent="0.2">
      <c r="F754" s="188"/>
      <c r="K754" s="188"/>
      <c r="L754" s="188"/>
      <c r="M754" s="188"/>
      <c r="N754" s="188"/>
      <c r="O754" s="188"/>
      <c r="P754" s="188"/>
      <c r="V754" s="188"/>
      <c r="W754" s="188"/>
      <c r="X754" s="188"/>
      <c r="Y754" s="188"/>
    </row>
    <row r="755" spans="6:25" ht="0" hidden="1" customHeight="1" x14ac:dyDescent="0.2">
      <c r="F755" s="188"/>
      <c r="K755" s="188"/>
      <c r="L755" s="188"/>
      <c r="M755" s="188"/>
      <c r="N755" s="188"/>
      <c r="O755" s="188"/>
      <c r="P755" s="188"/>
      <c r="V755" s="188"/>
      <c r="W755" s="188"/>
      <c r="X755" s="188"/>
      <c r="Y755" s="188"/>
    </row>
    <row r="756" spans="6:25" ht="0" hidden="1" customHeight="1" x14ac:dyDescent="0.2">
      <c r="F756" s="188"/>
      <c r="K756" s="188"/>
      <c r="L756" s="188"/>
      <c r="M756" s="188"/>
      <c r="N756" s="188"/>
      <c r="O756" s="188"/>
      <c r="P756" s="188"/>
      <c r="V756" s="188"/>
      <c r="W756" s="188"/>
      <c r="X756" s="188"/>
      <c r="Y756" s="188"/>
    </row>
    <row r="757" spans="6:25" ht="0" hidden="1" customHeight="1" x14ac:dyDescent="0.2">
      <c r="F757" s="188"/>
      <c r="K757" s="188"/>
      <c r="L757" s="188"/>
      <c r="M757" s="188"/>
      <c r="N757" s="188"/>
      <c r="O757" s="188"/>
      <c r="P757" s="188"/>
      <c r="V757" s="188"/>
      <c r="W757" s="188"/>
      <c r="X757" s="188"/>
      <c r="Y757" s="188"/>
    </row>
    <row r="758" spans="6:25" ht="0" hidden="1" customHeight="1" x14ac:dyDescent="0.2">
      <c r="F758" s="188"/>
      <c r="K758" s="188"/>
      <c r="L758" s="188"/>
      <c r="M758" s="188"/>
      <c r="N758" s="188"/>
      <c r="O758" s="188"/>
      <c r="P758" s="188"/>
      <c r="V758" s="188"/>
      <c r="W758" s="188"/>
      <c r="X758" s="188"/>
      <c r="Y758" s="188"/>
    </row>
    <row r="759" spans="6:25" ht="0" hidden="1" customHeight="1" x14ac:dyDescent="0.2">
      <c r="F759" s="188"/>
      <c r="K759" s="188"/>
      <c r="L759" s="188"/>
      <c r="M759" s="188"/>
      <c r="N759" s="188"/>
      <c r="O759" s="188"/>
      <c r="P759" s="188"/>
      <c r="V759" s="188"/>
      <c r="W759" s="188"/>
      <c r="X759" s="188"/>
      <c r="Y759" s="188"/>
    </row>
    <row r="760" spans="6:25" ht="0" hidden="1" customHeight="1" x14ac:dyDescent="0.2">
      <c r="F760" s="188"/>
      <c r="K760" s="188"/>
      <c r="L760" s="188"/>
      <c r="M760" s="188"/>
      <c r="N760" s="188"/>
      <c r="O760" s="188"/>
      <c r="P760" s="188"/>
      <c r="V760" s="188"/>
      <c r="W760" s="188"/>
      <c r="X760" s="188"/>
      <c r="Y760" s="188"/>
    </row>
    <row r="761" spans="6:25" ht="0" hidden="1" customHeight="1" x14ac:dyDescent="0.2">
      <c r="F761" s="188"/>
      <c r="K761" s="188"/>
      <c r="L761" s="188"/>
      <c r="M761" s="188"/>
      <c r="N761" s="188"/>
      <c r="O761" s="188"/>
      <c r="P761" s="188"/>
      <c r="V761" s="188"/>
      <c r="W761" s="188"/>
      <c r="X761" s="188"/>
      <c r="Y761" s="188"/>
    </row>
    <row r="762" spans="6:25" ht="0" hidden="1" customHeight="1" x14ac:dyDescent="0.2">
      <c r="F762" s="188"/>
      <c r="K762" s="188"/>
      <c r="L762" s="188"/>
      <c r="M762" s="188"/>
      <c r="N762" s="188"/>
      <c r="O762" s="188"/>
      <c r="P762" s="188"/>
      <c r="V762" s="188"/>
      <c r="W762" s="188"/>
      <c r="X762" s="188"/>
      <c r="Y762" s="188"/>
    </row>
    <row r="763" spans="6:25" ht="0" hidden="1" customHeight="1" x14ac:dyDescent="0.2">
      <c r="F763" s="188"/>
      <c r="K763" s="188"/>
      <c r="L763" s="188"/>
      <c r="M763" s="188"/>
      <c r="N763" s="188"/>
      <c r="O763" s="188"/>
      <c r="P763" s="188"/>
      <c r="V763" s="188"/>
      <c r="W763" s="188"/>
      <c r="X763" s="188"/>
      <c r="Y763" s="188"/>
    </row>
    <row r="764" spans="6:25" ht="0" hidden="1" customHeight="1" x14ac:dyDescent="0.2">
      <c r="F764" s="188"/>
      <c r="K764" s="188"/>
      <c r="L764" s="188"/>
      <c r="M764" s="188"/>
      <c r="N764" s="188"/>
      <c r="O764" s="188"/>
      <c r="P764" s="188"/>
      <c r="V764" s="188"/>
      <c r="W764" s="188"/>
      <c r="X764" s="188"/>
      <c r="Y764" s="188"/>
    </row>
    <row r="765" spans="6:25" ht="0" hidden="1" customHeight="1" x14ac:dyDescent="0.2">
      <c r="F765" s="188"/>
      <c r="K765" s="188"/>
      <c r="L765" s="188"/>
      <c r="M765" s="188"/>
      <c r="N765" s="188"/>
      <c r="O765" s="188"/>
      <c r="P765" s="188"/>
      <c r="V765" s="188"/>
      <c r="W765" s="188"/>
      <c r="X765" s="188"/>
      <c r="Y765" s="188"/>
    </row>
    <row r="766" spans="6:25" ht="0" hidden="1" customHeight="1" x14ac:dyDescent="0.2">
      <c r="F766" s="188"/>
      <c r="K766" s="188"/>
      <c r="L766" s="188"/>
      <c r="M766" s="188"/>
      <c r="N766" s="188"/>
      <c r="O766" s="188"/>
      <c r="P766" s="188"/>
      <c r="V766" s="188"/>
      <c r="W766" s="188"/>
      <c r="X766" s="188"/>
      <c r="Y766" s="188"/>
    </row>
    <row r="767" spans="6:25" ht="0" hidden="1" customHeight="1" x14ac:dyDescent="0.2">
      <c r="F767" s="188"/>
      <c r="K767" s="188"/>
      <c r="L767" s="188"/>
      <c r="M767" s="188"/>
      <c r="N767" s="188"/>
      <c r="O767" s="188"/>
      <c r="P767" s="188"/>
      <c r="V767" s="188"/>
      <c r="W767" s="188"/>
      <c r="X767" s="188"/>
      <c r="Y767" s="188"/>
    </row>
    <row r="768" spans="6:25" ht="0" hidden="1" customHeight="1" x14ac:dyDescent="0.2">
      <c r="F768" s="188"/>
      <c r="K768" s="188"/>
      <c r="L768" s="188"/>
      <c r="M768" s="188"/>
      <c r="N768" s="188"/>
      <c r="O768" s="188"/>
      <c r="P768" s="188"/>
      <c r="V768" s="188"/>
      <c r="W768" s="188"/>
      <c r="X768" s="188"/>
      <c r="Y768" s="188"/>
    </row>
    <row r="769" spans="6:25" ht="0" hidden="1" customHeight="1" x14ac:dyDescent="0.2">
      <c r="F769" s="188"/>
      <c r="K769" s="188"/>
      <c r="L769" s="188"/>
      <c r="M769" s="188"/>
      <c r="N769" s="188"/>
      <c r="O769" s="188"/>
      <c r="P769" s="188"/>
      <c r="V769" s="188"/>
      <c r="W769" s="188"/>
      <c r="X769" s="188"/>
      <c r="Y769" s="188"/>
    </row>
    <row r="770" spans="6:25" ht="0" hidden="1" customHeight="1" x14ac:dyDescent="0.2">
      <c r="F770" s="188"/>
      <c r="K770" s="188"/>
      <c r="L770" s="188"/>
      <c r="M770" s="188"/>
      <c r="N770" s="188"/>
      <c r="O770" s="188"/>
      <c r="P770" s="188"/>
      <c r="V770" s="188"/>
      <c r="W770" s="188"/>
      <c r="X770" s="188"/>
      <c r="Y770" s="188"/>
    </row>
    <row r="771" spans="6:25" ht="0" hidden="1" customHeight="1" x14ac:dyDescent="0.2">
      <c r="F771" s="188"/>
      <c r="K771" s="188"/>
      <c r="L771" s="188"/>
      <c r="M771" s="188"/>
      <c r="N771" s="188"/>
      <c r="O771" s="188"/>
      <c r="P771" s="188"/>
      <c r="V771" s="188"/>
      <c r="W771" s="188"/>
      <c r="X771" s="188"/>
      <c r="Y771" s="188"/>
    </row>
    <row r="772" spans="6:25" ht="0" hidden="1" customHeight="1" x14ac:dyDescent="0.2">
      <c r="F772" s="188"/>
      <c r="K772" s="188"/>
      <c r="L772" s="188"/>
      <c r="M772" s="188"/>
      <c r="N772" s="188"/>
      <c r="O772" s="188"/>
      <c r="P772" s="188"/>
      <c r="V772" s="188"/>
      <c r="W772" s="188"/>
      <c r="X772" s="188"/>
      <c r="Y772" s="188"/>
    </row>
    <row r="773" spans="6:25" ht="0" hidden="1" customHeight="1" x14ac:dyDescent="0.2">
      <c r="F773" s="188"/>
      <c r="K773" s="188"/>
      <c r="L773" s="188"/>
      <c r="M773" s="188"/>
      <c r="N773" s="188"/>
      <c r="O773" s="188"/>
      <c r="P773" s="188"/>
      <c r="V773" s="188"/>
      <c r="W773" s="188"/>
      <c r="X773" s="188"/>
      <c r="Y773" s="188"/>
    </row>
    <row r="774" spans="6:25" ht="0" hidden="1" customHeight="1" x14ac:dyDescent="0.2">
      <c r="F774" s="188"/>
      <c r="K774" s="188"/>
      <c r="L774" s="188"/>
      <c r="M774" s="188"/>
      <c r="N774" s="188"/>
      <c r="O774" s="188"/>
      <c r="P774" s="188"/>
      <c r="V774" s="188"/>
      <c r="W774" s="188"/>
      <c r="X774" s="188"/>
      <c r="Y774" s="188"/>
    </row>
    <row r="775" spans="6:25" ht="0" hidden="1" customHeight="1" x14ac:dyDescent="0.2">
      <c r="F775" s="188"/>
      <c r="K775" s="188"/>
      <c r="L775" s="188"/>
      <c r="M775" s="188"/>
      <c r="N775" s="188"/>
      <c r="O775" s="188"/>
      <c r="P775" s="188"/>
      <c r="V775" s="188"/>
      <c r="W775" s="188"/>
      <c r="X775" s="188"/>
      <c r="Y775" s="188"/>
    </row>
    <row r="776" spans="6:25" ht="0" hidden="1" customHeight="1" x14ac:dyDescent="0.2">
      <c r="F776" s="188"/>
      <c r="K776" s="188"/>
      <c r="L776" s="188"/>
      <c r="M776" s="188"/>
      <c r="N776" s="188"/>
      <c r="O776" s="188"/>
      <c r="P776" s="188"/>
      <c r="V776" s="188"/>
      <c r="W776" s="188"/>
      <c r="X776" s="188"/>
      <c r="Y776" s="188"/>
    </row>
    <row r="777" spans="6:25" ht="0" hidden="1" customHeight="1" x14ac:dyDescent="0.2">
      <c r="F777" s="188"/>
      <c r="K777" s="188"/>
      <c r="L777" s="188"/>
      <c r="M777" s="188"/>
      <c r="N777" s="188"/>
      <c r="O777" s="188"/>
      <c r="P777" s="188"/>
      <c r="V777" s="188"/>
      <c r="W777" s="188"/>
      <c r="X777" s="188"/>
      <c r="Y777" s="188"/>
    </row>
    <row r="778" spans="6:25" ht="0" hidden="1" customHeight="1" x14ac:dyDescent="0.2">
      <c r="F778" s="188"/>
      <c r="K778" s="188"/>
      <c r="L778" s="188"/>
      <c r="M778" s="188"/>
      <c r="N778" s="188"/>
      <c r="O778" s="188"/>
      <c r="P778" s="188"/>
      <c r="V778" s="188"/>
      <c r="W778" s="188"/>
      <c r="X778" s="188"/>
      <c r="Y778" s="188"/>
    </row>
    <row r="779" spans="6:25" ht="0" hidden="1" customHeight="1" x14ac:dyDescent="0.2">
      <c r="F779" s="188"/>
      <c r="K779" s="188"/>
      <c r="L779" s="188"/>
      <c r="M779" s="188"/>
      <c r="N779" s="188"/>
      <c r="O779" s="188"/>
      <c r="P779" s="188"/>
      <c r="V779" s="188"/>
      <c r="W779" s="188"/>
      <c r="X779" s="188"/>
      <c r="Y779" s="188"/>
    </row>
    <row r="780" spans="6:25" ht="0" hidden="1" customHeight="1" x14ac:dyDescent="0.2">
      <c r="F780" s="188"/>
      <c r="K780" s="188"/>
      <c r="L780" s="188"/>
      <c r="M780" s="188"/>
      <c r="N780" s="188"/>
      <c r="O780" s="188"/>
      <c r="P780" s="188"/>
      <c r="V780" s="188"/>
      <c r="W780" s="188"/>
      <c r="X780" s="188"/>
      <c r="Y780" s="188"/>
    </row>
    <row r="781" spans="6:25" ht="0" hidden="1" customHeight="1" x14ac:dyDescent="0.2">
      <c r="F781" s="188"/>
      <c r="K781" s="188"/>
      <c r="L781" s="188"/>
      <c r="M781" s="188"/>
      <c r="N781" s="188"/>
      <c r="O781" s="188"/>
      <c r="P781" s="188"/>
      <c r="V781" s="188"/>
      <c r="W781" s="188"/>
      <c r="X781" s="188"/>
      <c r="Y781" s="188"/>
    </row>
    <row r="782" spans="6:25" ht="0" hidden="1" customHeight="1" x14ac:dyDescent="0.2">
      <c r="F782" s="188"/>
      <c r="K782" s="188"/>
      <c r="L782" s="188"/>
      <c r="M782" s="188"/>
      <c r="N782" s="188"/>
      <c r="O782" s="188"/>
      <c r="P782" s="188"/>
      <c r="V782" s="188"/>
      <c r="W782" s="188"/>
      <c r="X782" s="188"/>
      <c r="Y782" s="188"/>
    </row>
    <row r="783" spans="6:25" ht="0" hidden="1" customHeight="1" x14ac:dyDescent="0.2">
      <c r="F783" s="188"/>
      <c r="K783" s="188"/>
      <c r="L783" s="188"/>
      <c r="M783" s="188"/>
      <c r="N783" s="188"/>
      <c r="O783" s="188"/>
      <c r="P783" s="188"/>
      <c r="V783" s="188"/>
      <c r="W783" s="188"/>
      <c r="X783" s="188"/>
      <c r="Y783" s="188"/>
    </row>
    <row r="784" spans="6:25" ht="0" hidden="1" customHeight="1" x14ac:dyDescent="0.2">
      <c r="F784" s="188"/>
      <c r="K784" s="188"/>
      <c r="L784" s="188"/>
      <c r="M784" s="188"/>
      <c r="N784" s="188"/>
      <c r="O784" s="188"/>
      <c r="P784" s="188"/>
      <c r="V784" s="188"/>
      <c r="W784" s="188"/>
      <c r="X784" s="188"/>
      <c r="Y784" s="188"/>
    </row>
    <row r="785" spans="6:25" ht="0" hidden="1" customHeight="1" x14ac:dyDescent="0.2">
      <c r="F785" s="188"/>
      <c r="K785" s="188"/>
      <c r="L785" s="188"/>
      <c r="M785" s="188"/>
      <c r="N785" s="188"/>
      <c r="O785" s="188"/>
      <c r="P785" s="188"/>
      <c r="V785" s="188"/>
      <c r="W785" s="188"/>
      <c r="X785" s="188"/>
      <c r="Y785" s="188"/>
    </row>
    <row r="786" spans="6:25" ht="0" hidden="1" customHeight="1" x14ac:dyDescent="0.2">
      <c r="F786" s="188"/>
      <c r="K786" s="188"/>
      <c r="L786" s="188"/>
      <c r="M786" s="188"/>
      <c r="N786" s="188"/>
      <c r="O786" s="188"/>
      <c r="P786" s="188"/>
      <c r="V786" s="188"/>
      <c r="W786" s="188"/>
      <c r="X786" s="188"/>
      <c r="Y786" s="188"/>
    </row>
    <row r="787" spans="6:25" ht="0" hidden="1" customHeight="1" x14ac:dyDescent="0.2">
      <c r="F787" s="188"/>
      <c r="K787" s="188"/>
      <c r="L787" s="188"/>
      <c r="M787" s="188"/>
      <c r="N787" s="188"/>
      <c r="O787" s="188"/>
      <c r="P787" s="188"/>
      <c r="V787" s="188"/>
      <c r="W787" s="188"/>
      <c r="X787" s="188"/>
      <c r="Y787" s="188"/>
    </row>
    <row r="788" spans="6:25" ht="0" hidden="1" customHeight="1" x14ac:dyDescent="0.2">
      <c r="F788" s="188"/>
      <c r="K788" s="188"/>
      <c r="L788" s="188"/>
      <c r="M788" s="188"/>
      <c r="N788" s="188"/>
      <c r="O788" s="188"/>
      <c r="P788" s="188"/>
      <c r="V788" s="188"/>
      <c r="W788" s="188"/>
      <c r="X788" s="188"/>
      <c r="Y788" s="188"/>
    </row>
    <row r="789" spans="6:25" ht="0" hidden="1" customHeight="1" x14ac:dyDescent="0.2">
      <c r="F789" s="188"/>
      <c r="K789" s="188"/>
      <c r="L789" s="188"/>
      <c r="M789" s="188"/>
      <c r="N789" s="188"/>
      <c r="O789" s="188"/>
      <c r="P789" s="188"/>
      <c r="V789" s="188"/>
      <c r="W789" s="188"/>
      <c r="X789" s="188"/>
      <c r="Y789" s="188"/>
    </row>
    <row r="790" spans="6:25" ht="0" hidden="1" customHeight="1" x14ac:dyDescent="0.2">
      <c r="F790" s="188"/>
      <c r="K790" s="188"/>
      <c r="L790" s="188"/>
      <c r="M790" s="188"/>
      <c r="N790" s="188"/>
      <c r="O790" s="188"/>
      <c r="P790" s="188"/>
      <c r="V790" s="188"/>
      <c r="W790" s="188"/>
      <c r="X790" s="188"/>
      <c r="Y790" s="188"/>
    </row>
    <row r="791" spans="6:25" ht="0" hidden="1" customHeight="1" x14ac:dyDescent="0.2">
      <c r="F791" s="188"/>
      <c r="K791" s="188"/>
      <c r="L791" s="188"/>
      <c r="M791" s="188"/>
      <c r="N791" s="188"/>
      <c r="O791" s="188"/>
      <c r="P791" s="188"/>
      <c r="V791" s="188"/>
      <c r="W791" s="188"/>
      <c r="X791" s="188"/>
      <c r="Y791" s="188"/>
    </row>
    <row r="792" spans="6:25" ht="0" hidden="1" customHeight="1" x14ac:dyDescent="0.2">
      <c r="F792" s="188"/>
      <c r="K792" s="188"/>
      <c r="L792" s="188"/>
      <c r="M792" s="188"/>
      <c r="N792" s="188"/>
      <c r="O792" s="188"/>
      <c r="P792" s="188"/>
      <c r="V792" s="188"/>
      <c r="W792" s="188"/>
      <c r="X792" s="188"/>
      <c r="Y792" s="188"/>
    </row>
    <row r="793" spans="6:25" ht="0" hidden="1" customHeight="1" x14ac:dyDescent="0.2">
      <c r="F793" s="188"/>
      <c r="K793" s="188"/>
      <c r="L793" s="188"/>
      <c r="M793" s="188"/>
      <c r="N793" s="188"/>
      <c r="O793" s="188"/>
      <c r="P793" s="188"/>
      <c r="V793" s="188"/>
      <c r="W793" s="188"/>
      <c r="X793" s="188"/>
      <c r="Y793" s="188"/>
    </row>
    <row r="794" spans="6:25" ht="0" hidden="1" customHeight="1" x14ac:dyDescent="0.2">
      <c r="F794" s="188"/>
      <c r="K794" s="188"/>
      <c r="L794" s="188"/>
      <c r="M794" s="188"/>
      <c r="N794" s="188"/>
      <c r="O794" s="188"/>
      <c r="P794" s="188"/>
      <c r="V794" s="188"/>
      <c r="W794" s="188"/>
      <c r="X794" s="188"/>
      <c r="Y794" s="188"/>
    </row>
    <row r="795" spans="6:25" ht="0" hidden="1" customHeight="1" x14ac:dyDescent="0.2">
      <c r="F795" s="188"/>
      <c r="K795" s="188"/>
      <c r="L795" s="188"/>
      <c r="M795" s="188"/>
      <c r="N795" s="188"/>
      <c r="O795" s="188"/>
      <c r="P795" s="188"/>
      <c r="V795" s="188"/>
      <c r="W795" s="188"/>
      <c r="X795" s="188"/>
      <c r="Y795" s="188"/>
    </row>
    <row r="796" spans="6:25" ht="0" hidden="1" customHeight="1" x14ac:dyDescent="0.2">
      <c r="F796" s="188"/>
      <c r="K796" s="188"/>
      <c r="L796" s="188"/>
      <c r="M796" s="188"/>
      <c r="N796" s="188"/>
      <c r="O796" s="188"/>
      <c r="P796" s="188"/>
      <c r="V796" s="188"/>
      <c r="W796" s="188"/>
      <c r="X796" s="188"/>
      <c r="Y796" s="188"/>
    </row>
    <row r="797" spans="6:25" ht="0" hidden="1" customHeight="1" x14ac:dyDescent="0.2">
      <c r="F797" s="188"/>
      <c r="K797" s="188"/>
      <c r="L797" s="188"/>
      <c r="M797" s="188"/>
      <c r="N797" s="188"/>
      <c r="O797" s="188"/>
      <c r="P797" s="188"/>
      <c r="V797" s="188"/>
      <c r="W797" s="188"/>
      <c r="X797" s="188"/>
      <c r="Y797" s="188"/>
    </row>
    <row r="798" spans="6:25" ht="0" hidden="1" customHeight="1" x14ac:dyDescent="0.2">
      <c r="F798" s="188"/>
      <c r="K798" s="188"/>
      <c r="L798" s="188"/>
      <c r="M798" s="188"/>
      <c r="N798" s="188"/>
      <c r="O798" s="188"/>
      <c r="P798" s="188"/>
      <c r="V798" s="188"/>
      <c r="W798" s="188"/>
      <c r="X798" s="188"/>
      <c r="Y798" s="188"/>
    </row>
    <row r="799" spans="6:25" ht="0" hidden="1" customHeight="1" x14ac:dyDescent="0.2">
      <c r="F799" s="188"/>
      <c r="K799" s="188"/>
      <c r="L799" s="188"/>
      <c r="M799" s="188"/>
      <c r="N799" s="188"/>
      <c r="O799" s="188"/>
      <c r="P799" s="188"/>
      <c r="V799" s="188"/>
      <c r="W799" s="188"/>
      <c r="X799" s="188"/>
      <c r="Y799" s="188"/>
    </row>
    <row r="800" spans="6:25" ht="0" hidden="1" customHeight="1" x14ac:dyDescent="0.2">
      <c r="F800" s="188"/>
      <c r="K800" s="188"/>
      <c r="L800" s="188"/>
      <c r="M800" s="188"/>
      <c r="N800" s="188"/>
      <c r="O800" s="188"/>
      <c r="P800" s="188"/>
      <c r="V800" s="188"/>
      <c r="W800" s="188"/>
      <c r="X800" s="188"/>
      <c r="Y800" s="188"/>
    </row>
    <row r="801" spans="6:25" ht="0" hidden="1" customHeight="1" x14ac:dyDescent="0.2">
      <c r="F801" s="188"/>
      <c r="K801" s="188"/>
      <c r="L801" s="188"/>
      <c r="M801" s="188"/>
      <c r="N801" s="188"/>
      <c r="O801" s="188"/>
      <c r="P801" s="188"/>
      <c r="V801" s="188"/>
      <c r="W801" s="188"/>
      <c r="X801" s="188"/>
      <c r="Y801" s="188"/>
    </row>
    <row r="802" spans="6:25" ht="0" hidden="1" customHeight="1" x14ac:dyDescent="0.2">
      <c r="F802" s="188"/>
      <c r="K802" s="188"/>
      <c r="L802" s="188"/>
      <c r="M802" s="188"/>
      <c r="N802" s="188"/>
      <c r="O802" s="188"/>
      <c r="P802" s="188"/>
      <c r="V802" s="188"/>
      <c r="W802" s="188"/>
      <c r="X802" s="188"/>
      <c r="Y802" s="188"/>
    </row>
    <row r="803" spans="6:25" ht="0" hidden="1" customHeight="1" x14ac:dyDescent="0.2">
      <c r="F803" s="188"/>
      <c r="K803" s="188"/>
      <c r="L803" s="188"/>
      <c r="M803" s="188"/>
      <c r="N803" s="188"/>
      <c r="O803" s="188"/>
      <c r="P803" s="188"/>
      <c r="V803" s="188"/>
      <c r="W803" s="188"/>
      <c r="X803" s="188"/>
      <c r="Y803" s="188"/>
    </row>
    <row r="804" spans="6:25" ht="0" hidden="1" customHeight="1" x14ac:dyDescent="0.2">
      <c r="F804" s="188"/>
      <c r="K804" s="188"/>
      <c r="L804" s="188"/>
      <c r="M804" s="188"/>
      <c r="N804" s="188"/>
      <c r="O804" s="188"/>
      <c r="P804" s="188"/>
      <c r="V804" s="188"/>
      <c r="W804" s="188"/>
      <c r="X804" s="188"/>
      <c r="Y804" s="188"/>
    </row>
    <row r="805" spans="6:25" ht="0" hidden="1" customHeight="1" x14ac:dyDescent="0.2">
      <c r="F805" s="188"/>
      <c r="K805" s="188"/>
      <c r="L805" s="188"/>
      <c r="M805" s="188"/>
      <c r="N805" s="188"/>
      <c r="O805" s="188"/>
      <c r="P805" s="188"/>
      <c r="V805" s="188"/>
      <c r="W805" s="188"/>
      <c r="X805" s="188"/>
      <c r="Y805" s="188"/>
    </row>
    <row r="806" spans="6:25" ht="0" hidden="1" customHeight="1" x14ac:dyDescent="0.2">
      <c r="F806" s="188"/>
      <c r="K806" s="188"/>
      <c r="L806" s="188"/>
      <c r="M806" s="188"/>
      <c r="N806" s="188"/>
      <c r="O806" s="188"/>
      <c r="P806" s="188"/>
      <c r="V806" s="188"/>
      <c r="W806" s="188"/>
      <c r="X806" s="188"/>
      <c r="Y806" s="188"/>
    </row>
    <row r="807" spans="6:25" ht="0" hidden="1" customHeight="1" x14ac:dyDescent="0.2">
      <c r="F807" s="188"/>
      <c r="K807" s="188"/>
      <c r="L807" s="188"/>
      <c r="M807" s="188"/>
      <c r="N807" s="188"/>
      <c r="O807" s="188"/>
      <c r="P807" s="188"/>
      <c r="V807" s="188"/>
      <c r="W807" s="188"/>
      <c r="X807" s="188"/>
      <c r="Y807" s="188"/>
    </row>
    <row r="808" spans="6:25" ht="0" hidden="1" customHeight="1" x14ac:dyDescent="0.2">
      <c r="F808" s="188"/>
      <c r="K808" s="188"/>
      <c r="L808" s="188"/>
      <c r="M808" s="188"/>
      <c r="N808" s="188"/>
      <c r="O808" s="188"/>
      <c r="P808" s="188"/>
      <c r="V808" s="188"/>
      <c r="W808" s="188"/>
      <c r="X808" s="188"/>
      <c r="Y808" s="188"/>
    </row>
    <row r="809" spans="6:25" ht="0" hidden="1" customHeight="1" x14ac:dyDescent="0.2">
      <c r="F809" s="188"/>
      <c r="K809" s="188"/>
      <c r="L809" s="188"/>
      <c r="M809" s="188"/>
      <c r="N809" s="188"/>
      <c r="O809" s="188"/>
      <c r="P809" s="188"/>
      <c r="V809" s="188"/>
      <c r="W809" s="188"/>
      <c r="X809" s="188"/>
      <c r="Y809" s="188"/>
    </row>
    <row r="810" spans="6:25" ht="0" hidden="1" customHeight="1" x14ac:dyDescent="0.2">
      <c r="F810" s="188"/>
      <c r="K810" s="188"/>
      <c r="L810" s="188"/>
      <c r="M810" s="188"/>
      <c r="N810" s="188"/>
      <c r="O810" s="188"/>
      <c r="P810" s="188"/>
      <c r="V810" s="188"/>
      <c r="W810" s="188"/>
      <c r="X810" s="188"/>
      <c r="Y810" s="188"/>
    </row>
    <row r="811" spans="6:25" ht="0" hidden="1" customHeight="1" x14ac:dyDescent="0.2">
      <c r="F811" s="188"/>
      <c r="K811" s="188"/>
      <c r="L811" s="188"/>
      <c r="M811" s="188"/>
      <c r="N811" s="188"/>
      <c r="O811" s="188"/>
      <c r="P811" s="188"/>
      <c r="V811" s="188"/>
      <c r="W811" s="188"/>
      <c r="X811" s="188"/>
      <c r="Y811" s="188"/>
    </row>
    <row r="812" spans="6:25" ht="0" hidden="1" customHeight="1" x14ac:dyDescent="0.2">
      <c r="F812" s="188"/>
      <c r="K812" s="188"/>
      <c r="L812" s="188"/>
      <c r="M812" s="188"/>
      <c r="N812" s="188"/>
      <c r="O812" s="188"/>
      <c r="P812" s="188"/>
      <c r="V812" s="188"/>
      <c r="W812" s="188"/>
      <c r="X812" s="188"/>
      <c r="Y812" s="188"/>
    </row>
    <row r="813" spans="6:25" ht="0" hidden="1" customHeight="1" x14ac:dyDescent="0.2">
      <c r="F813" s="188"/>
      <c r="K813" s="188"/>
      <c r="L813" s="188"/>
      <c r="M813" s="188"/>
      <c r="N813" s="188"/>
      <c r="O813" s="188"/>
      <c r="P813" s="188"/>
      <c r="V813" s="188"/>
      <c r="W813" s="188"/>
      <c r="X813" s="188"/>
      <c r="Y813" s="188"/>
    </row>
    <row r="814" spans="6:25" ht="0" hidden="1" customHeight="1" x14ac:dyDescent="0.2">
      <c r="F814" s="188"/>
      <c r="K814" s="188"/>
      <c r="L814" s="188"/>
      <c r="M814" s="188"/>
      <c r="N814" s="188"/>
      <c r="O814" s="188"/>
      <c r="P814" s="188"/>
      <c r="V814" s="188"/>
      <c r="W814" s="188"/>
      <c r="X814" s="188"/>
      <c r="Y814" s="188"/>
    </row>
    <row r="815" spans="6:25" ht="0" hidden="1" customHeight="1" x14ac:dyDescent="0.2">
      <c r="F815" s="188"/>
      <c r="K815" s="188"/>
      <c r="L815" s="188"/>
      <c r="M815" s="188"/>
      <c r="N815" s="188"/>
      <c r="O815" s="188"/>
      <c r="P815" s="188"/>
      <c r="V815" s="188"/>
      <c r="W815" s="188"/>
      <c r="X815" s="188"/>
      <c r="Y815" s="188"/>
    </row>
    <row r="816" spans="6:25" ht="0" hidden="1" customHeight="1" x14ac:dyDescent="0.2">
      <c r="F816" s="188"/>
      <c r="K816" s="188"/>
      <c r="L816" s="188"/>
      <c r="M816" s="188"/>
      <c r="N816" s="188"/>
      <c r="O816" s="188"/>
      <c r="P816" s="188"/>
      <c r="V816" s="188"/>
      <c r="W816" s="188"/>
      <c r="X816" s="188"/>
      <c r="Y816" s="188"/>
    </row>
    <row r="817" spans="6:25" ht="0" hidden="1" customHeight="1" x14ac:dyDescent="0.2">
      <c r="F817" s="188"/>
      <c r="K817" s="188"/>
      <c r="L817" s="188"/>
      <c r="M817" s="188"/>
      <c r="N817" s="188"/>
      <c r="O817" s="188"/>
      <c r="P817" s="188"/>
      <c r="V817" s="188"/>
      <c r="W817" s="188"/>
      <c r="X817" s="188"/>
      <c r="Y817" s="188"/>
    </row>
    <row r="818" spans="6:25" ht="0" hidden="1" customHeight="1" x14ac:dyDescent="0.2">
      <c r="F818" s="188"/>
      <c r="K818" s="188"/>
      <c r="L818" s="188"/>
      <c r="M818" s="188"/>
      <c r="N818" s="188"/>
      <c r="O818" s="188"/>
      <c r="P818" s="188"/>
      <c r="V818" s="188"/>
      <c r="W818" s="188"/>
      <c r="X818" s="188"/>
      <c r="Y818" s="188"/>
    </row>
    <row r="819" spans="6:25" ht="0" hidden="1" customHeight="1" x14ac:dyDescent="0.2">
      <c r="F819" s="188"/>
      <c r="K819" s="188"/>
      <c r="L819" s="188"/>
      <c r="M819" s="188"/>
      <c r="N819" s="188"/>
      <c r="O819" s="188"/>
      <c r="P819" s="188"/>
      <c r="V819" s="188"/>
      <c r="W819" s="188"/>
      <c r="X819" s="188"/>
      <c r="Y819" s="188"/>
    </row>
    <row r="820" spans="6:25" ht="0" hidden="1" customHeight="1" x14ac:dyDescent="0.2">
      <c r="F820" s="188"/>
      <c r="K820" s="188"/>
      <c r="L820" s="188"/>
      <c r="M820" s="188"/>
      <c r="N820" s="188"/>
      <c r="O820" s="188"/>
      <c r="P820" s="188"/>
      <c r="V820" s="188"/>
      <c r="W820" s="188"/>
      <c r="X820" s="188"/>
      <c r="Y820" s="188"/>
    </row>
    <row r="821" spans="6:25" ht="0" hidden="1" customHeight="1" x14ac:dyDescent="0.2">
      <c r="F821" s="188"/>
      <c r="K821" s="188"/>
      <c r="L821" s="188"/>
      <c r="M821" s="188"/>
      <c r="N821" s="188"/>
      <c r="O821" s="188"/>
      <c r="P821" s="188"/>
    </row>
    <row r="822" spans="6:25" ht="0" hidden="1" customHeight="1" x14ac:dyDescent="0.2">
      <c r="F822" s="188"/>
      <c r="K822" s="188"/>
      <c r="L822" s="188"/>
      <c r="M822" s="188"/>
      <c r="N822" s="188"/>
      <c r="O822" s="188"/>
      <c r="P822" s="188"/>
    </row>
    <row r="823" spans="6:25" ht="0" hidden="1" customHeight="1" x14ac:dyDescent="0.2">
      <c r="F823" s="188"/>
      <c r="K823" s="188"/>
      <c r="L823" s="188"/>
      <c r="M823" s="188"/>
      <c r="N823" s="188"/>
      <c r="O823" s="188"/>
      <c r="P823" s="188"/>
    </row>
    <row r="824" spans="6:25" ht="0" hidden="1" customHeight="1" x14ac:dyDescent="0.2">
      <c r="F824" s="188"/>
      <c r="K824" s="188"/>
      <c r="L824" s="188"/>
      <c r="M824" s="188"/>
      <c r="N824" s="188"/>
      <c r="O824" s="188"/>
      <c r="P824" s="188"/>
    </row>
    <row r="825" spans="6:25" ht="0" hidden="1" customHeight="1" x14ac:dyDescent="0.2">
      <c r="F825" s="188"/>
      <c r="K825" s="188"/>
      <c r="L825" s="188"/>
      <c r="M825" s="188"/>
      <c r="N825" s="188"/>
      <c r="O825" s="188"/>
      <c r="P825" s="188"/>
    </row>
    <row r="826" spans="6:25" ht="0" hidden="1" customHeight="1" x14ac:dyDescent="0.2">
      <c r="F826" s="188"/>
      <c r="K826" s="188"/>
      <c r="L826" s="188"/>
      <c r="M826" s="188"/>
      <c r="N826" s="188"/>
      <c r="O826" s="188"/>
      <c r="P826" s="188"/>
    </row>
    <row r="827" spans="6:25" ht="0" hidden="1" customHeight="1" x14ac:dyDescent="0.2">
      <c r="F827" s="188"/>
      <c r="K827" s="188"/>
      <c r="L827" s="188"/>
      <c r="M827" s="188"/>
      <c r="N827" s="188"/>
      <c r="O827" s="188"/>
      <c r="P827" s="188"/>
    </row>
    <row r="828" spans="6:25" ht="0" hidden="1" customHeight="1" x14ac:dyDescent="0.2">
      <c r="F828" s="188"/>
      <c r="K828" s="188"/>
      <c r="L828" s="188"/>
      <c r="M828" s="188"/>
      <c r="N828" s="188"/>
      <c r="O828" s="188"/>
      <c r="P828" s="188"/>
    </row>
    <row r="829" spans="6:25" ht="0" hidden="1" customHeight="1" x14ac:dyDescent="0.2">
      <c r="F829" s="188"/>
      <c r="K829" s="188"/>
      <c r="L829" s="188"/>
      <c r="M829" s="188"/>
      <c r="N829" s="188"/>
      <c r="O829" s="188"/>
      <c r="P829" s="188"/>
    </row>
    <row r="830" spans="6:25" ht="0" hidden="1" customHeight="1" x14ac:dyDescent="0.2">
      <c r="F830" s="188"/>
      <c r="K830" s="188"/>
      <c r="L830" s="188"/>
      <c r="M830" s="188"/>
      <c r="N830" s="188"/>
      <c r="O830" s="188"/>
      <c r="P830" s="188"/>
    </row>
    <row r="831" spans="6:25" ht="0" hidden="1" customHeight="1" x14ac:dyDescent="0.2">
      <c r="F831" s="188"/>
      <c r="K831" s="188"/>
      <c r="L831" s="188"/>
      <c r="M831" s="188"/>
      <c r="N831" s="188"/>
      <c r="O831" s="188"/>
      <c r="P831" s="188"/>
    </row>
    <row r="832" spans="6:25" ht="0" hidden="1" customHeight="1" x14ac:dyDescent="0.2">
      <c r="F832" s="188"/>
      <c r="K832" s="188"/>
      <c r="L832" s="188"/>
      <c r="M832" s="188"/>
      <c r="N832" s="188"/>
      <c r="O832" s="188"/>
      <c r="P832" s="188"/>
    </row>
    <row r="833" spans="6:16" ht="0" hidden="1" customHeight="1" x14ac:dyDescent="0.2">
      <c r="F833" s="188"/>
      <c r="K833" s="188"/>
      <c r="L833" s="188"/>
      <c r="M833" s="188"/>
      <c r="N833" s="188"/>
      <c r="O833" s="188"/>
      <c r="P833" s="188"/>
    </row>
    <row r="834" spans="6:16" ht="0" hidden="1" customHeight="1" x14ac:dyDescent="0.2">
      <c r="F834" s="188"/>
      <c r="K834" s="188"/>
      <c r="L834" s="188"/>
      <c r="M834" s="188"/>
      <c r="N834" s="188"/>
      <c r="O834" s="188"/>
      <c r="P834" s="188"/>
    </row>
    <row r="835" spans="6:16" ht="0" hidden="1" customHeight="1" x14ac:dyDescent="0.2">
      <c r="F835" s="188"/>
      <c r="K835" s="188"/>
      <c r="L835" s="188"/>
      <c r="M835" s="188"/>
      <c r="N835" s="188"/>
      <c r="O835" s="188"/>
      <c r="P835" s="188"/>
    </row>
    <row r="836" spans="6:16" ht="0" hidden="1" customHeight="1" x14ac:dyDescent="0.2">
      <c r="F836" s="188"/>
      <c r="K836" s="188"/>
      <c r="L836" s="188"/>
      <c r="M836" s="188"/>
      <c r="N836" s="188"/>
      <c r="O836" s="188"/>
      <c r="P836" s="188"/>
    </row>
    <row r="837" spans="6:16" ht="0" hidden="1" customHeight="1" x14ac:dyDescent="0.2">
      <c r="F837" s="188"/>
      <c r="K837" s="188"/>
      <c r="L837" s="188"/>
      <c r="M837" s="188"/>
      <c r="N837" s="188"/>
      <c r="O837" s="188"/>
      <c r="P837" s="188"/>
    </row>
    <row r="838" spans="6:16" ht="0" hidden="1" customHeight="1" x14ac:dyDescent="0.2">
      <c r="F838" s="188"/>
      <c r="K838" s="188"/>
      <c r="L838" s="188"/>
      <c r="M838" s="188"/>
      <c r="N838" s="188"/>
      <c r="O838" s="188"/>
      <c r="P838" s="188"/>
    </row>
    <row r="839" spans="6:16" ht="0" hidden="1" customHeight="1" x14ac:dyDescent="0.2">
      <c r="F839" s="188"/>
      <c r="K839" s="188"/>
      <c r="L839" s="188"/>
      <c r="M839" s="188"/>
      <c r="N839" s="188"/>
      <c r="O839" s="188"/>
      <c r="P839" s="188"/>
    </row>
    <row r="840" spans="6:16" ht="0" hidden="1" customHeight="1" x14ac:dyDescent="0.2">
      <c r="F840" s="188"/>
      <c r="K840" s="188"/>
      <c r="L840" s="188"/>
      <c r="M840" s="188"/>
      <c r="N840" s="188"/>
      <c r="O840" s="188"/>
      <c r="P840" s="188"/>
    </row>
    <row r="841" spans="6:16" ht="0" hidden="1" customHeight="1" x14ac:dyDescent="0.2">
      <c r="F841" s="188"/>
      <c r="K841" s="188"/>
      <c r="L841" s="188"/>
      <c r="M841" s="188"/>
      <c r="N841" s="188"/>
      <c r="O841" s="188"/>
      <c r="P841" s="188"/>
    </row>
    <row r="842" spans="6:16" ht="0" hidden="1" customHeight="1" x14ac:dyDescent="0.2">
      <c r="F842" s="188"/>
      <c r="K842" s="188"/>
      <c r="L842" s="188"/>
      <c r="M842" s="188"/>
      <c r="N842" s="188"/>
      <c r="O842" s="188"/>
      <c r="P842" s="188"/>
    </row>
    <row r="843" spans="6:16" ht="0" hidden="1" customHeight="1" x14ac:dyDescent="0.2">
      <c r="F843" s="188"/>
      <c r="K843" s="188"/>
      <c r="L843" s="188"/>
      <c r="M843" s="188"/>
      <c r="N843" s="188"/>
      <c r="O843" s="188"/>
      <c r="P843" s="188"/>
    </row>
    <row r="844" spans="6:16" ht="0" hidden="1" customHeight="1" x14ac:dyDescent="0.2">
      <c r="F844" s="188"/>
      <c r="K844" s="188"/>
      <c r="L844" s="188"/>
      <c r="M844" s="188"/>
      <c r="N844" s="188"/>
      <c r="O844" s="188"/>
      <c r="P844" s="188"/>
    </row>
    <row r="845" spans="6:16" ht="0" hidden="1" customHeight="1" x14ac:dyDescent="0.2">
      <c r="F845" s="188"/>
      <c r="K845" s="188"/>
      <c r="L845" s="188"/>
      <c r="M845" s="188"/>
      <c r="N845" s="188"/>
      <c r="O845" s="188"/>
      <c r="P845" s="188"/>
    </row>
    <row r="846" spans="6:16" ht="0" hidden="1" customHeight="1" x14ac:dyDescent="0.2">
      <c r="F846" s="188"/>
      <c r="K846" s="188"/>
      <c r="L846" s="188"/>
      <c r="M846" s="188"/>
      <c r="N846" s="188"/>
      <c r="O846" s="188"/>
      <c r="P846" s="188"/>
    </row>
    <row r="847" spans="6:16" ht="0" hidden="1" customHeight="1" x14ac:dyDescent="0.2">
      <c r="F847" s="188"/>
      <c r="K847" s="188"/>
      <c r="L847" s="188"/>
      <c r="M847" s="188"/>
      <c r="N847" s="188"/>
      <c r="O847" s="188"/>
      <c r="P847" s="188"/>
    </row>
    <row r="848" spans="6:16" ht="0" hidden="1" customHeight="1" x14ac:dyDescent="0.2">
      <c r="F848" s="188"/>
      <c r="K848" s="188"/>
      <c r="L848" s="188"/>
      <c r="M848" s="188"/>
      <c r="N848" s="188"/>
      <c r="O848" s="188"/>
      <c r="P848" s="188"/>
    </row>
    <row r="849" spans="6:16" ht="0" hidden="1" customHeight="1" x14ac:dyDescent="0.2">
      <c r="F849" s="188"/>
      <c r="K849" s="188"/>
      <c r="L849" s="188"/>
      <c r="M849" s="188"/>
      <c r="N849" s="188"/>
      <c r="O849" s="188"/>
      <c r="P849" s="188"/>
    </row>
    <row r="850" spans="6:16" ht="0" hidden="1" customHeight="1" x14ac:dyDescent="0.2">
      <c r="F850" s="188"/>
      <c r="K850" s="188"/>
      <c r="L850" s="188"/>
      <c r="M850" s="188"/>
      <c r="N850" s="188"/>
      <c r="O850" s="188"/>
      <c r="P850" s="188"/>
    </row>
    <row r="851" spans="6:16" ht="0" hidden="1" customHeight="1" x14ac:dyDescent="0.2">
      <c r="F851" s="188"/>
      <c r="K851" s="188"/>
      <c r="L851" s="188"/>
      <c r="M851" s="188"/>
      <c r="N851" s="188"/>
      <c r="O851" s="188"/>
      <c r="P851" s="188"/>
    </row>
    <row r="852" spans="6:16" ht="0" hidden="1" customHeight="1" x14ac:dyDescent="0.2">
      <c r="F852" s="188"/>
      <c r="K852" s="188"/>
      <c r="L852" s="188"/>
      <c r="M852" s="188"/>
      <c r="N852" s="188"/>
      <c r="O852" s="188"/>
      <c r="P852" s="188"/>
    </row>
    <row r="853" spans="6:16" ht="0" hidden="1" customHeight="1" x14ac:dyDescent="0.2">
      <c r="F853" s="188"/>
      <c r="K853" s="188"/>
      <c r="L853" s="188"/>
      <c r="M853" s="188"/>
      <c r="N853" s="188"/>
      <c r="O853" s="188"/>
      <c r="P853" s="188"/>
    </row>
    <row r="854" spans="6:16" ht="0" hidden="1" customHeight="1" x14ac:dyDescent="0.2">
      <c r="F854" s="188"/>
      <c r="K854" s="188"/>
      <c r="L854" s="188"/>
      <c r="M854" s="188"/>
      <c r="N854" s="188"/>
      <c r="O854" s="188"/>
      <c r="P854" s="188"/>
    </row>
    <row r="855" spans="6:16" ht="0" hidden="1" customHeight="1" x14ac:dyDescent="0.2">
      <c r="F855" s="188"/>
      <c r="K855" s="188"/>
      <c r="L855" s="188"/>
      <c r="M855" s="188"/>
      <c r="N855" s="188"/>
      <c r="O855" s="188"/>
      <c r="P855" s="188"/>
    </row>
    <row r="856" spans="6:16" ht="0" hidden="1" customHeight="1" x14ac:dyDescent="0.2">
      <c r="F856" s="188"/>
      <c r="K856" s="188"/>
      <c r="L856" s="188"/>
      <c r="M856" s="188"/>
      <c r="N856" s="188"/>
      <c r="O856" s="188"/>
      <c r="P856" s="188"/>
    </row>
    <row r="857" spans="6:16" ht="0" hidden="1" customHeight="1" x14ac:dyDescent="0.2">
      <c r="F857" s="188"/>
      <c r="K857" s="188"/>
      <c r="L857" s="188"/>
      <c r="M857" s="188"/>
      <c r="N857" s="188"/>
      <c r="O857" s="188"/>
      <c r="P857" s="188"/>
    </row>
    <row r="858" spans="6:16" ht="0" hidden="1" customHeight="1" x14ac:dyDescent="0.2">
      <c r="F858" s="188"/>
      <c r="K858" s="188"/>
      <c r="L858" s="188"/>
      <c r="M858" s="188"/>
      <c r="N858" s="188"/>
      <c r="O858" s="188"/>
      <c r="P858" s="188"/>
    </row>
    <row r="859" spans="6:16" ht="0" hidden="1" customHeight="1" x14ac:dyDescent="0.2">
      <c r="F859" s="188"/>
      <c r="K859" s="188"/>
      <c r="L859" s="188"/>
      <c r="M859" s="188"/>
      <c r="N859" s="188"/>
      <c r="O859" s="188"/>
      <c r="P859" s="188"/>
    </row>
    <row r="860" spans="6:16" ht="0" hidden="1" customHeight="1" x14ac:dyDescent="0.2">
      <c r="F860" s="188"/>
      <c r="K860" s="188"/>
      <c r="L860" s="188"/>
      <c r="M860" s="188"/>
      <c r="N860" s="188"/>
      <c r="O860" s="188"/>
      <c r="P860" s="188"/>
    </row>
    <row r="861" spans="6:16" ht="0" hidden="1" customHeight="1" x14ac:dyDescent="0.2">
      <c r="F861" s="188"/>
      <c r="K861" s="188"/>
      <c r="L861" s="188"/>
      <c r="M861" s="188"/>
      <c r="N861" s="188"/>
      <c r="O861" s="188"/>
      <c r="P861" s="188"/>
    </row>
    <row r="862" spans="6:16" ht="0" hidden="1" customHeight="1" x14ac:dyDescent="0.2">
      <c r="F862" s="188"/>
      <c r="K862" s="188"/>
      <c r="L862" s="188"/>
      <c r="M862" s="188"/>
      <c r="N862" s="188"/>
      <c r="O862" s="188"/>
      <c r="P862" s="188"/>
    </row>
    <row r="863" spans="6:16" ht="0" hidden="1" customHeight="1" x14ac:dyDescent="0.2">
      <c r="F863" s="188"/>
      <c r="K863" s="188"/>
      <c r="L863" s="188"/>
      <c r="M863" s="188"/>
      <c r="N863" s="188"/>
      <c r="O863" s="188"/>
      <c r="P863" s="188"/>
    </row>
    <row r="864" spans="6:16" ht="0" hidden="1" customHeight="1" x14ac:dyDescent="0.2">
      <c r="F864" s="188"/>
      <c r="K864" s="188"/>
      <c r="L864" s="188"/>
      <c r="M864" s="188"/>
      <c r="N864" s="188"/>
      <c r="O864" s="188"/>
      <c r="P864" s="188"/>
    </row>
    <row r="865" spans="6:16" ht="0" hidden="1" customHeight="1" x14ac:dyDescent="0.2">
      <c r="F865" s="188"/>
      <c r="K865" s="188"/>
      <c r="L865" s="188"/>
      <c r="M865" s="188"/>
      <c r="N865" s="188"/>
      <c r="O865" s="188"/>
      <c r="P865" s="188"/>
    </row>
    <row r="866" spans="6:16" ht="0" hidden="1" customHeight="1" x14ac:dyDescent="0.2">
      <c r="F866" s="188"/>
      <c r="K866" s="188"/>
      <c r="L866" s="188"/>
      <c r="M866" s="188"/>
      <c r="N866" s="188"/>
      <c r="O866" s="188"/>
      <c r="P866" s="188"/>
    </row>
    <row r="867" spans="6:16" ht="0" hidden="1" customHeight="1" x14ac:dyDescent="0.2">
      <c r="F867" s="188"/>
      <c r="K867" s="188"/>
      <c r="L867" s="188"/>
      <c r="M867" s="188"/>
      <c r="N867" s="188"/>
      <c r="O867" s="188"/>
      <c r="P867" s="188"/>
    </row>
    <row r="868" spans="6:16" ht="0" hidden="1" customHeight="1" x14ac:dyDescent="0.2">
      <c r="F868" s="188"/>
      <c r="K868" s="188"/>
      <c r="L868" s="188"/>
      <c r="M868" s="188"/>
      <c r="N868" s="188"/>
      <c r="O868" s="188"/>
      <c r="P868" s="188"/>
    </row>
    <row r="869" spans="6:16" ht="0" hidden="1" customHeight="1" x14ac:dyDescent="0.2">
      <c r="F869" s="188"/>
      <c r="K869" s="188"/>
      <c r="L869" s="188"/>
      <c r="M869" s="188"/>
      <c r="N869" s="188"/>
      <c r="O869" s="188"/>
      <c r="P869" s="188"/>
    </row>
    <row r="870" spans="6:16" ht="0" hidden="1" customHeight="1" x14ac:dyDescent="0.2">
      <c r="F870" s="188"/>
      <c r="K870" s="188"/>
      <c r="L870" s="188"/>
      <c r="M870" s="188"/>
      <c r="N870" s="188"/>
      <c r="O870" s="188"/>
      <c r="P870" s="188"/>
    </row>
    <row r="871" spans="6:16" ht="0" hidden="1" customHeight="1" x14ac:dyDescent="0.2">
      <c r="F871" s="188"/>
      <c r="K871" s="188"/>
      <c r="L871" s="188"/>
      <c r="M871" s="188"/>
      <c r="N871" s="188"/>
      <c r="O871" s="188"/>
      <c r="P871" s="188"/>
    </row>
    <row r="872" spans="6:16" ht="0" hidden="1" customHeight="1" x14ac:dyDescent="0.2">
      <c r="F872" s="188"/>
      <c r="K872" s="188"/>
      <c r="L872" s="188"/>
      <c r="M872" s="188"/>
      <c r="N872" s="188"/>
      <c r="O872" s="188"/>
      <c r="P872" s="188"/>
    </row>
    <row r="873" spans="6:16" ht="0" hidden="1" customHeight="1" x14ac:dyDescent="0.2">
      <c r="F873" s="188"/>
      <c r="K873" s="188"/>
      <c r="L873" s="188"/>
      <c r="M873" s="188"/>
      <c r="N873" s="188"/>
      <c r="O873" s="188"/>
      <c r="P873" s="188"/>
    </row>
    <row r="874" spans="6:16" ht="0" hidden="1" customHeight="1" x14ac:dyDescent="0.2">
      <c r="F874" s="188"/>
      <c r="K874" s="188"/>
      <c r="L874" s="188"/>
      <c r="M874" s="188"/>
      <c r="N874" s="188"/>
      <c r="O874" s="188"/>
      <c r="P874" s="188"/>
    </row>
    <row r="875" spans="6:16" ht="0" hidden="1" customHeight="1" x14ac:dyDescent="0.2">
      <c r="F875" s="188"/>
      <c r="K875" s="188"/>
      <c r="L875" s="188"/>
      <c r="M875" s="188"/>
      <c r="N875" s="188"/>
      <c r="O875" s="188"/>
      <c r="P875" s="188"/>
    </row>
    <row r="876" spans="6:16" ht="0" hidden="1" customHeight="1" x14ac:dyDescent="0.2">
      <c r="F876" s="188"/>
      <c r="K876" s="188"/>
      <c r="L876" s="188"/>
      <c r="M876" s="188"/>
      <c r="N876" s="188"/>
      <c r="O876" s="188"/>
      <c r="P876" s="188"/>
    </row>
    <row r="877" spans="6:16" ht="0" hidden="1" customHeight="1" x14ac:dyDescent="0.2">
      <c r="F877" s="188"/>
      <c r="K877" s="188"/>
      <c r="L877" s="188"/>
      <c r="M877" s="188"/>
      <c r="N877" s="188"/>
      <c r="O877" s="188"/>
      <c r="P877" s="188"/>
    </row>
    <row r="878" spans="6:16" ht="0" hidden="1" customHeight="1" x14ac:dyDescent="0.2">
      <c r="F878" s="188"/>
      <c r="K878" s="188"/>
      <c r="L878" s="188"/>
      <c r="M878" s="188"/>
      <c r="N878" s="188"/>
      <c r="O878" s="188"/>
      <c r="P878" s="188"/>
    </row>
    <row r="879" spans="6:16" ht="0" hidden="1" customHeight="1" x14ac:dyDescent="0.2">
      <c r="F879" s="188"/>
      <c r="K879" s="188"/>
      <c r="L879" s="188"/>
      <c r="M879" s="188"/>
      <c r="N879" s="188"/>
      <c r="O879" s="188"/>
      <c r="P879" s="188"/>
    </row>
    <row r="880" spans="6:16" ht="0" hidden="1" customHeight="1" x14ac:dyDescent="0.2">
      <c r="F880" s="188"/>
      <c r="K880" s="188"/>
      <c r="L880" s="188"/>
      <c r="M880" s="188"/>
      <c r="N880" s="188"/>
      <c r="O880" s="188"/>
      <c r="P880" s="188"/>
    </row>
    <row r="881" spans="6:16" ht="0" hidden="1" customHeight="1" x14ac:dyDescent="0.2">
      <c r="F881" s="188"/>
      <c r="K881" s="188"/>
      <c r="L881" s="188"/>
      <c r="M881" s="188"/>
      <c r="N881" s="188"/>
      <c r="O881" s="188"/>
      <c r="P881" s="188"/>
    </row>
    <row r="882" spans="6:16" ht="0" hidden="1" customHeight="1" x14ac:dyDescent="0.2">
      <c r="F882" s="188"/>
      <c r="K882" s="188"/>
      <c r="L882" s="188"/>
      <c r="M882" s="188"/>
      <c r="N882" s="188"/>
      <c r="O882" s="188"/>
      <c r="P882" s="188"/>
    </row>
    <row r="883" spans="6:16" ht="0" hidden="1" customHeight="1" x14ac:dyDescent="0.2">
      <c r="F883" s="188"/>
      <c r="K883" s="188"/>
      <c r="L883" s="188"/>
      <c r="M883" s="188"/>
      <c r="N883" s="188"/>
      <c r="O883" s="188"/>
      <c r="P883" s="188"/>
    </row>
    <row r="884" spans="6:16" ht="0" hidden="1" customHeight="1" x14ac:dyDescent="0.2">
      <c r="F884" s="188"/>
      <c r="K884" s="188"/>
      <c r="L884" s="188"/>
      <c r="M884" s="188"/>
      <c r="N884" s="188"/>
      <c r="O884" s="188"/>
      <c r="P884" s="188"/>
    </row>
    <row r="885" spans="6:16" ht="0" hidden="1" customHeight="1" x14ac:dyDescent="0.2">
      <c r="F885" s="188"/>
      <c r="K885" s="188"/>
      <c r="L885" s="188"/>
      <c r="M885" s="188"/>
      <c r="N885" s="188"/>
      <c r="O885" s="188"/>
      <c r="P885" s="188"/>
    </row>
    <row r="886" spans="6:16" ht="0" hidden="1" customHeight="1" x14ac:dyDescent="0.2">
      <c r="F886" s="188"/>
      <c r="K886" s="188"/>
      <c r="L886" s="188"/>
      <c r="M886" s="188"/>
      <c r="N886" s="188"/>
      <c r="O886" s="188"/>
      <c r="P886" s="188"/>
    </row>
    <row r="887" spans="6:16" ht="0" hidden="1" customHeight="1" x14ac:dyDescent="0.2">
      <c r="F887" s="188"/>
      <c r="K887" s="188"/>
      <c r="L887" s="188"/>
      <c r="M887" s="188"/>
      <c r="N887" s="188"/>
      <c r="O887" s="188"/>
      <c r="P887" s="188"/>
    </row>
    <row r="888" spans="6:16" ht="0" hidden="1" customHeight="1" x14ac:dyDescent="0.2">
      <c r="F888" s="188"/>
      <c r="K888" s="188"/>
      <c r="L888" s="188"/>
      <c r="M888" s="188"/>
      <c r="N888" s="188"/>
      <c r="O888" s="188"/>
      <c r="P888" s="188"/>
    </row>
    <row r="889" spans="6:16" ht="0" hidden="1" customHeight="1" x14ac:dyDescent="0.2">
      <c r="F889" s="188"/>
      <c r="K889" s="188"/>
      <c r="L889" s="188"/>
      <c r="M889" s="188"/>
      <c r="N889" s="188"/>
      <c r="O889" s="188"/>
      <c r="P889" s="188"/>
    </row>
    <row r="890" spans="6:16" ht="0" hidden="1" customHeight="1" x14ac:dyDescent="0.2">
      <c r="F890" s="188"/>
      <c r="K890" s="188"/>
      <c r="L890" s="188"/>
      <c r="M890" s="188"/>
      <c r="N890" s="188"/>
      <c r="O890" s="188"/>
      <c r="P890" s="188"/>
    </row>
    <row r="891" spans="6:16" ht="0" hidden="1" customHeight="1" x14ac:dyDescent="0.2">
      <c r="F891" s="187"/>
      <c r="K891" s="188"/>
      <c r="L891" s="188"/>
      <c r="M891" s="188"/>
      <c r="N891" s="188"/>
      <c r="O891" s="188"/>
      <c r="P891" s="188"/>
    </row>
    <row r="892" spans="6:16" ht="0" hidden="1" customHeight="1" x14ac:dyDescent="0.2">
      <c r="F892" s="187"/>
      <c r="L892" s="188"/>
      <c r="M892" s="188"/>
      <c r="N892" s="188"/>
      <c r="O892" s="188"/>
    </row>
    <row r="893" spans="6:16" ht="0" hidden="1" customHeight="1" x14ac:dyDescent="0.2">
      <c r="F893" s="187"/>
      <c r="L893" s="188"/>
      <c r="M893" s="188"/>
      <c r="N893" s="188"/>
      <c r="O893" s="188"/>
    </row>
    <row r="894" spans="6:16" ht="0" hidden="1" customHeight="1" x14ac:dyDescent="0.2">
      <c r="F894" s="187"/>
      <c r="L894" s="188"/>
      <c r="M894" s="188"/>
      <c r="N894" s="188"/>
      <c r="O894" s="188"/>
    </row>
    <row r="895" spans="6:16" ht="0" hidden="1" customHeight="1" x14ac:dyDescent="0.2">
      <c r="F895" s="187"/>
      <c r="L895" s="188"/>
      <c r="M895" s="188"/>
      <c r="N895" s="188"/>
      <c r="O895" s="188"/>
    </row>
    <row r="896" spans="6:16" ht="0" hidden="1" customHeight="1" x14ac:dyDescent="0.2">
      <c r="F896" s="187"/>
      <c r="L896" s="188"/>
      <c r="M896" s="188"/>
      <c r="N896" s="188"/>
      <c r="O896" s="188"/>
    </row>
    <row r="897" spans="6:15" ht="0" hidden="1" customHeight="1" x14ac:dyDescent="0.2">
      <c r="F897" s="187"/>
      <c r="L897" s="188"/>
      <c r="M897" s="188"/>
      <c r="N897" s="188"/>
      <c r="O897" s="188"/>
    </row>
    <row r="898" spans="6:15" ht="0" hidden="1" customHeight="1" x14ac:dyDescent="0.2">
      <c r="F898" s="187"/>
      <c r="L898" s="188"/>
      <c r="M898" s="188"/>
      <c r="N898" s="188"/>
      <c r="O898" s="188"/>
    </row>
    <row r="899" spans="6:15" ht="0" hidden="1" customHeight="1" x14ac:dyDescent="0.2">
      <c r="F899" s="187"/>
      <c r="L899" s="188"/>
      <c r="M899" s="188"/>
      <c r="N899" s="188"/>
      <c r="O899" s="188"/>
    </row>
    <row r="900" spans="6:15" ht="0" hidden="1" customHeight="1" x14ac:dyDescent="0.2">
      <c r="F900" s="187"/>
      <c r="L900" s="188"/>
      <c r="M900" s="188"/>
      <c r="N900" s="188"/>
      <c r="O900" s="188"/>
    </row>
    <row r="901" spans="6:15" ht="0" hidden="1" customHeight="1" x14ac:dyDescent="0.2">
      <c r="F901" s="187"/>
      <c r="L901" s="188"/>
      <c r="M901" s="188"/>
      <c r="N901" s="188"/>
      <c r="O901" s="188"/>
    </row>
    <row r="902" spans="6:15" ht="0" hidden="1" customHeight="1" x14ac:dyDescent="0.2">
      <c r="F902" s="187"/>
      <c r="L902" s="188"/>
      <c r="M902" s="188"/>
      <c r="N902" s="188"/>
      <c r="O902" s="188"/>
    </row>
    <row r="903" spans="6:15" ht="0" hidden="1" customHeight="1" x14ac:dyDescent="0.2">
      <c r="F903" s="187"/>
      <c r="L903" s="188"/>
      <c r="M903" s="188"/>
      <c r="N903" s="188"/>
      <c r="O903" s="188"/>
    </row>
    <row r="904" spans="6:15" ht="0" hidden="1" customHeight="1" x14ac:dyDescent="0.2">
      <c r="F904" s="187"/>
      <c r="L904" s="188"/>
      <c r="M904" s="188"/>
      <c r="N904" s="188"/>
      <c r="O904" s="188"/>
    </row>
    <row r="905" spans="6:15" ht="0" hidden="1" customHeight="1" x14ac:dyDescent="0.2">
      <c r="F905" s="187"/>
      <c r="L905" s="188"/>
      <c r="M905" s="188"/>
      <c r="N905" s="188"/>
      <c r="O905" s="188"/>
    </row>
    <row r="906" spans="6:15" ht="0" hidden="1" customHeight="1" x14ac:dyDescent="0.2">
      <c r="F906" s="187"/>
      <c r="L906" s="188"/>
      <c r="M906" s="188"/>
      <c r="N906" s="188"/>
      <c r="O906" s="188"/>
    </row>
    <row r="907" spans="6:15" ht="0" hidden="1" customHeight="1" x14ac:dyDescent="0.2">
      <c r="F907" s="187"/>
      <c r="L907" s="188"/>
      <c r="M907" s="188"/>
      <c r="N907" s="188"/>
      <c r="O907" s="188"/>
    </row>
    <row r="908" spans="6:15" ht="0" hidden="1" customHeight="1" x14ac:dyDescent="0.2">
      <c r="F908" s="187"/>
      <c r="L908" s="188"/>
      <c r="M908" s="188"/>
      <c r="N908" s="188"/>
      <c r="O908" s="188"/>
    </row>
    <row r="909" spans="6:15" ht="0" hidden="1" customHeight="1" x14ac:dyDescent="0.2">
      <c r="F909" s="187"/>
      <c r="L909" s="188"/>
      <c r="M909" s="188"/>
      <c r="N909" s="188"/>
      <c r="O909" s="188"/>
    </row>
    <row r="910" spans="6:15" ht="0" hidden="1" customHeight="1" x14ac:dyDescent="0.2">
      <c r="F910" s="187"/>
      <c r="L910" s="188"/>
      <c r="M910" s="188"/>
      <c r="N910" s="188"/>
      <c r="O910" s="188"/>
    </row>
    <row r="911" spans="6:15" ht="0" hidden="1" customHeight="1" x14ac:dyDescent="0.2">
      <c r="F911" s="187"/>
      <c r="L911" s="188"/>
      <c r="M911" s="188"/>
      <c r="N911" s="188"/>
      <c r="O911" s="188"/>
    </row>
    <row r="912" spans="6:15" ht="0" hidden="1" customHeight="1" x14ac:dyDescent="0.2">
      <c r="F912" s="187"/>
      <c r="L912" s="188"/>
      <c r="M912" s="188"/>
      <c r="N912" s="188"/>
      <c r="O912" s="188"/>
    </row>
    <row r="913" spans="6:15" ht="0" hidden="1" customHeight="1" x14ac:dyDescent="0.2">
      <c r="F913" s="187"/>
      <c r="L913" s="188"/>
      <c r="M913" s="188"/>
      <c r="N913" s="188"/>
      <c r="O913" s="188"/>
    </row>
    <row r="914" spans="6:15" ht="0" hidden="1" customHeight="1" x14ac:dyDescent="0.2">
      <c r="F914" s="187"/>
    </row>
    <row r="915" spans="6:15" ht="0" hidden="1" customHeight="1" x14ac:dyDescent="0.2">
      <c r="F915" s="187"/>
    </row>
    <row r="916" spans="6:15" ht="0" hidden="1" customHeight="1" x14ac:dyDescent="0.2">
      <c r="F916" s="187"/>
    </row>
    <row r="917" spans="6:15" ht="0" hidden="1" customHeight="1" x14ac:dyDescent="0.2">
      <c r="F917" s="187"/>
    </row>
    <row r="918" spans="6:15" ht="0" hidden="1" customHeight="1" x14ac:dyDescent="0.2">
      <c r="F918" s="187"/>
    </row>
    <row r="919" spans="6:15" ht="0" hidden="1" customHeight="1" x14ac:dyDescent="0.2">
      <c r="F919" s="187"/>
    </row>
    <row r="920" spans="6:15" ht="0" hidden="1" customHeight="1" x14ac:dyDescent="0.2">
      <c r="F920" s="187"/>
    </row>
    <row r="921" spans="6:15" ht="0" hidden="1" customHeight="1" x14ac:dyDescent="0.2">
      <c r="F921" s="187"/>
    </row>
    <row r="922" spans="6:15" ht="0" hidden="1" customHeight="1" x14ac:dyDescent="0.2">
      <c r="F922" s="187"/>
    </row>
    <row r="923" spans="6:15" ht="0" hidden="1" customHeight="1" x14ac:dyDescent="0.2">
      <c r="F923" s="187"/>
    </row>
    <row r="924" spans="6:15" ht="0" hidden="1" customHeight="1" x14ac:dyDescent="0.2">
      <c r="F924" s="187"/>
    </row>
    <row r="925" spans="6:15" ht="0" hidden="1" customHeight="1" x14ac:dyDescent="0.2">
      <c r="F925" s="187"/>
    </row>
    <row r="926" spans="6:15" ht="0" hidden="1" customHeight="1" x14ac:dyDescent="0.2">
      <c r="F926" s="187"/>
    </row>
    <row r="927" spans="6:15" ht="0" hidden="1" customHeight="1" x14ac:dyDescent="0.2">
      <c r="F927" s="187"/>
    </row>
    <row r="928" spans="6:15" ht="0" hidden="1" customHeight="1" x14ac:dyDescent="0.2">
      <c r="F928" s="187"/>
    </row>
    <row r="929" spans="6:6" ht="0" hidden="1" customHeight="1" x14ac:dyDescent="0.2">
      <c r="F929" s="187"/>
    </row>
    <row r="930" spans="6:6" ht="0" hidden="1" customHeight="1" x14ac:dyDescent="0.2">
      <c r="F930" s="187"/>
    </row>
    <row r="931" spans="6:6" ht="0" hidden="1" customHeight="1" x14ac:dyDescent="0.2">
      <c r="F931" s="187"/>
    </row>
    <row r="932" spans="6:6" ht="0" hidden="1" customHeight="1" x14ac:dyDescent="0.2">
      <c r="F932" s="187"/>
    </row>
    <row r="933" spans="6:6" ht="0" hidden="1" customHeight="1" x14ac:dyDescent="0.2">
      <c r="F933" s="187"/>
    </row>
    <row r="934" spans="6:6" ht="0" hidden="1" customHeight="1" x14ac:dyDescent="0.2">
      <c r="F934" s="187"/>
    </row>
    <row r="935" spans="6:6" ht="0" hidden="1" customHeight="1" x14ac:dyDescent="0.2">
      <c r="F935" s="187"/>
    </row>
    <row r="936" spans="6:6" ht="0" hidden="1" customHeight="1" x14ac:dyDescent="0.2">
      <c r="F936" s="187"/>
    </row>
    <row r="937" spans="6:6" ht="0" hidden="1" customHeight="1" x14ac:dyDescent="0.2">
      <c r="F937" s="187"/>
    </row>
    <row r="938" spans="6:6" ht="0" hidden="1" customHeight="1" x14ac:dyDescent="0.2">
      <c r="F938" s="187"/>
    </row>
    <row r="939" spans="6:6" ht="0" hidden="1" customHeight="1" x14ac:dyDescent="0.2">
      <c r="F939" s="187"/>
    </row>
    <row r="940" spans="6:6" ht="0" hidden="1" customHeight="1" x14ac:dyDescent="0.2">
      <c r="F940" s="187"/>
    </row>
    <row r="941" spans="6:6" ht="0" hidden="1" customHeight="1" x14ac:dyDescent="0.2">
      <c r="F941" s="187"/>
    </row>
    <row r="942" spans="6:6" ht="0" hidden="1" customHeight="1" x14ac:dyDescent="0.2">
      <c r="F942" s="187"/>
    </row>
    <row r="943" spans="6:6" ht="0" hidden="1" customHeight="1" x14ac:dyDescent="0.2">
      <c r="F943" s="187"/>
    </row>
    <row r="944" spans="6:6" ht="0" hidden="1" customHeight="1" x14ac:dyDescent="0.2">
      <c r="F944" s="187"/>
    </row>
    <row r="945" spans="6:6" ht="0" hidden="1" customHeight="1" x14ac:dyDescent="0.2">
      <c r="F945" s="187"/>
    </row>
    <row r="946" spans="6:6" ht="0" hidden="1" customHeight="1" x14ac:dyDescent="0.2">
      <c r="F946" s="187"/>
    </row>
    <row r="947" spans="6:6" ht="0" hidden="1" customHeight="1" x14ac:dyDescent="0.2">
      <c r="F947" s="187"/>
    </row>
    <row r="948" spans="6:6" ht="0" hidden="1" customHeight="1" x14ac:dyDescent="0.2">
      <c r="F948" s="187"/>
    </row>
    <row r="949" spans="6:6" ht="0" hidden="1" customHeight="1" x14ac:dyDescent="0.2">
      <c r="F949" s="187"/>
    </row>
    <row r="950" spans="6:6" ht="0" hidden="1" customHeight="1" x14ac:dyDescent="0.2">
      <c r="F950" s="187"/>
    </row>
    <row r="951" spans="6:6" ht="0" hidden="1" customHeight="1" x14ac:dyDescent="0.2">
      <c r="F951" s="187"/>
    </row>
    <row r="952" spans="6:6" ht="0" hidden="1" customHeight="1" x14ac:dyDescent="0.2">
      <c r="F952" s="187"/>
    </row>
    <row r="953" spans="6:6" ht="0" hidden="1" customHeight="1" x14ac:dyDescent="0.2">
      <c r="F953" s="187"/>
    </row>
    <row r="954" spans="6:6" ht="0" hidden="1" customHeight="1" x14ac:dyDescent="0.2">
      <c r="F954" s="187"/>
    </row>
    <row r="955" spans="6:6" ht="0" hidden="1" customHeight="1" x14ac:dyDescent="0.2">
      <c r="F955" s="187"/>
    </row>
    <row r="956" spans="6:6" ht="0" hidden="1" customHeight="1" x14ac:dyDescent="0.2">
      <c r="F956" s="187"/>
    </row>
    <row r="957" spans="6:6" ht="0" hidden="1" customHeight="1" x14ac:dyDescent="0.2">
      <c r="F957" s="187"/>
    </row>
    <row r="958" spans="6:6" ht="0" hidden="1" customHeight="1" x14ac:dyDescent="0.2">
      <c r="F958" s="187"/>
    </row>
    <row r="959" spans="6:6" ht="0" hidden="1" customHeight="1" x14ac:dyDescent="0.2">
      <c r="F959" s="187"/>
    </row>
    <row r="960" spans="6:6" ht="0" hidden="1" customHeight="1" x14ac:dyDescent="0.2">
      <c r="F960" s="187"/>
    </row>
    <row r="961" spans="6:6" ht="0" hidden="1" customHeight="1" x14ac:dyDescent="0.2">
      <c r="F961" s="187"/>
    </row>
    <row r="962" spans="6:6" ht="0" hidden="1" customHeight="1" x14ac:dyDescent="0.2">
      <c r="F962" s="187"/>
    </row>
    <row r="963" spans="6:6" ht="0" hidden="1" customHeight="1" x14ac:dyDescent="0.2">
      <c r="F963" s="187"/>
    </row>
    <row r="964" spans="6:6" ht="0" hidden="1" customHeight="1" x14ac:dyDescent="0.2">
      <c r="F964" s="187"/>
    </row>
    <row r="965" spans="6:6" ht="0" hidden="1" customHeight="1" x14ac:dyDescent="0.2">
      <c r="F965" s="187"/>
    </row>
    <row r="966" spans="6:6" ht="0" hidden="1" customHeight="1" x14ac:dyDescent="0.2">
      <c r="F966" s="187"/>
    </row>
    <row r="967" spans="6:6" ht="0" hidden="1" customHeight="1" x14ac:dyDescent="0.2">
      <c r="F967" s="187"/>
    </row>
    <row r="968" spans="6:6" ht="0" hidden="1" customHeight="1" x14ac:dyDescent="0.2">
      <c r="F968" s="187"/>
    </row>
    <row r="969" spans="6:6" ht="0" hidden="1" customHeight="1" x14ac:dyDescent="0.2">
      <c r="F969" s="187"/>
    </row>
    <row r="970" spans="6:6" ht="0" hidden="1" customHeight="1" x14ac:dyDescent="0.2">
      <c r="F970" s="187"/>
    </row>
    <row r="971" spans="6:6" ht="0" hidden="1" customHeight="1" x14ac:dyDescent="0.2">
      <c r="F971" s="187"/>
    </row>
    <row r="972" spans="6:6" ht="0" hidden="1" customHeight="1" x14ac:dyDescent="0.2">
      <c r="F972" s="187"/>
    </row>
    <row r="973" spans="6:6" ht="0" hidden="1" customHeight="1" x14ac:dyDescent="0.2">
      <c r="F973" s="187"/>
    </row>
    <row r="974" spans="6:6" ht="0" hidden="1" customHeight="1" x14ac:dyDescent="0.2">
      <c r="F974" s="187"/>
    </row>
    <row r="975" spans="6:6" ht="0" hidden="1" customHeight="1" x14ac:dyDescent="0.2">
      <c r="F975" s="187"/>
    </row>
    <row r="976" spans="6:6" ht="0" hidden="1" customHeight="1" x14ac:dyDescent="0.2">
      <c r="F976" s="187"/>
    </row>
    <row r="977" spans="6:6" ht="0" hidden="1" customHeight="1" x14ac:dyDescent="0.2">
      <c r="F977" s="187"/>
    </row>
    <row r="978" spans="6:6" ht="0" hidden="1" customHeight="1" x14ac:dyDescent="0.2">
      <c r="F978" s="187"/>
    </row>
    <row r="979" spans="6:6" ht="0" hidden="1" customHeight="1" x14ac:dyDescent="0.2">
      <c r="F979" s="187"/>
    </row>
    <row r="980" spans="6:6" ht="0" hidden="1" customHeight="1" x14ac:dyDescent="0.2">
      <c r="F980" s="187"/>
    </row>
    <row r="981" spans="6:6" ht="0" hidden="1" customHeight="1" x14ac:dyDescent="0.2">
      <c r="F981" s="187"/>
    </row>
    <row r="982" spans="6:6" ht="0" hidden="1" customHeight="1" x14ac:dyDescent="0.2">
      <c r="F982" s="187"/>
    </row>
    <row r="983" spans="6:6" ht="0" hidden="1" customHeight="1" x14ac:dyDescent="0.2">
      <c r="F983" s="187"/>
    </row>
    <row r="984" spans="6:6" ht="0" hidden="1" customHeight="1" x14ac:dyDescent="0.2">
      <c r="F984" s="187"/>
    </row>
    <row r="985" spans="6:6" ht="0" hidden="1" customHeight="1" x14ac:dyDescent="0.2">
      <c r="F985" s="187"/>
    </row>
    <row r="986" spans="6:6" ht="0" hidden="1" customHeight="1" x14ac:dyDescent="0.2">
      <c r="F986" s="187"/>
    </row>
    <row r="987" spans="6:6" ht="0" hidden="1" customHeight="1" x14ac:dyDescent="0.2">
      <c r="F987" s="187"/>
    </row>
    <row r="988" spans="6:6" ht="0" hidden="1" customHeight="1" x14ac:dyDescent="0.2">
      <c r="F988" s="187"/>
    </row>
    <row r="989" spans="6:6" ht="0" hidden="1" customHeight="1" x14ac:dyDescent="0.2">
      <c r="F989" s="187"/>
    </row>
    <row r="990" spans="6:6" ht="0" hidden="1" customHeight="1" x14ac:dyDescent="0.2">
      <c r="F990" s="187"/>
    </row>
    <row r="991" spans="6:6" ht="0" hidden="1" customHeight="1" x14ac:dyDescent="0.2">
      <c r="F991" s="187"/>
    </row>
    <row r="992" spans="6:6" ht="0" hidden="1" customHeight="1" x14ac:dyDescent="0.2">
      <c r="F992" s="187"/>
    </row>
    <row r="993" spans="6:6" ht="0" hidden="1" customHeight="1" x14ac:dyDescent="0.2">
      <c r="F993" s="187"/>
    </row>
    <row r="994" spans="6:6" ht="0" hidden="1" customHeight="1" x14ac:dyDescent="0.2">
      <c r="F994" s="187"/>
    </row>
    <row r="995" spans="6:6" ht="0" hidden="1" customHeight="1" x14ac:dyDescent="0.2">
      <c r="F995" s="187"/>
    </row>
    <row r="996" spans="6:6" ht="0" hidden="1" customHeight="1" x14ac:dyDescent="0.2">
      <c r="F996" s="187"/>
    </row>
    <row r="997" spans="6:6" ht="0" hidden="1" customHeight="1" x14ac:dyDescent="0.2">
      <c r="F997" s="187"/>
    </row>
    <row r="998" spans="6:6" ht="0" hidden="1" customHeight="1" x14ac:dyDescent="0.2">
      <c r="F998" s="187"/>
    </row>
    <row r="999" spans="6:6" ht="0" hidden="1" customHeight="1" x14ac:dyDescent="0.2">
      <c r="F999" s="187"/>
    </row>
    <row r="1000" spans="6:6" ht="0" hidden="1" customHeight="1" x14ac:dyDescent="0.2">
      <c r="F1000" s="187"/>
    </row>
    <row r="1001" spans="6:6" ht="0" hidden="1" customHeight="1" x14ac:dyDescent="0.2">
      <c r="F1001" s="187"/>
    </row>
    <row r="1002" spans="6:6" ht="0" hidden="1" customHeight="1" x14ac:dyDescent="0.2">
      <c r="F1002" s="187"/>
    </row>
    <row r="1003" spans="6:6" ht="0" hidden="1" customHeight="1" x14ac:dyDescent="0.2">
      <c r="F1003" s="187"/>
    </row>
    <row r="1004" spans="6:6" ht="0" hidden="1" customHeight="1" x14ac:dyDescent="0.2">
      <c r="F1004" s="187"/>
    </row>
    <row r="1005" spans="6:6" ht="0" hidden="1" customHeight="1" x14ac:dyDescent="0.2">
      <c r="F1005" s="187"/>
    </row>
    <row r="1006" spans="6:6" ht="0" hidden="1" customHeight="1" x14ac:dyDescent="0.2">
      <c r="F1006" s="187"/>
    </row>
    <row r="1007" spans="6:6" ht="0" hidden="1" customHeight="1" x14ac:dyDescent="0.2">
      <c r="F1007" s="187"/>
    </row>
    <row r="1008" spans="6:6" ht="0" hidden="1" customHeight="1" x14ac:dyDescent="0.2">
      <c r="F1008" s="187"/>
    </row>
    <row r="1009" spans="6:6" ht="0" hidden="1" customHeight="1" x14ac:dyDescent="0.2">
      <c r="F1009" s="187"/>
    </row>
    <row r="1010" spans="6:6" ht="0" hidden="1" customHeight="1" x14ac:dyDescent="0.2">
      <c r="F1010" s="187"/>
    </row>
    <row r="1011" spans="6:6" ht="0" hidden="1" customHeight="1" x14ac:dyDescent="0.2">
      <c r="F1011" s="187"/>
    </row>
    <row r="1012" spans="6:6" ht="0" hidden="1" customHeight="1" x14ac:dyDescent="0.2">
      <c r="F1012" s="187"/>
    </row>
    <row r="1013" spans="6:6" ht="0" hidden="1" customHeight="1" x14ac:dyDescent="0.2">
      <c r="F1013" s="187"/>
    </row>
    <row r="1014" spans="6:6" ht="0" hidden="1" customHeight="1" x14ac:dyDescent="0.2">
      <c r="F1014" s="187"/>
    </row>
    <row r="1015" spans="6:6" ht="0" hidden="1" customHeight="1" x14ac:dyDescent="0.2">
      <c r="F1015" s="187"/>
    </row>
    <row r="1016" spans="6:6" ht="0" hidden="1" customHeight="1" x14ac:dyDescent="0.2">
      <c r="F1016" s="187"/>
    </row>
  </sheetData>
  <sortState xmlns:xlrd2="http://schemas.microsoft.com/office/spreadsheetml/2017/richdata2" ref="W36:Y46">
    <sortCondition ref="Y36:Y46"/>
    <sortCondition ref="W36:W46"/>
  </sortState>
  <mergeCells count="22">
    <mergeCell ref="V20:V35"/>
    <mergeCell ref="V39:V46"/>
    <mergeCell ref="V50:V58"/>
    <mergeCell ref="L20:L28"/>
    <mergeCell ref="L32:L40"/>
    <mergeCell ref="L44:L53"/>
    <mergeCell ref="Q20:Q36"/>
    <mergeCell ref="Q40:Q56"/>
    <mergeCell ref="B24:B26"/>
    <mergeCell ref="Q60:Q75"/>
    <mergeCell ref="B30:B31"/>
    <mergeCell ref="G20:G22"/>
    <mergeCell ref="D2:E2"/>
    <mergeCell ref="B11:E11"/>
    <mergeCell ref="G11:J11"/>
    <mergeCell ref="G26:G28"/>
    <mergeCell ref="G32:G43"/>
    <mergeCell ref="V11:Y11"/>
    <mergeCell ref="Q11:T11"/>
    <mergeCell ref="L11:O11"/>
    <mergeCell ref="L3:O3"/>
    <mergeCell ref="L4:O4"/>
  </mergeCells>
  <phoneticPr fontId="62" type="noConversion"/>
  <printOptions horizontalCentered="1" verticalCentered="1"/>
  <pageMargins left="0.51181102362204722" right="0.47244094488188981" top="0.35433070866141736" bottom="0.39370078740157483" header="0" footer="0"/>
  <pageSetup fitToHeight="0" orientation="portrait" r:id="rId1"/>
  <headerFooter alignWithMargins="0">
    <oddFooter>&amp;C&amp;P&amp;RElaborado por EQUILIBRIUM Inmobiliario S.A.S</oddFooter>
  </headerFooter>
  <ignoredErrors>
    <ignoredError sqref="X14 N8 J28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pageSetUpPr fitToPage="1"/>
  </sheetPr>
  <dimension ref="A1:AW96"/>
  <sheetViews>
    <sheetView zoomScale="145" zoomScaleNormal="145" workbookViewId="0">
      <pane xSplit="1" ySplit="6" topLeftCell="B41" activePane="bottomRight" state="frozen"/>
      <selection activeCell="B9" sqref="B9:C9"/>
      <selection pane="topRight" activeCell="B9" sqref="B9:C9"/>
      <selection pane="bottomLeft" activeCell="B9" sqref="B9:C9"/>
      <selection pane="bottomRight" activeCell="F6" sqref="F6"/>
    </sheetView>
  </sheetViews>
  <sheetFormatPr baseColWidth="10" defaultColWidth="0" defaultRowHeight="12.75" x14ac:dyDescent="0.2"/>
  <cols>
    <col min="1" max="1" width="13.42578125" style="393" customWidth="1"/>
    <col min="2" max="2" width="14.5703125" style="393" bestFit="1" customWidth="1"/>
    <col min="3" max="3" width="15.85546875" style="393" customWidth="1"/>
    <col min="4" max="4" width="8.7109375" style="393" customWidth="1"/>
    <col min="5" max="5" width="12.42578125" style="393" customWidth="1"/>
    <col min="6" max="6" width="13" style="393" customWidth="1"/>
    <col min="7" max="7" width="13" style="393" hidden="1" customWidth="1"/>
    <col min="8" max="8" width="11.42578125" style="393" customWidth="1"/>
    <col min="9" max="9" width="12.42578125" style="393" customWidth="1"/>
    <col min="10" max="10" width="14.85546875" style="393" customWidth="1"/>
    <col min="11" max="11" width="13.42578125" style="393" customWidth="1"/>
    <col min="12" max="12" width="14.85546875" style="393" customWidth="1"/>
    <col min="13" max="13" width="13.42578125" style="393" customWidth="1"/>
    <col min="14" max="14" width="12.42578125" style="393" hidden="1" customWidth="1"/>
    <col min="15" max="15" width="12.42578125" style="393" customWidth="1"/>
    <col min="16" max="16" width="11.140625" style="393" customWidth="1"/>
    <col min="17" max="17" width="10.140625" style="393" bestFit="1" customWidth="1"/>
    <col min="18" max="19" width="14.5703125" style="393" customWidth="1"/>
    <col min="20" max="20" width="16" style="393" customWidth="1"/>
    <col min="21" max="25" width="13.5703125" style="393" hidden="1" customWidth="1"/>
    <col min="26" max="26" width="15.5703125" style="393" customWidth="1"/>
    <col min="27" max="27" width="12.42578125" style="393" bestFit="1" customWidth="1"/>
    <col min="28" max="28" width="15.42578125" style="393" customWidth="1"/>
    <col min="29" max="29" width="11.5703125" style="393" customWidth="1"/>
    <col min="30" max="30" width="11.85546875" style="393" customWidth="1"/>
    <col min="31" max="31" width="11.42578125" style="393" customWidth="1"/>
    <col min="32" max="32" width="13.140625" style="393" customWidth="1"/>
    <col min="33" max="33" width="15.5703125" style="393" customWidth="1"/>
    <col min="34" max="34" width="13.42578125" style="393" customWidth="1"/>
    <col min="35" max="35" width="15.85546875" style="393" bestFit="1" customWidth="1"/>
    <col min="36" max="36" width="14" style="393" customWidth="1"/>
    <col min="37" max="37" width="12.42578125" style="393" bestFit="1" customWidth="1"/>
    <col min="38" max="38" width="11.42578125" style="393" customWidth="1"/>
    <col min="39" max="39" width="6.140625" style="393" hidden="1" customWidth="1"/>
    <col min="40" max="40" width="15.42578125" style="393" customWidth="1"/>
    <col min="41" max="41" width="14.85546875" style="393" bestFit="1" customWidth="1"/>
    <col min="42" max="42" width="2.42578125" style="393" customWidth="1"/>
    <col min="43" max="43" width="9.5703125" style="393" hidden="1" customWidth="1"/>
    <col min="44" max="44" width="0" style="393" hidden="1" customWidth="1"/>
    <col min="45" max="45" width="11.42578125" style="393" hidden="1" customWidth="1"/>
    <col min="46" max="46" width="1.5703125" style="393" hidden="1" customWidth="1"/>
    <col min="47" max="49" width="0" style="393" hidden="1" customWidth="1"/>
    <col min="50" max="16384" width="8" style="393" hidden="1"/>
  </cols>
  <sheetData>
    <row r="1" spans="1:42" s="301" customFormat="1" x14ac:dyDescent="0.2">
      <c r="A1" s="379"/>
      <c r="B1" s="380"/>
      <c r="C1" s="380"/>
      <c r="D1" s="380"/>
      <c r="E1" s="380"/>
      <c r="F1" s="380"/>
      <c r="G1" s="380"/>
      <c r="H1" s="380"/>
      <c r="I1" s="380"/>
      <c r="J1" s="380"/>
      <c r="K1" s="380"/>
      <c r="L1" s="380"/>
      <c r="M1" s="380"/>
      <c r="N1" s="380"/>
      <c r="O1" s="380"/>
      <c r="P1" s="380"/>
      <c r="Q1" s="380"/>
      <c r="R1" s="380"/>
      <c r="S1" s="380"/>
      <c r="T1" s="380"/>
      <c r="U1" s="380"/>
      <c r="V1" s="380"/>
      <c r="W1" s="380"/>
      <c r="X1" s="380"/>
      <c r="Y1" s="380"/>
      <c r="Z1" s="380"/>
      <c r="AA1" s="380"/>
      <c r="AB1" s="380"/>
      <c r="AC1" s="380"/>
      <c r="AD1" s="380"/>
      <c r="AE1" s="380"/>
      <c r="AF1" s="380"/>
      <c r="AG1" s="380"/>
      <c r="AH1" s="380"/>
      <c r="AI1" s="380"/>
      <c r="AJ1" s="380"/>
      <c r="AK1" s="380"/>
      <c r="AL1" s="380"/>
      <c r="AM1" s="380"/>
      <c r="AN1" s="380"/>
      <c r="AO1" s="380"/>
    </row>
    <row r="2" spans="1:42" s="301" customFormat="1" ht="21" x14ac:dyDescent="0.35">
      <c r="A2" s="381"/>
      <c r="B2" s="865" t="s">
        <v>846</v>
      </c>
      <c r="C2" s="865"/>
      <c r="D2" s="865"/>
      <c r="E2" s="865"/>
      <c r="F2" s="865"/>
      <c r="G2" s="865"/>
      <c r="H2" s="865"/>
      <c r="I2" s="865"/>
      <c r="J2" s="865"/>
      <c r="K2" s="865"/>
      <c r="L2" s="865"/>
      <c r="M2" s="865"/>
      <c r="N2" s="865"/>
      <c r="O2" s="865"/>
      <c r="P2" s="865"/>
      <c r="Q2" s="865"/>
      <c r="R2" s="865"/>
      <c r="S2" s="865"/>
      <c r="T2" s="865"/>
      <c r="U2" s="865"/>
      <c r="V2" s="865"/>
      <c r="W2" s="865"/>
      <c r="X2" s="865"/>
      <c r="Y2" s="865"/>
      <c r="Z2" s="865"/>
      <c r="AA2" s="865"/>
      <c r="AB2" s="865"/>
      <c r="AC2" s="865"/>
      <c r="AD2" s="865"/>
      <c r="AE2" s="865"/>
      <c r="AF2" s="865"/>
      <c r="AG2" s="865"/>
      <c r="AH2" s="865"/>
      <c r="AI2" s="865"/>
      <c r="AJ2" s="865"/>
      <c r="AK2" s="865"/>
      <c r="AL2" s="865"/>
      <c r="AM2" s="865"/>
      <c r="AN2" s="865"/>
      <c r="AO2" s="865"/>
    </row>
    <row r="3" spans="1:42" s="301" customFormat="1" ht="18.75" x14ac:dyDescent="0.3">
      <c r="A3" s="381"/>
      <c r="B3" s="867">
        <f>+'Datos globales '!B10:C10</f>
        <v>45900</v>
      </c>
      <c r="C3" s="867"/>
      <c r="D3" s="867"/>
      <c r="E3" s="867"/>
      <c r="F3" s="867"/>
      <c r="G3" s="867"/>
      <c r="H3" s="867"/>
      <c r="I3" s="867"/>
      <c r="J3" s="867"/>
      <c r="K3" s="867"/>
      <c r="L3" s="867"/>
      <c r="M3" s="867"/>
      <c r="N3" s="867"/>
      <c r="O3" s="867"/>
      <c r="P3" s="867"/>
      <c r="Q3" s="867"/>
      <c r="R3" s="867"/>
      <c r="S3" s="867"/>
      <c r="T3" s="867"/>
      <c r="U3" s="867"/>
      <c r="V3" s="867"/>
      <c r="W3" s="867"/>
      <c r="X3" s="867"/>
      <c r="Y3" s="867"/>
      <c r="Z3" s="867"/>
      <c r="AA3" s="867"/>
      <c r="AB3" s="867"/>
      <c r="AC3" s="867"/>
      <c r="AD3" s="867"/>
      <c r="AE3" s="867"/>
      <c r="AF3" s="867"/>
      <c r="AG3" s="867"/>
      <c r="AH3" s="867"/>
      <c r="AI3" s="867"/>
      <c r="AJ3" s="867"/>
      <c r="AK3" s="867"/>
      <c r="AL3" s="867"/>
      <c r="AM3" s="867"/>
      <c r="AN3" s="867"/>
      <c r="AO3" s="867"/>
    </row>
    <row r="4" spans="1:42" s="301" customFormat="1" ht="9" customHeight="1" x14ac:dyDescent="0.25">
      <c r="A4" s="382"/>
      <c r="B4" s="866"/>
      <c r="C4" s="866"/>
      <c r="D4" s="866"/>
      <c r="E4" s="866"/>
      <c r="F4" s="866"/>
      <c r="G4" s="866"/>
      <c r="H4" s="866"/>
      <c r="I4" s="866"/>
      <c r="J4" s="866"/>
      <c r="K4" s="866"/>
      <c r="L4" s="866"/>
      <c r="M4" s="866"/>
      <c r="N4" s="866"/>
      <c r="O4" s="866"/>
      <c r="P4" s="866"/>
      <c r="Q4" s="866"/>
      <c r="R4" s="866"/>
      <c r="S4" s="866"/>
      <c r="T4" s="866"/>
      <c r="U4" s="866"/>
      <c r="V4" s="866"/>
      <c r="W4" s="866"/>
      <c r="X4" s="866"/>
      <c r="Y4" s="866"/>
      <c r="Z4" s="866"/>
      <c r="AA4" s="866"/>
      <c r="AB4" s="866"/>
      <c r="AC4" s="866"/>
      <c r="AD4" s="866"/>
      <c r="AE4" s="866"/>
      <c r="AF4" s="866"/>
      <c r="AG4" s="866"/>
      <c r="AH4" s="866"/>
      <c r="AI4" s="866"/>
      <c r="AJ4" s="866"/>
      <c r="AK4" s="866"/>
      <c r="AL4" s="866"/>
      <c r="AM4" s="866"/>
      <c r="AN4" s="866"/>
      <c r="AO4" s="866"/>
    </row>
    <row r="5" spans="1:42" s="301" customFormat="1" ht="15.75" x14ac:dyDescent="0.25">
      <c r="A5" s="382"/>
      <c r="B5" s="868" t="s">
        <v>941</v>
      </c>
      <c r="C5" s="868"/>
      <c r="D5" s="868"/>
      <c r="E5" s="868"/>
      <c r="F5" s="868"/>
      <c r="G5" s="868"/>
      <c r="H5" s="868"/>
      <c r="I5" s="868"/>
      <c r="J5" s="868"/>
      <c r="K5" s="871" t="s">
        <v>942</v>
      </c>
      <c r="L5" s="871"/>
      <c r="M5" s="871"/>
      <c r="N5" s="871"/>
      <c r="O5" s="871"/>
      <c r="P5" s="871"/>
      <c r="Q5" s="871"/>
      <c r="R5" s="871"/>
      <c r="S5" s="873" t="s">
        <v>53</v>
      </c>
      <c r="T5" s="873"/>
      <c r="U5" s="873"/>
      <c r="V5" s="873"/>
      <c r="W5" s="873"/>
      <c r="X5" s="873"/>
      <c r="Y5" s="873"/>
      <c r="Z5" s="873"/>
      <c r="AA5" s="872" t="s">
        <v>1009</v>
      </c>
      <c r="AB5" s="872"/>
      <c r="AC5" s="872"/>
      <c r="AD5" s="872"/>
      <c r="AE5" s="872"/>
      <c r="AF5" s="872"/>
      <c r="AG5" s="872"/>
      <c r="AH5" s="871" t="s">
        <v>1203</v>
      </c>
      <c r="AI5" s="871"/>
      <c r="AJ5" s="871"/>
      <c r="AK5" s="871"/>
      <c r="AL5" s="871"/>
      <c r="AM5" s="871"/>
      <c r="AN5" s="871"/>
      <c r="AO5" s="869" t="s">
        <v>98</v>
      </c>
    </row>
    <row r="6" spans="1:42" s="385" customFormat="1" ht="30.75" customHeight="1" x14ac:dyDescent="0.2">
      <c r="A6" s="380"/>
      <c r="B6" s="383" t="s">
        <v>26</v>
      </c>
      <c r="C6" s="383" t="s">
        <v>805</v>
      </c>
      <c r="D6" s="383" t="s">
        <v>22</v>
      </c>
      <c r="E6" s="383" t="s">
        <v>437</v>
      </c>
      <c r="F6" s="383" t="s">
        <v>860</v>
      </c>
      <c r="G6" s="383" t="s">
        <v>859</v>
      </c>
      <c r="H6" s="383" t="s">
        <v>822</v>
      </c>
      <c r="I6" s="383" t="s">
        <v>861</v>
      </c>
      <c r="J6" s="383" t="s">
        <v>945</v>
      </c>
      <c r="K6" s="383" t="s">
        <v>26</v>
      </c>
      <c r="L6" s="383" t="s">
        <v>805</v>
      </c>
      <c r="M6" s="383" t="s">
        <v>22</v>
      </c>
      <c r="N6" s="383" t="s">
        <v>437</v>
      </c>
      <c r="O6" s="383" t="s">
        <v>438</v>
      </c>
      <c r="P6" s="383" t="s">
        <v>822</v>
      </c>
      <c r="Q6" s="383" t="s">
        <v>861</v>
      </c>
      <c r="R6" s="383" t="s">
        <v>946</v>
      </c>
      <c r="S6" s="383" t="s">
        <v>26</v>
      </c>
      <c r="T6" s="383" t="s">
        <v>805</v>
      </c>
      <c r="U6" s="383" t="s">
        <v>22</v>
      </c>
      <c r="V6" s="383" t="s">
        <v>437</v>
      </c>
      <c r="W6" s="383" t="s">
        <v>438</v>
      </c>
      <c r="X6" s="383" t="s">
        <v>199</v>
      </c>
      <c r="Y6" s="383" t="s">
        <v>861</v>
      </c>
      <c r="Z6" s="383" t="s">
        <v>197</v>
      </c>
      <c r="AA6" s="383" t="s">
        <v>26</v>
      </c>
      <c r="AB6" s="383" t="s">
        <v>805</v>
      </c>
      <c r="AC6" s="383" t="s">
        <v>22</v>
      </c>
      <c r="AD6" s="383" t="s">
        <v>437</v>
      </c>
      <c r="AE6" s="383" t="s">
        <v>1626</v>
      </c>
      <c r="AF6" s="383" t="s">
        <v>824</v>
      </c>
      <c r="AG6" s="383" t="s">
        <v>1012</v>
      </c>
      <c r="AH6" s="383" t="s">
        <v>26</v>
      </c>
      <c r="AI6" s="383" t="s">
        <v>805</v>
      </c>
      <c r="AJ6" s="383" t="s">
        <v>22</v>
      </c>
      <c r="AK6" s="383" t="s">
        <v>437</v>
      </c>
      <c r="AL6" s="383" t="s">
        <v>438</v>
      </c>
      <c r="AM6" s="383" t="s">
        <v>199</v>
      </c>
      <c r="AN6" s="383" t="s">
        <v>1207</v>
      </c>
      <c r="AO6" s="870"/>
      <c r="AP6" s="384"/>
    </row>
    <row r="7" spans="1:42" s="385" customFormat="1" hidden="1" x14ac:dyDescent="0.2">
      <c r="A7" s="386">
        <v>44317</v>
      </c>
      <c r="B7" s="387">
        <v>0</v>
      </c>
      <c r="C7" s="387" t="s">
        <v>856</v>
      </c>
      <c r="D7" s="387">
        <v>0</v>
      </c>
      <c r="E7" s="387" t="s">
        <v>857</v>
      </c>
      <c r="F7" s="387">
        <v>0</v>
      </c>
      <c r="G7" s="387">
        <v>0</v>
      </c>
      <c r="H7" s="387">
        <v>0</v>
      </c>
      <c r="I7" s="387">
        <v>0</v>
      </c>
      <c r="J7" s="388">
        <f t="shared" ref="J7" si="0">SUM(B7:I7)</f>
        <v>0</v>
      </c>
      <c r="K7" s="387">
        <v>0</v>
      </c>
      <c r="L7" s="387">
        <v>0</v>
      </c>
      <c r="M7" s="387">
        <v>0</v>
      </c>
      <c r="N7" s="387">
        <v>0</v>
      </c>
      <c r="O7" s="387">
        <v>0</v>
      </c>
      <c r="P7" s="387">
        <v>0</v>
      </c>
      <c r="Q7" s="389">
        <v>0</v>
      </c>
      <c r="R7" s="388">
        <f t="shared" ref="R7" si="1">SUM(K7:Q7)</f>
        <v>0</v>
      </c>
      <c r="S7" s="388"/>
      <c r="T7" s="388"/>
      <c r="U7" s="388"/>
      <c r="V7" s="388"/>
      <c r="W7" s="388"/>
      <c r="X7" s="388"/>
      <c r="Y7" s="388"/>
      <c r="Z7" s="388"/>
      <c r="AA7" s="389"/>
      <c r="AB7" s="389">
        <v>0</v>
      </c>
      <c r="AC7" s="389">
        <v>0</v>
      </c>
      <c r="AD7" s="389">
        <v>0</v>
      </c>
      <c r="AE7" s="389">
        <v>0</v>
      </c>
      <c r="AF7" s="389">
        <v>0</v>
      </c>
      <c r="AG7" s="388">
        <f t="shared" ref="AG7:AG38" si="2">SUM(AA7:AF7)</f>
        <v>0</v>
      </c>
      <c r="AH7" s="387">
        <v>0</v>
      </c>
      <c r="AI7" s="387">
        <v>0</v>
      </c>
      <c r="AJ7" s="387">
        <v>0</v>
      </c>
      <c r="AK7" s="387">
        <v>0</v>
      </c>
      <c r="AL7" s="387">
        <v>0</v>
      </c>
      <c r="AM7" s="387">
        <v>0</v>
      </c>
      <c r="AN7" s="388">
        <f t="shared" ref="AN7" si="3">SUM(AH7:AL7)</f>
        <v>0</v>
      </c>
      <c r="AO7" s="688">
        <f t="shared" ref="AO7:AO34" si="4">+AN7+R7+J7+AG7</f>
        <v>0</v>
      </c>
      <c r="AP7" s="390"/>
    </row>
    <row r="8" spans="1:42" s="385" customFormat="1" hidden="1" x14ac:dyDescent="0.2">
      <c r="A8" s="386">
        <v>44348</v>
      </c>
      <c r="B8" s="387">
        <v>0</v>
      </c>
      <c r="C8" s="387">
        <v>0</v>
      </c>
      <c r="D8" s="387">
        <v>0</v>
      </c>
      <c r="E8" s="387" t="s">
        <v>857</v>
      </c>
      <c r="F8" s="387">
        <v>0</v>
      </c>
      <c r="G8" s="387">
        <v>0</v>
      </c>
      <c r="H8" s="387">
        <v>0</v>
      </c>
      <c r="I8" s="387">
        <v>0</v>
      </c>
      <c r="J8" s="388">
        <f t="shared" ref="J8:J62" si="5">SUM(B8:I8)</f>
        <v>0</v>
      </c>
      <c r="K8" s="387">
        <v>0</v>
      </c>
      <c r="L8" s="387">
        <v>0</v>
      </c>
      <c r="M8" s="387">
        <v>0</v>
      </c>
      <c r="N8" s="387">
        <v>0</v>
      </c>
      <c r="O8" s="387">
        <v>0</v>
      </c>
      <c r="P8" s="387">
        <v>0</v>
      </c>
      <c r="Q8" s="389">
        <v>0</v>
      </c>
      <c r="R8" s="388">
        <f t="shared" ref="R8:R60" si="6">SUM(K8:Q8)</f>
        <v>0</v>
      </c>
      <c r="S8" s="388"/>
      <c r="T8" s="388"/>
      <c r="U8" s="388"/>
      <c r="V8" s="388"/>
      <c r="W8" s="388"/>
      <c r="X8" s="388"/>
      <c r="Y8" s="388"/>
      <c r="Z8" s="388"/>
      <c r="AA8" s="389">
        <v>0</v>
      </c>
      <c r="AB8" s="389">
        <v>0</v>
      </c>
      <c r="AC8" s="389">
        <v>0</v>
      </c>
      <c r="AD8" s="389">
        <v>0</v>
      </c>
      <c r="AE8" s="389">
        <v>0</v>
      </c>
      <c r="AF8" s="389">
        <v>0</v>
      </c>
      <c r="AG8" s="388">
        <f t="shared" si="2"/>
        <v>0</v>
      </c>
      <c r="AH8" s="387">
        <v>0</v>
      </c>
      <c r="AI8" s="387">
        <v>0</v>
      </c>
      <c r="AJ8" s="387">
        <v>0</v>
      </c>
      <c r="AK8" s="387">
        <v>0</v>
      </c>
      <c r="AL8" s="387">
        <v>0</v>
      </c>
      <c r="AM8" s="387">
        <v>0</v>
      </c>
      <c r="AN8" s="388">
        <f t="shared" ref="AN8:AN60" si="7">SUM(AH8:AL8)</f>
        <v>0</v>
      </c>
      <c r="AO8" s="688">
        <f t="shared" si="4"/>
        <v>0</v>
      </c>
      <c r="AP8" s="390"/>
    </row>
    <row r="9" spans="1:42" s="385" customFormat="1" hidden="1" x14ac:dyDescent="0.2">
      <c r="A9" s="386">
        <v>44378</v>
      </c>
      <c r="B9" s="387">
        <v>0</v>
      </c>
      <c r="C9" s="387">
        <v>0</v>
      </c>
      <c r="D9" s="387">
        <v>0</v>
      </c>
      <c r="E9" s="387" t="s">
        <v>857</v>
      </c>
      <c r="F9" s="387">
        <v>0</v>
      </c>
      <c r="G9" s="387">
        <v>0</v>
      </c>
      <c r="H9" s="387">
        <v>0</v>
      </c>
      <c r="I9" s="387">
        <v>0</v>
      </c>
      <c r="J9" s="388">
        <f t="shared" si="5"/>
        <v>0</v>
      </c>
      <c r="K9" s="387">
        <v>0</v>
      </c>
      <c r="L9" s="387">
        <v>0</v>
      </c>
      <c r="M9" s="387">
        <v>0</v>
      </c>
      <c r="N9" s="387">
        <v>0</v>
      </c>
      <c r="O9" s="387">
        <v>0</v>
      </c>
      <c r="P9" s="387">
        <v>0</v>
      </c>
      <c r="Q9" s="389">
        <v>0</v>
      </c>
      <c r="R9" s="388">
        <f t="shared" si="6"/>
        <v>0</v>
      </c>
      <c r="S9" s="388"/>
      <c r="T9" s="388"/>
      <c r="U9" s="388"/>
      <c r="V9" s="388"/>
      <c r="W9" s="388"/>
      <c r="X9" s="388"/>
      <c r="Y9" s="388"/>
      <c r="Z9" s="388"/>
      <c r="AA9" s="389">
        <v>0</v>
      </c>
      <c r="AB9" s="389">
        <v>0</v>
      </c>
      <c r="AC9" s="389">
        <v>0</v>
      </c>
      <c r="AD9" s="389">
        <v>0</v>
      </c>
      <c r="AE9" s="389">
        <v>0</v>
      </c>
      <c r="AF9" s="389">
        <v>0</v>
      </c>
      <c r="AG9" s="388">
        <f t="shared" si="2"/>
        <v>0</v>
      </c>
      <c r="AH9" s="387">
        <v>0</v>
      </c>
      <c r="AI9" s="387">
        <v>0</v>
      </c>
      <c r="AJ9" s="387">
        <v>0</v>
      </c>
      <c r="AK9" s="387">
        <v>0</v>
      </c>
      <c r="AL9" s="387">
        <v>0</v>
      </c>
      <c r="AM9" s="387">
        <v>0</v>
      </c>
      <c r="AN9" s="388">
        <f t="shared" si="7"/>
        <v>0</v>
      </c>
      <c r="AO9" s="688">
        <f t="shared" si="4"/>
        <v>0</v>
      </c>
      <c r="AP9" s="390"/>
    </row>
    <row r="10" spans="1:42" s="385" customFormat="1" hidden="1" x14ac:dyDescent="0.2">
      <c r="A10" s="386">
        <v>44409</v>
      </c>
      <c r="B10" s="387">
        <v>0</v>
      </c>
      <c r="C10" s="387">
        <v>0</v>
      </c>
      <c r="D10" s="387">
        <v>0</v>
      </c>
      <c r="E10" s="387" t="s">
        <v>857</v>
      </c>
      <c r="F10" s="387">
        <v>0</v>
      </c>
      <c r="G10" s="387">
        <v>0</v>
      </c>
      <c r="H10" s="387">
        <v>0</v>
      </c>
      <c r="I10" s="387">
        <v>0</v>
      </c>
      <c r="J10" s="388">
        <f t="shared" si="5"/>
        <v>0</v>
      </c>
      <c r="K10" s="387">
        <v>0</v>
      </c>
      <c r="L10" s="387">
        <v>0</v>
      </c>
      <c r="M10" s="387">
        <v>0</v>
      </c>
      <c r="N10" s="387">
        <v>0</v>
      </c>
      <c r="O10" s="387">
        <v>0</v>
      </c>
      <c r="P10" s="387">
        <v>0</v>
      </c>
      <c r="Q10" s="389">
        <v>0</v>
      </c>
      <c r="R10" s="388">
        <f t="shared" si="6"/>
        <v>0</v>
      </c>
      <c r="S10" s="388"/>
      <c r="T10" s="388"/>
      <c r="U10" s="388"/>
      <c r="V10" s="388"/>
      <c r="W10" s="388"/>
      <c r="X10" s="388"/>
      <c r="Y10" s="388"/>
      <c r="Z10" s="388"/>
      <c r="AA10" s="389">
        <v>0</v>
      </c>
      <c r="AB10" s="389">
        <v>0</v>
      </c>
      <c r="AC10" s="389">
        <v>0</v>
      </c>
      <c r="AD10" s="389">
        <v>0</v>
      </c>
      <c r="AE10" s="389">
        <v>0</v>
      </c>
      <c r="AF10" s="389">
        <v>0</v>
      </c>
      <c r="AG10" s="388">
        <f t="shared" si="2"/>
        <v>0</v>
      </c>
      <c r="AH10" s="387">
        <v>0</v>
      </c>
      <c r="AI10" s="387">
        <v>0</v>
      </c>
      <c r="AJ10" s="387">
        <v>0</v>
      </c>
      <c r="AK10" s="387">
        <v>0</v>
      </c>
      <c r="AL10" s="387">
        <v>0</v>
      </c>
      <c r="AM10" s="387">
        <v>0</v>
      </c>
      <c r="AN10" s="388">
        <f t="shared" si="7"/>
        <v>0</v>
      </c>
      <c r="AO10" s="688">
        <f t="shared" si="4"/>
        <v>0</v>
      </c>
      <c r="AP10" s="390"/>
    </row>
    <row r="11" spans="1:42" s="385" customFormat="1" hidden="1" x14ac:dyDescent="0.2">
      <c r="A11" s="386">
        <v>44440</v>
      </c>
      <c r="B11" s="387">
        <v>0</v>
      </c>
      <c r="C11" s="387">
        <v>0</v>
      </c>
      <c r="D11" s="387">
        <v>0</v>
      </c>
      <c r="E11" s="387" t="s">
        <v>857</v>
      </c>
      <c r="F11" s="387">
        <v>0</v>
      </c>
      <c r="G11" s="387">
        <v>0</v>
      </c>
      <c r="H11" s="387">
        <v>0</v>
      </c>
      <c r="I11" s="387">
        <v>0</v>
      </c>
      <c r="J11" s="388">
        <f t="shared" si="5"/>
        <v>0</v>
      </c>
      <c r="K11" s="387">
        <v>0</v>
      </c>
      <c r="L11" s="387">
        <v>0</v>
      </c>
      <c r="M11" s="387">
        <v>0</v>
      </c>
      <c r="N11" s="387">
        <v>0</v>
      </c>
      <c r="O11" s="387">
        <v>0</v>
      </c>
      <c r="P11" s="387">
        <v>0</v>
      </c>
      <c r="Q11" s="389">
        <v>0</v>
      </c>
      <c r="R11" s="388">
        <f t="shared" si="6"/>
        <v>0</v>
      </c>
      <c r="S11" s="388"/>
      <c r="T11" s="388"/>
      <c r="U11" s="388"/>
      <c r="V11" s="388"/>
      <c r="W11" s="388"/>
      <c r="X11" s="388"/>
      <c r="Y11" s="388"/>
      <c r="Z11" s="388"/>
      <c r="AA11" s="389">
        <v>0</v>
      </c>
      <c r="AB11" s="389">
        <v>0</v>
      </c>
      <c r="AC11" s="389">
        <v>0</v>
      </c>
      <c r="AD11" s="389">
        <v>0</v>
      </c>
      <c r="AE11" s="389">
        <v>0</v>
      </c>
      <c r="AF11" s="389">
        <v>0</v>
      </c>
      <c r="AG11" s="388">
        <f t="shared" si="2"/>
        <v>0</v>
      </c>
      <c r="AH11" s="387">
        <v>0</v>
      </c>
      <c r="AI11" s="387">
        <v>0</v>
      </c>
      <c r="AJ11" s="387">
        <v>0</v>
      </c>
      <c r="AK11" s="387">
        <v>0</v>
      </c>
      <c r="AL11" s="387">
        <v>0</v>
      </c>
      <c r="AM11" s="387">
        <v>0</v>
      </c>
      <c r="AN11" s="388">
        <f t="shared" si="7"/>
        <v>0</v>
      </c>
      <c r="AO11" s="688">
        <f t="shared" si="4"/>
        <v>0</v>
      </c>
      <c r="AP11" s="390"/>
    </row>
    <row r="12" spans="1:42" s="385" customFormat="1" hidden="1" x14ac:dyDescent="0.2">
      <c r="A12" s="386">
        <v>44470</v>
      </c>
      <c r="B12" s="387">
        <v>0</v>
      </c>
      <c r="C12" s="387">
        <v>0</v>
      </c>
      <c r="D12" s="387">
        <v>0</v>
      </c>
      <c r="E12" s="387" t="s">
        <v>857</v>
      </c>
      <c r="F12" s="387">
        <v>0</v>
      </c>
      <c r="G12" s="387">
        <v>0</v>
      </c>
      <c r="H12" s="387">
        <v>0</v>
      </c>
      <c r="I12" s="387">
        <v>0</v>
      </c>
      <c r="J12" s="388">
        <f t="shared" si="5"/>
        <v>0</v>
      </c>
      <c r="K12" s="387">
        <v>0</v>
      </c>
      <c r="L12" s="387">
        <v>0</v>
      </c>
      <c r="M12" s="387">
        <v>0</v>
      </c>
      <c r="N12" s="387">
        <v>0</v>
      </c>
      <c r="O12" s="387">
        <v>0</v>
      </c>
      <c r="P12" s="387">
        <v>0</v>
      </c>
      <c r="Q12" s="389">
        <v>0</v>
      </c>
      <c r="R12" s="388">
        <f t="shared" si="6"/>
        <v>0</v>
      </c>
      <c r="S12" s="388"/>
      <c r="T12" s="388"/>
      <c r="U12" s="388"/>
      <c r="V12" s="388"/>
      <c r="W12" s="388"/>
      <c r="X12" s="388"/>
      <c r="Y12" s="388"/>
      <c r="Z12" s="388"/>
      <c r="AA12" s="389">
        <v>0</v>
      </c>
      <c r="AB12" s="389">
        <v>0</v>
      </c>
      <c r="AC12" s="389">
        <v>0</v>
      </c>
      <c r="AD12" s="389">
        <v>0</v>
      </c>
      <c r="AE12" s="389">
        <v>0</v>
      </c>
      <c r="AF12" s="389">
        <v>0</v>
      </c>
      <c r="AG12" s="388">
        <f t="shared" si="2"/>
        <v>0</v>
      </c>
      <c r="AH12" s="387">
        <v>0</v>
      </c>
      <c r="AI12" s="387">
        <v>0</v>
      </c>
      <c r="AJ12" s="387">
        <v>0</v>
      </c>
      <c r="AK12" s="387">
        <v>0</v>
      </c>
      <c r="AL12" s="387">
        <v>0</v>
      </c>
      <c r="AM12" s="387">
        <v>0</v>
      </c>
      <c r="AN12" s="388">
        <f t="shared" si="7"/>
        <v>0</v>
      </c>
      <c r="AO12" s="688">
        <f t="shared" si="4"/>
        <v>0</v>
      </c>
      <c r="AP12" s="390"/>
    </row>
    <row r="13" spans="1:42" s="385" customFormat="1" hidden="1" x14ac:dyDescent="0.2">
      <c r="A13" s="386">
        <v>44501</v>
      </c>
      <c r="B13" s="387">
        <v>0</v>
      </c>
      <c r="C13" s="387">
        <v>0</v>
      </c>
      <c r="D13" s="387">
        <v>0</v>
      </c>
      <c r="E13" s="387" t="s">
        <v>857</v>
      </c>
      <c r="F13" s="387">
        <v>0</v>
      </c>
      <c r="G13" s="387">
        <v>0</v>
      </c>
      <c r="H13" s="387">
        <v>0</v>
      </c>
      <c r="I13" s="387">
        <v>0</v>
      </c>
      <c r="J13" s="388">
        <f t="shared" si="5"/>
        <v>0</v>
      </c>
      <c r="K13" s="387">
        <v>0</v>
      </c>
      <c r="L13" s="387">
        <v>0</v>
      </c>
      <c r="M13" s="387">
        <v>0</v>
      </c>
      <c r="N13" s="387">
        <v>0</v>
      </c>
      <c r="O13" s="387">
        <v>0</v>
      </c>
      <c r="P13" s="387">
        <v>0</v>
      </c>
      <c r="Q13" s="389">
        <v>0</v>
      </c>
      <c r="R13" s="388">
        <f t="shared" si="6"/>
        <v>0</v>
      </c>
      <c r="S13" s="388"/>
      <c r="T13" s="388"/>
      <c r="U13" s="388"/>
      <c r="V13" s="388"/>
      <c r="W13" s="388"/>
      <c r="X13" s="388"/>
      <c r="Y13" s="388"/>
      <c r="Z13" s="388"/>
      <c r="AA13" s="389">
        <v>0</v>
      </c>
      <c r="AB13" s="389">
        <v>0</v>
      </c>
      <c r="AC13" s="389">
        <v>0</v>
      </c>
      <c r="AD13" s="389">
        <v>0</v>
      </c>
      <c r="AE13" s="389">
        <v>0</v>
      </c>
      <c r="AF13" s="389">
        <v>0</v>
      </c>
      <c r="AG13" s="388">
        <f t="shared" si="2"/>
        <v>0</v>
      </c>
      <c r="AH13" s="387">
        <v>0</v>
      </c>
      <c r="AI13" s="387">
        <v>0</v>
      </c>
      <c r="AJ13" s="387">
        <v>0</v>
      </c>
      <c r="AK13" s="387">
        <v>0</v>
      </c>
      <c r="AL13" s="387">
        <v>0</v>
      </c>
      <c r="AM13" s="387">
        <v>0</v>
      </c>
      <c r="AN13" s="388">
        <f t="shared" si="7"/>
        <v>0</v>
      </c>
      <c r="AO13" s="688">
        <f t="shared" si="4"/>
        <v>0</v>
      </c>
      <c r="AP13" s="390"/>
    </row>
    <row r="14" spans="1:42" s="385" customFormat="1" hidden="1" x14ac:dyDescent="0.2">
      <c r="A14" s="386">
        <v>44531</v>
      </c>
      <c r="B14" s="387">
        <v>0</v>
      </c>
      <c r="C14" s="387">
        <v>0</v>
      </c>
      <c r="D14" s="387">
        <v>0</v>
      </c>
      <c r="E14" s="387" t="s">
        <v>857</v>
      </c>
      <c r="F14" s="387">
        <v>0</v>
      </c>
      <c r="G14" s="387">
        <v>0</v>
      </c>
      <c r="H14" s="387">
        <v>0</v>
      </c>
      <c r="I14" s="387">
        <v>0</v>
      </c>
      <c r="J14" s="388">
        <f t="shared" si="5"/>
        <v>0</v>
      </c>
      <c r="K14" s="387">
        <v>0</v>
      </c>
      <c r="L14" s="387">
        <v>0</v>
      </c>
      <c r="M14" s="387">
        <v>0</v>
      </c>
      <c r="N14" s="387">
        <v>0</v>
      </c>
      <c r="O14" s="387">
        <v>0</v>
      </c>
      <c r="P14" s="387">
        <v>0</v>
      </c>
      <c r="Q14" s="389">
        <v>0</v>
      </c>
      <c r="R14" s="388">
        <f t="shared" si="6"/>
        <v>0</v>
      </c>
      <c r="S14" s="388"/>
      <c r="T14" s="388"/>
      <c r="U14" s="388"/>
      <c r="V14" s="388"/>
      <c r="W14" s="388"/>
      <c r="X14" s="388"/>
      <c r="Y14" s="388"/>
      <c r="Z14" s="388"/>
      <c r="AA14" s="389">
        <v>0</v>
      </c>
      <c r="AB14" s="389">
        <v>0</v>
      </c>
      <c r="AC14" s="389">
        <v>0</v>
      </c>
      <c r="AD14" s="389">
        <v>0</v>
      </c>
      <c r="AE14" s="389">
        <v>0</v>
      </c>
      <c r="AF14" s="389">
        <v>0</v>
      </c>
      <c r="AG14" s="388">
        <f t="shared" si="2"/>
        <v>0</v>
      </c>
      <c r="AH14" s="387">
        <v>0</v>
      </c>
      <c r="AI14" s="387">
        <v>0</v>
      </c>
      <c r="AJ14" s="387">
        <v>0</v>
      </c>
      <c r="AK14" s="387">
        <v>0</v>
      </c>
      <c r="AL14" s="387">
        <v>0</v>
      </c>
      <c r="AM14" s="387">
        <v>0</v>
      </c>
      <c r="AN14" s="388">
        <f t="shared" si="7"/>
        <v>0</v>
      </c>
      <c r="AO14" s="688">
        <f t="shared" si="4"/>
        <v>0</v>
      </c>
      <c r="AP14" s="390"/>
    </row>
    <row r="15" spans="1:42" s="385" customFormat="1" hidden="1" x14ac:dyDescent="0.2">
      <c r="A15" s="386">
        <v>44562</v>
      </c>
      <c r="B15" s="387">
        <v>0</v>
      </c>
      <c r="C15" s="387">
        <v>0</v>
      </c>
      <c r="D15" s="387">
        <v>0</v>
      </c>
      <c r="E15" s="387">
        <v>0</v>
      </c>
      <c r="F15" s="387">
        <v>0</v>
      </c>
      <c r="G15" s="387">
        <v>0</v>
      </c>
      <c r="H15" s="387">
        <v>0</v>
      </c>
      <c r="I15" s="387">
        <v>0</v>
      </c>
      <c r="J15" s="388">
        <f t="shared" si="5"/>
        <v>0</v>
      </c>
      <c r="K15" s="387">
        <f>4996586-4996586</f>
        <v>0</v>
      </c>
      <c r="L15" s="387">
        <v>0</v>
      </c>
      <c r="M15" s="387">
        <v>0</v>
      </c>
      <c r="N15" s="387">
        <v>0</v>
      </c>
      <c r="O15" s="387">
        <v>0</v>
      </c>
      <c r="P15" s="387">
        <v>0</v>
      </c>
      <c r="Q15" s="389">
        <v>0</v>
      </c>
      <c r="R15" s="388">
        <f t="shared" si="6"/>
        <v>0</v>
      </c>
      <c r="S15" s="388"/>
      <c r="T15" s="388"/>
      <c r="U15" s="388"/>
      <c r="V15" s="388"/>
      <c r="W15" s="388"/>
      <c r="X15" s="388"/>
      <c r="Y15" s="388"/>
      <c r="Z15" s="388"/>
      <c r="AA15" s="389">
        <v>0</v>
      </c>
      <c r="AB15" s="389">
        <v>0</v>
      </c>
      <c r="AC15" s="389">
        <v>0</v>
      </c>
      <c r="AD15" s="389">
        <v>0</v>
      </c>
      <c r="AE15" s="389">
        <v>0</v>
      </c>
      <c r="AF15" s="389">
        <v>0</v>
      </c>
      <c r="AG15" s="388">
        <f t="shared" si="2"/>
        <v>0</v>
      </c>
      <c r="AH15" s="387">
        <v>0</v>
      </c>
      <c r="AI15" s="387">
        <v>0</v>
      </c>
      <c r="AJ15" s="387">
        <v>0</v>
      </c>
      <c r="AK15" s="387">
        <v>0</v>
      </c>
      <c r="AL15" s="387">
        <v>0</v>
      </c>
      <c r="AM15" s="387">
        <v>0</v>
      </c>
      <c r="AN15" s="388">
        <f t="shared" si="7"/>
        <v>0</v>
      </c>
      <c r="AO15" s="688">
        <f t="shared" si="4"/>
        <v>0</v>
      </c>
      <c r="AP15" s="390"/>
    </row>
    <row r="16" spans="1:42" s="385" customFormat="1" hidden="1" x14ac:dyDescent="0.2">
      <c r="A16" s="386">
        <v>44593</v>
      </c>
      <c r="B16" s="387">
        <v>0</v>
      </c>
      <c r="C16" s="387">
        <v>0</v>
      </c>
      <c r="D16" s="387">
        <v>0</v>
      </c>
      <c r="E16" s="387">
        <v>0</v>
      </c>
      <c r="F16" s="387">
        <v>0</v>
      </c>
      <c r="G16" s="387">
        <v>0</v>
      </c>
      <c r="H16" s="387">
        <v>0</v>
      </c>
      <c r="I16" s="387">
        <v>0</v>
      </c>
      <c r="J16" s="388">
        <f t="shared" si="5"/>
        <v>0</v>
      </c>
      <c r="K16" s="387">
        <v>0</v>
      </c>
      <c r="L16" s="387">
        <v>0</v>
      </c>
      <c r="M16" s="387">
        <v>0</v>
      </c>
      <c r="N16" s="387">
        <v>0</v>
      </c>
      <c r="O16" s="387">
        <v>0</v>
      </c>
      <c r="P16" s="387">
        <v>0</v>
      </c>
      <c r="Q16" s="389">
        <v>0</v>
      </c>
      <c r="R16" s="388">
        <f t="shared" si="6"/>
        <v>0</v>
      </c>
      <c r="S16" s="388"/>
      <c r="T16" s="388"/>
      <c r="U16" s="388"/>
      <c r="V16" s="388"/>
      <c r="W16" s="388"/>
      <c r="X16" s="388"/>
      <c r="Y16" s="388"/>
      <c r="Z16" s="388"/>
      <c r="AA16" s="389">
        <v>0</v>
      </c>
      <c r="AB16" s="389">
        <v>0</v>
      </c>
      <c r="AC16" s="389">
        <v>0</v>
      </c>
      <c r="AD16" s="389">
        <v>0</v>
      </c>
      <c r="AE16" s="389">
        <v>0</v>
      </c>
      <c r="AF16" s="389">
        <v>0</v>
      </c>
      <c r="AG16" s="388">
        <f t="shared" si="2"/>
        <v>0</v>
      </c>
      <c r="AH16" s="387">
        <v>0</v>
      </c>
      <c r="AI16" s="387">
        <v>0</v>
      </c>
      <c r="AJ16" s="387">
        <v>0</v>
      </c>
      <c r="AK16" s="387">
        <v>0</v>
      </c>
      <c r="AL16" s="387">
        <v>0</v>
      </c>
      <c r="AM16" s="387">
        <v>0</v>
      </c>
      <c r="AN16" s="388">
        <f t="shared" si="7"/>
        <v>0</v>
      </c>
      <c r="AO16" s="688">
        <f t="shared" si="4"/>
        <v>0</v>
      </c>
      <c r="AP16" s="390"/>
    </row>
    <row r="17" spans="1:42" s="385" customFormat="1" hidden="1" x14ac:dyDescent="0.2">
      <c r="A17" s="386">
        <v>44621</v>
      </c>
      <c r="B17" s="387">
        <v>0</v>
      </c>
      <c r="C17" s="387">
        <v>0</v>
      </c>
      <c r="D17" s="387">
        <v>0</v>
      </c>
      <c r="E17" s="387">
        <v>0</v>
      </c>
      <c r="F17" s="387">
        <v>0</v>
      </c>
      <c r="G17" s="387">
        <v>0</v>
      </c>
      <c r="H17" s="387">
        <v>0</v>
      </c>
      <c r="I17" s="387">
        <v>0</v>
      </c>
      <c r="J17" s="388">
        <f t="shared" si="5"/>
        <v>0</v>
      </c>
      <c r="K17" s="387">
        <v>0</v>
      </c>
      <c r="L17" s="387">
        <v>0</v>
      </c>
      <c r="M17" s="387">
        <v>0</v>
      </c>
      <c r="N17" s="387">
        <v>0</v>
      </c>
      <c r="O17" s="387">
        <v>0</v>
      </c>
      <c r="P17" s="387">
        <v>0</v>
      </c>
      <c r="Q17" s="389">
        <v>0</v>
      </c>
      <c r="R17" s="388">
        <f t="shared" si="6"/>
        <v>0</v>
      </c>
      <c r="S17" s="388"/>
      <c r="T17" s="388"/>
      <c r="U17" s="388"/>
      <c r="V17" s="388"/>
      <c r="W17" s="388"/>
      <c r="X17" s="388"/>
      <c r="Y17" s="388"/>
      <c r="Z17" s="388"/>
      <c r="AA17" s="389">
        <v>0</v>
      </c>
      <c r="AB17" s="389">
        <v>0</v>
      </c>
      <c r="AC17" s="389">
        <v>0</v>
      </c>
      <c r="AD17" s="389">
        <v>0</v>
      </c>
      <c r="AE17" s="389">
        <v>0</v>
      </c>
      <c r="AF17" s="389">
        <v>0</v>
      </c>
      <c r="AG17" s="388">
        <f t="shared" si="2"/>
        <v>0</v>
      </c>
      <c r="AH17" s="387">
        <v>0</v>
      </c>
      <c r="AI17" s="387">
        <v>0</v>
      </c>
      <c r="AJ17" s="387">
        <v>0</v>
      </c>
      <c r="AK17" s="387">
        <v>0</v>
      </c>
      <c r="AL17" s="387">
        <v>0</v>
      </c>
      <c r="AM17" s="387">
        <v>0</v>
      </c>
      <c r="AN17" s="388">
        <f t="shared" si="7"/>
        <v>0</v>
      </c>
      <c r="AO17" s="688">
        <f t="shared" si="4"/>
        <v>0</v>
      </c>
      <c r="AP17" s="390"/>
    </row>
    <row r="18" spans="1:42" s="385" customFormat="1" hidden="1" x14ac:dyDescent="0.2">
      <c r="A18" s="386">
        <v>44652</v>
      </c>
      <c r="B18" s="387">
        <v>0</v>
      </c>
      <c r="C18" s="387">
        <v>0</v>
      </c>
      <c r="D18" s="387">
        <v>0</v>
      </c>
      <c r="E18" s="387">
        <v>0</v>
      </c>
      <c r="F18" s="387">
        <v>0</v>
      </c>
      <c r="G18" s="387">
        <v>0</v>
      </c>
      <c r="H18" s="387">
        <v>0</v>
      </c>
      <c r="I18" s="387">
        <v>0</v>
      </c>
      <c r="J18" s="388">
        <f t="shared" si="5"/>
        <v>0</v>
      </c>
      <c r="K18" s="387">
        <v>0</v>
      </c>
      <c r="L18" s="387">
        <v>0</v>
      </c>
      <c r="M18" s="387">
        <v>0</v>
      </c>
      <c r="N18" s="387">
        <v>0</v>
      </c>
      <c r="O18" s="387">
        <v>0</v>
      </c>
      <c r="P18" s="387">
        <v>0</v>
      </c>
      <c r="Q18" s="389">
        <v>0</v>
      </c>
      <c r="R18" s="388">
        <f t="shared" si="6"/>
        <v>0</v>
      </c>
      <c r="S18" s="388"/>
      <c r="T18" s="388"/>
      <c r="U18" s="388"/>
      <c r="V18" s="388"/>
      <c r="W18" s="388"/>
      <c r="X18" s="388"/>
      <c r="Y18" s="388"/>
      <c r="Z18" s="388"/>
      <c r="AA18" s="389">
        <v>0</v>
      </c>
      <c r="AB18" s="389">
        <v>0</v>
      </c>
      <c r="AC18" s="389">
        <v>0</v>
      </c>
      <c r="AD18" s="389">
        <v>0</v>
      </c>
      <c r="AE18" s="389">
        <v>0</v>
      </c>
      <c r="AF18" s="389">
        <v>0</v>
      </c>
      <c r="AG18" s="388">
        <f t="shared" si="2"/>
        <v>0</v>
      </c>
      <c r="AH18" s="387">
        <v>0</v>
      </c>
      <c r="AI18" s="387">
        <v>0</v>
      </c>
      <c r="AJ18" s="387">
        <v>0</v>
      </c>
      <c r="AK18" s="387">
        <v>0</v>
      </c>
      <c r="AL18" s="387">
        <v>0</v>
      </c>
      <c r="AM18" s="387">
        <v>0</v>
      </c>
      <c r="AN18" s="388">
        <f t="shared" si="7"/>
        <v>0</v>
      </c>
      <c r="AO18" s="688">
        <f t="shared" si="4"/>
        <v>0</v>
      </c>
      <c r="AP18" s="390"/>
    </row>
    <row r="19" spans="1:42" s="385" customFormat="1" hidden="1" x14ac:dyDescent="0.2">
      <c r="A19" s="386">
        <v>44682</v>
      </c>
      <c r="B19" s="387">
        <v>0</v>
      </c>
      <c r="C19" s="387">
        <v>0</v>
      </c>
      <c r="D19" s="387">
        <v>0</v>
      </c>
      <c r="E19" s="387">
        <v>0</v>
      </c>
      <c r="F19" s="387">
        <v>0</v>
      </c>
      <c r="G19" s="387">
        <v>0</v>
      </c>
      <c r="H19" s="387">
        <v>0</v>
      </c>
      <c r="I19" s="387">
        <v>0</v>
      </c>
      <c r="J19" s="388">
        <f t="shared" si="5"/>
        <v>0</v>
      </c>
      <c r="K19" s="387">
        <v>0</v>
      </c>
      <c r="L19" s="387">
        <v>0</v>
      </c>
      <c r="M19" s="387">
        <v>0</v>
      </c>
      <c r="N19" s="387">
        <v>0</v>
      </c>
      <c r="O19" s="387">
        <v>0</v>
      </c>
      <c r="P19" s="387">
        <v>0</v>
      </c>
      <c r="Q19" s="389">
        <v>0</v>
      </c>
      <c r="R19" s="388">
        <f t="shared" si="6"/>
        <v>0</v>
      </c>
      <c r="S19" s="388"/>
      <c r="T19" s="388"/>
      <c r="U19" s="388"/>
      <c r="V19" s="388"/>
      <c r="W19" s="388"/>
      <c r="X19" s="388"/>
      <c r="Y19" s="388"/>
      <c r="Z19" s="388"/>
      <c r="AA19" s="389">
        <v>0</v>
      </c>
      <c r="AB19" s="389">
        <v>0</v>
      </c>
      <c r="AC19" s="389">
        <v>0</v>
      </c>
      <c r="AD19" s="389">
        <v>0</v>
      </c>
      <c r="AE19" s="389">
        <v>0</v>
      </c>
      <c r="AF19" s="389">
        <v>0</v>
      </c>
      <c r="AG19" s="388">
        <f t="shared" si="2"/>
        <v>0</v>
      </c>
      <c r="AH19" s="387">
        <v>0</v>
      </c>
      <c r="AI19" s="387">
        <v>0</v>
      </c>
      <c r="AJ19" s="387">
        <v>0</v>
      </c>
      <c r="AK19" s="387">
        <v>0</v>
      </c>
      <c r="AL19" s="387">
        <v>0</v>
      </c>
      <c r="AM19" s="387">
        <v>0</v>
      </c>
      <c r="AN19" s="388">
        <f t="shared" si="7"/>
        <v>0</v>
      </c>
      <c r="AO19" s="688">
        <f t="shared" si="4"/>
        <v>0</v>
      </c>
      <c r="AP19" s="390"/>
    </row>
    <row r="20" spans="1:42" s="385" customFormat="1" hidden="1" x14ac:dyDescent="0.2">
      <c r="A20" s="386">
        <v>44713</v>
      </c>
      <c r="B20" s="387">
        <v>0</v>
      </c>
      <c r="C20" s="387">
        <v>0</v>
      </c>
      <c r="D20" s="387">
        <v>0</v>
      </c>
      <c r="E20" s="387">
        <v>0</v>
      </c>
      <c r="F20" s="387">
        <v>0</v>
      </c>
      <c r="G20" s="387">
        <v>0</v>
      </c>
      <c r="H20" s="387">
        <v>0</v>
      </c>
      <c r="I20" s="387">
        <v>0</v>
      </c>
      <c r="J20" s="388">
        <f t="shared" si="5"/>
        <v>0</v>
      </c>
      <c r="K20" s="387">
        <v>0</v>
      </c>
      <c r="L20" s="387">
        <v>0</v>
      </c>
      <c r="M20" s="387">
        <v>0</v>
      </c>
      <c r="N20" s="387">
        <v>0</v>
      </c>
      <c r="O20" s="387">
        <v>0</v>
      </c>
      <c r="P20" s="387">
        <v>0</v>
      </c>
      <c r="Q20" s="389">
        <v>0</v>
      </c>
      <c r="R20" s="388">
        <f t="shared" si="6"/>
        <v>0</v>
      </c>
      <c r="S20" s="388"/>
      <c r="T20" s="388"/>
      <c r="U20" s="388"/>
      <c r="V20" s="388"/>
      <c r="W20" s="388"/>
      <c r="X20" s="388"/>
      <c r="Y20" s="388"/>
      <c r="Z20" s="388"/>
      <c r="AA20" s="389">
        <v>0</v>
      </c>
      <c r="AB20" s="389">
        <v>0</v>
      </c>
      <c r="AC20" s="389">
        <v>0</v>
      </c>
      <c r="AD20" s="389">
        <v>0</v>
      </c>
      <c r="AE20" s="389">
        <v>0</v>
      </c>
      <c r="AF20" s="389">
        <v>0</v>
      </c>
      <c r="AG20" s="388">
        <f t="shared" si="2"/>
        <v>0</v>
      </c>
      <c r="AH20" s="387">
        <v>0</v>
      </c>
      <c r="AI20" s="387">
        <v>0</v>
      </c>
      <c r="AJ20" s="387">
        <v>0</v>
      </c>
      <c r="AK20" s="387">
        <v>0</v>
      </c>
      <c r="AL20" s="387">
        <v>0</v>
      </c>
      <c r="AM20" s="387">
        <v>0</v>
      </c>
      <c r="AN20" s="388">
        <f t="shared" si="7"/>
        <v>0</v>
      </c>
      <c r="AO20" s="688">
        <f t="shared" si="4"/>
        <v>0</v>
      </c>
      <c r="AP20" s="390"/>
    </row>
    <row r="21" spans="1:42" s="385" customFormat="1" hidden="1" x14ac:dyDescent="0.2">
      <c r="A21" s="386">
        <v>44743</v>
      </c>
      <c r="B21" s="387">
        <v>0</v>
      </c>
      <c r="C21" s="387">
        <v>0</v>
      </c>
      <c r="D21" s="387">
        <v>0</v>
      </c>
      <c r="E21" s="387">
        <v>0</v>
      </c>
      <c r="F21" s="387">
        <v>0</v>
      </c>
      <c r="G21" s="387">
        <v>0</v>
      </c>
      <c r="H21" s="387">
        <v>0</v>
      </c>
      <c r="I21" s="387">
        <v>0</v>
      </c>
      <c r="J21" s="388">
        <f t="shared" si="5"/>
        <v>0</v>
      </c>
      <c r="K21" s="387">
        <v>0</v>
      </c>
      <c r="L21" s="387">
        <v>0</v>
      </c>
      <c r="M21" s="387">
        <v>0</v>
      </c>
      <c r="N21" s="387">
        <v>0</v>
      </c>
      <c r="O21" s="387">
        <v>0</v>
      </c>
      <c r="P21" s="387">
        <v>0</v>
      </c>
      <c r="Q21" s="389">
        <v>0</v>
      </c>
      <c r="R21" s="388">
        <f t="shared" si="6"/>
        <v>0</v>
      </c>
      <c r="S21" s="388"/>
      <c r="T21" s="388"/>
      <c r="U21" s="388"/>
      <c r="V21" s="388"/>
      <c r="W21" s="388"/>
      <c r="X21" s="388"/>
      <c r="Y21" s="388"/>
      <c r="Z21" s="388"/>
      <c r="AA21" s="389">
        <v>0</v>
      </c>
      <c r="AB21" s="389">
        <v>0</v>
      </c>
      <c r="AC21" s="389">
        <v>0</v>
      </c>
      <c r="AD21" s="389">
        <v>0</v>
      </c>
      <c r="AE21" s="389">
        <v>0</v>
      </c>
      <c r="AF21" s="389">
        <v>0</v>
      </c>
      <c r="AG21" s="388">
        <f t="shared" si="2"/>
        <v>0</v>
      </c>
      <c r="AH21" s="387">
        <v>0</v>
      </c>
      <c r="AI21" s="387">
        <v>0</v>
      </c>
      <c r="AJ21" s="387">
        <v>0</v>
      </c>
      <c r="AK21" s="387">
        <v>0</v>
      </c>
      <c r="AL21" s="387">
        <v>0</v>
      </c>
      <c r="AM21" s="387">
        <v>0</v>
      </c>
      <c r="AN21" s="388">
        <f t="shared" si="7"/>
        <v>0</v>
      </c>
      <c r="AO21" s="688">
        <f t="shared" si="4"/>
        <v>0</v>
      </c>
      <c r="AP21" s="390"/>
    </row>
    <row r="22" spans="1:42" s="385" customFormat="1" hidden="1" x14ac:dyDescent="0.2">
      <c r="A22" s="386">
        <v>44774</v>
      </c>
      <c r="B22" s="387">
        <v>0</v>
      </c>
      <c r="C22" s="387">
        <v>0</v>
      </c>
      <c r="D22" s="387">
        <v>0</v>
      </c>
      <c r="E22" s="387">
        <v>0</v>
      </c>
      <c r="F22" s="387">
        <v>0</v>
      </c>
      <c r="G22" s="387">
        <v>0</v>
      </c>
      <c r="H22" s="387">
        <v>0</v>
      </c>
      <c r="I22" s="387">
        <v>0</v>
      </c>
      <c r="J22" s="388">
        <f t="shared" si="5"/>
        <v>0</v>
      </c>
      <c r="K22" s="387">
        <v>0</v>
      </c>
      <c r="L22" s="387">
        <v>0</v>
      </c>
      <c r="M22" s="387">
        <v>0</v>
      </c>
      <c r="N22" s="387">
        <v>0</v>
      </c>
      <c r="O22" s="387">
        <v>0</v>
      </c>
      <c r="P22" s="387">
        <v>0</v>
      </c>
      <c r="Q22" s="389">
        <v>0</v>
      </c>
      <c r="R22" s="388">
        <f t="shared" si="6"/>
        <v>0</v>
      </c>
      <c r="S22" s="388"/>
      <c r="T22" s="388"/>
      <c r="U22" s="388"/>
      <c r="V22" s="388"/>
      <c r="W22" s="388"/>
      <c r="X22" s="388"/>
      <c r="Y22" s="388"/>
      <c r="Z22" s="388"/>
      <c r="AA22" s="389">
        <v>0</v>
      </c>
      <c r="AB22" s="389">
        <v>0</v>
      </c>
      <c r="AC22" s="389">
        <v>0</v>
      </c>
      <c r="AD22" s="389">
        <v>0</v>
      </c>
      <c r="AE22" s="389">
        <v>0</v>
      </c>
      <c r="AF22" s="389">
        <v>0</v>
      </c>
      <c r="AG22" s="388">
        <f t="shared" si="2"/>
        <v>0</v>
      </c>
      <c r="AH22" s="387">
        <v>0</v>
      </c>
      <c r="AI22" s="387">
        <v>0</v>
      </c>
      <c r="AJ22" s="387">
        <v>0</v>
      </c>
      <c r="AK22" s="387">
        <v>0</v>
      </c>
      <c r="AL22" s="387">
        <v>0</v>
      </c>
      <c r="AM22" s="387">
        <v>0</v>
      </c>
      <c r="AN22" s="388">
        <f t="shared" si="7"/>
        <v>0</v>
      </c>
      <c r="AO22" s="688">
        <f t="shared" si="4"/>
        <v>0</v>
      </c>
      <c r="AP22" s="390"/>
    </row>
    <row r="23" spans="1:42" s="385" customFormat="1" hidden="1" x14ac:dyDescent="0.2">
      <c r="A23" s="386">
        <v>44805</v>
      </c>
      <c r="B23" s="387">
        <v>0</v>
      </c>
      <c r="C23" s="387">
        <v>0</v>
      </c>
      <c r="D23" s="387">
        <v>0</v>
      </c>
      <c r="E23" s="387">
        <v>0</v>
      </c>
      <c r="F23" s="387">
        <v>0</v>
      </c>
      <c r="G23" s="387">
        <v>0</v>
      </c>
      <c r="H23" s="387">
        <v>0</v>
      </c>
      <c r="I23" s="387">
        <v>0</v>
      </c>
      <c r="J23" s="388">
        <f t="shared" si="5"/>
        <v>0</v>
      </c>
      <c r="K23" s="387">
        <v>0</v>
      </c>
      <c r="L23" s="387">
        <v>0</v>
      </c>
      <c r="M23" s="387">
        <v>0</v>
      </c>
      <c r="N23" s="387">
        <v>0</v>
      </c>
      <c r="O23" s="387">
        <v>0</v>
      </c>
      <c r="P23" s="387">
        <v>0</v>
      </c>
      <c r="Q23" s="389">
        <v>0</v>
      </c>
      <c r="R23" s="388">
        <f t="shared" si="6"/>
        <v>0</v>
      </c>
      <c r="S23" s="388"/>
      <c r="T23" s="388"/>
      <c r="U23" s="388"/>
      <c r="V23" s="388"/>
      <c r="W23" s="388"/>
      <c r="X23" s="388"/>
      <c r="Y23" s="388"/>
      <c r="Z23" s="388"/>
      <c r="AA23" s="389">
        <v>0</v>
      </c>
      <c r="AB23" s="389">
        <v>0</v>
      </c>
      <c r="AC23" s="389">
        <v>0</v>
      </c>
      <c r="AD23" s="389">
        <v>0</v>
      </c>
      <c r="AE23" s="389">
        <v>0</v>
      </c>
      <c r="AF23" s="389">
        <v>0</v>
      </c>
      <c r="AG23" s="388">
        <f t="shared" si="2"/>
        <v>0</v>
      </c>
      <c r="AH23" s="387">
        <v>0</v>
      </c>
      <c r="AI23" s="387">
        <v>0</v>
      </c>
      <c r="AJ23" s="387">
        <v>0</v>
      </c>
      <c r="AK23" s="387">
        <v>0</v>
      </c>
      <c r="AL23" s="387">
        <v>0</v>
      </c>
      <c r="AM23" s="387">
        <v>0</v>
      </c>
      <c r="AN23" s="388">
        <f t="shared" si="7"/>
        <v>0</v>
      </c>
      <c r="AO23" s="688">
        <f t="shared" si="4"/>
        <v>0</v>
      </c>
      <c r="AP23" s="390"/>
    </row>
    <row r="24" spans="1:42" s="385" customFormat="1" hidden="1" x14ac:dyDescent="0.2">
      <c r="A24" s="386">
        <v>44835</v>
      </c>
      <c r="B24" s="387">
        <v>0</v>
      </c>
      <c r="C24" s="387">
        <v>0</v>
      </c>
      <c r="D24" s="387">
        <v>0</v>
      </c>
      <c r="E24" s="387">
        <v>0</v>
      </c>
      <c r="F24" s="387">
        <v>0</v>
      </c>
      <c r="G24" s="387">
        <v>0</v>
      </c>
      <c r="H24" s="387">
        <v>0</v>
      </c>
      <c r="I24" s="387">
        <v>0</v>
      </c>
      <c r="J24" s="388">
        <f t="shared" si="5"/>
        <v>0</v>
      </c>
      <c r="K24" s="387">
        <v>0</v>
      </c>
      <c r="L24" s="387">
        <v>0</v>
      </c>
      <c r="M24" s="387">
        <v>0</v>
      </c>
      <c r="N24" s="387">
        <v>0</v>
      </c>
      <c r="O24" s="387">
        <v>0</v>
      </c>
      <c r="P24" s="387">
        <v>0</v>
      </c>
      <c r="Q24" s="389">
        <v>0</v>
      </c>
      <c r="R24" s="388">
        <f t="shared" si="6"/>
        <v>0</v>
      </c>
      <c r="S24" s="388"/>
      <c r="T24" s="388"/>
      <c r="U24" s="388"/>
      <c r="V24" s="388"/>
      <c r="W24" s="388"/>
      <c r="X24" s="388"/>
      <c r="Y24" s="388"/>
      <c r="Z24" s="388"/>
      <c r="AA24" s="389">
        <v>0</v>
      </c>
      <c r="AB24" s="389">
        <v>0</v>
      </c>
      <c r="AC24" s="389">
        <v>0</v>
      </c>
      <c r="AD24" s="389">
        <v>0</v>
      </c>
      <c r="AE24" s="389">
        <v>0</v>
      </c>
      <c r="AF24" s="389">
        <v>0</v>
      </c>
      <c r="AG24" s="388">
        <f t="shared" si="2"/>
        <v>0</v>
      </c>
      <c r="AH24" s="387">
        <v>0</v>
      </c>
      <c r="AI24" s="387">
        <v>0</v>
      </c>
      <c r="AJ24" s="387">
        <v>0</v>
      </c>
      <c r="AK24" s="387">
        <v>0</v>
      </c>
      <c r="AL24" s="387">
        <v>0</v>
      </c>
      <c r="AM24" s="387">
        <v>0</v>
      </c>
      <c r="AN24" s="388">
        <f t="shared" si="7"/>
        <v>0</v>
      </c>
      <c r="AO24" s="688">
        <f t="shared" si="4"/>
        <v>0</v>
      </c>
      <c r="AP24" s="390"/>
    </row>
    <row r="25" spans="1:42" s="385" customFormat="1" hidden="1" x14ac:dyDescent="0.2">
      <c r="A25" s="386">
        <v>44866</v>
      </c>
      <c r="B25" s="387">
        <v>0</v>
      </c>
      <c r="C25" s="387">
        <v>0</v>
      </c>
      <c r="D25" s="387">
        <v>0</v>
      </c>
      <c r="E25" s="387">
        <v>0</v>
      </c>
      <c r="F25" s="387">
        <v>0</v>
      </c>
      <c r="G25" s="387">
        <v>0</v>
      </c>
      <c r="H25" s="387">
        <v>0</v>
      </c>
      <c r="I25" s="387">
        <v>0</v>
      </c>
      <c r="J25" s="388">
        <f>SUM(B25:I25)</f>
        <v>0</v>
      </c>
      <c r="K25" s="387">
        <v>0</v>
      </c>
      <c r="L25" s="387">
        <v>0</v>
      </c>
      <c r="M25" s="387">
        <v>0</v>
      </c>
      <c r="N25" s="387">
        <v>0</v>
      </c>
      <c r="O25" s="387">
        <v>0</v>
      </c>
      <c r="P25" s="387">
        <v>0</v>
      </c>
      <c r="Q25" s="389">
        <v>0</v>
      </c>
      <c r="R25" s="388">
        <f>SUM(K25:Q25)</f>
        <v>0</v>
      </c>
      <c r="S25" s="388"/>
      <c r="T25" s="388"/>
      <c r="U25" s="388"/>
      <c r="V25" s="388"/>
      <c r="W25" s="388"/>
      <c r="X25" s="388"/>
      <c r="Y25" s="388"/>
      <c r="Z25" s="388"/>
      <c r="AA25" s="389">
        <v>0</v>
      </c>
      <c r="AB25" s="389">
        <v>0</v>
      </c>
      <c r="AC25" s="389">
        <v>0</v>
      </c>
      <c r="AD25" s="389">
        <v>0</v>
      </c>
      <c r="AE25" s="389">
        <v>0</v>
      </c>
      <c r="AF25" s="389">
        <v>0</v>
      </c>
      <c r="AG25" s="388">
        <f t="shared" si="2"/>
        <v>0</v>
      </c>
      <c r="AH25" s="387">
        <v>0</v>
      </c>
      <c r="AI25" s="387">
        <v>0</v>
      </c>
      <c r="AJ25" s="387">
        <v>0</v>
      </c>
      <c r="AK25" s="387">
        <v>0</v>
      </c>
      <c r="AL25" s="387">
        <v>0</v>
      </c>
      <c r="AM25" s="387">
        <v>0</v>
      </c>
      <c r="AN25" s="388">
        <f>SUM(AH25:AL25)</f>
        <v>0</v>
      </c>
      <c r="AO25" s="688">
        <f t="shared" si="4"/>
        <v>0</v>
      </c>
      <c r="AP25" s="390"/>
    </row>
    <row r="26" spans="1:42" s="385" customFormat="1" hidden="1" x14ac:dyDescent="0.2">
      <c r="A26" s="386">
        <v>44896</v>
      </c>
      <c r="B26" s="387">
        <v>0</v>
      </c>
      <c r="C26" s="387">
        <v>0</v>
      </c>
      <c r="D26" s="387">
        <v>0</v>
      </c>
      <c r="E26" s="387">
        <v>0</v>
      </c>
      <c r="F26" s="387">
        <v>0</v>
      </c>
      <c r="G26" s="387">
        <v>0</v>
      </c>
      <c r="H26" s="387">
        <v>0</v>
      </c>
      <c r="I26" s="387">
        <v>0</v>
      </c>
      <c r="J26" s="388">
        <f t="shared" si="5"/>
        <v>0</v>
      </c>
      <c r="K26" s="387">
        <v>0</v>
      </c>
      <c r="L26" s="387">
        <v>0</v>
      </c>
      <c r="M26" s="387">
        <v>0</v>
      </c>
      <c r="N26" s="387">
        <v>0</v>
      </c>
      <c r="O26" s="387">
        <v>0</v>
      </c>
      <c r="P26" s="387">
        <v>0</v>
      </c>
      <c r="Q26" s="389">
        <v>0</v>
      </c>
      <c r="R26" s="388">
        <f t="shared" si="6"/>
        <v>0</v>
      </c>
      <c r="S26" s="388"/>
      <c r="T26" s="388"/>
      <c r="U26" s="388"/>
      <c r="V26" s="388"/>
      <c r="W26" s="388"/>
      <c r="X26" s="388"/>
      <c r="Y26" s="388"/>
      <c r="Z26" s="388"/>
      <c r="AA26" s="389">
        <v>0</v>
      </c>
      <c r="AB26" s="389">
        <v>0</v>
      </c>
      <c r="AC26" s="389">
        <v>0</v>
      </c>
      <c r="AD26" s="389">
        <v>0</v>
      </c>
      <c r="AE26" s="389">
        <v>0</v>
      </c>
      <c r="AF26" s="389">
        <v>0</v>
      </c>
      <c r="AG26" s="388">
        <f t="shared" si="2"/>
        <v>0</v>
      </c>
      <c r="AH26" s="387">
        <v>0</v>
      </c>
      <c r="AI26" s="387">
        <v>0</v>
      </c>
      <c r="AJ26" s="387">
        <v>0</v>
      </c>
      <c r="AK26" s="387">
        <v>0</v>
      </c>
      <c r="AL26" s="387">
        <v>0</v>
      </c>
      <c r="AM26" s="387">
        <v>0</v>
      </c>
      <c r="AN26" s="388">
        <f t="shared" si="7"/>
        <v>0</v>
      </c>
      <c r="AO26" s="688">
        <f t="shared" si="4"/>
        <v>0</v>
      </c>
      <c r="AP26" s="390"/>
    </row>
    <row r="27" spans="1:42" s="385" customFormat="1" hidden="1" x14ac:dyDescent="0.2">
      <c r="A27" s="386">
        <v>44927</v>
      </c>
      <c r="B27" s="387">
        <v>0</v>
      </c>
      <c r="C27" s="387">
        <v>0</v>
      </c>
      <c r="D27" s="387">
        <v>0</v>
      </c>
      <c r="E27" s="387">
        <v>0</v>
      </c>
      <c r="F27" s="387">
        <v>0</v>
      </c>
      <c r="G27" s="387">
        <v>0</v>
      </c>
      <c r="H27" s="387">
        <v>0</v>
      </c>
      <c r="I27" s="387">
        <v>0</v>
      </c>
      <c r="J27" s="388">
        <f t="shared" si="5"/>
        <v>0</v>
      </c>
      <c r="K27" s="387">
        <v>0</v>
      </c>
      <c r="L27" s="387">
        <v>0</v>
      </c>
      <c r="M27" s="387">
        <v>0</v>
      </c>
      <c r="N27" s="387">
        <v>0</v>
      </c>
      <c r="O27" s="387">
        <v>0</v>
      </c>
      <c r="P27" s="387">
        <v>0</v>
      </c>
      <c r="Q27" s="389">
        <v>0</v>
      </c>
      <c r="R27" s="388">
        <f t="shared" si="6"/>
        <v>0</v>
      </c>
      <c r="S27" s="388"/>
      <c r="T27" s="388"/>
      <c r="U27" s="388"/>
      <c r="V27" s="388"/>
      <c r="W27" s="388"/>
      <c r="X27" s="388"/>
      <c r="Y27" s="388"/>
      <c r="Z27" s="388"/>
      <c r="AA27" s="389">
        <v>0</v>
      </c>
      <c r="AB27" s="389">
        <v>0</v>
      </c>
      <c r="AC27" s="389">
        <v>0</v>
      </c>
      <c r="AD27" s="389">
        <v>0</v>
      </c>
      <c r="AE27" s="389">
        <v>0</v>
      </c>
      <c r="AF27" s="389">
        <v>0</v>
      </c>
      <c r="AG27" s="388">
        <f t="shared" si="2"/>
        <v>0</v>
      </c>
      <c r="AH27" s="387">
        <v>0</v>
      </c>
      <c r="AI27" s="387">
        <v>0</v>
      </c>
      <c r="AJ27" s="387">
        <v>0</v>
      </c>
      <c r="AK27" s="387">
        <v>0</v>
      </c>
      <c r="AL27" s="387">
        <v>0</v>
      </c>
      <c r="AM27" s="387">
        <v>0</v>
      </c>
      <c r="AN27" s="388">
        <f t="shared" si="7"/>
        <v>0</v>
      </c>
      <c r="AO27" s="688">
        <f t="shared" si="4"/>
        <v>0</v>
      </c>
      <c r="AP27" s="390"/>
    </row>
    <row r="28" spans="1:42" s="385" customFormat="1" hidden="1" x14ac:dyDescent="0.2">
      <c r="A28" s="386">
        <v>44958</v>
      </c>
      <c r="B28" s="387">
        <v>0</v>
      </c>
      <c r="C28" s="387">
        <v>0</v>
      </c>
      <c r="D28" s="387">
        <v>0</v>
      </c>
      <c r="E28" s="387">
        <v>0</v>
      </c>
      <c r="F28" s="387">
        <v>0</v>
      </c>
      <c r="G28" s="387">
        <v>0</v>
      </c>
      <c r="H28" s="387">
        <v>0</v>
      </c>
      <c r="I28" s="387">
        <v>0</v>
      </c>
      <c r="J28" s="388">
        <f t="shared" si="5"/>
        <v>0</v>
      </c>
      <c r="K28" s="387">
        <v>0</v>
      </c>
      <c r="L28" s="387">
        <v>0</v>
      </c>
      <c r="M28" s="387">
        <v>0</v>
      </c>
      <c r="N28" s="387">
        <v>0</v>
      </c>
      <c r="O28" s="387">
        <v>0</v>
      </c>
      <c r="P28" s="387">
        <v>0</v>
      </c>
      <c r="Q28" s="389">
        <v>0</v>
      </c>
      <c r="R28" s="388">
        <f t="shared" si="6"/>
        <v>0</v>
      </c>
      <c r="S28" s="388"/>
      <c r="T28" s="388"/>
      <c r="U28" s="388"/>
      <c r="V28" s="388"/>
      <c r="W28" s="388"/>
      <c r="X28" s="388"/>
      <c r="Y28" s="388"/>
      <c r="Z28" s="388"/>
      <c r="AA28" s="389">
        <v>0</v>
      </c>
      <c r="AB28" s="389">
        <v>0</v>
      </c>
      <c r="AC28" s="389">
        <v>0</v>
      </c>
      <c r="AD28" s="389">
        <v>0</v>
      </c>
      <c r="AE28" s="389">
        <v>0</v>
      </c>
      <c r="AF28" s="389">
        <v>0</v>
      </c>
      <c r="AG28" s="388">
        <f t="shared" si="2"/>
        <v>0</v>
      </c>
      <c r="AH28" s="387">
        <v>0</v>
      </c>
      <c r="AI28" s="387">
        <v>0</v>
      </c>
      <c r="AJ28" s="387">
        <v>0</v>
      </c>
      <c r="AK28" s="387">
        <v>0</v>
      </c>
      <c r="AL28" s="387">
        <v>0</v>
      </c>
      <c r="AM28" s="387">
        <v>0</v>
      </c>
      <c r="AN28" s="388">
        <f t="shared" si="7"/>
        <v>0</v>
      </c>
      <c r="AO28" s="688">
        <f t="shared" si="4"/>
        <v>0</v>
      </c>
      <c r="AP28" s="390"/>
    </row>
    <row r="29" spans="1:42" s="385" customFormat="1" hidden="1" x14ac:dyDescent="0.2">
      <c r="A29" s="386">
        <v>44986</v>
      </c>
      <c r="B29" s="387">
        <v>0</v>
      </c>
      <c r="C29" s="387">
        <v>0</v>
      </c>
      <c r="D29" s="387">
        <v>0</v>
      </c>
      <c r="E29" s="387">
        <v>0</v>
      </c>
      <c r="F29" s="387">
        <v>0</v>
      </c>
      <c r="G29" s="387">
        <v>0</v>
      </c>
      <c r="H29" s="387">
        <v>0</v>
      </c>
      <c r="I29" s="387">
        <v>0</v>
      </c>
      <c r="J29" s="388">
        <f t="shared" si="5"/>
        <v>0</v>
      </c>
      <c r="K29" s="387">
        <v>0</v>
      </c>
      <c r="L29" s="387">
        <v>0</v>
      </c>
      <c r="M29" s="387">
        <v>0</v>
      </c>
      <c r="N29" s="387">
        <v>0</v>
      </c>
      <c r="O29" s="387">
        <v>0</v>
      </c>
      <c r="P29" s="387">
        <v>0</v>
      </c>
      <c r="Q29" s="389">
        <v>0</v>
      </c>
      <c r="R29" s="388">
        <f t="shared" si="6"/>
        <v>0</v>
      </c>
      <c r="S29" s="388"/>
      <c r="T29" s="388"/>
      <c r="U29" s="388"/>
      <c r="V29" s="388"/>
      <c r="W29" s="388"/>
      <c r="X29" s="388"/>
      <c r="Y29" s="388"/>
      <c r="Z29" s="388"/>
      <c r="AA29" s="389">
        <v>0</v>
      </c>
      <c r="AB29" s="389">
        <v>0</v>
      </c>
      <c r="AC29" s="389">
        <v>0</v>
      </c>
      <c r="AD29" s="389">
        <v>0</v>
      </c>
      <c r="AE29" s="389">
        <v>0</v>
      </c>
      <c r="AF29" s="389">
        <v>0</v>
      </c>
      <c r="AG29" s="388">
        <f t="shared" si="2"/>
        <v>0</v>
      </c>
      <c r="AH29" s="387">
        <v>0</v>
      </c>
      <c r="AI29" s="387">
        <v>0</v>
      </c>
      <c r="AJ29" s="387">
        <v>0</v>
      </c>
      <c r="AK29" s="387">
        <v>0</v>
      </c>
      <c r="AL29" s="387">
        <v>0</v>
      </c>
      <c r="AM29" s="387">
        <v>0</v>
      </c>
      <c r="AN29" s="388">
        <f t="shared" si="7"/>
        <v>0</v>
      </c>
      <c r="AO29" s="688">
        <f t="shared" si="4"/>
        <v>0</v>
      </c>
      <c r="AP29" s="390"/>
    </row>
    <row r="30" spans="1:42" s="385" customFormat="1" hidden="1" x14ac:dyDescent="0.2">
      <c r="A30" s="386">
        <v>45017</v>
      </c>
      <c r="B30" s="387">
        <v>0</v>
      </c>
      <c r="C30" s="387">
        <v>0</v>
      </c>
      <c r="D30" s="387">
        <v>0</v>
      </c>
      <c r="E30" s="387">
        <v>0</v>
      </c>
      <c r="F30" s="387">
        <v>0</v>
      </c>
      <c r="G30" s="387">
        <v>0</v>
      </c>
      <c r="H30" s="387">
        <v>0</v>
      </c>
      <c r="I30" s="387">
        <v>0</v>
      </c>
      <c r="J30" s="388">
        <f t="shared" si="5"/>
        <v>0</v>
      </c>
      <c r="K30" s="387">
        <v>0</v>
      </c>
      <c r="L30" s="387">
        <v>0</v>
      </c>
      <c r="M30" s="387">
        <v>0</v>
      </c>
      <c r="N30" s="387">
        <v>0</v>
      </c>
      <c r="O30" s="387">
        <v>0</v>
      </c>
      <c r="P30" s="387">
        <v>0</v>
      </c>
      <c r="Q30" s="389">
        <v>0</v>
      </c>
      <c r="R30" s="388">
        <f t="shared" si="6"/>
        <v>0</v>
      </c>
      <c r="S30" s="388"/>
      <c r="T30" s="388"/>
      <c r="U30" s="388"/>
      <c r="V30" s="388"/>
      <c r="W30" s="388"/>
      <c r="X30" s="388"/>
      <c r="Y30" s="388"/>
      <c r="Z30" s="388"/>
      <c r="AA30" s="389">
        <v>0</v>
      </c>
      <c r="AB30" s="389">
        <v>0</v>
      </c>
      <c r="AC30" s="389">
        <v>0</v>
      </c>
      <c r="AD30" s="389">
        <v>0</v>
      </c>
      <c r="AE30" s="389">
        <v>0</v>
      </c>
      <c r="AF30" s="389">
        <v>0</v>
      </c>
      <c r="AG30" s="388">
        <f t="shared" si="2"/>
        <v>0</v>
      </c>
      <c r="AH30" s="387">
        <v>0</v>
      </c>
      <c r="AI30" s="387">
        <v>0</v>
      </c>
      <c r="AJ30" s="387">
        <v>0</v>
      </c>
      <c r="AK30" s="387">
        <v>0</v>
      </c>
      <c r="AL30" s="387">
        <v>0</v>
      </c>
      <c r="AM30" s="387">
        <v>0</v>
      </c>
      <c r="AN30" s="388">
        <f t="shared" si="7"/>
        <v>0</v>
      </c>
      <c r="AO30" s="688">
        <f t="shared" si="4"/>
        <v>0</v>
      </c>
      <c r="AP30" s="390"/>
    </row>
    <row r="31" spans="1:42" s="385" customFormat="1" hidden="1" x14ac:dyDescent="0.2">
      <c r="A31" s="386">
        <v>45047</v>
      </c>
      <c r="B31" s="387">
        <v>0</v>
      </c>
      <c r="C31" s="387">
        <v>0</v>
      </c>
      <c r="D31" s="387">
        <v>0</v>
      </c>
      <c r="E31" s="387">
        <v>0</v>
      </c>
      <c r="F31" s="387">
        <v>0</v>
      </c>
      <c r="G31" s="387">
        <v>0</v>
      </c>
      <c r="H31" s="387">
        <v>0</v>
      </c>
      <c r="I31" s="387">
        <v>0</v>
      </c>
      <c r="J31" s="388">
        <f t="shared" si="5"/>
        <v>0</v>
      </c>
      <c r="K31" s="387">
        <v>0</v>
      </c>
      <c r="L31" s="387">
        <v>0</v>
      </c>
      <c r="M31" s="387">
        <v>0</v>
      </c>
      <c r="N31" s="387">
        <v>0</v>
      </c>
      <c r="O31" s="387">
        <v>0</v>
      </c>
      <c r="P31" s="387">
        <v>0</v>
      </c>
      <c r="Q31" s="389">
        <v>0</v>
      </c>
      <c r="R31" s="388">
        <f t="shared" si="6"/>
        <v>0</v>
      </c>
      <c r="S31" s="388"/>
      <c r="T31" s="388"/>
      <c r="U31" s="388"/>
      <c r="V31" s="388"/>
      <c r="W31" s="388"/>
      <c r="X31" s="388"/>
      <c r="Y31" s="388"/>
      <c r="Z31" s="388"/>
      <c r="AA31" s="389">
        <v>0</v>
      </c>
      <c r="AB31" s="389">
        <v>0</v>
      </c>
      <c r="AC31" s="389">
        <v>0</v>
      </c>
      <c r="AD31" s="389">
        <v>0</v>
      </c>
      <c r="AE31" s="389">
        <v>0</v>
      </c>
      <c r="AF31" s="389">
        <v>0</v>
      </c>
      <c r="AG31" s="388">
        <f t="shared" si="2"/>
        <v>0</v>
      </c>
      <c r="AH31" s="387">
        <v>0</v>
      </c>
      <c r="AI31" s="387">
        <v>0</v>
      </c>
      <c r="AJ31" s="387">
        <v>0</v>
      </c>
      <c r="AK31" s="387">
        <v>0</v>
      </c>
      <c r="AL31" s="387">
        <v>0</v>
      </c>
      <c r="AM31" s="387">
        <v>0</v>
      </c>
      <c r="AN31" s="388">
        <f t="shared" si="7"/>
        <v>0</v>
      </c>
      <c r="AO31" s="688">
        <f t="shared" si="4"/>
        <v>0</v>
      </c>
      <c r="AP31" s="390"/>
    </row>
    <row r="32" spans="1:42" s="385" customFormat="1" hidden="1" x14ac:dyDescent="0.2">
      <c r="A32" s="386">
        <v>45078</v>
      </c>
      <c r="B32" s="387">
        <v>0</v>
      </c>
      <c r="C32" s="387">
        <v>0</v>
      </c>
      <c r="D32" s="387">
        <v>0</v>
      </c>
      <c r="E32" s="387">
        <v>0</v>
      </c>
      <c r="F32" s="387">
        <v>0</v>
      </c>
      <c r="G32" s="387">
        <v>0</v>
      </c>
      <c r="H32" s="387">
        <v>0</v>
      </c>
      <c r="I32" s="387">
        <v>0</v>
      </c>
      <c r="J32" s="388">
        <f t="shared" si="5"/>
        <v>0</v>
      </c>
      <c r="K32" s="387">
        <v>0</v>
      </c>
      <c r="L32" s="387">
        <v>0</v>
      </c>
      <c r="M32" s="387">
        <v>0</v>
      </c>
      <c r="N32" s="387">
        <v>0</v>
      </c>
      <c r="O32" s="387">
        <v>0</v>
      </c>
      <c r="P32" s="387">
        <v>0</v>
      </c>
      <c r="Q32" s="389">
        <v>0</v>
      </c>
      <c r="R32" s="388">
        <f t="shared" si="6"/>
        <v>0</v>
      </c>
      <c r="S32" s="388"/>
      <c r="T32" s="388"/>
      <c r="U32" s="388"/>
      <c r="V32" s="388"/>
      <c r="W32" s="388"/>
      <c r="X32" s="388"/>
      <c r="Y32" s="388"/>
      <c r="Z32" s="388"/>
      <c r="AA32" s="389">
        <v>0</v>
      </c>
      <c r="AB32" s="389">
        <v>0</v>
      </c>
      <c r="AC32" s="389">
        <v>0</v>
      </c>
      <c r="AD32" s="389">
        <v>0</v>
      </c>
      <c r="AE32" s="389">
        <v>0</v>
      </c>
      <c r="AF32" s="389">
        <v>0</v>
      </c>
      <c r="AG32" s="388">
        <f t="shared" si="2"/>
        <v>0</v>
      </c>
      <c r="AH32" s="387">
        <v>0</v>
      </c>
      <c r="AI32" s="387">
        <v>0</v>
      </c>
      <c r="AJ32" s="387">
        <v>0</v>
      </c>
      <c r="AK32" s="387">
        <v>0</v>
      </c>
      <c r="AL32" s="387">
        <v>0</v>
      </c>
      <c r="AM32" s="387">
        <v>0</v>
      </c>
      <c r="AN32" s="388">
        <f t="shared" si="7"/>
        <v>0</v>
      </c>
      <c r="AO32" s="688">
        <f t="shared" si="4"/>
        <v>0</v>
      </c>
      <c r="AP32" s="390"/>
    </row>
    <row r="33" spans="1:42" s="385" customFormat="1" hidden="1" x14ac:dyDescent="0.2">
      <c r="A33" s="386">
        <v>45108</v>
      </c>
      <c r="B33" s="387">
        <v>0</v>
      </c>
      <c r="C33" s="387">
        <v>0</v>
      </c>
      <c r="D33" s="387">
        <v>0</v>
      </c>
      <c r="E33" s="387">
        <v>0</v>
      </c>
      <c r="F33" s="387">
        <v>0</v>
      </c>
      <c r="G33" s="387">
        <v>0</v>
      </c>
      <c r="H33" s="387">
        <v>0</v>
      </c>
      <c r="I33" s="387">
        <v>0</v>
      </c>
      <c r="J33" s="388">
        <f t="shared" si="5"/>
        <v>0</v>
      </c>
      <c r="K33" s="387">
        <v>0</v>
      </c>
      <c r="L33" s="387">
        <v>0</v>
      </c>
      <c r="M33" s="387">
        <v>0</v>
      </c>
      <c r="N33" s="387">
        <v>0</v>
      </c>
      <c r="O33" s="387">
        <v>0</v>
      </c>
      <c r="P33" s="387">
        <v>0</v>
      </c>
      <c r="Q33" s="389">
        <v>0</v>
      </c>
      <c r="R33" s="388">
        <f t="shared" si="6"/>
        <v>0</v>
      </c>
      <c r="S33" s="388"/>
      <c r="T33" s="388"/>
      <c r="U33" s="388"/>
      <c r="V33" s="388"/>
      <c r="W33" s="388"/>
      <c r="X33" s="388"/>
      <c r="Y33" s="388"/>
      <c r="Z33" s="388"/>
      <c r="AA33" s="389">
        <v>0</v>
      </c>
      <c r="AB33" s="389">
        <v>0</v>
      </c>
      <c r="AC33" s="389">
        <v>0</v>
      </c>
      <c r="AD33" s="389">
        <v>0</v>
      </c>
      <c r="AE33" s="389">
        <v>0</v>
      </c>
      <c r="AF33" s="389">
        <v>0</v>
      </c>
      <c r="AG33" s="388">
        <f t="shared" si="2"/>
        <v>0</v>
      </c>
      <c r="AH33" s="387">
        <v>0</v>
      </c>
      <c r="AI33" s="387">
        <v>0</v>
      </c>
      <c r="AJ33" s="387">
        <v>0</v>
      </c>
      <c r="AK33" s="387">
        <v>0</v>
      </c>
      <c r="AL33" s="387">
        <v>0</v>
      </c>
      <c r="AM33" s="387">
        <v>0</v>
      </c>
      <c r="AN33" s="388">
        <f t="shared" si="7"/>
        <v>0</v>
      </c>
      <c r="AO33" s="688">
        <f t="shared" si="4"/>
        <v>0</v>
      </c>
      <c r="AP33" s="390"/>
    </row>
    <row r="34" spans="1:42" s="385" customFormat="1" hidden="1" x14ac:dyDescent="0.2">
      <c r="A34" s="386">
        <v>45139</v>
      </c>
      <c r="B34" s="387">
        <v>0</v>
      </c>
      <c r="C34" s="387">
        <v>0</v>
      </c>
      <c r="D34" s="387">
        <v>0</v>
      </c>
      <c r="E34" s="387">
        <v>0</v>
      </c>
      <c r="F34" s="387">
        <v>0</v>
      </c>
      <c r="G34" s="387">
        <v>0</v>
      </c>
      <c r="H34" s="387">
        <v>0</v>
      </c>
      <c r="I34" s="387">
        <v>0</v>
      </c>
      <c r="J34" s="388">
        <f t="shared" si="5"/>
        <v>0</v>
      </c>
      <c r="K34" s="387">
        <v>0</v>
      </c>
      <c r="L34" s="387">
        <v>0</v>
      </c>
      <c r="M34" s="387">
        <v>0</v>
      </c>
      <c r="N34" s="387">
        <v>0</v>
      </c>
      <c r="O34" s="387">
        <v>0</v>
      </c>
      <c r="P34" s="387">
        <v>0</v>
      </c>
      <c r="Q34" s="389">
        <v>0</v>
      </c>
      <c r="R34" s="388">
        <f t="shared" si="6"/>
        <v>0</v>
      </c>
      <c r="S34" s="388"/>
      <c r="T34" s="388"/>
      <c r="U34" s="388"/>
      <c r="V34" s="388"/>
      <c r="W34" s="388"/>
      <c r="X34" s="388"/>
      <c r="Y34" s="388"/>
      <c r="Z34" s="388"/>
      <c r="AA34" s="389">
        <v>0</v>
      </c>
      <c r="AB34" s="389">
        <v>0</v>
      </c>
      <c r="AC34" s="389">
        <v>0</v>
      </c>
      <c r="AD34" s="389">
        <v>0</v>
      </c>
      <c r="AE34" s="389">
        <v>0</v>
      </c>
      <c r="AF34" s="389">
        <v>0</v>
      </c>
      <c r="AG34" s="388">
        <f t="shared" si="2"/>
        <v>0</v>
      </c>
      <c r="AH34" s="387">
        <v>0</v>
      </c>
      <c r="AI34" s="387">
        <v>0</v>
      </c>
      <c r="AJ34" s="387">
        <v>0</v>
      </c>
      <c r="AK34" s="387">
        <v>0</v>
      </c>
      <c r="AL34" s="387">
        <v>0</v>
      </c>
      <c r="AM34" s="387">
        <v>0</v>
      </c>
      <c r="AN34" s="388">
        <f t="shared" si="7"/>
        <v>0</v>
      </c>
      <c r="AO34" s="688">
        <f t="shared" si="4"/>
        <v>0</v>
      </c>
      <c r="AP34" s="390"/>
    </row>
    <row r="35" spans="1:42" s="385" customFormat="1" hidden="1" x14ac:dyDescent="0.2">
      <c r="A35" s="386">
        <v>45170</v>
      </c>
      <c r="B35" s="387">
        <v>0</v>
      </c>
      <c r="C35" s="387">
        <v>0</v>
      </c>
      <c r="D35" s="387">
        <v>0</v>
      </c>
      <c r="E35" s="387">
        <v>0</v>
      </c>
      <c r="F35" s="387">
        <v>0</v>
      </c>
      <c r="G35" s="387">
        <v>0</v>
      </c>
      <c r="H35" s="387">
        <v>0</v>
      </c>
      <c r="I35" s="387">
        <v>0</v>
      </c>
      <c r="J35" s="388">
        <f t="shared" si="5"/>
        <v>0</v>
      </c>
      <c r="K35" s="387">
        <v>0</v>
      </c>
      <c r="L35" s="387">
        <v>0</v>
      </c>
      <c r="M35" s="387">
        <v>0</v>
      </c>
      <c r="N35" s="387">
        <v>0</v>
      </c>
      <c r="O35" s="387">
        <v>0</v>
      </c>
      <c r="P35" s="387">
        <v>0</v>
      </c>
      <c r="Q35" s="389">
        <v>0</v>
      </c>
      <c r="R35" s="388">
        <f t="shared" si="6"/>
        <v>0</v>
      </c>
      <c r="S35" s="387">
        <v>0</v>
      </c>
      <c r="T35" s="387">
        <v>0</v>
      </c>
      <c r="U35" s="387">
        <v>0</v>
      </c>
      <c r="V35" s="387">
        <v>0</v>
      </c>
      <c r="W35" s="387">
        <v>0</v>
      </c>
      <c r="X35" s="387">
        <v>0</v>
      </c>
      <c r="Y35" s="387">
        <v>0</v>
      </c>
      <c r="Z35" s="388">
        <f>SUM(S35:Y35)</f>
        <v>0</v>
      </c>
      <c r="AA35" s="389">
        <v>0</v>
      </c>
      <c r="AB35" s="389">
        <v>0</v>
      </c>
      <c r="AC35" s="389">
        <v>0</v>
      </c>
      <c r="AD35" s="389">
        <v>0</v>
      </c>
      <c r="AE35" s="389">
        <v>0</v>
      </c>
      <c r="AF35" s="389">
        <v>0</v>
      </c>
      <c r="AG35" s="388">
        <f t="shared" si="2"/>
        <v>0</v>
      </c>
      <c r="AH35" s="387">
        <v>0</v>
      </c>
      <c r="AI35" s="387">
        <v>0</v>
      </c>
      <c r="AJ35" s="387">
        <v>0</v>
      </c>
      <c r="AK35" s="387">
        <v>0</v>
      </c>
      <c r="AL35" s="387">
        <v>0</v>
      </c>
      <c r="AM35" s="387">
        <v>0</v>
      </c>
      <c r="AN35" s="388">
        <f t="shared" si="7"/>
        <v>0</v>
      </c>
      <c r="AO35" s="688">
        <f>+AN35+R35+J35+AG35+Z35</f>
        <v>0</v>
      </c>
      <c r="AP35" s="390"/>
    </row>
    <row r="36" spans="1:42" s="385" customFormat="1" hidden="1" x14ac:dyDescent="0.2">
      <c r="A36" s="386">
        <v>45200</v>
      </c>
      <c r="B36" s="387">
        <v>0</v>
      </c>
      <c r="C36" s="387">
        <v>0</v>
      </c>
      <c r="D36" s="387">
        <v>0</v>
      </c>
      <c r="E36" s="387">
        <v>0</v>
      </c>
      <c r="F36" s="387">
        <v>0</v>
      </c>
      <c r="G36" s="387">
        <v>0</v>
      </c>
      <c r="H36" s="387">
        <v>0</v>
      </c>
      <c r="I36" s="387">
        <v>0</v>
      </c>
      <c r="J36" s="388">
        <f t="shared" si="5"/>
        <v>0</v>
      </c>
      <c r="K36" s="387">
        <v>0</v>
      </c>
      <c r="L36" s="387">
        <v>0</v>
      </c>
      <c r="M36" s="387">
        <v>0</v>
      </c>
      <c r="N36" s="387">
        <v>0</v>
      </c>
      <c r="O36" s="387">
        <v>0</v>
      </c>
      <c r="P36" s="387">
        <v>0</v>
      </c>
      <c r="Q36" s="389">
        <v>0</v>
      </c>
      <c r="R36" s="388">
        <f t="shared" si="6"/>
        <v>0</v>
      </c>
      <c r="S36" s="387">
        <v>0</v>
      </c>
      <c r="T36" s="387">
        <v>0</v>
      </c>
      <c r="U36" s="387">
        <v>0</v>
      </c>
      <c r="V36" s="387">
        <v>0</v>
      </c>
      <c r="W36" s="387">
        <v>0</v>
      </c>
      <c r="X36" s="387">
        <v>0</v>
      </c>
      <c r="Y36" s="387">
        <v>0</v>
      </c>
      <c r="Z36" s="388">
        <f t="shared" ref="Z36:Z86" si="8">SUM(S36:Y36)</f>
        <v>0</v>
      </c>
      <c r="AA36" s="389">
        <v>0</v>
      </c>
      <c r="AB36" s="389">
        <v>0</v>
      </c>
      <c r="AC36" s="389">
        <v>0</v>
      </c>
      <c r="AD36" s="389">
        <v>0</v>
      </c>
      <c r="AE36" s="389">
        <v>0</v>
      </c>
      <c r="AF36" s="389">
        <v>0</v>
      </c>
      <c r="AG36" s="388">
        <f t="shared" si="2"/>
        <v>0</v>
      </c>
      <c r="AH36" s="387">
        <v>0</v>
      </c>
      <c r="AI36" s="387">
        <v>0</v>
      </c>
      <c r="AJ36" s="387">
        <v>0</v>
      </c>
      <c r="AK36" s="387">
        <v>0</v>
      </c>
      <c r="AL36" s="387">
        <v>0</v>
      </c>
      <c r="AM36" s="387">
        <v>0</v>
      </c>
      <c r="AN36" s="388">
        <f t="shared" si="7"/>
        <v>0</v>
      </c>
      <c r="AO36" s="688">
        <f t="shared" ref="AO36:AO86" si="9">+AN36+R36+J36+AG36+Z36</f>
        <v>0</v>
      </c>
      <c r="AP36" s="390"/>
    </row>
    <row r="37" spans="1:42" s="385" customFormat="1" hidden="1" x14ac:dyDescent="0.2">
      <c r="A37" s="386">
        <v>45231</v>
      </c>
      <c r="B37" s="387">
        <v>0</v>
      </c>
      <c r="C37" s="387">
        <v>0</v>
      </c>
      <c r="D37" s="387">
        <v>0</v>
      </c>
      <c r="E37" s="387">
        <v>0</v>
      </c>
      <c r="F37" s="387">
        <v>0</v>
      </c>
      <c r="G37" s="387">
        <v>0</v>
      </c>
      <c r="H37" s="387">
        <v>0</v>
      </c>
      <c r="I37" s="387">
        <v>0</v>
      </c>
      <c r="J37" s="388">
        <f t="shared" si="5"/>
        <v>0</v>
      </c>
      <c r="K37" s="387">
        <v>0</v>
      </c>
      <c r="L37" s="387">
        <v>0</v>
      </c>
      <c r="M37" s="387">
        <v>0</v>
      </c>
      <c r="N37" s="387">
        <v>0</v>
      </c>
      <c r="O37" s="387">
        <v>0</v>
      </c>
      <c r="P37" s="387">
        <v>0</v>
      </c>
      <c r="Q37" s="389">
        <v>0</v>
      </c>
      <c r="R37" s="388">
        <f t="shared" si="6"/>
        <v>0</v>
      </c>
      <c r="S37" s="387">
        <v>0</v>
      </c>
      <c r="T37" s="387">
        <v>0</v>
      </c>
      <c r="U37" s="387">
        <v>0</v>
      </c>
      <c r="V37" s="387">
        <v>0</v>
      </c>
      <c r="W37" s="387">
        <v>0</v>
      </c>
      <c r="X37" s="387">
        <v>0</v>
      </c>
      <c r="Y37" s="387">
        <v>0</v>
      </c>
      <c r="Z37" s="388">
        <f t="shared" si="8"/>
        <v>0</v>
      </c>
      <c r="AA37" s="389">
        <v>0</v>
      </c>
      <c r="AB37" s="389">
        <v>0</v>
      </c>
      <c r="AC37" s="389">
        <v>0</v>
      </c>
      <c r="AD37" s="389">
        <v>0</v>
      </c>
      <c r="AE37" s="389">
        <v>0</v>
      </c>
      <c r="AF37" s="389">
        <v>0</v>
      </c>
      <c r="AG37" s="388">
        <f t="shared" si="2"/>
        <v>0</v>
      </c>
      <c r="AH37" s="387">
        <v>0</v>
      </c>
      <c r="AI37" s="387">
        <v>0</v>
      </c>
      <c r="AJ37" s="387">
        <v>0</v>
      </c>
      <c r="AK37" s="387">
        <v>0</v>
      </c>
      <c r="AL37" s="387">
        <v>0</v>
      </c>
      <c r="AM37" s="387">
        <v>0</v>
      </c>
      <c r="AN37" s="388">
        <f t="shared" si="7"/>
        <v>0</v>
      </c>
      <c r="AO37" s="688">
        <f t="shared" si="9"/>
        <v>0</v>
      </c>
      <c r="AP37" s="390"/>
    </row>
    <row r="38" spans="1:42" s="385" customFormat="1" hidden="1" x14ac:dyDescent="0.2">
      <c r="A38" s="386">
        <v>45261</v>
      </c>
      <c r="B38" s="387">
        <v>0</v>
      </c>
      <c r="C38" s="387">
        <v>0</v>
      </c>
      <c r="D38" s="387">
        <v>0</v>
      </c>
      <c r="E38" s="387">
        <v>0</v>
      </c>
      <c r="F38" s="387">
        <v>0</v>
      </c>
      <c r="G38" s="387">
        <v>0</v>
      </c>
      <c r="H38" s="387">
        <v>0</v>
      </c>
      <c r="I38" s="387">
        <v>0</v>
      </c>
      <c r="J38" s="388">
        <f t="shared" si="5"/>
        <v>0</v>
      </c>
      <c r="K38" s="387">
        <v>0</v>
      </c>
      <c r="L38" s="387">
        <v>0</v>
      </c>
      <c r="M38" s="387">
        <v>0</v>
      </c>
      <c r="N38" s="387">
        <v>0</v>
      </c>
      <c r="O38" s="387">
        <v>0</v>
      </c>
      <c r="P38" s="387">
        <v>0</v>
      </c>
      <c r="Q38" s="389">
        <v>0</v>
      </c>
      <c r="R38" s="388">
        <f t="shared" si="6"/>
        <v>0</v>
      </c>
      <c r="S38" s="387">
        <v>0</v>
      </c>
      <c r="T38" s="387">
        <v>0</v>
      </c>
      <c r="U38" s="387">
        <v>0</v>
      </c>
      <c r="V38" s="387">
        <v>0</v>
      </c>
      <c r="W38" s="387">
        <v>0</v>
      </c>
      <c r="X38" s="387">
        <v>0</v>
      </c>
      <c r="Y38" s="387">
        <v>0</v>
      </c>
      <c r="Z38" s="388">
        <f t="shared" si="8"/>
        <v>0</v>
      </c>
      <c r="AA38" s="389">
        <v>0</v>
      </c>
      <c r="AB38" s="389">
        <v>0</v>
      </c>
      <c r="AC38" s="389">
        <v>0</v>
      </c>
      <c r="AD38" s="389">
        <v>0</v>
      </c>
      <c r="AE38" s="389">
        <v>0</v>
      </c>
      <c r="AF38" s="389">
        <v>0</v>
      </c>
      <c r="AG38" s="388">
        <f t="shared" si="2"/>
        <v>0</v>
      </c>
      <c r="AH38" s="387">
        <v>0</v>
      </c>
      <c r="AI38" s="387">
        <v>0</v>
      </c>
      <c r="AJ38" s="387">
        <v>0</v>
      </c>
      <c r="AK38" s="387">
        <v>0</v>
      </c>
      <c r="AL38" s="387">
        <v>0</v>
      </c>
      <c r="AM38" s="387">
        <v>0</v>
      </c>
      <c r="AN38" s="388">
        <f t="shared" si="7"/>
        <v>0</v>
      </c>
      <c r="AO38" s="688">
        <f t="shared" si="9"/>
        <v>0</v>
      </c>
      <c r="AP38" s="390"/>
    </row>
    <row r="39" spans="1:42" s="385" customFormat="1" hidden="1" x14ac:dyDescent="0.2">
      <c r="A39" s="386">
        <v>45292</v>
      </c>
      <c r="B39" s="387">
        <v>0</v>
      </c>
      <c r="C39" s="387">
        <v>0</v>
      </c>
      <c r="D39" s="387">
        <v>0</v>
      </c>
      <c r="E39" s="387">
        <v>0</v>
      </c>
      <c r="F39" s="387">
        <v>0</v>
      </c>
      <c r="G39" s="387">
        <v>0</v>
      </c>
      <c r="H39" s="387">
        <v>0</v>
      </c>
      <c r="I39" s="387">
        <v>0</v>
      </c>
      <c r="J39" s="388">
        <f t="shared" si="5"/>
        <v>0</v>
      </c>
      <c r="K39" s="387">
        <v>0</v>
      </c>
      <c r="L39" s="387">
        <v>0</v>
      </c>
      <c r="M39" s="387">
        <v>0</v>
      </c>
      <c r="N39" s="387">
        <v>0</v>
      </c>
      <c r="O39" s="387">
        <v>0</v>
      </c>
      <c r="P39" s="387">
        <v>0</v>
      </c>
      <c r="Q39" s="389">
        <v>0</v>
      </c>
      <c r="R39" s="388">
        <f t="shared" si="6"/>
        <v>0</v>
      </c>
      <c r="S39" s="387">
        <v>0</v>
      </c>
      <c r="T39" s="387">
        <v>0</v>
      </c>
      <c r="U39" s="387">
        <v>0</v>
      </c>
      <c r="V39" s="387">
        <v>0</v>
      </c>
      <c r="W39" s="387">
        <v>0</v>
      </c>
      <c r="X39" s="387">
        <v>0</v>
      </c>
      <c r="Y39" s="387">
        <v>0</v>
      </c>
      <c r="Z39" s="388">
        <f t="shared" si="8"/>
        <v>0</v>
      </c>
      <c r="AA39" s="389">
        <v>0</v>
      </c>
      <c r="AB39" s="389">
        <v>0</v>
      </c>
      <c r="AC39" s="389">
        <v>0</v>
      </c>
      <c r="AD39" s="389">
        <v>0</v>
      </c>
      <c r="AE39" s="389">
        <v>0</v>
      </c>
      <c r="AF39" s="389">
        <v>0</v>
      </c>
      <c r="AG39" s="388">
        <f t="shared" ref="AG39:AG86" si="10">SUM(AA39:AF39)</f>
        <v>0</v>
      </c>
      <c r="AH39" s="387">
        <v>0</v>
      </c>
      <c r="AI39" s="387">
        <v>0</v>
      </c>
      <c r="AJ39" s="387">
        <v>0</v>
      </c>
      <c r="AK39" s="387">
        <v>0</v>
      </c>
      <c r="AL39" s="387">
        <v>0</v>
      </c>
      <c r="AM39" s="387">
        <v>0</v>
      </c>
      <c r="AN39" s="388">
        <f t="shared" si="7"/>
        <v>0</v>
      </c>
      <c r="AO39" s="688">
        <f t="shared" si="9"/>
        <v>0</v>
      </c>
      <c r="AP39" s="390"/>
    </row>
    <row r="40" spans="1:42" s="385" customFormat="1" hidden="1" x14ac:dyDescent="0.2">
      <c r="A40" s="386">
        <v>45323</v>
      </c>
      <c r="B40" s="387">
        <v>0</v>
      </c>
      <c r="C40" s="387">
        <v>0</v>
      </c>
      <c r="D40" s="387">
        <v>0</v>
      </c>
      <c r="E40" s="387">
        <v>0</v>
      </c>
      <c r="F40" s="387">
        <v>0</v>
      </c>
      <c r="G40" s="387">
        <v>0</v>
      </c>
      <c r="H40" s="387">
        <v>0</v>
      </c>
      <c r="I40" s="387">
        <v>0</v>
      </c>
      <c r="J40" s="388">
        <f t="shared" si="5"/>
        <v>0</v>
      </c>
      <c r="K40" s="387">
        <v>0</v>
      </c>
      <c r="L40" s="387">
        <v>0</v>
      </c>
      <c r="M40" s="387">
        <v>0</v>
      </c>
      <c r="N40" s="387">
        <v>0</v>
      </c>
      <c r="O40" s="387">
        <v>0</v>
      </c>
      <c r="P40" s="387">
        <v>0</v>
      </c>
      <c r="Q40" s="389">
        <v>0</v>
      </c>
      <c r="R40" s="388">
        <f t="shared" si="6"/>
        <v>0</v>
      </c>
      <c r="S40" s="387">
        <v>0</v>
      </c>
      <c r="T40" s="387">
        <v>0</v>
      </c>
      <c r="U40" s="387">
        <v>0</v>
      </c>
      <c r="V40" s="387">
        <v>0</v>
      </c>
      <c r="W40" s="387">
        <v>0</v>
      </c>
      <c r="X40" s="387">
        <v>0</v>
      </c>
      <c r="Y40" s="387">
        <v>0</v>
      </c>
      <c r="Z40" s="388">
        <f t="shared" si="8"/>
        <v>0</v>
      </c>
      <c r="AA40" s="389">
        <v>0</v>
      </c>
      <c r="AB40" s="389">
        <v>0</v>
      </c>
      <c r="AC40" s="389">
        <v>0</v>
      </c>
      <c r="AD40" s="389">
        <v>0</v>
      </c>
      <c r="AE40" s="389">
        <v>0</v>
      </c>
      <c r="AF40" s="389">
        <v>0</v>
      </c>
      <c r="AG40" s="388">
        <f t="shared" si="10"/>
        <v>0</v>
      </c>
      <c r="AH40" s="387">
        <v>0</v>
      </c>
      <c r="AI40" s="387">
        <v>0</v>
      </c>
      <c r="AJ40" s="387">
        <v>0</v>
      </c>
      <c r="AK40" s="387">
        <v>0</v>
      </c>
      <c r="AL40" s="387">
        <v>0</v>
      </c>
      <c r="AM40" s="387">
        <v>0</v>
      </c>
      <c r="AN40" s="388">
        <f t="shared" si="7"/>
        <v>0</v>
      </c>
      <c r="AO40" s="688">
        <f t="shared" si="9"/>
        <v>0</v>
      </c>
      <c r="AP40" s="390"/>
    </row>
    <row r="41" spans="1:42" s="385" customFormat="1" x14ac:dyDescent="0.2">
      <c r="A41" s="386">
        <v>45352</v>
      </c>
      <c r="B41" s="387">
        <v>0</v>
      </c>
      <c r="C41" s="387">
        <v>0</v>
      </c>
      <c r="D41" s="387">
        <v>0</v>
      </c>
      <c r="E41" s="387">
        <v>0</v>
      </c>
      <c r="F41" s="387">
        <v>0</v>
      </c>
      <c r="G41" s="387">
        <v>0</v>
      </c>
      <c r="H41" s="387">
        <v>0</v>
      </c>
      <c r="I41" s="387">
        <v>0</v>
      </c>
      <c r="J41" s="388">
        <f t="shared" si="5"/>
        <v>0</v>
      </c>
      <c r="K41" s="387">
        <v>0</v>
      </c>
      <c r="L41" s="387">
        <v>0</v>
      </c>
      <c r="M41" s="387">
        <v>0</v>
      </c>
      <c r="N41" s="387">
        <v>0</v>
      </c>
      <c r="O41" s="387">
        <v>0</v>
      </c>
      <c r="P41" s="387">
        <v>0</v>
      </c>
      <c r="Q41" s="389">
        <v>0</v>
      </c>
      <c r="R41" s="388">
        <f t="shared" si="6"/>
        <v>0</v>
      </c>
      <c r="S41" s="387">
        <v>0</v>
      </c>
      <c r="T41" s="387">
        <v>0</v>
      </c>
      <c r="U41" s="387">
        <v>0</v>
      </c>
      <c r="V41" s="387">
        <v>0</v>
      </c>
      <c r="W41" s="387">
        <v>0</v>
      </c>
      <c r="X41" s="387">
        <v>0</v>
      </c>
      <c r="Y41" s="387">
        <v>0</v>
      </c>
      <c r="Z41" s="388">
        <f t="shared" si="8"/>
        <v>0</v>
      </c>
      <c r="AA41" s="389">
        <v>0</v>
      </c>
      <c r="AB41" s="389">
        <v>0</v>
      </c>
      <c r="AC41" s="389">
        <v>0</v>
      </c>
      <c r="AD41" s="389">
        <v>0</v>
      </c>
      <c r="AE41" s="389">
        <v>0</v>
      </c>
      <c r="AF41" s="389">
        <v>0</v>
      </c>
      <c r="AG41" s="388">
        <f t="shared" si="10"/>
        <v>0</v>
      </c>
      <c r="AH41" s="387">
        <v>0</v>
      </c>
      <c r="AI41" s="387">
        <v>0</v>
      </c>
      <c r="AJ41" s="387">
        <v>0</v>
      </c>
      <c r="AK41" s="387">
        <v>0</v>
      </c>
      <c r="AL41" s="387">
        <v>0</v>
      </c>
      <c r="AM41" s="387">
        <v>0</v>
      </c>
      <c r="AN41" s="388">
        <f t="shared" si="7"/>
        <v>0</v>
      </c>
      <c r="AO41" s="688">
        <f t="shared" si="9"/>
        <v>0</v>
      </c>
      <c r="AP41" s="390"/>
    </row>
    <row r="42" spans="1:42" s="385" customFormat="1" x14ac:dyDescent="0.2">
      <c r="A42" s="386">
        <v>45383</v>
      </c>
      <c r="B42" s="387">
        <v>0</v>
      </c>
      <c r="C42" s="387">
        <v>0</v>
      </c>
      <c r="D42" s="387">
        <v>0</v>
      </c>
      <c r="E42" s="387">
        <v>0</v>
      </c>
      <c r="F42" s="387">
        <v>0</v>
      </c>
      <c r="G42" s="387">
        <v>0</v>
      </c>
      <c r="H42" s="387">
        <v>0</v>
      </c>
      <c r="I42" s="387">
        <v>0</v>
      </c>
      <c r="J42" s="388">
        <f t="shared" si="5"/>
        <v>0</v>
      </c>
      <c r="K42" s="387">
        <v>0</v>
      </c>
      <c r="L42" s="387">
        <v>0</v>
      </c>
      <c r="M42" s="387">
        <v>0</v>
      </c>
      <c r="N42" s="387">
        <v>0</v>
      </c>
      <c r="O42" s="387">
        <v>0</v>
      </c>
      <c r="P42" s="387">
        <v>0</v>
      </c>
      <c r="Q42" s="389">
        <v>0</v>
      </c>
      <c r="R42" s="388">
        <f t="shared" si="6"/>
        <v>0</v>
      </c>
      <c r="S42" s="387">
        <v>0</v>
      </c>
      <c r="T42" s="387">
        <v>0</v>
      </c>
      <c r="U42" s="387">
        <v>0</v>
      </c>
      <c r="V42" s="387">
        <v>0</v>
      </c>
      <c r="W42" s="387">
        <v>0</v>
      </c>
      <c r="X42" s="387">
        <v>0</v>
      </c>
      <c r="Y42" s="387">
        <v>0</v>
      </c>
      <c r="Z42" s="388">
        <f t="shared" si="8"/>
        <v>0</v>
      </c>
      <c r="AA42" s="389">
        <v>0</v>
      </c>
      <c r="AB42" s="389">
        <v>0</v>
      </c>
      <c r="AC42" s="389">
        <v>0</v>
      </c>
      <c r="AD42" s="389">
        <v>0</v>
      </c>
      <c r="AE42" s="389">
        <v>0</v>
      </c>
      <c r="AF42" s="389">
        <v>0</v>
      </c>
      <c r="AG42" s="388">
        <f t="shared" si="10"/>
        <v>0</v>
      </c>
      <c r="AH42" s="387">
        <v>0</v>
      </c>
      <c r="AI42" s="387">
        <v>0</v>
      </c>
      <c r="AJ42" s="387">
        <v>0</v>
      </c>
      <c r="AK42" s="387">
        <v>0</v>
      </c>
      <c r="AL42" s="387">
        <v>0</v>
      </c>
      <c r="AM42" s="387">
        <v>0</v>
      </c>
      <c r="AN42" s="388">
        <f t="shared" si="7"/>
        <v>0</v>
      </c>
      <c r="AO42" s="688">
        <f t="shared" si="9"/>
        <v>0</v>
      </c>
      <c r="AP42" s="390"/>
    </row>
    <row r="43" spans="1:42" s="385" customFormat="1" x14ac:dyDescent="0.2">
      <c r="A43" s="386">
        <v>45413</v>
      </c>
      <c r="B43" s="387">
        <v>0</v>
      </c>
      <c r="C43" s="387">
        <v>0</v>
      </c>
      <c r="D43" s="387">
        <v>0</v>
      </c>
      <c r="E43" s="387">
        <v>0</v>
      </c>
      <c r="F43" s="387">
        <v>0</v>
      </c>
      <c r="G43" s="387">
        <v>0</v>
      </c>
      <c r="H43" s="387">
        <v>0</v>
      </c>
      <c r="I43" s="387">
        <v>0</v>
      </c>
      <c r="J43" s="388">
        <f>SUM(B43:I43)</f>
        <v>0</v>
      </c>
      <c r="K43" s="387">
        <v>0</v>
      </c>
      <c r="L43" s="387">
        <v>0</v>
      </c>
      <c r="M43" s="387">
        <v>0</v>
      </c>
      <c r="N43" s="387">
        <v>0</v>
      </c>
      <c r="O43" s="387">
        <v>0</v>
      </c>
      <c r="P43" s="387">
        <v>0</v>
      </c>
      <c r="Q43" s="389">
        <v>0</v>
      </c>
      <c r="R43" s="388">
        <f t="shared" si="6"/>
        <v>0</v>
      </c>
      <c r="S43" s="387">
        <v>0</v>
      </c>
      <c r="T43" s="387">
        <v>0</v>
      </c>
      <c r="U43" s="387">
        <v>0</v>
      </c>
      <c r="V43" s="387">
        <v>0</v>
      </c>
      <c r="W43" s="387">
        <v>0</v>
      </c>
      <c r="X43" s="387">
        <v>0</v>
      </c>
      <c r="Y43" s="387">
        <v>0</v>
      </c>
      <c r="Z43" s="388">
        <f t="shared" si="8"/>
        <v>0</v>
      </c>
      <c r="AA43" s="389">
        <v>0</v>
      </c>
      <c r="AB43" s="389">
        <v>0</v>
      </c>
      <c r="AC43" s="389">
        <v>0</v>
      </c>
      <c r="AD43" s="389">
        <v>0</v>
      </c>
      <c r="AE43" s="389">
        <v>0</v>
      </c>
      <c r="AF43" s="389">
        <v>0</v>
      </c>
      <c r="AG43" s="388">
        <f t="shared" si="10"/>
        <v>0</v>
      </c>
      <c r="AH43" s="387">
        <v>0</v>
      </c>
      <c r="AI43" s="387">
        <v>0</v>
      </c>
      <c r="AJ43" s="387">
        <v>0</v>
      </c>
      <c r="AK43" s="387">
        <v>0</v>
      </c>
      <c r="AL43" s="387">
        <v>0</v>
      </c>
      <c r="AM43" s="387">
        <v>0</v>
      </c>
      <c r="AN43" s="388">
        <f t="shared" si="7"/>
        <v>0</v>
      </c>
      <c r="AO43" s="688">
        <f t="shared" si="9"/>
        <v>0</v>
      </c>
      <c r="AP43" s="390"/>
    </row>
    <row r="44" spans="1:42" s="385" customFormat="1" x14ac:dyDescent="0.2">
      <c r="A44" s="386">
        <v>45444</v>
      </c>
      <c r="B44" s="387">
        <v>0</v>
      </c>
      <c r="C44" s="387">
        <v>0</v>
      </c>
      <c r="D44" s="387">
        <v>0</v>
      </c>
      <c r="E44" s="387">
        <v>0</v>
      </c>
      <c r="F44" s="387">
        <v>0</v>
      </c>
      <c r="G44" s="387">
        <v>0</v>
      </c>
      <c r="H44" s="387">
        <v>0</v>
      </c>
      <c r="I44" s="387">
        <v>0</v>
      </c>
      <c r="J44" s="388">
        <f>SUM(B44:I44)</f>
        <v>0</v>
      </c>
      <c r="K44" s="387">
        <v>0</v>
      </c>
      <c r="L44" s="387">
        <v>0</v>
      </c>
      <c r="M44" s="387">
        <v>0</v>
      </c>
      <c r="N44" s="387">
        <v>0</v>
      </c>
      <c r="O44" s="387">
        <v>0</v>
      </c>
      <c r="P44" s="387">
        <v>0</v>
      </c>
      <c r="Q44" s="389">
        <v>0</v>
      </c>
      <c r="R44" s="388">
        <f t="shared" si="6"/>
        <v>0</v>
      </c>
      <c r="S44" s="387">
        <v>0</v>
      </c>
      <c r="T44" s="387">
        <v>0</v>
      </c>
      <c r="U44" s="387">
        <v>0</v>
      </c>
      <c r="V44" s="387">
        <v>0</v>
      </c>
      <c r="W44" s="387">
        <v>0</v>
      </c>
      <c r="X44" s="387">
        <v>0</v>
      </c>
      <c r="Y44" s="387">
        <v>0</v>
      </c>
      <c r="Z44" s="388">
        <f t="shared" si="8"/>
        <v>0</v>
      </c>
      <c r="AA44" s="389">
        <v>0</v>
      </c>
      <c r="AB44" s="389">
        <v>0</v>
      </c>
      <c r="AC44" s="389">
        <v>0</v>
      </c>
      <c r="AD44" s="389">
        <v>0</v>
      </c>
      <c r="AE44" s="389">
        <v>0</v>
      </c>
      <c r="AF44" s="389">
        <v>0</v>
      </c>
      <c r="AG44" s="388">
        <f t="shared" si="10"/>
        <v>0</v>
      </c>
      <c r="AH44" s="387">
        <v>3392140</v>
      </c>
      <c r="AI44" s="387">
        <v>0</v>
      </c>
      <c r="AJ44" s="387">
        <v>0</v>
      </c>
      <c r="AK44" s="387">
        <v>0</v>
      </c>
      <c r="AL44" s="387">
        <v>0</v>
      </c>
      <c r="AM44" s="387">
        <v>0</v>
      </c>
      <c r="AN44" s="388">
        <f t="shared" si="7"/>
        <v>3392140</v>
      </c>
      <c r="AO44" s="688">
        <f t="shared" si="9"/>
        <v>3392140</v>
      </c>
      <c r="AP44" s="390"/>
    </row>
    <row r="45" spans="1:42" s="385" customFormat="1" x14ac:dyDescent="0.2">
      <c r="A45" s="386">
        <v>45474</v>
      </c>
      <c r="B45" s="387">
        <v>0</v>
      </c>
      <c r="C45" s="387">
        <v>592417395</v>
      </c>
      <c r="D45" s="387">
        <v>0</v>
      </c>
      <c r="E45" s="387">
        <v>0</v>
      </c>
      <c r="F45" s="387">
        <v>0</v>
      </c>
      <c r="G45" s="387">
        <v>0</v>
      </c>
      <c r="H45" s="387">
        <v>0</v>
      </c>
      <c r="I45" s="387">
        <v>0</v>
      </c>
      <c r="J45" s="388">
        <f t="shared" si="5"/>
        <v>592417395</v>
      </c>
      <c r="K45" s="387">
        <v>0</v>
      </c>
      <c r="L45" s="387">
        <v>0</v>
      </c>
      <c r="M45" s="387">
        <v>0</v>
      </c>
      <c r="N45" s="387">
        <v>0</v>
      </c>
      <c r="O45" s="387">
        <v>0</v>
      </c>
      <c r="P45" s="387">
        <v>0</v>
      </c>
      <c r="Q45" s="389">
        <v>0</v>
      </c>
      <c r="R45" s="388">
        <f t="shared" si="6"/>
        <v>0</v>
      </c>
      <c r="S45" s="387">
        <v>0</v>
      </c>
      <c r="T45" s="387">
        <v>0</v>
      </c>
      <c r="U45" s="387">
        <v>0</v>
      </c>
      <c r="V45" s="387">
        <v>0</v>
      </c>
      <c r="W45" s="387">
        <v>0</v>
      </c>
      <c r="X45" s="387">
        <v>0</v>
      </c>
      <c r="Y45" s="387">
        <v>0</v>
      </c>
      <c r="Z45" s="388">
        <f t="shared" si="8"/>
        <v>0</v>
      </c>
      <c r="AA45" s="389">
        <v>0</v>
      </c>
      <c r="AB45" s="389">
        <v>0</v>
      </c>
      <c r="AC45" s="389">
        <v>0</v>
      </c>
      <c r="AD45" s="389">
        <v>0</v>
      </c>
      <c r="AE45" s="389">
        <v>0</v>
      </c>
      <c r="AF45" s="389">
        <v>0</v>
      </c>
      <c r="AG45" s="388">
        <f t="shared" si="10"/>
        <v>0</v>
      </c>
      <c r="AH45" s="387">
        <v>8000000</v>
      </c>
      <c r="AI45" s="387">
        <v>0</v>
      </c>
      <c r="AJ45" s="387">
        <v>0</v>
      </c>
      <c r="AK45" s="387">
        <v>0</v>
      </c>
      <c r="AL45" s="387">
        <v>0</v>
      </c>
      <c r="AM45" s="387">
        <v>0</v>
      </c>
      <c r="AN45" s="388">
        <f t="shared" si="7"/>
        <v>8000000</v>
      </c>
      <c r="AO45" s="688">
        <f t="shared" si="9"/>
        <v>600417395</v>
      </c>
      <c r="AP45" s="390"/>
    </row>
    <row r="46" spans="1:42" s="385" customFormat="1" x14ac:dyDescent="0.2">
      <c r="A46" s="386">
        <v>45505</v>
      </c>
      <c r="B46" s="387">
        <v>0</v>
      </c>
      <c r="C46" s="387">
        <v>0</v>
      </c>
      <c r="D46" s="387">
        <v>0</v>
      </c>
      <c r="E46" s="387">
        <v>0</v>
      </c>
      <c r="F46" s="387">
        <v>0</v>
      </c>
      <c r="G46" s="387">
        <v>0</v>
      </c>
      <c r="H46" s="387">
        <v>0</v>
      </c>
      <c r="I46" s="387">
        <v>0</v>
      </c>
      <c r="J46" s="388">
        <f t="shared" si="5"/>
        <v>0</v>
      </c>
      <c r="K46" s="387">
        <v>0</v>
      </c>
      <c r="L46" s="387">
        <v>414071610</v>
      </c>
      <c r="M46" s="387">
        <v>0</v>
      </c>
      <c r="N46" s="387">
        <v>0</v>
      </c>
      <c r="O46" s="387">
        <v>0</v>
      </c>
      <c r="P46" s="387">
        <v>0</v>
      </c>
      <c r="Q46" s="389">
        <v>0</v>
      </c>
      <c r="R46" s="388">
        <f t="shared" si="6"/>
        <v>414071610</v>
      </c>
      <c r="S46" s="387">
        <v>0</v>
      </c>
      <c r="T46" s="387">
        <v>0</v>
      </c>
      <c r="U46" s="387">
        <v>0</v>
      </c>
      <c r="V46" s="387">
        <v>0</v>
      </c>
      <c r="W46" s="387">
        <v>0</v>
      </c>
      <c r="X46" s="387">
        <v>0</v>
      </c>
      <c r="Y46" s="387">
        <v>0</v>
      </c>
      <c r="Z46" s="388">
        <f t="shared" si="8"/>
        <v>0</v>
      </c>
      <c r="AA46" s="389">
        <v>0</v>
      </c>
      <c r="AB46" s="389">
        <v>0</v>
      </c>
      <c r="AC46" s="389">
        <v>0</v>
      </c>
      <c r="AD46" s="389">
        <v>0</v>
      </c>
      <c r="AE46" s="389">
        <v>0</v>
      </c>
      <c r="AF46" s="389">
        <v>0</v>
      </c>
      <c r="AG46" s="388">
        <f t="shared" si="10"/>
        <v>0</v>
      </c>
      <c r="AH46" s="387">
        <v>8000000</v>
      </c>
      <c r="AI46" s="387">
        <v>0</v>
      </c>
      <c r="AJ46" s="387">
        <v>0</v>
      </c>
      <c r="AK46" s="387">
        <v>0</v>
      </c>
      <c r="AL46" s="387">
        <v>0</v>
      </c>
      <c r="AM46" s="387">
        <v>0</v>
      </c>
      <c r="AN46" s="388">
        <f t="shared" si="7"/>
        <v>8000000</v>
      </c>
      <c r="AO46" s="688">
        <f t="shared" si="9"/>
        <v>422071610</v>
      </c>
      <c r="AP46" s="390"/>
    </row>
    <row r="47" spans="1:42" s="385" customFormat="1" x14ac:dyDescent="0.2">
      <c r="A47" s="386">
        <v>45536</v>
      </c>
      <c r="B47" s="387">
        <v>0</v>
      </c>
      <c r="C47" s="387">
        <v>233516634</v>
      </c>
      <c r="D47" s="387">
        <v>0</v>
      </c>
      <c r="E47" s="387">
        <v>0</v>
      </c>
      <c r="F47" s="387">
        <v>0</v>
      </c>
      <c r="G47" s="387">
        <v>0</v>
      </c>
      <c r="H47" s="387">
        <v>0</v>
      </c>
      <c r="I47" s="387">
        <v>0</v>
      </c>
      <c r="J47" s="388">
        <f t="shared" si="5"/>
        <v>233516634</v>
      </c>
      <c r="K47" s="387">
        <v>0</v>
      </c>
      <c r="L47" s="387">
        <v>0</v>
      </c>
      <c r="M47" s="387">
        <v>0</v>
      </c>
      <c r="N47" s="387">
        <v>0</v>
      </c>
      <c r="O47" s="387">
        <v>0</v>
      </c>
      <c r="P47" s="387">
        <v>0</v>
      </c>
      <c r="Q47" s="389">
        <v>0</v>
      </c>
      <c r="R47" s="388">
        <f t="shared" si="6"/>
        <v>0</v>
      </c>
      <c r="S47" s="387">
        <v>0</v>
      </c>
      <c r="T47" s="387">
        <v>0</v>
      </c>
      <c r="U47" s="387">
        <v>0</v>
      </c>
      <c r="V47" s="387">
        <v>0</v>
      </c>
      <c r="W47" s="387">
        <v>0</v>
      </c>
      <c r="X47" s="387">
        <v>0</v>
      </c>
      <c r="Y47" s="387">
        <v>0</v>
      </c>
      <c r="Z47" s="388">
        <f t="shared" si="8"/>
        <v>0</v>
      </c>
      <c r="AA47" s="389">
        <v>0</v>
      </c>
      <c r="AB47" s="389">
        <v>0</v>
      </c>
      <c r="AC47" s="389">
        <v>0</v>
      </c>
      <c r="AD47" s="389">
        <v>0</v>
      </c>
      <c r="AE47" s="389">
        <v>0</v>
      </c>
      <c r="AF47" s="389">
        <v>0</v>
      </c>
      <c r="AG47" s="388">
        <f t="shared" si="10"/>
        <v>0</v>
      </c>
      <c r="AH47" s="387">
        <v>4300000</v>
      </c>
      <c r="AI47" s="387">
        <v>0</v>
      </c>
      <c r="AJ47" s="387">
        <v>0</v>
      </c>
      <c r="AK47" s="387">
        <v>0</v>
      </c>
      <c r="AL47" s="387">
        <v>0</v>
      </c>
      <c r="AM47" s="387">
        <v>0</v>
      </c>
      <c r="AN47" s="388">
        <f t="shared" si="7"/>
        <v>4300000</v>
      </c>
      <c r="AO47" s="688">
        <f t="shared" si="9"/>
        <v>237816634</v>
      </c>
      <c r="AP47" s="390"/>
    </row>
    <row r="48" spans="1:42" s="385" customFormat="1" x14ac:dyDescent="0.2">
      <c r="A48" s="386">
        <v>45566</v>
      </c>
      <c r="B48" s="387">
        <v>0</v>
      </c>
      <c r="C48" s="387">
        <v>0</v>
      </c>
      <c r="D48" s="387">
        <v>0</v>
      </c>
      <c r="E48" s="387">
        <v>0</v>
      </c>
      <c r="F48" s="387">
        <v>0</v>
      </c>
      <c r="G48" s="387">
        <v>0</v>
      </c>
      <c r="H48" s="387">
        <v>1005293</v>
      </c>
      <c r="I48" s="387">
        <v>0</v>
      </c>
      <c r="J48" s="388">
        <f t="shared" si="5"/>
        <v>1005293</v>
      </c>
      <c r="K48" s="387">
        <v>0</v>
      </c>
      <c r="L48" s="387">
        <v>0</v>
      </c>
      <c r="M48" s="387">
        <v>0</v>
      </c>
      <c r="N48" s="387">
        <v>0</v>
      </c>
      <c r="O48" s="387">
        <v>0</v>
      </c>
      <c r="P48" s="387">
        <v>0</v>
      </c>
      <c r="Q48" s="389">
        <v>0</v>
      </c>
      <c r="R48" s="388">
        <f t="shared" si="6"/>
        <v>0</v>
      </c>
      <c r="S48" s="387">
        <v>0</v>
      </c>
      <c r="T48" s="387">
        <v>0</v>
      </c>
      <c r="U48" s="387">
        <v>0</v>
      </c>
      <c r="V48" s="387">
        <v>0</v>
      </c>
      <c r="W48" s="387">
        <v>0</v>
      </c>
      <c r="X48" s="387">
        <v>0</v>
      </c>
      <c r="Y48" s="387">
        <v>0</v>
      </c>
      <c r="Z48" s="388">
        <f t="shared" si="8"/>
        <v>0</v>
      </c>
      <c r="AA48" s="389">
        <v>0</v>
      </c>
      <c r="AB48" s="389">
        <v>0</v>
      </c>
      <c r="AC48" s="389">
        <v>0</v>
      </c>
      <c r="AD48" s="389">
        <v>0</v>
      </c>
      <c r="AE48" s="389">
        <v>0</v>
      </c>
      <c r="AF48" s="389">
        <v>0</v>
      </c>
      <c r="AG48" s="388">
        <f t="shared" si="10"/>
        <v>0</v>
      </c>
      <c r="AH48" s="387">
        <v>4300000</v>
      </c>
      <c r="AI48" s="387">
        <v>0</v>
      </c>
      <c r="AJ48" s="387">
        <v>0</v>
      </c>
      <c r="AK48" s="387">
        <v>0</v>
      </c>
      <c r="AL48" s="387">
        <v>0</v>
      </c>
      <c r="AM48" s="387">
        <v>0</v>
      </c>
      <c r="AN48" s="388">
        <f t="shared" si="7"/>
        <v>4300000</v>
      </c>
      <c r="AO48" s="688">
        <f t="shared" si="9"/>
        <v>5305293</v>
      </c>
      <c r="AP48" s="390"/>
    </row>
    <row r="49" spans="1:42" s="385" customFormat="1" x14ac:dyDescent="0.2">
      <c r="A49" s="386">
        <v>45597</v>
      </c>
      <c r="B49" s="387">
        <v>0</v>
      </c>
      <c r="C49" s="387">
        <v>0</v>
      </c>
      <c r="D49" s="387">
        <v>0</v>
      </c>
      <c r="E49" s="387">
        <v>0</v>
      </c>
      <c r="F49" s="387">
        <v>0</v>
      </c>
      <c r="G49" s="387">
        <v>0</v>
      </c>
      <c r="H49" s="387">
        <v>0</v>
      </c>
      <c r="I49" s="387">
        <v>0</v>
      </c>
      <c r="J49" s="388">
        <f t="shared" si="5"/>
        <v>0</v>
      </c>
      <c r="K49" s="387">
        <v>0</v>
      </c>
      <c r="L49" s="387">
        <v>0</v>
      </c>
      <c r="M49" s="387">
        <v>0</v>
      </c>
      <c r="N49" s="387">
        <v>0</v>
      </c>
      <c r="O49" s="387">
        <v>0</v>
      </c>
      <c r="P49" s="387">
        <v>0</v>
      </c>
      <c r="Q49" s="389">
        <v>0</v>
      </c>
      <c r="R49" s="388">
        <f t="shared" si="6"/>
        <v>0</v>
      </c>
      <c r="S49" s="387">
        <v>0</v>
      </c>
      <c r="T49" s="387">
        <v>0</v>
      </c>
      <c r="U49" s="387">
        <v>0</v>
      </c>
      <c r="V49" s="387">
        <v>0</v>
      </c>
      <c r="W49" s="387">
        <v>0</v>
      </c>
      <c r="X49" s="387">
        <v>0</v>
      </c>
      <c r="Y49" s="387">
        <v>0</v>
      </c>
      <c r="Z49" s="388">
        <f t="shared" si="8"/>
        <v>0</v>
      </c>
      <c r="AA49" s="389">
        <v>0</v>
      </c>
      <c r="AB49" s="389">
        <v>0</v>
      </c>
      <c r="AC49" s="389">
        <v>0</v>
      </c>
      <c r="AD49" s="389">
        <v>0</v>
      </c>
      <c r="AE49" s="389">
        <v>0</v>
      </c>
      <c r="AF49" s="389">
        <v>0</v>
      </c>
      <c r="AG49" s="388">
        <f t="shared" si="10"/>
        <v>0</v>
      </c>
      <c r="AH49" s="387">
        <v>4300000</v>
      </c>
      <c r="AI49" s="387">
        <v>0</v>
      </c>
      <c r="AJ49" s="387">
        <v>0</v>
      </c>
      <c r="AK49" s="387">
        <v>0</v>
      </c>
      <c r="AL49" s="387">
        <v>0</v>
      </c>
      <c r="AM49" s="387">
        <v>0</v>
      </c>
      <c r="AN49" s="388">
        <f t="shared" si="7"/>
        <v>4300000</v>
      </c>
      <c r="AO49" s="688">
        <f t="shared" si="9"/>
        <v>4300000</v>
      </c>
      <c r="AP49" s="390"/>
    </row>
    <row r="50" spans="1:42" s="385" customFormat="1" x14ac:dyDescent="0.2">
      <c r="A50" s="386">
        <v>45627</v>
      </c>
      <c r="B50" s="387">
        <v>0</v>
      </c>
      <c r="C50" s="387">
        <v>0</v>
      </c>
      <c r="D50" s="387">
        <v>0</v>
      </c>
      <c r="E50" s="387">
        <v>0</v>
      </c>
      <c r="F50" s="387">
        <v>2000000</v>
      </c>
      <c r="G50" s="387">
        <v>0</v>
      </c>
      <c r="H50" s="387">
        <v>907941</v>
      </c>
      <c r="I50" s="387">
        <v>0</v>
      </c>
      <c r="J50" s="388">
        <f>SUM(B50:I50)</f>
        <v>2907941</v>
      </c>
      <c r="K50" s="387">
        <v>0</v>
      </c>
      <c r="L50" s="387">
        <v>0</v>
      </c>
      <c r="M50" s="387">
        <v>0</v>
      </c>
      <c r="N50" s="387">
        <v>0</v>
      </c>
      <c r="O50" s="387">
        <v>0</v>
      </c>
      <c r="P50" s="387">
        <v>0</v>
      </c>
      <c r="Q50" s="389">
        <v>0</v>
      </c>
      <c r="R50" s="388">
        <f t="shared" si="6"/>
        <v>0</v>
      </c>
      <c r="S50" s="387">
        <v>0</v>
      </c>
      <c r="T50" s="387">
        <v>0</v>
      </c>
      <c r="U50" s="387">
        <v>0</v>
      </c>
      <c r="V50" s="387">
        <v>0</v>
      </c>
      <c r="W50" s="387">
        <v>0</v>
      </c>
      <c r="X50" s="387">
        <v>0</v>
      </c>
      <c r="Y50" s="387">
        <v>0</v>
      </c>
      <c r="Z50" s="388">
        <f t="shared" si="8"/>
        <v>0</v>
      </c>
      <c r="AA50" s="389">
        <v>0</v>
      </c>
      <c r="AB50" s="389">
        <v>0</v>
      </c>
      <c r="AC50" s="389">
        <v>0</v>
      </c>
      <c r="AD50" s="389">
        <v>0</v>
      </c>
      <c r="AE50" s="389">
        <v>0</v>
      </c>
      <c r="AF50" s="389">
        <v>0</v>
      </c>
      <c r="AG50" s="388">
        <f t="shared" si="10"/>
        <v>0</v>
      </c>
      <c r="AH50" s="387">
        <v>4300000</v>
      </c>
      <c r="AI50" s="387">
        <v>0</v>
      </c>
      <c r="AJ50" s="387">
        <v>0</v>
      </c>
      <c r="AK50" s="387">
        <v>0</v>
      </c>
      <c r="AL50" s="387">
        <v>0</v>
      </c>
      <c r="AM50" s="387">
        <v>0</v>
      </c>
      <c r="AN50" s="388">
        <f t="shared" si="7"/>
        <v>4300000</v>
      </c>
      <c r="AO50" s="688">
        <f t="shared" si="9"/>
        <v>7207941</v>
      </c>
      <c r="AP50" s="390"/>
    </row>
    <row r="51" spans="1:42" s="385" customFormat="1" x14ac:dyDescent="0.2">
      <c r="A51" s="386">
        <v>45658</v>
      </c>
      <c r="B51" s="387">
        <v>0</v>
      </c>
      <c r="C51" s="387">
        <v>0</v>
      </c>
      <c r="D51" s="387">
        <v>0</v>
      </c>
      <c r="E51" s="387">
        <v>0</v>
      </c>
      <c r="F51" s="387">
        <v>7097042</v>
      </c>
      <c r="G51" s="387">
        <v>0</v>
      </c>
      <c r="H51" s="387">
        <v>0</v>
      </c>
      <c r="I51" s="387">
        <v>0</v>
      </c>
      <c r="J51" s="388">
        <f t="shared" si="5"/>
        <v>7097042</v>
      </c>
      <c r="K51" s="387">
        <v>0</v>
      </c>
      <c r="L51" s="387">
        <v>0</v>
      </c>
      <c r="M51" s="387">
        <v>0</v>
      </c>
      <c r="N51" s="387">
        <v>0</v>
      </c>
      <c r="O51" s="387">
        <v>0</v>
      </c>
      <c r="P51" s="387">
        <v>0</v>
      </c>
      <c r="Q51" s="389">
        <v>0</v>
      </c>
      <c r="R51" s="388">
        <f t="shared" si="6"/>
        <v>0</v>
      </c>
      <c r="S51" s="387">
        <v>0</v>
      </c>
      <c r="T51" s="387">
        <v>0</v>
      </c>
      <c r="U51" s="387">
        <v>0</v>
      </c>
      <c r="V51" s="387">
        <v>0</v>
      </c>
      <c r="W51" s="387">
        <v>0</v>
      </c>
      <c r="X51" s="387">
        <v>0</v>
      </c>
      <c r="Y51" s="387">
        <v>0</v>
      </c>
      <c r="Z51" s="388">
        <f t="shared" si="8"/>
        <v>0</v>
      </c>
      <c r="AA51" s="389">
        <v>8032287</v>
      </c>
      <c r="AB51" s="389">
        <v>0</v>
      </c>
      <c r="AC51" s="708">
        <v>9141042</v>
      </c>
      <c r="AD51" s="389">
        <v>0</v>
      </c>
      <c r="AE51" s="389">
        <v>0</v>
      </c>
      <c r="AF51" s="389">
        <v>0</v>
      </c>
      <c r="AG51" s="388">
        <f t="shared" si="10"/>
        <v>17173329</v>
      </c>
      <c r="AH51" s="387">
        <v>4300000</v>
      </c>
      <c r="AI51" s="387">
        <v>0</v>
      </c>
      <c r="AJ51" s="387">
        <v>0</v>
      </c>
      <c r="AK51" s="387">
        <v>0</v>
      </c>
      <c r="AL51" s="387">
        <v>0</v>
      </c>
      <c r="AM51" s="387">
        <v>0</v>
      </c>
      <c r="AN51" s="388">
        <f t="shared" si="7"/>
        <v>4300000</v>
      </c>
      <c r="AO51" s="688">
        <f t="shared" si="9"/>
        <v>28570371</v>
      </c>
      <c r="AP51" s="390"/>
    </row>
    <row r="52" spans="1:42" s="385" customFormat="1" x14ac:dyDescent="0.2">
      <c r="A52" s="386">
        <v>45689</v>
      </c>
      <c r="B52" s="387">
        <v>0</v>
      </c>
      <c r="C52" s="387">
        <v>1</v>
      </c>
      <c r="D52" s="387">
        <v>0</v>
      </c>
      <c r="E52" s="387">
        <v>0</v>
      </c>
      <c r="F52" s="387">
        <v>870400</v>
      </c>
      <c r="G52" s="387">
        <v>0</v>
      </c>
      <c r="H52" s="387">
        <v>0</v>
      </c>
      <c r="I52" s="387">
        <v>1361963</v>
      </c>
      <c r="J52" s="388">
        <f t="shared" si="5"/>
        <v>2232364</v>
      </c>
      <c r="K52" s="387">
        <v>0</v>
      </c>
      <c r="L52" s="387">
        <v>0</v>
      </c>
      <c r="M52" s="387">
        <v>0</v>
      </c>
      <c r="N52" s="387">
        <v>0</v>
      </c>
      <c r="O52" s="387">
        <v>0</v>
      </c>
      <c r="P52" s="387">
        <v>0</v>
      </c>
      <c r="Q52" s="389">
        <v>0</v>
      </c>
      <c r="R52" s="388">
        <f t="shared" si="6"/>
        <v>0</v>
      </c>
      <c r="S52" s="387">
        <v>0</v>
      </c>
      <c r="T52" s="387">
        <v>0</v>
      </c>
      <c r="U52" s="387">
        <v>0</v>
      </c>
      <c r="V52" s="387">
        <v>0</v>
      </c>
      <c r="W52" s="387">
        <v>0</v>
      </c>
      <c r="X52" s="387">
        <v>0</v>
      </c>
      <c r="Y52" s="387">
        <v>0</v>
      </c>
      <c r="Z52" s="388">
        <f t="shared" si="8"/>
        <v>0</v>
      </c>
      <c r="AA52" s="389">
        <v>0</v>
      </c>
      <c r="AB52" s="389">
        <v>0</v>
      </c>
      <c r="AC52" s="389">
        <v>0</v>
      </c>
      <c r="AD52" s="389">
        <v>0</v>
      </c>
      <c r="AE52" s="389">
        <v>0</v>
      </c>
      <c r="AF52" s="389">
        <v>0</v>
      </c>
      <c r="AG52" s="388">
        <f t="shared" si="10"/>
        <v>0</v>
      </c>
      <c r="AH52" s="387">
        <v>4300000</v>
      </c>
      <c r="AI52" s="387">
        <v>0</v>
      </c>
      <c r="AJ52" s="387">
        <v>0</v>
      </c>
      <c r="AK52" s="387">
        <v>0</v>
      </c>
      <c r="AL52" s="387">
        <v>0</v>
      </c>
      <c r="AM52" s="387">
        <v>0</v>
      </c>
      <c r="AN52" s="388">
        <f t="shared" si="7"/>
        <v>4300000</v>
      </c>
      <c r="AO52" s="688">
        <f t="shared" si="9"/>
        <v>6532364</v>
      </c>
      <c r="AP52" s="390"/>
    </row>
    <row r="53" spans="1:42" s="385" customFormat="1" x14ac:dyDescent="0.2">
      <c r="A53" s="386">
        <v>45717</v>
      </c>
      <c r="B53" s="387">
        <v>0</v>
      </c>
      <c r="C53" s="387">
        <v>0</v>
      </c>
      <c r="D53" s="387">
        <v>0</v>
      </c>
      <c r="E53" s="387">
        <v>0</v>
      </c>
      <c r="F53" s="387">
        <v>9621400</v>
      </c>
      <c r="G53" s="387">
        <v>0</v>
      </c>
      <c r="H53" s="387">
        <v>464431</v>
      </c>
      <c r="I53" s="387">
        <v>3178043</v>
      </c>
      <c r="J53" s="388">
        <f t="shared" si="5"/>
        <v>13263874</v>
      </c>
      <c r="K53" s="387">
        <v>0</v>
      </c>
      <c r="L53" s="387">
        <v>0</v>
      </c>
      <c r="M53" s="387">
        <v>0</v>
      </c>
      <c r="N53" s="387">
        <v>0</v>
      </c>
      <c r="O53" s="387">
        <v>781341</v>
      </c>
      <c r="P53" s="387">
        <v>982278</v>
      </c>
      <c r="Q53" s="389">
        <v>58313</v>
      </c>
      <c r="R53" s="388">
        <f>SUM(K53:Q53)</f>
        <v>1821932</v>
      </c>
      <c r="S53" s="387">
        <v>0</v>
      </c>
      <c r="T53" s="387">
        <v>0</v>
      </c>
      <c r="U53" s="387">
        <v>0</v>
      </c>
      <c r="V53" s="387">
        <v>0</v>
      </c>
      <c r="W53" s="387">
        <v>0</v>
      </c>
      <c r="X53" s="387">
        <v>0</v>
      </c>
      <c r="Y53" s="387">
        <v>0</v>
      </c>
      <c r="Z53" s="388">
        <f t="shared" si="8"/>
        <v>0</v>
      </c>
      <c r="AA53" s="389">
        <v>0</v>
      </c>
      <c r="AB53" s="389">
        <v>0</v>
      </c>
      <c r="AC53" s="389">
        <v>0</v>
      </c>
      <c r="AD53" s="389">
        <v>1290843</v>
      </c>
      <c r="AE53" s="389">
        <v>3509859</v>
      </c>
      <c r="AF53" s="389">
        <v>0</v>
      </c>
      <c r="AG53" s="388">
        <f t="shared" si="10"/>
        <v>4800702</v>
      </c>
      <c r="AH53" s="387">
        <v>4300000</v>
      </c>
      <c r="AI53" s="387">
        <v>0</v>
      </c>
      <c r="AJ53" s="387">
        <v>23312</v>
      </c>
      <c r="AK53" s="387">
        <v>0</v>
      </c>
      <c r="AL53" s="387">
        <v>0</v>
      </c>
      <c r="AM53" s="387">
        <v>0</v>
      </c>
      <c r="AN53" s="388">
        <f t="shared" si="7"/>
        <v>4323312</v>
      </c>
      <c r="AO53" s="688">
        <f t="shared" si="9"/>
        <v>24209820</v>
      </c>
      <c r="AP53" s="390"/>
    </row>
    <row r="54" spans="1:42" s="385" customFormat="1" x14ac:dyDescent="0.2">
      <c r="A54" s="386">
        <v>45748</v>
      </c>
      <c r="B54" s="387">
        <v>0</v>
      </c>
      <c r="C54" s="387">
        <v>0</v>
      </c>
      <c r="D54" s="387">
        <v>0</v>
      </c>
      <c r="E54" s="387">
        <v>0</v>
      </c>
      <c r="F54" s="387">
        <v>1434902</v>
      </c>
      <c r="G54" s="387">
        <v>0</v>
      </c>
      <c r="H54" s="387">
        <v>0</v>
      </c>
      <c r="I54" s="387">
        <v>0</v>
      </c>
      <c r="J54" s="388">
        <f t="shared" si="5"/>
        <v>1434902</v>
      </c>
      <c r="K54" s="387">
        <v>450000</v>
      </c>
      <c r="L54" s="387">
        <v>206500000</v>
      </c>
      <c r="M54" s="387">
        <v>0</v>
      </c>
      <c r="N54" s="387">
        <v>0</v>
      </c>
      <c r="O54" s="387">
        <v>2171836</v>
      </c>
      <c r="P54" s="387">
        <v>0</v>
      </c>
      <c r="Q54" s="389">
        <v>79683</v>
      </c>
      <c r="R54" s="388">
        <f>SUM(K54:Q54)</f>
        <v>209201519</v>
      </c>
      <c r="S54" s="387">
        <v>1532498</v>
      </c>
      <c r="T54" s="387">
        <v>0</v>
      </c>
      <c r="U54" s="387">
        <v>0</v>
      </c>
      <c r="V54" s="387">
        <v>0</v>
      </c>
      <c r="W54" s="387">
        <v>0</v>
      </c>
      <c r="X54" s="387">
        <v>0</v>
      </c>
      <c r="Y54" s="387">
        <v>0</v>
      </c>
      <c r="Z54" s="388">
        <f t="shared" si="8"/>
        <v>1532498</v>
      </c>
      <c r="AA54" s="389">
        <v>13151152</v>
      </c>
      <c r="AB54" s="389">
        <v>0</v>
      </c>
      <c r="AC54" s="389">
        <v>0</v>
      </c>
      <c r="AD54" s="389">
        <v>0</v>
      </c>
      <c r="AE54" s="389">
        <v>0</v>
      </c>
      <c r="AF54" s="389">
        <v>0</v>
      </c>
      <c r="AG54" s="388">
        <f t="shared" si="10"/>
        <v>13151152</v>
      </c>
      <c r="AH54" s="387">
        <v>16857908</v>
      </c>
      <c r="AI54" s="387">
        <v>0</v>
      </c>
      <c r="AJ54" s="387">
        <v>2023738</v>
      </c>
      <c r="AK54" s="387">
        <v>0</v>
      </c>
      <c r="AL54" s="387">
        <v>0</v>
      </c>
      <c r="AM54" s="387">
        <v>0</v>
      </c>
      <c r="AN54" s="388">
        <f t="shared" si="7"/>
        <v>18881646</v>
      </c>
      <c r="AO54" s="688">
        <f t="shared" si="9"/>
        <v>244201717</v>
      </c>
      <c r="AP54" s="390"/>
    </row>
    <row r="55" spans="1:42" s="385" customFormat="1" x14ac:dyDescent="0.2">
      <c r="A55" s="386">
        <v>45778</v>
      </c>
      <c r="B55" s="387">
        <v>56227345</v>
      </c>
      <c r="C55" s="387">
        <v>237929928</v>
      </c>
      <c r="D55" s="387">
        <v>0</v>
      </c>
      <c r="E55" s="387">
        <v>0</v>
      </c>
      <c r="F55" s="387">
        <v>0</v>
      </c>
      <c r="G55" s="387">
        <v>0</v>
      </c>
      <c r="H55" s="387">
        <v>0</v>
      </c>
      <c r="I55" s="387">
        <v>0</v>
      </c>
      <c r="J55" s="388">
        <f t="shared" si="5"/>
        <v>294157273</v>
      </c>
      <c r="K55" s="387">
        <v>0</v>
      </c>
      <c r="L55" s="387">
        <v>490294249</v>
      </c>
      <c r="M55" s="387">
        <v>0</v>
      </c>
      <c r="N55" s="387">
        <v>0</v>
      </c>
      <c r="O55" s="387">
        <v>0</v>
      </c>
      <c r="P55" s="387">
        <v>0</v>
      </c>
      <c r="Q55" s="389">
        <v>0</v>
      </c>
      <c r="R55" s="388">
        <f t="shared" si="6"/>
        <v>490294249</v>
      </c>
      <c r="S55" s="387">
        <v>9034320</v>
      </c>
      <c r="T55" s="387">
        <v>0</v>
      </c>
      <c r="U55" s="387">
        <v>0</v>
      </c>
      <c r="V55" s="387">
        <v>0</v>
      </c>
      <c r="W55" s="387">
        <v>0</v>
      </c>
      <c r="X55" s="387">
        <v>0</v>
      </c>
      <c r="Y55" s="387">
        <v>0</v>
      </c>
      <c r="Z55" s="388">
        <f t="shared" si="8"/>
        <v>9034320</v>
      </c>
      <c r="AA55" s="389">
        <v>0</v>
      </c>
      <c r="AB55" s="389">
        <v>654544695</v>
      </c>
      <c r="AC55" s="389">
        <v>0</v>
      </c>
      <c r="AD55" s="389">
        <v>0</v>
      </c>
      <c r="AE55" s="389">
        <v>0</v>
      </c>
      <c r="AF55" s="389">
        <v>0</v>
      </c>
      <c r="AG55" s="388">
        <f t="shared" si="10"/>
        <v>654544695</v>
      </c>
      <c r="AH55" s="387">
        <v>27805006</v>
      </c>
      <c r="AI55" s="387">
        <v>0</v>
      </c>
      <c r="AJ55" s="387">
        <v>2023738</v>
      </c>
      <c r="AK55" s="387">
        <v>0</v>
      </c>
      <c r="AL55" s="387">
        <v>0</v>
      </c>
      <c r="AM55" s="387">
        <v>0</v>
      </c>
      <c r="AN55" s="388">
        <f t="shared" si="7"/>
        <v>29828744</v>
      </c>
      <c r="AO55" s="688">
        <f t="shared" si="9"/>
        <v>1477859281</v>
      </c>
      <c r="AP55" s="390"/>
    </row>
    <row r="56" spans="1:42" s="385" customFormat="1" x14ac:dyDescent="0.2">
      <c r="A56" s="386">
        <v>45809</v>
      </c>
      <c r="B56" s="387">
        <v>0</v>
      </c>
      <c r="C56" s="387">
        <v>0</v>
      </c>
      <c r="D56" s="387">
        <v>0</v>
      </c>
      <c r="E56" s="387">
        <v>0</v>
      </c>
      <c r="F56" s="387">
        <v>0</v>
      </c>
      <c r="G56" s="387">
        <v>0</v>
      </c>
      <c r="H56" s="387">
        <v>0</v>
      </c>
      <c r="I56" s="387">
        <v>6364121</v>
      </c>
      <c r="J56" s="388">
        <f t="shared" si="5"/>
        <v>6364121</v>
      </c>
      <c r="K56" s="387">
        <v>40000000</v>
      </c>
      <c r="L56" s="387">
        <v>208381169</v>
      </c>
      <c r="M56" s="387">
        <v>0</v>
      </c>
      <c r="N56" s="387">
        <v>0</v>
      </c>
      <c r="O56" s="387">
        <v>1016636</v>
      </c>
      <c r="P56" s="387">
        <v>0</v>
      </c>
      <c r="Q56" s="389">
        <v>10474101</v>
      </c>
      <c r="R56" s="388">
        <f t="shared" si="6"/>
        <v>259871906</v>
      </c>
      <c r="S56" s="387">
        <v>14967860</v>
      </c>
      <c r="T56" s="387">
        <v>0</v>
      </c>
      <c r="U56" s="387">
        <v>0</v>
      </c>
      <c r="V56" s="387">
        <v>0</v>
      </c>
      <c r="W56" s="387">
        <v>0</v>
      </c>
      <c r="X56" s="387">
        <v>0</v>
      </c>
      <c r="Y56" s="387">
        <v>0</v>
      </c>
      <c r="Z56" s="388">
        <f t="shared" si="8"/>
        <v>14967860</v>
      </c>
      <c r="AA56" s="389">
        <v>31342</v>
      </c>
      <c r="AB56" s="389">
        <v>8261752826</v>
      </c>
      <c r="AC56" s="708">
        <v>455662046</v>
      </c>
      <c r="AD56" s="389">
        <v>0</v>
      </c>
      <c r="AE56" s="389">
        <v>0</v>
      </c>
      <c r="AF56" s="389">
        <v>0</v>
      </c>
      <c r="AG56" s="388">
        <f t="shared" si="10"/>
        <v>8717446214</v>
      </c>
      <c r="AH56" s="387">
        <v>43358722</v>
      </c>
      <c r="AI56" s="387">
        <v>0</v>
      </c>
      <c r="AJ56" s="387">
        <v>2556107</v>
      </c>
      <c r="AK56" s="387">
        <v>0</v>
      </c>
      <c r="AL56" s="387">
        <v>0</v>
      </c>
      <c r="AM56" s="387"/>
      <c r="AN56" s="388">
        <f t="shared" si="7"/>
        <v>45914829</v>
      </c>
      <c r="AO56" s="688">
        <f t="shared" si="9"/>
        <v>9044564930</v>
      </c>
      <c r="AP56" s="390"/>
    </row>
    <row r="57" spans="1:42" s="385" customFormat="1" x14ac:dyDescent="0.2">
      <c r="A57" s="386">
        <v>45839</v>
      </c>
      <c r="B57" s="387">
        <v>0</v>
      </c>
      <c r="C57" s="387">
        <v>0</v>
      </c>
      <c r="D57" s="387">
        <v>0</v>
      </c>
      <c r="E57" s="387">
        <v>0</v>
      </c>
      <c r="F57" s="387">
        <v>0</v>
      </c>
      <c r="G57" s="387">
        <v>0</v>
      </c>
      <c r="H57" s="387">
        <v>0</v>
      </c>
      <c r="I57" s="387">
        <v>0</v>
      </c>
      <c r="J57" s="388">
        <f t="shared" si="5"/>
        <v>0</v>
      </c>
      <c r="K57" s="387">
        <v>0</v>
      </c>
      <c r="L57" s="387">
        <v>301126001</v>
      </c>
      <c r="M57" s="387">
        <v>55743511</v>
      </c>
      <c r="N57" s="387">
        <v>0</v>
      </c>
      <c r="O57" s="387">
        <v>0</v>
      </c>
      <c r="P57" s="387">
        <v>1610367</v>
      </c>
      <c r="Q57" s="389">
        <v>0</v>
      </c>
      <c r="R57" s="388">
        <f t="shared" si="6"/>
        <v>358479879</v>
      </c>
      <c r="S57" s="387">
        <v>27212875</v>
      </c>
      <c r="T57" s="387">
        <v>0</v>
      </c>
      <c r="U57" s="387">
        <v>0</v>
      </c>
      <c r="V57" s="387">
        <v>0</v>
      </c>
      <c r="W57" s="387">
        <v>0</v>
      </c>
      <c r="X57" s="387">
        <v>0</v>
      </c>
      <c r="Y57" s="387">
        <v>0</v>
      </c>
      <c r="Z57" s="388">
        <f t="shared" si="8"/>
        <v>27212875</v>
      </c>
      <c r="AA57" s="389">
        <v>86218853</v>
      </c>
      <c r="AB57" s="389">
        <v>0</v>
      </c>
      <c r="AC57" s="389">
        <v>0</v>
      </c>
      <c r="AD57" s="389">
        <v>0</v>
      </c>
      <c r="AE57" s="389">
        <v>0</v>
      </c>
      <c r="AF57" s="389">
        <v>549955</v>
      </c>
      <c r="AG57" s="388">
        <f t="shared" si="10"/>
        <v>86768808</v>
      </c>
      <c r="AH57" s="387">
        <v>83189761</v>
      </c>
      <c r="AI57" s="387">
        <v>0</v>
      </c>
      <c r="AJ57" s="387">
        <v>11245683</v>
      </c>
      <c r="AK57" s="387">
        <v>0</v>
      </c>
      <c r="AL57" s="387">
        <v>3771973</v>
      </c>
      <c r="AM57" s="387"/>
      <c r="AN57" s="388">
        <f t="shared" si="7"/>
        <v>98207417</v>
      </c>
      <c r="AO57" s="688">
        <f t="shared" si="9"/>
        <v>570668979</v>
      </c>
      <c r="AP57" s="390"/>
    </row>
    <row r="58" spans="1:42" s="385" customFormat="1" x14ac:dyDescent="0.2">
      <c r="A58" s="386">
        <v>45870</v>
      </c>
      <c r="B58" s="387">
        <v>0</v>
      </c>
      <c r="C58" s="387">
        <v>0</v>
      </c>
      <c r="D58" s="387">
        <v>0</v>
      </c>
      <c r="E58" s="387">
        <v>0</v>
      </c>
      <c r="F58" s="387">
        <v>3980438</v>
      </c>
      <c r="G58" s="387">
        <v>0</v>
      </c>
      <c r="H58" s="387">
        <v>0</v>
      </c>
      <c r="I58" s="387">
        <v>1524256</v>
      </c>
      <c r="J58" s="388">
        <f t="shared" si="5"/>
        <v>5504694</v>
      </c>
      <c r="K58" s="387">
        <v>53745000</v>
      </c>
      <c r="L58" s="387">
        <v>0</v>
      </c>
      <c r="M58" s="387">
        <v>3918587</v>
      </c>
      <c r="N58" s="387">
        <v>0</v>
      </c>
      <c r="O58" s="387">
        <v>4200260</v>
      </c>
      <c r="P58" s="387">
        <v>0</v>
      </c>
      <c r="Q58" s="389">
        <v>1334487</v>
      </c>
      <c r="R58" s="388">
        <f t="shared" si="6"/>
        <v>63198334</v>
      </c>
      <c r="S58" s="387">
        <v>177017358</v>
      </c>
      <c r="T58" s="387">
        <v>0</v>
      </c>
      <c r="U58" s="387">
        <v>0</v>
      </c>
      <c r="V58" s="387">
        <v>0</v>
      </c>
      <c r="W58" s="387">
        <v>0</v>
      </c>
      <c r="X58" s="387">
        <v>0</v>
      </c>
      <c r="Y58" s="387">
        <v>0</v>
      </c>
      <c r="Z58" s="388">
        <f t="shared" si="8"/>
        <v>177017358</v>
      </c>
      <c r="AA58" s="389">
        <v>189269831</v>
      </c>
      <c r="AB58" s="389">
        <v>10006274172</v>
      </c>
      <c r="AC58" s="389">
        <v>64729428</v>
      </c>
      <c r="AD58" s="389">
        <v>0</v>
      </c>
      <c r="AE58" s="389">
        <v>0</v>
      </c>
      <c r="AF58" s="389">
        <v>0</v>
      </c>
      <c r="AG58" s="388">
        <f t="shared" si="10"/>
        <v>10260273431</v>
      </c>
      <c r="AH58" s="387">
        <v>226116913</v>
      </c>
      <c r="AI58" s="387">
        <v>0</v>
      </c>
      <c r="AJ58" s="387">
        <v>19322612</v>
      </c>
      <c r="AK58" s="387">
        <v>2045488</v>
      </c>
      <c r="AL58" s="387">
        <v>0</v>
      </c>
      <c r="AM58" s="387"/>
      <c r="AN58" s="388">
        <f t="shared" si="7"/>
        <v>247485013</v>
      </c>
      <c r="AO58" s="688">
        <f t="shared" si="9"/>
        <v>10753478830</v>
      </c>
      <c r="AP58" s="390"/>
    </row>
    <row r="59" spans="1:42" s="385" customFormat="1" x14ac:dyDescent="0.2">
      <c r="A59" s="386">
        <v>45901</v>
      </c>
      <c r="B59" s="387">
        <v>23408304</v>
      </c>
      <c r="C59" s="387">
        <v>0</v>
      </c>
      <c r="D59" s="387">
        <v>0</v>
      </c>
      <c r="E59" s="387">
        <v>1250000</v>
      </c>
      <c r="F59" s="387">
        <v>192284</v>
      </c>
      <c r="G59" s="387">
        <v>0</v>
      </c>
      <c r="H59" s="387">
        <v>0</v>
      </c>
      <c r="I59" s="387">
        <v>0</v>
      </c>
      <c r="J59" s="388">
        <f t="shared" si="5"/>
        <v>24850588</v>
      </c>
      <c r="K59" s="387">
        <v>68745000</v>
      </c>
      <c r="L59" s="387">
        <v>302862000</v>
      </c>
      <c r="M59" s="387">
        <v>3918587</v>
      </c>
      <c r="N59" s="387">
        <v>0</v>
      </c>
      <c r="O59" s="387">
        <v>1016636</v>
      </c>
      <c r="P59" s="387">
        <v>0</v>
      </c>
      <c r="Q59" s="389">
        <v>1149262</v>
      </c>
      <c r="R59" s="388">
        <f t="shared" si="6"/>
        <v>377691485</v>
      </c>
      <c r="S59" s="387">
        <v>396784749</v>
      </c>
      <c r="T59" s="387">
        <v>0</v>
      </c>
      <c r="U59" s="387">
        <v>0</v>
      </c>
      <c r="V59" s="387">
        <v>0</v>
      </c>
      <c r="W59" s="387">
        <v>0</v>
      </c>
      <c r="X59" s="387">
        <v>0</v>
      </c>
      <c r="Y59" s="387">
        <v>0</v>
      </c>
      <c r="Z59" s="388">
        <f t="shared" si="8"/>
        <v>396784749</v>
      </c>
      <c r="AA59" s="389">
        <v>89318555</v>
      </c>
      <c r="AB59" s="389">
        <v>0</v>
      </c>
      <c r="AC59" s="708">
        <v>7465088</v>
      </c>
      <c r="AD59" s="389">
        <v>0</v>
      </c>
      <c r="AE59" s="389">
        <v>0</v>
      </c>
      <c r="AF59" s="389">
        <v>0</v>
      </c>
      <c r="AG59" s="388">
        <f t="shared" si="10"/>
        <v>96783643</v>
      </c>
      <c r="AH59" s="387">
        <v>361954436</v>
      </c>
      <c r="AI59" s="387">
        <v>0</v>
      </c>
      <c r="AJ59" s="387">
        <v>28901814</v>
      </c>
      <c r="AK59" s="387">
        <v>1478287</v>
      </c>
      <c r="AL59" s="387">
        <v>4107482</v>
      </c>
      <c r="AM59" s="387"/>
      <c r="AN59" s="388">
        <f t="shared" si="7"/>
        <v>396442019</v>
      </c>
      <c r="AO59" s="688">
        <f t="shared" si="9"/>
        <v>1292552484</v>
      </c>
      <c r="AP59" s="390"/>
    </row>
    <row r="60" spans="1:42" s="385" customFormat="1" x14ac:dyDescent="0.2">
      <c r="A60" s="386">
        <v>45931</v>
      </c>
      <c r="B60" s="387">
        <v>25408304</v>
      </c>
      <c r="C60" s="387">
        <v>0</v>
      </c>
      <c r="D60" s="387">
        <v>0</v>
      </c>
      <c r="E60" s="387">
        <v>1250000</v>
      </c>
      <c r="F60" s="387">
        <v>159498</v>
      </c>
      <c r="G60" s="387">
        <v>0</v>
      </c>
      <c r="H60" s="387">
        <v>0</v>
      </c>
      <c r="I60" s="387">
        <v>0</v>
      </c>
      <c r="J60" s="388">
        <f t="shared" si="5"/>
        <v>26817802</v>
      </c>
      <c r="K60" s="387">
        <v>33745000</v>
      </c>
      <c r="L60" s="387">
        <v>0</v>
      </c>
      <c r="M60" s="387">
        <v>3918586</v>
      </c>
      <c r="N60" s="387">
        <v>0</v>
      </c>
      <c r="O60" s="387">
        <v>0</v>
      </c>
      <c r="P60" s="387">
        <v>0</v>
      </c>
      <c r="Q60" s="389">
        <v>0</v>
      </c>
      <c r="R60" s="388">
        <f t="shared" si="6"/>
        <v>37663586</v>
      </c>
      <c r="S60" s="387">
        <v>548755521</v>
      </c>
      <c r="T60" s="387">
        <v>0</v>
      </c>
      <c r="U60" s="387">
        <v>0</v>
      </c>
      <c r="V60" s="387">
        <v>0</v>
      </c>
      <c r="W60" s="387">
        <v>0</v>
      </c>
      <c r="X60" s="387">
        <v>0</v>
      </c>
      <c r="Y60" s="387">
        <v>0</v>
      </c>
      <c r="Z60" s="388">
        <f t="shared" si="8"/>
        <v>548755521</v>
      </c>
      <c r="AA60" s="389">
        <v>148861186</v>
      </c>
      <c r="AB60" s="389">
        <v>0</v>
      </c>
      <c r="AC60" s="708">
        <v>7838250</v>
      </c>
      <c r="AD60" s="389">
        <v>1931852</v>
      </c>
      <c r="AE60" s="389">
        <v>0</v>
      </c>
      <c r="AF60" s="389">
        <v>0</v>
      </c>
      <c r="AG60" s="388">
        <f t="shared" si="10"/>
        <v>158631288</v>
      </c>
      <c r="AH60" s="387">
        <v>338864816</v>
      </c>
      <c r="AI60" s="387">
        <v>2226582018</v>
      </c>
      <c r="AJ60" s="387">
        <v>88665498</v>
      </c>
      <c r="AK60" s="387">
        <v>9614523</v>
      </c>
      <c r="AL60" s="387">
        <v>0</v>
      </c>
      <c r="AM60" s="387"/>
      <c r="AN60" s="388">
        <f t="shared" si="7"/>
        <v>2663726855</v>
      </c>
      <c r="AO60" s="688">
        <f t="shared" si="9"/>
        <v>3435595052</v>
      </c>
      <c r="AP60" s="390"/>
    </row>
    <row r="61" spans="1:42" s="385" customFormat="1" x14ac:dyDescent="0.2">
      <c r="A61" s="386">
        <v>45962</v>
      </c>
      <c r="B61" s="387">
        <v>2658304</v>
      </c>
      <c r="C61" s="387">
        <v>307976000</v>
      </c>
      <c r="D61" s="387">
        <v>0</v>
      </c>
      <c r="E61" s="387">
        <v>9906392</v>
      </c>
      <c r="F61" s="387">
        <v>137346</v>
      </c>
      <c r="G61" s="387">
        <v>0</v>
      </c>
      <c r="H61" s="387">
        <v>0</v>
      </c>
      <c r="I61" s="387">
        <v>0</v>
      </c>
      <c r="J61" s="388">
        <f t="shared" si="5"/>
        <v>320678042</v>
      </c>
      <c r="K61" s="387">
        <v>25000000</v>
      </c>
      <c r="L61" s="387">
        <v>280000000</v>
      </c>
      <c r="M61" s="387">
        <v>0</v>
      </c>
      <c r="N61" s="387">
        <v>0</v>
      </c>
      <c r="O61" s="387">
        <v>1016636</v>
      </c>
      <c r="P61" s="387">
        <v>0</v>
      </c>
      <c r="Q61" s="389">
        <v>0</v>
      </c>
      <c r="R61" s="388">
        <f t="shared" ref="R61:R62" si="11">SUM(K61:Q61)</f>
        <v>306016636</v>
      </c>
      <c r="S61" s="387">
        <v>442028203</v>
      </c>
      <c r="T61" s="387">
        <v>0</v>
      </c>
      <c r="U61" s="387">
        <v>0</v>
      </c>
      <c r="V61" s="387">
        <v>0</v>
      </c>
      <c r="W61" s="387">
        <v>0</v>
      </c>
      <c r="X61" s="387">
        <v>0</v>
      </c>
      <c r="Y61" s="387">
        <v>0</v>
      </c>
      <c r="Z61" s="388">
        <f t="shared" si="8"/>
        <v>442028203</v>
      </c>
      <c r="AA61" s="389">
        <v>327028024</v>
      </c>
      <c r="AB61" s="389">
        <v>1300214366</v>
      </c>
      <c r="AC61" s="389">
        <v>7059609</v>
      </c>
      <c r="AD61" s="389">
        <v>10638600</v>
      </c>
      <c r="AE61" s="389">
        <v>0</v>
      </c>
      <c r="AF61" s="389">
        <v>0</v>
      </c>
      <c r="AG61" s="388">
        <f t="shared" si="10"/>
        <v>1644940599</v>
      </c>
      <c r="AH61" s="387">
        <v>287019663</v>
      </c>
      <c r="AI61" s="387">
        <v>11174931324</v>
      </c>
      <c r="AJ61" s="387">
        <v>75641766</v>
      </c>
      <c r="AK61" s="387">
        <v>6619548</v>
      </c>
      <c r="AL61" s="387">
        <v>0</v>
      </c>
      <c r="AM61" s="387"/>
      <c r="AN61" s="388">
        <f t="shared" ref="AN61:AN62" si="12">SUM(AH61:AL61)</f>
        <v>11544212301</v>
      </c>
      <c r="AO61" s="688">
        <f t="shared" si="9"/>
        <v>14257875781</v>
      </c>
      <c r="AP61" s="390"/>
    </row>
    <row r="62" spans="1:42" s="385" customFormat="1" x14ac:dyDescent="0.2">
      <c r="A62" s="386">
        <v>45992</v>
      </c>
      <c r="B62" s="387">
        <v>2658304</v>
      </c>
      <c r="C62" s="387">
        <v>0</v>
      </c>
      <c r="D62" s="387">
        <v>0</v>
      </c>
      <c r="E62" s="387">
        <v>0</v>
      </c>
      <c r="F62" s="387">
        <v>106332</v>
      </c>
      <c r="G62" s="387">
        <v>0</v>
      </c>
      <c r="H62" s="387">
        <v>0</v>
      </c>
      <c r="I62" s="387">
        <v>0</v>
      </c>
      <c r="J62" s="388">
        <f t="shared" si="5"/>
        <v>2764636</v>
      </c>
      <c r="K62" s="387">
        <v>0</v>
      </c>
      <c r="L62" s="387">
        <v>0</v>
      </c>
      <c r="M62" s="387">
        <v>0</v>
      </c>
      <c r="N62" s="387">
        <v>0</v>
      </c>
      <c r="O62" s="387">
        <v>0</v>
      </c>
      <c r="P62" s="387">
        <v>0</v>
      </c>
      <c r="Q62" s="389">
        <v>0</v>
      </c>
      <c r="R62" s="388">
        <f t="shared" si="11"/>
        <v>0</v>
      </c>
      <c r="S62" s="387">
        <v>610683750</v>
      </c>
      <c r="T62" s="387">
        <v>0</v>
      </c>
      <c r="U62" s="387">
        <v>0</v>
      </c>
      <c r="V62" s="387">
        <v>0</v>
      </c>
      <c r="W62" s="387">
        <v>0</v>
      </c>
      <c r="X62" s="387">
        <v>0</v>
      </c>
      <c r="Y62" s="387">
        <v>0</v>
      </c>
      <c r="Z62" s="388">
        <f t="shared" si="8"/>
        <v>610683750</v>
      </c>
      <c r="AA62" s="389">
        <v>116206821</v>
      </c>
      <c r="AB62" s="389">
        <v>1080852068</v>
      </c>
      <c r="AC62" s="389">
        <v>6182405</v>
      </c>
      <c r="AD62" s="389">
        <v>0</v>
      </c>
      <c r="AE62" s="389">
        <v>21319771</v>
      </c>
      <c r="AF62" s="389">
        <v>0</v>
      </c>
      <c r="AG62" s="388">
        <f t="shared" si="10"/>
        <v>1224561065</v>
      </c>
      <c r="AH62" s="387">
        <v>142604919</v>
      </c>
      <c r="AI62" s="387">
        <v>5894626177</v>
      </c>
      <c r="AJ62" s="387">
        <v>75577900</v>
      </c>
      <c r="AK62" s="387">
        <v>7103118</v>
      </c>
      <c r="AL62" s="387">
        <v>0</v>
      </c>
      <c r="AM62" s="387"/>
      <c r="AN62" s="388">
        <f t="shared" si="12"/>
        <v>6119912114</v>
      </c>
      <c r="AO62" s="688">
        <f t="shared" si="9"/>
        <v>7957921565</v>
      </c>
      <c r="AP62" s="390"/>
    </row>
    <row r="63" spans="1:42" s="385" customFormat="1" x14ac:dyDescent="0.2">
      <c r="A63" s="386">
        <v>46023</v>
      </c>
      <c r="B63" s="387">
        <v>2658304</v>
      </c>
      <c r="C63" s="387">
        <v>0</v>
      </c>
      <c r="D63" s="387">
        <v>0</v>
      </c>
      <c r="E63" s="387">
        <v>0</v>
      </c>
      <c r="F63" s="387">
        <v>82408</v>
      </c>
      <c r="G63" s="387">
        <v>0</v>
      </c>
      <c r="H63" s="387">
        <v>0</v>
      </c>
      <c r="I63" s="387">
        <v>0</v>
      </c>
      <c r="J63" s="388">
        <f t="shared" ref="J63" si="13">SUM(B63:I63)</f>
        <v>2740712</v>
      </c>
      <c r="K63" s="387">
        <v>35000000</v>
      </c>
      <c r="L63" s="387">
        <v>0</v>
      </c>
      <c r="M63" s="387">
        <v>0</v>
      </c>
      <c r="N63" s="387">
        <v>0</v>
      </c>
      <c r="O63" s="387">
        <v>1016636</v>
      </c>
      <c r="P63" s="387">
        <v>0</v>
      </c>
      <c r="Q63" s="389">
        <v>0</v>
      </c>
      <c r="R63" s="388">
        <f t="shared" ref="R63" si="14">SUM(K63:Q63)</f>
        <v>36016636</v>
      </c>
      <c r="S63" s="387">
        <v>545408452</v>
      </c>
      <c r="T63" s="387">
        <v>0</v>
      </c>
      <c r="U63" s="387">
        <v>0</v>
      </c>
      <c r="V63" s="387">
        <v>0</v>
      </c>
      <c r="W63" s="387">
        <v>0</v>
      </c>
      <c r="X63" s="387">
        <v>0</v>
      </c>
      <c r="Y63" s="387">
        <v>0</v>
      </c>
      <c r="Z63" s="388">
        <f t="shared" si="8"/>
        <v>545408452</v>
      </c>
      <c r="AA63" s="389">
        <v>52062228</v>
      </c>
      <c r="AB63" s="389">
        <v>332748500</v>
      </c>
      <c r="AC63" s="389">
        <v>33227877</v>
      </c>
      <c r="AD63" s="389">
        <v>2092230</v>
      </c>
      <c r="AE63" s="389">
        <v>0</v>
      </c>
      <c r="AF63" s="389">
        <v>0</v>
      </c>
      <c r="AG63" s="388">
        <f t="shared" si="10"/>
        <v>420130835</v>
      </c>
      <c r="AH63" s="387">
        <v>81538260</v>
      </c>
      <c r="AI63" s="387">
        <v>1071574376</v>
      </c>
      <c r="AJ63" s="387">
        <v>63601302</v>
      </c>
      <c r="AK63" s="387">
        <v>1887123</v>
      </c>
      <c r="AL63" s="387">
        <v>0</v>
      </c>
      <c r="AM63" s="387"/>
      <c r="AN63" s="388">
        <f>SUM(AH63:AL63)</f>
        <v>1218601061</v>
      </c>
      <c r="AO63" s="688">
        <f t="shared" si="9"/>
        <v>2222897696</v>
      </c>
      <c r="AP63" s="390"/>
    </row>
    <row r="64" spans="1:42" s="385" customFormat="1" x14ac:dyDescent="0.2">
      <c r="A64" s="386">
        <v>46054</v>
      </c>
      <c r="B64" s="387">
        <v>2658304</v>
      </c>
      <c r="C64" s="387">
        <v>0</v>
      </c>
      <c r="D64" s="387">
        <v>0</v>
      </c>
      <c r="E64" s="387">
        <v>0</v>
      </c>
      <c r="F64" s="387">
        <v>54938</v>
      </c>
      <c r="G64" s="387">
        <v>0</v>
      </c>
      <c r="H64" s="387">
        <v>0</v>
      </c>
      <c r="I64" s="387">
        <v>0</v>
      </c>
      <c r="J64" s="388">
        <f t="shared" ref="J64:J86" si="15">SUM(B64:I64)</f>
        <v>2713242</v>
      </c>
      <c r="K64" s="387">
        <v>0</v>
      </c>
      <c r="L64" s="387">
        <v>0</v>
      </c>
      <c r="M64" s="387">
        <v>0</v>
      </c>
      <c r="N64" s="387">
        <v>0</v>
      </c>
      <c r="O64" s="387">
        <v>0</v>
      </c>
      <c r="P64" s="387">
        <v>0</v>
      </c>
      <c r="Q64" s="389">
        <v>0</v>
      </c>
      <c r="R64" s="388">
        <f t="shared" ref="R64:R86" si="16">SUM(K64:Q64)</f>
        <v>0</v>
      </c>
      <c r="S64" s="387">
        <v>477754410</v>
      </c>
      <c r="T64" s="387">
        <v>0</v>
      </c>
      <c r="U64" s="387">
        <v>0</v>
      </c>
      <c r="V64" s="387">
        <v>0</v>
      </c>
      <c r="W64" s="387">
        <v>0</v>
      </c>
      <c r="X64" s="387">
        <v>0</v>
      </c>
      <c r="Y64" s="387">
        <v>0</v>
      </c>
      <c r="Z64" s="388">
        <f t="shared" si="8"/>
        <v>477754410</v>
      </c>
      <c r="AA64" s="389">
        <v>169630446</v>
      </c>
      <c r="AB64" s="389">
        <v>338031870</v>
      </c>
      <c r="AC64" s="389">
        <v>14423054</v>
      </c>
      <c r="AD64" s="389">
        <v>1931850</v>
      </c>
      <c r="AE64" s="389">
        <v>0</v>
      </c>
      <c r="AF64" s="389">
        <v>0</v>
      </c>
      <c r="AG64" s="388">
        <f t="shared" si="10"/>
        <v>524017220</v>
      </c>
      <c r="AH64" s="387">
        <v>242297845</v>
      </c>
      <c r="AI64" s="387">
        <v>846535002</v>
      </c>
      <c r="AJ64" s="387">
        <v>75542949</v>
      </c>
      <c r="AK64" s="387">
        <v>1887132</v>
      </c>
      <c r="AL64" s="387">
        <v>0</v>
      </c>
      <c r="AM64" s="387"/>
      <c r="AN64" s="388">
        <f t="shared" ref="AN64:AN86" si="17">SUM(AH64:AL64)</f>
        <v>1166262928</v>
      </c>
      <c r="AO64" s="688">
        <f t="shared" si="9"/>
        <v>2170747800</v>
      </c>
      <c r="AP64" s="390"/>
    </row>
    <row r="65" spans="1:42" s="385" customFormat="1" x14ac:dyDescent="0.2">
      <c r="A65" s="386">
        <v>46082</v>
      </c>
      <c r="B65" s="387">
        <v>2658314</v>
      </c>
      <c r="C65" s="387">
        <v>0</v>
      </c>
      <c r="D65" s="387">
        <v>0</v>
      </c>
      <c r="E65" s="387">
        <v>0</v>
      </c>
      <c r="F65" s="387">
        <v>24812</v>
      </c>
      <c r="G65" s="387">
        <v>0</v>
      </c>
      <c r="H65" s="387">
        <v>0</v>
      </c>
      <c r="I65" s="387">
        <v>0</v>
      </c>
      <c r="J65" s="388">
        <f t="shared" si="15"/>
        <v>2683126</v>
      </c>
      <c r="K65" s="387">
        <v>34529581</v>
      </c>
      <c r="L65" s="387">
        <v>0</v>
      </c>
      <c r="M65" s="387">
        <v>0</v>
      </c>
      <c r="N65" s="387">
        <v>0</v>
      </c>
      <c r="O65" s="387">
        <v>1016641</v>
      </c>
      <c r="P65" s="387">
        <v>0</v>
      </c>
      <c r="Q65" s="389">
        <v>0</v>
      </c>
      <c r="R65" s="388">
        <f t="shared" si="16"/>
        <v>35546222</v>
      </c>
      <c r="S65" s="387">
        <v>509233688</v>
      </c>
      <c r="T65" s="387">
        <v>0</v>
      </c>
      <c r="U65" s="387">
        <v>0</v>
      </c>
      <c r="V65" s="387">
        <v>0</v>
      </c>
      <c r="W65" s="387">
        <v>0</v>
      </c>
      <c r="X65" s="387">
        <v>0</v>
      </c>
      <c r="Y65" s="387">
        <v>0</v>
      </c>
      <c r="Z65" s="388">
        <f t="shared" si="8"/>
        <v>509233688</v>
      </c>
      <c r="AA65" s="389">
        <v>397817028</v>
      </c>
      <c r="AB65" s="389">
        <v>3977051782</v>
      </c>
      <c r="AC65" s="389">
        <v>25175101</v>
      </c>
      <c r="AD65" s="389">
        <v>14185149</v>
      </c>
      <c r="AE65" s="389">
        <v>0</v>
      </c>
      <c r="AF65" s="389">
        <v>0</v>
      </c>
      <c r="AG65" s="388">
        <f t="shared" si="10"/>
        <v>4414229060</v>
      </c>
      <c r="AH65" s="387">
        <v>230551683</v>
      </c>
      <c r="AI65" s="387">
        <v>1940911355</v>
      </c>
      <c r="AJ65" s="387">
        <v>194713606</v>
      </c>
      <c r="AK65" s="387">
        <v>1512675</v>
      </c>
      <c r="AL65" s="387">
        <v>0</v>
      </c>
      <c r="AM65" s="387"/>
      <c r="AN65" s="388">
        <f t="shared" si="17"/>
        <v>2367689319</v>
      </c>
      <c r="AO65" s="688">
        <f t="shared" si="9"/>
        <v>7329381415</v>
      </c>
      <c r="AP65" s="390"/>
    </row>
    <row r="66" spans="1:42" s="385" customFormat="1" x14ac:dyDescent="0.2">
      <c r="A66" s="386">
        <v>46113</v>
      </c>
      <c r="B66" s="387">
        <v>0</v>
      </c>
      <c r="C66" s="387">
        <v>0</v>
      </c>
      <c r="D66" s="387">
        <v>0</v>
      </c>
      <c r="E66" s="387">
        <v>0</v>
      </c>
      <c r="F66" s="387">
        <v>0</v>
      </c>
      <c r="G66" s="387">
        <v>0</v>
      </c>
      <c r="H66" s="387">
        <v>0</v>
      </c>
      <c r="I66" s="387">
        <v>0</v>
      </c>
      <c r="J66" s="388">
        <f t="shared" si="15"/>
        <v>0</v>
      </c>
      <c r="K66" s="387">
        <v>0</v>
      </c>
      <c r="L66" s="387">
        <v>0</v>
      </c>
      <c r="M66" s="387">
        <v>0</v>
      </c>
      <c r="N66" s="387">
        <v>0</v>
      </c>
      <c r="O66" s="387">
        <v>0</v>
      </c>
      <c r="P66" s="387">
        <v>0</v>
      </c>
      <c r="Q66" s="389">
        <v>0</v>
      </c>
      <c r="R66" s="388">
        <f t="shared" si="16"/>
        <v>0</v>
      </c>
      <c r="S66" s="387">
        <v>491594286</v>
      </c>
      <c r="T66" s="387">
        <v>0</v>
      </c>
      <c r="U66" s="387">
        <v>0</v>
      </c>
      <c r="V66" s="387">
        <v>0</v>
      </c>
      <c r="W66" s="387">
        <v>0</v>
      </c>
      <c r="X66" s="387">
        <v>0</v>
      </c>
      <c r="Y66" s="387">
        <v>0</v>
      </c>
      <c r="Z66" s="388">
        <f t="shared" si="8"/>
        <v>491594286</v>
      </c>
      <c r="AA66" s="389">
        <v>48674063</v>
      </c>
      <c r="AB66" s="389">
        <v>332031870</v>
      </c>
      <c r="AC66" s="389">
        <v>13900933</v>
      </c>
      <c r="AD66" s="389">
        <v>0</v>
      </c>
      <c r="AE66" s="389">
        <v>0</v>
      </c>
      <c r="AF66" s="389">
        <v>0</v>
      </c>
      <c r="AG66" s="388">
        <f t="shared" si="10"/>
        <v>394606866</v>
      </c>
      <c r="AH66" s="387">
        <v>8619606</v>
      </c>
      <c r="AI66" s="387">
        <v>2581030637</v>
      </c>
      <c r="AJ66" s="387">
        <v>478333</v>
      </c>
      <c r="AK66" s="387">
        <v>0</v>
      </c>
      <c r="AL66" s="387">
        <v>0</v>
      </c>
      <c r="AM66" s="387"/>
      <c r="AN66" s="388">
        <f t="shared" si="17"/>
        <v>2590128576</v>
      </c>
      <c r="AO66" s="688">
        <f t="shared" si="9"/>
        <v>3476329728</v>
      </c>
      <c r="AP66" s="390"/>
    </row>
    <row r="67" spans="1:42" s="385" customFormat="1" x14ac:dyDescent="0.2">
      <c r="A67" s="386">
        <v>46143</v>
      </c>
      <c r="B67" s="387">
        <v>0</v>
      </c>
      <c r="C67" s="387">
        <v>0</v>
      </c>
      <c r="D67" s="387">
        <v>0</v>
      </c>
      <c r="E67" s="387">
        <v>0</v>
      </c>
      <c r="F67" s="387">
        <v>0</v>
      </c>
      <c r="G67" s="387">
        <v>0</v>
      </c>
      <c r="H67" s="387">
        <v>0</v>
      </c>
      <c r="I67" s="387">
        <v>0</v>
      </c>
      <c r="J67" s="388">
        <f t="shared" si="15"/>
        <v>0</v>
      </c>
      <c r="K67" s="387">
        <v>0</v>
      </c>
      <c r="L67" s="387">
        <v>0</v>
      </c>
      <c r="M67" s="387">
        <v>0</v>
      </c>
      <c r="N67" s="387">
        <v>0</v>
      </c>
      <c r="O67" s="387">
        <v>0</v>
      </c>
      <c r="P67" s="387">
        <v>0</v>
      </c>
      <c r="Q67" s="389">
        <v>0</v>
      </c>
      <c r="R67" s="388">
        <f t="shared" si="16"/>
        <v>0</v>
      </c>
      <c r="S67" s="387">
        <v>454720937</v>
      </c>
      <c r="T67" s="387">
        <v>0</v>
      </c>
      <c r="U67" s="387">
        <v>0</v>
      </c>
      <c r="V67" s="387">
        <v>0</v>
      </c>
      <c r="W67" s="387">
        <v>0</v>
      </c>
      <c r="X67" s="387">
        <v>0</v>
      </c>
      <c r="Y67" s="387">
        <v>0</v>
      </c>
      <c r="Z67" s="388">
        <f t="shared" si="8"/>
        <v>454720937</v>
      </c>
      <c r="AA67" s="389">
        <v>5935105</v>
      </c>
      <c r="AB67" s="389">
        <v>0</v>
      </c>
      <c r="AC67" s="389">
        <v>5193831</v>
      </c>
      <c r="AD67" s="389">
        <v>0</v>
      </c>
      <c r="AE67" s="389">
        <v>0</v>
      </c>
      <c r="AF67" s="389">
        <v>0</v>
      </c>
      <c r="AG67" s="388">
        <f t="shared" si="10"/>
        <v>11128936</v>
      </c>
      <c r="AH67" s="387">
        <v>3521667</v>
      </c>
      <c r="AI67" s="387">
        <v>0</v>
      </c>
      <c r="AJ67" s="387">
        <v>478333</v>
      </c>
      <c r="AK67" s="387">
        <v>0</v>
      </c>
      <c r="AL67" s="387">
        <v>0</v>
      </c>
      <c r="AM67" s="387"/>
      <c r="AN67" s="388">
        <f t="shared" si="17"/>
        <v>4000000</v>
      </c>
      <c r="AO67" s="688">
        <f t="shared" si="9"/>
        <v>469849873</v>
      </c>
      <c r="AP67" s="390"/>
    </row>
    <row r="68" spans="1:42" s="385" customFormat="1" x14ac:dyDescent="0.2">
      <c r="A68" s="386">
        <v>46174</v>
      </c>
      <c r="B68" s="387">
        <v>0</v>
      </c>
      <c r="C68" s="387">
        <v>0</v>
      </c>
      <c r="D68" s="387">
        <v>0</v>
      </c>
      <c r="E68" s="387">
        <v>0</v>
      </c>
      <c r="F68" s="387">
        <v>0</v>
      </c>
      <c r="G68" s="387">
        <v>0</v>
      </c>
      <c r="H68" s="387">
        <v>0</v>
      </c>
      <c r="I68" s="387">
        <v>0</v>
      </c>
      <c r="J68" s="388">
        <f t="shared" si="15"/>
        <v>0</v>
      </c>
      <c r="K68" s="387">
        <v>0</v>
      </c>
      <c r="L68" s="387">
        <v>0</v>
      </c>
      <c r="M68" s="387">
        <v>0</v>
      </c>
      <c r="N68" s="387">
        <v>0</v>
      </c>
      <c r="O68" s="387">
        <v>0</v>
      </c>
      <c r="P68" s="387">
        <v>0</v>
      </c>
      <c r="Q68" s="389">
        <v>0</v>
      </c>
      <c r="R68" s="388">
        <f t="shared" si="16"/>
        <v>0</v>
      </c>
      <c r="S68" s="387">
        <v>513022902</v>
      </c>
      <c r="T68" s="387">
        <v>0</v>
      </c>
      <c r="U68" s="387">
        <v>0</v>
      </c>
      <c r="V68" s="387">
        <v>0</v>
      </c>
      <c r="W68" s="387">
        <v>0</v>
      </c>
      <c r="X68" s="387">
        <v>0</v>
      </c>
      <c r="Y68" s="387">
        <v>0</v>
      </c>
      <c r="Z68" s="388">
        <f t="shared" si="8"/>
        <v>513022902</v>
      </c>
      <c r="AA68" s="389">
        <v>116586578</v>
      </c>
      <c r="AB68" s="389">
        <v>626170368</v>
      </c>
      <c r="AC68" s="389">
        <v>114811044</v>
      </c>
      <c r="AD68" s="389">
        <v>0</v>
      </c>
      <c r="AE68" s="389">
        <v>0</v>
      </c>
      <c r="AF68" s="389">
        <v>0</v>
      </c>
      <c r="AG68" s="388">
        <f t="shared" si="10"/>
        <v>857567990</v>
      </c>
      <c r="AH68" s="387">
        <v>54869444</v>
      </c>
      <c r="AI68" s="387">
        <v>427794443</v>
      </c>
      <c r="AJ68" s="387">
        <v>11161106</v>
      </c>
      <c r="AK68" s="387">
        <v>0</v>
      </c>
      <c r="AL68" s="387">
        <v>0</v>
      </c>
      <c r="AM68" s="387"/>
      <c r="AN68" s="388">
        <f t="shared" si="17"/>
        <v>493824993</v>
      </c>
      <c r="AO68" s="688">
        <f t="shared" si="9"/>
        <v>1864415885</v>
      </c>
      <c r="AP68" s="390"/>
    </row>
    <row r="69" spans="1:42" s="385" customFormat="1" x14ac:dyDescent="0.2">
      <c r="A69" s="386">
        <v>46204</v>
      </c>
      <c r="B69" s="387">
        <v>0</v>
      </c>
      <c r="C69" s="387">
        <v>0</v>
      </c>
      <c r="D69" s="387">
        <v>0</v>
      </c>
      <c r="E69" s="387">
        <v>0</v>
      </c>
      <c r="F69" s="387">
        <v>0</v>
      </c>
      <c r="G69" s="387">
        <v>0</v>
      </c>
      <c r="H69" s="387">
        <v>0</v>
      </c>
      <c r="I69" s="387">
        <v>0</v>
      </c>
      <c r="J69" s="388">
        <f t="shared" si="15"/>
        <v>0</v>
      </c>
      <c r="K69" s="387">
        <v>0</v>
      </c>
      <c r="L69" s="387">
        <v>0</v>
      </c>
      <c r="M69" s="387">
        <v>0</v>
      </c>
      <c r="N69" s="387">
        <v>0</v>
      </c>
      <c r="O69" s="387">
        <v>0</v>
      </c>
      <c r="P69" s="387">
        <v>0</v>
      </c>
      <c r="Q69" s="389">
        <v>0</v>
      </c>
      <c r="R69" s="388">
        <f t="shared" si="16"/>
        <v>0</v>
      </c>
      <c r="S69" s="387">
        <v>479620937</v>
      </c>
      <c r="T69" s="387">
        <v>0</v>
      </c>
      <c r="U69" s="387">
        <v>0</v>
      </c>
      <c r="V69" s="387">
        <v>0</v>
      </c>
      <c r="W69" s="387">
        <v>0</v>
      </c>
      <c r="X69" s="387">
        <v>0</v>
      </c>
      <c r="Y69" s="387">
        <v>0</v>
      </c>
      <c r="Z69" s="388">
        <f t="shared" si="8"/>
        <v>479620937</v>
      </c>
      <c r="AA69" s="389">
        <v>0</v>
      </c>
      <c r="AB69" s="389">
        <v>0</v>
      </c>
      <c r="AC69" s="389">
        <v>0</v>
      </c>
      <c r="AD69" s="389">
        <v>0</v>
      </c>
      <c r="AE69" s="389">
        <v>0</v>
      </c>
      <c r="AF69" s="389">
        <v>0</v>
      </c>
      <c r="AG69" s="388">
        <f t="shared" si="10"/>
        <v>0</v>
      </c>
      <c r="AH69" s="387">
        <v>0</v>
      </c>
      <c r="AI69" s="387">
        <v>0</v>
      </c>
      <c r="AJ69" s="387">
        <v>0</v>
      </c>
      <c r="AK69" s="387">
        <v>0</v>
      </c>
      <c r="AL69" s="387">
        <v>0</v>
      </c>
      <c r="AM69" s="387"/>
      <c r="AN69" s="388">
        <f t="shared" si="17"/>
        <v>0</v>
      </c>
      <c r="AO69" s="688">
        <f t="shared" si="9"/>
        <v>479620937</v>
      </c>
      <c r="AP69" s="390"/>
    </row>
    <row r="70" spans="1:42" s="385" customFormat="1" x14ac:dyDescent="0.2">
      <c r="A70" s="386">
        <v>46235</v>
      </c>
      <c r="B70" s="387">
        <v>0</v>
      </c>
      <c r="C70" s="387">
        <v>0</v>
      </c>
      <c r="D70" s="387">
        <v>0</v>
      </c>
      <c r="E70" s="387">
        <v>0</v>
      </c>
      <c r="F70" s="387">
        <v>0</v>
      </c>
      <c r="G70" s="387">
        <v>0</v>
      </c>
      <c r="H70" s="387">
        <v>0</v>
      </c>
      <c r="I70" s="387">
        <v>0</v>
      </c>
      <c r="J70" s="388">
        <f t="shared" si="15"/>
        <v>0</v>
      </c>
      <c r="K70" s="387">
        <v>0</v>
      </c>
      <c r="L70" s="387">
        <v>0</v>
      </c>
      <c r="M70" s="387">
        <v>0</v>
      </c>
      <c r="N70" s="387">
        <v>0</v>
      </c>
      <c r="O70" s="387">
        <v>0</v>
      </c>
      <c r="P70" s="387">
        <v>0</v>
      </c>
      <c r="Q70" s="389">
        <v>0</v>
      </c>
      <c r="R70" s="388">
        <f t="shared" si="16"/>
        <v>0</v>
      </c>
      <c r="S70" s="387">
        <v>455930937</v>
      </c>
      <c r="T70" s="387">
        <v>0</v>
      </c>
      <c r="U70" s="387">
        <v>0</v>
      </c>
      <c r="V70" s="387">
        <v>0</v>
      </c>
      <c r="W70" s="387">
        <v>0</v>
      </c>
      <c r="X70" s="387">
        <v>0</v>
      </c>
      <c r="Y70" s="387">
        <v>0</v>
      </c>
      <c r="Z70" s="388">
        <f t="shared" si="8"/>
        <v>455930937</v>
      </c>
      <c r="AA70" s="389">
        <v>0</v>
      </c>
      <c r="AB70" s="389">
        <v>0</v>
      </c>
      <c r="AC70" s="389">
        <v>0</v>
      </c>
      <c r="AD70" s="389">
        <v>0</v>
      </c>
      <c r="AE70" s="389">
        <v>0</v>
      </c>
      <c r="AF70" s="389">
        <v>0</v>
      </c>
      <c r="AG70" s="388">
        <f t="shared" si="10"/>
        <v>0</v>
      </c>
      <c r="AH70" s="387">
        <v>0</v>
      </c>
      <c r="AI70" s="387">
        <v>0</v>
      </c>
      <c r="AJ70" s="387">
        <v>0</v>
      </c>
      <c r="AK70" s="387">
        <v>0</v>
      </c>
      <c r="AL70" s="387">
        <v>0</v>
      </c>
      <c r="AM70" s="387"/>
      <c r="AN70" s="388">
        <f t="shared" si="17"/>
        <v>0</v>
      </c>
      <c r="AO70" s="688">
        <f t="shared" si="9"/>
        <v>455930937</v>
      </c>
      <c r="AP70" s="390"/>
    </row>
    <row r="71" spans="1:42" s="385" customFormat="1" x14ac:dyDescent="0.2">
      <c r="A71" s="386">
        <v>46266</v>
      </c>
      <c r="B71" s="387">
        <v>0</v>
      </c>
      <c r="C71" s="387">
        <v>0</v>
      </c>
      <c r="D71" s="387">
        <v>0</v>
      </c>
      <c r="E71" s="387">
        <v>0</v>
      </c>
      <c r="F71" s="387">
        <v>0</v>
      </c>
      <c r="G71" s="387">
        <v>0</v>
      </c>
      <c r="H71" s="387">
        <v>0</v>
      </c>
      <c r="I71" s="387">
        <v>0</v>
      </c>
      <c r="J71" s="388">
        <f t="shared" si="15"/>
        <v>0</v>
      </c>
      <c r="K71" s="387">
        <v>0</v>
      </c>
      <c r="L71" s="387">
        <v>0</v>
      </c>
      <c r="M71" s="387">
        <v>0</v>
      </c>
      <c r="N71" s="387">
        <v>0</v>
      </c>
      <c r="O71" s="387">
        <v>0</v>
      </c>
      <c r="P71" s="387">
        <v>0</v>
      </c>
      <c r="Q71" s="389">
        <v>0</v>
      </c>
      <c r="R71" s="388">
        <f t="shared" si="16"/>
        <v>0</v>
      </c>
      <c r="S71" s="387">
        <v>473863437</v>
      </c>
      <c r="T71" s="387">
        <v>0</v>
      </c>
      <c r="U71" s="387">
        <v>0</v>
      </c>
      <c r="V71" s="387">
        <v>0</v>
      </c>
      <c r="W71" s="387">
        <v>0</v>
      </c>
      <c r="X71" s="387">
        <v>0</v>
      </c>
      <c r="Y71" s="387">
        <v>0</v>
      </c>
      <c r="Z71" s="388">
        <f t="shared" si="8"/>
        <v>473863437</v>
      </c>
      <c r="AA71" s="389">
        <v>0</v>
      </c>
      <c r="AB71" s="389">
        <v>0</v>
      </c>
      <c r="AC71" s="389">
        <v>0</v>
      </c>
      <c r="AD71" s="389">
        <v>0</v>
      </c>
      <c r="AE71" s="389">
        <v>0</v>
      </c>
      <c r="AF71" s="389">
        <v>0</v>
      </c>
      <c r="AG71" s="388">
        <f t="shared" si="10"/>
        <v>0</v>
      </c>
      <c r="AH71" s="387">
        <v>0</v>
      </c>
      <c r="AI71" s="387">
        <v>0</v>
      </c>
      <c r="AJ71" s="387">
        <v>0</v>
      </c>
      <c r="AK71" s="387">
        <v>0</v>
      </c>
      <c r="AL71" s="387">
        <v>0</v>
      </c>
      <c r="AM71" s="387"/>
      <c r="AN71" s="388">
        <f t="shared" si="17"/>
        <v>0</v>
      </c>
      <c r="AO71" s="688">
        <f t="shared" si="9"/>
        <v>473863437</v>
      </c>
      <c r="AP71" s="390"/>
    </row>
    <row r="72" spans="1:42" s="385" customFormat="1" x14ac:dyDescent="0.2">
      <c r="A72" s="386">
        <v>46296</v>
      </c>
      <c r="B72" s="387">
        <v>0</v>
      </c>
      <c r="C72" s="387">
        <v>0</v>
      </c>
      <c r="D72" s="387">
        <v>0</v>
      </c>
      <c r="E72" s="387">
        <v>0</v>
      </c>
      <c r="F72" s="387">
        <v>0</v>
      </c>
      <c r="G72" s="387">
        <v>0</v>
      </c>
      <c r="H72" s="387">
        <v>0</v>
      </c>
      <c r="I72" s="387">
        <v>0</v>
      </c>
      <c r="J72" s="388">
        <f t="shared" si="15"/>
        <v>0</v>
      </c>
      <c r="K72" s="387">
        <v>0</v>
      </c>
      <c r="L72" s="387">
        <v>0</v>
      </c>
      <c r="M72" s="387">
        <v>0</v>
      </c>
      <c r="N72" s="387">
        <v>0</v>
      </c>
      <c r="O72" s="387">
        <v>0</v>
      </c>
      <c r="P72" s="387">
        <v>0</v>
      </c>
      <c r="Q72" s="389">
        <v>0</v>
      </c>
      <c r="R72" s="388">
        <f t="shared" si="16"/>
        <v>0</v>
      </c>
      <c r="S72" s="387">
        <v>501613437</v>
      </c>
      <c r="T72" s="387">
        <v>0</v>
      </c>
      <c r="U72" s="387">
        <v>0</v>
      </c>
      <c r="V72" s="387">
        <v>0</v>
      </c>
      <c r="W72" s="387">
        <v>0</v>
      </c>
      <c r="X72" s="387">
        <v>0</v>
      </c>
      <c r="Y72" s="387">
        <v>0</v>
      </c>
      <c r="Z72" s="388">
        <f t="shared" si="8"/>
        <v>501613437</v>
      </c>
      <c r="AA72" s="389">
        <v>0</v>
      </c>
      <c r="AB72" s="389">
        <v>0</v>
      </c>
      <c r="AC72" s="389">
        <v>0</v>
      </c>
      <c r="AD72" s="389">
        <v>0</v>
      </c>
      <c r="AE72" s="389">
        <v>0</v>
      </c>
      <c r="AF72" s="389">
        <v>0</v>
      </c>
      <c r="AG72" s="388">
        <f t="shared" si="10"/>
        <v>0</v>
      </c>
      <c r="AH72" s="387">
        <v>0</v>
      </c>
      <c r="AI72" s="387">
        <v>0</v>
      </c>
      <c r="AJ72" s="387">
        <v>0</v>
      </c>
      <c r="AK72" s="387">
        <v>0</v>
      </c>
      <c r="AL72" s="387">
        <v>0</v>
      </c>
      <c r="AM72" s="387"/>
      <c r="AN72" s="388">
        <f t="shared" si="17"/>
        <v>0</v>
      </c>
      <c r="AO72" s="688">
        <f t="shared" si="9"/>
        <v>501613437</v>
      </c>
      <c r="AP72" s="390"/>
    </row>
    <row r="73" spans="1:42" s="385" customFormat="1" x14ac:dyDescent="0.2">
      <c r="A73" s="386">
        <v>46327</v>
      </c>
      <c r="B73" s="387">
        <v>0</v>
      </c>
      <c r="C73" s="387">
        <v>0</v>
      </c>
      <c r="D73" s="387">
        <v>0</v>
      </c>
      <c r="E73" s="387">
        <v>0</v>
      </c>
      <c r="F73" s="387">
        <v>0</v>
      </c>
      <c r="G73" s="387">
        <v>0</v>
      </c>
      <c r="H73" s="387">
        <v>0</v>
      </c>
      <c r="I73" s="387">
        <v>0</v>
      </c>
      <c r="J73" s="388">
        <f t="shared" si="15"/>
        <v>0</v>
      </c>
      <c r="K73" s="387">
        <v>0</v>
      </c>
      <c r="L73" s="387">
        <v>0</v>
      </c>
      <c r="M73" s="387">
        <v>0</v>
      </c>
      <c r="N73" s="387">
        <v>0</v>
      </c>
      <c r="O73" s="387">
        <v>0</v>
      </c>
      <c r="P73" s="387">
        <v>0</v>
      </c>
      <c r="Q73" s="389">
        <v>0</v>
      </c>
      <c r="R73" s="388">
        <f t="shared" si="16"/>
        <v>0</v>
      </c>
      <c r="S73" s="387">
        <v>501668188</v>
      </c>
      <c r="T73" s="387">
        <v>0</v>
      </c>
      <c r="U73" s="387">
        <v>0</v>
      </c>
      <c r="V73" s="387">
        <v>0</v>
      </c>
      <c r="W73" s="387">
        <v>0</v>
      </c>
      <c r="X73" s="387">
        <v>0</v>
      </c>
      <c r="Y73" s="387">
        <v>0</v>
      </c>
      <c r="Z73" s="388">
        <f t="shared" si="8"/>
        <v>501668188</v>
      </c>
      <c r="AA73" s="389">
        <v>0</v>
      </c>
      <c r="AB73" s="389">
        <v>0</v>
      </c>
      <c r="AC73" s="389">
        <v>0</v>
      </c>
      <c r="AD73" s="389">
        <v>0</v>
      </c>
      <c r="AE73" s="389">
        <v>0</v>
      </c>
      <c r="AF73" s="389">
        <v>0</v>
      </c>
      <c r="AG73" s="388">
        <f t="shared" si="10"/>
        <v>0</v>
      </c>
      <c r="AH73" s="387">
        <v>0</v>
      </c>
      <c r="AI73" s="387">
        <v>0</v>
      </c>
      <c r="AJ73" s="387">
        <v>0</v>
      </c>
      <c r="AK73" s="387">
        <v>0</v>
      </c>
      <c r="AL73" s="387">
        <v>0</v>
      </c>
      <c r="AM73" s="387"/>
      <c r="AN73" s="388">
        <f t="shared" si="17"/>
        <v>0</v>
      </c>
      <c r="AO73" s="688">
        <f t="shared" si="9"/>
        <v>501668188</v>
      </c>
      <c r="AP73" s="390"/>
    </row>
    <row r="74" spans="1:42" s="385" customFormat="1" x14ac:dyDescent="0.2">
      <c r="A74" s="386">
        <v>46357</v>
      </c>
      <c r="B74" s="387">
        <v>0</v>
      </c>
      <c r="C74" s="387">
        <v>0</v>
      </c>
      <c r="D74" s="387">
        <v>0</v>
      </c>
      <c r="E74" s="387">
        <v>0</v>
      </c>
      <c r="F74" s="387">
        <v>0</v>
      </c>
      <c r="G74" s="387">
        <v>0</v>
      </c>
      <c r="H74" s="387">
        <v>0</v>
      </c>
      <c r="I74" s="387">
        <v>0</v>
      </c>
      <c r="J74" s="388">
        <f t="shared" si="15"/>
        <v>0</v>
      </c>
      <c r="K74" s="387">
        <v>0</v>
      </c>
      <c r="L74" s="387">
        <v>0</v>
      </c>
      <c r="M74" s="387">
        <v>0</v>
      </c>
      <c r="N74" s="387">
        <v>0</v>
      </c>
      <c r="O74" s="387">
        <v>0</v>
      </c>
      <c r="P74" s="387">
        <v>0</v>
      </c>
      <c r="Q74" s="389">
        <v>0</v>
      </c>
      <c r="R74" s="388">
        <f t="shared" si="16"/>
        <v>0</v>
      </c>
      <c r="S74" s="387">
        <v>564762401</v>
      </c>
      <c r="T74" s="387">
        <v>0</v>
      </c>
      <c r="U74" s="387">
        <v>0</v>
      </c>
      <c r="V74" s="387">
        <v>0</v>
      </c>
      <c r="W74" s="387">
        <v>0</v>
      </c>
      <c r="X74" s="387">
        <v>0</v>
      </c>
      <c r="Y74" s="387">
        <v>0</v>
      </c>
      <c r="Z74" s="388">
        <f t="shared" si="8"/>
        <v>564762401</v>
      </c>
      <c r="AA74" s="389">
        <v>0</v>
      </c>
      <c r="AB74" s="389">
        <v>0</v>
      </c>
      <c r="AC74" s="389">
        <v>0</v>
      </c>
      <c r="AD74" s="389">
        <v>0</v>
      </c>
      <c r="AE74" s="389">
        <v>0</v>
      </c>
      <c r="AF74" s="389">
        <v>0</v>
      </c>
      <c r="AG74" s="388">
        <f t="shared" si="10"/>
        <v>0</v>
      </c>
      <c r="AH74" s="387">
        <v>0</v>
      </c>
      <c r="AI74" s="387">
        <v>0</v>
      </c>
      <c r="AJ74" s="387">
        <v>0</v>
      </c>
      <c r="AK74" s="387">
        <v>0</v>
      </c>
      <c r="AL74" s="387">
        <v>0</v>
      </c>
      <c r="AM74" s="387"/>
      <c r="AN74" s="388">
        <f t="shared" si="17"/>
        <v>0</v>
      </c>
      <c r="AO74" s="688">
        <f t="shared" si="9"/>
        <v>564762401</v>
      </c>
      <c r="AP74" s="390"/>
    </row>
    <row r="75" spans="1:42" s="385" customFormat="1" x14ac:dyDescent="0.2">
      <c r="A75" s="386">
        <v>46388</v>
      </c>
      <c r="B75" s="387">
        <v>0</v>
      </c>
      <c r="C75" s="387">
        <v>0</v>
      </c>
      <c r="D75" s="387">
        <v>0</v>
      </c>
      <c r="E75" s="387">
        <v>0</v>
      </c>
      <c r="F75" s="387">
        <v>0</v>
      </c>
      <c r="G75" s="387">
        <v>0</v>
      </c>
      <c r="H75" s="387">
        <v>0</v>
      </c>
      <c r="I75" s="387">
        <v>0</v>
      </c>
      <c r="J75" s="388">
        <f t="shared" si="15"/>
        <v>0</v>
      </c>
      <c r="K75" s="387">
        <v>0</v>
      </c>
      <c r="L75" s="387">
        <v>0</v>
      </c>
      <c r="M75" s="387">
        <v>0</v>
      </c>
      <c r="N75" s="387">
        <v>0</v>
      </c>
      <c r="O75" s="387">
        <v>0</v>
      </c>
      <c r="P75" s="387">
        <v>0</v>
      </c>
      <c r="Q75" s="389">
        <v>0</v>
      </c>
      <c r="R75" s="388">
        <f t="shared" si="16"/>
        <v>0</v>
      </c>
      <c r="S75" s="387">
        <v>468613436</v>
      </c>
      <c r="T75" s="387">
        <v>0</v>
      </c>
      <c r="U75" s="387">
        <v>0</v>
      </c>
      <c r="V75" s="387">
        <v>0</v>
      </c>
      <c r="W75" s="387">
        <v>0</v>
      </c>
      <c r="X75" s="387">
        <v>0</v>
      </c>
      <c r="Y75" s="387">
        <v>0</v>
      </c>
      <c r="Z75" s="388">
        <f t="shared" si="8"/>
        <v>468613436</v>
      </c>
      <c r="AA75" s="389">
        <v>0</v>
      </c>
      <c r="AB75" s="389">
        <v>0</v>
      </c>
      <c r="AC75" s="389">
        <v>0</v>
      </c>
      <c r="AD75" s="389">
        <v>0</v>
      </c>
      <c r="AE75" s="389">
        <v>0</v>
      </c>
      <c r="AF75" s="389">
        <v>0</v>
      </c>
      <c r="AG75" s="388">
        <f t="shared" si="10"/>
        <v>0</v>
      </c>
      <c r="AH75" s="387">
        <v>0</v>
      </c>
      <c r="AI75" s="387">
        <v>0</v>
      </c>
      <c r="AJ75" s="387">
        <v>0</v>
      </c>
      <c r="AK75" s="387">
        <v>0</v>
      </c>
      <c r="AL75" s="387">
        <v>0</v>
      </c>
      <c r="AM75" s="387"/>
      <c r="AN75" s="388">
        <f t="shared" si="17"/>
        <v>0</v>
      </c>
      <c r="AO75" s="688">
        <f t="shared" si="9"/>
        <v>468613436</v>
      </c>
      <c r="AP75" s="390"/>
    </row>
    <row r="76" spans="1:42" s="385" customFormat="1" x14ac:dyDescent="0.2">
      <c r="A76" s="386">
        <v>46419</v>
      </c>
      <c r="B76" s="387">
        <v>0</v>
      </c>
      <c r="C76" s="387">
        <v>0</v>
      </c>
      <c r="D76" s="387">
        <v>0</v>
      </c>
      <c r="E76" s="387">
        <v>0</v>
      </c>
      <c r="F76" s="387">
        <v>0</v>
      </c>
      <c r="G76" s="387">
        <v>0</v>
      </c>
      <c r="H76" s="387">
        <v>0</v>
      </c>
      <c r="I76" s="387">
        <v>0</v>
      </c>
      <c r="J76" s="388">
        <f t="shared" si="15"/>
        <v>0</v>
      </c>
      <c r="K76" s="387">
        <v>0</v>
      </c>
      <c r="L76" s="387">
        <v>0</v>
      </c>
      <c r="M76" s="387">
        <v>0</v>
      </c>
      <c r="N76" s="387">
        <v>0</v>
      </c>
      <c r="O76" s="387">
        <v>0</v>
      </c>
      <c r="P76" s="387">
        <v>0</v>
      </c>
      <c r="Q76" s="389">
        <v>0</v>
      </c>
      <c r="R76" s="388">
        <f t="shared" si="16"/>
        <v>0</v>
      </c>
      <c r="S76" s="387">
        <v>495460436</v>
      </c>
      <c r="T76" s="387">
        <v>0</v>
      </c>
      <c r="U76" s="387">
        <v>0</v>
      </c>
      <c r="V76" s="387">
        <v>0</v>
      </c>
      <c r="W76" s="387">
        <v>0</v>
      </c>
      <c r="X76" s="387">
        <v>0</v>
      </c>
      <c r="Y76" s="387">
        <v>0</v>
      </c>
      <c r="Z76" s="388">
        <f t="shared" si="8"/>
        <v>495460436</v>
      </c>
      <c r="AA76" s="389">
        <v>0</v>
      </c>
      <c r="AB76" s="389">
        <v>0</v>
      </c>
      <c r="AC76" s="389">
        <v>0</v>
      </c>
      <c r="AD76" s="389">
        <v>0</v>
      </c>
      <c r="AE76" s="389">
        <v>0</v>
      </c>
      <c r="AF76" s="389">
        <v>0</v>
      </c>
      <c r="AG76" s="388">
        <f t="shared" si="10"/>
        <v>0</v>
      </c>
      <c r="AH76" s="387">
        <v>0</v>
      </c>
      <c r="AI76" s="387">
        <v>0</v>
      </c>
      <c r="AJ76" s="387">
        <v>0</v>
      </c>
      <c r="AK76" s="387">
        <v>0</v>
      </c>
      <c r="AL76" s="387">
        <v>0</v>
      </c>
      <c r="AM76" s="387"/>
      <c r="AN76" s="388">
        <f t="shared" si="17"/>
        <v>0</v>
      </c>
      <c r="AO76" s="688">
        <f t="shared" si="9"/>
        <v>495460436</v>
      </c>
      <c r="AP76" s="390"/>
    </row>
    <row r="77" spans="1:42" s="385" customFormat="1" x14ac:dyDescent="0.2">
      <c r="A77" s="386">
        <v>46447</v>
      </c>
      <c r="B77" s="387">
        <v>0</v>
      </c>
      <c r="C77" s="387">
        <v>0</v>
      </c>
      <c r="D77" s="387">
        <v>0</v>
      </c>
      <c r="E77" s="387">
        <v>0</v>
      </c>
      <c r="F77" s="387">
        <v>0</v>
      </c>
      <c r="G77" s="387">
        <v>0</v>
      </c>
      <c r="H77" s="387">
        <v>0</v>
      </c>
      <c r="I77" s="387">
        <v>0</v>
      </c>
      <c r="J77" s="388">
        <f t="shared" si="15"/>
        <v>0</v>
      </c>
      <c r="K77" s="387">
        <v>0</v>
      </c>
      <c r="L77" s="387">
        <v>0</v>
      </c>
      <c r="M77" s="387">
        <v>0</v>
      </c>
      <c r="N77" s="387">
        <v>0</v>
      </c>
      <c r="O77" s="387">
        <v>0</v>
      </c>
      <c r="P77" s="387">
        <v>0</v>
      </c>
      <c r="Q77" s="389">
        <v>0</v>
      </c>
      <c r="R77" s="388">
        <f t="shared" si="16"/>
        <v>0</v>
      </c>
      <c r="S77" s="387">
        <v>752241515</v>
      </c>
      <c r="T77" s="387">
        <v>0</v>
      </c>
      <c r="U77" s="387">
        <v>0</v>
      </c>
      <c r="V77" s="387">
        <v>0</v>
      </c>
      <c r="W77" s="387">
        <v>0</v>
      </c>
      <c r="X77" s="387">
        <v>0</v>
      </c>
      <c r="Y77" s="387">
        <v>0</v>
      </c>
      <c r="Z77" s="388">
        <f t="shared" si="8"/>
        <v>752241515</v>
      </c>
      <c r="AA77" s="389">
        <v>0</v>
      </c>
      <c r="AB77" s="389">
        <v>0</v>
      </c>
      <c r="AC77" s="389">
        <v>0</v>
      </c>
      <c r="AD77" s="389">
        <v>0</v>
      </c>
      <c r="AE77" s="389">
        <v>0</v>
      </c>
      <c r="AF77" s="389">
        <v>0</v>
      </c>
      <c r="AG77" s="388">
        <f t="shared" si="10"/>
        <v>0</v>
      </c>
      <c r="AH77" s="387">
        <v>0</v>
      </c>
      <c r="AI77" s="387">
        <v>0</v>
      </c>
      <c r="AJ77" s="387">
        <v>0</v>
      </c>
      <c r="AK77" s="387">
        <v>0</v>
      </c>
      <c r="AL77" s="387">
        <v>0</v>
      </c>
      <c r="AM77" s="387"/>
      <c r="AN77" s="388">
        <f t="shared" si="17"/>
        <v>0</v>
      </c>
      <c r="AO77" s="688">
        <f t="shared" si="9"/>
        <v>752241515</v>
      </c>
      <c r="AP77" s="390"/>
    </row>
    <row r="78" spans="1:42" s="385" customFormat="1" x14ac:dyDescent="0.2">
      <c r="A78" s="386">
        <v>46478</v>
      </c>
      <c r="B78" s="387">
        <v>0</v>
      </c>
      <c r="C78" s="387">
        <v>0</v>
      </c>
      <c r="D78" s="387">
        <v>0</v>
      </c>
      <c r="E78" s="387">
        <v>0</v>
      </c>
      <c r="F78" s="387">
        <v>0</v>
      </c>
      <c r="G78" s="387">
        <v>0</v>
      </c>
      <c r="H78" s="387">
        <v>0</v>
      </c>
      <c r="I78" s="387">
        <v>0</v>
      </c>
      <c r="J78" s="388">
        <f t="shared" si="15"/>
        <v>0</v>
      </c>
      <c r="K78" s="387">
        <v>0</v>
      </c>
      <c r="L78" s="387">
        <v>0</v>
      </c>
      <c r="M78" s="387">
        <v>0</v>
      </c>
      <c r="N78" s="387">
        <v>0</v>
      </c>
      <c r="O78" s="387">
        <v>0</v>
      </c>
      <c r="P78" s="387">
        <v>0</v>
      </c>
      <c r="Q78" s="389">
        <v>0</v>
      </c>
      <c r="R78" s="388">
        <f t="shared" si="16"/>
        <v>0</v>
      </c>
      <c r="S78" s="387">
        <v>469064158</v>
      </c>
      <c r="T78" s="387">
        <v>0</v>
      </c>
      <c r="U78" s="387">
        <v>0</v>
      </c>
      <c r="V78" s="387">
        <v>0</v>
      </c>
      <c r="W78" s="387">
        <v>0</v>
      </c>
      <c r="X78" s="387">
        <v>0</v>
      </c>
      <c r="Y78" s="387">
        <v>0</v>
      </c>
      <c r="Z78" s="388">
        <f t="shared" si="8"/>
        <v>469064158</v>
      </c>
      <c r="AA78" s="389">
        <v>0</v>
      </c>
      <c r="AB78" s="389">
        <v>0</v>
      </c>
      <c r="AC78" s="389">
        <v>0</v>
      </c>
      <c r="AD78" s="389">
        <v>0</v>
      </c>
      <c r="AE78" s="389">
        <v>0</v>
      </c>
      <c r="AF78" s="389">
        <v>0</v>
      </c>
      <c r="AG78" s="388">
        <f t="shared" si="10"/>
        <v>0</v>
      </c>
      <c r="AH78" s="387">
        <v>0</v>
      </c>
      <c r="AI78" s="387">
        <v>0</v>
      </c>
      <c r="AJ78" s="387">
        <v>0</v>
      </c>
      <c r="AK78" s="387">
        <v>0</v>
      </c>
      <c r="AL78" s="387">
        <v>0</v>
      </c>
      <c r="AM78" s="387"/>
      <c r="AN78" s="388">
        <f t="shared" si="17"/>
        <v>0</v>
      </c>
      <c r="AO78" s="688">
        <f t="shared" si="9"/>
        <v>469064158</v>
      </c>
      <c r="AP78" s="390"/>
    </row>
    <row r="79" spans="1:42" s="385" customFormat="1" x14ac:dyDescent="0.2">
      <c r="A79" s="386">
        <v>46508</v>
      </c>
      <c r="B79" s="387">
        <v>0</v>
      </c>
      <c r="C79" s="387">
        <v>0</v>
      </c>
      <c r="D79" s="387">
        <v>0</v>
      </c>
      <c r="E79" s="387">
        <v>0</v>
      </c>
      <c r="F79" s="387">
        <v>0</v>
      </c>
      <c r="G79" s="387">
        <v>0</v>
      </c>
      <c r="H79" s="387">
        <v>0</v>
      </c>
      <c r="I79" s="387">
        <v>0</v>
      </c>
      <c r="J79" s="388">
        <f t="shared" si="15"/>
        <v>0</v>
      </c>
      <c r="K79" s="387">
        <v>0</v>
      </c>
      <c r="L79" s="387">
        <v>0</v>
      </c>
      <c r="M79" s="387">
        <v>0</v>
      </c>
      <c r="N79" s="387">
        <v>0</v>
      </c>
      <c r="O79" s="387">
        <v>0</v>
      </c>
      <c r="P79" s="387">
        <v>0</v>
      </c>
      <c r="Q79" s="389">
        <v>0</v>
      </c>
      <c r="R79" s="388">
        <f t="shared" si="16"/>
        <v>0</v>
      </c>
      <c r="S79" s="387">
        <v>473064158</v>
      </c>
      <c r="T79" s="387">
        <v>0</v>
      </c>
      <c r="U79" s="387">
        <v>0</v>
      </c>
      <c r="V79" s="387">
        <v>0</v>
      </c>
      <c r="W79" s="387">
        <v>0</v>
      </c>
      <c r="X79" s="387">
        <v>0</v>
      </c>
      <c r="Y79" s="387">
        <v>0</v>
      </c>
      <c r="Z79" s="388">
        <f t="shared" si="8"/>
        <v>473064158</v>
      </c>
      <c r="AA79" s="389">
        <v>0</v>
      </c>
      <c r="AB79" s="389">
        <v>0</v>
      </c>
      <c r="AC79" s="389">
        <v>0</v>
      </c>
      <c r="AD79" s="389">
        <v>0</v>
      </c>
      <c r="AE79" s="389">
        <v>0</v>
      </c>
      <c r="AF79" s="389">
        <v>0</v>
      </c>
      <c r="AG79" s="388">
        <f t="shared" si="10"/>
        <v>0</v>
      </c>
      <c r="AH79" s="387">
        <v>0</v>
      </c>
      <c r="AI79" s="387">
        <v>0</v>
      </c>
      <c r="AJ79" s="387">
        <v>0</v>
      </c>
      <c r="AK79" s="387">
        <v>0</v>
      </c>
      <c r="AL79" s="387">
        <v>0</v>
      </c>
      <c r="AM79" s="387"/>
      <c r="AN79" s="388">
        <f t="shared" si="17"/>
        <v>0</v>
      </c>
      <c r="AO79" s="688">
        <f t="shared" si="9"/>
        <v>473064158</v>
      </c>
      <c r="AP79" s="390"/>
    </row>
    <row r="80" spans="1:42" s="385" customFormat="1" x14ac:dyDescent="0.2">
      <c r="A80" s="386">
        <v>46539</v>
      </c>
      <c r="B80" s="387">
        <v>0</v>
      </c>
      <c r="C80" s="387">
        <v>0</v>
      </c>
      <c r="D80" s="387">
        <v>0</v>
      </c>
      <c r="E80" s="387">
        <v>0</v>
      </c>
      <c r="F80" s="387">
        <v>0</v>
      </c>
      <c r="G80" s="387">
        <v>0</v>
      </c>
      <c r="H80" s="387">
        <v>0</v>
      </c>
      <c r="I80" s="387">
        <v>0</v>
      </c>
      <c r="J80" s="388">
        <f t="shared" si="15"/>
        <v>0</v>
      </c>
      <c r="K80" s="387">
        <v>0</v>
      </c>
      <c r="L80" s="387">
        <v>0</v>
      </c>
      <c r="M80" s="387">
        <v>0</v>
      </c>
      <c r="N80" s="387">
        <v>0</v>
      </c>
      <c r="O80" s="387">
        <v>0</v>
      </c>
      <c r="P80" s="387">
        <v>0</v>
      </c>
      <c r="Q80" s="389">
        <v>0</v>
      </c>
      <c r="R80" s="388">
        <f t="shared" si="16"/>
        <v>0</v>
      </c>
      <c r="S80" s="387">
        <v>541313124</v>
      </c>
      <c r="T80" s="387">
        <v>0</v>
      </c>
      <c r="U80" s="387">
        <v>0</v>
      </c>
      <c r="V80" s="387">
        <v>0</v>
      </c>
      <c r="W80" s="387">
        <v>0</v>
      </c>
      <c r="X80" s="387">
        <v>0</v>
      </c>
      <c r="Y80" s="387">
        <v>0</v>
      </c>
      <c r="Z80" s="388">
        <f t="shared" si="8"/>
        <v>541313124</v>
      </c>
      <c r="AA80" s="389">
        <v>0</v>
      </c>
      <c r="AB80" s="389">
        <v>0</v>
      </c>
      <c r="AC80" s="389">
        <v>0</v>
      </c>
      <c r="AD80" s="389">
        <v>0</v>
      </c>
      <c r="AE80" s="389">
        <v>0</v>
      </c>
      <c r="AF80" s="389">
        <v>0</v>
      </c>
      <c r="AG80" s="388">
        <f t="shared" si="10"/>
        <v>0</v>
      </c>
      <c r="AH80" s="387">
        <v>0</v>
      </c>
      <c r="AI80" s="387">
        <v>0</v>
      </c>
      <c r="AJ80" s="387">
        <v>0</v>
      </c>
      <c r="AK80" s="387">
        <v>0</v>
      </c>
      <c r="AL80" s="387">
        <v>0</v>
      </c>
      <c r="AM80" s="387"/>
      <c r="AN80" s="388">
        <f t="shared" si="17"/>
        <v>0</v>
      </c>
      <c r="AO80" s="688">
        <f t="shared" si="9"/>
        <v>541313124</v>
      </c>
      <c r="AP80" s="390"/>
    </row>
    <row r="81" spans="1:42" s="385" customFormat="1" x14ac:dyDescent="0.2">
      <c r="A81" s="386">
        <v>46569</v>
      </c>
      <c r="B81" s="387">
        <v>0</v>
      </c>
      <c r="C81" s="387">
        <v>0</v>
      </c>
      <c r="D81" s="387">
        <v>0</v>
      </c>
      <c r="E81" s="387">
        <v>0</v>
      </c>
      <c r="F81" s="387">
        <v>0</v>
      </c>
      <c r="G81" s="387">
        <v>0</v>
      </c>
      <c r="H81" s="387">
        <v>0</v>
      </c>
      <c r="I81" s="387">
        <v>0</v>
      </c>
      <c r="J81" s="388">
        <f t="shared" si="15"/>
        <v>0</v>
      </c>
      <c r="K81" s="387">
        <v>0</v>
      </c>
      <c r="L81" s="387">
        <v>0</v>
      </c>
      <c r="M81" s="387">
        <v>0</v>
      </c>
      <c r="N81" s="387">
        <v>0</v>
      </c>
      <c r="O81" s="387">
        <v>0</v>
      </c>
      <c r="P81" s="387">
        <v>0</v>
      </c>
      <c r="Q81" s="389">
        <v>0</v>
      </c>
      <c r="R81" s="388">
        <f t="shared" si="16"/>
        <v>0</v>
      </c>
      <c r="S81" s="387">
        <v>477264159</v>
      </c>
      <c r="T81" s="387">
        <v>364910000</v>
      </c>
      <c r="U81" s="387">
        <v>0</v>
      </c>
      <c r="V81" s="387">
        <v>0</v>
      </c>
      <c r="W81" s="387">
        <v>0</v>
      </c>
      <c r="X81" s="387">
        <v>0</v>
      </c>
      <c r="Y81" s="387">
        <v>0</v>
      </c>
      <c r="Z81" s="388">
        <f t="shared" si="8"/>
        <v>842174159</v>
      </c>
      <c r="AA81" s="389">
        <v>0</v>
      </c>
      <c r="AB81" s="389">
        <v>0</v>
      </c>
      <c r="AC81" s="389">
        <v>0</v>
      </c>
      <c r="AD81" s="389">
        <v>0</v>
      </c>
      <c r="AE81" s="389">
        <v>0</v>
      </c>
      <c r="AF81" s="389">
        <v>0</v>
      </c>
      <c r="AG81" s="388">
        <f t="shared" si="10"/>
        <v>0</v>
      </c>
      <c r="AH81" s="387">
        <v>0</v>
      </c>
      <c r="AI81" s="387">
        <v>0</v>
      </c>
      <c r="AJ81" s="387">
        <v>0</v>
      </c>
      <c r="AK81" s="387">
        <v>0</v>
      </c>
      <c r="AL81" s="387">
        <v>0</v>
      </c>
      <c r="AM81" s="387"/>
      <c r="AN81" s="388">
        <f t="shared" si="17"/>
        <v>0</v>
      </c>
      <c r="AO81" s="688">
        <f t="shared" si="9"/>
        <v>842174159</v>
      </c>
      <c r="AP81" s="390"/>
    </row>
    <row r="82" spans="1:42" s="385" customFormat="1" x14ac:dyDescent="0.2">
      <c r="A82" s="386">
        <v>46600</v>
      </c>
      <c r="B82" s="387">
        <v>0</v>
      </c>
      <c r="C82" s="387">
        <v>0</v>
      </c>
      <c r="D82" s="387">
        <v>0</v>
      </c>
      <c r="E82" s="387">
        <v>0</v>
      </c>
      <c r="F82" s="387">
        <v>0</v>
      </c>
      <c r="G82" s="387">
        <v>0</v>
      </c>
      <c r="H82" s="387">
        <v>0</v>
      </c>
      <c r="I82" s="387">
        <v>0</v>
      </c>
      <c r="J82" s="388">
        <f t="shared" si="15"/>
        <v>0</v>
      </c>
      <c r="K82" s="387">
        <v>0</v>
      </c>
      <c r="L82" s="387">
        <v>0</v>
      </c>
      <c r="M82" s="387">
        <v>0</v>
      </c>
      <c r="N82" s="387">
        <v>0</v>
      </c>
      <c r="O82" s="387">
        <v>0</v>
      </c>
      <c r="P82" s="387">
        <v>0</v>
      </c>
      <c r="Q82" s="389">
        <v>0</v>
      </c>
      <c r="R82" s="388">
        <f t="shared" si="16"/>
        <v>0</v>
      </c>
      <c r="S82" s="387">
        <v>465246070</v>
      </c>
      <c r="T82" s="387">
        <v>0</v>
      </c>
      <c r="U82" s="387">
        <v>0</v>
      </c>
      <c r="V82" s="387">
        <v>0</v>
      </c>
      <c r="W82" s="387">
        <v>0</v>
      </c>
      <c r="X82" s="387">
        <v>0</v>
      </c>
      <c r="Y82" s="387">
        <v>0</v>
      </c>
      <c r="Z82" s="388">
        <f t="shared" si="8"/>
        <v>465246070</v>
      </c>
      <c r="AA82" s="389">
        <v>0</v>
      </c>
      <c r="AB82" s="389">
        <v>0</v>
      </c>
      <c r="AC82" s="389">
        <v>0</v>
      </c>
      <c r="AD82" s="389">
        <v>0</v>
      </c>
      <c r="AE82" s="389">
        <v>0</v>
      </c>
      <c r="AF82" s="389">
        <v>0</v>
      </c>
      <c r="AG82" s="388">
        <f t="shared" si="10"/>
        <v>0</v>
      </c>
      <c r="AH82" s="387">
        <v>0</v>
      </c>
      <c r="AI82" s="387">
        <v>0</v>
      </c>
      <c r="AJ82" s="387">
        <v>0</v>
      </c>
      <c r="AK82" s="387">
        <v>0</v>
      </c>
      <c r="AL82" s="387">
        <v>0</v>
      </c>
      <c r="AM82" s="387"/>
      <c r="AN82" s="388">
        <f t="shared" si="17"/>
        <v>0</v>
      </c>
      <c r="AO82" s="688">
        <f t="shared" si="9"/>
        <v>465246070</v>
      </c>
      <c r="AP82" s="390"/>
    </row>
    <row r="83" spans="1:42" s="385" customFormat="1" x14ac:dyDescent="0.2">
      <c r="A83" s="386">
        <v>46631</v>
      </c>
      <c r="B83" s="387">
        <v>0</v>
      </c>
      <c r="C83" s="387">
        <v>0</v>
      </c>
      <c r="D83" s="387">
        <v>0</v>
      </c>
      <c r="E83" s="387">
        <v>0</v>
      </c>
      <c r="F83" s="387">
        <v>0</v>
      </c>
      <c r="G83" s="387">
        <v>0</v>
      </c>
      <c r="H83" s="387">
        <v>0</v>
      </c>
      <c r="I83" s="387">
        <v>0</v>
      </c>
      <c r="J83" s="388">
        <f t="shared" si="15"/>
        <v>0</v>
      </c>
      <c r="K83" s="387">
        <v>0</v>
      </c>
      <c r="L83" s="387">
        <v>0</v>
      </c>
      <c r="M83" s="387">
        <v>0</v>
      </c>
      <c r="N83" s="387">
        <v>0</v>
      </c>
      <c r="O83" s="387">
        <v>0</v>
      </c>
      <c r="P83" s="387">
        <v>0</v>
      </c>
      <c r="Q83" s="389">
        <v>0</v>
      </c>
      <c r="R83" s="388">
        <f t="shared" si="16"/>
        <v>0</v>
      </c>
      <c r="S83" s="387">
        <v>572740593</v>
      </c>
      <c r="T83" s="387">
        <v>370728750</v>
      </c>
      <c r="U83" s="387">
        <v>0</v>
      </c>
      <c r="V83" s="387">
        <v>0</v>
      </c>
      <c r="W83" s="387">
        <v>0</v>
      </c>
      <c r="X83" s="387">
        <v>0</v>
      </c>
      <c r="Y83" s="387">
        <v>0</v>
      </c>
      <c r="Z83" s="388">
        <f t="shared" si="8"/>
        <v>943469343</v>
      </c>
      <c r="AA83" s="389">
        <v>0</v>
      </c>
      <c r="AB83" s="389">
        <v>0</v>
      </c>
      <c r="AC83" s="389">
        <v>0</v>
      </c>
      <c r="AD83" s="389">
        <v>0</v>
      </c>
      <c r="AE83" s="389">
        <v>0</v>
      </c>
      <c r="AF83" s="389">
        <v>0</v>
      </c>
      <c r="AG83" s="388">
        <f t="shared" si="10"/>
        <v>0</v>
      </c>
      <c r="AH83" s="387">
        <v>0</v>
      </c>
      <c r="AI83" s="387">
        <v>0</v>
      </c>
      <c r="AJ83" s="387">
        <v>0</v>
      </c>
      <c r="AK83" s="387">
        <v>0</v>
      </c>
      <c r="AL83" s="387">
        <v>0</v>
      </c>
      <c r="AM83" s="387"/>
      <c r="AN83" s="388">
        <f t="shared" si="17"/>
        <v>0</v>
      </c>
      <c r="AO83" s="688">
        <f t="shared" si="9"/>
        <v>943469343</v>
      </c>
      <c r="AP83" s="390"/>
    </row>
    <row r="84" spans="1:42" s="385" customFormat="1" x14ac:dyDescent="0.2">
      <c r="A84" s="386">
        <v>46661</v>
      </c>
      <c r="B84" s="387">
        <v>0</v>
      </c>
      <c r="C84" s="387">
        <v>0</v>
      </c>
      <c r="D84" s="387">
        <v>0</v>
      </c>
      <c r="E84" s="387">
        <v>0</v>
      </c>
      <c r="F84" s="387">
        <v>0</v>
      </c>
      <c r="G84" s="387">
        <v>0</v>
      </c>
      <c r="H84" s="387">
        <v>0</v>
      </c>
      <c r="I84" s="387">
        <v>0</v>
      </c>
      <c r="J84" s="388">
        <f t="shared" si="15"/>
        <v>0</v>
      </c>
      <c r="K84" s="387">
        <v>0</v>
      </c>
      <c r="L84" s="387">
        <v>0</v>
      </c>
      <c r="M84" s="387">
        <v>0</v>
      </c>
      <c r="N84" s="387">
        <v>0</v>
      </c>
      <c r="O84" s="387">
        <v>0</v>
      </c>
      <c r="P84" s="387">
        <v>0</v>
      </c>
      <c r="Q84" s="389">
        <v>0</v>
      </c>
      <c r="R84" s="388">
        <f t="shared" si="16"/>
        <v>0</v>
      </c>
      <c r="S84" s="387">
        <v>1180537444</v>
      </c>
      <c r="T84" s="387">
        <v>34942656828</v>
      </c>
      <c r="U84" s="387">
        <v>0</v>
      </c>
      <c r="V84" s="387">
        <v>0</v>
      </c>
      <c r="W84" s="387">
        <v>0</v>
      </c>
      <c r="X84" s="387">
        <v>0</v>
      </c>
      <c r="Y84" s="387">
        <v>0</v>
      </c>
      <c r="Z84" s="388">
        <f t="shared" si="8"/>
        <v>36123194272</v>
      </c>
      <c r="AA84" s="389">
        <v>0</v>
      </c>
      <c r="AB84" s="389">
        <v>0</v>
      </c>
      <c r="AC84" s="389">
        <v>0</v>
      </c>
      <c r="AD84" s="389">
        <v>0</v>
      </c>
      <c r="AE84" s="389">
        <v>0</v>
      </c>
      <c r="AF84" s="389">
        <v>0</v>
      </c>
      <c r="AG84" s="388">
        <f t="shared" si="10"/>
        <v>0</v>
      </c>
      <c r="AH84" s="387">
        <v>0</v>
      </c>
      <c r="AI84" s="387">
        <v>422487435</v>
      </c>
      <c r="AJ84" s="387">
        <v>0</v>
      </c>
      <c r="AK84" s="387">
        <v>10972043</v>
      </c>
      <c r="AL84" s="387">
        <v>0</v>
      </c>
      <c r="AM84" s="387"/>
      <c r="AN84" s="388">
        <f t="shared" si="17"/>
        <v>433459478</v>
      </c>
      <c r="AO84" s="688">
        <f t="shared" si="9"/>
        <v>36556653750</v>
      </c>
      <c r="AP84" s="390"/>
    </row>
    <row r="85" spans="1:42" s="385" customFormat="1" x14ac:dyDescent="0.2">
      <c r="A85" s="386">
        <v>46692</v>
      </c>
      <c r="B85" s="387">
        <v>0</v>
      </c>
      <c r="C85" s="387">
        <v>0</v>
      </c>
      <c r="D85" s="387">
        <v>0</v>
      </c>
      <c r="E85" s="387">
        <v>0</v>
      </c>
      <c r="F85" s="387">
        <v>0</v>
      </c>
      <c r="G85" s="387">
        <v>0</v>
      </c>
      <c r="H85" s="387">
        <v>0</v>
      </c>
      <c r="I85" s="387">
        <v>0</v>
      </c>
      <c r="J85" s="388">
        <f t="shared" si="15"/>
        <v>0</v>
      </c>
      <c r="K85" s="387">
        <v>0</v>
      </c>
      <c r="L85" s="387">
        <v>0</v>
      </c>
      <c r="M85" s="387">
        <v>0</v>
      </c>
      <c r="N85" s="387">
        <v>0</v>
      </c>
      <c r="O85" s="387">
        <v>0</v>
      </c>
      <c r="P85" s="387">
        <v>0</v>
      </c>
      <c r="Q85" s="389">
        <v>0</v>
      </c>
      <c r="R85" s="388">
        <f t="shared" si="16"/>
        <v>0</v>
      </c>
      <c r="S85" s="387">
        <v>0</v>
      </c>
      <c r="T85" s="387">
        <v>2501362750</v>
      </c>
      <c r="U85" s="387">
        <v>0</v>
      </c>
      <c r="V85" s="387">
        <v>0</v>
      </c>
      <c r="W85" s="387">
        <v>0</v>
      </c>
      <c r="X85" s="387">
        <v>0</v>
      </c>
      <c r="Y85" s="387">
        <v>0</v>
      </c>
      <c r="Z85" s="388">
        <f t="shared" si="8"/>
        <v>2501362750</v>
      </c>
      <c r="AA85" s="389">
        <v>0</v>
      </c>
      <c r="AB85" s="389">
        <v>0</v>
      </c>
      <c r="AC85" s="389">
        <v>0</v>
      </c>
      <c r="AD85" s="389">
        <v>0</v>
      </c>
      <c r="AE85" s="389">
        <v>0</v>
      </c>
      <c r="AF85" s="389">
        <v>0</v>
      </c>
      <c r="AG85" s="388">
        <f t="shared" si="10"/>
        <v>0</v>
      </c>
      <c r="AH85" s="387">
        <v>0</v>
      </c>
      <c r="AI85" s="387">
        <v>0</v>
      </c>
      <c r="AJ85" s="387">
        <v>0</v>
      </c>
      <c r="AK85" s="387">
        <v>0</v>
      </c>
      <c r="AL85" s="387">
        <v>0</v>
      </c>
      <c r="AM85" s="387"/>
      <c r="AN85" s="388">
        <f t="shared" si="17"/>
        <v>0</v>
      </c>
      <c r="AO85" s="688">
        <f t="shared" si="9"/>
        <v>2501362750</v>
      </c>
      <c r="AP85" s="390"/>
    </row>
    <row r="86" spans="1:42" s="385" customFormat="1" hidden="1" x14ac:dyDescent="0.2">
      <c r="A86" s="386">
        <v>46722</v>
      </c>
      <c r="B86" s="387">
        <v>0</v>
      </c>
      <c r="C86" s="387">
        <v>0</v>
      </c>
      <c r="D86" s="387">
        <v>0</v>
      </c>
      <c r="E86" s="387">
        <v>0</v>
      </c>
      <c r="F86" s="387">
        <v>0</v>
      </c>
      <c r="G86" s="387">
        <v>0</v>
      </c>
      <c r="H86" s="387">
        <v>0</v>
      </c>
      <c r="I86" s="387">
        <v>0</v>
      </c>
      <c r="J86" s="388">
        <f t="shared" si="15"/>
        <v>0</v>
      </c>
      <c r="K86" s="387">
        <v>0</v>
      </c>
      <c r="L86" s="387">
        <v>0</v>
      </c>
      <c r="M86" s="387">
        <v>0</v>
      </c>
      <c r="N86" s="387">
        <v>0</v>
      </c>
      <c r="O86" s="387">
        <v>0</v>
      </c>
      <c r="P86" s="387">
        <v>0</v>
      </c>
      <c r="Q86" s="389">
        <v>0</v>
      </c>
      <c r="R86" s="388">
        <f t="shared" si="16"/>
        <v>0</v>
      </c>
      <c r="S86" s="387">
        <v>0</v>
      </c>
      <c r="T86" s="387">
        <v>0</v>
      </c>
      <c r="U86" s="387">
        <v>0</v>
      </c>
      <c r="V86" s="387">
        <v>0</v>
      </c>
      <c r="W86" s="387">
        <v>0</v>
      </c>
      <c r="X86" s="387">
        <v>0</v>
      </c>
      <c r="Y86" s="387">
        <v>0</v>
      </c>
      <c r="Z86" s="388">
        <f t="shared" si="8"/>
        <v>0</v>
      </c>
      <c r="AA86" s="389">
        <v>0</v>
      </c>
      <c r="AB86" s="389">
        <v>0</v>
      </c>
      <c r="AC86" s="389">
        <v>0</v>
      </c>
      <c r="AD86" s="389">
        <v>0</v>
      </c>
      <c r="AE86" s="389">
        <v>0</v>
      </c>
      <c r="AF86" s="389">
        <v>0</v>
      </c>
      <c r="AG86" s="388">
        <f t="shared" si="10"/>
        <v>0</v>
      </c>
      <c r="AH86" s="387">
        <v>0</v>
      </c>
      <c r="AI86" s="387">
        <v>0</v>
      </c>
      <c r="AJ86" s="387">
        <v>0</v>
      </c>
      <c r="AK86" s="387">
        <v>0</v>
      </c>
      <c r="AL86" s="387"/>
      <c r="AM86" s="387"/>
      <c r="AN86" s="388">
        <f t="shared" si="17"/>
        <v>0</v>
      </c>
      <c r="AO86" s="688">
        <f t="shared" si="9"/>
        <v>0</v>
      </c>
      <c r="AP86" s="390"/>
    </row>
    <row r="87" spans="1:42" s="385" customFormat="1" x14ac:dyDescent="0.2">
      <c r="A87" s="391" t="s">
        <v>63</v>
      </c>
      <c r="B87" s="392">
        <f t="shared" ref="B87:H87" si="18">SUM(B7:B86)</f>
        <v>118335483</v>
      </c>
      <c r="C87" s="392">
        <f t="shared" si="18"/>
        <v>1371839958</v>
      </c>
      <c r="D87" s="392">
        <f t="shared" si="18"/>
        <v>0</v>
      </c>
      <c r="E87" s="392">
        <f t="shared" si="18"/>
        <v>12406392</v>
      </c>
      <c r="F87" s="392">
        <f t="shared" si="18"/>
        <v>25761800</v>
      </c>
      <c r="G87" s="392">
        <f t="shared" si="18"/>
        <v>0</v>
      </c>
      <c r="H87" s="392">
        <f t="shared" si="18"/>
        <v>2377665</v>
      </c>
      <c r="I87" s="392">
        <f t="shared" ref="I87:AM87" si="19">SUM(I7:I67)</f>
        <v>12428383</v>
      </c>
      <c r="J87" s="392">
        <f t="shared" si="19"/>
        <v>1543149681</v>
      </c>
      <c r="K87" s="392">
        <f>SUM(K7:K86)</f>
        <v>291214581</v>
      </c>
      <c r="L87" s="392">
        <f>SUM(L7:L86)</f>
        <v>2203235029</v>
      </c>
      <c r="M87" s="392">
        <f>SUM(M7:M86)</f>
        <v>67499271</v>
      </c>
      <c r="N87" s="392">
        <f>SUM(N7:N86)</f>
        <v>0</v>
      </c>
      <c r="O87" s="392">
        <f t="shared" si="19"/>
        <v>12236622</v>
      </c>
      <c r="P87" s="392">
        <f>SUM(P7:P86)</f>
        <v>2592645</v>
      </c>
      <c r="Q87" s="392">
        <f>SUM(Q7:Q85)</f>
        <v>13095846</v>
      </c>
      <c r="R87" s="392">
        <f t="shared" si="19"/>
        <v>2589873994</v>
      </c>
      <c r="S87" s="392">
        <f t="shared" ref="S87:AB87" si="20">SUM(S7:S86)</f>
        <v>14092756239</v>
      </c>
      <c r="T87" s="392">
        <f t="shared" si="20"/>
        <v>38179658328</v>
      </c>
      <c r="U87" s="392">
        <f t="shared" si="20"/>
        <v>0</v>
      </c>
      <c r="V87" s="392">
        <f t="shared" si="20"/>
        <v>0</v>
      </c>
      <c r="W87" s="392">
        <f t="shared" si="20"/>
        <v>0</v>
      </c>
      <c r="X87" s="392">
        <f t="shared" si="20"/>
        <v>0</v>
      </c>
      <c r="Y87" s="392">
        <f t="shared" si="20"/>
        <v>0</v>
      </c>
      <c r="Z87" s="392">
        <f t="shared" si="20"/>
        <v>52272414567</v>
      </c>
      <c r="AA87" s="392">
        <f>SUM(AA7:AA86)</f>
        <v>1768823499</v>
      </c>
      <c r="AB87" s="392">
        <f t="shared" si="20"/>
        <v>26909672517</v>
      </c>
      <c r="AC87" s="392">
        <f t="shared" ref="AC87:AL87" si="21">SUM(AC7:AC86)</f>
        <v>764809708</v>
      </c>
      <c r="AD87" s="392">
        <f t="shared" si="21"/>
        <v>32070524</v>
      </c>
      <c r="AE87" s="392">
        <f t="shared" si="21"/>
        <v>24829630</v>
      </c>
      <c r="AF87" s="392">
        <f t="shared" si="21"/>
        <v>549955</v>
      </c>
      <c r="AG87" s="392">
        <f t="shared" si="21"/>
        <v>29500755833</v>
      </c>
      <c r="AH87" s="392">
        <f t="shared" si="21"/>
        <v>2198662789</v>
      </c>
      <c r="AI87" s="392">
        <f t="shared" si="21"/>
        <v>26586472767</v>
      </c>
      <c r="AJ87" s="392">
        <f t="shared" si="21"/>
        <v>651957797</v>
      </c>
      <c r="AK87" s="392">
        <f t="shared" si="21"/>
        <v>43119937</v>
      </c>
      <c r="AL87" s="392">
        <f t="shared" si="21"/>
        <v>7879455</v>
      </c>
      <c r="AM87" s="392">
        <f t="shared" si="19"/>
        <v>0</v>
      </c>
      <c r="AN87" s="392">
        <f>SUM(AN7:AN86)</f>
        <v>29488092745</v>
      </c>
      <c r="AO87" s="392">
        <f>SUM(AO7:AO85)</f>
        <v>115394286820</v>
      </c>
      <c r="AP87" s="390"/>
    </row>
    <row r="88" spans="1:42" s="396" customFormat="1" x14ac:dyDescent="0.2">
      <c r="A88" s="393"/>
      <c r="B88" s="394"/>
      <c r="C88" s="394"/>
      <c r="D88" s="394"/>
      <c r="E88" s="394"/>
      <c r="F88" s="394" t="s">
        <v>196</v>
      </c>
      <c r="G88" s="394"/>
      <c r="H88" s="394"/>
      <c r="I88" s="394"/>
      <c r="J88" s="395">
        <f>+J87-'Detalle Clientes'!H526</f>
        <v>1371839958</v>
      </c>
      <c r="K88" s="394"/>
      <c r="L88" s="394"/>
      <c r="M88" s="394"/>
      <c r="N88" s="394"/>
      <c r="O88" s="394"/>
      <c r="P88" s="394"/>
      <c r="Q88" s="394"/>
      <c r="R88" s="395">
        <f>+R87-'Detalle Clientes'!H853</f>
        <v>2203235029</v>
      </c>
      <c r="S88" s="395"/>
      <c r="T88" s="395"/>
      <c r="U88" s="395"/>
      <c r="V88" s="395"/>
      <c r="W88" s="395"/>
      <c r="X88" s="395"/>
      <c r="Y88" s="395"/>
      <c r="Z88" s="395">
        <f>Z87-'Detalle Clientes'!H1096</f>
        <v>38179658328</v>
      </c>
      <c r="AA88" s="394"/>
      <c r="AB88" s="394" t="s">
        <v>196</v>
      </c>
      <c r="AC88" s="394"/>
      <c r="AD88" s="394"/>
      <c r="AE88" s="394"/>
      <c r="AF88" s="394"/>
      <c r="AG88" s="395">
        <f>+AG87-'Detalle Clientes'!H1467</f>
        <v>26909672517</v>
      </c>
      <c r="AH88" s="394"/>
      <c r="AI88" s="394"/>
      <c r="AJ88" s="394"/>
      <c r="AK88" s="394"/>
      <c r="AL88" s="395"/>
      <c r="AM88" s="395"/>
      <c r="AN88" s="395">
        <f>+AN87-'Detalle Clientes'!H1695</f>
        <v>26586472767</v>
      </c>
      <c r="AO88" s="395">
        <f>+AO87-'Detalle Clientes'!H1696</f>
        <v>95250878599</v>
      </c>
      <c r="AP88" s="390"/>
    </row>
    <row r="89" spans="1:42" s="396" customFormat="1" x14ac:dyDescent="0.2">
      <c r="A89" s="393"/>
      <c r="B89" s="390"/>
      <c r="C89" s="390"/>
      <c r="D89" s="390"/>
      <c r="E89" s="390"/>
      <c r="F89" s="390"/>
      <c r="G89" s="390"/>
      <c r="H89" s="390"/>
      <c r="I89" s="390"/>
      <c r="J89" s="395">
        <f>+J87-'Proyeccion de saldos detallados'!BX153</f>
        <v>0</v>
      </c>
      <c r="K89" s="390"/>
      <c r="L89" s="390"/>
      <c r="M89" s="390"/>
      <c r="N89" s="390"/>
      <c r="O89" s="390"/>
      <c r="P89" s="393"/>
      <c r="Q89" s="393"/>
      <c r="R89" s="395">
        <f>+R87-'Proyeccion de saldos detallados'!BX256</f>
        <v>0</v>
      </c>
      <c r="S89" s="395"/>
      <c r="T89" s="395"/>
      <c r="U89" s="395"/>
      <c r="V89" s="395"/>
      <c r="W89" s="395"/>
      <c r="X89" s="395"/>
      <c r="Y89" s="395"/>
      <c r="Z89" s="395">
        <f>Z87-'Proyeccion de saldos detallados'!BX373</f>
        <v>0</v>
      </c>
      <c r="AA89" s="393"/>
      <c r="AB89" s="393"/>
      <c r="AC89" s="393"/>
      <c r="AD89" s="393"/>
      <c r="AE89" s="393"/>
      <c r="AF89" s="393"/>
      <c r="AG89" s="390">
        <f>+AG87-'Proyeccion de saldos detallados'!BX512</f>
        <v>0</v>
      </c>
      <c r="AH89" s="393"/>
      <c r="AI89" s="393"/>
      <c r="AJ89" s="393"/>
      <c r="AK89" s="394"/>
      <c r="AL89" s="397"/>
      <c r="AM89" s="397"/>
      <c r="AN89" s="390">
        <f>+AN87-'Proyeccion de saldos detallados'!BX596</f>
        <v>0</v>
      </c>
      <c r="AO89" s="395">
        <f>+AO87-'Proyeccion de saldos detallados'!BX597</f>
        <v>0</v>
      </c>
    </row>
    <row r="90" spans="1:42" x14ac:dyDescent="0.2">
      <c r="B90" s="397"/>
      <c r="C90" s="397"/>
      <c r="D90" s="397"/>
      <c r="E90" s="397"/>
      <c r="F90" s="397"/>
      <c r="G90" s="397"/>
      <c r="H90" s="397"/>
      <c r="I90" s="397"/>
      <c r="J90" s="397"/>
      <c r="K90" s="397"/>
      <c r="L90" s="397"/>
      <c r="M90" s="397"/>
      <c r="N90" s="397"/>
      <c r="O90" s="397"/>
      <c r="P90" s="393" t="s">
        <v>196</v>
      </c>
      <c r="AK90" s="398" t="s">
        <v>196</v>
      </c>
      <c r="AL90" s="397"/>
      <c r="AM90" s="397"/>
      <c r="AN90" s="397"/>
      <c r="AO90" s="399" t="s">
        <v>196</v>
      </c>
    </row>
    <row r="91" spans="1:42" x14ac:dyDescent="0.2">
      <c r="J91" s="398"/>
      <c r="AO91" s="395"/>
    </row>
    <row r="93" spans="1:42" x14ac:dyDescent="0.2">
      <c r="R93" s="395"/>
      <c r="S93" s="395"/>
      <c r="T93" s="395"/>
      <c r="U93" s="395"/>
      <c r="V93" s="395"/>
      <c r="W93" s="395"/>
      <c r="X93" s="395"/>
      <c r="Y93" s="395"/>
      <c r="Z93" s="395"/>
    </row>
    <row r="94" spans="1:42" x14ac:dyDescent="0.2">
      <c r="R94" s="395"/>
      <c r="S94" s="395"/>
      <c r="T94" s="395"/>
      <c r="U94" s="395"/>
      <c r="V94" s="395"/>
      <c r="W94" s="395"/>
      <c r="X94" s="395"/>
      <c r="Y94" s="395"/>
      <c r="Z94" s="395"/>
    </row>
    <row r="95" spans="1:42" x14ac:dyDescent="0.2">
      <c r="AO95" s="395"/>
    </row>
    <row r="96" spans="1:42" x14ac:dyDescent="0.2">
      <c r="AO96" s="395"/>
    </row>
  </sheetData>
  <mergeCells count="9">
    <mergeCell ref="B2:AO2"/>
    <mergeCell ref="B4:AO4"/>
    <mergeCell ref="B3:AO3"/>
    <mergeCell ref="B5:J5"/>
    <mergeCell ref="AO5:AO6"/>
    <mergeCell ref="K5:R5"/>
    <mergeCell ref="AA5:AG5"/>
    <mergeCell ref="AH5:AN5"/>
    <mergeCell ref="S5:Z5"/>
  </mergeCells>
  <phoneticPr fontId="62" type="noConversion"/>
  <printOptions horizontalCentered="1" verticalCentered="1"/>
  <pageMargins left="0.70866141732283472" right="0.47244094488188981" top="0.55118110236220474" bottom="0.98425196850393704" header="0" footer="0"/>
  <pageSetup scale="36" orientation="landscape" r:id="rId1"/>
  <headerFooter alignWithMargins="0">
    <oddFooter>&amp;C&amp;P&amp;RElaborado por EQUILIBRIUM Inmobiliario S.A.S</oddFooter>
  </headerFooter>
  <ignoredErrors>
    <ignoredError sqref="J15:J59" formulaRange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471DB-5BAB-4CD8-8861-E792184F2333}">
  <sheetPr>
    <tabColor rgb="FFF6FA58"/>
    <pageSetUpPr fitToPage="1"/>
  </sheetPr>
  <dimension ref="A1:JI277"/>
  <sheetViews>
    <sheetView showGridLines="0" zoomScale="130" zoomScaleNormal="130" workbookViewId="0">
      <pane xSplit="1" ySplit="8" topLeftCell="AA9" activePane="bottomRight" state="frozen"/>
      <selection pane="topRight" activeCell="B1" sqref="B1"/>
      <selection pane="bottomLeft" activeCell="A9" sqref="A9"/>
      <selection pane="bottomRight" activeCell="AD9" sqref="AD9"/>
    </sheetView>
  </sheetViews>
  <sheetFormatPr baseColWidth="10" defaultColWidth="8" defaultRowHeight="12.75" x14ac:dyDescent="0.2"/>
  <cols>
    <col min="1" max="1" width="20.140625" bestFit="1" customWidth="1"/>
    <col min="2" max="2" width="25.42578125" bestFit="1" customWidth="1"/>
    <col min="3" max="3" width="20.7109375" bestFit="1" customWidth="1"/>
    <col min="4" max="4" width="18.140625" bestFit="1" customWidth="1"/>
    <col min="5" max="5" width="10.5703125" bestFit="1" customWidth="1"/>
    <col min="6" max="6" width="18.140625" bestFit="1" customWidth="1"/>
    <col min="7" max="7" width="17.85546875" bestFit="1" customWidth="1"/>
    <col min="8" max="8" width="18.140625" bestFit="1" customWidth="1"/>
    <col min="9" max="9" width="21" bestFit="1" customWidth="1"/>
    <col min="10" max="10" width="19.42578125" bestFit="1" customWidth="1"/>
    <col min="11" max="11" width="21" bestFit="1" customWidth="1"/>
    <col min="12" max="12" width="11.85546875" bestFit="1" customWidth="1"/>
    <col min="13" max="13" width="19.42578125" bestFit="1" customWidth="1"/>
    <col min="14" max="16" width="18.140625" bestFit="1" customWidth="1"/>
    <col min="17" max="17" width="21" bestFit="1" customWidth="1"/>
    <col min="18" max="18" width="22.28515625" bestFit="1" customWidth="1"/>
    <col min="19" max="19" width="24.7109375" bestFit="1" customWidth="1"/>
    <col min="20" max="20" width="11.85546875" bestFit="1" customWidth="1"/>
    <col min="21" max="21" width="10.5703125" bestFit="1" customWidth="1"/>
    <col min="22" max="22" width="11.42578125" bestFit="1" customWidth="1"/>
    <col min="23" max="23" width="17.85546875" bestFit="1" customWidth="1"/>
    <col min="24" max="24" width="17.28515625" bestFit="1" customWidth="1"/>
    <col min="25" max="25" width="24" bestFit="1" customWidth="1"/>
    <col min="26" max="26" width="21" bestFit="1" customWidth="1"/>
    <col min="27" max="27" width="24" bestFit="1" customWidth="1"/>
    <col min="28" max="28" width="19.42578125" bestFit="1" customWidth="1"/>
    <col min="29" max="29" width="20.7109375" bestFit="1" customWidth="1"/>
    <col min="30" max="30" width="19.42578125" bestFit="1" customWidth="1"/>
    <col min="31" max="31" width="17.85546875" bestFit="1" customWidth="1"/>
    <col min="32" max="32" width="17.28515625" bestFit="1" customWidth="1"/>
    <col min="33" max="33" width="24" bestFit="1" customWidth="1"/>
    <col min="34" max="34" width="21" bestFit="1" customWidth="1"/>
    <col min="35" max="35" width="24" bestFit="1" customWidth="1"/>
    <col min="36" max="36" width="19.42578125" bestFit="1" customWidth="1"/>
    <col min="37" max="37" width="20.7109375" bestFit="1" customWidth="1"/>
    <col min="38" max="38" width="18.140625" bestFit="1" customWidth="1"/>
    <col min="39" max="39" width="17.85546875" bestFit="1" customWidth="1"/>
    <col min="40" max="40" width="17.28515625" bestFit="1" customWidth="1"/>
    <col min="41" max="41" width="24" bestFit="1" customWidth="1"/>
    <col min="42" max="42" width="22.5703125" hidden="1" customWidth="1"/>
    <col min="43" max="43" width="23.85546875" style="393" hidden="1" customWidth="1"/>
    <col min="44" max="44" width="19.28515625" style="393" hidden="1" customWidth="1"/>
    <col min="45" max="45" width="20.5703125" style="393" hidden="1" customWidth="1"/>
    <col min="46" max="46" width="19.28515625" style="393" hidden="1" customWidth="1"/>
    <col min="47" max="47" width="23" style="393" hidden="1" customWidth="1"/>
    <col min="48" max="48" width="22.42578125" style="393" hidden="1" customWidth="1"/>
    <col min="49" max="49" width="24" style="393" bestFit="1" customWidth="1"/>
    <col min="50" max="50" width="23.85546875" style="393" bestFit="1" customWidth="1"/>
    <col min="51" max="268" width="8" style="393"/>
    <col min="269" max="269" width="18" style="726" customWidth="1"/>
    <col min="270" max="16383" width="8" style="393"/>
    <col min="16384" max="16384" width="11.5703125" style="393" customWidth="1"/>
  </cols>
  <sheetData>
    <row r="1" spans="1:269" s="301" customFormat="1" x14ac:dyDescent="0.2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JI1" s="723"/>
    </row>
    <row r="2" spans="1:269" s="301" customFormat="1" x14ac:dyDescent="0.2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JI2" s="723"/>
    </row>
    <row r="3" spans="1:269" s="301" customFormat="1" ht="6" customHeight="1" x14ac:dyDescent="0.2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JI3" s="723"/>
    </row>
    <row r="4" spans="1:269" s="301" customFormat="1" ht="9" hidden="1" customHeight="1" x14ac:dyDescent="0.2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JI4" s="723"/>
    </row>
    <row r="5" spans="1:269" s="301" customFormat="1" ht="6" hidden="1" customHeight="1" x14ac:dyDescent="0.2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JI5" s="723"/>
    </row>
    <row r="6" spans="1:269" s="385" customFormat="1" hidden="1" x14ac:dyDescent="0.2">
      <c r="A6" s="629"/>
      <c r="B6" s="714" t="s">
        <v>4457</v>
      </c>
      <c r="C6" s="629"/>
      <c r="D6" s="629"/>
      <c r="E6" s="629"/>
      <c r="F6" s="629"/>
      <c r="G6" s="629"/>
      <c r="H6" s="629"/>
      <c r="I6" s="629"/>
      <c r="J6" s="629"/>
      <c r="K6" s="629"/>
      <c r="L6" s="629"/>
      <c r="M6" s="629"/>
      <c r="N6" s="629"/>
      <c r="O6" s="629"/>
      <c r="P6" s="629"/>
      <c r="Q6" s="629"/>
      <c r="R6" s="629"/>
      <c r="S6" s="629"/>
      <c r="T6" s="629"/>
      <c r="U6" s="629"/>
      <c r="V6" s="629"/>
      <c r="W6" s="629"/>
      <c r="X6" s="629"/>
      <c r="Y6" s="629"/>
      <c r="Z6" s="629"/>
      <c r="AA6" s="629"/>
      <c r="AB6" s="629"/>
      <c r="AC6" s="629"/>
      <c r="AD6" s="629"/>
      <c r="AE6" s="629"/>
      <c r="AF6" s="629"/>
      <c r="AG6" s="629"/>
      <c r="AH6" s="629"/>
      <c r="AI6" s="629"/>
      <c r="AJ6" s="629"/>
      <c r="AK6" s="629"/>
      <c r="AL6" s="629"/>
      <c r="AM6" s="629"/>
      <c r="AN6" s="629"/>
      <c r="AO6" s="629"/>
      <c r="AP6" s="629"/>
      <c r="AQ6" s="629"/>
      <c r="AR6" s="629"/>
      <c r="AS6" s="629"/>
      <c r="AT6" s="629"/>
      <c r="AU6" s="629"/>
      <c r="AV6" s="629"/>
      <c r="AW6" s="629"/>
      <c r="AX6"/>
      <c r="JI6" s="724"/>
    </row>
    <row r="7" spans="1:269" s="385" customFormat="1" x14ac:dyDescent="0.2">
      <c r="A7" s="629"/>
      <c r="B7" s="838" t="s">
        <v>4451</v>
      </c>
      <c r="C7" s="839" t="s">
        <v>4451</v>
      </c>
      <c r="D7" s="839" t="s">
        <v>4451</v>
      </c>
      <c r="E7" s="839" t="s">
        <v>4451</v>
      </c>
      <c r="F7" s="839" t="s">
        <v>4451</v>
      </c>
      <c r="G7" s="839" t="s">
        <v>4451</v>
      </c>
      <c r="H7" s="839" t="s">
        <v>4451</v>
      </c>
      <c r="I7" s="839" t="s">
        <v>4451</v>
      </c>
      <c r="J7" s="838" t="s">
        <v>4452</v>
      </c>
      <c r="K7" s="839" t="s">
        <v>4452</v>
      </c>
      <c r="L7" s="839" t="s">
        <v>4452</v>
      </c>
      <c r="M7" s="839" t="s">
        <v>4452</v>
      </c>
      <c r="N7" s="839" t="s">
        <v>4452</v>
      </c>
      <c r="O7" s="839" t="s">
        <v>4452</v>
      </c>
      <c r="P7" s="839" t="s">
        <v>4452</v>
      </c>
      <c r="Q7" s="839" t="s">
        <v>4452</v>
      </c>
      <c r="R7" s="838" t="s">
        <v>4453</v>
      </c>
      <c r="S7" s="839" t="s">
        <v>4453</v>
      </c>
      <c r="T7" s="839" t="s">
        <v>4453</v>
      </c>
      <c r="U7" s="839" t="s">
        <v>4453</v>
      </c>
      <c r="V7" s="839" t="s">
        <v>4453</v>
      </c>
      <c r="W7" s="839" t="s">
        <v>4453</v>
      </c>
      <c r="X7" s="839" t="s">
        <v>4453</v>
      </c>
      <c r="Y7" s="839" t="s">
        <v>4453</v>
      </c>
      <c r="Z7" s="838" t="s">
        <v>4454</v>
      </c>
      <c r="AA7" s="839" t="s">
        <v>4454</v>
      </c>
      <c r="AB7" s="839" t="s">
        <v>4454</v>
      </c>
      <c r="AC7" s="839" t="s">
        <v>4454</v>
      </c>
      <c r="AD7" s="839" t="s">
        <v>4454</v>
      </c>
      <c r="AE7" s="839" t="s">
        <v>4454</v>
      </c>
      <c r="AF7" s="839" t="s">
        <v>4454</v>
      </c>
      <c r="AG7" s="839" t="s">
        <v>4454</v>
      </c>
      <c r="AH7" s="838" t="s">
        <v>4455</v>
      </c>
      <c r="AI7" s="839" t="s">
        <v>4455</v>
      </c>
      <c r="AJ7" s="839" t="s">
        <v>4455</v>
      </c>
      <c r="AK7" s="839" t="s">
        <v>4455</v>
      </c>
      <c r="AL7" s="839" t="s">
        <v>4455</v>
      </c>
      <c r="AM7" s="839" t="s">
        <v>4455</v>
      </c>
      <c r="AN7" s="839" t="s">
        <v>4455</v>
      </c>
      <c r="AO7" s="839" t="s">
        <v>4455</v>
      </c>
      <c r="AP7" s="838" t="s">
        <v>6242</v>
      </c>
      <c r="AQ7" s="838" t="s">
        <v>6230</v>
      </c>
      <c r="AR7" s="838" t="s">
        <v>6232</v>
      </c>
      <c r="AS7" s="838" t="s">
        <v>6234</v>
      </c>
      <c r="AT7" s="838" t="s">
        <v>6236</v>
      </c>
      <c r="AU7" s="838" t="s">
        <v>6238</v>
      </c>
      <c r="AV7" s="838" t="s">
        <v>6240</v>
      </c>
      <c r="AW7" s="838" t="s">
        <v>6229</v>
      </c>
      <c r="AX7"/>
      <c r="JI7" s="724"/>
    </row>
    <row r="8" spans="1:269" s="385" customFormat="1" x14ac:dyDescent="0.2">
      <c r="A8" s="722" t="s">
        <v>4458</v>
      </c>
      <c r="B8" s="713" t="s">
        <v>6243</v>
      </c>
      <c r="C8" s="713" t="s">
        <v>6231</v>
      </c>
      <c r="D8" s="713" t="s">
        <v>6233</v>
      </c>
      <c r="E8" s="713" t="s">
        <v>6235</v>
      </c>
      <c r="F8" s="713" t="s">
        <v>6237</v>
      </c>
      <c r="G8" s="713" t="s">
        <v>6239</v>
      </c>
      <c r="H8" s="713" t="s">
        <v>6241</v>
      </c>
      <c r="I8" s="713" t="s">
        <v>4456</v>
      </c>
      <c r="J8" s="713" t="s">
        <v>6243</v>
      </c>
      <c r="K8" s="713" t="s">
        <v>6231</v>
      </c>
      <c r="L8" s="713" t="s">
        <v>6233</v>
      </c>
      <c r="M8" s="713" t="s">
        <v>6235</v>
      </c>
      <c r="N8" s="713" t="s">
        <v>6237</v>
      </c>
      <c r="O8" s="713" t="s">
        <v>6239</v>
      </c>
      <c r="P8" s="713" t="s">
        <v>6241</v>
      </c>
      <c r="Q8" s="713" t="s">
        <v>4456</v>
      </c>
      <c r="R8" s="713" t="s">
        <v>6243</v>
      </c>
      <c r="S8" s="713" t="s">
        <v>6231</v>
      </c>
      <c r="T8" s="713" t="s">
        <v>6233</v>
      </c>
      <c r="U8" s="713" t="s">
        <v>6235</v>
      </c>
      <c r="V8" s="713" t="s">
        <v>6237</v>
      </c>
      <c r="W8" s="713" t="s">
        <v>6239</v>
      </c>
      <c r="X8" s="713" t="s">
        <v>6241</v>
      </c>
      <c r="Y8" s="713" t="s">
        <v>4456</v>
      </c>
      <c r="Z8" s="713" t="s">
        <v>6243</v>
      </c>
      <c r="AA8" s="713" t="s">
        <v>6231</v>
      </c>
      <c r="AB8" s="713" t="s">
        <v>6233</v>
      </c>
      <c r="AC8" s="713" t="s">
        <v>6235</v>
      </c>
      <c r="AD8" s="713" t="s">
        <v>6237</v>
      </c>
      <c r="AE8" s="713" t="s">
        <v>6239</v>
      </c>
      <c r="AF8" s="713" t="s">
        <v>6241</v>
      </c>
      <c r="AG8" s="713" t="s">
        <v>4456</v>
      </c>
      <c r="AH8" s="713" t="s">
        <v>6243</v>
      </c>
      <c r="AI8" s="713" t="s">
        <v>6231</v>
      </c>
      <c r="AJ8" s="713" t="s">
        <v>6233</v>
      </c>
      <c r="AK8" s="713" t="s">
        <v>6235</v>
      </c>
      <c r="AL8" s="713" t="s">
        <v>6237</v>
      </c>
      <c r="AM8" s="713" t="s">
        <v>6239</v>
      </c>
      <c r="AN8" s="713" t="s">
        <v>6241</v>
      </c>
      <c r="AO8" s="713" t="s">
        <v>4456</v>
      </c>
      <c r="AP8" s="839"/>
      <c r="AQ8" s="839"/>
      <c r="AR8" s="839"/>
      <c r="AS8" s="839"/>
      <c r="AT8" s="839"/>
      <c r="AU8" s="839"/>
      <c r="AV8" s="839"/>
      <c r="AW8" s="839"/>
      <c r="AX8"/>
      <c r="JI8" s="724"/>
    </row>
    <row r="9" spans="1:269" s="385" customFormat="1" x14ac:dyDescent="0.2">
      <c r="A9" s="815">
        <v>45444</v>
      </c>
      <c r="B9" s="816">
        <v>0</v>
      </c>
      <c r="C9" s="816">
        <v>0</v>
      </c>
      <c r="D9" s="816">
        <v>0</v>
      </c>
      <c r="E9" s="816">
        <v>0</v>
      </c>
      <c r="F9" s="816">
        <v>0</v>
      </c>
      <c r="G9" s="816">
        <v>0</v>
      </c>
      <c r="H9" s="816">
        <v>0</v>
      </c>
      <c r="I9" s="816">
        <v>0</v>
      </c>
      <c r="J9" s="816">
        <v>0</v>
      </c>
      <c r="K9" s="816">
        <v>0</v>
      </c>
      <c r="L9" s="816">
        <v>0</v>
      </c>
      <c r="M9" s="816">
        <v>0</v>
      </c>
      <c r="N9" s="816">
        <v>0</v>
      </c>
      <c r="O9" s="816">
        <v>0</v>
      </c>
      <c r="P9" s="816">
        <v>0</v>
      </c>
      <c r="Q9" s="816">
        <v>0</v>
      </c>
      <c r="R9" s="816">
        <v>0</v>
      </c>
      <c r="S9" s="816">
        <v>0</v>
      </c>
      <c r="T9" s="816">
        <v>0</v>
      </c>
      <c r="U9" s="816">
        <v>0</v>
      </c>
      <c r="V9" s="816">
        <v>0</v>
      </c>
      <c r="W9" s="816">
        <v>0</v>
      </c>
      <c r="X9" s="816">
        <v>0</v>
      </c>
      <c r="Y9" s="816">
        <v>0</v>
      </c>
      <c r="Z9" s="816">
        <v>0</v>
      </c>
      <c r="AA9" s="816">
        <v>0</v>
      </c>
      <c r="AB9" s="816">
        <v>0</v>
      </c>
      <c r="AC9" s="816">
        <v>0</v>
      </c>
      <c r="AD9" s="816">
        <v>0</v>
      </c>
      <c r="AE9" s="816">
        <v>0</v>
      </c>
      <c r="AF9" s="816">
        <v>0</v>
      </c>
      <c r="AG9" s="816">
        <v>0</v>
      </c>
      <c r="AH9" s="816">
        <v>3392140</v>
      </c>
      <c r="AI9" s="816">
        <v>0</v>
      </c>
      <c r="AJ9" s="816">
        <v>0</v>
      </c>
      <c r="AK9" s="816">
        <v>0</v>
      </c>
      <c r="AL9" s="816">
        <v>0</v>
      </c>
      <c r="AM9" s="816">
        <v>0</v>
      </c>
      <c r="AN9" s="816">
        <v>0</v>
      </c>
      <c r="AO9" s="816">
        <v>3392140</v>
      </c>
      <c r="AP9" s="816">
        <v>3392140</v>
      </c>
      <c r="AQ9" s="816">
        <v>0</v>
      </c>
      <c r="AR9" s="816">
        <v>0</v>
      </c>
      <c r="AS9" s="816">
        <v>0</v>
      </c>
      <c r="AT9" s="816">
        <v>0</v>
      </c>
      <c r="AU9" s="816">
        <v>0</v>
      </c>
      <c r="AV9" s="816">
        <v>0</v>
      </c>
      <c r="AW9" s="816">
        <v>3392140</v>
      </c>
      <c r="AX9"/>
      <c r="JI9" s="724"/>
    </row>
    <row r="10" spans="1:269" s="385" customFormat="1" x14ac:dyDescent="0.2">
      <c r="A10" s="815">
        <v>45474</v>
      </c>
      <c r="B10" s="816">
        <v>0</v>
      </c>
      <c r="C10" s="816">
        <v>375556103</v>
      </c>
      <c r="D10" s="816">
        <v>0</v>
      </c>
      <c r="E10" s="816">
        <v>0</v>
      </c>
      <c r="F10" s="816">
        <v>0</v>
      </c>
      <c r="G10" s="816">
        <v>0</v>
      </c>
      <c r="H10" s="816">
        <v>0</v>
      </c>
      <c r="I10" s="816">
        <v>375556103</v>
      </c>
      <c r="J10" s="816">
        <v>0</v>
      </c>
      <c r="K10" s="816">
        <v>0</v>
      </c>
      <c r="L10" s="816">
        <v>0</v>
      </c>
      <c r="M10" s="816">
        <v>0</v>
      </c>
      <c r="N10" s="816">
        <v>0</v>
      </c>
      <c r="O10" s="816">
        <v>0</v>
      </c>
      <c r="P10" s="816">
        <v>0</v>
      </c>
      <c r="Q10" s="816">
        <v>0</v>
      </c>
      <c r="R10" s="816">
        <v>0</v>
      </c>
      <c r="S10" s="816">
        <v>0</v>
      </c>
      <c r="T10" s="816">
        <v>0</v>
      </c>
      <c r="U10" s="816">
        <v>0</v>
      </c>
      <c r="V10" s="816">
        <v>0</v>
      </c>
      <c r="W10" s="816">
        <v>0</v>
      </c>
      <c r="X10" s="816">
        <v>0</v>
      </c>
      <c r="Y10" s="816">
        <v>0</v>
      </c>
      <c r="Z10" s="816">
        <v>0</v>
      </c>
      <c r="AA10" s="816">
        <v>0</v>
      </c>
      <c r="AB10" s="816">
        <v>0</v>
      </c>
      <c r="AC10" s="816">
        <v>0</v>
      </c>
      <c r="AD10" s="816">
        <v>0</v>
      </c>
      <c r="AE10" s="816">
        <v>0</v>
      </c>
      <c r="AF10" s="816">
        <v>0</v>
      </c>
      <c r="AG10" s="816">
        <v>0</v>
      </c>
      <c r="AH10" s="816">
        <v>8000000</v>
      </c>
      <c r="AI10" s="816">
        <v>0</v>
      </c>
      <c r="AJ10" s="816">
        <v>0</v>
      </c>
      <c r="AK10" s="816">
        <v>0</v>
      </c>
      <c r="AL10" s="816">
        <v>0</v>
      </c>
      <c r="AM10" s="816">
        <v>0</v>
      </c>
      <c r="AN10" s="816">
        <v>0</v>
      </c>
      <c r="AO10" s="816">
        <v>8000000</v>
      </c>
      <c r="AP10" s="816">
        <v>8000000</v>
      </c>
      <c r="AQ10" s="816">
        <v>375556103</v>
      </c>
      <c r="AR10" s="816">
        <v>0</v>
      </c>
      <c r="AS10" s="816">
        <v>0</v>
      </c>
      <c r="AT10" s="816">
        <v>0</v>
      </c>
      <c r="AU10" s="816">
        <v>0</v>
      </c>
      <c r="AV10" s="816">
        <v>0</v>
      </c>
      <c r="AW10" s="816">
        <v>383556103</v>
      </c>
      <c r="AX10"/>
      <c r="JI10" s="724"/>
    </row>
    <row r="11" spans="1:269" s="385" customFormat="1" x14ac:dyDescent="0.2">
      <c r="A11" s="815">
        <v>45505</v>
      </c>
      <c r="B11" s="816">
        <v>0</v>
      </c>
      <c r="C11" s="816">
        <v>0</v>
      </c>
      <c r="D11" s="816">
        <v>0</v>
      </c>
      <c r="E11" s="816">
        <v>0</v>
      </c>
      <c r="F11" s="816">
        <v>0</v>
      </c>
      <c r="G11" s="816">
        <v>0</v>
      </c>
      <c r="H11" s="816">
        <v>0</v>
      </c>
      <c r="I11" s="816">
        <v>0</v>
      </c>
      <c r="J11" s="816">
        <v>0</v>
      </c>
      <c r="K11" s="816">
        <v>0</v>
      </c>
      <c r="L11" s="816">
        <v>0</v>
      </c>
      <c r="M11" s="816">
        <v>0</v>
      </c>
      <c r="N11" s="816">
        <v>0</v>
      </c>
      <c r="O11" s="816">
        <v>0</v>
      </c>
      <c r="P11" s="816">
        <v>0</v>
      </c>
      <c r="Q11" s="816">
        <v>0</v>
      </c>
      <c r="R11" s="816">
        <v>0</v>
      </c>
      <c r="S11" s="816">
        <v>0</v>
      </c>
      <c r="T11" s="816">
        <v>0</v>
      </c>
      <c r="U11" s="816">
        <v>0</v>
      </c>
      <c r="V11" s="816">
        <v>0</v>
      </c>
      <c r="W11" s="816">
        <v>0</v>
      </c>
      <c r="X11" s="816">
        <v>0</v>
      </c>
      <c r="Y11" s="816">
        <v>0</v>
      </c>
      <c r="Z11" s="816">
        <v>0</v>
      </c>
      <c r="AA11" s="816">
        <v>0</v>
      </c>
      <c r="AB11" s="816">
        <v>0</v>
      </c>
      <c r="AC11" s="816">
        <v>0</v>
      </c>
      <c r="AD11" s="816">
        <v>0</v>
      </c>
      <c r="AE11" s="816">
        <v>0</v>
      </c>
      <c r="AF11" s="816">
        <v>0</v>
      </c>
      <c r="AG11" s="816">
        <v>0</v>
      </c>
      <c r="AH11" s="816">
        <v>8000000</v>
      </c>
      <c r="AI11" s="816">
        <v>0</v>
      </c>
      <c r="AJ11" s="816">
        <v>0</v>
      </c>
      <c r="AK11" s="816">
        <v>0</v>
      </c>
      <c r="AL11" s="816">
        <v>0</v>
      </c>
      <c r="AM11" s="816">
        <v>0</v>
      </c>
      <c r="AN11" s="816">
        <v>0</v>
      </c>
      <c r="AO11" s="816">
        <v>8000000</v>
      </c>
      <c r="AP11" s="816">
        <v>8000000</v>
      </c>
      <c r="AQ11" s="816">
        <v>0</v>
      </c>
      <c r="AR11" s="816">
        <v>0</v>
      </c>
      <c r="AS11" s="816">
        <v>0</v>
      </c>
      <c r="AT11" s="816">
        <v>0</v>
      </c>
      <c r="AU11" s="816">
        <v>0</v>
      </c>
      <c r="AV11" s="816">
        <v>0</v>
      </c>
      <c r="AW11" s="816">
        <v>8000000</v>
      </c>
      <c r="AX11"/>
      <c r="JI11" s="724"/>
    </row>
    <row r="12" spans="1:269" s="385" customFormat="1" x14ac:dyDescent="0.2">
      <c r="A12" s="815">
        <v>45536</v>
      </c>
      <c r="B12" s="816">
        <v>0</v>
      </c>
      <c r="C12" s="816">
        <v>233516634</v>
      </c>
      <c r="D12" s="816">
        <v>0</v>
      </c>
      <c r="E12" s="816">
        <v>0</v>
      </c>
      <c r="F12" s="816">
        <v>0</v>
      </c>
      <c r="G12" s="816">
        <v>0</v>
      </c>
      <c r="H12" s="816">
        <v>0</v>
      </c>
      <c r="I12" s="816">
        <v>233516634</v>
      </c>
      <c r="J12" s="816">
        <v>0</v>
      </c>
      <c r="K12" s="816">
        <v>0</v>
      </c>
      <c r="L12" s="816">
        <v>0</v>
      </c>
      <c r="M12" s="816">
        <v>0</v>
      </c>
      <c r="N12" s="816">
        <v>0</v>
      </c>
      <c r="O12" s="816">
        <v>0</v>
      </c>
      <c r="P12" s="816">
        <v>0</v>
      </c>
      <c r="Q12" s="816">
        <v>0</v>
      </c>
      <c r="R12" s="816">
        <v>0</v>
      </c>
      <c r="S12" s="816">
        <v>0</v>
      </c>
      <c r="T12" s="816">
        <v>0</v>
      </c>
      <c r="U12" s="816">
        <v>0</v>
      </c>
      <c r="V12" s="816">
        <v>0</v>
      </c>
      <c r="W12" s="816">
        <v>0</v>
      </c>
      <c r="X12" s="816">
        <v>0</v>
      </c>
      <c r="Y12" s="816">
        <v>0</v>
      </c>
      <c r="Z12" s="816">
        <v>0</v>
      </c>
      <c r="AA12" s="816">
        <v>0</v>
      </c>
      <c r="AB12" s="816">
        <v>0</v>
      </c>
      <c r="AC12" s="816">
        <v>0</v>
      </c>
      <c r="AD12" s="816">
        <v>0</v>
      </c>
      <c r="AE12" s="816">
        <v>0</v>
      </c>
      <c r="AF12" s="816">
        <v>0</v>
      </c>
      <c r="AG12" s="816">
        <v>0</v>
      </c>
      <c r="AH12" s="816">
        <v>4300000</v>
      </c>
      <c r="AI12" s="816">
        <v>0</v>
      </c>
      <c r="AJ12" s="816">
        <v>0</v>
      </c>
      <c r="AK12" s="816">
        <v>0</v>
      </c>
      <c r="AL12" s="816">
        <v>0</v>
      </c>
      <c r="AM12" s="816">
        <v>0</v>
      </c>
      <c r="AN12" s="816">
        <v>0</v>
      </c>
      <c r="AO12" s="816">
        <v>4300000</v>
      </c>
      <c r="AP12" s="816">
        <v>4300000</v>
      </c>
      <c r="AQ12" s="816">
        <v>233516634</v>
      </c>
      <c r="AR12" s="816">
        <v>0</v>
      </c>
      <c r="AS12" s="816">
        <v>0</v>
      </c>
      <c r="AT12" s="816">
        <v>0</v>
      </c>
      <c r="AU12" s="816">
        <v>0</v>
      </c>
      <c r="AV12" s="816">
        <v>0</v>
      </c>
      <c r="AW12" s="816">
        <v>237816634</v>
      </c>
      <c r="AX12"/>
      <c r="JI12" s="724"/>
    </row>
    <row r="13" spans="1:269" s="385" customFormat="1" x14ac:dyDescent="0.2">
      <c r="A13" s="815">
        <v>45566</v>
      </c>
      <c r="B13" s="816">
        <v>0</v>
      </c>
      <c r="C13" s="816">
        <v>0</v>
      </c>
      <c r="D13" s="816">
        <v>0</v>
      </c>
      <c r="E13" s="816">
        <v>0</v>
      </c>
      <c r="F13" s="816">
        <v>0</v>
      </c>
      <c r="G13" s="816">
        <v>0</v>
      </c>
      <c r="H13" s="816">
        <v>0</v>
      </c>
      <c r="I13" s="816">
        <v>0</v>
      </c>
      <c r="J13" s="816">
        <v>0</v>
      </c>
      <c r="K13" s="816">
        <v>0</v>
      </c>
      <c r="L13" s="816">
        <v>0</v>
      </c>
      <c r="M13" s="816">
        <v>0</v>
      </c>
      <c r="N13" s="816">
        <v>0</v>
      </c>
      <c r="O13" s="816">
        <v>0</v>
      </c>
      <c r="P13" s="816">
        <v>0</v>
      </c>
      <c r="Q13" s="816">
        <v>0</v>
      </c>
      <c r="R13" s="816">
        <v>0</v>
      </c>
      <c r="S13" s="816">
        <v>0</v>
      </c>
      <c r="T13" s="816">
        <v>0</v>
      </c>
      <c r="U13" s="816">
        <v>0</v>
      </c>
      <c r="V13" s="816">
        <v>0</v>
      </c>
      <c r="W13" s="816">
        <v>0</v>
      </c>
      <c r="X13" s="816">
        <v>0</v>
      </c>
      <c r="Y13" s="816">
        <v>0</v>
      </c>
      <c r="Z13" s="816">
        <v>0</v>
      </c>
      <c r="AA13" s="816">
        <v>0</v>
      </c>
      <c r="AB13" s="816">
        <v>0</v>
      </c>
      <c r="AC13" s="816">
        <v>0</v>
      </c>
      <c r="AD13" s="816">
        <v>0</v>
      </c>
      <c r="AE13" s="816">
        <v>0</v>
      </c>
      <c r="AF13" s="816">
        <v>0</v>
      </c>
      <c r="AG13" s="816">
        <v>0</v>
      </c>
      <c r="AH13" s="816">
        <v>4300000</v>
      </c>
      <c r="AI13" s="816">
        <v>0</v>
      </c>
      <c r="AJ13" s="816">
        <v>0</v>
      </c>
      <c r="AK13" s="816">
        <v>0</v>
      </c>
      <c r="AL13" s="816">
        <v>0</v>
      </c>
      <c r="AM13" s="816">
        <v>0</v>
      </c>
      <c r="AN13" s="816">
        <v>0</v>
      </c>
      <c r="AO13" s="816">
        <v>4300000</v>
      </c>
      <c r="AP13" s="816">
        <v>4300000</v>
      </c>
      <c r="AQ13" s="816">
        <v>0</v>
      </c>
      <c r="AR13" s="816">
        <v>0</v>
      </c>
      <c r="AS13" s="816">
        <v>0</v>
      </c>
      <c r="AT13" s="816">
        <v>0</v>
      </c>
      <c r="AU13" s="816">
        <v>0</v>
      </c>
      <c r="AV13" s="816">
        <v>0</v>
      </c>
      <c r="AW13" s="816">
        <v>4300000</v>
      </c>
      <c r="AX13"/>
      <c r="JI13" s="724"/>
    </row>
    <row r="14" spans="1:269" s="385" customFormat="1" x14ac:dyDescent="0.2">
      <c r="A14" s="815">
        <v>45597</v>
      </c>
      <c r="B14" s="816">
        <v>0</v>
      </c>
      <c r="C14" s="816">
        <v>0</v>
      </c>
      <c r="D14" s="816">
        <v>0</v>
      </c>
      <c r="E14" s="816">
        <v>0</v>
      </c>
      <c r="F14" s="816">
        <v>0</v>
      </c>
      <c r="G14" s="816">
        <v>0</v>
      </c>
      <c r="H14" s="816">
        <v>0</v>
      </c>
      <c r="I14" s="816">
        <v>0</v>
      </c>
      <c r="J14" s="816">
        <v>0</v>
      </c>
      <c r="K14" s="816">
        <v>0</v>
      </c>
      <c r="L14" s="816">
        <v>0</v>
      </c>
      <c r="M14" s="816">
        <v>0</v>
      </c>
      <c r="N14" s="816">
        <v>0</v>
      </c>
      <c r="O14" s="816">
        <v>0</v>
      </c>
      <c r="P14" s="816">
        <v>0</v>
      </c>
      <c r="Q14" s="816">
        <v>0</v>
      </c>
      <c r="R14" s="816">
        <v>0</v>
      </c>
      <c r="S14" s="816">
        <v>0</v>
      </c>
      <c r="T14" s="816">
        <v>0</v>
      </c>
      <c r="U14" s="816">
        <v>0</v>
      </c>
      <c r="V14" s="816">
        <v>0</v>
      </c>
      <c r="W14" s="816">
        <v>0</v>
      </c>
      <c r="X14" s="816">
        <v>0</v>
      </c>
      <c r="Y14" s="816">
        <v>0</v>
      </c>
      <c r="Z14" s="816">
        <v>0</v>
      </c>
      <c r="AA14" s="816">
        <v>0</v>
      </c>
      <c r="AB14" s="816">
        <v>0</v>
      </c>
      <c r="AC14" s="816">
        <v>0</v>
      </c>
      <c r="AD14" s="816">
        <v>0</v>
      </c>
      <c r="AE14" s="816">
        <v>0</v>
      </c>
      <c r="AF14" s="816">
        <v>0</v>
      </c>
      <c r="AG14" s="816">
        <v>0</v>
      </c>
      <c r="AH14" s="816">
        <v>4300000</v>
      </c>
      <c r="AI14" s="816">
        <v>0</v>
      </c>
      <c r="AJ14" s="816">
        <v>0</v>
      </c>
      <c r="AK14" s="816">
        <v>0</v>
      </c>
      <c r="AL14" s="816">
        <v>0</v>
      </c>
      <c r="AM14" s="816">
        <v>0</v>
      </c>
      <c r="AN14" s="816">
        <v>0</v>
      </c>
      <c r="AO14" s="816">
        <v>4300000</v>
      </c>
      <c r="AP14" s="816">
        <v>4300000</v>
      </c>
      <c r="AQ14" s="816">
        <v>0</v>
      </c>
      <c r="AR14" s="816">
        <v>0</v>
      </c>
      <c r="AS14" s="816">
        <v>0</v>
      </c>
      <c r="AT14" s="816">
        <v>0</v>
      </c>
      <c r="AU14" s="816">
        <v>0</v>
      </c>
      <c r="AV14" s="816">
        <v>0</v>
      </c>
      <c r="AW14" s="816">
        <v>4300000</v>
      </c>
      <c r="AX14"/>
      <c r="JI14" s="724"/>
    </row>
    <row r="15" spans="1:269" s="385" customFormat="1" x14ac:dyDescent="0.2">
      <c r="A15" s="815">
        <v>45627</v>
      </c>
      <c r="B15" s="816">
        <v>0</v>
      </c>
      <c r="C15" s="816">
        <v>0</v>
      </c>
      <c r="D15" s="816">
        <v>0</v>
      </c>
      <c r="E15" s="816">
        <v>0</v>
      </c>
      <c r="F15" s="816">
        <v>2000000</v>
      </c>
      <c r="G15" s="816">
        <v>907941</v>
      </c>
      <c r="H15" s="816">
        <v>0</v>
      </c>
      <c r="I15" s="816">
        <v>2907941</v>
      </c>
      <c r="J15" s="816">
        <v>0</v>
      </c>
      <c r="K15" s="816">
        <v>0</v>
      </c>
      <c r="L15" s="816">
        <v>0</v>
      </c>
      <c r="M15" s="816">
        <v>0</v>
      </c>
      <c r="N15" s="816">
        <v>0</v>
      </c>
      <c r="O15" s="816">
        <v>0</v>
      </c>
      <c r="P15" s="816">
        <v>0</v>
      </c>
      <c r="Q15" s="816">
        <v>0</v>
      </c>
      <c r="R15" s="816">
        <v>0</v>
      </c>
      <c r="S15" s="816">
        <v>0</v>
      </c>
      <c r="T15" s="816">
        <v>0</v>
      </c>
      <c r="U15" s="816">
        <v>0</v>
      </c>
      <c r="V15" s="816">
        <v>0</v>
      </c>
      <c r="W15" s="816">
        <v>0</v>
      </c>
      <c r="X15" s="816">
        <v>0</v>
      </c>
      <c r="Y15" s="816">
        <v>0</v>
      </c>
      <c r="Z15" s="816">
        <v>0</v>
      </c>
      <c r="AA15" s="816">
        <v>0</v>
      </c>
      <c r="AB15" s="816">
        <v>0</v>
      </c>
      <c r="AC15" s="816">
        <v>0</v>
      </c>
      <c r="AD15" s="816">
        <v>0</v>
      </c>
      <c r="AE15" s="816">
        <v>0</v>
      </c>
      <c r="AF15" s="816">
        <v>0</v>
      </c>
      <c r="AG15" s="816">
        <v>0</v>
      </c>
      <c r="AH15" s="816">
        <v>4300000</v>
      </c>
      <c r="AI15" s="816">
        <v>0</v>
      </c>
      <c r="AJ15" s="816">
        <v>0</v>
      </c>
      <c r="AK15" s="816">
        <v>0</v>
      </c>
      <c r="AL15" s="816">
        <v>0</v>
      </c>
      <c r="AM15" s="816">
        <v>0</v>
      </c>
      <c r="AN15" s="816">
        <v>0</v>
      </c>
      <c r="AO15" s="816">
        <v>4300000</v>
      </c>
      <c r="AP15" s="816">
        <v>4300000</v>
      </c>
      <c r="AQ15" s="816">
        <v>0</v>
      </c>
      <c r="AR15" s="816">
        <v>0</v>
      </c>
      <c r="AS15" s="816">
        <v>0</v>
      </c>
      <c r="AT15" s="816">
        <v>2000000</v>
      </c>
      <c r="AU15" s="816">
        <v>907941</v>
      </c>
      <c r="AV15" s="816">
        <v>0</v>
      </c>
      <c r="AW15" s="816">
        <v>7207941</v>
      </c>
      <c r="AX15"/>
      <c r="JI15" s="724"/>
    </row>
    <row r="16" spans="1:269" s="385" customFormat="1" x14ac:dyDescent="0.2">
      <c r="A16" s="815">
        <v>45658</v>
      </c>
      <c r="B16" s="816">
        <v>0</v>
      </c>
      <c r="C16" s="816">
        <v>0</v>
      </c>
      <c r="D16" s="816">
        <v>0</v>
      </c>
      <c r="E16" s="816">
        <v>0</v>
      </c>
      <c r="F16" s="816">
        <v>7097042</v>
      </c>
      <c r="G16" s="816">
        <v>0</v>
      </c>
      <c r="H16" s="816">
        <v>0</v>
      </c>
      <c r="I16" s="816">
        <v>7097042</v>
      </c>
      <c r="J16" s="816">
        <v>0</v>
      </c>
      <c r="K16" s="816">
        <v>0</v>
      </c>
      <c r="L16" s="816">
        <v>0</v>
      </c>
      <c r="M16" s="816">
        <v>0</v>
      </c>
      <c r="N16" s="816">
        <v>0</v>
      </c>
      <c r="O16" s="816">
        <v>0</v>
      </c>
      <c r="P16" s="816">
        <v>0</v>
      </c>
      <c r="Q16" s="816">
        <v>0</v>
      </c>
      <c r="R16" s="816">
        <v>0</v>
      </c>
      <c r="S16" s="816">
        <v>0</v>
      </c>
      <c r="T16" s="816">
        <v>0</v>
      </c>
      <c r="U16" s="816">
        <v>0</v>
      </c>
      <c r="V16" s="816">
        <v>0</v>
      </c>
      <c r="W16" s="816">
        <v>0</v>
      </c>
      <c r="X16" s="816">
        <v>0</v>
      </c>
      <c r="Y16" s="816">
        <v>0</v>
      </c>
      <c r="Z16" s="816">
        <v>6768545</v>
      </c>
      <c r="AA16" s="816">
        <v>0</v>
      </c>
      <c r="AB16" s="816">
        <v>0</v>
      </c>
      <c r="AC16" s="816">
        <v>7626301</v>
      </c>
      <c r="AD16" s="816">
        <v>0</v>
      </c>
      <c r="AE16" s="816">
        <v>0</v>
      </c>
      <c r="AF16" s="816">
        <v>0</v>
      </c>
      <c r="AG16" s="816">
        <v>14394846</v>
      </c>
      <c r="AH16" s="816">
        <v>4300000</v>
      </c>
      <c r="AI16" s="816">
        <v>0</v>
      </c>
      <c r="AJ16" s="816">
        <v>0</v>
      </c>
      <c r="AK16" s="816">
        <v>0</v>
      </c>
      <c r="AL16" s="816">
        <v>0</v>
      </c>
      <c r="AM16" s="816">
        <v>0</v>
      </c>
      <c r="AN16" s="816">
        <v>0</v>
      </c>
      <c r="AO16" s="816">
        <v>4300000</v>
      </c>
      <c r="AP16" s="816">
        <v>11068545</v>
      </c>
      <c r="AQ16" s="816">
        <v>0</v>
      </c>
      <c r="AR16" s="816">
        <v>0</v>
      </c>
      <c r="AS16" s="816">
        <v>7626301</v>
      </c>
      <c r="AT16" s="816">
        <v>7097042</v>
      </c>
      <c r="AU16" s="816">
        <v>0</v>
      </c>
      <c r="AV16" s="816">
        <v>0</v>
      </c>
      <c r="AW16" s="816">
        <v>25791888</v>
      </c>
      <c r="AX16"/>
      <c r="JI16" s="724"/>
    </row>
    <row r="17" spans="1:269" s="385" customFormat="1" x14ac:dyDescent="0.2">
      <c r="A17" s="815">
        <v>45689</v>
      </c>
      <c r="B17" s="816">
        <v>0</v>
      </c>
      <c r="C17" s="816">
        <v>1</v>
      </c>
      <c r="D17" s="816">
        <v>0</v>
      </c>
      <c r="E17" s="816">
        <v>0</v>
      </c>
      <c r="F17" s="816">
        <v>870400</v>
      </c>
      <c r="G17" s="816">
        <v>0</v>
      </c>
      <c r="H17" s="816">
        <v>1361963</v>
      </c>
      <c r="I17" s="816">
        <v>2232364</v>
      </c>
      <c r="J17" s="816">
        <v>0</v>
      </c>
      <c r="K17" s="816">
        <v>0</v>
      </c>
      <c r="L17" s="816">
        <v>0</v>
      </c>
      <c r="M17" s="816">
        <v>0</v>
      </c>
      <c r="N17" s="816">
        <v>0</v>
      </c>
      <c r="O17" s="816">
        <v>0</v>
      </c>
      <c r="P17" s="816">
        <v>0</v>
      </c>
      <c r="Q17" s="816">
        <v>0</v>
      </c>
      <c r="R17" s="816">
        <v>0</v>
      </c>
      <c r="S17" s="816">
        <v>0</v>
      </c>
      <c r="T17" s="816">
        <v>0</v>
      </c>
      <c r="U17" s="816">
        <v>0</v>
      </c>
      <c r="V17" s="816">
        <v>0</v>
      </c>
      <c r="W17" s="816">
        <v>0</v>
      </c>
      <c r="X17" s="816">
        <v>0</v>
      </c>
      <c r="Y17" s="816">
        <v>0</v>
      </c>
      <c r="Z17" s="816">
        <v>0</v>
      </c>
      <c r="AA17" s="816">
        <v>0</v>
      </c>
      <c r="AB17" s="816">
        <v>0</v>
      </c>
      <c r="AC17" s="816">
        <v>0</v>
      </c>
      <c r="AD17" s="816">
        <v>0</v>
      </c>
      <c r="AE17" s="816">
        <v>0</v>
      </c>
      <c r="AF17" s="816">
        <v>0</v>
      </c>
      <c r="AG17" s="816">
        <v>0</v>
      </c>
      <c r="AH17" s="816">
        <v>4300000</v>
      </c>
      <c r="AI17" s="816">
        <v>0</v>
      </c>
      <c r="AJ17" s="816">
        <v>0</v>
      </c>
      <c r="AK17" s="816">
        <v>0</v>
      </c>
      <c r="AL17" s="816">
        <v>0</v>
      </c>
      <c r="AM17" s="816">
        <v>0</v>
      </c>
      <c r="AN17" s="816">
        <v>0</v>
      </c>
      <c r="AO17" s="816">
        <v>4300000</v>
      </c>
      <c r="AP17" s="816">
        <v>4300000</v>
      </c>
      <c r="AQ17" s="816">
        <v>1</v>
      </c>
      <c r="AR17" s="816">
        <v>0</v>
      </c>
      <c r="AS17" s="816">
        <v>0</v>
      </c>
      <c r="AT17" s="816">
        <v>870400</v>
      </c>
      <c r="AU17" s="816">
        <v>0</v>
      </c>
      <c r="AV17" s="816">
        <v>1361963</v>
      </c>
      <c r="AW17" s="816">
        <v>6532364</v>
      </c>
      <c r="AX17"/>
      <c r="JI17" s="724"/>
    </row>
    <row r="18" spans="1:269" s="385" customFormat="1" x14ac:dyDescent="0.2">
      <c r="A18" s="815">
        <v>45717</v>
      </c>
      <c r="B18" s="816">
        <v>0</v>
      </c>
      <c r="C18" s="816">
        <v>0</v>
      </c>
      <c r="D18" s="816">
        <v>0</v>
      </c>
      <c r="E18" s="816">
        <v>0</v>
      </c>
      <c r="F18" s="816">
        <v>9075400</v>
      </c>
      <c r="G18" s="816">
        <v>0</v>
      </c>
      <c r="H18" s="816">
        <v>2710746</v>
      </c>
      <c r="I18" s="816">
        <v>11786146</v>
      </c>
      <c r="J18" s="816">
        <v>0</v>
      </c>
      <c r="K18" s="816">
        <v>0</v>
      </c>
      <c r="L18" s="816">
        <v>0</v>
      </c>
      <c r="M18" s="816">
        <v>0</v>
      </c>
      <c r="N18" s="816">
        <v>781341</v>
      </c>
      <c r="O18" s="816">
        <v>982278</v>
      </c>
      <c r="P18" s="816">
        <v>58313</v>
      </c>
      <c r="Q18" s="816">
        <v>1821932</v>
      </c>
      <c r="R18" s="816">
        <v>0</v>
      </c>
      <c r="S18" s="816">
        <v>0</v>
      </c>
      <c r="T18" s="816">
        <v>0</v>
      </c>
      <c r="U18" s="816">
        <v>0</v>
      </c>
      <c r="V18" s="816">
        <v>0</v>
      </c>
      <c r="W18" s="816">
        <v>0</v>
      </c>
      <c r="X18" s="816">
        <v>0</v>
      </c>
      <c r="Y18" s="816">
        <v>0</v>
      </c>
      <c r="Z18" s="816">
        <v>0</v>
      </c>
      <c r="AA18" s="816">
        <v>0</v>
      </c>
      <c r="AB18" s="816">
        <v>0</v>
      </c>
      <c r="AC18" s="816">
        <v>0</v>
      </c>
      <c r="AD18" s="816">
        <v>0</v>
      </c>
      <c r="AE18" s="816">
        <v>0</v>
      </c>
      <c r="AF18" s="816">
        <v>0</v>
      </c>
      <c r="AG18" s="816">
        <v>0</v>
      </c>
      <c r="AH18" s="816">
        <v>4300000</v>
      </c>
      <c r="AI18" s="816">
        <v>0</v>
      </c>
      <c r="AJ18" s="816">
        <v>0</v>
      </c>
      <c r="AK18" s="816">
        <v>0</v>
      </c>
      <c r="AL18" s="816">
        <v>0</v>
      </c>
      <c r="AM18" s="816">
        <v>0</v>
      </c>
      <c r="AN18" s="816">
        <v>0</v>
      </c>
      <c r="AO18" s="816">
        <v>4300000</v>
      </c>
      <c r="AP18" s="816">
        <v>4300000</v>
      </c>
      <c r="AQ18" s="816">
        <v>0</v>
      </c>
      <c r="AR18" s="816">
        <v>0</v>
      </c>
      <c r="AS18" s="816">
        <v>0</v>
      </c>
      <c r="AT18" s="816">
        <v>9856741</v>
      </c>
      <c r="AU18" s="816">
        <v>982278</v>
      </c>
      <c r="AV18" s="816">
        <v>2769059</v>
      </c>
      <c r="AW18" s="816">
        <v>17908078</v>
      </c>
      <c r="AX18"/>
      <c r="JI18" s="724"/>
    </row>
    <row r="19" spans="1:269" s="385" customFormat="1" x14ac:dyDescent="0.2">
      <c r="A19" s="815">
        <v>45748</v>
      </c>
      <c r="B19" s="816">
        <v>0</v>
      </c>
      <c r="C19" s="816">
        <v>0</v>
      </c>
      <c r="D19" s="816">
        <v>0</v>
      </c>
      <c r="E19" s="816">
        <v>0</v>
      </c>
      <c r="F19" s="816">
        <v>1434902</v>
      </c>
      <c r="G19" s="816">
        <v>0</v>
      </c>
      <c r="H19" s="816">
        <v>0</v>
      </c>
      <c r="I19" s="816">
        <v>1434902</v>
      </c>
      <c r="J19" s="816">
        <v>450000</v>
      </c>
      <c r="K19" s="816">
        <v>0</v>
      </c>
      <c r="L19" s="816">
        <v>0</v>
      </c>
      <c r="M19" s="816">
        <v>0</v>
      </c>
      <c r="N19" s="816">
        <v>2171836</v>
      </c>
      <c r="O19" s="816">
        <v>0</v>
      </c>
      <c r="P19" s="816">
        <v>79683</v>
      </c>
      <c r="Q19" s="816">
        <v>2701519</v>
      </c>
      <c r="R19" s="816">
        <v>14471</v>
      </c>
      <c r="S19" s="816">
        <v>0</v>
      </c>
      <c r="T19" s="816">
        <v>0</v>
      </c>
      <c r="U19" s="816">
        <v>0</v>
      </c>
      <c r="V19" s="816">
        <v>0</v>
      </c>
      <c r="W19" s="816">
        <v>0</v>
      </c>
      <c r="X19" s="816">
        <v>0</v>
      </c>
      <c r="Y19" s="816">
        <v>14471</v>
      </c>
      <c r="Z19" s="816">
        <v>12126774</v>
      </c>
      <c r="AA19" s="816">
        <v>0</v>
      </c>
      <c r="AB19" s="816">
        <v>0</v>
      </c>
      <c r="AC19" s="816">
        <v>0</v>
      </c>
      <c r="AD19" s="816">
        <v>0</v>
      </c>
      <c r="AE19" s="816">
        <v>0</v>
      </c>
      <c r="AF19" s="816">
        <v>0</v>
      </c>
      <c r="AG19" s="816">
        <v>12126774</v>
      </c>
      <c r="AH19" s="816">
        <v>6674482</v>
      </c>
      <c r="AI19" s="816">
        <v>0</v>
      </c>
      <c r="AJ19" s="816">
        <v>0</v>
      </c>
      <c r="AK19" s="816">
        <v>0</v>
      </c>
      <c r="AL19" s="816">
        <v>0</v>
      </c>
      <c r="AM19" s="816">
        <v>0</v>
      </c>
      <c r="AN19" s="816">
        <v>0</v>
      </c>
      <c r="AO19" s="816">
        <v>6674482</v>
      </c>
      <c r="AP19" s="816">
        <v>19265727</v>
      </c>
      <c r="AQ19" s="816">
        <v>0</v>
      </c>
      <c r="AR19" s="816">
        <v>0</v>
      </c>
      <c r="AS19" s="816">
        <v>0</v>
      </c>
      <c r="AT19" s="816">
        <v>3606738</v>
      </c>
      <c r="AU19" s="816">
        <v>0</v>
      </c>
      <c r="AV19" s="816">
        <v>79683</v>
      </c>
      <c r="AW19" s="816">
        <v>22952148</v>
      </c>
      <c r="AX19"/>
      <c r="JI19" s="724"/>
    </row>
    <row r="20" spans="1:269" s="385" customFormat="1" x14ac:dyDescent="0.2">
      <c r="A20" s="815">
        <v>45778</v>
      </c>
      <c r="B20" s="816">
        <v>56227345</v>
      </c>
      <c r="C20" s="816">
        <v>0</v>
      </c>
      <c r="D20" s="816">
        <v>0</v>
      </c>
      <c r="E20" s="816">
        <v>0</v>
      </c>
      <c r="F20" s="816">
        <v>0</v>
      </c>
      <c r="G20" s="816">
        <v>0</v>
      </c>
      <c r="H20" s="816">
        <v>0</v>
      </c>
      <c r="I20" s="816">
        <v>56227345</v>
      </c>
      <c r="J20" s="816">
        <v>0</v>
      </c>
      <c r="K20" s="816">
        <v>477294249</v>
      </c>
      <c r="L20" s="816">
        <v>0</v>
      </c>
      <c r="M20" s="816">
        <v>0</v>
      </c>
      <c r="N20" s="816">
        <v>0</v>
      </c>
      <c r="O20" s="816">
        <v>0</v>
      </c>
      <c r="P20" s="816">
        <v>0</v>
      </c>
      <c r="Q20" s="816">
        <v>477294249</v>
      </c>
      <c r="R20" s="816">
        <v>6099869</v>
      </c>
      <c r="S20" s="816">
        <v>0</v>
      </c>
      <c r="T20" s="816">
        <v>0</v>
      </c>
      <c r="U20" s="816">
        <v>0</v>
      </c>
      <c r="V20" s="816">
        <v>0</v>
      </c>
      <c r="W20" s="816">
        <v>0</v>
      </c>
      <c r="X20" s="816">
        <v>0</v>
      </c>
      <c r="Y20" s="816">
        <v>6099869</v>
      </c>
      <c r="Z20" s="816">
        <v>0</v>
      </c>
      <c r="AA20" s="816">
        <v>654531173</v>
      </c>
      <c r="AB20" s="816">
        <v>0</v>
      </c>
      <c r="AC20" s="816">
        <v>0</v>
      </c>
      <c r="AD20" s="816">
        <v>0</v>
      </c>
      <c r="AE20" s="816">
        <v>0</v>
      </c>
      <c r="AF20" s="816">
        <v>0</v>
      </c>
      <c r="AG20" s="816">
        <v>654531173</v>
      </c>
      <c r="AH20" s="816">
        <v>9364795</v>
      </c>
      <c r="AI20" s="816">
        <v>0</v>
      </c>
      <c r="AJ20" s="816">
        <v>0</v>
      </c>
      <c r="AK20" s="816">
        <v>2023738</v>
      </c>
      <c r="AL20" s="816">
        <v>0</v>
      </c>
      <c r="AM20" s="816">
        <v>0</v>
      </c>
      <c r="AN20" s="816">
        <v>0</v>
      </c>
      <c r="AO20" s="816">
        <v>11388533</v>
      </c>
      <c r="AP20" s="816">
        <v>71692009</v>
      </c>
      <c r="AQ20" s="816">
        <v>1131825422</v>
      </c>
      <c r="AR20" s="816">
        <v>0</v>
      </c>
      <c r="AS20" s="816">
        <v>2023738</v>
      </c>
      <c r="AT20" s="816">
        <v>0</v>
      </c>
      <c r="AU20" s="816">
        <v>0</v>
      </c>
      <c r="AV20" s="816">
        <v>0</v>
      </c>
      <c r="AW20" s="816">
        <v>1205541169</v>
      </c>
      <c r="AX20"/>
      <c r="JI20" s="724"/>
    </row>
    <row r="21" spans="1:269" s="385" customFormat="1" x14ac:dyDescent="0.2">
      <c r="A21" s="815">
        <v>45809</v>
      </c>
      <c r="B21" s="816">
        <v>0</v>
      </c>
      <c r="C21" s="816">
        <v>0</v>
      </c>
      <c r="D21" s="816">
        <v>0</v>
      </c>
      <c r="E21" s="816">
        <v>0</v>
      </c>
      <c r="F21" s="816">
        <v>0</v>
      </c>
      <c r="G21" s="816">
        <v>0</v>
      </c>
      <c r="H21" s="816">
        <v>6364121</v>
      </c>
      <c r="I21" s="816">
        <v>6364121</v>
      </c>
      <c r="J21" s="816">
        <v>40000000</v>
      </c>
      <c r="K21" s="816">
        <v>208381169</v>
      </c>
      <c r="L21" s="816">
        <v>0</v>
      </c>
      <c r="M21" s="816">
        <v>0</v>
      </c>
      <c r="N21" s="816">
        <v>1016636</v>
      </c>
      <c r="O21" s="816">
        <v>0</v>
      </c>
      <c r="P21" s="816">
        <v>8982941</v>
      </c>
      <c r="Q21" s="816">
        <v>258380746</v>
      </c>
      <c r="R21" s="816">
        <v>14967860</v>
      </c>
      <c r="S21" s="816">
        <v>0</v>
      </c>
      <c r="T21" s="816">
        <v>0</v>
      </c>
      <c r="U21" s="816">
        <v>0</v>
      </c>
      <c r="V21" s="816">
        <v>0</v>
      </c>
      <c r="W21" s="816">
        <v>0</v>
      </c>
      <c r="X21" s="816">
        <v>0</v>
      </c>
      <c r="Y21" s="816">
        <v>14967860</v>
      </c>
      <c r="Z21" s="816">
        <v>0</v>
      </c>
      <c r="AA21" s="816">
        <v>6420393795</v>
      </c>
      <c r="AB21" s="816">
        <v>0</v>
      </c>
      <c r="AC21" s="816">
        <v>335233334</v>
      </c>
      <c r="AD21" s="816">
        <v>0</v>
      </c>
      <c r="AE21" s="816">
        <v>0</v>
      </c>
      <c r="AF21" s="816">
        <v>0</v>
      </c>
      <c r="AG21" s="816">
        <v>6755627129</v>
      </c>
      <c r="AH21" s="816">
        <v>24639401</v>
      </c>
      <c r="AI21" s="816">
        <v>0</v>
      </c>
      <c r="AJ21" s="816">
        <v>0</v>
      </c>
      <c r="AK21" s="816">
        <v>2556107</v>
      </c>
      <c r="AL21" s="816">
        <v>0</v>
      </c>
      <c r="AM21" s="816">
        <v>0</v>
      </c>
      <c r="AN21" s="816">
        <v>0</v>
      </c>
      <c r="AO21" s="816">
        <v>27195508</v>
      </c>
      <c r="AP21" s="816">
        <v>79607261</v>
      </c>
      <c r="AQ21" s="816">
        <v>6628774964</v>
      </c>
      <c r="AR21" s="816">
        <v>0</v>
      </c>
      <c r="AS21" s="816">
        <v>337789441</v>
      </c>
      <c r="AT21" s="816">
        <v>1016636</v>
      </c>
      <c r="AU21" s="816">
        <v>0</v>
      </c>
      <c r="AV21" s="816">
        <v>15347062</v>
      </c>
      <c r="AW21" s="816">
        <v>7062535364</v>
      </c>
      <c r="AX21"/>
      <c r="JI21" s="724"/>
    </row>
    <row r="22" spans="1:269" s="385" customFormat="1" x14ac:dyDescent="0.2">
      <c r="A22" s="815">
        <v>45839</v>
      </c>
      <c r="B22" s="816">
        <v>0</v>
      </c>
      <c r="C22" s="816">
        <v>0</v>
      </c>
      <c r="D22" s="816">
        <v>0</v>
      </c>
      <c r="E22" s="816">
        <v>0</v>
      </c>
      <c r="F22" s="816">
        <v>0</v>
      </c>
      <c r="G22" s="816">
        <v>0</v>
      </c>
      <c r="H22" s="816">
        <v>0</v>
      </c>
      <c r="I22" s="816">
        <v>0</v>
      </c>
      <c r="J22" s="816">
        <v>0</v>
      </c>
      <c r="K22" s="816">
        <v>301126001</v>
      </c>
      <c r="L22" s="816">
        <v>0</v>
      </c>
      <c r="M22" s="816">
        <v>55743511</v>
      </c>
      <c r="N22" s="816">
        <v>0</v>
      </c>
      <c r="O22" s="816">
        <v>1610367</v>
      </c>
      <c r="P22" s="816">
        <v>0</v>
      </c>
      <c r="Q22" s="816">
        <v>358479879</v>
      </c>
      <c r="R22" s="816">
        <v>23409842</v>
      </c>
      <c r="S22" s="816">
        <v>0</v>
      </c>
      <c r="T22" s="816">
        <v>0</v>
      </c>
      <c r="U22" s="816">
        <v>0</v>
      </c>
      <c r="V22" s="816">
        <v>0</v>
      </c>
      <c r="W22" s="816">
        <v>0</v>
      </c>
      <c r="X22" s="816">
        <v>0</v>
      </c>
      <c r="Y22" s="816">
        <v>23409842</v>
      </c>
      <c r="Z22" s="816">
        <v>86218853</v>
      </c>
      <c r="AA22" s="816">
        <v>0</v>
      </c>
      <c r="AB22" s="816">
        <v>0</v>
      </c>
      <c r="AC22" s="816">
        <v>0</v>
      </c>
      <c r="AD22" s="816">
        <v>0</v>
      </c>
      <c r="AE22" s="816">
        <v>0</v>
      </c>
      <c r="AF22" s="816">
        <v>549955</v>
      </c>
      <c r="AG22" s="816">
        <v>86768808</v>
      </c>
      <c r="AH22" s="816">
        <v>60138709</v>
      </c>
      <c r="AI22" s="816">
        <v>0</v>
      </c>
      <c r="AJ22" s="816">
        <v>0</v>
      </c>
      <c r="AK22" s="816">
        <v>3541201</v>
      </c>
      <c r="AL22" s="816">
        <v>3771973</v>
      </c>
      <c r="AM22" s="816">
        <v>0</v>
      </c>
      <c r="AN22" s="816">
        <v>0</v>
      </c>
      <c r="AO22" s="816">
        <v>67451883</v>
      </c>
      <c r="AP22" s="816">
        <v>169767404</v>
      </c>
      <c r="AQ22" s="816">
        <v>301126001</v>
      </c>
      <c r="AR22" s="816">
        <v>0</v>
      </c>
      <c r="AS22" s="816">
        <v>59284712</v>
      </c>
      <c r="AT22" s="816">
        <v>3771973</v>
      </c>
      <c r="AU22" s="816">
        <v>1610367</v>
      </c>
      <c r="AV22" s="816">
        <v>549955</v>
      </c>
      <c r="AW22" s="816">
        <v>536110412</v>
      </c>
      <c r="AX22"/>
      <c r="JI22" s="724"/>
    </row>
    <row r="23" spans="1:269" s="385" customFormat="1" x14ac:dyDescent="0.2">
      <c r="A23" s="815">
        <v>45870</v>
      </c>
      <c r="B23" s="816">
        <v>0</v>
      </c>
      <c r="C23" s="816">
        <v>0</v>
      </c>
      <c r="D23" s="816">
        <v>0</v>
      </c>
      <c r="E23" s="816">
        <v>0</v>
      </c>
      <c r="F23" s="816">
        <v>3980438</v>
      </c>
      <c r="G23" s="816">
        <v>0</v>
      </c>
      <c r="H23" s="816">
        <v>1524256</v>
      </c>
      <c r="I23" s="816">
        <v>5504694</v>
      </c>
      <c r="J23" s="816">
        <v>45673231</v>
      </c>
      <c r="K23" s="816">
        <v>212143379</v>
      </c>
      <c r="L23" s="816">
        <v>0</v>
      </c>
      <c r="M23" s="816">
        <v>3918587</v>
      </c>
      <c r="N23" s="816">
        <v>2491392</v>
      </c>
      <c r="O23" s="816">
        <v>0</v>
      </c>
      <c r="P23" s="816">
        <v>626997</v>
      </c>
      <c r="Q23" s="816">
        <v>284853586</v>
      </c>
      <c r="R23" s="816">
        <v>130981777</v>
      </c>
      <c r="S23" s="816">
        <v>0</v>
      </c>
      <c r="T23" s="816">
        <v>0</v>
      </c>
      <c r="U23" s="816">
        <v>0</v>
      </c>
      <c r="V23" s="816">
        <v>0</v>
      </c>
      <c r="W23" s="816">
        <v>0</v>
      </c>
      <c r="X23" s="816">
        <v>0</v>
      </c>
      <c r="Y23" s="816">
        <v>130981777</v>
      </c>
      <c r="Z23" s="816">
        <v>249008678</v>
      </c>
      <c r="AA23" s="816">
        <v>10568531934</v>
      </c>
      <c r="AB23" s="816">
        <v>0</v>
      </c>
      <c r="AC23" s="816">
        <v>64728618</v>
      </c>
      <c r="AD23" s="816">
        <v>0</v>
      </c>
      <c r="AE23" s="816">
        <v>0</v>
      </c>
      <c r="AF23" s="816">
        <v>0</v>
      </c>
      <c r="AG23" s="816">
        <v>10882269230</v>
      </c>
      <c r="AH23" s="816">
        <v>126977733</v>
      </c>
      <c r="AI23" s="816">
        <v>0</v>
      </c>
      <c r="AJ23" s="816">
        <v>1931850</v>
      </c>
      <c r="AK23" s="816">
        <v>13209569</v>
      </c>
      <c r="AL23" s="816">
        <v>0</v>
      </c>
      <c r="AM23" s="816">
        <v>0</v>
      </c>
      <c r="AN23" s="816">
        <v>0</v>
      </c>
      <c r="AO23" s="816">
        <v>142119152</v>
      </c>
      <c r="AP23" s="816">
        <v>552641419</v>
      </c>
      <c r="AQ23" s="816">
        <v>10780675313</v>
      </c>
      <c r="AR23" s="816">
        <v>1931850</v>
      </c>
      <c r="AS23" s="816">
        <v>81856774</v>
      </c>
      <c r="AT23" s="816">
        <v>6471830</v>
      </c>
      <c r="AU23" s="816">
        <v>0</v>
      </c>
      <c r="AV23" s="816">
        <v>2151253</v>
      </c>
      <c r="AW23" s="816">
        <v>11445728439</v>
      </c>
      <c r="AX23"/>
      <c r="JI23" s="724"/>
    </row>
    <row r="24" spans="1:269" s="385" customFormat="1" x14ac:dyDescent="0.2">
      <c r="A24" s="815">
        <v>45901</v>
      </c>
      <c r="B24" s="816">
        <v>12000000</v>
      </c>
      <c r="C24" s="816">
        <v>0</v>
      </c>
      <c r="D24" s="816">
        <v>0</v>
      </c>
      <c r="E24" s="816">
        <v>0</v>
      </c>
      <c r="F24" s="816">
        <v>0</v>
      </c>
      <c r="G24" s="816">
        <v>0</v>
      </c>
      <c r="H24" s="816">
        <v>613226</v>
      </c>
      <c r="I24" s="816">
        <v>12613226</v>
      </c>
      <c r="J24" s="816">
        <v>68745000</v>
      </c>
      <c r="K24" s="816">
        <v>302862000</v>
      </c>
      <c r="L24" s="816">
        <v>0</v>
      </c>
      <c r="M24" s="816">
        <v>3918587</v>
      </c>
      <c r="N24" s="816">
        <v>1016636</v>
      </c>
      <c r="O24" s="816">
        <v>0</v>
      </c>
      <c r="P24" s="816">
        <v>1149262</v>
      </c>
      <c r="Q24" s="816">
        <v>377691485</v>
      </c>
      <c r="R24" s="816">
        <v>302766230</v>
      </c>
      <c r="S24" s="816">
        <v>0</v>
      </c>
      <c r="T24" s="816">
        <v>0</v>
      </c>
      <c r="U24" s="816">
        <v>0</v>
      </c>
      <c r="V24" s="816">
        <v>0</v>
      </c>
      <c r="W24" s="816">
        <v>0</v>
      </c>
      <c r="X24" s="816">
        <v>0</v>
      </c>
      <c r="Y24" s="816">
        <v>302766230</v>
      </c>
      <c r="Z24" s="816">
        <v>363381048</v>
      </c>
      <c r="AA24" s="816">
        <v>430305440</v>
      </c>
      <c r="AB24" s="816">
        <v>0</v>
      </c>
      <c r="AC24" s="816">
        <v>59434157</v>
      </c>
      <c r="AD24" s="816">
        <v>0</v>
      </c>
      <c r="AE24" s="816">
        <v>0</v>
      </c>
      <c r="AF24" s="816">
        <v>0</v>
      </c>
      <c r="AG24" s="816">
        <v>853120645</v>
      </c>
      <c r="AH24" s="816">
        <v>274968393</v>
      </c>
      <c r="AI24" s="816">
        <v>0</v>
      </c>
      <c r="AJ24" s="816">
        <v>1478287</v>
      </c>
      <c r="AK24" s="816">
        <v>26204102</v>
      </c>
      <c r="AL24" s="816">
        <v>4107482</v>
      </c>
      <c r="AM24" s="816">
        <v>0</v>
      </c>
      <c r="AN24" s="816">
        <v>0</v>
      </c>
      <c r="AO24" s="816">
        <v>306758264</v>
      </c>
      <c r="AP24" s="816">
        <v>1021860671</v>
      </c>
      <c r="AQ24" s="816">
        <v>733167440</v>
      </c>
      <c r="AR24" s="816">
        <v>1478287</v>
      </c>
      <c r="AS24" s="816">
        <v>89556846</v>
      </c>
      <c r="AT24" s="816">
        <v>5124118</v>
      </c>
      <c r="AU24" s="816">
        <v>0</v>
      </c>
      <c r="AV24" s="816">
        <v>1762488</v>
      </c>
      <c r="AW24" s="816">
        <v>1852949850</v>
      </c>
      <c r="AX24"/>
      <c r="JI24" s="724"/>
    </row>
    <row r="25" spans="1:269" s="385" customFormat="1" x14ac:dyDescent="0.2">
      <c r="A25" s="815">
        <v>45931</v>
      </c>
      <c r="B25" s="816">
        <v>25408304</v>
      </c>
      <c r="C25" s="816">
        <v>0</v>
      </c>
      <c r="D25" s="816">
        <v>1250000</v>
      </c>
      <c r="E25" s="816">
        <v>0</v>
      </c>
      <c r="F25" s="816">
        <v>159498</v>
      </c>
      <c r="G25" s="816">
        <v>0</v>
      </c>
      <c r="H25" s="816">
        <v>0</v>
      </c>
      <c r="I25" s="816">
        <v>26817802</v>
      </c>
      <c r="J25" s="816">
        <v>33745000</v>
      </c>
      <c r="K25" s="816">
        <v>0</v>
      </c>
      <c r="L25" s="816">
        <v>0</v>
      </c>
      <c r="M25" s="816">
        <v>3918586</v>
      </c>
      <c r="N25" s="816">
        <v>0</v>
      </c>
      <c r="O25" s="816">
        <v>0</v>
      </c>
      <c r="P25" s="816">
        <v>0</v>
      </c>
      <c r="Q25" s="816">
        <v>37663586</v>
      </c>
      <c r="R25" s="816">
        <v>516390361</v>
      </c>
      <c r="S25" s="816">
        <v>0</v>
      </c>
      <c r="T25" s="816">
        <v>0</v>
      </c>
      <c r="U25" s="816">
        <v>0</v>
      </c>
      <c r="V25" s="816">
        <v>0</v>
      </c>
      <c r="W25" s="816">
        <v>0</v>
      </c>
      <c r="X25" s="816">
        <v>0</v>
      </c>
      <c r="Y25" s="816">
        <v>516390361</v>
      </c>
      <c r="Z25" s="816">
        <v>154692527</v>
      </c>
      <c r="AA25" s="816">
        <v>274526940</v>
      </c>
      <c r="AB25" s="816">
        <v>1931852</v>
      </c>
      <c r="AC25" s="816">
        <v>72930500</v>
      </c>
      <c r="AD25" s="816">
        <v>0</v>
      </c>
      <c r="AE25" s="816">
        <v>0</v>
      </c>
      <c r="AF25" s="816">
        <v>0</v>
      </c>
      <c r="AG25" s="816">
        <v>504081819</v>
      </c>
      <c r="AH25" s="816">
        <v>302259304</v>
      </c>
      <c r="AI25" s="816">
        <v>2226582018</v>
      </c>
      <c r="AJ25" s="816">
        <v>9614523</v>
      </c>
      <c r="AK25" s="816">
        <v>88665291</v>
      </c>
      <c r="AL25" s="816">
        <v>0</v>
      </c>
      <c r="AM25" s="816">
        <v>0</v>
      </c>
      <c r="AN25" s="816">
        <v>0</v>
      </c>
      <c r="AO25" s="816">
        <v>2627121136</v>
      </c>
      <c r="AP25" s="816">
        <v>1032495496</v>
      </c>
      <c r="AQ25" s="816">
        <v>2501108958</v>
      </c>
      <c r="AR25" s="816">
        <v>12796375</v>
      </c>
      <c r="AS25" s="816">
        <v>165514377</v>
      </c>
      <c r="AT25" s="816">
        <v>159498</v>
      </c>
      <c r="AU25" s="816">
        <v>0</v>
      </c>
      <c r="AV25" s="816">
        <v>0</v>
      </c>
      <c r="AW25" s="816">
        <v>3712074704</v>
      </c>
      <c r="AX25"/>
      <c r="JI25" s="724"/>
    </row>
    <row r="26" spans="1:269" s="385" customFormat="1" x14ac:dyDescent="0.2">
      <c r="A26" s="815">
        <v>45962</v>
      </c>
      <c r="B26" s="816">
        <v>2658304</v>
      </c>
      <c r="C26" s="816">
        <v>307976000</v>
      </c>
      <c r="D26" s="816">
        <v>9906392</v>
      </c>
      <c r="E26" s="816">
        <v>0</v>
      </c>
      <c r="F26" s="816">
        <v>137346</v>
      </c>
      <c r="G26" s="816">
        <v>0</v>
      </c>
      <c r="H26" s="816">
        <v>0</v>
      </c>
      <c r="I26" s="816">
        <v>320678042</v>
      </c>
      <c r="J26" s="816">
        <v>25000000</v>
      </c>
      <c r="K26" s="816">
        <v>280000000</v>
      </c>
      <c r="L26" s="816">
        <v>0</v>
      </c>
      <c r="M26" s="816">
        <v>0</v>
      </c>
      <c r="N26" s="816">
        <v>1016636</v>
      </c>
      <c r="O26" s="816">
        <v>0</v>
      </c>
      <c r="P26" s="816">
        <v>0</v>
      </c>
      <c r="Q26" s="816">
        <v>306016636</v>
      </c>
      <c r="R26" s="816">
        <v>428740535</v>
      </c>
      <c r="S26" s="816">
        <v>0</v>
      </c>
      <c r="T26" s="816">
        <v>0</v>
      </c>
      <c r="U26" s="816">
        <v>0</v>
      </c>
      <c r="V26" s="816">
        <v>0</v>
      </c>
      <c r="W26" s="816">
        <v>0</v>
      </c>
      <c r="X26" s="816">
        <v>0</v>
      </c>
      <c r="Y26" s="816">
        <v>428740535</v>
      </c>
      <c r="Z26" s="816">
        <v>240028024</v>
      </c>
      <c r="AA26" s="816">
        <v>1300214366</v>
      </c>
      <c r="AB26" s="816">
        <v>10638600</v>
      </c>
      <c r="AC26" s="816">
        <v>7059609</v>
      </c>
      <c r="AD26" s="816">
        <v>0</v>
      </c>
      <c r="AE26" s="816">
        <v>0</v>
      </c>
      <c r="AF26" s="816">
        <v>0</v>
      </c>
      <c r="AG26" s="816">
        <v>1644940599</v>
      </c>
      <c r="AH26" s="816">
        <v>269507968</v>
      </c>
      <c r="AI26" s="816">
        <v>10866243729</v>
      </c>
      <c r="AJ26" s="816">
        <v>6619548</v>
      </c>
      <c r="AK26" s="816">
        <v>75641766</v>
      </c>
      <c r="AL26" s="816">
        <v>0</v>
      </c>
      <c r="AM26" s="816">
        <v>0</v>
      </c>
      <c r="AN26" s="816">
        <v>0</v>
      </c>
      <c r="AO26" s="816">
        <v>11218013011</v>
      </c>
      <c r="AP26" s="816">
        <v>965934831</v>
      </c>
      <c r="AQ26" s="816">
        <v>12754434095</v>
      </c>
      <c r="AR26" s="816">
        <v>27164540</v>
      </c>
      <c r="AS26" s="816">
        <v>82701375</v>
      </c>
      <c r="AT26" s="816">
        <v>1153982</v>
      </c>
      <c r="AU26" s="816">
        <v>0</v>
      </c>
      <c r="AV26" s="816">
        <v>0</v>
      </c>
      <c r="AW26" s="816">
        <v>13918388823</v>
      </c>
      <c r="AX26"/>
      <c r="JI26" s="724"/>
    </row>
    <row r="27" spans="1:269" s="385" customFormat="1" x14ac:dyDescent="0.2">
      <c r="A27" s="815">
        <v>45992</v>
      </c>
      <c r="B27" s="816">
        <v>2658304</v>
      </c>
      <c r="C27" s="816">
        <v>0</v>
      </c>
      <c r="D27" s="816">
        <v>0</v>
      </c>
      <c r="E27" s="816">
        <v>0</v>
      </c>
      <c r="F27" s="816">
        <v>106332</v>
      </c>
      <c r="G27" s="816">
        <v>0</v>
      </c>
      <c r="H27" s="816">
        <v>0</v>
      </c>
      <c r="I27" s="816">
        <v>2764636</v>
      </c>
      <c r="J27" s="816">
        <v>0</v>
      </c>
      <c r="K27" s="816">
        <v>0</v>
      </c>
      <c r="L27" s="816">
        <v>0</v>
      </c>
      <c r="M27" s="816">
        <v>0</v>
      </c>
      <c r="N27" s="816">
        <v>0</v>
      </c>
      <c r="O27" s="816">
        <v>0</v>
      </c>
      <c r="P27" s="816">
        <v>0</v>
      </c>
      <c r="Q27" s="816">
        <v>0</v>
      </c>
      <c r="R27" s="816">
        <v>608059579</v>
      </c>
      <c r="S27" s="816">
        <v>0</v>
      </c>
      <c r="T27" s="816">
        <v>0</v>
      </c>
      <c r="U27" s="816">
        <v>0</v>
      </c>
      <c r="V27" s="816">
        <v>0</v>
      </c>
      <c r="W27" s="816">
        <v>0</v>
      </c>
      <c r="X27" s="816">
        <v>0</v>
      </c>
      <c r="Y27" s="816">
        <v>608059579</v>
      </c>
      <c r="Z27" s="816">
        <v>116206821</v>
      </c>
      <c r="AA27" s="816">
        <v>1080852068</v>
      </c>
      <c r="AB27" s="816">
        <v>0</v>
      </c>
      <c r="AC27" s="816">
        <v>6182405</v>
      </c>
      <c r="AD27" s="816">
        <v>21319771</v>
      </c>
      <c r="AE27" s="816">
        <v>0</v>
      </c>
      <c r="AF27" s="816">
        <v>0</v>
      </c>
      <c r="AG27" s="816">
        <v>1224561065</v>
      </c>
      <c r="AH27" s="816">
        <v>132356193</v>
      </c>
      <c r="AI27" s="816">
        <v>5544350038</v>
      </c>
      <c r="AJ27" s="816">
        <v>5171268</v>
      </c>
      <c r="AK27" s="816">
        <v>74229044</v>
      </c>
      <c r="AL27" s="816">
        <v>0</v>
      </c>
      <c r="AM27" s="816">
        <v>0</v>
      </c>
      <c r="AN27" s="816">
        <v>0</v>
      </c>
      <c r="AO27" s="816">
        <v>5756106543</v>
      </c>
      <c r="AP27" s="816">
        <v>859280897</v>
      </c>
      <c r="AQ27" s="816">
        <v>6625202106</v>
      </c>
      <c r="AR27" s="816">
        <v>5171268</v>
      </c>
      <c r="AS27" s="816">
        <v>80411449</v>
      </c>
      <c r="AT27" s="816">
        <v>21426103</v>
      </c>
      <c r="AU27" s="816">
        <v>0</v>
      </c>
      <c r="AV27" s="816">
        <v>0</v>
      </c>
      <c r="AW27" s="816">
        <v>7591491823</v>
      </c>
      <c r="AX27"/>
      <c r="JI27" s="724"/>
    </row>
    <row r="28" spans="1:269" s="385" customFormat="1" x14ac:dyDescent="0.2">
      <c r="A28" s="815">
        <v>46023</v>
      </c>
      <c r="B28" s="816">
        <v>2658304</v>
      </c>
      <c r="C28" s="816">
        <v>0</v>
      </c>
      <c r="D28" s="816">
        <v>0</v>
      </c>
      <c r="E28" s="816">
        <v>0</v>
      </c>
      <c r="F28" s="816">
        <v>82408</v>
      </c>
      <c r="G28" s="816">
        <v>0</v>
      </c>
      <c r="H28" s="816">
        <v>0</v>
      </c>
      <c r="I28" s="816">
        <v>2740712</v>
      </c>
      <c r="J28" s="816">
        <v>35000000</v>
      </c>
      <c r="K28" s="816">
        <v>0</v>
      </c>
      <c r="L28" s="816">
        <v>0</v>
      </c>
      <c r="M28" s="816">
        <v>0</v>
      </c>
      <c r="N28" s="816">
        <v>1016636</v>
      </c>
      <c r="O28" s="816">
        <v>0</v>
      </c>
      <c r="P28" s="816">
        <v>0</v>
      </c>
      <c r="Q28" s="816">
        <v>36016636</v>
      </c>
      <c r="R28" s="816">
        <v>545474404</v>
      </c>
      <c r="S28" s="816">
        <v>0</v>
      </c>
      <c r="T28" s="816">
        <v>0</v>
      </c>
      <c r="U28" s="816">
        <v>0</v>
      </c>
      <c r="V28" s="816">
        <v>0</v>
      </c>
      <c r="W28" s="816">
        <v>0</v>
      </c>
      <c r="X28" s="816">
        <v>0</v>
      </c>
      <c r="Y28" s="816">
        <v>545474404</v>
      </c>
      <c r="Z28" s="816">
        <v>52062228</v>
      </c>
      <c r="AA28" s="816">
        <v>332748500</v>
      </c>
      <c r="AB28" s="816">
        <v>2092230</v>
      </c>
      <c r="AC28" s="816">
        <v>33227877</v>
      </c>
      <c r="AD28" s="816">
        <v>0</v>
      </c>
      <c r="AE28" s="816">
        <v>0</v>
      </c>
      <c r="AF28" s="816">
        <v>0</v>
      </c>
      <c r="AG28" s="816">
        <v>420130835</v>
      </c>
      <c r="AH28" s="816">
        <v>77960419</v>
      </c>
      <c r="AI28" s="816">
        <v>1071574376</v>
      </c>
      <c r="AJ28" s="816">
        <v>1887123</v>
      </c>
      <c r="AK28" s="816">
        <v>63601302</v>
      </c>
      <c r="AL28" s="816">
        <v>0</v>
      </c>
      <c r="AM28" s="816">
        <v>0</v>
      </c>
      <c r="AN28" s="816">
        <v>0</v>
      </c>
      <c r="AO28" s="816">
        <v>1215023220</v>
      </c>
      <c r="AP28" s="816">
        <v>713155355</v>
      </c>
      <c r="AQ28" s="816">
        <v>1404322876</v>
      </c>
      <c r="AR28" s="816">
        <v>3979353</v>
      </c>
      <c r="AS28" s="816">
        <v>96829179</v>
      </c>
      <c r="AT28" s="816">
        <v>1099044</v>
      </c>
      <c r="AU28" s="816">
        <v>0</v>
      </c>
      <c r="AV28" s="816">
        <v>0</v>
      </c>
      <c r="AW28" s="816">
        <v>2219385807</v>
      </c>
      <c r="AX28"/>
      <c r="JI28" s="724"/>
    </row>
    <row r="29" spans="1:269" s="385" customFormat="1" x14ac:dyDescent="0.2">
      <c r="A29" s="815">
        <v>46054</v>
      </c>
      <c r="B29" s="816">
        <v>2658304</v>
      </c>
      <c r="C29" s="816">
        <v>0</v>
      </c>
      <c r="D29" s="816">
        <v>0</v>
      </c>
      <c r="E29" s="816">
        <v>0</v>
      </c>
      <c r="F29" s="816">
        <v>54938</v>
      </c>
      <c r="G29" s="816">
        <v>0</v>
      </c>
      <c r="H29" s="816">
        <v>0</v>
      </c>
      <c r="I29" s="816">
        <v>2713242</v>
      </c>
      <c r="J29" s="816">
        <v>0</v>
      </c>
      <c r="K29" s="816">
        <v>0</v>
      </c>
      <c r="L29" s="816">
        <v>0</v>
      </c>
      <c r="M29" s="816">
        <v>0</v>
      </c>
      <c r="N29" s="816">
        <v>0</v>
      </c>
      <c r="O29" s="816">
        <v>0</v>
      </c>
      <c r="P29" s="816">
        <v>0</v>
      </c>
      <c r="Q29" s="816">
        <v>0</v>
      </c>
      <c r="R29" s="816">
        <v>473677699</v>
      </c>
      <c r="S29" s="816">
        <v>0</v>
      </c>
      <c r="T29" s="816">
        <v>0</v>
      </c>
      <c r="U29" s="816">
        <v>0</v>
      </c>
      <c r="V29" s="816">
        <v>0</v>
      </c>
      <c r="W29" s="816">
        <v>0</v>
      </c>
      <c r="X29" s="816">
        <v>0</v>
      </c>
      <c r="Y29" s="816">
        <v>473677699</v>
      </c>
      <c r="Z29" s="816">
        <v>169630446</v>
      </c>
      <c r="AA29" s="816">
        <v>338031870</v>
      </c>
      <c r="AB29" s="816">
        <v>1931850</v>
      </c>
      <c r="AC29" s="816">
        <v>14423054</v>
      </c>
      <c r="AD29" s="816">
        <v>0</v>
      </c>
      <c r="AE29" s="816">
        <v>0</v>
      </c>
      <c r="AF29" s="816">
        <v>0</v>
      </c>
      <c r="AG29" s="816">
        <v>524017220</v>
      </c>
      <c r="AH29" s="816">
        <v>242297845</v>
      </c>
      <c r="AI29" s="816">
        <v>846535002</v>
      </c>
      <c r="AJ29" s="816">
        <v>1887132</v>
      </c>
      <c r="AK29" s="816">
        <v>75542949</v>
      </c>
      <c r="AL29" s="816">
        <v>0</v>
      </c>
      <c r="AM29" s="816">
        <v>0</v>
      </c>
      <c r="AN29" s="816">
        <v>0</v>
      </c>
      <c r="AO29" s="816">
        <v>1166262928</v>
      </c>
      <c r="AP29" s="816">
        <v>888264294</v>
      </c>
      <c r="AQ29" s="816">
        <v>1184566872</v>
      </c>
      <c r="AR29" s="816">
        <v>3818982</v>
      </c>
      <c r="AS29" s="816">
        <v>89966003</v>
      </c>
      <c r="AT29" s="816">
        <v>54938</v>
      </c>
      <c r="AU29" s="816">
        <v>0</v>
      </c>
      <c r="AV29" s="816">
        <v>0</v>
      </c>
      <c r="AW29" s="816">
        <v>2166671089</v>
      </c>
      <c r="AX29"/>
      <c r="JI29" s="724"/>
    </row>
    <row r="30" spans="1:269" s="385" customFormat="1" x14ac:dyDescent="0.2">
      <c r="A30" s="815">
        <v>46082</v>
      </c>
      <c r="B30" s="816">
        <v>2658314</v>
      </c>
      <c r="C30" s="816">
        <v>0</v>
      </c>
      <c r="D30" s="816">
        <v>0</v>
      </c>
      <c r="E30" s="816">
        <v>0</v>
      </c>
      <c r="F30" s="816">
        <v>24812</v>
      </c>
      <c r="G30" s="816">
        <v>0</v>
      </c>
      <c r="H30" s="816">
        <v>0</v>
      </c>
      <c r="I30" s="816">
        <v>2683126</v>
      </c>
      <c r="J30" s="816">
        <v>34529581</v>
      </c>
      <c r="K30" s="816">
        <v>0</v>
      </c>
      <c r="L30" s="816">
        <v>0</v>
      </c>
      <c r="M30" s="816">
        <v>0</v>
      </c>
      <c r="N30" s="816">
        <v>1016641</v>
      </c>
      <c r="O30" s="816">
        <v>0</v>
      </c>
      <c r="P30" s="816">
        <v>0</v>
      </c>
      <c r="Q30" s="816">
        <v>35546222</v>
      </c>
      <c r="R30" s="816">
        <v>509142303</v>
      </c>
      <c r="S30" s="816">
        <v>0</v>
      </c>
      <c r="T30" s="816">
        <v>0</v>
      </c>
      <c r="U30" s="816">
        <v>0</v>
      </c>
      <c r="V30" s="816">
        <v>0</v>
      </c>
      <c r="W30" s="816">
        <v>0</v>
      </c>
      <c r="X30" s="816">
        <v>0</v>
      </c>
      <c r="Y30" s="816">
        <v>509142303</v>
      </c>
      <c r="Z30" s="816">
        <v>393517028</v>
      </c>
      <c r="AA30" s="816">
        <v>3976787824</v>
      </c>
      <c r="AB30" s="816">
        <v>14185149</v>
      </c>
      <c r="AC30" s="816">
        <v>25175101</v>
      </c>
      <c r="AD30" s="816">
        <v>0</v>
      </c>
      <c r="AE30" s="816">
        <v>0</v>
      </c>
      <c r="AF30" s="816">
        <v>0</v>
      </c>
      <c r="AG30" s="816">
        <v>4409665102</v>
      </c>
      <c r="AH30" s="816">
        <v>230551683</v>
      </c>
      <c r="AI30" s="816">
        <v>1940677046</v>
      </c>
      <c r="AJ30" s="816">
        <v>1512675</v>
      </c>
      <c r="AK30" s="816">
        <v>194713606</v>
      </c>
      <c r="AL30" s="816">
        <v>0</v>
      </c>
      <c r="AM30" s="816">
        <v>0</v>
      </c>
      <c r="AN30" s="816">
        <v>0</v>
      </c>
      <c r="AO30" s="816">
        <v>2367455010</v>
      </c>
      <c r="AP30" s="816">
        <v>1170398909</v>
      </c>
      <c r="AQ30" s="816">
        <v>5917464870</v>
      </c>
      <c r="AR30" s="816">
        <v>15697824</v>
      </c>
      <c r="AS30" s="816">
        <v>219888707</v>
      </c>
      <c r="AT30" s="816">
        <v>1041453</v>
      </c>
      <c r="AU30" s="816">
        <v>0</v>
      </c>
      <c r="AV30" s="816">
        <v>0</v>
      </c>
      <c r="AW30" s="816">
        <v>7324491763</v>
      </c>
      <c r="AX30"/>
      <c r="JI30" s="724"/>
    </row>
    <row r="31" spans="1:269" s="385" customFormat="1" x14ac:dyDescent="0.2">
      <c r="A31" s="815">
        <v>46113</v>
      </c>
      <c r="B31" s="816">
        <v>0</v>
      </c>
      <c r="C31" s="816">
        <v>0</v>
      </c>
      <c r="D31" s="816">
        <v>0</v>
      </c>
      <c r="E31" s="816">
        <v>0</v>
      </c>
      <c r="F31" s="816">
        <v>0</v>
      </c>
      <c r="G31" s="816">
        <v>0</v>
      </c>
      <c r="H31" s="816">
        <v>0</v>
      </c>
      <c r="I31" s="816">
        <v>0</v>
      </c>
      <c r="J31" s="816">
        <v>0</v>
      </c>
      <c r="K31" s="816">
        <v>0</v>
      </c>
      <c r="L31" s="816">
        <v>0</v>
      </c>
      <c r="M31" s="816">
        <v>0</v>
      </c>
      <c r="N31" s="816">
        <v>0</v>
      </c>
      <c r="O31" s="816">
        <v>0</v>
      </c>
      <c r="P31" s="816">
        <v>0</v>
      </c>
      <c r="Q31" s="816">
        <v>0</v>
      </c>
      <c r="R31" s="816">
        <v>491660238</v>
      </c>
      <c r="S31" s="816">
        <v>0</v>
      </c>
      <c r="T31" s="816">
        <v>0</v>
      </c>
      <c r="U31" s="816">
        <v>0</v>
      </c>
      <c r="V31" s="816">
        <v>0</v>
      </c>
      <c r="W31" s="816">
        <v>0</v>
      </c>
      <c r="X31" s="816">
        <v>0</v>
      </c>
      <c r="Y31" s="816">
        <v>491660238</v>
      </c>
      <c r="Z31" s="816">
        <v>48674063</v>
      </c>
      <c r="AA31" s="816">
        <v>332031870</v>
      </c>
      <c r="AB31" s="816">
        <v>0</v>
      </c>
      <c r="AC31" s="816">
        <v>13900933</v>
      </c>
      <c r="AD31" s="816">
        <v>0</v>
      </c>
      <c r="AE31" s="816">
        <v>0</v>
      </c>
      <c r="AF31" s="816">
        <v>0</v>
      </c>
      <c r="AG31" s="816">
        <v>394606866</v>
      </c>
      <c r="AH31" s="816">
        <v>8619606</v>
      </c>
      <c r="AI31" s="816">
        <v>2580861618</v>
      </c>
      <c r="AJ31" s="816">
        <v>0</v>
      </c>
      <c r="AK31" s="816">
        <v>478333</v>
      </c>
      <c r="AL31" s="816">
        <v>0</v>
      </c>
      <c r="AM31" s="816">
        <v>0</v>
      </c>
      <c r="AN31" s="816">
        <v>0</v>
      </c>
      <c r="AO31" s="816">
        <v>2589959557</v>
      </c>
      <c r="AP31" s="816">
        <v>548953907</v>
      </c>
      <c r="AQ31" s="816">
        <v>2912893488</v>
      </c>
      <c r="AR31" s="816">
        <v>0</v>
      </c>
      <c r="AS31" s="816">
        <v>14379266</v>
      </c>
      <c r="AT31" s="816">
        <v>0</v>
      </c>
      <c r="AU31" s="816">
        <v>0</v>
      </c>
      <c r="AV31" s="816">
        <v>0</v>
      </c>
      <c r="AW31" s="816">
        <v>3476226661</v>
      </c>
      <c r="AX31"/>
      <c r="JI31" s="724"/>
    </row>
    <row r="32" spans="1:269" s="385" customFormat="1" x14ac:dyDescent="0.2">
      <c r="A32" s="815">
        <v>46143</v>
      </c>
      <c r="B32" s="816">
        <v>0</v>
      </c>
      <c r="C32" s="816">
        <v>0</v>
      </c>
      <c r="D32" s="816">
        <v>0</v>
      </c>
      <c r="E32" s="816">
        <v>0</v>
      </c>
      <c r="F32" s="816">
        <v>0</v>
      </c>
      <c r="G32" s="816">
        <v>0</v>
      </c>
      <c r="H32" s="816">
        <v>0</v>
      </c>
      <c r="I32" s="816">
        <v>0</v>
      </c>
      <c r="J32" s="816">
        <v>0</v>
      </c>
      <c r="K32" s="816">
        <v>0</v>
      </c>
      <c r="L32" s="816">
        <v>0</v>
      </c>
      <c r="M32" s="816">
        <v>0</v>
      </c>
      <c r="N32" s="816">
        <v>0</v>
      </c>
      <c r="O32" s="816">
        <v>0</v>
      </c>
      <c r="P32" s="816">
        <v>0</v>
      </c>
      <c r="Q32" s="816">
        <v>0</v>
      </c>
      <c r="R32" s="816">
        <v>454786889</v>
      </c>
      <c r="S32" s="816">
        <v>0</v>
      </c>
      <c r="T32" s="816">
        <v>0</v>
      </c>
      <c r="U32" s="816">
        <v>0</v>
      </c>
      <c r="V32" s="816">
        <v>0</v>
      </c>
      <c r="W32" s="816">
        <v>0</v>
      </c>
      <c r="X32" s="816">
        <v>0</v>
      </c>
      <c r="Y32" s="816">
        <v>454786889</v>
      </c>
      <c r="Z32" s="816">
        <v>5935105</v>
      </c>
      <c r="AA32" s="816">
        <v>0</v>
      </c>
      <c r="AB32" s="816">
        <v>0</v>
      </c>
      <c r="AC32" s="816">
        <v>5193831</v>
      </c>
      <c r="AD32" s="816">
        <v>0</v>
      </c>
      <c r="AE32" s="816">
        <v>0</v>
      </c>
      <c r="AF32" s="816">
        <v>0</v>
      </c>
      <c r="AG32" s="816">
        <v>11128936</v>
      </c>
      <c r="AH32" s="816">
        <v>3521667</v>
      </c>
      <c r="AI32" s="816">
        <v>0</v>
      </c>
      <c r="AJ32" s="816">
        <v>0</v>
      </c>
      <c r="AK32" s="816">
        <v>478333</v>
      </c>
      <c r="AL32" s="816">
        <v>0</v>
      </c>
      <c r="AM32" s="816">
        <v>0</v>
      </c>
      <c r="AN32" s="816">
        <v>0</v>
      </c>
      <c r="AO32" s="816">
        <v>4000000</v>
      </c>
      <c r="AP32" s="816">
        <v>464243661</v>
      </c>
      <c r="AQ32" s="816">
        <v>0</v>
      </c>
      <c r="AR32" s="816">
        <v>0</v>
      </c>
      <c r="AS32" s="816">
        <v>5672164</v>
      </c>
      <c r="AT32" s="816">
        <v>0</v>
      </c>
      <c r="AU32" s="816">
        <v>0</v>
      </c>
      <c r="AV32" s="816">
        <v>0</v>
      </c>
      <c r="AW32" s="816">
        <v>469915825</v>
      </c>
      <c r="AX32"/>
      <c r="JI32" s="724"/>
    </row>
    <row r="33" spans="1:269" s="385" customFormat="1" x14ac:dyDescent="0.2">
      <c r="A33" s="815">
        <v>46174</v>
      </c>
      <c r="B33" s="816">
        <v>0</v>
      </c>
      <c r="C33" s="816">
        <v>0</v>
      </c>
      <c r="D33" s="816">
        <v>0</v>
      </c>
      <c r="E33" s="816">
        <v>0</v>
      </c>
      <c r="F33" s="816">
        <v>0</v>
      </c>
      <c r="G33" s="816">
        <v>0</v>
      </c>
      <c r="H33" s="816">
        <v>0</v>
      </c>
      <c r="I33" s="816">
        <v>0</v>
      </c>
      <c r="J33" s="816">
        <v>0</v>
      </c>
      <c r="K33" s="816">
        <v>0</v>
      </c>
      <c r="L33" s="816">
        <v>0</v>
      </c>
      <c r="M33" s="816">
        <v>0</v>
      </c>
      <c r="N33" s="816">
        <v>0</v>
      </c>
      <c r="O33" s="816">
        <v>0</v>
      </c>
      <c r="P33" s="816">
        <v>0</v>
      </c>
      <c r="Q33" s="816">
        <v>0</v>
      </c>
      <c r="R33" s="816">
        <v>513088854</v>
      </c>
      <c r="S33" s="816">
        <v>0</v>
      </c>
      <c r="T33" s="816">
        <v>0</v>
      </c>
      <c r="U33" s="816">
        <v>0</v>
      </c>
      <c r="V33" s="816">
        <v>0</v>
      </c>
      <c r="W33" s="816">
        <v>0</v>
      </c>
      <c r="X33" s="816">
        <v>0</v>
      </c>
      <c r="Y33" s="816">
        <v>513088854</v>
      </c>
      <c r="Z33" s="816">
        <v>116586578</v>
      </c>
      <c r="AA33" s="816">
        <v>626170368</v>
      </c>
      <c r="AB33" s="816">
        <v>0</v>
      </c>
      <c r="AC33" s="816">
        <v>114811044</v>
      </c>
      <c r="AD33" s="816">
        <v>0</v>
      </c>
      <c r="AE33" s="816">
        <v>0</v>
      </c>
      <c r="AF33" s="816">
        <v>0</v>
      </c>
      <c r="AG33" s="816">
        <v>857567990</v>
      </c>
      <c r="AH33" s="816">
        <v>54869444</v>
      </c>
      <c r="AI33" s="816">
        <v>427794443</v>
      </c>
      <c r="AJ33" s="816">
        <v>0</v>
      </c>
      <c r="AK33" s="816">
        <v>11161106</v>
      </c>
      <c r="AL33" s="816">
        <v>0</v>
      </c>
      <c r="AM33" s="816">
        <v>0</v>
      </c>
      <c r="AN33" s="816">
        <v>0</v>
      </c>
      <c r="AO33" s="816">
        <v>493824993</v>
      </c>
      <c r="AP33" s="816">
        <v>684544876</v>
      </c>
      <c r="AQ33" s="816">
        <v>1053964811</v>
      </c>
      <c r="AR33" s="816">
        <v>0</v>
      </c>
      <c r="AS33" s="816">
        <v>125972150</v>
      </c>
      <c r="AT33" s="816">
        <v>0</v>
      </c>
      <c r="AU33" s="816">
        <v>0</v>
      </c>
      <c r="AV33" s="816">
        <v>0</v>
      </c>
      <c r="AW33" s="816">
        <v>1864481837</v>
      </c>
      <c r="AX33"/>
      <c r="JI33" s="724"/>
    </row>
    <row r="34" spans="1:269" s="385" customFormat="1" x14ac:dyDescent="0.2">
      <c r="A34" s="815">
        <v>46204</v>
      </c>
      <c r="B34" s="816">
        <v>0</v>
      </c>
      <c r="C34" s="816">
        <v>0</v>
      </c>
      <c r="D34" s="816">
        <v>0</v>
      </c>
      <c r="E34" s="816">
        <v>0</v>
      </c>
      <c r="F34" s="816">
        <v>0</v>
      </c>
      <c r="G34" s="816">
        <v>0</v>
      </c>
      <c r="H34" s="816">
        <v>0</v>
      </c>
      <c r="I34" s="816">
        <v>0</v>
      </c>
      <c r="J34" s="816">
        <v>0</v>
      </c>
      <c r="K34" s="816">
        <v>0</v>
      </c>
      <c r="L34" s="816">
        <v>0</v>
      </c>
      <c r="M34" s="816">
        <v>0</v>
      </c>
      <c r="N34" s="816">
        <v>0</v>
      </c>
      <c r="O34" s="816">
        <v>0</v>
      </c>
      <c r="P34" s="816">
        <v>0</v>
      </c>
      <c r="Q34" s="816">
        <v>0</v>
      </c>
      <c r="R34" s="816">
        <v>479686889</v>
      </c>
      <c r="S34" s="816">
        <v>0</v>
      </c>
      <c r="T34" s="816">
        <v>0</v>
      </c>
      <c r="U34" s="816">
        <v>0</v>
      </c>
      <c r="V34" s="816">
        <v>0</v>
      </c>
      <c r="W34" s="816">
        <v>0</v>
      </c>
      <c r="X34" s="816">
        <v>0</v>
      </c>
      <c r="Y34" s="816">
        <v>479686889</v>
      </c>
      <c r="Z34" s="816">
        <v>0</v>
      </c>
      <c r="AA34" s="816">
        <v>0</v>
      </c>
      <c r="AB34" s="816">
        <v>0</v>
      </c>
      <c r="AC34" s="816">
        <v>0</v>
      </c>
      <c r="AD34" s="816">
        <v>0</v>
      </c>
      <c r="AE34" s="816">
        <v>0</v>
      </c>
      <c r="AF34" s="816">
        <v>0</v>
      </c>
      <c r="AG34" s="816">
        <v>0</v>
      </c>
      <c r="AH34" s="816">
        <v>0</v>
      </c>
      <c r="AI34" s="816">
        <v>0</v>
      </c>
      <c r="AJ34" s="816">
        <v>0</v>
      </c>
      <c r="AK34" s="816">
        <v>0</v>
      </c>
      <c r="AL34" s="816">
        <v>0</v>
      </c>
      <c r="AM34" s="816">
        <v>0</v>
      </c>
      <c r="AN34" s="816">
        <v>0</v>
      </c>
      <c r="AO34" s="816">
        <v>0</v>
      </c>
      <c r="AP34" s="816">
        <v>479686889</v>
      </c>
      <c r="AQ34" s="816">
        <v>0</v>
      </c>
      <c r="AR34" s="816">
        <v>0</v>
      </c>
      <c r="AS34" s="816">
        <v>0</v>
      </c>
      <c r="AT34" s="816">
        <v>0</v>
      </c>
      <c r="AU34" s="816">
        <v>0</v>
      </c>
      <c r="AV34" s="816">
        <v>0</v>
      </c>
      <c r="AW34" s="816">
        <v>479686889</v>
      </c>
      <c r="AX34"/>
      <c r="JI34" s="724"/>
    </row>
    <row r="35" spans="1:269" s="385" customFormat="1" x14ac:dyDescent="0.2">
      <c r="A35" s="815">
        <v>46235</v>
      </c>
      <c r="B35" s="816">
        <v>0</v>
      </c>
      <c r="C35" s="816">
        <v>0</v>
      </c>
      <c r="D35" s="816">
        <v>0</v>
      </c>
      <c r="E35" s="816">
        <v>0</v>
      </c>
      <c r="F35" s="816">
        <v>0</v>
      </c>
      <c r="G35" s="816">
        <v>0</v>
      </c>
      <c r="H35" s="816">
        <v>0</v>
      </c>
      <c r="I35" s="816">
        <v>0</v>
      </c>
      <c r="J35" s="816">
        <v>0</v>
      </c>
      <c r="K35" s="816">
        <v>0</v>
      </c>
      <c r="L35" s="816">
        <v>0</v>
      </c>
      <c r="M35" s="816">
        <v>0</v>
      </c>
      <c r="N35" s="816">
        <v>0</v>
      </c>
      <c r="O35" s="816">
        <v>0</v>
      </c>
      <c r="P35" s="816">
        <v>0</v>
      </c>
      <c r="Q35" s="816">
        <v>0</v>
      </c>
      <c r="R35" s="816">
        <v>455086889</v>
      </c>
      <c r="S35" s="816">
        <v>0</v>
      </c>
      <c r="T35" s="816">
        <v>0</v>
      </c>
      <c r="U35" s="816">
        <v>0</v>
      </c>
      <c r="V35" s="816">
        <v>0</v>
      </c>
      <c r="W35" s="816">
        <v>0</v>
      </c>
      <c r="X35" s="816">
        <v>0</v>
      </c>
      <c r="Y35" s="816">
        <v>455086889</v>
      </c>
      <c r="Z35" s="816">
        <v>0</v>
      </c>
      <c r="AA35" s="816">
        <v>0</v>
      </c>
      <c r="AB35" s="816">
        <v>0</v>
      </c>
      <c r="AC35" s="816">
        <v>0</v>
      </c>
      <c r="AD35" s="816">
        <v>0</v>
      </c>
      <c r="AE35" s="816">
        <v>0</v>
      </c>
      <c r="AF35" s="816">
        <v>0</v>
      </c>
      <c r="AG35" s="816">
        <v>0</v>
      </c>
      <c r="AH35" s="816">
        <v>0</v>
      </c>
      <c r="AI35" s="816">
        <v>0</v>
      </c>
      <c r="AJ35" s="816">
        <v>0</v>
      </c>
      <c r="AK35" s="816">
        <v>0</v>
      </c>
      <c r="AL35" s="816">
        <v>0</v>
      </c>
      <c r="AM35" s="816">
        <v>0</v>
      </c>
      <c r="AN35" s="816">
        <v>0</v>
      </c>
      <c r="AO35" s="816">
        <v>0</v>
      </c>
      <c r="AP35" s="816">
        <v>455086889</v>
      </c>
      <c r="AQ35" s="816">
        <v>0</v>
      </c>
      <c r="AR35" s="816">
        <v>0</v>
      </c>
      <c r="AS35" s="816">
        <v>0</v>
      </c>
      <c r="AT35" s="816">
        <v>0</v>
      </c>
      <c r="AU35" s="816">
        <v>0</v>
      </c>
      <c r="AV35" s="816">
        <v>0</v>
      </c>
      <c r="AW35" s="816">
        <v>455086889</v>
      </c>
      <c r="AX35"/>
      <c r="JI35" s="724"/>
    </row>
    <row r="36" spans="1:269" s="385" customFormat="1" x14ac:dyDescent="0.2">
      <c r="A36" s="815">
        <v>46266</v>
      </c>
      <c r="B36" s="816">
        <v>0</v>
      </c>
      <c r="C36" s="816">
        <v>0</v>
      </c>
      <c r="D36" s="816">
        <v>0</v>
      </c>
      <c r="E36" s="816">
        <v>0</v>
      </c>
      <c r="F36" s="816">
        <v>0</v>
      </c>
      <c r="G36" s="816">
        <v>0</v>
      </c>
      <c r="H36" s="816">
        <v>0</v>
      </c>
      <c r="I36" s="816">
        <v>0</v>
      </c>
      <c r="J36" s="816">
        <v>0</v>
      </c>
      <c r="K36" s="816">
        <v>0</v>
      </c>
      <c r="L36" s="816">
        <v>0</v>
      </c>
      <c r="M36" s="816">
        <v>0</v>
      </c>
      <c r="N36" s="816">
        <v>0</v>
      </c>
      <c r="O36" s="816">
        <v>0</v>
      </c>
      <c r="P36" s="816">
        <v>0</v>
      </c>
      <c r="Q36" s="816">
        <v>0</v>
      </c>
      <c r="R36" s="816">
        <v>469936889</v>
      </c>
      <c r="S36" s="816">
        <v>0</v>
      </c>
      <c r="T36" s="816">
        <v>0</v>
      </c>
      <c r="U36" s="816">
        <v>0</v>
      </c>
      <c r="V36" s="816">
        <v>0</v>
      </c>
      <c r="W36" s="816">
        <v>0</v>
      </c>
      <c r="X36" s="816">
        <v>0</v>
      </c>
      <c r="Y36" s="816">
        <v>469936889</v>
      </c>
      <c r="Z36" s="816">
        <v>0</v>
      </c>
      <c r="AA36" s="816">
        <v>0</v>
      </c>
      <c r="AB36" s="816">
        <v>0</v>
      </c>
      <c r="AC36" s="816">
        <v>0</v>
      </c>
      <c r="AD36" s="816">
        <v>0</v>
      </c>
      <c r="AE36" s="816">
        <v>0</v>
      </c>
      <c r="AF36" s="816">
        <v>0</v>
      </c>
      <c r="AG36" s="816">
        <v>0</v>
      </c>
      <c r="AH36" s="816">
        <v>0</v>
      </c>
      <c r="AI36" s="816">
        <v>0</v>
      </c>
      <c r="AJ36" s="816">
        <v>0</v>
      </c>
      <c r="AK36" s="816">
        <v>0</v>
      </c>
      <c r="AL36" s="816">
        <v>0</v>
      </c>
      <c r="AM36" s="816">
        <v>0</v>
      </c>
      <c r="AN36" s="816">
        <v>0</v>
      </c>
      <c r="AO36" s="816">
        <v>0</v>
      </c>
      <c r="AP36" s="816">
        <v>469936889</v>
      </c>
      <c r="AQ36" s="816">
        <v>0</v>
      </c>
      <c r="AR36" s="816">
        <v>0</v>
      </c>
      <c r="AS36" s="816">
        <v>0</v>
      </c>
      <c r="AT36" s="816">
        <v>0</v>
      </c>
      <c r="AU36" s="816">
        <v>0</v>
      </c>
      <c r="AV36" s="816">
        <v>0</v>
      </c>
      <c r="AW36" s="816">
        <v>469936889</v>
      </c>
      <c r="AX36"/>
      <c r="JI36" s="724"/>
    </row>
    <row r="37" spans="1:269" s="385" customFormat="1" x14ac:dyDescent="0.2">
      <c r="A37" s="815">
        <v>46296</v>
      </c>
      <c r="B37" s="816">
        <v>0</v>
      </c>
      <c r="C37" s="816">
        <v>0</v>
      </c>
      <c r="D37" s="816">
        <v>0</v>
      </c>
      <c r="E37" s="816">
        <v>0</v>
      </c>
      <c r="F37" s="816">
        <v>0</v>
      </c>
      <c r="G37" s="816">
        <v>0</v>
      </c>
      <c r="H37" s="816">
        <v>0</v>
      </c>
      <c r="I37" s="816">
        <v>0</v>
      </c>
      <c r="J37" s="816">
        <v>0</v>
      </c>
      <c r="K37" s="816">
        <v>0</v>
      </c>
      <c r="L37" s="816">
        <v>0</v>
      </c>
      <c r="M37" s="816">
        <v>0</v>
      </c>
      <c r="N37" s="816">
        <v>0</v>
      </c>
      <c r="O37" s="816">
        <v>0</v>
      </c>
      <c r="P37" s="816">
        <v>0</v>
      </c>
      <c r="Q37" s="816">
        <v>0</v>
      </c>
      <c r="R37" s="816">
        <v>497686889</v>
      </c>
      <c r="S37" s="816">
        <v>0</v>
      </c>
      <c r="T37" s="816">
        <v>0</v>
      </c>
      <c r="U37" s="816">
        <v>0</v>
      </c>
      <c r="V37" s="816">
        <v>0</v>
      </c>
      <c r="W37" s="816">
        <v>0</v>
      </c>
      <c r="X37" s="816">
        <v>0</v>
      </c>
      <c r="Y37" s="816">
        <v>497686889</v>
      </c>
      <c r="Z37" s="816">
        <v>0</v>
      </c>
      <c r="AA37" s="816">
        <v>0</v>
      </c>
      <c r="AB37" s="816">
        <v>0</v>
      </c>
      <c r="AC37" s="816">
        <v>0</v>
      </c>
      <c r="AD37" s="816">
        <v>0</v>
      </c>
      <c r="AE37" s="816">
        <v>0</v>
      </c>
      <c r="AF37" s="816">
        <v>0</v>
      </c>
      <c r="AG37" s="816">
        <v>0</v>
      </c>
      <c r="AH37" s="816">
        <v>0</v>
      </c>
      <c r="AI37" s="816">
        <v>0</v>
      </c>
      <c r="AJ37" s="816">
        <v>0</v>
      </c>
      <c r="AK37" s="816">
        <v>0</v>
      </c>
      <c r="AL37" s="816">
        <v>0</v>
      </c>
      <c r="AM37" s="816">
        <v>0</v>
      </c>
      <c r="AN37" s="816">
        <v>0</v>
      </c>
      <c r="AO37" s="816">
        <v>0</v>
      </c>
      <c r="AP37" s="816">
        <v>497686889</v>
      </c>
      <c r="AQ37" s="816">
        <v>0</v>
      </c>
      <c r="AR37" s="816">
        <v>0</v>
      </c>
      <c r="AS37" s="816">
        <v>0</v>
      </c>
      <c r="AT37" s="816">
        <v>0</v>
      </c>
      <c r="AU37" s="816">
        <v>0</v>
      </c>
      <c r="AV37" s="816">
        <v>0</v>
      </c>
      <c r="AW37" s="816">
        <v>497686889</v>
      </c>
      <c r="AX37"/>
      <c r="JI37" s="724"/>
    </row>
    <row r="38" spans="1:269" s="385" customFormat="1" x14ac:dyDescent="0.2">
      <c r="A38" s="815">
        <v>46327</v>
      </c>
      <c r="B38" s="816">
        <v>0</v>
      </c>
      <c r="C38" s="816">
        <v>0</v>
      </c>
      <c r="D38" s="816">
        <v>0</v>
      </c>
      <c r="E38" s="816">
        <v>0</v>
      </c>
      <c r="F38" s="816">
        <v>0</v>
      </c>
      <c r="G38" s="816">
        <v>0</v>
      </c>
      <c r="H38" s="816">
        <v>0</v>
      </c>
      <c r="I38" s="816">
        <v>0</v>
      </c>
      <c r="J38" s="816">
        <v>0</v>
      </c>
      <c r="K38" s="816">
        <v>0</v>
      </c>
      <c r="L38" s="816">
        <v>0</v>
      </c>
      <c r="M38" s="816">
        <v>0</v>
      </c>
      <c r="N38" s="816">
        <v>0</v>
      </c>
      <c r="O38" s="816">
        <v>0</v>
      </c>
      <c r="P38" s="816">
        <v>0</v>
      </c>
      <c r="Q38" s="816">
        <v>0</v>
      </c>
      <c r="R38" s="816">
        <v>498637140</v>
      </c>
      <c r="S38" s="816">
        <v>0</v>
      </c>
      <c r="T38" s="816">
        <v>0</v>
      </c>
      <c r="U38" s="816">
        <v>0</v>
      </c>
      <c r="V38" s="816">
        <v>0</v>
      </c>
      <c r="W38" s="816">
        <v>0</v>
      </c>
      <c r="X38" s="816">
        <v>0</v>
      </c>
      <c r="Y38" s="816">
        <v>498637140</v>
      </c>
      <c r="Z38" s="816">
        <v>0</v>
      </c>
      <c r="AA38" s="816">
        <v>0</v>
      </c>
      <c r="AB38" s="816">
        <v>0</v>
      </c>
      <c r="AC38" s="816">
        <v>0</v>
      </c>
      <c r="AD38" s="816">
        <v>0</v>
      </c>
      <c r="AE38" s="816">
        <v>0</v>
      </c>
      <c r="AF38" s="816">
        <v>0</v>
      </c>
      <c r="AG38" s="816">
        <v>0</v>
      </c>
      <c r="AH38" s="816">
        <v>0</v>
      </c>
      <c r="AI38" s="816">
        <v>0</v>
      </c>
      <c r="AJ38" s="816">
        <v>0</v>
      </c>
      <c r="AK38" s="816">
        <v>0</v>
      </c>
      <c r="AL38" s="816">
        <v>0</v>
      </c>
      <c r="AM38" s="816">
        <v>0</v>
      </c>
      <c r="AN38" s="816">
        <v>0</v>
      </c>
      <c r="AO38" s="816">
        <v>0</v>
      </c>
      <c r="AP38" s="816">
        <v>498637140</v>
      </c>
      <c r="AQ38" s="816">
        <v>0</v>
      </c>
      <c r="AR38" s="816">
        <v>0</v>
      </c>
      <c r="AS38" s="816">
        <v>0</v>
      </c>
      <c r="AT38" s="816">
        <v>0</v>
      </c>
      <c r="AU38" s="816">
        <v>0</v>
      </c>
      <c r="AV38" s="816">
        <v>0</v>
      </c>
      <c r="AW38" s="816">
        <v>498637140</v>
      </c>
      <c r="AX38"/>
      <c r="JI38" s="724"/>
    </row>
    <row r="39" spans="1:269" s="385" customFormat="1" x14ac:dyDescent="0.2">
      <c r="A39" s="815">
        <v>46357</v>
      </c>
      <c r="B39" s="816">
        <v>0</v>
      </c>
      <c r="C39" s="816">
        <v>0</v>
      </c>
      <c r="D39" s="816">
        <v>0</v>
      </c>
      <c r="E39" s="816">
        <v>0</v>
      </c>
      <c r="F39" s="816">
        <v>0</v>
      </c>
      <c r="G39" s="816">
        <v>0</v>
      </c>
      <c r="H39" s="816">
        <v>0</v>
      </c>
      <c r="I39" s="816">
        <v>0</v>
      </c>
      <c r="J39" s="816">
        <v>0</v>
      </c>
      <c r="K39" s="816">
        <v>0</v>
      </c>
      <c r="L39" s="816">
        <v>0</v>
      </c>
      <c r="M39" s="816">
        <v>0</v>
      </c>
      <c r="N39" s="816">
        <v>0</v>
      </c>
      <c r="O39" s="816">
        <v>0</v>
      </c>
      <c r="P39" s="816">
        <v>0</v>
      </c>
      <c r="Q39" s="816">
        <v>0</v>
      </c>
      <c r="R39" s="816">
        <v>564828353</v>
      </c>
      <c r="S39" s="816">
        <v>0</v>
      </c>
      <c r="T39" s="816">
        <v>0</v>
      </c>
      <c r="U39" s="816">
        <v>0</v>
      </c>
      <c r="V39" s="816">
        <v>0</v>
      </c>
      <c r="W39" s="816">
        <v>0</v>
      </c>
      <c r="X39" s="816">
        <v>0</v>
      </c>
      <c r="Y39" s="816">
        <v>564828353</v>
      </c>
      <c r="Z39" s="816">
        <v>0</v>
      </c>
      <c r="AA39" s="816">
        <v>0</v>
      </c>
      <c r="AB39" s="816">
        <v>0</v>
      </c>
      <c r="AC39" s="816">
        <v>0</v>
      </c>
      <c r="AD39" s="816">
        <v>0</v>
      </c>
      <c r="AE39" s="816">
        <v>0</v>
      </c>
      <c r="AF39" s="816">
        <v>0</v>
      </c>
      <c r="AG39" s="816">
        <v>0</v>
      </c>
      <c r="AH39" s="816">
        <v>0</v>
      </c>
      <c r="AI39" s="816">
        <v>0</v>
      </c>
      <c r="AJ39" s="816">
        <v>0</v>
      </c>
      <c r="AK39" s="816">
        <v>0</v>
      </c>
      <c r="AL39" s="816">
        <v>0</v>
      </c>
      <c r="AM39" s="816">
        <v>0</v>
      </c>
      <c r="AN39" s="816">
        <v>0</v>
      </c>
      <c r="AO39" s="816">
        <v>0</v>
      </c>
      <c r="AP39" s="816">
        <v>564828353</v>
      </c>
      <c r="AQ39" s="816">
        <v>0</v>
      </c>
      <c r="AR39" s="816">
        <v>0</v>
      </c>
      <c r="AS39" s="816">
        <v>0</v>
      </c>
      <c r="AT39" s="816">
        <v>0</v>
      </c>
      <c r="AU39" s="816">
        <v>0</v>
      </c>
      <c r="AV39" s="816">
        <v>0</v>
      </c>
      <c r="AW39" s="816">
        <v>564828353</v>
      </c>
      <c r="AX39"/>
      <c r="JI39" s="724"/>
    </row>
    <row r="40" spans="1:269" s="385" customFormat="1" x14ac:dyDescent="0.2">
      <c r="A40" s="815">
        <v>46388</v>
      </c>
      <c r="B40" s="816">
        <v>0</v>
      </c>
      <c r="C40" s="816">
        <v>0</v>
      </c>
      <c r="D40" s="816">
        <v>0</v>
      </c>
      <c r="E40" s="816">
        <v>0</v>
      </c>
      <c r="F40" s="816">
        <v>0</v>
      </c>
      <c r="G40" s="816">
        <v>0</v>
      </c>
      <c r="H40" s="816">
        <v>0</v>
      </c>
      <c r="I40" s="816">
        <v>0</v>
      </c>
      <c r="J40" s="816">
        <v>0</v>
      </c>
      <c r="K40" s="816">
        <v>0</v>
      </c>
      <c r="L40" s="816">
        <v>0</v>
      </c>
      <c r="M40" s="816">
        <v>0</v>
      </c>
      <c r="N40" s="816">
        <v>0</v>
      </c>
      <c r="O40" s="816">
        <v>0</v>
      </c>
      <c r="P40" s="816">
        <v>0</v>
      </c>
      <c r="Q40" s="816">
        <v>0</v>
      </c>
      <c r="R40" s="816">
        <v>468679388</v>
      </c>
      <c r="S40" s="816">
        <v>0</v>
      </c>
      <c r="T40" s="816">
        <v>0</v>
      </c>
      <c r="U40" s="816">
        <v>0</v>
      </c>
      <c r="V40" s="816">
        <v>0</v>
      </c>
      <c r="W40" s="816">
        <v>0</v>
      </c>
      <c r="X40" s="816">
        <v>0</v>
      </c>
      <c r="Y40" s="816">
        <v>468679388</v>
      </c>
      <c r="Z40" s="816">
        <v>0</v>
      </c>
      <c r="AA40" s="816">
        <v>0</v>
      </c>
      <c r="AB40" s="816">
        <v>0</v>
      </c>
      <c r="AC40" s="816">
        <v>0</v>
      </c>
      <c r="AD40" s="816">
        <v>0</v>
      </c>
      <c r="AE40" s="816">
        <v>0</v>
      </c>
      <c r="AF40" s="816">
        <v>0</v>
      </c>
      <c r="AG40" s="816">
        <v>0</v>
      </c>
      <c r="AH40" s="816">
        <v>0</v>
      </c>
      <c r="AI40" s="816">
        <v>0</v>
      </c>
      <c r="AJ40" s="816">
        <v>0</v>
      </c>
      <c r="AK40" s="816">
        <v>0</v>
      </c>
      <c r="AL40" s="816">
        <v>0</v>
      </c>
      <c r="AM40" s="816">
        <v>0</v>
      </c>
      <c r="AN40" s="816">
        <v>0</v>
      </c>
      <c r="AO40" s="816">
        <v>0</v>
      </c>
      <c r="AP40" s="816">
        <v>468679388</v>
      </c>
      <c r="AQ40" s="816">
        <v>0</v>
      </c>
      <c r="AR40" s="816">
        <v>0</v>
      </c>
      <c r="AS40" s="816">
        <v>0</v>
      </c>
      <c r="AT40" s="816">
        <v>0</v>
      </c>
      <c r="AU40" s="816">
        <v>0</v>
      </c>
      <c r="AV40" s="816">
        <v>0</v>
      </c>
      <c r="AW40" s="816">
        <v>468679388</v>
      </c>
      <c r="AX40"/>
      <c r="JI40" s="724"/>
    </row>
    <row r="41" spans="1:269" s="385" customFormat="1" x14ac:dyDescent="0.2">
      <c r="A41" s="815">
        <v>46419</v>
      </c>
      <c r="B41" s="816">
        <v>0</v>
      </c>
      <c r="C41" s="816">
        <v>0</v>
      </c>
      <c r="D41" s="816">
        <v>0</v>
      </c>
      <c r="E41" s="816">
        <v>0</v>
      </c>
      <c r="F41" s="816">
        <v>0</v>
      </c>
      <c r="G41" s="816">
        <v>0</v>
      </c>
      <c r="H41" s="816">
        <v>0</v>
      </c>
      <c r="I41" s="816">
        <v>0</v>
      </c>
      <c r="J41" s="816">
        <v>0</v>
      </c>
      <c r="K41" s="816">
        <v>0</v>
      </c>
      <c r="L41" s="816">
        <v>0</v>
      </c>
      <c r="M41" s="816">
        <v>0</v>
      </c>
      <c r="N41" s="816">
        <v>0</v>
      </c>
      <c r="O41" s="816">
        <v>0</v>
      </c>
      <c r="P41" s="816">
        <v>0</v>
      </c>
      <c r="Q41" s="816">
        <v>0</v>
      </c>
      <c r="R41" s="816">
        <v>495526388</v>
      </c>
      <c r="S41" s="816">
        <v>0</v>
      </c>
      <c r="T41" s="816">
        <v>0</v>
      </c>
      <c r="U41" s="816">
        <v>0</v>
      </c>
      <c r="V41" s="816">
        <v>0</v>
      </c>
      <c r="W41" s="816">
        <v>0</v>
      </c>
      <c r="X41" s="816">
        <v>0</v>
      </c>
      <c r="Y41" s="816">
        <v>495526388</v>
      </c>
      <c r="Z41" s="816">
        <v>0</v>
      </c>
      <c r="AA41" s="816">
        <v>0</v>
      </c>
      <c r="AB41" s="816">
        <v>0</v>
      </c>
      <c r="AC41" s="816">
        <v>0</v>
      </c>
      <c r="AD41" s="816">
        <v>0</v>
      </c>
      <c r="AE41" s="816">
        <v>0</v>
      </c>
      <c r="AF41" s="816">
        <v>0</v>
      </c>
      <c r="AG41" s="816">
        <v>0</v>
      </c>
      <c r="AH41" s="816">
        <v>0</v>
      </c>
      <c r="AI41" s="816">
        <v>0</v>
      </c>
      <c r="AJ41" s="816">
        <v>0</v>
      </c>
      <c r="AK41" s="816">
        <v>0</v>
      </c>
      <c r="AL41" s="816">
        <v>0</v>
      </c>
      <c r="AM41" s="816">
        <v>0</v>
      </c>
      <c r="AN41" s="816">
        <v>0</v>
      </c>
      <c r="AO41" s="816">
        <v>0</v>
      </c>
      <c r="AP41" s="816">
        <v>495526388</v>
      </c>
      <c r="AQ41" s="816">
        <v>0</v>
      </c>
      <c r="AR41" s="816">
        <v>0</v>
      </c>
      <c r="AS41" s="816">
        <v>0</v>
      </c>
      <c r="AT41" s="816">
        <v>0</v>
      </c>
      <c r="AU41" s="816">
        <v>0</v>
      </c>
      <c r="AV41" s="816">
        <v>0</v>
      </c>
      <c r="AW41" s="816">
        <v>495526388</v>
      </c>
      <c r="AX41"/>
      <c r="BK41"/>
      <c r="BL41"/>
      <c r="BM41"/>
      <c r="BN41"/>
      <c r="BO41"/>
      <c r="BP41"/>
      <c r="BQ41"/>
      <c r="JI41" s="724"/>
    </row>
    <row r="42" spans="1:269" s="385" customFormat="1" x14ac:dyDescent="0.2">
      <c r="A42" s="815">
        <v>46447</v>
      </c>
      <c r="B42" s="816">
        <v>0</v>
      </c>
      <c r="C42" s="816">
        <v>0</v>
      </c>
      <c r="D42" s="816">
        <v>0</v>
      </c>
      <c r="E42" s="816">
        <v>0</v>
      </c>
      <c r="F42" s="816">
        <v>0</v>
      </c>
      <c r="G42" s="816">
        <v>0</v>
      </c>
      <c r="H42" s="816">
        <v>0</v>
      </c>
      <c r="I42" s="816">
        <v>0</v>
      </c>
      <c r="J42" s="816">
        <v>0</v>
      </c>
      <c r="K42" s="816">
        <v>0</v>
      </c>
      <c r="L42" s="816">
        <v>0</v>
      </c>
      <c r="M42" s="816">
        <v>0</v>
      </c>
      <c r="N42" s="816">
        <v>0</v>
      </c>
      <c r="O42" s="816">
        <v>0</v>
      </c>
      <c r="P42" s="816">
        <v>0</v>
      </c>
      <c r="Q42" s="816">
        <v>0</v>
      </c>
      <c r="R42" s="816">
        <v>752307467</v>
      </c>
      <c r="S42" s="816">
        <v>0</v>
      </c>
      <c r="T42" s="816">
        <v>0</v>
      </c>
      <c r="U42" s="816">
        <v>0</v>
      </c>
      <c r="V42" s="816">
        <v>0</v>
      </c>
      <c r="W42" s="816">
        <v>0</v>
      </c>
      <c r="X42" s="816">
        <v>0</v>
      </c>
      <c r="Y42" s="816">
        <v>752307467</v>
      </c>
      <c r="Z42" s="816">
        <v>0</v>
      </c>
      <c r="AA42" s="816">
        <v>0</v>
      </c>
      <c r="AB42" s="816">
        <v>0</v>
      </c>
      <c r="AC42" s="816">
        <v>0</v>
      </c>
      <c r="AD42" s="816">
        <v>0</v>
      </c>
      <c r="AE42" s="816">
        <v>0</v>
      </c>
      <c r="AF42" s="816">
        <v>0</v>
      </c>
      <c r="AG42" s="816">
        <v>0</v>
      </c>
      <c r="AH42" s="816">
        <v>0</v>
      </c>
      <c r="AI42" s="816">
        <v>0</v>
      </c>
      <c r="AJ42" s="816">
        <v>0</v>
      </c>
      <c r="AK42" s="816">
        <v>0</v>
      </c>
      <c r="AL42" s="816">
        <v>0</v>
      </c>
      <c r="AM42" s="816">
        <v>0</v>
      </c>
      <c r="AN42" s="816">
        <v>0</v>
      </c>
      <c r="AO42" s="816">
        <v>0</v>
      </c>
      <c r="AP42" s="816">
        <v>752307467</v>
      </c>
      <c r="AQ42" s="816">
        <v>0</v>
      </c>
      <c r="AR42" s="816">
        <v>0</v>
      </c>
      <c r="AS42" s="816">
        <v>0</v>
      </c>
      <c r="AT42" s="816">
        <v>0</v>
      </c>
      <c r="AU42" s="816">
        <v>0</v>
      </c>
      <c r="AV42" s="816">
        <v>0</v>
      </c>
      <c r="AW42" s="816">
        <v>752307467</v>
      </c>
      <c r="AX42"/>
      <c r="BK42"/>
      <c r="BL42"/>
      <c r="BM42"/>
      <c r="BN42"/>
      <c r="BO42"/>
      <c r="BP42"/>
      <c r="BQ42"/>
      <c r="JI42" s="724"/>
    </row>
    <row r="43" spans="1:269" s="385" customFormat="1" x14ac:dyDescent="0.2">
      <c r="A43" s="815">
        <v>46478</v>
      </c>
      <c r="B43" s="816">
        <v>0</v>
      </c>
      <c r="C43" s="816">
        <v>0</v>
      </c>
      <c r="D43" s="816">
        <v>0</v>
      </c>
      <c r="E43" s="816">
        <v>0</v>
      </c>
      <c r="F43" s="816">
        <v>0</v>
      </c>
      <c r="G43" s="816">
        <v>0</v>
      </c>
      <c r="H43" s="816">
        <v>0</v>
      </c>
      <c r="I43" s="816">
        <v>0</v>
      </c>
      <c r="J43" s="816">
        <v>0</v>
      </c>
      <c r="K43" s="816">
        <v>0</v>
      </c>
      <c r="L43" s="816">
        <v>0</v>
      </c>
      <c r="M43" s="816">
        <v>0</v>
      </c>
      <c r="N43" s="816">
        <v>0</v>
      </c>
      <c r="O43" s="816">
        <v>0</v>
      </c>
      <c r="P43" s="816">
        <v>0</v>
      </c>
      <c r="Q43" s="816">
        <v>0</v>
      </c>
      <c r="R43" s="816">
        <v>469130110</v>
      </c>
      <c r="S43" s="816">
        <v>0</v>
      </c>
      <c r="T43" s="816">
        <v>0</v>
      </c>
      <c r="U43" s="816">
        <v>0</v>
      </c>
      <c r="V43" s="816">
        <v>0</v>
      </c>
      <c r="W43" s="816">
        <v>0</v>
      </c>
      <c r="X43" s="816">
        <v>0</v>
      </c>
      <c r="Y43" s="816">
        <v>469130110</v>
      </c>
      <c r="Z43" s="816">
        <v>0</v>
      </c>
      <c r="AA43" s="816">
        <v>0</v>
      </c>
      <c r="AB43" s="816">
        <v>0</v>
      </c>
      <c r="AC43" s="816">
        <v>0</v>
      </c>
      <c r="AD43" s="816">
        <v>0</v>
      </c>
      <c r="AE43" s="816">
        <v>0</v>
      </c>
      <c r="AF43" s="816">
        <v>0</v>
      </c>
      <c r="AG43" s="816">
        <v>0</v>
      </c>
      <c r="AH43" s="816">
        <v>0</v>
      </c>
      <c r="AI43" s="816">
        <v>0</v>
      </c>
      <c r="AJ43" s="816">
        <v>0</v>
      </c>
      <c r="AK43" s="816">
        <v>0</v>
      </c>
      <c r="AL43" s="816">
        <v>0</v>
      </c>
      <c r="AM43" s="816">
        <v>0</v>
      </c>
      <c r="AN43" s="816">
        <v>0</v>
      </c>
      <c r="AO43" s="816">
        <v>0</v>
      </c>
      <c r="AP43" s="816">
        <v>469130110</v>
      </c>
      <c r="AQ43" s="816">
        <v>0</v>
      </c>
      <c r="AR43" s="816">
        <v>0</v>
      </c>
      <c r="AS43" s="816">
        <v>0</v>
      </c>
      <c r="AT43" s="816">
        <v>0</v>
      </c>
      <c r="AU43" s="816">
        <v>0</v>
      </c>
      <c r="AV43" s="816">
        <v>0</v>
      </c>
      <c r="AW43" s="816">
        <v>469130110</v>
      </c>
      <c r="AX43"/>
      <c r="BK43"/>
      <c r="BL43"/>
      <c r="BM43"/>
      <c r="BN43"/>
      <c r="BO43"/>
      <c r="BP43"/>
      <c r="BQ43"/>
      <c r="JI43" s="724"/>
    </row>
    <row r="44" spans="1:269" s="385" customFormat="1" x14ac:dyDescent="0.2">
      <c r="A44" s="815">
        <v>46508</v>
      </c>
      <c r="B44" s="816">
        <v>0</v>
      </c>
      <c r="C44" s="816">
        <v>0</v>
      </c>
      <c r="D44" s="816">
        <v>0</v>
      </c>
      <c r="E44" s="816">
        <v>0</v>
      </c>
      <c r="F44" s="816">
        <v>0</v>
      </c>
      <c r="G44" s="816">
        <v>0</v>
      </c>
      <c r="H44" s="816">
        <v>0</v>
      </c>
      <c r="I44" s="816">
        <v>0</v>
      </c>
      <c r="J44" s="816">
        <v>0</v>
      </c>
      <c r="K44" s="816">
        <v>0</v>
      </c>
      <c r="L44" s="816">
        <v>0</v>
      </c>
      <c r="M44" s="816">
        <v>0</v>
      </c>
      <c r="N44" s="816">
        <v>0</v>
      </c>
      <c r="O44" s="816">
        <v>0</v>
      </c>
      <c r="P44" s="816">
        <v>0</v>
      </c>
      <c r="Q44" s="816">
        <v>0</v>
      </c>
      <c r="R44" s="816">
        <v>473130110</v>
      </c>
      <c r="S44" s="816">
        <v>0</v>
      </c>
      <c r="T44" s="816">
        <v>0</v>
      </c>
      <c r="U44" s="816">
        <v>0</v>
      </c>
      <c r="V44" s="816">
        <v>0</v>
      </c>
      <c r="W44" s="816">
        <v>0</v>
      </c>
      <c r="X44" s="816">
        <v>0</v>
      </c>
      <c r="Y44" s="816">
        <v>473130110</v>
      </c>
      <c r="Z44" s="816">
        <v>0</v>
      </c>
      <c r="AA44" s="816">
        <v>0</v>
      </c>
      <c r="AB44" s="816">
        <v>0</v>
      </c>
      <c r="AC44" s="816">
        <v>0</v>
      </c>
      <c r="AD44" s="816">
        <v>0</v>
      </c>
      <c r="AE44" s="816">
        <v>0</v>
      </c>
      <c r="AF44" s="816">
        <v>0</v>
      </c>
      <c r="AG44" s="816">
        <v>0</v>
      </c>
      <c r="AH44" s="816">
        <v>0</v>
      </c>
      <c r="AI44" s="816">
        <v>0</v>
      </c>
      <c r="AJ44" s="816">
        <v>0</v>
      </c>
      <c r="AK44" s="816">
        <v>0</v>
      </c>
      <c r="AL44" s="816">
        <v>0</v>
      </c>
      <c r="AM44" s="816">
        <v>0</v>
      </c>
      <c r="AN44" s="816">
        <v>0</v>
      </c>
      <c r="AO44" s="816">
        <v>0</v>
      </c>
      <c r="AP44" s="816">
        <v>473130110</v>
      </c>
      <c r="AQ44" s="816">
        <v>0</v>
      </c>
      <c r="AR44" s="816">
        <v>0</v>
      </c>
      <c r="AS44" s="816">
        <v>0</v>
      </c>
      <c r="AT44" s="816">
        <v>0</v>
      </c>
      <c r="AU44" s="816">
        <v>0</v>
      </c>
      <c r="AV44" s="816">
        <v>0</v>
      </c>
      <c r="AW44" s="816">
        <v>473130110</v>
      </c>
      <c r="AX44"/>
      <c r="BK44"/>
      <c r="BL44"/>
      <c r="BM44"/>
      <c r="BN44"/>
      <c r="BO44"/>
      <c r="BP44"/>
      <c r="BQ44"/>
      <c r="JI44" s="724"/>
    </row>
    <row r="45" spans="1:269" s="385" customFormat="1" x14ac:dyDescent="0.2">
      <c r="A45" s="815">
        <v>46539</v>
      </c>
      <c r="B45" s="816">
        <v>0</v>
      </c>
      <c r="C45" s="816">
        <v>0</v>
      </c>
      <c r="D45" s="816">
        <v>0</v>
      </c>
      <c r="E45" s="816">
        <v>0</v>
      </c>
      <c r="F45" s="816">
        <v>0</v>
      </c>
      <c r="G45" s="816">
        <v>0</v>
      </c>
      <c r="H45" s="816">
        <v>0</v>
      </c>
      <c r="I45" s="816">
        <v>0</v>
      </c>
      <c r="J45" s="816">
        <v>0</v>
      </c>
      <c r="K45" s="816">
        <v>0</v>
      </c>
      <c r="L45" s="816">
        <v>0</v>
      </c>
      <c r="M45" s="816">
        <v>0</v>
      </c>
      <c r="N45" s="816">
        <v>0</v>
      </c>
      <c r="O45" s="816">
        <v>0</v>
      </c>
      <c r="P45" s="816">
        <v>0</v>
      </c>
      <c r="Q45" s="816">
        <v>0</v>
      </c>
      <c r="R45" s="816">
        <v>541379076</v>
      </c>
      <c r="S45" s="816">
        <v>0</v>
      </c>
      <c r="T45" s="816">
        <v>0</v>
      </c>
      <c r="U45" s="816">
        <v>0</v>
      </c>
      <c r="V45" s="816">
        <v>0</v>
      </c>
      <c r="W45" s="816">
        <v>0</v>
      </c>
      <c r="X45" s="816">
        <v>0</v>
      </c>
      <c r="Y45" s="816">
        <v>541379076</v>
      </c>
      <c r="Z45" s="816">
        <v>0</v>
      </c>
      <c r="AA45" s="816">
        <v>0</v>
      </c>
      <c r="AB45" s="816">
        <v>0</v>
      </c>
      <c r="AC45" s="816">
        <v>0</v>
      </c>
      <c r="AD45" s="816">
        <v>0</v>
      </c>
      <c r="AE45" s="816">
        <v>0</v>
      </c>
      <c r="AF45" s="816">
        <v>0</v>
      </c>
      <c r="AG45" s="816">
        <v>0</v>
      </c>
      <c r="AH45" s="816">
        <v>0</v>
      </c>
      <c r="AI45" s="816">
        <v>0</v>
      </c>
      <c r="AJ45" s="816">
        <v>0</v>
      </c>
      <c r="AK45" s="816">
        <v>0</v>
      </c>
      <c r="AL45" s="816">
        <v>0</v>
      </c>
      <c r="AM45" s="816">
        <v>0</v>
      </c>
      <c r="AN45" s="816">
        <v>0</v>
      </c>
      <c r="AO45" s="816">
        <v>0</v>
      </c>
      <c r="AP45" s="816">
        <v>541379076</v>
      </c>
      <c r="AQ45" s="816">
        <v>0</v>
      </c>
      <c r="AR45" s="816">
        <v>0</v>
      </c>
      <c r="AS45" s="816">
        <v>0</v>
      </c>
      <c r="AT45" s="816">
        <v>0</v>
      </c>
      <c r="AU45" s="816">
        <v>0</v>
      </c>
      <c r="AV45" s="816">
        <v>0</v>
      </c>
      <c r="AW45" s="816">
        <v>541379076</v>
      </c>
      <c r="AX45"/>
      <c r="BK45"/>
      <c r="BL45"/>
      <c r="BM45"/>
      <c r="BN45"/>
      <c r="BO45"/>
      <c r="BP45"/>
      <c r="BQ45"/>
      <c r="JI45" s="724"/>
    </row>
    <row r="46" spans="1:269" s="385" customFormat="1" x14ac:dyDescent="0.2">
      <c r="A46" s="815">
        <v>46569</v>
      </c>
      <c r="B46" s="816">
        <v>0</v>
      </c>
      <c r="C46" s="816">
        <v>0</v>
      </c>
      <c r="D46" s="816">
        <v>0</v>
      </c>
      <c r="E46" s="816">
        <v>0</v>
      </c>
      <c r="F46" s="816">
        <v>0</v>
      </c>
      <c r="G46" s="816">
        <v>0</v>
      </c>
      <c r="H46" s="816">
        <v>0</v>
      </c>
      <c r="I46" s="816">
        <v>0</v>
      </c>
      <c r="J46" s="816">
        <v>0</v>
      </c>
      <c r="K46" s="816">
        <v>0</v>
      </c>
      <c r="L46" s="816">
        <v>0</v>
      </c>
      <c r="M46" s="816">
        <v>0</v>
      </c>
      <c r="N46" s="816">
        <v>0</v>
      </c>
      <c r="O46" s="816">
        <v>0</v>
      </c>
      <c r="P46" s="816">
        <v>0</v>
      </c>
      <c r="Q46" s="816">
        <v>0</v>
      </c>
      <c r="R46" s="816">
        <v>477330111</v>
      </c>
      <c r="S46" s="816">
        <v>364910000</v>
      </c>
      <c r="T46" s="816">
        <v>0</v>
      </c>
      <c r="U46" s="816">
        <v>0</v>
      </c>
      <c r="V46" s="816">
        <v>0</v>
      </c>
      <c r="W46" s="816">
        <v>0</v>
      </c>
      <c r="X46" s="816">
        <v>0</v>
      </c>
      <c r="Y46" s="816">
        <v>842240111</v>
      </c>
      <c r="Z46" s="816">
        <v>0</v>
      </c>
      <c r="AA46" s="816">
        <v>0</v>
      </c>
      <c r="AB46" s="816">
        <v>0</v>
      </c>
      <c r="AC46" s="816">
        <v>0</v>
      </c>
      <c r="AD46" s="816">
        <v>0</v>
      </c>
      <c r="AE46" s="816">
        <v>0</v>
      </c>
      <c r="AF46" s="816">
        <v>0</v>
      </c>
      <c r="AG46" s="816">
        <v>0</v>
      </c>
      <c r="AH46" s="816">
        <v>0</v>
      </c>
      <c r="AI46" s="816">
        <v>0</v>
      </c>
      <c r="AJ46" s="816">
        <v>0</v>
      </c>
      <c r="AK46" s="816">
        <v>0</v>
      </c>
      <c r="AL46" s="816">
        <v>0</v>
      </c>
      <c r="AM46" s="816">
        <v>0</v>
      </c>
      <c r="AN46" s="816">
        <v>0</v>
      </c>
      <c r="AO46" s="816">
        <v>0</v>
      </c>
      <c r="AP46" s="816">
        <v>477330111</v>
      </c>
      <c r="AQ46" s="816">
        <v>364910000</v>
      </c>
      <c r="AR46" s="816">
        <v>0</v>
      </c>
      <c r="AS46" s="816">
        <v>0</v>
      </c>
      <c r="AT46" s="816">
        <v>0</v>
      </c>
      <c r="AU46" s="816">
        <v>0</v>
      </c>
      <c r="AV46" s="816">
        <v>0</v>
      </c>
      <c r="AW46" s="816">
        <v>842240111</v>
      </c>
      <c r="AX46"/>
      <c r="BK46"/>
      <c r="BL46"/>
      <c r="BM46"/>
      <c r="BN46"/>
      <c r="BO46"/>
      <c r="BP46"/>
      <c r="BQ46"/>
      <c r="JI46" s="724"/>
    </row>
    <row r="47" spans="1:269" s="385" customFormat="1" x14ac:dyDescent="0.2">
      <c r="A47" s="815">
        <v>46600</v>
      </c>
      <c r="B47" s="816">
        <v>0</v>
      </c>
      <c r="C47" s="816">
        <v>0</v>
      </c>
      <c r="D47" s="816">
        <v>0</v>
      </c>
      <c r="E47" s="816">
        <v>0</v>
      </c>
      <c r="F47" s="816">
        <v>0</v>
      </c>
      <c r="G47" s="816">
        <v>0</v>
      </c>
      <c r="H47" s="816">
        <v>0</v>
      </c>
      <c r="I47" s="816">
        <v>0</v>
      </c>
      <c r="J47" s="816">
        <v>0</v>
      </c>
      <c r="K47" s="816">
        <v>0</v>
      </c>
      <c r="L47" s="816">
        <v>0</v>
      </c>
      <c r="M47" s="816">
        <v>0</v>
      </c>
      <c r="N47" s="816">
        <v>0</v>
      </c>
      <c r="O47" s="816">
        <v>0</v>
      </c>
      <c r="P47" s="816">
        <v>0</v>
      </c>
      <c r="Q47" s="816">
        <v>0</v>
      </c>
      <c r="R47" s="816">
        <v>465312022</v>
      </c>
      <c r="S47" s="816">
        <v>0</v>
      </c>
      <c r="T47" s="816">
        <v>0</v>
      </c>
      <c r="U47" s="816">
        <v>0</v>
      </c>
      <c r="V47" s="816">
        <v>0</v>
      </c>
      <c r="W47" s="816">
        <v>0</v>
      </c>
      <c r="X47" s="816">
        <v>0</v>
      </c>
      <c r="Y47" s="816">
        <v>465312022</v>
      </c>
      <c r="Z47" s="816">
        <v>0</v>
      </c>
      <c r="AA47" s="816">
        <v>0</v>
      </c>
      <c r="AB47" s="816">
        <v>0</v>
      </c>
      <c r="AC47" s="816">
        <v>0</v>
      </c>
      <c r="AD47" s="816">
        <v>0</v>
      </c>
      <c r="AE47" s="816">
        <v>0</v>
      </c>
      <c r="AF47" s="816">
        <v>0</v>
      </c>
      <c r="AG47" s="816">
        <v>0</v>
      </c>
      <c r="AH47" s="816">
        <v>0</v>
      </c>
      <c r="AI47" s="816">
        <v>0</v>
      </c>
      <c r="AJ47" s="816">
        <v>0</v>
      </c>
      <c r="AK47" s="816">
        <v>0</v>
      </c>
      <c r="AL47" s="816">
        <v>0</v>
      </c>
      <c r="AM47" s="816">
        <v>0</v>
      </c>
      <c r="AN47" s="816">
        <v>0</v>
      </c>
      <c r="AO47" s="816">
        <v>0</v>
      </c>
      <c r="AP47" s="816">
        <v>465312022</v>
      </c>
      <c r="AQ47" s="816">
        <v>0</v>
      </c>
      <c r="AR47" s="816">
        <v>0</v>
      </c>
      <c r="AS47" s="816">
        <v>0</v>
      </c>
      <c r="AT47" s="816">
        <v>0</v>
      </c>
      <c r="AU47" s="816">
        <v>0</v>
      </c>
      <c r="AV47" s="816">
        <v>0</v>
      </c>
      <c r="AW47" s="816">
        <v>465312022</v>
      </c>
      <c r="AX47"/>
      <c r="BK47"/>
      <c r="BL47"/>
      <c r="BM47"/>
      <c r="BN47"/>
      <c r="BO47"/>
      <c r="BP47"/>
      <c r="BQ47"/>
      <c r="JI47" s="724"/>
    </row>
    <row r="48" spans="1:269" s="385" customFormat="1" x14ac:dyDescent="0.2">
      <c r="A48" s="815">
        <v>46631</v>
      </c>
      <c r="B48" s="816">
        <v>0</v>
      </c>
      <c r="C48" s="816">
        <v>0</v>
      </c>
      <c r="D48" s="816">
        <v>0</v>
      </c>
      <c r="E48" s="816">
        <v>0</v>
      </c>
      <c r="F48" s="816">
        <v>0</v>
      </c>
      <c r="G48" s="816">
        <v>0</v>
      </c>
      <c r="H48" s="816">
        <v>0</v>
      </c>
      <c r="I48" s="816">
        <v>0</v>
      </c>
      <c r="J48" s="816">
        <v>0</v>
      </c>
      <c r="K48" s="816">
        <v>0</v>
      </c>
      <c r="L48" s="816">
        <v>0</v>
      </c>
      <c r="M48" s="816">
        <v>0</v>
      </c>
      <c r="N48" s="816">
        <v>0</v>
      </c>
      <c r="O48" s="816">
        <v>0</v>
      </c>
      <c r="P48" s="816">
        <v>0</v>
      </c>
      <c r="Q48" s="816">
        <v>0</v>
      </c>
      <c r="R48" s="816">
        <v>572806546</v>
      </c>
      <c r="S48" s="816">
        <v>370728750</v>
      </c>
      <c r="T48" s="816">
        <v>0</v>
      </c>
      <c r="U48" s="816">
        <v>0</v>
      </c>
      <c r="V48" s="816">
        <v>0</v>
      </c>
      <c r="W48" s="816">
        <v>0</v>
      </c>
      <c r="X48" s="816">
        <v>0</v>
      </c>
      <c r="Y48" s="816">
        <v>943535296</v>
      </c>
      <c r="Z48" s="816">
        <v>0</v>
      </c>
      <c r="AA48" s="816">
        <v>0</v>
      </c>
      <c r="AB48" s="816">
        <v>0</v>
      </c>
      <c r="AC48" s="816">
        <v>0</v>
      </c>
      <c r="AD48" s="816">
        <v>0</v>
      </c>
      <c r="AE48" s="816">
        <v>0</v>
      </c>
      <c r="AF48" s="816">
        <v>0</v>
      </c>
      <c r="AG48" s="816">
        <v>0</v>
      </c>
      <c r="AH48" s="816">
        <v>0</v>
      </c>
      <c r="AI48" s="816">
        <v>0</v>
      </c>
      <c r="AJ48" s="816">
        <v>0</v>
      </c>
      <c r="AK48" s="816">
        <v>0</v>
      </c>
      <c r="AL48" s="816">
        <v>0</v>
      </c>
      <c r="AM48" s="816">
        <v>0</v>
      </c>
      <c r="AN48" s="816">
        <v>0</v>
      </c>
      <c r="AO48" s="816">
        <v>0</v>
      </c>
      <c r="AP48" s="816">
        <v>572806546</v>
      </c>
      <c r="AQ48" s="816">
        <v>370728750</v>
      </c>
      <c r="AR48" s="816">
        <v>0</v>
      </c>
      <c r="AS48" s="816">
        <v>0</v>
      </c>
      <c r="AT48" s="816">
        <v>0</v>
      </c>
      <c r="AU48" s="816">
        <v>0</v>
      </c>
      <c r="AV48" s="816">
        <v>0</v>
      </c>
      <c r="AW48" s="816">
        <v>943535296</v>
      </c>
      <c r="AX48"/>
      <c r="BK48"/>
      <c r="BL48"/>
      <c r="BM48"/>
      <c r="BN48"/>
      <c r="BO48"/>
      <c r="BP48"/>
      <c r="BQ48"/>
      <c r="JI48" s="724"/>
    </row>
    <row r="49" spans="1:269" s="385" customFormat="1" x14ac:dyDescent="0.2">
      <c r="A49" s="815">
        <v>46661</v>
      </c>
      <c r="B49" s="816">
        <v>0</v>
      </c>
      <c r="C49" s="816">
        <v>0</v>
      </c>
      <c r="D49" s="816">
        <v>0</v>
      </c>
      <c r="E49" s="816">
        <v>0</v>
      </c>
      <c r="F49" s="816">
        <v>0</v>
      </c>
      <c r="G49" s="816">
        <v>0</v>
      </c>
      <c r="H49" s="816">
        <v>0</v>
      </c>
      <c r="I49" s="816">
        <v>0</v>
      </c>
      <c r="J49" s="816">
        <v>0</v>
      </c>
      <c r="K49" s="816">
        <v>0</v>
      </c>
      <c r="L49" s="816">
        <v>0</v>
      </c>
      <c r="M49" s="816">
        <v>0</v>
      </c>
      <c r="N49" s="816">
        <v>0</v>
      </c>
      <c r="O49" s="816">
        <v>0</v>
      </c>
      <c r="P49" s="816">
        <v>0</v>
      </c>
      <c r="Q49" s="816">
        <v>0</v>
      </c>
      <c r="R49" s="816">
        <v>56990556</v>
      </c>
      <c r="S49" s="816">
        <v>34657276828</v>
      </c>
      <c r="T49" s="816">
        <v>0</v>
      </c>
      <c r="U49" s="816">
        <v>0</v>
      </c>
      <c r="V49" s="816">
        <v>0</v>
      </c>
      <c r="W49" s="816">
        <v>0</v>
      </c>
      <c r="X49" s="816">
        <v>0</v>
      </c>
      <c r="Y49" s="816">
        <v>35841087134</v>
      </c>
      <c r="Z49" s="816">
        <v>0</v>
      </c>
      <c r="AA49" s="816">
        <v>0</v>
      </c>
      <c r="AB49" s="816">
        <v>0</v>
      </c>
      <c r="AC49" s="816">
        <v>0</v>
      </c>
      <c r="AD49" s="816">
        <v>0</v>
      </c>
      <c r="AE49" s="816">
        <v>0</v>
      </c>
      <c r="AF49" s="816">
        <v>0</v>
      </c>
      <c r="AG49" s="816">
        <v>0</v>
      </c>
      <c r="AH49" s="816">
        <v>0</v>
      </c>
      <c r="AI49" s="816">
        <v>422487435</v>
      </c>
      <c r="AJ49" s="816">
        <v>10972043</v>
      </c>
      <c r="AK49" s="816">
        <v>0</v>
      </c>
      <c r="AL49" s="816">
        <v>0</v>
      </c>
      <c r="AM49" s="816">
        <v>0</v>
      </c>
      <c r="AN49" s="816">
        <v>0</v>
      </c>
      <c r="AO49" s="816">
        <v>433459478</v>
      </c>
      <c r="AP49" s="816">
        <v>56990556</v>
      </c>
      <c r="AQ49" s="816">
        <v>35079764263</v>
      </c>
      <c r="AR49" s="816">
        <v>10972043</v>
      </c>
      <c r="AS49" s="816">
        <v>0</v>
      </c>
      <c r="AT49" s="816">
        <v>0</v>
      </c>
      <c r="AU49" s="816">
        <v>0</v>
      </c>
      <c r="AV49" s="816">
        <v>0</v>
      </c>
      <c r="AW49" s="816">
        <v>36274546612</v>
      </c>
      <c r="AX49"/>
      <c r="BK49"/>
      <c r="BL49"/>
      <c r="BM49"/>
      <c r="BN49"/>
      <c r="BO49"/>
      <c r="BP49"/>
      <c r="BQ49"/>
      <c r="JI49" s="724"/>
    </row>
    <row r="50" spans="1:269" s="385" customFormat="1" x14ac:dyDescent="0.2">
      <c r="A50" s="815">
        <v>46692</v>
      </c>
      <c r="B50" s="816">
        <v>0</v>
      </c>
      <c r="C50" s="816">
        <v>0</v>
      </c>
      <c r="D50" s="816">
        <v>0</v>
      </c>
      <c r="E50" s="816">
        <v>0</v>
      </c>
      <c r="F50" s="816">
        <v>0</v>
      </c>
      <c r="G50" s="816">
        <v>0</v>
      </c>
      <c r="H50" s="816">
        <v>0</v>
      </c>
      <c r="I50" s="816">
        <v>0</v>
      </c>
      <c r="J50" s="816">
        <v>0</v>
      </c>
      <c r="K50" s="816">
        <v>0</v>
      </c>
      <c r="L50" s="816">
        <v>0</v>
      </c>
      <c r="M50" s="816">
        <v>0</v>
      </c>
      <c r="N50" s="816">
        <v>0</v>
      </c>
      <c r="O50" s="816">
        <v>0</v>
      </c>
      <c r="P50" s="816">
        <v>0</v>
      </c>
      <c r="Q50" s="816">
        <v>0</v>
      </c>
      <c r="R50" s="816">
        <v>0</v>
      </c>
      <c r="S50" s="816">
        <v>2773312750</v>
      </c>
      <c r="T50" s="816">
        <v>0</v>
      </c>
      <c r="U50" s="816">
        <v>0</v>
      </c>
      <c r="V50" s="816">
        <v>0</v>
      </c>
      <c r="W50" s="816">
        <v>0</v>
      </c>
      <c r="X50" s="816">
        <v>0</v>
      </c>
      <c r="Y50" s="816">
        <v>2773312750</v>
      </c>
      <c r="Z50" s="816">
        <v>0</v>
      </c>
      <c r="AA50" s="816">
        <v>0</v>
      </c>
      <c r="AB50" s="816">
        <v>0</v>
      </c>
      <c r="AC50" s="816">
        <v>0</v>
      </c>
      <c r="AD50" s="816">
        <v>0</v>
      </c>
      <c r="AE50" s="816">
        <v>0</v>
      </c>
      <c r="AF50" s="816">
        <v>0</v>
      </c>
      <c r="AG50" s="816">
        <v>0</v>
      </c>
      <c r="AH50" s="816">
        <v>0</v>
      </c>
      <c r="AI50" s="816">
        <v>0</v>
      </c>
      <c r="AJ50" s="816">
        <v>0</v>
      </c>
      <c r="AK50" s="816">
        <v>0</v>
      </c>
      <c r="AL50" s="816">
        <v>0</v>
      </c>
      <c r="AM50" s="816">
        <v>0</v>
      </c>
      <c r="AN50" s="816">
        <v>0</v>
      </c>
      <c r="AO50" s="816">
        <v>0</v>
      </c>
      <c r="AP50" s="816">
        <v>0</v>
      </c>
      <c r="AQ50" s="816">
        <v>2773312750</v>
      </c>
      <c r="AR50" s="816">
        <v>0</v>
      </c>
      <c r="AS50" s="816">
        <v>0</v>
      </c>
      <c r="AT50" s="816">
        <v>0</v>
      </c>
      <c r="AU50" s="816">
        <v>0</v>
      </c>
      <c r="AV50" s="816">
        <v>0</v>
      </c>
      <c r="AW50" s="816">
        <v>2773312750</v>
      </c>
      <c r="AX50"/>
      <c r="BK50"/>
      <c r="BL50"/>
      <c r="BM50"/>
      <c r="BN50"/>
      <c r="BO50"/>
      <c r="BP50"/>
      <c r="BQ50"/>
      <c r="JI50" s="724"/>
    </row>
    <row r="51" spans="1:269" s="385" customFormat="1" x14ac:dyDescent="0.2">
      <c r="A51" s="727" t="s">
        <v>4436</v>
      </c>
      <c r="B51" s="816">
        <v>106927179</v>
      </c>
      <c r="C51" s="816">
        <v>917048738</v>
      </c>
      <c r="D51" s="816">
        <v>11156392</v>
      </c>
      <c r="E51" s="816">
        <v>0</v>
      </c>
      <c r="F51" s="816">
        <v>25023516</v>
      </c>
      <c r="G51" s="816">
        <v>907941</v>
      </c>
      <c r="H51" s="816">
        <v>12574312</v>
      </c>
      <c r="I51" s="816">
        <v>1073638078</v>
      </c>
      <c r="J51" s="816">
        <v>283142812</v>
      </c>
      <c r="K51" s="816">
        <v>1781806798</v>
      </c>
      <c r="L51" s="816">
        <v>0</v>
      </c>
      <c r="M51" s="816">
        <v>67499271</v>
      </c>
      <c r="N51" s="816">
        <v>10527754</v>
      </c>
      <c r="O51" s="816">
        <v>2592645</v>
      </c>
      <c r="P51" s="816">
        <v>10897196</v>
      </c>
      <c r="Q51" s="816">
        <v>2176466476</v>
      </c>
      <c r="R51" s="816">
        <v>12757715734</v>
      </c>
      <c r="S51" s="816">
        <v>38166228328</v>
      </c>
      <c r="T51" s="816">
        <v>0</v>
      </c>
      <c r="U51" s="816">
        <v>0</v>
      </c>
      <c r="V51" s="816">
        <v>0</v>
      </c>
      <c r="W51" s="816">
        <v>0</v>
      </c>
      <c r="X51" s="816">
        <v>0</v>
      </c>
      <c r="Y51" s="816">
        <v>52050763812</v>
      </c>
      <c r="Z51" s="816">
        <v>2014836718</v>
      </c>
      <c r="AA51" s="816">
        <v>26335126148</v>
      </c>
      <c r="AB51" s="816">
        <v>30779681</v>
      </c>
      <c r="AC51" s="816">
        <v>759926764</v>
      </c>
      <c r="AD51" s="816">
        <v>21319771</v>
      </c>
      <c r="AE51" s="816">
        <v>0</v>
      </c>
      <c r="AF51" s="816">
        <v>549955</v>
      </c>
      <c r="AG51" s="816">
        <v>29249539037</v>
      </c>
      <c r="AH51" s="816">
        <v>1874199782</v>
      </c>
      <c r="AI51" s="816">
        <v>25927105705</v>
      </c>
      <c r="AJ51" s="816">
        <v>41074449</v>
      </c>
      <c r="AK51" s="816">
        <v>632046447</v>
      </c>
      <c r="AL51" s="816">
        <v>7879455</v>
      </c>
      <c r="AM51" s="816">
        <v>0</v>
      </c>
      <c r="AN51" s="816">
        <v>0</v>
      </c>
      <c r="AO51" s="816">
        <v>28482305838</v>
      </c>
      <c r="AP51" s="816">
        <v>17036822225</v>
      </c>
      <c r="AQ51" s="816">
        <v>93127315717</v>
      </c>
      <c r="AR51" s="816">
        <v>83010522</v>
      </c>
      <c r="AS51" s="816">
        <v>1459472482</v>
      </c>
      <c r="AT51" s="816">
        <v>64750496</v>
      </c>
      <c r="AU51" s="816">
        <v>3500586</v>
      </c>
      <c r="AV51" s="816">
        <v>24021463</v>
      </c>
      <c r="AW51" s="816">
        <v>113032713241</v>
      </c>
      <c r="AX51"/>
      <c r="BK51"/>
      <c r="BL51"/>
      <c r="BM51"/>
      <c r="BN51"/>
      <c r="BO51"/>
      <c r="BP51"/>
      <c r="BQ51"/>
      <c r="JI51" s="724"/>
    </row>
    <row r="52" spans="1:269" s="385" customForma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BK52"/>
      <c r="BL52"/>
      <c r="BM52"/>
      <c r="BN52"/>
      <c r="BO52"/>
      <c r="BP52"/>
      <c r="BQ52"/>
      <c r="JI52" s="724"/>
    </row>
    <row r="53" spans="1:269" s="385" customForma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BK53"/>
      <c r="BL53"/>
      <c r="BM53"/>
      <c r="BN53"/>
      <c r="BO53"/>
      <c r="BP53"/>
      <c r="BQ53"/>
      <c r="JI53" s="724"/>
    </row>
    <row r="54" spans="1:269" s="385" customForma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BK54"/>
      <c r="BL54"/>
      <c r="BM54"/>
      <c r="BN54"/>
      <c r="BO54"/>
      <c r="BP54"/>
      <c r="BQ54"/>
      <c r="JI54" s="724"/>
    </row>
    <row r="55" spans="1:269" s="385" customForma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BK55"/>
      <c r="BL55"/>
      <c r="BM55"/>
      <c r="BN55"/>
      <c r="BO55"/>
      <c r="BP55"/>
      <c r="BQ55"/>
      <c r="JI55" s="724"/>
    </row>
    <row r="56" spans="1:269" s="385" customForma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BK56"/>
      <c r="BL56"/>
      <c r="BM56"/>
      <c r="BN56"/>
      <c r="BO56"/>
      <c r="BP56"/>
      <c r="BQ56"/>
      <c r="JI56" s="724"/>
    </row>
    <row r="57" spans="1:269" s="385" customForma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BK57"/>
      <c r="BL57"/>
      <c r="BM57"/>
      <c r="BN57"/>
      <c r="BO57"/>
      <c r="BP57"/>
      <c r="BQ57"/>
      <c r="JI57" s="724"/>
    </row>
    <row r="58" spans="1:269" s="385" customForma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BK58"/>
      <c r="BL58"/>
      <c r="BM58"/>
      <c r="BN58"/>
      <c r="BO58"/>
      <c r="BP58"/>
      <c r="BQ58"/>
      <c r="JI58" s="724"/>
    </row>
    <row r="59" spans="1:269" s="385" customForma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BK59"/>
      <c r="BL59"/>
      <c r="BM59"/>
      <c r="BN59"/>
      <c r="BO59"/>
      <c r="BP59"/>
      <c r="BQ59"/>
      <c r="JI59" s="724"/>
    </row>
    <row r="60" spans="1:269" s="385" customForma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BK60"/>
      <c r="BL60"/>
      <c r="BM60"/>
      <c r="BN60"/>
      <c r="BO60"/>
      <c r="BP60"/>
      <c r="BQ60"/>
      <c r="JI60" s="724"/>
    </row>
    <row r="61" spans="1:269" s="385" customForma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BK61"/>
      <c r="BL61"/>
      <c r="BM61"/>
      <c r="BN61"/>
      <c r="BO61"/>
      <c r="BP61"/>
      <c r="BQ61"/>
      <c r="JI61" s="724"/>
    </row>
    <row r="62" spans="1:269" s="385" customForma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BK62"/>
      <c r="BL62"/>
      <c r="BM62"/>
      <c r="BN62"/>
      <c r="BO62"/>
      <c r="BP62"/>
      <c r="BQ62"/>
      <c r="JI62" s="724"/>
    </row>
    <row r="63" spans="1:269" s="385" customForma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BK63"/>
      <c r="BL63"/>
      <c r="BM63"/>
      <c r="BN63"/>
      <c r="BO63"/>
      <c r="BP63"/>
      <c r="BQ63"/>
      <c r="JI63" s="724"/>
    </row>
    <row r="64" spans="1:269" s="385" customForma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BK64"/>
      <c r="BL64"/>
      <c r="BM64"/>
      <c r="BN64"/>
      <c r="BO64"/>
      <c r="BP64"/>
      <c r="BQ64"/>
      <c r="JI64" s="724"/>
    </row>
    <row r="65" spans="1:269" s="385" customForma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BK65"/>
      <c r="BL65"/>
      <c r="BM65"/>
      <c r="BN65"/>
      <c r="BO65"/>
      <c r="BP65"/>
      <c r="BQ65"/>
      <c r="JI65" s="724"/>
    </row>
    <row r="66" spans="1:269" s="385" customForma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BK66"/>
      <c r="BL66"/>
      <c r="BM66"/>
      <c r="BN66"/>
      <c r="BO66"/>
      <c r="BP66"/>
      <c r="BQ66"/>
      <c r="JI66" s="724"/>
    </row>
    <row r="67" spans="1:269" s="385" customForma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BK67"/>
      <c r="BL67"/>
      <c r="BM67"/>
      <c r="BN67"/>
      <c r="BO67"/>
      <c r="BP67"/>
      <c r="BQ67"/>
      <c r="JI67" s="724"/>
    </row>
    <row r="68" spans="1:269" s="385" customForma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BK68"/>
      <c r="BL68"/>
      <c r="BM68"/>
      <c r="BN68"/>
      <c r="BO68"/>
      <c r="BP68"/>
      <c r="BQ68"/>
      <c r="JI68" s="724"/>
    </row>
    <row r="69" spans="1:269" s="385" customForma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BK69"/>
      <c r="BL69"/>
      <c r="BM69"/>
      <c r="BN69"/>
      <c r="BO69"/>
      <c r="BP69"/>
      <c r="BQ69"/>
      <c r="JI69" s="724"/>
    </row>
    <row r="70" spans="1:269" s="385" customForma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BK70"/>
      <c r="BL70"/>
      <c r="BM70"/>
      <c r="BN70"/>
      <c r="BO70"/>
      <c r="BP70"/>
      <c r="BQ70"/>
      <c r="JI70" s="724"/>
    </row>
    <row r="71" spans="1:269" s="385" customForma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BK71"/>
      <c r="BL71"/>
      <c r="BM71"/>
      <c r="BN71"/>
      <c r="BO71"/>
      <c r="BP71"/>
      <c r="BQ71"/>
      <c r="JI71" s="724"/>
    </row>
    <row r="72" spans="1:269" s="385" customForma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BK72"/>
      <c r="BL72"/>
      <c r="BM72"/>
      <c r="BN72"/>
      <c r="BO72"/>
      <c r="BP72"/>
      <c r="BQ72"/>
      <c r="JI72" s="724"/>
    </row>
    <row r="73" spans="1:269" s="385" customForma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BK73"/>
      <c r="BL73"/>
      <c r="BM73"/>
      <c r="BN73"/>
      <c r="BO73"/>
      <c r="BP73"/>
      <c r="BQ73"/>
      <c r="JI73" s="724"/>
    </row>
    <row r="74" spans="1:269" s="385" customForma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BK74"/>
      <c r="BL74"/>
      <c r="BM74"/>
      <c r="BN74"/>
      <c r="BO74"/>
      <c r="BP74"/>
      <c r="BQ74"/>
      <c r="JI74" s="724"/>
    </row>
    <row r="75" spans="1:269" s="385" customForma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BK75"/>
      <c r="BL75"/>
      <c r="BM75"/>
      <c r="BN75"/>
      <c r="BO75"/>
      <c r="BP75"/>
      <c r="BQ75"/>
      <c r="JI75" s="724"/>
    </row>
    <row r="76" spans="1:269" s="385" customForma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BK76"/>
      <c r="BL76"/>
      <c r="BM76"/>
      <c r="BN76"/>
      <c r="BO76"/>
      <c r="BP76"/>
      <c r="BQ76"/>
      <c r="JI76" s="724"/>
    </row>
    <row r="77" spans="1:269" s="385" customForma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BK77"/>
      <c r="BL77"/>
      <c r="BM77"/>
      <c r="BN77"/>
      <c r="BO77"/>
      <c r="BP77"/>
      <c r="BQ77"/>
      <c r="JI77" s="724"/>
    </row>
    <row r="78" spans="1:269" s="385" customForma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BK78"/>
      <c r="BL78"/>
      <c r="BM78"/>
      <c r="BN78"/>
      <c r="BO78"/>
      <c r="BP78"/>
      <c r="BQ78"/>
      <c r="JI78" s="724"/>
    </row>
    <row r="79" spans="1:269" s="385" customForma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BK79"/>
      <c r="BL79"/>
      <c r="BM79"/>
      <c r="BN79"/>
      <c r="BO79"/>
      <c r="BP79"/>
      <c r="BQ79"/>
      <c r="JI79" s="724"/>
    </row>
    <row r="80" spans="1:269" s="385" customForma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BK80"/>
      <c r="BL80"/>
      <c r="BM80"/>
      <c r="BN80"/>
      <c r="BO80"/>
      <c r="BP80"/>
      <c r="BQ80"/>
      <c r="JI80" s="724"/>
    </row>
    <row r="81" spans="1:269" s="385" customForma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BK81"/>
      <c r="BL81"/>
      <c r="BM81"/>
      <c r="BN81"/>
      <c r="BO81"/>
      <c r="BP81"/>
      <c r="BQ81"/>
      <c r="JI81" s="724"/>
    </row>
    <row r="82" spans="1:269" s="385" customForma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BK82"/>
      <c r="BL82"/>
      <c r="BM82"/>
      <c r="BN82"/>
      <c r="BO82"/>
      <c r="BP82"/>
      <c r="BQ82"/>
      <c r="JI82" s="724"/>
    </row>
    <row r="83" spans="1:269" s="385" customForma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BK83"/>
      <c r="BL83"/>
      <c r="BM83"/>
      <c r="BN83"/>
      <c r="BO83"/>
      <c r="BP83"/>
      <c r="BQ83"/>
      <c r="JI83" s="724"/>
    </row>
    <row r="84" spans="1:269" s="385" customForma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BK84"/>
      <c r="BL84"/>
      <c r="BM84"/>
      <c r="BN84"/>
      <c r="BO84"/>
      <c r="BP84"/>
      <c r="BQ84"/>
      <c r="JI84" s="724"/>
    </row>
    <row r="85" spans="1:269" s="385" customForma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BK85"/>
      <c r="BL85"/>
      <c r="BM85"/>
      <c r="BN85"/>
      <c r="BO85"/>
      <c r="BP85"/>
      <c r="BQ85"/>
      <c r="JI85" s="724"/>
    </row>
    <row r="86" spans="1:269" s="385" customFormat="1" hidden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BK86"/>
      <c r="BL86"/>
      <c r="BM86"/>
      <c r="BN86"/>
      <c r="BO86"/>
      <c r="BP86"/>
      <c r="BQ86"/>
      <c r="JI86" s="724"/>
    </row>
    <row r="87" spans="1:269" s="385" customForma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BK87"/>
      <c r="BL87"/>
      <c r="BM87"/>
      <c r="BN87"/>
      <c r="BO87"/>
      <c r="BP87"/>
      <c r="BQ87"/>
      <c r="JI87" s="724"/>
    </row>
    <row r="88" spans="1:269" s="396" customForma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BK88"/>
      <c r="BL88"/>
      <c r="BM88"/>
      <c r="BN88"/>
      <c r="BO88"/>
      <c r="BP88"/>
      <c r="BQ88"/>
      <c r="JI88" s="725"/>
    </row>
    <row r="89" spans="1:269" s="396" customForma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BK89"/>
      <c r="BL89"/>
      <c r="BM89"/>
      <c r="BN89"/>
      <c r="BO89"/>
      <c r="BP89"/>
      <c r="BQ89"/>
      <c r="JI89" s="725"/>
    </row>
    <row r="90" spans="1:269" x14ac:dyDescent="0.2">
      <c r="BK90"/>
      <c r="BL90"/>
      <c r="BM90"/>
      <c r="BN90"/>
      <c r="BO90"/>
      <c r="BP90"/>
      <c r="BQ90"/>
    </row>
    <row r="91" spans="1:269" x14ac:dyDescent="0.2">
      <c r="BK91"/>
      <c r="BL91"/>
      <c r="BM91"/>
      <c r="BN91"/>
      <c r="BO91"/>
      <c r="BP91"/>
      <c r="BQ91"/>
    </row>
    <row r="92" spans="1:269" x14ac:dyDescent="0.2">
      <c r="BK92"/>
      <c r="BL92"/>
      <c r="BM92"/>
      <c r="BN92"/>
      <c r="BO92"/>
      <c r="BP92"/>
      <c r="BQ92"/>
    </row>
    <row r="93" spans="1:269" x14ac:dyDescent="0.2">
      <c r="BK93"/>
      <c r="BL93"/>
      <c r="BM93"/>
      <c r="BN93"/>
      <c r="BO93"/>
      <c r="BP93"/>
      <c r="BQ93"/>
    </row>
    <row r="94" spans="1:269" x14ac:dyDescent="0.2">
      <c r="BK94"/>
      <c r="BL94"/>
      <c r="BM94"/>
      <c r="BN94"/>
      <c r="BO94"/>
      <c r="BP94"/>
      <c r="BQ94"/>
    </row>
    <row r="95" spans="1:269" x14ac:dyDescent="0.2">
      <c r="BK95"/>
      <c r="BL95"/>
      <c r="BM95"/>
      <c r="BN95"/>
      <c r="BO95"/>
      <c r="BP95"/>
      <c r="BQ95"/>
    </row>
    <row r="96" spans="1:269" x14ac:dyDescent="0.2">
      <c r="BK96"/>
      <c r="BL96"/>
      <c r="BM96"/>
      <c r="BN96"/>
      <c r="BO96"/>
      <c r="BP96"/>
      <c r="BQ96"/>
    </row>
    <row r="97" spans="63:69" x14ac:dyDescent="0.2">
      <c r="BK97"/>
      <c r="BL97"/>
      <c r="BM97"/>
      <c r="BN97"/>
      <c r="BO97"/>
      <c r="BP97"/>
      <c r="BQ97"/>
    </row>
    <row r="98" spans="63:69" x14ac:dyDescent="0.2">
      <c r="BK98"/>
      <c r="BL98"/>
      <c r="BM98"/>
      <c r="BN98"/>
      <c r="BO98"/>
      <c r="BP98"/>
      <c r="BQ98"/>
    </row>
    <row r="99" spans="63:69" x14ac:dyDescent="0.2">
      <c r="BK99"/>
      <c r="BL99"/>
      <c r="BM99"/>
      <c r="BN99"/>
      <c r="BO99"/>
      <c r="BP99"/>
      <c r="BQ99"/>
    </row>
    <row r="100" spans="63:69" x14ac:dyDescent="0.2">
      <c r="BK100"/>
      <c r="BL100"/>
      <c r="BM100"/>
      <c r="BN100"/>
      <c r="BO100"/>
      <c r="BP100"/>
      <c r="BQ100"/>
    </row>
    <row r="101" spans="63:69" x14ac:dyDescent="0.2">
      <c r="BK101"/>
      <c r="BL101"/>
      <c r="BM101"/>
      <c r="BN101"/>
      <c r="BO101"/>
      <c r="BP101"/>
      <c r="BQ101"/>
    </row>
    <row r="102" spans="63:69" x14ac:dyDescent="0.2">
      <c r="BK102"/>
      <c r="BL102"/>
      <c r="BM102"/>
      <c r="BN102"/>
      <c r="BO102"/>
      <c r="BP102"/>
      <c r="BQ102"/>
    </row>
    <row r="103" spans="63:69" x14ac:dyDescent="0.2">
      <c r="BK103"/>
      <c r="BL103"/>
      <c r="BM103"/>
      <c r="BN103"/>
      <c r="BO103"/>
      <c r="BP103"/>
      <c r="BQ103"/>
    </row>
    <row r="104" spans="63:69" x14ac:dyDescent="0.2">
      <c r="BK104"/>
      <c r="BL104"/>
      <c r="BM104"/>
      <c r="BN104"/>
      <c r="BO104"/>
      <c r="BP104"/>
      <c r="BQ104"/>
    </row>
    <row r="105" spans="63:69" x14ac:dyDescent="0.2">
      <c r="BK105"/>
      <c r="BL105"/>
      <c r="BM105"/>
      <c r="BN105"/>
      <c r="BO105"/>
      <c r="BP105"/>
      <c r="BQ105"/>
    </row>
    <row r="106" spans="63:69" x14ac:dyDescent="0.2">
      <c r="BK106"/>
      <c r="BL106"/>
      <c r="BM106"/>
      <c r="BN106"/>
      <c r="BO106"/>
      <c r="BP106"/>
      <c r="BQ106"/>
    </row>
    <row r="107" spans="63:69" x14ac:dyDescent="0.2">
      <c r="BK107"/>
      <c r="BL107"/>
      <c r="BM107"/>
      <c r="BN107"/>
      <c r="BO107"/>
      <c r="BP107"/>
      <c r="BQ107"/>
    </row>
    <row r="108" spans="63:69" x14ac:dyDescent="0.2">
      <c r="BK108"/>
      <c r="BL108"/>
      <c r="BM108"/>
      <c r="BN108"/>
      <c r="BO108"/>
      <c r="BP108"/>
      <c r="BQ108"/>
    </row>
    <row r="109" spans="63:69" x14ac:dyDescent="0.2">
      <c r="BK109"/>
      <c r="BL109"/>
      <c r="BM109"/>
      <c r="BN109"/>
      <c r="BO109"/>
      <c r="BP109"/>
      <c r="BQ109"/>
    </row>
    <row r="110" spans="63:69" x14ac:dyDescent="0.2">
      <c r="BK110"/>
      <c r="BL110"/>
      <c r="BM110"/>
      <c r="BN110"/>
      <c r="BO110"/>
      <c r="BP110"/>
      <c r="BQ110"/>
    </row>
    <row r="111" spans="63:69" x14ac:dyDescent="0.2">
      <c r="BK111"/>
      <c r="BL111"/>
      <c r="BM111"/>
      <c r="BN111"/>
      <c r="BO111"/>
      <c r="BP111"/>
      <c r="BQ111"/>
    </row>
    <row r="112" spans="63:69" x14ac:dyDescent="0.2">
      <c r="BK112"/>
      <c r="BL112"/>
      <c r="BM112"/>
      <c r="BN112"/>
      <c r="BO112"/>
      <c r="BP112"/>
      <c r="BQ112"/>
    </row>
    <row r="113" spans="43:69" x14ac:dyDescent="0.2">
      <c r="BK113"/>
      <c r="BL113"/>
      <c r="BM113"/>
      <c r="BN113"/>
      <c r="BO113"/>
      <c r="BP113"/>
      <c r="BQ113"/>
    </row>
    <row r="114" spans="43:69" x14ac:dyDescent="0.2">
      <c r="BK114"/>
      <c r="BL114"/>
      <c r="BM114"/>
      <c r="BN114"/>
      <c r="BO114"/>
      <c r="BP114"/>
      <c r="BQ114"/>
    </row>
    <row r="115" spans="43:69" x14ac:dyDescent="0.2">
      <c r="BK115"/>
      <c r="BL115"/>
      <c r="BM115"/>
      <c r="BN115"/>
      <c r="BO115"/>
      <c r="BP115"/>
      <c r="BQ115"/>
    </row>
    <row r="116" spans="43:69" x14ac:dyDescent="0.2">
      <c r="BK116"/>
      <c r="BL116"/>
      <c r="BM116"/>
      <c r="BN116"/>
      <c r="BO116"/>
      <c r="BP116"/>
      <c r="BQ116"/>
    </row>
    <row r="117" spans="43:69" x14ac:dyDescent="0.2">
      <c r="BK117"/>
      <c r="BL117"/>
      <c r="BM117"/>
      <c r="BN117"/>
      <c r="BO117"/>
      <c r="BP117"/>
      <c r="BQ117"/>
    </row>
    <row r="118" spans="43:69" x14ac:dyDescent="0.2">
      <c r="BK118"/>
      <c r="BL118"/>
      <c r="BM118"/>
      <c r="BN118"/>
      <c r="BO118"/>
      <c r="BP118"/>
      <c r="BQ118"/>
    </row>
    <row r="119" spans="43:69" x14ac:dyDescent="0.2">
      <c r="BK119"/>
      <c r="BL119"/>
      <c r="BM119"/>
      <c r="BN119"/>
      <c r="BO119"/>
      <c r="BP119"/>
      <c r="BQ119"/>
    </row>
    <row r="120" spans="43:69" x14ac:dyDescent="0.2">
      <c r="BK120"/>
      <c r="BL120"/>
      <c r="BM120"/>
      <c r="BN120"/>
      <c r="BO120"/>
      <c r="BP120"/>
      <c r="BQ120"/>
    </row>
    <row r="121" spans="43:69" x14ac:dyDescent="0.2">
      <c r="BK121"/>
      <c r="BL121"/>
      <c r="BM121"/>
      <c r="BN121"/>
      <c r="BO121"/>
      <c r="BP121"/>
      <c r="BQ121"/>
    </row>
    <row r="122" spans="43:69" x14ac:dyDescent="0.2"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</row>
    <row r="123" spans="43:69" x14ac:dyDescent="0.2"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</row>
    <row r="124" spans="43:69" x14ac:dyDescent="0.2"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</row>
    <row r="125" spans="43:69" x14ac:dyDescent="0.2"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</row>
    <row r="126" spans="43:69" x14ac:dyDescent="0.2"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</row>
    <row r="127" spans="43:69" x14ac:dyDescent="0.2"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</row>
    <row r="128" spans="43:69" x14ac:dyDescent="0.2"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</row>
    <row r="129" spans="43:69" x14ac:dyDescent="0.2"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</row>
    <row r="130" spans="43:69" x14ac:dyDescent="0.2"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</row>
    <row r="131" spans="43:69" x14ac:dyDescent="0.2"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</row>
    <row r="132" spans="43:69" x14ac:dyDescent="0.2"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</row>
    <row r="133" spans="43:69" x14ac:dyDescent="0.2"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</row>
    <row r="134" spans="43:69" x14ac:dyDescent="0.2"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</row>
    <row r="135" spans="43:69" x14ac:dyDescent="0.2"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</row>
    <row r="136" spans="43:69" x14ac:dyDescent="0.2"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</row>
    <row r="137" spans="43:69" x14ac:dyDescent="0.2"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</row>
    <row r="138" spans="43:69" x14ac:dyDescent="0.2"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</row>
    <row r="139" spans="43:69" x14ac:dyDescent="0.2"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</row>
    <row r="140" spans="43:69" x14ac:dyDescent="0.2"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</row>
    <row r="141" spans="43:69" x14ac:dyDescent="0.2"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</row>
    <row r="142" spans="43:69" x14ac:dyDescent="0.2"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</row>
    <row r="143" spans="43:69" x14ac:dyDescent="0.2"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</row>
    <row r="144" spans="43:69" x14ac:dyDescent="0.2"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</row>
    <row r="145" spans="43:69" x14ac:dyDescent="0.2"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</row>
    <row r="146" spans="43:69" x14ac:dyDescent="0.2"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</row>
    <row r="147" spans="43:69" x14ac:dyDescent="0.2"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</row>
    <row r="148" spans="43:69" x14ac:dyDescent="0.2"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</row>
    <row r="149" spans="43:69" x14ac:dyDescent="0.2"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</row>
    <row r="150" spans="43:69" x14ac:dyDescent="0.2"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</row>
    <row r="151" spans="43:69" x14ac:dyDescent="0.2"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</row>
    <row r="152" spans="43:69" x14ac:dyDescent="0.2"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</row>
    <row r="153" spans="43:69" x14ac:dyDescent="0.2"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</row>
    <row r="154" spans="43:69" x14ac:dyDescent="0.2"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</row>
    <row r="155" spans="43:69" x14ac:dyDescent="0.2"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</row>
    <row r="156" spans="43:69" x14ac:dyDescent="0.2"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</row>
    <row r="157" spans="43:69" x14ac:dyDescent="0.2"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</row>
    <row r="158" spans="43:69" x14ac:dyDescent="0.2"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</row>
    <row r="159" spans="43:69" x14ac:dyDescent="0.2"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</row>
    <row r="160" spans="43:69" x14ac:dyDescent="0.2"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</row>
    <row r="161" spans="43:69" x14ac:dyDescent="0.2"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</row>
    <row r="162" spans="43:69" x14ac:dyDescent="0.2"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</row>
    <row r="163" spans="43:69" x14ac:dyDescent="0.2"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</row>
    <row r="164" spans="43:69" x14ac:dyDescent="0.2"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</row>
    <row r="165" spans="43:69" x14ac:dyDescent="0.2"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</row>
    <row r="166" spans="43:69" x14ac:dyDescent="0.2"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</row>
    <row r="167" spans="43:69" x14ac:dyDescent="0.2"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</row>
    <row r="168" spans="43:69" x14ac:dyDescent="0.2"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</row>
    <row r="169" spans="43:69" x14ac:dyDescent="0.2"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</row>
    <row r="170" spans="43:69" x14ac:dyDescent="0.2"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</row>
    <row r="171" spans="43:69" x14ac:dyDescent="0.2"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</row>
    <row r="172" spans="43:69" x14ac:dyDescent="0.2"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</row>
    <row r="173" spans="43:69" x14ac:dyDescent="0.2"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</row>
    <row r="174" spans="43:69" x14ac:dyDescent="0.2"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</row>
    <row r="175" spans="43:69" x14ac:dyDescent="0.2"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</row>
    <row r="176" spans="43:69" x14ac:dyDescent="0.2"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</row>
    <row r="177" spans="43:69" x14ac:dyDescent="0.2"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</row>
    <row r="178" spans="43:69" x14ac:dyDescent="0.2"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</row>
    <row r="179" spans="43:69" x14ac:dyDescent="0.2"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</row>
    <row r="180" spans="43:69" x14ac:dyDescent="0.2"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</row>
    <row r="181" spans="43:69" x14ac:dyDescent="0.2"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</row>
    <row r="182" spans="43:69" x14ac:dyDescent="0.2"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</row>
    <row r="183" spans="43:69" x14ac:dyDescent="0.2"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</row>
    <row r="184" spans="43:69" x14ac:dyDescent="0.2"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</row>
    <row r="185" spans="43:69" x14ac:dyDescent="0.2"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</row>
    <row r="186" spans="43:69" x14ac:dyDescent="0.2"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</row>
    <row r="187" spans="43:69" x14ac:dyDescent="0.2"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</row>
    <row r="188" spans="43:69" x14ac:dyDescent="0.2"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</row>
    <row r="189" spans="43:69" x14ac:dyDescent="0.2"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</row>
    <row r="190" spans="43:69" x14ac:dyDescent="0.2"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</row>
    <row r="191" spans="43:69" x14ac:dyDescent="0.2"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</row>
    <row r="192" spans="43:69" x14ac:dyDescent="0.2"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</row>
    <row r="193" spans="43:69" x14ac:dyDescent="0.2"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</row>
    <row r="194" spans="43:69" x14ac:dyDescent="0.2"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</row>
    <row r="195" spans="43:69" x14ac:dyDescent="0.2"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</row>
    <row r="196" spans="43:69" x14ac:dyDescent="0.2"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</row>
    <row r="197" spans="43:69" x14ac:dyDescent="0.2"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</row>
    <row r="198" spans="43:69" x14ac:dyDescent="0.2"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</row>
    <row r="199" spans="43:69" x14ac:dyDescent="0.2"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</row>
    <row r="200" spans="43:69" x14ac:dyDescent="0.2"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</row>
    <row r="201" spans="43:69" x14ac:dyDescent="0.2"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</row>
    <row r="202" spans="43:69" x14ac:dyDescent="0.2"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</row>
    <row r="203" spans="43:69" x14ac:dyDescent="0.2"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</row>
    <row r="204" spans="43:69" x14ac:dyDescent="0.2"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</row>
    <row r="205" spans="43:69" x14ac:dyDescent="0.2"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</row>
    <row r="206" spans="43:69" x14ac:dyDescent="0.2"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</row>
    <row r="207" spans="43:69" x14ac:dyDescent="0.2"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</row>
    <row r="208" spans="43:69" x14ac:dyDescent="0.2"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</row>
    <row r="209" spans="43:69" x14ac:dyDescent="0.2"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</row>
    <row r="210" spans="43:69" x14ac:dyDescent="0.2"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</row>
    <row r="211" spans="43:69" x14ac:dyDescent="0.2"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</row>
    <row r="212" spans="43:69" x14ac:dyDescent="0.2"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</row>
    <row r="213" spans="43:69" x14ac:dyDescent="0.2"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</row>
    <row r="214" spans="43:69" x14ac:dyDescent="0.2"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</row>
    <row r="215" spans="43:69" x14ac:dyDescent="0.2"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</row>
    <row r="216" spans="43:69" x14ac:dyDescent="0.2"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</row>
    <row r="217" spans="43:69" x14ac:dyDescent="0.2"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</row>
    <row r="218" spans="43:69" x14ac:dyDescent="0.2"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</row>
    <row r="219" spans="43:69" x14ac:dyDescent="0.2"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</row>
    <row r="220" spans="43:69" x14ac:dyDescent="0.2"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</row>
    <row r="221" spans="43:69" x14ac:dyDescent="0.2"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</row>
    <row r="222" spans="43:69" x14ac:dyDescent="0.2"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</row>
    <row r="223" spans="43:69" x14ac:dyDescent="0.2"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</row>
    <row r="224" spans="43:69" x14ac:dyDescent="0.2"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</row>
    <row r="225" spans="43:69" x14ac:dyDescent="0.2"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</row>
    <row r="226" spans="43:69" x14ac:dyDescent="0.2"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</row>
    <row r="227" spans="43:69" x14ac:dyDescent="0.2"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</row>
    <row r="228" spans="43:69" x14ac:dyDescent="0.2"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</row>
    <row r="229" spans="43:69" x14ac:dyDescent="0.2"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</row>
    <row r="230" spans="43:69" x14ac:dyDescent="0.2"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</row>
    <row r="231" spans="43:69" x14ac:dyDescent="0.2"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</row>
    <row r="232" spans="43:69" x14ac:dyDescent="0.2"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</row>
    <row r="233" spans="43:69" x14ac:dyDescent="0.2"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</row>
    <row r="234" spans="43:69" x14ac:dyDescent="0.2"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</row>
    <row r="235" spans="43:69" x14ac:dyDescent="0.2"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</row>
    <row r="236" spans="43:69" x14ac:dyDescent="0.2"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</row>
    <row r="237" spans="43:69" x14ac:dyDescent="0.2"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</row>
    <row r="238" spans="43:69" x14ac:dyDescent="0.2"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</row>
    <row r="239" spans="43:69" x14ac:dyDescent="0.2"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</row>
    <row r="240" spans="43:69" x14ac:dyDescent="0.2"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</row>
    <row r="241" spans="43:69" x14ac:dyDescent="0.2"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</row>
    <row r="242" spans="43:69" x14ac:dyDescent="0.2"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</row>
    <row r="243" spans="43:69" x14ac:dyDescent="0.2"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</row>
    <row r="244" spans="43:69" x14ac:dyDescent="0.2"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</row>
    <row r="245" spans="43:69" x14ac:dyDescent="0.2"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</row>
    <row r="246" spans="43:69" x14ac:dyDescent="0.2"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</row>
    <row r="247" spans="43:69" x14ac:dyDescent="0.2"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</row>
    <row r="248" spans="43:69" x14ac:dyDescent="0.2"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</row>
    <row r="249" spans="43:69" x14ac:dyDescent="0.2"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</row>
    <row r="250" spans="43:69" x14ac:dyDescent="0.2"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</row>
    <row r="251" spans="43:69" x14ac:dyDescent="0.2"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</row>
    <row r="252" spans="43:69" x14ac:dyDescent="0.2"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</row>
    <row r="253" spans="43:69" x14ac:dyDescent="0.2"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</row>
    <row r="254" spans="43:69" x14ac:dyDescent="0.2"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</row>
    <row r="255" spans="43:69" x14ac:dyDescent="0.2"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</row>
    <row r="256" spans="43:69" x14ac:dyDescent="0.2"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</row>
    <row r="257" spans="43:69" x14ac:dyDescent="0.2"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</row>
    <row r="258" spans="43:69" x14ac:dyDescent="0.2"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</row>
    <row r="259" spans="43:69" x14ac:dyDescent="0.2"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</row>
    <row r="260" spans="43:69" x14ac:dyDescent="0.2"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</row>
    <row r="261" spans="43:69" x14ac:dyDescent="0.2"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</row>
    <row r="262" spans="43:69" x14ac:dyDescent="0.2"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</row>
    <row r="263" spans="43:69" x14ac:dyDescent="0.2"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</row>
    <row r="264" spans="43:69" x14ac:dyDescent="0.2"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</row>
    <row r="265" spans="43:69" x14ac:dyDescent="0.2"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</row>
    <row r="266" spans="43:69" x14ac:dyDescent="0.2"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</row>
    <row r="267" spans="43:69" x14ac:dyDescent="0.2"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</row>
    <row r="268" spans="43:69" x14ac:dyDescent="0.2"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</row>
    <row r="269" spans="43:69" x14ac:dyDescent="0.2"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</row>
    <row r="270" spans="43:69" x14ac:dyDescent="0.2"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</row>
    <row r="271" spans="43:69" x14ac:dyDescent="0.2"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</row>
    <row r="272" spans="43:69" x14ac:dyDescent="0.2"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</row>
    <row r="273" spans="43:69" x14ac:dyDescent="0.2"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</row>
    <row r="274" spans="43:69" x14ac:dyDescent="0.2"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</row>
    <row r="275" spans="43:69" x14ac:dyDescent="0.2"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</row>
    <row r="276" spans="43:69" x14ac:dyDescent="0.2"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</row>
    <row r="277" spans="43:69" x14ac:dyDescent="0.2"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</row>
  </sheetData>
  <mergeCells count="13">
    <mergeCell ref="B7:I7"/>
    <mergeCell ref="J7:Q7"/>
    <mergeCell ref="R7:Y7"/>
    <mergeCell ref="Z7:AG7"/>
    <mergeCell ref="AH7:AO7"/>
    <mergeCell ref="AU7:AU8"/>
    <mergeCell ref="AV7:AV8"/>
    <mergeCell ref="AW7:AW8"/>
    <mergeCell ref="AP7:AP8"/>
    <mergeCell ref="AQ7:AQ8"/>
    <mergeCell ref="AR7:AR8"/>
    <mergeCell ref="AS7:AS8"/>
    <mergeCell ref="AT7:AT8"/>
  </mergeCells>
  <printOptions horizontalCentered="1" verticalCentered="1"/>
  <pageMargins left="0.70866141732283472" right="0.47244094488188981" top="0.55118110236220474" bottom="0.98425196850393704" header="0" footer="0"/>
  <pageSetup scale="36" orientation="landscape" r:id="rId2"/>
  <headerFooter alignWithMargins="0">
    <oddFooter>&amp;C&amp;P&amp;RElaborado por EQUILIBRIUM Inmobiliario S.A.S</odd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 filterMode="1">
    <pageSetUpPr fitToPage="1"/>
  </sheetPr>
  <dimension ref="A1:P1711"/>
  <sheetViews>
    <sheetView zoomScale="145" zoomScaleNormal="145" workbookViewId="0">
      <pane xSplit="5" ySplit="5" topLeftCell="F6" activePane="bottomRight" state="frozen"/>
      <selection activeCell="B9" sqref="B9:C9"/>
      <selection pane="topRight" activeCell="B9" sqref="B9:C9"/>
      <selection pane="bottomLeft" activeCell="B9" sqref="B9:C9"/>
      <selection pane="bottomRight" activeCell="B6" sqref="B6:B525"/>
    </sheetView>
  </sheetViews>
  <sheetFormatPr baseColWidth="10" defaultColWidth="0" defaultRowHeight="12.75" x14ac:dyDescent="0.2"/>
  <cols>
    <col min="1" max="1" width="0.5703125" style="301" customWidth="1"/>
    <col min="2" max="2" width="6.85546875" style="301" customWidth="1"/>
    <col min="3" max="3" width="11.42578125" style="591" bestFit="1" customWidth="1"/>
    <col min="4" max="4" width="23.42578125" style="591" customWidth="1"/>
    <col min="5" max="5" width="12.42578125" style="301" bestFit="1" customWidth="1"/>
    <col min="6" max="6" width="15.85546875" style="301" bestFit="1" customWidth="1"/>
    <col min="7" max="7" width="16" style="301" customWidth="1"/>
    <col min="8" max="8" width="15.85546875" style="301" bestFit="1" customWidth="1"/>
    <col min="9" max="10" width="15.85546875" style="301" customWidth="1"/>
    <col min="11" max="11" width="15.5703125" style="328" customWidth="1"/>
    <col min="12" max="12" width="14.85546875" style="301" bestFit="1" customWidth="1"/>
    <col min="13" max="13" width="15.85546875" style="301" bestFit="1" customWidth="1"/>
    <col min="14" max="14" width="15.5703125" style="301" customWidth="1"/>
    <col min="15" max="15" width="0.42578125" style="301" hidden="1" customWidth="1"/>
    <col min="16" max="16" width="4.5703125" style="302" customWidth="1"/>
    <col min="17" max="16384" width="4.5703125" style="302" hidden="1"/>
  </cols>
  <sheetData>
    <row r="1" spans="1:16" ht="3.75" customHeight="1" x14ac:dyDescent="0.2">
      <c r="B1" s="442"/>
      <c r="C1" s="588"/>
      <c r="D1" s="588"/>
      <c r="E1" s="443"/>
      <c r="F1" s="444"/>
      <c r="G1" s="444"/>
      <c r="H1" s="444"/>
      <c r="I1" s="380"/>
      <c r="J1" s="380"/>
      <c r="K1" s="443"/>
      <c r="L1" s="380"/>
      <c r="M1" s="380"/>
      <c r="N1" s="380"/>
    </row>
    <row r="2" spans="1:16" ht="21" x14ac:dyDescent="0.35">
      <c r="B2" s="442"/>
      <c r="C2" s="588"/>
      <c r="D2" s="874" t="s">
        <v>847</v>
      </c>
      <c r="E2" s="874"/>
      <c r="F2" s="874"/>
      <c r="G2" s="874"/>
      <c r="H2" s="874"/>
      <c r="I2" s="874"/>
      <c r="J2" s="874"/>
      <c r="K2" s="874"/>
      <c r="L2" s="380"/>
      <c r="M2" s="380"/>
      <c r="N2" s="380"/>
      <c r="O2" s="445"/>
      <c r="P2" s="547"/>
    </row>
    <row r="3" spans="1:16" ht="15.75" x14ac:dyDescent="0.25">
      <c r="B3" s="442"/>
      <c r="C3" s="588"/>
      <c r="D3" s="875">
        <f>+'Datos globales '!B10</f>
        <v>45900</v>
      </c>
      <c r="E3" s="875"/>
      <c r="F3" s="875"/>
      <c r="G3" s="875"/>
      <c r="H3" s="875"/>
      <c r="I3" s="875"/>
      <c r="J3" s="875"/>
      <c r="K3" s="380"/>
      <c r="L3" s="380"/>
      <c r="M3" s="380"/>
      <c r="N3" s="380"/>
    </row>
    <row r="4" spans="1:16" ht="2.25" customHeight="1" x14ac:dyDescent="0.2">
      <c r="B4" s="442"/>
      <c r="C4" s="588"/>
      <c r="D4" s="588"/>
      <c r="E4" s="443"/>
      <c r="F4" s="444"/>
      <c r="G4" s="444"/>
      <c r="H4" s="444"/>
      <c r="I4" s="380"/>
      <c r="J4" s="380"/>
      <c r="K4" s="446"/>
      <c r="L4" s="380"/>
      <c r="M4" s="380"/>
      <c r="N4" s="380"/>
    </row>
    <row r="5" spans="1:16" s="175" customFormat="1" ht="21.75" customHeight="1" x14ac:dyDescent="0.2">
      <c r="A5" s="188"/>
      <c r="B5" s="568" t="s">
        <v>28</v>
      </c>
      <c r="C5" s="571" t="s">
        <v>30</v>
      </c>
      <c r="D5" s="572" t="s">
        <v>33</v>
      </c>
      <c r="E5" s="581" t="s">
        <v>37</v>
      </c>
      <c r="F5" s="581" t="s">
        <v>38</v>
      </c>
      <c r="G5" s="581" t="s">
        <v>39</v>
      </c>
      <c r="H5" s="581" t="s">
        <v>49</v>
      </c>
      <c r="I5" s="581" t="s">
        <v>40</v>
      </c>
      <c r="J5" s="581" t="s">
        <v>50</v>
      </c>
      <c r="K5" s="581" t="s">
        <v>41</v>
      </c>
      <c r="L5" s="581" t="s">
        <v>42</v>
      </c>
      <c r="M5" s="581" t="s">
        <v>43</v>
      </c>
      <c r="N5" s="581" t="s">
        <v>44</v>
      </c>
      <c r="O5" s="447" t="s">
        <v>194</v>
      </c>
    </row>
    <row r="6" spans="1:16" s="247" customFormat="1" ht="12" customHeight="1" x14ac:dyDescent="0.25">
      <c r="A6" s="448">
        <v>1</v>
      </c>
      <c r="B6" s="876" t="s">
        <v>967</v>
      </c>
      <c r="C6" s="884" t="s">
        <v>1762</v>
      </c>
      <c r="D6" s="884" t="s">
        <v>1192</v>
      </c>
      <c r="E6" s="655" t="s">
        <v>26</v>
      </c>
      <c r="F6" s="561">
        <v>214272235</v>
      </c>
      <c r="G6" s="562">
        <v>214272235</v>
      </c>
      <c r="H6" s="561">
        <v>0</v>
      </c>
      <c r="I6" s="561">
        <v>0</v>
      </c>
      <c r="J6" s="562">
        <v>0</v>
      </c>
      <c r="K6" s="561">
        <v>0</v>
      </c>
      <c r="L6" s="561">
        <v>0</v>
      </c>
      <c r="M6" s="561">
        <v>0</v>
      </c>
      <c r="N6" s="561">
        <v>0</v>
      </c>
      <c r="O6" s="560">
        <v>0</v>
      </c>
      <c r="P6" s="449"/>
    </row>
    <row r="7" spans="1:16" s="175" customFormat="1" ht="12" hidden="1" customHeight="1" x14ac:dyDescent="0.25">
      <c r="A7" s="448"/>
      <c r="B7" s="877"/>
      <c r="C7" s="884"/>
      <c r="D7" s="884" t="s">
        <v>1192</v>
      </c>
      <c r="E7" s="655" t="s">
        <v>2601</v>
      </c>
      <c r="F7" s="561">
        <v>142000000</v>
      </c>
      <c r="G7" s="562">
        <v>142000000</v>
      </c>
      <c r="H7" s="561">
        <v>0</v>
      </c>
      <c r="I7" s="561">
        <v>0</v>
      </c>
      <c r="J7" s="562">
        <v>0</v>
      </c>
      <c r="K7" s="561">
        <v>0</v>
      </c>
      <c r="L7" s="561">
        <v>0</v>
      </c>
      <c r="M7" s="561">
        <v>0</v>
      </c>
      <c r="N7" s="561">
        <v>0</v>
      </c>
      <c r="O7" s="560">
        <v>0</v>
      </c>
      <c r="P7" s="449"/>
    </row>
    <row r="8" spans="1:16" s="247" customFormat="1" ht="12" customHeight="1" x14ac:dyDescent="0.25">
      <c r="A8" s="450"/>
      <c r="B8" s="877"/>
      <c r="C8" s="884"/>
      <c r="D8" s="884" t="s">
        <v>1192</v>
      </c>
      <c r="E8" s="655" t="s">
        <v>3212</v>
      </c>
      <c r="F8" s="561">
        <v>132437</v>
      </c>
      <c r="G8" s="562">
        <v>0</v>
      </c>
      <c r="H8" s="561">
        <v>132437</v>
      </c>
      <c r="I8" s="561">
        <v>0</v>
      </c>
      <c r="J8" s="562">
        <v>132437</v>
      </c>
      <c r="K8" s="561">
        <v>0</v>
      </c>
      <c r="L8" s="561">
        <v>0</v>
      </c>
      <c r="M8" s="561">
        <v>0</v>
      </c>
      <c r="N8" s="561">
        <v>132437</v>
      </c>
      <c r="O8" s="560">
        <v>0</v>
      </c>
      <c r="P8" s="449"/>
    </row>
    <row r="9" spans="1:16" s="247" customFormat="1" ht="12" customHeight="1" x14ac:dyDescent="0.25">
      <c r="A9" s="450"/>
      <c r="B9" s="877"/>
      <c r="C9" s="884"/>
      <c r="D9" s="884" t="s">
        <v>1192</v>
      </c>
      <c r="E9" s="655" t="s">
        <v>2676</v>
      </c>
      <c r="F9" s="561">
        <v>1666133</v>
      </c>
      <c r="G9" s="562">
        <v>0</v>
      </c>
      <c r="H9" s="561">
        <v>1666133</v>
      </c>
      <c r="I9" s="561">
        <v>0</v>
      </c>
      <c r="J9" s="562">
        <v>1666133</v>
      </c>
      <c r="K9" s="561">
        <v>0</v>
      </c>
      <c r="L9" s="561">
        <v>0</v>
      </c>
      <c r="M9" s="561">
        <v>0</v>
      </c>
      <c r="N9" s="561">
        <v>1666133</v>
      </c>
      <c r="O9" s="560">
        <v>0</v>
      </c>
      <c r="P9" s="449"/>
    </row>
    <row r="10" spans="1:16" s="247" customFormat="1" ht="12" customHeight="1" x14ac:dyDescent="0.25">
      <c r="A10" s="450"/>
      <c r="B10" s="877"/>
      <c r="C10" s="884" t="s">
        <v>1763</v>
      </c>
      <c r="D10" s="884" t="s">
        <v>2288</v>
      </c>
      <c r="E10" s="655" t="s">
        <v>26</v>
      </c>
      <c r="F10" s="561">
        <v>109529214</v>
      </c>
      <c r="G10" s="562">
        <v>109529214</v>
      </c>
      <c r="H10" s="561">
        <v>0</v>
      </c>
      <c r="I10" s="561">
        <v>0</v>
      </c>
      <c r="J10" s="562">
        <v>0</v>
      </c>
      <c r="K10" s="561">
        <v>0</v>
      </c>
      <c r="L10" s="561">
        <v>0</v>
      </c>
      <c r="M10" s="561">
        <v>0</v>
      </c>
      <c r="N10" s="561">
        <v>0</v>
      </c>
      <c r="O10" s="560">
        <v>0</v>
      </c>
      <c r="P10" s="449"/>
    </row>
    <row r="11" spans="1:16" s="247" customFormat="1" ht="12" hidden="1" customHeight="1" x14ac:dyDescent="0.25">
      <c r="A11" s="450"/>
      <c r="B11" s="877"/>
      <c r="C11" s="884"/>
      <c r="D11" s="884" t="s">
        <v>2288</v>
      </c>
      <c r="E11" s="655" t="s">
        <v>2601</v>
      </c>
      <c r="F11" s="561">
        <v>177500000</v>
      </c>
      <c r="G11" s="562">
        <v>177500000</v>
      </c>
      <c r="H11" s="561">
        <v>0</v>
      </c>
      <c r="I11" s="561">
        <v>0</v>
      </c>
      <c r="J11" s="562">
        <v>0</v>
      </c>
      <c r="K11" s="561">
        <v>0</v>
      </c>
      <c r="L11" s="561">
        <v>0</v>
      </c>
      <c r="M11" s="561">
        <v>0</v>
      </c>
      <c r="N11" s="561">
        <v>0</v>
      </c>
      <c r="O11" s="560">
        <v>0</v>
      </c>
      <c r="P11" s="449"/>
    </row>
    <row r="12" spans="1:16" s="247" customFormat="1" ht="12" customHeight="1" x14ac:dyDescent="0.25">
      <c r="A12" s="450"/>
      <c r="B12" s="877"/>
      <c r="C12" s="884"/>
      <c r="D12" s="884" t="s">
        <v>2288</v>
      </c>
      <c r="E12" s="655" t="s">
        <v>195</v>
      </c>
      <c r="F12" s="561">
        <v>1242114</v>
      </c>
      <c r="G12" s="562">
        <v>1242114</v>
      </c>
      <c r="H12" s="561">
        <v>0</v>
      </c>
      <c r="I12" s="561">
        <v>0</v>
      </c>
      <c r="J12" s="562">
        <v>0</v>
      </c>
      <c r="K12" s="561">
        <v>0</v>
      </c>
      <c r="L12" s="561">
        <v>0</v>
      </c>
      <c r="M12" s="561">
        <v>0</v>
      </c>
      <c r="N12" s="561">
        <v>0</v>
      </c>
      <c r="O12" s="560">
        <v>0</v>
      </c>
      <c r="P12" s="449"/>
    </row>
    <row r="13" spans="1:16" s="247" customFormat="1" ht="12" customHeight="1" x14ac:dyDescent="0.25">
      <c r="A13" s="450"/>
      <c r="B13" s="877"/>
      <c r="C13" s="884"/>
      <c r="D13" s="884" t="s">
        <v>2288</v>
      </c>
      <c r="E13" s="655" t="s">
        <v>2676</v>
      </c>
      <c r="F13" s="561">
        <v>426000</v>
      </c>
      <c r="G13" s="562">
        <v>426000</v>
      </c>
      <c r="H13" s="561">
        <v>0</v>
      </c>
      <c r="I13" s="561">
        <v>0</v>
      </c>
      <c r="J13" s="562">
        <v>0</v>
      </c>
      <c r="K13" s="561">
        <v>0</v>
      </c>
      <c r="L13" s="561">
        <v>0</v>
      </c>
      <c r="M13" s="561">
        <v>0</v>
      </c>
      <c r="N13" s="561">
        <v>0</v>
      </c>
      <c r="O13" s="560">
        <v>0</v>
      </c>
      <c r="P13" s="449"/>
    </row>
    <row r="14" spans="1:16" s="247" customFormat="1" ht="12" customHeight="1" x14ac:dyDescent="0.25">
      <c r="A14" s="450"/>
      <c r="B14" s="877"/>
      <c r="C14" s="884"/>
      <c r="D14" s="884" t="s">
        <v>2288</v>
      </c>
      <c r="E14" s="655" t="s">
        <v>1221</v>
      </c>
      <c r="F14" s="561">
        <v>10005788</v>
      </c>
      <c r="G14" s="562">
        <v>10005788</v>
      </c>
      <c r="H14" s="561">
        <v>0</v>
      </c>
      <c r="I14" s="561">
        <v>0</v>
      </c>
      <c r="J14" s="562">
        <v>0</v>
      </c>
      <c r="K14" s="561">
        <v>0</v>
      </c>
      <c r="L14" s="561">
        <v>0</v>
      </c>
      <c r="M14" s="561">
        <v>0</v>
      </c>
      <c r="N14" s="561">
        <v>0</v>
      </c>
      <c r="O14" s="560">
        <v>0</v>
      </c>
      <c r="P14" s="449"/>
    </row>
    <row r="15" spans="1:16" s="247" customFormat="1" ht="12" customHeight="1" x14ac:dyDescent="0.25">
      <c r="A15" s="450"/>
      <c r="B15" s="877"/>
      <c r="C15" s="884" t="s">
        <v>1764</v>
      </c>
      <c r="D15" s="884" t="s">
        <v>1571</v>
      </c>
      <c r="E15" s="655" t="s">
        <v>26</v>
      </c>
      <c r="F15" s="561">
        <v>64802542</v>
      </c>
      <c r="G15" s="562">
        <v>64802542</v>
      </c>
      <c r="H15" s="561">
        <v>0</v>
      </c>
      <c r="I15" s="561">
        <v>0</v>
      </c>
      <c r="J15" s="562">
        <v>0</v>
      </c>
      <c r="K15" s="561">
        <v>0</v>
      </c>
      <c r="L15" s="561">
        <v>0</v>
      </c>
      <c r="M15" s="561">
        <v>0</v>
      </c>
      <c r="N15" s="561">
        <v>0</v>
      </c>
      <c r="O15" s="560">
        <v>0</v>
      </c>
      <c r="P15" s="449"/>
    </row>
    <row r="16" spans="1:16" s="247" customFormat="1" ht="12" customHeight="1" x14ac:dyDescent="0.25">
      <c r="A16" s="450"/>
      <c r="B16" s="877"/>
      <c r="C16" s="884"/>
      <c r="D16" s="884" t="s">
        <v>1571</v>
      </c>
      <c r="E16" s="655" t="s">
        <v>198</v>
      </c>
      <c r="F16" s="561">
        <v>33000000</v>
      </c>
      <c r="G16" s="562">
        <v>33000000</v>
      </c>
      <c r="H16" s="561">
        <v>0</v>
      </c>
      <c r="I16" s="561">
        <v>0</v>
      </c>
      <c r="J16" s="562">
        <v>0</v>
      </c>
      <c r="K16" s="561">
        <v>0</v>
      </c>
      <c r="L16" s="561">
        <v>0</v>
      </c>
      <c r="M16" s="561">
        <v>0</v>
      </c>
      <c r="N16" s="561">
        <v>0</v>
      </c>
      <c r="O16" s="560">
        <v>0</v>
      </c>
      <c r="P16" s="449"/>
    </row>
    <row r="17" spans="1:16" s="247" customFormat="1" ht="12" hidden="1" customHeight="1" x14ac:dyDescent="0.25">
      <c r="A17" s="450"/>
      <c r="B17" s="877"/>
      <c r="C17" s="884"/>
      <c r="D17" s="884" t="s">
        <v>1571</v>
      </c>
      <c r="E17" s="655" t="s">
        <v>1557</v>
      </c>
      <c r="F17" s="561">
        <v>208000000</v>
      </c>
      <c r="G17" s="562">
        <v>208000000</v>
      </c>
      <c r="H17" s="561">
        <v>0</v>
      </c>
      <c r="I17" s="561">
        <v>0</v>
      </c>
      <c r="J17" s="562">
        <v>0</v>
      </c>
      <c r="K17" s="561">
        <v>0</v>
      </c>
      <c r="L17" s="561">
        <v>0</v>
      </c>
      <c r="M17" s="561">
        <v>0</v>
      </c>
      <c r="N17" s="561">
        <v>0</v>
      </c>
      <c r="O17" s="560">
        <v>0</v>
      </c>
      <c r="P17" s="449"/>
    </row>
    <row r="18" spans="1:16" s="247" customFormat="1" ht="12" customHeight="1" x14ac:dyDescent="0.25">
      <c r="A18" s="450"/>
      <c r="B18" s="877"/>
      <c r="C18" s="884"/>
      <c r="D18" s="884" t="s">
        <v>1571</v>
      </c>
      <c r="E18" s="655" t="s">
        <v>822</v>
      </c>
      <c r="F18" s="561">
        <v>438845</v>
      </c>
      <c r="G18" s="562">
        <v>438845</v>
      </c>
      <c r="H18" s="561">
        <v>0</v>
      </c>
      <c r="I18" s="561">
        <v>0</v>
      </c>
      <c r="J18" s="562">
        <v>0</v>
      </c>
      <c r="K18" s="561">
        <v>0</v>
      </c>
      <c r="L18" s="561">
        <v>0</v>
      </c>
      <c r="M18" s="561">
        <v>0</v>
      </c>
      <c r="N18" s="561">
        <v>0</v>
      </c>
      <c r="O18" s="560">
        <v>0</v>
      </c>
      <c r="P18" s="449"/>
    </row>
    <row r="19" spans="1:16" s="247" customFormat="1" ht="12" customHeight="1" x14ac:dyDescent="0.25">
      <c r="A19" s="450"/>
      <c r="B19" s="877"/>
      <c r="C19" s="884"/>
      <c r="D19" s="884" t="s">
        <v>1571</v>
      </c>
      <c r="E19" s="655" t="s">
        <v>3212</v>
      </c>
      <c r="F19" s="561">
        <v>23510</v>
      </c>
      <c r="G19" s="562">
        <v>23510</v>
      </c>
      <c r="H19" s="561">
        <v>0</v>
      </c>
      <c r="I19" s="561">
        <v>0</v>
      </c>
      <c r="J19" s="562">
        <v>0</v>
      </c>
      <c r="K19" s="561">
        <v>0</v>
      </c>
      <c r="L19" s="561">
        <v>0</v>
      </c>
      <c r="M19" s="561">
        <v>0</v>
      </c>
      <c r="N19" s="561">
        <v>0</v>
      </c>
      <c r="O19" s="560">
        <v>0</v>
      </c>
      <c r="P19" s="449"/>
    </row>
    <row r="20" spans="1:16" s="247" customFormat="1" ht="12" customHeight="1" x14ac:dyDescent="0.25">
      <c r="A20" s="450"/>
      <c r="B20" s="877"/>
      <c r="C20" s="884"/>
      <c r="D20" s="884" t="s">
        <v>1571</v>
      </c>
      <c r="E20" s="655" t="s">
        <v>2676</v>
      </c>
      <c r="F20" s="561">
        <v>1168160</v>
      </c>
      <c r="G20" s="562">
        <v>1168160</v>
      </c>
      <c r="H20" s="561">
        <v>0</v>
      </c>
      <c r="I20" s="561">
        <v>0</v>
      </c>
      <c r="J20" s="562">
        <v>0</v>
      </c>
      <c r="K20" s="561">
        <v>0</v>
      </c>
      <c r="L20" s="561">
        <v>0</v>
      </c>
      <c r="M20" s="561">
        <v>0</v>
      </c>
      <c r="N20" s="561">
        <v>0</v>
      </c>
      <c r="O20" s="560">
        <v>0</v>
      </c>
      <c r="P20" s="449"/>
    </row>
    <row r="21" spans="1:16" s="247" customFormat="1" ht="12" customHeight="1" x14ac:dyDescent="0.25">
      <c r="A21" s="450"/>
      <c r="B21" s="877"/>
      <c r="C21" s="884"/>
      <c r="D21" s="884" t="s">
        <v>1571</v>
      </c>
      <c r="E21" s="655" t="s">
        <v>1221</v>
      </c>
      <c r="F21" s="561">
        <v>1512675</v>
      </c>
      <c r="G21" s="562">
        <v>1512675</v>
      </c>
      <c r="H21" s="561">
        <v>0</v>
      </c>
      <c r="I21" s="561">
        <v>0</v>
      </c>
      <c r="J21" s="562">
        <v>0</v>
      </c>
      <c r="K21" s="561">
        <v>0</v>
      </c>
      <c r="L21" s="561">
        <v>0</v>
      </c>
      <c r="M21" s="561">
        <v>0</v>
      </c>
      <c r="N21" s="561">
        <v>0</v>
      </c>
      <c r="O21" s="560">
        <v>3563118</v>
      </c>
      <c r="P21" s="449"/>
    </row>
    <row r="22" spans="1:16" s="247" customFormat="1" ht="12" customHeight="1" x14ac:dyDescent="0.25">
      <c r="A22" s="450"/>
      <c r="B22" s="877"/>
      <c r="C22" s="884" t="s">
        <v>1765</v>
      </c>
      <c r="D22" s="884" t="s">
        <v>1696</v>
      </c>
      <c r="E22" s="655" t="s">
        <v>26</v>
      </c>
      <c r="F22" s="561">
        <v>124455315</v>
      </c>
      <c r="G22" s="562">
        <v>124455315</v>
      </c>
      <c r="H22" s="561">
        <v>0</v>
      </c>
      <c r="I22" s="561">
        <v>0</v>
      </c>
      <c r="J22" s="562">
        <v>0</v>
      </c>
      <c r="K22" s="561">
        <v>0</v>
      </c>
      <c r="L22" s="561">
        <v>0</v>
      </c>
      <c r="M22" s="561">
        <v>0</v>
      </c>
      <c r="N22" s="561">
        <v>0</v>
      </c>
      <c r="O22" s="560">
        <v>0</v>
      </c>
      <c r="P22" s="449"/>
    </row>
    <row r="23" spans="1:16" s="247" customFormat="1" ht="12" hidden="1" customHeight="1" x14ac:dyDescent="0.25">
      <c r="A23" s="450"/>
      <c r="B23" s="877"/>
      <c r="C23" s="884"/>
      <c r="D23" s="884" t="s">
        <v>1696</v>
      </c>
      <c r="E23" s="655" t="s">
        <v>1557</v>
      </c>
      <c r="F23" s="561">
        <v>234821747</v>
      </c>
      <c r="G23" s="562">
        <v>234821747</v>
      </c>
      <c r="H23" s="561">
        <v>0</v>
      </c>
      <c r="I23" s="561">
        <v>0</v>
      </c>
      <c r="J23" s="562">
        <v>0</v>
      </c>
      <c r="K23" s="561">
        <v>0</v>
      </c>
      <c r="L23" s="561">
        <v>0</v>
      </c>
      <c r="M23" s="561">
        <v>0</v>
      </c>
      <c r="N23" s="561">
        <v>0</v>
      </c>
      <c r="O23" s="560">
        <v>0</v>
      </c>
      <c r="P23" s="449"/>
    </row>
    <row r="24" spans="1:16" s="247" customFormat="1" ht="12" customHeight="1" x14ac:dyDescent="0.25">
      <c r="A24" s="450"/>
      <c r="B24" s="877"/>
      <c r="C24" s="884"/>
      <c r="D24" s="884" t="s">
        <v>1696</v>
      </c>
      <c r="E24" s="655" t="s">
        <v>822</v>
      </c>
      <c r="F24" s="561">
        <v>515806</v>
      </c>
      <c r="G24" s="562">
        <v>515806</v>
      </c>
      <c r="H24" s="561">
        <v>0</v>
      </c>
      <c r="I24" s="561">
        <v>0</v>
      </c>
      <c r="J24" s="562">
        <v>0</v>
      </c>
      <c r="K24" s="561">
        <v>0</v>
      </c>
      <c r="L24" s="561">
        <v>0</v>
      </c>
      <c r="M24" s="561">
        <v>0</v>
      </c>
      <c r="N24" s="561">
        <v>0</v>
      </c>
      <c r="O24" s="560">
        <v>0</v>
      </c>
      <c r="P24" s="449"/>
    </row>
    <row r="25" spans="1:16" s="247" customFormat="1" ht="12" customHeight="1" x14ac:dyDescent="0.25">
      <c r="A25" s="450"/>
      <c r="B25" s="877"/>
      <c r="C25" s="884"/>
      <c r="D25" s="884" t="s">
        <v>1696</v>
      </c>
      <c r="E25" s="655" t="s">
        <v>3212</v>
      </c>
      <c r="F25" s="561">
        <v>98442</v>
      </c>
      <c r="G25" s="562">
        <v>98442</v>
      </c>
      <c r="H25" s="561">
        <v>0</v>
      </c>
      <c r="I25" s="561">
        <v>0</v>
      </c>
      <c r="J25" s="562">
        <v>0</v>
      </c>
      <c r="K25" s="561">
        <v>0</v>
      </c>
      <c r="L25" s="561">
        <v>0</v>
      </c>
      <c r="M25" s="561">
        <v>0</v>
      </c>
      <c r="N25" s="561">
        <v>0</v>
      </c>
      <c r="O25" s="560">
        <v>0</v>
      </c>
      <c r="P25" s="449"/>
    </row>
    <row r="26" spans="1:16" s="247" customFormat="1" ht="12" customHeight="1" x14ac:dyDescent="0.25">
      <c r="A26" s="450"/>
      <c r="B26" s="877"/>
      <c r="C26" s="884"/>
      <c r="D26" s="884" t="s">
        <v>1696</v>
      </c>
      <c r="E26" s="655" t="s">
        <v>2676</v>
      </c>
      <c r="F26" s="561">
        <v>1440240</v>
      </c>
      <c r="G26" s="562">
        <v>1440240</v>
      </c>
      <c r="H26" s="561">
        <v>0</v>
      </c>
      <c r="I26" s="561">
        <v>0</v>
      </c>
      <c r="J26" s="562">
        <v>0</v>
      </c>
      <c r="K26" s="561">
        <v>0</v>
      </c>
      <c r="L26" s="561">
        <v>0</v>
      </c>
      <c r="M26" s="561">
        <v>0</v>
      </c>
      <c r="N26" s="561">
        <v>0</v>
      </c>
      <c r="O26" s="560">
        <v>0</v>
      </c>
      <c r="P26" s="449"/>
    </row>
    <row r="27" spans="1:16" s="247" customFormat="1" ht="12" customHeight="1" x14ac:dyDescent="0.25">
      <c r="A27" s="450"/>
      <c r="B27" s="877"/>
      <c r="C27" s="884"/>
      <c r="D27" s="884" t="s">
        <v>1696</v>
      </c>
      <c r="E27" s="655" t="s">
        <v>1221</v>
      </c>
      <c r="F27" s="561">
        <v>1931850</v>
      </c>
      <c r="G27" s="562">
        <v>1931850</v>
      </c>
      <c r="H27" s="561">
        <v>0</v>
      </c>
      <c r="I27" s="561">
        <v>0</v>
      </c>
      <c r="J27" s="562">
        <v>0</v>
      </c>
      <c r="K27" s="561">
        <v>0</v>
      </c>
      <c r="L27" s="561">
        <v>0</v>
      </c>
      <c r="M27" s="561">
        <v>0</v>
      </c>
      <c r="N27" s="561">
        <v>0</v>
      </c>
      <c r="O27" s="560">
        <v>0</v>
      </c>
      <c r="P27" s="449"/>
    </row>
    <row r="28" spans="1:16" s="247" customFormat="1" ht="12" customHeight="1" x14ac:dyDescent="0.25">
      <c r="A28" s="450"/>
      <c r="B28" s="877"/>
      <c r="C28" s="884" t="s">
        <v>1766</v>
      </c>
      <c r="D28" s="884" t="s">
        <v>1526</v>
      </c>
      <c r="E28" s="655" t="s">
        <v>26</v>
      </c>
      <c r="F28" s="561">
        <v>83180012</v>
      </c>
      <c r="G28" s="562">
        <v>83180012</v>
      </c>
      <c r="H28" s="561">
        <v>0</v>
      </c>
      <c r="I28" s="561">
        <v>0</v>
      </c>
      <c r="J28" s="562">
        <v>0</v>
      </c>
      <c r="K28" s="561">
        <v>0</v>
      </c>
      <c r="L28" s="561">
        <v>0</v>
      </c>
      <c r="M28" s="561">
        <v>0</v>
      </c>
      <c r="N28" s="561">
        <v>0</v>
      </c>
      <c r="O28" s="560">
        <v>0</v>
      </c>
      <c r="P28" s="449"/>
    </row>
    <row r="29" spans="1:16" s="247" customFormat="1" ht="12" hidden="1" customHeight="1" x14ac:dyDescent="0.25">
      <c r="A29" s="450"/>
      <c r="B29" s="877"/>
      <c r="C29" s="884"/>
      <c r="D29" s="884" t="s">
        <v>1526</v>
      </c>
      <c r="E29" s="655" t="s">
        <v>1557</v>
      </c>
      <c r="F29" s="561">
        <v>186919823</v>
      </c>
      <c r="G29" s="562">
        <v>0</v>
      </c>
      <c r="H29" s="561">
        <v>186919823</v>
      </c>
      <c r="I29" s="561">
        <v>0</v>
      </c>
      <c r="J29" s="562">
        <v>186919823</v>
      </c>
      <c r="K29" s="561">
        <v>0</v>
      </c>
      <c r="L29" s="561">
        <v>0</v>
      </c>
      <c r="M29" s="561">
        <v>0</v>
      </c>
      <c r="N29" s="561">
        <v>186919823</v>
      </c>
      <c r="O29" s="560">
        <v>0</v>
      </c>
      <c r="P29" s="449"/>
    </row>
    <row r="30" spans="1:16" s="247" customFormat="1" ht="12" customHeight="1" x14ac:dyDescent="0.25">
      <c r="A30" s="450"/>
      <c r="B30" s="877"/>
      <c r="C30" s="884"/>
      <c r="D30" s="884" t="s">
        <v>1526</v>
      </c>
      <c r="E30" s="655" t="s">
        <v>1221</v>
      </c>
      <c r="F30" s="561">
        <v>1120500</v>
      </c>
      <c r="G30" s="562">
        <v>1120500</v>
      </c>
      <c r="H30" s="561">
        <v>0</v>
      </c>
      <c r="I30" s="561">
        <v>0</v>
      </c>
      <c r="J30" s="562">
        <v>0</v>
      </c>
      <c r="K30" s="561">
        <v>0</v>
      </c>
      <c r="L30" s="561">
        <v>0</v>
      </c>
      <c r="M30" s="561">
        <v>0</v>
      </c>
      <c r="N30" s="561">
        <v>0</v>
      </c>
      <c r="O30" s="560">
        <v>0</v>
      </c>
      <c r="P30" s="449"/>
    </row>
    <row r="31" spans="1:16" s="247" customFormat="1" ht="12" customHeight="1" x14ac:dyDescent="0.25">
      <c r="A31" s="450"/>
      <c r="B31" s="877"/>
      <c r="C31" s="884" t="s">
        <v>1767</v>
      </c>
      <c r="D31" s="884" t="s">
        <v>918</v>
      </c>
      <c r="E31" s="655" t="s">
        <v>26</v>
      </c>
      <c r="F31" s="561">
        <v>301653522</v>
      </c>
      <c r="G31" s="562">
        <v>301653522</v>
      </c>
      <c r="H31" s="561">
        <v>0</v>
      </c>
      <c r="I31" s="561">
        <v>0</v>
      </c>
      <c r="J31" s="562">
        <v>0</v>
      </c>
      <c r="K31" s="561">
        <v>0</v>
      </c>
      <c r="L31" s="561">
        <v>0</v>
      </c>
      <c r="M31" s="561">
        <v>0</v>
      </c>
      <c r="N31" s="561">
        <v>0</v>
      </c>
      <c r="O31" s="560">
        <v>0</v>
      </c>
      <c r="P31" s="449"/>
    </row>
    <row r="32" spans="1:16" s="247" customFormat="1" ht="12" customHeight="1" x14ac:dyDescent="0.25">
      <c r="A32" s="450"/>
      <c r="B32" s="877"/>
      <c r="C32" s="884"/>
      <c r="D32" s="884" t="s">
        <v>918</v>
      </c>
      <c r="E32" s="655" t="s">
        <v>3212</v>
      </c>
      <c r="F32" s="561">
        <v>162752</v>
      </c>
      <c r="G32" s="562">
        <v>0</v>
      </c>
      <c r="H32" s="561">
        <v>162752</v>
      </c>
      <c r="I32" s="561">
        <v>0</v>
      </c>
      <c r="J32" s="562">
        <v>162752</v>
      </c>
      <c r="K32" s="561">
        <v>0</v>
      </c>
      <c r="L32" s="561">
        <v>0</v>
      </c>
      <c r="M32" s="561">
        <v>0</v>
      </c>
      <c r="N32" s="561">
        <v>162752</v>
      </c>
      <c r="O32" s="560">
        <v>0</v>
      </c>
      <c r="P32" s="449"/>
    </row>
    <row r="33" spans="1:16" s="247" customFormat="1" ht="12" customHeight="1" x14ac:dyDescent="0.25">
      <c r="A33" s="450"/>
      <c r="B33" s="877"/>
      <c r="C33" s="884" t="s">
        <v>1768</v>
      </c>
      <c r="D33" s="884" t="s">
        <v>3484</v>
      </c>
      <c r="E33" s="655" t="s">
        <v>26</v>
      </c>
      <c r="F33" s="561">
        <v>92391000</v>
      </c>
      <c r="G33" s="562">
        <v>92391000</v>
      </c>
      <c r="H33" s="561">
        <v>0</v>
      </c>
      <c r="I33" s="561">
        <v>0</v>
      </c>
      <c r="J33" s="562">
        <v>0</v>
      </c>
      <c r="K33" s="561">
        <v>0</v>
      </c>
      <c r="L33" s="561">
        <v>0</v>
      </c>
      <c r="M33" s="561">
        <v>0</v>
      </c>
      <c r="N33" s="561">
        <v>0</v>
      </c>
      <c r="O33" s="560">
        <v>0</v>
      </c>
      <c r="P33" s="449"/>
    </row>
    <row r="34" spans="1:16" s="247" customFormat="1" ht="12" hidden="1" customHeight="1" x14ac:dyDescent="0.25">
      <c r="A34" s="450"/>
      <c r="B34" s="877"/>
      <c r="C34" s="884"/>
      <c r="D34" s="884" t="s">
        <v>3484</v>
      </c>
      <c r="E34" s="655" t="s">
        <v>2601</v>
      </c>
      <c r="F34" s="561">
        <v>213609000</v>
      </c>
      <c r="G34" s="562">
        <v>213609000</v>
      </c>
      <c r="H34" s="561">
        <v>0</v>
      </c>
      <c r="I34" s="561">
        <v>0</v>
      </c>
      <c r="J34" s="562">
        <v>0</v>
      </c>
      <c r="K34" s="561">
        <v>0</v>
      </c>
      <c r="L34" s="561">
        <v>0</v>
      </c>
      <c r="M34" s="561">
        <v>0</v>
      </c>
      <c r="N34" s="561">
        <v>0</v>
      </c>
      <c r="O34" s="560">
        <v>0</v>
      </c>
      <c r="P34" s="449"/>
    </row>
    <row r="35" spans="1:16" s="247" customFormat="1" ht="12" customHeight="1" x14ac:dyDescent="0.25">
      <c r="A35" s="450"/>
      <c r="B35" s="877"/>
      <c r="C35" s="884" t="s">
        <v>1769</v>
      </c>
      <c r="D35" s="884" t="s">
        <v>1633</v>
      </c>
      <c r="E35" s="655" t="s">
        <v>26</v>
      </c>
      <c r="F35" s="561">
        <v>160796283</v>
      </c>
      <c r="G35" s="562">
        <v>160796283</v>
      </c>
      <c r="H35" s="561">
        <v>0</v>
      </c>
      <c r="I35" s="561">
        <v>0</v>
      </c>
      <c r="J35" s="562">
        <v>0</v>
      </c>
      <c r="K35" s="561">
        <v>0</v>
      </c>
      <c r="L35" s="561">
        <v>0</v>
      </c>
      <c r="M35" s="561">
        <v>0</v>
      </c>
      <c r="N35" s="561">
        <v>0</v>
      </c>
      <c r="O35" s="560">
        <v>0</v>
      </c>
      <c r="P35" s="449"/>
    </row>
    <row r="36" spans="1:16" s="247" customFormat="1" ht="12" customHeight="1" x14ac:dyDescent="0.25">
      <c r="A36" s="450"/>
      <c r="B36" s="877"/>
      <c r="C36" s="884"/>
      <c r="D36" s="884" t="s">
        <v>1633</v>
      </c>
      <c r="E36" s="655" t="s">
        <v>22</v>
      </c>
      <c r="F36" s="561">
        <v>82210737</v>
      </c>
      <c r="G36" s="562">
        <v>82210737</v>
      </c>
      <c r="H36" s="561">
        <v>0</v>
      </c>
      <c r="I36" s="561">
        <v>0</v>
      </c>
      <c r="J36" s="562">
        <v>0</v>
      </c>
      <c r="K36" s="561">
        <v>0</v>
      </c>
      <c r="L36" s="561">
        <v>0</v>
      </c>
      <c r="M36" s="561">
        <v>0</v>
      </c>
      <c r="N36" s="561">
        <v>0</v>
      </c>
      <c r="O36" s="560">
        <v>0</v>
      </c>
      <c r="P36" s="449"/>
    </row>
    <row r="37" spans="1:16" s="247" customFormat="1" ht="12" hidden="1" customHeight="1" x14ac:dyDescent="0.25">
      <c r="A37" s="450"/>
      <c r="B37" s="877"/>
      <c r="C37" s="884"/>
      <c r="D37" s="884" t="s">
        <v>1633</v>
      </c>
      <c r="E37" s="655" t="s">
        <v>1557</v>
      </c>
      <c r="F37" s="561">
        <v>184525830</v>
      </c>
      <c r="G37" s="562">
        <v>184525830</v>
      </c>
      <c r="H37" s="561">
        <v>0</v>
      </c>
      <c r="I37" s="561">
        <v>0</v>
      </c>
      <c r="J37" s="562">
        <v>0</v>
      </c>
      <c r="K37" s="561">
        <v>0</v>
      </c>
      <c r="L37" s="561">
        <v>0</v>
      </c>
      <c r="M37" s="561">
        <v>0</v>
      </c>
      <c r="N37" s="561">
        <v>0</v>
      </c>
      <c r="O37" s="560">
        <v>0</v>
      </c>
      <c r="P37" s="449"/>
    </row>
    <row r="38" spans="1:16" s="247" customFormat="1" ht="12" customHeight="1" x14ac:dyDescent="0.25">
      <c r="A38" s="450"/>
      <c r="B38" s="877"/>
      <c r="C38" s="884"/>
      <c r="D38" s="884" t="s">
        <v>1633</v>
      </c>
      <c r="E38" s="655" t="s">
        <v>3212</v>
      </c>
      <c r="F38" s="561">
        <v>66115</v>
      </c>
      <c r="G38" s="562">
        <v>0</v>
      </c>
      <c r="H38" s="561">
        <v>66115</v>
      </c>
      <c r="I38" s="561">
        <v>0</v>
      </c>
      <c r="J38" s="562">
        <v>66115</v>
      </c>
      <c r="K38" s="561">
        <v>0</v>
      </c>
      <c r="L38" s="561">
        <v>0</v>
      </c>
      <c r="M38" s="561">
        <v>0</v>
      </c>
      <c r="N38" s="561">
        <v>66115</v>
      </c>
      <c r="O38" s="560">
        <v>0</v>
      </c>
      <c r="P38" s="449"/>
    </row>
    <row r="39" spans="1:16" s="247" customFormat="1" ht="12" customHeight="1" x14ac:dyDescent="0.25">
      <c r="A39" s="450"/>
      <c r="B39" s="877"/>
      <c r="C39" s="884"/>
      <c r="D39" s="884" t="s">
        <v>1633</v>
      </c>
      <c r="E39" s="655" t="s">
        <v>195</v>
      </c>
      <c r="F39" s="561">
        <v>1330653</v>
      </c>
      <c r="G39" s="562">
        <v>1330653</v>
      </c>
      <c r="H39" s="561">
        <v>0</v>
      </c>
      <c r="I39" s="561">
        <v>0</v>
      </c>
      <c r="J39" s="562">
        <v>0</v>
      </c>
      <c r="K39" s="561">
        <v>0</v>
      </c>
      <c r="L39" s="561">
        <v>0</v>
      </c>
      <c r="M39" s="561">
        <v>0</v>
      </c>
      <c r="N39" s="561">
        <v>0</v>
      </c>
      <c r="O39" s="560">
        <v>0</v>
      </c>
      <c r="P39" s="449"/>
    </row>
    <row r="40" spans="1:16" s="247" customFormat="1" ht="12" customHeight="1" x14ac:dyDescent="0.25">
      <c r="A40" s="450"/>
      <c r="B40" s="877"/>
      <c r="C40" s="884"/>
      <c r="D40" s="884" t="s">
        <v>1633</v>
      </c>
      <c r="E40" s="655" t="s">
        <v>2676</v>
      </c>
      <c r="F40" s="561">
        <v>3033986</v>
      </c>
      <c r="G40" s="562">
        <v>0</v>
      </c>
      <c r="H40" s="561">
        <v>3033986</v>
      </c>
      <c r="I40" s="561">
        <v>0</v>
      </c>
      <c r="J40" s="562">
        <v>3033986</v>
      </c>
      <c r="K40" s="561">
        <v>0</v>
      </c>
      <c r="L40" s="561">
        <v>0</v>
      </c>
      <c r="M40" s="561">
        <v>0</v>
      </c>
      <c r="N40" s="561">
        <v>3033986</v>
      </c>
      <c r="O40" s="560">
        <v>0</v>
      </c>
      <c r="P40" s="449"/>
    </row>
    <row r="41" spans="1:16" s="247" customFormat="1" ht="12" customHeight="1" x14ac:dyDescent="0.25">
      <c r="A41" s="450"/>
      <c r="B41" s="877"/>
      <c r="C41" s="884" t="s">
        <v>1770</v>
      </c>
      <c r="D41" s="884" t="s">
        <v>863</v>
      </c>
      <c r="E41" s="655" t="s">
        <v>26</v>
      </c>
      <c r="F41" s="561">
        <v>101639995</v>
      </c>
      <c r="G41" s="562">
        <v>101639995</v>
      </c>
      <c r="H41" s="561">
        <v>0</v>
      </c>
      <c r="I41" s="561">
        <v>0</v>
      </c>
      <c r="J41" s="562">
        <v>0</v>
      </c>
      <c r="K41" s="561">
        <v>0</v>
      </c>
      <c r="L41" s="561">
        <v>0</v>
      </c>
      <c r="M41" s="561">
        <v>0</v>
      </c>
      <c r="N41" s="561">
        <v>0</v>
      </c>
      <c r="O41" s="560">
        <v>0</v>
      </c>
      <c r="P41" s="449"/>
    </row>
    <row r="42" spans="1:16" s="247" customFormat="1" ht="12" hidden="1" customHeight="1" x14ac:dyDescent="0.25">
      <c r="A42" s="450"/>
      <c r="B42" s="877"/>
      <c r="C42" s="884"/>
      <c r="D42" s="884" t="s">
        <v>863</v>
      </c>
      <c r="E42" s="655" t="s">
        <v>2601</v>
      </c>
      <c r="F42" s="561">
        <v>236596943</v>
      </c>
      <c r="G42" s="562">
        <v>236596943</v>
      </c>
      <c r="H42" s="561">
        <v>0</v>
      </c>
      <c r="I42" s="561">
        <v>0</v>
      </c>
      <c r="J42" s="562">
        <v>0</v>
      </c>
      <c r="K42" s="561">
        <v>0</v>
      </c>
      <c r="L42" s="561">
        <v>0</v>
      </c>
      <c r="M42" s="561">
        <v>0</v>
      </c>
      <c r="N42" s="561">
        <v>0</v>
      </c>
      <c r="O42" s="560">
        <v>0</v>
      </c>
      <c r="P42" s="449"/>
    </row>
    <row r="43" spans="1:16" s="247" customFormat="1" ht="12" customHeight="1" x14ac:dyDescent="0.25">
      <c r="A43" s="450"/>
      <c r="B43" s="877"/>
      <c r="C43" s="884"/>
      <c r="D43" s="884" t="s">
        <v>863</v>
      </c>
      <c r="E43" s="655" t="s">
        <v>3212</v>
      </c>
      <c r="F43" s="561">
        <v>162653</v>
      </c>
      <c r="G43" s="562">
        <v>1000</v>
      </c>
      <c r="H43" s="561">
        <v>161653</v>
      </c>
      <c r="I43" s="561">
        <v>0</v>
      </c>
      <c r="J43" s="562">
        <v>161653</v>
      </c>
      <c r="K43" s="561">
        <v>0</v>
      </c>
      <c r="L43" s="561">
        <v>0</v>
      </c>
      <c r="M43" s="561">
        <v>0</v>
      </c>
      <c r="N43" s="561">
        <v>161653</v>
      </c>
      <c r="O43" s="560">
        <v>0</v>
      </c>
      <c r="P43" s="449"/>
    </row>
    <row r="44" spans="1:16" s="247" customFormat="1" ht="12" customHeight="1" x14ac:dyDescent="0.25">
      <c r="A44" s="450"/>
      <c r="B44" s="877"/>
      <c r="C44" s="884"/>
      <c r="D44" s="884" t="s">
        <v>863</v>
      </c>
      <c r="E44" s="655" t="s">
        <v>2676</v>
      </c>
      <c r="F44" s="561">
        <v>1451128</v>
      </c>
      <c r="G44" s="562">
        <v>0</v>
      </c>
      <c r="H44" s="561">
        <v>1451128</v>
      </c>
      <c r="I44" s="561">
        <v>0</v>
      </c>
      <c r="J44" s="562">
        <v>1451128</v>
      </c>
      <c r="K44" s="561">
        <v>1451128</v>
      </c>
      <c r="L44" s="561">
        <v>0</v>
      </c>
      <c r="M44" s="561">
        <v>0</v>
      </c>
      <c r="N44" s="561">
        <v>0</v>
      </c>
      <c r="O44" s="560">
        <v>0</v>
      </c>
      <c r="P44" s="449"/>
    </row>
    <row r="45" spans="1:16" s="247" customFormat="1" ht="12" customHeight="1" x14ac:dyDescent="0.25">
      <c r="A45" s="450"/>
      <c r="B45" s="877"/>
      <c r="C45" s="884"/>
      <c r="D45" s="884" t="s">
        <v>863</v>
      </c>
      <c r="E45" s="655" t="s">
        <v>1221</v>
      </c>
      <c r="F45" s="561">
        <v>1931850</v>
      </c>
      <c r="G45" s="562">
        <v>1931850</v>
      </c>
      <c r="H45" s="561">
        <v>0</v>
      </c>
      <c r="I45" s="561">
        <v>0</v>
      </c>
      <c r="J45" s="562">
        <v>0</v>
      </c>
      <c r="K45" s="561">
        <v>0</v>
      </c>
      <c r="L45" s="561">
        <v>0</v>
      </c>
      <c r="M45" s="561">
        <v>0</v>
      </c>
      <c r="N45" s="561">
        <v>0</v>
      </c>
      <c r="O45" s="560">
        <v>0</v>
      </c>
      <c r="P45" s="449"/>
    </row>
    <row r="46" spans="1:16" s="247" customFormat="1" ht="12" customHeight="1" x14ac:dyDescent="0.25">
      <c r="A46" s="450"/>
      <c r="B46" s="877"/>
      <c r="C46" s="884" t="s">
        <v>1771</v>
      </c>
      <c r="D46" s="884" t="s">
        <v>862</v>
      </c>
      <c r="E46" s="655" t="s">
        <v>26</v>
      </c>
      <c r="F46" s="561">
        <v>88272000</v>
      </c>
      <c r="G46" s="562">
        <v>88272000</v>
      </c>
      <c r="H46" s="561">
        <v>0</v>
      </c>
      <c r="I46" s="561">
        <v>0</v>
      </c>
      <c r="J46" s="562">
        <v>0</v>
      </c>
      <c r="K46" s="561">
        <v>0</v>
      </c>
      <c r="L46" s="561">
        <v>0</v>
      </c>
      <c r="M46" s="561">
        <v>0</v>
      </c>
      <c r="N46" s="561">
        <v>0</v>
      </c>
      <c r="O46" s="560">
        <v>0</v>
      </c>
      <c r="P46" s="449"/>
    </row>
    <row r="47" spans="1:16" s="247" customFormat="1" ht="12" hidden="1" customHeight="1" x14ac:dyDescent="0.25">
      <c r="A47" s="450"/>
      <c r="B47" s="877"/>
      <c r="C47" s="884"/>
      <c r="D47" s="884" t="s">
        <v>862</v>
      </c>
      <c r="E47" s="655" t="s">
        <v>2601</v>
      </c>
      <c r="F47" s="561">
        <v>190000000</v>
      </c>
      <c r="G47" s="562">
        <v>190000000</v>
      </c>
      <c r="H47" s="561">
        <v>0</v>
      </c>
      <c r="I47" s="561">
        <v>0</v>
      </c>
      <c r="J47" s="562">
        <v>0</v>
      </c>
      <c r="K47" s="561">
        <v>0</v>
      </c>
      <c r="L47" s="561">
        <v>0</v>
      </c>
      <c r="M47" s="561">
        <v>0</v>
      </c>
      <c r="N47" s="561">
        <v>0</v>
      </c>
      <c r="O47" s="560">
        <v>0</v>
      </c>
      <c r="P47" s="449"/>
    </row>
    <row r="48" spans="1:16" s="247" customFormat="1" ht="12" customHeight="1" x14ac:dyDescent="0.25">
      <c r="A48" s="450"/>
      <c r="B48" s="877"/>
      <c r="C48" s="884"/>
      <c r="D48" s="884" t="s">
        <v>862</v>
      </c>
      <c r="E48" s="655" t="s">
        <v>195</v>
      </c>
      <c r="F48" s="561">
        <v>431382</v>
      </c>
      <c r="G48" s="562">
        <v>431382</v>
      </c>
      <c r="H48" s="561">
        <v>0</v>
      </c>
      <c r="I48" s="561">
        <v>0</v>
      </c>
      <c r="J48" s="562">
        <v>0</v>
      </c>
      <c r="K48" s="561">
        <v>0</v>
      </c>
      <c r="L48" s="561">
        <v>0</v>
      </c>
      <c r="M48" s="561">
        <v>0</v>
      </c>
      <c r="N48" s="561">
        <v>0</v>
      </c>
      <c r="O48" s="560">
        <v>0</v>
      </c>
      <c r="P48" s="449"/>
    </row>
    <row r="49" spans="1:16" s="247" customFormat="1" ht="12" customHeight="1" x14ac:dyDescent="0.25">
      <c r="A49" s="450"/>
      <c r="B49" s="877"/>
      <c r="C49" s="884" t="s">
        <v>1772</v>
      </c>
      <c r="D49" s="884" t="s">
        <v>1634</v>
      </c>
      <c r="E49" s="655" t="s">
        <v>26</v>
      </c>
      <c r="F49" s="561">
        <v>131910275</v>
      </c>
      <c r="G49" s="562">
        <v>131910275</v>
      </c>
      <c r="H49" s="561">
        <v>0</v>
      </c>
      <c r="I49" s="561">
        <v>0</v>
      </c>
      <c r="J49" s="562">
        <v>0</v>
      </c>
      <c r="K49" s="561">
        <v>0</v>
      </c>
      <c r="L49" s="561">
        <v>0</v>
      </c>
      <c r="M49" s="561">
        <v>0</v>
      </c>
      <c r="N49" s="561">
        <v>0</v>
      </c>
      <c r="O49" s="560">
        <v>0</v>
      </c>
      <c r="P49" s="449"/>
    </row>
    <row r="50" spans="1:16" s="247" customFormat="1" ht="12" hidden="1" customHeight="1" x14ac:dyDescent="0.25">
      <c r="A50" s="450"/>
      <c r="B50" s="877"/>
      <c r="C50" s="884"/>
      <c r="D50" s="884" t="s">
        <v>1634</v>
      </c>
      <c r="E50" s="655" t="s">
        <v>2601</v>
      </c>
      <c r="F50" s="561">
        <v>174233052</v>
      </c>
      <c r="G50" s="562">
        <v>174233052</v>
      </c>
      <c r="H50" s="561">
        <v>0</v>
      </c>
      <c r="I50" s="561">
        <v>0</v>
      </c>
      <c r="J50" s="562">
        <v>0</v>
      </c>
      <c r="K50" s="561">
        <v>0</v>
      </c>
      <c r="L50" s="561">
        <v>0</v>
      </c>
      <c r="M50" s="561">
        <v>0</v>
      </c>
      <c r="N50" s="561">
        <v>0</v>
      </c>
      <c r="O50" s="560">
        <v>0</v>
      </c>
      <c r="P50" s="449"/>
    </row>
    <row r="51" spans="1:16" s="247" customFormat="1" ht="12" customHeight="1" x14ac:dyDescent="0.25">
      <c r="A51" s="450"/>
      <c r="B51" s="877"/>
      <c r="C51" s="884"/>
      <c r="D51" s="884" t="s">
        <v>1634</v>
      </c>
      <c r="E51" s="655" t="s">
        <v>3212</v>
      </c>
      <c r="F51" s="561">
        <v>76535</v>
      </c>
      <c r="G51" s="562">
        <v>76535</v>
      </c>
      <c r="H51" s="561">
        <v>0</v>
      </c>
      <c r="I51" s="561">
        <v>0</v>
      </c>
      <c r="J51" s="562">
        <v>0</v>
      </c>
      <c r="K51" s="561">
        <v>0</v>
      </c>
      <c r="L51" s="561">
        <v>0</v>
      </c>
      <c r="M51" s="561">
        <v>0</v>
      </c>
      <c r="N51" s="561">
        <v>0</v>
      </c>
      <c r="O51" s="560">
        <v>0</v>
      </c>
      <c r="P51" s="449"/>
    </row>
    <row r="52" spans="1:16" s="247" customFormat="1" ht="12" customHeight="1" x14ac:dyDescent="0.25">
      <c r="A52" s="450"/>
      <c r="B52" s="877"/>
      <c r="C52" s="884"/>
      <c r="D52" s="884" t="s">
        <v>1634</v>
      </c>
      <c r="E52" s="655" t="s">
        <v>2676</v>
      </c>
      <c r="F52" s="561">
        <v>1347402</v>
      </c>
      <c r="G52" s="562">
        <v>1347402</v>
      </c>
      <c r="H52" s="561">
        <v>0</v>
      </c>
      <c r="I52" s="561">
        <v>0</v>
      </c>
      <c r="J52" s="562">
        <v>0</v>
      </c>
      <c r="K52" s="561">
        <v>0</v>
      </c>
      <c r="L52" s="561">
        <v>0</v>
      </c>
      <c r="M52" s="561">
        <v>0</v>
      </c>
      <c r="N52" s="561">
        <v>0</v>
      </c>
      <c r="O52" s="560">
        <v>0</v>
      </c>
      <c r="P52" s="449"/>
    </row>
    <row r="53" spans="1:16" s="247" customFormat="1" ht="12" customHeight="1" x14ac:dyDescent="0.25">
      <c r="A53" s="450"/>
      <c r="B53" s="877"/>
      <c r="C53" s="884" t="s">
        <v>1773</v>
      </c>
      <c r="D53" s="884" t="s">
        <v>2608</v>
      </c>
      <c r="E53" s="655" t="s">
        <v>26</v>
      </c>
      <c r="F53" s="561">
        <v>94428962</v>
      </c>
      <c r="G53" s="562">
        <v>94428962</v>
      </c>
      <c r="H53" s="561">
        <v>0</v>
      </c>
      <c r="I53" s="561">
        <v>0</v>
      </c>
      <c r="J53" s="562">
        <v>0</v>
      </c>
      <c r="K53" s="561">
        <v>0</v>
      </c>
      <c r="L53" s="561">
        <v>0</v>
      </c>
      <c r="M53" s="561">
        <v>0</v>
      </c>
      <c r="N53" s="561">
        <v>0</v>
      </c>
      <c r="O53" s="560">
        <v>0</v>
      </c>
      <c r="P53" s="449"/>
    </row>
    <row r="54" spans="1:16" s="247" customFormat="1" ht="12" hidden="1" customHeight="1" x14ac:dyDescent="0.25">
      <c r="A54" s="450"/>
      <c r="B54" s="877"/>
      <c r="C54" s="884"/>
      <c r="D54" s="884" t="s">
        <v>2608</v>
      </c>
      <c r="E54" s="655" t="s">
        <v>2601</v>
      </c>
      <c r="F54" s="561">
        <v>216861292</v>
      </c>
      <c r="G54" s="562">
        <v>0</v>
      </c>
      <c r="H54" s="561">
        <v>216861292</v>
      </c>
      <c r="I54" s="561">
        <v>0</v>
      </c>
      <c r="J54" s="562">
        <v>216861292</v>
      </c>
      <c r="K54" s="561">
        <v>0</v>
      </c>
      <c r="L54" s="561">
        <v>0</v>
      </c>
      <c r="M54" s="561">
        <v>0</v>
      </c>
      <c r="N54" s="561">
        <v>216861292</v>
      </c>
      <c r="O54" s="560">
        <v>0</v>
      </c>
      <c r="P54" s="449"/>
    </row>
    <row r="55" spans="1:16" s="247" customFormat="1" ht="12" customHeight="1" x14ac:dyDescent="0.25">
      <c r="A55" s="450"/>
      <c r="B55" s="877"/>
      <c r="C55" s="884"/>
      <c r="D55" s="884" t="s">
        <v>2608</v>
      </c>
      <c r="E55" s="655" t="s">
        <v>1221</v>
      </c>
      <c r="F55" s="561">
        <v>1931850</v>
      </c>
      <c r="G55" s="562">
        <v>1931850</v>
      </c>
      <c r="H55" s="561">
        <v>0</v>
      </c>
      <c r="I55" s="561">
        <v>0</v>
      </c>
      <c r="J55" s="562">
        <v>0</v>
      </c>
      <c r="K55" s="561">
        <v>0</v>
      </c>
      <c r="L55" s="561">
        <v>0</v>
      </c>
      <c r="M55" s="561">
        <v>0</v>
      </c>
      <c r="N55" s="561">
        <v>0</v>
      </c>
      <c r="O55" s="560">
        <v>0</v>
      </c>
      <c r="P55" s="449"/>
    </row>
    <row r="56" spans="1:16" s="247" customFormat="1" ht="12" customHeight="1" x14ac:dyDescent="0.25">
      <c r="A56" s="450"/>
      <c r="B56" s="877"/>
      <c r="C56" s="884" t="s">
        <v>1774</v>
      </c>
      <c r="D56" s="884" t="s">
        <v>2608</v>
      </c>
      <c r="E56" s="655" t="s">
        <v>26</v>
      </c>
      <c r="F56" s="561">
        <v>81330000</v>
      </c>
      <c r="G56" s="562">
        <v>81330000</v>
      </c>
      <c r="H56" s="561">
        <v>0</v>
      </c>
      <c r="I56" s="561">
        <v>0</v>
      </c>
      <c r="J56" s="562">
        <v>0</v>
      </c>
      <c r="K56" s="561">
        <v>0</v>
      </c>
      <c r="L56" s="561">
        <v>0</v>
      </c>
      <c r="M56" s="561">
        <v>0</v>
      </c>
      <c r="N56" s="561">
        <v>0</v>
      </c>
      <c r="O56" s="560">
        <v>0</v>
      </c>
      <c r="P56" s="449"/>
    </row>
    <row r="57" spans="1:16" s="247" customFormat="1" ht="12" hidden="1" customHeight="1" x14ac:dyDescent="0.25">
      <c r="A57" s="450"/>
      <c r="B57" s="877"/>
      <c r="C57" s="884"/>
      <c r="D57" s="884" t="s">
        <v>2608</v>
      </c>
      <c r="E57" s="655" t="s">
        <v>2601</v>
      </c>
      <c r="F57" s="561">
        <v>189754552</v>
      </c>
      <c r="G57" s="562">
        <v>189754552</v>
      </c>
      <c r="H57" s="561">
        <v>0</v>
      </c>
      <c r="I57" s="561">
        <v>0</v>
      </c>
      <c r="J57" s="562">
        <v>0</v>
      </c>
      <c r="K57" s="561">
        <v>0</v>
      </c>
      <c r="L57" s="561">
        <v>0</v>
      </c>
      <c r="M57" s="561">
        <v>0</v>
      </c>
      <c r="N57" s="561">
        <v>0</v>
      </c>
      <c r="O57" s="560">
        <v>0</v>
      </c>
      <c r="P57" s="449"/>
    </row>
    <row r="58" spans="1:16" s="247" customFormat="1" ht="12" customHeight="1" x14ac:dyDescent="0.25">
      <c r="A58" s="450"/>
      <c r="B58" s="877"/>
      <c r="C58" s="884"/>
      <c r="D58" s="884" t="s">
        <v>2608</v>
      </c>
      <c r="E58" s="655" t="s">
        <v>195</v>
      </c>
      <c r="F58" s="561">
        <v>2909987</v>
      </c>
      <c r="G58" s="562">
        <v>2909987</v>
      </c>
      <c r="H58" s="561">
        <v>0</v>
      </c>
      <c r="I58" s="561">
        <v>0</v>
      </c>
      <c r="J58" s="562">
        <v>0</v>
      </c>
      <c r="K58" s="561">
        <v>0</v>
      </c>
      <c r="L58" s="561">
        <v>0</v>
      </c>
      <c r="M58" s="561">
        <v>0</v>
      </c>
      <c r="N58" s="561">
        <v>0</v>
      </c>
      <c r="O58" s="560">
        <v>0</v>
      </c>
      <c r="P58" s="449"/>
    </row>
    <row r="59" spans="1:16" s="247" customFormat="1" ht="12" customHeight="1" x14ac:dyDescent="0.25">
      <c r="A59" s="450"/>
      <c r="B59" s="877"/>
      <c r="C59" s="884" t="s">
        <v>1775</v>
      </c>
      <c r="D59" s="884" t="s">
        <v>2602</v>
      </c>
      <c r="E59" s="655" t="s">
        <v>26</v>
      </c>
      <c r="F59" s="561">
        <v>104015698</v>
      </c>
      <c r="G59" s="562">
        <v>104015698</v>
      </c>
      <c r="H59" s="561">
        <v>0</v>
      </c>
      <c r="I59" s="561">
        <v>0</v>
      </c>
      <c r="J59" s="562">
        <v>0</v>
      </c>
      <c r="K59" s="561">
        <v>0</v>
      </c>
      <c r="L59" s="561">
        <v>0</v>
      </c>
      <c r="M59" s="561">
        <v>0</v>
      </c>
      <c r="N59" s="561">
        <v>0</v>
      </c>
      <c r="O59" s="560">
        <v>0</v>
      </c>
      <c r="P59" s="449"/>
    </row>
    <row r="60" spans="1:16" s="247" customFormat="1" ht="12" hidden="1" customHeight="1" x14ac:dyDescent="0.25">
      <c r="A60" s="450"/>
      <c r="B60" s="877"/>
      <c r="C60" s="884"/>
      <c r="D60" s="884" t="s">
        <v>2602</v>
      </c>
      <c r="E60" s="655" t="s">
        <v>1557</v>
      </c>
      <c r="F60" s="561">
        <v>242360302</v>
      </c>
      <c r="G60" s="562">
        <v>242360302</v>
      </c>
      <c r="H60" s="561">
        <v>0</v>
      </c>
      <c r="I60" s="561">
        <v>0</v>
      </c>
      <c r="J60" s="562">
        <v>0</v>
      </c>
      <c r="K60" s="561">
        <v>0</v>
      </c>
      <c r="L60" s="561">
        <v>0</v>
      </c>
      <c r="M60" s="561">
        <v>0</v>
      </c>
      <c r="N60" s="561">
        <v>0</v>
      </c>
      <c r="O60" s="560">
        <v>20470667</v>
      </c>
      <c r="P60" s="449"/>
    </row>
    <row r="61" spans="1:16" s="247" customFormat="1" ht="12" customHeight="1" x14ac:dyDescent="0.25">
      <c r="A61" s="450"/>
      <c r="B61" s="877"/>
      <c r="C61" s="884"/>
      <c r="D61" s="884" t="s">
        <v>2602</v>
      </c>
      <c r="E61" s="655" t="s">
        <v>822</v>
      </c>
      <c r="F61" s="561">
        <v>494624</v>
      </c>
      <c r="G61" s="562">
        <v>494624</v>
      </c>
      <c r="H61" s="561">
        <v>0</v>
      </c>
      <c r="I61" s="561">
        <v>0</v>
      </c>
      <c r="J61" s="562">
        <v>0</v>
      </c>
      <c r="K61" s="561">
        <v>0</v>
      </c>
      <c r="L61" s="561">
        <v>0</v>
      </c>
      <c r="M61" s="561">
        <v>0</v>
      </c>
      <c r="N61" s="561">
        <v>0</v>
      </c>
      <c r="O61" s="560">
        <v>0</v>
      </c>
      <c r="P61" s="449"/>
    </row>
    <row r="62" spans="1:16" s="247" customFormat="1" ht="12" customHeight="1" x14ac:dyDescent="0.25">
      <c r="A62" s="450"/>
      <c r="B62" s="877"/>
      <c r="C62" s="884"/>
      <c r="D62" s="884" t="s">
        <v>2602</v>
      </c>
      <c r="E62" s="655" t="s">
        <v>3212</v>
      </c>
      <c r="F62" s="561">
        <v>66359</v>
      </c>
      <c r="G62" s="562">
        <v>66359</v>
      </c>
      <c r="H62" s="561">
        <v>0</v>
      </c>
      <c r="I62" s="561">
        <v>0</v>
      </c>
      <c r="J62" s="562">
        <v>0</v>
      </c>
      <c r="K62" s="561">
        <v>0</v>
      </c>
      <c r="L62" s="561">
        <v>0</v>
      </c>
      <c r="M62" s="561">
        <v>0</v>
      </c>
      <c r="N62" s="561">
        <v>0</v>
      </c>
      <c r="O62" s="560">
        <v>0</v>
      </c>
      <c r="P62" s="449"/>
    </row>
    <row r="63" spans="1:16" s="247" customFormat="1" ht="12" customHeight="1" x14ac:dyDescent="0.25">
      <c r="A63" s="450"/>
      <c r="B63" s="877"/>
      <c r="C63" s="884"/>
      <c r="D63" s="884" t="s">
        <v>2602</v>
      </c>
      <c r="E63" s="655" t="s">
        <v>195</v>
      </c>
      <c r="F63" s="561">
        <v>2942922</v>
      </c>
      <c r="G63" s="562">
        <v>2942922</v>
      </c>
      <c r="H63" s="561">
        <v>0</v>
      </c>
      <c r="I63" s="561">
        <v>0</v>
      </c>
      <c r="J63" s="562">
        <v>0</v>
      </c>
      <c r="K63" s="561">
        <v>0</v>
      </c>
      <c r="L63" s="561">
        <v>0</v>
      </c>
      <c r="M63" s="561">
        <v>0</v>
      </c>
      <c r="N63" s="561">
        <v>0</v>
      </c>
      <c r="O63" s="560">
        <v>0</v>
      </c>
      <c r="P63" s="449"/>
    </row>
    <row r="64" spans="1:16" s="247" customFormat="1" ht="12" customHeight="1" x14ac:dyDescent="0.25">
      <c r="A64" s="450"/>
      <c r="B64" s="877"/>
      <c r="C64" s="884" t="s">
        <v>1776</v>
      </c>
      <c r="D64" s="884" t="s">
        <v>864</v>
      </c>
      <c r="E64" s="655" t="s">
        <v>26</v>
      </c>
      <c r="F64" s="561">
        <v>103817100</v>
      </c>
      <c r="G64" s="562">
        <v>103817100</v>
      </c>
      <c r="H64" s="561">
        <v>0</v>
      </c>
      <c r="I64" s="561">
        <v>0</v>
      </c>
      <c r="J64" s="562">
        <v>0</v>
      </c>
      <c r="K64" s="561">
        <v>0</v>
      </c>
      <c r="L64" s="561">
        <v>0</v>
      </c>
      <c r="M64" s="561">
        <v>0</v>
      </c>
      <c r="N64" s="561">
        <v>0</v>
      </c>
      <c r="O64" s="560">
        <v>0</v>
      </c>
      <c r="P64" s="449"/>
    </row>
    <row r="65" spans="1:16" s="247" customFormat="1" ht="12" hidden="1" customHeight="1" x14ac:dyDescent="0.25">
      <c r="A65" s="450"/>
      <c r="B65" s="877"/>
      <c r="C65" s="884"/>
      <c r="D65" s="884" t="s">
        <v>864</v>
      </c>
      <c r="E65" s="655" t="s">
        <v>2601</v>
      </c>
      <c r="F65" s="561">
        <v>242239900</v>
      </c>
      <c r="G65" s="562">
        <v>242239900</v>
      </c>
      <c r="H65" s="561">
        <v>0</v>
      </c>
      <c r="I65" s="561">
        <v>0</v>
      </c>
      <c r="J65" s="562">
        <v>0</v>
      </c>
      <c r="K65" s="561">
        <v>0</v>
      </c>
      <c r="L65" s="561">
        <v>0</v>
      </c>
      <c r="M65" s="561">
        <v>0</v>
      </c>
      <c r="N65" s="561">
        <v>0</v>
      </c>
      <c r="O65" s="560"/>
      <c r="P65" s="449"/>
    </row>
    <row r="66" spans="1:16" s="247" customFormat="1" ht="12" customHeight="1" x14ac:dyDescent="0.25">
      <c r="A66" s="450"/>
      <c r="B66" s="877"/>
      <c r="C66" s="884"/>
      <c r="D66" s="884" t="s">
        <v>864</v>
      </c>
      <c r="E66" s="655" t="s">
        <v>2676</v>
      </c>
      <c r="F66" s="561">
        <v>4250000</v>
      </c>
      <c r="G66" s="562">
        <v>4250000</v>
      </c>
      <c r="H66" s="561">
        <v>0</v>
      </c>
      <c r="I66" s="561">
        <v>0</v>
      </c>
      <c r="J66" s="562">
        <v>0</v>
      </c>
      <c r="K66" s="561">
        <v>0</v>
      </c>
      <c r="L66" s="561">
        <v>0</v>
      </c>
      <c r="M66" s="561">
        <v>0</v>
      </c>
      <c r="N66" s="561">
        <v>0</v>
      </c>
      <c r="O66" s="560"/>
      <c r="P66" s="449"/>
    </row>
    <row r="67" spans="1:16" s="247" customFormat="1" ht="12" customHeight="1" x14ac:dyDescent="0.25">
      <c r="A67" s="450"/>
      <c r="B67" s="877"/>
      <c r="C67" s="884" t="s">
        <v>1777</v>
      </c>
      <c r="D67" s="884" t="s">
        <v>1697</v>
      </c>
      <c r="E67" s="655" t="s">
        <v>26</v>
      </c>
      <c r="F67" s="561">
        <v>83572342</v>
      </c>
      <c r="G67" s="562">
        <v>83572342</v>
      </c>
      <c r="H67" s="561">
        <v>0</v>
      </c>
      <c r="I67" s="561">
        <v>0</v>
      </c>
      <c r="J67" s="562">
        <v>0</v>
      </c>
      <c r="K67" s="561">
        <v>0</v>
      </c>
      <c r="L67" s="561">
        <v>0</v>
      </c>
      <c r="M67" s="561">
        <v>0</v>
      </c>
      <c r="N67" s="561">
        <v>0</v>
      </c>
      <c r="O67" s="560">
        <v>0</v>
      </c>
      <c r="P67" s="449"/>
    </row>
    <row r="68" spans="1:16" s="247" customFormat="1" ht="12" hidden="1" customHeight="1" x14ac:dyDescent="0.25">
      <c r="A68" s="450"/>
      <c r="B68" s="877"/>
      <c r="C68" s="884"/>
      <c r="D68" s="884" t="s">
        <v>1697</v>
      </c>
      <c r="E68" s="655" t="s">
        <v>2601</v>
      </c>
      <c r="F68" s="561">
        <v>194999658</v>
      </c>
      <c r="G68" s="562">
        <v>194999658</v>
      </c>
      <c r="H68" s="561">
        <v>0</v>
      </c>
      <c r="I68" s="561">
        <v>0</v>
      </c>
      <c r="J68" s="562">
        <v>0</v>
      </c>
      <c r="K68" s="561">
        <v>0</v>
      </c>
      <c r="L68" s="561">
        <v>0</v>
      </c>
      <c r="M68" s="561">
        <v>0</v>
      </c>
      <c r="N68" s="561">
        <v>0</v>
      </c>
      <c r="O68" s="560">
        <v>0</v>
      </c>
      <c r="P68" s="449"/>
    </row>
    <row r="69" spans="1:16" s="247" customFormat="1" ht="12" customHeight="1" x14ac:dyDescent="0.25">
      <c r="A69" s="450"/>
      <c r="B69" s="877"/>
      <c r="C69" s="884"/>
      <c r="D69" s="884" t="s">
        <v>1697</v>
      </c>
      <c r="E69" s="655" t="s">
        <v>3212</v>
      </c>
      <c r="F69" s="561">
        <v>98000</v>
      </c>
      <c r="G69" s="562">
        <v>98000</v>
      </c>
      <c r="H69" s="561">
        <v>0</v>
      </c>
      <c r="I69" s="561">
        <v>0</v>
      </c>
      <c r="J69" s="562">
        <v>0</v>
      </c>
      <c r="K69" s="561">
        <v>0</v>
      </c>
      <c r="L69" s="561">
        <v>0</v>
      </c>
      <c r="M69" s="561">
        <v>0</v>
      </c>
      <c r="N69" s="561">
        <v>0</v>
      </c>
      <c r="O69" s="560">
        <v>0</v>
      </c>
      <c r="P69" s="449"/>
    </row>
    <row r="70" spans="1:16" s="247" customFormat="1" ht="12" customHeight="1" x14ac:dyDescent="0.25">
      <c r="A70" s="450"/>
      <c r="B70" s="877"/>
      <c r="C70" s="884" t="s">
        <v>1778</v>
      </c>
      <c r="D70" s="884" t="s">
        <v>1114</v>
      </c>
      <c r="E70" s="655" t="s">
        <v>26</v>
      </c>
      <c r="F70" s="561">
        <v>326655996</v>
      </c>
      <c r="G70" s="562">
        <v>326655996</v>
      </c>
      <c r="H70" s="561">
        <v>0</v>
      </c>
      <c r="I70" s="561">
        <v>0</v>
      </c>
      <c r="J70" s="562">
        <v>0</v>
      </c>
      <c r="K70" s="561">
        <v>0</v>
      </c>
      <c r="L70" s="561">
        <v>0</v>
      </c>
      <c r="M70" s="561">
        <v>0</v>
      </c>
      <c r="N70" s="561">
        <v>0</v>
      </c>
      <c r="O70" s="560">
        <v>0</v>
      </c>
      <c r="P70" s="449"/>
    </row>
    <row r="71" spans="1:16" s="247" customFormat="1" ht="12" customHeight="1" x14ac:dyDescent="0.25">
      <c r="A71" s="450"/>
      <c r="B71" s="877"/>
      <c r="C71" s="884"/>
      <c r="D71" s="884" t="s">
        <v>1114</v>
      </c>
      <c r="E71" s="655" t="s">
        <v>3212</v>
      </c>
      <c r="F71" s="561">
        <v>124613</v>
      </c>
      <c r="G71" s="562">
        <v>124613</v>
      </c>
      <c r="H71" s="561">
        <v>0</v>
      </c>
      <c r="I71" s="561">
        <v>0</v>
      </c>
      <c r="J71" s="562">
        <v>0</v>
      </c>
      <c r="K71" s="561">
        <v>0</v>
      </c>
      <c r="L71" s="561">
        <v>0</v>
      </c>
      <c r="M71" s="561">
        <v>0</v>
      </c>
      <c r="N71" s="561">
        <v>0</v>
      </c>
      <c r="O71" s="560">
        <v>0</v>
      </c>
      <c r="P71" s="449"/>
    </row>
    <row r="72" spans="1:16" s="247" customFormat="1" ht="12" customHeight="1" x14ac:dyDescent="0.25">
      <c r="A72" s="450"/>
      <c r="B72" s="877"/>
      <c r="C72" s="884" t="s">
        <v>1779</v>
      </c>
      <c r="D72" s="884" t="s">
        <v>1635</v>
      </c>
      <c r="E72" s="655" t="s">
        <v>26</v>
      </c>
      <c r="F72" s="561">
        <v>123517227</v>
      </c>
      <c r="G72" s="562">
        <v>123517227</v>
      </c>
      <c r="H72" s="561">
        <v>0</v>
      </c>
      <c r="I72" s="561">
        <v>0</v>
      </c>
      <c r="J72" s="562">
        <v>0</v>
      </c>
      <c r="K72" s="561">
        <v>0</v>
      </c>
      <c r="L72" s="561">
        <v>0</v>
      </c>
      <c r="M72" s="561">
        <v>0</v>
      </c>
      <c r="N72" s="561">
        <v>0</v>
      </c>
      <c r="O72" s="560">
        <v>0</v>
      </c>
      <c r="P72" s="449"/>
    </row>
    <row r="73" spans="1:16" s="247" customFormat="1" ht="12" hidden="1" customHeight="1" x14ac:dyDescent="0.25">
      <c r="A73" s="450"/>
      <c r="B73" s="877"/>
      <c r="C73" s="884"/>
      <c r="D73" s="884" t="s">
        <v>1635</v>
      </c>
      <c r="E73" s="655" t="s">
        <v>2601</v>
      </c>
      <c r="F73" s="561">
        <v>175000000</v>
      </c>
      <c r="G73" s="562">
        <v>175000000</v>
      </c>
      <c r="H73" s="561">
        <v>0</v>
      </c>
      <c r="I73" s="561">
        <v>0</v>
      </c>
      <c r="J73" s="562">
        <v>0</v>
      </c>
      <c r="K73" s="561">
        <v>0</v>
      </c>
      <c r="L73" s="561">
        <v>0</v>
      </c>
      <c r="M73" s="561">
        <v>0</v>
      </c>
      <c r="N73" s="561">
        <v>0</v>
      </c>
      <c r="O73" s="560">
        <v>0</v>
      </c>
      <c r="P73" s="449"/>
    </row>
    <row r="74" spans="1:16" s="247" customFormat="1" ht="12" customHeight="1" x14ac:dyDescent="0.25">
      <c r="A74" s="450"/>
      <c r="B74" s="877"/>
      <c r="C74" s="884"/>
      <c r="D74" s="884" t="s">
        <v>1635</v>
      </c>
      <c r="E74" s="655" t="s">
        <v>3212</v>
      </c>
      <c r="F74" s="561">
        <v>114713</v>
      </c>
      <c r="G74" s="562">
        <v>0</v>
      </c>
      <c r="H74" s="561">
        <v>114713</v>
      </c>
      <c r="I74" s="561">
        <v>0</v>
      </c>
      <c r="J74" s="562">
        <v>114713</v>
      </c>
      <c r="K74" s="561">
        <v>0</v>
      </c>
      <c r="L74" s="561">
        <v>0</v>
      </c>
      <c r="M74" s="561">
        <v>0</v>
      </c>
      <c r="N74" s="561">
        <v>114713</v>
      </c>
      <c r="O74" s="560">
        <v>0</v>
      </c>
      <c r="P74" s="449"/>
    </row>
    <row r="75" spans="1:16" s="247" customFormat="1" ht="12" customHeight="1" x14ac:dyDescent="0.25">
      <c r="A75" s="450"/>
      <c r="B75" s="877"/>
      <c r="C75" s="884" t="s">
        <v>1780</v>
      </c>
      <c r="D75" s="884" t="s">
        <v>865</v>
      </c>
      <c r="E75" s="655" t="s">
        <v>26</v>
      </c>
      <c r="F75" s="561">
        <v>81539888</v>
      </c>
      <c r="G75" s="562">
        <v>81539888</v>
      </c>
      <c r="H75" s="561">
        <v>0</v>
      </c>
      <c r="I75" s="561">
        <v>0</v>
      </c>
      <c r="J75" s="562">
        <v>0</v>
      </c>
      <c r="K75" s="561">
        <v>0</v>
      </c>
      <c r="L75" s="561">
        <v>0</v>
      </c>
      <c r="M75" s="561">
        <v>0</v>
      </c>
      <c r="N75" s="561">
        <v>0</v>
      </c>
      <c r="O75" s="560">
        <v>0</v>
      </c>
      <c r="P75" s="449"/>
    </row>
    <row r="76" spans="1:16" s="247" customFormat="1" ht="12" hidden="1" customHeight="1" x14ac:dyDescent="0.25">
      <c r="A76" s="450"/>
      <c r="B76" s="877"/>
      <c r="C76" s="884"/>
      <c r="D76" s="884" t="s">
        <v>865</v>
      </c>
      <c r="E76" s="655" t="s">
        <v>2601</v>
      </c>
      <c r="F76" s="561">
        <v>184789640</v>
      </c>
      <c r="G76" s="562">
        <v>184789640</v>
      </c>
      <c r="H76" s="561">
        <v>0</v>
      </c>
      <c r="I76" s="561">
        <v>0</v>
      </c>
      <c r="J76" s="562">
        <v>0</v>
      </c>
      <c r="K76" s="561">
        <v>0</v>
      </c>
      <c r="L76" s="561">
        <v>0</v>
      </c>
      <c r="M76" s="561">
        <v>0</v>
      </c>
      <c r="N76" s="561">
        <v>0</v>
      </c>
      <c r="O76" s="560">
        <v>0</v>
      </c>
      <c r="P76" s="449"/>
    </row>
    <row r="77" spans="1:16" s="247" customFormat="1" ht="12" customHeight="1" x14ac:dyDescent="0.25">
      <c r="A77" s="450"/>
      <c r="B77" s="877"/>
      <c r="C77" s="884"/>
      <c r="D77" s="884" t="s">
        <v>865</v>
      </c>
      <c r="E77" s="655" t="s">
        <v>3212</v>
      </c>
      <c r="F77" s="561">
        <v>105443</v>
      </c>
      <c r="G77" s="562">
        <v>0</v>
      </c>
      <c r="H77" s="561">
        <v>105443</v>
      </c>
      <c r="I77" s="561">
        <v>0</v>
      </c>
      <c r="J77" s="562">
        <v>105443</v>
      </c>
      <c r="K77" s="561">
        <v>0</v>
      </c>
      <c r="L77" s="561">
        <v>0</v>
      </c>
      <c r="M77" s="561">
        <v>0</v>
      </c>
      <c r="N77" s="561">
        <v>105443</v>
      </c>
      <c r="O77" s="560">
        <v>0</v>
      </c>
      <c r="P77" s="449"/>
    </row>
    <row r="78" spans="1:16" s="247" customFormat="1" ht="12" customHeight="1" x14ac:dyDescent="0.25">
      <c r="A78" s="450"/>
      <c r="B78" s="877"/>
      <c r="C78" s="884" t="s">
        <v>1781</v>
      </c>
      <c r="D78" s="884" t="s">
        <v>1698</v>
      </c>
      <c r="E78" s="655" t="s">
        <v>26</v>
      </c>
      <c r="F78" s="561">
        <v>322048531</v>
      </c>
      <c r="G78" s="562">
        <v>322048531</v>
      </c>
      <c r="H78" s="561">
        <v>0</v>
      </c>
      <c r="I78" s="561">
        <v>0</v>
      </c>
      <c r="J78" s="562">
        <v>0</v>
      </c>
      <c r="K78" s="561">
        <v>0</v>
      </c>
      <c r="L78" s="561">
        <v>0</v>
      </c>
      <c r="M78" s="561">
        <v>0</v>
      </c>
      <c r="N78" s="561">
        <v>0</v>
      </c>
      <c r="O78" s="560">
        <v>0</v>
      </c>
      <c r="P78" s="449"/>
    </row>
    <row r="79" spans="1:16" s="247" customFormat="1" ht="12" customHeight="1" x14ac:dyDescent="0.25">
      <c r="A79" s="450"/>
      <c r="B79" s="877"/>
      <c r="C79" s="884"/>
      <c r="D79" s="884" t="s">
        <v>1698</v>
      </c>
      <c r="E79" s="655" t="s">
        <v>3212</v>
      </c>
      <c r="F79" s="561">
        <v>167905</v>
      </c>
      <c r="G79" s="562">
        <v>167905</v>
      </c>
      <c r="H79" s="561">
        <v>0</v>
      </c>
      <c r="I79" s="561">
        <v>0</v>
      </c>
      <c r="J79" s="562">
        <v>0</v>
      </c>
      <c r="K79" s="561">
        <v>0</v>
      </c>
      <c r="L79" s="561">
        <v>0</v>
      </c>
      <c r="M79" s="561">
        <v>0</v>
      </c>
      <c r="N79" s="561">
        <v>0</v>
      </c>
      <c r="O79" s="560">
        <v>0</v>
      </c>
      <c r="P79" s="449"/>
    </row>
    <row r="80" spans="1:16" s="247" customFormat="1" ht="12" customHeight="1" x14ac:dyDescent="0.25">
      <c r="A80" s="450"/>
      <c r="B80" s="877"/>
      <c r="C80" s="884"/>
      <c r="D80" s="884" t="s">
        <v>1698</v>
      </c>
      <c r="E80" s="655" t="s">
        <v>1221</v>
      </c>
      <c r="F80" s="561">
        <v>1931850</v>
      </c>
      <c r="G80" s="562">
        <v>1931850</v>
      </c>
      <c r="H80" s="561">
        <v>0</v>
      </c>
      <c r="I80" s="561">
        <v>0</v>
      </c>
      <c r="J80" s="562">
        <v>0</v>
      </c>
      <c r="K80" s="561">
        <v>0</v>
      </c>
      <c r="L80" s="561">
        <v>0</v>
      </c>
      <c r="M80" s="561">
        <v>0</v>
      </c>
      <c r="N80" s="561">
        <v>0</v>
      </c>
      <c r="O80" s="560">
        <v>0</v>
      </c>
      <c r="P80" s="449"/>
    </row>
    <row r="81" spans="1:16" s="247" customFormat="1" ht="12" customHeight="1" x14ac:dyDescent="0.25">
      <c r="A81" s="450"/>
      <c r="B81" s="877"/>
      <c r="C81" s="884" t="s">
        <v>1782</v>
      </c>
      <c r="D81" s="884" t="s">
        <v>866</v>
      </c>
      <c r="E81" s="655" t="s">
        <v>26</v>
      </c>
      <c r="F81" s="561">
        <v>94846488</v>
      </c>
      <c r="G81" s="562">
        <v>94846488</v>
      </c>
      <c r="H81" s="561">
        <v>0</v>
      </c>
      <c r="I81" s="561">
        <v>0</v>
      </c>
      <c r="J81" s="562">
        <v>0</v>
      </c>
      <c r="K81" s="561">
        <v>0</v>
      </c>
      <c r="L81" s="561">
        <v>0</v>
      </c>
      <c r="M81" s="561">
        <v>0</v>
      </c>
      <c r="N81" s="561">
        <v>0</v>
      </c>
      <c r="O81" s="560">
        <v>0</v>
      </c>
      <c r="P81" s="449"/>
    </row>
    <row r="82" spans="1:16" s="247" customFormat="1" ht="12" hidden="1" customHeight="1" x14ac:dyDescent="0.25">
      <c r="A82" s="450"/>
      <c r="B82" s="877"/>
      <c r="C82" s="884"/>
      <c r="D82" s="884" t="s">
        <v>866</v>
      </c>
      <c r="E82" s="655" t="s">
        <v>1557</v>
      </c>
      <c r="F82" s="561">
        <v>225816123</v>
      </c>
      <c r="G82" s="562">
        <v>225816123</v>
      </c>
      <c r="H82" s="561">
        <v>0</v>
      </c>
      <c r="I82" s="561">
        <v>0</v>
      </c>
      <c r="J82" s="562">
        <v>0</v>
      </c>
      <c r="K82" s="561">
        <v>0</v>
      </c>
      <c r="L82" s="561">
        <v>0</v>
      </c>
      <c r="M82" s="561">
        <v>0</v>
      </c>
      <c r="N82" s="561">
        <v>0</v>
      </c>
      <c r="O82" s="560">
        <v>0</v>
      </c>
      <c r="P82" s="449"/>
    </row>
    <row r="83" spans="1:16" s="247" customFormat="1" ht="12" customHeight="1" x14ac:dyDescent="0.25">
      <c r="A83" s="450"/>
      <c r="B83" s="877"/>
      <c r="C83" s="884"/>
      <c r="D83" s="884" t="s">
        <v>866</v>
      </c>
      <c r="E83" s="655" t="s">
        <v>822</v>
      </c>
      <c r="F83" s="561">
        <v>460664</v>
      </c>
      <c r="G83" s="562">
        <v>460664</v>
      </c>
      <c r="H83" s="561">
        <v>0</v>
      </c>
      <c r="I83" s="561">
        <v>0</v>
      </c>
      <c r="J83" s="562">
        <v>0</v>
      </c>
      <c r="K83" s="561">
        <v>0</v>
      </c>
      <c r="L83" s="561">
        <v>0</v>
      </c>
      <c r="M83" s="561">
        <v>0</v>
      </c>
      <c r="N83" s="561">
        <v>0</v>
      </c>
      <c r="O83" s="560">
        <v>0</v>
      </c>
      <c r="P83" s="449"/>
    </row>
    <row r="84" spans="1:16" s="247" customFormat="1" ht="12" customHeight="1" x14ac:dyDescent="0.25">
      <c r="A84" s="450"/>
      <c r="B84" s="877"/>
      <c r="C84" s="884"/>
      <c r="D84" s="884" t="s">
        <v>866</v>
      </c>
      <c r="E84" s="655" t="s">
        <v>3212</v>
      </c>
      <c r="F84" s="561">
        <v>119044</v>
      </c>
      <c r="G84" s="562">
        <v>119044</v>
      </c>
      <c r="H84" s="561">
        <v>0</v>
      </c>
      <c r="I84" s="561">
        <v>0</v>
      </c>
      <c r="J84" s="562">
        <v>0</v>
      </c>
      <c r="K84" s="561">
        <v>0</v>
      </c>
      <c r="L84" s="561">
        <v>0</v>
      </c>
      <c r="M84" s="561">
        <v>0</v>
      </c>
      <c r="N84" s="561">
        <v>0</v>
      </c>
      <c r="O84" s="560">
        <v>0</v>
      </c>
      <c r="P84" s="449"/>
    </row>
    <row r="85" spans="1:16" s="247" customFormat="1" ht="12" customHeight="1" x14ac:dyDescent="0.25">
      <c r="A85" s="450"/>
      <c r="B85" s="877"/>
      <c r="C85" s="884"/>
      <c r="D85" s="884" t="s">
        <v>866</v>
      </c>
      <c r="E85" s="655" t="s">
        <v>195</v>
      </c>
      <c r="F85" s="561">
        <v>279258</v>
      </c>
      <c r="G85" s="562">
        <v>279258</v>
      </c>
      <c r="H85" s="561">
        <v>0</v>
      </c>
      <c r="I85" s="561">
        <v>0</v>
      </c>
      <c r="J85" s="562">
        <v>0</v>
      </c>
      <c r="K85" s="561">
        <v>0</v>
      </c>
      <c r="L85" s="561">
        <v>0</v>
      </c>
      <c r="M85" s="561">
        <v>0</v>
      </c>
      <c r="N85" s="561">
        <v>0</v>
      </c>
      <c r="O85" s="560">
        <v>9361226</v>
      </c>
      <c r="P85" s="449"/>
    </row>
    <row r="86" spans="1:16" s="247" customFormat="1" ht="12" customHeight="1" x14ac:dyDescent="0.25">
      <c r="A86" s="450"/>
      <c r="B86" s="877"/>
      <c r="C86" s="884"/>
      <c r="D86" s="884" t="s">
        <v>866</v>
      </c>
      <c r="E86" s="655" t="s">
        <v>2676</v>
      </c>
      <c r="F86" s="561">
        <v>541881</v>
      </c>
      <c r="G86" s="562">
        <v>541881</v>
      </c>
      <c r="H86" s="561">
        <v>0</v>
      </c>
      <c r="I86" s="561">
        <v>0</v>
      </c>
      <c r="J86" s="562">
        <v>0</v>
      </c>
      <c r="K86" s="561">
        <v>0</v>
      </c>
      <c r="L86" s="561">
        <v>0</v>
      </c>
      <c r="M86" s="561">
        <v>0</v>
      </c>
      <c r="N86" s="561">
        <v>0</v>
      </c>
      <c r="O86" s="560">
        <v>0</v>
      </c>
      <c r="P86" s="449"/>
    </row>
    <row r="87" spans="1:16" s="247" customFormat="1" ht="12" customHeight="1" x14ac:dyDescent="0.25">
      <c r="A87" s="450"/>
      <c r="B87" s="877"/>
      <c r="C87" s="884"/>
      <c r="D87" s="884" t="s">
        <v>866</v>
      </c>
      <c r="E87" s="655" t="s">
        <v>1221</v>
      </c>
      <c r="F87" s="561">
        <v>1931850</v>
      </c>
      <c r="G87" s="562">
        <v>1931850</v>
      </c>
      <c r="H87" s="561">
        <v>0</v>
      </c>
      <c r="I87" s="561">
        <v>0</v>
      </c>
      <c r="J87" s="562">
        <v>0</v>
      </c>
      <c r="K87" s="561">
        <v>0</v>
      </c>
      <c r="L87" s="561">
        <v>0</v>
      </c>
      <c r="M87" s="561">
        <v>0</v>
      </c>
      <c r="N87" s="561">
        <v>0</v>
      </c>
      <c r="O87" s="560">
        <v>0</v>
      </c>
      <c r="P87" s="449"/>
    </row>
    <row r="88" spans="1:16" s="247" customFormat="1" ht="12" customHeight="1" x14ac:dyDescent="0.25">
      <c r="A88" s="450"/>
      <c r="B88" s="877"/>
      <c r="C88" s="884" t="s">
        <v>2236</v>
      </c>
      <c r="D88" s="884" t="s">
        <v>2237</v>
      </c>
      <c r="E88" s="655" t="s">
        <v>26</v>
      </c>
      <c r="F88" s="561">
        <v>89380462</v>
      </c>
      <c r="G88" s="562">
        <v>89380462</v>
      </c>
      <c r="H88" s="561">
        <v>0</v>
      </c>
      <c r="I88" s="561">
        <v>0</v>
      </c>
      <c r="J88" s="562">
        <v>0</v>
      </c>
      <c r="K88" s="561">
        <v>0</v>
      </c>
      <c r="L88" s="561">
        <v>0</v>
      </c>
      <c r="M88" s="561">
        <v>0</v>
      </c>
      <c r="N88" s="561">
        <v>0</v>
      </c>
      <c r="O88" s="560">
        <v>0</v>
      </c>
      <c r="P88" s="449"/>
    </row>
    <row r="89" spans="1:16" s="247" customFormat="1" ht="12" hidden="1" customHeight="1" x14ac:dyDescent="0.25">
      <c r="A89" s="450"/>
      <c r="B89" s="877"/>
      <c r="C89" s="884"/>
      <c r="D89" s="884" t="s">
        <v>2237</v>
      </c>
      <c r="E89" s="655" t="s">
        <v>2601</v>
      </c>
      <c r="F89" s="561">
        <v>229780877</v>
      </c>
      <c r="G89" s="562">
        <v>229780877</v>
      </c>
      <c r="H89" s="561">
        <v>0</v>
      </c>
      <c r="I89" s="561">
        <v>0</v>
      </c>
      <c r="J89" s="562">
        <v>0</v>
      </c>
      <c r="K89" s="561">
        <v>0</v>
      </c>
      <c r="L89" s="561">
        <v>0</v>
      </c>
      <c r="M89" s="561">
        <v>0</v>
      </c>
      <c r="N89" s="561">
        <v>0</v>
      </c>
      <c r="O89" s="560">
        <v>0</v>
      </c>
      <c r="P89" s="449"/>
    </row>
    <row r="90" spans="1:16" s="247" customFormat="1" ht="12" customHeight="1" x14ac:dyDescent="0.25">
      <c r="A90" s="450"/>
      <c r="B90" s="877"/>
      <c r="C90" s="884"/>
      <c r="D90" s="884" t="s">
        <v>2237</v>
      </c>
      <c r="E90" s="655" t="s">
        <v>3212</v>
      </c>
      <c r="F90" s="561">
        <v>89981</v>
      </c>
      <c r="G90" s="562">
        <v>0</v>
      </c>
      <c r="H90" s="561">
        <v>89981</v>
      </c>
      <c r="I90" s="561">
        <v>0</v>
      </c>
      <c r="J90" s="562">
        <v>89981</v>
      </c>
      <c r="K90" s="561">
        <v>0</v>
      </c>
      <c r="L90" s="561">
        <v>0</v>
      </c>
      <c r="M90" s="561">
        <v>0</v>
      </c>
      <c r="N90" s="561">
        <v>89981</v>
      </c>
      <c r="O90" s="560">
        <v>0</v>
      </c>
      <c r="P90" s="449"/>
    </row>
    <row r="91" spans="1:16" s="247" customFormat="1" ht="12" customHeight="1" x14ac:dyDescent="0.25">
      <c r="A91" s="450"/>
      <c r="B91" s="877"/>
      <c r="C91" s="884"/>
      <c r="D91" s="884" t="s">
        <v>2237</v>
      </c>
      <c r="E91" s="655" t="s">
        <v>1221</v>
      </c>
      <c r="F91" s="561">
        <v>9147381</v>
      </c>
      <c r="G91" s="562">
        <v>9147381</v>
      </c>
      <c r="H91" s="561">
        <v>0</v>
      </c>
      <c r="I91" s="561">
        <v>0</v>
      </c>
      <c r="J91" s="562">
        <v>0</v>
      </c>
      <c r="K91" s="561">
        <v>0</v>
      </c>
      <c r="L91" s="561">
        <v>0</v>
      </c>
      <c r="M91" s="561">
        <v>0</v>
      </c>
      <c r="N91" s="561">
        <v>0</v>
      </c>
      <c r="O91" s="560">
        <v>0</v>
      </c>
      <c r="P91" s="449"/>
    </row>
    <row r="92" spans="1:16" s="247" customFormat="1" ht="12" customHeight="1" x14ac:dyDescent="0.25">
      <c r="A92" s="450"/>
      <c r="B92" s="877"/>
      <c r="C92" s="884" t="s">
        <v>4273</v>
      </c>
      <c r="D92" s="884" t="s">
        <v>4274</v>
      </c>
      <c r="E92" s="655" t="s">
        <v>26</v>
      </c>
      <c r="F92" s="561">
        <v>93000000</v>
      </c>
      <c r="G92" s="562">
        <v>49500000</v>
      </c>
      <c r="H92" s="561">
        <v>43500000</v>
      </c>
      <c r="I92" s="561">
        <v>43500000</v>
      </c>
      <c r="J92" s="562">
        <v>0</v>
      </c>
      <c r="K92" s="561">
        <v>0</v>
      </c>
      <c r="L92" s="561">
        <v>0</v>
      </c>
      <c r="M92" s="561">
        <v>0</v>
      </c>
      <c r="N92" s="561">
        <v>0</v>
      </c>
      <c r="O92" s="560">
        <v>0</v>
      </c>
      <c r="P92" s="449"/>
    </row>
    <row r="93" spans="1:16" s="247" customFormat="1" ht="12" hidden="1" customHeight="1" x14ac:dyDescent="0.25">
      <c r="A93" s="450"/>
      <c r="B93" s="877"/>
      <c r="C93" s="884"/>
      <c r="D93" s="884" t="s">
        <v>4274</v>
      </c>
      <c r="E93" s="655" t="s">
        <v>1557</v>
      </c>
      <c r="F93" s="561">
        <v>307976000</v>
      </c>
      <c r="G93" s="562">
        <v>0</v>
      </c>
      <c r="H93" s="561">
        <v>307976000</v>
      </c>
      <c r="I93" s="561">
        <v>307976000</v>
      </c>
      <c r="J93" s="562">
        <v>0</v>
      </c>
      <c r="K93" s="561">
        <v>0</v>
      </c>
      <c r="L93" s="561">
        <v>0</v>
      </c>
      <c r="M93" s="561">
        <v>0</v>
      </c>
      <c r="N93" s="561">
        <v>0</v>
      </c>
      <c r="O93" s="560">
        <v>0</v>
      </c>
      <c r="P93" s="449"/>
    </row>
    <row r="94" spans="1:16" s="247" customFormat="1" ht="12" customHeight="1" x14ac:dyDescent="0.25">
      <c r="A94" s="450"/>
      <c r="B94" s="877"/>
      <c r="C94" s="884"/>
      <c r="D94" s="884" t="s">
        <v>4274</v>
      </c>
      <c r="E94" s="655" t="s">
        <v>1221</v>
      </c>
      <c r="F94" s="561">
        <v>14906392</v>
      </c>
      <c r="G94" s="562">
        <v>2500000</v>
      </c>
      <c r="H94" s="561">
        <v>12406392</v>
      </c>
      <c r="I94" s="561">
        <v>12406392</v>
      </c>
      <c r="J94" s="562">
        <v>0</v>
      </c>
      <c r="K94" s="561">
        <v>0</v>
      </c>
      <c r="L94" s="561">
        <v>0</v>
      </c>
      <c r="M94" s="561">
        <v>0</v>
      </c>
      <c r="N94" s="561">
        <v>0</v>
      </c>
      <c r="O94" s="560">
        <v>0</v>
      </c>
      <c r="P94" s="449"/>
    </row>
    <row r="95" spans="1:16" s="247" customFormat="1" ht="12" customHeight="1" x14ac:dyDescent="0.25">
      <c r="A95" s="450"/>
      <c r="B95" s="877"/>
      <c r="C95" s="884" t="s">
        <v>1783</v>
      </c>
      <c r="D95" s="884" t="s">
        <v>868</v>
      </c>
      <c r="E95" s="655" t="s">
        <v>26</v>
      </c>
      <c r="F95" s="561">
        <v>293843906</v>
      </c>
      <c r="G95" s="562">
        <v>293843906</v>
      </c>
      <c r="H95" s="561">
        <v>0</v>
      </c>
      <c r="I95" s="561">
        <v>0</v>
      </c>
      <c r="J95" s="562">
        <v>0</v>
      </c>
      <c r="K95" s="561">
        <v>0</v>
      </c>
      <c r="L95" s="561">
        <v>0</v>
      </c>
      <c r="M95" s="561">
        <v>0</v>
      </c>
      <c r="N95" s="561">
        <v>0</v>
      </c>
      <c r="O95" s="560">
        <v>0</v>
      </c>
      <c r="P95" s="449"/>
    </row>
    <row r="96" spans="1:16" s="247" customFormat="1" ht="12" customHeight="1" x14ac:dyDescent="0.25">
      <c r="A96" s="450"/>
      <c r="B96" s="877"/>
      <c r="C96" s="884"/>
      <c r="D96" s="884" t="s">
        <v>868</v>
      </c>
      <c r="E96" s="655" t="s">
        <v>1221</v>
      </c>
      <c r="F96" s="561">
        <v>1931850</v>
      </c>
      <c r="G96" s="562">
        <v>1931850</v>
      </c>
      <c r="H96" s="561">
        <v>0</v>
      </c>
      <c r="I96" s="561">
        <v>0</v>
      </c>
      <c r="J96" s="562">
        <v>0</v>
      </c>
      <c r="K96" s="561">
        <v>0</v>
      </c>
      <c r="L96" s="561">
        <v>0</v>
      </c>
      <c r="M96" s="561">
        <v>0</v>
      </c>
      <c r="N96" s="561">
        <v>0</v>
      </c>
      <c r="O96" s="560">
        <v>0</v>
      </c>
      <c r="P96" s="449"/>
    </row>
    <row r="97" spans="1:16" s="247" customFormat="1" ht="12" customHeight="1" x14ac:dyDescent="0.25">
      <c r="A97" s="450"/>
      <c r="B97" s="877"/>
      <c r="C97" s="884" t="s">
        <v>1784</v>
      </c>
      <c r="D97" s="884" t="s">
        <v>1636</v>
      </c>
      <c r="E97" s="655" t="s">
        <v>26</v>
      </c>
      <c r="F97" s="561">
        <v>82251600</v>
      </c>
      <c r="G97" s="562">
        <v>82251600</v>
      </c>
      <c r="H97" s="561">
        <v>0</v>
      </c>
      <c r="I97" s="561">
        <v>0</v>
      </c>
      <c r="J97" s="562">
        <v>0</v>
      </c>
      <c r="K97" s="561">
        <v>0</v>
      </c>
      <c r="L97" s="561">
        <v>0</v>
      </c>
      <c r="M97" s="561">
        <v>0</v>
      </c>
      <c r="N97" s="561">
        <v>0</v>
      </c>
      <c r="O97" s="560">
        <v>0</v>
      </c>
      <c r="P97" s="449"/>
    </row>
    <row r="98" spans="1:16" s="247" customFormat="1" ht="12" hidden="1" customHeight="1" x14ac:dyDescent="0.25">
      <c r="A98" s="450"/>
      <c r="B98" s="877"/>
      <c r="C98" s="884"/>
      <c r="D98" s="884" t="s">
        <v>1636</v>
      </c>
      <c r="E98" s="655" t="s">
        <v>1557</v>
      </c>
      <c r="F98" s="561">
        <v>191920400</v>
      </c>
      <c r="G98" s="562">
        <v>191920400</v>
      </c>
      <c r="H98" s="561">
        <v>0</v>
      </c>
      <c r="I98" s="561">
        <v>0</v>
      </c>
      <c r="J98" s="562">
        <v>0</v>
      </c>
      <c r="K98" s="561">
        <v>0</v>
      </c>
      <c r="L98" s="561">
        <v>0</v>
      </c>
      <c r="M98" s="561">
        <v>0</v>
      </c>
      <c r="N98" s="561">
        <v>0</v>
      </c>
      <c r="O98" s="560">
        <v>0</v>
      </c>
      <c r="P98" s="449"/>
    </row>
    <row r="99" spans="1:16" s="247" customFormat="1" ht="12" customHeight="1" x14ac:dyDescent="0.25">
      <c r="A99" s="450"/>
      <c r="B99" s="877"/>
      <c r="C99" s="884"/>
      <c r="D99" s="884" t="s">
        <v>1636</v>
      </c>
      <c r="E99" s="655" t="s">
        <v>3212</v>
      </c>
      <c r="F99" s="561">
        <v>134445</v>
      </c>
      <c r="G99" s="562">
        <v>134445</v>
      </c>
      <c r="H99" s="561">
        <v>0</v>
      </c>
      <c r="I99" s="561">
        <v>0</v>
      </c>
      <c r="J99" s="562">
        <v>0</v>
      </c>
      <c r="K99" s="561">
        <v>0</v>
      </c>
      <c r="L99" s="561">
        <v>0</v>
      </c>
      <c r="M99" s="561">
        <v>0</v>
      </c>
      <c r="N99" s="561">
        <v>0</v>
      </c>
      <c r="O99" s="560">
        <v>0</v>
      </c>
      <c r="P99" s="449"/>
    </row>
    <row r="100" spans="1:16" s="247" customFormat="1" ht="12" customHeight="1" x14ac:dyDescent="0.25">
      <c r="A100" s="450"/>
      <c r="B100" s="877"/>
      <c r="C100" s="884"/>
      <c r="D100" s="884" t="s">
        <v>1636</v>
      </c>
      <c r="E100" s="655" t="s">
        <v>2676</v>
      </c>
      <c r="F100" s="561">
        <v>614145</v>
      </c>
      <c r="G100" s="562">
        <v>614145</v>
      </c>
      <c r="H100" s="561">
        <v>0</v>
      </c>
      <c r="I100" s="561">
        <v>0</v>
      </c>
      <c r="J100" s="562">
        <v>0</v>
      </c>
      <c r="K100" s="561">
        <v>0</v>
      </c>
      <c r="L100" s="561">
        <v>0</v>
      </c>
      <c r="M100" s="561">
        <v>0</v>
      </c>
      <c r="N100" s="561">
        <v>0</v>
      </c>
      <c r="O100" s="560">
        <v>0</v>
      </c>
      <c r="P100" s="449"/>
    </row>
    <row r="101" spans="1:16" s="247" customFormat="1" ht="12" customHeight="1" x14ac:dyDescent="0.25">
      <c r="A101" s="450"/>
      <c r="B101" s="877"/>
      <c r="C101" s="884" t="s">
        <v>1785</v>
      </c>
      <c r="D101" s="884" t="s">
        <v>867</v>
      </c>
      <c r="E101" s="655" t="s">
        <v>26</v>
      </c>
      <c r="F101" s="561">
        <v>337699997</v>
      </c>
      <c r="G101" s="562">
        <v>337699997</v>
      </c>
      <c r="H101" s="561">
        <v>0</v>
      </c>
      <c r="I101" s="561">
        <v>0</v>
      </c>
      <c r="J101" s="562">
        <v>0</v>
      </c>
      <c r="K101" s="561">
        <v>0</v>
      </c>
      <c r="L101" s="561">
        <v>0</v>
      </c>
      <c r="M101" s="561">
        <v>0</v>
      </c>
      <c r="N101" s="561">
        <v>0</v>
      </c>
      <c r="O101" s="560">
        <v>0</v>
      </c>
      <c r="P101" s="449"/>
    </row>
    <row r="102" spans="1:16" s="247" customFormat="1" ht="12" customHeight="1" x14ac:dyDescent="0.25">
      <c r="A102" s="450"/>
      <c r="B102" s="877"/>
      <c r="C102" s="884"/>
      <c r="D102" s="884" t="s">
        <v>867</v>
      </c>
      <c r="E102" s="655" t="s">
        <v>3212</v>
      </c>
      <c r="F102" s="561">
        <v>180626</v>
      </c>
      <c r="G102" s="562">
        <v>180626</v>
      </c>
      <c r="H102" s="561">
        <v>0</v>
      </c>
      <c r="I102" s="561">
        <v>0</v>
      </c>
      <c r="J102" s="562">
        <v>0</v>
      </c>
      <c r="K102" s="561">
        <v>0</v>
      </c>
      <c r="L102" s="561">
        <v>0</v>
      </c>
      <c r="M102" s="561">
        <v>0</v>
      </c>
      <c r="N102" s="561">
        <v>0</v>
      </c>
      <c r="O102" s="560">
        <v>0</v>
      </c>
      <c r="P102" s="449"/>
    </row>
    <row r="103" spans="1:16" s="247" customFormat="1" ht="12" customHeight="1" x14ac:dyDescent="0.25">
      <c r="A103" s="450"/>
      <c r="B103" s="877"/>
      <c r="C103" s="884"/>
      <c r="D103" s="884" t="s">
        <v>867</v>
      </c>
      <c r="E103" s="655" t="s">
        <v>1221</v>
      </c>
      <c r="F103" s="561">
        <v>1931850</v>
      </c>
      <c r="G103" s="562">
        <v>1931850</v>
      </c>
      <c r="H103" s="561">
        <v>0</v>
      </c>
      <c r="I103" s="561">
        <v>0</v>
      </c>
      <c r="J103" s="562">
        <v>0</v>
      </c>
      <c r="K103" s="561">
        <v>0</v>
      </c>
      <c r="L103" s="561">
        <v>0</v>
      </c>
      <c r="M103" s="561">
        <v>0</v>
      </c>
      <c r="N103" s="561">
        <v>0</v>
      </c>
      <c r="O103" s="560">
        <v>0</v>
      </c>
      <c r="P103" s="449"/>
    </row>
    <row r="104" spans="1:16" s="247" customFormat="1" ht="12" customHeight="1" x14ac:dyDescent="0.25">
      <c r="A104" s="450"/>
      <c r="B104" s="877"/>
      <c r="C104" s="884" t="s">
        <v>1786</v>
      </c>
      <c r="D104" s="884" t="s">
        <v>1072</v>
      </c>
      <c r="E104" s="655" t="s">
        <v>26</v>
      </c>
      <c r="F104" s="561">
        <v>91752518</v>
      </c>
      <c r="G104" s="562">
        <v>91752518</v>
      </c>
      <c r="H104" s="561">
        <v>0</v>
      </c>
      <c r="I104" s="561">
        <v>0</v>
      </c>
      <c r="J104" s="562">
        <v>0</v>
      </c>
      <c r="K104" s="561">
        <v>0</v>
      </c>
      <c r="L104" s="561">
        <v>0</v>
      </c>
      <c r="M104" s="561">
        <v>0</v>
      </c>
      <c r="N104" s="561">
        <v>0</v>
      </c>
      <c r="O104" s="560">
        <v>0</v>
      </c>
      <c r="P104" s="449"/>
    </row>
    <row r="105" spans="1:16" s="247" customFormat="1" ht="12" customHeight="1" x14ac:dyDescent="0.25">
      <c r="A105" s="450"/>
      <c r="B105" s="877"/>
      <c r="C105" s="884"/>
      <c r="D105" s="884" t="s">
        <v>1072</v>
      </c>
      <c r="E105" s="655" t="s">
        <v>900</v>
      </c>
      <c r="F105" s="561">
        <v>14000000</v>
      </c>
      <c r="G105" s="562">
        <v>14000000</v>
      </c>
      <c r="H105" s="561">
        <v>0</v>
      </c>
      <c r="I105" s="561">
        <v>0</v>
      </c>
      <c r="J105" s="562">
        <v>0</v>
      </c>
      <c r="K105" s="561">
        <v>0</v>
      </c>
      <c r="L105" s="561">
        <v>0</v>
      </c>
      <c r="M105" s="561">
        <v>0</v>
      </c>
      <c r="N105" s="561">
        <v>0</v>
      </c>
      <c r="O105" s="560">
        <v>0</v>
      </c>
      <c r="P105" s="449"/>
    </row>
    <row r="106" spans="1:16" s="247" customFormat="1" ht="12" hidden="1" customHeight="1" x14ac:dyDescent="0.25">
      <c r="A106" s="450"/>
      <c r="B106" s="877"/>
      <c r="C106" s="884"/>
      <c r="D106" s="884" t="s">
        <v>1072</v>
      </c>
      <c r="E106" s="655" t="s">
        <v>2601</v>
      </c>
      <c r="F106" s="561">
        <v>240000000</v>
      </c>
      <c r="G106" s="562">
        <v>240000000</v>
      </c>
      <c r="H106" s="561">
        <v>0</v>
      </c>
      <c r="I106" s="561">
        <v>0</v>
      </c>
      <c r="J106" s="562">
        <v>0</v>
      </c>
      <c r="K106" s="561">
        <v>0</v>
      </c>
      <c r="L106" s="561">
        <v>0</v>
      </c>
      <c r="M106" s="561">
        <v>0</v>
      </c>
      <c r="N106" s="561">
        <v>0</v>
      </c>
      <c r="O106" s="560">
        <v>0</v>
      </c>
      <c r="P106" s="449"/>
    </row>
    <row r="107" spans="1:16" s="247" customFormat="1" ht="12" customHeight="1" x14ac:dyDescent="0.25">
      <c r="A107" s="450"/>
      <c r="B107" s="877"/>
      <c r="C107" s="884"/>
      <c r="D107" s="884" t="s">
        <v>1072</v>
      </c>
      <c r="E107" s="655" t="s">
        <v>3212</v>
      </c>
      <c r="F107" s="561">
        <v>128330</v>
      </c>
      <c r="G107" s="562">
        <v>128330</v>
      </c>
      <c r="H107" s="561">
        <v>0</v>
      </c>
      <c r="I107" s="561">
        <v>0</v>
      </c>
      <c r="J107" s="562">
        <v>0</v>
      </c>
      <c r="K107" s="561">
        <v>0</v>
      </c>
      <c r="L107" s="561">
        <v>0</v>
      </c>
      <c r="M107" s="561">
        <v>0</v>
      </c>
      <c r="N107" s="561">
        <v>0</v>
      </c>
      <c r="O107" s="560">
        <v>0</v>
      </c>
      <c r="P107" s="449"/>
    </row>
    <row r="108" spans="1:16" s="247" customFormat="1" ht="12" customHeight="1" x14ac:dyDescent="0.25">
      <c r="A108" s="450"/>
      <c r="B108" s="877"/>
      <c r="C108" s="884"/>
      <c r="D108" s="884" t="s">
        <v>1072</v>
      </c>
      <c r="E108" s="655" t="s">
        <v>1221</v>
      </c>
      <c r="F108" s="561">
        <v>1931850</v>
      </c>
      <c r="G108" s="562">
        <v>1931850</v>
      </c>
      <c r="H108" s="561">
        <v>0</v>
      </c>
      <c r="I108" s="561">
        <v>0</v>
      </c>
      <c r="J108" s="562">
        <v>0</v>
      </c>
      <c r="K108" s="561">
        <v>0</v>
      </c>
      <c r="L108" s="561">
        <v>0</v>
      </c>
      <c r="M108" s="561">
        <v>0</v>
      </c>
      <c r="N108" s="561">
        <v>0</v>
      </c>
      <c r="O108" s="560">
        <v>0</v>
      </c>
      <c r="P108" s="449"/>
    </row>
    <row r="109" spans="1:16" s="247" customFormat="1" ht="12" customHeight="1" x14ac:dyDescent="0.25">
      <c r="A109" s="450"/>
      <c r="B109" s="877"/>
      <c r="C109" s="884" t="s">
        <v>1787</v>
      </c>
      <c r="D109" s="884" t="s">
        <v>870</v>
      </c>
      <c r="E109" s="655" t="s">
        <v>26</v>
      </c>
      <c r="F109" s="561">
        <v>253342611</v>
      </c>
      <c r="G109" s="562">
        <v>253342611</v>
      </c>
      <c r="H109" s="561">
        <v>0</v>
      </c>
      <c r="I109" s="561">
        <v>0</v>
      </c>
      <c r="J109" s="562">
        <v>0</v>
      </c>
      <c r="K109" s="561">
        <v>0</v>
      </c>
      <c r="L109" s="561">
        <v>0</v>
      </c>
      <c r="M109" s="561">
        <v>0</v>
      </c>
      <c r="N109" s="561">
        <v>0</v>
      </c>
      <c r="O109" s="560">
        <v>0</v>
      </c>
      <c r="P109" s="449"/>
    </row>
    <row r="110" spans="1:16" s="247" customFormat="1" ht="12" customHeight="1" x14ac:dyDescent="0.25">
      <c r="A110" s="450"/>
      <c r="B110" s="877"/>
      <c r="C110" s="884"/>
      <c r="D110" s="884" t="s">
        <v>870</v>
      </c>
      <c r="E110" s="655" t="s">
        <v>3212</v>
      </c>
      <c r="F110" s="561">
        <v>101200</v>
      </c>
      <c r="G110" s="562">
        <v>101200</v>
      </c>
      <c r="H110" s="561">
        <v>0</v>
      </c>
      <c r="I110" s="561">
        <v>0</v>
      </c>
      <c r="J110" s="562">
        <v>0</v>
      </c>
      <c r="K110" s="561">
        <v>0</v>
      </c>
      <c r="L110" s="561">
        <v>0</v>
      </c>
      <c r="M110" s="561">
        <v>0</v>
      </c>
      <c r="N110" s="561">
        <v>0</v>
      </c>
      <c r="O110" s="560">
        <v>0</v>
      </c>
      <c r="P110" s="449"/>
    </row>
    <row r="111" spans="1:16" s="247" customFormat="1" ht="12" customHeight="1" x14ac:dyDescent="0.25">
      <c r="A111" s="450"/>
      <c r="B111" s="877"/>
      <c r="C111" s="884" t="s">
        <v>1788</v>
      </c>
      <c r="D111" s="884" t="s">
        <v>869</v>
      </c>
      <c r="E111" s="655" t="s">
        <v>26</v>
      </c>
      <c r="F111" s="561">
        <v>94590000</v>
      </c>
      <c r="G111" s="562">
        <v>94590000</v>
      </c>
      <c r="H111" s="561">
        <v>0</v>
      </c>
      <c r="I111" s="561">
        <v>0</v>
      </c>
      <c r="J111" s="562">
        <v>0</v>
      </c>
      <c r="K111" s="561">
        <v>0</v>
      </c>
      <c r="L111" s="561">
        <v>0</v>
      </c>
      <c r="M111" s="561">
        <v>0</v>
      </c>
      <c r="N111" s="561">
        <v>0</v>
      </c>
      <c r="O111" s="560">
        <v>0</v>
      </c>
      <c r="P111" s="449"/>
    </row>
    <row r="112" spans="1:16" s="247" customFormat="1" ht="12" hidden="1" customHeight="1" x14ac:dyDescent="0.25">
      <c r="A112" s="450"/>
      <c r="B112" s="877"/>
      <c r="C112" s="884"/>
      <c r="D112" s="884" t="s">
        <v>869</v>
      </c>
      <c r="E112" s="655" t="s">
        <v>2601</v>
      </c>
      <c r="F112" s="561">
        <v>220710000</v>
      </c>
      <c r="G112" s="562">
        <v>220710000</v>
      </c>
      <c r="H112" s="561">
        <v>0</v>
      </c>
      <c r="I112" s="561">
        <v>0</v>
      </c>
      <c r="J112" s="562">
        <v>0</v>
      </c>
      <c r="K112" s="561">
        <v>0</v>
      </c>
      <c r="L112" s="561">
        <v>0</v>
      </c>
      <c r="M112" s="561">
        <v>0</v>
      </c>
      <c r="N112" s="561">
        <v>0</v>
      </c>
      <c r="O112" s="560">
        <v>0</v>
      </c>
      <c r="P112" s="449"/>
    </row>
    <row r="113" spans="1:16" s="175" customFormat="1" ht="12" customHeight="1" x14ac:dyDescent="0.25">
      <c r="A113" s="448"/>
      <c r="B113" s="877"/>
      <c r="C113" s="884"/>
      <c r="D113" s="884" t="s">
        <v>869</v>
      </c>
      <c r="E113" s="655" t="s">
        <v>1221</v>
      </c>
      <c r="F113" s="561">
        <v>81534992</v>
      </c>
      <c r="G113" s="562">
        <v>81534992</v>
      </c>
      <c r="H113" s="561">
        <v>0</v>
      </c>
      <c r="I113" s="561">
        <v>0</v>
      </c>
      <c r="J113" s="562">
        <v>0</v>
      </c>
      <c r="K113" s="561">
        <v>0</v>
      </c>
      <c r="L113" s="561">
        <v>0</v>
      </c>
      <c r="M113" s="561">
        <v>0</v>
      </c>
      <c r="N113" s="561">
        <v>0</v>
      </c>
      <c r="O113" s="560">
        <v>106485</v>
      </c>
      <c r="P113" s="449"/>
    </row>
    <row r="114" spans="1:16" s="175" customFormat="1" ht="12" customHeight="1" x14ac:dyDescent="0.25">
      <c r="A114" s="448"/>
      <c r="B114" s="877"/>
      <c r="C114" s="884" t="s">
        <v>1789</v>
      </c>
      <c r="D114" s="884" t="s">
        <v>1699</v>
      </c>
      <c r="E114" s="655" t="s">
        <v>26</v>
      </c>
      <c r="F114" s="561">
        <v>97557840</v>
      </c>
      <c r="G114" s="562">
        <v>97557840</v>
      </c>
      <c r="H114" s="561">
        <v>0</v>
      </c>
      <c r="I114" s="561">
        <v>0</v>
      </c>
      <c r="J114" s="562">
        <v>0</v>
      </c>
      <c r="K114" s="561">
        <v>0</v>
      </c>
      <c r="L114" s="561">
        <v>0</v>
      </c>
      <c r="M114" s="561">
        <v>0</v>
      </c>
      <c r="N114" s="561">
        <v>0</v>
      </c>
      <c r="O114" s="560">
        <v>0</v>
      </c>
      <c r="P114" s="449"/>
    </row>
    <row r="115" spans="1:16" s="175" customFormat="1" ht="12" hidden="1" customHeight="1" x14ac:dyDescent="0.25">
      <c r="A115" s="448"/>
      <c r="B115" s="877"/>
      <c r="C115" s="884"/>
      <c r="D115" s="884" t="s">
        <v>1699</v>
      </c>
      <c r="E115" s="655" t="s">
        <v>1557</v>
      </c>
      <c r="F115" s="561">
        <v>227634960</v>
      </c>
      <c r="G115" s="562">
        <v>227634960</v>
      </c>
      <c r="H115" s="561">
        <v>0</v>
      </c>
      <c r="I115" s="561">
        <v>0</v>
      </c>
      <c r="J115" s="562">
        <v>0</v>
      </c>
      <c r="K115" s="561">
        <v>0</v>
      </c>
      <c r="L115" s="561">
        <v>0</v>
      </c>
      <c r="M115" s="561">
        <v>0</v>
      </c>
      <c r="N115" s="561">
        <v>0</v>
      </c>
      <c r="O115" s="560">
        <v>0</v>
      </c>
      <c r="P115" s="449"/>
    </row>
    <row r="116" spans="1:16" s="175" customFormat="1" ht="12" customHeight="1" x14ac:dyDescent="0.25">
      <c r="A116" s="448"/>
      <c r="B116" s="877"/>
      <c r="C116" s="884"/>
      <c r="D116" s="884" t="s">
        <v>1699</v>
      </c>
      <c r="E116" s="655" t="s">
        <v>822</v>
      </c>
      <c r="F116" s="561">
        <v>464374</v>
      </c>
      <c r="G116" s="562">
        <v>464374</v>
      </c>
      <c r="H116" s="561">
        <v>0</v>
      </c>
      <c r="I116" s="561">
        <v>0</v>
      </c>
      <c r="J116" s="562">
        <v>0</v>
      </c>
      <c r="K116" s="561">
        <v>0</v>
      </c>
      <c r="L116" s="561">
        <v>0</v>
      </c>
      <c r="M116" s="561">
        <v>0</v>
      </c>
      <c r="N116" s="561">
        <v>0</v>
      </c>
      <c r="O116" s="560">
        <v>0</v>
      </c>
      <c r="P116" s="449"/>
    </row>
    <row r="117" spans="1:16" s="175" customFormat="1" ht="12" customHeight="1" x14ac:dyDescent="0.25">
      <c r="A117" s="448"/>
      <c r="B117" s="877"/>
      <c r="C117" s="884"/>
      <c r="D117" s="884" t="s">
        <v>1699</v>
      </c>
      <c r="E117" s="655" t="s">
        <v>3212</v>
      </c>
      <c r="F117" s="561">
        <v>1260402</v>
      </c>
      <c r="G117" s="562">
        <v>1260402</v>
      </c>
      <c r="H117" s="561">
        <v>0</v>
      </c>
      <c r="I117" s="561">
        <v>0</v>
      </c>
      <c r="J117" s="562">
        <v>0</v>
      </c>
      <c r="K117" s="561">
        <v>0</v>
      </c>
      <c r="L117" s="561">
        <v>0</v>
      </c>
      <c r="M117" s="561">
        <v>0</v>
      </c>
      <c r="N117" s="561">
        <v>0</v>
      </c>
      <c r="O117" s="560">
        <v>0</v>
      </c>
      <c r="P117" s="449"/>
    </row>
    <row r="118" spans="1:16" s="175" customFormat="1" ht="12" customHeight="1" x14ac:dyDescent="0.25">
      <c r="A118" s="448"/>
      <c r="B118" s="877"/>
      <c r="C118" s="884"/>
      <c r="D118" s="884" t="s">
        <v>1699</v>
      </c>
      <c r="E118" s="655" t="s">
        <v>195</v>
      </c>
      <c r="F118" s="561">
        <v>696791</v>
      </c>
      <c r="G118" s="562">
        <v>696791</v>
      </c>
      <c r="H118" s="561">
        <v>0</v>
      </c>
      <c r="I118" s="561">
        <v>0</v>
      </c>
      <c r="J118" s="562">
        <v>0</v>
      </c>
      <c r="K118" s="561">
        <v>0</v>
      </c>
      <c r="L118" s="561">
        <v>0</v>
      </c>
      <c r="M118" s="561">
        <v>0</v>
      </c>
      <c r="N118" s="561">
        <v>0</v>
      </c>
      <c r="O118" s="560">
        <v>0</v>
      </c>
      <c r="P118" s="449"/>
    </row>
    <row r="119" spans="1:16" s="175" customFormat="1" ht="12" customHeight="1" x14ac:dyDescent="0.25">
      <c r="A119" s="448"/>
      <c r="B119" s="877"/>
      <c r="C119" s="884"/>
      <c r="D119" s="884" t="s">
        <v>1699</v>
      </c>
      <c r="E119" s="655" t="s">
        <v>2676</v>
      </c>
      <c r="F119" s="561">
        <v>5554293</v>
      </c>
      <c r="G119" s="562">
        <v>5554293</v>
      </c>
      <c r="H119" s="561">
        <v>0</v>
      </c>
      <c r="I119" s="561">
        <v>0</v>
      </c>
      <c r="J119" s="562">
        <v>0</v>
      </c>
      <c r="K119" s="561">
        <v>0</v>
      </c>
      <c r="L119" s="561">
        <v>0</v>
      </c>
      <c r="M119" s="561">
        <v>0</v>
      </c>
      <c r="N119" s="561">
        <v>0</v>
      </c>
      <c r="O119" s="560">
        <v>0</v>
      </c>
      <c r="P119" s="449"/>
    </row>
    <row r="120" spans="1:16" s="175" customFormat="1" ht="12" customHeight="1" x14ac:dyDescent="0.25">
      <c r="A120" s="448"/>
      <c r="B120" s="877"/>
      <c r="C120" s="884" t="s">
        <v>1790</v>
      </c>
      <c r="D120" s="884" t="s">
        <v>871</v>
      </c>
      <c r="E120" s="655" t="s">
        <v>26</v>
      </c>
      <c r="F120" s="561">
        <v>212000000</v>
      </c>
      <c r="G120" s="562">
        <v>212000000</v>
      </c>
      <c r="H120" s="561">
        <v>0</v>
      </c>
      <c r="I120" s="561">
        <v>0</v>
      </c>
      <c r="J120" s="562">
        <v>0</v>
      </c>
      <c r="K120" s="561">
        <v>0</v>
      </c>
      <c r="L120" s="561">
        <v>0</v>
      </c>
      <c r="M120" s="561">
        <v>0</v>
      </c>
      <c r="N120" s="561">
        <v>0</v>
      </c>
      <c r="O120" s="560">
        <v>0</v>
      </c>
      <c r="P120" s="449"/>
    </row>
    <row r="121" spans="1:16" s="175" customFormat="1" ht="12" hidden="1" customHeight="1" x14ac:dyDescent="0.25">
      <c r="A121" s="448"/>
      <c r="B121" s="877"/>
      <c r="C121" s="884"/>
      <c r="D121" s="884" t="s">
        <v>871</v>
      </c>
      <c r="E121" s="655" t="s">
        <v>1557</v>
      </c>
      <c r="F121" s="561">
        <v>59000000</v>
      </c>
      <c r="G121" s="562">
        <v>59000000</v>
      </c>
      <c r="H121" s="561">
        <v>0</v>
      </c>
      <c r="I121" s="561">
        <v>0</v>
      </c>
      <c r="J121" s="562">
        <v>0</v>
      </c>
      <c r="K121" s="561">
        <v>0</v>
      </c>
      <c r="L121" s="561">
        <v>0</v>
      </c>
      <c r="M121" s="561">
        <v>0</v>
      </c>
      <c r="N121" s="561">
        <v>0</v>
      </c>
      <c r="O121" s="560">
        <v>0</v>
      </c>
      <c r="P121" s="449"/>
    </row>
    <row r="122" spans="1:16" s="175" customFormat="1" ht="12" customHeight="1" x14ac:dyDescent="0.25">
      <c r="A122" s="448"/>
      <c r="B122" s="877"/>
      <c r="C122" s="884"/>
      <c r="D122" s="884" t="s">
        <v>871</v>
      </c>
      <c r="E122" s="655" t="s">
        <v>3212</v>
      </c>
      <c r="F122" s="561">
        <v>114043</v>
      </c>
      <c r="G122" s="562">
        <v>0</v>
      </c>
      <c r="H122" s="561">
        <v>114043</v>
      </c>
      <c r="I122" s="561">
        <v>0</v>
      </c>
      <c r="J122" s="562">
        <v>114043</v>
      </c>
      <c r="K122" s="561">
        <v>0</v>
      </c>
      <c r="L122" s="561">
        <v>0</v>
      </c>
      <c r="M122" s="561">
        <v>0</v>
      </c>
      <c r="N122" s="561">
        <v>114043</v>
      </c>
      <c r="O122" s="560">
        <v>0</v>
      </c>
      <c r="P122" s="449"/>
    </row>
    <row r="123" spans="1:16" s="175" customFormat="1" ht="12" customHeight="1" x14ac:dyDescent="0.25">
      <c r="A123" s="448"/>
      <c r="B123" s="877"/>
      <c r="C123" s="884"/>
      <c r="D123" s="884" t="s">
        <v>871</v>
      </c>
      <c r="E123" s="655" t="s">
        <v>2676</v>
      </c>
      <c r="F123" s="561">
        <v>173067</v>
      </c>
      <c r="G123" s="562">
        <v>173067</v>
      </c>
      <c r="H123" s="561">
        <v>0</v>
      </c>
      <c r="I123" s="561">
        <v>0</v>
      </c>
      <c r="J123" s="562">
        <v>0</v>
      </c>
      <c r="K123" s="561">
        <v>0</v>
      </c>
      <c r="L123" s="561">
        <v>0</v>
      </c>
      <c r="M123" s="561">
        <v>0</v>
      </c>
      <c r="N123" s="561">
        <v>0</v>
      </c>
      <c r="O123" s="560">
        <v>0</v>
      </c>
      <c r="P123" s="449"/>
    </row>
    <row r="124" spans="1:16" s="175" customFormat="1" ht="12" customHeight="1" x14ac:dyDescent="0.25">
      <c r="A124" s="448"/>
      <c r="B124" s="877"/>
      <c r="C124" s="884"/>
      <c r="D124" s="884" t="s">
        <v>871</v>
      </c>
      <c r="E124" s="655" t="s">
        <v>1221</v>
      </c>
      <c r="F124" s="561">
        <v>1512675</v>
      </c>
      <c r="G124" s="562">
        <v>1512675</v>
      </c>
      <c r="H124" s="561">
        <v>0</v>
      </c>
      <c r="I124" s="561">
        <v>0</v>
      </c>
      <c r="J124" s="562">
        <v>0</v>
      </c>
      <c r="K124" s="561">
        <v>0</v>
      </c>
      <c r="L124" s="561">
        <v>0</v>
      </c>
      <c r="M124" s="561">
        <v>0</v>
      </c>
      <c r="N124" s="561">
        <v>0</v>
      </c>
      <c r="O124" s="560">
        <v>0</v>
      </c>
      <c r="P124" s="449"/>
    </row>
    <row r="125" spans="1:16" s="175" customFormat="1" ht="12" customHeight="1" x14ac:dyDescent="0.25">
      <c r="A125" s="448"/>
      <c r="B125" s="877"/>
      <c r="C125" s="884" t="s">
        <v>1791</v>
      </c>
      <c r="D125" s="884" t="s">
        <v>2677</v>
      </c>
      <c r="E125" s="655" t="s">
        <v>26</v>
      </c>
      <c r="F125" s="561">
        <v>112187608</v>
      </c>
      <c r="G125" s="562">
        <v>112187608</v>
      </c>
      <c r="H125" s="561">
        <v>0</v>
      </c>
      <c r="I125" s="561">
        <v>0</v>
      </c>
      <c r="J125" s="562">
        <v>0</v>
      </c>
      <c r="K125" s="561">
        <v>0</v>
      </c>
      <c r="L125" s="561">
        <v>0</v>
      </c>
      <c r="M125" s="561">
        <v>0</v>
      </c>
      <c r="N125" s="561">
        <v>0</v>
      </c>
      <c r="O125" s="560">
        <v>0</v>
      </c>
      <c r="P125" s="449"/>
    </row>
    <row r="126" spans="1:16" s="175" customFormat="1" ht="12" hidden="1" customHeight="1" x14ac:dyDescent="0.25">
      <c r="A126" s="448"/>
      <c r="B126" s="877"/>
      <c r="C126" s="884"/>
      <c r="D126" s="884" t="s">
        <v>2677</v>
      </c>
      <c r="E126" s="655" t="s">
        <v>1557</v>
      </c>
      <c r="F126" s="561">
        <v>232769392</v>
      </c>
      <c r="G126" s="562">
        <v>232769392</v>
      </c>
      <c r="H126" s="561">
        <v>0</v>
      </c>
      <c r="I126" s="561">
        <v>0</v>
      </c>
      <c r="J126" s="562">
        <v>0</v>
      </c>
      <c r="K126" s="561">
        <v>0</v>
      </c>
      <c r="L126" s="561">
        <v>0</v>
      </c>
      <c r="M126" s="561">
        <v>0</v>
      </c>
      <c r="N126" s="561">
        <v>0</v>
      </c>
      <c r="O126" s="560">
        <v>0</v>
      </c>
      <c r="P126" s="449"/>
    </row>
    <row r="127" spans="1:16" s="175" customFormat="1" ht="12" customHeight="1" x14ac:dyDescent="0.25">
      <c r="A127" s="448"/>
      <c r="B127" s="877"/>
      <c r="C127" s="884"/>
      <c r="D127" s="884" t="s">
        <v>2677</v>
      </c>
      <c r="E127" s="655" t="s">
        <v>3212</v>
      </c>
      <c r="F127" s="561">
        <v>1407978</v>
      </c>
      <c r="G127" s="562">
        <v>1407978</v>
      </c>
      <c r="H127" s="561">
        <v>0</v>
      </c>
      <c r="I127" s="561">
        <v>0</v>
      </c>
      <c r="J127" s="562">
        <v>0</v>
      </c>
      <c r="K127" s="561">
        <v>0</v>
      </c>
      <c r="L127" s="561">
        <v>0</v>
      </c>
      <c r="M127" s="561">
        <v>0</v>
      </c>
      <c r="N127" s="561">
        <v>0</v>
      </c>
      <c r="O127" s="560"/>
      <c r="P127" s="449"/>
    </row>
    <row r="128" spans="1:16" s="175" customFormat="1" ht="12" customHeight="1" x14ac:dyDescent="0.25">
      <c r="A128" s="448"/>
      <c r="B128" s="877"/>
      <c r="C128" s="884"/>
      <c r="D128" s="884" t="s">
        <v>2677</v>
      </c>
      <c r="E128" s="655" t="s">
        <v>2676</v>
      </c>
      <c r="F128" s="561">
        <v>5586500</v>
      </c>
      <c r="G128" s="562">
        <v>5586500</v>
      </c>
      <c r="H128" s="561">
        <v>0</v>
      </c>
      <c r="I128" s="561">
        <v>0</v>
      </c>
      <c r="J128" s="562">
        <v>0</v>
      </c>
      <c r="K128" s="561">
        <v>0</v>
      </c>
      <c r="L128" s="561">
        <v>0</v>
      </c>
      <c r="M128" s="561">
        <v>0</v>
      </c>
      <c r="N128" s="561">
        <v>0</v>
      </c>
      <c r="O128" s="560"/>
      <c r="P128" s="449"/>
    </row>
    <row r="129" spans="1:16" s="175" customFormat="1" ht="12" customHeight="1" x14ac:dyDescent="0.25">
      <c r="A129" s="448"/>
      <c r="B129" s="877"/>
      <c r="C129" s="884" t="s">
        <v>1792</v>
      </c>
      <c r="D129" s="884" t="s">
        <v>979</v>
      </c>
      <c r="E129" s="655" t="s">
        <v>26</v>
      </c>
      <c r="F129" s="561">
        <v>112782801</v>
      </c>
      <c r="G129" s="562">
        <v>112782801</v>
      </c>
      <c r="H129" s="561">
        <v>0</v>
      </c>
      <c r="I129" s="561">
        <v>0</v>
      </c>
      <c r="J129" s="562">
        <v>0</v>
      </c>
      <c r="K129" s="561">
        <v>0</v>
      </c>
      <c r="L129" s="561">
        <v>0</v>
      </c>
      <c r="M129" s="561">
        <v>0</v>
      </c>
      <c r="N129" s="561">
        <v>0</v>
      </c>
      <c r="O129" s="560"/>
      <c r="P129" s="449"/>
    </row>
    <row r="130" spans="1:16" s="175" customFormat="1" ht="12" hidden="1" customHeight="1" x14ac:dyDescent="0.25">
      <c r="A130" s="448"/>
      <c r="B130" s="877"/>
      <c r="C130" s="884"/>
      <c r="D130" s="884" t="s">
        <v>979</v>
      </c>
      <c r="E130" s="655" t="s">
        <v>2601</v>
      </c>
      <c r="F130" s="561">
        <v>236493199</v>
      </c>
      <c r="G130" s="562">
        <v>236493199</v>
      </c>
      <c r="H130" s="561">
        <v>0</v>
      </c>
      <c r="I130" s="561">
        <v>0</v>
      </c>
      <c r="J130" s="562">
        <v>0</v>
      </c>
      <c r="K130" s="561">
        <v>0</v>
      </c>
      <c r="L130" s="561">
        <v>0</v>
      </c>
      <c r="M130" s="561">
        <v>0</v>
      </c>
      <c r="N130" s="561">
        <v>0</v>
      </c>
      <c r="O130" s="560">
        <v>1587320</v>
      </c>
      <c r="P130" s="449"/>
    </row>
    <row r="131" spans="1:16" s="175" customFormat="1" ht="12" customHeight="1" x14ac:dyDescent="0.25">
      <c r="A131" s="448"/>
      <c r="B131" s="877"/>
      <c r="C131" s="884"/>
      <c r="D131" s="884" t="s">
        <v>979</v>
      </c>
      <c r="E131" s="655" t="s">
        <v>195</v>
      </c>
      <c r="F131" s="561">
        <v>2513301</v>
      </c>
      <c r="G131" s="562">
        <v>2513301</v>
      </c>
      <c r="H131" s="561">
        <v>0</v>
      </c>
      <c r="I131" s="561">
        <v>0</v>
      </c>
      <c r="J131" s="562">
        <v>0</v>
      </c>
      <c r="K131" s="561">
        <v>0</v>
      </c>
      <c r="L131" s="561">
        <v>0</v>
      </c>
      <c r="M131" s="561">
        <v>0</v>
      </c>
      <c r="N131" s="561">
        <v>0</v>
      </c>
      <c r="O131" s="560">
        <v>0</v>
      </c>
      <c r="P131" s="449"/>
    </row>
    <row r="132" spans="1:16" s="175" customFormat="1" ht="12" customHeight="1" x14ac:dyDescent="0.25">
      <c r="A132" s="448"/>
      <c r="B132" s="877"/>
      <c r="C132" s="884" t="s">
        <v>1793</v>
      </c>
      <c r="D132" s="884" t="s">
        <v>2678</v>
      </c>
      <c r="E132" s="655" t="s">
        <v>26</v>
      </c>
      <c r="F132" s="561">
        <v>163245187</v>
      </c>
      <c r="G132" s="562">
        <v>163245187</v>
      </c>
      <c r="H132" s="561">
        <v>0</v>
      </c>
      <c r="I132" s="561">
        <v>0</v>
      </c>
      <c r="J132" s="562">
        <v>0</v>
      </c>
      <c r="K132" s="561">
        <v>0</v>
      </c>
      <c r="L132" s="561">
        <v>0</v>
      </c>
      <c r="M132" s="561">
        <v>0</v>
      </c>
      <c r="N132" s="561">
        <v>0</v>
      </c>
      <c r="O132" s="560">
        <v>0</v>
      </c>
      <c r="P132" s="449"/>
    </row>
    <row r="133" spans="1:16" s="175" customFormat="1" ht="12" hidden="1" customHeight="1" x14ac:dyDescent="0.25">
      <c r="A133" s="448"/>
      <c r="B133" s="877"/>
      <c r="C133" s="884"/>
      <c r="D133" s="884" t="s">
        <v>2678</v>
      </c>
      <c r="E133" s="655" t="s">
        <v>2601</v>
      </c>
      <c r="F133" s="561">
        <v>125000000</v>
      </c>
      <c r="G133" s="562">
        <v>125000000</v>
      </c>
      <c r="H133" s="561">
        <v>0</v>
      </c>
      <c r="I133" s="561">
        <v>0</v>
      </c>
      <c r="J133" s="562">
        <v>0</v>
      </c>
      <c r="K133" s="561">
        <v>0</v>
      </c>
      <c r="L133" s="561">
        <v>0</v>
      </c>
      <c r="M133" s="561">
        <v>0</v>
      </c>
      <c r="N133" s="561">
        <v>0</v>
      </c>
      <c r="O133" s="560">
        <v>0</v>
      </c>
      <c r="P133" s="449"/>
    </row>
    <row r="134" spans="1:16" s="175" customFormat="1" ht="12" customHeight="1" x14ac:dyDescent="0.25">
      <c r="A134" s="448"/>
      <c r="B134" s="877"/>
      <c r="C134" s="884"/>
      <c r="D134" s="884" t="s">
        <v>2678</v>
      </c>
      <c r="E134" s="655" t="s">
        <v>195</v>
      </c>
      <c r="F134" s="561">
        <v>3388374</v>
      </c>
      <c r="G134" s="562">
        <v>3388374</v>
      </c>
      <c r="H134" s="561">
        <v>0</v>
      </c>
      <c r="I134" s="561">
        <v>0</v>
      </c>
      <c r="J134" s="562">
        <v>0</v>
      </c>
      <c r="K134" s="561">
        <v>0</v>
      </c>
      <c r="L134" s="561">
        <v>0</v>
      </c>
      <c r="M134" s="561">
        <v>0</v>
      </c>
      <c r="N134" s="561">
        <v>0</v>
      </c>
      <c r="O134" s="560">
        <v>0</v>
      </c>
      <c r="P134" s="449"/>
    </row>
    <row r="135" spans="1:16" s="175" customFormat="1" ht="12" customHeight="1" x14ac:dyDescent="0.25">
      <c r="A135" s="448"/>
      <c r="B135" s="877"/>
      <c r="C135" s="884"/>
      <c r="D135" s="884" t="s">
        <v>2678</v>
      </c>
      <c r="E135" s="655" t="s">
        <v>2676</v>
      </c>
      <c r="F135" s="561">
        <v>2402536</v>
      </c>
      <c r="G135" s="562">
        <v>2402536</v>
      </c>
      <c r="H135" s="561">
        <v>0</v>
      </c>
      <c r="I135" s="561">
        <v>0</v>
      </c>
      <c r="J135" s="562">
        <v>0</v>
      </c>
      <c r="K135" s="561">
        <v>0</v>
      </c>
      <c r="L135" s="561">
        <v>0</v>
      </c>
      <c r="M135" s="561">
        <v>0</v>
      </c>
      <c r="N135" s="561">
        <v>0</v>
      </c>
      <c r="O135" s="560">
        <v>0</v>
      </c>
      <c r="P135" s="449"/>
    </row>
    <row r="136" spans="1:16" s="175" customFormat="1" ht="12" customHeight="1" x14ac:dyDescent="0.25">
      <c r="A136" s="448"/>
      <c r="B136" s="877"/>
      <c r="C136" s="884" t="s">
        <v>3424</v>
      </c>
      <c r="D136" s="884" t="s">
        <v>3425</v>
      </c>
      <c r="E136" s="655" t="s">
        <v>26</v>
      </c>
      <c r="F136" s="561">
        <v>392680000</v>
      </c>
      <c r="G136" s="562">
        <v>392680000</v>
      </c>
      <c r="H136" s="561">
        <v>0</v>
      </c>
      <c r="I136" s="561">
        <v>0</v>
      </c>
      <c r="J136" s="562">
        <v>0</v>
      </c>
      <c r="K136" s="561">
        <v>0</v>
      </c>
      <c r="L136" s="561">
        <v>0</v>
      </c>
      <c r="M136" s="561">
        <v>0</v>
      </c>
      <c r="N136" s="561">
        <v>0</v>
      </c>
      <c r="O136" s="560">
        <v>0</v>
      </c>
      <c r="P136" s="449"/>
    </row>
    <row r="137" spans="1:16" s="175" customFormat="1" ht="12" customHeight="1" x14ac:dyDescent="0.25">
      <c r="A137" s="448"/>
      <c r="B137" s="877"/>
      <c r="C137" s="884"/>
      <c r="D137" s="884" t="s">
        <v>3425</v>
      </c>
      <c r="E137" s="655" t="s">
        <v>3212</v>
      </c>
      <c r="F137" s="561">
        <v>1191026</v>
      </c>
      <c r="G137" s="562">
        <v>0</v>
      </c>
      <c r="H137" s="561">
        <v>1191026</v>
      </c>
      <c r="I137" s="561">
        <v>0</v>
      </c>
      <c r="J137" s="562">
        <v>1191026</v>
      </c>
      <c r="K137" s="561">
        <v>0</v>
      </c>
      <c r="L137" s="561">
        <v>0</v>
      </c>
      <c r="M137" s="561">
        <v>1191026</v>
      </c>
      <c r="N137" s="561">
        <v>0</v>
      </c>
      <c r="O137" s="560">
        <v>0</v>
      </c>
      <c r="P137" s="449"/>
    </row>
    <row r="138" spans="1:16" s="175" customFormat="1" ht="12" customHeight="1" x14ac:dyDescent="0.25">
      <c r="A138" s="448"/>
      <c r="B138" s="877"/>
      <c r="C138" s="884" t="s">
        <v>1794</v>
      </c>
      <c r="D138" s="884" t="s">
        <v>2608</v>
      </c>
      <c r="E138" s="655" t="s">
        <v>26</v>
      </c>
      <c r="F138" s="561">
        <v>96486000</v>
      </c>
      <c r="G138" s="562">
        <v>96486000</v>
      </c>
      <c r="H138" s="561">
        <v>0</v>
      </c>
      <c r="I138" s="561">
        <v>0</v>
      </c>
      <c r="J138" s="562">
        <v>0</v>
      </c>
      <c r="K138" s="561">
        <v>0</v>
      </c>
      <c r="L138" s="561">
        <v>0</v>
      </c>
      <c r="M138" s="561">
        <v>0</v>
      </c>
      <c r="N138" s="561">
        <v>0</v>
      </c>
      <c r="O138" s="560">
        <v>0</v>
      </c>
      <c r="P138" s="449"/>
    </row>
    <row r="139" spans="1:16" s="175" customFormat="1" ht="12" hidden="1" customHeight="1" x14ac:dyDescent="0.25">
      <c r="A139" s="448"/>
      <c r="B139" s="877"/>
      <c r="C139" s="884"/>
      <c r="D139" s="884" t="s">
        <v>2608</v>
      </c>
      <c r="E139" s="655" t="s">
        <v>2601</v>
      </c>
      <c r="F139" s="561">
        <v>225134000</v>
      </c>
      <c r="G139" s="562">
        <v>225134000</v>
      </c>
      <c r="H139" s="561">
        <v>0</v>
      </c>
      <c r="I139" s="561">
        <v>0</v>
      </c>
      <c r="J139" s="562">
        <v>0</v>
      </c>
      <c r="K139" s="561">
        <v>0</v>
      </c>
      <c r="L139" s="561">
        <v>0</v>
      </c>
      <c r="M139" s="561">
        <v>0</v>
      </c>
      <c r="N139" s="561">
        <v>0</v>
      </c>
      <c r="O139" s="560">
        <v>0</v>
      </c>
      <c r="P139" s="449"/>
    </row>
    <row r="140" spans="1:16" s="175" customFormat="1" ht="12" customHeight="1" x14ac:dyDescent="0.25">
      <c r="A140" s="448"/>
      <c r="B140" s="877"/>
      <c r="C140" s="884"/>
      <c r="D140" s="884" t="s">
        <v>2608</v>
      </c>
      <c r="E140" s="655" t="s">
        <v>195</v>
      </c>
      <c r="F140" s="561">
        <v>4066135</v>
      </c>
      <c r="G140" s="562">
        <v>4066135</v>
      </c>
      <c r="H140" s="561">
        <v>0</v>
      </c>
      <c r="I140" s="561">
        <v>0</v>
      </c>
      <c r="J140" s="562">
        <v>0</v>
      </c>
      <c r="K140" s="561">
        <v>0</v>
      </c>
      <c r="L140" s="561">
        <v>0</v>
      </c>
      <c r="M140" s="561">
        <v>0</v>
      </c>
      <c r="N140" s="561">
        <v>0</v>
      </c>
      <c r="O140" s="560">
        <v>0</v>
      </c>
      <c r="P140" s="449"/>
    </row>
    <row r="141" spans="1:16" s="175" customFormat="1" ht="12" customHeight="1" x14ac:dyDescent="0.25">
      <c r="A141" s="448"/>
      <c r="B141" s="877"/>
      <c r="C141" s="884"/>
      <c r="D141" s="884" t="s">
        <v>2608</v>
      </c>
      <c r="E141" s="655" t="s">
        <v>2676</v>
      </c>
      <c r="F141" s="561">
        <v>3572126</v>
      </c>
      <c r="G141" s="562">
        <v>576800</v>
      </c>
      <c r="H141" s="561">
        <v>2995326</v>
      </c>
      <c r="I141" s="561">
        <v>0</v>
      </c>
      <c r="J141" s="562">
        <v>2995326</v>
      </c>
      <c r="K141" s="561">
        <v>0</v>
      </c>
      <c r="L141" s="561">
        <v>0</v>
      </c>
      <c r="M141" s="561">
        <v>0</v>
      </c>
      <c r="N141" s="561">
        <v>2995326</v>
      </c>
      <c r="O141" s="560">
        <v>0</v>
      </c>
      <c r="P141" s="449"/>
    </row>
    <row r="142" spans="1:16" s="175" customFormat="1" ht="12" customHeight="1" x14ac:dyDescent="0.25">
      <c r="A142" s="448"/>
      <c r="B142" s="877"/>
      <c r="C142" s="884" t="s">
        <v>2238</v>
      </c>
      <c r="D142" s="884" t="s">
        <v>2603</v>
      </c>
      <c r="E142" s="655" t="s">
        <v>26</v>
      </c>
      <c r="F142" s="561">
        <v>167300000</v>
      </c>
      <c r="G142" s="562">
        <v>167300000</v>
      </c>
      <c r="H142" s="561">
        <v>0</v>
      </c>
      <c r="I142" s="561">
        <v>0</v>
      </c>
      <c r="J142" s="562">
        <v>0</v>
      </c>
      <c r="K142" s="561">
        <v>0</v>
      </c>
      <c r="L142" s="561">
        <v>0</v>
      </c>
      <c r="M142" s="561">
        <v>0</v>
      </c>
      <c r="N142" s="561">
        <v>0</v>
      </c>
      <c r="O142" s="560">
        <v>0</v>
      </c>
      <c r="P142" s="449"/>
    </row>
    <row r="143" spans="1:16" s="175" customFormat="1" ht="12" hidden="1" customHeight="1" x14ac:dyDescent="0.25">
      <c r="A143" s="448"/>
      <c r="B143" s="877"/>
      <c r="C143" s="884"/>
      <c r="D143" s="884" t="s">
        <v>2603</v>
      </c>
      <c r="E143" s="655" t="s">
        <v>2601</v>
      </c>
      <c r="F143" s="561">
        <v>105000000</v>
      </c>
      <c r="G143" s="562">
        <v>105000000</v>
      </c>
      <c r="H143" s="561">
        <v>0</v>
      </c>
      <c r="I143" s="561">
        <v>0</v>
      </c>
      <c r="J143" s="562">
        <v>0</v>
      </c>
      <c r="K143" s="561">
        <v>0</v>
      </c>
      <c r="L143" s="561">
        <v>0</v>
      </c>
      <c r="M143" s="561">
        <v>0</v>
      </c>
      <c r="N143" s="561">
        <v>0</v>
      </c>
      <c r="O143" s="560">
        <v>0</v>
      </c>
      <c r="P143" s="449"/>
    </row>
    <row r="144" spans="1:16" s="175" customFormat="1" ht="12" customHeight="1" x14ac:dyDescent="0.25">
      <c r="A144" s="448"/>
      <c r="B144" s="877"/>
      <c r="C144" s="884"/>
      <c r="D144" s="884" t="s">
        <v>2603</v>
      </c>
      <c r="E144" s="655" t="s">
        <v>3212</v>
      </c>
      <c r="F144" s="561">
        <v>81079</v>
      </c>
      <c r="G144" s="562">
        <v>0</v>
      </c>
      <c r="H144" s="561">
        <v>81079</v>
      </c>
      <c r="I144" s="561">
        <v>0</v>
      </c>
      <c r="J144" s="562">
        <v>81079</v>
      </c>
      <c r="K144" s="561">
        <v>0</v>
      </c>
      <c r="L144" s="561">
        <v>0</v>
      </c>
      <c r="M144" s="561">
        <v>0</v>
      </c>
      <c r="N144" s="561">
        <v>81079</v>
      </c>
      <c r="O144" s="560">
        <v>0</v>
      </c>
      <c r="P144" s="449"/>
    </row>
    <row r="145" spans="1:16" s="175" customFormat="1" ht="12" customHeight="1" x14ac:dyDescent="0.25">
      <c r="A145" s="448"/>
      <c r="B145" s="877"/>
      <c r="C145" s="884"/>
      <c r="D145" s="884" t="s">
        <v>2603</v>
      </c>
      <c r="E145" s="655" t="s">
        <v>2676</v>
      </c>
      <c r="F145" s="561">
        <v>1456000</v>
      </c>
      <c r="G145" s="562">
        <v>1456000</v>
      </c>
      <c r="H145" s="561">
        <v>0</v>
      </c>
      <c r="I145" s="561">
        <v>0</v>
      </c>
      <c r="J145" s="562">
        <v>0</v>
      </c>
      <c r="K145" s="561">
        <v>0</v>
      </c>
      <c r="L145" s="561">
        <v>0</v>
      </c>
      <c r="M145" s="561">
        <v>0</v>
      </c>
      <c r="N145" s="561">
        <v>0</v>
      </c>
      <c r="O145" s="560">
        <v>0</v>
      </c>
      <c r="P145" s="449"/>
    </row>
    <row r="146" spans="1:16" s="175" customFormat="1" ht="12" customHeight="1" x14ac:dyDescent="0.25">
      <c r="A146" s="448"/>
      <c r="B146" s="877"/>
      <c r="C146" s="884" t="s">
        <v>2289</v>
      </c>
      <c r="D146" s="884" t="s">
        <v>3131</v>
      </c>
      <c r="E146" s="655" t="s">
        <v>26</v>
      </c>
      <c r="F146" s="561">
        <v>185613000</v>
      </c>
      <c r="G146" s="562">
        <v>185613000</v>
      </c>
      <c r="H146" s="561">
        <v>0</v>
      </c>
      <c r="I146" s="561">
        <v>0</v>
      </c>
      <c r="J146" s="562">
        <v>0</v>
      </c>
      <c r="K146" s="561">
        <v>0</v>
      </c>
      <c r="L146" s="561">
        <v>0</v>
      </c>
      <c r="M146" s="561">
        <v>0</v>
      </c>
      <c r="N146" s="561">
        <v>0</v>
      </c>
      <c r="O146" s="560">
        <v>0</v>
      </c>
      <c r="P146" s="449"/>
    </row>
    <row r="147" spans="1:16" s="175" customFormat="1" ht="12" hidden="1" customHeight="1" x14ac:dyDescent="0.25">
      <c r="A147" s="448"/>
      <c r="B147" s="877"/>
      <c r="C147" s="884"/>
      <c r="D147" s="884" t="s">
        <v>3131</v>
      </c>
      <c r="E147" s="655" t="s">
        <v>2601</v>
      </c>
      <c r="F147" s="561">
        <v>210000000</v>
      </c>
      <c r="G147" s="562">
        <v>210000000</v>
      </c>
      <c r="H147" s="561">
        <v>0</v>
      </c>
      <c r="I147" s="561">
        <v>0</v>
      </c>
      <c r="J147" s="562">
        <v>0</v>
      </c>
      <c r="K147" s="561">
        <v>0</v>
      </c>
      <c r="L147" s="561">
        <v>0</v>
      </c>
      <c r="M147" s="561">
        <v>0</v>
      </c>
      <c r="N147" s="561">
        <v>0</v>
      </c>
      <c r="O147" s="560">
        <v>0</v>
      </c>
      <c r="P147" s="449"/>
    </row>
    <row r="148" spans="1:16" s="175" customFormat="1" ht="12" customHeight="1" x14ac:dyDescent="0.25">
      <c r="A148" s="448"/>
      <c r="B148" s="877"/>
      <c r="C148" s="884"/>
      <c r="D148" s="884" t="s">
        <v>3131</v>
      </c>
      <c r="E148" s="655" t="s">
        <v>3212</v>
      </c>
      <c r="F148" s="561">
        <v>2033515</v>
      </c>
      <c r="G148" s="562">
        <v>2033515</v>
      </c>
      <c r="H148" s="561">
        <v>0</v>
      </c>
      <c r="I148" s="561">
        <v>0</v>
      </c>
      <c r="J148" s="562">
        <v>0</v>
      </c>
      <c r="K148" s="561">
        <v>0</v>
      </c>
      <c r="L148" s="561">
        <v>0</v>
      </c>
      <c r="M148" s="561">
        <v>0</v>
      </c>
      <c r="N148" s="561">
        <v>0</v>
      </c>
      <c r="O148" s="560">
        <v>0</v>
      </c>
      <c r="P148" s="449"/>
    </row>
    <row r="149" spans="1:16" s="175" customFormat="1" ht="12" customHeight="1" x14ac:dyDescent="0.25">
      <c r="A149" s="448"/>
      <c r="B149" s="877"/>
      <c r="C149" s="884"/>
      <c r="D149" s="884" t="s">
        <v>3131</v>
      </c>
      <c r="E149" s="655" t="s">
        <v>1221</v>
      </c>
      <c r="F149" s="561">
        <v>8466015</v>
      </c>
      <c r="G149" s="562">
        <v>8466015</v>
      </c>
      <c r="H149" s="561">
        <v>0</v>
      </c>
      <c r="I149" s="561">
        <v>0</v>
      </c>
      <c r="J149" s="562">
        <v>0</v>
      </c>
      <c r="K149" s="561">
        <v>0</v>
      </c>
      <c r="L149" s="561">
        <v>0</v>
      </c>
      <c r="M149" s="561">
        <v>0</v>
      </c>
      <c r="N149" s="561">
        <v>0</v>
      </c>
      <c r="O149" s="560">
        <v>0</v>
      </c>
      <c r="P149" s="449"/>
    </row>
    <row r="150" spans="1:16" s="175" customFormat="1" ht="12" customHeight="1" x14ac:dyDescent="0.25">
      <c r="A150" s="448"/>
      <c r="B150" s="877"/>
      <c r="C150" s="884" t="s">
        <v>1795</v>
      </c>
      <c r="D150" s="884" t="s">
        <v>873</v>
      </c>
      <c r="E150" s="655" t="s">
        <v>26</v>
      </c>
      <c r="F150" s="561">
        <v>128987542</v>
      </c>
      <c r="G150" s="562">
        <v>128987542</v>
      </c>
      <c r="H150" s="561">
        <v>0</v>
      </c>
      <c r="I150" s="561">
        <v>0</v>
      </c>
      <c r="J150" s="562">
        <v>0</v>
      </c>
      <c r="K150" s="561">
        <v>0</v>
      </c>
      <c r="L150" s="561">
        <v>0</v>
      </c>
      <c r="M150" s="561">
        <v>0</v>
      </c>
      <c r="N150" s="561">
        <v>0</v>
      </c>
      <c r="O150" s="560">
        <v>0</v>
      </c>
      <c r="P150" s="449"/>
    </row>
    <row r="151" spans="1:16" s="175" customFormat="1" ht="12" hidden="1" customHeight="1" x14ac:dyDescent="0.25">
      <c r="A151" s="448"/>
      <c r="B151" s="877"/>
      <c r="C151" s="884"/>
      <c r="D151" s="884" t="s">
        <v>873</v>
      </c>
      <c r="E151" s="655" t="s">
        <v>2601</v>
      </c>
      <c r="F151" s="561">
        <v>220000000</v>
      </c>
      <c r="G151" s="562">
        <v>220000000</v>
      </c>
      <c r="H151" s="561">
        <v>0</v>
      </c>
      <c r="I151" s="561">
        <v>0</v>
      </c>
      <c r="J151" s="562">
        <v>0</v>
      </c>
      <c r="K151" s="561">
        <v>0</v>
      </c>
      <c r="L151" s="561">
        <v>0</v>
      </c>
      <c r="M151" s="561">
        <v>0</v>
      </c>
      <c r="N151" s="561">
        <v>0</v>
      </c>
      <c r="O151" s="560">
        <v>0</v>
      </c>
      <c r="P151" s="449"/>
    </row>
    <row r="152" spans="1:16" s="175" customFormat="1" ht="12" customHeight="1" x14ac:dyDescent="0.25">
      <c r="A152" s="448"/>
      <c r="B152" s="877"/>
      <c r="C152" s="884"/>
      <c r="D152" s="884" t="s">
        <v>873</v>
      </c>
      <c r="E152" s="655" t="s">
        <v>3212</v>
      </c>
      <c r="F152" s="561">
        <v>103334</v>
      </c>
      <c r="G152" s="562">
        <v>103334</v>
      </c>
      <c r="H152" s="561">
        <v>0</v>
      </c>
      <c r="I152" s="561">
        <v>0</v>
      </c>
      <c r="J152" s="562">
        <v>0</v>
      </c>
      <c r="K152" s="561">
        <v>0</v>
      </c>
      <c r="L152" s="561">
        <v>0</v>
      </c>
      <c r="M152" s="561">
        <v>0</v>
      </c>
      <c r="N152" s="561">
        <v>0</v>
      </c>
      <c r="O152" s="560">
        <v>0</v>
      </c>
      <c r="P152" s="449"/>
    </row>
    <row r="153" spans="1:16" s="175" customFormat="1" ht="12" customHeight="1" x14ac:dyDescent="0.25">
      <c r="A153" s="448"/>
      <c r="B153" s="877"/>
      <c r="C153" s="884"/>
      <c r="D153" s="884" t="s">
        <v>873</v>
      </c>
      <c r="E153" s="655" t="s">
        <v>195</v>
      </c>
      <c r="F153" s="561">
        <v>948361</v>
      </c>
      <c r="G153" s="562">
        <v>948361</v>
      </c>
      <c r="H153" s="561">
        <v>0</v>
      </c>
      <c r="I153" s="561">
        <v>0</v>
      </c>
      <c r="J153" s="562">
        <v>0</v>
      </c>
      <c r="K153" s="561">
        <v>0</v>
      </c>
      <c r="L153" s="561">
        <v>0</v>
      </c>
      <c r="M153" s="561">
        <v>0</v>
      </c>
      <c r="N153" s="561">
        <v>0</v>
      </c>
      <c r="O153" s="560">
        <v>0</v>
      </c>
      <c r="P153" s="449"/>
    </row>
    <row r="154" spans="1:16" s="175" customFormat="1" ht="12" customHeight="1" x14ac:dyDescent="0.25">
      <c r="A154" s="448"/>
      <c r="B154" s="877"/>
      <c r="C154" s="884"/>
      <c r="D154" s="884" t="s">
        <v>873</v>
      </c>
      <c r="E154" s="655" t="s">
        <v>2676</v>
      </c>
      <c r="F154" s="561">
        <v>1026666</v>
      </c>
      <c r="G154" s="562">
        <v>1026666</v>
      </c>
      <c r="H154" s="561">
        <v>0</v>
      </c>
      <c r="I154" s="561">
        <v>0</v>
      </c>
      <c r="J154" s="562">
        <v>0</v>
      </c>
      <c r="K154" s="561">
        <v>0</v>
      </c>
      <c r="L154" s="561">
        <v>0</v>
      </c>
      <c r="M154" s="561">
        <v>0</v>
      </c>
      <c r="N154" s="561">
        <v>0</v>
      </c>
      <c r="O154" s="560">
        <v>0</v>
      </c>
      <c r="P154" s="449"/>
    </row>
    <row r="155" spans="1:16" s="175" customFormat="1" ht="12" customHeight="1" x14ac:dyDescent="0.25">
      <c r="A155" s="448"/>
      <c r="B155" s="877"/>
      <c r="C155" s="884" t="s">
        <v>1796</v>
      </c>
      <c r="D155" s="884" t="s">
        <v>872</v>
      </c>
      <c r="E155" s="655" t="s">
        <v>26</v>
      </c>
      <c r="F155" s="561">
        <v>267324400</v>
      </c>
      <c r="G155" s="562">
        <v>267324400</v>
      </c>
      <c r="H155" s="561">
        <v>0</v>
      </c>
      <c r="I155" s="561">
        <v>0</v>
      </c>
      <c r="J155" s="562">
        <v>0</v>
      </c>
      <c r="K155" s="561">
        <v>0</v>
      </c>
      <c r="L155" s="561">
        <v>0</v>
      </c>
      <c r="M155" s="561">
        <v>0</v>
      </c>
      <c r="N155" s="561">
        <v>0</v>
      </c>
      <c r="O155" s="560">
        <v>0</v>
      </c>
      <c r="P155" s="449"/>
    </row>
    <row r="156" spans="1:16" s="175" customFormat="1" ht="12" customHeight="1" x14ac:dyDescent="0.25">
      <c r="A156" s="448"/>
      <c r="B156" s="877"/>
      <c r="C156" s="884"/>
      <c r="D156" s="884" t="s">
        <v>872</v>
      </c>
      <c r="E156" s="655" t="s">
        <v>3212</v>
      </c>
      <c r="F156" s="561">
        <v>53062</v>
      </c>
      <c r="G156" s="562">
        <v>53062</v>
      </c>
      <c r="H156" s="561">
        <v>0</v>
      </c>
      <c r="I156" s="561">
        <v>0</v>
      </c>
      <c r="J156" s="562">
        <v>0</v>
      </c>
      <c r="K156" s="561">
        <v>0</v>
      </c>
      <c r="L156" s="561">
        <v>0</v>
      </c>
      <c r="M156" s="561">
        <v>0</v>
      </c>
      <c r="N156" s="561">
        <v>0</v>
      </c>
      <c r="O156" s="560">
        <v>0</v>
      </c>
      <c r="P156" s="449"/>
    </row>
    <row r="157" spans="1:16" s="175" customFormat="1" ht="12" customHeight="1" x14ac:dyDescent="0.25">
      <c r="A157" s="448"/>
      <c r="B157" s="877"/>
      <c r="C157" s="884"/>
      <c r="D157" s="884" t="s">
        <v>872</v>
      </c>
      <c r="E157" s="655" t="s">
        <v>195</v>
      </c>
      <c r="F157" s="561">
        <v>393055</v>
      </c>
      <c r="G157" s="562">
        <v>393055</v>
      </c>
      <c r="H157" s="561">
        <v>0</v>
      </c>
      <c r="I157" s="561">
        <v>0</v>
      </c>
      <c r="J157" s="562">
        <v>0</v>
      </c>
      <c r="K157" s="561">
        <v>0</v>
      </c>
      <c r="L157" s="561">
        <v>0</v>
      </c>
      <c r="M157" s="561">
        <v>0</v>
      </c>
      <c r="N157" s="561">
        <v>0</v>
      </c>
      <c r="O157" s="560">
        <v>0</v>
      </c>
      <c r="P157" s="449"/>
    </row>
    <row r="158" spans="1:16" s="175" customFormat="1" ht="12" customHeight="1" x14ac:dyDescent="0.25">
      <c r="A158" s="448"/>
      <c r="B158" s="877"/>
      <c r="C158" s="884"/>
      <c r="D158" s="884" t="s">
        <v>872</v>
      </c>
      <c r="E158" s="655" t="s">
        <v>1221</v>
      </c>
      <c r="F158" s="561">
        <v>1512675</v>
      </c>
      <c r="G158" s="562">
        <v>1512675</v>
      </c>
      <c r="H158" s="561">
        <v>0</v>
      </c>
      <c r="I158" s="561">
        <v>0</v>
      </c>
      <c r="J158" s="562">
        <v>0</v>
      </c>
      <c r="K158" s="561">
        <v>0</v>
      </c>
      <c r="L158" s="561">
        <v>0</v>
      </c>
      <c r="M158" s="561">
        <v>0</v>
      </c>
      <c r="N158" s="561">
        <v>0</v>
      </c>
      <c r="O158" s="560">
        <v>0</v>
      </c>
      <c r="P158" s="449"/>
    </row>
    <row r="159" spans="1:16" s="175" customFormat="1" ht="12" customHeight="1" x14ac:dyDescent="0.25">
      <c r="A159" s="448"/>
      <c r="B159" s="877"/>
      <c r="C159" s="884" t="s">
        <v>1797</v>
      </c>
      <c r="D159" s="884" t="s">
        <v>1637</v>
      </c>
      <c r="E159" s="655" t="s">
        <v>26</v>
      </c>
      <c r="F159" s="561">
        <v>317500385</v>
      </c>
      <c r="G159" s="562">
        <v>317500385</v>
      </c>
      <c r="H159" s="561">
        <v>0</v>
      </c>
      <c r="I159" s="561">
        <v>0</v>
      </c>
      <c r="J159" s="562">
        <v>0</v>
      </c>
      <c r="K159" s="561">
        <v>0</v>
      </c>
      <c r="L159" s="561">
        <v>0</v>
      </c>
      <c r="M159" s="561">
        <v>0</v>
      </c>
      <c r="N159" s="561">
        <v>0</v>
      </c>
      <c r="O159" s="560">
        <v>0</v>
      </c>
      <c r="P159" s="449"/>
    </row>
    <row r="160" spans="1:16" s="175" customFormat="1" ht="12" customHeight="1" x14ac:dyDescent="0.25">
      <c r="A160" s="448"/>
      <c r="B160" s="877"/>
      <c r="C160" s="884"/>
      <c r="D160" s="884" t="s">
        <v>1637</v>
      </c>
      <c r="E160" s="655" t="s">
        <v>3212</v>
      </c>
      <c r="F160" s="561">
        <v>88396</v>
      </c>
      <c r="G160" s="562">
        <v>0</v>
      </c>
      <c r="H160" s="561">
        <v>88396</v>
      </c>
      <c r="I160" s="561">
        <v>0</v>
      </c>
      <c r="J160" s="562">
        <v>88396</v>
      </c>
      <c r="K160" s="561">
        <v>0</v>
      </c>
      <c r="L160" s="561">
        <v>0</v>
      </c>
      <c r="M160" s="561">
        <v>0</v>
      </c>
      <c r="N160" s="561">
        <v>88396</v>
      </c>
      <c r="O160" s="560">
        <v>0</v>
      </c>
      <c r="P160" s="449"/>
    </row>
    <row r="161" spans="1:16" s="175" customFormat="1" ht="12" customHeight="1" x14ac:dyDescent="0.25">
      <c r="A161" s="448"/>
      <c r="B161" s="877"/>
      <c r="C161" s="884"/>
      <c r="D161" s="884" t="s">
        <v>1637</v>
      </c>
      <c r="E161" s="655" t="s">
        <v>195</v>
      </c>
      <c r="F161" s="561">
        <v>395529</v>
      </c>
      <c r="G161" s="562">
        <v>395529</v>
      </c>
      <c r="H161" s="561">
        <v>0</v>
      </c>
      <c r="I161" s="561">
        <v>0</v>
      </c>
      <c r="J161" s="562">
        <v>0</v>
      </c>
      <c r="K161" s="561">
        <v>0</v>
      </c>
      <c r="L161" s="561">
        <v>0</v>
      </c>
      <c r="M161" s="561">
        <v>0</v>
      </c>
      <c r="N161" s="561">
        <v>0</v>
      </c>
      <c r="O161" s="560">
        <v>0</v>
      </c>
      <c r="P161" s="449"/>
    </row>
    <row r="162" spans="1:16" s="175" customFormat="1" ht="12" customHeight="1" x14ac:dyDescent="0.25">
      <c r="A162" s="448"/>
      <c r="B162" s="877"/>
      <c r="C162" s="884" t="s">
        <v>1798</v>
      </c>
      <c r="D162" s="884" t="s">
        <v>2604</v>
      </c>
      <c r="E162" s="655" t="s">
        <v>26</v>
      </c>
      <c r="F162" s="561">
        <v>96212119</v>
      </c>
      <c r="G162" s="562">
        <v>96212119</v>
      </c>
      <c r="H162" s="561">
        <v>0</v>
      </c>
      <c r="I162" s="561">
        <v>0</v>
      </c>
      <c r="J162" s="562">
        <v>0</v>
      </c>
      <c r="K162" s="561">
        <v>0</v>
      </c>
      <c r="L162" s="561">
        <v>0</v>
      </c>
      <c r="M162" s="561">
        <v>0</v>
      </c>
      <c r="N162" s="561">
        <v>0</v>
      </c>
      <c r="O162" s="560">
        <v>0</v>
      </c>
      <c r="P162" s="449"/>
    </row>
    <row r="163" spans="1:16" s="175" customFormat="1" ht="12" hidden="1" customHeight="1" x14ac:dyDescent="0.25">
      <c r="A163" s="448"/>
      <c r="B163" s="877"/>
      <c r="C163" s="884"/>
      <c r="D163" s="884" t="s">
        <v>2604</v>
      </c>
      <c r="E163" s="655" t="s">
        <v>1557</v>
      </c>
      <c r="F163" s="561">
        <v>222850549</v>
      </c>
      <c r="G163" s="562">
        <v>222850549</v>
      </c>
      <c r="H163" s="561">
        <v>0</v>
      </c>
      <c r="I163" s="561">
        <v>0</v>
      </c>
      <c r="J163" s="562">
        <v>0</v>
      </c>
      <c r="K163" s="561">
        <v>0</v>
      </c>
      <c r="L163" s="561">
        <v>0</v>
      </c>
      <c r="M163" s="561">
        <v>0</v>
      </c>
      <c r="N163" s="561">
        <v>0</v>
      </c>
      <c r="O163" s="560">
        <v>0</v>
      </c>
      <c r="P163" s="449"/>
    </row>
    <row r="164" spans="1:16" s="175" customFormat="1" ht="12" customHeight="1" x14ac:dyDescent="0.25">
      <c r="A164" s="448"/>
      <c r="B164" s="877"/>
      <c r="C164" s="884"/>
      <c r="D164" s="884" t="s">
        <v>2604</v>
      </c>
      <c r="E164" s="655" t="s">
        <v>822</v>
      </c>
      <c r="F164" s="561">
        <v>455621</v>
      </c>
      <c r="G164" s="562">
        <v>455621</v>
      </c>
      <c r="H164" s="561">
        <v>0</v>
      </c>
      <c r="I164" s="561">
        <v>0</v>
      </c>
      <c r="J164" s="562">
        <v>0</v>
      </c>
      <c r="K164" s="561">
        <v>0</v>
      </c>
      <c r="L164" s="561">
        <v>0</v>
      </c>
      <c r="M164" s="561">
        <v>0</v>
      </c>
      <c r="N164" s="561">
        <v>0</v>
      </c>
      <c r="O164" s="560">
        <v>0</v>
      </c>
      <c r="P164" s="449"/>
    </row>
    <row r="165" spans="1:16" s="175" customFormat="1" ht="12" customHeight="1" x14ac:dyDescent="0.25">
      <c r="A165" s="448"/>
      <c r="B165" s="877"/>
      <c r="C165" s="884"/>
      <c r="D165" s="884" t="s">
        <v>2604</v>
      </c>
      <c r="E165" s="655" t="s">
        <v>3212</v>
      </c>
      <c r="F165" s="561">
        <v>87187</v>
      </c>
      <c r="G165" s="562">
        <v>0</v>
      </c>
      <c r="H165" s="561">
        <v>87187</v>
      </c>
      <c r="I165" s="561">
        <v>0</v>
      </c>
      <c r="J165" s="562">
        <v>87187</v>
      </c>
      <c r="K165" s="561">
        <v>0</v>
      </c>
      <c r="L165" s="561">
        <v>0</v>
      </c>
      <c r="M165" s="561">
        <v>0</v>
      </c>
      <c r="N165" s="561">
        <v>87187</v>
      </c>
      <c r="O165" s="560">
        <v>1607478</v>
      </c>
      <c r="P165" s="449"/>
    </row>
    <row r="166" spans="1:16" s="175" customFormat="1" ht="12" customHeight="1" x14ac:dyDescent="0.25">
      <c r="A166" s="448"/>
      <c r="B166" s="877"/>
      <c r="C166" s="884"/>
      <c r="D166" s="884" t="s">
        <v>2604</v>
      </c>
      <c r="E166" s="655" t="s">
        <v>195</v>
      </c>
      <c r="F166" s="561">
        <v>363869</v>
      </c>
      <c r="G166" s="562">
        <v>363869</v>
      </c>
      <c r="H166" s="561">
        <v>0</v>
      </c>
      <c r="I166" s="561">
        <v>0</v>
      </c>
      <c r="J166" s="562">
        <v>0</v>
      </c>
      <c r="K166" s="561">
        <v>0</v>
      </c>
      <c r="L166" s="561">
        <v>0</v>
      </c>
      <c r="M166" s="561">
        <v>0</v>
      </c>
      <c r="N166" s="561">
        <v>0</v>
      </c>
      <c r="O166" s="560">
        <v>0</v>
      </c>
      <c r="P166" s="449"/>
    </row>
    <row r="167" spans="1:16" s="175" customFormat="1" ht="12" customHeight="1" x14ac:dyDescent="0.25">
      <c r="A167" s="448"/>
      <c r="B167" s="877"/>
      <c r="C167" s="884" t="s">
        <v>1799</v>
      </c>
      <c r="D167" s="884" t="s">
        <v>1700</v>
      </c>
      <c r="E167" s="655" t="s">
        <v>26</v>
      </c>
      <c r="F167" s="561">
        <v>204896000</v>
      </c>
      <c r="G167" s="562">
        <v>204896000</v>
      </c>
      <c r="H167" s="561">
        <v>0</v>
      </c>
      <c r="I167" s="561">
        <v>0</v>
      </c>
      <c r="J167" s="562">
        <v>0</v>
      </c>
      <c r="K167" s="561">
        <v>0</v>
      </c>
      <c r="L167" s="561">
        <v>0</v>
      </c>
      <c r="M167" s="561">
        <v>0</v>
      </c>
      <c r="N167" s="561">
        <v>0</v>
      </c>
      <c r="O167" s="560">
        <v>0</v>
      </c>
      <c r="P167" s="449"/>
    </row>
    <row r="168" spans="1:16" s="175" customFormat="1" ht="12" hidden="1" customHeight="1" x14ac:dyDescent="0.25">
      <c r="A168" s="448"/>
      <c r="B168" s="877"/>
      <c r="C168" s="884"/>
      <c r="D168" s="884" t="s">
        <v>1700</v>
      </c>
      <c r="E168" s="655" t="s">
        <v>2601</v>
      </c>
      <c r="F168" s="561">
        <v>75000000</v>
      </c>
      <c r="G168" s="562">
        <v>75000000</v>
      </c>
      <c r="H168" s="561">
        <v>0</v>
      </c>
      <c r="I168" s="561">
        <v>0</v>
      </c>
      <c r="J168" s="562">
        <v>0</v>
      </c>
      <c r="K168" s="561">
        <v>0</v>
      </c>
      <c r="L168" s="561">
        <v>0</v>
      </c>
      <c r="M168" s="561">
        <v>0</v>
      </c>
      <c r="N168" s="561">
        <v>0</v>
      </c>
      <c r="O168" s="560">
        <v>0</v>
      </c>
      <c r="P168" s="449"/>
    </row>
    <row r="169" spans="1:16" s="175" customFormat="1" ht="12" customHeight="1" x14ac:dyDescent="0.25">
      <c r="A169" s="448"/>
      <c r="B169" s="877"/>
      <c r="C169" s="884" t="s">
        <v>3330</v>
      </c>
      <c r="D169" s="884" t="s">
        <v>3331</v>
      </c>
      <c r="E169" s="655" t="s">
        <v>26</v>
      </c>
      <c r="F169" s="561">
        <v>127601354</v>
      </c>
      <c r="G169" s="562">
        <v>108993216</v>
      </c>
      <c r="H169" s="561">
        <v>18608138</v>
      </c>
      <c r="I169" s="561">
        <v>18608138</v>
      </c>
      <c r="J169" s="562">
        <v>0</v>
      </c>
      <c r="K169" s="561">
        <v>0</v>
      </c>
      <c r="L169" s="561">
        <v>0</v>
      </c>
      <c r="M169" s="561">
        <v>0</v>
      </c>
      <c r="N169" s="561">
        <v>0</v>
      </c>
      <c r="O169" s="560">
        <v>0</v>
      </c>
      <c r="P169" s="449"/>
    </row>
    <row r="170" spans="1:16" s="175" customFormat="1" ht="12" hidden="1" customHeight="1" x14ac:dyDescent="0.25">
      <c r="A170" s="448"/>
      <c r="B170" s="877"/>
      <c r="C170" s="884"/>
      <c r="D170" s="884" t="s">
        <v>3331</v>
      </c>
      <c r="E170" s="655" t="s">
        <v>1557</v>
      </c>
      <c r="F170" s="561">
        <v>302244140</v>
      </c>
      <c r="G170" s="562">
        <v>302244140</v>
      </c>
      <c r="H170" s="561">
        <v>0</v>
      </c>
      <c r="I170" s="561">
        <v>0</v>
      </c>
      <c r="J170" s="562">
        <v>0</v>
      </c>
      <c r="K170" s="561">
        <v>0</v>
      </c>
      <c r="L170" s="561">
        <v>0</v>
      </c>
      <c r="M170" s="561">
        <v>0</v>
      </c>
      <c r="N170" s="561">
        <v>0</v>
      </c>
      <c r="O170" s="560">
        <v>0</v>
      </c>
      <c r="P170" s="449"/>
    </row>
    <row r="171" spans="1:16" s="175" customFormat="1" ht="12" customHeight="1" x14ac:dyDescent="0.25">
      <c r="A171" s="448"/>
      <c r="B171" s="877"/>
      <c r="C171" s="884"/>
      <c r="D171" s="884" t="s">
        <v>3331</v>
      </c>
      <c r="E171" s="655" t="s">
        <v>822</v>
      </c>
      <c r="F171" s="561">
        <v>616577</v>
      </c>
      <c r="G171" s="562">
        <v>616577</v>
      </c>
      <c r="H171" s="561">
        <v>0</v>
      </c>
      <c r="I171" s="561">
        <v>0</v>
      </c>
      <c r="J171" s="562">
        <v>0</v>
      </c>
      <c r="K171" s="561">
        <v>0</v>
      </c>
      <c r="L171" s="561">
        <v>0</v>
      </c>
      <c r="M171" s="561">
        <v>0</v>
      </c>
      <c r="N171" s="561">
        <v>0</v>
      </c>
      <c r="O171" s="560">
        <v>0</v>
      </c>
      <c r="P171" s="449"/>
    </row>
    <row r="172" spans="1:16" s="175" customFormat="1" ht="12" customHeight="1" x14ac:dyDescent="0.25">
      <c r="A172" s="448"/>
      <c r="B172" s="877"/>
      <c r="C172" s="884"/>
      <c r="D172" s="884" t="s">
        <v>3331</v>
      </c>
      <c r="E172" s="655" t="s">
        <v>3212</v>
      </c>
      <c r="F172" s="561">
        <v>1335027</v>
      </c>
      <c r="G172" s="562">
        <v>1335027</v>
      </c>
      <c r="H172" s="561">
        <v>0</v>
      </c>
      <c r="I172" s="561">
        <v>0</v>
      </c>
      <c r="J172" s="562">
        <v>0</v>
      </c>
      <c r="K172" s="561">
        <v>0</v>
      </c>
      <c r="L172" s="561">
        <v>0</v>
      </c>
      <c r="M172" s="561">
        <v>0</v>
      </c>
      <c r="N172" s="561">
        <v>0</v>
      </c>
      <c r="O172" s="560">
        <v>0</v>
      </c>
      <c r="P172" s="449"/>
    </row>
    <row r="173" spans="1:16" s="175" customFormat="1" ht="12" customHeight="1" x14ac:dyDescent="0.25">
      <c r="A173" s="448"/>
      <c r="B173" s="877"/>
      <c r="C173" s="884"/>
      <c r="D173" s="884" t="s">
        <v>3331</v>
      </c>
      <c r="E173" s="655" t="s">
        <v>195</v>
      </c>
      <c r="F173" s="561">
        <v>1491310</v>
      </c>
      <c r="G173" s="562">
        <v>733692</v>
      </c>
      <c r="H173" s="561">
        <v>757618</v>
      </c>
      <c r="I173" s="561">
        <v>757618</v>
      </c>
      <c r="J173" s="562">
        <v>0</v>
      </c>
      <c r="K173" s="561">
        <v>0</v>
      </c>
      <c r="L173" s="561">
        <v>0</v>
      </c>
      <c r="M173" s="561">
        <v>0</v>
      </c>
      <c r="N173" s="561">
        <v>0</v>
      </c>
      <c r="O173" s="560">
        <v>0</v>
      </c>
      <c r="P173" s="449"/>
    </row>
    <row r="174" spans="1:16" s="175" customFormat="1" ht="12" customHeight="1" x14ac:dyDescent="0.25">
      <c r="A174" s="448"/>
      <c r="B174" s="877"/>
      <c r="C174" s="884"/>
      <c r="D174" s="884" t="s">
        <v>3331</v>
      </c>
      <c r="E174" s="655" t="s">
        <v>1221</v>
      </c>
      <c r="F174" s="561">
        <v>1931850</v>
      </c>
      <c r="G174" s="562">
        <v>1931850</v>
      </c>
      <c r="H174" s="561">
        <v>0</v>
      </c>
      <c r="I174" s="561">
        <v>0</v>
      </c>
      <c r="J174" s="562">
        <v>0</v>
      </c>
      <c r="K174" s="561">
        <v>0</v>
      </c>
      <c r="L174" s="561">
        <v>0</v>
      </c>
      <c r="M174" s="561">
        <v>0</v>
      </c>
      <c r="N174" s="561">
        <v>0</v>
      </c>
      <c r="O174" s="560">
        <v>0</v>
      </c>
      <c r="P174" s="449"/>
    </row>
    <row r="175" spans="1:16" s="175" customFormat="1" ht="12" customHeight="1" x14ac:dyDescent="0.25">
      <c r="A175" s="448"/>
      <c r="B175" s="877"/>
      <c r="C175" s="884" t="s">
        <v>3426</v>
      </c>
      <c r="D175" s="884" t="s">
        <v>3425</v>
      </c>
      <c r="E175" s="655" t="s">
        <v>26</v>
      </c>
      <c r="F175" s="561">
        <v>426820000</v>
      </c>
      <c r="G175" s="562">
        <v>426820000</v>
      </c>
      <c r="H175" s="561">
        <v>0</v>
      </c>
      <c r="I175" s="561">
        <v>0</v>
      </c>
      <c r="J175" s="562">
        <v>0</v>
      </c>
      <c r="K175" s="561">
        <v>0</v>
      </c>
      <c r="L175" s="561">
        <v>0</v>
      </c>
      <c r="M175" s="561">
        <v>0</v>
      </c>
      <c r="N175" s="561">
        <v>0</v>
      </c>
      <c r="O175" s="560">
        <v>0</v>
      </c>
      <c r="P175" s="449"/>
    </row>
    <row r="176" spans="1:16" s="175" customFormat="1" ht="12" customHeight="1" x14ac:dyDescent="0.25">
      <c r="A176" s="448"/>
      <c r="B176" s="877"/>
      <c r="C176" s="884"/>
      <c r="D176" s="884" t="s">
        <v>3425</v>
      </c>
      <c r="E176" s="655" t="s">
        <v>3212</v>
      </c>
      <c r="F176" s="561">
        <v>1292417</v>
      </c>
      <c r="G176" s="562">
        <v>0</v>
      </c>
      <c r="H176" s="561">
        <v>1292417</v>
      </c>
      <c r="I176" s="561">
        <v>0</v>
      </c>
      <c r="J176" s="562">
        <v>1292417</v>
      </c>
      <c r="K176" s="561">
        <v>0</v>
      </c>
      <c r="L176" s="561">
        <v>0</v>
      </c>
      <c r="M176" s="561">
        <v>1292417</v>
      </c>
      <c r="N176" s="561">
        <v>0</v>
      </c>
      <c r="O176" s="560">
        <v>0</v>
      </c>
      <c r="P176" s="449"/>
    </row>
    <row r="177" spans="1:16" s="175" customFormat="1" ht="12" customHeight="1" x14ac:dyDescent="0.25">
      <c r="A177" s="448"/>
      <c r="B177" s="877"/>
      <c r="C177" s="884" t="s">
        <v>1800</v>
      </c>
      <c r="D177" s="884" t="s">
        <v>874</v>
      </c>
      <c r="E177" s="655" t="s">
        <v>26</v>
      </c>
      <c r="F177" s="561">
        <v>270479247</v>
      </c>
      <c r="G177" s="562">
        <v>270479247</v>
      </c>
      <c r="H177" s="561">
        <v>0</v>
      </c>
      <c r="I177" s="561">
        <v>0</v>
      </c>
      <c r="J177" s="562">
        <v>0</v>
      </c>
      <c r="K177" s="561">
        <v>0</v>
      </c>
      <c r="L177" s="561">
        <v>0</v>
      </c>
      <c r="M177" s="561">
        <v>0</v>
      </c>
      <c r="N177" s="561">
        <v>0</v>
      </c>
      <c r="O177" s="560">
        <v>0</v>
      </c>
      <c r="P177" s="449"/>
    </row>
    <row r="178" spans="1:16" s="175" customFormat="1" ht="12" customHeight="1" x14ac:dyDescent="0.25">
      <c r="A178" s="448"/>
      <c r="B178" s="877"/>
      <c r="C178" s="884"/>
      <c r="D178" s="884" t="s">
        <v>874</v>
      </c>
      <c r="E178" s="655" t="s">
        <v>3212</v>
      </c>
      <c r="F178" s="561">
        <v>81280</v>
      </c>
      <c r="G178" s="562">
        <v>0</v>
      </c>
      <c r="H178" s="561">
        <v>81280</v>
      </c>
      <c r="I178" s="561">
        <v>0</v>
      </c>
      <c r="J178" s="562">
        <v>81280</v>
      </c>
      <c r="K178" s="561">
        <v>0</v>
      </c>
      <c r="L178" s="561">
        <v>0</v>
      </c>
      <c r="M178" s="561">
        <v>0</v>
      </c>
      <c r="N178" s="561">
        <v>81280</v>
      </c>
      <c r="O178" s="560">
        <v>0</v>
      </c>
      <c r="P178" s="449"/>
    </row>
    <row r="179" spans="1:16" s="175" customFormat="1" ht="12" customHeight="1" x14ac:dyDescent="0.25">
      <c r="A179" s="448"/>
      <c r="B179" s="877"/>
      <c r="C179" s="884"/>
      <c r="D179" s="884" t="s">
        <v>874</v>
      </c>
      <c r="E179" s="655" t="s">
        <v>195</v>
      </c>
      <c r="F179" s="561">
        <v>1571579</v>
      </c>
      <c r="G179" s="562">
        <v>1571579</v>
      </c>
      <c r="H179" s="561">
        <v>0</v>
      </c>
      <c r="I179" s="561">
        <v>0</v>
      </c>
      <c r="J179" s="562">
        <v>0</v>
      </c>
      <c r="K179" s="561">
        <v>0</v>
      </c>
      <c r="L179" s="561">
        <v>0</v>
      </c>
      <c r="M179" s="561">
        <v>0</v>
      </c>
      <c r="N179" s="561">
        <v>0</v>
      </c>
      <c r="O179" s="560">
        <v>0</v>
      </c>
      <c r="P179" s="449"/>
    </row>
    <row r="180" spans="1:16" s="175" customFormat="1" ht="12" customHeight="1" x14ac:dyDescent="0.25">
      <c r="A180" s="448"/>
      <c r="B180" s="877"/>
      <c r="C180" s="884" t="s">
        <v>1801</v>
      </c>
      <c r="D180" s="884" t="s">
        <v>1701</v>
      </c>
      <c r="E180" s="655" t="s">
        <v>26</v>
      </c>
      <c r="F180" s="561">
        <v>93234162</v>
      </c>
      <c r="G180" s="562">
        <v>93234162</v>
      </c>
      <c r="H180" s="561">
        <v>0</v>
      </c>
      <c r="I180" s="561">
        <v>0</v>
      </c>
      <c r="J180" s="562">
        <v>0</v>
      </c>
      <c r="K180" s="561">
        <v>0</v>
      </c>
      <c r="L180" s="561">
        <v>0</v>
      </c>
      <c r="M180" s="561">
        <v>0</v>
      </c>
      <c r="N180" s="561">
        <v>0</v>
      </c>
      <c r="O180" s="560">
        <v>0</v>
      </c>
      <c r="P180" s="449"/>
    </row>
    <row r="181" spans="1:16" s="175" customFormat="1" ht="12" hidden="1" customHeight="1" x14ac:dyDescent="0.25">
      <c r="A181" s="448"/>
      <c r="B181" s="877"/>
      <c r="C181" s="884"/>
      <c r="D181" s="884" t="s">
        <v>1701</v>
      </c>
      <c r="E181" s="655" t="s">
        <v>1557</v>
      </c>
      <c r="F181" s="561">
        <v>217546378</v>
      </c>
      <c r="G181" s="562">
        <v>217546378</v>
      </c>
      <c r="H181" s="561">
        <v>0</v>
      </c>
      <c r="I181" s="561">
        <v>0</v>
      </c>
      <c r="J181" s="562">
        <v>0</v>
      </c>
      <c r="K181" s="561">
        <v>0</v>
      </c>
      <c r="L181" s="561">
        <v>0</v>
      </c>
      <c r="M181" s="561">
        <v>0</v>
      </c>
      <c r="N181" s="561">
        <v>0</v>
      </c>
      <c r="O181" s="560">
        <v>0</v>
      </c>
      <c r="P181" s="449"/>
    </row>
    <row r="182" spans="1:16" s="175" customFormat="1" ht="12" customHeight="1" x14ac:dyDescent="0.25">
      <c r="A182" s="448"/>
      <c r="B182" s="877"/>
      <c r="C182" s="884"/>
      <c r="D182" s="884" t="s">
        <v>1701</v>
      </c>
      <c r="E182" s="655" t="s">
        <v>1221</v>
      </c>
      <c r="F182" s="561">
        <v>1931850</v>
      </c>
      <c r="G182" s="562">
        <v>1931850</v>
      </c>
      <c r="H182" s="561">
        <v>0</v>
      </c>
      <c r="I182" s="561">
        <v>0</v>
      </c>
      <c r="J182" s="562">
        <v>0</v>
      </c>
      <c r="K182" s="561">
        <v>0</v>
      </c>
      <c r="L182" s="561">
        <v>0</v>
      </c>
      <c r="M182" s="561">
        <v>0</v>
      </c>
      <c r="N182" s="561">
        <v>0</v>
      </c>
      <c r="O182" s="560">
        <v>0</v>
      </c>
      <c r="P182" s="449"/>
    </row>
    <row r="183" spans="1:16" s="175" customFormat="1" ht="12" customHeight="1" x14ac:dyDescent="0.25">
      <c r="A183" s="448"/>
      <c r="B183" s="877"/>
      <c r="C183" s="884" t="s">
        <v>1802</v>
      </c>
      <c r="D183" s="884" t="s">
        <v>2290</v>
      </c>
      <c r="E183" s="655" t="s">
        <v>26</v>
      </c>
      <c r="F183" s="561">
        <v>96760652</v>
      </c>
      <c r="G183" s="562">
        <v>96760652</v>
      </c>
      <c r="H183" s="561">
        <v>0</v>
      </c>
      <c r="I183" s="561">
        <v>0</v>
      </c>
      <c r="J183" s="562">
        <v>0</v>
      </c>
      <c r="K183" s="561">
        <v>0</v>
      </c>
      <c r="L183" s="561">
        <v>0</v>
      </c>
      <c r="M183" s="561">
        <v>0</v>
      </c>
      <c r="N183" s="561">
        <v>0</v>
      </c>
      <c r="O183" s="560">
        <v>0</v>
      </c>
      <c r="P183" s="449"/>
    </row>
    <row r="184" spans="1:16" s="175" customFormat="1" ht="12" hidden="1" customHeight="1" x14ac:dyDescent="0.25">
      <c r="A184" s="448"/>
      <c r="B184" s="877"/>
      <c r="C184" s="884"/>
      <c r="D184" s="884" t="s">
        <v>2290</v>
      </c>
      <c r="E184" s="655" t="s">
        <v>2601</v>
      </c>
      <c r="F184" s="561">
        <v>226906295</v>
      </c>
      <c r="G184" s="562">
        <v>226906295</v>
      </c>
      <c r="H184" s="561">
        <v>0</v>
      </c>
      <c r="I184" s="561">
        <v>0</v>
      </c>
      <c r="J184" s="562">
        <v>0</v>
      </c>
      <c r="K184" s="561">
        <v>0</v>
      </c>
      <c r="L184" s="561">
        <v>0</v>
      </c>
      <c r="M184" s="561">
        <v>0</v>
      </c>
      <c r="N184" s="561">
        <v>0</v>
      </c>
      <c r="O184" s="560">
        <v>0</v>
      </c>
      <c r="P184" s="449"/>
    </row>
    <row r="185" spans="1:16" s="175" customFormat="1" ht="12" customHeight="1" x14ac:dyDescent="0.25">
      <c r="A185" s="448"/>
      <c r="B185" s="877"/>
      <c r="C185" s="884"/>
      <c r="D185" s="884" t="s">
        <v>2290</v>
      </c>
      <c r="E185" s="655" t="s">
        <v>195</v>
      </c>
      <c r="F185" s="561">
        <v>528861</v>
      </c>
      <c r="G185" s="562">
        <v>528861</v>
      </c>
      <c r="H185" s="561">
        <v>0</v>
      </c>
      <c r="I185" s="561">
        <v>0</v>
      </c>
      <c r="J185" s="562">
        <v>0</v>
      </c>
      <c r="K185" s="561">
        <v>0</v>
      </c>
      <c r="L185" s="561">
        <v>0</v>
      </c>
      <c r="M185" s="561">
        <v>0</v>
      </c>
      <c r="N185" s="561">
        <v>0</v>
      </c>
      <c r="O185" s="560">
        <v>0</v>
      </c>
      <c r="P185" s="449"/>
    </row>
    <row r="186" spans="1:16" s="175" customFormat="1" ht="12" customHeight="1" x14ac:dyDescent="0.25">
      <c r="A186" s="448"/>
      <c r="B186" s="877"/>
      <c r="C186" s="884"/>
      <c r="D186" s="884" t="s">
        <v>2290</v>
      </c>
      <c r="E186" s="655" t="s">
        <v>2676</v>
      </c>
      <c r="F186" s="561">
        <v>1210167</v>
      </c>
      <c r="G186" s="562">
        <v>0</v>
      </c>
      <c r="H186" s="561">
        <v>1210167</v>
      </c>
      <c r="I186" s="561">
        <v>0</v>
      </c>
      <c r="J186" s="562">
        <v>1210167</v>
      </c>
      <c r="K186" s="561">
        <v>0</v>
      </c>
      <c r="L186" s="561">
        <v>0</v>
      </c>
      <c r="M186" s="561">
        <v>0</v>
      </c>
      <c r="N186" s="561">
        <v>1210167</v>
      </c>
      <c r="O186" s="560">
        <v>0</v>
      </c>
      <c r="P186" s="449"/>
    </row>
    <row r="187" spans="1:16" s="175" customFormat="1" ht="12" customHeight="1" x14ac:dyDescent="0.25">
      <c r="A187" s="448"/>
      <c r="B187" s="877"/>
      <c r="C187" s="884"/>
      <c r="D187" s="884" t="s">
        <v>2290</v>
      </c>
      <c r="E187" s="655" t="s">
        <v>1221</v>
      </c>
      <c r="F187" s="561">
        <v>1931860</v>
      </c>
      <c r="G187" s="562">
        <v>1931860</v>
      </c>
      <c r="H187" s="561">
        <v>0</v>
      </c>
      <c r="I187" s="561">
        <v>0</v>
      </c>
      <c r="J187" s="562">
        <v>0</v>
      </c>
      <c r="K187" s="561">
        <v>0</v>
      </c>
      <c r="L187" s="561">
        <v>0</v>
      </c>
      <c r="M187" s="561">
        <v>0</v>
      </c>
      <c r="N187" s="561">
        <v>0</v>
      </c>
      <c r="O187" s="560">
        <v>0</v>
      </c>
      <c r="P187" s="449"/>
    </row>
    <row r="188" spans="1:16" s="175" customFormat="1" ht="12" customHeight="1" x14ac:dyDescent="0.25">
      <c r="A188" s="448"/>
      <c r="B188" s="877"/>
      <c r="C188" s="884" t="s">
        <v>1803</v>
      </c>
      <c r="D188" s="884" t="s">
        <v>1572</v>
      </c>
      <c r="E188" s="655" t="s">
        <v>26</v>
      </c>
      <c r="F188" s="561">
        <v>82724000</v>
      </c>
      <c r="G188" s="562">
        <v>82724000</v>
      </c>
      <c r="H188" s="561">
        <v>0</v>
      </c>
      <c r="I188" s="561">
        <v>0</v>
      </c>
      <c r="J188" s="562">
        <v>0</v>
      </c>
      <c r="K188" s="561">
        <v>0</v>
      </c>
      <c r="L188" s="561">
        <v>0</v>
      </c>
      <c r="M188" s="561">
        <v>0</v>
      </c>
      <c r="N188" s="561">
        <v>0</v>
      </c>
      <c r="O188" s="560">
        <v>0</v>
      </c>
      <c r="P188" s="449"/>
    </row>
    <row r="189" spans="1:16" s="175" customFormat="1" ht="12" hidden="1" customHeight="1" x14ac:dyDescent="0.25">
      <c r="A189" s="448"/>
      <c r="B189" s="877"/>
      <c r="C189" s="884"/>
      <c r="D189" s="884" t="s">
        <v>1572</v>
      </c>
      <c r="E189" s="655" t="s">
        <v>2601</v>
      </c>
      <c r="F189" s="561">
        <v>192000000</v>
      </c>
      <c r="G189" s="562">
        <v>192000000</v>
      </c>
      <c r="H189" s="561">
        <v>0</v>
      </c>
      <c r="I189" s="561">
        <v>0</v>
      </c>
      <c r="J189" s="562">
        <v>0</v>
      </c>
      <c r="K189" s="561">
        <v>0</v>
      </c>
      <c r="L189" s="561">
        <v>0</v>
      </c>
      <c r="M189" s="561">
        <v>0</v>
      </c>
      <c r="N189" s="561">
        <v>0</v>
      </c>
      <c r="O189" s="560">
        <v>0</v>
      </c>
      <c r="P189" s="449"/>
    </row>
    <row r="190" spans="1:16" s="175" customFormat="1" ht="12" customHeight="1" x14ac:dyDescent="0.25">
      <c r="A190" s="448"/>
      <c r="B190" s="877"/>
      <c r="C190" s="884"/>
      <c r="D190" s="884" t="s">
        <v>1572</v>
      </c>
      <c r="E190" s="655" t="s">
        <v>3212</v>
      </c>
      <c r="F190" s="561">
        <v>61800</v>
      </c>
      <c r="G190" s="562">
        <v>0</v>
      </c>
      <c r="H190" s="561">
        <v>61800</v>
      </c>
      <c r="I190" s="561">
        <v>0</v>
      </c>
      <c r="J190" s="562">
        <v>61800</v>
      </c>
      <c r="K190" s="561">
        <v>0</v>
      </c>
      <c r="L190" s="561">
        <v>0</v>
      </c>
      <c r="M190" s="561">
        <v>0</v>
      </c>
      <c r="N190" s="561">
        <v>61800</v>
      </c>
      <c r="O190" s="560">
        <v>0</v>
      </c>
      <c r="P190" s="449"/>
    </row>
    <row r="191" spans="1:16" s="175" customFormat="1" ht="12" customHeight="1" x14ac:dyDescent="0.25">
      <c r="A191" s="448"/>
      <c r="B191" s="877"/>
      <c r="C191" s="884"/>
      <c r="D191" s="884" t="s">
        <v>1572</v>
      </c>
      <c r="E191" s="655" t="s">
        <v>2676</v>
      </c>
      <c r="F191" s="561">
        <v>870400</v>
      </c>
      <c r="G191" s="562">
        <v>0</v>
      </c>
      <c r="H191" s="561">
        <v>870400</v>
      </c>
      <c r="I191" s="561">
        <v>0</v>
      </c>
      <c r="J191" s="562">
        <v>870400</v>
      </c>
      <c r="K191" s="561">
        <v>0</v>
      </c>
      <c r="L191" s="561">
        <v>0</v>
      </c>
      <c r="M191" s="561">
        <v>0</v>
      </c>
      <c r="N191" s="561">
        <v>870400</v>
      </c>
      <c r="O191" s="560">
        <v>0</v>
      </c>
      <c r="P191" s="449"/>
    </row>
    <row r="192" spans="1:16" s="175" customFormat="1" ht="12" customHeight="1" x14ac:dyDescent="0.25">
      <c r="A192" s="448"/>
      <c r="B192" s="877"/>
      <c r="C192" s="884" t="s">
        <v>1804</v>
      </c>
      <c r="D192" s="884" t="s">
        <v>1610</v>
      </c>
      <c r="E192" s="655" t="s">
        <v>26</v>
      </c>
      <c r="F192" s="561">
        <v>209640981</v>
      </c>
      <c r="G192" s="562">
        <v>209640981</v>
      </c>
      <c r="H192" s="561">
        <v>0</v>
      </c>
      <c r="I192" s="561">
        <v>0</v>
      </c>
      <c r="J192" s="562">
        <v>0</v>
      </c>
      <c r="K192" s="561">
        <v>0</v>
      </c>
      <c r="L192" s="561">
        <v>0</v>
      </c>
      <c r="M192" s="561">
        <v>0</v>
      </c>
      <c r="N192" s="561">
        <v>0</v>
      </c>
      <c r="O192" s="560">
        <v>0</v>
      </c>
      <c r="P192" s="449"/>
    </row>
    <row r="193" spans="1:16" s="175" customFormat="1" ht="12" hidden="1" customHeight="1" x14ac:dyDescent="0.25">
      <c r="A193" s="448"/>
      <c r="B193" s="877"/>
      <c r="C193" s="884"/>
      <c r="D193" s="884" t="s">
        <v>1610</v>
      </c>
      <c r="E193" s="655" t="s">
        <v>2601</v>
      </c>
      <c r="F193" s="561">
        <v>174679317</v>
      </c>
      <c r="G193" s="562">
        <v>174679317</v>
      </c>
      <c r="H193" s="561">
        <v>0</v>
      </c>
      <c r="I193" s="561">
        <v>0</v>
      </c>
      <c r="J193" s="562">
        <v>0</v>
      </c>
      <c r="K193" s="561">
        <v>0</v>
      </c>
      <c r="L193" s="561">
        <v>0</v>
      </c>
      <c r="M193" s="561">
        <v>0</v>
      </c>
      <c r="N193" s="561">
        <v>0</v>
      </c>
      <c r="O193" s="560">
        <v>0</v>
      </c>
      <c r="P193" s="449"/>
    </row>
    <row r="194" spans="1:16" s="175" customFormat="1" ht="12" customHeight="1" x14ac:dyDescent="0.25">
      <c r="A194" s="448"/>
      <c r="B194" s="877"/>
      <c r="C194" s="884"/>
      <c r="D194" s="884" t="s">
        <v>1610</v>
      </c>
      <c r="E194" s="655" t="s">
        <v>3212</v>
      </c>
      <c r="F194" s="561">
        <v>162860</v>
      </c>
      <c r="G194" s="562">
        <v>162860</v>
      </c>
      <c r="H194" s="561">
        <v>0</v>
      </c>
      <c r="I194" s="561">
        <v>0</v>
      </c>
      <c r="J194" s="562">
        <v>0</v>
      </c>
      <c r="K194" s="561">
        <v>0</v>
      </c>
      <c r="L194" s="561">
        <v>0</v>
      </c>
      <c r="M194" s="561">
        <v>0</v>
      </c>
      <c r="N194" s="561">
        <v>0</v>
      </c>
      <c r="O194" s="560">
        <v>0</v>
      </c>
      <c r="P194" s="449"/>
    </row>
    <row r="195" spans="1:16" s="175" customFormat="1" ht="12" customHeight="1" x14ac:dyDescent="0.25">
      <c r="A195" s="448"/>
      <c r="B195" s="877"/>
      <c r="C195" s="884" t="s">
        <v>1805</v>
      </c>
      <c r="D195" s="884" t="s">
        <v>3485</v>
      </c>
      <c r="E195" s="655" t="s">
        <v>26</v>
      </c>
      <c r="F195" s="561">
        <v>101970072</v>
      </c>
      <c r="G195" s="562">
        <v>101970072</v>
      </c>
      <c r="H195" s="561">
        <v>0</v>
      </c>
      <c r="I195" s="561">
        <v>0</v>
      </c>
      <c r="J195" s="562">
        <v>0</v>
      </c>
      <c r="K195" s="561">
        <v>0</v>
      </c>
      <c r="L195" s="561">
        <v>0</v>
      </c>
      <c r="M195" s="561">
        <v>0</v>
      </c>
      <c r="N195" s="561">
        <v>0</v>
      </c>
      <c r="O195" s="560">
        <v>0</v>
      </c>
      <c r="P195" s="449"/>
    </row>
    <row r="196" spans="1:16" s="175" customFormat="1" ht="12" hidden="1" customHeight="1" x14ac:dyDescent="0.25">
      <c r="A196" s="448"/>
      <c r="B196" s="877"/>
      <c r="C196" s="884"/>
      <c r="D196" s="884" t="s">
        <v>3485</v>
      </c>
      <c r="E196" s="655" t="s">
        <v>1557</v>
      </c>
      <c r="F196" s="561">
        <v>237929928</v>
      </c>
      <c r="G196" s="562">
        <v>0</v>
      </c>
      <c r="H196" s="561">
        <v>237929928</v>
      </c>
      <c r="I196" s="561">
        <v>0</v>
      </c>
      <c r="J196" s="562">
        <v>237929928</v>
      </c>
      <c r="K196" s="561">
        <v>0</v>
      </c>
      <c r="L196" s="561">
        <v>0</v>
      </c>
      <c r="M196" s="561">
        <v>0</v>
      </c>
      <c r="N196" s="561">
        <v>237929928</v>
      </c>
      <c r="O196" s="560">
        <v>0</v>
      </c>
      <c r="P196" s="449"/>
    </row>
    <row r="197" spans="1:16" s="175" customFormat="1" ht="12" customHeight="1" x14ac:dyDescent="0.25">
      <c r="A197" s="448"/>
      <c r="B197" s="877"/>
      <c r="C197" s="884"/>
      <c r="D197" s="884" t="s">
        <v>3485</v>
      </c>
      <c r="E197" s="655" t="s">
        <v>3212</v>
      </c>
      <c r="F197" s="561">
        <v>925180</v>
      </c>
      <c r="G197" s="562">
        <v>0</v>
      </c>
      <c r="H197" s="561">
        <v>925180</v>
      </c>
      <c r="I197" s="561">
        <v>0</v>
      </c>
      <c r="J197" s="562">
        <v>925180</v>
      </c>
      <c r="K197" s="561">
        <v>925180</v>
      </c>
      <c r="L197" s="561">
        <v>0</v>
      </c>
      <c r="M197" s="561">
        <v>0</v>
      </c>
      <c r="N197" s="561">
        <v>0</v>
      </c>
      <c r="O197" s="560">
        <v>0</v>
      </c>
      <c r="P197" s="449"/>
    </row>
    <row r="198" spans="1:16" s="175" customFormat="1" ht="12" customHeight="1" x14ac:dyDescent="0.25">
      <c r="A198" s="448"/>
      <c r="B198" s="877"/>
      <c r="C198" s="884" t="s">
        <v>1806</v>
      </c>
      <c r="D198" s="884" t="s">
        <v>2575</v>
      </c>
      <c r="E198" s="655" t="s">
        <v>26</v>
      </c>
      <c r="F198" s="561">
        <v>82470000</v>
      </c>
      <c r="G198" s="562">
        <v>82470000</v>
      </c>
      <c r="H198" s="561">
        <v>0</v>
      </c>
      <c r="I198" s="561">
        <v>0</v>
      </c>
      <c r="J198" s="562">
        <v>0</v>
      </c>
      <c r="K198" s="561">
        <v>0</v>
      </c>
      <c r="L198" s="561">
        <v>0</v>
      </c>
      <c r="M198" s="561">
        <v>0</v>
      </c>
      <c r="N198" s="561">
        <v>0</v>
      </c>
      <c r="O198" s="560">
        <v>0</v>
      </c>
      <c r="P198" s="449"/>
    </row>
    <row r="199" spans="1:16" s="175" customFormat="1" ht="12" hidden="1" customHeight="1" x14ac:dyDescent="0.25">
      <c r="A199" s="448"/>
      <c r="B199" s="877"/>
      <c r="C199" s="884"/>
      <c r="D199" s="884" t="s">
        <v>2575</v>
      </c>
      <c r="E199" s="655" t="s">
        <v>2601</v>
      </c>
      <c r="F199" s="561">
        <v>192430000</v>
      </c>
      <c r="G199" s="562">
        <v>192430000</v>
      </c>
      <c r="H199" s="561">
        <v>0</v>
      </c>
      <c r="I199" s="561">
        <v>0</v>
      </c>
      <c r="J199" s="562">
        <v>0</v>
      </c>
      <c r="K199" s="561">
        <v>0</v>
      </c>
      <c r="L199" s="561">
        <v>0</v>
      </c>
      <c r="M199" s="561">
        <v>0</v>
      </c>
      <c r="N199" s="561">
        <v>0</v>
      </c>
      <c r="O199" s="560">
        <v>0</v>
      </c>
      <c r="P199" s="449"/>
    </row>
    <row r="200" spans="1:16" s="247" customFormat="1" ht="12" customHeight="1" x14ac:dyDescent="0.25">
      <c r="A200" s="450"/>
      <c r="B200" s="877"/>
      <c r="C200" s="884"/>
      <c r="D200" s="884" t="s">
        <v>2575</v>
      </c>
      <c r="E200" s="655" t="s">
        <v>3212</v>
      </c>
      <c r="F200" s="561">
        <v>89747</v>
      </c>
      <c r="G200" s="562">
        <v>0</v>
      </c>
      <c r="H200" s="561">
        <v>89747</v>
      </c>
      <c r="I200" s="561">
        <v>0</v>
      </c>
      <c r="J200" s="562">
        <v>89747</v>
      </c>
      <c r="K200" s="561">
        <v>0</v>
      </c>
      <c r="L200" s="561">
        <v>0</v>
      </c>
      <c r="M200" s="561">
        <v>0</v>
      </c>
      <c r="N200" s="561">
        <v>89747</v>
      </c>
      <c r="O200" s="560">
        <v>0</v>
      </c>
      <c r="P200" s="449"/>
    </row>
    <row r="201" spans="1:16" s="247" customFormat="1" ht="12" customHeight="1" x14ac:dyDescent="0.25">
      <c r="A201" s="450"/>
      <c r="B201" s="877"/>
      <c r="C201" s="884"/>
      <c r="D201" s="884" t="s">
        <v>2575</v>
      </c>
      <c r="E201" s="655" t="s">
        <v>1221</v>
      </c>
      <c r="F201" s="561">
        <v>1512675</v>
      </c>
      <c r="G201" s="562">
        <v>1512675</v>
      </c>
      <c r="H201" s="561">
        <v>0</v>
      </c>
      <c r="I201" s="561">
        <v>0</v>
      </c>
      <c r="J201" s="562">
        <v>0</v>
      </c>
      <c r="K201" s="561">
        <v>0</v>
      </c>
      <c r="L201" s="561">
        <v>0</v>
      </c>
      <c r="M201" s="561">
        <v>0</v>
      </c>
      <c r="N201" s="561">
        <v>0</v>
      </c>
      <c r="O201" s="560">
        <v>0</v>
      </c>
      <c r="P201" s="449"/>
    </row>
    <row r="202" spans="1:16" s="247" customFormat="1" ht="12" customHeight="1" x14ac:dyDescent="0.25">
      <c r="A202" s="450"/>
      <c r="B202" s="877"/>
      <c r="C202" s="884" t="s">
        <v>1807</v>
      </c>
      <c r="D202" s="884" t="s">
        <v>1222</v>
      </c>
      <c r="E202" s="655" t="s">
        <v>26</v>
      </c>
      <c r="F202" s="561">
        <v>263219927</v>
      </c>
      <c r="G202" s="562">
        <v>263219927</v>
      </c>
      <c r="H202" s="561">
        <v>0</v>
      </c>
      <c r="I202" s="561">
        <v>0</v>
      </c>
      <c r="J202" s="562">
        <v>0</v>
      </c>
      <c r="K202" s="561">
        <v>0</v>
      </c>
      <c r="L202" s="561">
        <v>0</v>
      </c>
      <c r="M202" s="561">
        <v>0</v>
      </c>
      <c r="N202" s="561">
        <v>0</v>
      </c>
      <c r="O202" s="560">
        <v>0</v>
      </c>
      <c r="P202" s="449"/>
    </row>
    <row r="203" spans="1:16" s="247" customFormat="1" ht="12" customHeight="1" x14ac:dyDescent="0.25">
      <c r="A203" s="450"/>
      <c r="B203" s="877"/>
      <c r="C203" s="884"/>
      <c r="D203" s="884" t="s">
        <v>1222</v>
      </c>
      <c r="E203" s="655" t="s">
        <v>3212</v>
      </c>
      <c r="F203" s="561">
        <v>139421</v>
      </c>
      <c r="G203" s="562">
        <v>139421</v>
      </c>
      <c r="H203" s="561">
        <v>0</v>
      </c>
      <c r="I203" s="561">
        <v>0</v>
      </c>
      <c r="J203" s="562">
        <v>0</v>
      </c>
      <c r="K203" s="561">
        <v>0</v>
      </c>
      <c r="L203" s="561">
        <v>0</v>
      </c>
      <c r="M203" s="561">
        <v>0</v>
      </c>
      <c r="N203" s="561">
        <v>0</v>
      </c>
      <c r="O203" s="560">
        <v>0</v>
      </c>
      <c r="P203" s="449"/>
    </row>
    <row r="204" spans="1:16" s="247" customFormat="1" ht="12" customHeight="1" x14ac:dyDescent="0.25">
      <c r="A204" s="450"/>
      <c r="B204" s="877"/>
      <c r="C204" s="884"/>
      <c r="D204" s="884" t="s">
        <v>1222</v>
      </c>
      <c r="E204" s="655" t="s">
        <v>195</v>
      </c>
      <c r="F204" s="561">
        <v>189207</v>
      </c>
      <c r="G204" s="562">
        <v>189207</v>
      </c>
      <c r="H204" s="561">
        <v>0</v>
      </c>
      <c r="I204" s="561">
        <v>0</v>
      </c>
      <c r="J204" s="562">
        <v>0</v>
      </c>
      <c r="K204" s="561">
        <v>0</v>
      </c>
      <c r="L204" s="561">
        <v>0</v>
      </c>
      <c r="M204" s="561">
        <v>0</v>
      </c>
      <c r="N204" s="561">
        <v>0</v>
      </c>
      <c r="O204" s="560">
        <v>0</v>
      </c>
      <c r="P204" s="449"/>
    </row>
    <row r="205" spans="1:16" s="247" customFormat="1" ht="12" customHeight="1" x14ac:dyDescent="0.25">
      <c r="A205" s="450"/>
      <c r="B205" s="877"/>
      <c r="C205" s="884" t="s">
        <v>1808</v>
      </c>
      <c r="D205" s="884" t="s">
        <v>875</v>
      </c>
      <c r="E205" s="655" t="s">
        <v>26</v>
      </c>
      <c r="F205" s="561">
        <v>96865280</v>
      </c>
      <c r="G205" s="562">
        <v>96865280</v>
      </c>
      <c r="H205" s="561">
        <v>0</v>
      </c>
      <c r="I205" s="561">
        <v>0</v>
      </c>
      <c r="J205" s="562">
        <v>0</v>
      </c>
      <c r="K205" s="561">
        <v>0</v>
      </c>
      <c r="L205" s="561">
        <v>0</v>
      </c>
      <c r="M205" s="561">
        <v>0</v>
      </c>
      <c r="N205" s="561">
        <v>0</v>
      </c>
      <c r="O205" s="560">
        <v>0</v>
      </c>
      <c r="P205" s="449"/>
    </row>
    <row r="206" spans="1:16" s="247" customFormat="1" ht="12" hidden="1" customHeight="1" x14ac:dyDescent="0.25">
      <c r="A206" s="450"/>
      <c r="B206" s="877"/>
      <c r="C206" s="884"/>
      <c r="D206" s="884" t="s">
        <v>875</v>
      </c>
      <c r="E206" s="655" t="s">
        <v>1557</v>
      </c>
      <c r="F206" s="561">
        <v>225654720</v>
      </c>
      <c r="G206" s="562">
        <v>225654720</v>
      </c>
      <c r="H206" s="561">
        <v>0</v>
      </c>
      <c r="I206" s="561">
        <v>0</v>
      </c>
      <c r="J206" s="562">
        <v>0</v>
      </c>
      <c r="K206" s="561">
        <v>0</v>
      </c>
      <c r="L206" s="561">
        <v>0</v>
      </c>
      <c r="M206" s="561">
        <v>0</v>
      </c>
      <c r="N206" s="561">
        <v>0</v>
      </c>
      <c r="O206" s="560">
        <v>0</v>
      </c>
      <c r="P206" s="449"/>
    </row>
    <row r="207" spans="1:16" s="247" customFormat="1" ht="12" customHeight="1" x14ac:dyDescent="0.25">
      <c r="A207" s="450"/>
      <c r="B207" s="877"/>
      <c r="C207" s="884"/>
      <c r="D207" s="884" t="s">
        <v>875</v>
      </c>
      <c r="E207" s="655" t="s">
        <v>822</v>
      </c>
      <c r="F207" s="561">
        <v>460558</v>
      </c>
      <c r="G207" s="562">
        <v>460558</v>
      </c>
      <c r="H207" s="561">
        <v>0</v>
      </c>
      <c r="I207" s="561">
        <v>0</v>
      </c>
      <c r="J207" s="562">
        <v>0</v>
      </c>
      <c r="K207" s="561">
        <v>0</v>
      </c>
      <c r="L207" s="561">
        <v>0</v>
      </c>
      <c r="M207" s="561">
        <v>0</v>
      </c>
      <c r="N207" s="561">
        <v>0</v>
      </c>
      <c r="O207" s="560">
        <v>0</v>
      </c>
      <c r="P207" s="449"/>
    </row>
    <row r="208" spans="1:16" s="247" customFormat="1" ht="12" customHeight="1" x14ac:dyDescent="0.25">
      <c r="A208" s="450"/>
      <c r="B208" s="877"/>
      <c r="C208" s="884"/>
      <c r="D208" s="884" t="s">
        <v>875</v>
      </c>
      <c r="E208" s="655" t="s">
        <v>3212</v>
      </c>
      <c r="F208" s="561">
        <v>82650</v>
      </c>
      <c r="G208" s="562">
        <v>0</v>
      </c>
      <c r="H208" s="561">
        <v>82650</v>
      </c>
      <c r="I208" s="561">
        <v>0</v>
      </c>
      <c r="J208" s="562">
        <v>82650</v>
      </c>
      <c r="K208" s="561">
        <v>0</v>
      </c>
      <c r="L208" s="561">
        <v>0</v>
      </c>
      <c r="M208" s="561">
        <v>0</v>
      </c>
      <c r="N208" s="561">
        <v>82650</v>
      </c>
      <c r="O208" s="560">
        <v>1</v>
      </c>
      <c r="P208" s="449"/>
    </row>
    <row r="209" spans="1:16" s="247" customFormat="1" ht="12" customHeight="1" x14ac:dyDescent="0.25">
      <c r="A209" s="450"/>
      <c r="B209" s="877"/>
      <c r="C209" s="884" t="s">
        <v>1809</v>
      </c>
      <c r="D209" s="884" t="s">
        <v>4226</v>
      </c>
      <c r="E209" s="655" t="s">
        <v>26</v>
      </c>
      <c r="F209" s="561">
        <v>81960000</v>
      </c>
      <c r="G209" s="562">
        <v>81960000</v>
      </c>
      <c r="H209" s="561">
        <v>0</v>
      </c>
      <c r="I209" s="561">
        <v>0</v>
      </c>
      <c r="J209" s="562">
        <v>0</v>
      </c>
      <c r="K209" s="561">
        <v>0</v>
      </c>
      <c r="L209" s="561">
        <v>0</v>
      </c>
      <c r="M209" s="561">
        <v>0</v>
      </c>
      <c r="N209" s="561">
        <v>0</v>
      </c>
      <c r="O209" s="560">
        <v>941200</v>
      </c>
      <c r="P209" s="449"/>
    </row>
    <row r="210" spans="1:16" s="247" customFormat="1" ht="12" hidden="1" customHeight="1" x14ac:dyDescent="0.25">
      <c r="A210" s="450"/>
      <c r="B210" s="877"/>
      <c r="C210" s="884"/>
      <c r="D210" s="884" t="s">
        <v>4226</v>
      </c>
      <c r="E210" s="655" t="s">
        <v>2601</v>
      </c>
      <c r="F210" s="561">
        <v>191240000</v>
      </c>
      <c r="G210" s="562">
        <v>191240000</v>
      </c>
      <c r="H210" s="561">
        <v>0</v>
      </c>
      <c r="I210" s="561">
        <v>0</v>
      </c>
      <c r="J210" s="562">
        <v>0</v>
      </c>
      <c r="K210" s="561">
        <v>0</v>
      </c>
      <c r="L210" s="561">
        <v>0</v>
      </c>
      <c r="M210" s="561">
        <v>0</v>
      </c>
      <c r="N210" s="561">
        <v>0</v>
      </c>
      <c r="O210" s="560">
        <v>0</v>
      </c>
      <c r="P210" s="449"/>
    </row>
    <row r="211" spans="1:16" s="247" customFormat="1" ht="12" customHeight="1" x14ac:dyDescent="0.25">
      <c r="A211" s="450"/>
      <c r="B211" s="877"/>
      <c r="C211" s="884"/>
      <c r="D211" s="884" t="s">
        <v>4226</v>
      </c>
      <c r="E211" s="655" t="s">
        <v>3212</v>
      </c>
      <c r="F211" s="561">
        <v>105000</v>
      </c>
      <c r="G211" s="562">
        <v>105000</v>
      </c>
      <c r="H211" s="561">
        <v>0</v>
      </c>
      <c r="I211" s="561">
        <v>0</v>
      </c>
      <c r="J211" s="562">
        <v>0</v>
      </c>
      <c r="K211" s="561">
        <v>0</v>
      </c>
      <c r="L211" s="561">
        <v>0</v>
      </c>
      <c r="M211" s="561">
        <v>0</v>
      </c>
      <c r="N211" s="561">
        <v>0</v>
      </c>
      <c r="O211" s="560">
        <v>0</v>
      </c>
      <c r="P211" s="449"/>
    </row>
    <row r="212" spans="1:16" s="247" customFormat="1" ht="12" customHeight="1" x14ac:dyDescent="0.25">
      <c r="A212" s="450"/>
      <c r="B212" s="877"/>
      <c r="C212" s="884"/>
      <c r="D212" s="884" t="s">
        <v>4226</v>
      </c>
      <c r="E212" s="655" t="s">
        <v>2676</v>
      </c>
      <c r="F212" s="561">
        <v>101995</v>
      </c>
      <c r="G212" s="562">
        <v>101995</v>
      </c>
      <c r="H212" s="561">
        <v>0</v>
      </c>
      <c r="I212" s="561">
        <v>0</v>
      </c>
      <c r="J212" s="562">
        <v>0</v>
      </c>
      <c r="K212" s="561">
        <v>0</v>
      </c>
      <c r="L212" s="561">
        <v>0</v>
      </c>
      <c r="M212" s="561">
        <v>0</v>
      </c>
      <c r="N212" s="561">
        <v>0</v>
      </c>
      <c r="O212" s="560">
        <v>0</v>
      </c>
      <c r="P212" s="449"/>
    </row>
    <row r="213" spans="1:16" s="247" customFormat="1" ht="12" customHeight="1" x14ac:dyDescent="0.25">
      <c r="A213" s="450"/>
      <c r="B213" s="877"/>
      <c r="C213" s="884" t="s">
        <v>1810</v>
      </c>
      <c r="D213" s="884" t="s">
        <v>4275</v>
      </c>
      <c r="E213" s="655" t="s">
        <v>26</v>
      </c>
      <c r="F213" s="561">
        <v>93689768</v>
      </c>
      <c r="G213" s="562">
        <v>93689768</v>
      </c>
      <c r="H213" s="561">
        <v>0</v>
      </c>
      <c r="I213" s="561">
        <v>0</v>
      </c>
      <c r="J213" s="562">
        <v>0</v>
      </c>
      <c r="K213" s="561">
        <v>0</v>
      </c>
      <c r="L213" s="561">
        <v>0</v>
      </c>
      <c r="M213" s="561">
        <v>0</v>
      </c>
      <c r="N213" s="561">
        <v>0</v>
      </c>
      <c r="O213" s="560">
        <v>0</v>
      </c>
      <c r="P213" s="449"/>
    </row>
    <row r="214" spans="1:16" s="247" customFormat="1" ht="12" hidden="1" customHeight="1" x14ac:dyDescent="0.25">
      <c r="A214" s="450"/>
      <c r="B214" s="877"/>
      <c r="C214" s="884"/>
      <c r="D214" s="884" t="s">
        <v>4275</v>
      </c>
      <c r="E214" s="655" t="s">
        <v>2601</v>
      </c>
      <c r="F214" s="561">
        <v>254012927</v>
      </c>
      <c r="G214" s="562">
        <v>254012927</v>
      </c>
      <c r="H214" s="561">
        <v>0</v>
      </c>
      <c r="I214" s="561">
        <v>0</v>
      </c>
      <c r="J214" s="562">
        <v>0</v>
      </c>
      <c r="K214" s="561">
        <v>0</v>
      </c>
      <c r="L214" s="561">
        <v>0</v>
      </c>
      <c r="M214" s="561">
        <v>0</v>
      </c>
      <c r="N214" s="561">
        <v>0</v>
      </c>
      <c r="O214" s="560">
        <v>0</v>
      </c>
      <c r="P214" s="449"/>
    </row>
    <row r="215" spans="1:16" s="247" customFormat="1" ht="12" customHeight="1" x14ac:dyDescent="0.25">
      <c r="A215" s="450"/>
      <c r="B215" s="877"/>
      <c r="C215" s="884"/>
      <c r="D215" s="884" t="s">
        <v>4275</v>
      </c>
      <c r="E215" s="655" t="s">
        <v>822</v>
      </c>
      <c r="F215" s="561">
        <v>538317</v>
      </c>
      <c r="G215" s="562">
        <v>490000</v>
      </c>
      <c r="H215" s="561">
        <v>48317</v>
      </c>
      <c r="I215" s="561">
        <v>0</v>
      </c>
      <c r="J215" s="562">
        <v>48317</v>
      </c>
      <c r="K215" s="561">
        <v>0</v>
      </c>
      <c r="L215" s="561">
        <v>0</v>
      </c>
      <c r="M215" s="561">
        <v>0</v>
      </c>
      <c r="N215" s="561">
        <v>48317</v>
      </c>
      <c r="O215" s="560">
        <v>0</v>
      </c>
      <c r="P215" s="449"/>
    </row>
    <row r="216" spans="1:16" s="247" customFormat="1" ht="12" customHeight="1" x14ac:dyDescent="0.25">
      <c r="A216" s="450"/>
      <c r="B216" s="877"/>
      <c r="C216" s="884"/>
      <c r="D216" s="884" t="s">
        <v>4275</v>
      </c>
      <c r="E216" s="655" t="s">
        <v>3212</v>
      </c>
      <c r="F216" s="561">
        <v>108144</v>
      </c>
      <c r="G216" s="562">
        <v>0</v>
      </c>
      <c r="H216" s="561">
        <v>108144</v>
      </c>
      <c r="I216" s="561">
        <v>0</v>
      </c>
      <c r="J216" s="562">
        <v>108144</v>
      </c>
      <c r="K216" s="561">
        <v>0</v>
      </c>
      <c r="L216" s="561">
        <v>0</v>
      </c>
      <c r="M216" s="561">
        <v>0</v>
      </c>
      <c r="N216" s="561">
        <v>108144</v>
      </c>
      <c r="O216" s="560">
        <v>0</v>
      </c>
      <c r="P216" s="449"/>
    </row>
    <row r="217" spans="1:16" s="247" customFormat="1" ht="12" customHeight="1" x14ac:dyDescent="0.25">
      <c r="A217" s="450"/>
      <c r="B217" s="877"/>
      <c r="C217" s="884" t="s">
        <v>1811</v>
      </c>
      <c r="D217" s="884" t="s">
        <v>1183</v>
      </c>
      <c r="E217" s="655" t="s">
        <v>26</v>
      </c>
      <c r="F217" s="561">
        <v>293657354</v>
      </c>
      <c r="G217" s="562">
        <v>293657354</v>
      </c>
      <c r="H217" s="561">
        <v>0</v>
      </c>
      <c r="I217" s="561">
        <v>0</v>
      </c>
      <c r="J217" s="562">
        <v>0</v>
      </c>
      <c r="K217" s="561">
        <v>0</v>
      </c>
      <c r="L217" s="561">
        <v>0</v>
      </c>
      <c r="M217" s="561">
        <v>0</v>
      </c>
      <c r="N217" s="561">
        <v>0</v>
      </c>
      <c r="O217" s="560">
        <v>354</v>
      </c>
      <c r="P217" s="449"/>
    </row>
    <row r="218" spans="1:16" s="247" customFormat="1" ht="12" customHeight="1" x14ac:dyDescent="0.25">
      <c r="A218" s="450"/>
      <c r="B218" s="877"/>
      <c r="C218" s="884"/>
      <c r="D218" s="884" t="s">
        <v>1183</v>
      </c>
      <c r="E218" s="655" t="s">
        <v>3212</v>
      </c>
      <c r="F218" s="561">
        <v>171008</v>
      </c>
      <c r="G218" s="562">
        <v>0</v>
      </c>
      <c r="H218" s="561">
        <v>171008</v>
      </c>
      <c r="I218" s="561">
        <v>0</v>
      </c>
      <c r="J218" s="562">
        <v>171008</v>
      </c>
      <c r="K218" s="561">
        <v>0</v>
      </c>
      <c r="L218" s="561">
        <v>0</v>
      </c>
      <c r="M218" s="561">
        <v>0</v>
      </c>
      <c r="N218" s="561">
        <v>171008</v>
      </c>
      <c r="O218" s="560">
        <v>0</v>
      </c>
      <c r="P218" s="449"/>
    </row>
    <row r="219" spans="1:16" s="247" customFormat="1" ht="12" customHeight="1" x14ac:dyDescent="0.25">
      <c r="A219" s="450"/>
      <c r="B219" s="877"/>
      <c r="C219" s="884"/>
      <c r="D219" s="884" t="s">
        <v>1183</v>
      </c>
      <c r="E219" s="655" t="s">
        <v>1221</v>
      </c>
      <c r="F219" s="561">
        <v>1931850</v>
      </c>
      <c r="G219" s="562">
        <v>1931850</v>
      </c>
      <c r="H219" s="561">
        <v>0</v>
      </c>
      <c r="I219" s="561">
        <v>0</v>
      </c>
      <c r="J219" s="562">
        <v>0</v>
      </c>
      <c r="K219" s="561">
        <v>0</v>
      </c>
      <c r="L219" s="561">
        <v>0</v>
      </c>
      <c r="M219" s="561">
        <v>0</v>
      </c>
      <c r="N219" s="561">
        <v>0</v>
      </c>
      <c r="O219" s="560">
        <v>0</v>
      </c>
      <c r="P219" s="449"/>
    </row>
    <row r="220" spans="1:16" s="247" customFormat="1" ht="12" customHeight="1" x14ac:dyDescent="0.25">
      <c r="A220" s="450"/>
      <c r="B220" s="877"/>
      <c r="C220" s="884" t="s">
        <v>2679</v>
      </c>
      <c r="D220" s="884" t="s">
        <v>2608</v>
      </c>
      <c r="E220" s="655" t="s">
        <v>26</v>
      </c>
      <c r="F220" s="561">
        <v>110693345</v>
      </c>
      <c r="G220" s="562">
        <v>110693345</v>
      </c>
      <c r="H220" s="561">
        <v>0</v>
      </c>
      <c r="I220" s="561">
        <v>0</v>
      </c>
      <c r="J220" s="562">
        <v>0</v>
      </c>
      <c r="K220" s="561">
        <v>0</v>
      </c>
      <c r="L220" s="561">
        <v>0</v>
      </c>
      <c r="M220" s="561">
        <v>0</v>
      </c>
      <c r="N220" s="561">
        <v>0</v>
      </c>
      <c r="O220" s="560">
        <v>0</v>
      </c>
      <c r="P220" s="449"/>
    </row>
    <row r="221" spans="1:16" s="247" customFormat="1" ht="12" customHeight="1" x14ac:dyDescent="0.25">
      <c r="A221" s="450"/>
      <c r="B221" s="877"/>
      <c r="C221" s="884"/>
      <c r="D221" s="884" t="s">
        <v>2608</v>
      </c>
      <c r="E221" s="655" t="s">
        <v>900</v>
      </c>
      <c r="F221" s="561">
        <v>6000000</v>
      </c>
      <c r="G221" s="562">
        <v>6000000</v>
      </c>
      <c r="H221" s="561">
        <v>0</v>
      </c>
      <c r="I221" s="561">
        <v>0</v>
      </c>
      <c r="J221" s="562">
        <v>0</v>
      </c>
      <c r="K221" s="561">
        <v>0</v>
      </c>
      <c r="L221" s="561">
        <v>0</v>
      </c>
      <c r="M221" s="561">
        <v>0</v>
      </c>
      <c r="N221" s="561">
        <v>0</v>
      </c>
      <c r="O221" s="560">
        <v>0</v>
      </c>
      <c r="P221" s="449"/>
    </row>
    <row r="222" spans="1:16" s="247" customFormat="1" ht="12" hidden="1" customHeight="1" x14ac:dyDescent="0.25">
      <c r="A222" s="450"/>
      <c r="B222" s="877"/>
      <c r="C222" s="884"/>
      <c r="D222" s="884" t="s">
        <v>2608</v>
      </c>
      <c r="E222" s="655" t="s">
        <v>2601</v>
      </c>
      <c r="F222" s="561">
        <v>131882871</v>
      </c>
      <c r="G222" s="562">
        <v>131882871</v>
      </c>
      <c r="H222" s="561">
        <v>0</v>
      </c>
      <c r="I222" s="561">
        <v>0</v>
      </c>
      <c r="J222" s="562">
        <v>0</v>
      </c>
      <c r="K222" s="561">
        <v>0</v>
      </c>
      <c r="L222" s="561">
        <v>0</v>
      </c>
      <c r="M222" s="561">
        <v>0</v>
      </c>
      <c r="N222" s="561">
        <v>0</v>
      </c>
      <c r="O222" s="560">
        <v>0</v>
      </c>
      <c r="P222" s="449"/>
    </row>
    <row r="223" spans="1:16" s="247" customFormat="1" ht="12" customHeight="1" x14ac:dyDescent="0.25">
      <c r="A223" s="450"/>
      <c r="B223" s="877"/>
      <c r="C223" s="884"/>
      <c r="D223" s="884" t="s">
        <v>2608</v>
      </c>
      <c r="E223" s="655" t="s">
        <v>3212</v>
      </c>
      <c r="F223" s="561">
        <v>64543</v>
      </c>
      <c r="G223" s="562">
        <v>64543</v>
      </c>
      <c r="H223" s="561">
        <v>0</v>
      </c>
      <c r="I223" s="561">
        <v>0</v>
      </c>
      <c r="J223" s="562">
        <v>0</v>
      </c>
      <c r="K223" s="561">
        <v>0</v>
      </c>
      <c r="L223" s="561">
        <v>0</v>
      </c>
      <c r="M223" s="561">
        <v>0</v>
      </c>
      <c r="N223" s="561">
        <v>0</v>
      </c>
      <c r="O223" s="560">
        <v>0</v>
      </c>
      <c r="P223" s="449"/>
    </row>
    <row r="224" spans="1:16" s="247" customFormat="1" ht="12" customHeight="1" x14ac:dyDescent="0.25">
      <c r="A224" s="450"/>
      <c r="B224" s="877"/>
      <c r="C224" s="884"/>
      <c r="D224" s="884" t="s">
        <v>2608</v>
      </c>
      <c r="E224" s="655" t="s">
        <v>1221</v>
      </c>
      <c r="F224" s="561">
        <v>1120500</v>
      </c>
      <c r="G224" s="562">
        <v>1120500</v>
      </c>
      <c r="H224" s="561">
        <v>0</v>
      </c>
      <c r="I224" s="561">
        <v>0</v>
      </c>
      <c r="J224" s="562">
        <v>0</v>
      </c>
      <c r="K224" s="561">
        <v>0</v>
      </c>
      <c r="L224" s="561">
        <v>0</v>
      </c>
      <c r="M224" s="561">
        <v>0</v>
      </c>
      <c r="N224" s="561">
        <v>0</v>
      </c>
      <c r="O224" s="560">
        <v>0</v>
      </c>
      <c r="P224" s="449"/>
    </row>
    <row r="225" spans="1:16" s="247" customFormat="1" ht="12" customHeight="1" x14ac:dyDescent="0.25">
      <c r="A225" s="450"/>
      <c r="B225" s="877"/>
      <c r="C225" s="884" t="s">
        <v>1812</v>
      </c>
      <c r="D225" s="884" t="s">
        <v>876</v>
      </c>
      <c r="E225" s="655" t="s">
        <v>26</v>
      </c>
      <c r="F225" s="561">
        <v>97732358</v>
      </c>
      <c r="G225" s="562">
        <v>97732358</v>
      </c>
      <c r="H225" s="561">
        <v>0</v>
      </c>
      <c r="I225" s="561">
        <v>0</v>
      </c>
      <c r="J225" s="562">
        <v>0</v>
      </c>
      <c r="K225" s="561">
        <v>0</v>
      </c>
      <c r="L225" s="561">
        <v>0</v>
      </c>
      <c r="M225" s="561">
        <v>0</v>
      </c>
      <c r="N225" s="561">
        <v>0</v>
      </c>
      <c r="O225" s="560">
        <v>0</v>
      </c>
      <c r="P225" s="449"/>
    </row>
    <row r="226" spans="1:16" s="247" customFormat="1" ht="12" hidden="1" customHeight="1" x14ac:dyDescent="0.25">
      <c r="A226" s="450"/>
      <c r="B226" s="877"/>
      <c r="C226" s="884"/>
      <c r="D226" s="884" t="s">
        <v>876</v>
      </c>
      <c r="E226" s="655" t="s">
        <v>1557</v>
      </c>
      <c r="F226" s="561">
        <v>227500000</v>
      </c>
      <c r="G226" s="562">
        <v>227500000</v>
      </c>
      <c r="H226" s="561">
        <v>0</v>
      </c>
      <c r="I226" s="561">
        <v>0</v>
      </c>
      <c r="J226" s="562">
        <v>0</v>
      </c>
      <c r="K226" s="561">
        <v>0</v>
      </c>
      <c r="L226" s="561">
        <v>0</v>
      </c>
      <c r="M226" s="561">
        <v>0</v>
      </c>
      <c r="N226" s="561">
        <v>0</v>
      </c>
      <c r="O226" s="560">
        <v>0</v>
      </c>
      <c r="P226" s="449"/>
    </row>
    <row r="227" spans="1:16" s="247" customFormat="1" ht="12" customHeight="1" x14ac:dyDescent="0.25">
      <c r="A227" s="450"/>
      <c r="B227" s="877"/>
      <c r="C227" s="884"/>
      <c r="D227" s="884" t="s">
        <v>876</v>
      </c>
      <c r="E227" s="655" t="s">
        <v>822</v>
      </c>
      <c r="F227" s="561">
        <v>464431</v>
      </c>
      <c r="G227" s="562">
        <v>0</v>
      </c>
      <c r="H227" s="561">
        <v>464431</v>
      </c>
      <c r="I227" s="561">
        <v>0</v>
      </c>
      <c r="J227" s="562">
        <v>464431</v>
      </c>
      <c r="K227" s="561">
        <v>0</v>
      </c>
      <c r="L227" s="561">
        <v>0</v>
      </c>
      <c r="M227" s="561">
        <v>0</v>
      </c>
      <c r="N227" s="561">
        <v>464431</v>
      </c>
      <c r="O227" s="560">
        <v>0</v>
      </c>
      <c r="P227" s="449"/>
    </row>
    <row r="228" spans="1:16" s="247" customFormat="1" ht="12" customHeight="1" x14ac:dyDescent="0.25">
      <c r="A228" s="450"/>
      <c r="B228" s="877"/>
      <c r="C228" s="884"/>
      <c r="D228" s="884" t="s">
        <v>876</v>
      </c>
      <c r="E228" s="655" t="s">
        <v>2676</v>
      </c>
      <c r="F228" s="561">
        <v>546000</v>
      </c>
      <c r="G228" s="562">
        <v>0</v>
      </c>
      <c r="H228" s="561">
        <v>546000</v>
      </c>
      <c r="I228" s="561">
        <v>0</v>
      </c>
      <c r="J228" s="562">
        <v>546000</v>
      </c>
      <c r="K228" s="561">
        <v>0</v>
      </c>
      <c r="L228" s="561">
        <v>0</v>
      </c>
      <c r="M228" s="561">
        <v>0</v>
      </c>
      <c r="N228" s="561">
        <v>546000</v>
      </c>
      <c r="O228" s="560">
        <v>0</v>
      </c>
      <c r="P228" s="449"/>
    </row>
    <row r="229" spans="1:16" s="247" customFormat="1" ht="12" customHeight="1" x14ac:dyDescent="0.25">
      <c r="A229" s="450"/>
      <c r="B229" s="877"/>
      <c r="C229" s="884" t="s">
        <v>1813</v>
      </c>
      <c r="D229" s="884" t="s">
        <v>1234</v>
      </c>
      <c r="E229" s="655" t="s">
        <v>26</v>
      </c>
      <c r="F229" s="561">
        <v>110985976</v>
      </c>
      <c r="G229" s="562">
        <v>110985976</v>
      </c>
      <c r="H229" s="561">
        <v>0</v>
      </c>
      <c r="I229" s="561">
        <v>0</v>
      </c>
      <c r="J229" s="562">
        <v>0</v>
      </c>
      <c r="K229" s="561">
        <v>0</v>
      </c>
      <c r="L229" s="561">
        <v>0</v>
      </c>
      <c r="M229" s="561">
        <v>0</v>
      </c>
      <c r="N229" s="561">
        <v>0</v>
      </c>
      <c r="O229" s="560">
        <v>0</v>
      </c>
      <c r="P229" s="449"/>
    </row>
    <row r="230" spans="1:16" s="247" customFormat="1" ht="12" hidden="1" customHeight="1" x14ac:dyDescent="0.25">
      <c r="A230" s="450"/>
      <c r="B230" s="877"/>
      <c r="C230" s="884"/>
      <c r="D230" s="884" t="s">
        <v>1234</v>
      </c>
      <c r="E230" s="655" t="s">
        <v>2601</v>
      </c>
      <c r="F230" s="561">
        <v>254425500</v>
      </c>
      <c r="G230" s="562">
        <v>254425500</v>
      </c>
      <c r="H230" s="561">
        <v>0</v>
      </c>
      <c r="I230" s="561">
        <v>0</v>
      </c>
      <c r="J230" s="562">
        <v>0</v>
      </c>
      <c r="K230" s="561">
        <v>0</v>
      </c>
      <c r="L230" s="561">
        <v>0</v>
      </c>
      <c r="M230" s="561">
        <v>0</v>
      </c>
      <c r="N230" s="561">
        <v>0</v>
      </c>
      <c r="O230" s="560">
        <v>230445</v>
      </c>
      <c r="P230" s="449"/>
    </row>
    <row r="231" spans="1:16" s="247" customFormat="1" ht="12" customHeight="1" x14ac:dyDescent="0.25">
      <c r="A231" s="450"/>
      <c r="B231" s="877"/>
      <c r="C231" s="884"/>
      <c r="D231" s="884" t="s">
        <v>1234</v>
      </c>
      <c r="E231" s="655" t="s">
        <v>3212</v>
      </c>
      <c r="F231" s="561">
        <v>54548</v>
      </c>
      <c r="G231" s="562">
        <v>54548</v>
      </c>
      <c r="H231" s="561">
        <v>0</v>
      </c>
      <c r="I231" s="561">
        <v>0</v>
      </c>
      <c r="J231" s="562">
        <v>0</v>
      </c>
      <c r="K231" s="561">
        <v>0</v>
      </c>
      <c r="L231" s="561">
        <v>0</v>
      </c>
      <c r="M231" s="561">
        <v>0</v>
      </c>
      <c r="N231" s="561">
        <v>0</v>
      </c>
      <c r="O231" s="560">
        <v>0</v>
      </c>
      <c r="P231" s="449"/>
    </row>
    <row r="232" spans="1:16" s="247" customFormat="1" ht="12" customHeight="1" x14ac:dyDescent="0.25">
      <c r="A232" s="450"/>
      <c r="B232" s="877"/>
      <c r="C232" s="884" t="s">
        <v>1814</v>
      </c>
      <c r="D232" s="884" t="s">
        <v>877</v>
      </c>
      <c r="E232" s="655" t="s">
        <v>26</v>
      </c>
      <c r="F232" s="561">
        <v>113608279</v>
      </c>
      <c r="G232" s="562">
        <v>113608279</v>
      </c>
      <c r="H232" s="561">
        <v>0</v>
      </c>
      <c r="I232" s="561">
        <v>0</v>
      </c>
      <c r="J232" s="562">
        <v>0</v>
      </c>
      <c r="K232" s="561">
        <v>0</v>
      </c>
      <c r="L232" s="561">
        <v>0</v>
      </c>
      <c r="M232" s="561">
        <v>0</v>
      </c>
      <c r="N232" s="561">
        <v>0</v>
      </c>
      <c r="O232" s="560">
        <v>0</v>
      </c>
      <c r="P232" s="449"/>
    </row>
    <row r="233" spans="1:16" s="247" customFormat="1" ht="12" hidden="1" customHeight="1" x14ac:dyDescent="0.25">
      <c r="A233" s="450"/>
      <c r="B233" s="877"/>
      <c r="C233" s="884"/>
      <c r="D233" s="884" t="s">
        <v>877</v>
      </c>
      <c r="E233" s="655" t="s">
        <v>2601</v>
      </c>
      <c r="F233" s="561">
        <v>160000000</v>
      </c>
      <c r="G233" s="562">
        <v>160000000</v>
      </c>
      <c r="H233" s="561">
        <v>0</v>
      </c>
      <c r="I233" s="561">
        <v>0</v>
      </c>
      <c r="J233" s="562">
        <v>0</v>
      </c>
      <c r="K233" s="561">
        <v>0</v>
      </c>
      <c r="L233" s="561">
        <v>0</v>
      </c>
      <c r="M233" s="561">
        <v>0</v>
      </c>
      <c r="N233" s="561">
        <v>0</v>
      </c>
      <c r="O233" s="560">
        <v>0</v>
      </c>
      <c r="P233" s="449"/>
    </row>
    <row r="234" spans="1:16" s="247" customFormat="1" ht="12" customHeight="1" x14ac:dyDescent="0.25">
      <c r="A234" s="450"/>
      <c r="B234" s="877"/>
      <c r="C234" s="884"/>
      <c r="D234" s="884" t="s">
        <v>877</v>
      </c>
      <c r="E234" s="655" t="s">
        <v>3212</v>
      </c>
      <c r="F234" s="561">
        <v>103264</v>
      </c>
      <c r="G234" s="562">
        <v>0</v>
      </c>
      <c r="H234" s="561">
        <v>103264</v>
      </c>
      <c r="I234" s="561">
        <v>0</v>
      </c>
      <c r="J234" s="562">
        <v>103264</v>
      </c>
      <c r="K234" s="561">
        <v>0</v>
      </c>
      <c r="L234" s="561">
        <v>0</v>
      </c>
      <c r="M234" s="561">
        <v>0</v>
      </c>
      <c r="N234" s="561">
        <v>103264</v>
      </c>
      <c r="O234" s="560">
        <v>0</v>
      </c>
      <c r="P234" s="449"/>
    </row>
    <row r="235" spans="1:16" s="247" customFormat="1" ht="12" customHeight="1" x14ac:dyDescent="0.25">
      <c r="A235" s="450"/>
      <c r="B235" s="877"/>
      <c r="C235" s="884"/>
      <c r="D235" s="884" t="s">
        <v>877</v>
      </c>
      <c r="E235" s="655" t="s">
        <v>195</v>
      </c>
      <c r="F235" s="561">
        <v>1979980</v>
      </c>
      <c r="G235" s="562">
        <v>1979980</v>
      </c>
      <c r="H235" s="561">
        <v>0</v>
      </c>
      <c r="I235" s="561">
        <v>0</v>
      </c>
      <c r="J235" s="562">
        <v>0</v>
      </c>
      <c r="K235" s="561">
        <v>0</v>
      </c>
      <c r="L235" s="561">
        <v>0</v>
      </c>
      <c r="M235" s="561">
        <v>0</v>
      </c>
      <c r="N235" s="561">
        <v>0</v>
      </c>
      <c r="O235" s="560">
        <v>0</v>
      </c>
      <c r="P235" s="449"/>
    </row>
    <row r="236" spans="1:16" s="247" customFormat="1" ht="12" customHeight="1" x14ac:dyDescent="0.25">
      <c r="A236" s="450"/>
      <c r="B236" s="877"/>
      <c r="C236" s="884"/>
      <c r="D236" s="884" t="s">
        <v>877</v>
      </c>
      <c r="E236" s="655" t="s">
        <v>2676</v>
      </c>
      <c r="F236" s="561">
        <v>768000</v>
      </c>
      <c r="G236" s="562">
        <v>1</v>
      </c>
      <c r="H236" s="561">
        <v>767999</v>
      </c>
      <c r="I236" s="561">
        <v>0</v>
      </c>
      <c r="J236" s="562">
        <v>767999</v>
      </c>
      <c r="K236" s="561">
        <v>0</v>
      </c>
      <c r="L236" s="561">
        <v>0</v>
      </c>
      <c r="M236" s="561">
        <v>0</v>
      </c>
      <c r="N236" s="561">
        <v>767999</v>
      </c>
      <c r="O236" s="560">
        <v>0</v>
      </c>
      <c r="P236" s="449"/>
    </row>
    <row r="237" spans="1:16" s="247" customFormat="1" ht="12" customHeight="1" x14ac:dyDescent="0.25">
      <c r="A237" s="450"/>
      <c r="B237" s="877"/>
      <c r="C237" s="884" t="s">
        <v>1815</v>
      </c>
      <c r="D237" s="884" t="s">
        <v>919</v>
      </c>
      <c r="E237" s="655" t="s">
        <v>26</v>
      </c>
      <c r="F237" s="561">
        <v>164428995</v>
      </c>
      <c r="G237" s="562">
        <v>164428995</v>
      </c>
      <c r="H237" s="561">
        <v>0</v>
      </c>
      <c r="I237" s="561">
        <v>0</v>
      </c>
      <c r="J237" s="562">
        <v>0</v>
      </c>
      <c r="K237" s="561">
        <v>0</v>
      </c>
      <c r="L237" s="561">
        <v>0</v>
      </c>
      <c r="M237" s="561">
        <v>0</v>
      </c>
      <c r="N237" s="561">
        <v>0</v>
      </c>
      <c r="O237" s="560">
        <v>0</v>
      </c>
      <c r="P237" s="449"/>
    </row>
    <row r="238" spans="1:16" s="247" customFormat="1" ht="12" hidden="1" customHeight="1" x14ac:dyDescent="0.25">
      <c r="A238" s="450"/>
      <c r="B238" s="877"/>
      <c r="C238" s="884"/>
      <c r="D238" s="884" t="s">
        <v>919</v>
      </c>
      <c r="E238" s="655" t="s">
        <v>2601</v>
      </c>
      <c r="F238" s="561">
        <v>178247940</v>
      </c>
      <c r="G238" s="562">
        <v>178247940</v>
      </c>
      <c r="H238" s="561">
        <v>0</v>
      </c>
      <c r="I238" s="561">
        <v>0</v>
      </c>
      <c r="J238" s="562">
        <v>0</v>
      </c>
      <c r="K238" s="561">
        <v>0</v>
      </c>
      <c r="L238" s="561">
        <v>0</v>
      </c>
      <c r="M238" s="561">
        <v>0</v>
      </c>
      <c r="N238" s="561">
        <v>0</v>
      </c>
      <c r="O238" s="560">
        <v>0</v>
      </c>
      <c r="P238" s="449"/>
    </row>
    <row r="239" spans="1:16" s="247" customFormat="1" ht="12" customHeight="1" x14ac:dyDescent="0.25">
      <c r="A239" s="450"/>
      <c r="B239" s="877"/>
      <c r="C239" s="884"/>
      <c r="D239" s="884" t="s">
        <v>919</v>
      </c>
      <c r="E239" s="655" t="s">
        <v>3212</v>
      </c>
      <c r="F239" s="561">
        <v>124838</v>
      </c>
      <c r="G239" s="562">
        <v>124838</v>
      </c>
      <c r="H239" s="561">
        <v>0</v>
      </c>
      <c r="I239" s="561">
        <v>0</v>
      </c>
      <c r="J239" s="562">
        <v>0</v>
      </c>
      <c r="K239" s="561">
        <v>0</v>
      </c>
      <c r="L239" s="561">
        <v>0</v>
      </c>
      <c r="M239" s="561">
        <v>0</v>
      </c>
      <c r="N239" s="561">
        <v>0</v>
      </c>
      <c r="O239" s="560">
        <v>0</v>
      </c>
      <c r="P239" s="449"/>
    </row>
    <row r="240" spans="1:16" s="247" customFormat="1" ht="12" customHeight="1" x14ac:dyDescent="0.25">
      <c r="A240" s="450"/>
      <c r="B240" s="877"/>
      <c r="C240" s="884"/>
      <c r="D240" s="884" t="s">
        <v>919</v>
      </c>
      <c r="E240" s="655" t="s">
        <v>2676</v>
      </c>
      <c r="F240" s="561">
        <v>186162</v>
      </c>
      <c r="G240" s="562">
        <v>186162</v>
      </c>
      <c r="H240" s="561">
        <v>0</v>
      </c>
      <c r="I240" s="561">
        <v>0</v>
      </c>
      <c r="J240" s="562">
        <v>0</v>
      </c>
      <c r="K240" s="561">
        <v>0</v>
      </c>
      <c r="L240" s="561">
        <v>0</v>
      </c>
      <c r="M240" s="561">
        <v>0</v>
      </c>
      <c r="N240" s="561">
        <v>0</v>
      </c>
      <c r="O240" s="560">
        <v>0</v>
      </c>
      <c r="P240" s="449"/>
    </row>
    <row r="241" spans="1:16" s="247" customFormat="1" ht="12" customHeight="1" x14ac:dyDescent="0.25">
      <c r="A241" s="450"/>
      <c r="B241" s="877"/>
      <c r="C241" s="884" t="s">
        <v>1816</v>
      </c>
      <c r="D241" s="884" t="s">
        <v>1175</v>
      </c>
      <c r="E241" s="655" t="s">
        <v>26</v>
      </c>
      <c r="F241" s="561">
        <v>104537100</v>
      </c>
      <c r="G241" s="562">
        <v>104537100</v>
      </c>
      <c r="H241" s="561">
        <v>0</v>
      </c>
      <c r="I241" s="561">
        <v>0</v>
      </c>
      <c r="J241" s="562">
        <v>0</v>
      </c>
      <c r="K241" s="561">
        <v>0</v>
      </c>
      <c r="L241" s="561">
        <v>0</v>
      </c>
      <c r="M241" s="561">
        <v>0</v>
      </c>
      <c r="N241" s="561">
        <v>0</v>
      </c>
      <c r="O241" s="560"/>
      <c r="P241" s="449"/>
    </row>
    <row r="242" spans="1:16" s="247" customFormat="1" ht="12" hidden="1" customHeight="1" x14ac:dyDescent="0.25">
      <c r="A242" s="450"/>
      <c r="B242" s="877"/>
      <c r="C242" s="884"/>
      <c r="D242" s="884" t="s">
        <v>1175</v>
      </c>
      <c r="E242" s="655" t="s">
        <v>1557</v>
      </c>
      <c r="F242" s="561">
        <v>243919900</v>
      </c>
      <c r="G242" s="562">
        <v>243919900</v>
      </c>
      <c r="H242" s="561">
        <v>0</v>
      </c>
      <c r="I242" s="561">
        <v>0</v>
      </c>
      <c r="J242" s="562">
        <v>0</v>
      </c>
      <c r="K242" s="561">
        <v>0</v>
      </c>
      <c r="L242" s="561">
        <v>0</v>
      </c>
      <c r="M242" s="561">
        <v>0</v>
      </c>
      <c r="N242" s="561">
        <v>0</v>
      </c>
      <c r="O242" s="560"/>
      <c r="P242" s="449"/>
    </row>
    <row r="243" spans="1:16" s="247" customFormat="1" ht="12" customHeight="1" x14ac:dyDescent="0.25">
      <c r="A243" s="450"/>
      <c r="B243" s="877"/>
      <c r="C243" s="884"/>
      <c r="D243" s="884" t="s">
        <v>1175</v>
      </c>
      <c r="E243" s="655" t="s">
        <v>3212</v>
      </c>
      <c r="F243" s="561">
        <v>167266</v>
      </c>
      <c r="G243" s="562">
        <v>167266</v>
      </c>
      <c r="H243" s="561">
        <v>0</v>
      </c>
      <c r="I243" s="561">
        <v>0</v>
      </c>
      <c r="J243" s="562">
        <v>0</v>
      </c>
      <c r="K243" s="561">
        <v>0</v>
      </c>
      <c r="L243" s="561">
        <v>0</v>
      </c>
      <c r="M243" s="561">
        <v>0</v>
      </c>
      <c r="N243" s="561">
        <v>0</v>
      </c>
      <c r="O243" s="560"/>
      <c r="P243" s="449"/>
    </row>
    <row r="244" spans="1:16" s="247" customFormat="1" ht="12" customHeight="1" x14ac:dyDescent="0.25">
      <c r="A244" s="450"/>
      <c r="B244" s="877"/>
      <c r="C244" s="884"/>
      <c r="D244" s="884" t="s">
        <v>1175</v>
      </c>
      <c r="E244" s="655" t="s">
        <v>195</v>
      </c>
      <c r="F244" s="561">
        <v>3323659</v>
      </c>
      <c r="G244" s="562">
        <v>3323659</v>
      </c>
      <c r="H244" s="561">
        <v>0</v>
      </c>
      <c r="I244" s="561">
        <v>0</v>
      </c>
      <c r="J244" s="562">
        <v>0</v>
      </c>
      <c r="K244" s="561">
        <v>0</v>
      </c>
      <c r="L244" s="561">
        <v>0</v>
      </c>
      <c r="M244" s="561">
        <v>0</v>
      </c>
      <c r="N244" s="561">
        <v>0</v>
      </c>
      <c r="O244" s="560">
        <v>0</v>
      </c>
      <c r="P244" s="449"/>
    </row>
    <row r="245" spans="1:16" s="247" customFormat="1" ht="12" customHeight="1" x14ac:dyDescent="0.25">
      <c r="A245" s="450"/>
      <c r="B245" s="877"/>
      <c r="C245" s="884" t="s">
        <v>1817</v>
      </c>
      <c r="D245" s="884" t="s">
        <v>1745</v>
      </c>
      <c r="E245" s="655" t="s">
        <v>26</v>
      </c>
      <c r="F245" s="561">
        <v>89061007</v>
      </c>
      <c r="G245" s="562">
        <v>89061007</v>
      </c>
      <c r="H245" s="561">
        <v>0</v>
      </c>
      <c r="I245" s="561">
        <v>0</v>
      </c>
      <c r="J245" s="562">
        <v>0</v>
      </c>
      <c r="K245" s="561">
        <v>0</v>
      </c>
      <c r="L245" s="561">
        <v>0</v>
      </c>
      <c r="M245" s="561">
        <v>0</v>
      </c>
      <c r="N245" s="561">
        <v>0</v>
      </c>
      <c r="O245" s="560">
        <v>0</v>
      </c>
      <c r="P245" s="449"/>
    </row>
    <row r="246" spans="1:16" s="247" customFormat="1" ht="12" hidden="1" customHeight="1" x14ac:dyDescent="0.25">
      <c r="A246" s="450"/>
      <c r="B246" s="877"/>
      <c r="C246" s="884"/>
      <c r="D246" s="884" t="s">
        <v>1745</v>
      </c>
      <c r="E246" s="655" t="s">
        <v>1557</v>
      </c>
      <c r="F246" s="561">
        <v>192848883</v>
      </c>
      <c r="G246" s="562">
        <v>192848883</v>
      </c>
      <c r="H246" s="561">
        <v>0</v>
      </c>
      <c r="I246" s="561">
        <v>0</v>
      </c>
      <c r="J246" s="562">
        <v>0</v>
      </c>
      <c r="K246" s="561">
        <v>0</v>
      </c>
      <c r="L246" s="561">
        <v>0</v>
      </c>
      <c r="M246" s="561">
        <v>0</v>
      </c>
      <c r="N246" s="561">
        <v>0</v>
      </c>
      <c r="O246" s="560">
        <v>0</v>
      </c>
      <c r="P246" s="449"/>
    </row>
    <row r="247" spans="1:16" s="247" customFormat="1" ht="12" customHeight="1" x14ac:dyDescent="0.25">
      <c r="A247" s="450"/>
      <c r="B247" s="877"/>
      <c r="C247" s="884"/>
      <c r="D247" s="884" t="s">
        <v>1745</v>
      </c>
      <c r="E247" s="655" t="s">
        <v>822</v>
      </c>
      <c r="F247" s="561">
        <v>402000</v>
      </c>
      <c r="G247" s="562">
        <v>402000</v>
      </c>
      <c r="H247" s="561">
        <v>0</v>
      </c>
      <c r="I247" s="561">
        <v>0</v>
      </c>
      <c r="J247" s="562">
        <v>0</v>
      </c>
      <c r="K247" s="561">
        <v>0</v>
      </c>
      <c r="L247" s="561">
        <v>0</v>
      </c>
      <c r="M247" s="561">
        <v>0</v>
      </c>
      <c r="N247" s="561">
        <v>0</v>
      </c>
      <c r="O247" s="560">
        <v>0</v>
      </c>
      <c r="P247" s="449"/>
    </row>
    <row r="248" spans="1:16" s="247" customFormat="1" ht="12" customHeight="1" x14ac:dyDescent="0.25">
      <c r="A248" s="450"/>
      <c r="B248" s="877"/>
      <c r="C248" s="884"/>
      <c r="D248" s="884" t="s">
        <v>1745</v>
      </c>
      <c r="E248" s="655" t="s">
        <v>195</v>
      </c>
      <c r="F248" s="561">
        <v>2028883</v>
      </c>
      <c r="G248" s="562">
        <v>2028883</v>
      </c>
      <c r="H248" s="561">
        <v>0</v>
      </c>
      <c r="I248" s="561">
        <v>0</v>
      </c>
      <c r="J248" s="562">
        <v>0</v>
      </c>
      <c r="K248" s="561">
        <v>0</v>
      </c>
      <c r="L248" s="561">
        <v>0</v>
      </c>
      <c r="M248" s="561">
        <v>0</v>
      </c>
      <c r="N248" s="561">
        <v>0</v>
      </c>
      <c r="O248" s="560">
        <v>0</v>
      </c>
      <c r="P248" s="449"/>
    </row>
    <row r="249" spans="1:16" s="247" customFormat="1" ht="12" customHeight="1" x14ac:dyDescent="0.25">
      <c r="A249" s="450"/>
      <c r="B249" s="877"/>
      <c r="C249" s="884" t="s">
        <v>1818</v>
      </c>
      <c r="D249" s="884" t="s">
        <v>1744</v>
      </c>
      <c r="E249" s="655" t="s">
        <v>26</v>
      </c>
      <c r="F249" s="561">
        <v>97100000</v>
      </c>
      <c r="G249" s="562">
        <v>97100000</v>
      </c>
      <c r="H249" s="561">
        <v>0</v>
      </c>
      <c r="I249" s="561">
        <v>0</v>
      </c>
      <c r="J249" s="562">
        <v>0</v>
      </c>
      <c r="K249" s="561">
        <v>0</v>
      </c>
      <c r="L249" s="561">
        <v>0</v>
      </c>
      <c r="M249" s="561">
        <v>0</v>
      </c>
      <c r="N249" s="561">
        <v>0</v>
      </c>
      <c r="O249" s="560">
        <v>0</v>
      </c>
      <c r="P249" s="449"/>
    </row>
    <row r="250" spans="1:16" s="247" customFormat="1" ht="12" hidden="1" customHeight="1" x14ac:dyDescent="0.25">
      <c r="A250" s="450"/>
      <c r="B250" s="877"/>
      <c r="C250" s="884"/>
      <c r="D250" s="884" t="s">
        <v>1744</v>
      </c>
      <c r="E250" s="655" t="s">
        <v>1557</v>
      </c>
      <c r="F250" s="561">
        <v>220000000</v>
      </c>
      <c r="G250" s="562">
        <v>220000000</v>
      </c>
      <c r="H250" s="561">
        <v>0</v>
      </c>
      <c r="I250" s="561">
        <v>0</v>
      </c>
      <c r="J250" s="562">
        <v>0</v>
      </c>
      <c r="K250" s="561">
        <v>0</v>
      </c>
      <c r="L250" s="561">
        <v>0</v>
      </c>
      <c r="M250" s="561">
        <v>0</v>
      </c>
      <c r="N250" s="561">
        <v>0</v>
      </c>
      <c r="O250" s="560">
        <v>0</v>
      </c>
      <c r="P250" s="449"/>
    </row>
    <row r="251" spans="1:16" s="247" customFormat="1" ht="12" customHeight="1" x14ac:dyDescent="0.25">
      <c r="A251" s="450"/>
      <c r="B251" s="877"/>
      <c r="C251" s="884"/>
      <c r="D251" s="884" t="s">
        <v>1744</v>
      </c>
      <c r="E251" s="655" t="s">
        <v>822</v>
      </c>
      <c r="F251" s="561">
        <v>452818</v>
      </c>
      <c r="G251" s="562">
        <v>452818</v>
      </c>
      <c r="H251" s="561">
        <v>0</v>
      </c>
      <c r="I251" s="561">
        <v>0</v>
      </c>
      <c r="J251" s="562">
        <v>0</v>
      </c>
      <c r="K251" s="561">
        <v>0</v>
      </c>
      <c r="L251" s="561">
        <v>0</v>
      </c>
      <c r="M251" s="561">
        <v>0</v>
      </c>
      <c r="N251" s="561">
        <v>0</v>
      </c>
      <c r="O251" s="560">
        <v>0</v>
      </c>
      <c r="P251" s="449"/>
    </row>
    <row r="252" spans="1:16" s="247" customFormat="1" ht="12" customHeight="1" x14ac:dyDescent="0.25">
      <c r="A252" s="450"/>
      <c r="B252" s="877"/>
      <c r="C252" s="884"/>
      <c r="D252" s="884" t="s">
        <v>1744</v>
      </c>
      <c r="E252" s="655" t="s">
        <v>3212</v>
      </c>
      <c r="F252" s="561">
        <v>131332</v>
      </c>
      <c r="G252" s="562">
        <v>0</v>
      </c>
      <c r="H252" s="561">
        <v>131332</v>
      </c>
      <c r="I252" s="561">
        <v>0</v>
      </c>
      <c r="J252" s="562">
        <v>131332</v>
      </c>
      <c r="K252" s="561">
        <v>0</v>
      </c>
      <c r="L252" s="561">
        <v>0</v>
      </c>
      <c r="M252" s="561">
        <v>0</v>
      </c>
      <c r="N252" s="561">
        <v>131332</v>
      </c>
      <c r="O252" s="560"/>
      <c r="P252" s="449"/>
    </row>
    <row r="253" spans="1:16" s="247" customFormat="1" ht="12" customHeight="1" x14ac:dyDescent="0.25">
      <c r="A253" s="450"/>
      <c r="B253" s="877"/>
      <c r="C253" s="884"/>
      <c r="D253" s="884" t="s">
        <v>1744</v>
      </c>
      <c r="E253" s="655" t="s">
        <v>2676</v>
      </c>
      <c r="F253" s="561">
        <v>821333</v>
      </c>
      <c r="G253" s="562">
        <v>821333</v>
      </c>
      <c r="H253" s="561">
        <v>0</v>
      </c>
      <c r="I253" s="561">
        <v>0</v>
      </c>
      <c r="J253" s="562">
        <v>0</v>
      </c>
      <c r="K253" s="561">
        <v>0</v>
      </c>
      <c r="L253" s="561">
        <v>0</v>
      </c>
      <c r="M253" s="561">
        <v>0</v>
      </c>
      <c r="N253" s="561">
        <v>0</v>
      </c>
      <c r="O253" s="560"/>
      <c r="P253" s="449"/>
    </row>
    <row r="254" spans="1:16" s="247" customFormat="1" ht="12" customHeight="1" x14ac:dyDescent="0.25">
      <c r="A254" s="450"/>
      <c r="B254" s="877"/>
      <c r="C254" s="677" t="s">
        <v>1819</v>
      </c>
      <c r="D254" s="677" t="s">
        <v>1430</v>
      </c>
      <c r="E254" s="655" t="s">
        <v>26</v>
      </c>
      <c r="F254" s="561">
        <v>319905792</v>
      </c>
      <c r="G254" s="562">
        <v>319905792</v>
      </c>
      <c r="H254" s="561">
        <v>0</v>
      </c>
      <c r="I254" s="561">
        <v>0</v>
      </c>
      <c r="J254" s="562">
        <v>0</v>
      </c>
      <c r="K254" s="561">
        <v>0</v>
      </c>
      <c r="L254" s="561">
        <v>0</v>
      </c>
      <c r="M254" s="561">
        <v>0</v>
      </c>
      <c r="N254" s="561">
        <v>0</v>
      </c>
      <c r="O254" s="560"/>
      <c r="P254" s="449"/>
    </row>
    <row r="255" spans="1:16" s="247" customFormat="1" ht="12" customHeight="1" x14ac:dyDescent="0.25">
      <c r="A255" s="450"/>
      <c r="B255" s="877"/>
      <c r="C255" s="884" t="s">
        <v>1820</v>
      </c>
      <c r="D255" s="884" t="s">
        <v>878</v>
      </c>
      <c r="E255" s="655" t="s">
        <v>26</v>
      </c>
      <c r="F255" s="561">
        <v>82140000</v>
      </c>
      <c r="G255" s="562">
        <v>82140000</v>
      </c>
      <c r="H255" s="561">
        <v>0</v>
      </c>
      <c r="I255" s="561">
        <v>0</v>
      </c>
      <c r="J255" s="562">
        <v>0</v>
      </c>
      <c r="K255" s="561">
        <v>0</v>
      </c>
      <c r="L255" s="561">
        <v>0</v>
      </c>
      <c r="M255" s="561">
        <v>0</v>
      </c>
      <c r="N255" s="561">
        <v>0</v>
      </c>
      <c r="O255" s="560"/>
      <c r="P255" s="449"/>
    </row>
    <row r="256" spans="1:16" s="247" customFormat="1" ht="12" hidden="1" customHeight="1" x14ac:dyDescent="0.25">
      <c r="A256" s="450"/>
      <c r="B256" s="877"/>
      <c r="C256" s="884"/>
      <c r="D256" s="884" t="s">
        <v>878</v>
      </c>
      <c r="E256" s="655" t="s">
        <v>2601</v>
      </c>
      <c r="F256" s="561">
        <v>191660000</v>
      </c>
      <c r="G256" s="562">
        <v>191660000</v>
      </c>
      <c r="H256" s="561">
        <v>0</v>
      </c>
      <c r="I256" s="561">
        <v>0</v>
      </c>
      <c r="J256" s="562">
        <v>0</v>
      </c>
      <c r="K256" s="561">
        <v>0</v>
      </c>
      <c r="L256" s="561">
        <v>0</v>
      </c>
      <c r="M256" s="561">
        <v>0</v>
      </c>
      <c r="N256" s="561">
        <v>0</v>
      </c>
      <c r="O256" s="560"/>
      <c r="P256" s="449"/>
    </row>
    <row r="257" spans="1:16" s="247" customFormat="1" ht="12" customHeight="1" x14ac:dyDescent="0.25">
      <c r="A257" s="450"/>
      <c r="B257" s="877"/>
      <c r="C257" s="884"/>
      <c r="D257" s="884" t="s">
        <v>878</v>
      </c>
      <c r="E257" s="655" t="s">
        <v>3212</v>
      </c>
      <c r="F257" s="561">
        <v>105226</v>
      </c>
      <c r="G257" s="562">
        <v>0</v>
      </c>
      <c r="H257" s="561">
        <v>105226</v>
      </c>
      <c r="I257" s="561">
        <v>0</v>
      </c>
      <c r="J257" s="562">
        <v>105226</v>
      </c>
      <c r="K257" s="561">
        <v>0</v>
      </c>
      <c r="L257" s="561">
        <v>0</v>
      </c>
      <c r="M257" s="561">
        <v>0</v>
      </c>
      <c r="N257" s="561">
        <v>105226</v>
      </c>
      <c r="O257" s="560"/>
      <c r="P257" s="449"/>
    </row>
    <row r="258" spans="1:16" s="247" customFormat="1" ht="12" customHeight="1" x14ac:dyDescent="0.25">
      <c r="A258" s="450"/>
      <c r="B258" s="877"/>
      <c r="C258" s="884" t="s">
        <v>1821</v>
      </c>
      <c r="D258" s="884" t="s">
        <v>1702</v>
      </c>
      <c r="E258" s="655" t="s">
        <v>26</v>
      </c>
      <c r="F258" s="561">
        <v>104722800</v>
      </c>
      <c r="G258" s="562">
        <v>104722800</v>
      </c>
      <c r="H258" s="561">
        <v>0</v>
      </c>
      <c r="I258" s="561">
        <v>0</v>
      </c>
      <c r="J258" s="562">
        <v>0</v>
      </c>
      <c r="K258" s="561">
        <v>0</v>
      </c>
      <c r="L258" s="561">
        <v>0</v>
      </c>
      <c r="M258" s="561">
        <v>0</v>
      </c>
      <c r="N258" s="561">
        <v>0</v>
      </c>
      <c r="O258" s="560"/>
      <c r="P258" s="449"/>
    </row>
    <row r="259" spans="1:16" s="247" customFormat="1" ht="12" hidden="1" customHeight="1" x14ac:dyDescent="0.25">
      <c r="A259" s="450"/>
      <c r="B259" s="877"/>
      <c r="C259" s="884"/>
      <c r="D259" s="884" t="s">
        <v>1702</v>
      </c>
      <c r="E259" s="655" t="s">
        <v>2601</v>
      </c>
      <c r="F259" s="561">
        <v>244353200</v>
      </c>
      <c r="G259" s="562">
        <v>244353200</v>
      </c>
      <c r="H259" s="561">
        <v>0</v>
      </c>
      <c r="I259" s="561">
        <v>0</v>
      </c>
      <c r="J259" s="562">
        <v>0</v>
      </c>
      <c r="K259" s="561">
        <v>0</v>
      </c>
      <c r="L259" s="561">
        <v>0</v>
      </c>
      <c r="M259" s="561">
        <v>0</v>
      </c>
      <c r="N259" s="561">
        <v>0</v>
      </c>
      <c r="O259" s="560"/>
      <c r="P259" s="449"/>
    </row>
    <row r="260" spans="1:16" s="247" customFormat="1" ht="12" customHeight="1" x14ac:dyDescent="0.25">
      <c r="A260" s="450"/>
      <c r="B260" s="877"/>
      <c r="C260" s="884"/>
      <c r="D260" s="884" t="s">
        <v>1702</v>
      </c>
      <c r="E260" s="655" t="s">
        <v>3212</v>
      </c>
      <c r="F260" s="561">
        <v>155254</v>
      </c>
      <c r="G260" s="562">
        <v>155254</v>
      </c>
      <c r="H260" s="561">
        <v>0</v>
      </c>
      <c r="I260" s="561">
        <v>0</v>
      </c>
      <c r="J260" s="562">
        <v>0</v>
      </c>
      <c r="K260" s="561">
        <v>0</v>
      </c>
      <c r="L260" s="561">
        <v>0</v>
      </c>
      <c r="M260" s="561">
        <v>0</v>
      </c>
      <c r="N260" s="561">
        <v>0</v>
      </c>
      <c r="O260" s="560"/>
      <c r="P260" s="449"/>
    </row>
    <row r="261" spans="1:16" s="247" customFormat="1" ht="12" customHeight="1" x14ac:dyDescent="0.25">
      <c r="A261" s="450"/>
      <c r="B261" s="877"/>
      <c r="C261" s="884"/>
      <c r="D261" s="884" t="s">
        <v>1702</v>
      </c>
      <c r="E261" s="655" t="s">
        <v>2676</v>
      </c>
      <c r="F261" s="561">
        <v>651609</v>
      </c>
      <c r="G261" s="562">
        <v>651609</v>
      </c>
      <c r="H261" s="561">
        <v>0</v>
      </c>
      <c r="I261" s="561">
        <v>0</v>
      </c>
      <c r="J261" s="562">
        <v>0</v>
      </c>
      <c r="K261" s="561">
        <v>0</v>
      </c>
      <c r="L261" s="561">
        <v>0</v>
      </c>
      <c r="M261" s="561">
        <v>0</v>
      </c>
      <c r="N261" s="561">
        <v>0</v>
      </c>
      <c r="O261" s="560"/>
      <c r="P261" s="449"/>
    </row>
    <row r="262" spans="1:16" s="247" customFormat="1" ht="12" customHeight="1" x14ac:dyDescent="0.25">
      <c r="A262" s="450"/>
      <c r="B262" s="877"/>
      <c r="C262" s="884" t="s">
        <v>1822</v>
      </c>
      <c r="D262" s="884" t="s">
        <v>3427</v>
      </c>
      <c r="E262" s="655" t="s">
        <v>26</v>
      </c>
      <c r="F262" s="561">
        <v>341800000</v>
      </c>
      <c r="G262" s="562">
        <v>341800000</v>
      </c>
      <c r="H262" s="561">
        <v>0</v>
      </c>
      <c r="I262" s="561">
        <v>0</v>
      </c>
      <c r="J262" s="562">
        <v>0</v>
      </c>
      <c r="K262" s="561">
        <v>0</v>
      </c>
      <c r="L262" s="561">
        <v>0</v>
      </c>
      <c r="M262" s="561">
        <v>0</v>
      </c>
      <c r="N262" s="561">
        <v>0</v>
      </c>
      <c r="O262" s="560"/>
      <c r="P262" s="449"/>
    </row>
    <row r="263" spans="1:16" s="247" customFormat="1" ht="12" customHeight="1" x14ac:dyDescent="0.25">
      <c r="A263" s="450"/>
      <c r="B263" s="877"/>
      <c r="C263" s="884"/>
      <c r="D263" s="884" t="s">
        <v>3427</v>
      </c>
      <c r="E263" s="655" t="s">
        <v>3212</v>
      </c>
      <c r="F263" s="561">
        <v>1317000</v>
      </c>
      <c r="G263" s="562">
        <v>1317000</v>
      </c>
      <c r="H263" s="561">
        <v>0</v>
      </c>
      <c r="I263" s="561">
        <v>0</v>
      </c>
      <c r="J263" s="562">
        <v>0</v>
      </c>
      <c r="K263" s="561">
        <v>0</v>
      </c>
      <c r="L263" s="561">
        <v>0</v>
      </c>
      <c r="M263" s="561">
        <v>0</v>
      </c>
      <c r="N263" s="561">
        <v>0</v>
      </c>
      <c r="O263" s="560"/>
      <c r="P263" s="449"/>
    </row>
    <row r="264" spans="1:16" s="247" customFormat="1" ht="12" customHeight="1" x14ac:dyDescent="0.25">
      <c r="A264" s="450"/>
      <c r="B264" s="877"/>
      <c r="C264" s="884" t="s">
        <v>1823</v>
      </c>
      <c r="D264" s="884" t="s">
        <v>879</v>
      </c>
      <c r="E264" s="655" t="s">
        <v>26</v>
      </c>
      <c r="F264" s="561">
        <v>82800000</v>
      </c>
      <c r="G264" s="562">
        <v>82800000</v>
      </c>
      <c r="H264" s="561">
        <v>0</v>
      </c>
      <c r="I264" s="561">
        <v>0</v>
      </c>
      <c r="J264" s="562">
        <v>0</v>
      </c>
      <c r="K264" s="561">
        <v>0</v>
      </c>
      <c r="L264" s="561">
        <v>0</v>
      </c>
      <c r="M264" s="561">
        <v>0</v>
      </c>
      <c r="N264" s="561">
        <v>0</v>
      </c>
      <c r="O264" s="560"/>
      <c r="P264" s="449"/>
    </row>
    <row r="265" spans="1:16" s="247" customFormat="1" ht="12" hidden="1" customHeight="1" x14ac:dyDescent="0.25">
      <c r="A265" s="450"/>
      <c r="B265" s="877"/>
      <c r="C265" s="884"/>
      <c r="D265" s="884" t="s">
        <v>879</v>
      </c>
      <c r="E265" s="655" t="s">
        <v>2601</v>
      </c>
      <c r="F265" s="561">
        <v>193000000</v>
      </c>
      <c r="G265" s="562">
        <v>193000000</v>
      </c>
      <c r="H265" s="561">
        <v>0</v>
      </c>
      <c r="I265" s="561">
        <v>0</v>
      </c>
      <c r="J265" s="562">
        <v>0</v>
      </c>
      <c r="K265" s="561">
        <v>0</v>
      </c>
      <c r="L265" s="561">
        <v>0</v>
      </c>
      <c r="M265" s="561">
        <v>0</v>
      </c>
      <c r="N265" s="561">
        <v>0</v>
      </c>
      <c r="O265" s="560"/>
      <c r="P265" s="449"/>
    </row>
    <row r="266" spans="1:16" s="247" customFormat="1" ht="12" customHeight="1" x14ac:dyDescent="0.25">
      <c r="A266" s="450"/>
      <c r="B266" s="877"/>
      <c r="C266" s="884"/>
      <c r="D266" s="884" t="s">
        <v>879</v>
      </c>
      <c r="E266" s="655" t="s">
        <v>195</v>
      </c>
      <c r="F266" s="561">
        <v>391718</v>
      </c>
      <c r="G266" s="562">
        <v>391718</v>
      </c>
      <c r="H266" s="561">
        <v>0</v>
      </c>
      <c r="I266" s="561">
        <v>0</v>
      </c>
      <c r="J266" s="562">
        <v>0</v>
      </c>
      <c r="K266" s="561">
        <v>0</v>
      </c>
      <c r="L266" s="561">
        <v>0</v>
      </c>
      <c r="M266" s="561">
        <v>0</v>
      </c>
      <c r="N266" s="561">
        <v>0</v>
      </c>
      <c r="O266" s="560"/>
      <c r="P266" s="449"/>
    </row>
    <row r="267" spans="1:16" s="247" customFormat="1" ht="12" customHeight="1" x14ac:dyDescent="0.25">
      <c r="A267" s="450"/>
      <c r="B267" s="877"/>
      <c r="C267" s="884" t="s">
        <v>1824</v>
      </c>
      <c r="D267" s="884" t="s">
        <v>1745</v>
      </c>
      <c r="E267" s="655" t="s">
        <v>26</v>
      </c>
      <c r="F267" s="561">
        <v>317400000</v>
      </c>
      <c r="G267" s="562">
        <v>317400000</v>
      </c>
      <c r="H267" s="561">
        <v>0</v>
      </c>
      <c r="I267" s="561">
        <v>0</v>
      </c>
      <c r="J267" s="562">
        <v>0</v>
      </c>
      <c r="K267" s="561">
        <v>0</v>
      </c>
      <c r="L267" s="561">
        <v>0</v>
      </c>
      <c r="M267" s="561">
        <v>0</v>
      </c>
      <c r="N267" s="561">
        <v>0</v>
      </c>
      <c r="O267" s="560"/>
      <c r="P267" s="449"/>
    </row>
    <row r="268" spans="1:16" s="247" customFormat="1" ht="12" customHeight="1" x14ac:dyDescent="0.25">
      <c r="A268" s="450"/>
      <c r="B268" s="877"/>
      <c r="C268" s="884"/>
      <c r="D268" s="884" t="s">
        <v>1745</v>
      </c>
      <c r="E268" s="655" t="s">
        <v>3212</v>
      </c>
      <c r="F268" s="561">
        <v>1321937</v>
      </c>
      <c r="G268" s="562">
        <v>1321937</v>
      </c>
      <c r="H268" s="561">
        <v>0</v>
      </c>
      <c r="I268" s="561">
        <v>0</v>
      </c>
      <c r="J268" s="562">
        <v>0</v>
      </c>
      <c r="K268" s="561">
        <v>0</v>
      </c>
      <c r="L268" s="561">
        <v>0</v>
      </c>
      <c r="M268" s="561">
        <v>0</v>
      </c>
      <c r="N268" s="561">
        <v>0</v>
      </c>
      <c r="O268" s="560"/>
      <c r="P268" s="449"/>
    </row>
    <row r="269" spans="1:16" s="247" customFormat="1" ht="12" customHeight="1" x14ac:dyDescent="0.25">
      <c r="A269" s="450"/>
      <c r="B269" s="877"/>
      <c r="C269" s="884" t="s">
        <v>1825</v>
      </c>
      <c r="D269" s="884" t="s">
        <v>1431</v>
      </c>
      <c r="E269" s="655" t="s">
        <v>26</v>
      </c>
      <c r="F269" s="561">
        <v>308344500</v>
      </c>
      <c r="G269" s="562">
        <v>308344500</v>
      </c>
      <c r="H269" s="561">
        <v>0</v>
      </c>
      <c r="I269" s="561">
        <v>0</v>
      </c>
      <c r="J269" s="562">
        <v>0</v>
      </c>
      <c r="K269" s="561">
        <v>0</v>
      </c>
      <c r="L269" s="561">
        <v>0</v>
      </c>
      <c r="M269" s="561">
        <v>0</v>
      </c>
      <c r="N269" s="561">
        <v>0</v>
      </c>
      <c r="O269" s="560"/>
      <c r="P269" s="449"/>
    </row>
    <row r="270" spans="1:16" s="247" customFormat="1" ht="12" customHeight="1" x14ac:dyDescent="0.25">
      <c r="A270" s="450"/>
      <c r="B270" s="877"/>
      <c r="C270" s="884"/>
      <c r="D270" s="884" t="s">
        <v>1431</v>
      </c>
      <c r="E270" s="655" t="s">
        <v>3212</v>
      </c>
      <c r="F270" s="561">
        <v>187454</v>
      </c>
      <c r="G270" s="562">
        <v>187454</v>
      </c>
      <c r="H270" s="561">
        <v>0</v>
      </c>
      <c r="I270" s="561">
        <v>0</v>
      </c>
      <c r="J270" s="562">
        <v>0</v>
      </c>
      <c r="K270" s="561">
        <v>0</v>
      </c>
      <c r="L270" s="561">
        <v>0</v>
      </c>
      <c r="M270" s="561">
        <v>0</v>
      </c>
      <c r="N270" s="561">
        <v>0</v>
      </c>
      <c r="O270" s="560"/>
      <c r="P270" s="449"/>
    </row>
    <row r="271" spans="1:16" s="247" customFormat="1" ht="12" customHeight="1" x14ac:dyDescent="0.25">
      <c r="A271" s="450"/>
      <c r="B271" s="877"/>
      <c r="C271" s="884" t="s">
        <v>1826</v>
      </c>
      <c r="D271" s="884" t="s">
        <v>2531</v>
      </c>
      <c r="E271" s="655" t="s">
        <v>26</v>
      </c>
      <c r="F271" s="561">
        <v>273978674</v>
      </c>
      <c r="G271" s="562">
        <v>273978674</v>
      </c>
      <c r="H271" s="561">
        <v>0</v>
      </c>
      <c r="I271" s="561">
        <v>0</v>
      </c>
      <c r="J271" s="562">
        <v>0</v>
      </c>
      <c r="K271" s="561">
        <v>0</v>
      </c>
      <c r="L271" s="561">
        <v>0</v>
      </c>
      <c r="M271" s="561">
        <v>0</v>
      </c>
      <c r="N271" s="561">
        <v>0</v>
      </c>
      <c r="O271" s="560"/>
      <c r="P271" s="449"/>
    </row>
    <row r="272" spans="1:16" s="247" customFormat="1" ht="12" customHeight="1" x14ac:dyDescent="0.25">
      <c r="A272" s="450"/>
      <c r="B272" s="877"/>
      <c r="C272" s="884"/>
      <c r="D272" s="884" t="s">
        <v>2531</v>
      </c>
      <c r="E272" s="655" t="s">
        <v>3212</v>
      </c>
      <c r="F272" s="561">
        <v>105628</v>
      </c>
      <c r="G272" s="562">
        <v>105628</v>
      </c>
      <c r="H272" s="561">
        <v>0</v>
      </c>
      <c r="I272" s="561">
        <v>0</v>
      </c>
      <c r="J272" s="562">
        <v>0</v>
      </c>
      <c r="K272" s="561">
        <v>0</v>
      </c>
      <c r="L272" s="561">
        <v>0</v>
      </c>
      <c r="M272" s="561">
        <v>0</v>
      </c>
      <c r="N272" s="561">
        <v>0</v>
      </c>
      <c r="O272" s="560"/>
      <c r="P272" s="449"/>
    </row>
    <row r="273" spans="1:16" s="247" customFormat="1" ht="12" customHeight="1" x14ac:dyDescent="0.25">
      <c r="A273" s="450"/>
      <c r="B273" s="877"/>
      <c r="C273" s="884" t="s">
        <v>1827</v>
      </c>
      <c r="D273" s="884" t="s">
        <v>1430</v>
      </c>
      <c r="E273" s="655" t="s">
        <v>26</v>
      </c>
      <c r="F273" s="561">
        <v>104812800</v>
      </c>
      <c r="G273" s="562">
        <v>104812800</v>
      </c>
      <c r="H273" s="561">
        <v>0</v>
      </c>
      <c r="I273" s="561">
        <v>0</v>
      </c>
      <c r="J273" s="562">
        <v>0</v>
      </c>
      <c r="K273" s="561">
        <v>0</v>
      </c>
      <c r="L273" s="561">
        <v>0</v>
      </c>
      <c r="M273" s="561">
        <v>0</v>
      </c>
      <c r="N273" s="561">
        <v>0</v>
      </c>
      <c r="O273" s="560"/>
      <c r="P273" s="449"/>
    </row>
    <row r="274" spans="1:16" s="247" customFormat="1" ht="12" hidden="1" customHeight="1" x14ac:dyDescent="0.25">
      <c r="A274" s="450"/>
      <c r="B274" s="877"/>
      <c r="C274" s="884"/>
      <c r="D274" s="884" t="s">
        <v>1430</v>
      </c>
      <c r="E274" s="655" t="s">
        <v>1557</v>
      </c>
      <c r="F274" s="561">
        <v>244563200</v>
      </c>
      <c r="G274" s="562">
        <v>244563200</v>
      </c>
      <c r="H274" s="561">
        <v>0</v>
      </c>
      <c r="I274" s="561">
        <v>0</v>
      </c>
      <c r="J274" s="562">
        <v>0</v>
      </c>
      <c r="K274" s="561">
        <v>0</v>
      </c>
      <c r="L274" s="561">
        <v>0</v>
      </c>
      <c r="M274" s="561">
        <v>0</v>
      </c>
      <c r="N274" s="561">
        <v>0</v>
      </c>
      <c r="O274" s="560"/>
      <c r="P274" s="449"/>
    </row>
    <row r="275" spans="1:16" s="247" customFormat="1" ht="12" customHeight="1" x14ac:dyDescent="0.25">
      <c r="A275" s="450"/>
      <c r="B275" s="877"/>
      <c r="C275" s="884" t="s">
        <v>1828</v>
      </c>
      <c r="D275" s="884" t="s">
        <v>881</v>
      </c>
      <c r="E275" s="655" t="s">
        <v>26</v>
      </c>
      <c r="F275" s="561">
        <v>117818635</v>
      </c>
      <c r="G275" s="562">
        <v>117818635</v>
      </c>
      <c r="H275" s="561">
        <v>0</v>
      </c>
      <c r="I275" s="561">
        <v>0</v>
      </c>
      <c r="J275" s="562">
        <v>0</v>
      </c>
      <c r="K275" s="561">
        <v>0</v>
      </c>
      <c r="L275" s="561">
        <v>0</v>
      </c>
      <c r="M275" s="561">
        <v>0</v>
      </c>
      <c r="N275" s="561">
        <v>0</v>
      </c>
      <c r="O275" s="560"/>
      <c r="P275" s="449"/>
    </row>
    <row r="276" spans="1:16" s="247" customFormat="1" ht="12" hidden="1" customHeight="1" x14ac:dyDescent="0.25">
      <c r="A276" s="450"/>
      <c r="B276" s="877"/>
      <c r="C276" s="884"/>
      <c r="D276" s="884" t="s">
        <v>881</v>
      </c>
      <c r="E276" s="655" t="s">
        <v>2601</v>
      </c>
      <c r="F276" s="561">
        <v>231500000</v>
      </c>
      <c r="G276" s="562">
        <v>231500000</v>
      </c>
      <c r="H276" s="561">
        <v>0</v>
      </c>
      <c r="I276" s="561">
        <v>0</v>
      </c>
      <c r="J276" s="562">
        <v>0</v>
      </c>
      <c r="K276" s="561">
        <v>0</v>
      </c>
      <c r="L276" s="561">
        <v>0</v>
      </c>
      <c r="M276" s="561">
        <v>0</v>
      </c>
      <c r="N276" s="561">
        <v>0</v>
      </c>
      <c r="O276" s="560"/>
      <c r="P276" s="449"/>
    </row>
    <row r="277" spans="1:16" s="247" customFormat="1" ht="12" customHeight="1" x14ac:dyDescent="0.25">
      <c r="A277" s="450"/>
      <c r="B277" s="877"/>
      <c r="C277" s="884"/>
      <c r="D277" s="884" t="s">
        <v>881</v>
      </c>
      <c r="E277" s="655" t="s">
        <v>3212</v>
      </c>
      <c r="F277" s="561">
        <v>127280</v>
      </c>
      <c r="G277" s="562">
        <v>0</v>
      </c>
      <c r="H277" s="561">
        <v>127280</v>
      </c>
      <c r="I277" s="561">
        <v>0</v>
      </c>
      <c r="J277" s="562">
        <v>127280</v>
      </c>
      <c r="K277" s="561">
        <v>0</v>
      </c>
      <c r="L277" s="561">
        <v>0</v>
      </c>
      <c r="M277" s="561">
        <v>0</v>
      </c>
      <c r="N277" s="561">
        <v>127280</v>
      </c>
      <c r="O277" s="560"/>
      <c r="P277" s="449"/>
    </row>
    <row r="278" spans="1:16" s="247" customFormat="1" ht="12" customHeight="1" x14ac:dyDescent="0.25">
      <c r="A278" s="450"/>
      <c r="B278" s="877"/>
      <c r="C278" s="884" t="s">
        <v>1829</v>
      </c>
      <c r="D278" s="884" t="s">
        <v>880</v>
      </c>
      <c r="E278" s="655" t="s">
        <v>26</v>
      </c>
      <c r="F278" s="561">
        <v>82830000</v>
      </c>
      <c r="G278" s="562">
        <v>82830000</v>
      </c>
      <c r="H278" s="561">
        <v>0</v>
      </c>
      <c r="I278" s="561">
        <v>0</v>
      </c>
      <c r="J278" s="562">
        <v>0</v>
      </c>
      <c r="K278" s="561">
        <v>0</v>
      </c>
      <c r="L278" s="561">
        <v>0</v>
      </c>
      <c r="M278" s="561">
        <v>0</v>
      </c>
      <c r="N278" s="561">
        <v>0</v>
      </c>
      <c r="O278" s="560"/>
      <c r="P278" s="449"/>
    </row>
    <row r="279" spans="1:16" s="247" customFormat="1" ht="12" hidden="1" customHeight="1" x14ac:dyDescent="0.25">
      <c r="A279" s="450"/>
      <c r="B279" s="877"/>
      <c r="C279" s="884"/>
      <c r="D279" s="884" t="s">
        <v>880</v>
      </c>
      <c r="E279" s="655" t="s">
        <v>1557</v>
      </c>
      <c r="F279" s="561">
        <v>193270000</v>
      </c>
      <c r="G279" s="562">
        <v>193270000</v>
      </c>
      <c r="H279" s="561">
        <v>0</v>
      </c>
      <c r="I279" s="561">
        <v>0</v>
      </c>
      <c r="J279" s="562">
        <v>0</v>
      </c>
      <c r="K279" s="561">
        <v>0</v>
      </c>
      <c r="L279" s="561">
        <v>0</v>
      </c>
      <c r="M279" s="561">
        <v>0</v>
      </c>
      <c r="N279" s="561">
        <v>0</v>
      </c>
      <c r="O279" s="560"/>
      <c r="P279" s="449"/>
    </row>
    <row r="280" spans="1:16" s="247" customFormat="1" ht="12" customHeight="1" x14ac:dyDescent="0.25">
      <c r="A280" s="450"/>
      <c r="B280" s="877"/>
      <c r="C280" s="884"/>
      <c r="D280" s="884" t="s">
        <v>880</v>
      </c>
      <c r="E280" s="655" t="s">
        <v>822</v>
      </c>
      <c r="F280" s="561">
        <v>394270</v>
      </c>
      <c r="G280" s="562">
        <v>394270</v>
      </c>
      <c r="H280" s="561">
        <v>0</v>
      </c>
      <c r="I280" s="561">
        <v>0</v>
      </c>
      <c r="J280" s="562">
        <v>0</v>
      </c>
      <c r="K280" s="561">
        <v>0</v>
      </c>
      <c r="L280" s="561">
        <v>0</v>
      </c>
      <c r="M280" s="561">
        <v>0</v>
      </c>
      <c r="N280" s="561">
        <v>0</v>
      </c>
      <c r="O280" s="560"/>
      <c r="P280" s="449"/>
    </row>
    <row r="281" spans="1:16" s="247" customFormat="1" ht="12" customHeight="1" x14ac:dyDescent="0.25">
      <c r="A281" s="450"/>
      <c r="B281" s="877"/>
      <c r="C281" s="884" t="s">
        <v>1830</v>
      </c>
      <c r="D281" s="884" t="s">
        <v>1223</v>
      </c>
      <c r="E281" s="655" t="s">
        <v>26</v>
      </c>
      <c r="F281" s="561">
        <v>109700258</v>
      </c>
      <c r="G281" s="562">
        <v>109700258</v>
      </c>
      <c r="H281" s="561">
        <v>0</v>
      </c>
      <c r="I281" s="561">
        <v>0</v>
      </c>
      <c r="J281" s="562">
        <v>0</v>
      </c>
      <c r="K281" s="561">
        <v>0</v>
      </c>
      <c r="L281" s="561">
        <v>0</v>
      </c>
      <c r="M281" s="561">
        <v>0</v>
      </c>
      <c r="N281" s="561">
        <v>0</v>
      </c>
      <c r="O281" s="560"/>
      <c r="P281" s="449"/>
    </row>
    <row r="282" spans="1:16" s="247" customFormat="1" ht="12" hidden="1" customHeight="1" x14ac:dyDescent="0.25">
      <c r="A282" s="450"/>
      <c r="B282" s="877"/>
      <c r="C282" s="884"/>
      <c r="D282" s="884" t="s">
        <v>1223</v>
      </c>
      <c r="E282" s="655" t="s">
        <v>2601</v>
      </c>
      <c r="F282" s="561">
        <v>253281000</v>
      </c>
      <c r="G282" s="562">
        <v>253281000</v>
      </c>
      <c r="H282" s="561">
        <v>0</v>
      </c>
      <c r="I282" s="561">
        <v>0</v>
      </c>
      <c r="J282" s="562">
        <v>0</v>
      </c>
      <c r="K282" s="561">
        <v>0</v>
      </c>
      <c r="L282" s="561">
        <v>0</v>
      </c>
      <c r="M282" s="561">
        <v>0</v>
      </c>
      <c r="N282" s="561">
        <v>0</v>
      </c>
      <c r="O282" s="560"/>
      <c r="P282" s="449"/>
    </row>
    <row r="283" spans="1:16" s="247" customFormat="1" ht="12" customHeight="1" x14ac:dyDescent="0.25">
      <c r="A283" s="450"/>
      <c r="B283" s="877"/>
      <c r="C283" s="884"/>
      <c r="D283" s="884" t="s">
        <v>1223</v>
      </c>
      <c r="E283" s="655" t="s">
        <v>195</v>
      </c>
      <c r="F283" s="561">
        <v>3141613</v>
      </c>
      <c r="G283" s="562">
        <v>3141613</v>
      </c>
      <c r="H283" s="561">
        <v>0</v>
      </c>
      <c r="I283" s="561">
        <v>0</v>
      </c>
      <c r="J283" s="562">
        <v>0</v>
      </c>
      <c r="K283" s="561">
        <v>0</v>
      </c>
      <c r="L283" s="561">
        <v>0</v>
      </c>
      <c r="M283" s="561">
        <v>0</v>
      </c>
      <c r="N283" s="561">
        <v>0</v>
      </c>
      <c r="O283" s="560"/>
      <c r="P283" s="449"/>
    </row>
    <row r="284" spans="1:16" s="247" customFormat="1" ht="12" customHeight="1" x14ac:dyDescent="0.25">
      <c r="A284" s="450"/>
      <c r="B284" s="877"/>
      <c r="C284" s="884"/>
      <c r="D284" s="884" t="s">
        <v>1223</v>
      </c>
      <c r="E284" s="655" t="s">
        <v>2676</v>
      </c>
      <c r="F284" s="561">
        <v>674667</v>
      </c>
      <c r="G284" s="562">
        <v>0</v>
      </c>
      <c r="H284" s="561">
        <v>674667</v>
      </c>
      <c r="I284" s="561">
        <v>0</v>
      </c>
      <c r="J284" s="562">
        <v>674667</v>
      </c>
      <c r="K284" s="561">
        <v>0</v>
      </c>
      <c r="L284" s="561">
        <v>0</v>
      </c>
      <c r="M284" s="561">
        <v>0</v>
      </c>
      <c r="N284" s="561">
        <v>674667</v>
      </c>
      <c r="O284" s="560"/>
      <c r="P284" s="449"/>
    </row>
    <row r="285" spans="1:16" s="247" customFormat="1" ht="12" customHeight="1" x14ac:dyDescent="0.25">
      <c r="A285" s="450"/>
      <c r="B285" s="877"/>
      <c r="C285" s="884" t="s">
        <v>1831</v>
      </c>
      <c r="D285" s="884" t="s">
        <v>2576</v>
      </c>
      <c r="E285" s="655" t="s">
        <v>26</v>
      </c>
      <c r="F285" s="561">
        <v>253292593</v>
      </c>
      <c r="G285" s="562">
        <v>253292593</v>
      </c>
      <c r="H285" s="561">
        <v>0</v>
      </c>
      <c r="I285" s="561">
        <v>0</v>
      </c>
      <c r="J285" s="562">
        <v>0</v>
      </c>
      <c r="K285" s="561">
        <v>0</v>
      </c>
      <c r="L285" s="561">
        <v>0</v>
      </c>
      <c r="M285" s="561">
        <v>0</v>
      </c>
      <c r="N285" s="561">
        <v>0</v>
      </c>
      <c r="O285" s="560"/>
      <c r="P285" s="449"/>
    </row>
    <row r="286" spans="1:16" s="247" customFormat="1" ht="12" customHeight="1" x14ac:dyDescent="0.25">
      <c r="A286" s="450"/>
      <c r="B286" s="877"/>
      <c r="C286" s="884"/>
      <c r="D286" s="884" t="s">
        <v>2576</v>
      </c>
      <c r="E286" s="655" t="s">
        <v>900</v>
      </c>
      <c r="F286" s="561">
        <v>60000000</v>
      </c>
      <c r="G286" s="562">
        <v>60000000</v>
      </c>
      <c r="H286" s="561">
        <v>0</v>
      </c>
      <c r="I286" s="561">
        <v>0</v>
      </c>
      <c r="J286" s="562">
        <v>0</v>
      </c>
      <c r="K286" s="561">
        <v>0</v>
      </c>
      <c r="L286" s="561">
        <v>0</v>
      </c>
      <c r="M286" s="561">
        <v>0</v>
      </c>
      <c r="N286" s="561">
        <v>0</v>
      </c>
      <c r="O286" s="560"/>
      <c r="P286" s="449"/>
    </row>
    <row r="287" spans="1:16" s="247" customFormat="1" ht="12" customHeight="1" x14ac:dyDescent="0.25">
      <c r="A287" s="450"/>
      <c r="B287" s="877"/>
      <c r="C287" s="884" t="s">
        <v>1832</v>
      </c>
      <c r="D287" s="884" t="s">
        <v>2239</v>
      </c>
      <c r="E287" s="655" t="s">
        <v>26</v>
      </c>
      <c r="F287" s="561">
        <v>84540622</v>
      </c>
      <c r="G287" s="562">
        <v>84540622</v>
      </c>
      <c r="H287" s="561">
        <v>0</v>
      </c>
      <c r="I287" s="561">
        <v>0</v>
      </c>
      <c r="J287" s="562">
        <v>0</v>
      </c>
      <c r="K287" s="561">
        <v>0</v>
      </c>
      <c r="L287" s="561">
        <v>0</v>
      </c>
      <c r="M287" s="561">
        <v>0</v>
      </c>
      <c r="N287" s="561">
        <v>0</v>
      </c>
      <c r="O287" s="560"/>
      <c r="P287" s="449"/>
    </row>
    <row r="288" spans="1:16" s="247" customFormat="1" ht="12" hidden="1" customHeight="1" x14ac:dyDescent="0.25">
      <c r="A288" s="450"/>
      <c r="B288" s="877"/>
      <c r="C288" s="884"/>
      <c r="D288" s="884" t="s">
        <v>2239</v>
      </c>
      <c r="E288" s="655" t="s">
        <v>2601</v>
      </c>
      <c r="F288" s="561">
        <v>192080000</v>
      </c>
      <c r="G288" s="562">
        <v>192080000</v>
      </c>
      <c r="H288" s="561">
        <v>0</v>
      </c>
      <c r="I288" s="561">
        <v>0</v>
      </c>
      <c r="J288" s="562">
        <v>0</v>
      </c>
      <c r="K288" s="561">
        <v>0</v>
      </c>
      <c r="L288" s="561">
        <v>0</v>
      </c>
      <c r="M288" s="561">
        <v>0</v>
      </c>
      <c r="N288" s="561">
        <v>0</v>
      </c>
      <c r="O288" s="560"/>
      <c r="P288" s="449"/>
    </row>
    <row r="289" spans="1:16" s="247" customFormat="1" ht="12" customHeight="1" x14ac:dyDescent="0.25">
      <c r="A289" s="450"/>
      <c r="B289" s="877"/>
      <c r="C289" s="884"/>
      <c r="D289" s="884" t="s">
        <v>2239</v>
      </c>
      <c r="E289" s="655" t="s">
        <v>3212</v>
      </c>
      <c r="F289" s="561">
        <v>93919</v>
      </c>
      <c r="G289" s="562">
        <v>0</v>
      </c>
      <c r="H289" s="561">
        <v>93919</v>
      </c>
      <c r="I289" s="561">
        <v>0</v>
      </c>
      <c r="J289" s="562">
        <v>93919</v>
      </c>
      <c r="K289" s="561">
        <v>0</v>
      </c>
      <c r="L289" s="561">
        <v>0</v>
      </c>
      <c r="M289" s="561">
        <v>0</v>
      </c>
      <c r="N289" s="561">
        <v>93919</v>
      </c>
      <c r="O289" s="560"/>
      <c r="P289" s="449"/>
    </row>
    <row r="290" spans="1:16" s="247" customFormat="1" ht="12" customHeight="1" x14ac:dyDescent="0.25">
      <c r="A290" s="450"/>
      <c r="B290" s="877"/>
      <c r="C290" s="884"/>
      <c r="D290" s="884" t="s">
        <v>2239</v>
      </c>
      <c r="E290" s="655" t="s">
        <v>195</v>
      </c>
      <c r="F290" s="561">
        <v>1909791</v>
      </c>
      <c r="G290" s="562">
        <v>1909791</v>
      </c>
      <c r="H290" s="561">
        <v>0</v>
      </c>
      <c r="I290" s="561">
        <v>0</v>
      </c>
      <c r="J290" s="562">
        <v>0</v>
      </c>
      <c r="K290" s="561">
        <v>0</v>
      </c>
      <c r="L290" s="561">
        <v>0</v>
      </c>
      <c r="M290" s="561">
        <v>0</v>
      </c>
      <c r="N290" s="561">
        <v>0</v>
      </c>
      <c r="O290" s="560"/>
      <c r="P290" s="449"/>
    </row>
    <row r="291" spans="1:16" s="247" customFormat="1" ht="12" customHeight="1" x14ac:dyDescent="0.25">
      <c r="A291" s="450"/>
      <c r="B291" s="877"/>
      <c r="C291" s="884" t="s">
        <v>1833</v>
      </c>
      <c r="D291" s="884" t="s">
        <v>1703</v>
      </c>
      <c r="E291" s="655" t="s">
        <v>26</v>
      </c>
      <c r="F291" s="561">
        <v>104902800</v>
      </c>
      <c r="G291" s="562">
        <v>104902800</v>
      </c>
      <c r="H291" s="561">
        <v>0</v>
      </c>
      <c r="I291" s="561">
        <v>0</v>
      </c>
      <c r="J291" s="562">
        <v>0</v>
      </c>
      <c r="K291" s="561">
        <v>0</v>
      </c>
      <c r="L291" s="561">
        <v>0</v>
      </c>
      <c r="M291" s="561">
        <v>0</v>
      </c>
      <c r="N291" s="561">
        <v>0</v>
      </c>
      <c r="O291" s="560"/>
      <c r="P291" s="449"/>
    </row>
    <row r="292" spans="1:16" s="247" customFormat="1" ht="12" hidden="1" customHeight="1" x14ac:dyDescent="0.25">
      <c r="A292" s="450"/>
      <c r="B292" s="877"/>
      <c r="C292" s="884"/>
      <c r="D292" s="884" t="s">
        <v>1703</v>
      </c>
      <c r="E292" s="655" t="s">
        <v>2601</v>
      </c>
      <c r="F292" s="561">
        <v>244773200</v>
      </c>
      <c r="G292" s="562">
        <v>244773200</v>
      </c>
      <c r="H292" s="561">
        <v>0</v>
      </c>
      <c r="I292" s="561">
        <v>0</v>
      </c>
      <c r="J292" s="562">
        <v>0</v>
      </c>
      <c r="K292" s="561">
        <v>0</v>
      </c>
      <c r="L292" s="561">
        <v>0</v>
      </c>
      <c r="M292" s="561">
        <v>0</v>
      </c>
      <c r="N292" s="561">
        <v>0</v>
      </c>
      <c r="O292" s="560"/>
      <c r="P292" s="449"/>
    </row>
    <row r="293" spans="1:16" s="247" customFormat="1" ht="12" customHeight="1" x14ac:dyDescent="0.25">
      <c r="A293" s="450"/>
      <c r="B293" s="877"/>
      <c r="C293" s="884"/>
      <c r="D293" s="884" t="s">
        <v>1703</v>
      </c>
      <c r="E293" s="655" t="s">
        <v>3212</v>
      </c>
      <c r="F293" s="561">
        <v>58596</v>
      </c>
      <c r="G293" s="562">
        <v>0</v>
      </c>
      <c r="H293" s="561">
        <v>58596</v>
      </c>
      <c r="I293" s="561">
        <v>0</v>
      </c>
      <c r="J293" s="562">
        <v>58596</v>
      </c>
      <c r="K293" s="561">
        <v>0</v>
      </c>
      <c r="L293" s="561">
        <v>0</v>
      </c>
      <c r="M293" s="561">
        <v>0</v>
      </c>
      <c r="N293" s="561">
        <v>58596</v>
      </c>
      <c r="O293" s="560"/>
      <c r="P293" s="449"/>
    </row>
    <row r="294" spans="1:16" s="247" customFormat="1" ht="12" customHeight="1" x14ac:dyDescent="0.25">
      <c r="A294" s="450"/>
      <c r="B294" s="877"/>
      <c r="C294" s="884" t="s">
        <v>1834</v>
      </c>
      <c r="D294" s="884" t="s">
        <v>2608</v>
      </c>
      <c r="E294" s="655" t="s">
        <v>26</v>
      </c>
      <c r="F294" s="561">
        <v>155658150</v>
      </c>
      <c r="G294" s="562">
        <v>155658150</v>
      </c>
      <c r="H294" s="561">
        <v>0</v>
      </c>
      <c r="I294" s="561">
        <v>0</v>
      </c>
      <c r="J294" s="562">
        <v>0</v>
      </c>
      <c r="K294" s="561">
        <v>0</v>
      </c>
      <c r="L294" s="561">
        <v>0</v>
      </c>
      <c r="M294" s="561">
        <v>0</v>
      </c>
      <c r="N294" s="561">
        <v>0</v>
      </c>
      <c r="O294" s="560"/>
      <c r="P294" s="449"/>
    </row>
    <row r="295" spans="1:16" s="247" customFormat="1" ht="12" hidden="1" customHeight="1" x14ac:dyDescent="0.25">
      <c r="A295" s="450"/>
      <c r="B295" s="877"/>
      <c r="C295" s="884"/>
      <c r="D295" s="884" t="s">
        <v>2608</v>
      </c>
      <c r="E295" s="655" t="s">
        <v>2601</v>
      </c>
      <c r="F295" s="561">
        <v>178000000</v>
      </c>
      <c r="G295" s="562">
        <v>178000000</v>
      </c>
      <c r="H295" s="561">
        <v>0</v>
      </c>
      <c r="I295" s="561">
        <v>0</v>
      </c>
      <c r="J295" s="562">
        <v>0</v>
      </c>
      <c r="K295" s="561">
        <v>0</v>
      </c>
      <c r="L295" s="561">
        <v>0</v>
      </c>
      <c r="M295" s="561">
        <v>0</v>
      </c>
      <c r="N295" s="561">
        <v>0</v>
      </c>
      <c r="O295" s="560"/>
      <c r="P295" s="449"/>
    </row>
    <row r="296" spans="1:16" s="247" customFormat="1" ht="12" customHeight="1" x14ac:dyDescent="0.25">
      <c r="A296" s="450"/>
      <c r="B296" s="877"/>
      <c r="C296" s="884" t="s">
        <v>1835</v>
      </c>
      <c r="D296" s="884" t="s">
        <v>1527</v>
      </c>
      <c r="E296" s="655" t="s">
        <v>26</v>
      </c>
      <c r="F296" s="561">
        <v>277306412</v>
      </c>
      <c r="G296" s="562">
        <v>277306412</v>
      </c>
      <c r="H296" s="561">
        <v>0</v>
      </c>
      <c r="I296" s="561">
        <v>0</v>
      </c>
      <c r="J296" s="562">
        <v>0</v>
      </c>
      <c r="K296" s="561">
        <v>0</v>
      </c>
      <c r="L296" s="561">
        <v>0</v>
      </c>
      <c r="M296" s="561">
        <v>0</v>
      </c>
      <c r="N296" s="561">
        <v>0</v>
      </c>
      <c r="O296" s="560"/>
      <c r="P296" s="449"/>
    </row>
    <row r="297" spans="1:16" s="247" customFormat="1" ht="12" customHeight="1" x14ac:dyDescent="0.25">
      <c r="A297" s="450"/>
      <c r="B297" s="877"/>
      <c r="C297" s="884"/>
      <c r="D297" s="884" t="s">
        <v>1527</v>
      </c>
      <c r="E297" s="655" t="s">
        <v>3212</v>
      </c>
      <c r="F297" s="561">
        <v>116363</v>
      </c>
      <c r="G297" s="562">
        <v>0</v>
      </c>
      <c r="H297" s="561">
        <v>116363</v>
      </c>
      <c r="I297" s="561">
        <v>0</v>
      </c>
      <c r="J297" s="562">
        <v>116363</v>
      </c>
      <c r="K297" s="561">
        <v>0</v>
      </c>
      <c r="L297" s="561">
        <v>0</v>
      </c>
      <c r="M297" s="561">
        <v>0</v>
      </c>
      <c r="N297" s="561">
        <v>116363</v>
      </c>
      <c r="O297" s="560"/>
      <c r="P297" s="449"/>
    </row>
    <row r="298" spans="1:16" s="247" customFormat="1" ht="12" customHeight="1" x14ac:dyDescent="0.25">
      <c r="A298" s="450"/>
      <c r="B298" s="877"/>
      <c r="C298" s="884"/>
      <c r="D298" s="884" t="s">
        <v>1527</v>
      </c>
      <c r="E298" s="655" t="s">
        <v>195</v>
      </c>
      <c r="F298" s="561">
        <v>1456986</v>
      </c>
      <c r="G298" s="562">
        <v>1456986</v>
      </c>
      <c r="H298" s="561">
        <v>0</v>
      </c>
      <c r="I298" s="561">
        <v>0</v>
      </c>
      <c r="J298" s="562">
        <v>0</v>
      </c>
      <c r="K298" s="561">
        <v>0</v>
      </c>
      <c r="L298" s="561">
        <v>0</v>
      </c>
      <c r="M298" s="561">
        <v>0</v>
      </c>
      <c r="N298" s="561">
        <v>0</v>
      </c>
      <c r="O298" s="560"/>
      <c r="P298" s="449"/>
    </row>
    <row r="299" spans="1:16" s="247" customFormat="1" ht="12" customHeight="1" x14ac:dyDescent="0.25">
      <c r="A299" s="450"/>
      <c r="B299" s="877"/>
      <c r="C299" s="884" t="s">
        <v>1836</v>
      </c>
      <c r="D299" s="884" t="s">
        <v>3332</v>
      </c>
      <c r="E299" s="655" t="s">
        <v>26</v>
      </c>
      <c r="F299" s="561">
        <v>177989150</v>
      </c>
      <c r="G299" s="562">
        <v>177989150</v>
      </c>
      <c r="H299" s="561">
        <v>0</v>
      </c>
      <c r="I299" s="561">
        <v>0</v>
      </c>
      <c r="J299" s="562">
        <v>0</v>
      </c>
      <c r="K299" s="561">
        <v>0</v>
      </c>
      <c r="L299" s="561">
        <v>0</v>
      </c>
      <c r="M299" s="561">
        <v>0</v>
      </c>
      <c r="N299" s="561">
        <v>0</v>
      </c>
      <c r="O299" s="560"/>
      <c r="P299" s="449"/>
    </row>
    <row r="300" spans="1:16" s="247" customFormat="1" ht="12" customHeight="1" x14ac:dyDescent="0.25">
      <c r="A300" s="450"/>
      <c r="B300" s="877"/>
      <c r="C300" s="884"/>
      <c r="D300" s="884" t="s">
        <v>3332</v>
      </c>
      <c r="E300" s="655" t="s">
        <v>900</v>
      </c>
      <c r="F300" s="561">
        <v>77159765</v>
      </c>
      <c r="G300" s="562">
        <v>77159765</v>
      </c>
      <c r="H300" s="561">
        <v>0</v>
      </c>
      <c r="I300" s="561">
        <v>0</v>
      </c>
      <c r="J300" s="562">
        <v>0</v>
      </c>
      <c r="K300" s="561">
        <v>0</v>
      </c>
      <c r="L300" s="561">
        <v>0</v>
      </c>
      <c r="M300" s="561">
        <v>0</v>
      </c>
      <c r="N300" s="561">
        <v>0</v>
      </c>
      <c r="O300" s="560"/>
      <c r="P300" s="449"/>
    </row>
    <row r="301" spans="1:16" s="247" customFormat="1" ht="12" customHeight="1" x14ac:dyDescent="0.25">
      <c r="A301" s="450"/>
      <c r="B301" s="877"/>
      <c r="C301" s="884"/>
      <c r="D301" s="884" t="s">
        <v>3332</v>
      </c>
      <c r="E301" s="655" t="s">
        <v>3212</v>
      </c>
      <c r="F301" s="561">
        <v>779000</v>
      </c>
      <c r="G301" s="562">
        <v>779000</v>
      </c>
      <c r="H301" s="561">
        <v>0</v>
      </c>
      <c r="I301" s="561">
        <v>0</v>
      </c>
      <c r="J301" s="562">
        <v>0</v>
      </c>
      <c r="K301" s="561">
        <v>0</v>
      </c>
      <c r="L301" s="561">
        <v>0</v>
      </c>
      <c r="M301" s="561">
        <v>0</v>
      </c>
      <c r="N301" s="561">
        <v>0</v>
      </c>
      <c r="O301" s="560"/>
      <c r="P301" s="449"/>
    </row>
    <row r="302" spans="1:16" s="247" customFormat="1" ht="12" customHeight="1" x14ac:dyDescent="0.25">
      <c r="A302" s="450"/>
      <c r="B302" s="877"/>
      <c r="C302" s="884"/>
      <c r="D302" s="884" t="s">
        <v>3332</v>
      </c>
      <c r="E302" s="655" t="s">
        <v>1221</v>
      </c>
      <c r="F302" s="561">
        <v>1931850</v>
      </c>
      <c r="G302" s="562">
        <v>1931850</v>
      </c>
      <c r="H302" s="561">
        <v>0</v>
      </c>
      <c r="I302" s="561">
        <v>0</v>
      </c>
      <c r="J302" s="562">
        <v>0</v>
      </c>
      <c r="K302" s="561">
        <v>0</v>
      </c>
      <c r="L302" s="561">
        <v>0</v>
      </c>
      <c r="M302" s="561">
        <v>0</v>
      </c>
      <c r="N302" s="561">
        <v>0</v>
      </c>
      <c r="O302" s="560"/>
      <c r="P302" s="449"/>
    </row>
    <row r="303" spans="1:16" s="247" customFormat="1" ht="12" customHeight="1" x14ac:dyDescent="0.25">
      <c r="A303" s="450"/>
      <c r="B303" s="877"/>
      <c r="C303" s="884"/>
      <c r="D303" s="884" t="s">
        <v>3332</v>
      </c>
      <c r="E303" s="655" t="s">
        <v>3483</v>
      </c>
      <c r="F303" s="561">
        <v>56632400</v>
      </c>
      <c r="G303" s="562">
        <v>405055</v>
      </c>
      <c r="H303" s="561">
        <v>56227345</v>
      </c>
      <c r="I303" s="561">
        <v>0</v>
      </c>
      <c r="J303" s="562">
        <v>56227345</v>
      </c>
      <c r="K303" s="561">
        <v>0</v>
      </c>
      <c r="L303" s="561">
        <v>0</v>
      </c>
      <c r="M303" s="561">
        <v>0</v>
      </c>
      <c r="N303" s="561">
        <v>56227345</v>
      </c>
      <c r="O303" s="560"/>
      <c r="P303" s="449"/>
    </row>
    <row r="304" spans="1:16" s="247" customFormat="1" ht="12" customHeight="1" x14ac:dyDescent="0.25">
      <c r="A304" s="450"/>
      <c r="B304" s="877"/>
      <c r="C304" s="677" t="s">
        <v>3428</v>
      </c>
      <c r="D304" s="677" t="s">
        <v>3425</v>
      </c>
      <c r="E304" s="655" t="s">
        <v>26</v>
      </c>
      <c r="F304" s="561">
        <v>393640000</v>
      </c>
      <c r="G304" s="562">
        <v>393640000</v>
      </c>
      <c r="H304" s="561">
        <v>0</v>
      </c>
      <c r="I304" s="561">
        <v>0</v>
      </c>
      <c r="J304" s="562">
        <v>0</v>
      </c>
      <c r="K304" s="561">
        <v>0</v>
      </c>
      <c r="L304" s="561">
        <v>0</v>
      </c>
      <c r="M304" s="561">
        <v>0</v>
      </c>
      <c r="N304" s="561">
        <v>0</v>
      </c>
      <c r="O304" s="560"/>
      <c r="P304" s="449"/>
    </row>
    <row r="305" spans="1:16" s="247" customFormat="1" ht="12" customHeight="1" x14ac:dyDescent="0.25">
      <c r="A305" s="450"/>
      <c r="B305" s="877"/>
      <c r="C305" s="884" t="s">
        <v>1837</v>
      </c>
      <c r="D305" s="884" t="s">
        <v>882</v>
      </c>
      <c r="E305" s="655" t="s">
        <v>26</v>
      </c>
      <c r="F305" s="561">
        <v>272960910</v>
      </c>
      <c r="G305" s="562">
        <v>272960910</v>
      </c>
      <c r="H305" s="561">
        <v>0</v>
      </c>
      <c r="I305" s="561">
        <v>0</v>
      </c>
      <c r="J305" s="562">
        <v>0</v>
      </c>
      <c r="K305" s="561">
        <v>0</v>
      </c>
      <c r="L305" s="561">
        <v>0</v>
      </c>
      <c r="M305" s="561">
        <v>0</v>
      </c>
      <c r="N305" s="561">
        <v>0</v>
      </c>
      <c r="O305" s="560"/>
      <c r="P305" s="449"/>
    </row>
    <row r="306" spans="1:16" s="247" customFormat="1" ht="12" customHeight="1" x14ac:dyDescent="0.25">
      <c r="A306" s="450"/>
      <c r="B306" s="877"/>
      <c r="C306" s="884"/>
      <c r="D306" s="884" t="s">
        <v>882</v>
      </c>
      <c r="E306" s="655" t="s">
        <v>1221</v>
      </c>
      <c r="F306" s="561">
        <v>1512675</v>
      </c>
      <c r="G306" s="562">
        <v>1512675</v>
      </c>
      <c r="H306" s="561">
        <v>0</v>
      </c>
      <c r="I306" s="561">
        <v>0</v>
      </c>
      <c r="J306" s="562">
        <v>0</v>
      </c>
      <c r="K306" s="561">
        <v>0</v>
      </c>
      <c r="L306" s="561">
        <v>0</v>
      </c>
      <c r="M306" s="561">
        <v>0</v>
      </c>
      <c r="N306" s="561">
        <v>0</v>
      </c>
      <c r="O306" s="560"/>
      <c r="P306" s="449"/>
    </row>
    <row r="307" spans="1:16" s="247" customFormat="1" ht="12" customHeight="1" x14ac:dyDescent="0.25">
      <c r="A307" s="450"/>
      <c r="B307" s="877"/>
      <c r="C307" s="884" t="s">
        <v>1838</v>
      </c>
      <c r="D307" s="884" t="s">
        <v>992</v>
      </c>
      <c r="E307" s="655" t="s">
        <v>26</v>
      </c>
      <c r="F307" s="561">
        <v>101424120</v>
      </c>
      <c r="G307" s="562">
        <v>101424120</v>
      </c>
      <c r="H307" s="561">
        <v>0</v>
      </c>
      <c r="I307" s="561">
        <v>0</v>
      </c>
      <c r="J307" s="562">
        <v>0</v>
      </c>
      <c r="K307" s="561">
        <v>0</v>
      </c>
      <c r="L307" s="561">
        <v>0</v>
      </c>
      <c r="M307" s="561">
        <v>0</v>
      </c>
      <c r="N307" s="561">
        <v>0</v>
      </c>
      <c r="O307" s="560"/>
      <c r="P307" s="449"/>
    </row>
    <row r="308" spans="1:16" s="247" customFormat="1" ht="12" hidden="1" customHeight="1" x14ac:dyDescent="0.25">
      <c r="A308" s="450"/>
      <c r="B308" s="877"/>
      <c r="C308" s="884"/>
      <c r="D308" s="884" t="s">
        <v>992</v>
      </c>
      <c r="E308" s="655" t="s">
        <v>1557</v>
      </c>
      <c r="F308" s="561">
        <v>236656280</v>
      </c>
      <c r="G308" s="562">
        <v>3139646</v>
      </c>
      <c r="H308" s="561">
        <v>233516634</v>
      </c>
      <c r="I308" s="561">
        <v>0</v>
      </c>
      <c r="J308" s="562">
        <v>233516634</v>
      </c>
      <c r="K308" s="561">
        <v>0</v>
      </c>
      <c r="L308" s="561">
        <v>0</v>
      </c>
      <c r="M308" s="561">
        <v>0</v>
      </c>
      <c r="N308" s="561">
        <v>233516634</v>
      </c>
      <c r="O308" s="560"/>
      <c r="P308" s="449"/>
    </row>
    <row r="309" spans="1:16" s="247" customFormat="1" ht="12" customHeight="1" x14ac:dyDescent="0.25">
      <c r="A309" s="450"/>
      <c r="B309" s="877"/>
      <c r="C309" s="884"/>
      <c r="D309" s="884" t="s">
        <v>992</v>
      </c>
      <c r="E309" s="655" t="s">
        <v>1221</v>
      </c>
      <c r="F309" s="561">
        <v>1931850</v>
      </c>
      <c r="G309" s="562">
        <v>1931850</v>
      </c>
      <c r="H309" s="561">
        <v>0</v>
      </c>
      <c r="I309" s="561">
        <v>0</v>
      </c>
      <c r="J309" s="562">
        <v>0</v>
      </c>
      <c r="K309" s="561">
        <v>0</v>
      </c>
      <c r="L309" s="561">
        <v>0</v>
      </c>
      <c r="M309" s="561">
        <v>0</v>
      </c>
      <c r="N309" s="561">
        <v>0</v>
      </c>
      <c r="O309" s="560"/>
      <c r="P309" s="449"/>
    </row>
    <row r="310" spans="1:16" s="247" customFormat="1" ht="12" customHeight="1" x14ac:dyDescent="0.25">
      <c r="A310" s="450"/>
      <c r="B310" s="877"/>
      <c r="C310" s="884" t="s">
        <v>1839</v>
      </c>
      <c r="D310" s="884" t="s">
        <v>1704</v>
      </c>
      <c r="E310" s="655" t="s">
        <v>26</v>
      </c>
      <c r="F310" s="561">
        <v>191097567</v>
      </c>
      <c r="G310" s="562">
        <v>191097567</v>
      </c>
      <c r="H310" s="561">
        <v>0</v>
      </c>
      <c r="I310" s="561">
        <v>0</v>
      </c>
      <c r="J310" s="562">
        <v>0</v>
      </c>
      <c r="K310" s="561">
        <v>0</v>
      </c>
      <c r="L310" s="561">
        <v>0</v>
      </c>
      <c r="M310" s="561">
        <v>0</v>
      </c>
      <c r="N310" s="561">
        <v>0</v>
      </c>
      <c r="O310" s="560"/>
      <c r="P310" s="449"/>
    </row>
    <row r="311" spans="1:16" s="247" customFormat="1" ht="12" hidden="1" customHeight="1" x14ac:dyDescent="0.25">
      <c r="A311" s="450"/>
      <c r="B311" s="877"/>
      <c r="C311" s="884"/>
      <c r="D311" s="884" t="s">
        <v>1704</v>
      </c>
      <c r="E311" s="655" t="s">
        <v>2601</v>
      </c>
      <c r="F311" s="561">
        <v>158443223</v>
      </c>
      <c r="G311" s="562">
        <v>158443223</v>
      </c>
      <c r="H311" s="561">
        <v>0</v>
      </c>
      <c r="I311" s="561">
        <v>0</v>
      </c>
      <c r="J311" s="562">
        <v>0</v>
      </c>
      <c r="K311" s="561">
        <v>0</v>
      </c>
      <c r="L311" s="561">
        <v>0</v>
      </c>
      <c r="M311" s="561">
        <v>0</v>
      </c>
      <c r="N311" s="561">
        <v>0</v>
      </c>
      <c r="O311" s="560"/>
      <c r="P311" s="449"/>
    </row>
    <row r="312" spans="1:16" s="247" customFormat="1" ht="12" customHeight="1" x14ac:dyDescent="0.25">
      <c r="A312" s="450"/>
      <c r="B312" s="877"/>
      <c r="C312" s="884"/>
      <c r="D312" s="884" t="s">
        <v>1704</v>
      </c>
      <c r="E312" s="655" t="s">
        <v>3212</v>
      </c>
      <c r="F312" s="561">
        <v>52830</v>
      </c>
      <c r="G312" s="562">
        <v>52830</v>
      </c>
      <c r="H312" s="561">
        <v>0</v>
      </c>
      <c r="I312" s="561">
        <v>0</v>
      </c>
      <c r="J312" s="562">
        <v>0</v>
      </c>
      <c r="K312" s="561">
        <v>0</v>
      </c>
      <c r="L312" s="561">
        <v>0</v>
      </c>
      <c r="M312" s="561">
        <v>0</v>
      </c>
      <c r="N312" s="561">
        <v>0</v>
      </c>
      <c r="O312" s="560"/>
      <c r="P312" s="449"/>
    </row>
    <row r="313" spans="1:16" s="247" customFormat="1" ht="12" customHeight="1" x14ac:dyDescent="0.25">
      <c r="A313" s="450"/>
      <c r="B313" s="877"/>
      <c r="C313" s="884"/>
      <c r="D313" s="884" t="s">
        <v>1704</v>
      </c>
      <c r="E313" s="655" t="s">
        <v>2676</v>
      </c>
      <c r="F313" s="561">
        <v>2366085</v>
      </c>
      <c r="G313" s="562">
        <v>2366085</v>
      </c>
      <c r="H313" s="561">
        <v>0</v>
      </c>
      <c r="I313" s="561">
        <v>0</v>
      </c>
      <c r="J313" s="562">
        <v>0</v>
      </c>
      <c r="K313" s="561">
        <v>0</v>
      </c>
      <c r="L313" s="561">
        <v>0</v>
      </c>
      <c r="M313" s="561">
        <v>0</v>
      </c>
      <c r="N313" s="561">
        <v>0</v>
      </c>
      <c r="O313" s="560"/>
      <c r="P313" s="449"/>
    </row>
    <row r="314" spans="1:16" s="247" customFormat="1" ht="12" customHeight="1" x14ac:dyDescent="0.25">
      <c r="A314" s="450"/>
      <c r="B314" s="877"/>
      <c r="C314" s="884" t="s">
        <v>1840</v>
      </c>
      <c r="D314" s="884" t="s">
        <v>2608</v>
      </c>
      <c r="E314" s="655" t="s">
        <v>26</v>
      </c>
      <c r="F314" s="561">
        <v>90524000</v>
      </c>
      <c r="G314" s="562">
        <v>90524000</v>
      </c>
      <c r="H314" s="561">
        <v>0</v>
      </c>
      <c r="I314" s="561">
        <v>0</v>
      </c>
      <c r="J314" s="562">
        <v>0</v>
      </c>
      <c r="K314" s="561">
        <v>0</v>
      </c>
      <c r="L314" s="561">
        <v>0</v>
      </c>
      <c r="M314" s="561">
        <v>0</v>
      </c>
      <c r="N314" s="561">
        <v>0</v>
      </c>
      <c r="O314" s="560"/>
      <c r="P314" s="449"/>
    </row>
    <row r="315" spans="1:16" s="247" customFormat="1" ht="12" hidden="1" customHeight="1" x14ac:dyDescent="0.25">
      <c r="A315" s="450"/>
      <c r="B315" s="877"/>
      <c r="C315" s="884"/>
      <c r="D315" s="884" t="s">
        <v>2608</v>
      </c>
      <c r="E315" s="655" t="s">
        <v>2601</v>
      </c>
      <c r="F315" s="561">
        <v>188000000</v>
      </c>
      <c r="G315" s="562">
        <v>188000000</v>
      </c>
      <c r="H315" s="561">
        <v>0</v>
      </c>
      <c r="I315" s="561">
        <v>0</v>
      </c>
      <c r="J315" s="562">
        <v>0</v>
      </c>
      <c r="K315" s="561">
        <v>0</v>
      </c>
      <c r="L315" s="561">
        <v>0</v>
      </c>
      <c r="M315" s="561">
        <v>0</v>
      </c>
      <c r="N315" s="561">
        <v>0</v>
      </c>
      <c r="O315" s="560"/>
      <c r="P315" s="449"/>
    </row>
    <row r="316" spans="1:16" s="247" customFormat="1" ht="12" customHeight="1" x14ac:dyDescent="0.25">
      <c r="A316" s="450"/>
      <c r="B316" s="877"/>
      <c r="C316" s="884"/>
      <c r="D316" s="884" t="s">
        <v>2608</v>
      </c>
      <c r="E316" s="655" t="s">
        <v>195</v>
      </c>
      <c r="F316" s="561">
        <v>2199540</v>
      </c>
      <c r="G316" s="562">
        <v>2199540</v>
      </c>
      <c r="H316" s="561">
        <v>0</v>
      </c>
      <c r="I316" s="561">
        <v>0</v>
      </c>
      <c r="J316" s="562">
        <v>0</v>
      </c>
      <c r="K316" s="561">
        <v>0</v>
      </c>
      <c r="L316" s="561">
        <v>0</v>
      </c>
      <c r="M316" s="561">
        <v>0</v>
      </c>
      <c r="N316" s="561">
        <v>0</v>
      </c>
      <c r="O316" s="560"/>
      <c r="P316" s="449"/>
    </row>
    <row r="317" spans="1:16" s="247" customFormat="1" ht="12" customHeight="1" x14ac:dyDescent="0.25">
      <c r="A317" s="450"/>
      <c r="B317" s="877"/>
      <c r="C317" s="884" t="s">
        <v>1841</v>
      </c>
      <c r="D317" s="884" t="s">
        <v>1000</v>
      </c>
      <c r="E317" s="655" t="s">
        <v>26</v>
      </c>
      <c r="F317" s="561">
        <v>164647857</v>
      </c>
      <c r="G317" s="562">
        <v>164647857</v>
      </c>
      <c r="H317" s="561">
        <v>0</v>
      </c>
      <c r="I317" s="561">
        <v>0</v>
      </c>
      <c r="J317" s="562">
        <v>0</v>
      </c>
      <c r="K317" s="561">
        <v>0</v>
      </c>
      <c r="L317" s="561">
        <v>0</v>
      </c>
      <c r="M317" s="561">
        <v>0</v>
      </c>
      <c r="N317" s="561">
        <v>0</v>
      </c>
      <c r="O317" s="560"/>
      <c r="P317" s="449"/>
    </row>
    <row r="318" spans="1:16" s="247" customFormat="1" ht="12" hidden="1" customHeight="1" x14ac:dyDescent="0.25">
      <c r="A318" s="450"/>
      <c r="B318" s="877"/>
      <c r="C318" s="884"/>
      <c r="D318" s="884" t="s">
        <v>1000</v>
      </c>
      <c r="E318" s="655" t="s">
        <v>2601</v>
      </c>
      <c r="F318" s="561">
        <v>150000000</v>
      </c>
      <c r="G318" s="562">
        <v>150000000</v>
      </c>
      <c r="H318" s="561">
        <v>0</v>
      </c>
      <c r="I318" s="561">
        <v>0</v>
      </c>
      <c r="J318" s="562">
        <v>0</v>
      </c>
      <c r="K318" s="561">
        <v>0</v>
      </c>
      <c r="L318" s="561">
        <v>0</v>
      </c>
      <c r="M318" s="561">
        <v>0</v>
      </c>
      <c r="N318" s="561">
        <v>0</v>
      </c>
      <c r="O318" s="560"/>
      <c r="P318" s="449"/>
    </row>
    <row r="319" spans="1:16" s="247" customFormat="1" ht="12" customHeight="1" x14ac:dyDescent="0.25">
      <c r="A319" s="450"/>
      <c r="B319" s="877"/>
      <c r="C319" s="884"/>
      <c r="D319" s="884" t="s">
        <v>1000</v>
      </c>
      <c r="E319" s="655" t="s">
        <v>3212</v>
      </c>
      <c r="F319" s="561">
        <v>105000</v>
      </c>
      <c r="G319" s="562">
        <v>105000</v>
      </c>
      <c r="H319" s="561">
        <v>0</v>
      </c>
      <c r="I319" s="561">
        <v>0</v>
      </c>
      <c r="J319" s="562">
        <v>0</v>
      </c>
      <c r="K319" s="561">
        <v>0</v>
      </c>
      <c r="L319" s="561">
        <v>0</v>
      </c>
      <c r="M319" s="561">
        <v>0</v>
      </c>
      <c r="N319" s="561">
        <v>0</v>
      </c>
      <c r="O319" s="560"/>
      <c r="P319" s="449"/>
    </row>
    <row r="320" spans="1:16" s="247" customFormat="1" ht="12" customHeight="1" x14ac:dyDescent="0.25">
      <c r="A320" s="450"/>
      <c r="B320" s="877"/>
      <c r="C320" s="884"/>
      <c r="D320" s="884" t="s">
        <v>1000</v>
      </c>
      <c r="E320" s="655" t="s">
        <v>2676</v>
      </c>
      <c r="F320" s="561">
        <v>800000</v>
      </c>
      <c r="G320" s="562">
        <v>800000</v>
      </c>
      <c r="H320" s="561">
        <v>0</v>
      </c>
      <c r="I320" s="561">
        <v>0</v>
      </c>
      <c r="J320" s="562">
        <v>0</v>
      </c>
      <c r="K320" s="561">
        <v>0</v>
      </c>
      <c r="L320" s="561">
        <v>0</v>
      </c>
      <c r="M320" s="561">
        <v>0</v>
      </c>
      <c r="N320" s="561">
        <v>0</v>
      </c>
      <c r="O320" s="560"/>
      <c r="P320" s="449"/>
    </row>
    <row r="321" spans="1:16" s="247" customFormat="1" ht="12" customHeight="1" x14ac:dyDescent="0.25">
      <c r="A321" s="450"/>
      <c r="B321" s="877"/>
      <c r="C321" s="884" t="s">
        <v>1842</v>
      </c>
      <c r="D321" s="884" t="s">
        <v>2577</v>
      </c>
      <c r="E321" s="655" t="s">
        <v>26</v>
      </c>
      <c r="F321" s="561">
        <v>315800000</v>
      </c>
      <c r="G321" s="562">
        <v>315800000</v>
      </c>
      <c r="H321" s="561">
        <v>0</v>
      </c>
      <c r="I321" s="561">
        <v>0</v>
      </c>
      <c r="J321" s="562">
        <v>0</v>
      </c>
      <c r="K321" s="561">
        <v>0</v>
      </c>
      <c r="L321" s="561">
        <v>0</v>
      </c>
      <c r="M321" s="561">
        <v>0</v>
      </c>
      <c r="N321" s="561">
        <v>0</v>
      </c>
      <c r="O321" s="560"/>
      <c r="P321" s="449"/>
    </row>
    <row r="322" spans="1:16" s="247" customFormat="1" ht="12" customHeight="1" x14ac:dyDescent="0.25">
      <c r="A322" s="450"/>
      <c r="B322" s="877"/>
      <c r="C322" s="884"/>
      <c r="D322" s="884" t="s">
        <v>2577</v>
      </c>
      <c r="E322" s="655" t="s">
        <v>3212</v>
      </c>
      <c r="F322" s="561">
        <v>120754</v>
      </c>
      <c r="G322" s="562">
        <v>0</v>
      </c>
      <c r="H322" s="561">
        <v>120754</v>
      </c>
      <c r="I322" s="561">
        <v>0</v>
      </c>
      <c r="J322" s="562">
        <v>120754</v>
      </c>
      <c r="K322" s="561">
        <v>0</v>
      </c>
      <c r="L322" s="561">
        <v>0</v>
      </c>
      <c r="M322" s="561">
        <v>0</v>
      </c>
      <c r="N322" s="561">
        <v>120754</v>
      </c>
      <c r="O322" s="560"/>
      <c r="P322" s="449"/>
    </row>
    <row r="323" spans="1:16" s="247" customFormat="1" ht="12" customHeight="1" x14ac:dyDescent="0.25">
      <c r="A323" s="450"/>
      <c r="B323" s="877"/>
      <c r="C323" s="884"/>
      <c r="D323" s="884" t="s">
        <v>2577</v>
      </c>
      <c r="E323" s="655" t="s">
        <v>195</v>
      </c>
      <c r="F323" s="561">
        <v>732954</v>
      </c>
      <c r="G323" s="562">
        <v>732954</v>
      </c>
      <c r="H323" s="561">
        <v>0</v>
      </c>
      <c r="I323" s="561">
        <v>0</v>
      </c>
      <c r="J323" s="562">
        <v>0</v>
      </c>
      <c r="K323" s="561">
        <v>0</v>
      </c>
      <c r="L323" s="561">
        <v>0</v>
      </c>
      <c r="M323" s="561">
        <v>0</v>
      </c>
      <c r="N323" s="561">
        <v>0</v>
      </c>
      <c r="O323" s="560"/>
      <c r="P323" s="449"/>
    </row>
    <row r="324" spans="1:16" s="247" customFormat="1" ht="12" customHeight="1" x14ac:dyDescent="0.25">
      <c r="A324" s="450"/>
      <c r="B324" s="877"/>
      <c r="C324" s="884"/>
      <c r="D324" s="884" t="s">
        <v>2577</v>
      </c>
      <c r="E324" s="655" t="s">
        <v>1221</v>
      </c>
      <c r="F324" s="561">
        <v>1931850</v>
      </c>
      <c r="G324" s="562">
        <v>1931850</v>
      </c>
      <c r="H324" s="561">
        <v>0</v>
      </c>
      <c r="I324" s="561">
        <v>0</v>
      </c>
      <c r="J324" s="562">
        <v>0</v>
      </c>
      <c r="K324" s="561">
        <v>0</v>
      </c>
      <c r="L324" s="561">
        <v>0</v>
      </c>
      <c r="M324" s="561">
        <v>0</v>
      </c>
      <c r="N324" s="561">
        <v>0</v>
      </c>
      <c r="O324" s="560"/>
      <c r="P324" s="449"/>
    </row>
    <row r="325" spans="1:16" s="247" customFormat="1" ht="12" customHeight="1" x14ac:dyDescent="0.25">
      <c r="A325" s="450"/>
      <c r="B325" s="877"/>
      <c r="C325" s="884" t="s">
        <v>1843</v>
      </c>
      <c r="D325" s="884" t="s">
        <v>883</v>
      </c>
      <c r="E325" s="655" t="s">
        <v>26</v>
      </c>
      <c r="F325" s="561">
        <v>84383147</v>
      </c>
      <c r="G325" s="562">
        <v>84383147</v>
      </c>
      <c r="H325" s="561">
        <v>0</v>
      </c>
      <c r="I325" s="561">
        <v>0</v>
      </c>
      <c r="J325" s="562">
        <v>0</v>
      </c>
      <c r="K325" s="561">
        <v>0</v>
      </c>
      <c r="L325" s="561">
        <v>0</v>
      </c>
      <c r="M325" s="561">
        <v>0</v>
      </c>
      <c r="N325" s="561">
        <v>0</v>
      </c>
      <c r="O325" s="560"/>
      <c r="P325" s="449"/>
    </row>
    <row r="326" spans="1:16" s="247" customFormat="1" ht="12" customHeight="1" x14ac:dyDescent="0.25">
      <c r="A326" s="450"/>
      <c r="B326" s="877"/>
      <c r="C326" s="884"/>
      <c r="D326" s="884" t="s">
        <v>883</v>
      </c>
      <c r="E326" s="655" t="s">
        <v>22</v>
      </c>
      <c r="F326" s="561">
        <v>65925346</v>
      </c>
      <c r="G326" s="562">
        <v>65925346</v>
      </c>
      <c r="H326" s="561">
        <v>0</v>
      </c>
      <c r="I326" s="561">
        <v>0</v>
      </c>
      <c r="J326" s="562">
        <v>0</v>
      </c>
      <c r="K326" s="561">
        <v>0</v>
      </c>
      <c r="L326" s="561">
        <v>0</v>
      </c>
      <c r="M326" s="561">
        <v>0</v>
      </c>
      <c r="N326" s="561">
        <v>0</v>
      </c>
      <c r="O326" s="560"/>
      <c r="P326" s="449"/>
    </row>
    <row r="327" spans="1:16" s="247" customFormat="1" ht="12" hidden="1" customHeight="1" x14ac:dyDescent="0.25">
      <c r="A327" s="450"/>
      <c r="B327" s="877"/>
      <c r="C327" s="884"/>
      <c r="D327" s="884" t="s">
        <v>883</v>
      </c>
      <c r="E327" s="655" t="s">
        <v>2601</v>
      </c>
      <c r="F327" s="561">
        <v>196894012</v>
      </c>
      <c r="G327" s="562">
        <v>196894012</v>
      </c>
      <c r="H327" s="561">
        <v>0</v>
      </c>
      <c r="I327" s="561">
        <v>0</v>
      </c>
      <c r="J327" s="562">
        <v>0</v>
      </c>
      <c r="K327" s="561">
        <v>0</v>
      </c>
      <c r="L327" s="561">
        <v>0</v>
      </c>
      <c r="M327" s="561">
        <v>0</v>
      </c>
      <c r="N327" s="561">
        <v>0</v>
      </c>
      <c r="O327" s="560"/>
      <c r="P327" s="449"/>
    </row>
    <row r="328" spans="1:16" s="247" customFormat="1" ht="12" customHeight="1" x14ac:dyDescent="0.25">
      <c r="A328" s="450"/>
      <c r="B328" s="877"/>
      <c r="C328" s="884"/>
      <c r="D328" s="884" t="s">
        <v>883</v>
      </c>
      <c r="E328" s="655" t="s">
        <v>2676</v>
      </c>
      <c r="F328" s="561">
        <v>259245</v>
      </c>
      <c r="G328" s="562">
        <v>259245</v>
      </c>
      <c r="H328" s="561">
        <v>0</v>
      </c>
      <c r="I328" s="561">
        <v>0</v>
      </c>
      <c r="J328" s="562">
        <v>0</v>
      </c>
      <c r="K328" s="561">
        <v>0</v>
      </c>
      <c r="L328" s="561">
        <v>0</v>
      </c>
      <c r="M328" s="561">
        <v>0</v>
      </c>
      <c r="N328" s="561">
        <v>0</v>
      </c>
      <c r="O328" s="560"/>
      <c r="P328" s="449"/>
    </row>
    <row r="329" spans="1:16" s="247" customFormat="1" ht="12" customHeight="1" x14ac:dyDescent="0.25">
      <c r="A329" s="450"/>
      <c r="B329" s="877"/>
      <c r="C329" s="884" t="s">
        <v>1844</v>
      </c>
      <c r="D329" s="884" t="s">
        <v>3333</v>
      </c>
      <c r="E329" s="655" t="s">
        <v>26</v>
      </c>
      <c r="F329" s="561">
        <v>346438716</v>
      </c>
      <c r="G329" s="562">
        <v>346438716</v>
      </c>
      <c r="H329" s="561">
        <v>0</v>
      </c>
      <c r="I329" s="561">
        <v>0</v>
      </c>
      <c r="J329" s="562">
        <v>0</v>
      </c>
      <c r="K329" s="561">
        <v>0</v>
      </c>
      <c r="L329" s="561">
        <v>0</v>
      </c>
      <c r="M329" s="561">
        <v>0</v>
      </c>
      <c r="N329" s="561">
        <v>0</v>
      </c>
      <c r="O329" s="560"/>
      <c r="P329" s="449"/>
    </row>
    <row r="330" spans="1:16" s="247" customFormat="1" ht="12" customHeight="1" x14ac:dyDescent="0.25">
      <c r="A330" s="450"/>
      <c r="B330" s="877"/>
      <c r="C330" s="884"/>
      <c r="D330" s="884" t="s">
        <v>3333</v>
      </c>
      <c r="E330" s="655" t="s">
        <v>3212</v>
      </c>
      <c r="F330" s="561">
        <v>1534811</v>
      </c>
      <c r="G330" s="562">
        <v>1534811</v>
      </c>
      <c r="H330" s="561">
        <v>0</v>
      </c>
      <c r="I330" s="561">
        <v>0</v>
      </c>
      <c r="J330" s="562">
        <v>0</v>
      </c>
      <c r="K330" s="561">
        <v>0</v>
      </c>
      <c r="L330" s="561">
        <v>0</v>
      </c>
      <c r="M330" s="561">
        <v>0</v>
      </c>
      <c r="N330" s="561">
        <v>0</v>
      </c>
      <c r="O330" s="560"/>
      <c r="P330" s="449"/>
    </row>
    <row r="331" spans="1:16" s="247" customFormat="1" ht="12" customHeight="1" x14ac:dyDescent="0.25">
      <c r="A331" s="450"/>
      <c r="B331" s="877"/>
      <c r="C331" s="884"/>
      <c r="D331" s="884" t="s">
        <v>3333</v>
      </c>
      <c r="E331" s="655" t="s">
        <v>2676</v>
      </c>
      <c r="F331" s="561">
        <v>14848000</v>
      </c>
      <c r="G331" s="562">
        <v>14848000</v>
      </c>
      <c r="H331" s="561">
        <v>0</v>
      </c>
      <c r="I331" s="561">
        <v>0</v>
      </c>
      <c r="J331" s="562">
        <v>0</v>
      </c>
      <c r="K331" s="561">
        <v>0</v>
      </c>
      <c r="L331" s="561">
        <v>0</v>
      </c>
      <c r="M331" s="561">
        <v>0</v>
      </c>
      <c r="N331" s="561">
        <v>0</v>
      </c>
      <c r="O331" s="560"/>
      <c r="P331" s="449"/>
    </row>
    <row r="332" spans="1:16" s="247" customFormat="1" ht="12" customHeight="1" x14ac:dyDescent="0.25">
      <c r="A332" s="450"/>
      <c r="B332" s="877"/>
      <c r="C332" s="884" t="s">
        <v>1845</v>
      </c>
      <c r="D332" s="884" t="s">
        <v>1115</v>
      </c>
      <c r="E332" s="655" t="s">
        <v>26</v>
      </c>
      <c r="F332" s="561">
        <v>213474090</v>
      </c>
      <c r="G332" s="562">
        <v>213474090</v>
      </c>
      <c r="H332" s="561">
        <v>0</v>
      </c>
      <c r="I332" s="561">
        <v>0</v>
      </c>
      <c r="J332" s="562">
        <v>0</v>
      </c>
      <c r="K332" s="561">
        <v>0</v>
      </c>
      <c r="L332" s="561">
        <v>0</v>
      </c>
      <c r="M332" s="561">
        <v>0</v>
      </c>
      <c r="N332" s="561">
        <v>0</v>
      </c>
      <c r="O332" s="560"/>
      <c r="P332" s="449"/>
    </row>
    <row r="333" spans="1:16" s="247" customFormat="1" ht="12" hidden="1" customHeight="1" x14ac:dyDescent="0.25">
      <c r="A333" s="450"/>
      <c r="B333" s="877"/>
      <c r="C333" s="884"/>
      <c r="D333" s="884" t="s">
        <v>1115</v>
      </c>
      <c r="E333" s="655" t="s">
        <v>1557</v>
      </c>
      <c r="F333" s="561">
        <v>138000000</v>
      </c>
      <c r="G333" s="562">
        <v>138000000</v>
      </c>
      <c r="H333" s="561">
        <v>0</v>
      </c>
      <c r="I333" s="561">
        <v>0</v>
      </c>
      <c r="J333" s="562">
        <v>0</v>
      </c>
      <c r="K333" s="561">
        <v>0</v>
      </c>
      <c r="L333" s="561">
        <v>0</v>
      </c>
      <c r="M333" s="561">
        <v>0</v>
      </c>
      <c r="N333" s="561">
        <v>0</v>
      </c>
      <c r="O333" s="560"/>
      <c r="P333" s="449"/>
    </row>
    <row r="334" spans="1:16" s="247" customFormat="1" ht="12" customHeight="1" x14ac:dyDescent="0.25">
      <c r="A334" s="450"/>
      <c r="B334" s="877"/>
      <c r="C334" s="884"/>
      <c r="D334" s="884" t="s">
        <v>1115</v>
      </c>
      <c r="E334" s="655" t="s">
        <v>3212</v>
      </c>
      <c r="F334" s="561">
        <v>148178</v>
      </c>
      <c r="G334" s="562">
        <v>0</v>
      </c>
      <c r="H334" s="561">
        <v>148178</v>
      </c>
      <c r="I334" s="561">
        <v>0</v>
      </c>
      <c r="J334" s="562">
        <v>148178</v>
      </c>
      <c r="K334" s="561">
        <v>0</v>
      </c>
      <c r="L334" s="561">
        <v>0</v>
      </c>
      <c r="M334" s="561">
        <v>0</v>
      </c>
      <c r="N334" s="561">
        <v>148178</v>
      </c>
      <c r="O334" s="560"/>
      <c r="P334" s="449"/>
    </row>
    <row r="335" spans="1:16" s="247" customFormat="1" ht="12" customHeight="1" x14ac:dyDescent="0.25">
      <c r="A335" s="450"/>
      <c r="B335" s="877"/>
      <c r="C335" s="884"/>
      <c r="D335" s="884" t="s">
        <v>1115</v>
      </c>
      <c r="E335" s="655" t="s">
        <v>195</v>
      </c>
      <c r="F335" s="561">
        <v>419362</v>
      </c>
      <c r="G335" s="562">
        <v>419362</v>
      </c>
      <c r="H335" s="561">
        <v>0</v>
      </c>
      <c r="I335" s="561">
        <v>0</v>
      </c>
      <c r="J335" s="562">
        <v>0</v>
      </c>
      <c r="K335" s="561">
        <v>0</v>
      </c>
      <c r="L335" s="561">
        <v>0</v>
      </c>
      <c r="M335" s="561">
        <v>0</v>
      </c>
      <c r="N335" s="561">
        <v>0</v>
      </c>
      <c r="O335" s="560"/>
      <c r="P335" s="449"/>
    </row>
    <row r="336" spans="1:16" s="247" customFormat="1" ht="12" customHeight="1" x14ac:dyDescent="0.25">
      <c r="A336" s="450"/>
      <c r="B336" s="877"/>
      <c r="C336" s="884"/>
      <c r="D336" s="884" t="s">
        <v>1115</v>
      </c>
      <c r="E336" s="655" t="s">
        <v>2676</v>
      </c>
      <c r="F336" s="561">
        <v>294400</v>
      </c>
      <c r="G336" s="562">
        <v>548</v>
      </c>
      <c r="H336" s="561">
        <v>293852</v>
      </c>
      <c r="I336" s="561">
        <v>0</v>
      </c>
      <c r="J336" s="562">
        <v>293852</v>
      </c>
      <c r="K336" s="561">
        <v>0</v>
      </c>
      <c r="L336" s="561">
        <v>0</v>
      </c>
      <c r="M336" s="561">
        <v>0</v>
      </c>
      <c r="N336" s="561">
        <v>293852</v>
      </c>
      <c r="O336" s="560"/>
      <c r="P336" s="449"/>
    </row>
    <row r="337" spans="1:16" s="247" customFormat="1" ht="12" customHeight="1" x14ac:dyDescent="0.25">
      <c r="A337" s="450"/>
      <c r="B337" s="877"/>
      <c r="C337" s="884" t="s">
        <v>1846</v>
      </c>
      <c r="D337" s="884" t="s">
        <v>1746</v>
      </c>
      <c r="E337" s="655" t="s">
        <v>26</v>
      </c>
      <c r="F337" s="561">
        <v>89140000</v>
      </c>
      <c r="G337" s="562">
        <v>89140000</v>
      </c>
      <c r="H337" s="561">
        <v>0</v>
      </c>
      <c r="I337" s="561">
        <v>0</v>
      </c>
      <c r="J337" s="562">
        <v>0</v>
      </c>
      <c r="K337" s="561">
        <v>0</v>
      </c>
      <c r="L337" s="561">
        <v>0</v>
      </c>
      <c r="M337" s="561">
        <v>0</v>
      </c>
      <c r="N337" s="561">
        <v>0</v>
      </c>
      <c r="O337" s="560"/>
      <c r="P337" s="449"/>
    </row>
    <row r="338" spans="1:16" s="247" customFormat="1" ht="12" hidden="1" customHeight="1" x14ac:dyDescent="0.25">
      <c r="A338" s="450"/>
      <c r="B338" s="877"/>
      <c r="C338" s="884"/>
      <c r="D338" s="884" t="s">
        <v>1746</v>
      </c>
      <c r="E338" s="655" t="s">
        <v>1557</v>
      </c>
      <c r="F338" s="561">
        <v>193221803</v>
      </c>
      <c r="G338" s="562">
        <v>193221803</v>
      </c>
      <c r="H338" s="561">
        <v>0</v>
      </c>
      <c r="I338" s="561">
        <v>0</v>
      </c>
      <c r="J338" s="562">
        <v>0</v>
      </c>
      <c r="K338" s="561">
        <v>0</v>
      </c>
      <c r="L338" s="561">
        <v>0</v>
      </c>
      <c r="M338" s="561">
        <v>0</v>
      </c>
      <c r="N338" s="561">
        <v>0</v>
      </c>
      <c r="O338" s="560"/>
      <c r="P338" s="449"/>
    </row>
    <row r="339" spans="1:16" s="247" customFormat="1" ht="12" customHeight="1" x14ac:dyDescent="0.25">
      <c r="A339" s="450"/>
      <c r="B339" s="877"/>
      <c r="C339" s="884"/>
      <c r="D339" s="884" t="s">
        <v>1746</v>
      </c>
      <c r="E339" s="655" t="s">
        <v>3212</v>
      </c>
      <c r="F339" s="561">
        <v>599076</v>
      </c>
      <c r="G339" s="562">
        <v>0</v>
      </c>
      <c r="H339" s="561">
        <v>599076</v>
      </c>
      <c r="I339" s="561">
        <v>0</v>
      </c>
      <c r="J339" s="562">
        <v>599076</v>
      </c>
      <c r="K339" s="561">
        <v>599076</v>
      </c>
      <c r="L339" s="561">
        <v>0</v>
      </c>
      <c r="M339" s="561">
        <v>0</v>
      </c>
      <c r="N339" s="561">
        <v>0</v>
      </c>
      <c r="O339" s="560"/>
      <c r="P339" s="449"/>
    </row>
    <row r="340" spans="1:16" s="247" customFormat="1" ht="12" customHeight="1" x14ac:dyDescent="0.25">
      <c r="A340" s="450"/>
      <c r="B340" s="877"/>
      <c r="C340" s="884"/>
      <c r="D340" s="884" t="s">
        <v>1746</v>
      </c>
      <c r="E340" s="655" t="s">
        <v>2676</v>
      </c>
      <c r="F340" s="561">
        <v>11091566</v>
      </c>
      <c r="G340" s="562">
        <v>11091566</v>
      </c>
      <c r="H340" s="561">
        <v>0</v>
      </c>
      <c r="I340" s="561">
        <v>0</v>
      </c>
      <c r="J340" s="562">
        <v>0</v>
      </c>
      <c r="K340" s="561">
        <v>0</v>
      </c>
      <c r="L340" s="561">
        <v>0</v>
      </c>
      <c r="M340" s="561">
        <v>0</v>
      </c>
      <c r="N340" s="561">
        <v>0</v>
      </c>
      <c r="O340" s="560"/>
      <c r="P340" s="449"/>
    </row>
    <row r="341" spans="1:16" s="247" customFormat="1" ht="12" customHeight="1" x14ac:dyDescent="0.25">
      <c r="A341" s="450"/>
      <c r="B341" s="877"/>
      <c r="C341" s="884" t="s">
        <v>1847</v>
      </c>
      <c r="D341" s="884" t="s">
        <v>2532</v>
      </c>
      <c r="E341" s="655" t="s">
        <v>26</v>
      </c>
      <c r="F341" s="561">
        <v>111040506</v>
      </c>
      <c r="G341" s="562">
        <v>111040506</v>
      </c>
      <c r="H341" s="561">
        <v>0</v>
      </c>
      <c r="I341" s="561">
        <v>0</v>
      </c>
      <c r="J341" s="562">
        <v>0</v>
      </c>
      <c r="K341" s="561">
        <v>0</v>
      </c>
      <c r="L341" s="561">
        <v>0</v>
      </c>
      <c r="M341" s="561">
        <v>0</v>
      </c>
      <c r="N341" s="561">
        <v>0</v>
      </c>
      <c r="O341" s="560"/>
      <c r="P341" s="449"/>
    </row>
    <row r="342" spans="1:16" s="247" customFormat="1" ht="12" hidden="1" customHeight="1" x14ac:dyDescent="0.25">
      <c r="A342" s="450"/>
      <c r="B342" s="877"/>
      <c r="C342" s="884"/>
      <c r="D342" s="884" t="s">
        <v>2532</v>
      </c>
      <c r="E342" s="655" t="s">
        <v>1557</v>
      </c>
      <c r="F342" s="561">
        <v>259094513</v>
      </c>
      <c r="G342" s="562">
        <v>259094513</v>
      </c>
      <c r="H342" s="561">
        <v>0</v>
      </c>
      <c r="I342" s="561">
        <v>0</v>
      </c>
      <c r="J342" s="562">
        <v>0</v>
      </c>
      <c r="K342" s="561">
        <v>0</v>
      </c>
      <c r="L342" s="561">
        <v>0</v>
      </c>
      <c r="M342" s="561">
        <v>0</v>
      </c>
      <c r="N342" s="561">
        <v>0</v>
      </c>
      <c r="O342" s="560"/>
      <c r="P342" s="449"/>
    </row>
    <row r="343" spans="1:16" s="247" customFormat="1" ht="12" customHeight="1" x14ac:dyDescent="0.25">
      <c r="A343" s="450"/>
      <c r="B343" s="877"/>
      <c r="C343" s="884"/>
      <c r="D343" s="884" t="s">
        <v>2532</v>
      </c>
      <c r="E343" s="655" t="s">
        <v>3212</v>
      </c>
      <c r="F343" s="561">
        <v>158208</v>
      </c>
      <c r="G343" s="562">
        <v>0</v>
      </c>
      <c r="H343" s="561">
        <v>158208</v>
      </c>
      <c r="I343" s="561">
        <v>0</v>
      </c>
      <c r="J343" s="562">
        <v>158208</v>
      </c>
      <c r="K343" s="561">
        <v>0</v>
      </c>
      <c r="L343" s="561">
        <v>0</v>
      </c>
      <c r="M343" s="561">
        <v>0</v>
      </c>
      <c r="N343" s="561">
        <v>158208</v>
      </c>
      <c r="O343" s="560"/>
      <c r="P343" s="449"/>
    </row>
    <row r="344" spans="1:16" s="247" customFormat="1" ht="12" customHeight="1" x14ac:dyDescent="0.25">
      <c r="A344" s="450"/>
      <c r="B344" s="877"/>
      <c r="C344" s="884"/>
      <c r="D344" s="884" t="s">
        <v>2532</v>
      </c>
      <c r="E344" s="655" t="s">
        <v>2676</v>
      </c>
      <c r="F344" s="561">
        <v>2141848</v>
      </c>
      <c r="G344" s="562">
        <v>0</v>
      </c>
      <c r="H344" s="561">
        <v>2141848</v>
      </c>
      <c r="I344" s="561">
        <v>0</v>
      </c>
      <c r="J344" s="562">
        <v>2141848</v>
      </c>
      <c r="K344" s="561">
        <v>0</v>
      </c>
      <c r="L344" s="561">
        <v>0</v>
      </c>
      <c r="M344" s="561">
        <v>0</v>
      </c>
      <c r="N344" s="561">
        <v>2141848</v>
      </c>
      <c r="O344" s="560"/>
      <c r="P344" s="449"/>
    </row>
    <row r="345" spans="1:16" s="247" customFormat="1" ht="12" customHeight="1" x14ac:dyDescent="0.25">
      <c r="A345" s="450"/>
      <c r="B345" s="877"/>
      <c r="C345" s="884" t="s">
        <v>1848</v>
      </c>
      <c r="D345" s="884" t="s">
        <v>1638</v>
      </c>
      <c r="E345" s="655" t="s">
        <v>26</v>
      </c>
      <c r="F345" s="561">
        <v>97386000</v>
      </c>
      <c r="G345" s="562">
        <v>97386000</v>
      </c>
      <c r="H345" s="561">
        <v>0</v>
      </c>
      <c r="I345" s="561">
        <v>0</v>
      </c>
      <c r="J345" s="562">
        <v>0</v>
      </c>
      <c r="K345" s="561">
        <v>0</v>
      </c>
      <c r="L345" s="561">
        <v>0</v>
      </c>
      <c r="M345" s="561">
        <v>0</v>
      </c>
      <c r="N345" s="561">
        <v>0</v>
      </c>
      <c r="O345" s="560"/>
      <c r="P345" s="449"/>
    </row>
    <row r="346" spans="1:16" s="247" customFormat="1" ht="12" hidden="1" customHeight="1" x14ac:dyDescent="0.25">
      <c r="A346" s="450"/>
      <c r="B346" s="877"/>
      <c r="C346" s="884"/>
      <c r="D346" s="884" t="s">
        <v>1638</v>
      </c>
      <c r="E346" s="655" t="s">
        <v>1557</v>
      </c>
      <c r="F346" s="561">
        <v>227234000</v>
      </c>
      <c r="G346" s="562">
        <v>227234000</v>
      </c>
      <c r="H346" s="561">
        <v>0</v>
      </c>
      <c r="I346" s="561">
        <v>0</v>
      </c>
      <c r="J346" s="562">
        <v>0</v>
      </c>
      <c r="K346" s="561">
        <v>0</v>
      </c>
      <c r="L346" s="561">
        <v>0</v>
      </c>
      <c r="M346" s="561">
        <v>0</v>
      </c>
      <c r="N346" s="561">
        <v>0</v>
      </c>
      <c r="O346" s="560"/>
      <c r="P346" s="449"/>
    </row>
    <row r="347" spans="1:16" s="247" customFormat="1" ht="12" customHeight="1" x14ac:dyDescent="0.25">
      <c r="A347" s="450"/>
      <c r="B347" s="877"/>
      <c r="C347" s="884"/>
      <c r="D347" s="884" t="s">
        <v>1638</v>
      </c>
      <c r="E347" s="655" t="s">
        <v>822</v>
      </c>
      <c r="F347" s="561">
        <v>463557</v>
      </c>
      <c r="G347" s="562">
        <v>0</v>
      </c>
      <c r="H347" s="561">
        <v>463557</v>
      </c>
      <c r="I347" s="561">
        <v>0</v>
      </c>
      <c r="J347" s="562">
        <v>463557</v>
      </c>
      <c r="K347" s="561">
        <v>0</v>
      </c>
      <c r="L347" s="561">
        <v>0</v>
      </c>
      <c r="M347" s="561">
        <v>0</v>
      </c>
      <c r="N347" s="561">
        <v>463557</v>
      </c>
      <c r="O347" s="560"/>
      <c r="P347" s="449"/>
    </row>
    <row r="348" spans="1:16" s="247" customFormat="1" ht="12" customHeight="1" x14ac:dyDescent="0.25">
      <c r="A348" s="450"/>
      <c r="B348" s="877"/>
      <c r="C348" s="884"/>
      <c r="D348" s="884" t="s">
        <v>1638</v>
      </c>
      <c r="E348" s="655" t="s">
        <v>3212</v>
      </c>
      <c r="F348" s="561">
        <v>108020</v>
      </c>
      <c r="G348" s="562">
        <v>0</v>
      </c>
      <c r="H348" s="561">
        <v>108020</v>
      </c>
      <c r="I348" s="561">
        <v>0</v>
      </c>
      <c r="J348" s="562">
        <v>108020</v>
      </c>
      <c r="K348" s="561">
        <v>0</v>
      </c>
      <c r="L348" s="561">
        <v>0</v>
      </c>
      <c r="M348" s="561">
        <v>0</v>
      </c>
      <c r="N348" s="561">
        <v>108020</v>
      </c>
      <c r="O348" s="560"/>
      <c r="P348" s="449"/>
    </row>
    <row r="349" spans="1:16" s="247" customFormat="1" ht="12" customHeight="1" x14ac:dyDescent="0.25">
      <c r="A349" s="450"/>
      <c r="B349" s="877"/>
      <c r="C349" s="884"/>
      <c r="D349" s="884" t="s">
        <v>1638</v>
      </c>
      <c r="E349" s="655" t="s">
        <v>2676</v>
      </c>
      <c r="F349" s="561">
        <v>293645</v>
      </c>
      <c r="G349" s="562">
        <v>293645</v>
      </c>
      <c r="H349" s="561">
        <v>0</v>
      </c>
      <c r="I349" s="561">
        <v>0</v>
      </c>
      <c r="J349" s="562">
        <v>0</v>
      </c>
      <c r="K349" s="561">
        <v>0</v>
      </c>
      <c r="L349" s="561">
        <v>0</v>
      </c>
      <c r="M349" s="561">
        <v>0</v>
      </c>
      <c r="N349" s="561">
        <v>0</v>
      </c>
      <c r="O349" s="560"/>
      <c r="P349" s="449"/>
    </row>
    <row r="350" spans="1:16" s="247" customFormat="1" ht="12" customHeight="1" x14ac:dyDescent="0.25">
      <c r="A350" s="450"/>
      <c r="B350" s="877"/>
      <c r="C350" s="884" t="s">
        <v>1849</v>
      </c>
      <c r="D350" s="884" t="s">
        <v>2605</v>
      </c>
      <c r="E350" s="655" t="s">
        <v>26</v>
      </c>
      <c r="F350" s="561">
        <v>273213733</v>
      </c>
      <c r="G350" s="562">
        <v>273213733</v>
      </c>
      <c r="H350" s="561">
        <v>0</v>
      </c>
      <c r="I350" s="561">
        <v>0</v>
      </c>
      <c r="J350" s="562">
        <v>0</v>
      </c>
      <c r="K350" s="561">
        <v>0</v>
      </c>
      <c r="L350" s="561">
        <v>0</v>
      </c>
      <c r="M350" s="561">
        <v>0</v>
      </c>
      <c r="N350" s="561">
        <v>0</v>
      </c>
      <c r="O350" s="560"/>
      <c r="P350" s="449"/>
    </row>
    <row r="351" spans="1:16" s="247" customFormat="1" ht="12" customHeight="1" x14ac:dyDescent="0.25">
      <c r="A351" s="450"/>
      <c r="B351" s="877"/>
      <c r="C351" s="884"/>
      <c r="D351" s="884" t="s">
        <v>2605</v>
      </c>
      <c r="E351" s="655" t="s">
        <v>3212</v>
      </c>
      <c r="F351" s="561">
        <v>127099</v>
      </c>
      <c r="G351" s="562">
        <v>127099</v>
      </c>
      <c r="H351" s="561">
        <v>0</v>
      </c>
      <c r="I351" s="561">
        <v>0</v>
      </c>
      <c r="J351" s="562">
        <v>0</v>
      </c>
      <c r="K351" s="561">
        <v>0</v>
      </c>
      <c r="L351" s="561">
        <v>0</v>
      </c>
      <c r="M351" s="561">
        <v>0</v>
      </c>
      <c r="N351" s="561">
        <v>0</v>
      </c>
      <c r="O351" s="560"/>
      <c r="P351" s="449"/>
    </row>
    <row r="352" spans="1:16" s="247" customFormat="1" ht="12" customHeight="1" x14ac:dyDescent="0.25">
      <c r="A352" s="450"/>
      <c r="B352" s="877"/>
      <c r="C352" s="884" t="s">
        <v>1850</v>
      </c>
      <c r="D352" s="884" t="s">
        <v>3131</v>
      </c>
      <c r="E352" s="655" t="s">
        <v>26</v>
      </c>
      <c r="F352" s="561">
        <v>102390000</v>
      </c>
      <c r="G352" s="562">
        <v>102390000</v>
      </c>
      <c r="H352" s="561">
        <v>0</v>
      </c>
      <c r="I352" s="561">
        <v>0</v>
      </c>
      <c r="J352" s="562">
        <v>0</v>
      </c>
      <c r="K352" s="561">
        <v>0</v>
      </c>
      <c r="L352" s="561">
        <v>0</v>
      </c>
      <c r="M352" s="561">
        <v>0</v>
      </c>
      <c r="N352" s="561">
        <v>0</v>
      </c>
      <c r="O352" s="560"/>
      <c r="P352" s="449"/>
    </row>
    <row r="353" spans="1:16" s="247" customFormat="1" ht="12" hidden="1" customHeight="1" x14ac:dyDescent="0.25">
      <c r="A353" s="450"/>
      <c r="B353" s="877"/>
      <c r="C353" s="884"/>
      <c r="D353" s="884" t="s">
        <v>3131</v>
      </c>
      <c r="E353" s="655" t="s">
        <v>2601</v>
      </c>
      <c r="F353" s="561">
        <v>238910000</v>
      </c>
      <c r="G353" s="562">
        <v>238910000</v>
      </c>
      <c r="H353" s="561">
        <v>0</v>
      </c>
      <c r="I353" s="561">
        <v>0</v>
      </c>
      <c r="J353" s="562">
        <v>0</v>
      </c>
      <c r="K353" s="561">
        <v>0</v>
      </c>
      <c r="L353" s="561">
        <v>0</v>
      </c>
      <c r="M353" s="561">
        <v>0</v>
      </c>
      <c r="N353" s="561">
        <v>0</v>
      </c>
      <c r="O353" s="560"/>
      <c r="P353" s="449"/>
    </row>
    <row r="354" spans="1:16" s="247" customFormat="1" ht="12" customHeight="1" x14ac:dyDescent="0.25">
      <c r="A354" s="450"/>
      <c r="B354" s="877"/>
      <c r="C354" s="884"/>
      <c r="D354" s="884" t="s">
        <v>3131</v>
      </c>
      <c r="E354" s="655" t="s">
        <v>822</v>
      </c>
      <c r="F354" s="561">
        <v>487375</v>
      </c>
      <c r="G354" s="562">
        <v>487375</v>
      </c>
      <c r="H354" s="561">
        <v>0</v>
      </c>
      <c r="I354" s="561">
        <v>0</v>
      </c>
      <c r="J354" s="562">
        <v>0</v>
      </c>
      <c r="K354" s="561">
        <v>0</v>
      </c>
      <c r="L354" s="561">
        <v>0</v>
      </c>
      <c r="M354" s="561">
        <v>0</v>
      </c>
      <c r="N354" s="561">
        <v>0</v>
      </c>
      <c r="O354" s="560"/>
      <c r="P354" s="449"/>
    </row>
    <row r="355" spans="1:16" s="247" customFormat="1" ht="12" customHeight="1" x14ac:dyDescent="0.25">
      <c r="A355" s="450"/>
      <c r="B355" s="877"/>
      <c r="C355" s="884"/>
      <c r="D355" s="884" t="s">
        <v>3131</v>
      </c>
      <c r="E355" s="655" t="s">
        <v>3212</v>
      </c>
      <c r="F355" s="561">
        <v>1406367</v>
      </c>
      <c r="G355" s="562">
        <v>0</v>
      </c>
      <c r="H355" s="561">
        <v>1406367</v>
      </c>
      <c r="I355" s="561">
        <v>0</v>
      </c>
      <c r="J355" s="562">
        <v>1406367</v>
      </c>
      <c r="K355" s="561">
        <v>0</v>
      </c>
      <c r="L355" s="561">
        <v>0</v>
      </c>
      <c r="M355" s="561">
        <v>1406367</v>
      </c>
      <c r="N355" s="561">
        <v>0</v>
      </c>
      <c r="O355" s="560"/>
      <c r="P355" s="449"/>
    </row>
    <row r="356" spans="1:16" s="247" customFormat="1" ht="12" customHeight="1" x14ac:dyDescent="0.25">
      <c r="A356" s="450"/>
      <c r="B356" s="877"/>
      <c r="C356" s="884"/>
      <c r="D356" s="884" t="s">
        <v>3131</v>
      </c>
      <c r="E356" s="655" t="s">
        <v>195</v>
      </c>
      <c r="F356" s="561">
        <v>1968755</v>
      </c>
      <c r="G356" s="562">
        <v>1968755</v>
      </c>
      <c r="H356" s="561">
        <v>0</v>
      </c>
      <c r="I356" s="561">
        <v>0</v>
      </c>
      <c r="J356" s="562">
        <v>0</v>
      </c>
      <c r="K356" s="561">
        <v>0</v>
      </c>
      <c r="L356" s="561">
        <v>0</v>
      </c>
      <c r="M356" s="561">
        <v>0</v>
      </c>
      <c r="N356" s="561">
        <v>0</v>
      </c>
      <c r="O356" s="560"/>
      <c r="P356" s="449"/>
    </row>
    <row r="357" spans="1:16" s="247" customFormat="1" ht="12" customHeight="1" x14ac:dyDescent="0.25">
      <c r="A357" s="450"/>
      <c r="B357" s="877"/>
      <c r="C357" s="884"/>
      <c r="D357" s="884" t="s">
        <v>3131</v>
      </c>
      <c r="E357" s="655" t="s">
        <v>2676</v>
      </c>
      <c r="F357" s="561">
        <v>4646768</v>
      </c>
      <c r="G357" s="562">
        <v>1500000</v>
      </c>
      <c r="H357" s="561">
        <v>3146768</v>
      </c>
      <c r="I357" s="561">
        <v>0</v>
      </c>
      <c r="J357" s="562">
        <v>3146768</v>
      </c>
      <c r="K357" s="561">
        <v>1146768</v>
      </c>
      <c r="L357" s="561">
        <v>0</v>
      </c>
      <c r="M357" s="561">
        <v>0</v>
      </c>
      <c r="N357" s="561">
        <v>2000000</v>
      </c>
      <c r="O357" s="560"/>
      <c r="P357" s="449"/>
    </row>
    <row r="358" spans="1:16" s="247" customFormat="1" ht="12" customHeight="1" x14ac:dyDescent="0.25">
      <c r="A358" s="450"/>
      <c r="B358" s="877"/>
      <c r="C358" s="884" t="s">
        <v>1851</v>
      </c>
      <c r="D358" s="884" t="s">
        <v>1640</v>
      </c>
      <c r="E358" s="655" t="s">
        <v>26</v>
      </c>
      <c r="F358" s="561">
        <v>341447367</v>
      </c>
      <c r="G358" s="562">
        <v>341447367</v>
      </c>
      <c r="H358" s="561">
        <v>0</v>
      </c>
      <c r="I358" s="561">
        <v>0</v>
      </c>
      <c r="J358" s="562">
        <v>0</v>
      </c>
      <c r="K358" s="561">
        <v>0</v>
      </c>
      <c r="L358" s="561">
        <v>0</v>
      </c>
      <c r="M358" s="561">
        <v>0</v>
      </c>
      <c r="N358" s="561">
        <v>0</v>
      </c>
      <c r="O358" s="560"/>
      <c r="P358" s="449"/>
    </row>
    <row r="359" spans="1:16" s="247" customFormat="1" ht="12" customHeight="1" x14ac:dyDescent="0.25">
      <c r="A359" s="450"/>
      <c r="B359" s="877"/>
      <c r="C359" s="884"/>
      <c r="D359" s="884" t="s">
        <v>1640</v>
      </c>
      <c r="E359" s="655" t="s">
        <v>3212</v>
      </c>
      <c r="F359" s="561">
        <v>132643</v>
      </c>
      <c r="G359" s="562">
        <v>132643</v>
      </c>
      <c r="H359" s="561">
        <v>0</v>
      </c>
      <c r="I359" s="561">
        <v>0</v>
      </c>
      <c r="J359" s="562">
        <v>0</v>
      </c>
      <c r="K359" s="561">
        <v>0</v>
      </c>
      <c r="L359" s="561">
        <v>0</v>
      </c>
      <c r="M359" s="561">
        <v>0</v>
      </c>
      <c r="N359" s="561">
        <v>0</v>
      </c>
      <c r="O359" s="560"/>
      <c r="P359" s="449"/>
    </row>
    <row r="360" spans="1:16" s="247" customFormat="1" ht="12" customHeight="1" x14ac:dyDescent="0.25">
      <c r="A360" s="450"/>
      <c r="B360" s="877"/>
      <c r="C360" s="884" t="s">
        <v>1852</v>
      </c>
      <c r="D360" s="884" t="s">
        <v>884</v>
      </c>
      <c r="E360" s="655" t="s">
        <v>26</v>
      </c>
      <c r="F360" s="561">
        <v>89046695</v>
      </c>
      <c r="G360" s="562">
        <v>89046695</v>
      </c>
      <c r="H360" s="561">
        <v>0</v>
      </c>
      <c r="I360" s="561">
        <v>0</v>
      </c>
      <c r="J360" s="562">
        <v>0</v>
      </c>
      <c r="K360" s="561">
        <v>0</v>
      </c>
      <c r="L360" s="561">
        <v>0</v>
      </c>
      <c r="M360" s="561">
        <v>0</v>
      </c>
      <c r="N360" s="561">
        <v>0</v>
      </c>
      <c r="O360" s="560"/>
      <c r="P360" s="449"/>
    </row>
    <row r="361" spans="1:16" s="247" customFormat="1" ht="12" hidden="1" customHeight="1" x14ac:dyDescent="0.25">
      <c r="A361" s="450"/>
      <c r="B361" s="877"/>
      <c r="C361" s="884"/>
      <c r="D361" s="884" t="s">
        <v>884</v>
      </c>
      <c r="E361" s="655" t="s">
        <v>1557</v>
      </c>
      <c r="F361" s="561">
        <v>193660000</v>
      </c>
      <c r="G361" s="562">
        <v>193660000</v>
      </c>
      <c r="H361" s="561">
        <v>0</v>
      </c>
      <c r="I361" s="561">
        <v>0</v>
      </c>
      <c r="J361" s="562">
        <v>0</v>
      </c>
      <c r="K361" s="561">
        <v>0</v>
      </c>
      <c r="L361" s="561">
        <v>0</v>
      </c>
      <c r="M361" s="561">
        <v>0</v>
      </c>
      <c r="N361" s="561">
        <v>0</v>
      </c>
      <c r="O361" s="560"/>
      <c r="P361" s="449"/>
    </row>
    <row r="362" spans="1:16" s="247" customFormat="1" ht="12" customHeight="1" x14ac:dyDescent="0.25">
      <c r="A362" s="450"/>
      <c r="B362" s="877"/>
      <c r="C362" s="884"/>
      <c r="D362" s="884" t="s">
        <v>884</v>
      </c>
      <c r="E362" s="655" t="s">
        <v>822</v>
      </c>
      <c r="F362" s="561">
        <v>403704</v>
      </c>
      <c r="G362" s="562">
        <v>0</v>
      </c>
      <c r="H362" s="561">
        <v>403704</v>
      </c>
      <c r="I362" s="561">
        <v>0</v>
      </c>
      <c r="J362" s="562">
        <v>403704</v>
      </c>
      <c r="K362" s="561">
        <v>0</v>
      </c>
      <c r="L362" s="561">
        <v>0</v>
      </c>
      <c r="M362" s="561">
        <v>0</v>
      </c>
      <c r="N362" s="561">
        <v>403704</v>
      </c>
      <c r="O362" s="560"/>
      <c r="P362" s="449"/>
    </row>
    <row r="363" spans="1:16" s="247" customFormat="1" ht="12" customHeight="1" x14ac:dyDescent="0.25">
      <c r="A363" s="450"/>
      <c r="B363" s="877"/>
      <c r="C363" s="884"/>
      <c r="D363" s="884" t="s">
        <v>884</v>
      </c>
      <c r="E363" s="655" t="s">
        <v>195</v>
      </c>
      <c r="F363" s="561">
        <v>6769474</v>
      </c>
      <c r="G363" s="562">
        <v>6769474</v>
      </c>
      <c r="H363" s="561">
        <v>0</v>
      </c>
      <c r="I363" s="561">
        <v>0</v>
      </c>
      <c r="J363" s="562">
        <v>0</v>
      </c>
      <c r="K363" s="561">
        <v>0</v>
      </c>
      <c r="L363" s="561">
        <v>0</v>
      </c>
      <c r="M363" s="561">
        <v>0</v>
      </c>
      <c r="N363" s="561">
        <v>0</v>
      </c>
      <c r="O363" s="560"/>
      <c r="P363" s="449"/>
    </row>
    <row r="364" spans="1:16" s="247" customFormat="1" ht="12" customHeight="1" x14ac:dyDescent="0.25">
      <c r="A364" s="450"/>
      <c r="B364" s="877"/>
      <c r="C364" s="884" t="s">
        <v>1853</v>
      </c>
      <c r="D364" s="884" t="s">
        <v>1639</v>
      </c>
      <c r="E364" s="655" t="s">
        <v>26</v>
      </c>
      <c r="F364" s="561">
        <v>110455164</v>
      </c>
      <c r="G364" s="562">
        <v>110455164</v>
      </c>
      <c r="H364" s="561">
        <v>0</v>
      </c>
      <c r="I364" s="561">
        <v>0</v>
      </c>
      <c r="J364" s="562">
        <v>0</v>
      </c>
      <c r="K364" s="561">
        <v>0</v>
      </c>
      <c r="L364" s="561">
        <v>0</v>
      </c>
      <c r="M364" s="561">
        <v>0</v>
      </c>
      <c r="N364" s="561">
        <v>0</v>
      </c>
      <c r="O364" s="560"/>
      <c r="P364" s="449"/>
    </row>
    <row r="365" spans="1:16" s="247" customFormat="1" ht="12" hidden="1" customHeight="1" x14ac:dyDescent="0.25">
      <c r="A365" s="450"/>
      <c r="B365" s="877"/>
      <c r="C365" s="884"/>
      <c r="D365" s="884" t="s">
        <v>1639</v>
      </c>
      <c r="E365" s="655" t="s">
        <v>2601</v>
      </c>
      <c r="F365" s="561">
        <v>219790436</v>
      </c>
      <c r="G365" s="562">
        <v>219790436</v>
      </c>
      <c r="H365" s="561">
        <v>0</v>
      </c>
      <c r="I365" s="561">
        <v>0</v>
      </c>
      <c r="J365" s="562">
        <v>0</v>
      </c>
      <c r="K365" s="561">
        <v>0</v>
      </c>
      <c r="L365" s="561">
        <v>0</v>
      </c>
      <c r="M365" s="561">
        <v>0</v>
      </c>
      <c r="N365" s="561">
        <v>0</v>
      </c>
      <c r="O365" s="560"/>
      <c r="P365" s="449"/>
    </row>
    <row r="366" spans="1:16" s="247" customFormat="1" ht="12" customHeight="1" x14ac:dyDescent="0.25">
      <c r="A366" s="450"/>
      <c r="B366" s="877"/>
      <c r="C366" s="884"/>
      <c r="D366" s="884" t="s">
        <v>1639</v>
      </c>
      <c r="E366" s="655" t="s">
        <v>3212</v>
      </c>
      <c r="F366" s="561">
        <v>109173</v>
      </c>
      <c r="G366" s="562">
        <v>0</v>
      </c>
      <c r="H366" s="561">
        <v>109173</v>
      </c>
      <c r="I366" s="561">
        <v>0</v>
      </c>
      <c r="J366" s="562">
        <v>109173</v>
      </c>
      <c r="K366" s="561">
        <v>0</v>
      </c>
      <c r="L366" s="561">
        <v>0</v>
      </c>
      <c r="M366" s="561">
        <v>0</v>
      </c>
      <c r="N366" s="561">
        <v>109173</v>
      </c>
      <c r="O366" s="560"/>
      <c r="P366" s="449"/>
    </row>
    <row r="367" spans="1:16" s="247" customFormat="1" ht="12" customHeight="1" x14ac:dyDescent="0.25">
      <c r="A367" s="450"/>
      <c r="B367" s="877"/>
      <c r="C367" s="884"/>
      <c r="D367" s="884" t="s">
        <v>1639</v>
      </c>
      <c r="E367" s="655" t="s">
        <v>195</v>
      </c>
      <c r="F367" s="561">
        <v>590575</v>
      </c>
      <c r="G367" s="562">
        <v>590575</v>
      </c>
      <c r="H367" s="561">
        <v>0</v>
      </c>
      <c r="I367" s="561">
        <v>0</v>
      </c>
      <c r="J367" s="562">
        <v>0</v>
      </c>
      <c r="K367" s="561">
        <v>0</v>
      </c>
      <c r="L367" s="561">
        <v>0</v>
      </c>
      <c r="M367" s="561">
        <v>0</v>
      </c>
      <c r="N367" s="561">
        <v>0</v>
      </c>
      <c r="O367" s="560"/>
      <c r="P367" s="449"/>
    </row>
    <row r="368" spans="1:16" s="247" customFormat="1" ht="12" customHeight="1" x14ac:dyDescent="0.25">
      <c r="A368" s="450"/>
      <c r="B368" s="877"/>
      <c r="C368" s="884"/>
      <c r="D368" s="884" t="s">
        <v>1639</v>
      </c>
      <c r="E368" s="655" t="s">
        <v>2676</v>
      </c>
      <c r="F368" s="561">
        <v>2227210</v>
      </c>
      <c r="G368" s="562">
        <v>0</v>
      </c>
      <c r="H368" s="561">
        <v>2227210</v>
      </c>
      <c r="I368" s="561">
        <v>0</v>
      </c>
      <c r="J368" s="562">
        <v>2227210</v>
      </c>
      <c r="K368" s="561">
        <v>0</v>
      </c>
      <c r="L368" s="561">
        <v>0</v>
      </c>
      <c r="M368" s="561">
        <v>0</v>
      </c>
      <c r="N368" s="561">
        <v>2227210</v>
      </c>
      <c r="O368" s="560"/>
      <c r="P368" s="449"/>
    </row>
    <row r="369" spans="1:16" s="247" customFormat="1" ht="12" customHeight="1" x14ac:dyDescent="0.25">
      <c r="A369" s="450"/>
      <c r="B369" s="877"/>
      <c r="C369" s="884" t="s">
        <v>1854</v>
      </c>
      <c r="D369" s="884" t="s">
        <v>885</v>
      </c>
      <c r="E369" s="655" t="s">
        <v>26</v>
      </c>
      <c r="F369" s="561">
        <v>289169830</v>
      </c>
      <c r="G369" s="562">
        <v>289169830</v>
      </c>
      <c r="H369" s="561">
        <v>0</v>
      </c>
      <c r="I369" s="561">
        <v>0</v>
      </c>
      <c r="J369" s="562">
        <v>0</v>
      </c>
      <c r="K369" s="561">
        <v>0</v>
      </c>
      <c r="L369" s="561">
        <v>0</v>
      </c>
      <c r="M369" s="561">
        <v>0</v>
      </c>
      <c r="N369" s="561">
        <v>0</v>
      </c>
      <c r="O369" s="560"/>
      <c r="P369" s="449"/>
    </row>
    <row r="370" spans="1:16" s="247" customFormat="1" ht="12" customHeight="1" x14ac:dyDescent="0.25">
      <c r="A370" s="450"/>
      <c r="B370" s="877"/>
      <c r="C370" s="884"/>
      <c r="D370" s="884" t="s">
        <v>885</v>
      </c>
      <c r="E370" s="655" t="s">
        <v>3212</v>
      </c>
      <c r="F370" s="561">
        <v>158993</v>
      </c>
      <c r="G370" s="562">
        <v>0</v>
      </c>
      <c r="H370" s="561">
        <v>158993</v>
      </c>
      <c r="I370" s="561">
        <v>0</v>
      </c>
      <c r="J370" s="562">
        <v>158993</v>
      </c>
      <c r="K370" s="561">
        <v>0</v>
      </c>
      <c r="L370" s="561">
        <v>0</v>
      </c>
      <c r="M370" s="561">
        <v>0</v>
      </c>
      <c r="N370" s="561">
        <v>158993</v>
      </c>
      <c r="O370" s="560"/>
      <c r="P370" s="449"/>
    </row>
    <row r="371" spans="1:16" s="247" customFormat="1" ht="12" customHeight="1" x14ac:dyDescent="0.25">
      <c r="A371" s="450"/>
      <c r="B371" s="877"/>
      <c r="C371" s="884" t="s">
        <v>1855</v>
      </c>
      <c r="D371" s="884" t="s">
        <v>2533</v>
      </c>
      <c r="E371" s="655" t="s">
        <v>26</v>
      </c>
      <c r="F371" s="561">
        <v>82300000</v>
      </c>
      <c r="G371" s="562">
        <v>82300000</v>
      </c>
      <c r="H371" s="561">
        <v>0</v>
      </c>
      <c r="I371" s="561">
        <v>0</v>
      </c>
      <c r="J371" s="562">
        <v>0</v>
      </c>
      <c r="K371" s="561">
        <v>0</v>
      </c>
      <c r="L371" s="561">
        <v>0</v>
      </c>
      <c r="M371" s="561">
        <v>0</v>
      </c>
      <c r="N371" s="561">
        <v>0</v>
      </c>
      <c r="O371" s="560"/>
      <c r="P371" s="449"/>
    </row>
    <row r="372" spans="1:16" s="247" customFormat="1" ht="12" hidden="1" customHeight="1" x14ac:dyDescent="0.25">
      <c r="A372" s="450"/>
      <c r="B372" s="877"/>
      <c r="C372" s="884"/>
      <c r="D372" s="884" t="s">
        <v>2533</v>
      </c>
      <c r="E372" s="655" t="s">
        <v>2601</v>
      </c>
      <c r="F372" s="561">
        <v>192000000</v>
      </c>
      <c r="G372" s="562">
        <v>192000000</v>
      </c>
      <c r="H372" s="561">
        <v>0</v>
      </c>
      <c r="I372" s="561">
        <v>0</v>
      </c>
      <c r="J372" s="562">
        <v>0</v>
      </c>
      <c r="K372" s="561">
        <v>0</v>
      </c>
      <c r="L372" s="561">
        <v>0</v>
      </c>
      <c r="M372" s="561">
        <v>0</v>
      </c>
      <c r="N372" s="561">
        <v>0</v>
      </c>
      <c r="O372" s="560"/>
      <c r="P372" s="449"/>
    </row>
    <row r="373" spans="1:16" s="247" customFormat="1" ht="12" customHeight="1" x14ac:dyDescent="0.25">
      <c r="A373" s="450"/>
      <c r="B373" s="877"/>
      <c r="C373" s="884"/>
      <c r="D373" s="884" t="s">
        <v>2533</v>
      </c>
      <c r="E373" s="655" t="s">
        <v>3212</v>
      </c>
      <c r="F373" s="561">
        <v>121000</v>
      </c>
      <c r="G373" s="562">
        <v>121000</v>
      </c>
      <c r="H373" s="561">
        <v>0</v>
      </c>
      <c r="I373" s="561">
        <v>0</v>
      </c>
      <c r="J373" s="562">
        <v>0</v>
      </c>
      <c r="K373" s="561">
        <v>0</v>
      </c>
      <c r="L373" s="561">
        <v>0</v>
      </c>
      <c r="M373" s="561">
        <v>0</v>
      </c>
      <c r="N373" s="561">
        <v>0</v>
      </c>
      <c r="O373" s="560"/>
      <c r="P373" s="449"/>
    </row>
    <row r="374" spans="1:16" s="247" customFormat="1" ht="12" customHeight="1" x14ac:dyDescent="0.25">
      <c r="A374" s="450"/>
      <c r="B374" s="877"/>
      <c r="C374" s="884" t="s">
        <v>1856</v>
      </c>
      <c r="D374" s="884" t="s">
        <v>1705</v>
      </c>
      <c r="E374" s="655" t="s">
        <v>26</v>
      </c>
      <c r="F374" s="561">
        <v>105262800</v>
      </c>
      <c r="G374" s="562">
        <v>105262800</v>
      </c>
      <c r="H374" s="561">
        <v>0</v>
      </c>
      <c r="I374" s="561">
        <v>0</v>
      </c>
      <c r="J374" s="562">
        <v>0</v>
      </c>
      <c r="K374" s="561">
        <v>0</v>
      </c>
      <c r="L374" s="561">
        <v>0</v>
      </c>
      <c r="M374" s="561">
        <v>0</v>
      </c>
      <c r="N374" s="561">
        <v>0</v>
      </c>
      <c r="O374" s="560"/>
      <c r="P374" s="449"/>
    </row>
    <row r="375" spans="1:16" s="247" customFormat="1" ht="12" hidden="1" customHeight="1" x14ac:dyDescent="0.25">
      <c r="A375" s="450"/>
      <c r="B375" s="877"/>
      <c r="C375" s="884"/>
      <c r="D375" s="884" t="s">
        <v>1705</v>
      </c>
      <c r="E375" s="655" t="s">
        <v>1557</v>
      </c>
      <c r="F375" s="561">
        <v>245613200</v>
      </c>
      <c r="G375" s="562">
        <v>245613200</v>
      </c>
      <c r="H375" s="561">
        <v>0</v>
      </c>
      <c r="I375" s="561">
        <v>0</v>
      </c>
      <c r="J375" s="562">
        <v>0</v>
      </c>
      <c r="K375" s="561">
        <v>0</v>
      </c>
      <c r="L375" s="561">
        <v>0</v>
      </c>
      <c r="M375" s="561">
        <v>0</v>
      </c>
      <c r="N375" s="561">
        <v>0</v>
      </c>
      <c r="O375" s="560"/>
      <c r="P375" s="449"/>
    </row>
    <row r="376" spans="1:16" s="247" customFormat="1" ht="12" customHeight="1" x14ac:dyDescent="0.25">
      <c r="A376" s="450"/>
      <c r="B376" s="877"/>
      <c r="C376" s="884"/>
      <c r="D376" s="884" t="s">
        <v>1705</v>
      </c>
      <c r="E376" s="655" t="s">
        <v>822</v>
      </c>
      <c r="F376" s="561">
        <v>503809</v>
      </c>
      <c r="G376" s="562">
        <v>503809</v>
      </c>
      <c r="H376" s="561">
        <v>0</v>
      </c>
      <c r="I376" s="561">
        <v>0</v>
      </c>
      <c r="J376" s="562">
        <v>0</v>
      </c>
      <c r="K376" s="561">
        <v>0</v>
      </c>
      <c r="L376" s="561">
        <v>0</v>
      </c>
      <c r="M376" s="561">
        <v>0</v>
      </c>
      <c r="N376" s="561">
        <v>0</v>
      </c>
      <c r="O376" s="560"/>
      <c r="P376" s="449"/>
    </row>
    <row r="377" spans="1:16" s="247" customFormat="1" ht="12" customHeight="1" x14ac:dyDescent="0.25">
      <c r="A377" s="450"/>
      <c r="B377" s="877"/>
      <c r="C377" s="884"/>
      <c r="D377" s="884" t="s">
        <v>1705</v>
      </c>
      <c r="E377" s="655" t="s">
        <v>3212</v>
      </c>
      <c r="F377" s="561">
        <v>1893913</v>
      </c>
      <c r="G377" s="562">
        <v>1893913</v>
      </c>
      <c r="H377" s="561">
        <v>0</v>
      </c>
      <c r="I377" s="561">
        <v>0</v>
      </c>
      <c r="J377" s="562">
        <v>0</v>
      </c>
      <c r="K377" s="561">
        <v>0</v>
      </c>
      <c r="L377" s="561">
        <v>0</v>
      </c>
      <c r="M377" s="561">
        <v>0</v>
      </c>
      <c r="N377" s="561">
        <v>0</v>
      </c>
      <c r="O377" s="560"/>
      <c r="P377" s="449"/>
    </row>
    <row r="378" spans="1:16" s="247" customFormat="1" ht="12" customHeight="1" x14ac:dyDescent="0.25">
      <c r="A378" s="450"/>
      <c r="B378" s="877"/>
      <c r="C378" s="884"/>
      <c r="D378" s="884" t="s">
        <v>1705</v>
      </c>
      <c r="E378" s="655" t="s">
        <v>1221</v>
      </c>
      <c r="F378" s="561">
        <v>1931850</v>
      </c>
      <c r="G378" s="562">
        <v>1931850</v>
      </c>
      <c r="H378" s="561">
        <v>0</v>
      </c>
      <c r="I378" s="561">
        <v>0</v>
      </c>
      <c r="J378" s="562">
        <v>0</v>
      </c>
      <c r="K378" s="561">
        <v>0</v>
      </c>
      <c r="L378" s="561">
        <v>0</v>
      </c>
      <c r="M378" s="561">
        <v>0</v>
      </c>
      <c r="N378" s="561">
        <v>0</v>
      </c>
      <c r="O378" s="560"/>
      <c r="P378" s="449"/>
    </row>
    <row r="379" spans="1:16" s="247" customFormat="1" ht="12" customHeight="1" x14ac:dyDescent="0.25">
      <c r="A379" s="450"/>
      <c r="B379" s="877"/>
      <c r="C379" s="884" t="s">
        <v>1857</v>
      </c>
      <c r="D379" s="884" t="s">
        <v>1611</v>
      </c>
      <c r="E379" s="655" t="s">
        <v>26</v>
      </c>
      <c r="F379" s="561">
        <v>103116150</v>
      </c>
      <c r="G379" s="562">
        <v>103116150</v>
      </c>
      <c r="H379" s="561">
        <v>0</v>
      </c>
      <c r="I379" s="561">
        <v>0</v>
      </c>
      <c r="J379" s="562">
        <v>0</v>
      </c>
      <c r="K379" s="561">
        <v>0</v>
      </c>
      <c r="L379" s="561">
        <v>0</v>
      </c>
      <c r="M379" s="561">
        <v>0</v>
      </c>
      <c r="N379" s="561">
        <v>0</v>
      </c>
      <c r="O379" s="560"/>
      <c r="P379" s="449"/>
    </row>
    <row r="380" spans="1:16" s="247" customFormat="1" ht="12" hidden="1" customHeight="1" x14ac:dyDescent="0.25">
      <c r="A380" s="450"/>
      <c r="B380" s="877"/>
      <c r="C380" s="884"/>
      <c r="D380" s="884" t="s">
        <v>1611</v>
      </c>
      <c r="E380" s="655" t="s">
        <v>1557</v>
      </c>
      <c r="F380" s="561">
        <v>240483850</v>
      </c>
      <c r="G380" s="562">
        <v>240483850</v>
      </c>
      <c r="H380" s="561">
        <v>0</v>
      </c>
      <c r="I380" s="561">
        <v>0</v>
      </c>
      <c r="J380" s="562">
        <v>0</v>
      </c>
      <c r="K380" s="561">
        <v>0</v>
      </c>
      <c r="L380" s="561">
        <v>0</v>
      </c>
      <c r="M380" s="561">
        <v>0</v>
      </c>
      <c r="N380" s="561">
        <v>0</v>
      </c>
      <c r="O380" s="560"/>
      <c r="P380" s="449"/>
    </row>
    <row r="381" spans="1:16" s="247" customFormat="1" ht="12" customHeight="1" x14ac:dyDescent="0.25">
      <c r="A381" s="450"/>
      <c r="B381" s="877"/>
      <c r="C381" s="884"/>
      <c r="D381" s="884" t="s">
        <v>1611</v>
      </c>
      <c r="E381" s="655" t="s">
        <v>822</v>
      </c>
      <c r="F381" s="561">
        <v>493419</v>
      </c>
      <c r="G381" s="562">
        <v>0</v>
      </c>
      <c r="H381" s="561">
        <v>493419</v>
      </c>
      <c r="I381" s="561">
        <v>0</v>
      </c>
      <c r="J381" s="562">
        <v>493419</v>
      </c>
      <c r="K381" s="561">
        <v>0</v>
      </c>
      <c r="L381" s="561">
        <v>0</v>
      </c>
      <c r="M381" s="561">
        <v>0</v>
      </c>
      <c r="N381" s="561">
        <v>493419</v>
      </c>
      <c r="O381" s="560"/>
      <c r="P381" s="449"/>
    </row>
    <row r="382" spans="1:16" s="247" customFormat="1" ht="12" customHeight="1" x14ac:dyDescent="0.25">
      <c r="A382" s="450"/>
      <c r="B382" s="877"/>
      <c r="C382" s="884"/>
      <c r="D382" s="884" t="s">
        <v>1611</v>
      </c>
      <c r="E382" s="655" t="s">
        <v>3212</v>
      </c>
      <c r="F382" s="561">
        <v>127338</v>
      </c>
      <c r="G382" s="562">
        <v>0</v>
      </c>
      <c r="H382" s="561">
        <v>127338</v>
      </c>
      <c r="I382" s="561">
        <v>0</v>
      </c>
      <c r="J382" s="562">
        <v>127338</v>
      </c>
      <c r="K382" s="561">
        <v>0</v>
      </c>
      <c r="L382" s="561">
        <v>0</v>
      </c>
      <c r="M382" s="561">
        <v>0</v>
      </c>
      <c r="N382" s="561">
        <v>127338</v>
      </c>
      <c r="O382" s="560"/>
      <c r="P382" s="449"/>
    </row>
    <row r="383" spans="1:16" s="247" customFormat="1" ht="12" customHeight="1" x14ac:dyDescent="0.25">
      <c r="A383" s="450"/>
      <c r="B383" s="877"/>
      <c r="C383" s="884"/>
      <c r="D383" s="884" t="s">
        <v>1611</v>
      </c>
      <c r="E383" s="655" t="s">
        <v>1221</v>
      </c>
      <c r="F383" s="561">
        <v>1931850</v>
      </c>
      <c r="G383" s="562">
        <v>1931850</v>
      </c>
      <c r="H383" s="561">
        <v>0</v>
      </c>
      <c r="I383" s="561">
        <v>0</v>
      </c>
      <c r="J383" s="562">
        <v>0</v>
      </c>
      <c r="K383" s="561">
        <v>0</v>
      </c>
      <c r="L383" s="561">
        <v>0</v>
      </c>
      <c r="M383" s="561">
        <v>0</v>
      </c>
      <c r="N383" s="561">
        <v>0</v>
      </c>
      <c r="O383" s="560"/>
      <c r="P383" s="449"/>
    </row>
    <row r="384" spans="1:16" s="247" customFormat="1" ht="12" customHeight="1" x14ac:dyDescent="0.25">
      <c r="A384" s="450"/>
      <c r="B384" s="877"/>
      <c r="C384" s="884" t="s">
        <v>1858</v>
      </c>
      <c r="D384" s="884" t="s">
        <v>886</v>
      </c>
      <c r="E384" s="655" t="s">
        <v>26</v>
      </c>
      <c r="F384" s="561">
        <v>276637525</v>
      </c>
      <c r="G384" s="562">
        <v>276637525</v>
      </c>
      <c r="H384" s="561">
        <v>0</v>
      </c>
      <c r="I384" s="561">
        <v>0</v>
      </c>
      <c r="J384" s="562">
        <v>0</v>
      </c>
      <c r="K384" s="561">
        <v>0</v>
      </c>
      <c r="L384" s="561">
        <v>0</v>
      </c>
      <c r="M384" s="561">
        <v>0</v>
      </c>
      <c r="N384" s="561">
        <v>0</v>
      </c>
      <c r="O384" s="560"/>
      <c r="P384" s="449"/>
    </row>
    <row r="385" spans="1:16" s="247" customFormat="1" ht="12" customHeight="1" x14ac:dyDescent="0.25">
      <c r="A385" s="450"/>
      <c r="B385" s="877"/>
      <c r="C385" s="884"/>
      <c r="D385" s="884" t="s">
        <v>886</v>
      </c>
      <c r="E385" s="655" t="s">
        <v>1221</v>
      </c>
      <c r="F385" s="561">
        <v>1512675</v>
      </c>
      <c r="G385" s="562">
        <v>1512675</v>
      </c>
      <c r="H385" s="561">
        <v>0</v>
      </c>
      <c r="I385" s="561">
        <v>0</v>
      </c>
      <c r="J385" s="562">
        <v>0</v>
      </c>
      <c r="K385" s="561">
        <v>0</v>
      </c>
      <c r="L385" s="561">
        <v>0</v>
      </c>
      <c r="M385" s="561">
        <v>0</v>
      </c>
      <c r="N385" s="561">
        <v>0</v>
      </c>
      <c r="O385" s="560"/>
      <c r="P385" s="449"/>
    </row>
    <row r="386" spans="1:16" s="247" customFormat="1" ht="12" customHeight="1" x14ac:dyDescent="0.25">
      <c r="A386" s="450"/>
      <c r="B386" s="877"/>
      <c r="C386" s="884" t="s">
        <v>1859</v>
      </c>
      <c r="D386" s="884" t="s">
        <v>3486</v>
      </c>
      <c r="E386" s="655" t="s">
        <v>26</v>
      </c>
      <c r="F386" s="561">
        <v>111903143</v>
      </c>
      <c r="G386" s="562">
        <v>111903143</v>
      </c>
      <c r="H386" s="561">
        <v>0</v>
      </c>
      <c r="I386" s="561">
        <v>0</v>
      </c>
      <c r="J386" s="562">
        <v>0</v>
      </c>
      <c r="K386" s="561">
        <v>0</v>
      </c>
      <c r="L386" s="561">
        <v>0</v>
      </c>
      <c r="M386" s="561">
        <v>0</v>
      </c>
      <c r="N386" s="561">
        <v>0</v>
      </c>
      <c r="O386" s="560"/>
      <c r="P386" s="449"/>
    </row>
    <row r="387" spans="1:16" s="247" customFormat="1" ht="12" hidden="1" customHeight="1" x14ac:dyDescent="0.25">
      <c r="A387" s="450"/>
      <c r="B387" s="877"/>
      <c r="C387" s="884"/>
      <c r="D387" s="884" t="s">
        <v>3486</v>
      </c>
      <c r="E387" s="655" t="s">
        <v>2601</v>
      </c>
      <c r="F387" s="561">
        <v>261107333</v>
      </c>
      <c r="G387" s="562">
        <v>261107333</v>
      </c>
      <c r="H387" s="561">
        <v>0</v>
      </c>
      <c r="I387" s="561">
        <v>0</v>
      </c>
      <c r="J387" s="562">
        <v>0</v>
      </c>
      <c r="K387" s="561">
        <v>0</v>
      </c>
      <c r="L387" s="561">
        <v>0</v>
      </c>
      <c r="M387" s="561">
        <v>0</v>
      </c>
      <c r="N387" s="561">
        <v>0</v>
      </c>
      <c r="O387" s="560"/>
      <c r="P387" s="449"/>
    </row>
    <row r="388" spans="1:16" s="247" customFormat="1" ht="12" customHeight="1" x14ac:dyDescent="0.25">
      <c r="A388" s="450"/>
      <c r="B388" s="877"/>
      <c r="C388" s="884"/>
      <c r="D388" s="884" t="s">
        <v>3486</v>
      </c>
      <c r="E388" s="655" t="s">
        <v>195</v>
      </c>
      <c r="F388" s="561">
        <v>1787747</v>
      </c>
      <c r="G388" s="562">
        <v>1787747</v>
      </c>
      <c r="H388" s="561">
        <v>0</v>
      </c>
      <c r="I388" s="561">
        <v>0</v>
      </c>
      <c r="J388" s="562">
        <v>0</v>
      </c>
      <c r="K388" s="561">
        <v>0</v>
      </c>
      <c r="L388" s="561">
        <v>0</v>
      </c>
      <c r="M388" s="561">
        <v>0</v>
      </c>
      <c r="N388" s="561">
        <v>0</v>
      </c>
      <c r="O388" s="560"/>
      <c r="P388" s="449"/>
    </row>
    <row r="389" spans="1:16" s="247" customFormat="1" ht="12" customHeight="1" x14ac:dyDescent="0.25">
      <c r="A389" s="450"/>
      <c r="B389" s="877"/>
      <c r="C389" s="884" t="s">
        <v>1860</v>
      </c>
      <c r="D389" s="884" t="s">
        <v>2606</v>
      </c>
      <c r="E389" s="655" t="s">
        <v>26</v>
      </c>
      <c r="F389" s="561">
        <v>92971758</v>
      </c>
      <c r="G389" s="562">
        <v>92971758</v>
      </c>
      <c r="H389" s="561">
        <v>0</v>
      </c>
      <c r="I389" s="561">
        <v>0</v>
      </c>
      <c r="J389" s="562">
        <v>0</v>
      </c>
      <c r="K389" s="561">
        <v>0</v>
      </c>
      <c r="L389" s="561">
        <v>0</v>
      </c>
      <c r="M389" s="561">
        <v>0</v>
      </c>
      <c r="N389" s="561">
        <v>0</v>
      </c>
      <c r="O389" s="560"/>
      <c r="P389" s="449"/>
    </row>
    <row r="390" spans="1:16" s="247" customFormat="1" ht="12" hidden="1" customHeight="1" x14ac:dyDescent="0.25">
      <c r="A390" s="450"/>
      <c r="B390" s="877"/>
      <c r="C390" s="884"/>
      <c r="D390" s="884" t="s">
        <v>2606</v>
      </c>
      <c r="E390" s="655" t="s">
        <v>2601</v>
      </c>
      <c r="F390" s="561">
        <v>215626500</v>
      </c>
      <c r="G390" s="562">
        <v>215626500</v>
      </c>
      <c r="H390" s="561">
        <v>0</v>
      </c>
      <c r="I390" s="561">
        <v>0</v>
      </c>
      <c r="J390" s="562">
        <v>0</v>
      </c>
      <c r="K390" s="561">
        <v>0</v>
      </c>
      <c r="L390" s="561">
        <v>0</v>
      </c>
      <c r="M390" s="561">
        <v>0</v>
      </c>
      <c r="N390" s="561">
        <v>0</v>
      </c>
      <c r="O390" s="560"/>
      <c r="P390" s="449"/>
    </row>
    <row r="391" spans="1:16" s="247" customFormat="1" ht="12" customHeight="1" x14ac:dyDescent="0.25">
      <c r="A391" s="450"/>
      <c r="B391" s="877"/>
      <c r="C391" s="884"/>
      <c r="D391" s="884" t="s">
        <v>2606</v>
      </c>
      <c r="E391" s="655" t="s">
        <v>3212</v>
      </c>
      <c r="F391" s="561">
        <v>66052</v>
      </c>
      <c r="G391" s="562">
        <v>0</v>
      </c>
      <c r="H391" s="561">
        <v>66052</v>
      </c>
      <c r="I391" s="561">
        <v>0</v>
      </c>
      <c r="J391" s="562">
        <v>66052</v>
      </c>
      <c r="K391" s="561">
        <v>0</v>
      </c>
      <c r="L391" s="561">
        <v>0</v>
      </c>
      <c r="M391" s="561">
        <v>0</v>
      </c>
      <c r="N391" s="561">
        <v>66052</v>
      </c>
      <c r="O391" s="560"/>
      <c r="P391" s="449"/>
    </row>
    <row r="392" spans="1:16" s="247" customFormat="1" ht="12" customHeight="1" x14ac:dyDescent="0.25">
      <c r="A392" s="450"/>
      <c r="B392" s="877"/>
      <c r="C392" s="884"/>
      <c r="D392" s="884" t="s">
        <v>2606</v>
      </c>
      <c r="E392" s="655" t="s">
        <v>1221</v>
      </c>
      <c r="F392" s="561">
        <v>1931850</v>
      </c>
      <c r="G392" s="562">
        <v>1931850</v>
      </c>
      <c r="H392" s="561">
        <v>0</v>
      </c>
      <c r="I392" s="561">
        <v>0</v>
      </c>
      <c r="J392" s="562">
        <v>0</v>
      </c>
      <c r="K392" s="561">
        <v>0</v>
      </c>
      <c r="L392" s="561">
        <v>0</v>
      </c>
      <c r="M392" s="561">
        <v>0</v>
      </c>
      <c r="N392" s="561">
        <v>0</v>
      </c>
      <c r="O392" s="560"/>
      <c r="P392" s="449"/>
    </row>
    <row r="393" spans="1:16" s="247" customFormat="1" ht="12" customHeight="1" x14ac:dyDescent="0.25">
      <c r="A393" s="450"/>
      <c r="B393" s="877"/>
      <c r="C393" s="884" t="s">
        <v>1861</v>
      </c>
      <c r="D393" s="884" t="s">
        <v>1001</v>
      </c>
      <c r="E393" s="655" t="s">
        <v>26</v>
      </c>
      <c r="F393" s="561">
        <v>232918349</v>
      </c>
      <c r="G393" s="562">
        <v>232918349</v>
      </c>
      <c r="H393" s="561">
        <v>0</v>
      </c>
      <c r="I393" s="561">
        <v>0</v>
      </c>
      <c r="J393" s="562">
        <v>0</v>
      </c>
      <c r="K393" s="561">
        <v>0</v>
      </c>
      <c r="L393" s="561">
        <v>0</v>
      </c>
      <c r="M393" s="561">
        <v>0</v>
      </c>
      <c r="N393" s="561">
        <v>0</v>
      </c>
      <c r="O393" s="560"/>
      <c r="P393" s="449"/>
    </row>
    <row r="394" spans="1:16" s="247" customFormat="1" ht="12" customHeight="1" x14ac:dyDescent="0.25">
      <c r="A394" s="450"/>
      <c r="B394" s="877"/>
      <c r="C394" s="884"/>
      <c r="D394" s="884" t="s">
        <v>1001</v>
      </c>
      <c r="E394" s="655" t="s">
        <v>900</v>
      </c>
      <c r="F394" s="561">
        <v>12900000</v>
      </c>
      <c r="G394" s="562">
        <v>12900000</v>
      </c>
      <c r="H394" s="561">
        <v>0</v>
      </c>
      <c r="I394" s="561">
        <v>0</v>
      </c>
      <c r="J394" s="562">
        <v>0</v>
      </c>
      <c r="K394" s="561">
        <v>0</v>
      </c>
      <c r="L394" s="561">
        <v>0</v>
      </c>
      <c r="M394" s="561">
        <v>0</v>
      </c>
      <c r="N394" s="561">
        <v>0</v>
      </c>
      <c r="O394" s="560"/>
      <c r="P394" s="449"/>
    </row>
    <row r="395" spans="1:16" s="247" customFormat="1" ht="12" customHeight="1" x14ac:dyDescent="0.25">
      <c r="A395" s="450"/>
      <c r="B395" s="877"/>
      <c r="C395" s="884"/>
      <c r="D395" s="884" t="s">
        <v>1001</v>
      </c>
      <c r="E395" s="655" t="s">
        <v>3212</v>
      </c>
      <c r="F395" s="561">
        <v>116603</v>
      </c>
      <c r="G395" s="562">
        <v>116603</v>
      </c>
      <c r="H395" s="561">
        <v>0</v>
      </c>
      <c r="I395" s="561">
        <v>0</v>
      </c>
      <c r="J395" s="562">
        <v>0</v>
      </c>
      <c r="K395" s="561">
        <v>0</v>
      </c>
      <c r="L395" s="561">
        <v>0</v>
      </c>
      <c r="M395" s="561">
        <v>0</v>
      </c>
      <c r="N395" s="561">
        <v>0</v>
      </c>
      <c r="O395" s="560"/>
      <c r="P395" s="449"/>
    </row>
    <row r="396" spans="1:16" s="247" customFormat="1" ht="12" customHeight="1" x14ac:dyDescent="0.25">
      <c r="A396" s="450"/>
      <c r="B396" s="877"/>
      <c r="C396" s="884"/>
      <c r="D396" s="884" t="s">
        <v>1001</v>
      </c>
      <c r="E396" s="655" t="s">
        <v>1221</v>
      </c>
      <c r="F396" s="561">
        <v>1512675</v>
      </c>
      <c r="G396" s="562">
        <v>1512675</v>
      </c>
      <c r="H396" s="561">
        <v>0</v>
      </c>
      <c r="I396" s="561">
        <v>0</v>
      </c>
      <c r="J396" s="562">
        <v>0</v>
      </c>
      <c r="K396" s="561">
        <v>0</v>
      </c>
      <c r="L396" s="561">
        <v>0</v>
      </c>
      <c r="M396" s="561">
        <v>0</v>
      </c>
      <c r="N396" s="561">
        <v>0</v>
      </c>
      <c r="O396" s="560"/>
      <c r="P396" s="449"/>
    </row>
    <row r="397" spans="1:16" s="247" customFormat="1" ht="12" customHeight="1" x14ac:dyDescent="0.25">
      <c r="A397" s="450"/>
      <c r="B397" s="877"/>
      <c r="C397" s="884" t="s">
        <v>1862</v>
      </c>
      <c r="D397" s="884" t="s">
        <v>1641</v>
      </c>
      <c r="E397" s="655" t="s">
        <v>26</v>
      </c>
      <c r="F397" s="561">
        <v>105352800</v>
      </c>
      <c r="G397" s="562">
        <v>105352800</v>
      </c>
      <c r="H397" s="561">
        <v>0</v>
      </c>
      <c r="I397" s="561">
        <v>0</v>
      </c>
      <c r="J397" s="562">
        <v>0</v>
      </c>
      <c r="K397" s="561">
        <v>0</v>
      </c>
      <c r="L397" s="561">
        <v>0</v>
      </c>
      <c r="M397" s="561">
        <v>0</v>
      </c>
      <c r="N397" s="561">
        <v>0</v>
      </c>
      <c r="O397" s="560"/>
      <c r="P397" s="449"/>
    </row>
    <row r="398" spans="1:16" s="247" customFormat="1" ht="12" hidden="1" customHeight="1" x14ac:dyDescent="0.25">
      <c r="A398" s="450"/>
      <c r="B398" s="877"/>
      <c r="C398" s="884"/>
      <c r="D398" s="884" t="s">
        <v>1641</v>
      </c>
      <c r="E398" s="655" t="s">
        <v>1557</v>
      </c>
      <c r="F398" s="561">
        <v>245823200</v>
      </c>
      <c r="G398" s="562">
        <v>245823200</v>
      </c>
      <c r="H398" s="561">
        <v>0</v>
      </c>
      <c r="I398" s="561">
        <v>0</v>
      </c>
      <c r="J398" s="562">
        <v>0</v>
      </c>
      <c r="K398" s="561">
        <v>0</v>
      </c>
      <c r="L398" s="561">
        <v>0</v>
      </c>
      <c r="M398" s="561">
        <v>0</v>
      </c>
      <c r="N398" s="561">
        <v>0</v>
      </c>
      <c r="O398" s="560"/>
      <c r="P398" s="449"/>
    </row>
    <row r="399" spans="1:16" s="247" customFormat="1" ht="12" customHeight="1" x14ac:dyDescent="0.25">
      <c r="A399" s="450"/>
      <c r="B399" s="877"/>
      <c r="C399" s="884"/>
      <c r="D399" s="884" t="s">
        <v>1641</v>
      </c>
      <c r="E399" s="655" t="s">
        <v>822</v>
      </c>
      <c r="F399" s="561">
        <v>504237</v>
      </c>
      <c r="G399" s="562">
        <v>0</v>
      </c>
      <c r="H399" s="561">
        <v>504237</v>
      </c>
      <c r="I399" s="561">
        <v>0</v>
      </c>
      <c r="J399" s="562">
        <v>504237</v>
      </c>
      <c r="K399" s="561">
        <v>0</v>
      </c>
      <c r="L399" s="561">
        <v>0</v>
      </c>
      <c r="M399" s="561">
        <v>0</v>
      </c>
      <c r="N399" s="561">
        <v>504237</v>
      </c>
      <c r="O399" s="560"/>
      <c r="P399" s="449"/>
    </row>
    <row r="400" spans="1:16" s="247" customFormat="1" ht="12" customHeight="1" x14ac:dyDescent="0.25">
      <c r="A400" s="450"/>
      <c r="B400" s="877"/>
      <c r="C400" s="884"/>
      <c r="D400" s="884" t="s">
        <v>1641</v>
      </c>
      <c r="E400" s="655" t="s">
        <v>195</v>
      </c>
      <c r="F400" s="561">
        <v>627157</v>
      </c>
      <c r="G400" s="562">
        <v>627157</v>
      </c>
      <c r="H400" s="561">
        <v>0</v>
      </c>
      <c r="I400" s="561">
        <v>0</v>
      </c>
      <c r="J400" s="562">
        <v>0</v>
      </c>
      <c r="K400" s="561">
        <v>0</v>
      </c>
      <c r="L400" s="561">
        <v>0</v>
      </c>
      <c r="M400" s="561">
        <v>0</v>
      </c>
      <c r="N400" s="561">
        <v>0</v>
      </c>
      <c r="O400" s="560"/>
      <c r="P400" s="449"/>
    </row>
    <row r="401" spans="1:16" s="247" customFormat="1" ht="12" customHeight="1" x14ac:dyDescent="0.25">
      <c r="A401" s="450"/>
      <c r="B401" s="877"/>
      <c r="C401" s="884"/>
      <c r="D401" s="884" t="s">
        <v>1641</v>
      </c>
      <c r="E401" s="655" t="s">
        <v>1221</v>
      </c>
      <c r="F401" s="561">
        <v>1931850</v>
      </c>
      <c r="G401" s="562">
        <v>1931850</v>
      </c>
      <c r="H401" s="561">
        <v>0</v>
      </c>
      <c r="I401" s="561">
        <v>0</v>
      </c>
      <c r="J401" s="562">
        <v>0</v>
      </c>
      <c r="K401" s="561">
        <v>0</v>
      </c>
      <c r="L401" s="561">
        <v>0</v>
      </c>
      <c r="M401" s="561">
        <v>0</v>
      </c>
      <c r="N401" s="561">
        <v>0</v>
      </c>
      <c r="O401" s="560"/>
      <c r="P401" s="449"/>
    </row>
    <row r="402" spans="1:16" s="247" customFormat="1" ht="12" customHeight="1" x14ac:dyDescent="0.25">
      <c r="A402" s="450"/>
      <c r="B402" s="877"/>
      <c r="C402" s="884" t="s">
        <v>1863</v>
      </c>
      <c r="D402" s="884" t="s">
        <v>888</v>
      </c>
      <c r="E402" s="655" t="s">
        <v>26</v>
      </c>
      <c r="F402" s="561">
        <v>343900000</v>
      </c>
      <c r="G402" s="562">
        <v>343900000</v>
      </c>
      <c r="H402" s="561">
        <v>0</v>
      </c>
      <c r="I402" s="561">
        <v>0</v>
      </c>
      <c r="J402" s="562">
        <v>0</v>
      </c>
      <c r="K402" s="561">
        <v>0</v>
      </c>
      <c r="L402" s="561">
        <v>0</v>
      </c>
      <c r="M402" s="561">
        <v>0</v>
      </c>
      <c r="N402" s="561">
        <v>0</v>
      </c>
      <c r="O402" s="560"/>
      <c r="P402" s="449"/>
    </row>
    <row r="403" spans="1:16" s="247" customFormat="1" ht="12" customHeight="1" x14ac:dyDescent="0.25">
      <c r="A403" s="450"/>
      <c r="B403" s="877"/>
      <c r="C403" s="884"/>
      <c r="D403" s="884" t="s">
        <v>888</v>
      </c>
      <c r="E403" s="655" t="s">
        <v>3212</v>
      </c>
      <c r="F403" s="561">
        <v>94986</v>
      </c>
      <c r="G403" s="562">
        <v>0</v>
      </c>
      <c r="H403" s="561">
        <v>94986</v>
      </c>
      <c r="I403" s="561">
        <v>0</v>
      </c>
      <c r="J403" s="562">
        <v>94986</v>
      </c>
      <c r="K403" s="561">
        <v>0</v>
      </c>
      <c r="L403" s="561">
        <v>0</v>
      </c>
      <c r="M403" s="561">
        <v>0</v>
      </c>
      <c r="N403" s="561">
        <v>94986</v>
      </c>
      <c r="O403" s="560"/>
      <c r="P403" s="449"/>
    </row>
    <row r="404" spans="1:16" s="247" customFormat="1" ht="12" customHeight="1" x14ac:dyDescent="0.25">
      <c r="A404" s="450"/>
      <c r="B404" s="877"/>
      <c r="C404" s="884"/>
      <c r="D404" s="884" t="s">
        <v>888</v>
      </c>
      <c r="E404" s="655" t="s">
        <v>1221</v>
      </c>
      <c r="F404" s="561">
        <v>1931850</v>
      </c>
      <c r="G404" s="562">
        <v>1931850</v>
      </c>
      <c r="H404" s="561">
        <v>0</v>
      </c>
      <c r="I404" s="561">
        <v>0</v>
      </c>
      <c r="J404" s="562">
        <v>0</v>
      </c>
      <c r="K404" s="561">
        <v>0</v>
      </c>
      <c r="L404" s="561">
        <v>0</v>
      </c>
      <c r="M404" s="561">
        <v>0</v>
      </c>
      <c r="N404" s="561">
        <v>0</v>
      </c>
      <c r="O404" s="560"/>
      <c r="P404" s="449"/>
    </row>
    <row r="405" spans="1:16" s="247" customFormat="1" ht="12" customHeight="1" x14ac:dyDescent="0.25">
      <c r="A405" s="450"/>
      <c r="B405" s="877"/>
      <c r="C405" s="884" t="s">
        <v>1864</v>
      </c>
      <c r="D405" s="884" t="s">
        <v>1706</v>
      </c>
      <c r="E405" s="655" t="s">
        <v>26</v>
      </c>
      <c r="F405" s="561">
        <v>85832028</v>
      </c>
      <c r="G405" s="562">
        <v>85832028</v>
      </c>
      <c r="H405" s="561">
        <v>0</v>
      </c>
      <c r="I405" s="561">
        <v>0</v>
      </c>
      <c r="J405" s="562">
        <v>0</v>
      </c>
      <c r="K405" s="561">
        <v>0</v>
      </c>
      <c r="L405" s="561">
        <v>0</v>
      </c>
      <c r="M405" s="561">
        <v>0</v>
      </c>
      <c r="N405" s="561">
        <v>0</v>
      </c>
      <c r="O405" s="560"/>
      <c r="P405" s="449"/>
    </row>
    <row r="406" spans="1:16" s="247" customFormat="1" ht="12" hidden="1" customHeight="1" x14ac:dyDescent="0.25">
      <c r="A406" s="450"/>
      <c r="B406" s="877"/>
      <c r="C406" s="884"/>
      <c r="D406" s="884" t="s">
        <v>1706</v>
      </c>
      <c r="E406" s="655" t="s">
        <v>2601</v>
      </c>
      <c r="F406" s="561">
        <v>199637200</v>
      </c>
      <c r="G406" s="562">
        <v>199637200</v>
      </c>
      <c r="H406" s="561">
        <v>0</v>
      </c>
      <c r="I406" s="561">
        <v>0</v>
      </c>
      <c r="J406" s="562">
        <v>0</v>
      </c>
      <c r="K406" s="561">
        <v>0</v>
      </c>
      <c r="L406" s="561">
        <v>0</v>
      </c>
      <c r="M406" s="561">
        <v>0</v>
      </c>
      <c r="N406" s="561">
        <v>0</v>
      </c>
      <c r="O406" s="560"/>
      <c r="P406" s="449"/>
    </row>
    <row r="407" spans="1:16" s="247" customFormat="1" ht="12" customHeight="1" x14ac:dyDescent="0.25">
      <c r="A407" s="450"/>
      <c r="B407" s="877"/>
      <c r="C407" s="884"/>
      <c r="D407" s="884" t="s">
        <v>1706</v>
      </c>
      <c r="E407" s="655" t="s">
        <v>3212</v>
      </c>
      <c r="F407" s="561">
        <v>96616</v>
      </c>
      <c r="G407" s="562">
        <v>0</v>
      </c>
      <c r="H407" s="561">
        <v>96616</v>
      </c>
      <c r="I407" s="561">
        <v>0</v>
      </c>
      <c r="J407" s="562">
        <v>96616</v>
      </c>
      <c r="K407" s="561">
        <v>0</v>
      </c>
      <c r="L407" s="561">
        <v>0</v>
      </c>
      <c r="M407" s="561">
        <v>0</v>
      </c>
      <c r="N407" s="561">
        <v>96616</v>
      </c>
      <c r="O407" s="560"/>
      <c r="P407" s="449"/>
    </row>
    <row r="408" spans="1:16" s="247" customFormat="1" ht="12" customHeight="1" x14ac:dyDescent="0.25">
      <c r="A408" s="450"/>
      <c r="B408" s="877"/>
      <c r="C408" s="884" t="s">
        <v>1865</v>
      </c>
      <c r="D408" s="884" t="s">
        <v>887</v>
      </c>
      <c r="E408" s="655" t="s">
        <v>26</v>
      </c>
      <c r="F408" s="561">
        <v>98864123</v>
      </c>
      <c r="G408" s="562">
        <v>98864123</v>
      </c>
      <c r="H408" s="561">
        <v>0</v>
      </c>
      <c r="I408" s="561">
        <v>0</v>
      </c>
      <c r="J408" s="562">
        <v>0</v>
      </c>
      <c r="K408" s="561">
        <v>0</v>
      </c>
      <c r="L408" s="561">
        <v>0</v>
      </c>
      <c r="M408" s="561">
        <v>0</v>
      </c>
      <c r="N408" s="561">
        <v>0</v>
      </c>
      <c r="O408" s="560"/>
      <c r="P408" s="449"/>
    </row>
    <row r="409" spans="1:16" s="247" customFormat="1" ht="12" hidden="1" customHeight="1" x14ac:dyDescent="0.25">
      <c r="A409" s="450"/>
      <c r="B409" s="877"/>
      <c r="C409" s="884"/>
      <c r="D409" s="884" t="s">
        <v>887</v>
      </c>
      <c r="E409" s="655" t="s">
        <v>2601</v>
      </c>
      <c r="F409" s="561">
        <v>230682955</v>
      </c>
      <c r="G409" s="562">
        <v>230682954</v>
      </c>
      <c r="H409" s="561">
        <v>1</v>
      </c>
      <c r="I409" s="561">
        <v>0</v>
      </c>
      <c r="J409" s="562">
        <v>1</v>
      </c>
      <c r="K409" s="561">
        <v>0</v>
      </c>
      <c r="L409" s="561">
        <v>0</v>
      </c>
      <c r="M409" s="561">
        <v>0</v>
      </c>
      <c r="N409" s="561">
        <v>1</v>
      </c>
      <c r="O409" s="560"/>
      <c r="P409" s="449"/>
    </row>
    <row r="410" spans="1:16" s="247" customFormat="1" ht="12" customHeight="1" x14ac:dyDescent="0.25">
      <c r="A410" s="450"/>
      <c r="B410" s="877"/>
      <c r="C410" s="884"/>
      <c r="D410" s="884" t="s">
        <v>887</v>
      </c>
      <c r="E410" s="655" t="s">
        <v>3212</v>
      </c>
      <c r="F410" s="561">
        <v>1227080</v>
      </c>
      <c r="G410" s="562">
        <v>0</v>
      </c>
      <c r="H410" s="561">
        <v>1227080</v>
      </c>
      <c r="I410" s="561">
        <v>0</v>
      </c>
      <c r="J410" s="562">
        <v>1227080</v>
      </c>
      <c r="K410" s="561">
        <v>0</v>
      </c>
      <c r="L410" s="561">
        <v>0</v>
      </c>
      <c r="M410" s="561">
        <v>1227080</v>
      </c>
      <c r="N410" s="561">
        <v>0</v>
      </c>
      <c r="O410" s="560"/>
      <c r="P410" s="449"/>
    </row>
    <row r="411" spans="1:16" s="247" customFormat="1" ht="12" customHeight="1" x14ac:dyDescent="0.25">
      <c r="A411" s="450"/>
      <c r="B411" s="877"/>
      <c r="C411" s="884"/>
      <c r="D411" s="884" t="s">
        <v>887</v>
      </c>
      <c r="E411" s="655" t="s">
        <v>195</v>
      </c>
      <c r="F411" s="561">
        <v>2623150</v>
      </c>
      <c r="G411" s="562">
        <v>2623150</v>
      </c>
      <c r="H411" s="561">
        <v>0</v>
      </c>
      <c r="I411" s="561">
        <v>0</v>
      </c>
      <c r="J411" s="562">
        <v>0</v>
      </c>
      <c r="K411" s="561">
        <v>0</v>
      </c>
      <c r="L411" s="561">
        <v>0</v>
      </c>
      <c r="M411" s="561">
        <v>0</v>
      </c>
      <c r="N411" s="561">
        <v>0</v>
      </c>
      <c r="O411" s="560"/>
      <c r="P411" s="449"/>
    </row>
    <row r="412" spans="1:16" s="247" customFormat="1" ht="12" customHeight="1" x14ac:dyDescent="0.25">
      <c r="A412" s="450"/>
      <c r="B412" s="877"/>
      <c r="C412" s="884"/>
      <c r="D412" s="884" t="s">
        <v>887</v>
      </c>
      <c r="E412" s="655" t="s">
        <v>2676</v>
      </c>
      <c r="F412" s="561">
        <v>5822927</v>
      </c>
      <c r="G412" s="562">
        <v>5822927</v>
      </c>
      <c r="H412" s="561">
        <v>0</v>
      </c>
      <c r="I412" s="561">
        <v>0</v>
      </c>
      <c r="J412" s="562">
        <v>0</v>
      </c>
      <c r="K412" s="561">
        <v>0</v>
      </c>
      <c r="L412" s="561">
        <v>0</v>
      </c>
      <c r="M412" s="561">
        <v>0</v>
      </c>
      <c r="N412" s="561">
        <v>0</v>
      </c>
      <c r="O412" s="560"/>
      <c r="P412" s="449"/>
    </row>
    <row r="413" spans="1:16" s="247" customFormat="1" ht="12" customHeight="1" x14ac:dyDescent="0.25">
      <c r="A413" s="450"/>
      <c r="B413" s="877"/>
      <c r="C413" s="884" t="s">
        <v>1866</v>
      </c>
      <c r="D413" s="884" t="s">
        <v>890</v>
      </c>
      <c r="E413" s="655" t="s">
        <v>26</v>
      </c>
      <c r="F413" s="561">
        <v>312140067</v>
      </c>
      <c r="G413" s="562">
        <v>312140067</v>
      </c>
      <c r="H413" s="561">
        <v>0</v>
      </c>
      <c r="I413" s="561">
        <v>0</v>
      </c>
      <c r="J413" s="562">
        <v>0</v>
      </c>
      <c r="K413" s="561">
        <v>0</v>
      </c>
      <c r="L413" s="561">
        <v>0</v>
      </c>
      <c r="M413" s="561">
        <v>0</v>
      </c>
      <c r="N413" s="561">
        <v>0</v>
      </c>
      <c r="O413" s="560"/>
      <c r="P413" s="449"/>
    </row>
    <row r="414" spans="1:16" s="247" customFormat="1" ht="12" customHeight="1" x14ac:dyDescent="0.25">
      <c r="A414" s="450"/>
      <c r="B414" s="877"/>
      <c r="C414" s="884"/>
      <c r="D414" s="884" t="s">
        <v>890</v>
      </c>
      <c r="E414" s="655" t="s">
        <v>3212</v>
      </c>
      <c r="F414" s="561">
        <v>157610</v>
      </c>
      <c r="G414" s="562">
        <v>157610</v>
      </c>
      <c r="H414" s="561">
        <v>0</v>
      </c>
      <c r="I414" s="561">
        <v>0</v>
      </c>
      <c r="J414" s="562">
        <v>0</v>
      </c>
      <c r="K414" s="561">
        <v>0</v>
      </c>
      <c r="L414" s="561">
        <v>0</v>
      </c>
      <c r="M414" s="561">
        <v>0</v>
      </c>
      <c r="N414" s="561">
        <v>0</v>
      </c>
      <c r="O414" s="560"/>
      <c r="P414" s="449"/>
    </row>
    <row r="415" spans="1:16" s="247" customFormat="1" ht="12" customHeight="1" x14ac:dyDescent="0.25">
      <c r="A415" s="450"/>
      <c r="B415" s="877"/>
      <c r="C415" s="884" t="s">
        <v>1867</v>
      </c>
      <c r="D415" s="884" t="s">
        <v>1624</v>
      </c>
      <c r="E415" s="655" t="s">
        <v>26</v>
      </c>
      <c r="F415" s="561">
        <v>157636217</v>
      </c>
      <c r="G415" s="562">
        <v>157636217</v>
      </c>
      <c r="H415" s="561">
        <v>0</v>
      </c>
      <c r="I415" s="561">
        <v>0</v>
      </c>
      <c r="J415" s="562">
        <v>0</v>
      </c>
      <c r="K415" s="561">
        <v>0</v>
      </c>
      <c r="L415" s="561">
        <v>0</v>
      </c>
      <c r="M415" s="561">
        <v>0</v>
      </c>
      <c r="N415" s="561">
        <v>0</v>
      </c>
      <c r="O415" s="560"/>
      <c r="P415" s="449"/>
    </row>
    <row r="416" spans="1:16" s="247" customFormat="1" ht="12" hidden="1" customHeight="1" x14ac:dyDescent="0.25">
      <c r="A416" s="450"/>
      <c r="B416" s="877"/>
      <c r="C416" s="884"/>
      <c r="D416" s="884" t="s">
        <v>1624</v>
      </c>
      <c r="E416" s="655" t="s">
        <v>1557</v>
      </c>
      <c r="F416" s="561">
        <v>121228712</v>
      </c>
      <c r="G416" s="562">
        <v>121228712</v>
      </c>
      <c r="H416" s="561">
        <v>0</v>
      </c>
      <c r="I416" s="561">
        <v>0</v>
      </c>
      <c r="J416" s="562">
        <v>0</v>
      </c>
      <c r="K416" s="561">
        <v>0</v>
      </c>
      <c r="L416" s="561">
        <v>0</v>
      </c>
      <c r="M416" s="561">
        <v>0</v>
      </c>
      <c r="N416" s="561">
        <v>0</v>
      </c>
      <c r="O416" s="560"/>
      <c r="P416" s="449"/>
    </row>
    <row r="417" spans="1:16" s="247" customFormat="1" ht="12" customHeight="1" x14ac:dyDescent="0.25">
      <c r="A417" s="450"/>
      <c r="B417" s="877"/>
      <c r="C417" s="884"/>
      <c r="D417" s="884" t="s">
        <v>1624</v>
      </c>
      <c r="E417" s="655" t="s">
        <v>3212</v>
      </c>
      <c r="F417" s="561">
        <v>1109000</v>
      </c>
      <c r="G417" s="562">
        <v>1109000</v>
      </c>
      <c r="H417" s="561">
        <v>0</v>
      </c>
      <c r="I417" s="561">
        <v>0</v>
      </c>
      <c r="J417" s="562">
        <v>0</v>
      </c>
      <c r="K417" s="561">
        <v>0</v>
      </c>
      <c r="L417" s="561">
        <v>0</v>
      </c>
      <c r="M417" s="561">
        <v>0</v>
      </c>
      <c r="N417" s="561">
        <v>0</v>
      </c>
      <c r="O417" s="560"/>
      <c r="P417" s="449"/>
    </row>
    <row r="418" spans="1:16" s="247" customFormat="1" ht="12" customHeight="1" x14ac:dyDescent="0.25">
      <c r="A418" s="450"/>
      <c r="B418" s="877"/>
      <c r="C418" s="884" t="s">
        <v>1868</v>
      </c>
      <c r="D418" s="884" t="s">
        <v>889</v>
      </c>
      <c r="E418" s="655" t="s">
        <v>26</v>
      </c>
      <c r="F418" s="561">
        <v>352608351</v>
      </c>
      <c r="G418" s="562">
        <v>352608351</v>
      </c>
      <c r="H418" s="561">
        <v>0</v>
      </c>
      <c r="I418" s="561">
        <v>0</v>
      </c>
      <c r="J418" s="562">
        <v>0</v>
      </c>
      <c r="K418" s="561">
        <v>0</v>
      </c>
      <c r="L418" s="561">
        <v>0</v>
      </c>
      <c r="M418" s="561">
        <v>0</v>
      </c>
      <c r="N418" s="561">
        <v>0</v>
      </c>
      <c r="O418" s="560"/>
      <c r="P418" s="449"/>
    </row>
    <row r="419" spans="1:16" s="247" customFormat="1" ht="12" customHeight="1" x14ac:dyDescent="0.25">
      <c r="A419" s="450"/>
      <c r="B419" s="877"/>
      <c r="C419" s="884"/>
      <c r="D419" s="884" t="s">
        <v>889</v>
      </c>
      <c r="E419" s="655" t="s">
        <v>3212</v>
      </c>
      <c r="F419" s="561">
        <v>1409515</v>
      </c>
      <c r="G419" s="562">
        <v>1409515</v>
      </c>
      <c r="H419" s="561">
        <v>0</v>
      </c>
      <c r="I419" s="561">
        <v>0</v>
      </c>
      <c r="J419" s="562">
        <v>0</v>
      </c>
      <c r="K419" s="561">
        <v>0</v>
      </c>
      <c r="L419" s="561">
        <v>0</v>
      </c>
      <c r="M419" s="561">
        <v>0</v>
      </c>
      <c r="N419" s="561">
        <v>0</v>
      </c>
      <c r="O419" s="560"/>
      <c r="P419" s="449"/>
    </row>
    <row r="420" spans="1:16" s="247" customFormat="1" ht="12" customHeight="1" x14ac:dyDescent="0.25">
      <c r="A420" s="450"/>
      <c r="B420" s="877"/>
      <c r="C420" s="884"/>
      <c r="D420" s="884" t="s">
        <v>889</v>
      </c>
      <c r="E420" s="655" t="s">
        <v>195</v>
      </c>
      <c r="F420" s="561">
        <v>1123819</v>
      </c>
      <c r="G420" s="562">
        <v>1123819</v>
      </c>
      <c r="H420" s="561">
        <v>0</v>
      </c>
      <c r="I420" s="561">
        <v>0</v>
      </c>
      <c r="J420" s="562">
        <v>0</v>
      </c>
      <c r="K420" s="561">
        <v>0</v>
      </c>
      <c r="L420" s="561">
        <v>0</v>
      </c>
      <c r="M420" s="561">
        <v>0</v>
      </c>
      <c r="N420" s="561">
        <v>0</v>
      </c>
      <c r="O420" s="560"/>
      <c r="P420" s="449"/>
    </row>
    <row r="421" spans="1:16" s="247" customFormat="1" ht="12" customHeight="1" x14ac:dyDescent="0.25">
      <c r="A421" s="450"/>
      <c r="B421" s="877"/>
      <c r="C421" s="884"/>
      <c r="D421" s="884" t="s">
        <v>889</v>
      </c>
      <c r="E421" s="655" t="s">
        <v>1221</v>
      </c>
      <c r="F421" s="561">
        <v>1931850</v>
      </c>
      <c r="G421" s="562">
        <v>1931850</v>
      </c>
      <c r="H421" s="561">
        <v>0</v>
      </c>
      <c r="I421" s="561">
        <v>0</v>
      </c>
      <c r="J421" s="562">
        <v>0</v>
      </c>
      <c r="K421" s="561">
        <v>0</v>
      </c>
      <c r="L421" s="561">
        <v>0</v>
      </c>
      <c r="M421" s="561">
        <v>0</v>
      </c>
      <c r="N421" s="561">
        <v>0</v>
      </c>
      <c r="O421" s="560"/>
      <c r="P421" s="449"/>
    </row>
    <row r="422" spans="1:16" s="247" customFormat="1" ht="12" customHeight="1" x14ac:dyDescent="0.25">
      <c r="A422" s="450"/>
      <c r="B422" s="877"/>
      <c r="C422" s="884" t="s">
        <v>1869</v>
      </c>
      <c r="D422" s="884" t="s">
        <v>1707</v>
      </c>
      <c r="E422" s="655" t="s">
        <v>26</v>
      </c>
      <c r="F422" s="561">
        <v>340733421</v>
      </c>
      <c r="G422" s="562">
        <v>340733421</v>
      </c>
      <c r="H422" s="561">
        <v>0</v>
      </c>
      <c r="I422" s="561">
        <v>0</v>
      </c>
      <c r="J422" s="562">
        <v>0</v>
      </c>
      <c r="K422" s="561">
        <v>0</v>
      </c>
      <c r="L422" s="561">
        <v>0</v>
      </c>
      <c r="M422" s="561">
        <v>0</v>
      </c>
      <c r="N422" s="561">
        <v>0</v>
      </c>
      <c r="O422" s="560"/>
      <c r="P422" s="449"/>
    </row>
    <row r="423" spans="1:16" s="247" customFormat="1" ht="12" customHeight="1" x14ac:dyDescent="0.25">
      <c r="A423" s="450"/>
      <c r="B423" s="877"/>
      <c r="C423" s="884"/>
      <c r="D423" s="884" t="s">
        <v>1707</v>
      </c>
      <c r="E423" s="655" t="s">
        <v>3212</v>
      </c>
      <c r="F423" s="561">
        <v>162510</v>
      </c>
      <c r="G423" s="562">
        <v>162510</v>
      </c>
      <c r="H423" s="561">
        <v>0</v>
      </c>
      <c r="I423" s="561">
        <v>0</v>
      </c>
      <c r="J423" s="562">
        <v>0</v>
      </c>
      <c r="K423" s="561">
        <v>0</v>
      </c>
      <c r="L423" s="561">
        <v>0</v>
      </c>
      <c r="M423" s="561">
        <v>0</v>
      </c>
      <c r="N423" s="561">
        <v>0</v>
      </c>
      <c r="O423" s="560"/>
      <c r="P423" s="449"/>
    </row>
    <row r="424" spans="1:16" s="247" customFormat="1" ht="12" customHeight="1" x14ac:dyDescent="0.25">
      <c r="A424" s="450"/>
      <c r="B424" s="877"/>
      <c r="C424" s="884" t="s">
        <v>1870</v>
      </c>
      <c r="D424" s="884" t="s">
        <v>891</v>
      </c>
      <c r="E424" s="655" t="s">
        <v>26</v>
      </c>
      <c r="F424" s="561">
        <v>101145451</v>
      </c>
      <c r="G424" s="562">
        <v>101145451</v>
      </c>
      <c r="H424" s="561">
        <v>0</v>
      </c>
      <c r="I424" s="561">
        <v>0</v>
      </c>
      <c r="J424" s="562">
        <v>0</v>
      </c>
      <c r="K424" s="561">
        <v>0</v>
      </c>
      <c r="L424" s="561">
        <v>0</v>
      </c>
      <c r="M424" s="561">
        <v>0</v>
      </c>
      <c r="N424" s="561">
        <v>0</v>
      </c>
      <c r="O424" s="560"/>
      <c r="P424" s="449"/>
    </row>
    <row r="425" spans="1:16" s="247" customFormat="1" ht="12" customHeight="1" x14ac:dyDescent="0.25">
      <c r="A425" s="450"/>
      <c r="B425" s="877"/>
      <c r="C425" s="884"/>
      <c r="D425" s="884" t="s">
        <v>891</v>
      </c>
      <c r="E425" s="655" t="s">
        <v>22</v>
      </c>
      <c r="F425" s="561">
        <v>68819215</v>
      </c>
      <c r="G425" s="562">
        <v>68819215</v>
      </c>
      <c r="H425" s="561">
        <v>0</v>
      </c>
      <c r="I425" s="561">
        <v>0</v>
      </c>
      <c r="J425" s="562">
        <v>0</v>
      </c>
      <c r="K425" s="561">
        <v>0</v>
      </c>
      <c r="L425" s="561">
        <v>0</v>
      </c>
      <c r="M425" s="561">
        <v>0</v>
      </c>
      <c r="N425" s="561">
        <v>0</v>
      </c>
      <c r="O425" s="560"/>
      <c r="P425" s="449"/>
    </row>
    <row r="426" spans="1:16" s="247" customFormat="1" ht="12" hidden="1" customHeight="1" x14ac:dyDescent="0.25">
      <c r="A426" s="450"/>
      <c r="B426" s="877"/>
      <c r="C426" s="884"/>
      <c r="D426" s="884" t="s">
        <v>891</v>
      </c>
      <c r="E426" s="655" t="s">
        <v>2601</v>
      </c>
      <c r="F426" s="561">
        <v>182526549</v>
      </c>
      <c r="G426" s="562">
        <v>182526549</v>
      </c>
      <c r="H426" s="561">
        <v>0</v>
      </c>
      <c r="I426" s="561">
        <v>0</v>
      </c>
      <c r="J426" s="562">
        <v>0</v>
      </c>
      <c r="K426" s="561">
        <v>0</v>
      </c>
      <c r="L426" s="561">
        <v>0</v>
      </c>
      <c r="M426" s="561">
        <v>0</v>
      </c>
      <c r="N426" s="561">
        <v>0</v>
      </c>
      <c r="O426" s="560"/>
      <c r="P426" s="449"/>
    </row>
    <row r="427" spans="1:16" s="247" customFormat="1" ht="12" customHeight="1" x14ac:dyDescent="0.25">
      <c r="A427" s="450"/>
      <c r="B427" s="877"/>
      <c r="C427" s="884" t="s">
        <v>1871</v>
      </c>
      <c r="D427" s="884" t="s">
        <v>1642</v>
      </c>
      <c r="E427" s="655" t="s">
        <v>26</v>
      </c>
      <c r="F427" s="561">
        <v>101899057</v>
      </c>
      <c r="G427" s="562">
        <v>101899057</v>
      </c>
      <c r="H427" s="561">
        <v>0</v>
      </c>
      <c r="I427" s="561">
        <v>0</v>
      </c>
      <c r="J427" s="562">
        <v>0</v>
      </c>
      <c r="K427" s="561">
        <v>0</v>
      </c>
      <c r="L427" s="561">
        <v>0</v>
      </c>
      <c r="M427" s="561">
        <v>0</v>
      </c>
      <c r="N427" s="561">
        <v>0</v>
      </c>
      <c r="O427" s="560"/>
      <c r="P427" s="449"/>
    </row>
    <row r="428" spans="1:16" s="247" customFormat="1" ht="12" hidden="1" customHeight="1" x14ac:dyDescent="0.25">
      <c r="A428" s="450"/>
      <c r="B428" s="877"/>
      <c r="C428" s="884"/>
      <c r="D428" s="884" t="s">
        <v>1642</v>
      </c>
      <c r="E428" s="655" t="s">
        <v>2601</v>
      </c>
      <c r="F428" s="561">
        <v>226304623</v>
      </c>
      <c r="G428" s="562">
        <v>226304623</v>
      </c>
      <c r="H428" s="561">
        <v>0</v>
      </c>
      <c r="I428" s="561">
        <v>0</v>
      </c>
      <c r="J428" s="562">
        <v>0</v>
      </c>
      <c r="K428" s="561">
        <v>0</v>
      </c>
      <c r="L428" s="561">
        <v>0</v>
      </c>
      <c r="M428" s="561">
        <v>0</v>
      </c>
      <c r="N428" s="561">
        <v>0</v>
      </c>
      <c r="O428" s="560"/>
      <c r="P428" s="449"/>
    </row>
    <row r="429" spans="1:16" s="247" customFormat="1" ht="12" customHeight="1" x14ac:dyDescent="0.25">
      <c r="A429" s="450"/>
      <c r="B429" s="877"/>
      <c r="C429" s="884"/>
      <c r="D429" s="884" t="s">
        <v>1642</v>
      </c>
      <c r="E429" s="655" t="s">
        <v>2676</v>
      </c>
      <c r="F429" s="561">
        <v>724175</v>
      </c>
      <c r="G429" s="562">
        <v>724175</v>
      </c>
      <c r="H429" s="561">
        <v>0</v>
      </c>
      <c r="I429" s="561">
        <v>0</v>
      </c>
      <c r="J429" s="562">
        <v>0</v>
      </c>
      <c r="K429" s="561">
        <v>0</v>
      </c>
      <c r="L429" s="561">
        <v>0</v>
      </c>
      <c r="M429" s="561">
        <v>0</v>
      </c>
      <c r="N429" s="561">
        <v>0</v>
      </c>
      <c r="O429" s="560"/>
      <c r="P429" s="449"/>
    </row>
    <row r="430" spans="1:16" s="247" customFormat="1" ht="12" customHeight="1" x14ac:dyDescent="0.25">
      <c r="A430" s="450"/>
      <c r="B430" s="877"/>
      <c r="C430" s="884"/>
      <c r="D430" s="884" t="s">
        <v>1642</v>
      </c>
      <c r="E430" s="655" t="s">
        <v>1221</v>
      </c>
      <c r="F430" s="561">
        <v>1931850</v>
      </c>
      <c r="G430" s="562">
        <v>1931850</v>
      </c>
      <c r="H430" s="561">
        <v>0</v>
      </c>
      <c r="I430" s="561">
        <v>0</v>
      </c>
      <c r="J430" s="562">
        <v>0</v>
      </c>
      <c r="K430" s="561">
        <v>0</v>
      </c>
      <c r="L430" s="561">
        <v>0</v>
      </c>
      <c r="M430" s="561">
        <v>0</v>
      </c>
      <c r="N430" s="561">
        <v>0</v>
      </c>
      <c r="O430" s="560"/>
      <c r="P430" s="449"/>
    </row>
    <row r="431" spans="1:16" s="247" customFormat="1" ht="12" customHeight="1" x14ac:dyDescent="0.25">
      <c r="A431" s="450"/>
      <c r="B431" s="877"/>
      <c r="C431" s="884" t="s">
        <v>1872</v>
      </c>
      <c r="D431" s="884" t="s">
        <v>1643</v>
      </c>
      <c r="E431" s="655" t="s">
        <v>26</v>
      </c>
      <c r="F431" s="561">
        <v>98269000</v>
      </c>
      <c r="G431" s="562">
        <v>98269000</v>
      </c>
      <c r="H431" s="561">
        <v>0</v>
      </c>
      <c r="I431" s="561">
        <v>0</v>
      </c>
      <c r="J431" s="562">
        <v>0</v>
      </c>
      <c r="K431" s="561">
        <v>0</v>
      </c>
      <c r="L431" s="561">
        <v>0</v>
      </c>
      <c r="M431" s="561">
        <v>0</v>
      </c>
      <c r="N431" s="561">
        <v>0</v>
      </c>
      <c r="O431" s="560"/>
      <c r="P431" s="449"/>
    </row>
    <row r="432" spans="1:16" s="247" customFormat="1" ht="12" hidden="1" customHeight="1" x14ac:dyDescent="0.25">
      <c r="A432" s="450"/>
      <c r="B432" s="877"/>
      <c r="C432" s="884"/>
      <c r="D432" s="884" t="s">
        <v>1643</v>
      </c>
      <c r="E432" s="655" t="s">
        <v>2601</v>
      </c>
      <c r="F432" s="561">
        <v>225729348</v>
      </c>
      <c r="G432" s="562">
        <v>225729348</v>
      </c>
      <c r="H432" s="561">
        <v>0</v>
      </c>
      <c r="I432" s="561">
        <v>0</v>
      </c>
      <c r="J432" s="562">
        <v>0</v>
      </c>
      <c r="K432" s="561">
        <v>0</v>
      </c>
      <c r="L432" s="561">
        <v>0</v>
      </c>
      <c r="M432" s="561">
        <v>0</v>
      </c>
      <c r="N432" s="561">
        <v>0</v>
      </c>
      <c r="O432" s="560"/>
      <c r="P432" s="449"/>
    </row>
    <row r="433" spans="1:16" s="247" customFormat="1" ht="12" customHeight="1" x14ac:dyDescent="0.25">
      <c r="A433" s="450"/>
      <c r="B433" s="877"/>
      <c r="C433" s="884" t="s">
        <v>1873</v>
      </c>
      <c r="D433" s="884" t="s">
        <v>892</v>
      </c>
      <c r="E433" s="655" t="s">
        <v>26</v>
      </c>
      <c r="F433" s="561">
        <v>80844120</v>
      </c>
      <c r="G433" s="562">
        <v>80844120</v>
      </c>
      <c r="H433" s="561">
        <v>0</v>
      </c>
      <c r="I433" s="561">
        <v>0</v>
      </c>
      <c r="J433" s="562">
        <v>0</v>
      </c>
      <c r="K433" s="561">
        <v>0</v>
      </c>
      <c r="L433" s="561">
        <v>0</v>
      </c>
      <c r="M433" s="561">
        <v>0</v>
      </c>
      <c r="N433" s="561">
        <v>0</v>
      </c>
      <c r="O433" s="560"/>
      <c r="P433" s="449"/>
    </row>
    <row r="434" spans="1:16" s="247" customFormat="1" ht="12" hidden="1" customHeight="1" x14ac:dyDescent="0.25">
      <c r="A434" s="450"/>
      <c r="B434" s="877"/>
      <c r="C434" s="884"/>
      <c r="D434" s="884" t="s">
        <v>892</v>
      </c>
      <c r="E434" s="655" t="s">
        <v>1557</v>
      </c>
      <c r="F434" s="561">
        <v>188636280</v>
      </c>
      <c r="G434" s="562">
        <v>0</v>
      </c>
      <c r="H434" s="561">
        <v>188636280</v>
      </c>
      <c r="I434" s="561">
        <v>0</v>
      </c>
      <c r="J434" s="562">
        <v>188636280</v>
      </c>
      <c r="K434" s="561">
        <v>0</v>
      </c>
      <c r="L434" s="561">
        <v>0</v>
      </c>
      <c r="M434" s="561">
        <v>0</v>
      </c>
      <c r="N434" s="561">
        <v>188636280</v>
      </c>
      <c r="O434" s="560"/>
      <c r="P434" s="449"/>
    </row>
    <row r="435" spans="1:16" s="247" customFormat="1" ht="12" customHeight="1" x14ac:dyDescent="0.25">
      <c r="A435" s="450"/>
      <c r="B435" s="877"/>
      <c r="C435" s="884" t="s">
        <v>1874</v>
      </c>
      <c r="D435" s="884" t="s">
        <v>993</v>
      </c>
      <c r="E435" s="655" t="s">
        <v>26</v>
      </c>
      <c r="F435" s="561">
        <v>352563156</v>
      </c>
      <c r="G435" s="562">
        <v>352563156</v>
      </c>
      <c r="H435" s="561">
        <v>0</v>
      </c>
      <c r="I435" s="561">
        <v>0</v>
      </c>
      <c r="J435" s="562">
        <v>0</v>
      </c>
      <c r="K435" s="561">
        <v>0</v>
      </c>
      <c r="L435" s="561">
        <v>0</v>
      </c>
      <c r="M435" s="561">
        <v>0</v>
      </c>
      <c r="N435" s="561">
        <v>0</v>
      </c>
      <c r="O435" s="560"/>
      <c r="P435" s="449"/>
    </row>
    <row r="436" spans="1:16" s="247" customFormat="1" ht="12" customHeight="1" x14ac:dyDescent="0.25">
      <c r="A436" s="450"/>
      <c r="B436" s="877"/>
      <c r="C436" s="884"/>
      <c r="D436" s="884" t="s">
        <v>993</v>
      </c>
      <c r="E436" s="655" t="s">
        <v>3212</v>
      </c>
      <c r="F436" s="561">
        <v>143754</v>
      </c>
      <c r="G436" s="562">
        <v>0</v>
      </c>
      <c r="H436" s="561">
        <v>143754</v>
      </c>
      <c r="I436" s="561">
        <v>0</v>
      </c>
      <c r="J436" s="562">
        <v>143754</v>
      </c>
      <c r="K436" s="561">
        <v>0</v>
      </c>
      <c r="L436" s="561">
        <v>0</v>
      </c>
      <c r="M436" s="561">
        <v>0</v>
      </c>
      <c r="N436" s="561">
        <v>143754</v>
      </c>
      <c r="O436" s="560"/>
      <c r="P436" s="449"/>
    </row>
    <row r="437" spans="1:16" s="247" customFormat="1" ht="12" customHeight="1" x14ac:dyDescent="0.25">
      <c r="A437" s="450"/>
      <c r="B437" s="877"/>
      <c r="C437" s="884" t="s">
        <v>1875</v>
      </c>
      <c r="D437" s="884" t="s">
        <v>2607</v>
      </c>
      <c r="E437" s="655" t="s">
        <v>26</v>
      </c>
      <c r="F437" s="561">
        <v>181457000</v>
      </c>
      <c r="G437" s="562">
        <v>181457000</v>
      </c>
      <c r="H437" s="561">
        <v>0</v>
      </c>
      <c r="I437" s="561">
        <v>0</v>
      </c>
      <c r="J437" s="562">
        <v>0</v>
      </c>
      <c r="K437" s="561">
        <v>0</v>
      </c>
      <c r="L437" s="561">
        <v>0</v>
      </c>
      <c r="M437" s="561">
        <v>0</v>
      </c>
      <c r="N437" s="561">
        <v>0</v>
      </c>
      <c r="O437" s="560"/>
      <c r="P437" s="449"/>
    </row>
    <row r="438" spans="1:16" s="247" customFormat="1" ht="12" hidden="1" customHeight="1" x14ac:dyDescent="0.25">
      <c r="A438" s="450"/>
      <c r="B438" s="877"/>
      <c r="C438" s="884"/>
      <c r="D438" s="884" t="s">
        <v>2607</v>
      </c>
      <c r="E438" s="655" t="s">
        <v>2601</v>
      </c>
      <c r="F438" s="561">
        <v>167235895</v>
      </c>
      <c r="G438" s="562">
        <v>167235895</v>
      </c>
      <c r="H438" s="561">
        <v>0</v>
      </c>
      <c r="I438" s="561">
        <v>0</v>
      </c>
      <c r="J438" s="562">
        <v>0</v>
      </c>
      <c r="K438" s="561">
        <v>0</v>
      </c>
      <c r="L438" s="561">
        <v>0</v>
      </c>
      <c r="M438" s="561">
        <v>0</v>
      </c>
      <c r="N438" s="561">
        <v>0</v>
      </c>
      <c r="O438" s="560"/>
      <c r="P438" s="449"/>
    </row>
    <row r="439" spans="1:16" s="247" customFormat="1" ht="12" customHeight="1" x14ac:dyDescent="0.25">
      <c r="A439" s="450"/>
      <c r="B439" s="877"/>
      <c r="C439" s="884" t="s">
        <v>1876</v>
      </c>
      <c r="D439" s="884" t="s">
        <v>1708</v>
      </c>
      <c r="E439" s="655" t="s">
        <v>26</v>
      </c>
      <c r="F439" s="561">
        <v>85188719</v>
      </c>
      <c r="G439" s="562">
        <v>85188719</v>
      </c>
      <c r="H439" s="561">
        <v>0</v>
      </c>
      <c r="I439" s="561">
        <v>0</v>
      </c>
      <c r="J439" s="562">
        <v>0</v>
      </c>
      <c r="K439" s="561">
        <v>0</v>
      </c>
      <c r="L439" s="561">
        <v>0</v>
      </c>
      <c r="M439" s="561">
        <v>0</v>
      </c>
      <c r="N439" s="561">
        <v>0</v>
      </c>
      <c r="O439" s="560"/>
      <c r="P439" s="449"/>
    </row>
    <row r="440" spans="1:16" s="247" customFormat="1" ht="12" hidden="1" customHeight="1" x14ac:dyDescent="0.25">
      <c r="A440" s="450"/>
      <c r="B440" s="877"/>
      <c r="C440" s="884"/>
      <c r="D440" s="884" t="s">
        <v>1708</v>
      </c>
      <c r="E440" s="655" t="s">
        <v>1557</v>
      </c>
      <c r="F440" s="561">
        <v>198773677</v>
      </c>
      <c r="G440" s="562">
        <v>198773677</v>
      </c>
      <c r="H440" s="561">
        <v>0</v>
      </c>
      <c r="I440" s="561">
        <v>0</v>
      </c>
      <c r="J440" s="562">
        <v>0</v>
      </c>
      <c r="K440" s="561">
        <v>0</v>
      </c>
      <c r="L440" s="561">
        <v>0</v>
      </c>
      <c r="M440" s="561">
        <v>0</v>
      </c>
      <c r="N440" s="561">
        <v>0</v>
      </c>
      <c r="O440" s="560"/>
      <c r="P440" s="449"/>
    </row>
    <row r="441" spans="1:16" s="247" customFormat="1" ht="12" customHeight="1" x14ac:dyDescent="0.25">
      <c r="A441" s="450"/>
      <c r="B441" s="877"/>
      <c r="C441" s="884"/>
      <c r="D441" s="884" t="s">
        <v>1708</v>
      </c>
      <c r="E441" s="655" t="s">
        <v>822</v>
      </c>
      <c r="F441" s="561">
        <v>408384</v>
      </c>
      <c r="G441" s="562">
        <v>408384</v>
      </c>
      <c r="H441" s="561">
        <v>0</v>
      </c>
      <c r="I441" s="561">
        <v>0</v>
      </c>
      <c r="J441" s="562">
        <v>0</v>
      </c>
      <c r="K441" s="561">
        <v>0</v>
      </c>
      <c r="L441" s="561">
        <v>0</v>
      </c>
      <c r="M441" s="561">
        <v>0</v>
      </c>
      <c r="N441" s="561">
        <v>0</v>
      </c>
      <c r="O441" s="560"/>
      <c r="P441" s="449"/>
    </row>
    <row r="442" spans="1:16" s="247" customFormat="1" ht="12" customHeight="1" x14ac:dyDescent="0.25">
      <c r="A442" s="450"/>
      <c r="B442" s="877"/>
      <c r="C442" s="884"/>
      <c r="D442" s="884" t="s">
        <v>1708</v>
      </c>
      <c r="E442" s="655" t="s">
        <v>3212</v>
      </c>
      <c r="F442" s="561">
        <v>83142</v>
      </c>
      <c r="G442" s="562">
        <v>83142</v>
      </c>
      <c r="H442" s="561">
        <v>0</v>
      </c>
      <c r="I442" s="561">
        <v>0</v>
      </c>
      <c r="J442" s="562">
        <v>0</v>
      </c>
      <c r="K442" s="561">
        <v>0</v>
      </c>
      <c r="L442" s="561">
        <v>0</v>
      </c>
      <c r="M442" s="561">
        <v>0</v>
      </c>
      <c r="N442" s="561">
        <v>0</v>
      </c>
      <c r="O442" s="560"/>
      <c r="P442" s="449"/>
    </row>
    <row r="443" spans="1:16" s="247" customFormat="1" ht="12" customHeight="1" x14ac:dyDescent="0.25">
      <c r="A443" s="450"/>
      <c r="B443" s="877"/>
      <c r="C443" s="884"/>
      <c r="D443" s="884" t="s">
        <v>1708</v>
      </c>
      <c r="E443" s="655" t="s">
        <v>2676</v>
      </c>
      <c r="F443" s="561">
        <v>1166139</v>
      </c>
      <c r="G443" s="562">
        <v>1166139</v>
      </c>
      <c r="H443" s="561">
        <v>0</v>
      </c>
      <c r="I443" s="561">
        <v>0</v>
      </c>
      <c r="J443" s="562">
        <v>0</v>
      </c>
      <c r="K443" s="561">
        <v>0</v>
      </c>
      <c r="L443" s="561">
        <v>0</v>
      </c>
      <c r="M443" s="561">
        <v>0</v>
      </c>
      <c r="N443" s="561">
        <v>0</v>
      </c>
      <c r="O443" s="560"/>
      <c r="P443" s="449"/>
    </row>
    <row r="444" spans="1:16" s="247" customFormat="1" ht="12" customHeight="1" x14ac:dyDescent="0.25">
      <c r="A444" s="450"/>
      <c r="B444" s="877"/>
      <c r="C444" s="884" t="s">
        <v>2534</v>
      </c>
      <c r="D444" s="884" t="s">
        <v>2608</v>
      </c>
      <c r="E444" s="655" t="s">
        <v>26</v>
      </c>
      <c r="F444" s="561">
        <v>199424367</v>
      </c>
      <c r="G444" s="562">
        <v>199424367</v>
      </c>
      <c r="H444" s="561">
        <v>0</v>
      </c>
      <c r="I444" s="561">
        <v>0</v>
      </c>
      <c r="J444" s="562">
        <v>0</v>
      </c>
      <c r="K444" s="561">
        <v>0</v>
      </c>
      <c r="L444" s="561">
        <v>0</v>
      </c>
      <c r="M444" s="561">
        <v>0</v>
      </c>
      <c r="N444" s="561">
        <v>0</v>
      </c>
      <c r="O444" s="560"/>
      <c r="P444" s="449"/>
    </row>
    <row r="445" spans="1:16" s="247" customFormat="1" ht="12" hidden="1" customHeight="1" x14ac:dyDescent="0.25">
      <c r="A445" s="450"/>
      <c r="B445" s="877"/>
      <c r="C445" s="884"/>
      <c r="D445" s="884" t="s">
        <v>2608</v>
      </c>
      <c r="E445" s="655" t="s">
        <v>2601</v>
      </c>
      <c r="F445" s="561">
        <v>168152633</v>
      </c>
      <c r="G445" s="562">
        <v>168152633</v>
      </c>
      <c r="H445" s="561">
        <v>0</v>
      </c>
      <c r="I445" s="561">
        <v>0</v>
      </c>
      <c r="J445" s="562">
        <v>0</v>
      </c>
      <c r="K445" s="561">
        <v>0</v>
      </c>
      <c r="L445" s="561">
        <v>0</v>
      </c>
      <c r="M445" s="561">
        <v>0</v>
      </c>
      <c r="N445" s="561">
        <v>0</v>
      </c>
      <c r="O445" s="560"/>
      <c r="P445" s="449"/>
    </row>
    <row r="446" spans="1:16" s="247" customFormat="1" ht="12" customHeight="1" x14ac:dyDescent="0.25">
      <c r="A446" s="450"/>
      <c r="B446" s="877"/>
      <c r="C446" s="884"/>
      <c r="D446" s="884" t="s">
        <v>2608</v>
      </c>
      <c r="E446" s="655" t="s">
        <v>2676</v>
      </c>
      <c r="F446" s="561">
        <v>1434902</v>
      </c>
      <c r="G446" s="562">
        <v>0</v>
      </c>
      <c r="H446" s="561">
        <v>1434902</v>
      </c>
      <c r="I446" s="561">
        <v>0</v>
      </c>
      <c r="J446" s="562">
        <v>1434902</v>
      </c>
      <c r="K446" s="561">
        <v>0</v>
      </c>
      <c r="L446" s="561">
        <v>0</v>
      </c>
      <c r="M446" s="561">
        <v>0</v>
      </c>
      <c r="N446" s="561">
        <v>1434902</v>
      </c>
      <c r="O446" s="560"/>
      <c r="P446" s="449"/>
    </row>
    <row r="447" spans="1:16" s="247" customFormat="1" ht="12" customHeight="1" x14ac:dyDescent="0.25">
      <c r="A447" s="450"/>
      <c r="B447" s="877"/>
      <c r="C447" s="884" t="s">
        <v>1877</v>
      </c>
      <c r="D447" s="884" t="s">
        <v>893</v>
      </c>
      <c r="E447" s="655" t="s">
        <v>26</v>
      </c>
      <c r="F447" s="561">
        <v>100609123</v>
      </c>
      <c r="G447" s="562">
        <v>100609123</v>
      </c>
      <c r="H447" s="561">
        <v>0</v>
      </c>
      <c r="I447" s="561">
        <v>0</v>
      </c>
      <c r="J447" s="562">
        <v>0</v>
      </c>
      <c r="K447" s="561">
        <v>0</v>
      </c>
      <c r="L447" s="561">
        <v>0</v>
      </c>
      <c r="M447" s="561">
        <v>0</v>
      </c>
      <c r="N447" s="561">
        <v>0</v>
      </c>
      <c r="O447" s="560"/>
      <c r="P447" s="449"/>
    </row>
    <row r="448" spans="1:16" s="247" customFormat="1" ht="12" hidden="1" customHeight="1" x14ac:dyDescent="0.25">
      <c r="A448" s="450"/>
      <c r="B448" s="877"/>
      <c r="C448" s="884"/>
      <c r="D448" s="884" t="s">
        <v>893</v>
      </c>
      <c r="E448" s="655" t="s">
        <v>2601</v>
      </c>
      <c r="F448" s="561">
        <v>225000000</v>
      </c>
      <c r="G448" s="562">
        <v>225000000</v>
      </c>
      <c r="H448" s="561">
        <v>0</v>
      </c>
      <c r="I448" s="561">
        <v>0</v>
      </c>
      <c r="J448" s="562">
        <v>0</v>
      </c>
      <c r="K448" s="561">
        <v>0</v>
      </c>
      <c r="L448" s="561">
        <v>0</v>
      </c>
      <c r="M448" s="561">
        <v>0</v>
      </c>
      <c r="N448" s="561">
        <v>0</v>
      </c>
      <c r="O448" s="560"/>
      <c r="P448" s="449"/>
    </row>
    <row r="449" spans="1:16" s="247" customFormat="1" ht="12" customHeight="1" x14ac:dyDescent="0.25">
      <c r="A449" s="450"/>
      <c r="B449" s="877"/>
      <c r="C449" s="884"/>
      <c r="D449" s="884" t="s">
        <v>893</v>
      </c>
      <c r="E449" s="655" t="s">
        <v>3212</v>
      </c>
      <c r="F449" s="561">
        <v>111901</v>
      </c>
      <c r="G449" s="562">
        <v>111901</v>
      </c>
      <c r="H449" s="561">
        <v>0</v>
      </c>
      <c r="I449" s="561">
        <v>0</v>
      </c>
      <c r="J449" s="562">
        <v>0</v>
      </c>
      <c r="K449" s="561">
        <v>0</v>
      </c>
      <c r="L449" s="561">
        <v>0</v>
      </c>
      <c r="M449" s="561">
        <v>0</v>
      </c>
      <c r="N449" s="561">
        <v>0</v>
      </c>
      <c r="O449" s="560"/>
      <c r="P449" s="449"/>
    </row>
    <row r="450" spans="1:16" s="247" customFormat="1" ht="12" customHeight="1" x14ac:dyDescent="0.25">
      <c r="A450" s="450"/>
      <c r="B450" s="877"/>
      <c r="C450" s="884"/>
      <c r="D450" s="884" t="s">
        <v>893</v>
      </c>
      <c r="E450" s="655" t="s">
        <v>195</v>
      </c>
      <c r="F450" s="561">
        <v>71791</v>
      </c>
      <c r="G450" s="562">
        <v>71791</v>
      </c>
      <c r="H450" s="561">
        <v>0</v>
      </c>
      <c r="I450" s="561">
        <v>0</v>
      </c>
      <c r="J450" s="562">
        <v>0</v>
      </c>
      <c r="K450" s="561">
        <v>0</v>
      </c>
      <c r="L450" s="561">
        <v>0</v>
      </c>
      <c r="M450" s="561">
        <v>0</v>
      </c>
      <c r="N450" s="561">
        <v>0</v>
      </c>
      <c r="O450" s="560"/>
      <c r="P450" s="449"/>
    </row>
    <row r="451" spans="1:16" s="247" customFormat="1" ht="12" customHeight="1" x14ac:dyDescent="0.25">
      <c r="A451" s="450"/>
      <c r="B451" s="877"/>
      <c r="C451" s="677" t="s">
        <v>1878</v>
      </c>
      <c r="D451" s="677" t="s">
        <v>1644</v>
      </c>
      <c r="E451" s="655" t="s">
        <v>26</v>
      </c>
      <c r="F451" s="561">
        <v>261591999</v>
      </c>
      <c r="G451" s="562">
        <v>261591999</v>
      </c>
      <c r="H451" s="561">
        <v>0</v>
      </c>
      <c r="I451" s="561">
        <v>0</v>
      </c>
      <c r="J451" s="562">
        <v>0</v>
      </c>
      <c r="K451" s="561">
        <v>0</v>
      </c>
      <c r="L451" s="561">
        <v>0</v>
      </c>
      <c r="M451" s="561">
        <v>0</v>
      </c>
      <c r="N451" s="561">
        <v>0</v>
      </c>
      <c r="O451" s="560"/>
      <c r="P451" s="449"/>
    </row>
    <row r="452" spans="1:16" s="247" customFormat="1" ht="12" customHeight="1" x14ac:dyDescent="0.25">
      <c r="A452" s="450"/>
      <c r="B452" s="877"/>
      <c r="C452" s="884" t="s">
        <v>1879</v>
      </c>
      <c r="D452" s="884" t="s">
        <v>2951</v>
      </c>
      <c r="E452" s="655" t="s">
        <v>26</v>
      </c>
      <c r="F452" s="561">
        <v>347120750</v>
      </c>
      <c r="G452" s="562">
        <v>347120750</v>
      </c>
      <c r="H452" s="561">
        <v>0</v>
      </c>
      <c r="I452" s="561">
        <v>0</v>
      </c>
      <c r="J452" s="562">
        <v>0</v>
      </c>
      <c r="K452" s="561">
        <v>0</v>
      </c>
      <c r="L452" s="561">
        <v>0</v>
      </c>
      <c r="M452" s="561">
        <v>0</v>
      </c>
      <c r="N452" s="561">
        <v>0</v>
      </c>
      <c r="O452" s="560"/>
      <c r="P452" s="449"/>
    </row>
    <row r="453" spans="1:16" s="247" customFormat="1" ht="12" customHeight="1" x14ac:dyDescent="0.25">
      <c r="A453" s="450"/>
      <c r="B453" s="877"/>
      <c r="C453" s="884"/>
      <c r="D453" s="884" t="s">
        <v>2951</v>
      </c>
      <c r="E453" s="655" t="s">
        <v>3212</v>
      </c>
      <c r="F453" s="561">
        <v>19332</v>
      </c>
      <c r="G453" s="562">
        <v>0</v>
      </c>
      <c r="H453" s="561">
        <v>19332</v>
      </c>
      <c r="I453" s="561">
        <v>0</v>
      </c>
      <c r="J453" s="562">
        <v>19332</v>
      </c>
      <c r="K453" s="561">
        <v>0</v>
      </c>
      <c r="L453" s="561">
        <v>0</v>
      </c>
      <c r="M453" s="561">
        <v>0</v>
      </c>
      <c r="N453" s="561">
        <v>19332</v>
      </c>
      <c r="O453" s="560"/>
      <c r="P453" s="449"/>
    </row>
    <row r="454" spans="1:16" s="247" customFormat="1" ht="12" customHeight="1" x14ac:dyDescent="0.25">
      <c r="A454" s="450"/>
      <c r="B454" s="877"/>
      <c r="C454" s="884"/>
      <c r="D454" s="884" t="s">
        <v>2951</v>
      </c>
      <c r="E454" s="655" t="s">
        <v>195</v>
      </c>
      <c r="F454" s="561">
        <v>2036444</v>
      </c>
      <c r="G454" s="562">
        <v>2036444</v>
      </c>
      <c r="H454" s="561">
        <v>0</v>
      </c>
      <c r="I454" s="561">
        <v>0</v>
      </c>
      <c r="J454" s="562">
        <v>0</v>
      </c>
      <c r="K454" s="561">
        <v>0</v>
      </c>
      <c r="L454" s="561">
        <v>0</v>
      </c>
      <c r="M454" s="561">
        <v>0</v>
      </c>
      <c r="N454" s="561">
        <v>0</v>
      </c>
      <c r="O454" s="560"/>
      <c r="P454" s="449"/>
    </row>
    <row r="455" spans="1:16" s="247" customFormat="1" ht="12" customHeight="1" x14ac:dyDescent="0.25">
      <c r="A455" s="450"/>
      <c r="B455" s="877"/>
      <c r="C455" s="884" t="s">
        <v>1880</v>
      </c>
      <c r="D455" s="884" t="s">
        <v>920</v>
      </c>
      <c r="E455" s="655" t="s">
        <v>26</v>
      </c>
      <c r="F455" s="561">
        <v>344111805</v>
      </c>
      <c r="G455" s="562">
        <v>344111805</v>
      </c>
      <c r="H455" s="561">
        <v>0</v>
      </c>
      <c r="I455" s="561">
        <v>0</v>
      </c>
      <c r="J455" s="562">
        <v>0</v>
      </c>
      <c r="K455" s="561">
        <v>0</v>
      </c>
      <c r="L455" s="561">
        <v>0</v>
      </c>
      <c r="M455" s="561">
        <v>0</v>
      </c>
      <c r="N455" s="561">
        <v>0</v>
      </c>
      <c r="O455" s="560"/>
      <c r="P455" s="449"/>
    </row>
    <row r="456" spans="1:16" s="247" customFormat="1" ht="12" customHeight="1" x14ac:dyDescent="0.25">
      <c r="A456" s="450"/>
      <c r="B456" s="877"/>
      <c r="C456" s="884"/>
      <c r="D456" s="884" t="s">
        <v>920</v>
      </c>
      <c r="E456" s="655" t="s">
        <v>3212</v>
      </c>
      <c r="F456" s="561">
        <v>163000</v>
      </c>
      <c r="G456" s="562">
        <v>163000</v>
      </c>
      <c r="H456" s="561">
        <v>0</v>
      </c>
      <c r="I456" s="561">
        <v>0</v>
      </c>
      <c r="J456" s="562">
        <v>0</v>
      </c>
      <c r="K456" s="561">
        <v>0</v>
      </c>
      <c r="L456" s="561">
        <v>0</v>
      </c>
      <c r="M456" s="561">
        <v>0</v>
      </c>
      <c r="N456" s="561">
        <v>0</v>
      </c>
      <c r="O456" s="560"/>
      <c r="P456" s="449"/>
    </row>
    <row r="457" spans="1:16" s="247" customFormat="1" ht="12" customHeight="1" x14ac:dyDescent="0.25">
      <c r="A457" s="450"/>
      <c r="B457" s="877"/>
      <c r="C457" s="884"/>
      <c r="D457" s="884" t="s">
        <v>920</v>
      </c>
      <c r="E457" s="655" t="s">
        <v>195</v>
      </c>
      <c r="F457" s="561">
        <v>497053</v>
      </c>
      <c r="G457" s="562">
        <v>497053</v>
      </c>
      <c r="H457" s="561">
        <v>0</v>
      </c>
      <c r="I457" s="561">
        <v>0</v>
      </c>
      <c r="J457" s="562">
        <v>0</v>
      </c>
      <c r="K457" s="561">
        <v>0</v>
      </c>
      <c r="L457" s="561">
        <v>0</v>
      </c>
      <c r="M457" s="561">
        <v>0</v>
      </c>
      <c r="N457" s="561">
        <v>0</v>
      </c>
      <c r="O457" s="560"/>
      <c r="P457" s="449"/>
    </row>
    <row r="458" spans="1:16" s="247" customFormat="1" ht="12" customHeight="1" x14ac:dyDescent="0.25">
      <c r="A458" s="450"/>
      <c r="B458" s="877"/>
      <c r="C458" s="884" t="s">
        <v>1881</v>
      </c>
      <c r="D458" s="884" t="s">
        <v>894</v>
      </c>
      <c r="E458" s="655" t="s">
        <v>26</v>
      </c>
      <c r="F458" s="561">
        <v>253369524</v>
      </c>
      <c r="G458" s="562">
        <v>253369524</v>
      </c>
      <c r="H458" s="561">
        <v>0</v>
      </c>
      <c r="I458" s="561">
        <v>0</v>
      </c>
      <c r="J458" s="562">
        <v>0</v>
      </c>
      <c r="K458" s="561">
        <v>0</v>
      </c>
      <c r="L458" s="561">
        <v>0</v>
      </c>
      <c r="M458" s="561">
        <v>0</v>
      </c>
      <c r="N458" s="561">
        <v>0</v>
      </c>
      <c r="O458" s="560"/>
      <c r="P458" s="449"/>
    </row>
    <row r="459" spans="1:16" s="247" customFormat="1" ht="12" customHeight="1" x14ac:dyDescent="0.25">
      <c r="A459" s="450"/>
      <c r="B459" s="877"/>
      <c r="C459" s="884"/>
      <c r="D459" s="884" t="s">
        <v>894</v>
      </c>
      <c r="E459" s="655" t="s">
        <v>3212</v>
      </c>
      <c r="F459" s="561">
        <v>134205</v>
      </c>
      <c r="G459" s="562">
        <v>0</v>
      </c>
      <c r="H459" s="561">
        <v>134205</v>
      </c>
      <c r="I459" s="561">
        <v>0</v>
      </c>
      <c r="J459" s="562">
        <v>134205</v>
      </c>
      <c r="K459" s="561">
        <v>0</v>
      </c>
      <c r="L459" s="561">
        <v>0</v>
      </c>
      <c r="M459" s="561">
        <v>0</v>
      </c>
      <c r="N459" s="561">
        <v>134205</v>
      </c>
      <c r="O459" s="560"/>
      <c r="P459" s="449"/>
    </row>
    <row r="460" spans="1:16" s="247" customFormat="1" ht="12" customHeight="1" x14ac:dyDescent="0.25">
      <c r="A460" s="450"/>
      <c r="B460" s="877"/>
      <c r="C460" s="884"/>
      <c r="D460" s="884" t="s">
        <v>894</v>
      </c>
      <c r="E460" s="655" t="s">
        <v>195</v>
      </c>
      <c r="F460" s="561">
        <v>431956</v>
      </c>
      <c r="G460" s="562">
        <v>431956</v>
      </c>
      <c r="H460" s="561">
        <v>0</v>
      </c>
      <c r="I460" s="561">
        <v>0</v>
      </c>
      <c r="J460" s="562">
        <v>0</v>
      </c>
      <c r="K460" s="561">
        <v>0</v>
      </c>
      <c r="L460" s="561">
        <v>0</v>
      </c>
      <c r="M460" s="561">
        <v>0</v>
      </c>
      <c r="N460" s="561">
        <v>0</v>
      </c>
      <c r="O460" s="560"/>
      <c r="P460" s="449"/>
    </row>
    <row r="461" spans="1:16" s="247" customFormat="1" ht="12" customHeight="1" x14ac:dyDescent="0.25">
      <c r="A461" s="450"/>
      <c r="B461" s="877"/>
      <c r="C461" s="884" t="s">
        <v>1882</v>
      </c>
      <c r="D461" s="884" t="s">
        <v>918</v>
      </c>
      <c r="E461" s="655" t="s">
        <v>26</v>
      </c>
      <c r="F461" s="561">
        <v>126271421</v>
      </c>
      <c r="G461" s="562">
        <v>126271421</v>
      </c>
      <c r="H461" s="561">
        <v>0</v>
      </c>
      <c r="I461" s="561">
        <v>0</v>
      </c>
      <c r="J461" s="562">
        <v>0</v>
      </c>
      <c r="K461" s="561">
        <v>0</v>
      </c>
      <c r="L461" s="561">
        <v>0</v>
      </c>
      <c r="M461" s="561">
        <v>0</v>
      </c>
      <c r="N461" s="561">
        <v>0</v>
      </c>
      <c r="O461" s="560"/>
      <c r="P461" s="449"/>
    </row>
    <row r="462" spans="1:16" s="247" customFormat="1" ht="12" hidden="1" customHeight="1" x14ac:dyDescent="0.25">
      <c r="A462" s="450"/>
      <c r="B462" s="877"/>
      <c r="C462" s="884"/>
      <c r="D462" s="884" t="s">
        <v>918</v>
      </c>
      <c r="E462" s="655" t="s">
        <v>2601</v>
      </c>
      <c r="F462" s="561">
        <v>200000000</v>
      </c>
      <c r="G462" s="562">
        <v>200000000</v>
      </c>
      <c r="H462" s="561">
        <v>0</v>
      </c>
      <c r="I462" s="561">
        <v>0</v>
      </c>
      <c r="J462" s="562">
        <v>0</v>
      </c>
      <c r="K462" s="561">
        <v>0</v>
      </c>
      <c r="L462" s="561">
        <v>0</v>
      </c>
      <c r="M462" s="561">
        <v>0</v>
      </c>
      <c r="N462" s="561">
        <v>0</v>
      </c>
      <c r="O462" s="560"/>
      <c r="P462" s="449"/>
    </row>
    <row r="463" spans="1:16" s="247" customFormat="1" ht="12" customHeight="1" x14ac:dyDescent="0.25">
      <c r="A463" s="450"/>
      <c r="B463" s="877"/>
      <c r="C463" s="884" t="s">
        <v>1883</v>
      </c>
      <c r="D463" s="884" t="s">
        <v>1645</v>
      </c>
      <c r="E463" s="655" t="s">
        <v>26</v>
      </c>
      <c r="F463" s="561">
        <v>188408144</v>
      </c>
      <c r="G463" s="562">
        <v>188408144</v>
      </c>
      <c r="H463" s="561">
        <v>0</v>
      </c>
      <c r="I463" s="561">
        <v>0</v>
      </c>
      <c r="J463" s="562">
        <v>0</v>
      </c>
      <c r="K463" s="561">
        <v>0</v>
      </c>
      <c r="L463" s="561">
        <v>0</v>
      </c>
      <c r="M463" s="561">
        <v>0</v>
      </c>
      <c r="N463" s="561">
        <v>0</v>
      </c>
      <c r="O463" s="560"/>
      <c r="P463" s="449"/>
    </row>
    <row r="464" spans="1:16" s="247" customFormat="1" ht="12" hidden="1" customHeight="1" x14ac:dyDescent="0.25">
      <c r="A464" s="450"/>
      <c r="B464" s="877"/>
      <c r="C464" s="884"/>
      <c r="D464" s="884" t="s">
        <v>1645</v>
      </c>
      <c r="E464" s="655" t="s">
        <v>2601</v>
      </c>
      <c r="F464" s="561">
        <v>120800000</v>
      </c>
      <c r="G464" s="562">
        <v>120800000</v>
      </c>
      <c r="H464" s="561">
        <v>0</v>
      </c>
      <c r="I464" s="561">
        <v>0</v>
      </c>
      <c r="J464" s="562">
        <v>0</v>
      </c>
      <c r="K464" s="561">
        <v>0</v>
      </c>
      <c r="L464" s="561">
        <v>0</v>
      </c>
      <c r="M464" s="561">
        <v>0</v>
      </c>
      <c r="N464" s="561">
        <v>0</v>
      </c>
      <c r="O464" s="560"/>
      <c r="P464" s="449"/>
    </row>
    <row r="465" spans="1:16" s="247" customFormat="1" ht="12" customHeight="1" x14ac:dyDescent="0.25">
      <c r="A465" s="450"/>
      <c r="B465" s="877"/>
      <c r="C465" s="884"/>
      <c r="D465" s="884" t="s">
        <v>1645</v>
      </c>
      <c r="E465" s="655" t="s">
        <v>3212</v>
      </c>
      <c r="F465" s="561">
        <v>109783</v>
      </c>
      <c r="G465" s="562">
        <v>0</v>
      </c>
      <c r="H465" s="561">
        <v>109783</v>
      </c>
      <c r="I465" s="561">
        <v>0</v>
      </c>
      <c r="J465" s="562">
        <v>109783</v>
      </c>
      <c r="K465" s="561">
        <v>0</v>
      </c>
      <c r="L465" s="561">
        <v>0</v>
      </c>
      <c r="M465" s="561">
        <v>0</v>
      </c>
      <c r="N465" s="561">
        <v>109783</v>
      </c>
      <c r="O465" s="560"/>
      <c r="P465" s="449"/>
    </row>
    <row r="466" spans="1:16" s="247" customFormat="1" ht="12" customHeight="1" x14ac:dyDescent="0.25">
      <c r="A466" s="450"/>
      <c r="B466" s="877"/>
      <c r="C466" s="884"/>
      <c r="D466" s="884" t="s">
        <v>1645</v>
      </c>
      <c r="E466" s="655" t="s">
        <v>1221</v>
      </c>
      <c r="F466" s="561">
        <v>1931850</v>
      </c>
      <c r="G466" s="562">
        <v>1931850</v>
      </c>
      <c r="H466" s="561">
        <v>0</v>
      </c>
      <c r="I466" s="561">
        <v>0</v>
      </c>
      <c r="J466" s="562">
        <v>0</v>
      </c>
      <c r="K466" s="561">
        <v>0</v>
      </c>
      <c r="L466" s="561">
        <v>0</v>
      </c>
      <c r="M466" s="561">
        <v>0</v>
      </c>
      <c r="N466" s="561">
        <v>0</v>
      </c>
      <c r="O466" s="560"/>
      <c r="P466" s="449"/>
    </row>
    <row r="467" spans="1:16" s="247" customFormat="1" ht="12" customHeight="1" x14ac:dyDescent="0.25">
      <c r="A467" s="450"/>
      <c r="B467" s="877"/>
      <c r="C467" s="884" t="s">
        <v>1884</v>
      </c>
      <c r="D467" s="884" t="s">
        <v>981</v>
      </c>
      <c r="E467" s="655" t="s">
        <v>26</v>
      </c>
      <c r="F467" s="561">
        <v>197850283</v>
      </c>
      <c r="G467" s="562">
        <v>197850283</v>
      </c>
      <c r="H467" s="561">
        <v>0</v>
      </c>
      <c r="I467" s="561">
        <v>0</v>
      </c>
      <c r="J467" s="562">
        <v>0</v>
      </c>
      <c r="K467" s="561">
        <v>0</v>
      </c>
      <c r="L467" s="561">
        <v>0</v>
      </c>
      <c r="M467" s="561">
        <v>0</v>
      </c>
      <c r="N467" s="561">
        <v>0</v>
      </c>
      <c r="O467" s="560"/>
      <c r="P467" s="449"/>
    </row>
    <row r="468" spans="1:16" s="247" customFormat="1" ht="12" hidden="1" customHeight="1" x14ac:dyDescent="0.25">
      <c r="A468" s="450"/>
      <c r="B468" s="877"/>
      <c r="C468" s="884"/>
      <c r="D468" s="884" t="s">
        <v>981</v>
      </c>
      <c r="E468" s="655" t="s">
        <v>2601</v>
      </c>
      <c r="F468" s="561">
        <v>79000000</v>
      </c>
      <c r="G468" s="562">
        <v>79000000</v>
      </c>
      <c r="H468" s="561">
        <v>0</v>
      </c>
      <c r="I468" s="561">
        <v>0</v>
      </c>
      <c r="J468" s="562">
        <v>0</v>
      </c>
      <c r="K468" s="561">
        <v>0</v>
      </c>
      <c r="L468" s="561">
        <v>0</v>
      </c>
      <c r="M468" s="561">
        <v>0</v>
      </c>
      <c r="N468" s="561">
        <v>0</v>
      </c>
      <c r="O468" s="560"/>
      <c r="P468" s="449"/>
    </row>
    <row r="469" spans="1:16" s="247" customFormat="1" ht="12" customHeight="1" x14ac:dyDescent="0.25">
      <c r="A469" s="450"/>
      <c r="B469" s="877"/>
      <c r="C469" s="884"/>
      <c r="D469" s="884" t="s">
        <v>981</v>
      </c>
      <c r="E469" s="655" t="s">
        <v>3212</v>
      </c>
      <c r="F469" s="561">
        <v>105659</v>
      </c>
      <c r="G469" s="562">
        <v>105659</v>
      </c>
      <c r="H469" s="561">
        <v>0</v>
      </c>
      <c r="I469" s="561">
        <v>0</v>
      </c>
      <c r="J469" s="562">
        <v>0</v>
      </c>
      <c r="K469" s="561">
        <v>0</v>
      </c>
      <c r="L469" s="561">
        <v>0</v>
      </c>
      <c r="M469" s="561">
        <v>0</v>
      </c>
      <c r="N469" s="561">
        <v>0</v>
      </c>
      <c r="O469" s="560"/>
      <c r="P469" s="449"/>
    </row>
    <row r="470" spans="1:16" s="247" customFormat="1" ht="12" customHeight="1" x14ac:dyDescent="0.25">
      <c r="A470" s="450"/>
      <c r="B470" s="877"/>
      <c r="C470" s="884"/>
      <c r="D470" s="884" t="s">
        <v>981</v>
      </c>
      <c r="E470" s="655" t="s">
        <v>195</v>
      </c>
      <c r="F470" s="561">
        <v>82212</v>
      </c>
      <c r="G470" s="562">
        <v>82212</v>
      </c>
      <c r="H470" s="561">
        <v>0</v>
      </c>
      <c r="I470" s="561">
        <v>0</v>
      </c>
      <c r="J470" s="562">
        <v>0</v>
      </c>
      <c r="K470" s="561">
        <v>0</v>
      </c>
      <c r="L470" s="561">
        <v>0</v>
      </c>
      <c r="M470" s="561">
        <v>0</v>
      </c>
      <c r="N470" s="561">
        <v>0</v>
      </c>
      <c r="O470" s="560"/>
      <c r="P470" s="449"/>
    </row>
    <row r="471" spans="1:16" s="247" customFormat="1" ht="12" customHeight="1" x14ac:dyDescent="0.25">
      <c r="A471" s="450"/>
      <c r="B471" s="877"/>
      <c r="C471" s="884" t="s">
        <v>1885</v>
      </c>
      <c r="D471" s="884" t="s">
        <v>895</v>
      </c>
      <c r="E471" s="655" t="s">
        <v>26</v>
      </c>
      <c r="F471" s="561">
        <v>340506333</v>
      </c>
      <c r="G471" s="562">
        <v>340506333</v>
      </c>
      <c r="H471" s="561">
        <v>0</v>
      </c>
      <c r="I471" s="561">
        <v>0</v>
      </c>
      <c r="J471" s="562">
        <v>0</v>
      </c>
      <c r="K471" s="561">
        <v>0</v>
      </c>
      <c r="L471" s="561">
        <v>0</v>
      </c>
      <c r="M471" s="561">
        <v>0</v>
      </c>
      <c r="N471" s="561">
        <v>0</v>
      </c>
      <c r="O471" s="560"/>
      <c r="P471" s="449"/>
    </row>
    <row r="472" spans="1:16" s="247" customFormat="1" ht="12" customHeight="1" x14ac:dyDescent="0.25">
      <c r="A472" s="450"/>
      <c r="B472" s="877"/>
      <c r="C472" s="884"/>
      <c r="D472" s="884" t="s">
        <v>895</v>
      </c>
      <c r="E472" s="655" t="s">
        <v>3212</v>
      </c>
      <c r="F472" s="561">
        <v>111050</v>
      </c>
      <c r="G472" s="562">
        <v>111050</v>
      </c>
      <c r="H472" s="561">
        <v>0</v>
      </c>
      <c r="I472" s="561">
        <v>0</v>
      </c>
      <c r="J472" s="562">
        <v>0</v>
      </c>
      <c r="K472" s="561">
        <v>0</v>
      </c>
      <c r="L472" s="561">
        <v>0</v>
      </c>
      <c r="M472" s="561">
        <v>0</v>
      </c>
      <c r="N472" s="561">
        <v>0</v>
      </c>
      <c r="O472" s="560"/>
      <c r="P472" s="449"/>
    </row>
    <row r="473" spans="1:16" s="247" customFormat="1" ht="12" customHeight="1" x14ac:dyDescent="0.25">
      <c r="A473" s="450"/>
      <c r="B473" s="877"/>
      <c r="C473" s="884" t="s">
        <v>1886</v>
      </c>
      <c r="D473" s="884" t="s">
        <v>921</v>
      </c>
      <c r="E473" s="655" t="s">
        <v>26</v>
      </c>
      <c r="F473" s="561">
        <v>107151558</v>
      </c>
      <c r="G473" s="562">
        <v>107151558</v>
      </c>
      <c r="H473" s="561">
        <v>0</v>
      </c>
      <c r="I473" s="561">
        <v>0</v>
      </c>
      <c r="J473" s="562">
        <v>0</v>
      </c>
      <c r="K473" s="561">
        <v>0</v>
      </c>
      <c r="L473" s="561">
        <v>0</v>
      </c>
      <c r="M473" s="561">
        <v>0</v>
      </c>
      <c r="N473" s="561">
        <v>0</v>
      </c>
      <c r="O473" s="560"/>
      <c r="P473" s="449"/>
    </row>
    <row r="474" spans="1:16" s="247" customFormat="1" ht="12" hidden="1" customHeight="1" x14ac:dyDescent="0.25">
      <c r="A474" s="450"/>
      <c r="B474" s="877"/>
      <c r="C474" s="884"/>
      <c r="D474" s="884" t="s">
        <v>921</v>
      </c>
      <c r="E474" s="655" t="s">
        <v>2601</v>
      </c>
      <c r="F474" s="561">
        <v>246439900</v>
      </c>
      <c r="G474" s="562">
        <v>246439900</v>
      </c>
      <c r="H474" s="561">
        <v>0</v>
      </c>
      <c r="I474" s="561">
        <v>0</v>
      </c>
      <c r="J474" s="562">
        <v>0</v>
      </c>
      <c r="K474" s="561">
        <v>0</v>
      </c>
      <c r="L474" s="561">
        <v>0</v>
      </c>
      <c r="M474" s="561">
        <v>0</v>
      </c>
      <c r="N474" s="561">
        <v>0</v>
      </c>
      <c r="O474" s="560"/>
      <c r="P474" s="449"/>
    </row>
    <row r="475" spans="1:16" s="247" customFormat="1" ht="12" customHeight="1" x14ac:dyDescent="0.25">
      <c r="A475" s="450"/>
      <c r="B475" s="877"/>
      <c r="C475" s="884"/>
      <c r="D475" s="884" t="s">
        <v>921</v>
      </c>
      <c r="E475" s="655" t="s">
        <v>3212</v>
      </c>
      <c r="F475" s="561">
        <v>95978</v>
      </c>
      <c r="G475" s="562">
        <v>95978</v>
      </c>
      <c r="H475" s="561">
        <v>0</v>
      </c>
      <c r="I475" s="561">
        <v>0</v>
      </c>
      <c r="J475" s="562">
        <v>0</v>
      </c>
      <c r="K475" s="561">
        <v>0</v>
      </c>
      <c r="L475" s="561">
        <v>0</v>
      </c>
      <c r="M475" s="561">
        <v>0</v>
      </c>
      <c r="N475" s="561">
        <v>0</v>
      </c>
      <c r="O475" s="560"/>
      <c r="P475" s="449"/>
    </row>
    <row r="476" spans="1:16" s="247" customFormat="1" ht="12" customHeight="1" x14ac:dyDescent="0.25">
      <c r="A476" s="450"/>
      <c r="B476" s="877"/>
      <c r="C476" s="884"/>
      <c r="D476" s="884" t="s">
        <v>921</v>
      </c>
      <c r="E476" s="655" t="s">
        <v>2676</v>
      </c>
      <c r="F476" s="561">
        <v>328587</v>
      </c>
      <c r="G476" s="562">
        <v>328587</v>
      </c>
      <c r="H476" s="561">
        <v>0</v>
      </c>
      <c r="I476" s="561">
        <v>0</v>
      </c>
      <c r="J476" s="562">
        <v>0</v>
      </c>
      <c r="K476" s="561">
        <v>0</v>
      </c>
      <c r="L476" s="561">
        <v>0</v>
      </c>
      <c r="M476" s="561">
        <v>0</v>
      </c>
      <c r="N476" s="561">
        <v>0</v>
      </c>
      <c r="O476" s="560"/>
      <c r="P476" s="449"/>
    </row>
    <row r="477" spans="1:16" s="247" customFormat="1" ht="12" customHeight="1" x14ac:dyDescent="0.25">
      <c r="A477" s="450"/>
      <c r="B477" s="877"/>
      <c r="C477" s="884" t="s">
        <v>1887</v>
      </c>
      <c r="D477" s="884" t="s">
        <v>896</v>
      </c>
      <c r="E477" s="655" t="s">
        <v>26</v>
      </c>
      <c r="F477" s="561">
        <v>83730000</v>
      </c>
      <c r="G477" s="562">
        <v>83730000</v>
      </c>
      <c r="H477" s="561">
        <v>0</v>
      </c>
      <c r="I477" s="561">
        <v>0</v>
      </c>
      <c r="J477" s="562">
        <v>0</v>
      </c>
      <c r="K477" s="561">
        <v>0</v>
      </c>
      <c r="L477" s="561">
        <v>0</v>
      </c>
      <c r="M477" s="561">
        <v>0</v>
      </c>
      <c r="N477" s="561">
        <v>0</v>
      </c>
      <c r="O477" s="560"/>
      <c r="P477" s="449"/>
    </row>
    <row r="478" spans="1:16" s="247" customFormat="1" ht="12" hidden="1" customHeight="1" x14ac:dyDescent="0.25">
      <c r="A478" s="450"/>
      <c r="B478" s="877"/>
      <c r="C478" s="884"/>
      <c r="D478" s="884" t="s">
        <v>896</v>
      </c>
      <c r="E478" s="655" t="s">
        <v>1557</v>
      </c>
      <c r="F478" s="561">
        <v>195370000</v>
      </c>
      <c r="G478" s="562">
        <v>195370000</v>
      </c>
      <c r="H478" s="561">
        <v>0</v>
      </c>
      <c r="I478" s="561">
        <v>0</v>
      </c>
      <c r="J478" s="562">
        <v>0</v>
      </c>
      <c r="K478" s="561">
        <v>0</v>
      </c>
      <c r="L478" s="561">
        <v>0</v>
      </c>
      <c r="M478" s="561">
        <v>0</v>
      </c>
      <c r="N478" s="561">
        <v>0</v>
      </c>
      <c r="O478" s="560"/>
      <c r="P478" s="449"/>
    </row>
    <row r="479" spans="1:16" s="247" customFormat="1" ht="12" customHeight="1" x14ac:dyDescent="0.25">
      <c r="A479" s="450"/>
      <c r="B479" s="877"/>
      <c r="C479" s="884" t="s">
        <v>1888</v>
      </c>
      <c r="D479" s="884" t="s">
        <v>1646</v>
      </c>
      <c r="E479" s="655" t="s">
        <v>26</v>
      </c>
      <c r="F479" s="561">
        <v>94978432</v>
      </c>
      <c r="G479" s="562">
        <v>94978432</v>
      </c>
      <c r="H479" s="561">
        <v>0</v>
      </c>
      <c r="I479" s="561">
        <v>0</v>
      </c>
      <c r="J479" s="562">
        <v>0</v>
      </c>
      <c r="K479" s="561">
        <v>0</v>
      </c>
      <c r="L479" s="561">
        <v>0</v>
      </c>
      <c r="M479" s="561">
        <v>0</v>
      </c>
      <c r="N479" s="561">
        <v>0</v>
      </c>
      <c r="O479" s="560"/>
      <c r="P479" s="449"/>
    </row>
    <row r="480" spans="1:16" s="247" customFormat="1" ht="12" hidden="1" customHeight="1" x14ac:dyDescent="0.25">
      <c r="A480" s="450"/>
      <c r="B480" s="877"/>
      <c r="C480" s="884"/>
      <c r="D480" s="884" t="s">
        <v>1646</v>
      </c>
      <c r="E480" s="655" t="s">
        <v>2601</v>
      </c>
      <c r="F480" s="561">
        <v>221616342</v>
      </c>
      <c r="G480" s="562">
        <v>221616342</v>
      </c>
      <c r="H480" s="561">
        <v>0</v>
      </c>
      <c r="I480" s="561">
        <v>0</v>
      </c>
      <c r="J480" s="562">
        <v>0</v>
      </c>
      <c r="K480" s="561">
        <v>0</v>
      </c>
      <c r="L480" s="561">
        <v>0</v>
      </c>
      <c r="M480" s="561">
        <v>0</v>
      </c>
      <c r="N480" s="561">
        <v>0</v>
      </c>
      <c r="O480" s="560"/>
      <c r="P480" s="449"/>
    </row>
    <row r="481" spans="1:16" s="247" customFormat="1" ht="12" customHeight="1" x14ac:dyDescent="0.25">
      <c r="A481" s="450"/>
      <c r="B481" s="877"/>
      <c r="C481" s="884"/>
      <c r="D481" s="884" t="s">
        <v>1646</v>
      </c>
      <c r="E481" s="655" t="s">
        <v>3212</v>
      </c>
      <c r="F481" s="561">
        <v>95295</v>
      </c>
      <c r="G481" s="562">
        <v>95295</v>
      </c>
      <c r="H481" s="561">
        <v>0</v>
      </c>
      <c r="I481" s="561">
        <v>0</v>
      </c>
      <c r="J481" s="562">
        <v>0</v>
      </c>
      <c r="K481" s="561">
        <v>0</v>
      </c>
      <c r="L481" s="561">
        <v>0</v>
      </c>
      <c r="M481" s="561">
        <v>0</v>
      </c>
      <c r="N481" s="561">
        <v>0</v>
      </c>
      <c r="O481" s="560"/>
      <c r="P481" s="449"/>
    </row>
    <row r="482" spans="1:16" s="247" customFormat="1" ht="12" customHeight="1" x14ac:dyDescent="0.25">
      <c r="A482" s="450"/>
      <c r="B482" s="877"/>
      <c r="C482" s="884" t="s">
        <v>1889</v>
      </c>
      <c r="D482" s="884" t="s">
        <v>1573</v>
      </c>
      <c r="E482" s="655" t="s">
        <v>26</v>
      </c>
      <c r="F482" s="561">
        <v>94715481</v>
      </c>
      <c r="G482" s="562">
        <v>94715481</v>
      </c>
      <c r="H482" s="561">
        <v>0</v>
      </c>
      <c r="I482" s="561">
        <v>0</v>
      </c>
      <c r="J482" s="562">
        <v>0</v>
      </c>
      <c r="K482" s="561">
        <v>0</v>
      </c>
      <c r="L482" s="561">
        <v>0</v>
      </c>
      <c r="M482" s="561">
        <v>0</v>
      </c>
      <c r="N482" s="561">
        <v>0</v>
      </c>
      <c r="O482" s="560"/>
      <c r="P482" s="449"/>
    </row>
    <row r="483" spans="1:16" s="247" customFormat="1" ht="12" hidden="1" customHeight="1" x14ac:dyDescent="0.25">
      <c r="A483" s="450"/>
      <c r="B483" s="877"/>
      <c r="C483" s="884"/>
      <c r="D483" s="884" t="s">
        <v>1573</v>
      </c>
      <c r="E483" s="655" t="s">
        <v>1557</v>
      </c>
      <c r="F483" s="561">
        <v>221002789</v>
      </c>
      <c r="G483" s="562">
        <v>221002789</v>
      </c>
      <c r="H483" s="561">
        <v>0</v>
      </c>
      <c r="I483" s="561">
        <v>0</v>
      </c>
      <c r="J483" s="562">
        <v>0</v>
      </c>
      <c r="K483" s="561">
        <v>0</v>
      </c>
      <c r="L483" s="561">
        <v>0</v>
      </c>
      <c r="M483" s="561">
        <v>0</v>
      </c>
      <c r="N483" s="561">
        <v>0</v>
      </c>
      <c r="O483" s="560"/>
      <c r="P483" s="449"/>
    </row>
    <row r="484" spans="1:16" s="247" customFormat="1" ht="12" customHeight="1" x14ac:dyDescent="0.25">
      <c r="A484" s="450"/>
      <c r="B484" s="877"/>
      <c r="C484" s="884"/>
      <c r="D484" s="884" t="s">
        <v>1573</v>
      </c>
      <c r="E484" s="655" t="s">
        <v>1221</v>
      </c>
      <c r="F484" s="561">
        <v>1931850</v>
      </c>
      <c r="G484" s="562">
        <v>1931850</v>
      </c>
      <c r="H484" s="561">
        <v>0</v>
      </c>
      <c r="I484" s="561">
        <v>0</v>
      </c>
      <c r="J484" s="562">
        <v>0</v>
      </c>
      <c r="K484" s="561">
        <v>0</v>
      </c>
      <c r="L484" s="561">
        <v>0</v>
      </c>
      <c r="M484" s="561">
        <v>0</v>
      </c>
      <c r="N484" s="561">
        <v>0</v>
      </c>
      <c r="O484" s="560"/>
      <c r="P484" s="449"/>
    </row>
    <row r="485" spans="1:16" s="247" customFormat="1" ht="12" customHeight="1" x14ac:dyDescent="0.25">
      <c r="A485" s="450"/>
      <c r="B485" s="877"/>
      <c r="C485" s="884" t="s">
        <v>1890</v>
      </c>
      <c r="D485" s="884" t="s">
        <v>1376</v>
      </c>
      <c r="E485" s="655" t="s">
        <v>26</v>
      </c>
      <c r="F485" s="561">
        <v>86250221</v>
      </c>
      <c r="G485" s="562">
        <v>86250221</v>
      </c>
      <c r="H485" s="561">
        <v>0</v>
      </c>
      <c r="I485" s="561">
        <v>0</v>
      </c>
      <c r="J485" s="562">
        <v>0</v>
      </c>
      <c r="K485" s="561">
        <v>0</v>
      </c>
      <c r="L485" s="561">
        <v>0</v>
      </c>
      <c r="M485" s="561">
        <v>0</v>
      </c>
      <c r="N485" s="561">
        <v>0</v>
      </c>
      <c r="O485" s="560"/>
      <c r="P485" s="449"/>
    </row>
    <row r="486" spans="1:16" s="247" customFormat="1" ht="12" hidden="1" customHeight="1" x14ac:dyDescent="0.25">
      <c r="A486" s="450"/>
      <c r="B486" s="877"/>
      <c r="C486" s="884"/>
      <c r="D486" s="884" t="s">
        <v>1376</v>
      </c>
      <c r="E486" s="655" t="s">
        <v>2601</v>
      </c>
      <c r="F486" s="561">
        <v>192000000</v>
      </c>
      <c r="G486" s="562">
        <v>192000000</v>
      </c>
      <c r="H486" s="561">
        <v>0</v>
      </c>
      <c r="I486" s="561">
        <v>0</v>
      </c>
      <c r="J486" s="562">
        <v>0</v>
      </c>
      <c r="K486" s="561">
        <v>0</v>
      </c>
      <c r="L486" s="561">
        <v>0</v>
      </c>
      <c r="M486" s="561">
        <v>0</v>
      </c>
      <c r="N486" s="561">
        <v>0</v>
      </c>
      <c r="O486" s="560"/>
      <c r="P486" s="449"/>
    </row>
    <row r="487" spans="1:16" s="247" customFormat="1" ht="12" customHeight="1" x14ac:dyDescent="0.25">
      <c r="A487" s="450"/>
      <c r="B487" s="877"/>
      <c r="C487" s="884"/>
      <c r="D487" s="884" t="s">
        <v>1376</v>
      </c>
      <c r="E487" s="655" t="s">
        <v>3212</v>
      </c>
      <c r="F487" s="561">
        <v>93534</v>
      </c>
      <c r="G487" s="562">
        <v>0</v>
      </c>
      <c r="H487" s="561">
        <v>93534</v>
      </c>
      <c r="I487" s="561">
        <v>0</v>
      </c>
      <c r="J487" s="562">
        <v>93534</v>
      </c>
      <c r="K487" s="561">
        <v>0</v>
      </c>
      <c r="L487" s="561">
        <v>0</v>
      </c>
      <c r="M487" s="561">
        <v>0</v>
      </c>
      <c r="N487" s="561">
        <v>93534</v>
      </c>
      <c r="O487" s="560"/>
      <c r="P487" s="449"/>
    </row>
    <row r="488" spans="1:16" s="247" customFormat="1" ht="12" customHeight="1" x14ac:dyDescent="0.25">
      <c r="A488" s="450"/>
      <c r="B488" s="877"/>
      <c r="C488" s="884" t="s">
        <v>1891</v>
      </c>
      <c r="D488" s="884" t="s">
        <v>2608</v>
      </c>
      <c r="E488" s="655" t="s">
        <v>26</v>
      </c>
      <c r="F488" s="561">
        <v>105789413</v>
      </c>
      <c r="G488" s="562">
        <v>105789413</v>
      </c>
      <c r="H488" s="561">
        <v>0</v>
      </c>
      <c r="I488" s="561">
        <v>0</v>
      </c>
      <c r="J488" s="562">
        <v>0</v>
      </c>
      <c r="K488" s="561">
        <v>0</v>
      </c>
      <c r="L488" s="561">
        <v>0</v>
      </c>
      <c r="M488" s="561">
        <v>0</v>
      </c>
      <c r="N488" s="561">
        <v>0</v>
      </c>
      <c r="O488" s="560"/>
      <c r="P488" s="449"/>
    </row>
    <row r="489" spans="1:16" s="247" customFormat="1" ht="12" hidden="1" customHeight="1" x14ac:dyDescent="0.25">
      <c r="A489" s="450"/>
      <c r="B489" s="877"/>
      <c r="C489" s="884"/>
      <c r="D489" s="884" t="s">
        <v>2608</v>
      </c>
      <c r="E489" s="655" t="s">
        <v>2601</v>
      </c>
      <c r="F489" s="561">
        <v>246841963</v>
      </c>
      <c r="G489" s="562">
        <v>246841963</v>
      </c>
      <c r="H489" s="561">
        <v>0</v>
      </c>
      <c r="I489" s="561">
        <v>0</v>
      </c>
      <c r="J489" s="562">
        <v>0</v>
      </c>
      <c r="K489" s="561">
        <v>0</v>
      </c>
      <c r="L489" s="561">
        <v>0</v>
      </c>
      <c r="M489" s="561">
        <v>0</v>
      </c>
      <c r="N489" s="561">
        <v>0</v>
      </c>
      <c r="O489" s="560"/>
      <c r="P489" s="449"/>
    </row>
    <row r="490" spans="1:16" s="247" customFormat="1" ht="12" customHeight="1" x14ac:dyDescent="0.25">
      <c r="A490" s="450"/>
      <c r="B490" s="877"/>
      <c r="C490" s="884"/>
      <c r="D490" s="884" t="s">
        <v>2608</v>
      </c>
      <c r="E490" s="655" t="s">
        <v>3212</v>
      </c>
      <c r="F490" s="561">
        <v>118449</v>
      </c>
      <c r="G490" s="562">
        <v>0</v>
      </c>
      <c r="H490" s="561">
        <v>118449</v>
      </c>
      <c r="I490" s="561">
        <v>0</v>
      </c>
      <c r="J490" s="562">
        <v>118449</v>
      </c>
      <c r="K490" s="561">
        <v>0</v>
      </c>
      <c r="L490" s="561">
        <v>0</v>
      </c>
      <c r="M490" s="561">
        <v>0</v>
      </c>
      <c r="N490" s="561">
        <v>118449</v>
      </c>
      <c r="O490" s="560"/>
      <c r="P490" s="449"/>
    </row>
    <row r="491" spans="1:16" s="247" customFormat="1" ht="12" customHeight="1" x14ac:dyDescent="0.25">
      <c r="A491" s="450"/>
      <c r="B491" s="877"/>
      <c r="C491" s="884"/>
      <c r="D491" s="884" t="s">
        <v>2608</v>
      </c>
      <c r="E491" s="655" t="s">
        <v>2676</v>
      </c>
      <c r="F491" s="561">
        <v>2238317</v>
      </c>
      <c r="G491" s="562">
        <v>2238317</v>
      </c>
      <c r="H491" s="561">
        <v>0</v>
      </c>
      <c r="I491" s="561">
        <v>0</v>
      </c>
      <c r="J491" s="562">
        <v>0</v>
      </c>
      <c r="K491" s="561">
        <v>0</v>
      </c>
      <c r="L491" s="561">
        <v>0</v>
      </c>
      <c r="M491" s="561">
        <v>0</v>
      </c>
      <c r="N491" s="561">
        <v>0</v>
      </c>
      <c r="O491" s="560"/>
      <c r="P491" s="449"/>
    </row>
    <row r="492" spans="1:16" s="247" customFormat="1" ht="12" customHeight="1" x14ac:dyDescent="0.25">
      <c r="A492" s="450"/>
      <c r="B492" s="877"/>
      <c r="C492" s="884" t="s">
        <v>1892</v>
      </c>
      <c r="D492" s="884" t="s">
        <v>1594</v>
      </c>
      <c r="E492" s="655" t="s">
        <v>26</v>
      </c>
      <c r="F492" s="561">
        <v>225118082</v>
      </c>
      <c r="G492" s="562">
        <v>225118082</v>
      </c>
      <c r="H492" s="561">
        <v>0</v>
      </c>
      <c r="I492" s="561">
        <v>0</v>
      </c>
      <c r="J492" s="562">
        <v>0</v>
      </c>
      <c r="K492" s="561">
        <v>0</v>
      </c>
      <c r="L492" s="561">
        <v>0</v>
      </c>
      <c r="M492" s="561">
        <v>0</v>
      </c>
      <c r="N492" s="561">
        <v>0</v>
      </c>
      <c r="O492" s="560"/>
      <c r="P492" s="449"/>
    </row>
    <row r="493" spans="1:16" s="247" customFormat="1" ht="12" hidden="1" customHeight="1" x14ac:dyDescent="0.25">
      <c r="A493" s="450"/>
      <c r="B493" s="877"/>
      <c r="C493" s="884"/>
      <c r="D493" s="884" t="s">
        <v>1594</v>
      </c>
      <c r="E493" s="655" t="s">
        <v>2601</v>
      </c>
      <c r="F493" s="561">
        <v>100000000</v>
      </c>
      <c r="G493" s="562">
        <v>100000000</v>
      </c>
      <c r="H493" s="561">
        <v>0</v>
      </c>
      <c r="I493" s="561">
        <v>0</v>
      </c>
      <c r="J493" s="562">
        <v>0</v>
      </c>
      <c r="K493" s="561">
        <v>0</v>
      </c>
      <c r="L493" s="561">
        <v>0</v>
      </c>
      <c r="M493" s="561">
        <v>0</v>
      </c>
      <c r="N493" s="561">
        <v>0</v>
      </c>
      <c r="O493" s="560"/>
      <c r="P493" s="449"/>
    </row>
    <row r="494" spans="1:16" s="247" customFormat="1" ht="12" customHeight="1" x14ac:dyDescent="0.25">
      <c r="A494" s="450"/>
      <c r="B494" s="877"/>
      <c r="C494" s="884"/>
      <c r="D494" s="884" t="s">
        <v>1594</v>
      </c>
      <c r="E494" s="655" t="s">
        <v>2676</v>
      </c>
      <c r="F494" s="561">
        <v>1508133</v>
      </c>
      <c r="G494" s="562">
        <v>1508133</v>
      </c>
      <c r="H494" s="561">
        <v>0</v>
      </c>
      <c r="I494" s="561">
        <v>0</v>
      </c>
      <c r="J494" s="562">
        <v>0</v>
      </c>
      <c r="K494" s="561">
        <v>0</v>
      </c>
      <c r="L494" s="561">
        <v>0</v>
      </c>
      <c r="M494" s="561">
        <v>0</v>
      </c>
      <c r="N494" s="561">
        <v>0</v>
      </c>
      <c r="O494" s="560"/>
      <c r="P494" s="449"/>
    </row>
    <row r="495" spans="1:16" s="247" customFormat="1" ht="12" customHeight="1" x14ac:dyDescent="0.25">
      <c r="A495" s="450"/>
      <c r="B495" s="877"/>
      <c r="C495" s="884"/>
      <c r="D495" s="884" t="s">
        <v>1594</v>
      </c>
      <c r="E495" s="655" t="s">
        <v>1221</v>
      </c>
      <c r="F495" s="561">
        <v>1431000</v>
      </c>
      <c r="G495" s="562">
        <v>1431000</v>
      </c>
      <c r="H495" s="561">
        <v>0</v>
      </c>
      <c r="I495" s="561">
        <v>0</v>
      </c>
      <c r="J495" s="562">
        <v>0</v>
      </c>
      <c r="K495" s="561">
        <v>0</v>
      </c>
      <c r="L495" s="561">
        <v>0</v>
      </c>
      <c r="M495" s="561">
        <v>0</v>
      </c>
      <c r="N495" s="561">
        <v>0</v>
      </c>
      <c r="O495" s="560"/>
      <c r="P495" s="449"/>
    </row>
    <row r="496" spans="1:16" s="247" customFormat="1" ht="12" customHeight="1" x14ac:dyDescent="0.25">
      <c r="A496" s="450"/>
      <c r="B496" s="877"/>
      <c r="C496" s="884" t="s">
        <v>1893</v>
      </c>
      <c r="D496" s="884" t="s">
        <v>896</v>
      </c>
      <c r="E496" s="655" t="s">
        <v>26</v>
      </c>
      <c r="F496" s="561">
        <v>83819992</v>
      </c>
      <c r="G496" s="562">
        <v>83819992</v>
      </c>
      <c r="H496" s="561">
        <v>0</v>
      </c>
      <c r="I496" s="561">
        <v>0</v>
      </c>
      <c r="J496" s="562">
        <v>0</v>
      </c>
      <c r="K496" s="561">
        <v>0</v>
      </c>
      <c r="L496" s="561">
        <v>0</v>
      </c>
      <c r="M496" s="561">
        <v>0</v>
      </c>
      <c r="N496" s="561">
        <v>0</v>
      </c>
      <c r="O496" s="560"/>
      <c r="P496" s="449"/>
    </row>
    <row r="497" spans="1:16" s="247" customFormat="1" ht="12" hidden="1" customHeight="1" x14ac:dyDescent="0.25">
      <c r="A497" s="450"/>
      <c r="B497" s="877"/>
      <c r="C497" s="884"/>
      <c r="D497" s="884" t="s">
        <v>896</v>
      </c>
      <c r="E497" s="655" t="s">
        <v>2601</v>
      </c>
      <c r="F497" s="561">
        <v>195580008</v>
      </c>
      <c r="G497" s="562">
        <v>195580008</v>
      </c>
      <c r="H497" s="561">
        <v>0</v>
      </c>
      <c r="I497" s="561">
        <v>0</v>
      </c>
      <c r="J497" s="562">
        <v>0</v>
      </c>
      <c r="K497" s="561">
        <v>0</v>
      </c>
      <c r="L497" s="561">
        <v>0</v>
      </c>
      <c r="M497" s="561">
        <v>0</v>
      </c>
      <c r="N497" s="561">
        <v>0</v>
      </c>
      <c r="O497" s="560"/>
      <c r="P497" s="449"/>
    </row>
    <row r="498" spans="1:16" s="247" customFormat="1" ht="12" customHeight="1" x14ac:dyDescent="0.25">
      <c r="A498" s="450"/>
      <c r="B498" s="877"/>
      <c r="C498" s="884"/>
      <c r="D498" s="884" t="s">
        <v>896</v>
      </c>
      <c r="E498" s="655" t="s">
        <v>2676</v>
      </c>
      <c r="F498" s="561">
        <v>521547</v>
      </c>
      <c r="G498" s="562">
        <v>0</v>
      </c>
      <c r="H498" s="561">
        <v>521547</v>
      </c>
      <c r="I498" s="561">
        <v>0</v>
      </c>
      <c r="J498" s="562">
        <v>521547</v>
      </c>
      <c r="K498" s="561">
        <v>0</v>
      </c>
      <c r="L498" s="561">
        <v>0</v>
      </c>
      <c r="M498" s="561">
        <v>0</v>
      </c>
      <c r="N498" s="561">
        <v>521547</v>
      </c>
      <c r="O498" s="560"/>
      <c r="P498" s="449"/>
    </row>
    <row r="499" spans="1:16" s="247" customFormat="1" ht="12" customHeight="1" x14ac:dyDescent="0.25">
      <c r="A499" s="450"/>
      <c r="B499" s="877"/>
      <c r="C499" s="884"/>
      <c r="D499" s="884" t="s">
        <v>896</v>
      </c>
      <c r="E499" s="655" t="s">
        <v>1221</v>
      </c>
      <c r="F499" s="561">
        <v>1512675</v>
      </c>
      <c r="G499" s="562">
        <v>1512675</v>
      </c>
      <c r="H499" s="561">
        <v>0</v>
      </c>
      <c r="I499" s="561">
        <v>0</v>
      </c>
      <c r="J499" s="562">
        <v>0</v>
      </c>
      <c r="K499" s="561">
        <v>0</v>
      </c>
      <c r="L499" s="561">
        <v>0</v>
      </c>
      <c r="M499" s="561">
        <v>0</v>
      </c>
      <c r="N499" s="561">
        <v>0</v>
      </c>
      <c r="O499" s="560"/>
      <c r="P499" s="449"/>
    </row>
    <row r="500" spans="1:16" s="247" customFormat="1" ht="12" customHeight="1" x14ac:dyDescent="0.25">
      <c r="A500" s="450"/>
      <c r="B500" s="877"/>
      <c r="C500" s="884" t="s">
        <v>1894</v>
      </c>
      <c r="D500" s="884" t="s">
        <v>2608</v>
      </c>
      <c r="E500" s="655" t="s">
        <v>26</v>
      </c>
      <c r="F500" s="561">
        <v>160429149</v>
      </c>
      <c r="G500" s="562">
        <v>160429149</v>
      </c>
      <c r="H500" s="561">
        <v>0</v>
      </c>
      <c r="I500" s="561">
        <v>0</v>
      </c>
      <c r="J500" s="562">
        <v>0</v>
      </c>
      <c r="K500" s="561">
        <v>0</v>
      </c>
      <c r="L500" s="561">
        <v>0</v>
      </c>
      <c r="M500" s="561">
        <v>0</v>
      </c>
      <c r="N500" s="561">
        <v>0</v>
      </c>
      <c r="O500" s="560"/>
      <c r="P500" s="449"/>
    </row>
    <row r="501" spans="1:16" s="247" customFormat="1" ht="12" customHeight="1" x14ac:dyDescent="0.25">
      <c r="A501" s="450"/>
      <c r="B501" s="877"/>
      <c r="C501" s="884"/>
      <c r="D501" s="884" t="s">
        <v>2608</v>
      </c>
      <c r="E501" s="655" t="s">
        <v>900</v>
      </c>
      <c r="F501" s="561">
        <v>51123000</v>
      </c>
      <c r="G501" s="562">
        <v>51123000</v>
      </c>
      <c r="H501" s="561">
        <v>0</v>
      </c>
      <c r="I501" s="561">
        <v>0</v>
      </c>
      <c r="J501" s="562">
        <v>0</v>
      </c>
      <c r="K501" s="561">
        <v>0</v>
      </c>
      <c r="L501" s="561">
        <v>0</v>
      </c>
      <c r="M501" s="561">
        <v>0</v>
      </c>
      <c r="N501" s="561">
        <v>0</v>
      </c>
      <c r="O501" s="560"/>
      <c r="P501" s="449"/>
    </row>
    <row r="502" spans="1:16" s="247" customFormat="1" ht="12" hidden="1" customHeight="1" x14ac:dyDescent="0.25">
      <c r="A502" s="450"/>
      <c r="B502" s="877"/>
      <c r="C502" s="884"/>
      <c r="D502" s="884" t="s">
        <v>2608</v>
      </c>
      <c r="E502" s="655" t="s">
        <v>2601</v>
      </c>
      <c r="F502" s="561">
        <v>111135695</v>
      </c>
      <c r="G502" s="562">
        <v>111135695</v>
      </c>
      <c r="H502" s="561">
        <v>0</v>
      </c>
      <c r="I502" s="561">
        <v>0</v>
      </c>
      <c r="J502" s="562">
        <v>0</v>
      </c>
      <c r="K502" s="561">
        <v>0</v>
      </c>
      <c r="L502" s="561">
        <v>0</v>
      </c>
      <c r="M502" s="561">
        <v>0</v>
      </c>
      <c r="N502" s="561">
        <v>0</v>
      </c>
      <c r="O502" s="560"/>
      <c r="P502" s="449"/>
    </row>
    <row r="503" spans="1:16" s="247" customFormat="1" ht="12" customHeight="1" x14ac:dyDescent="0.25">
      <c r="A503" s="450"/>
      <c r="B503" s="877"/>
      <c r="C503" s="884"/>
      <c r="D503" s="884" t="s">
        <v>2608</v>
      </c>
      <c r="E503" s="655" t="s">
        <v>3212</v>
      </c>
      <c r="F503" s="561">
        <v>90428</v>
      </c>
      <c r="G503" s="562">
        <v>90428</v>
      </c>
      <c r="H503" s="561">
        <v>0</v>
      </c>
      <c r="I503" s="561">
        <v>0</v>
      </c>
      <c r="J503" s="562">
        <v>0</v>
      </c>
      <c r="K503" s="561">
        <v>0</v>
      </c>
      <c r="L503" s="561">
        <v>0</v>
      </c>
      <c r="M503" s="561">
        <v>0</v>
      </c>
      <c r="N503" s="561">
        <v>0</v>
      </c>
      <c r="O503" s="560"/>
      <c r="P503" s="449"/>
    </row>
    <row r="504" spans="1:16" s="247" customFormat="1" ht="12" customHeight="1" x14ac:dyDescent="0.25">
      <c r="A504" s="450"/>
      <c r="B504" s="877"/>
      <c r="C504" s="884"/>
      <c r="D504" s="884" t="s">
        <v>2608</v>
      </c>
      <c r="E504" s="655" t="s">
        <v>2676</v>
      </c>
      <c r="F504" s="561">
        <v>829813</v>
      </c>
      <c r="G504" s="562">
        <v>829813</v>
      </c>
      <c r="H504" s="561">
        <v>0</v>
      </c>
      <c r="I504" s="561">
        <v>0</v>
      </c>
      <c r="J504" s="562">
        <v>0</v>
      </c>
      <c r="K504" s="561">
        <v>0</v>
      </c>
      <c r="L504" s="561">
        <v>0</v>
      </c>
      <c r="M504" s="561">
        <v>0</v>
      </c>
      <c r="N504" s="561">
        <v>0</v>
      </c>
      <c r="O504" s="560"/>
      <c r="P504" s="449"/>
    </row>
    <row r="505" spans="1:16" s="247" customFormat="1" ht="12" customHeight="1" x14ac:dyDescent="0.25">
      <c r="A505" s="450"/>
      <c r="B505" s="877"/>
      <c r="C505" s="884" t="s">
        <v>1895</v>
      </c>
      <c r="D505" s="884" t="s">
        <v>898</v>
      </c>
      <c r="E505" s="655" t="s">
        <v>26</v>
      </c>
      <c r="F505" s="561">
        <v>100997406</v>
      </c>
      <c r="G505" s="562">
        <v>100997406</v>
      </c>
      <c r="H505" s="561">
        <v>0</v>
      </c>
      <c r="I505" s="561">
        <v>0</v>
      </c>
      <c r="J505" s="562">
        <v>0</v>
      </c>
      <c r="K505" s="561">
        <v>0</v>
      </c>
      <c r="L505" s="561">
        <v>0</v>
      </c>
      <c r="M505" s="561">
        <v>0</v>
      </c>
      <c r="N505" s="561">
        <v>0</v>
      </c>
      <c r="O505" s="560"/>
      <c r="P505" s="449"/>
    </row>
    <row r="506" spans="1:16" s="247" customFormat="1" ht="12" hidden="1" customHeight="1" x14ac:dyDescent="0.25">
      <c r="A506" s="450"/>
      <c r="B506" s="877"/>
      <c r="C506" s="884"/>
      <c r="D506" s="884" t="s">
        <v>898</v>
      </c>
      <c r="E506" s="655" t="s">
        <v>2601</v>
      </c>
      <c r="F506" s="561">
        <v>235660611</v>
      </c>
      <c r="G506" s="562">
        <v>235660611</v>
      </c>
      <c r="H506" s="561">
        <v>0</v>
      </c>
      <c r="I506" s="561">
        <v>0</v>
      </c>
      <c r="J506" s="562">
        <v>0</v>
      </c>
      <c r="K506" s="561">
        <v>0</v>
      </c>
      <c r="L506" s="561">
        <v>0</v>
      </c>
      <c r="M506" s="561">
        <v>0</v>
      </c>
      <c r="N506" s="561">
        <v>0</v>
      </c>
      <c r="O506" s="560"/>
      <c r="P506" s="449"/>
    </row>
    <row r="507" spans="1:16" s="247" customFormat="1" ht="12" customHeight="1" x14ac:dyDescent="0.25">
      <c r="A507" s="450"/>
      <c r="B507" s="877"/>
      <c r="C507" s="884"/>
      <c r="D507" s="884" t="s">
        <v>898</v>
      </c>
      <c r="E507" s="655" t="s">
        <v>3212</v>
      </c>
      <c r="F507" s="561">
        <v>1247231</v>
      </c>
      <c r="G507" s="562">
        <v>0</v>
      </c>
      <c r="H507" s="561">
        <v>1247231</v>
      </c>
      <c r="I507" s="561">
        <v>0</v>
      </c>
      <c r="J507" s="562">
        <v>1247231</v>
      </c>
      <c r="K507" s="561">
        <v>0</v>
      </c>
      <c r="L507" s="561">
        <v>0</v>
      </c>
      <c r="M507" s="561">
        <v>1247231</v>
      </c>
      <c r="N507" s="561">
        <v>0</v>
      </c>
      <c r="O507" s="560"/>
      <c r="P507" s="449"/>
    </row>
    <row r="508" spans="1:16" s="247" customFormat="1" ht="12" customHeight="1" x14ac:dyDescent="0.25">
      <c r="A508" s="450"/>
      <c r="B508" s="877"/>
      <c r="C508" s="884"/>
      <c r="D508" s="884" t="s">
        <v>898</v>
      </c>
      <c r="E508" s="655" t="s">
        <v>2676</v>
      </c>
      <c r="F508" s="561">
        <v>10617608</v>
      </c>
      <c r="G508" s="562">
        <v>9235066</v>
      </c>
      <c r="H508" s="561">
        <v>1382542</v>
      </c>
      <c r="I508" s="561">
        <v>0</v>
      </c>
      <c r="J508" s="562">
        <v>1382542</v>
      </c>
      <c r="K508" s="561">
        <v>1382542</v>
      </c>
      <c r="L508" s="561">
        <v>0</v>
      </c>
      <c r="M508" s="561">
        <v>0</v>
      </c>
      <c r="N508" s="561">
        <v>0</v>
      </c>
      <c r="O508" s="560"/>
      <c r="P508" s="449"/>
    </row>
    <row r="509" spans="1:16" s="247" customFormat="1" ht="12" customHeight="1" x14ac:dyDescent="0.25">
      <c r="A509" s="450"/>
      <c r="B509" s="877"/>
      <c r="C509" s="884" t="s">
        <v>1896</v>
      </c>
      <c r="D509" s="884" t="s">
        <v>897</v>
      </c>
      <c r="E509" s="655" t="s">
        <v>26</v>
      </c>
      <c r="F509" s="561">
        <v>97195000</v>
      </c>
      <c r="G509" s="562">
        <v>97195000</v>
      </c>
      <c r="H509" s="561">
        <v>0</v>
      </c>
      <c r="I509" s="561">
        <v>0</v>
      </c>
      <c r="J509" s="562">
        <v>0</v>
      </c>
      <c r="K509" s="561">
        <v>0</v>
      </c>
      <c r="L509" s="561">
        <v>0</v>
      </c>
      <c r="M509" s="561">
        <v>0</v>
      </c>
      <c r="N509" s="561">
        <v>0</v>
      </c>
      <c r="O509" s="560"/>
      <c r="P509" s="449"/>
    </row>
    <row r="510" spans="1:16" s="247" customFormat="1" ht="12" hidden="1" customHeight="1" x14ac:dyDescent="0.25">
      <c r="A510" s="450"/>
      <c r="B510" s="877"/>
      <c r="C510" s="884"/>
      <c r="D510" s="884" t="s">
        <v>897</v>
      </c>
      <c r="E510" s="655" t="s">
        <v>2601</v>
      </c>
      <c r="F510" s="561">
        <v>180505000</v>
      </c>
      <c r="G510" s="562">
        <v>180505000</v>
      </c>
      <c r="H510" s="561">
        <v>0</v>
      </c>
      <c r="I510" s="561">
        <v>0</v>
      </c>
      <c r="J510" s="562">
        <v>0</v>
      </c>
      <c r="K510" s="561">
        <v>0</v>
      </c>
      <c r="L510" s="561">
        <v>0</v>
      </c>
      <c r="M510" s="561">
        <v>0</v>
      </c>
      <c r="N510" s="561">
        <v>0</v>
      </c>
      <c r="O510" s="560"/>
      <c r="P510" s="449"/>
    </row>
    <row r="511" spans="1:16" s="247" customFormat="1" ht="12" customHeight="1" x14ac:dyDescent="0.25">
      <c r="A511" s="450"/>
      <c r="B511" s="877"/>
      <c r="C511" s="884" t="s">
        <v>1897</v>
      </c>
      <c r="D511" s="884" t="s">
        <v>1647</v>
      </c>
      <c r="E511" s="655" t="s">
        <v>26</v>
      </c>
      <c r="F511" s="561">
        <v>345276157</v>
      </c>
      <c r="G511" s="562">
        <v>345276157</v>
      </c>
      <c r="H511" s="561">
        <v>0</v>
      </c>
      <c r="I511" s="561">
        <v>0</v>
      </c>
      <c r="J511" s="562">
        <v>0</v>
      </c>
      <c r="K511" s="561">
        <v>0</v>
      </c>
      <c r="L511" s="561">
        <v>0</v>
      </c>
      <c r="M511" s="561">
        <v>0</v>
      </c>
      <c r="N511" s="561">
        <v>0</v>
      </c>
      <c r="O511" s="560"/>
      <c r="P511" s="449"/>
    </row>
    <row r="512" spans="1:16" s="247" customFormat="1" ht="12" customHeight="1" x14ac:dyDescent="0.25">
      <c r="A512" s="450"/>
      <c r="B512" s="877"/>
      <c r="C512" s="884"/>
      <c r="D512" s="884" t="s">
        <v>1647</v>
      </c>
      <c r="E512" s="655" t="s">
        <v>3212</v>
      </c>
      <c r="F512" s="561">
        <v>66952</v>
      </c>
      <c r="G512" s="562">
        <v>0</v>
      </c>
      <c r="H512" s="561">
        <v>66952</v>
      </c>
      <c r="I512" s="561">
        <v>0</v>
      </c>
      <c r="J512" s="562">
        <v>66952</v>
      </c>
      <c r="K512" s="561">
        <v>0</v>
      </c>
      <c r="L512" s="561">
        <v>0</v>
      </c>
      <c r="M512" s="561">
        <v>0</v>
      </c>
      <c r="N512" s="561">
        <v>66952</v>
      </c>
      <c r="O512" s="560"/>
      <c r="P512" s="449"/>
    </row>
    <row r="513" spans="1:16" s="247" customFormat="1" ht="12" customHeight="1" x14ac:dyDescent="0.25">
      <c r="A513" s="450"/>
      <c r="B513" s="877"/>
      <c r="C513" s="884"/>
      <c r="D513" s="884" t="s">
        <v>1647</v>
      </c>
      <c r="E513" s="655" t="s">
        <v>195</v>
      </c>
      <c r="F513" s="561">
        <v>513889</v>
      </c>
      <c r="G513" s="562">
        <v>513889</v>
      </c>
      <c r="H513" s="561">
        <v>0</v>
      </c>
      <c r="I513" s="561">
        <v>0</v>
      </c>
      <c r="J513" s="562">
        <v>0</v>
      </c>
      <c r="K513" s="561">
        <v>0</v>
      </c>
      <c r="L513" s="561">
        <v>0</v>
      </c>
      <c r="M513" s="561">
        <v>0</v>
      </c>
      <c r="N513" s="561">
        <v>0</v>
      </c>
      <c r="O513" s="560"/>
      <c r="P513" s="449"/>
    </row>
    <row r="514" spans="1:16" s="247" customFormat="1" ht="12" customHeight="1" x14ac:dyDescent="0.25">
      <c r="A514" s="450"/>
      <c r="B514" s="877"/>
      <c r="C514" s="884" t="s">
        <v>1898</v>
      </c>
      <c r="D514" s="884" t="s">
        <v>896</v>
      </c>
      <c r="E514" s="655" t="s">
        <v>26</v>
      </c>
      <c r="F514" s="561">
        <v>102810006</v>
      </c>
      <c r="G514" s="562">
        <v>102810006</v>
      </c>
      <c r="H514" s="561">
        <v>0</v>
      </c>
      <c r="I514" s="561">
        <v>0</v>
      </c>
      <c r="J514" s="562">
        <v>0</v>
      </c>
      <c r="K514" s="561">
        <v>0</v>
      </c>
      <c r="L514" s="561">
        <v>0</v>
      </c>
      <c r="M514" s="561">
        <v>0</v>
      </c>
      <c r="N514" s="561">
        <v>0</v>
      </c>
      <c r="O514" s="560"/>
      <c r="P514" s="449"/>
    </row>
    <row r="515" spans="1:16" s="247" customFormat="1" ht="12" hidden="1" customHeight="1" x14ac:dyDescent="0.25">
      <c r="A515" s="450"/>
      <c r="B515" s="877"/>
      <c r="C515" s="884"/>
      <c r="D515" s="884" t="s">
        <v>896</v>
      </c>
      <c r="E515" s="655" t="s">
        <v>2601</v>
      </c>
      <c r="F515" s="561">
        <v>239889994</v>
      </c>
      <c r="G515" s="562">
        <v>239889994</v>
      </c>
      <c r="H515" s="561">
        <v>0</v>
      </c>
      <c r="I515" s="561">
        <v>0</v>
      </c>
      <c r="J515" s="562">
        <v>0</v>
      </c>
      <c r="K515" s="561">
        <v>0</v>
      </c>
      <c r="L515" s="561">
        <v>0</v>
      </c>
      <c r="M515" s="561">
        <v>0</v>
      </c>
      <c r="N515" s="561">
        <v>0</v>
      </c>
      <c r="O515" s="560"/>
      <c r="P515" s="449"/>
    </row>
    <row r="516" spans="1:16" s="247" customFormat="1" ht="12" customHeight="1" x14ac:dyDescent="0.25">
      <c r="A516" s="450"/>
      <c r="B516" s="877"/>
      <c r="C516" s="884"/>
      <c r="D516" s="884" t="s">
        <v>896</v>
      </c>
      <c r="E516" s="655" t="s">
        <v>2676</v>
      </c>
      <c r="F516" s="561">
        <v>639707</v>
      </c>
      <c r="G516" s="562">
        <v>0</v>
      </c>
      <c r="H516" s="561">
        <v>639707</v>
      </c>
      <c r="I516" s="561">
        <v>0</v>
      </c>
      <c r="J516" s="562">
        <v>639707</v>
      </c>
      <c r="K516" s="561">
        <v>0</v>
      </c>
      <c r="L516" s="561">
        <v>0</v>
      </c>
      <c r="M516" s="561">
        <v>0</v>
      </c>
      <c r="N516" s="561">
        <v>639707</v>
      </c>
      <c r="O516" s="560"/>
      <c r="P516" s="449"/>
    </row>
    <row r="517" spans="1:16" s="247" customFormat="1" ht="12" customHeight="1" x14ac:dyDescent="0.25">
      <c r="A517" s="450"/>
      <c r="B517" s="877"/>
      <c r="C517" s="884"/>
      <c r="D517" s="884" t="s">
        <v>896</v>
      </c>
      <c r="E517" s="655" t="s">
        <v>1221</v>
      </c>
      <c r="F517" s="561">
        <v>1931850</v>
      </c>
      <c r="G517" s="562">
        <v>1931850</v>
      </c>
      <c r="H517" s="561">
        <v>0</v>
      </c>
      <c r="I517" s="561">
        <v>0</v>
      </c>
      <c r="J517" s="562">
        <v>0</v>
      </c>
      <c r="K517" s="561">
        <v>0</v>
      </c>
      <c r="L517" s="561">
        <v>0</v>
      </c>
      <c r="M517" s="561">
        <v>0</v>
      </c>
      <c r="N517" s="561">
        <v>0</v>
      </c>
      <c r="O517" s="560"/>
      <c r="P517" s="449"/>
    </row>
    <row r="518" spans="1:16" s="247" customFormat="1" ht="12" customHeight="1" x14ac:dyDescent="0.25">
      <c r="A518" s="450"/>
      <c r="B518" s="877"/>
      <c r="C518" s="884" t="s">
        <v>1899</v>
      </c>
      <c r="D518" s="884" t="s">
        <v>899</v>
      </c>
      <c r="E518" s="655" t="s">
        <v>26</v>
      </c>
      <c r="F518" s="561">
        <v>139494246</v>
      </c>
      <c r="G518" s="562">
        <v>139494246</v>
      </c>
      <c r="H518" s="561">
        <v>0</v>
      </c>
      <c r="I518" s="561">
        <v>0</v>
      </c>
      <c r="J518" s="562">
        <v>0</v>
      </c>
      <c r="K518" s="561">
        <v>0</v>
      </c>
      <c r="L518" s="561">
        <v>0</v>
      </c>
      <c r="M518" s="561">
        <v>0</v>
      </c>
      <c r="N518" s="561">
        <v>0</v>
      </c>
      <c r="O518" s="560"/>
      <c r="P518" s="449"/>
    </row>
    <row r="519" spans="1:16" s="247" customFormat="1" ht="12" hidden="1" customHeight="1" x14ac:dyDescent="0.25">
      <c r="A519" s="450"/>
      <c r="B519" s="877"/>
      <c r="C519" s="884"/>
      <c r="D519" s="884" t="s">
        <v>899</v>
      </c>
      <c r="E519" s="655" t="s">
        <v>1557</v>
      </c>
      <c r="F519" s="561">
        <v>140000000</v>
      </c>
      <c r="G519" s="562">
        <v>140000000</v>
      </c>
      <c r="H519" s="561">
        <v>0</v>
      </c>
      <c r="I519" s="561">
        <v>0</v>
      </c>
      <c r="J519" s="562">
        <v>0</v>
      </c>
      <c r="K519" s="561">
        <v>0</v>
      </c>
      <c r="L519" s="561">
        <v>0</v>
      </c>
      <c r="M519" s="561">
        <v>0</v>
      </c>
      <c r="N519" s="561">
        <v>0</v>
      </c>
      <c r="O519" s="560"/>
      <c r="P519" s="449"/>
    </row>
    <row r="520" spans="1:16" s="247" customFormat="1" ht="12" customHeight="1" x14ac:dyDescent="0.25">
      <c r="A520" s="450"/>
      <c r="B520" s="877"/>
      <c r="C520" s="884"/>
      <c r="D520" s="884" t="s">
        <v>899</v>
      </c>
      <c r="E520" s="655" t="s">
        <v>3212</v>
      </c>
      <c r="F520" s="561">
        <v>131271</v>
      </c>
      <c r="G520" s="562">
        <v>0</v>
      </c>
      <c r="H520" s="561">
        <v>131271</v>
      </c>
      <c r="I520" s="561">
        <v>0</v>
      </c>
      <c r="J520" s="562">
        <v>131271</v>
      </c>
      <c r="K520" s="561">
        <v>0</v>
      </c>
      <c r="L520" s="561">
        <v>0</v>
      </c>
      <c r="M520" s="561">
        <v>0</v>
      </c>
      <c r="N520" s="561">
        <v>131271</v>
      </c>
      <c r="O520" s="560"/>
      <c r="P520" s="449"/>
    </row>
    <row r="521" spans="1:16" s="247" customFormat="1" ht="12" customHeight="1" x14ac:dyDescent="0.25">
      <c r="A521" s="450"/>
      <c r="B521" s="877"/>
      <c r="C521" s="884" t="s">
        <v>1900</v>
      </c>
      <c r="D521" s="884" t="s">
        <v>1709</v>
      </c>
      <c r="E521" s="655" t="s">
        <v>26</v>
      </c>
      <c r="F521" s="561">
        <v>134326161</v>
      </c>
      <c r="G521" s="562">
        <v>134326161</v>
      </c>
      <c r="H521" s="561">
        <v>0</v>
      </c>
      <c r="I521" s="561">
        <v>0</v>
      </c>
      <c r="J521" s="562">
        <v>0</v>
      </c>
      <c r="K521" s="561">
        <v>0</v>
      </c>
      <c r="L521" s="561">
        <v>0</v>
      </c>
      <c r="M521" s="561">
        <v>0</v>
      </c>
      <c r="N521" s="561">
        <v>0</v>
      </c>
      <c r="O521" s="560"/>
      <c r="P521" s="449"/>
    </row>
    <row r="522" spans="1:16" s="247" customFormat="1" ht="12" hidden="1" customHeight="1" x14ac:dyDescent="0.25">
      <c r="A522" s="450"/>
      <c r="B522" s="877"/>
      <c r="C522" s="884"/>
      <c r="D522" s="884" t="s">
        <v>1709</v>
      </c>
      <c r="E522" s="655" t="s">
        <v>2601</v>
      </c>
      <c r="F522" s="561">
        <v>187189132</v>
      </c>
      <c r="G522" s="562">
        <v>187189132</v>
      </c>
      <c r="H522" s="561">
        <v>0</v>
      </c>
      <c r="I522" s="561">
        <v>0</v>
      </c>
      <c r="J522" s="562">
        <v>0</v>
      </c>
      <c r="K522" s="561">
        <v>0</v>
      </c>
      <c r="L522" s="561">
        <v>0</v>
      </c>
      <c r="M522" s="561">
        <v>0</v>
      </c>
      <c r="N522" s="561">
        <v>0</v>
      </c>
      <c r="O522" s="560"/>
      <c r="P522" s="449"/>
    </row>
    <row r="523" spans="1:16" s="247" customFormat="1" ht="12" customHeight="1" x14ac:dyDescent="0.25">
      <c r="A523" s="450"/>
      <c r="B523" s="877"/>
      <c r="C523" s="884"/>
      <c r="D523" s="884" t="s">
        <v>1709</v>
      </c>
      <c r="E523" s="655" t="s">
        <v>3212</v>
      </c>
      <c r="F523" s="561">
        <v>54495</v>
      </c>
      <c r="G523" s="562">
        <v>54495</v>
      </c>
      <c r="H523" s="561">
        <v>0</v>
      </c>
      <c r="I523" s="561">
        <v>0</v>
      </c>
      <c r="J523" s="562">
        <v>0</v>
      </c>
      <c r="K523" s="561">
        <v>0</v>
      </c>
      <c r="L523" s="561">
        <v>0</v>
      </c>
      <c r="M523" s="561">
        <v>0</v>
      </c>
      <c r="N523" s="561">
        <v>0</v>
      </c>
      <c r="O523" s="560"/>
      <c r="P523" s="449"/>
    </row>
    <row r="524" spans="1:16" s="247" customFormat="1" ht="12" customHeight="1" x14ac:dyDescent="0.25">
      <c r="A524" s="450"/>
      <c r="B524" s="877"/>
      <c r="C524" s="884"/>
      <c r="D524" s="884" t="s">
        <v>1709</v>
      </c>
      <c r="E524" s="655" t="s">
        <v>2676</v>
      </c>
      <c r="F524" s="561">
        <v>2895192</v>
      </c>
      <c r="G524" s="562">
        <v>2895192</v>
      </c>
      <c r="H524" s="561">
        <v>0</v>
      </c>
      <c r="I524" s="561">
        <v>0</v>
      </c>
      <c r="J524" s="562">
        <v>0</v>
      </c>
      <c r="K524" s="561">
        <v>0</v>
      </c>
      <c r="L524" s="561">
        <v>0</v>
      </c>
      <c r="M524" s="561">
        <v>0</v>
      </c>
      <c r="N524" s="561">
        <v>0</v>
      </c>
      <c r="O524" s="560"/>
      <c r="P524" s="449"/>
    </row>
    <row r="525" spans="1:16" s="247" customFormat="1" ht="12" customHeight="1" x14ac:dyDescent="0.25">
      <c r="A525" s="450"/>
      <c r="B525" s="877"/>
      <c r="C525" s="884"/>
      <c r="D525" s="884" t="s">
        <v>1709</v>
      </c>
      <c r="E525" s="655" t="s">
        <v>1221</v>
      </c>
      <c r="F525" s="561">
        <v>1931850</v>
      </c>
      <c r="G525" s="562">
        <v>1931850</v>
      </c>
      <c r="H525" s="561">
        <v>0</v>
      </c>
      <c r="I525" s="561">
        <v>0</v>
      </c>
      <c r="J525" s="562">
        <v>0</v>
      </c>
      <c r="K525" s="561">
        <v>0</v>
      </c>
      <c r="L525" s="561">
        <v>0</v>
      </c>
      <c r="M525" s="561">
        <v>0</v>
      </c>
      <c r="N525" s="561">
        <v>0</v>
      </c>
      <c r="O525" s="560"/>
      <c r="P525" s="449"/>
    </row>
    <row r="526" spans="1:16" s="175" customFormat="1" ht="12" hidden="1" customHeight="1" x14ac:dyDescent="0.2">
      <c r="A526" s="188"/>
      <c r="B526" s="580"/>
      <c r="C526" s="593">
        <f>++'Detalle Inmueble'!C5</f>
        <v>149</v>
      </c>
      <c r="D526" s="593" t="s">
        <v>944</v>
      </c>
      <c r="E526" s="470"/>
      <c r="F526" s="563">
        <f t="shared" ref="F526:N526" si="0">SUBTOTAL(109,F6:F525)</f>
        <v>26022403112</v>
      </c>
      <c r="G526" s="563">
        <f t="shared" si="0"/>
        <v>25851093389</v>
      </c>
      <c r="H526" s="563">
        <f t="shared" si="0"/>
        <v>171309723</v>
      </c>
      <c r="I526" s="563">
        <f t="shared" si="0"/>
        <v>75272148</v>
      </c>
      <c r="J526" s="563">
        <f t="shared" si="0"/>
        <v>96037575</v>
      </c>
      <c r="K526" s="563">
        <f t="shared" si="0"/>
        <v>5504694</v>
      </c>
      <c r="L526" s="563">
        <f t="shared" si="0"/>
        <v>0</v>
      </c>
      <c r="M526" s="563">
        <f t="shared" si="0"/>
        <v>6364121</v>
      </c>
      <c r="N526" s="563">
        <f t="shared" si="0"/>
        <v>84168760</v>
      </c>
      <c r="O526" s="546">
        <f>SUM(O6:O251)</f>
        <v>37868294</v>
      </c>
    </row>
    <row r="527" spans="1:16" s="175" customFormat="1" ht="12" customHeight="1" x14ac:dyDescent="0.2">
      <c r="A527" s="188"/>
      <c r="B527" s="882" t="s">
        <v>968</v>
      </c>
      <c r="C527" s="884" t="s">
        <v>1901</v>
      </c>
      <c r="D527" s="884" t="s">
        <v>1558</v>
      </c>
      <c r="E527" s="656" t="s">
        <v>26</v>
      </c>
      <c r="F527" s="564">
        <v>216583786</v>
      </c>
      <c r="G527" s="565">
        <v>216583786</v>
      </c>
      <c r="H527" s="564">
        <v>0</v>
      </c>
      <c r="I527" s="564">
        <v>0</v>
      </c>
      <c r="J527" s="565">
        <v>0</v>
      </c>
      <c r="K527" s="564">
        <v>0</v>
      </c>
      <c r="L527" s="564">
        <v>0</v>
      </c>
      <c r="M527" s="564">
        <v>0</v>
      </c>
      <c r="N527" s="564">
        <v>0</v>
      </c>
      <c r="O527" s="451"/>
    </row>
    <row r="528" spans="1:16" s="175" customFormat="1" ht="12" hidden="1" customHeight="1" x14ac:dyDescent="0.2">
      <c r="A528" s="188"/>
      <c r="B528" s="883"/>
      <c r="C528" s="884"/>
      <c r="D528" s="884" t="s">
        <v>1558</v>
      </c>
      <c r="E528" s="655" t="s">
        <v>1557</v>
      </c>
      <c r="F528" s="645">
        <v>183636093</v>
      </c>
      <c r="G528" s="562">
        <v>183636093</v>
      </c>
      <c r="H528" s="645">
        <v>0</v>
      </c>
      <c r="I528" s="645">
        <v>0</v>
      </c>
      <c r="J528" s="562">
        <v>0</v>
      </c>
      <c r="K528" s="645">
        <v>0</v>
      </c>
      <c r="L528" s="645">
        <v>0</v>
      </c>
      <c r="M528" s="645">
        <v>0</v>
      </c>
      <c r="N528" s="645">
        <v>0</v>
      </c>
      <c r="O528" s="451"/>
    </row>
    <row r="529" spans="1:15" s="175" customFormat="1" ht="12" customHeight="1" x14ac:dyDescent="0.2">
      <c r="A529" s="188"/>
      <c r="B529" s="883"/>
      <c r="C529" s="884"/>
      <c r="D529" s="884" t="s">
        <v>1558</v>
      </c>
      <c r="E529" s="655" t="s">
        <v>822</v>
      </c>
      <c r="F529" s="645">
        <v>574272</v>
      </c>
      <c r="G529" s="562">
        <v>0</v>
      </c>
      <c r="H529" s="645">
        <v>574272</v>
      </c>
      <c r="I529" s="645">
        <v>0</v>
      </c>
      <c r="J529" s="562">
        <v>574272</v>
      </c>
      <c r="K529" s="645">
        <v>0</v>
      </c>
      <c r="L529" s="645">
        <v>574272</v>
      </c>
      <c r="M529" s="645">
        <v>0</v>
      </c>
      <c r="N529" s="645">
        <v>0</v>
      </c>
      <c r="O529" s="451"/>
    </row>
    <row r="530" spans="1:15" s="175" customFormat="1" ht="12" customHeight="1" x14ac:dyDescent="0.2">
      <c r="A530" s="188"/>
      <c r="B530" s="883"/>
      <c r="C530" s="884"/>
      <c r="D530" s="884" t="s">
        <v>1558</v>
      </c>
      <c r="E530" s="655" t="s">
        <v>3212</v>
      </c>
      <c r="F530" s="645">
        <v>1385473</v>
      </c>
      <c r="G530" s="562">
        <v>1385473</v>
      </c>
      <c r="H530" s="645">
        <v>0</v>
      </c>
      <c r="I530" s="645">
        <v>0</v>
      </c>
      <c r="J530" s="562">
        <v>0</v>
      </c>
      <c r="K530" s="645">
        <v>0</v>
      </c>
      <c r="L530" s="645">
        <v>0</v>
      </c>
      <c r="M530" s="645">
        <v>0</v>
      </c>
      <c r="N530" s="645">
        <v>0</v>
      </c>
      <c r="O530" s="451"/>
    </row>
    <row r="531" spans="1:15" s="175" customFormat="1" ht="12" customHeight="1" x14ac:dyDescent="0.2">
      <c r="A531" s="188"/>
      <c r="B531" s="883"/>
      <c r="C531" s="884"/>
      <c r="D531" s="884" t="s">
        <v>1558</v>
      </c>
      <c r="E531" s="655" t="s">
        <v>1221</v>
      </c>
      <c r="F531" s="645">
        <v>1931850</v>
      </c>
      <c r="G531" s="562">
        <v>1931850</v>
      </c>
      <c r="H531" s="645">
        <v>0</v>
      </c>
      <c r="I531" s="645">
        <v>0</v>
      </c>
      <c r="J531" s="562">
        <v>0</v>
      </c>
      <c r="K531" s="645">
        <v>0</v>
      </c>
      <c r="L531" s="645">
        <v>0</v>
      </c>
      <c r="M531" s="645">
        <v>0</v>
      </c>
      <c r="N531" s="645">
        <v>0</v>
      </c>
      <c r="O531" s="451"/>
    </row>
    <row r="532" spans="1:15" s="175" customFormat="1" ht="12" customHeight="1" x14ac:dyDescent="0.2">
      <c r="A532" s="188"/>
      <c r="B532" s="883"/>
      <c r="C532" s="884" t="s">
        <v>1902</v>
      </c>
      <c r="D532" s="884" t="s">
        <v>1648</v>
      </c>
      <c r="E532" s="655" t="s">
        <v>26</v>
      </c>
      <c r="F532" s="645">
        <v>90561480</v>
      </c>
      <c r="G532" s="562">
        <v>90561480</v>
      </c>
      <c r="H532" s="645">
        <v>0</v>
      </c>
      <c r="I532" s="645">
        <v>0</v>
      </c>
      <c r="J532" s="562">
        <v>0</v>
      </c>
      <c r="K532" s="645">
        <v>0</v>
      </c>
      <c r="L532" s="645">
        <v>0</v>
      </c>
      <c r="M532" s="645">
        <v>0</v>
      </c>
      <c r="N532" s="645">
        <v>0</v>
      </c>
      <c r="O532" s="451"/>
    </row>
    <row r="533" spans="1:15" s="175" customFormat="1" ht="12" customHeight="1" x14ac:dyDescent="0.2">
      <c r="A533" s="188"/>
      <c r="B533" s="883"/>
      <c r="C533" s="884"/>
      <c r="D533" s="884" t="s">
        <v>1648</v>
      </c>
      <c r="E533" s="655" t="s">
        <v>22</v>
      </c>
      <c r="F533" s="645">
        <v>68406567</v>
      </c>
      <c r="G533" s="562">
        <v>68406567</v>
      </c>
      <c r="H533" s="645">
        <v>0</v>
      </c>
      <c r="I533" s="645">
        <v>0</v>
      </c>
      <c r="J533" s="562">
        <v>0</v>
      </c>
      <c r="K533" s="645">
        <v>0</v>
      </c>
      <c r="L533" s="645">
        <v>0</v>
      </c>
      <c r="M533" s="645">
        <v>0</v>
      </c>
      <c r="N533" s="645">
        <v>0</v>
      </c>
      <c r="O533" s="451"/>
    </row>
    <row r="534" spans="1:15" s="175" customFormat="1" ht="12" hidden="1" customHeight="1" x14ac:dyDescent="0.2">
      <c r="A534" s="188"/>
      <c r="B534" s="883"/>
      <c r="C534" s="884"/>
      <c r="D534" s="884" t="s">
        <v>1648</v>
      </c>
      <c r="E534" s="655" t="s">
        <v>2601</v>
      </c>
      <c r="F534" s="645">
        <v>210954193</v>
      </c>
      <c r="G534" s="562">
        <v>210954193</v>
      </c>
      <c r="H534" s="645">
        <v>0</v>
      </c>
      <c r="I534" s="645">
        <v>0</v>
      </c>
      <c r="J534" s="562">
        <v>0</v>
      </c>
      <c r="K534" s="645">
        <v>0</v>
      </c>
      <c r="L534" s="645">
        <v>0</v>
      </c>
      <c r="M534" s="645">
        <v>0</v>
      </c>
      <c r="N534" s="645">
        <v>0</v>
      </c>
      <c r="O534" s="451"/>
    </row>
    <row r="535" spans="1:15" s="175" customFormat="1" ht="12" customHeight="1" x14ac:dyDescent="0.2">
      <c r="A535" s="188"/>
      <c r="B535" s="883"/>
      <c r="C535" s="884"/>
      <c r="D535" s="884" t="s">
        <v>1648</v>
      </c>
      <c r="E535" s="655" t="s">
        <v>3212</v>
      </c>
      <c r="F535" s="645">
        <v>1581443</v>
      </c>
      <c r="G535" s="562">
        <v>1581443</v>
      </c>
      <c r="H535" s="645">
        <v>0</v>
      </c>
      <c r="I535" s="645">
        <v>0</v>
      </c>
      <c r="J535" s="562">
        <v>0</v>
      </c>
      <c r="K535" s="645">
        <v>0</v>
      </c>
      <c r="L535" s="645">
        <v>0</v>
      </c>
      <c r="M535" s="645">
        <v>0</v>
      </c>
      <c r="N535" s="645">
        <v>0</v>
      </c>
      <c r="O535" s="451"/>
    </row>
    <row r="536" spans="1:15" s="175" customFormat="1" ht="12" customHeight="1" x14ac:dyDescent="0.2">
      <c r="A536" s="188"/>
      <c r="B536" s="883"/>
      <c r="C536" s="884" t="s">
        <v>1903</v>
      </c>
      <c r="D536" s="884" t="s">
        <v>1710</v>
      </c>
      <c r="E536" s="655" t="s">
        <v>26</v>
      </c>
      <c r="F536" s="645">
        <v>151409833</v>
      </c>
      <c r="G536" s="562">
        <v>151409833</v>
      </c>
      <c r="H536" s="645">
        <v>0</v>
      </c>
      <c r="I536" s="645">
        <v>0</v>
      </c>
      <c r="J536" s="562">
        <v>0</v>
      </c>
      <c r="K536" s="645">
        <v>0</v>
      </c>
      <c r="L536" s="645">
        <v>0</v>
      </c>
      <c r="M536" s="645">
        <v>0</v>
      </c>
      <c r="N536" s="645">
        <v>0</v>
      </c>
      <c r="O536" s="451"/>
    </row>
    <row r="537" spans="1:15" s="175" customFormat="1" ht="12" hidden="1" customHeight="1" x14ac:dyDescent="0.2">
      <c r="A537" s="188"/>
      <c r="B537" s="883"/>
      <c r="C537" s="884"/>
      <c r="D537" s="884" t="s">
        <v>1710</v>
      </c>
      <c r="E537" s="655" t="s">
        <v>1557</v>
      </c>
      <c r="F537" s="645">
        <v>190000000</v>
      </c>
      <c r="G537" s="562">
        <v>0</v>
      </c>
      <c r="H537" s="645">
        <v>190000000</v>
      </c>
      <c r="I537" s="645">
        <v>0</v>
      </c>
      <c r="J537" s="562">
        <v>190000000</v>
      </c>
      <c r="K537" s="645">
        <v>0</v>
      </c>
      <c r="L537" s="645">
        <v>0</v>
      </c>
      <c r="M537" s="645">
        <v>0</v>
      </c>
      <c r="N537" s="645">
        <v>190000000</v>
      </c>
      <c r="O537" s="451"/>
    </row>
    <row r="538" spans="1:15" s="175" customFormat="1" ht="12" customHeight="1" x14ac:dyDescent="0.2">
      <c r="A538" s="188"/>
      <c r="B538" s="883"/>
      <c r="C538" s="884"/>
      <c r="D538" s="884" t="s">
        <v>1710</v>
      </c>
      <c r="E538" s="655" t="s">
        <v>822</v>
      </c>
      <c r="F538" s="645">
        <v>490291</v>
      </c>
      <c r="G538" s="562">
        <v>490291</v>
      </c>
      <c r="H538" s="645">
        <v>0</v>
      </c>
      <c r="I538" s="645">
        <v>0</v>
      </c>
      <c r="J538" s="562">
        <v>0</v>
      </c>
      <c r="K538" s="645">
        <v>0</v>
      </c>
      <c r="L538" s="645">
        <v>0</v>
      </c>
      <c r="M538" s="645">
        <v>0</v>
      </c>
      <c r="N538" s="645">
        <v>0</v>
      </c>
      <c r="O538" s="451"/>
    </row>
    <row r="539" spans="1:15" s="175" customFormat="1" ht="12" customHeight="1" x14ac:dyDescent="0.2">
      <c r="A539" s="188"/>
      <c r="B539" s="883"/>
      <c r="C539" s="884"/>
      <c r="D539" s="884" t="s">
        <v>1710</v>
      </c>
      <c r="E539" s="655" t="s">
        <v>3212</v>
      </c>
      <c r="F539" s="645">
        <v>60000</v>
      </c>
      <c r="G539" s="562">
        <v>60000</v>
      </c>
      <c r="H539" s="645">
        <v>0</v>
      </c>
      <c r="I539" s="645">
        <v>0</v>
      </c>
      <c r="J539" s="562">
        <v>0</v>
      </c>
      <c r="K539" s="645">
        <v>0</v>
      </c>
      <c r="L539" s="645">
        <v>0</v>
      </c>
      <c r="M539" s="645">
        <v>0</v>
      </c>
      <c r="N539" s="645">
        <v>0</v>
      </c>
      <c r="O539" s="451"/>
    </row>
    <row r="540" spans="1:15" s="175" customFormat="1" ht="12" customHeight="1" x14ac:dyDescent="0.2">
      <c r="A540" s="188"/>
      <c r="B540" s="883"/>
      <c r="C540" s="884"/>
      <c r="D540" s="884" t="s">
        <v>1710</v>
      </c>
      <c r="E540" s="655" t="s">
        <v>1221</v>
      </c>
      <c r="F540" s="645">
        <v>1931850</v>
      </c>
      <c r="G540" s="562">
        <v>1931850</v>
      </c>
      <c r="H540" s="645">
        <v>0</v>
      </c>
      <c r="I540" s="645">
        <v>0</v>
      </c>
      <c r="J540" s="562">
        <v>0</v>
      </c>
      <c r="K540" s="645">
        <v>0</v>
      </c>
      <c r="L540" s="645">
        <v>0</v>
      </c>
      <c r="M540" s="645">
        <v>0</v>
      </c>
      <c r="N540" s="645">
        <v>0</v>
      </c>
      <c r="O540" s="451"/>
    </row>
    <row r="541" spans="1:15" s="175" customFormat="1" ht="12" customHeight="1" x14ac:dyDescent="0.2">
      <c r="A541" s="188"/>
      <c r="B541" s="883"/>
      <c r="C541" s="884" t="s">
        <v>1904</v>
      </c>
      <c r="D541" s="884" t="s">
        <v>3134</v>
      </c>
      <c r="E541" s="655" t="s">
        <v>26</v>
      </c>
      <c r="F541" s="645">
        <v>101996334</v>
      </c>
      <c r="G541" s="562">
        <v>101996334</v>
      </c>
      <c r="H541" s="645">
        <v>0</v>
      </c>
      <c r="I541" s="645">
        <v>0</v>
      </c>
      <c r="J541" s="562">
        <v>0</v>
      </c>
      <c r="K541" s="645">
        <v>0</v>
      </c>
      <c r="L541" s="645">
        <v>0</v>
      </c>
      <c r="M541" s="645">
        <v>0</v>
      </c>
      <c r="N541" s="645">
        <v>0</v>
      </c>
      <c r="O541" s="451"/>
    </row>
    <row r="542" spans="1:15" s="175" customFormat="1" ht="12" hidden="1" customHeight="1" x14ac:dyDescent="0.2">
      <c r="A542" s="188"/>
      <c r="B542" s="883"/>
      <c r="C542" s="884"/>
      <c r="D542" s="884" t="s">
        <v>3134</v>
      </c>
      <c r="E542" s="655" t="s">
        <v>1557</v>
      </c>
      <c r="F542" s="645">
        <v>232870924</v>
      </c>
      <c r="G542" s="562">
        <v>232870924</v>
      </c>
      <c r="H542" s="645">
        <v>0</v>
      </c>
      <c r="I542" s="645">
        <v>0</v>
      </c>
      <c r="J542" s="562">
        <v>0</v>
      </c>
      <c r="K542" s="645">
        <v>0</v>
      </c>
      <c r="L542" s="645">
        <v>0</v>
      </c>
      <c r="M542" s="645">
        <v>0</v>
      </c>
      <c r="N542" s="645">
        <v>0</v>
      </c>
      <c r="O542" s="451"/>
    </row>
    <row r="543" spans="1:15" s="175" customFormat="1" ht="12" customHeight="1" x14ac:dyDescent="0.2">
      <c r="A543" s="188"/>
      <c r="B543" s="883"/>
      <c r="C543" s="884"/>
      <c r="D543" s="884" t="s">
        <v>3134</v>
      </c>
      <c r="E543" s="655" t="s">
        <v>822</v>
      </c>
      <c r="F543" s="645">
        <v>574272</v>
      </c>
      <c r="G543" s="562">
        <v>574272</v>
      </c>
      <c r="H543" s="645">
        <v>0</v>
      </c>
      <c r="I543" s="645">
        <v>0</v>
      </c>
      <c r="J543" s="562">
        <v>0</v>
      </c>
      <c r="K543" s="645">
        <v>0</v>
      </c>
      <c r="L543" s="645">
        <v>0</v>
      </c>
      <c r="M543" s="645">
        <v>0</v>
      </c>
      <c r="N543" s="645">
        <v>0</v>
      </c>
      <c r="O543" s="451"/>
    </row>
    <row r="544" spans="1:15" s="175" customFormat="1" ht="12" customHeight="1" x14ac:dyDescent="0.2">
      <c r="A544" s="188"/>
      <c r="B544" s="883"/>
      <c r="C544" s="884"/>
      <c r="D544" s="884" t="s">
        <v>3134</v>
      </c>
      <c r="E544" s="655" t="s">
        <v>3212</v>
      </c>
      <c r="F544" s="645">
        <v>1299234</v>
      </c>
      <c r="G544" s="562">
        <v>1</v>
      </c>
      <c r="H544" s="645">
        <v>1299233</v>
      </c>
      <c r="I544" s="645">
        <v>0</v>
      </c>
      <c r="J544" s="562">
        <v>1299233</v>
      </c>
      <c r="K544" s="645">
        <v>0</v>
      </c>
      <c r="L544" s="645">
        <v>0</v>
      </c>
      <c r="M544" s="645">
        <v>1299233</v>
      </c>
      <c r="N544" s="645">
        <v>0</v>
      </c>
      <c r="O544" s="451"/>
    </row>
    <row r="545" spans="1:15" s="175" customFormat="1" ht="12" customHeight="1" x14ac:dyDescent="0.2">
      <c r="A545" s="188"/>
      <c r="B545" s="883"/>
      <c r="C545" s="884" t="s">
        <v>1905</v>
      </c>
      <c r="D545" s="884" t="s">
        <v>1002</v>
      </c>
      <c r="E545" s="655" t="s">
        <v>26</v>
      </c>
      <c r="F545" s="645">
        <v>127333812</v>
      </c>
      <c r="G545" s="562">
        <v>127333812</v>
      </c>
      <c r="H545" s="645">
        <v>0</v>
      </c>
      <c r="I545" s="645">
        <v>0</v>
      </c>
      <c r="J545" s="562">
        <v>0</v>
      </c>
      <c r="K545" s="645">
        <v>0</v>
      </c>
      <c r="L545" s="645">
        <v>0</v>
      </c>
      <c r="M545" s="645">
        <v>0</v>
      </c>
      <c r="N545" s="645">
        <v>0</v>
      </c>
      <c r="O545" s="451"/>
    </row>
    <row r="546" spans="1:15" s="175" customFormat="1" ht="12" hidden="1" customHeight="1" x14ac:dyDescent="0.2">
      <c r="A546" s="188"/>
      <c r="B546" s="883"/>
      <c r="C546" s="884"/>
      <c r="D546" s="884" t="s">
        <v>1002</v>
      </c>
      <c r="E546" s="655" t="s">
        <v>2601</v>
      </c>
      <c r="F546" s="645">
        <v>163600000</v>
      </c>
      <c r="G546" s="562">
        <v>163600000</v>
      </c>
      <c r="H546" s="645">
        <v>0</v>
      </c>
      <c r="I546" s="645">
        <v>0</v>
      </c>
      <c r="J546" s="562">
        <v>0</v>
      </c>
      <c r="K546" s="645">
        <v>0</v>
      </c>
      <c r="L546" s="645">
        <v>0</v>
      </c>
      <c r="M546" s="645">
        <v>0</v>
      </c>
      <c r="N546" s="645">
        <v>0</v>
      </c>
      <c r="O546" s="451"/>
    </row>
    <row r="547" spans="1:15" s="175" customFormat="1" ht="12" customHeight="1" x14ac:dyDescent="0.2">
      <c r="A547" s="188"/>
      <c r="B547" s="883"/>
      <c r="C547" s="884"/>
      <c r="D547" s="884" t="s">
        <v>1002</v>
      </c>
      <c r="E547" s="655" t="s">
        <v>1221</v>
      </c>
      <c r="F547" s="645">
        <v>1512675</v>
      </c>
      <c r="G547" s="562">
        <v>1512675</v>
      </c>
      <c r="H547" s="645">
        <v>0</v>
      </c>
      <c r="I547" s="645">
        <v>0</v>
      </c>
      <c r="J547" s="562">
        <v>0</v>
      </c>
      <c r="K547" s="645">
        <v>0</v>
      </c>
      <c r="L547" s="645">
        <v>0</v>
      </c>
      <c r="M547" s="645">
        <v>0</v>
      </c>
      <c r="N547" s="645">
        <v>0</v>
      </c>
      <c r="O547" s="451"/>
    </row>
    <row r="548" spans="1:15" s="175" customFormat="1" ht="12" customHeight="1" x14ac:dyDescent="0.2">
      <c r="A548" s="188"/>
      <c r="B548" s="883"/>
      <c r="C548" s="884" t="s">
        <v>2609</v>
      </c>
      <c r="D548" s="884" t="s">
        <v>2610</v>
      </c>
      <c r="E548" s="655" t="s">
        <v>26</v>
      </c>
      <c r="F548" s="645">
        <v>380607900</v>
      </c>
      <c r="G548" s="562">
        <v>380607900</v>
      </c>
      <c r="H548" s="645">
        <v>0</v>
      </c>
      <c r="I548" s="645">
        <v>0</v>
      </c>
      <c r="J548" s="562">
        <v>0</v>
      </c>
      <c r="K548" s="645">
        <v>0</v>
      </c>
      <c r="L548" s="645">
        <v>0</v>
      </c>
      <c r="M548" s="645">
        <v>0</v>
      </c>
      <c r="N548" s="645">
        <v>0</v>
      </c>
      <c r="O548" s="451"/>
    </row>
    <row r="549" spans="1:15" s="175" customFormat="1" ht="12" customHeight="1" x14ac:dyDescent="0.2">
      <c r="A549" s="188"/>
      <c r="B549" s="883"/>
      <c r="C549" s="884"/>
      <c r="D549" s="884" t="s">
        <v>2610</v>
      </c>
      <c r="E549" s="655" t="s">
        <v>1221</v>
      </c>
      <c r="F549" s="645">
        <v>1931850</v>
      </c>
      <c r="G549" s="562">
        <v>1931850</v>
      </c>
      <c r="H549" s="645">
        <v>0</v>
      </c>
      <c r="I549" s="645">
        <v>0</v>
      </c>
      <c r="J549" s="562">
        <v>0</v>
      </c>
      <c r="K549" s="645">
        <v>0</v>
      </c>
      <c r="L549" s="645">
        <v>0</v>
      </c>
      <c r="M549" s="645">
        <v>0</v>
      </c>
      <c r="N549" s="645">
        <v>0</v>
      </c>
      <c r="O549" s="451"/>
    </row>
    <row r="550" spans="1:15" s="175" customFormat="1" ht="12" customHeight="1" x14ac:dyDescent="0.2">
      <c r="A550" s="188"/>
      <c r="B550" s="883"/>
      <c r="C550" s="884" t="s">
        <v>1906</v>
      </c>
      <c r="D550" s="884" t="s">
        <v>1073</v>
      </c>
      <c r="E550" s="655" t="s">
        <v>26</v>
      </c>
      <c r="F550" s="645">
        <v>333677340</v>
      </c>
      <c r="G550" s="562">
        <v>333677340</v>
      </c>
      <c r="H550" s="645">
        <v>0</v>
      </c>
      <c r="I550" s="645">
        <v>0</v>
      </c>
      <c r="J550" s="562">
        <v>0</v>
      </c>
      <c r="K550" s="645">
        <v>0</v>
      </c>
      <c r="L550" s="645">
        <v>0</v>
      </c>
      <c r="M550" s="645">
        <v>0</v>
      </c>
      <c r="N550" s="645">
        <v>0</v>
      </c>
      <c r="O550" s="451"/>
    </row>
    <row r="551" spans="1:15" s="175" customFormat="1" ht="12" customHeight="1" x14ac:dyDescent="0.2">
      <c r="A551" s="188"/>
      <c r="B551" s="883"/>
      <c r="C551" s="884"/>
      <c r="D551" s="884" t="s">
        <v>1073</v>
      </c>
      <c r="E551" s="655" t="s">
        <v>3212</v>
      </c>
      <c r="F551" s="645">
        <v>88606</v>
      </c>
      <c r="G551" s="562">
        <v>88606</v>
      </c>
      <c r="H551" s="645">
        <v>0</v>
      </c>
      <c r="I551" s="645">
        <v>0</v>
      </c>
      <c r="J551" s="562">
        <v>0</v>
      </c>
      <c r="K551" s="645">
        <v>0</v>
      </c>
      <c r="L551" s="645">
        <v>0</v>
      </c>
      <c r="M551" s="645">
        <v>0</v>
      </c>
      <c r="N551" s="645">
        <v>0</v>
      </c>
      <c r="O551" s="451"/>
    </row>
    <row r="552" spans="1:15" s="175" customFormat="1" ht="12" customHeight="1" x14ac:dyDescent="0.2">
      <c r="A552" s="188"/>
      <c r="B552" s="883"/>
      <c r="C552" s="884" t="s">
        <v>1907</v>
      </c>
      <c r="D552" s="884" t="s">
        <v>1649</v>
      </c>
      <c r="E552" s="655" t="s">
        <v>26</v>
      </c>
      <c r="F552" s="645">
        <v>223437191</v>
      </c>
      <c r="G552" s="562">
        <v>223437191</v>
      </c>
      <c r="H552" s="645">
        <v>0</v>
      </c>
      <c r="I552" s="645">
        <v>0</v>
      </c>
      <c r="J552" s="562">
        <v>0</v>
      </c>
      <c r="K552" s="645">
        <v>0</v>
      </c>
      <c r="L552" s="645">
        <v>0</v>
      </c>
      <c r="M552" s="645">
        <v>0</v>
      </c>
      <c r="N552" s="645">
        <v>0</v>
      </c>
      <c r="O552" s="451"/>
    </row>
    <row r="553" spans="1:15" s="175" customFormat="1" ht="12" hidden="1" customHeight="1" x14ac:dyDescent="0.2">
      <c r="A553" s="188"/>
      <c r="B553" s="883"/>
      <c r="C553" s="884"/>
      <c r="D553" s="884" t="s">
        <v>1649</v>
      </c>
      <c r="E553" s="655" t="s">
        <v>2601</v>
      </c>
      <c r="F553" s="645">
        <v>101954830</v>
      </c>
      <c r="G553" s="562">
        <v>101954830</v>
      </c>
      <c r="H553" s="645">
        <v>0</v>
      </c>
      <c r="I553" s="645">
        <v>0</v>
      </c>
      <c r="J553" s="562">
        <v>0</v>
      </c>
      <c r="K553" s="645">
        <v>0</v>
      </c>
      <c r="L553" s="645">
        <v>0</v>
      </c>
      <c r="M553" s="645">
        <v>0</v>
      </c>
      <c r="N553" s="645">
        <v>0</v>
      </c>
      <c r="O553" s="451"/>
    </row>
    <row r="554" spans="1:15" s="175" customFormat="1" ht="12" customHeight="1" x14ac:dyDescent="0.2">
      <c r="A554" s="188"/>
      <c r="B554" s="883"/>
      <c r="C554" s="884"/>
      <c r="D554" s="884" t="s">
        <v>1649</v>
      </c>
      <c r="E554" s="655" t="s">
        <v>2676</v>
      </c>
      <c r="F554" s="645">
        <v>299068</v>
      </c>
      <c r="G554" s="562">
        <v>299068</v>
      </c>
      <c r="H554" s="645">
        <v>0</v>
      </c>
      <c r="I554" s="645">
        <v>0</v>
      </c>
      <c r="J554" s="562">
        <v>0</v>
      </c>
      <c r="K554" s="645">
        <v>0</v>
      </c>
      <c r="L554" s="645">
        <v>0</v>
      </c>
      <c r="M554" s="645">
        <v>0</v>
      </c>
      <c r="N554" s="645">
        <v>0</v>
      </c>
      <c r="O554" s="451"/>
    </row>
    <row r="555" spans="1:15" s="175" customFormat="1" ht="12" customHeight="1" x14ac:dyDescent="0.2">
      <c r="A555" s="188"/>
      <c r="B555" s="883"/>
      <c r="C555" s="884" t="s">
        <v>1908</v>
      </c>
      <c r="D555" s="884" t="s">
        <v>1627</v>
      </c>
      <c r="E555" s="655" t="s">
        <v>26</v>
      </c>
      <c r="F555" s="645">
        <v>88729680</v>
      </c>
      <c r="G555" s="562">
        <v>88729680</v>
      </c>
      <c r="H555" s="645">
        <v>0</v>
      </c>
      <c r="I555" s="645">
        <v>0</v>
      </c>
      <c r="J555" s="562">
        <v>0</v>
      </c>
      <c r="K555" s="645">
        <v>0</v>
      </c>
      <c r="L555" s="645">
        <v>0</v>
      </c>
      <c r="M555" s="645">
        <v>0</v>
      </c>
      <c r="N555" s="645">
        <v>0</v>
      </c>
      <c r="O555" s="451"/>
    </row>
    <row r="556" spans="1:15" s="175" customFormat="1" ht="12" hidden="1" customHeight="1" x14ac:dyDescent="0.2">
      <c r="A556" s="188"/>
      <c r="B556" s="883"/>
      <c r="C556" s="884"/>
      <c r="D556" s="884" t="s">
        <v>1627</v>
      </c>
      <c r="E556" s="655" t="s">
        <v>1557</v>
      </c>
      <c r="F556" s="645">
        <v>207035920</v>
      </c>
      <c r="G556" s="562">
        <v>207035920</v>
      </c>
      <c r="H556" s="645">
        <v>0</v>
      </c>
      <c r="I556" s="645">
        <v>0</v>
      </c>
      <c r="J556" s="562">
        <v>0</v>
      </c>
      <c r="K556" s="645">
        <v>0</v>
      </c>
      <c r="L556" s="645">
        <v>0</v>
      </c>
      <c r="M556" s="645">
        <v>0</v>
      </c>
      <c r="N556" s="645">
        <v>0</v>
      </c>
      <c r="O556" s="451"/>
    </row>
    <row r="557" spans="1:15" s="175" customFormat="1" ht="12" customHeight="1" x14ac:dyDescent="0.2">
      <c r="A557" s="188"/>
      <c r="B557" s="883"/>
      <c r="C557" s="884"/>
      <c r="D557" s="884" t="s">
        <v>1627</v>
      </c>
      <c r="E557" s="655" t="s">
        <v>195</v>
      </c>
      <c r="F557" s="645">
        <v>1614698</v>
      </c>
      <c r="G557" s="562">
        <v>1614698</v>
      </c>
      <c r="H557" s="645">
        <v>0</v>
      </c>
      <c r="I557" s="645">
        <v>0</v>
      </c>
      <c r="J557" s="562">
        <v>0</v>
      </c>
      <c r="K557" s="645">
        <v>0</v>
      </c>
      <c r="L557" s="645">
        <v>0</v>
      </c>
      <c r="M557" s="645">
        <v>0</v>
      </c>
      <c r="N557" s="645">
        <v>0</v>
      </c>
      <c r="O557" s="451"/>
    </row>
    <row r="558" spans="1:15" s="175" customFormat="1" ht="12" customHeight="1" x14ac:dyDescent="0.2">
      <c r="A558" s="188"/>
      <c r="B558" s="883"/>
      <c r="C558" s="884" t="s">
        <v>1909</v>
      </c>
      <c r="D558" s="884" t="s">
        <v>2608</v>
      </c>
      <c r="E558" s="655" t="s">
        <v>26</v>
      </c>
      <c r="F558" s="645">
        <v>175119992</v>
      </c>
      <c r="G558" s="562">
        <v>175119992</v>
      </c>
      <c r="H558" s="645">
        <v>0</v>
      </c>
      <c r="I558" s="645">
        <v>0</v>
      </c>
      <c r="J558" s="562">
        <v>0</v>
      </c>
      <c r="K558" s="645">
        <v>0</v>
      </c>
      <c r="L558" s="645">
        <v>0</v>
      </c>
      <c r="M558" s="645">
        <v>0</v>
      </c>
      <c r="N558" s="645">
        <v>0</v>
      </c>
      <c r="O558" s="451"/>
    </row>
    <row r="559" spans="1:15" s="175" customFormat="1" ht="12" hidden="1" customHeight="1" x14ac:dyDescent="0.2">
      <c r="A559" s="188"/>
      <c r="B559" s="883"/>
      <c r="C559" s="884"/>
      <c r="D559" s="884" t="s">
        <v>2608</v>
      </c>
      <c r="E559" s="655" t="s">
        <v>1557</v>
      </c>
      <c r="F559" s="645">
        <v>165400000</v>
      </c>
      <c r="G559" s="562">
        <v>165400000</v>
      </c>
      <c r="H559" s="645">
        <v>0</v>
      </c>
      <c r="I559" s="645">
        <v>0</v>
      </c>
      <c r="J559" s="562">
        <v>0</v>
      </c>
      <c r="K559" s="645">
        <v>0</v>
      </c>
      <c r="L559" s="645">
        <v>0</v>
      </c>
      <c r="M559" s="645">
        <v>0</v>
      </c>
      <c r="N559" s="645">
        <v>0</v>
      </c>
      <c r="O559" s="451"/>
    </row>
    <row r="560" spans="1:15" s="175" customFormat="1" ht="12" customHeight="1" x14ac:dyDescent="0.2">
      <c r="A560" s="188"/>
      <c r="B560" s="883"/>
      <c r="C560" s="884"/>
      <c r="D560" s="884" t="s">
        <v>2608</v>
      </c>
      <c r="E560" s="655" t="s">
        <v>1221</v>
      </c>
      <c r="F560" s="645">
        <v>1931850</v>
      </c>
      <c r="G560" s="562">
        <v>1931850</v>
      </c>
      <c r="H560" s="645">
        <v>0</v>
      </c>
      <c r="I560" s="645">
        <v>0</v>
      </c>
      <c r="J560" s="562">
        <v>0</v>
      </c>
      <c r="K560" s="645">
        <v>0</v>
      </c>
      <c r="L560" s="645">
        <v>0</v>
      </c>
      <c r="M560" s="645">
        <v>0</v>
      </c>
      <c r="N560" s="645">
        <v>0</v>
      </c>
      <c r="O560" s="451"/>
    </row>
    <row r="561" spans="1:15" s="175" customFormat="1" ht="12" customHeight="1" x14ac:dyDescent="0.2">
      <c r="A561" s="188"/>
      <c r="B561" s="883"/>
      <c r="C561" s="884" t="s">
        <v>1910</v>
      </c>
      <c r="D561" s="884" t="s">
        <v>1628</v>
      </c>
      <c r="E561" s="655" t="s">
        <v>26</v>
      </c>
      <c r="F561" s="645">
        <v>364751526</v>
      </c>
      <c r="G561" s="562">
        <v>364751526</v>
      </c>
      <c r="H561" s="645">
        <v>0</v>
      </c>
      <c r="I561" s="645">
        <v>0</v>
      </c>
      <c r="J561" s="562">
        <v>0</v>
      </c>
      <c r="K561" s="645">
        <v>0</v>
      </c>
      <c r="L561" s="645">
        <v>0</v>
      </c>
      <c r="M561" s="645">
        <v>0</v>
      </c>
      <c r="N561" s="645">
        <v>0</v>
      </c>
      <c r="O561" s="451"/>
    </row>
    <row r="562" spans="1:15" s="175" customFormat="1" ht="12" customHeight="1" x14ac:dyDescent="0.2">
      <c r="A562" s="188"/>
      <c r="B562" s="883"/>
      <c r="C562" s="884"/>
      <c r="D562" s="884" t="s">
        <v>1628</v>
      </c>
      <c r="E562" s="655" t="s">
        <v>22</v>
      </c>
      <c r="F562" s="645">
        <v>77601742</v>
      </c>
      <c r="G562" s="562">
        <v>77601742</v>
      </c>
      <c r="H562" s="645">
        <v>0</v>
      </c>
      <c r="I562" s="645">
        <v>0</v>
      </c>
      <c r="J562" s="562">
        <v>0</v>
      </c>
      <c r="K562" s="645">
        <v>0</v>
      </c>
      <c r="L562" s="645">
        <v>0</v>
      </c>
      <c r="M562" s="645">
        <v>0</v>
      </c>
      <c r="N562" s="645">
        <v>0</v>
      </c>
      <c r="O562" s="451"/>
    </row>
    <row r="563" spans="1:15" s="175" customFormat="1" ht="12" customHeight="1" x14ac:dyDescent="0.2">
      <c r="A563" s="188"/>
      <c r="B563" s="883"/>
      <c r="C563" s="884"/>
      <c r="D563" s="884" t="s">
        <v>1628</v>
      </c>
      <c r="E563" s="655" t="s">
        <v>3212</v>
      </c>
      <c r="F563" s="645">
        <v>71495</v>
      </c>
      <c r="G563" s="562">
        <v>71495</v>
      </c>
      <c r="H563" s="645">
        <v>0</v>
      </c>
      <c r="I563" s="645">
        <v>0</v>
      </c>
      <c r="J563" s="562">
        <v>0</v>
      </c>
      <c r="K563" s="645">
        <v>0</v>
      </c>
      <c r="L563" s="645">
        <v>0</v>
      </c>
      <c r="M563" s="645">
        <v>0</v>
      </c>
      <c r="N563" s="645">
        <v>0</v>
      </c>
      <c r="O563" s="451"/>
    </row>
    <row r="564" spans="1:15" s="175" customFormat="1" ht="12" customHeight="1" x14ac:dyDescent="0.2">
      <c r="A564" s="188"/>
      <c r="B564" s="883"/>
      <c r="C564" s="884"/>
      <c r="D564" s="884" t="s">
        <v>1628</v>
      </c>
      <c r="E564" s="655" t="s">
        <v>1221</v>
      </c>
      <c r="F564" s="645">
        <v>1931850</v>
      </c>
      <c r="G564" s="562">
        <v>1931850</v>
      </c>
      <c r="H564" s="645">
        <v>0</v>
      </c>
      <c r="I564" s="645">
        <v>0</v>
      </c>
      <c r="J564" s="562">
        <v>0</v>
      </c>
      <c r="K564" s="645">
        <v>0</v>
      </c>
      <c r="L564" s="645">
        <v>0</v>
      </c>
      <c r="M564" s="645">
        <v>0</v>
      </c>
      <c r="N564" s="645">
        <v>0</v>
      </c>
      <c r="O564" s="451"/>
    </row>
    <row r="565" spans="1:15" s="175" customFormat="1" ht="12" customHeight="1" x14ac:dyDescent="0.2">
      <c r="A565" s="188"/>
      <c r="B565" s="883"/>
      <c r="C565" s="884" t="s">
        <v>1911</v>
      </c>
      <c r="D565" s="884" t="s">
        <v>1651</v>
      </c>
      <c r="E565" s="655" t="s">
        <v>26</v>
      </c>
      <c r="F565" s="645">
        <v>103836288</v>
      </c>
      <c r="G565" s="562">
        <v>103836288</v>
      </c>
      <c r="H565" s="645">
        <v>0</v>
      </c>
      <c r="I565" s="645">
        <v>0</v>
      </c>
      <c r="J565" s="562">
        <v>0</v>
      </c>
      <c r="K565" s="645">
        <v>0</v>
      </c>
      <c r="L565" s="645">
        <v>0</v>
      </c>
      <c r="M565" s="645">
        <v>0</v>
      </c>
      <c r="N565" s="645">
        <v>0</v>
      </c>
      <c r="O565" s="451"/>
    </row>
    <row r="566" spans="1:15" s="175" customFormat="1" ht="12" hidden="1" customHeight="1" x14ac:dyDescent="0.2">
      <c r="A566" s="188"/>
      <c r="B566" s="883"/>
      <c r="C566" s="884"/>
      <c r="D566" s="884" t="s">
        <v>1651</v>
      </c>
      <c r="E566" s="655" t="s">
        <v>1557</v>
      </c>
      <c r="F566" s="645">
        <v>239998046</v>
      </c>
      <c r="G566" s="562">
        <v>239998046</v>
      </c>
      <c r="H566" s="645">
        <v>0</v>
      </c>
      <c r="I566" s="645">
        <v>0</v>
      </c>
      <c r="J566" s="562">
        <v>0</v>
      </c>
      <c r="K566" s="645">
        <v>0</v>
      </c>
      <c r="L566" s="645">
        <v>0</v>
      </c>
      <c r="M566" s="645">
        <v>0</v>
      </c>
      <c r="N566" s="645">
        <v>0</v>
      </c>
      <c r="O566" s="451"/>
    </row>
    <row r="567" spans="1:15" s="175" customFormat="1" ht="12" customHeight="1" x14ac:dyDescent="0.2">
      <c r="A567" s="188"/>
      <c r="B567" s="883"/>
      <c r="C567" s="884"/>
      <c r="D567" s="884" t="s">
        <v>1651</v>
      </c>
      <c r="E567" s="655" t="s">
        <v>3212</v>
      </c>
      <c r="F567" s="645">
        <v>1342492</v>
      </c>
      <c r="G567" s="562">
        <v>0</v>
      </c>
      <c r="H567" s="645">
        <v>1342492</v>
      </c>
      <c r="I567" s="645">
        <v>0</v>
      </c>
      <c r="J567" s="562">
        <v>1342492</v>
      </c>
      <c r="K567" s="645">
        <v>0</v>
      </c>
      <c r="L567" s="645">
        <v>0</v>
      </c>
      <c r="M567" s="645">
        <v>1342492</v>
      </c>
      <c r="N567" s="645">
        <v>0</v>
      </c>
      <c r="O567" s="451"/>
    </row>
    <row r="568" spans="1:15" s="175" customFormat="1" ht="12" customHeight="1" x14ac:dyDescent="0.2">
      <c r="A568" s="188"/>
      <c r="B568" s="883"/>
      <c r="C568" s="884"/>
      <c r="D568" s="884" t="s">
        <v>1651</v>
      </c>
      <c r="E568" s="655" t="s">
        <v>195</v>
      </c>
      <c r="F568" s="645">
        <v>462414</v>
      </c>
      <c r="G568" s="562">
        <v>462414</v>
      </c>
      <c r="H568" s="645">
        <v>0</v>
      </c>
      <c r="I568" s="645">
        <v>0</v>
      </c>
      <c r="J568" s="562">
        <v>0</v>
      </c>
      <c r="K568" s="645">
        <v>0</v>
      </c>
      <c r="L568" s="645">
        <v>0</v>
      </c>
      <c r="M568" s="645">
        <v>0</v>
      </c>
      <c r="N568" s="645">
        <v>0</v>
      </c>
      <c r="O568" s="451"/>
    </row>
    <row r="569" spans="1:15" s="175" customFormat="1" ht="12" customHeight="1" x14ac:dyDescent="0.2">
      <c r="A569" s="188"/>
      <c r="B569" s="883"/>
      <c r="C569" s="884"/>
      <c r="D569" s="884" t="s">
        <v>1651</v>
      </c>
      <c r="E569" s="655" t="s">
        <v>1221</v>
      </c>
      <c r="F569" s="645">
        <v>1931850</v>
      </c>
      <c r="G569" s="562">
        <v>1931850</v>
      </c>
      <c r="H569" s="645">
        <v>0</v>
      </c>
      <c r="I569" s="645">
        <v>0</v>
      </c>
      <c r="J569" s="562">
        <v>0</v>
      </c>
      <c r="K569" s="645">
        <v>0</v>
      </c>
      <c r="L569" s="645">
        <v>0</v>
      </c>
      <c r="M569" s="645">
        <v>0</v>
      </c>
      <c r="N569" s="645">
        <v>0</v>
      </c>
      <c r="O569" s="451"/>
    </row>
    <row r="570" spans="1:15" s="175" customFormat="1" ht="12" customHeight="1" x14ac:dyDescent="0.2">
      <c r="A570" s="188"/>
      <c r="B570" s="883"/>
      <c r="C570" s="884" t="s">
        <v>1912</v>
      </c>
      <c r="D570" s="884" t="s">
        <v>1650</v>
      </c>
      <c r="E570" s="655" t="s">
        <v>26</v>
      </c>
      <c r="F570" s="645">
        <v>144787400</v>
      </c>
      <c r="G570" s="562">
        <v>144787400</v>
      </c>
      <c r="H570" s="645">
        <v>0</v>
      </c>
      <c r="I570" s="645">
        <v>0</v>
      </c>
      <c r="J570" s="562">
        <v>0</v>
      </c>
      <c r="K570" s="645">
        <v>0</v>
      </c>
      <c r="L570" s="645">
        <v>0</v>
      </c>
      <c r="M570" s="645">
        <v>0</v>
      </c>
      <c r="N570" s="645">
        <v>0</v>
      </c>
      <c r="O570" s="451"/>
    </row>
    <row r="571" spans="1:15" s="175" customFormat="1" ht="12" customHeight="1" x14ac:dyDescent="0.2">
      <c r="A571" s="188"/>
      <c r="B571" s="883"/>
      <c r="C571" s="884"/>
      <c r="D571" s="884" t="s">
        <v>1650</v>
      </c>
      <c r="E571" s="655" t="s">
        <v>22</v>
      </c>
      <c r="F571" s="645">
        <v>68406567</v>
      </c>
      <c r="G571" s="562">
        <v>68406567</v>
      </c>
      <c r="H571" s="645">
        <v>0</v>
      </c>
      <c r="I571" s="645">
        <v>0</v>
      </c>
      <c r="J571" s="562">
        <v>0</v>
      </c>
      <c r="K571" s="645">
        <v>0</v>
      </c>
      <c r="L571" s="645">
        <v>0</v>
      </c>
      <c r="M571" s="645">
        <v>0</v>
      </c>
      <c r="N571" s="645">
        <v>0</v>
      </c>
      <c r="O571" s="451"/>
    </row>
    <row r="572" spans="1:15" s="175" customFormat="1" ht="12" hidden="1" customHeight="1" x14ac:dyDescent="0.2">
      <c r="A572" s="188"/>
      <c r="B572" s="883"/>
      <c r="C572" s="884"/>
      <c r="D572" s="884" t="s">
        <v>1650</v>
      </c>
      <c r="E572" s="655" t="s">
        <v>2601</v>
      </c>
      <c r="F572" s="645">
        <v>150000000</v>
      </c>
      <c r="G572" s="562">
        <v>150000000</v>
      </c>
      <c r="H572" s="645">
        <v>0</v>
      </c>
      <c r="I572" s="645">
        <v>0</v>
      </c>
      <c r="J572" s="562">
        <v>0</v>
      </c>
      <c r="K572" s="645">
        <v>0</v>
      </c>
      <c r="L572" s="645">
        <v>0</v>
      </c>
      <c r="M572" s="645">
        <v>0</v>
      </c>
      <c r="N572" s="645">
        <v>0</v>
      </c>
      <c r="O572" s="451"/>
    </row>
    <row r="573" spans="1:15" s="175" customFormat="1" ht="12" customHeight="1" x14ac:dyDescent="0.2">
      <c r="A573" s="188"/>
      <c r="B573" s="883"/>
      <c r="C573" s="884" t="s">
        <v>2535</v>
      </c>
      <c r="D573" s="884" t="s">
        <v>2536</v>
      </c>
      <c r="E573" s="655" t="s">
        <v>26</v>
      </c>
      <c r="F573" s="645">
        <v>108176505</v>
      </c>
      <c r="G573" s="562">
        <v>108176505</v>
      </c>
      <c r="H573" s="645">
        <v>0</v>
      </c>
      <c r="I573" s="645">
        <v>0</v>
      </c>
      <c r="J573" s="562">
        <v>0</v>
      </c>
      <c r="K573" s="645">
        <v>0</v>
      </c>
      <c r="L573" s="645">
        <v>0</v>
      </c>
      <c r="M573" s="645">
        <v>0</v>
      </c>
      <c r="N573" s="645">
        <v>0</v>
      </c>
      <c r="O573" s="451"/>
    </row>
    <row r="574" spans="1:15" s="175" customFormat="1" ht="12" hidden="1" customHeight="1" x14ac:dyDescent="0.2">
      <c r="A574" s="188"/>
      <c r="B574" s="883"/>
      <c r="C574" s="884"/>
      <c r="D574" s="884" t="s">
        <v>2536</v>
      </c>
      <c r="E574" s="655" t="s">
        <v>1557</v>
      </c>
      <c r="F574" s="645">
        <v>275857310</v>
      </c>
      <c r="G574" s="562">
        <v>275857310</v>
      </c>
      <c r="H574" s="645">
        <v>0</v>
      </c>
      <c r="I574" s="645">
        <v>0</v>
      </c>
      <c r="J574" s="562">
        <v>0</v>
      </c>
      <c r="K574" s="645">
        <v>0</v>
      </c>
      <c r="L574" s="645">
        <v>0</v>
      </c>
      <c r="M574" s="645">
        <v>0</v>
      </c>
      <c r="N574" s="645">
        <v>0</v>
      </c>
      <c r="O574" s="451"/>
    </row>
    <row r="575" spans="1:15" s="175" customFormat="1" ht="12" customHeight="1" x14ac:dyDescent="0.2">
      <c r="A575" s="188"/>
      <c r="B575" s="883"/>
      <c r="C575" s="884"/>
      <c r="D575" s="884" t="s">
        <v>2536</v>
      </c>
      <c r="E575" s="655" t="s">
        <v>1221</v>
      </c>
      <c r="F575" s="645">
        <v>11584872</v>
      </c>
      <c r="G575" s="562">
        <v>11584872</v>
      </c>
      <c r="H575" s="645">
        <v>0</v>
      </c>
      <c r="I575" s="645">
        <v>0</v>
      </c>
      <c r="J575" s="562">
        <v>0</v>
      </c>
      <c r="K575" s="645">
        <v>0</v>
      </c>
      <c r="L575" s="645">
        <v>0</v>
      </c>
      <c r="M575" s="645">
        <v>0</v>
      </c>
      <c r="N575" s="645">
        <v>0</v>
      </c>
      <c r="O575" s="451"/>
    </row>
    <row r="576" spans="1:15" s="175" customFormat="1" ht="12" customHeight="1" x14ac:dyDescent="0.2">
      <c r="A576" s="188"/>
      <c r="B576" s="883"/>
      <c r="C576" s="884" t="s">
        <v>1913</v>
      </c>
      <c r="D576" s="884" t="s">
        <v>1513</v>
      </c>
      <c r="E576" s="655" t="s">
        <v>26</v>
      </c>
      <c r="F576" s="645">
        <v>361491358</v>
      </c>
      <c r="G576" s="562">
        <v>361491358</v>
      </c>
      <c r="H576" s="645">
        <v>0</v>
      </c>
      <c r="I576" s="645">
        <v>0</v>
      </c>
      <c r="J576" s="562">
        <v>0</v>
      </c>
      <c r="K576" s="645">
        <v>0</v>
      </c>
      <c r="L576" s="645">
        <v>0</v>
      </c>
      <c r="M576" s="645">
        <v>0</v>
      </c>
      <c r="N576" s="645">
        <v>0</v>
      </c>
      <c r="O576" s="451"/>
    </row>
    <row r="577" spans="1:15" s="175" customFormat="1" ht="12" customHeight="1" x14ac:dyDescent="0.2">
      <c r="A577" s="188"/>
      <c r="B577" s="883"/>
      <c r="C577" s="884"/>
      <c r="D577" s="884" t="s">
        <v>1513</v>
      </c>
      <c r="E577" s="655" t="s">
        <v>1221</v>
      </c>
      <c r="F577" s="645">
        <v>1931850</v>
      </c>
      <c r="G577" s="562">
        <v>1931850</v>
      </c>
      <c r="H577" s="645">
        <v>0</v>
      </c>
      <c r="I577" s="645">
        <v>0</v>
      </c>
      <c r="J577" s="562">
        <v>0</v>
      </c>
      <c r="K577" s="645">
        <v>0</v>
      </c>
      <c r="L577" s="645">
        <v>0</v>
      </c>
      <c r="M577" s="645">
        <v>0</v>
      </c>
      <c r="N577" s="645">
        <v>0</v>
      </c>
      <c r="O577" s="451"/>
    </row>
    <row r="578" spans="1:15" s="175" customFormat="1" ht="12" customHeight="1" x14ac:dyDescent="0.2">
      <c r="A578" s="188"/>
      <c r="B578" s="883"/>
      <c r="C578" s="677" t="s">
        <v>1914</v>
      </c>
      <c r="D578" s="677" t="s">
        <v>922</v>
      </c>
      <c r="E578" s="655" t="s">
        <v>26</v>
      </c>
      <c r="F578" s="645">
        <v>332996531</v>
      </c>
      <c r="G578" s="562">
        <v>332996531</v>
      </c>
      <c r="H578" s="645">
        <v>0</v>
      </c>
      <c r="I578" s="645">
        <v>0</v>
      </c>
      <c r="J578" s="562">
        <v>0</v>
      </c>
      <c r="K578" s="645">
        <v>0</v>
      </c>
      <c r="L578" s="645">
        <v>0</v>
      </c>
      <c r="M578" s="645">
        <v>0</v>
      </c>
      <c r="N578" s="645">
        <v>0</v>
      </c>
      <c r="O578" s="451"/>
    </row>
    <row r="579" spans="1:15" s="175" customFormat="1" ht="12" customHeight="1" x14ac:dyDescent="0.2">
      <c r="A579" s="188"/>
      <c r="B579" s="883"/>
      <c r="C579" s="884" t="s">
        <v>1915</v>
      </c>
      <c r="D579" s="884" t="s">
        <v>2608</v>
      </c>
      <c r="E579" s="655" t="s">
        <v>26</v>
      </c>
      <c r="F579" s="645">
        <v>88494138</v>
      </c>
      <c r="G579" s="562">
        <v>88494138</v>
      </c>
      <c r="H579" s="645">
        <v>0</v>
      </c>
      <c r="I579" s="645">
        <v>0</v>
      </c>
      <c r="J579" s="562">
        <v>0</v>
      </c>
      <c r="K579" s="645">
        <v>0</v>
      </c>
      <c r="L579" s="645">
        <v>0</v>
      </c>
      <c r="M579" s="645">
        <v>0</v>
      </c>
      <c r="N579" s="645">
        <v>0</v>
      </c>
      <c r="O579" s="451"/>
    </row>
    <row r="580" spans="1:15" s="175" customFormat="1" ht="12" hidden="1" customHeight="1" x14ac:dyDescent="0.2">
      <c r="A580" s="188"/>
      <c r="B580" s="883"/>
      <c r="C580" s="884"/>
      <c r="D580" s="884" t="s">
        <v>2608</v>
      </c>
      <c r="E580" s="655" t="s">
        <v>1557</v>
      </c>
      <c r="F580" s="645">
        <v>205755229</v>
      </c>
      <c r="G580" s="562">
        <v>205755229</v>
      </c>
      <c r="H580" s="645">
        <v>0</v>
      </c>
      <c r="I580" s="645">
        <v>0</v>
      </c>
      <c r="J580" s="562">
        <v>0</v>
      </c>
      <c r="K580" s="645">
        <v>0</v>
      </c>
      <c r="L580" s="645">
        <v>0</v>
      </c>
      <c r="M580" s="645">
        <v>0</v>
      </c>
      <c r="N580" s="645">
        <v>0</v>
      </c>
      <c r="O580" s="451"/>
    </row>
    <row r="581" spans="1:15" s="175" customFormat="1" ht="12" customHeight="1" x14ac:dyDescent="0.2">
      <c r="A581" s="188"/>
      <c r="B581" s="883"/>
      <c r="C581" s="884"/>
      <c r="D581" s="884" t="s">
        <v>2608</v>
      </c>
      <c r="E581" s="655" t="s">
        <v>3212</v>
      </c>
      <c r="F581" s="645">
        <v>1052746</v>
      </c>
      <c r="G581" s="562">
        <v>1052746</v>
      </c>
      <c r="H581" s="645">
        <v>0</v>
      </c>
      <c r="I581" s="645">
        <v>0</v>
      </c>
      <c r="J581" s="562">
        <v>0</v>
      </c>
      <c r="K581" s="645">
        <v>0</v>
      </c>
      <c r="L581" s="645">
        <v>0</v>
      </c>
      <c r="M581" s="645">
        <v>0</v>
      </c>
      <c r="N581" s="645">
        <v>0</v>
      </c>
      <c r="O581" s="451"/>
    </row>
    <row r="582" spans="1:15" s="175" customFormat="1" ht="12" customHeight="1" x14ac:dyDescent="0.2">
      <c r="A582" s="188"/>
      <c r="B582" s="883"/>
      <c r="C582" s="884" t="s">
        <v>1916</v>
      </c>
      <c r="D582" s="884" t="s">
        <v>1003</v>
      </c>
      <c r="E582" s="655" t="s">
        <v>26</v>
      </c>
      <c r="F582" s="645">
        <v>109853767</v>
      </c>
      <c r="G582" s="562">
        <v>109853767</v>
      </c>
      <c r="H582" s="645">
        <v>0</v>
      </c>
      <c r="I582" s="645">
        <v>0</v>
      </c>
      <c r="J582" s="562">
        <v>0</v>
      </c>
      <c r="K582" s="645">
        <v>0</v>
      </c>
      <c r="L582" s="645">
        <v>0</v>
      </c>
      <c r="M582" s="645">
        <v>0</v>
      </c>
      <c r="N582" s="645">
        <v>0</v>
      </c>
      <c r="O582" s="451"/>
    </row>
    <row r="583" spans="1:15" s="175" customFormat="1" ht="12" hidden="1" customHeight="1" x14ac:dyDescent="0.2">
      <c r="A583" s="188"/>
      <c r="B583" s="883"/>
      <c r="C583" s="884"/>
      <c r="D583" s="884" t="s">
        <v>1003</v>
      </c>
      <c r="E583" s="655" t="s">
        <v>1557</v>
      </c>
      <c r="F583" s="645">
        <v>229545186</v>
      </c>
      <c r="G583" s="562">
        <v>229545186</v>
      </c>
      <c r="H583" s="645">
        <v>0</v>
      </c>
      <c r="I583" s="645">
        <v>0</v>
      </c>
      <c r="J583" s="562">
        <v>0</v>
      </c>
      <c r="K583" s="645">
        <v>0</v>
      </c>
      <c r="L583" s="645">
        <v>0</v>
      </c>
      <c r="M583" s="645">
        <v>0</v>
      </c>
      <c r="N583" s="645">
        <v>0</v>
      </c>
      <c r="O583" s="451"/>
    </row>
    <row r="584" spans="1:15" s="175" customFormat="1" ht="12" customHeight="1" x14ac:dyDescent="0.2">
      <c r="A584" s="188"/>
      <c r="B584" s="883"/>
      <c r="C584" s="884" t="s">
        <v>1917</v>
      </c>
      <c r="D584" s="884" t="s">
        <v>3213</v>
      </c>
      <c r="E584" s="655" t="s">
        <v>26</v>
      </c>
      <c r="F584" s="645">
        <v>142320740</v>
      </c>
      <c r="G584" s="562">
        <v>142320740</v>
      </c>
      <c r="H584" s="645">
        <v>0</v>
      </c>
      <c r="I584" s="645">
        <v>0</v>
      </c>
      <c r="J584" s="562">
        <v>0</v>
      </c>
      <c r="K584" s="645">
        <v>0</v>
      </c>
      <c r="L584" s="645">
        <v>0</v>
      </c>
      <c r="M584" s="645">
        <v>0</v>
      </c>
      <c r="N584" s="645">
        <v>0</v>
      </c>
      <c r="O584" s="451"/>
    </row>
    <row r="585" spans="1:15" s="175" customFormat="1" ht="12" hidden="1" customHeight="1" x14ac:dyDescent="0.2">
      <c r="A585" s="188"/>
      <c r="B585" s="883"/>
      <c r="C585" s="884"/>
      <c r="D585" s="884" t="s">
        <v>3213</v>
      </c>
      <c r="E585" s="655" t="s">
        <v>1557</v>
      </c>
      <c r="F585" s="645">
        <v>200000000</v>
      </c>
      <c r="G585" s="562">
        <v>200000000</v>
      </c>
      <c r="H585" s="645">
        <v>0</v>
      </c>
      <c r="I585" s="645">
        <v>0</v>
      </c>
      <c r="J585" s="562">
        <v>0</v>
      </c>
      <c r="K585" s="645">
        <v>0</v>
      </c>
      <c r="L585" s="645">
        <v>0</v>
      </c>
      <c r="M585" s="645">
        <v>0</v>
      </c>
      <c r="N585" s="645">
        <v>0</v>
      </c>
      <c r="O585" s="451"/>
    </row>
    <row r="586" spans="1:15" s="175" customFormat="1" ht="12" customHeight="1" x14ac:dyDescent="0.2">
      <c r="A586" s="188"/>
      <c r="B586" s="883"/>
      <c r="C586" s="884"/>
      <c r="D586" s="884" t="s">
        <v>3213</v>
      </c>
      <c r="E586" s="655" t="s">
        <v>195</v>
      </c>
      <c r="F586" s="645">
        <v>3732330</v>
      </c>
      <c r="G586" s="562">
        <v>3732330</v>
      </c>
      <c r="H586" s="645">
        <v>0</v>
      </c>
      <c r="I586" s="645">
        <v>0</v>
      </c>
      <c r="J586" s="562">
        <v>0</v>
      </c>
      <c r="K586" s="645">
        <v>0</v>
      </c>
      <c r="L586" s="645">
        <v>0</v>
      </c>
      <c r="M586" s="645">
        <v>0</v>
      </c>
      <c r="N586" s="645">
        <v>0</v>
      </c>
      <c r="O586" s="451"/>
    </row>
    <row r="587" spans="1:15" s="175" customFormat="1" ht="12" customHeight="1" x14ac:dyDescent="0.2">
      <c r="A587" s="188"/>
      <c r="B587" s="883"/>
      <c r="C587" s="884" t="s">
        <v>1918</v>
      </c>
      <c r="D587" s="884" t="s">
        <v>1652</v>
      </c>
      <c r="E587" s="655" t="s">
        <v>26</v>
      </c>
      <c r="F587" s="645">
        <v>87552825</v>
      </c>
      <c r="G587" s="562">
        <v>87552825</v>
      </c>
      <c r="H587" s="645">
        <v>0</v>
      </c>
      <c r="I587" s="645">
        <v>0</v>
      </c>
      <c r="J587" s="562">
        <v>0</v>
      </c>
      <c r="K587" s="645">
        <v>0</v>
      </c>
      <c r="L587" s="645">
        <v>0</v>
      </c>
      <c r="M587" s="645">
        <v>0</v>
      </c>
      <c r="N587" s="645">
        <v>0</v>
      </c>
      <c r="O587" s="451"/>
    </row>
    <row r="588" spans="1:15" s="175" customFormat="1" ht="12" hidden="1" customHeight="1" x14ac:dyDescent="0.2">
      <c r="A588" s="188"/>
      <c r="B588" s="883"/>
      <c r="C588" s="884"/>
      <c r="D588" s="884" t="s">
        <v>1652</v>
      </c>
      <c r="E588" s="655" t="s">
        <v>2601</v>
      </c>
      <c r="F588" s="645">
        <v>204289926</v>
      </c>
      <c r="G588" s="562">
        <v>204289926</v>
      </c>
      <c r="H588" s="645">
        <v>0</v>
      </c>
      <c r="I588" s="645">
        <v>0</v>
      </c>
      <c r="J588" s="562">
        <v>0</v>
      </c>
      <c r="K588" s="645">
        <v>0</v>
      </c>
      <c r="L588" s="645">
        <v>0</v>
      </c>
      <c r="M588" s="645">
        <v>0</v>
      </c>
      <c r="N588" s="645">
        <v>0</v>
      </c>
      <c r="O588" s="451"/>
    </row>
    <row r="589" spans="1:15" s="175" customFormat="1" ht="12" customHeight="1" x14ac:dyDescent="0.2">
      <c r="A589" s="188"/>
      <c r="B589" s="883"/>
      <c r="C589" s="884"/>
      <c r="D589" s="884" t="s">
        <v>1652</v>
      </c>
      <c r="E589" s="655" t="s">
        <v>2676</v>
      </c>
      <c r="F589" s="645">
        <v>1080000</v>
      </c>
      <c r="G589" s="562">
        <v>1080000</v>
      </c>
      <c r="H589" s="645">
        <v>0</v>
      </c>
      <c r="I589" s="645">
        <v>0</v>
      </c>
      <c r="J589" s="562">
        <v>0</v>
      </c>
      <c r="K589" s="645">
        <v>0</v>
      </c>
      <c r="L589" s="645">
        <v>0</v>
      </c>
      <c r="M589" s="645">
        <v>0</v>
      </c>
      <c r="N589" s="645">
        <v>0</v>
      </c>
      <c r="O589" s="451"/>
    </row>
    <row r="590" spans="1:15" s="175" customFormat="1" ht="12" customHeight="1" x14ac:dyDescent="0.2">
      <c r="A590" s="188"/>
      <c r="B590" s="883"/>
      <c r="C590" s="884" t="s">
        <v>2537</v>
      </c>
      <c r="D590" s="884" t="s">
        <v>2538</v>
      </c>
      <c r="E590" s="655" t="s">
        <v>26</v>
      </c>
      <c r="F590" s="645">
        <v>105319689</v>
      </c>
      <c r="G590" s="562">
        <v>105319689</v>
      </c>
      <c r="H590" s="645">
        <v>0</v>
      </c>
      <c r="I590" s="645">
        <v>0</v>
      </c>
      <c r="J590" s="562">
        <v>0</v>
      </c>
      <c r="K590" s="645">
        <v>0</v>
      </c>
      <c r="L590" s="645">
        <v>0</v>
      </c>
      <c r="M590" s="645">
        <v>0</v>
      </c>
      <c r="N590" s="645">
        <v>0</v>
      </c>
      <c r="O590" s="451"/>
    </row>
    <row r="591" spans="1:15" s="175" customFormat="1" ht="12" hidden="1" customHeight="1" x14ac:dyDescent="0.2">
      <c r="A591" s="188"/>
      <c r="B591" s="883"/>
      <c r="C591" s="884"/>
      <c r="D591" s="884" t="s">
        <v>2538</v>
      </c>
      <c r="E591" s="655" t="s">
        <v>2601</v>
      </c>
      <c r="F591" s="645">
        <v>271821699</v>
      </c>
      <c r="G591" s="562">
        <v>271821699</v>
      </c>
      <c r="H591" s="645">
        <v>0</v>
      </c>
      <c r="I591" s="645">
        <v>0</v>
      </c>
      <c r="J591" s="562">
        <v>0</v>
      </c>
      <c r="K591" s="645">
        <v>0</v>
      </c>
      <c r="L591" s="645">
        <v>0</v>
      </c>
      <c r="M591" s="645">
        <v>0</v>
      </c>
      <c r="N591" s="645">
        <v>0</v>
      </c>
      <c r="O591" s="451"/>
    </row>
    <row r="592" spans="1:15" s="175" customFormat="1" ht="12" customHeight="1" x14ac:dyDescent="0.2">
      <c r="A592" s="188"/>
      <c r="B592" s="883"/>
      <c r="C592" s="884"/>
      <c r="D592" s="884" t="s">
        <v>2538</v>
      </c>
      <c r="E592" s="655" t="s">
        <v>2676</v>
      </c>
      <c r="F592" s="645">
        <v>3044403</v>
      </c>
      <c r="G592" s="562">
        <v>3044403</v>
      </c>
      <c r="H592" s="645">
        <v>0</v>
      </c>
      <c r="I592" s="645">
        <v>0</v>
      </c>
      <c r="J592" s="562">
        <v>0</v>
      </c>
      <c r="K592" s="645">
        <v>0</v>
      </c>
      <c r="L592" s="645">
        <v>0</v>
      </c>
      <c r="M592" s="645">
        <v>0</v>
      </c>
      <c r="N592" s="645">
        <v>0</v>
      </c>
      <c r="O592" s="451"/>
    </row>
    <row r="593" spans="1:15" s="175" customFormat="1" ht="12" customHeight="1" x14ac:dyDescent="0.2">
      <c r="A593" s="188"/>
      <c r="B593" s="883"/>
      <c r="C593" s="884"/>
      <c r="D593" s="884" t="s">
        <v>2538</v>
      </c>
      <c r="E593" s="655" t="s">
        <v>1221</v>
      </c>
      <c r="F593" s="645">
        <v>11584872</v>
      </c>
      <c r="G593" s="562">
        <v>11584872</v>
      </c>
      <c r="H593" s="645">
        <v>0</v>
      </c>
      <c r="I593" s="645">
        <v>0</v>
      </c>
      <c r="J593" s="562">
        <v>0</v>
      </c>
      <c r="K593" s="645">
        <v>0</v>
      </c>
      <c r="L593" s="645">
        <v>0</v>
      </c>
      <c r="M593" s="645">
        <v>0</v>
      </c>
      <c r="N593" s="645">
        <v>0</v>
      </c>
      <c r="O593" s="451"/>
    </row>
    <row r="594" spans="1:15" s="175" customFormat="1" ht="12" customHeight="1" x14ac:dyDescent="0.2">
      <c r="A594" s="188"/>
      <c r="B594" s="883"/>
      <c r="C594" s="677" t="s">
        <v>1919</v>
      </c>
      <c r="D594" s="677" t="s">
        <v>1076</v>
      </c>
      <c r="E594" s="655" t="s">
        <v>26</v>
      </c>
      <c r="F594" s="645">
        <v>362558193</v>
      </c>
      <c r="G594" s="562">
        <v>362558193</v>
      </c>
      <c r="H594" s="645">
        <v>0</v>
      </c>
      <c r="I594" s="645">
        <v>0</v>
      </c>
      <c r="J594" s="562">
        <v>0</v>
      </c>
      <c r="K594" s="645">
        <v>0</v>
      </c>
      <c r="L594" s="645">
        <v>0</v>
      </c>
      <c r="M594" s="645">
        <v>0</v>
      </c>
      <c r="N594" s="645">
        <v>0</v>
      </c>
      <c r="O594" s="451"/>
    </row>
    <row r="595" spans="1:15" s="175" customFormat="1" ht="12" customHeight="1" x14ac:dyDescent="0.2">
      <c r="A595" s="188"/>
      <c r="B595" s="883"/>
      <c r="C595" s="884" t="s">
        <v>1920</v>
      </c>
      <c r="D595" s="884" t="s">
        <v>996</v>
      </c>
      <c r="E595" s="655" t="s">
        <v>26</v>
      </c>
      <c r="F595" s="645">
        <v>327872200</v>
      </c>
      <c r="G595" s="562">
        <v>327872200</v>
      </c>
      <c r="H595" s="645">
        <v>0</v>
      </c>
      <c r="I595" s="645">
        <v>0</v>
      </c>
      <c r="J595" s="562">
        <v>0</v>
      </c>
      <c r="K595" s="645">
        <v>0</v>
      </c>
      <c r="L595" s="645">
        <v>0</v>
      </c>
      <c r="M595" s="645">
        <v>0</v>
      </c>
      <c r="N595" s="645">
        <v>0</v>
      </c>
      <c r="O595" s="451"/>
    </row>
    <row r="596" spans="1:15" s="175" customFormat="1" ht="12" customHeight="1" x14ac:dyDescent="0.2">
      <c r="A596" s="188"/>
      <c r="B596" s="883"/>
      <c r="C596" s="884"/>
      <c r="D596" s="884" t="s">
        <v>996</v>
      </c>
      <c r="E596" s="655" t="s">
        <v>3212</v>
      </c>
      <c r="F596" s="645">
        <v>1394027</v>
      </c>
      <c r="G596" s="562">
        <v>1394027</v>
      </c>
      <c r="H596" s="645">
        <v>0</v>
      </c>
      <c r="I596" s="645">
        <v>0</v>
      </c>
      <c r="J596" s="562">
        <v>0</v>
      </c>
      <c r="K596" s="645">
        <v>0</v>
      </c>
      <c r="L596" s="645">
        <v>0</v>
      </c>
      <c r="M596" s="645">
        <v>0</v>
      </c>
      <c r="N596" s="645">
        <v>0</v>
      </c>
      <c r="O596" s="451"/>
    </row>
    <row r="597" spans="1:15" s="175" customFormat="1" ht="12" customHeight="1" x14ac:dyDescent="0.2">
      <c r="A597" s="188"/>
      <c r="B597" s="883"/>
      <c r="C597" s="884" t="s">
        <v>1921</v>
      </c>
      <c r="D597" s="884" t="s">
        <v>1747</v>
      </c>
      <c r="E597" s="655" t="s">
        <v>26</v>
      </c>
      <c r="F597" s="645">
        <v>90058683</v>
      </c>
      <c r="G597" s="562">
        <v>90058683</v>
      </c>
      <c r="H597" s="645">
        <v>0</v>
      </c>
      <c r="I597" s="645">
        <v>0</v>
      </c>
      <c r="J597" s="562">
        <v>0</v>
      </c>
      <c r="K597" s="645">
        <v>0</v>
      </c>
      <c r="L597" s="645">
        <v>0</v>
      </c>
      <c r="M597" s="645">
        <v>0</v>
      </c>
      <c r="N597" s="645">
        <v>0</v>
      </c>
      <c r="O597" s="451"/>
    </row>
    <row r="598" spans="1:15" s="175" customFormat="1" ht="12" hidden="1" customHeight="1" x14ac:dyDescent="0.2">
      <c r="A598" s="188"/>
      <c r="B598" s="883"/>
      <c r="C598" s="884"/>
      <c r="D598" s="884" t="s">
        <v>1747</v>
      </c>
      <c r="E598" s="655" t="s">
        <v>1557</v>
      </c>
      <c r="F598" s="645">
        <v>204350517</v>
      </c>
      <c r="G598" s="562">
        <v>204350517</v>
      </c>
      <c r="H598" s="645">
        <v>0</v>
      </c>
      <c r="I598" s="645">
        <v>0</v>
      </c>
      <c r="J598" s="562">
        <v>0</v>
      </c>
      <c r="K598" s="645">
        <v>0</v>
      </c>
      <c r="L598" s="645">
        <v>0</v>
      </c>
      <c r="M598" s="645">
        <v>0</v>
      </c>
      <c r="N598" s="645">
        <v>0</v>
      </c>
      <c r="O598" s="451"/>
    </row>
    <row r="599" spans="1:15" s="175" customFormat="1" ht="12" customHeight="1" x14ac:dyDescent="0.2">
      <c r="A599" s="188"/>
      <c r="B599" s="883"/>
      <c r="C599" s="884"/>
      <c r="D599" s="884" t="s">
        <v>1747</v>
      </c>
      <c r="E599" s="655" t="s">
        <v>3212</v>
      </c>
      <c r="F599" s="645">
        <v>626997</v>
      </c>
      <c r="G599" s="562">
        <v>0</v>
      </c>
      <c r="H599" s="645">
        <v>626997</v>
      </c>
      <c r="I599" s="645">
        <v>0</v>
      </c>
      <c r="J599" s="562">
        <v>626997</v>
      </c>
      <c r="K599" s="645">
        <v>626997</v>
      </c>
      <c r="L599" s="645">
        <v>0</v>
      </c>
      <c r="M599" s="645">
        <v>0</v>
      </c>
      <c r="N599" s="645">
        <v>0</v>
      </c>
      <c r="O599" s="451"/>
    </row>
    <row r="600" spans="1:15" s="175" customFormat="1" ht="12" customHeight="1" x14ac:dyDescent="0.2">
      <c r="A600" s="188"/>
      <c r="B600" s="883"/>
      <c r="C600" s="884"/>
      <c r="D600" s="884" t="s">
        <v>1747</v>
      </c>
      <c r="E600" s="655" t="s">
        <v>2676</v>
      </c>
      <c r="F600" s="645">
        <v>9880444</v>
      </c>
      <c r="G600" s="562">
        <v>9880444</v>
      </c>
      <c r="H600" s="645">
        <v>0</v>
      </c>
      <c r="I600" s="645">
        <v>0</v>
      </c>
      <c r="J600" s="562">
        <v>0</v>
      </c>
      <c r="K600" s="645">
        <v>0</v>
      </c>
      <c r="L600" s="645">
        <v>0</v>
      </c>
      <c r="M600" s="645">
        <v>0</v>
      </c>
      <c r="N600" s="645">
        <v>0</v>
      </c>
      <c r="O600" s="451"/>
    </row>
    <row r="601" spans="1:15" s="175" customFormat="1" ht="12" customHeight="1" x14ac:dyDescent="0.2">
      <c r="A601" s="188"/>
      <c r="B601" s="883"/>
      <c r="C601" s="884" t="s">
        <v>1922</v>
      </c>
      <c r="D601" s="884" t="s">
        <v>1074</v>
      </c>
      <c r="E601" s="655" t="s">
        <v>26</v>
      </c>
      <c r="F601" s="645">
        <v>167428970</v>
      </c>
      <c r="G601" s="562">
        <v>167428970</v>
      </c>
      <c r="H601" s="645">
        <v>0</v>
      </c>
      <c r="I601" s="645">
        <v>0</v>
      </c>
      <c r="J601" s="562">
        <v>0</v>
      </c>
      <c r="K601" s="645">
        <v>0</v>
      </c>
      <c r="L601" s="645">
        <v>0</v>
      </c>
      <c r="M601" s="645">
        <v>0</v>
      </c>
      <c r="N601" s="645">
        <v>0</v>
      </c>
      <c r="O601" s="451"/>
    </row>
    <row r="602" spans="1:15" s="175" customFormat="1" ht="12" customHeight="1" x14ac:dyDescent="0.2">
      <c r="A602" s="188"/>
      <c r="B602" s="883"/>
      <c r="C602" s="884"/>
      <c r="D602" s="884" t="s">
        <v>1074</v>
      </c>
      <c r="E602" s="655" t="s">
        <v>22</v>
      </c>
      <c r="F602" s="645">
        <v>77701739</v>
      </c>
      <c r="G602" s="562">
        <v>77701739</v>
      </c>
      <c r="H602" s="645">
        <v>0</v>
      </c>
      <c r="I602" s="645">
        <v>0</v>
      </c>
      <c r="J602" s="562">
        <v>0</v>
      </c>
      <c r="K602" s="645">
        <v>0</v>
      </c>
      <c r="L602" s="645">
        <v>0</v>
      </c>
      <c r="M602" s="645">
        <v>0</v>
      </c>
      <c r="N602" s="645">
        <v>0</v>
      </c>
      <c r="O602" s="451"/>
    </row>
    <row r="603" spans="1:15" s="175" customFormat="1" ht="12" hidden="1" customHeight="1" x14ac:dyDescent="0.2">
      <c r="A603" s="188"/>
      <c r="B603" s="883"/>
      <c r="C603" s="884"/>
      <c r="D603" s="884" t="s">
        <v>1074</v>
      </c>
      <c r="E603" s="655" t="s">
        <v>1557</v>
      </c>
      <c r="F603" s="645">
        <v>184000930</v>
      </c>
      <c r="G603" s="562">
        <v>184000930</v>
      </c>
      <c r="H603" s="645">
        <v>0</v>
      </c>
      <c r="I603" s="645">
        <v>0</v>
      </c>
      <c r="J603" s="562">
        <v>0</v>
      </c>
      <c r="K603" s="645">
        <v>0</v>
      </c>
      <c r="L603" s="645">
        <v>0</v>
      </c>
      <c r="M603" s="645">
        <v>0</v>
      </c>
      <c r="N603" s="645">
        <v>0</v>
      </c>
      <c r="O603" s="451"/>
    </row>
    <row r="604" spans="1:15" s="175" customFormat="1" ht="12" customHeight="1" x14ac:dyDescent="0.2">
      <c r="A604" s="188"/>
      <c r="B604" s="883"/>
      <c r="C604" s="884"/>
      <c r="D604" s="884" t="s">
        <v>1074</v>
      </c>
      <c r="E604" s="655" t="s">
        <v>822</v>
      </c>
      <c r="F604" s="645">
        <v>612800</v>
      </c>
      <c r="G604" s="562">
        <v>612800</v>
      </c>
      <c r="H604" s="645">
        <v>0</v>
      </c>
      <c r="I604" s="645">
        <v>0</v>
      </c>
      <c r="J604" s="562">
        <v>0</v>
      </c>
      <c r="K604" s="645">
        <v>0</v>
      </c>
      <c r="L604" s="645">
        <v>0</v>
      </c>
      <c r="M604" s="645">
        <v>0</v>
      </c>
      <c r="N604" s="645">
        <v>0</v>
      </c>
      <c r="O604" s="451"/>
    </row>
    <row r="605" spans="1:15" s="175" customFormat="1" ht="12" customHeight="1" x14ac:dyDescent="0.2">
      <c r="A605" s="188"/>
      <c r="B605" s="883"/>
      <c r="C605" s="884" t="s">
        <v>1923</v>
      </c>
      <c r="D605" s="884" t="s">
        <v>1004</v>
      </c>
      <c r="E605" s="655" t="s">
        <v>26</v>
      </c>
      <c r="F605" s="645">
        <v>108843710</v>
      </c>
      <c r="G605" s="562">
        <v>108843710</v>
      </c>
      <c r="H605" s="645">
        <v>0</v>
      </c>
      <c r="I605" s="645">
        <v>0</v>
      </c>
      <c r="J605" s="562">
        <v>0</v>
      </c>
      <c r="K605" s="645">
        <v>0</v>
      </c>
      <c r="L605" s="645">
        <v>0</v>
      </c>
      <c r="M605" s="645">
        <v>0</v>
      </c>
      <c r="N605" s="645">
        <v>0</v>
      </c>
      <c r="O605" s="451"/>
    </row>
    <row r="606" spans="1:15" s="175" customFormat="1" ht="12" hidden="1" customHeight="1" x14ac:dyDescent="0.2">
      <c r="A606" s="188"/>
      <c r="B606" s="883"/>
      <c r="C606" s="884"/>
      <c r="D606" s="884" t="s">
        <v>1004</v>
      </c>
      <c r="E606" s="655" t="s">
        <v>1557</v>
      </c>
      <c r="F606" s="645">
        <v>241894634</v>
      </c>
      <c r="G606" s="562">
        <v>241894634</v>
      </c>
      <c r="H606" s="645">
        <v>0</v>
      </c>
      <c r="I606" s="645">
        <v>0</v>
      </c>
      <c r="J606" s="562">
        <v>0</v>
      </c>
      <c r="K606" s="645">
        <v>0</v>
      </c>
      <c r="L606" s="645">
        <v>0</v>
      </c>
      <c r="M606" s="645">
        <v>0</v>
      </c>
      <c r="N606" s="645">
        <v>0</v>
      </c>
      <c r="O606" s="451"/>
    </row>
    <row r="607" spans="1:15" s="175" customFormat="1" ht="12" customHeight="1" x14ac:dyDescent="0.2">
      <c r="A607" s="188"/>
      <c r="B607" s="883"/>
      <c r="C607" s="884"/>
      <c r="D607" s="884" t="s">
        <v>1004</v>
      </c>
      <c r="E607" s="655" t="s">
        <v>3212</v>
      </c>
      <c r="F607" s="645">
        <v>1258696</v>
      </c>
      <c r="G607" s="562">
        <v>1258696</v>
      </c>
      <c r="H607" s="645">
        <v>0</v>
      </c>
      <c r="I607" s="645">
        <v>0</v>
      </c>
      <c r="J607" s="562">
        <v>0</v>
      </c>
      <c r="K607" s="645">
        <v>0</v>
      </c>
      <c r="L607" s="645">
        <v>0</v>
      </c>
      <c r="M607" s="645">
        <v>0</v>
      </c>
      <c r="N607" s="645">
        <v>0</v>
      </c>
      <c r="O607" s="451"/>
    </row>
    <row r="608" spans="1:15" s="175" customFormat="1" ht="12" customHeight="1" x14ac:dyDescent="0.2">
      <c r="A608" s="188"/>
      <c r="B608" s="883"/>
      <c r="C608" s="884" t="s">
        <v>1924</v>
      </c>
      <c r="D608" s="884" t="s">
        <v>1304</v>
      </c>
      <c r="E608" s="655" t="s">
        <v>26</v>
      </c>
      <c r="F608" s="645">
        <v>165010000</v>
      </c>
      <c r="G608" s="562">
        <v>165010000</v>
      </c>
      <c r="H608" s="645">
        <v>0</v>
      </c>
      <c r="I608" s="645">
        <v>0</v>
      </c>
      <c r="J608" s="562">
        <v>0</v>
      </c>
      <c r="K608" s="645">
        <v>0</v>
      </c>
      <c r="L608" s="645">
        <v>0</v>
      </c>
      <c r="M608" s="645">
        <v>0</v>
      </c>
      <c r="N608" s="645">
        <v>0</v>
      </c>
      <c r="O608" s="451"/>
    </row>
    <row r="609" spans="1:15" s="175" customFormat="1" ht="12" hidden="1" customHeight="1" x14ac:dyDescent="0.2">
      <c r="A609" s="188"/>
      <c r="B609" s="883"/>
      <c r="C609" s="884"/>
      <c r="D609" s="884" t="s">
        <v>1304</v>
      </c>
      <c r="E609" s="655" t="s">
        <v>1557</v>
      </c>
      <c r="F609" s="645">
        <v>220000000</v>
      </c>
      <c r="G609" s="562">
        <v>220000000</v>
      </c>
      <c r="H609" s="645">
        <v>0</v>
      </c>
      <c r="I609" s="645">
        <v>0</v>
      </c>
      <c r="J609" s="562">
        <v>0</v>
      </c>
      <c r="K609" s="645">
        <v>0</v>
      </c>
      <c r="L609" s="645">
        <v>0</v>
      </c>
      <c r="M609" s="645">
        <v>0</v>
      </c>
      <c r="N609" s="645">
        <v>0</v>
      </c>
      <c r="O609" s="451"/>
    </row>
    <row r="610" spans="1:15" s="175" customFormat="1" ht="12" customHeight="1" x14ac:dyDescent="0.2">
      <c r="A610" s="188"/>
      <c r="B610" s="883"/>
      <c r="C610" s="884"/>
      <c r="D610" s="884" t="s">
        <v>1304</v>
      </c>
      <c r="E610" s="655" t="s">
        <v>3212</v>
      </c>
      <c r="F610" s="645">
        <v>63821</v>
      </c>
      <c r="G610" s="562">
        <v>63821</v>
      </c>
      <c r="H610" s="645">
        <v>0</v>
      </c>
      <c r="I610" s="645">
        <v>0</v>
      </c>
      <c r="J610" s="562">
        <v>0</v>
      </c>
      <c r="K610" s="645">
        <v>0</v>
      </c>
      <c r="L610" s="645">
        <v>0</v>
      </c>
      <c r="M610" s="645">
        <v>0</v>
      </c>
      <c r="N610" s="645">
        <v>0</v>
      </c>
      <c r="O610" s="451"/>
    </row>
    <row r="611" spans="1:15" s="175" customFormat="1" ht="12" customHeight="1" x14ac:dyDescent="0.2">
      <c r="A611" s="188"/>
      <c r="B611" s="883"/>
      <c r="C611" s="884"/>
      <c r="D611" s="884" t="s">
        <v>1304</v>
      </c>
      <c r="E611" s="655" t="s">
        <v>195</v>
      </c>
      <c r="F611" s="645">
        <v>186420</v>
      </c>
      <c r="G611" s="562">
        <v>186420</v>
      </c>
      <c r="H611" s="645">
        <v>0</v>
      </c>
      <c r="I611" s="645">
        <v>0</v>
      </c>
      <c r="J611" s="562">
        <v>0</v>
      </c>
      <c r="K611" s="645">
        <v>0</v>
      </c>
      <c r="L611" s="645">
        <v>0</v>
      </c>
      <c r="M611" s="645">
        <v>0</v>
      </c>
      <c r="N611" s="645">
        <v>0</v>
      </c>
      <c r="O611" s="451"/>
    </row>
    <row r="612" spans="1:15" s="175" customFormat="1" ht="12" customHeight="1" x14ac:dyDescent="0.2">
      <c r="A612" s="188"/>
      <c r="B612" s="883"/>
      <c r="C612" s="884"/>
      <c r="D612" s="884" t="s">
        <v>1304</v>
      </c>
      <c r="E612" s="655" t="s">
        <v>2676</v>
      </c>
      <c r="F612" s="645">
        <v>2698667</v>
      </c>
      <c r="G612" s="562">
        <v>2698667</v>
      </c>
      <c r="H612" s="645">
        <v>0</v>
      </c>
      <c r="I612" s="645">
        <v>0</v>
      </c>
      <c r="J612" s="562">
        <v>0</v>
      </c>
      <c r="K612" s="645">
        <v>0</v>
      </c>
      <c r="L612" s="645">
        <v>0</v>
      </c>
      <c r="M612" s="645">
        <v>0</v>
      </c>
      <c r="N612" s="645">
        <v>0</v>
      </c>
      <c r="O612" s="451"/>
    </row>
    <row r="613" spans="1:15" s="175" customFormat="1" ht="12" customHeight="1" x14ac:dyDescent="0.2">
      <c r="A613" s="188"/>
      <c r="B613" s="883"/>
      <c r="C613" s="884" t="s">
        <v>1925</v>
      </c>
      <c r="D613" s="884" t="s">
        <v>1711</v>
      </c>
      <c r="E613" s="655" t="s">
        <v>26</v>
      </c>
      <c r="F613" s="645">
        <v>88782374</v>
      </c>
      <c r="G613" s="562">
        <v>88782374</v>
      </c>
      <c r="H613" s="645">
        <v>0</v>
      </c>
      <c r="I613" s="645">
        <v>0</v>
      </c>
      <c r="J613" s="562">
        <v>0</v>
      </c>
      <c r="K613" s="645">
        <v>0</v>
      </c>
      <c r="L613" s="645">
        <v>0</v>
      </c>
      <c r="M613" s="645">
        <v>0</v>
      </c>
      <c r="N613" s="645">
        <v>0</v>
      </c>
      <c r="O613" s="451"/>
    </row>
    <row r="614" spans="1:15" s="175" customFormat="1" ht="12" hidden="1" customHeight="1" x14ac:dyDescent="0.2">
      <c r="A614" s="188"/>
      <c r="B614" s="883"/>
      <c r="C614" s="884"/>
      <c r="D614" s="884" t="s">
        <v>1711</v>
      </c>
      <c r="E614" s="655" t="s">
        <v>1557</v>
      </c>
      <c r="F614" s="645">
        <v>206289414</v>
      </c>
      <c r="G614" s="562">
        <v>206289414</v>
      </c>
      <c r="H614" s="645">
        <v>0</v>
      </c>
      <c r="I614" s="645">
        <v>0</v>
      </c>
      <c r="J614" s="562">
        <v>0</v>
      </c>
      <c r="K614" s="645">
        <v>0</v>
      </c>
      <c r="L614" s="645">
        <v>0</v>
      </c>
      <c r="M614" s="645">
        <v>0</v>
      </c>
      <c r="N614" s="645">
        <v>0</v>
      </c>
      <c r="O614" s="451"/>
    </row>
    <row r="615" spans="1:15" s="175" customFormat="1" ht="12" customHeight="1" x14ac:dyDescent="0.2">
      <c r="A615" s="188"/>
      <c r="B615" s="883"/>
      <c r="C615" s="884"/>
      <c r="D615" s="884" t="s">
        <v>1711</v>
      </c>
      <c r="E615" s="655" t="s">
        <v>3212</v>
      </c>
      <c r="F615" s="645">
        <v>1031045</v>
      </c>
      <c r="G615" s="562">
        <v>1031045</v>
      </c>
      <c r="H615" s="645">
        <v>0</v>
      </c>
      <c r="I615" s="645">
        <v>0</v>
      </c>
      <c r="J615" s="562">
        <v>0</v>
      </c>
      <c r="K615" s="645">
        <v>0</v>
      </c>
      <c r="L615" s="645">
        <v>0</v>
      </c>
      <c r="M615" s="645">
        <v>0</v>
      </c>
      <c r="N615" s="645">
        <v>0</v>
      </c>
      <c r="O615" s="451"/>
    </row>
    <row r="616" spans="1:15" s="175" customFormat="1" ht="12" customHeight="1" x14ac:dyDescent="0.2">
      <c r="A616" s="188"/>
      <c r="B616" s="883"/>
      <c r="C616" s="884" t="s">
        <v>4276</v>
      </c>
      <c r="D616" s="884" t="s">
        <v>4277</v>
      </c>
      <c r="E616" s="655" t="s">
        <v>26</v>
      </c>
      <c r="F616" s="645">
        <v>415680000</v>
      </c>
      <c r="G616" s="562">
        <v>415680000</v>
      </c>
      <c r="H616" s="645">
        <v>0</v>
      </c>
      <c r="I616" s="645">
        <v>0</v>
      </c>
      <c r="J616" s="562">
        <v>0</v>
      </c>
      <c r="K616" s="645">
        <v>0</v>
      </c>
      <c r="L616" s="645">
        <v>0</v>
      </c>
      <c r="M616" s="645">
        <v>0</v>
      </c>
      <c r="N616" s="645">
        <v>0</v>
      </c>
      <c r="O616" s="451"/>
    </row>
    <row r="617" spans="1:15" s="175" customFormat="1" ht="12" customHeight="1" x14ac:dyDescent="0.2">
      <c r="A617" s="188"/>
      <c r="B617" s="883"/>
      <c r="C617" s="884"/>
      <c r="D617" s="884" t="s">
        <v>4277</v>
      </c>
      <c r="E617" s="655" t="s">
        <v>22</v>
      </c>
      <c r="F617" s="645">
        <v>80698355</v>
      </c>
      <c r="G617" s="562">
        <v>80698355</v>
      </c>
      <c r="H617" s="645">
        <v>0</v>
      </c>
      <c r="I617" s="645">
        <v>0</v>
      </c>
      <c r="J617" s="562">
        <v>0</v>
      </c>
      <c r="K617" s="645">
        <v>0</v>
      </c>
      <c r="L617" s="645">
        <v>0</v>
      </c>
      <c r="M617" s="645">
        <v>0</v>
      </c>
      <c r="N617" s="645">
        <v>0</v>
      </c>
      <c r="O617" s="451"/>
    </row>
    <row r="618" spans="1:15" s="175" customFormat="1" ht="12" customHeight="1" x14ac:dyDescent="0.2">
      <c r="A618" s="188"/>
      <c r="B618" s="883"/>
      <c r="C618" s="884" t="s">
        <v>1926</v>
      </c>
      <c r="D618" s="884" t="s">
        <v>1653</v>
      </c>
      <c r="E618" s="655" t="s">
        <v>26</v>
      </c>
      <c r="F618" s="645">
        <v>105331661</v>
      </c>
      <c r="G618" s="562">
        <v>105331661</v>
      </c>
      <c r="H618" s="645">
        <v>0</v>
      </c>
      <c r="I618" s="645">
        <v>0</v>
      </c>
      <c r="J618" s="562">
        <v>0</v>
      </c>
      <c r="K618" s="645">
        <v>0</v>
      </c>
      <c r="L618" s="645">
        <v>0</v>
      </c>
      <c r="M618" s="645">
        <v>0</v>
      </c>
      <c r="N618" s="645">
        <v>0</v>
      </c>
      <c r="O618" s="451"/>
    </row>
    <row r="619" spans="1:15" s="175" customFormat="1" ht="12" hidden="1" customHeight="1" x14ac:dyDescent="0.2">
      <c r="A619" s="188"/>
      <c r="B619" s="883"/>
      <c r="C619" s="884"/>
      <c r="D619" s="884" t="s">
        <v>1653</v>
      </c>
      <c r="E619" s="655" t="s">
        <v>2601</v>
      </c>
      <c r="F619" s="645">
        <v>236990339</v>
      </c>
      <c r="G619" s="562">
        <v>236990339</v>
      </c>
      <c r="H619" s="645">
        <v>0</v>
      </c>
      <c r="I619" s="645">
        <v>0</v>
      </c>
      <c r="J619" s="562">
        <v>0</v>
      </c>
      <c r="K619" s="645">
        <v>0</v>
      </c>
      <c r="L619" s="645">
        <v>0</v>
      </c>
      <c r="M619" s="645">
        <v>0</v>
      </c>
      <c r="N619" s="645">
        <v>0</v>
      </c>
      <c r="O619" s="451"/>
    </row>
    <row r="620" spans="1:15" s="175" customFormat="1" ht="12" customHeight="1" x14ac:dyDescent="0.2">
      <c r="A620" s="188"/>
      <c r="B620" s="883"/>
      <c r="C620" s="884"/>
      <c r="D620" s="884" t="s">
        <v>1653</v>
      </c>
      <c r="E620" s="655" t="s">
        <v>1221</v>
      </c>
      <c r="F620" s="645">
        <v>1931850</v>
      </c>
      <c r="G620" s="562">
        <v>1931850</v>
      </c>
      <c r="H620" s="645">
        <v>0</v>
      </c>
      <c r="I620" s="645">
        <v>0</v>
      </c>
      <c r="J620" s="562">
        <v>0</v>
      </c>
      <c r="K620" s="645">
        <v>0</v>
      </c>
      <c r="L620" s="645">
        <v>0</v>
      </c>
      <c r="M620" s="645">
        <v>0</v>
      </c>
      <c r="N620" s="645">
        <v>0</v>
      </c>
      <c r="O620" s="451"/>
    </row>
    <row r="621" spans="1:15" s="175" customFormat="1" ht="12" customHeight="1" x14ac:dyDescent="0.2">
      <c r="A621" s="188"/>
      <c r="B621" s="883"/>
      <c r="C621" s="884" t="s">
        <v>1927</v>
      </c>
      <c r="D621" s="884" t="s">
        <v>2952</v>
      </c>
      <c r="E621" s="655" t="s">
        <v>26</v>
      </c>
      <c r="F621" s="645">
        <v>340548519</v>
      </c>
      <c r="G621" s="562">
        <v>340548519</v>
      </c>
      <c r="H621" s="645">
        <v>0</v>
      </c>
      <c r="I621" s="645">
        <v>0</v>
      </c>
      <c r="J621" s="562">
        <v>0</v>
      </c>
      <c r="K621" s="645">
        <v>0</v>
      </c>
      <c r="L621" s="645">
        <v>0</v>
      </c>
      <c r="M621" s="645">
        <v>0</v>
      </c>
      <c r="N621" s="645">
        <v>0</v>
      </c>
      <c r="O621" s="451"/>
    </row>
    <row r="622" spans="1:15" s="175" customFormat="1" ht="12" customHeight="1" x14ac:dyDescent="0.2">
      <c r="A622" s="188"/>
      <c r="B622" s="883"/>
      <c r="C622" s="884"/>
      <c r="D622" s="884" t="s">
        <v>2952</v>
      </c>
      <c r="E622" s="655" t="s">
        <v>3212</v>
      </c>
      <c r="F622" s="645">
        <v>56153</v>
      </c>
      <c r="G622" s="562">
        <v>56153</v>
      </c>
      <c r="H622" s="645">
        <v>0</v>
      </c>
      <c r="I622" s="645">
        <v>0</v>
      </c>
      <c r="J622" s="562">
        <v>0</v>
      </c>
      <c r="K622" s="645">
        <v>0</v>
      </c>
      <c r="L622" s="645">
        <v>0</v>
      </c>
      <c r="M622" s="645">
        <v>0</v>
      </c>
      <c r="N622" s="645">
        <v>0</v>
      </c>
      <c r="O622" s="451"/>
    </row>
    <row r="623" spans="1:15" s="175" customFormat="1" ht="12" customHeight="1" x14ac:dyDescent="0.2">
      <c r="A623" s="188"/>
      <c r="B623" s="883"/>
      <c r="C623" s="884" t="s">
        <v>1928</v>
      </c>
      <c r="D623" s="884" t="s">
        <v>2608</v>
      </c>
      <c r="E623" s="655" t="s">
        <v>26</v>
      </c>
      <c r="F623" s="645">
        <v>152900000</v>
      </c>
      <c r="G623" s="562">
        <v>152900000</v>
      </c>
      <c r="H623" s="645">
        <v>0</v>
      </c>
      <c r="I623" s="645">
        <v>0</v>
      </c>
      <c r="J623" s="562">
        <v>0</v>
      </c>
      <c r="K623" s="645">
        <v>0</v>
      </c>
      <c r="L623" s="645">
        <v>0</v>
      </c>
      <c r="M623" s="645">
        <v>0</v>
      </c>
      <c r="N623" s="645">
        <v>0</v>
      </c>
      <c r="O623" s="451"/>
    </row>
    <row r="624" spans="1:15" s="175" customFormat="1" ht="12" hidden="1" customHeight="1" x14ac:dyDescent="0.2">
      <c r="A624" s="188"/>
      <c r="B624" s="883"/>
      <c r="C624" s="884"/>
      <c r="D624" s="884" t="s">
        <v>2608</v>
      </c>
      <c r="E624" s="655" t="s">
        <v>2601</v>
      </c>
      <c r="F624" s="645">
        <v>142100000</v>
      </c>
      <c r="G624" s="562">
        <v>0</v>
      </c>
      <c r="H624" s="645">
        <v>142100000</v>
      </c>
      <c r="I624" s="645">
        <v>0</v>
      </c>
      <c r="J624" s="562">
        <v>142100000</v>
      </c>
      <c r="K624" s="645">
        <v>0</v>
      </c>
      <c r="L624" s="645">
        <v>0</v>
      </c>
      <c r="M624" s="645">
        <v>0</v>
      </c>
      <c r="N624" s="645">
        <v>142100000</v>
      </c>
      <c r="O624" s="451"/>
    </row>
    <row r="625" spans="1:15" s="175" customFormat="1" ht="12" customHeight="1" x14ac:dyDescent="0.2">
      <c r="A625" s="188"/>
      <c r="B625" s="883"/>
      <c r="C625" s="884"/>
      <c r="D625" s="884" t="s">
        <v>2608</v>
      </c>
      <c r="E625" s="655" t="s">
        <v>3212</v>
      </c>
      <c r="F625" s="645">
        <v>563450</v>
      </c>
      <c r="G625" s="562">
        <v>0</v>
      </c>
      <c r="H625" s="645">
        <v>563450</v>
      </c>
      <c r="I625" s="645">
        <v>563450</v>
      </c>
      <c r="J625" s="562">
        <v>0</v>
      </c>
      <c r="K625" s="645">
        <v>0</v>
      </c>
      <c r="L625" s="645">
        <v>0</v>
      </c>
      <c r="M625" s="645">
        <v>0</v>
      </c>
      <c r="N625" s="645">
        <v>0</v>
      </c>
      <c r="O625" s="451"/>
    </row>
    <row r="626" spans="1:15" s="175" customFormat="1" ht="12" customHeight="1" x14ac:dyDescent="0.2">
      <c r="A626" s="188"/>
      <c r="B626" s="883"/>
      <c r="C626" s="884"/>
      <c r="D626" s="884" t="s">
        <v>2608</v>
      </c>
      <c r="E626" s="655" t="s">
        <v>195</v>
      </c>
      <c r="F626" s="645">
        <v>472465</v>
      </c>
      <c r="G626" s="562">
        <v>472465</v>
      </c>
      <c r="H626" s="645">
        <v>0</v>
      </c>
      <c r="I626" s="645">
        <v>0</v>
      </c>
      <c r="J626" s="562">
        <v>0</v>
      </c>
      <c r="K626" s="645">
        <v>0</v>
      </c>
      <c r="L626" s="645">
        <v>0</v>
      </c>
      <c r="M626" s="645">
        <v>0</v>
      </c>
      <c r="N626" s="645">
        <v>0</v>
      </c>
      <c r="O626" s="451"/>
    </row>
    <row r="627" spans="1:15" s="175" customFormat="1" ht="12" customHeight="1" x14ac:dyDescent="0.2">
      <c r="A627" s="188"/>
      <c r="B627" s="883"/>
      <c r="C627" s="884"/>
      <c r="D627" s="884" t="s">
        <v>2608</v>
      </c>
      <c r="E627" s="655" t="s">
        <v>2676</v>
      </c>
      <c r="F627" s="645">
        <v>3469200</v>
      </c>
      <c r="G627" s="562">
        <v>3469200</v>
      </c>
      <c r="H627" s="645">
        <v>0</v>
      </c>
      <c r="I627" s="645">
        <v>0</v>
      </c>
      <c r="J627" s="562">
        <v>0</v>
      </c>
      <c r="K627" s="645">
        <v>0</v>
      </c>
      <c r="L627" s="645">
        <v>0</v>
      </c>
      <c r="M627" s="645">
        <v>0</v>
      </c>
      <c r="N627" s="645">
        <v>0</v>
      </c>
      <c r="O627" s="451"/>
    </row>
    <row r="628" spans="1:15" s="175" customFormat="1" ht="12" customHeight="1" x14ac:dyDescent="0.2">
      <c r="A628" s="188"/>
      <c r="B628" s="883"/>
      <c r="C628" s="884" t="s">
        <v>1929</v>
      </c>
      <c r="D628" s="884" t="s">
        <v>1655</v>
      </c>
      <c r="E628" s="655" t="s">
        <v>26</v>
      </c>
      <c r="F628" s="645">
        <v>215354936</v>
      </c>
      <c r="G628" s="562">
        <v>215354936</v>
      </c>
      <c r="H628" s="645">
        <v>0</v>
      </c>
      <c r="I628" s="645">
        <v>0</v>
      </c>
      <c r="J628" s="562">
        <v>0</v>
      </c>
      <c r="K628" s="645">
        <v>0</v>
      </c>
      <c r="L628" s="645">
        <v>0</v>
      </c>
      <c r="M628" s="645">
        <v>0</v>
      </c>
      <c r="N628" s="645">
        <v>0</v>
      </c>
      <c r="O628" s="451"/>
    </row>
    <row r="629" spans="1:15" s="175" customFormat="1" ht="12" hidden="1" customHeight="1" x14ac:dyDescent="0.2">
      <c r="A629" s="188"/>
      <c r="B629" s="883"/>
      <c r="C629" s="884"/>
      <c r="D629" s="884" t="s">
        <v>1655</v>
      </c>
      <c r="E629" s="655" t="s">
        <v>1557</v>
      </c>
      <c r="F629" s="645">
        <v>120000000</v>
      </c>
      <c r="G629" s="562">
        <v>120000000</v>
      </c>
      <c r="H629" s="645">
        <v>0</v>
      </c>
      <c r="I629" s="645">
        <v>0</v>
      </c>
      <c r="J629" s="562">
        <v>0</v>
      </c>
      <c r="K629" s="645">
        <v>0</v>
      </c>
      <c r="L629" s="645">
        <v>0</v>
      </c>
      <c r="M629" s="645">
        <v>0</v>
      </c>
      <c r="N629" s="645">
        <v>0</v>
      </c>
      <c r="O629" s="451"/>
    </row>
    <row r="630" spans="1:15" s="175" customFormat="1" ht="12" customHeight="1" x14ac:dyDescent="0.2">
      <c r="A630" s="188"/>
      <c r="B630" s="883"/>
      <c r="C630" s="884"/>
      <c r="D630" s="884" t="s">
        <v>1655</v>
      </c>
      <c r="E630" s="655" t="s">
        <v>3212</v>
      </c>
      <c r="F630" s="645">
        <v>1301017</v>
      </c>
      <c r="G630" s="562">
        <v>1301017</v>
      </c>
      <c r="H630" s="645">
        <v>0</v>
      </c>
      <c r="I630" s="645">
        <v>0</v>
      </c>
      <c r="J630" s="562">
        <v>0</v>
      </c>
      <c r="K630" s="645">
        <v>0</v>
      </c>
      <c r="L630" s="645">
        <v>0</v>
      </c>
      <c r="M630" s="645">
        <v>0</v>
      </c>
      <c r="N630" s="645">
        <v>0</v>
      </c>
      <c r="O630" s="451"/>
    </row>
    <row r="631" spans="1:15" s="175" customFormat="1" ht="12" customHeight="1" x14ac:dyDescent="0.2">
      <c r="A631" s="188"/>
      <c r="B631" s="883"/>
      <c r="C631" s="884" t="s">
        <v>2611</v>
      </c>
      <c r="D631" s="884" t="s">
        <v>2608</v>
      </c>
      <c r="E631" s="655" t="s">
        <v>26</v>
      </c>
      <c r="F631" s="645">
        <v>101498650</v>
      </c>
      <c r="G631" s="562">
        <v>101498650</v>
      </c>
      <c r="H631" s="645">
        <v>0</v>
      </c>
      <c r="I631" s="645">
        <v>0</v>
      </c>
      <c r="J631" s="562">
        <v>0</v>
      </c>
      <c r="K631" s="645">
        <v>0</v>
      </c>
      <c r="L631" s="645">
        <v>0</v>
      </c>
      <c r="M631" s="645">
        <v>0</v>
      </c>
      <c r="N631" s="645">
        <v>0</v>
      </c>
      <c r="O631" s="451"/>
    </row>
    <row r="632" spans="1:15" s="175" customFormat="1" ht="12" hidden="1" customHeight="1" x14ac:dyDescent="0.2">
      <c r="A632" s="188"/>
      <c r="B632" s="883"/>
      <c r="C632" s="884"/>
      <c r="D632" s="884" t="s">
        <v>2608</v>
      </c>
      <c r="E632" s="655" t="s">
        <v>1557</v>
      </c>
      <c r="F632" s="645">
        <v>281672420</v>
      </c>
      <c r="G632" s="562">
        <v>281672420</v>
      </c>
      <c r="H632" s="645">
        <v>0</v>
      </c>
      <c r="I632" s="645">
        <v>0</v>
      </c>
      <c r="J632" s="562">
        <v>0</v>
      </c>
      <c r="K632" s="645">
        <v>0</v>
      </c>
      <c r="L632" s="645">
        <v>0</v>
      </c>
      <c r="M632" s="645">
        <v>0</v>
      </c>
      <c r="N632" s="645">
        <v>0</v>
      </c>
      <c r="O632" s="451"/>
    </row>
    <row r="633" spans="1:15" s="175" customFormat="1" ht="12" customHeight="1" x14ac:dyDescent="0.2">
      <c r="A633" s="188"/>
      <c r="B633" s="883"/>
      <c r="C633" s="884"/>
      <c r="D633" s="884" t="s">
        <v>2608</v>
      </c>
      <c r="E633" s="655" t="s">
        <v>3212</v>
      </c>
      <c r="F633" s="645">
        <v>1298367</v>
      </c>
      <c r="G633" s="562">
        <v>0</v>
      </c>
      <c r="H633" s="645">
        <v>1298367</v>
      </c>
      <c r="I633" s="645">
        <v>0</v>
      </c>
      <c r="J633" s="562">
        <v>1298367</v>
      </c>
      <c r="K633" s="645">
        <v>0</v>
      </c>
      <c r="L633" s="645">
        <v>0</v>
      </c>
      <c r="M633" s="645">
        <v>1298367</v>
      </c>
      <c r="N633" s="645">
        <v>0</v>
      </c>
      <c r="O633" s="451"/>
    </row>
    <row r="634" spans="1:15" s="175" customFormat="1" ht="12" customHeight="1" x14ac:dyDescent="0.2">
      <c r="A634" s="188"/>
      <c r="B634" s="883"/>
      <c r="C634" s="884"/>
      <c r="D634" s="884" t="s">
        <v>2608</v>
      </c>
      <c r="E634" s="655" t="s">
        <v>2676</v>
      </c>
      <c r="F634" s="645">
        <v>733867</v>
      </c>
      <c r="G634" s="562">
        <v>0</v>
      </c>
      <c r="H634" s="645">
        <v>733867</v>
      </c>
      <c r="I634" s="645">
        <v>0</v>
      </c>
      <c r="J634" s="562">
        <v>733867</v>
      </c>
      <c r="K634" s="645">
        <v>733867</v>
      </c>
      <c r="L634" s="645">
        <v>0</v>
      </c>
      <c r="M634" s="645">
        <v>0</v>
      </c>
      <c r="N634" s="645">
        <v>0</v>
      </c>
      <c r="O634" s="451"/>
    </row>
    <row r="635" spans="1:15" s="175" customFormat="1" ht="12" customHeight="1" x14ac:dyDescent="0.2">
      <c r="A635" s="188"/>
      <c r="B635" s="883"/>
      <c r="C635" s="884"/>
      <c r="D635" s="884" t="s">
        <v>2608</v>
      </c>
      <c r="E635" s="655" t="s">
        <v>1221</v>
      </c>
      <c r="F635" s="645">
        <v>1931850</v>
      </c>
      <c r="G635" s="562">
        <v>1931850</v>
      </c>
      <c r="H635" s="645">
        <v>0</v>
      </c>
      <c r="I635" s="645">
        <v>0</v>
      </c>
      <c r="J635" s="562">
        <v>0</v>
      </c>
      <c r="K635" s="645">
        <v>0</v>
      </c>
      <c r="L635" s="645">
        <v>0</v>
      </c>
      <c r="M635" s="645">
        <v>0</v>
      </c>
      <c r="N635" s="645">
        <v>0</v>
      </c>
      <c r="O635" s="451"/>
    </row>
    <row r="636" spans="1:15" s="175" customFormat="1" ht="12" customHeight="1" x14ac:dyDescent="0.2">
      <c r="A636" s="188"/>
      <c r="B636" s="883"/>
      <c r="C636" s="884" t="s">
        <v>1930</v>
      </c>
      <c r="D636" s="884" t="s">
        <v>1654</v>
      </c>
      <c r="E636" s="655" t="s">
        <v>26</v>
      </c>
      <c r="F636" s="645">
        <v>103884145</v>
      </c>
      <c r="G636" s="562">
        <v>103884145</v>
      </c>
      <c r="H636" s="645">
        <v>0</v>
      </c>
      <c r="I636" s="645">
        <v>0</v>
      </c>
      <c r="J636" s="562">
        <v>0</v>
      </c>
      <c r="K636" s="645">
        <v>0</v>
      </c>
      <c r="L636" s="645">
        <v>0</v>
      </c>
      <c r="M636" s="645">
        <v>0</v>
      </c>
      <c r="N636" s="645">
        <v>0</v>
      </c>
      <c r="O636" s="451"/>
    </row>
    <row r="637" spans="1:15" s="175" customFormat="1" ht="12" hidden="1" customHeight="1" x14ac:dyDescent="0.2">
      <c r="A637" s="188"/>
      <c r="B637" s="883"/>
      <c r="C637" s="884"/>
      <c r="D637" s="884" t="s">
        <v>1654</v>
      </c>
      <c r="E637" s="655" t="s">
        <v>1557</v>
      </c>
      <c r="F637" s="645">
        <v>242383255</v>
      </c>
      <c r="G637" s="562">
        <v>242383255</v>
      </c>
      <c r="H637" s="645">
        <v>0</v>
      </c>
      <c r="I637" s="645">
        <v>0</v>
      </c>
      <c r="J637" s="562">
        <v>0</v>
      </c>
      <c r="K637" s="645">
        <v>0</v>
      </c>
      <c r="L637" s="645">
        <v>0</v>
      </c>
      <c r="M637" s="645">
        <v>0</v>
      </c>
      <c r="N637" s="645">
        <v>0</v>
      </c>
      <c r="O637" s="451"/>
    </row>
    <row r="638" spans="1:15" s="175" customFormat="1" ht="12" customHeight="1" x14ac:dyDescent="0.2">
      <c r="A638" s="188"/>
      <c r="B638" s="883"/>
      <c r="C638" s="884"/>
      <c r="D638" s="884" t="s">
        <v>1654</v>
      </c>
      <c r="E638" s="655" t="s">
        <v>822</v>
      </c>
      <c r="F638" s="645">
        <v>513000</v>
      </c>
      <c r="G638" s="562">
        <v>513000</v>
      </c>
      <c r="H638" s="645">
        <v>0</v>
      </c>
      <c r="I638" s="645">
        <v>0</v>
      </c>
      <c r="J638" s="562">
        <v>0</v>
      </c>
      <c r="K638" s="645">
        <v>0</v>
      </c>
      <c r="L638" s="645">
        <v>0</v>
      </c>
      <c r="M638" s="645">
        <v>0</v>
      </c>
      <c r="N638" s="645">
        <v>0</v>
      </c>
      <c r="O638" s="451"/>
    </row>
    <row r="639" spans="1:15" s="175" customFormat="1" ht="12" customHeight="1" x14ac:dyDescent="0.2">
      <c r="A639" s="188"/>
      <c r="B639" s="883"/>
      <c r="C639" s="884"/>
      <c r="D639" s="884" t="s">
        <v>1654</v>
      </c>
      <c r="E639" s="655" t="s">
        <v>1221</v>
      </c>
      <c r="F639" s="645">
        <v>12975565</v>
      </c>
      <c r="G639" s="562">
        <v>12975565</v>
      </c>
      <c r="H639" s="645">
        <v>0</v>
      </c>
      <c r="I639" s="645">
        <v>0</v>
      </c>
      <c r="J639" s="562">
        <v>0</v>
      </c>
      <c r="K639" s="645">
        <v>0</v>
      </c>
      <c r="L639" s="645">
        <v>0</v>
      </c>
      <c r="M639" s="645">
        <v>0</v>
      </c>
      <c r="N639" s="645">
        <v>0</v>
      </c>
      <c r="O639" s="451"/>
    </row>
    <row r="640" spans="1:15" s="175" customFormat="1" ht="12" customHeight="1" x14ac:dyDescent="0.2">
      <c r="A640" s="188"/>
      <c r="B640" s="883"/>
      <c r="C640" s="884" t="s">
        <v>1931</v>
      </c>
      <c r="D640" s="884" t="s">
        <v>3260</v>
      </c>
      <c r="E640" s="655" t="s">
        <v>26</v>
      </c>
      <c r="F640" s="645">
        <v>88500000</v>
      </c>
      <c r="G640" s="562">
        <v>88500000</v>
      </c>
      <c r="H640" s="645">
        <v>0</v>
      </c>
      <c r="I640" s="645">
        <v>0</v>
      </c>
      <c r="J640" s="562">
        <v>0</v>
      </c>
      <c r="K640" s="645">
        <v>0</v>
      </c>
      <c r="L640" s="645">
        <v>0</v>
      </c>
      <c r="M640" s="645">
        <v>0</v>
      </c>
      <c r="N640" s="645">
        <v>0</v>
      </c>
      <c r="O640" s="451"/>
    </row>
    <row r="641" spans="1:15" s="175" customFormat="1" ht="12" hidden="1" customHeight="1" x14ac:dyDescent="0.2">
      <c r="A641" s="188"/>
      <c r="B641" s="883"/>
      <c r="C641" s="884"/>
      <c r="D641" s="884" t="s">
        <v>3260</v>
      </c>
      <c r="E641" s="655" t="s">
        <v>1557</v>
      </c>
      <c r="F641" s="645">
        <v>206500000</v>
      </c>
      <c r="G641" s="562">
        <v>0</v>
      </c>
      <c r="H641" s="645">
        <v>206500000</v>
      </c>
      <c r="I641" s="645">
        <v>0</v>
      </c>
      <c r="J641" s="562">
        <v>206500000</v>
      </c>
      <c r="K641" s="645">
        <v>0</v>
      </c>
      <c r="L641" s="645">
        <v>0</v>
      </c>
      <c r="M641" s="645">
        <v>0</v>
      </c>
      <c r="N641" s="645">
        <v>206500000</v>
      </c>
      <c r="O641" s="451"/>
    </row>
    <row r="642" spans="1:15" s="175" customFormat="1" ht="12" customHeight="1" x14ac:dyDescent="0.2">
      <c r="A642" s="188"/>
      <c r="B642" s="883"/>
      <c r="C642" s="884"/>
      <c r="D642" s="884" t="s">
        <v>3260</v>
      </c>
      <c r="E642" s="655" t="s">
        <v>3212</v>
      </c>
      <c r="F642" s="645">
        <v>707490</v>
      </c>
      <c r="G642" s="562">
        <v>0</v>
      </c>
      <c r="H642" s="645">
        <v>707490</v>
      </c>
      <c r="I642" s="645">
        <v>0</v>
      </c>
      <c r="J642" s="562">
        <v>707490</v>
      </c>
      <c r="K642" s="645">
        <v>707490</v>
      </c>
      <c r="L642" s="645">
        <v>0</v>
      </c>
      <c r="M642" s="645">
        <v>0</v>
      </c>
      <c r="N642" s="645">
        <v>0</v>
      </c>
      <c r="O642" s="451"/>
    </row>
    <row r="643" spans="1:15" s="175" customFormat="1" ht="12" customHeight="1" x14ac:dyDescent="0.2">
      <c r="A643" s="188"/>
      <c r="B643" s="883"/>
      <c r="C643" s="884"/>
      <c r="D643" s="884" t="s">
        <v>3260</v>
      </c>
      <c r="E643" s="655" t="s">
        <v>195</v>
      </c>
      <c r="F643" s="645">
        <v>1162175</v>
      </c>
      <c r="G643" s="562">
        <v>1162175</v>
      </c>
      <c r="H643" s="645">
        <v>0</v>
      </c>
      <c r="I643" s="645">
        <v>0</v>
      </c>
      <c r="J643" s="562">
        <v>0</v>
      </c>
      <c r="K643" s="645">
        <v>0</v>
      </c>
      <c r="L643" s="645">
        <v>0</v>
      </c>
      <c r="M643" s="645">
        <v>0</v>
      </c>
      <c r="N643" s="645">
        <v>0</v>
      </c>
      <c r="O643" s="451"/>
    </row>
    <row r="644" spans="1:15" s="175" customFormat="1" ht="12" customHeight="1" x14ac:dyDescent="0.2">
      <c r="A644" s="188"/>
      <c r="B644" s="883"/>
      <c r="C644" s="884"/>
      <c r="D644" s="884" t="s">
        <v>3260</v>
      </c>
      <c r="E644" s="655" t="s">
        <v>2676</v>
      </c>
      <c r="F644" s="645">
        <v>3469200</v>
      </c>
      <c r="G644" s="562">
        <v>3469200</v>
      </c>
      <c r="H644" s="645">
        <v>0</v>
      </c>
      <c r="I644" s="645">
        <v>0</v>
      </c>
      <c r="J644" s="562">
        <v>0</v>
      </c>
      <c r="K644" s="645">
        <v>0</v>
      </c>
      <c r="L644" s="645">
        <v>0</v>
      </c>
      <c r="M644" s="645">
        <v>0</v>
      </c>
      <c r="N644" s="645">
        <v>0</v>
      </c>
      <c r="O644" s="451"/>
    </row>
    <row r="645" spans="1:15" s="175" customFormat="1" ht="12" customHeight="1" x14ac:dyDescent="0.2">
      <c r="A645" s="188"/>
      <c r="B645" s="883"/>
      <c r="C645" s="884" t="s">
        <v>1932</v>
      </c>
      <c r="D645" s="884" t="s">
        <v>1656</v>
      </c>
      <c r="E645" s="655" t="s">
        <v>26</v>
      </c>
      <c r="F645" s="645">
        <v>162169704</v>
      </c>
      <c r="G645" s="562">
        <v>162169704</v>
      </c>
      <c r="H645" s="645">
        <v>0</v>
      </c>
      <c r="I645" s="645">
        <v>0</v>
      </c>
      <c r="J645" s="562">
        <v>0</v>
      </c>
      <c r="K645" s="645">
        <v>0</v>
      </c>
      <c r="L645" s="645">
        <v>0</v>
      </c>
      <c r="M645" s="645">
        <v>0</v>
      </c>
      <c r="N645" s="645">
        <v>0</v>
      </c>
      <c r="O645" s="451"/>
    </row>
    <row r="646" spans="1:15" s="175" customFormat="1" ht="12" hidden="1" customHeight="1" x14ac:dyDescent="0.2">
      <c r="A646" s="188"/>
      <c r="B646" s="883"/>
      <c r="C646" s="884"/>
      <c r="D646" s="884" t="s">
        <v>1656</v>
      </c>
      <c r="E646" s="655" t="s">
        <v>1557</v>
      </c>
      <c r="F646" s="645">
        <v>181000000</v>
      </c>
      <c r="G646" s="562">
        <v>181000000</v>
      </c>
      <c r="H646" s="645">
        <v>0</v>
      </c>
      <c r="I646" s="645">
        <v>0</v>
      </c>
      <c r="J646" s="562">
        <v>0</v>
      </c>
      <c r="K646" s="645">
        <v>0</v>
      </c>
      <c r="L646" s="645">
        <v>0</v>
      </c>
      <c r="M646" s="645">
        <v>0</v>
      </c>
      <c r="N646" s="645">
        <v>0</v>
      </c>
      <c r="O646" s="451"/>
    </row>
    <row r="647" spans="1:15" s="175" customFormat="1" ht="12" customHeight="1" x14ac:dyDescent="0.2">
      <c r="A647" s="188"/>
      <c r="B647" s="883"/>
      <c r="C647" s="884"/>
      <c r="D647" s="884" t="s">
        <v>1656</v>
      </c>
      <c r="E647" s="655" t="s">
        <v>822</v>
      </c>
      <c r="F647" s="645">
        <v>492197</v>
      </c>
      <c r="G647" s="562">
        <v>492197</v>
      </c>
      <c r="H647" s="645">
        <v>0</v>
      </c>
      <c r="I647" s="645">
        <v>0</v>
      </c>
      <c r="J647" s="562">
        <v>0</v>
      </c>
      <c r="K647" s="645">
        <v>0</v>
      </c>
      <c r="L647" s="645">
        <v>0</v>
      </c>
      <c r="M647" s="645">
        <v>0</v>
      </c>
      <c r="N647" s="645">
        <v>0</v>
      </c>
      <c r="O647" s="451"/>
    </row>
    <row r="648" spans="1:15" s="175" customFormat="1" ht="12" customHeight="1" x14ac:dyDescent="0.2">
      <c r="A648" s="188"/>
      <c r="B648" s="883"/>
      <c r="C648" s="884"/>
      <c r="D648" s="884" t="s">
        <v>1656</v>
      </c>
      <c r="E648" s="655" t="s">
        <v>2676</v>
      </c>
      <c r="F648" s="645">
        <v>241333</v>
      </c>
      <c r="G648" s="562">
        <v>241333</v>
      </c>
      <c r="H648" s="645">
        <v>0</v>
      </c>
      <c r="I648" s="645">
        <v>0</v>
      </c>
      <c r="J648" s="562">
        <v>0</v>
      </c>
      <c r="K648" s="645">
        <v>0</v>
      </c>
      <c r="L648" s="645">
        <v>0</v>
      </c>
      <c r="M648" s="645">
        <v>0</v>
      </c>
      <c r="N648" s="645">
        <v>0</v>
      </c>
      <c r="O648" s="451"/>
    </row>
    <row r="649" spans="1:15" s="175" customFormat="1" ht="12" customHeight="1" x14ac:dyDescent="0.2">
      <c r="A649" s="188"/>
      <c r="B649" s="883"/>
      <c r="C649" s="884" t="s">
        <v>1933</v>
      </c>
      <c r="D649" s="884" t="s">
        <v>3261</v>
      </c>
      <c r="E649" s="655" t="s">
        <v>26</v>
      </c>
      <c r="F649" s="645">
        <v>313538386</v>
      </c>
      <c r="G649" s="562">
        <v>313538386</v>
      </c>
      <c r="H649" s="645">
        <v>0</v>
      </c>
      <c r="I649" s="645">
        <v>0</v>
      </c>
      <c r="J649" s="562">
        <v>0</v>
      </c>
      <c r="K649" s="645">
        <v>0</v>
      </c>
      <c r="L649" s="645">
        <v>0</v>
      </c>
      <c r="M649" s="645">
        <v>0</v>
      </c>
      <c r="N649" s="645">
        <v>0</v>
      </c>
      <c r="O649" s="451"/>
    </row>
    <row r="650" spans="1:15" s="175" customFormat="1" ht="12" customHeight="1" x14ac:dyDescent="0.2">
      <c r="A650" s="188"/>
      <c r="B650" s="883"/>
      <c r="C650" s="884"/>
      <c r="D650" s="884" t="s">
        <v>3261</v>
      </c>
      <c r="E650" s="655" t="s">
        <v>3212</v>
      </c>
      <c r="F650" s="645">
        <v>58313</v>
      </c>
      <c r="G650" s="562">
        <v>0</v>
      </c>
      <c r="H650" s="645">
        <v>58313</v>
      </c>
      <c r="I650" s="645">
        <v>0</v>
      </c>
      <c r="J650" s="562">
        <v>58313</v>
      </c>
      <c r="K650" s="645">
        <v>0</v>
      </c>
      <c r="L650" s="645">
        <v>0</v>
      </c>
      <c r="M650" s="645">
        <v>0</v>
      </c>
      <c r="N650" s="645">
        <v>58313</v>
      </c>
      <c r="O650" s="451"/>
    </row>
    <row r="651" spans="1:15" s="175" customFormat="1" ht="12" customHeight="1" x14ac:dyDescent="0.2">
      <c r="A651" s="188"/>
      <c r="B651" s="883"/>
      <c r="C651" s="884" t="s">
        <v>1934</v>
      </c>
      <c r="D651" s="884" t="s">
        <v>1512</v>
      </c>
      <c r="E651" s="655" t="s">
        <v>26</v>
      </c>
      <c r="F651" s="645">
        <v>342710032</v>
      </c>
      <c r="G651" s="562">
        <v>342710032</v>
      </c>
      <c r="H651" s="645">
        <v>0</v>
      </c>
      <c r="I651" s="645">
        <v>0</v>
      </c>
      <c r="J651" s="562">
        <v>0</v>
      </c>
      <c r="K651" s="645">
        <v>0</v>
      </c>
      <c r="L651" s="645">
        <v>0</v>
      </c>
      <c r="M651" s="645">
        <v>0</v>
      </c>
      <c r="N651" s="645">
        <v>0</v>
      </c>
      <c r="O651" s="451"/>
    </row>
    <row r="652" spans="1:15" s="175" customFormat="1" ht="12" customHeight="1" x14ac:dyDescent="0.2">
      <c r="A652" s="188"/>
      <c r="B652" s="883"/>
      <c r="C652" s="884"/>
      <c r="D652" s="884" t="s">
        <v>1512</v>
      </c>
      <c r="E652" s="655" t="s">
        <v>3212</v>
      </c>
      <c r="F652" s="645">
        <v>90327</v>
      </c>
      <c r="G652" s="562">
        <v>90327</v>
      </c>
      <c r="H652" s="645">
        <v>0</v>
      </c>
      <c r="I652" s="645">
        <v>0</v>
      </c>
      <c r="J652" s="562">
        <v>0</v>
      </c>
      <c r="K652" s="645">
        <v>0</v>
      </c>
      <c r="L652" s="645">
        <v>0</v>
      </c>
      <c r="M652" s="645">
        <v>0</v>
      </c>
      <c r="N652" s="645">
        <v>0</v>
      </c>
      <c r="O652" s="451"/>
    </row>
    <row r="653" spans="1:15" s="175" customFormat="1" ht="12" customHeight="1" x14ac:dyDescent="0.2">
      <c r="A653" s="188"/>
      <c r="B653" s="883"/>
      <c r="C653" s="884"/>
      <c r="D653" s="884" t="s">
        <v>1512</v>
      </c>
      <c r="E653" s="655" t="s">
        <v>195</v>
      </c>
      <c r="F653" s="645">
        <v>847339</v>
      </c>
      <c r="G653" s="562">
        <v>847339</v>
      </c>
      <c r="H653" s="645">
        <v>0</v>
      </c>
      <c r="I653" s="645">
        <v>0</v>
      </c>
      <c r="J653" s="562">
        <v>0</v>
      </c>
      <c r="K653" s="645">
        <v>0</v>
      </c>
      <c r="L653" s="645">
        <v>0</v>
      </c>
      <c r="M653" s="645">
        <v>0</v>
      </c>
      <c r="N653" s="645">
        <v>0</v>
      </c>
      <c r="O653" s="451"/>
    </row>
    <row r="654" spans="1:15" s="175" customFormat="1" ht="12" customHeight="1" x14ac:dyDescent="0.2">
      <c r="A654" s="188"/>
      <c r="B654" s="883"/>
      <c r="C654" s="884" t="s">
        <v>1935</v>
      </c>
      <c r="D654" s="884" t="s">
        <v>1075</v>
      </c>
      <c r="E654" s="655" t="s">
        <v>26</v>
      </c>
      <c r="F654" s="645">
        <v>292955042</v>
      </c>
      <c r="G654" s="562">
        <v>292955042</v>
      </c>
      <c r="H654" s="645">
        <v>0</v>
      </c>
      <c r="I654" s="645">
        <v>0</v>
      </c>
      <c r="J654" s="562">
        <v>0</v>
      </c>
      <c r="K654" s="645">
        <v>0</v>
      </c>
      <c r="L654" s="645">
        <v>0</v>
      </c>
      <c r="M654" s="645">
        <v>0</v>
      </c>
      <c r="N654" s="645">
        <v>0</v>
      </c>
      <c r="O654" s="451"/>
    </row>
    <row r="655" spans="1:15" s="175" customFormat="1" ht="12" customHeight="1" x14ac:dyDescent="0.2">
      <c r="A655" s="188"/>
      <c r="B655" s="883"/>
      <c r="C655" s="884"/>
      <c r="D655" s="884" t="s">
        <v>1075</v>
      </c>
      <c r="E655" s="655" t="s">
        <v>1221</v>
      </c>
      <c r="F655" s="645">
        <v>68406567</v>
      </c>
      <c r="G655" s="562">
        <v>68406567</v>
      </c>
      <c r="H655" s="645">
        <v>0</v>
      </c>
      <c r="I655" s="645">
        <v>0</v>
      </c>
      <c r="J655" s="562">
        <v>0</v>
      </c>
      <c r="K655" s="645">
        <v>0</v>
      </c>
      <c r="L655" s="645">
        <v>0</v>
      </c>
      <c r="M655" s="645">
        <v>0</v>
      </c>
      <c r="N655" s="645">
        <v>0</v>
      </c>
      <c r="O655" s="451"/>
    </row>
    <row r="656" spans="1:15" s="175" customFormat="1" ht="12" customHeight="1" x14ac:dyDescent="0.2">
      <c r="A656" s="188"/>
      <c r="B656" s="883"/>
      <c r="C656" s="884" t="s">
        <v>1936</v>
      </c>
      <c r="D656" s="884" t="s">
        <v>3262</v>
      </c>
      <c r="E656" s="655" t="s">
        <v>26</v>
      </c>
      <c r="F656" s="645">
        <v>103733461</v>
      </c>
      <c r="G656" s="562">
        <v>103733461</v>
      </c>
      <c r="H656" s="645">
        <v>0</v>
      </c>
      <c r="I656" s="645">
        <v>0</v>
      </c>
      <c r="J656" s="562">
        <v>0</v>
      </c>
      <c r="K656" s="645">
        <v>0</v>
      </c>
      <c r="L656" s="645">
        <v>0</v>
      </c>
      <c r="M656" s="645">
        <v>0</v>
      </c>
      <c r="N656" s="645">
        <v>0</v>
      </c>
      <c r="O656" s="451"/>
    </row>
    <row r="657" spans="1:15" s="175" customFormat="1" ht="12" hidden="1" customHeight="1" x14ac:dyDescent="0.2">
      <c r="A657" s="188"/>
      <c r="B657" s="883"/>
      <c r="C657" s="884"/>
      <c r="D657" s="884" t="s">
        <v>3262</v>
      </c>
      <c r="E657" s="655" t="s">
        <v>1557</v>
      </c>
      <c r="F657" s="645">
        <v>239349560</v>
      </c>
      <c r="G657" s="562">
        <v>239349560</v>
      </c>
      <c r="H657" s="645">
        <v>0</v>
      </c>
      <c r="I657" s="645">
        <v>0</v>
      </c>
      <c r="J657" s="562">
        <v>0</v>
      </c>
      <c r="K657" s="645">
        <v>0</v>
      </c>
      <c r="L657" s="645">
        <v>0</v>
      </c>
      <c r="M657" s="645">
        <v>0</v>
      </c>
      <c r="N657" s="645">
        <v>0</v>
      </c>
      <c r="O657" s="451"/>
    </row>
    <row r="658" spans="1:15" s="175" customFormat="1" ht="12" customHeight="1" x14ac:dyDescent="0.2">
      <c r="A658" s="188"/>
      <c r="B658" s="883"/>
      <c r="C658" s="884" t="s">
        <v>1937</v>
      </c>
      <c r="D658" s="884" t="s">
        <v>1089</v>
      </c>
      <c r="E658" s="655" t="s">
        <v>26</v>
      </c>
      <c r="F658" s="645">
        <v>105791100</v>
      </c>
      <c r="G658" s="562">
        <v>105791100</v>
      </c>
      <c r="H658" s="645">
        <v>0</v>
      </c>
      <c r="I658" s="645">
        <v>0</v>
      </c>
      <c r="J658" s="562">
        <v>0</v>
      </c>
      <c r="K658" s="645">
        <v>0</v>
      </c>
      <c r="L658" s="645">
        <v>0</v>
      </c>
      <c r="M658" s="645">
        <v>0</v>
      </c>
      <c r="N658" s="645">
        <v>0</v>
      </c>
      <c r="O658" s="451"/>
    </row>
    <row r="659" spans="1:15" s="175" customFormat="1" ht="12" hidden="1" customHeight="1" x14ac:dyDescent="0.2">
      <c r="A659" s="188"/>
      <c r="B659" s="883"/>
      <c r="C659" s="884"/>
      <c r="D659" s="884" t="s">
        <v>1089</v>
      </c>
      <c r="E659" s="655" t="s">
        <v>1557</v>
      </c>
      <c r="F659" s="645">
        <v>246845900</v>
      </c>
      <c r="G659" s="562">
        <v>246845900</v>
      </c>
      <c r="H659" s="645">
        <v>0</v>
      </c>
      <c r="I659" s="645">
        <v>0</v>
      </c>
      <c r="J659" s="562">
        <v>0</v>
      </c>
      <c r="K659" s="645">
        <v>0</v>
      </c>
      <c r="L659" s="645">
        <v>0</v>
      </c>
      <c r="M659" s="645">
        <v>0</v>
      </c>
      <c r="N659" s="645">
        <v>0</v>
      </c>
      <c r="O659" s="451"/>
    </row>
    <row r="660" spans="1:15" s="175" customFormat="1" ht="12" customHeight="1" x14ac:dyDescent="0.2">
      <c r="A660" s="188"/>
      <c r="B660" s="883"/>
      <c r="C660" s="884"/>
      <c r="D660" s="884" t="s">
        <v>1089</v>
      </c>
      <c r="E660" s="655" t="s">
        <v>3212</v>
      </c>
      <c r="F660" s="645">
        <v>1253277</v>
      </c>
      <c r="G660" s="562">
        <v>1253277</v>
      </c>
      <c r="H660" s="645">
        <v>0</v>
      </c>
      <c r="I660" s="645">
        <v>0</v>
      </c>
      <c r="J660" s="562">
        <v>0</v>
      </c>
      <c r="K660" s="645">
        <v>0</v>
      </c>
      <c r="L660" s="645">
        <v>0</v>
      </c>
      <c r="M660" s="645">
        <v>0</v>
      </c>
      <c r="N660" s="645">
        <v>0</v>
      </c>
      <c r="O660" s="451"/>
    </row>
    <row r="661" spans="1:15" s="175" customFormat="1" ht="12" customHeight="1" x14ac:dyDescent="0.2">
      <c r="A661" s="188"/>
      <c r="B661" s="883"/>
      <c r="C661" s="884"/>
      <c r="D661" s="884" t="s">
        <v>1089</v>
      </c>
      <c r="E661" s="655" t="s">
        <v>2676</v>
      </c>
      <c r="F661" s="645">
        <v>460779</v>
      </c>
      <c r="G661" s="562">
        <v>0</v>
      </c>
      <c r="H661" s="645">
        <v>460779</v>
      </c>
      <c r="I661" s="645">
        <v>0</v>
      </c>
      <c r="J661" s="562">
        <v>460779</v>
      </c>
      <c r="K661" s="645">
        <v>460779</v>
      </c>
      <c r="L661" s="645">
        <v>0</v>
      </c>
      <c r="M661" s="645">
        <v>0</v>
      </c>
      <c r="N661" s="645">
        <v>0</v>
      </c>
      <c r="O661" s="451"/>
    </row>
    <row r="662" spans="1:15" s="175" customFormat="1" ht="12" customHeight="1" x14ac:dyDescent="0.2">
      <c r="A662" s="188"/>
      <c r="B662" s="883"/>
      <c r="C662" s="884" t="s">
        <v>1938</v>
      </c>
      <c r="D662" s="884" t="s">
        <v>1005</v>
      </c>
      <c r="E662" s="655" t="s">
        <v>26</v>
      </c>
      <c r="F662" s="645">
        <v>159357780</v>
      </c>
      <c r="G662" s="562">
        <v>159357780</v>
      </c>
      <c r="H662" s="645">
        <v>0</v>
      </c>
      <c r="I662" s="645">
        <v>0</v>
      </c>
      <c r="J662" s="562">
        <v>0</v>
      </c>
      <c r="K662" s="645">
        <v>0</v>
      </c>
      <c r="L662" s="645">
        <v>0</v>
      </c>
      <c r="M662" s="645">
        <v>0</v>
      </c>
      <c r="N662" s="645">
        <v>0</v>
      </c>
      <c r="O662" s="451"/>
    </row>
    <row r="663" spans="1:15" s="175" customFormat="1" ht="12" hidden="1" customHeight="1" x14ac:dyDescent="0.2">
      <c r="A663" s="188"/>
      <c r="B663" s="883"/>
      <c r="C663" s="884"/>
      <c r="D663" s="884" t="s">
        <v>1005</v>
      </c>
      <c r="E663" s="655" t="s">
        <v>1557</v>
      </c>
      <c r="F663" s="645">
        <v>183600000</v>
      </c>
      <c r="G663" s="562">
        <v>183600000</v>
      </c>
      <c r="H663" s="645">
        <v>0</v>
      </c>
      <c r="I663" s="645">
        <v>0</v>
      </c>
      <c r="J663" s="562">
        <v>0</v>
      </c>
      <c r="K663" s="645">
        <v>0</v>
      </c>
      <c r="L663" s="645">
        <v>0</v>
      </c>
      <c r="M663" s="645">
        <v>0</v>
      </c>
      <c r="N663" s="645">
        <v>0</v>
      </c>
      <c r="O663" s="451"/>
    </row>
    <row r="664" spans="1:15" s="175" customFormat="1" ht="12" customHeight="1" x14ac:dyDescent="0.2">
      <c r="A664" s="188"/>
      <c r="B664" s="883"/>
      <c r="C664" s="884"/>
      <c r="D664" s="884" t="s">
        <v>1005</v>
      </c>
      <c r="E664" s="655" t="s">
        <v>3212</v>
      </c>
      <c r="F664" s="645">
        <v>1282607</v>
      </c>
      <c r="G664" s="562">
        <v>1282607</v>
      </c>
      <c r="H664" s="645">
        <v>0</v>
      </c>
      <c r="I664" s="645">
        <v>0</v>
      </c>
      <c r="J664" s="562">
        <v>0</v>
      </c>
      <c r="K664" s="645">
        <v>0</v>
      </c>
      <c r="L664" s="645">
        <v>0</v>
      </c>
      <c r="M664" s="645">
        <v>0</v>
      </c>
      <c r="N664" s="645">
        <v>0</v>
      </c>
      <c r="O664" s="451"/>
    </row>
    <row r="665" spans="1:15" s="175" customFormat="1" ht="12" customHeight="1" x14ac:dyDescent="0.2">
      <c r="A665" s="188"/>
      <c r="B665" s="883"/>
      <c r="C665" s="884"/>
      <c r="D665" s="884" t="s">
        <v>1005</v>
      </c>
      <c r="E665" s="655" t="s">
        <v>195</v>
      </c>
      <c r="F665" s="645">
        <v>1472185</v>
      </c>
      <c r="G665" s="562">
        <v>1472185</v>
      </c>
      <c r="H665" s="645">
        <v>0</v>
      </c>
      <c r="I665" s="645">
        <v>0</v>
      </c>
      <c r="J665" s="562">
        <v>0</v>
      </c>
      <c r="K665" s="645">
        <v>0</v>
      </c>
      <c r="L665" s="645">
        <v>0</v>
      </c>
      <c r="M665" s="645">
        <v>0</v>
      </c>
      <c r="N665" s="645">
        <v>0</v>
      </c>
      <c r="O665" s="451"/>
    </row>
    <row r="666" spans="1:15" s="175" customFormat="1" ht="12" customHeight="1" x14ac:dyDescent="0.2">
      <c r="A666" s="188"/>
      <c r="B666" s="883"/>
      <c r="C666" s="884" t="s">
        <v>1939</v>
      </c>
      <c r="D666" s="884" t="s">
        <v>2608</v>
      </c>
      <c r="E666" s="655" t="s">
        <v>26</v>
      </c>
      <c r="F666" s="645">
        <v>94845335</v>
      </c>
      <c r="G666" s="562">
        <v>94845335</v>
      </c>
      <c r="H666" s="645">
        <v>0</v>
      </c>
      <c r="I666" s="645">
        <v>0</v>
      </c>
      <c r="J666" s="562">
        <v>0</v>
      </c>
      <c r="K666" s="645">
        <v>0</v>
      </c>
      <c r="L666" s="645">
        <v>0</v>
      </c>
      <c r="M666" s="645">
        <v>0</v>
      </c>
      <c r="N666" s="645">
        <v>0</v>
      </c>
      <c r="O666" s="451"/>
    </row>
    <row r="667" spans="1:15" s="175" customFormat="1" ht="12" hidden="1" customHeight="1" x14ac:dyDescent="0.2">
      <c r="A667" s="188"/>
      <c r="B667" s="883"/>
      <c r="C667" s="884"/>
      <c r="D667" s="884" t="s">
        <v>2608</v>
      </c>
      <c r="E667" s="655" t="s">
        <v>2601</v>
      </c>
      <c r="F667" s="645">
        <v>200000000</v>
      </c>
      <c r="G667" s="562">
        <v>67580000</v>
      </c>
      <c r="H667" s="645">
        <v>132420000</v>
      </c>
      <c r="I667" s="645">
        <v>0</v>
      </c>
      <c r="J667" s="562">
        <v>132420000</v>
      </c>
      <c r="K667" s="645">
        <v>0</v>
      </c>
      <c r="L667" s="645">
        <v>0</v>
      </c>
      <c r="M667" s="645">
        <v>0</v>
      </c>
      <c r="N667" s="645">
        <v>132420000</v>
      </c>
      <c r="O667" s="451"/>
    </row>
    <row r="668" spans="1:15" s="175" customFormat="1" ht="12" customHeight="1" x14ac:dyDescent="0.2">
      <c r="A668" s="188"/>
      <c r="B668" s="883"/>
      <c r="C668" s="884"/>
      <c r="D668" s="884" t="s">
        <v>2608</v>
      </c>
      <c r="E668" s="655" t="s">
        <v>1221</v>
      </c>
      <c r="F668" s="645">
        <v>1512675</v>
      </c>
      <c r="G668" s="562">
        <v>1512675</v>
      </c>
      <c r="H668" s="645">
        <v>0</v>
      </c>
      <c r="I668" s="645">
        <v>0</v>
      </c>
      <c r="J668" s="562">
        <v>0</v>
      </c>
      <c r="K668" s="645">
        <v>0</v>
      </c>
      <c r="L668" s="645">
        <v>0</v>
      </c>
      <c r="M668" s="645">
        <v>0</v>
      </c>
      <c r="N668" s="645">
        <v>0</v>
      </c>
      <c r="O668" s="451"/>
    </row>
    <row r="669" spans="1:15" s="175" customFormat="1" ht="12" customHeight="1" x14ac:dyDescent="0.2">
      <c r="A669" s="188"/>
      <c r="B669" s="883"/>
      <c r="C669" s="884" t="s">
        <v>1940</v>
      </c>
      <c r="D669" s="884" t="s">
        <v>1658</v>
      </c>
      <c r="E669" s="655" t="s">
        <v>26</v>
      </c>
      <c r="F669" s="645">
        <v>116346000</v>
      </c>
      <c r="G669" s="562">
        <v>116346000</v>
      </c>
      <c r="H669" s="645">
        <v>0</v>
      </c>
      <c r="I669" s="645">
        <v>0</v>
      </c>
      <c r="J669" s="562">
        <v>0</v>
      </c>
      <c r="K669" s="645">
        <v>0</v>
      </c>
      <c r="L669" s="645">
        <v>0</v>
      </c>
      <c r="M669" s="645">
        <v>0</v>
      </c>
      <c r="N669" s="645">
        <v>0</v>
      </c>
      <c r="O669" s="451"/>
    </row>
    <row r="670" spans="1:15" s="175" customFormat="1" ht="12" hidden="1" customHeight="1" x14ac:dyDescent="0.2">
      <c r="A670" s="188"/>
      <c r="B670" s="883"/>
      <c r="C670" s="884"/>
      <c r="D670" s="884" t="s">
        <v>1658</v>
      </c>
      <c r="E670" s="655" t="s">
        <v>1557</v>
      </c>
      <c r="F670" s="645">
        <v>271266500</v>
      </c>
      <c r="G670" s="562">
        <v>271266500</v>
      </c>
      <c r="H670" s="645">
        <v>0</v>
      </c>
      <c r="I670" s="645">
        <v>0</v>
      </c>
      <c r="J670" s="562">
        <v>0</v>
      </c>
      <c r="K670" s="645">
        <v>0</v>
      </c>
      <c r="L670" s="645">
        <v>0</v>
      </c>
      <c r="M670" s="645">
        <v>0</v>
      </c>
      <c r="N670" s="645">
        <v>0</v>
      </c>
      <c r="O670" s="451"/>
    </row>
    <row r="671" spans="1:15" s="175" customFormat="1" ht="12" customHeight="1" x14ac:dyDescent="0.2">
      <c r="A671" s="188"/>
      <c r="B671" s="883"/>
      <c r="C671" s="884"/>
      <c r="D671" s="884" t="s">
        <v>1658</v>
      </c>
      <c r="E671" s="655" t="s">
        <v>3212</v>
      </c>
      <c r="F671" s="645">
        <v>1305528</v>
      </c>
      <c r="G671" s="562">
        <v>0</v>
      </c>
      <c r="H671" s="645">
        <v>1305528</v>
      </c>
      <c r="I671" s="645">
        <v>0</v>
      </c>
      <c r="J671" s="562">
        <v>1305528</v>
      </c>
      <c r="K671" s="645">
        <v>0</v>
      </c>
      <c r="L671" s="645">
        <v>0</v>
      </c>
      <c r="M671" s="645">
        <v>1305528</v>
      </c>
      <c r="N671" s="645">
        <v>0</v>
      </c>
      <c r="O671" s="451"/>
    </row>
    <row r="672" spans="1:15" s="175" customFormat="1" ht="12" customHeight="1" x14ac:dyDescent="0.2">
      <c r="A672" s="188"/>
      <c r="B672" s="883"/>
      <c r="C672" s="884" t="s">
        <v>1941</v>
      </c>
      <c r="D672" s="884" t="s">
        <v>994</v>
      </c>
      <c r="E672" s="655" t="s">
        <v>26</v>
      </c>
      <c r="F672" s="645">
        <v>337931017</v>
      </c>
      <c r="G672" s="562">
        <v>337931017</v>
      </c>
      <c r="H672" s="645">
        <v>0</v>
      </c>
      <c r="I672" s="645">
        <v>0</v>
      </c>
      <c r="J672" s="562">
        <v>0</v>
      </c>
      <c r="K672" s="645">
        <v>0</v>
      </c>
      <c r="L672" s="645">
        <v>0</v>
      </c>
      <c r="M672" s="645">
        <v>0</v>
      </c>
      <c r="N672" s="645">
        <v>0</v>
      </c>
      <c r="O672" s="451"/>
    </row>
    <row r="673" spans="1:15" s="175" customFormat="1" ht="12" customHeight="1" x14ac:dyDescent="0.2">
      <c r="A673" s="188"/>
      <c r="B673" s="883"/>
      <c r="C673" s="884"/>
      <c r="D673" s="884" t="s">
        <v>994</v>
      </c>
      <c r="E673" s="655" t="s">
        <v>3212</v>
      </c>
      <c r="F673" s="645">
        <v>74946</v>
      </c>
      <c r="G673" s="562">
        <v>74946</v>
      </c>
      <c r="H673" s="645">
        <v>0</v>
      </c>
      <c r="I673" s="645">
        <v>0</v>
      </c>
      <c r="J673" s="562">
        <v>0</v>
      </c>
      <c r="K673" s="645">
        <v>0</v>
      </c>
      <c r="L673" s="645">
        <v>0</v>
      </c>
      <c r="M673" s="645">
        <v>0</v>
      </c>
      <c r="N673" s="645">
        <v>0</v>
      </c>
      <c r="O673" s="451"/>
    </row>
    <row r="674" spans="1:15" s="175" customFormat="1" ht="12" customHeight="1" x14ac:dyDescent="0.2">
      <c r="A674" s="188"/>
      <c r="B674" s="883"/>
      <c r="C674" s="884"/>
      <c r="D674" s="884" t="s">
        <v>994</v>
      </c>
      <c r="E674" s="655" t="s">
        <v>1221</v>
      </c>
      <c r="F674" s="645">
        <v>1931850</v>
      </c>
      <c r="G674" s="562">
        <v>1931850</v>
      </c>
      <c r="H674" s="645">
        <v>0</v>
      </c>
      <c r="I674" s="645">
        <v>0</v>
      </c>
      <c r="J674" s="562">
        <v>0</v>
      </c>
      <c r="K674" s="645">
        <v>0</v>
      </c>
      <c r="L674" s="645">
        <v>0</v>
      </c>
      <c r="M674" s="645">
        <v>0</v>
      </c>
      <c r="N674" s="645">
        <v>0</v>
      </c>
      <c r="O674" s="451"/>
    </row>
    <row r="675" spans="1:15" s="175" customFormat="1" ht="12" customHeight="1" x14ac:dyDescent="0.2">
      <c r="A675" s="188"/>
      <c r="B675" s="883"/>
      <c r="C675" s="884" t="s">
        <v>1942</v>
      </c>
      <c r="D675" s="884" t="s">
        <v>1657</v>
      </c>
      <c r="E675" s="655" t="s">
        <v>26</v>
      </c>
      <c r="F675" s="645">
        <v>120262362</v>
      </c>
      <c r="G675" s="562">
        <v>120262362</v>
      </c>
      <c r="H675" s="645">
        <v>0</v>
      </c>
      <c r="I675" s="645">
        <v>0</v>
      </c>
      <c r="J675" s="562">
        <v>0</v>
      </c>
      <c r="K675" s="645">
        <v>0</v>
      </c>
      <c r="L675" s="645">
        <v>0</v>
      </c>
      <c r="M675" s="645">
        <v>0</v>
      </c>
      <c r="N675" s="645">
        <v>0</v>
      </c>
      <c r="O675" s="451"/>
    </row>
    <row r="676" spans="1:15" s="175" customFormat="1" ht="12" hidden="1" customHeight="1" x14ac:dyDescent="0.2">
      <c r="A676" s="188"/>
      <c r="B676" s="883"/>
      <c r="C676" s="884"/>
      <c r="D676" s="884" t="s">
        <v>1657</v>
      </c>
      <c r="E676" s="655" t="s">
        <v>1557</v>
      </c>
      <c r="F676" s="645">
        <v>225386838</v>
      </c>
      <c r="G676" s="562">
        <v>225386838</v>
      </c>
      <c r="H676" s="645">
        <v>0</v>
      </c>
      <c r="I676" s="645">
        <v>0</v>
      </c>
      <c r="J676" s="562">
        <v>0</v>
      </c>
      <c r="K676" s="645">
        <v>0</v>
      </c>
      <c r="L676" s="645">
        <v>0</v>
      </c>
      <c r="M676" s="645">
        <v>0</v>
      </c>
      <c r="N676" s="645">
        <v>0</v>
      </c>
      <c r="O676" s="451"/>
    </row>
    <row r="677" spans="1:15" s="175" customFormat="1" ht="12" customHeight="1" x14ac:dyDescent="0.2">
      <c r="A677" s="188"/>
      <c r="B677" s="883"/>
      <c r="C677" s="884"/>
      <c r="D677" s="884" t="s">
        <v>1657</v>
      </c>
      <c r="E677" s="655" t="s">
        <v>822</v>
      </c>
      <c r="F677" s="645">
        <v>496346</v>
      </c>
      <c r="G677" s="562">
        <v>0</v>
      </c>
      <c r="H677" s="645">
        <v>496346</v>
      </c>
      <c r="I677" s="645">
        <v>0</v>
      </c>
      <c r="J677" s="562">
        <v>496346</v>
      </c>
      <c r="K677" s="645">
        <v>0</v>
      </c>
      <c r="L677" s="645">
        <v>0</v>
      </c>
      <c r="M677" s="645">
        <v>0</v>
      </c>
      <c r="N677" s="645">
        <v>496346</v>
      </c>
      <c r="O677" s="451"/>
    </row>
    <row r="678" spans="1:15" s="175" customFormat="1" ht="12" customHeight="1" x14ac:dyDescent="0.2">
      <c r="A678" s="188"/>
      <c r="B678" s="883"/>
      <c r="C678" s="884"/>
      <c r="D678" s="884" t="s">
        <v>1657</v>
      </c>
      <c r="E678" s="655" t="s">
        <v>2676</v>
      </c>
      <c r="F678" s="645">
        <v>781341</v>
      </c>
      <c r="G678" s="562">
        <v>0</v>
      </c>
      <c r="H678" s="645">
        <v>781341</v>
      </c>
      <c r="I678" s="645">
        <v>0</v>
      </c>
      <c r="J678" s="562">
        <v>781341</v>
      </c>
      <c r="K678" s="645">
        <v>0</v>
      </c>
      <c r="L678" s="645">
        <v>0</v>
      </c>
      <c r="M678" s="645">
        <v>0</v>
      </c>
      <c r="N678" s="645">
        <v>781341</v>
      </c>
      <c r="O678" s="451"/>
    </row>
    <row r="679" spans="1:15" s="175" customFormat="1" ht="12" customHeight="1" x14ac:dyDescent="0.2">
      <c r="A679" s="188"/>
      <c r="B679" s="883"/>
      <c r="C679" s="884"/>
      <c r="D679" s="884" t="s">
        <v>1657</v>
      </c>
      <c r="E679" s="655" t="s">
        <v>1221</v>
      </c>
      <c r="F679" s="645">
        <v>1931850</v>
      </c>
      <c r="G679" s="562">
        <v>1931850</v>
      </c>
      <c r="H679" s="645">
        <v>0</v>
      </c>
      <c r="I679" s="645">
        <v>0</v>
      </c>
      <c r="J679" s="562">
        <v>0</v>
      </c>
      <c r="K679" s="645">
        <v>0</v>
      </c>
      <c r="L679" s="645">
        <v>0</v>
      </c>
      <c r="M679" s="645">
        <v>0</v>
      </c>
      <c r="N679" s="645">
        <v>0</v>
      </c>
      <c r="O679" s="451"/>
    </row>
    <row r="680" spans="1:15" s="175" customFormat="1" ht="12" customHeight="1" x14ac:dyDescent="0.2">
      <c r="A680" s="188"/>
      <c r="B680" s="883"/>
      <c r="C680" s="884" t="s">
        <v>1943</v>
      </c>
      <c r="D680" s="884" t="s">
        <v>1176</v>
      </c>
      <c r="E680" s="655" t="s">
        <v>26</v>
      </c>
      <c r="F680" s="645">
        <v>114767918</v>
      </c>
      <c r="G680" s="562">
        <v>114767918</v>
      </c>
      <c r="H680" s="645">
        <v>0</v>
      </c>
      <c r="I680" s="645">
        <v>0</v>
      </c>
      <c r="J680" s="562">
        <v>0</v>
      </c>
      <c r="K680" s="645">
        <v>0</v>
      </c>
      <c r="L680" s="645">
        <v>0</v>
      </c>
      <c r="M680" s="645">
        <v>0</v>
      </c>
      <c r="N680" s="645">
        <v>0</v>
      </c>
      <c r="O680" s="451"/>
    </row>
    <row r="681" spans="1:15" s="175" customFormat="1" ht="12" hidden="1" customHeight="1" x14ac:dyDescent="0.2">
      <c r="A681" s="188"/>
      <c r="B681" s="883"/>
      <c r="C681" s="884"/>
      <c r="D681" s="884" t="s">
        <v>1176</v>
      </c>
      <c r="E681" s="655" t="s">
        <v>2601</v>
      </c>
      <c r="F681" s="645">
        <v>181081000</v>
      </c>
      <c r="G681" s="562">
        <v>181081000</v>
      </c>
      <c r="H681" s="645">
        <v>0</v>
      </c>
      <c r="I681" s="645">
        <v>0</v>
      </c>
      <c r="J681" s="562">
        <v>0</v>
      </c>
      <c r="K681" s="645">
        <v>0</v>
      </c>
      <c r="L681" s="645">
        <v>0</v>
      </c>
      <c r="M681" s="645">
        <v>0</v>
      </c>
      <c r="N681" s="645">
        <v>0</v>
      </c>
      <c r="O681" s="451"/>
    </row>
    <row r="682" spans="1:15" s="175" customFormat="1" ht="12" customHeight="1" x14ac:dyDescent="0.2">
      <c r="A682" s="188"/>
      <c r="B682" s="883"/>
      <c r="C682" s="884"/>
      <c r="D682" s="884" t="s">
        <v>1176</v>
      </c>
      <c r="E682" s="655" t="s">
        <v>2676</v>
      </c>
      <c r="F682" s="645">
        <v>1062342</v>
      </c>
      <c r="G682" s="562">
        <v>1062342</v>
      </c>
      <c r="H682" s="645">
        <v>0</v>
      </c>
      <c r="I682" s="645">
        <v>0</v>
      </c>
      <c r="J682" s="562">
        <v>0</v>
      </c>
      <c r="K682" s="645">
        <v>0</v>
      </c>
      <c r="L682" s="645">
        <v>0</v>
      </c>
      <c r="M682" s="645">
        <v>0</v>
      </c>
      <c r="N682" s="645">
        <v>0</v>
      </c>
      <c r="O682" s="451"/>
    </row>
    <row r="683" spans="1:15" s="175" customFormat="1" ht="12" customHeight="1" x14ac:dyDescent="0.2">
      <c r="A683" s="188"/>
      <c r="B683" s="883"/>
      <c r="C683" s="884" t="s">
        <v>1944</v>
      </c>
      <c r="D683" s="884" t="s">
        <v>1595</v>
      </c>
      <c r="E683" s="655" t="s">
        <v>26</v>
      </c>
      <c r="F683" s="645">
        <v>128433319</v>
      </c>
      <c r="G683" s="562">
        <v>128433319</v>
      </c>
      <c r="H683" s="645">
        <v>0</v>
      </c>
      <c r="I683" s="645">
        <v>0</v>
      </c>
      <c r="J683" s="562">
        <v>0</v>
      </c>
      <c r="K683" s="645">
        <v>0</v>
      </c>
      <c r="L683" s="645">
        <v>0</v>
      </c>
      <c r="M683" s="645">
        <v>0</v>
      </c>
      <c r="N683" s="645">
        <v>0</v>
      </c>
      <c r="O683" s="451"/>
    </row>
    <row r="684" spans="1:15" s="175" customFormat="1" ht="12" hidden="1" customHeight="1" x14ac:dyDescent="0.2">
      <c r="A684" s="188"/>
      <c r="B684" s="883"/>
      <c r="C684" s="884"/>
      <c r="D684" s="884" t="s">
        <v>1595</v>
      </c>
      <c r="E684" s="655" t="s">
        <v>1557</v>
      </c>
      <c r="F684" s="645">
        <v>250516000</v>
      </c>
      <c r="G684" s="562">
        <v>250516000</v>
      </c>
      <c r="H684" s="645">
        <v>0</v>
      </c>
      <c r="I684" s="645">
        <v>0</v>
      </c>
      <c r="J684" s="562">
        <v>0</v>
      </c>
      <c r="K684" s="645">
        <v>0</v>
      </c>
      <c r="L684" s="645">
        <v>0</v>
      </c>
      <c r="M684" s="645">
        <v>0</v>
      </c>
      <c r="N684" s="645">
        <v>0</v>
      </c>
      <c r="O684" s="451"/>
    </row>
    <row r="685" spans="1:15" s="175" customFormat="1" ht="12" customHeight="1" x14ac:dyDescent="0.2">
      <c r="A685" s="188"/>
      <c r="B685" s="883"/>
      <c r="C685" s="884"/>
      <c r="D685" s="884" t="s">
        <v>1595</v>
      </c>
      <c r="E685" s="655" t="s">
        <v>822</v>
      </c>
      <c r="F685" s="645">
        <v>543897</v>
      </c>
      <c r="G685" s="562">
        <v>543897</v>
      </c>
      <c r="H685" s="645">
        <v>0</v>
      </c>
      <c r="I685" s="645">
        <v>0</v>
      </c>
      <c r="J685" s="562">
        <v>0</v>
      </c>
      <c r="K685" s="645">
        <v>0</v>
      </c>
      <c r="L685" s="645">
        <v>0</v>
      </c>
      <c r="M685" s="645">
        <v>0</v>
      </c>
      <c r="N685" s="645">
        <v>0</v>
      </c>
      <c r="O685" s="451"/>
    </row>
    <row r="686" spans="1:15" s="175" customFormat="1" ht="12" customHeight="1" x14ac:dyDescent="0.2">
      <c r="A686" s="188"/>
      <c r="B686" s="883"/>
      <c r="C686" s="884"/>
      <c r="D686" s="884" t="s">
        <v>1595</v>
      </c>
      <c r="E686" s="655" t="s">
        <v>3212</v>
      </c>
      <c r="F686" s="645">
        <v>1358242</v>
      </c>
      <c r="G686" s="562">
        <v>1358242</v>
      </c>
      <c r="H686" s="645">
        <v>0</v>
      </c>
      <c r="I686" s="645">
        <v>0</v>
      </c>
      <c r="J686" s="562">
        <v>0</v>
      </c>
      <c r="K686" s="645">
        <v>0</v>
      </c>
      <c r="L686" s="645">
        <v>0</v>
      </c>
      <c r="M686" s="645">
        <v>0</v>
      </c>
      <c r="N686" s="645">
        <v>0</v>
      </c>
      <c r="O686" s="451"/>
    </row>
    <row r="687" spans="1:15" s="175" customFormat="1" ht="12" customHeight="1" x14ac:dyDescent="0.2">
      <c r="A687" s="188"/>
      <c r="B687" s="883"/>
      <c r="C687" s="884"/>
      <c r="D687" s="884" t="s">
        <v>1595</v>
      </c>
      <c r="E687" s="655" t="s">
        <v>2676</v>
      </c>
      <c r="F687" s="645">
        <v>556868</v>
      </c>
      <c r="G687" s="562">
        <v>0</v>
      </c>
      <c r="H687" s="645">
        <v>556868</v>
      </c>
      <c r="I687" s="645">
        <v>0</v>
      </c>
      <c r="J687" s="562">
        <v>556868</v>
      </c>
      <c r="K687" s="645">
        <v>556868</v>
      </c>
      <c r="L687" s="645">
        <v>0</v>
      </c>
      <c r="M687" s="645">
        <v>0</v>
      </c>
      <c r="N687" s="645">
        <v>0</v>
      </c>
      <c r="O687" s="451"/>
    </row>
    <row r="688" spans="1:15" s="175" customFormat="1" ht="12" customHeight="1" x14ac:dyDescent="0.2">
      <c r="A688" s="188"/>
      <c r="B688" s="883"/>
      <c r="C688" s="884"/>
      <c r="D688" s="884" t="s">
        <v>1595</v>
      </c>
      <c r="E688" s="655" t="s">
        <v>1221</v>
      </c>
      <c r="F688" s="645">
        <v>1931850</v>
      </c>
      <c r="G688" s="562">
        <v>1931850</v>
      </c>
      <c r="H688" s="645">
        <v>0</v>
      </c>
      <c r="I688" s="645">
        <v>0</v>
      </c>
      <c r="J688" s="562">
        <v>0</v>
      </c>
      <c r="K688" s="645">
        <v>0</v>
      </c>
      <c r="L688" s="645">
        <v>0</v>
      </c>
      <c r="M688" s="645">
        <v>0</v>
      </c>
      <c r="N688" s="645">
        <v>0</v>
      </c>
      <c r="O688" s="451"/>
    </row>
    <row r="689" spans="1:15" s="175" customFormat="1" ht="12" customHeight="1" x14ac:dyDescent="0.2">
      <c r="A689" s="188"/>
      <c r="B689" s="883"/>
      <c r="C689" s="884" t="s">
        <v>1945</v>
      </c>
      <c r="D689" s="884" t="s">
        <v>1659</v>
      </c>
      <c r="E689" s="655" t="s">
        <v>26</v>
      </c>
      <c r="F689" s="645">
        <v>201994795</v>
      </c>
      <c r="G689" s="562">
        <v>201994795</v>
      </c>
      <c r="H689" s="645">
        <v>0</v>
      </c>
      <c r="I689" s="645">
        <v>0</v>
      </c>
      <c r="J689" s="562">
        <v>0</v>
      </c>
      <c r="K689" s="645">
        <v>0</v>
      </c>
      <c r="L689" s="645">
        <v>0</v>
      </c>
      <c r="M689" s="645">
        <v>0</v>
      </c>
      <c r="N689" s="645">
        <v>0</v>
      </c>
      <c r="O689" s="451"/>
    </row>
    <row r="690" spans="1:15" s="175" customFormat="1" ht="12" hidden="1" customHeight="1" x14ac:dyDescent="0.2">
      <c r="A690" s="188"/>
      <c r="B690" s="883"/>
      <c r="C690" s="884"/>
      <c r="D690" s="884" t="s">
        <v>1659</v>
      </c>
      <c r="E690" s="655" t="s">
        <v>1557</v>
      </c>
      <c r="F690" s="645">
        <v>140000000</v>
      </c>
      <c r="G690" s="562">
        <v>140000000</v>
      </c>
      <c r="H690" s="645">
        <v>0</v>
      </c>
      <c r="I690" s="645">
        <v>0</v>
      </c>
      <c r="J690" s="562">
        <v>0</v>
      </c>
      <c r="K690" s="645">
        <v>0</v>
      </c>
      <c r="L690" s="645">
        <v>0</v>
      </c>
      <c r="M690" s="645">
        <v>0</v>
      </c>
      <c r="N690" s="645">
        <v>0</v>
      </c>
      <c r="O690" s="451"/>
    </row>
    <row r="691" spans="1:15" s="175" customFormat="1" ht="12" customHeight="1" x14ac:dyDescent="0.2">
      <c r="A691" s="188"/>
      <c r="B691" s="883"/>
      <c r="C691" s="884"/>
      <c r="D691" s="884" t="s">
        <v>1659</v>
      </c>
      <c r="E691" s="655" t="s">
        <v>822</v>
      </c>
      <c r="F691" s="645">
        <v>543898</v>
      </c>
      <c r="G691" s="562">
        <v>0</v>
      </c>
      <c r="H691" s="645">
        <v>543898</v>
      </c>
      <c r="I691" s="645">
        <v>0</v>
      </c>
      <c r="J691" s="562">
        <v>543898</v>
      </c>
      <c r="K691" s="645">
        <v>0</v>
      </c>
      <c r="L691" s="645">
        <v>543898</v>
      </c>
      <c r="M691" s="645">
        <v>0</v>
      </c>
      <c r="N691" s="645">
        <v>0</v>
      </c>
      <c r="O691" s="451"/>
    </row>
    <row r="692" spans="1:15" s="175" customFormat="1" ht="12" customHeight="1" x14ac:dyDescent="0.2">
      <c r="A692" s="188"/>
      <c r="B692" s="883"/>
      <c r="C692" s="884"/>
      <c r="D692" s="884" t="s">
        <v>1659</v>
      </c>
      <c r="E692" s="655" t="s">
        <v>3212</v>
      </c>
      <c r="F692" s="645">
        <v>1318193</v>
      </c>
      <c r="G692" s="562">
        <v>1318193</v>
      </c>
      <c r="H692" s="645">
        <v>0</v>
      </c>
      <c r="I692" s="645">
        <v>0</v>
      </c>
      <c r="J692" s="562">
        <v>0</v>
      </c>
      <c r="K692" s="645">
        <v>0</v>
      </c>
      <c r="L692" s="645">
        <v>0</v>
      </c>
      <c r="M692" s="645">
        <v>0</v>
      </c>
      <c r="N692" s="645">
        <v>0</v>
      </c>
      <c r="O692" s="451"/>
    </row>
    <row r="693" spans="1:15" s="175" customFormat="1" ht="12" customHeight="1" x14ac:dyDescent="0.2">
      <c r="A693" s="188"/>
      <c r="B693" s="883"/>
      <c r="C693" s="884" t="s">
        <v>1946</v>
      </c>
      <c r="D693" s="884" t="s">
        <v>1712</v>
      </c>
      <c r="E693" s="655" t="s">
        <v>26</v>
      </c>
      <c r="F693" s="645">
        <v>104240220</v>
      </c>
      <c r="G693" s="562">
        <v>104240220</v>
      </c>
      <c r="H693" s="645">
        <v>0</v>
      </c>
      <c r="I693" s="645">
        <v>0</v>
      </c>
      <c r="J693" s="562">
        <v>0</v>
      </c>
      <c r="K693" s="645">
        <v>0</v>
      </c>
      <c r="L693" s="645">
        <v>0</v>
      </c>
      <c r="M693" s="645">
        <v>0</v>
      </c>
      <c r="N693" s="645">
        <v>0</v>
      </c>
      <c r="O693" s="451"/>
    </row>
    <row r="694" spans="1:15" s="175" customFormat="1" ht="12" hidden="1" customHeight="1" x14ac:dyDescent="0.2">
      <c r="A694" s="188"/>
      <c r="B694" s="883"/>
      <c r="C694" s="884"/>
      <c r="D694" s="884" t="s">
        <v>1712</v>
      </c>
      <c r="E694" s="655" t="s">
        <v>2601</v>
      </c>
      <c r="F694" s="645">
        <v>243227180</v>
      </c>
      <c r="G694" s="562">
        <v>243227180</v>
      </c>
      <c r="H694" s="645">
        <v>0</v>
      </c>
      <c r="I694" s="645">
        <v>0</v>
      </c>
      <c r="J694" s="562">
        <v>0</v>
      </c>
      <c r="K694" s="645">
        <v>0</v>
      </c>
      <c r="L694" s="645">
        <v>0</v>
      </c>
      <c r="M694" s="645">
        <v>0</v>
      </c>
      <c r="N694" s="645">
        <v>0</v>
      </c>
      <c r="O694" s="451"/>
    </row>
    <row r="695" spans="1:15" s="175" customFormat="1" ht="12" customHeight="1" x14ac:dyDescent="0.2">
      <c r="A695" s="188"/>
      <c r="B695" s="883"/>
      <c r="C695" s="884"/>
      <c r="D695" s="884" t="s">
        <v>1712</v>
      </c>
      <c r="E695" s="655" t="s">
        <v>195</v>
      </c>
      <c r="F695" s="645">
        <v>229890</v>
      </c>
      <c r="G695" s="562">
        <v>229890</v>
      </c>
      <c r="H695" s="645">
        <v>0</v>
      </c>
      <c r="I695" s="645">
        <v>0</v>
      </c>
      <c r="J695" s="562">
        <v>0</v>
      </c>
      <c r="K695" s="645">
        <v>0</v>
      </c>
      <c r="L695" s="645">
        <v>0</v>
      </c>
      <c r="M695" s="645">
        <v>0</v>
      </c>
      <c r="N695" s="645">
        <v>0</v>
      </c>
      <c r="O695" s="451"/>
    </row>
    <row r="696" spans="1:15" s="175" customFormat="1" ht="12" customHeight="1" x14ac:dyDescent="0.2">
      <c r="A696" s="188"/>
      <c r="B696" s="883"/>
      <c r="C696" s="884"/>
      <c r="D696" s="884" t="s">
        <v>1712</v>
      </c>
      <c r="E696" s="655" t="s">
        <v>1221</v>
      </c>
      <c r="F696" s="645">
        <v>1931850</v>
      </c>
      <c r="G696" s="562">
        <v>1931850</v>
      </c>
      <c r="H696" s="645">
        <v>0</v>
      </c>
      <c r="I696" s="645">
        <v>0</v>
      </c>
      <c r="J696" s="562">
        <v>0</v>
      </c>
      <c r="K696" s="645">
        <v>0</v>
      </c>
      <c r="L696" s="645">
        <v>0</v>
      </c>
      <c r="M696" s="645">
        <v>0</v>
      </c>
      <c r="N696" s="645">
        <v>0</v>
      </c>
      <c r="O696" s="451"/>
    </row>
    <row r="697" spans="1:15" s="175" customFormat="1" ht="12" customHeight="1" x14ac:dyDescent="0.2">
      <c r="A697" s="188"/>
      <c r="B697" s="883"/>
      <c r="C697" s="884" t="s">
        <v>1947</v>
      </c>
      <c r="D697" s="884" t="s">
        <v>3214</v>
      </c>
      <c r="E697" s="655" t="s">
        <v>26</v>
      </c>
      <c r="F697" s="645">
        <v>206375704</v>
      </c>
      <c r="G697" s="562">
        <v>206375704</v>
      </c>
      <c r="H697" s="645">
        <v>0</v>
      </c>
      <c r="I697" s="645">
        <v>0</v>
      </c>
      <c r="J697" s="562">
        <v>0</v>
      </c>
      <c r="K697" s="645">
        <v>0</v>
      </c>
      <c r="L697" s="645">
        <v>0</v>
      </c>
      <c r="M697" s="645">
        <v>0</v>
      </c>
      <c r="N697" s="645">
        <v>0</v>
      </c>
      <c r="O697" s="451"/>
    </row>
    <row r="698" spans="1:15" s="175" customFormat="1" ht="12" customHeight="1" x14ac:dyDescent="0.2">
      <c r="A698" s="188"/>
      <c r="B698" s="883"/>
      <c r="C698" s="884"/>
      <c r="D698" s="884" t="s">
        <v>3214</v>
      </c>
      <c r="E698" s="655" t="s">
        <v>22</v>
      </c>
      <c r="F698" s="645">
        <v>10080975</v>
      </c>
      <c r="G698" s="562">
        <v>10080975</v>
      </c>
      <c r="H698" s="645">
        <v>0</v>
      </c>
      <c r="I698" s="645">
        <v>0</v>
      </c>
      <c r="J698" s="562">
        <v>0</v>
      </c>
      <c r="K698" s="645">
        <v>0</v>
      </c>
      <c r="L698" s="645">
        <v>0</v>
      </c>
      <c r="M698" s="645">
        <v>0</v>
      </c>
      <c r="N698" s="645">
        <v>0</v>
      </c>
      <c r="O698" s="451"/>
    </row>
    <row r="699" spans="1:15" s="175" customFormat="1" ht="12" hidden="1" customHeight="1" x14ac:dyDescent="0.2">
      <c r="A699" s="188"/>
      <c r="B699" s="883"/>
      <c r="C699" s="884"/>
      <c r="D699" s="884" t="s">
        <v>3214</v>
      </c>
      <c r="E699" s="655" t="s">
        <v>2601</v>
      </c>
      <c r="F699" s="645">
        <v>82443333</v>
      </c>
      <c r="G699" s="562">
        <v>82443333</v>
      </c>
      <c r="H699" s="645">
        <v>0</v>
      </c>
      <c r="I699" s="645">
        <v>0</v>
      </c>
      <c r="J699" s="562">
        <v>0</v>
      </c>
      <c r="K699" s="645">
        <v>0</v>
      </c>
      <c r="L699" s="645">
        <v>0</v>
      </c>
      <c r="M699" s="645">
        <v>0</v>
      </c>
      <c r="N699" s="645">
        <v>0</v>
      </c>
      <c r="O699" s="451"/>
    </row>
    <row r="700" spans="1:15" s="175" customFormat="1" ht="12" customHeight="1" x14ac:dyDescent="0.2">
      <c r="A700" s="188"/>
      <c r="B700" s="883"/>
      <c r="C700" s="884"/>
      <c r="D700" s="884" t="s">
        <v>3214</v>
      </c>
      <c r="E700" s="655" t="s">
        <v>2676</v>
      </c>
      <c r="F700" s="645">
        <v>596667</v>
      </c>
      <c r="G700" s="562">
        <v>596667</v>
      </c>
      <c r="H700" s="645">
        <v>0</v>
      </c>
      <c r="I700" s="645">
        <v>0</v>
      </c>
      <c r="J700" s="562">
        <v>0</v>
      </c>
      <c r="K700" s="645">
        <v>0</v>
      </c>
      <c r="L700" s="645">
        <v>0</v>
      </c>
      <c r="M700" s="645">
        <v>0</v>
      </c>
      <c r="N700" s="645">
        <v>0</v>
      </c>
      <c r="O700" s="451"/>
    </row>
    <row r="701" spans="1:15" s="175" customFormat="1" ht="12" customHeight="1" x14ac:dyDescent="0.2">
      <c r="A701" s="188"/>
      <c r="B701" s="883"/>
      <c r="C701" s="884" t="s">
        <v>1948</v>
      </c>
      <c r="D701" s="884" t="s">
        <v>3487</v>
      </c>
      <c r="E701" s="655" t="s">
        <v>26</v>
      </c>
      <c r="F701" s="645">
        <v>346246000</v>
      </c>
      <c r="G701" s="562">
        <v>346246000</v>
      </c>
      <c r="H701" s="645">
        <v>0</v>
      </c>
      <c r="I701" s="645">
        <v>0</v>
      </c>
      <c r="J701" s="562">
        <v>0</v>
      </c>
      <c r="K701" s="645">
        <v>0</v>
      </c>
      <c r="L701" s="645">
        <v>0</v>
      </c>
      <c r="M701" s="645">
        <v>0</v>
      </c>
      <c r="N701" s="645">
        <v>0</v>
      </c>
      <c r="O701" s="451"/>
    </row>
    <row r="702" spans="1:15" s="175" customFormat="1" ht="12" customHeight="1" x14ac:dyDescent="0.2">
      <c r="A702" s="188"/>
      <c r="B702" s="883"/>
      <c r="C702" s="884"/>
      <c r="D702" s="884" t="s">
        <v>3487</v>
      </c>
      <c r="E702" s="655" t="s">
        <v>3212</v>
      </c>
      <c r="F702" s="645">
        <v>1815998</v>
      </c>
      <c r="G702" s="562">
        <v>1815998</v>
      </c>
      <c r="H702" s="645">
        <v>0</v>
      </c>
      <c r="I702" s="645">
        <v>0</v>
      </c>
      <c r="J702" s="562">
        <v>0</v>
      </c>
      <c r="K702" s="645">
        <v>0</v>
      </c>
      <c r="L702" s="645">
        <v>0</v>
      </c>
      <c r="M702" s="645">
        <v>0</v>
      </c>
      <c r="N702" s="645">
        <v>0</v>
      </c>
      <c r="O702" s="451"/>
    </row>
    <row r="703" spans="1:15" s="175" customFormat="1" ht="12" customHeight="1" x14ac:dyDescent="0.2">
      <c r="A703" s="188"/>
      <c r="B703" s="883"/>
      <c r="C703" s="884"/>
      <c r="D703" s="884" t="s">
        <v>3487</v>
      </c>
      <c r="E703" s="655" t="s">
        <v>195</v>
      </c>
      <c r="F703" s="645">
        <v>1143324</v>
      </c>
      <c r="G703" s="562">
        <v>1143324</v>
      </c>
      <c r="H703" s="645">
        <v>0</v>
      </c>
      <c r="I703" s="645">
        <v>0</v>
      </c>
      <c r="J703" s="562">
        <v>0</v>
      </c>
      <c r="K703" s="645">
        <v>0</v>
      </c>
      <c r="L703" s="645">
        <v>0</v>
      </c>
      <c r="M703" s="645">
        <v>0</v>
      </c>
      <c r="N703" s="645">
        <v>0</v>
      </c>
      <c r="O703" s="451"/>
    </row>
    <row r="704" spans="1:15" s="175" customFormat="1" ht="12" customHeight="1" x14ac:dyDescent="0.2">
      <c r="A704" s="188"/>
      <c r="B704" s="883"/>
      <c r="C704" s="884" t="s">
        <v>1949</v>
      </c>
      <c r="D704" s="884" t="s">
        <v>3488</v>
      </c>
      <c r="E704" s="655" t="s">
        <v>26</v>
      </c>
      <c r="F704" s="645">
        <v>347518220</v>
      </c>
      <c r="G704" s="562">
        <v>347518220</v>
      </c>
      <c r="H704" s="645">
        <v>0</v>
      </c>
      <c r="I704" s="645">
        <v>0</v>
      </c>
      <c r="J704" s="562">
        <v>0</v>
      </c>
      <c r="K704" s="645">
        <v>0</v>
      </c>
      <c r="L704" s="645">
        <v>0</v>
      </c>
      <c r="M704" s="645">
        <v>0</v>
      </c>
      <c r="N704" s="645">
        <v>0</v>
      </c>
      <c r="O704" s="451"/>
    </row>
    <row r="705" spans="1:15" s="175" customFormat="1" ht="12" customHeight="1" x14ac:dyDescent="0.2">
      <c r="A705" s="188"/>
      <c r="B705" s="883"/>
      <c r="C705" s="884"/>
      <c r="D705" s="884" t="s">
        <v>3488</v>
      </c>
      <c r="E705" s="655" t="s">
        <v>195</v>
      </c>
      <c r="F705" s="645">
        <v>255260</v>
      </c>
      <c r="G705" s="562">
        <v>255260</v>
      </c>
      <c r="H705" s="645">
        <v>0</v>
      </c>
      <c r="I705" s="645">
        <v>0</v>
      </c>
      <c r="J705" s="562">
        <v>0</v>
      </c>
      <c r="K705" s="645">
        <v>0</v>
      </c>
      <c r="L705" s="645">
        <v>0</v>
      </c>
      <c r="M705" s="645">
        <v>0</v>
      </c>
      <c r="N705" s="645">
        <v>0</v>
      </c>
      <c r="O705" s="451"/>
    </row>
    <row r="706" spans="1:15" s="175" customFormat="1" ht="12" customHeight="1" x14ac:dyDescent="0.2">
      <c r="A706" s="188"/>
      <c r="B706" s="883"/>
      <c r="C706" s="884"/>
      <c r="D706" s="884" t="s">
        <v>3488</v>
      </c>
      <c r="E706" s="655" t="s">
        <v>2676</v>
      </c>
      <c r="F706" s="645">
        <v>14529623</v>
      </c>
      <c r="G706" s="562">
        <v>14529623</v>
      </c>
      <c r="H706" s="645">
        <v>0</v>
      </c>
      <c r="I706" s="645">
        <v>0</v>
      </c>
      <c r="J706" s="562">
        <v>0</v>
      </c>
      <c r="K706" s="645">
        <v>0</v>
      </c>
      <c r="L706" s="645">
        <v>0</v>
      </c>
      <c r="M706" s="645">
        <v>0</v>
      </c>
      <c r="N706" s="645">
        <v>0</v>
      </c>
      <c r="O706" s="451"/>
    </row>
    <row r="707" spans="1:15" s="175" customFormat="1" ht="12" customHeight="1" x14ac:dyDescent="0.2">
      <c r="A707" s="188"/>
      <c r="B707" s="883"/>
      <c r="C707" s="884" t="s">
        <v>1950</v>
      </c>
      <c r="D707" s="884" t="s">
        <v>1713</v>
      </c>
      <c r="E707" s="655" t="s">
        <v>26</v>
      </c>
      <c r="F707" s="645">
        <v>149152411</v>
      </c>
      <c r="G707" s="562">
        <v>149152411</v>
      </c>
      <c r="H707" s="645">
        <v>0</v>
      </c>
      <c r="I707" s="645">
        <v>0</v>
      </c>
      <c r="J707" s="562">
        <v>0</v>
      </c>
      <c r="K707" s="645">
        <v>0</v>
      </c>
      <c r="L707" s="645">
        <v>0</v>
      </c>
      <c r="M707" s="645">
        <v>0</v>
      </c>
      <c r="N707" s="645">
        <v>0</v>
      </c>
      <c r="O707" s="451"/>
    </row>
    <row r="708" spans="1:15" s="175" customFormat="1" ht="12" customHeight="1" x14ac:dyDescent="0.2">
      <c r="A708" s="188"/>
      <c r="B708" s="883"/>
      <c r="C708" s="884"/>
      <c r="D708" s="884" t="s">
        <v>1713</v>
      </c>
      <c r="E708" s="655" t="s">
        <v>198</v>
      </c>
      <c r="F708" s="645">
        <v>160000000</v>
      </c>
      <c r="G708" s="562">
        <v>160000000</v>
      </c>
      <c r="H708" s="645">
        <v>0</v>
      </c>
      <c r="I708" s="645">
        <v>0</v>
      </c>
      <c r="J708" s="562">
        <v>0</v>
      </c>
      <c r="K708" s="645">
        <v>0</v>
      </c>
      <c r="L708" s="645">
        <v>0</v>
      </c>
      <c r="M708" s="645">
        <v>0</v>
      </c>
      <c r="N708" s="645">
        <v>0</v>
      </c>
      <c r="O708" s="451"/>
    </row>
    <row r="709" spans="1:15" s="175" customFormat="1" ht="12" customHeight="1" x14ac:dyDescent="0.2">
      <c r="A709" s="188"/>
      <c r="B709" s="883"/>
      <c r="C709" s="884"/>
      <c r="D709" s="884" t="s">
        <v>1713</v>
      </c>
      <c r="E709" s="655" t="s">
        <v>195</v>
      </c>
      <c r="F709" s="645">
        <v>686871</v>
      </c>
      <c r="G709" s="562">
        <v>686871</v>
      </c>
      <c r="H709" s="645">
        <v>0</v>
      </c>
      <c r="I709" s="645">
        <v>0</v>
      </c>
      <c r="J709" s="562">
        <v>0</v>
      </c>
      <c r="K709" s="645">
        <v>0</v>
      </c>
      <c r="L709" s="645">
        <v>0</v>
      </c>
      <c r="M709" s="645">
        <v>0</v>
      </c>
      <c r="N709" s="645">
        <v>0</v>
      </c>
      <c r="O709" s="451"/>
    </row>
    <row r="710" spans="1:15" s="175" customFormat="1" ht="12" customHeight="1" x14ac:dyDescent="0.2">
      <c r="A710" s="188"/>
      <c r="B710" s="883"/>
      <c r="C710" s="884" t="s">
        <v>1951</v>
      </c>
      <c r="D710" s="884" t="s">
        <v>980</v>
      </c>
      <c r="E710" s="659" t="s">
        <v>26</v>
      </c>
      <c r="F710" s="660">
        <v>289870177</v>
      </c>
      <c r="G710" s="661">
        <v>119890596</v>
      </c>
      <c r="H710" s="660">
        <v>169979581</v>
      </c>
      <c r="I710" s="660">
        <v>129529581</v>
      </c>
      <c r="J710" s="661">
        <v>40450000</v>
      </c>
      <c r="K710" s="660">
        <v>0</v>
      </c>
      <c r="L710" s="660">
        <v>0</v>
      </c>
      <c r="M710" s="660">
        <v>40000000</v>
      </c>
      <c r="N710" s="660">
        <v>450000</v>
      </c>
      <c r="O710" s="451"/>
    </row>
    <row r="711" spans="1:15" s="175" customFormat="1" ht="12" customHeight="1" x14ac:dyDescent="0.2">
      <c r="A711" s="188"/>
      <c r="B711" s="883"/>
      <c r="C711" s="884"/>
      <c r="D711" s="884" t="s">
        <v>980</v>
      </c>
      <c r="E711" s="659" t="s">
        <v>195</v>
      </c>
      <c r="F711" s="660">
        <v>9367935</v>
      </c>
      <c r="G711" s="661">
        <v>3268114</v>
      </c>
      <c r="H711" s="660">
        <v>6099821</v>
      </c>
      <c r="I711" s="660">
        <v>4066549</v>
      </c>
      <c r="J711" s="661">
        <v>2033272</v>
      </c>
      <c r="K711" s="660">
        <v>0</v>
      </c>
      <c r="L711" s="660">
        <v>0</v>
      </c>
      <c r="M711" s="660">
        <v>1016636</v>
      </c>
      <c r="N711" s="660">
        <v>1016636</v>
      </c>
      <c r="O711" s="451"/>
    </row>
    <row r="712" spans="1:15" s="175" customFormat="1" ht="12" customHeight="1" x14ac:dyDescent="0.2">
      <c r="A712" s="188"/>
      <c r="B712" s="883"/>
      <c r="C712" s="884" t="s">
        <v>2240</v>
      </c>
      <c r="D712" s="884" t="s">
        <v>2241</v>
      </c>
      <c r="E712" s="659" t="s">
        <v>26</v>
      </c>
      <c r="F712" s="660">
        <v>106129690</v>
      </c>
      <c r="G712" s="661">
        <v>106129690</v>
      </c>
      <c r="H712" s="660">
        <v>0</v>
      </c>
      <c r="I712" s="660">
        <v>0</v>
      </c>
      <c r="J712" s="661">
        <v>0</v>
      </c>
      <c r="K712" s="660">
        <v>0</v>
      </c>
      <c r="L712" s="660">
        <v>0</v>
      </c>
      <c r="M712" s="660">
        <v>0</v>
      </c>
      <c r="N712" s="660">
        <v>0</v>
      </c>
      <c r="O712" s="451"/>
    </row>
    <row r="713" spans="1:15" s="175" customFormat="1" ht="12" hidden="1" customHeight="1" x14ac:dyDescent="0.2">
      <c r="A713" s="188"/>
      <c r="B713" s="883"/>
      <c r="C713" s="884"/>
      <c r="D713" s="884" t="s">
        <v>2241</v>
      </c>
      <c r="E713" s="659" t="s">
        <v>1557</v>
      </c>
      <c r="F713" s="660">
        <v>273130480</v>
      </c>
      <c r="G713" s="661">
        <v>273130480</v>
      </c>
      <c r="H713" s="660">
        <v>0</v>
      </c>
      <c r="I713" s="660">
        <v>0</v>
      </c>
      <c r="J713" s="661">
        <v>0</v>
      </c>
      <c r="K713" s="660">
        <v>0</v>
      </c>
      <c r="L713" s="660">
        <v>0</v>
      </c>
      <c r="M713" s="660">
        <v>0</v>
      </c>
      <c r="N713" s="660">
        <v>0</v>
      </c>
      <c r="O713" s="451"/>
    </row>
    <row r="714" spans="1:15" s="175" customFormat="1" ht="12" customHeight="1" x14ac:dyDescent="0.2">
      <c r="A714" s="188"/>
      <c r="B714" s="883"/>
      <c r="C714" s="884"/>
      <c r="D714" s="884" t="s">
        <v>2241</v>
      </c>
      <c r="E714" s="659" t="s">
        <v>822</v>
      </c>
      <c r="F714" s="660">
        <v>558128</v>
      </c>
      <c r="G714" s="661">
        <v>558128</v>
      </c>
      <c r="H714" s="660">
        <v>0</v>
      </c>
      <c r="I714" s="660">
        <v>0</v>
      </c>
      <c r="J714" s="661">
        <v>0</v>
      </c>
      <c r="K714" s="660">
        <v>0</v>
      </c>
      <c r="L714" s="660">
        <v>0</v>
      </c>
      <c r="M714" s="660">
        <v>0</v>
      </c>
      <c r="N714" s="660">
        <v>0</v>
      </c>
      <c r="O714" s="451"/>
    </row>
    <row r="715" spans="1:15" s="175" customFormat="1" ht="12" customHeight="1" x14ac:dyDescent="0.2">
      <c r="A715" s="188"/>
      <c r="B715" s="883"/>
      <c r="C715" s="884"/>
      <c r="D715" s="884" t="s">
        <v>2241</v>
      </c>
      <c r="E715" s="659" t="s">
        <v>1221</v>
      </c>
      <c r="F715" s="660">
        <v>11584872</v>
      </c>
      <c r="G715" s="661">
        <v>11584872</v>
      </c>
      <c r="H715" s="660">
        <v>0</v>
      </c>
      <c r="I715" s="660">
        <v>0</v>
      </c>
      <c r="J715" s="661">
        <v>0</v>
      </c>
      <c r="K715" s="660">
        <v>0</v>
      </c>
      <c r="L715" s="660">
        <v>0</v>
      </c>
      <c r="M715" s="660">
        <v>0</v>
      </c>
      <c r="N715" s="660">
        <v>0</v>
      </c>
      <c r="O715" s="451"/>
    </row>
    <row r="716" spans="1:15" s="175" customFormat="1" ht="12" customHeight="1" x14ac:dyDescent="0.2">
      <c r="A716" s="188"/>
      <c r="B716" s="883"/>
      <c r="C716" s="884" t="s">
        <v>1952</v>
      </c>
      <c r="D716" s="884" t="s">
        <v>1660</v>
      </c>
      <c r="E716" s="659" t="s">
        <v>26</v>
      </c>
      <c r="F716" s="660">
        <v>201277450</v>
      </c>
      <c r="G716" s="661">
        <v>201277450</v>
      </c>
      <c r="H716" s="660">
        <v>0</v>
      </c>
      <c r="I716" s="660">
        <v>0</v>
      </c>
      <c r="J716" s="661">
        <v>0</v>
      </c>
      <c r="K716" s="660">
        <v>0</v>
      </c>
      <c r="L716" s="660">
        <v>0</v>
      </c>
      <c r="M716" s="660">
        <v>0</v>
      </c>
      <c r="N716" s="660">
        <v>0</v>
      </c>
      <c r="O716" s="451"/>
    </row>
    <row r="717" spans="1:15" s="175" customFormat="1" ht="12" customHeight="1" x14ac:dyDescent="0.2">
      <c r="A717" s="188"/>
      <c r="B717" s="883"/>
      <c r="C717" s="884"/>
      <c r="D717" s="884" t="s">
        <v>1660</v>
      </c>
      <c r="E717" s="659" t="s">
        <v>900</v>
      </c>
      <c r="F717" s="660">
        <v>24000000</v>
      </c>
      <c r="G717" s="661">
        <v>24000000</v>
      </c>
      <c r="H717" s="660">
        <v>0</v>
      </c>
      <c r="I717" s="660">
        <v>0</v>
      </c>
      <c r="J717" s="661">
        <v>0</v>
      </c>
      <c r="K717" s="660">
        <v>0</v>
      </c>
      <c r="L717" s="660">
        <v>0</v>
      </c>
      <c r="M717" s="660">
        <v>0</v>
      </c>
      <c r="N717" s="660">
        <v>0</v>
      </c>
      <c r="O717" s="451"/>
    </row>
    <row r="718" spans="1:15" s="175" customFormat="1" ht="12" hidden="1" customHeight="1" x14ac:dyDescent="0.2">
      <c r="A718" s="188"/>
      <c r="B718" s="883"/>
      <c r="C718" s="884"/>
      <c r="D718" s="884" t="s">
        <v>1660</v>
      </c>
      <c r="E718" s="659" t="s">
        <v>2601</v>
      </c>
      <c r="F718" s="660">
        <v>111702801</v>
      </c>
      <c r="G718" s="661">
        <v>111702801</v>
      </c>
      <c r="H718" s="660">
        <v>0</v>
      </c>
      <c r="I718" s="660">
        <v>0</v>
      </c>
      <c r="J718" s="661">
        <v>0</v>
      </c>
      <c r="K718" s="660">
        <v>0</v>
      </c>
      <c r="L718" s="660">
        <v>0</v>
      </c>
      <c r="M718" s="660">
        <v>0</v>
      </c>
      <c r="N718" s="660">
        <v>0</v>
      </c>
      <c r="O718" s="451"/>
    </row>
    <row r="719" spans="1:15" s="175" customFormat="1" ht="12" customHeight="1" x14ac:dyDescent="0.2">
      <c r="A719" s="188"/>
      <c r="B719" s="883"/>
      <c r="C719" s="884"/>
      <c r="D719" s="884" t="s">
        <v>1660</v>
      </c>
      <c r="E719" s="659" t="s">
        <v>2676</v>
      </c>
      <c r="F719" s="660">
        <v>1578733</v>
      </c>
      <c r="G719" s="661">
        <v>1578733</v>
      </c>
      <c r="H719" s="660">
        <v>0</v>
      </c>
      <c r="I719" s="660">
        <v>0</v>
      </c>
      <c r="J719" s="661">
        <v>0</v>
      </c>
      <c r="K719" s="660">
        <v>0</v>
      </c>
      <c r="L719" s="660">
        <v>0</v>
      </c>
      <c r="M719" s="660">
        <v>0</v>
      </c>
      <c r="N719" s="660">
        <v>0</v>
      </c>
      <c r="O719" s="451"/>
    </row>
    <row r="720" spans="1:15" s="175" customFormat="1" ht="12" customHeight="1" x14ac:dyDescent="0.2">
      <c r="A720" s="188"/>
      <c r="B720" s="883"/>
      <c r="C720" s="884" t="s">
        <v>1953</v>
      </c>
      <c r="D720" s="884" t="s">
        <v>2242</v>
      </c>
      <c r="E720" s="659" t="s">
        <v>26</v>
      </c>
      <c r="F720" s="660">
        <v>104728738</v>
      </c>
      <c r="G720" s="661">
        <v>104728738</v>
      </c>
      <c r="H720" s="660">
        <v>0</v>
      </c>
      <c r="I720" s="660">
        <v>0</v>
      </c>
      <c r="J720" s="661">
        <v>0</v>
      </c>
      <c r="K720" s="660">
        <v>0</v>
      </c>
      <c r="L720" s="660">
        <v>0</v>
      </c>
      <c r="M720" s="660">
        <v>0</v>
      </c>
      <c r="N720" s="660">
        <v>0</v>
      </c>
      <c r="O720" s="451"/>
    </row>
    <row r="721" spans="1:15" s="175" customFormat="1" ht="12" hidden="1" customHeight="1" x14ac:dyDescent="0.2">
      <c r="A721" s="188"/>
      <c r="B721" s="883"/>
      <c r="C721" s="884"/>
      <c r="D721" s="884" t="s">
        <v>2242</v>
      </c>
      <c r="E721" s="659" t="s">
        <v>1557</v>
      </c>
      <c r="F721" s="660">
        <v>244367042</v>
      </c>
      <c r="G721" s="661">
        <v>244367042</v>
      </c>
      <c r="H721" s="660">
        <v>0</v>
      </c>
      <c r="I721" s="660">
        <v>0</v>
      </c>
      <c r="J721" s="661">
        <v>0</v>
      </c>
      <c r="K721" s="660">
        <v>0</v>
      </c>
      <c r="L721" s="660">
        <v>0</v>
      </c>
      <c r="M721" s="660">
        <v>0</v>
      </c>
      <c r="N721" s="660">
        <v>0</v>
      </c>
      <c r="O721" s="451"/>
    </row>
    <row r="722" spans="1:15" s="175" customFormat="1" ht="12" customHeight="1" x14ac:dyDescent="0.2">
      <c r="A722" s="188"/>
      <c r="B722" s="883"/>
      <c r="C722" s="884"/>
      <c r="D722" s="884" t="s">
        <v>2242</v>
      </c>
      <c r="E722" s="659" t="s">
        <v>2676</v>
      </c>
      <c r="F722" s="660">
        <v>2671746</v>
      </c>
      <c r="G722" s="661">
        <v>2671746</v>
      </c>
      <c r="H722" s="660">
        <v>0</v>
      </c>
      <c r="I722" s="660">
        <v>0</v>
      </c>
      <c r="J722" s="661">
        <v>0</v>
      </c>
      <c r="K722" s="660">
        <v>0</v>
      </c>
      <c r="L722" s="660">
        <v>0</v>
      </c>
      <c r="M722" s="660">
        <v>0</v>
      </c>
      <c r="N722" s="660">
        <v>0</v>
      </c>
      <c r="O722" s="451"/>
    </row>
    <row r="723" spans="1:15" s="175" customFormat="1" ht="12" customHeight="1" x14ac:dyDescent="0.2">
      <c r="A723" s="188"/>
      <c r="B723" s="883"/>
      <c r="C723" s="884" t="s">
        <v>1954</v>
      </c>
      <c r="D723" s="884" t="s">
        <v>990</v>
      </c>
      <c r="E723" s="659" t="s">
        <v>26</v>
      </c>
      <c r="F723" s="660">
        <v>123288120</v>
      </c>
      <c r="G723" s="661">
        <v>123288120</v>
      </c>
      <c r="H723" s="660">
        <v>0</v>
      </c>
      <c r="I723" s="660">
        <v>0</v>
      </c>
      <c r="J723" s="661">
        <v>0</v>
      </c>
      <c r="K723" s="660">
        <v>0</v>
      </c>
      <c r="L723" s="660">
        <v>0</v>
      </c>
      <c r="M723" s="660">
        <v>0</v>
      </c>
      <c r="N723" s="660">
        <v>0</v>
      </c>
      <c r="O723" s="451"/>
    </row>
    <row r="724" spans="1:15" s="175" customFormat="1" ht="12" customHeight="1" x14ac:dyDescent="0.2">
      <c r="A724" s="188"/>
      <c r="B724" s="883"/>
      <c r="C724" s="884"/>
      <c r="D724" s="884" t="s">
        <v>990</v>
      </c>
      <c r="E724" s="659" t="s">
        <v>22</v>
      </c>
      <c r="F724" s="660">
        <v>68406567</v>
      </c>
      <c r="G724" s="661">
        <v>68406567</v>
      </c>
      <c r="H724" s="660">
        <v>0</v>
      </c>
      <c r="I724" s="660">
        <v>0</v>
      </c>
      <c r="J724" s="661">
        <v>0</v>
      </c>
      <c r="K724" s="660">
        <v>0</v>
      </c>
      <c r="L724" s="660">
        <v>0</v>
      </c>
      <c r="M724" s="660">
        <v>0</v>
      </c>
      <c r="N724" s="660">
        <v>0</v>
      </c>
      <c r="O724" s="451"/>
    </row>
    <row r="725" spans="1:15" s="175" customFormat="1" ht="12" hidden="1" customHeight="1" x14ac:dyDescent="0.2">
      <c r="A725" s="188"/>
      <c r="B725" s="883"/>
      <c r="C725" s="884"/>
      <c r="D725" s="884" t="s">
        <v>990</v>
      </c>
      <c r="E725" s="659" t="s">
        <v>1557</v>
      </c>
      <c r="F725" s="660">
        <v>172115403</v>
      </c>
      <c r="G725" s="661">
        <v>172115403</v>
      </c>
      <c r="H725" s="660">
        <v>0</v>
      </c>
      <c r="I725" s="660">
        <v>0</v>
      </c>
      <c r="J725" s="661">
        <v>0</v>
      </c>
      <c r="K725" s="660">
        <v>0</v>
      </c>
      <c r="L725" s="660">
        <v>0</v>
      </c>
      <c r="M725" s="660">
        <v>0</v>
      </c>
      <c r="N725" s="660">
        <v>0</v>
      </c>
      <c r="O725" s="451"/>
    </row>
    <row r="726" spans="1:15" s="175" customFormat="1" ht="12" customHeight="1" x14ac:dyDescent="0.2">
      <c r="A726" s="188"/>
      <c r="B726" s="883"/>
      <c r="C726" s="884"/>
      <c r="D726" s="884" t="s">
        <v>990</v>
      </c>
      <c r="E726" s="659" t="s">
        <v>3212</v>
      </c>
      <c r="F726" s="660">
        <v>1031648</v>
      </c>
      <c r="G726" s="661">
        <v>1031648</v>
      </c>
      <c r="H726" s="660">
        <v>0</v>
      </c>
      <c r="I726" s="660">
        <v>0</v>
      </c>
      <c r="J726" s="661">
        <v>0</v>
      </c>
      <c r="K726" s="660">
        <v>0</v>
      </c>
      <c r="L726" s="660">
        <v>0</v>
      </c>
      <c r="M726" s="660">
        <v>0</v>
      </c>
      <c r="N726" s="660">
        <v>0</v>
      </c>
      <c r="O726" s="451"/>
    </row>
    <row r="727" spans="1:15" s="175" customFormat="1" ht="12" customHeight="1" x14ac:dyDescent="0.2">
      <c r="A727" s="188"/>
      <c r="B727" s="883"/>
      <c r="C727" s="884"/>
      <c r="D727" s="884" t="s">
        <v>990</v>
      </c>
      <c r="E727" s="659" t="s">
        <v>1221</v>
      </c>
      <c r="F727" s="660">
        <v>1512675</v>
      </c>
      <c r="G727" s="661">
        <v>1512675</v>
      </c>
      <c r="H727" s="660">
        <v>0</v>
      </c>
      <c r="I727" s="660">
        <v>0</v>
      </c>
      <c r="J727" s="661">
        <v>0</v>
      </c>
      <c r="K727" s="660">
        <v>0</v>
      </c>
      <c r="L727" s="660">
        <v>0</v>
      </c>
      <c r="M727" s="660">
        <v>0</v>
      </c>
      <c r="N727" s="660">
        <v>0</v>
      </c>
      <c r="O727" s="451"/>
    </row>
    <row r="728" spans="1:15" s="175" customFormat="1" ht="12" customHeight="1" x14ac:dyDescent="0.2">
      <c r="A728" s="188"/>
      <c r="B728" s="883"/>
      <c r="C728" s="884" t="s">
        <v>1955</v>
      </c>
      <c r="D728" s="884" t="s">
        <v>1007</v>
      </c>
      <c r="E728" s="659" t="s">
        <v>26</v>
      </c>
      <c r="F728" s="660">
        <v>112288439</v>
      </c>
      <c r="G728" s="661">
        <v>112288439</v>
      </c>
      <c r="H728" s="660">
        <v>0</v>
      </c>
      <c r="I728" s="660">
        <v>0</v>
      </c>
      <c r="J728" s="661">
        <v>0</v>
      </c>
      <c r="K728" s="660">
        <v>0</v>
      </c>
      <c r="L728" s="660">
        <v>0</v>
      </c>
      <c r="M728" s="660">
        <v>0</v>
      </c>
      <c r="N728" s="660">
        <v>0</v>
      </c>
      <c r="O728" s="451"/>
    </row>
    <row r="729" spans="1:15" s="175" customFormat="1" ht="12" hidden="1" customHeight="1" x14ac:dyDescent="0.2">
      <c r="A729" s="188"/>
      <c r="B729" s="883"/>
      <c r="C729" s="884"/>
      <c r="D729" s="884" t="s">
        <v>1007</v>
      </c>
      <c r="E729" s="659" t="s">
        <v>1557</v>
      </c>
      <c r="F729" s="660">
        <v>228000000</v>
      </c>
      <c r="G729" s="661">
        <v>228000000</v>
      </c>
      <c r="H729" s="660">
        <v>0</v>
      </c>
      <c r="I729" s="660">
        <v>0</v>
      </c>
      <c r="J729" s="661">
        <v>0</v>
      </c>
      <c r="K729" s="660">
        <v>0</v>
      </c>
      <c r="L729" s="660">
        <v>0</v>
      </c>
      <c r="M729" s="660">
        <v>0</v>
      </c>
      <c r="N729" s="660">
        <v>0</v>
      </c>
      <c r="O729" s="451"/>
    </row>
    <row r="730" spans="1:15" s="175" customFormat="1" ht="12" customHeight="1" x14ac:dyDescent="0.2">
      <c r="A730" s="188"/>
      <c r="B730" s="883"/>
      <c r="C730" s="884"/>
      <c r="D730" s="884" t="s">
        <v>1007</v>
      </c>
      <c r="E730" s="659" t="s">
        <v>822</v>
      </c>
      <c r="F730" s="660">
        <v>485932</v>
      </c>
      <c r="G730" s="661">
        <v>0</v>
      </c>
      <c r="H730" s="660">
        <v>485932</v>
      </c>
      <c r="I730" s="660">
        <v>0</v>
      </c>
      <c r="J730" s="661">
        <v>485932</v>
      </c>
      <c r="K730" s="660">
        <v>0</v>
      </c>
      <c r="L730" s="660">
        <v>0</v>
      </c>
      <c r="M730" s="660">
        <v>0</v>
      </c>
      <c r="N730" s="660">
        <v>485932</v>
      </c>
      <c r="O730" s="451"/>
    </row>
    <row r="731" spans="1:15" s="175" customFormat="1" ht="12" customHeight="1" x14ac:dyDescent="0.2">
      <c r="A731" s="188"/>
      <c r="B731" s="883"/>
      <c r="C731" s="884"/>
      <c r="D731" s="884" t="s">
        <v>1007</v>
      </c>
      <c r="E731" s="659" t="s">
        <v>2676</v>
      </c>
      <c r="F731" s="660">
        <v>1155200</v>
      </c>
      <c r="G731" s="661">
        <v>0</v>
      </c>
      <c r="H731" s="660">
        <v>1155200</v>
      </c>
      <c r="I731" s="660">
        <v>0</v>
      </c>
      <c r="J731" s="661">
        <v>1155200</v>
      </c>
      <c r="K731" s="660">
        <v>0</v>
      </c>
      <c r="L731" s="660">
        <v>0</v>
      </c>
      <c r="M731" s="660">
        <v>0</v>
      </c>
      <c r="N731" s="660">
        <v>1155200</v>
      </c>
      <c r="O731" s="451"/>
    </row>
    <row r="732" spans="1:15" s="175" customFormat="1" ht="12" customHeight="1" x14ac:dyDescent="0.2">
      <c r="A732" s="188"/>
      <c r="B732" s="883"/>
      <c r="C732" s="884" t="s">
        <v>1956</v>
      </c>
      <c r="D732" s="884" t="s">
        <v>1661</v>
      </c>
      <c r="E732" s="659" t="s">
        <v>26</v>
      </c>
      <c r="F732" s="660">
        <v>104566320</v>
      </c>
      <c r="G732" s="661">
        <v>104566320</v>
      </c>
      <c r="H732" s="660">
        <v>0</v>
      </c>
      <c r="I732" s="660">
        <v>0</v>
      </c>
      <c r="J732" s="661">
        <v>0</v>
      </c>
      <c r="K732" s="660">
        <v>0</v>
      </c>
      <c r="L732" s="660">
        <v>0</v>
      </c>
      <c r="M732" s="660">
        <v>0</v>
      </c>
      <c r="N732" s="660">
        <v>0</v>
      </c>
      <c r="O732" s="451"/>
    </row>
    <row r="733" spans="1:15" s="175" customFormat="1" ht="12" hidden="1" customHeight="1" x14ac:dyDescent="0.2">
      <c r="A733" s="188"/>
      <c r="B733" s="883"/>
      <c r="C733" s="884"/>
      <c r="D733" s="884" t="s">
        <v>1661</v>
      </c>
      <c r="E733" s="659" t="s">
        <v>2601</v>
      </c>
      <c r="F733" s="660">
        <v>243988080</v>
      </c>
      <c r="G733" s="661">
        <v>243988080</v>
      </c>
      <c r="H733" s="660">
        <v>0</v>
      </c>
      <c r="I733" s="660">
        <v>0</v>
      </c>
      <c r="J733" s="661">
        <v>0</v>
      </c>
      <c r="K733" s="660">
        <v>0</v>
      </c>
      <c r="L733" s="660">
        <v>0</v>
      </c>
      <c r="M733" s="660">
        <v>0</v>
      </c>
      <c r="N733" s="660">
        <v>0</v>
      </c>
      <c r="O733" s="451"/>
    </row>
    <row r="734" spans="1:15" s="175" customFormat="1" ht="12" customHeight="1" x14ac:dyDescent="0.2">
      <c r="A734" s="188"/>
      <c r="B734" s="883"/>
      <c r="C734" s="884" t="s">
        <v>1957</v>
      </c>
      <c r="D734" s="884" t="s">
        <v>1006</v>
      </c>
      <c r="E734" s="659" t="s">
        <v>26</v>
      </c>
      <c r="F734" s="660">
        <v>140363254</v>
      </c>
      <c r="G734" s="661">
        <v>140363254</v>
      </c>
      <c r="H734" s="660">
        <v>0</v>
      </c>
      <c r="I734" s="660">
        <v>0</v>
      </c>
      <c r="J734" s="661">
        <v>0</v>
      </c>
      <c r="K734" s="660">
        <v>0</v>
      </c>
      <c r="L734" s="660">
        <v>0</v>
      </c>
      <c r="M734" s="660">
        <v>0</v>
      </c>
      <c r="N734" s="660">
        <v>0</v>
      </c>
      <c r="O734" s="451"/>
    </row>
    <row r="735" spans="1:15" s="175" customFormat="1" ht="12" hidden="1" customHeight="1" x14ac:dyDescent="0.2">
      <c r="A735" s="188"/>
      <c r="B735" s="883"/>
      <c r="C735" s="884"/>
      <c r="D735" s="884" t="s">
        <v>1006</v>
      </c>
      <c r="E735" s="659" t="s">
        <v>1557</v>
      </c>
      <c r="F735" s="660">
        <v>207500000</v>
      </c>
      <c r="G735" s="661">
        <v>207500000</v>
      </c>
      <c r="H735" s="660">
        <v>0</v>
      </c>
      <c r="I735" s="660">
        <v>0</v>
      </c>
      <c r="J735" s="661">
        <v>0</v>
      </c>
      <c r="K735" s="660">
        <v>0</v>
      </c>
      <c r="L735" s="660">
        <v>0</v>
      </c>
      <c r="M735" s="660">
        <v>0</v>
      </c>
      <c r="N735" s="660">
        <v>0</v>
      </c>
      <c r="O735" s="451"/>
    </row>
    <row r="736" spans="1:15" s="175" customFormat="1" ht="12" customHeight="1" x14ac:dyDescent="0.2">
      <c r="A736" s="188"/>
      <c r="B736" s="883"/>
      <c r="C736" s="884"/>
      <c r="D736" s="884" t="s">
        <v>1006</v>
      </c>
      <c r="E736" s="659" t="s">
        <v>822</v>
      </c>
      <c r="F736" s="660">
        <v>499506</v>
      </c>
      <c r="G736" s="661">
        <v>499506</v>
      </c>
      <c r="H736" s="660">
        <v>0</v>
      </c>
      <c r="I736" s="660">
        <v>0</v>
      </c>
      <c r="J736" s="661">
        <v>0</v>
      </c>
      <c r="K736" s="660">
        <v>0</v>
      </c>
      <c r="L736" s="660">
        <v>0</v>
      </c>
      <c r="M736" s="660">
        <v>0</v>
      </c>
      <c r="N736" s="660">
        <v>0</v>
      </c>
      <c r="O736" s="451"/>
    </row>
    <row r="737" spans="1:15" s="175" customFormat="1" ht="12" customHeight="1" x14ac:dyDescent="0.2">
      <c r="A737" s="188"/>
      <c r="B737" s="883"/>
      <c r="C737" s="884"/>
      <c r="D737" s="884" t="s">
        <v>1006</v>
      </c>
      <c r="E737" s="659" t="s">
        <v>1221</v>
      </c>
      <c r="F737" s="660">
        <v>1931850</v>
      </c>
      <c r="G737" s="661">
        <v>1931850</v>
      </c>
      <c r="H737" s="660">
        <v>0</v>
      </c>
      <c r="I737" s="660">
        <v>0</v>
      </c>
      <c r="J737" s="661">
        <v>0</v>
      </c>
      <c r="K737" s="660">
        <v>0</v>
      </c>
      <c r="L737" s="660">
        <v>0</v>
      </c>
      <c r="M737" s="660">
        <v>0</v>
      </c>
      <c r="N737" s="660">
        <v>0</v>
      </c>
      <c r="O737" s="451"/>
    </row>
    <row r="738" spans="1:15" s="175" customFormat="1" ht="12" customHeight="1" x14ac:dyDescent="0.2">
      <c r="A738" s="188"/>
      <c r="B738" s="883"/>
      <c r="C738" s="884" t="s">
        <v>1958</v>
      </c>
      <c r="D738" s="884" t="s">
        <v>3334</v>
      </c>
      <c r="E738" s="659" t="s">
        <v>26</v>
      </c>
      <c r="F738" s="660">
        <v>89306231</v>
      </c>
      <c r="G738" s="661">
        <v>89306231</v>
      </c>
      <c r="H738" s="660">
        <v>0</v>
      </c>
      <c r="I738" s="660">
        <v>0</v>
      </c>
      <c r="J738" s="661">
        <v>0</v>
      </c>
      <c r="K738" s="660">
        <v>0</v>
      </c>
      <c r="L738" s="660">
        <v>0</v>
      </c>
      <c r="M738" s="660">
        <v>0</v>
      </c>
      <c r="N738" s="660">
        <v>0</v>
      </c>
      <c r="O738" s="451"/>
    </row>
    <row r="739" spans="1:15" s="175" customFormat="1" ht="12" hidden="1" customHeight="1" x14ac:dyDescent="0.2">
      <c r="A739" s="188"/>
      <c r="B739" s="883"/>
      <c r="C739" s="884"/>
      <c r="D739" s="884" t="s">
        <v>3334</v>
      </c>
      <c r="E739" s="659" t="s">
        <v>1557</v>
      </c>
      <c r="F739" s="660">
        <v>208381169</v>
      </c>
      <c r="G739" s="661">
        <v>0</v>
      </c>
      <c r="H739" s="660">
        <v>208381169</v>
      </c>
      <c r="I739" s="660">
        <v>0</v>
      </c>
      <c r="J739" s="661">
        <v>208381169</v>
      </c>
      <c r="K739" s="660">
        <v>0</v>
      </c>
      <c r="L739" s="660">
        <v>0</v>
      </c>
      <c r="M739" s="660">
        <v>208381169</v>
      </c>
      <c r="N739" s="660">
        <v>0</v>
      </c>
      <c r="O739" s="451"/>
    </row>
    <row r="740" spans="1:15" s="175" customFormat="1" ht="12" customHeight="1" x14ac:dyDescent="0.2">
      <c r="A740" s="188"/>
      <c r="B740" s="883"/>
      <c r="C740" s="884"/>
      <c r="D740" s="884" t="s">
        <v>3334</v>
      </c>
      <c r="E740" s="659" t="s">
        <v>3212</v>
      </c>
      <c r="F740" s="660">
        <v>653732</v>
      </c>
      <c r="G740" s="661">
        <v>653732</v>
      </c>
      <c r="H740" s="660">
        <v>0</v>
      </c>
      <c r="I740" s="660">
        <v>0</v>
      </c>
      <c r="J740" s="661">
        <v>0</v>
      </c>
      <c r="K740" s="660">
        <v>0</v>
      </c>
      <c r="L740" s="660">
        <v>0</v>
      </c>
      <c r="M740" s="660">
        <v>0</v>
      </c>
      <c r="N740" s="660">
        <v>0</v>
      </c>
      <c r="O740" s="451"/>
    </row>
    <row r="741" spans="1:15" s="175" customFormat="1" ht="12" customHeight="1" x14ac:dyDescent="0.2">
      <c r="A741" s="188"/>
      <c r="B741" s="883"/>
      <c r="C741" s="884" t="s">
        <v>2243</v>
      </c>
      <c r="D741" s="884" t="s">
        <v>2244</v>
      </c>
      <c r="E741" s="659" t="s">
        <v>26</v>
      </c>
      <c r="F741" s="660">
        <v>375449883</v>
      </c>
      <c r="G741" s="661">
        <v>375449883</v>
      </c>
      <c r="H741" s="660">
        <v>0</v>
      </c>
      <c r="I741" s="660">
        <v>0</v>
      </c>
      <c r="J741" s="661">
        <v>0</v>
      </c>
      <c r="K741" s="660">
        <v>0</v>
      </c>
      <c r="L741" s="660">
        <v>0</v>
      </c>
      <c r="M741" s="660">
        <v>0</v>
      </c>
      <c r="N741" s="660">
        <v>0</v>
      </c>
      <c r="O741" s="451"/>
    </row>
    <row r="742" spans="1:15" s="175" customFormat="1" ht="12" customHeight="1" x14ac:dyDescent="0.2">
      <c r="A742" s="188"/>
      <c r="B742" s="883"/>
      <c r="C742" s="884"/>
      <c r="D742" s="884" t="s">
        <v>2244</v>
      </c>
      <c r="E742" s="659" t="s">
        <v>1221</v>
      </c>
      <c r="F742" s="660">
        <v>11584872</v>
      </c>
      <c r="G742" s="661">
        <v>11584872</v>
      </c>
      <c r="H742" s="660">
        <v>0</v>
      </c>
      <c r="I742" s="660">
        <v>0</v>
      </c>
      <c r="J742" s="661">
        <v>0</v>
      </c>
      <c r="K742" s="660">
        <v>0</v>
      </c>
      <c r="L742" s="660">
        <v>0</v>
      </c>
      <c r="M742" s="660">
        <v>0</v>
      </c>
      <c r="N742" s="660">
        <v>0</v>
      </c>
      <c r="O742" s="451"/>
    </row>
    <row r="743" spans="1:15" s="175" customFormat="1" ht="12" customHeight="1" x14ac:dyDescent="0.2">
      <c r="A743" s="188"/>
      <c r="B743" s="883"/>
      <c r="C743" s="884" t="s">
        <v>1959</v>
      </c>
      <c r="D743" s="884" t="s">
        <v>1663</v>
      </c>
      <c r="E743" s="659" t="s">
        <v>26</v>
      </c>
      <c r="F743" s="660">
        <v>104202780</v>
      </c>
      <c r="G743" s="661">
        <v>104202780</v>
      </c>
      <c r="H743" s="660">
        <v>0</v>
      </c>
      <c r="I743" s="660">
        <v>0</v>
      </c>
      <c r="J743" s="661">
        <v>0</v>
      </c>
      <c r="K743" s="660">
        <v>0</v>
      </c>
      <c r="L743" s="660">
        <v>0</v>
      </c>
      <c r="M743" s="660">
        <v>0</v>
      </c>
      <c r="N743" s="660">
        <v>0</v>
      </c>
      <c r="O743" s="451"/>
    </row>
    <row r="744" spans="1:15" s="175" customFormat="1" ht="12" hidden="1" customHeight="1" x14ac:dyDescent="0.2">
      <c r="A744" s="188"/>
      <c r="B744" s="883"/>
      <c r="C744" s="884"/>
      <c r="D744" s="884" t="s">
        <v>1663</v>
      </c>
      <c r="E744" s="659" t="s">
        <v>1557</v>
      </c>
      <c r="F744" s="660">
        <v>243139820</v>
      </c>
      <c r="G744" s="661">
        <v>243139820</v>
      </c>
      <c r="H744" s="660">
        <v>0</v>
      </c>
      <c r="I744" s="660">
        <v>0</v>
      </c>
      <c r="J744" s="661">
        <v>0</v>
      </c>
      <c r="K744" s="660">
        <v>0</v>
      </c>
      <c r="L744" s="660">
        <v>0</v>
      </c>
      <c r="M744" s="660">
        <v>0</v>
      </c>
      <c r="N744" s="660">
        <v>0</v>
      </c>
      <c r="O744" s="451"/>
    </row>
    <row r="745" spans="1:15" s="175" customFormat="1" ht="12" customHeight="1" x14ac:dyDescent="0.2">
      <c r="A745" s="188"/>
      <c r="B745" s="883"/>
      <c r="C745" s="884"/>
      <c r="D745" s="884" t="s">
        <v>1663</v>
      </c>
      <c r="E745" s="659" t="s">
        <v>3212</v>
      </c>
      <c r="F745" s="660">
        <v>1379784</v>
      </c>
      <c r="G745" s="661">
        <v>0</v>
      </c>
      <c r="H745" s="660">
        <v>1379784</v>
      </c>
      <c r="I745" s="660">
        <v>0</v>
      </c>
      <c r="J745" s="661">
        <v>1379784</v>
      </c>
      <c r="K745" s="660">
        <v>0</v>
      </c>
      <c r="L745" s="660">
        <v>0</v>
      </c>
      <c r="M745" s="660">
        <v>1379784</v>
      </c>
      <c r="N745" s="660">
        <v>0</v>
      </c>
      <c r="O745" s="451"/>
    </row>
    <row r="746" spans="1:15" s="175" customFormat="1" ht="12" customHeight="1" x14ac:dyDescent="0.2">
      <c r="A746" s="188"/>
      <c r="B746" s="883"/>
      <c r="C746" s="884"/>
      <c r="D746" s="884" t="s">
        <v>1663</v>
      </c>
      <c r="E746" s="659" t="s">
        <v>195</v>
      </c>
      <c r="F746" s="660">
        <v>643100</v>
      </c>
      <c r="G746" s="661">
        <v>643100</v>
      </c>
      <c r="H746" s="660">
        <v>0</v>
      </c>
      <c r="I746" s="660">
        <v>0</v>
      </c>
      <c r="J746" s="661">
        <v>0</v>
      </c>
      <c r="K746" s="660">
        <v>0</v>
      </c>
      <c r="L746" s="660">
        <v>0</v>
      </c>
      <c r="M746" s="660">
        <v>0</v>
      </c>
      <c r="N746" s="660">
        <v>0</v>
      </c>
      <c r="O746" s="451"/>
    </row>
    <row r="747" spans="1:15" s="175" customFormat="1" ht="12" customHeight="1" x14ac:dyDescent="0.2">
      <c r="A747" s="188"/>
      <c r="B747" s="883"/>
      <c r="C747" s="884"/>
      <c r="D747" s="884" t="s">
        <v>1663</v>
      </c>
      <c r="E747" s="659" t="s">
        <v>2676</v>
      </c>
      <c r="F747" s="660">
        <v>1296746</v>
      </c>
      <c r="G747" s="661">
        <v>0</v>
      </c>
      <c r="H747" s="660">
        <v>1296746</v>
      </c>
      <c r="I747" s="660">
        <v>0</v>
      </c>
      <c r="J747" s="661">
        <v>1296746</v>
      </c>
      <c r="K747" s="660">
        <v>1296746</v>
      </c>
      <c r="L747" s="660">
        <v>0</v>
      </c>
      <c r="M747" s="660">
        <v>0</v>
      </c>
      <c r="N747" s="660">
        <v>0</v>
      </c>
      <c r="O747" s="451"/>
    </row>
    <row r="748" spans="1:15" s="175" customFormat="1" ht="12" customHeight="1" x14ac:dyDescent="0.2">
      <c r="A748" s="188"/>
      <c r="B748" s="883"/>
      <c r="C748" s="884" t="s">
        <v>1960</v>
      </c>
      <c r="D748" s="884" t="s">
        <v>1662</v>
      </c>
      <c r="E748" s="659" t="s">
        <v>26</v>
      </c>
      <c r="F748" s="660">
        <v>176667400</v>
      </c>
      <c r="G748" s="661">
        <v>176667400</v>
      </c>
      <c r="H748" s="660">
        <v>0</v>
      </c>
      <c r="I748" s="660">
        <v>0</v>
      </c>
      <c r="J748" s="661">
        <v>0</v>
      </c>
      <c r="K748" s="660">
        <v>0</v>
      </c>
      <c r="L748" s="660">
        <v>0</v>
      </c>
      <c r="M748" s="660">
        <v>0</v>
      </c>
      <c r="N748" s="660">
        <v>0</v>
      </c>
      <c r="O748" s="451"/>
    </row>
    <row r="749" spans="1:15" s="175" customFormat="1" ht="12" hidden="1" customHeight="1" x14ac:dyDescent="0.2">
      <c r="A749" s="188"/>
      <c r="B749" s="883"/>
      <c r="C749" s="884"/>
      <c r="D749" s="884" t="s">
        <v>1662</v>
      </c>
      <c r="E749" s="659" t="s">
        <v>1557</v>
      </c>
      <c r="F749" s="660">
        <v>172000000</v>
      </c>
      <c r="G749" s="661">
        <v>172000000</v>
      </c>
      <c r="H749" s="660">
        <v>0</v>
      </c>
      <c r="I749" s="660">
        <v>0</v>
      </c>
      <c r="J749" s="661">
        <v>0</v>
      </c>
      <c r="K749" s="660">
        <v>0</v>
      </c>
      <c r="L749" s="660">
        <v>0</v>
      </c>
      <c r="M749" s="660">
        <v>0</v>
      </c>
      <c r="N749" s="660">
        <v>0</v>
      </c>
      <c r="O749" s="451"/>
    </row>
    <row r="750" spans="1:15" s="175" customFormat="1" ht="12" customHeight="1" x14ac:dyDescent="0.2">
      <c r="A750" s="188"/>
      <c r="B750" s="883"/>
      <c r="C750" s="884"/>
      <c r="D750" s="884" t="s">
        <v>1662</v>
      </c>
      <c r="E750" s="659" t="s">
        <v>3212</v>
      </c>
      <c r="F750" s="660">
        <v>1316035</v>
      </c>
      <c r="G750" s="661">
        <v>0</v>
      </c>
      <c r="H750" s="660">
        <v>1316035</v>
      </c>
      <c r="I750" s="660">
        <v>0</v>
      </c>
      <c r="J750" s="661">
        <v>1316035</v>
      </c>
      <c r="K750" s="660">
        <v>0</v>
      </c>
      <c r="L750" s="660">
        <v>0</v>
      </c>
      <c r="M750" s="660">
        <v>1316035</v>
      </c>
      <c r="N750" s="660">
        <v>0</v>
      </c>
      <c r="O750" s="451"/>
    </row>
    <row r="751" spans="1:15" s="175" customFormat="1" ht="12" customHeight="1" x14ac:dyDescent="0.2">
      <c r="A751" s="188"/>
      <c r="B751" s="883"/>
      <c r="C751" s="677" t="s">
        <v>1961</v>
      </c>
      <c r="D751" s="677" t="s">
        <v>997</v>
      </c>
      <c r="E751" s="659" t="s">
        <v>26</v>
      </c>
      <c r="F751" s="660">
        <v>276950688</v>
      </c>
      <c r="G751" s="661">
        <v>276950688</v>
      </c>
      <c r="H751" s="660">
        <v>0</v>
      </c>
      <c r="I751" s="660">
        <v>0</v>
      </c>
      <c r="J751" s="661">
        <v>0</v>
      </c>
      <c r="K751" s="660">
        <v>0</v>
      </c>
      <c r="L751" s="660">
        <v>0</v>
      </c>
      <c r="M751" s="660">
        <v>0</v>
      </c>
      <c r="N751" s="660">
        <v>0</v>
      </c>
      <c r="O751" s="451"/>
    </row>
    <row r="752" spans="1:15" s="175" customFormat="1" ht="12" customHeight="1" x14ac:dyDescent="0.2">
      <c r="A752" s="188"/>
      <c r="B752" s="883"/>
      <c r="C752" s="884" t="s">
        <v>2539</v>
      </c>
      <c r="D752" s="884" t="s">
        <v>2540</v>
      </c>
      <c r="E752" s="659" t="s">
        <v>26</v>
      </c>
      <c r="F752" s="660">
        <v>109952160</v>
      </c>
      <c r="G752" s="661">
        <v>109952160</v>
      </c>
      <c r="H752" s="660">
        <v>0</v>
      </c>
      <c r="I752" s="660">
        <v>0</v>
      </c>
      <c r="J752" s="661">
        <v>0</v>
      </c>
      <c r="K752" s="660">
        <v>0</v>
      </c>
      <c r="L752" s="660">
        <v>0</v>
      </c>
      <c r="M752" s="660">
        <v>0</v>
      </c>
      <c r="N752" s="660">
        <v>0</v>
      </c>
      <c r="O752" s="451"/>
    </row>
    <row r="753" spans="1:15" s="175" customFormat="1" ht="12" hidden="1" customHeight="1" x14ac:dyDescent="0.2">
      <c r="A753" s="188"/>
      <c r="B753" s="883"/>
      <c r="C753" s="884"/>
      <c r="D753" s="884" t="s">
        <v>2540</v>
      </c>
      <c r="E753" s="659" t="s">
        <v>1557</v>
      </c>
      <c r="F753" s="660">
        <v>281462540</v>
      </c>
      <c r="G753" s="661">
        <v>281462540</v>
      </c>
      <c r="H753" s="660">
        <v>0</v>
      </c>
      <c r="I753" s="660">
        <v>0</v>
      </c>
      <c r="J753" s="661">
        <v>0</v>
      </c>
      <c r="K753" s="660">
        <v>0</v>
      </c>
      <c r="L753" s="660">
        <v>0</v>
      </c>
      <c r="M753" s="660">
        <v>0</v>
      </c>
      <c r="N753" s="660">
        <v>0</v>
      </c>
      <c r="O753" s="451"/>
    </row>
    <row r="754" spans="1:15" s="175" customFormat="1" ht="12" customHeight="1" x14ac:dyDescent="0.2">
      <c r="A754" s="188"/>
      <c r="B754" s="883"/>
      <c r="C754" s="884"/>
      <c r="D754" s="884" t="s">
        <v>2540</v>
      </c>
      <c r="E754" s="659" t="s">
        <v>195</v>
      </c>
      <c r="F754" s="660">
        <v>3714755</v>
      </c>
      <c r="G754" s="661">
        <v>3714755</v>
      </c>
      <c r="H754" s="660">
        <v>0</v>
      </c>
      <c r="I754" s="660">
        <v>0</v>
      </c>
      <c r="J754" s="661">
        <v>0</v>
      </c>
      <c r="K754" s="660">
        <v>0</v>
      </c>
      <c r="L754" s="660">
        <v>0</v>
      </c>
      <c r="M754" s="660">
        <v>0</v>
      </c>
      <c r="N754" s="660">
        <v>0</v>
      </c>
      <c r="O754" s="451"/>
    </row>
    <row r="755" spans="1:15" s="175" customFormat="1" ht="12" customHeight="1" x14ac:dyDescent="0.2">
      <c r="A755" s="188"/>
      <c r="B755" s="883"/>
      <c r="C755" s="884"/>
      <c r="D755" s="884" t="s">
        <v>2540</v>
      </c>
      <c r="E755" s="659" t="s">
        <v>1221</v>
      </c>
      <c r="F755" s="660">
        <v>11584872</v>
      </c>
      <c r="G755" s="661">
        <v>11584872</v>
      </c>
      <c r="H755" s="660">
        <v>0</v>
      </c>
      <c r="I755" s="660">
        <v>0</v>
      </c>
      <c r="J755" s="661">
        <v>0</v>
      </c>
      <c r="K755" s="660">
        <v>0</v>
      </c>
      <c r="L755" s="660">
        <v>0</v>
      </c>
      <c r="M755" s="660">
        <v>0</v>
      </c>
      <c r="N755" s="660">
        <v>0</v>
      </c>
      <c r="O755" s="451"/>
    </row>
    <row r="756" spans="1:15" s="175" customFormat="1" ht="12" customHeight="1" x14ac:dyDescent="0.2">
      <c r="A756" s="188"/>
      <c r="B756" s="883"/>
      <c r="C756" s="884" t="s">
        <v>1962</v>
      </c>
      <c r="D756" s="884" t="s">
        <v>1305</v>
      </c>
      <c r="E756" s="659" t="s">
        <v>26</v>
      </c>
      <c r="F756" s="660">
        <v>117492000</v>
      </c>
      <c r="G756" s="661">
        <v>117492000</v>
      </c>
      <c r="H756" s="660">
        <v>0</v>
      </c>
      <c r="I756" s="660">
        <v>0</v>
      </c>
      <c r="J756" s="661">
        <v>0</v>
      </c>
      <c r="K756" s="660">
        <v>0</v>
      </c>
      <c r="L756" s="660">
        <v>0</v>
      </c>
      <c r="M756" s="660">
        <v>0</v>
      </c>
      <c r="N756" s="660">
        <v>0</v>
      </c>
      <c r="O756" s="451"/>
    </row>
    <row r="757" spans="1:15" s="175" customFormat="1" ht="12" hidden="1" customHeight="1" x14ac:dyDescent="0.2">
      <c r="A757" s="188"/>
      <c r="B757" s="883"/>
      <c r="C757" s="884"/>
      <c r="D757" s="884" t="s">
        <v>1305</v>
      </c>
      <c r="E757" s="659" t="s">
        <v>1557</v>
      </c>
      <c r="F757" s="660">
        <v>271887214</v>
      </c>
      <c r="G757" s="661">
        <v>271887214</v>
      </c>
      <c r="H757" s="660">
        <v>0</v>
      </c>
      <c r="I757" s="660">
        <v>0</v>
      </c>
      <c r="J757" s="661">
        <v>0</v>
      </c>
      <c r="K757" s="660">
        <v>0</v>
      </c>
      <c r="L757" s="660">
        <v>0</v>
      </c>
      <c r="M757" s="660">
        <v>0</v>
      </c>
      <c r="N757" s="660">
        <v>0</v>
      </c>
      <c r="O757" s="451"/>
    </row>
    <row r="758" spans="1:15" s="175" customFormat="1" ht="12" customHeight="1" x14ac:dyDescent="0.2">
      <c r="A758" s="188"/>
      <c r="B758" s="883"/>
      <c r="C758" s="884"/>
      <c r="D758" s="884" t="s">
        <v>1305</v>
      </c>
      <c r="E758" s="659" t="s">
        <v>822</v>
      </c>
      <c r="F758" s="660">
        <v>556294</v>
      </c>
      <c r="G758" s="661">
        <v>556294</v>
      </c>
      <c r="H758" s="660">
        <v>0</v>
      </c>
      <c r="I758" s="660">
        <v>0</v>
      </c>
      <c r="J758" s="661">
        <v>0</v>
      </c>
      <c r="K758" s="660">
        <v>0</v>
      </c>
      <c r="L758" s="660">
        <v>0</v>
      </c>
      <c r="M758" s="660">
        <v>0</v>
      </c>
      <c r="N758" s="660">
        <v>0</v>
      </c>
      <c r="O758" s="451"/>
    </row>
    <row r="759" spans="1:15" s="175" customFormat="1" ht="12" customHeight="1" x14ac:dyDescent="0.2">
      <c r="A759" s="188"/>
      <c r="B759" s="883"/>
      <c r="C759" s="884"/>
      <c r="D759" s="884" t="s">
        <v>1305</v>
      </c>
      <c r="E759" s="659" t="s">
        <v>3212</v>
      </c>
      <c r="F759" s="660">
        <v>1366706</v>
      </c>
      <c r="G759" s="661">
        <v>1366706</v>
      </c>
      <c r="H759" s="660">
        <v>0</v>
      </c>
      <c r="I759" s="660">
        <v>0</v>
      </c>
      <c r="J759" s="661">
        <v>0</v>
      </c>
      <c r="K759" s="660">
        <v>0</v>
      </c>
      <c r="L759" s="660">
        <v>0</v>
      </c>
      <c r="M759" s="660">
        <v>0</v>
      </c>
      <c r="N759" s="660">
        <v>0</v>
      </c>
      <c r="O759" s="451"/>
    </row>
    <row r="760" spans="1:15" s="175" customFormat="1" ht="12" customHeight="1" x14ac:dyDescent="0.2">
      <c r="A760" s="188"/>
      <c r="B760" s="883"/>
      <c r="C760" s="884" t="s">
        <v>1963</v>
      </c>
      <c r="D760" s="884" t="s">
        <v>1665</v>
      </c>
      <c r="E760" s="659" t="s">
        <v>26</v>
      </c>
      <c r="F760" s="660">
        <v>123084621</v>
      </c>
      <c r="G760" s="661">
        <v>123084621</v>
      </c>
      <c r="H760" s="660">
        <v>0</v>
      </c>
      <c r="I760" s="660">
        <v>0</v>
      </c>
      <c r="J760" s="661">
        <v>0</v>
      </c>
      <c r="K760" s="660">
        <v>0</v>
      </c>
      <c r="L760" s="660">
        <v>0</v>
      </c>
      <c r="M760" s="660">
        <v>0</v>
      </c>
      <c r="N760" s="660">
        <v>0</v>
      </c>
      <c r="O760" s="451"/>
    </row>
    <row r="761" spans="1:15" s="175" customFormat="1" ht="12" hidden="1" customHeight="1" x14ac:dyDescent="0.2">
      <c r="A761" s="188"/>
      <c r="B761" s="883"/>
      <c r="C761" s="884"/>
      <c r="D761" s="884" t="s">
        <v>1665</v>
      </c>
      <c r="E761" s="659" t="s">
        <v>1557</v>
      </c>
      <c r="F761" s="660">
        <v>200000000</v>
      </c>
      <c r="G761" s="661">
        <v>200000000</v>
      </c>
      <c r="H761" s="660">
        <v>0</v>
      </c>
      <c r="I761" s="660">
        <v>0</v>
      </c>
      <c r="J761" s="661">
        <v>0</v>
      </c>
      <c r="K761" s="660">
        <v>0</v>
      </c>
      <c r="L761" s="660">
        <v>0</v>
      </c>
      <c r="M761" s="660">
        <v>0</v>
      </c>
      <c r="N761" s="660">
        <v>0</v>
      </c>
      <c r="O761" s="451"/>
    </row>
    <row r="762" spans="1:15" s="175" customFormat="1" ht="12" customHeight="1" x14ac:dyDescent="0.2">
      <c r="A762" s="188"/>
      <c r="B762" s="883"/>
      <c r="C762" s="884"/>
      <c r="D762" s="884" t="s">
        <v>1665</v>
      </c>
      <c r="E762" s="659" t="s">
        <v>822</v>
      </c>
      <c r="F762" s="660">
        <v>464124</v>
      </c>
      <c r="G762" s="661">
        <v>464124</v>
      </c>
      <c r="H762" s="660">
        <v>0</v>
      </c>
      <c r="I762" s="660">
        <v>0</v>
      </c>
      <c r="J762" s="661">
        <v>0</v>
      </c>
      <c r="K762" s="660">
        <v>0</v>
      </c>
      <c r="L762" s="660">
        <v>0</v>
      </c>
      <c r="M762" s="660">
        <v>0</v>
      </c>
      <c r="N762" s="660">
        <v>0</v>
      </c>
      <c r="O762" s="451"/>
    </row>
    <row r="763" spans="1:15" s="175" customFormat="1" ht="12" customHeight="1" x14ac:dyDescent="0.2">
      <c r="A763" s="188"/>
      <c r="B763" s="883"/>
      <c r="C763" s="884"/>
      <c r="D763" s="884" t="s">
        <v>1665</v>
      </c>
      <c r="E763" s="659" t="s">
        <v>1221</v>
      </c>
      <c r="F763" s="660">
        <v>1931850</v>
      </c>
      <c r="G763" s="661">
        <v>1931850</v>
      </c>
      <c r="H763" s="660">
        <v>0</v>
      </c>
      <c r="I763" s="660">
        <v>0</v>
      </c>
      <c r="J763" s="661">
        <v>0</v>
      </c>
      <c r="K763" s="660">
        <v>0</v>
      </c>
      <c r="L763" s="660">
        <v>0</v>
      </c>
      <c r="M763" s="660">
        <v>0</v>
      </c>
      <c r="N763" s="660">
        <v>0</v>
      </c>
      <c r="O763" s="451"/>
    </row>
    <row r="764" spans="1:15" s="175" customFormat="1" ht="12" customHeight="1" x14ac:dyDescent="0.2">
      <c r="A764" s="188"/>
      <c r="B764" s="883"/>
      <c r="C764" s="884" t="s">
        <v>1964</v>
      </c>
      <c r="D764" s="884" t="s">
        <v>1664</v>
      </c>
      <c r="E764" s="659" t="s">
        <v>26</v>
      </c>
      <c r="F764" s="660">
        <v>92262677</v>
      </c>
      <c r="G764" s="661">
        <v>92262677</v>
      </c>
      <c r="H764" s="660">
        <v>0</v>
      </c>
      <c r="I764" s="660">
        <v>0</v>
      </c>
      <c r="J764" s="661">
        <v>0</v>
      </c>
      <c r="K764" s="660">
        <v>0</v>
      </c>
      <c r="L764" s="660">
        <v>0</v>
      </c>
      <c r="M764" s="660">
        <v>0</v>
      </c>
      <c r="N764" s="660">
        <v>0</v>
      </c>
      <c r="O764" s="451"/>
    </row>
    <row r="765" spans="1:15" s="175" customFormat="1" ht="12" hidden="1" customHeight="1" x14ac:dyDescent="0.2">
      <c r="A765" s="188"/>
      <c r="B765" s="883"/>
      <c r="C765" s="884"/>
      <c r="D765" s="884" t="s">
        <v>1664</v>
      </c>
      <c r="E765" s="659" t="s">
        <v>1557</v>
      </c>
      <c r="F765" s="660">
        <v>207066193</v>
      </c>
      <c r="G765" s="661">
        <v>207066193</v>
      </c>
      <c r="H765" s="660">
        <v>0</v>
      </c>
      <c r="I765" s="660">
        <v>0</v>
      </c>
      <c r="J765" s="661">
        <v>0</v>
      </c>
      <c r="K765" s="660">
        <v>0</v>
      </c>
      <c r="L765" s="660">
        <v>0</v>
      </c>
      <c r="M765" s="660">
        <v>0</v>
      </c>
      <c r="N765" s="660">
        <v>0</v>
      </c>
      <c r="O765" s="451"/>
    </row>
    <row r="766" spans="1:15" s="175" customFormat="1" ht="12" customHeight="1" x14ac:dyDescent="0.2">
      <c r="A766" s="188"/>
      <c r="B766" s="883"/>
      <c r="C766" s="884"/>
      <c r="D766" s="884" t="s">
        <v>1664</v>
      </c>
      <c r="E766" s="659" t="s">
        <v>822</v>
      </c>
      <c r="F766" s="660">
        <v>427442</v>
      </c>
      <c r="G766" s="661">
        <v>427442</v>
      </c>
      <c r="H766" s="660">
        <v>0</v>
      </c>
      <c r="I766" s="660">
        <v>0</v>
      </c>
      <c r="J766" s="661">
        <v>0</v>
      </c>
      <c r="K766" s="660">
        <v>0</v>
      </c>
      <c r="L766" s="660">
        <v>0</v>
      </c>
      <c r="M766" s="660">
        <v>0</v>
      </c>
      <c r="N766" s="660">
        <v>0</v>
      </c>
      <c r="O766" s="451"/>
    </row>
    <row r="767" spans="1:15" s="175" customFormat="1" ht="12" customHeight="1" x14ac:dyDescent="0.2">
      <c r="A767" s="188"/>
      <c r="B767" s="883"/>
      <c r="C767" s="884" t="s">
        <v>4278</v>
      </c>
      <c r="D767" s="884" t="s">
        <v>4279</v>
      </c>
      <c r="E767" s="659" t="s">
        <v>26</v>
      </c>
      <c r="F767" s="660">
        <v>138980000</v>
      </c>
      <c r="G767" s="661">
        <v>37745000</v>
      </c>
      <c r="H767" s="660">
        <v>101235000</v>
      </c>
      <c r="I767" s="660">
        <v>67490000</v>
      </c>
      <c r="J767" s="661">
        <v>33745000</v>
      </c>
      <c r="K767" s="660">
        <v>33745000</v>
      </c>
      <c r="L767" s="660">
        <v>0</v>
      </c>
      <c r="M767" s="660">
        <v>0</v>
      </c>
      <c r="N767" s="660">
        <v>0</v>
      </c>
      <c r="O767" s="451"/>
    </row>
    <row r="768" spans="1:15" s="175" customFormat="1" ht="12" customHeight="1" x14ac:dyDescent="0.2">
      <c r="A768" s="188"/>
      <c r="B768" s="883"/>
      <c r="C768" s="884"/>
      <c r="D768" s="884" t="s">
        <v>4279</v>
      </c>
      <c r="E768" s="659" t="s">
        <v>22</v>
      </c>
      <c r="F768" s="660">
        <v>15674347</v>
      </c>
      <c r="G768" s="661">
        <v>3918587</v>
      </c>
      <c r="H768" s="660">
        <v>11755760</v>
      </c>
      <c r="I768" s="660">
        <v>7837173</v>
      </c>
      <c r="J768" s="661">
        <v>3918587</v>
      </c>
      <c r="K768" s="660">
        <v>3918587</v>
      </c>
      <c r="L768" s="660">
        <v>0</v>
      </c>
      <c r="M768" s="660">
        <v>0</v>
      </c>
      <c r="N768" s="660">
        <v>0</v>
      </c>
      <c r="O768" s="451"/>
    </row>
    <row r="769" spans="1:15" s="175" customFormat="1" ht="12" hidden="1" customHeight="1" x14ac:dyDescent="0.2">
      <c r="A769" s="188"/>
      <c r="B769" s="883"/>
      <c r="C769" s="884"/>
      <c r="D769" s="884" t="s">
        <v>4279</v>
      </c>
      <c r="E769" s="659" t="s">
        <v>1557</v>
      </c>
      <c r="F769" s="660">
        <v>280000000</v>
      </c>
      <c r="G769" s="661">
        <v>0</v>
      </c>
      <c r="H769" s="660">
        <v>280000000</v>
      </c>
      <c r="I769" s="660">
        <v>280000000</v>
      </c>
      <c r="J769" s="661">
        <v>0</v>
      </c>
      <c r="K769" s="660">
        <v>0</v>
      </c>
      <c r="L769" s="660">
        <v>0</v>
      </c>
      <c r="M769" s="660">
        <v>0</v>
      </c>
      <c r="N769" s="660">
        <v>0</v>
      </c>
      <c r="O769" s="451"/>
    </row>
    <row r="770" spans="1:15" s="175" customFormat="1" ht="12" customHeight="1" x14ac:dyDescent="0.2">
      <c r="A770" s="188"/>
      <c r="B770" s="883"/>
      <c r="C770" s="884" t="s">
        <v>1965</v>
      </c>
      <c r="D770" s="884" t="s">
        <v>3335</v>
      </c>
      <c r="E770" s="659" t="s">
        <v>26</v>
      </c>
      <c r="F770" s="660">
        <v>345430800</v>
      </c>
      <c r="G770" s="661">
        <v>345430800</v>
      </c>
      <c r="H770" s="660">
        <v>0</v>
      </c>
      <c r="I770" s="660">
        <v>0</v>
      </c>
      <c r="J770" s="661">
        <v>0</v>
      </c>
      <c r="K770" s="660">
        <v>0</v>
      </c>
      <c r="L770" s="660">
        <v>0</v>
      </c>
      <c r="M770" s="660">
        <v>0</v>
      </c>
      <c r="N770" s="660">
        <v>0</v>
      </c>
      <c r="O770" s="451"/>
    </row>
    <row r="771" spans="1:15" s="175" customFormat="1" ht="12" customHeight="1" x14ac:dyDescent="0.2">
      <c r="A771" s="188"/>
      <c r="B771" s="883"/>
      <c r="C771" s="884"/>
      <c r="D771" s="884" t="s">
        <v>3335</v>
      </c>
      <c r="E771" s="659" t="s">
        <v>3212</v>
      </c>
      <c r="F771" s="660">
        <v>1285740</v>
      </c>
      <c r="G771" s="661">
        <v>1285740</v>
      </c>
      <c r="H771" s="660">
        <v>0</v>
      </c>
      <c r="I771" s="660">
        <v>0</v>
      </c>
      <c r="J771" s="661">
        <v>0</v>
      </c>
      <c r="K771" s="660">
        <v>0</v>
      </c>
      <c r="L771" s="660">
        <v>0</v>
      </c>
      <c r="M771" s="660">
        <v>0</v>
      </c>
      <c r="N771" s="660">
        <v>0</v>
      </c>
      <c r="O771" s="451"/>
    </row>
    <row r="772" spans="1:15" s="175" customFormat="1" ht="12" customHeight="1" x14ac:dyDescent="0.2">
      <c r="A772" s="188"/>
      <c r="B772" s="883"/>
      <c r="C772" s="884"/>
      <c r="D772" s="884" t="s">
        <v>3335</v>
      </c>
      <c r="E772" s="659" t="s">
        <v>195</v>
      </c>
      <c r="F772" s="660">
        <v>703914</v>
      </c>
      <c r="G772" s="661">
        <v>703914</v>
      </c>
      <c r="H772" s="660">
        <v>0</v>
      </c>
      <c r="I772" s="660">
        <v>0</v>
      </c>
      <c r="J772" s="661">
        <v>0</v>
      </c>
      <c r="K772" s="660">
        <v>0</v>
      </c>
      <c r="L772" s="660">
        <v>0</v>
      </c>
      <c r="M772" s="660">
        <v>0</v>
      </c>
      <c r="N772" s="660">
        <v>0</v>
      </c>
      <c r="O772" s="451"/>
    </row>
    <row r="773" spans="1:15" s="175" customFormat="1" ht="12" customHeight="1" x14ac:dyDescent="0.2">
      <c r="A773" s="188"/>
      <c r="B773" s="883"/>
      <c r="C773" s="884"/>
      <c r="D773" s="884" t="s">
        <v>3335</v>
      </c>
      <c r="E773" s="659" t="s">
        <v>2676</v>
      </c>
      <c r="F773" s="660">
        <v>4062260</v>
      </c>
      <c r="G773" s="661">
        <v>4062260</v>
      </c>
      <c r="H773" s="660">
        <v>0</v>
      </c>
      <c r="I773" s="660">
        <v>0</v>
      </c>
      <c r="J773" s="661">
        <v>0</v>
      </c>
      <c r="K773" s="660">
        <v>0</v>
      </c>
      <c r="L773" s="660">
        <v>0</v>
      </c>
      <c r="M773" s="660">
        <v>0</v>
      </c>
      <c r="N773" s="660">
        <v>0</v>
      </c>
      <c r="O773" s="451"/>
    </row>
    <row r="774" spans="1:15" s="175" customFormat="1" ht="12" customHeight="1" x14ac:dyDescent="0.2">
      <c r="A774" s="188"/>
      <c r="B774" s="883"/>
      <c r="C774" s="884" t="s">
        <v>1966</v>
      </c>
      <c r="D774" s="884" t="s">
        <v>998</v>
      </c>
      <c r="E774" s="659" t="s">
        <v>26</v>
      </c>
      <c r="F774" s="660">
        <v>105235680</v>
      </c>
      <c r="G774" s="661">
        <v>105235680</v>
      </c>
      <c r="H774" s="660">
        <v>0</v>
      </c>
      <c r="I774" s="660">
        <v>0</v>
      </c>
      <c r="J774" s="661">
        <v>0</v>
      </c>
      <c r="K774" s="660">
        <v>0</v>
      </c>
      <c r="L774" s="660">
        <v>0</v>
      </c>
      <c r="M774" s="660">
        <v>0</v>
      </c>
      <c r="N774" s="660">
        <v>0</v>
      </c>
      <c r="O774" s="451"/>
    </row>
    <row r="775" spans="1:15" s="175" customFormat="1" ht="12" customHeight="1" x14ac:dyDescent="0.2">
      <c r="A775" s="188"/>
      <c r="B775" s="883"/>
      <c r="C775" s="884"/>
      <c r="D775" s="884" t="s">
        <v>998</v>
      </c>
      <c r="E775" s="659" t="s">
        <v>22</v>
      </c>
      <c r="F775" s="660">
        <v>12975565</v>
      </c>
      <c r="G775" s="661">
        <v>12975565</v>
      </c>
      <c r="H775" s="660">
        <v>0</v>
      </c>
      <c r="I775" s="660">
        <v>0</v>
      </c>
      <c r="J775" s="661">
        <v>0</v>
      </c>
      <c r="K775" s="660">
        <v>0</v>
      </c>
      <c r="L775" s="660">
        <v>0</v>
      </c>
      <c r="M775" s="660">
        <v>0</v>
      </c>
      <c r="N775" s="660">
        <v>0</v>
      </c>
      <c r="O775" s="451"/>
    </row>
    <row r="776" spans="1:15" s="175" customFormat="1" ht="12" hidden="1" customHeight="1" x14ac:dyDescent="0.2">
      <c r="A776" s="188"/>
      <c r="B776" s="883"/>
      <c r="C776" s="884"/>
      <c r="D776" s="884" t="s">
        <v>998</v>
      </c>
      <c r="E776" s="659" t="s">
        <v>1557</v>
      </c>
      <c r="F776" s="660">
        <v>245549920</v>
      </c>
      <c r="G776" s="661">
        <v>245549920</v>
      </c>
      <c r="H776" s="660">
        <v>0</v>
      </c>
      <c r="I776" s="660">
        <v>0</v>
      </c>
      <c r="J776" s="661">
        <v>0</v>
      </c>
      <c r="K776" s="660">
        <v>0</v>
      </c>
      <c r="L776" s="660">
        <v>0</v>
      </c>
      <c r="M776" s="660">
        <v>0</v>
      </c>
      <c r="N776" s="660">
        <v>0</v>
      </c>
      <c r="O776" s="451"/>
    </row>
    <row r="777" spans="1:15" s="175" customFormat="1" ht="12" customHeight="1" x14ac:dyDescent="0.2">
      <c r="A777" s="188"/>
      <c r="B777" s="883"/>
      <c r="C777" s="884"/>
      <c r="D777" s="884" t="s">
        <v>998</v>
      </c>
      <c r="E777" s="659" t="s">
        <v>3212</v>
      </c>
      <c r="F777" s="660">
        <v>79683</v>
      </c>
      <c r="G777" s="661">
        <v>0</v>
      </c>
      <c r="H777" s="660">
        <v>79683</v>
      </c>
      <c r="I777" s="660">
        <v>0</v>
      </c>
      <c r="J777" s="661">
        <v>79683</v>
      </c>
      <c r="K777" s="660">
        <v>0</v>
      </c>
      <c r="L777" s="660">
        <v>0</v>
      </c>
      <c r="M777" s="660">
        <v>0</v>
      </c>
      <c r="N777" s="660">
        <v>79683</v>
      </c>
      <c r="O777" s="451"/>
    </row>
    <row r="778" spans="1:15" s="175" customFormat="1" ht="12" customHeight="1" x14ac:dyDescent="0.2">
      <c r="A778" s="188"/>
      <c r="B778" s="883"/>
      <c r="C778" s="884" t="s">
        <v>1967</v>
      </c>
      <c r="D778" s="884" t="s">
        <v>1714</v>
      </c>
      <c r="E778" s="659" t="s">
        <v>26</v>
      </c>
      <c r="F778" s="660">
        <v>89876220</v>
      </c>
      <c r="G778" s="661">
        <v>89876220</v>
      </c>
      <c r="H778" s="660">
        <v>0</v>
      </c>
      <c r="I778" s="660">
        <v>0</v>
      </c>
      <c r="J778" s="661">
        <v>0</v>
      </c>
      <c r="K778" s="660">
        <v>0</v>
      </c>
      <c r="L778" s="660">
        <v>0</v>
      </c>
      <c r="M778" s="660">
        <v>0</v>
      </c>
      <c r="N778" s="660">
        <v>0</v>
      </c>
      <c r="O778" s="451"/>
    </row>
    <row r="779" spans="1:15" s="175" customFormat="1" ht="12" customHeight="1" x14ac:dyDescent="0.2">
      <c r="A779" s="188"/>
      <c r="B779" s="883"/>
      <c r="C779" s="884"/>
      <c r="D779" s="884" t="s">
        <v>1714</v>
      </c>
      <c r="E779" s="659" t="s">
        <v>22</v>
      </c>
      <c r="F779" s="660">
        <v>10080975</v>
      </c>
      <c r="G779" s="661">
        <v>10080975</v>
      </c>
      <c r="H779" s="660">
        <v>0</v>
      </c>
      <c r="I779" s="660">
        <v>0</v>
      </c>
      <c r="J779" s="661">
        <v>0</v>
      </c>
      <c r="K779" s="660">
        <v>0</v>
      </c>
      <c r="L779" s="660">
        <v>0</v>
      </c>
      <c r="M779" s="660">
        <v>0</v>
      </c>
      <c r="N779" s="660">
        <v>0</v>
      </c>
      <c r="O779" s="451"/>
    </row>
    <row r="780" spans="1:15" s="175" customFormat="1" ht="12" hidden="1" customHeight="1" x14ac:dyDescent="0.2">
      <c r="A780" s="188"/>
      <c r="B780" s="883"/>
      <c r="C780" s="884"/>
      <c r="D780" s="884" t="s">
        <v>1714</v>
      </c>
      <c r="E780" s="659" t="s">
        <v>1557</v>
      </c>
      <c r="F780" s="660">
        <v>209711180</v>
      </c>
      <c r="G780" s="661">
        <v>209711180</v>
      </c>
      <c r="H780" s="660">
        <v>0</v>
      </c>
      <c r="I780" s="660">
        <v>0</v>
      </c>
      <c r="J780" s="661">
        <v>0</v>
      </c>
      <c r="K780" s="660">
        <v>0</v>
      </c>
      <c r="L780" s="660">
        <v>0</v>
      </c>
      <c r="M780" s="660">
        <v>0</v>
      </c>
      <c r="N780" s="660">
        <v>0</v>
      </c>
      <c r="O780" s="451"/>
    </row>
    <row r="781" spans="1:15" s="175" customFormat="1" ht="12" customHeight="1" x14ac:dyDescent="0.2">
      <c r="A781" s="188"/>
      <c r="B781" s="883"/>
      <c r="C781" s="884"/>
      <c r="D781" s="884" t="s">
        <v>1714</v>
      </c>
      <c r="E781" s="659" t="s">
        <v>3212</v>
      </c>
      <c r="F781" s="660">
        <v>68142</v>
      </c>
      <c r="G781" s="661">
        <v>68142</v>
      </c>
      <c r="H781" s="660">
        <v>0</v>
      </c>
      <c r="I781" s="660">
        <v>0</v>
      </c>
      <c r="J781" s="661">
        <v>0</v>
      </c>
      <c r="K781" s="660">
        <v>0</v>
      </c>
      <c r="L781" s="660">
        <v>0</v>
      </c>
      <c r="M781" s="660">
        <v>0</v>
      </c>
      <c r="N781" s="660">
        <v>0</v>
      </c>
      <c r="O781" s="451"/>
    </row>
    <row r="782" spans="1:15" s="175" customFormat="1" ht="12" customHeight="1" x14ac:dyDescent="0.2">
      <c r="A782" s="188"/>
      <c r="B782" s="883"/>
      <c r="C782" s="884" t="s">
        <v>1968</v>
      </c>
      <c r="D782" s="884" t="s">
        <v>1008</v>
      </c>
      <c r="E782" s="659" t="s">
        <v>26</v>
      </c>
      <c r="F782" s="660">
        <v>186335500</v>
      </c>
      <c r="G782" s="661">
        <v>186335500</v>
      </c>
      <c r="H782" s="660">
        <v>0</v>
      </c>
      <c r="I782" s="660">
        <v>0</v>
      </c>
      <c r="J782" s="661">
        <v>0</v>
      </c>
      <c r="K782" s="660">
        <v>0</v>
      </c>
      <c r="L782" s="660">
        <v>0</v>
      </c>
      <c r="M782" s="660">
        <v>0</v>
      </c>
      <c r="N782" s="660">
        <v>0</v>
      </c>
      <c r="O782" s="451"/>
    </row>
    <row r="783" spans="1:15" s="175" customFormat="1" ht="12" hidden="1" customHeight="1" x14ac:dyDescent="0.2">
      <c r="A783" s="188"/>
      <c r="B783" s="883"/>
      <c r="C783" s="884"/>
      <c r="D783" s="884" t="s">
        <v>1008</v>
      </c>
      <c r="E783" s="659" t="s">
        <v>1557</v>
      </c>
      <c r="F783" s="660">
        <v>157646918</v>
      </c>
      <c r="G783" s="661">
        <v>157646918</v>
      </c>
      <c r="H783" s="660">
        <v>0</v>
      </c>
      <c r="I783" s="660">
        <v>0</v>
      </c>
      <c r="J783" s="661">
        <v>0</v>
      </c>
      <c r="K783" s="660">
        <v>0</v>
      </c>
      <c r="L783" s="660">
        <v>0</v>
      </c>
      <c r="M783" s="660">
        <v>0</v>
      </c>
      <c r="N783" s="660">
        <v>0</v>
      </c>
      <c r="O783" s="451"/>
    </row>
    <row r="784" spans="1:15" s="175" customFormat="1" ht="12" customHeight="1" x14ac:dyDescent="0.2">
      <c r="A784" s="188"/>
      <c r="B784" s="883"/>
      <c r="C784" s="884"/>
      <c r="D784" s="884" t="s">
        <v>1008</v>
      </c>
      <c r="E784" s="659" t="s">
        <v>822</v>
      </c>
      <c r="F784" s="660">
        <v>491206</v>
      </c>
      <c r="G784" s="661">
        <v>491206</v>
      </c>
      <c r="H784" s="660">
        <v>0</v>
      </c>
      <c r="I784" s="660">
        <v>0</v>
      </c>
      <c r="J784" s="661">
        <v>0</v>
      </c>
      <c r="K784" s="660">
        <v>0</v>
      </c>
      <c r="L784" s="660">
        <v>0</v>
      </c>
      <c r="M784" s="660">
        <v>0</v>
      </c>
      <c r="N784" s="660">
        <v>0</v>
      </c>
      <c r="O784" s="451"/>
    </row>
    <row r="785" spans="1:15" s="175" customFormat="1" ht="12" customHeight="1" x14ac:dyDescent="0.2">
      <c r="A785" s="188"/>
      <c r="B785" s="883"/>
      <c r="C785" s="884" t="s">
        <v>1969</v>
      </c>
      <c r="D785" s="884" t="s">
        <v>1970</v>
      </c>
      <c r="E785" s="659" t="s">
        <v>26</v>
      </c>
      <c r="F785" s="660">
        <v>105000000</v>
      </c>
      <c r="G785" s="661">
        <v>105000000</v>
      </c>
      <c r="H785" s="660">
        <v>0</v>
      </c>
      <c r="I785" s="660">
        <v>0</v>
      </c>
      <c r="J785" s="661">
        <v>0</v>
      </c>
      <c r="K785" s="660">
        <v>0</v>
      </c>
      <c r="L785" s="660">
        <v>0</v>
      </c>
      <c r="M785" s="660">
        <v>0</v>
      </c>
      <c r="N785" s="660">
        <v>0</v>
      </c>
      <c r="O785" s="451"/>
    </row>
    <row r="786" spans="1:15" s="175" customFormat="1" ht="12" hidden="1" customHeight="1" x14ac:dyDescent="0.2">
      <c r="A786" s="188"/>
      <c r="B786" s="883"/>
      <c r="C786" s="884"/>
      <c r="D786" s="884" t="s">
        <v>1970</v>
      </c>
      <c r="E786" s="659" t="s">
        <v>1557</v>
      </c>
      <c r="F786" s="660">
        <v>245000000</v>
      </c>
      <c r="G786" s="661">
        <v>245000000</v>
      </c>
      <c r="H786" s="660">
        <v>0</v>
      </c>
      <c r="I786" s="660">
        <v>0</v>
      </c>
      <c r="J786" s="661">
        <v>0</v>
      </c>
      <c r="K786" s="660">
        <v>0</v>
      </c>
      <c r="L786" s="660">
        <v>0</v>
      </c>
      <c r="M786" s="660">
        <v>0</v>
      </c>
      <c r="N786" s="660">
        <v>0</v>
      </c>
      <c r="O786" s="451"/>
    </row>
    <row r="787" spans="1:15" s="175" customFormat="1" ht="12" customHeight="1" x14ac:dyDescent="0.2">
      <c r="A787" s="188"/>
      <c r="B787" s="883"/>
      <c r="C787" s="884"/>
      <c r="D787" s="884" t="s">
        <v>1970</v>
      </c>
      <c r="E787" s="659" t="s">
        <v>822</v>
      </c>
      <c r="F787" s="660">
        <v>453600</v>
      </c>
      <c r="G787" s="661">
        <v>453600</v>
      </c>
      <c r="H787" s="660">
        <v>0</v>
      </c>
      <c r="I787" s="660">
        <v>0</v>
      </c>
      <c r="J787" s="661">
        <v>0</v>
      </c>
      <c r="K787" s="660">
        <v>0</v>
      </c>
      <c r="L787" s="660">
        <v>0</v>
      </c>
      <c r="M787" s="660">
        <v>0</v>
      </c>
      <c r="N787" s="660">
        <v>0</v>
      </c>
      <c r="O787" s="451"/>
    </row>
    <row r="788" spans="1:15" s="175" customFormat="1" ht="12" customHeight="1" x14ac:dyDescent="0.2">
      <c r="A788" s="188"/>
      <c r="B788" s="883"/>
      <c r="C788" s="884"/>
      <c r="D788" s="884" t="s">
        <v>1970</v>
      </c>
      <c r="E788" s="659" t="s">
        <v>195</v>
      </c>
      <c r="F788" s="660">
        <v>119000</v>
      </c>
      <c r="G788" s="661">
        <v>119000</v>
      </c>
      <c r="H788" s="660">
        <v>0</v>
      </c>
      <c r="I788" s="660">
        <v>0</v>
      </c>
      <c r="J788" s="661">
        <v>0</v>
      </c>
      <c r="K788" s="660">
        <v>0</v>
      </c>
      <c r="L788" s="660">
        <v>0</v>
      </c>
      <c r="M788" s="660">
        <v>0</v>
      </c>
      <c r="N788" s="660">
        <v>0</v>
      </c>
      <c r="O788" s="451"/>
    </row>
    <row r="789" spans="1:15" s="175" customFormat="1" ht="12" customHeight="1" x14ac:dyDescent="0.2">
      <c r="A789" s="188"/>
      <c r="B789" s="883"/>
      <c r="C789" s="884"/>
      <c r="D789" s="884" t="s">
        <v>1970</v>
      </c>
      <c r="E789" s="659" t="s">
        <v>2676</v>
      </c>
      <c r="F789" s="660">
        <v>134000</v>
      </c>
      <c r="G789" s="661">
        <v>134000</v>
      </c>
      <c r="H789" s="660">
        <v>0</v>
      </c>
      <c r="I789" s="660">
        <v>0</v>
      </c>
      <c r="J789" s="661">
        <v>0</v>
      </c>
      <c r="K789" s="660">
        <v>0</v>
      </c>
      <c r="L789" s="660">
        <v>0</v>
      </c>
      <c r="M789" s="660">
        <v>0</v>
      </c>
      <c r="N789" s="660">
        <v>0</v>
      </c>
      <c r="O789" s="451"/>
    </row>
    <row r="790" spans="1:15" s="175" customFormat="1" ht="12" customHeight="1" x14ac:dyDescent="0.2">
      <c r="A790" s="188"/>
      <c r="B790" s="883"/>
      <c r="C790" s="884" t="s">
        <v>1971</v>
      </c>
      <c r="D790" s="884" t="s">
        <v>999</v>
      </c>
      <c r="E790" s="659" t="s">
        <v>26</v>
      </c>
      <c r="F790" s="660">
        <v>89446183</v>
      </c>
      <c r="G790" s="661">
        <v>89446183</v>
      </c>
      <c r="H790" s="660">
        <v>0</v>
      </c>
      <c r="I790" s="660">
        <v>0</v>
      </c>
      <c r="J790" s="661">
        <v>0</v>
      </c>
      <c r="K790" s="660">
        <v>0</v>
      </c>
      <c r="L790" s="660">
        <v>0</v>
      </c>
      <c r="M790" s="660">
        <v>0</v>
      </c>
      <c r="N790" s="660">
        <v>0</v>
      </c>
      <c r="O790" s="451"/>
    </row>
    <row r="791" spans="1:15" s="175" customFormat="1" ht="12" customHeight="1" x14ac:dyDescent="0.2">
      <c r="A791" s="188"/>
      <c r="B791" s="883"/>
      <c r="C791" s="884"/>
      <c r="D791" s="884" t="s">
        <v>999</v>
      </c>
      <c r="E791" s="659" t="s">
        <v>22</v>
      </c>
      <c r="F791" s="660">
        <v>10080975</v>
      </c>
      <c r="G791" s="661">
        <v>10080975</v>
      </c>
      <c r="H791" s="660">
        <v>0</v>
      </c>
      <c r="I791" s="660">
        <v>0</v>
      </c>
      <c r="J791" s="661">
        <v>0</v>
      </c>
      <c r="K791" s="660">
        <v>0</v>
      </c>
      <c r="L791" s="660">
        <v>0</v>
      </c>
      <c r="M791" s="660">
        <v>0</v>
      </c>
      <c r="N791" s="660">
        <v>0</v>
      </c>
      <c r="O791" s="451"/>
    </row>
    <row r="792" spans="1:15" s="175" customFormat="1" ht="12" hidden="1" customHeight="1" x14ac:dyDescent="0.2">
      <c r="A792" s="188"/>
      <c r="B792" s="883"/>
      <c r="C792" s="884"/>
      <c r="D792" s="884" t="s">
        <v>999</v>
      </c>
      <c r="E792" s="659" t="s">
        <v>1557</v>
      </c>
      <c r="F792" s="660">
        <v>208707761</v>
      </c>
      <c r="G792" s="661">
        <v>208707761</v>
      </c>
      <c r="H792" s="660">
        <v>0</v>
      </c>
      <c r="I792" s="660">
        <v>0</v>
      </c>
      <c r="J792" s="661">
        <v>0</v>
      </c>
      <c r="K792" s="660">
        <v>0</v>
      </c>
      <c r="L792" s="660">
        <v>0</v>
      </c>
      <c r="M792" s="660">
        <v>0</v>
      </c>
      <c r="N792" s="660">
        <v>0</v>
      </c>
      <c r="O792" s="451"/>
    </row>
    <row r="793" spans="1:15" s="175" customFormat="1" ht="12" customHeight="1" x14ac:dyDescent="0.2">
      <c r="A793" s="188"/>
      <c r="B793" s="883"/>
      <c r="C793" s="884"/>
      <c r="D793" s="884" t="s">
        <v>999</v>
      </c>
      <c r="E793" s="659" t="s">
        <v>3212</v>
      </c>
      <c r="F793" s="660">
        <v>1491160</v>
      </c>
      <c r="G793" s="661">
        <v>0</v>
      </c>
      <c r="H793" s="660">
        <v>1491160</v>
      </c>
      <c r="I793" s="660">
        <v>0</v>
      </c>
      <c r="J793" s="661">
        <v>1491160</v>
      </c>
      <c r="K793" s="660">
        <v>0</v>
      </c>
      <c r="L793" s="660">
        <v>0</v>
      </c>
      <c r="M793" s="660">
        <v>1491160</v>
      </c>
      <c r="N793" s="660">
        <v>0</v>
      </c>
      <c r="O793" s="451"/>
    </row>
    <row r="794" spans="1:15" s="175" customFormat="1" ht="12" customHeight="1" x14ac:dyDescent="0.2">
      <c r="A794" s="188"/>
      <c r="B794" s="883"/>
      <c r="C794" s="884"/>
      <c r="D794" s="884" t="s">
        <v>999</v>
      </c>
      <c r="E794" s="659" t="s">
        <v>1221</v>
      </c>
      <c r="F794" s="660">
        <v>1512675</v>
      </c>
      <c r="G794" s="661">
        <v>1512675</v>
      </c>
      <c r="H794" s="660">
        <v>0</v>
      </c>
      <c r="I794" s="660">
        <v>0</v>
      </c>
      <c r="J794" s="661">
        <v>0</v>
      </c>
      <c r="K794" s="660">
        <v>0</v>
      </c>
      <c r="L794" s="660">
        <v>0</v>
      </c>
      <c r="M794" s="660">
        <v>0</v>
      </c>
      <c r="N794" s="660">
        <v>0</v>
      </c>
      <c r="O794" s="451"/>
    </row>
    <row r="795" spans="1:15" s="175" customFormat="1" ht="12" customHeight="1" x14ac:dyDescent="0.2">
      <c r="A795" s="188"/>
      <c r="B795" s="883"/>
      <c r="C795" s="884" t="s">
        <v>2612</v>
      </c>
      <c r="D795" s="884" t="s">
        <v>2613</v>
      </c>
      <c r="E795" s="659" t="s">
        <v>26</v>
      </c>
      <c r="F795" s="660">
        <v>381985931</v>
      </c>
      <c r="G795" s="661">
        <v>381985931</v>
      </c>
      <c r="H795" s="660">
        <v>0</v>
      </c>
      <c r="I795" s="660">
        <v>0</v>
      </c>
      <c r="J795" s="661">
        <v>0</v>
      </c>
      <c r="K795" s="660">
        <v>0</v>
      </c>
      <c r="L795" s="660">
        <v>0</v>
      </c>
      <c r="M795" s="660">
        <v>0</v>
      </c>
      <c r="N795" s="660">
        <v>0</v>
      </c>
      <c r="O795" s="451"/>
    </row>
    <row r="796" spans="1:15" s="175" customFormat="1" ht="12" customHeight="1" x14ac:dyDescent="0.2">
      <c r="A796" s="188"/>
      <c r="B796" s="883"/>
      <c r="C796" s="884"/>
      <c r="D796" s="884" t="s">
        <v>2613</v>
      </c>
      <c r="E796" s="659" t="s">
        <v>822</v>
      </c>
      <c r="F796" s="660">
        <v>492197</v>
      </c>
      <c r="G796" s="661">
        <v>0</v>
      </c>
      <c r="H796" s="660">
        <v>492197</v>
      </c>
      <c r="I796" s="660">
        <v>0</v>
      </c>
      <c r="J796" s="661">
        <v>492197</v>
      </c>
      <c r="K796" s="660">
        <v>0</v>
      </c>
      <c r="L796" s="660">
        <v>492197</v>
      </c>
      <c r="M796" s="660">
        <v>0</v>
      </c>
      <c r="N796" s="660">
        <v>0</v>
      </c>
      <c r="O796" s="451"/>
    </row>
    <row r="797" spans="1:15" s="175" customFormat="1" ht="12" customHeight="1" x14ac:dyDescent="0.2">
      <c r="A797" s="188"/>
      <c r="B797" s="883"/>
      <c r="C797" s="884"/>
      <c r="D797" s="884" t="s">
        <v>2613</v>
      </c>
      <c r="E797" s="659" t="s">
        <v>1221</v>
      </c>
      <c r="F797" s="660">
        <v>11584872</v>
      </c>
      <c r="G797" s="661">
        <v>11584872</v>
      </c>
      <c r="H797" s="660">
        <v>0</v>
      </c>
      <c r="I797" s="660">
        <v>0</v>
      </c>
      <c r="J797" s="661">
        <v>0</v>
      </c>
      <c r="K797" s="660">
        <v>0</v>
      </c>
      <c r="L797" s="660">
        <v>0</v>
      </c>
      <c r="M797" s="660">
        <v>0</v>
      </c>
      <c r="N797" s="660">
        <v>0</v>
      </c>
      <c r="O797" s="451"/>
    </row>
    <row r="798" spans="1:15" s="175" customFormat="1" ht="12" customHeight="1" x14ac:dyDescent="0.2">
      <c r="A798" s="188"/>
      <c r="B798" s="883"/>
      <c r="C798" s="884" t="s">
        <v>1972</v>
      </c>
      <c r="D798" s="884" t="s">
        <v>991</v>
      </c>
      <c r="E798" s="659" t="s">
        <v>26</v>
      </c>
      <c r="F798" s="660">
        <v>104465094</v>
      </c>
      <c r="G798" s="661">
        <v>104465094</v>
      </c>
      <c r="H798" s="660">
        <v>0</v>
      </c>
      <c r="I798" s="660">
        <v>0</v>
      </c>
      <c r="J798" s="661">
        <v>0</v>
      </c>
      <c r="K798" s="660">
        <v>0</v>
      </c>
      <c r="L798" s="660">
        <v>0</v>
      </c>
      <c r="M798" s="660">
        <v>0</v>
      </c>
      <c r="N798" s="660">
        <v>0</v>
      </c>
      <c r="O798" s="451"/>
    </row>
    <row r="799" spans="1:15" s="175" customFormat="1" ht="12" hidden="1" customHeight="1" x14ac:dyDescent="0.2">
      <c r="A799" s="188"/>
      <c r="B799" s="883"/>
      <c r="C799" s="884"/>
      <c r="D799" s="884" t="s">
        <v>991</v>
      </c>
      <c r="E799" s="659" t="s">
        <v>1557</v>
      </c>
      <c r="F799" s="660">
        <v>241540021</v>
      </c>
      <c r="G799" s="661">
        <v>241540021</v>
      </c>
      <c r="H799" s="660">
        <v>0</v>
      </c>
      <c r="I799" s="660">
        <v>0</v>
      </c>
      <c r="J799" s="661">
        <v>0</v>
      </c>
      <c r="K799" s="660">
        <v>0</v>
      </c>
      <c r="L799" s="660">
        <v>0</v>
      </c>
      <c r="M799" s="660">
        <v>0</v>
      </c>
      <c r="N799" s="660">
        <v>0</v>
      </c>
      <c r="O799" s="451"/>
    </row>
    <row r="800" spans="1:15" s="175" customFormat="1" ht="12" customHeight="1" x14ac:dyDescent="0.2">
      <c r="A800" s="188"/>
      <c r="B800" s="883"/>
      <c r="C800" s="884"/>
      <c r="D800" s="884" t="s">
        <v>991</v>
      </c>
      <c r="E800" s="659" t="s">
        <v>195</v>
      </c>
      <c r="F800" s="660">
        <v>2873739</v>
      </c>
      <c r="G800" s="661">
        <v>2873739</v>
      </c>
      <c r="H800" s="660">
        <v>0</v>
      </c>
      <c r="I800" s="660">
        <v>0</v>
      </c>
      <c r="J800" s="661">
        <v>0</v>
      </c>
      <c r="K800" s="660">
        <v>0</v>
      </c>
      <c r="L800" s="660">
        <v>0</v>
      </c>
      <c r="M800" s="660">
        <v>0</v>
      </c>
      <c r="N800" s="660">
        <v>0</v>
      </c>
      <c r="O800" s="451"/>
    </row>
    <row r="801" spans="1:15" s="175" customFormat="1" ht="12" customHeight="1" x14ac:dyDescent="0.2">
      <c r="A801" s="188"/>
      <c r="B801" s="883"/>
      <c r="C801" s="677" t="s">
        <v>1973</v>
      </c>
      <c r="D801" s="677" t="s">
        <v>1667</v>
      </c>
      <c r="E801" s="659" t="s">
        <v>26</v>
      </c>
      <c r="F801" s="660">
        <v>351385600</v>
      </c>
      <c r="G801" s="661">
        <v>351385600</v>
      </c>
      <c r="H801" s="660">
        <v>0</v>
      </c>
      <c r="I801" s="660">
        <v>0</v>
      </c>
      <c r="J801" s="661">
        <v>0</v>
      </c>
      <c r="K801" s="660">
        <v>0</v>
      </c>
      <c r="L801" s="660">
        <v>0</v>
      </c>
      <c r="M801" s="660">
        <v>0</v>
      </c>
      <c r="N801" s="660">
        <v>0</v>
      </c>
      <c r="O801" s="451"/>
    </row>
    <row r="802" spans="1:15" s="175" customFormat="1" ht="12" customHeight="1" x14ac:dyDescent="0.2">
      <c r="A802" s="188"/>
      <c r="B802" s="883"/>
      <c r="C802" s="884" t="s">
        <v>1974</v>
      </c>
      <c r="D802" s="884" t="s">
        <v>1666</v>
      </c>
      <c r="E802" s="659" t="s">
        <v>26</v>
      </c>
      <c r="F802" s="660">
        <v>92431676</v>
      </c>
      <c r="G802" s="661">
        <v>92431676</v>
      </c>
      <c r="H802" s="660">
        <v>0</v>
      </c>
      <c r="I802" s="660">
        <v>0</v>
      </c>
      <c r="J802" s="661">
        <v>0</v>
      </c>
      <c r="K802" s="660">
        <v>0</v>
      </c>
      <c r="L802" s="660">
        <v>0</v>
      </c>
      <c r="M802" s="660">
        <v>0</v>
      </c>
      <c r="N802" s="660">
        <v>0</v>
      </c>
      <c r="O802" s="451"/>
    </row>
    <row r="803" spans="1:15" s="175" customFormat="1" ht="12" hidden="1" customHeight="1" x14ac:dyDescent="0.2">
      <c r="A803" s="188"/>
      <c r="B803" s="883"/>
      <c r="C803" s="884"/>
      <c r="D803" s="884" t="s">
        <v>1666</v>
      </c>
      <c r="E803" s="659" t="s">
        <v>1557</v>
      </c>
      <c r="F803" s="660">
        <v>210131180</v>
      </c>
      <c r="G803" s="661">
        <v>210131180</v>
      </c>
      <c r="H803" s="660">
        <v>0</v>
      </c>
      <c r="I803" s="660">
        <v>0</v>
      </c>
      <c r="J803" s="661">
        <v>0</v>
      </c>
      <c r="K803" s="660">
        <v>0</v>
      </c>
      <c r="L803" s="660">
        <v>0</v>
      </c>
      <c r="M803" s="660">
        <v>0</v>
      </c>
      <c r="N803" s="660">
        <v>0</v>
      </c>
      <c r="O803" s="451"/>
    </row>
    <row r="804" spans="1:15" s="175" customFormat="1" ht="12" customHeight="1" x14ac:dyDescent="0.2">
      <c r="A804" s="188"/>
      <c r="B804" s="883"/>
      <c r="C804" s="884"/>
      <c r="D804" s="884" t="s">
        <v>1666</v>
      </c>
      <c r="E804" s="659" t="s">
        <v>3212</v>
      </c>
      <c r="F804" s="660">
        <v>585812</v>
      </c>
      <c r="G804" s="661">
        <v>0</v>
      </c>
      <c r="H804" s="660">
        <v>585812</v>
      </c>
      <c r="I804" s="660">
        <v>585812</v>
      </c>
      <c r="J804" s="661">
        <v>0</v>
      </c>
      <c r="K804" s="660">
        <v>0</v>
      </c>
      <c r="L804" s="660">
        <v>0</v>
      </c>
      <c r="M804" s="660">
        <v>0</v>
      </c>
      <c r="N804" s="660">
        <v>0</v>
      </c>
      <c r="O804" s="451"/>
    </row>
    <row r="805" spans="1:15" s="175" customFormat="1" ht="12" customHeight="1" x14ac:dyDescent="0.2">
      <c r="A805" s="188"/>
      <c r="B805" s="883"/>
      <c r="C805" s="884"/>
      <c r="D805" s="884" t="s">
        <v>1666</v>
      </c>
      <c r="E805" s="659" t="s">
        <v>2676</v>
      </c>
      <c r="F805" s="660">
        <v>6325144</v>
      </c>
      <c r="G805" s="661">
        <v>6325144</v>
      </c>
      <c r="H805" s="660">
        <v>0</v>
      </c>
      <c r="I805" s="660">
        <v>0</v>
      </c>
      <c r="J805" s="661">
        <v>0</v>
      </c>
      <c r="K805" s="660">
        <v>0</v>
      </c>
      <c r="L805" s="660">
        <v>0</v>
      </c>
      <c r="M805" s="660">
        <v>0</v>
      </c>
      <c r="N805" s="660">
        <v>0</v>
      </c>
      <c r="O805" s="451"/>
    </row>
    <row r="806" spans="1:15" s="175" customFormat="1" ht="12" customHeight="1" x14ac:dyDescent="0.2">
      <c r="A806" s="188"/>
      <c r="B806" s="883"/>
      <c r="C806" s="884" t="s">
        <v>2953</v>
      </c>
      <c r="D806" s="884" t="s">
        <v>3132</v>
      </c>
      <c r="E806" s="659" t="s">
        <v>26</v>
      </c>
      <c r="F806" s="660">
        <v>156704500</v>
      </c>
      <c r="G806" s="661">
        <v>156704500</v>
      </c>
      <c r="H806" s="660">
        <v>0</v>
      </c>
      <c r="I806" s="660">
        <v>0</v>
      </c>
      <c r="J806" s="661">
        <v>0</v>
      </c>
      <c r="K806" s="660">
        <v>0</v>
      </c>
      <c r="L806" s="660">
        <v>0</v>
      </c>
      <c r="M806" s="660">
        <v>0</v>
      </c>
      <c r="N806" s="660">
        <v>0</v>
      </c>
      <c r="O806" s="451"/>
    </row>
    <row r="807" spans="1:15" s="175" customFormat="1" ht="12" hidden="1" customHeight="1" x14ac:dyDescent="0.2">
      <c r="A807" s="188"/>
      <c r="B807" s="883"/>
      <c r="C807" s="884"/>
      <c r="D807" s="884" t="s">
        <v>3132</v>
      </c>
      <c r="E807" s="659" t="s">
        <v>1557</v>
      </c>
      <c r="F807" s="660">
        <v>240000000</v>
      </c>
      <c r="G807" s="661">
        <v>240000000</v>
      </c>
      <c r="H807" s="660">
        <v>0</v>
      </c>
      <c r="I807" s="660">
        <v>0</v>
      </c>
      <c r="J807" s="661">
        <v>0</v>
      </c>
      <c r="K807" s="660">
        <v>0</v>
      </c>
      <c r="L807" s="660">
        <v>0</v>
      </c>
      <c r="M807" s="660">
        <v>0</v>
      </c>
      <c r="N807" s="660">
        <v>0</v>
      </c>
      <c r="O807" s="451"/>
    </row>
    <row r="808" spans="1:15" s="175" customFormat="1" ht="12" customHeight="1" x14ac:dyDescent="0.2">
      <c r="A808" s="188"/>
      <c r="B808" s="883"/>
      <c r="C808" s="884"/>
      <c r="D808" s="884" t="s">
        <v>3132</v>
      </c>
      <c r="E808" s="659" t="s">
        <v>3212</v>
      </c>
      <c r="F808" s="660">
        <v>1337697</v>
      </c>
      <c r="G808" s="661">
        <v>1337697</v>
      </c>
      <c r="H808" s="660">
        <v>0</v>
      </c>
      <c r="I808" s="660">
        <v>0</v>
      </c>
      <c r="J808" s="661">
        <v>0</v>
      </c>
      <c r="K808" s="660">
        <v>0</v>
      </c>
      <c r="L808" s="660">
        <v>0</v>
      </c>
      <c r="M808" s="660">
        <v>0</v>
      </c>
      <c r="N808" s="660">
        <v>0</v>
      </c>
      <c r="O808" s="451"/>
    </row>
    <row r="809" spans="1:15" s="175" customFormat="1" ht="12" customHeight="1" x14ac:dyDescent="0.2">
      <c r="A809" s="188"/>
      <c r="B809" s="883"/>
      <c r="C809" s="884"/>
      <c r="D809" s="884" t="s">
        <v>3132</v>
      </c>
      <c r="E809" s="659" t="s">
        <v>2676</v>
      </c>
      <c r="F809" s="660">
        <v>1152000</v>
      </c>
      <c r="G809" s="661">
        <v>0</v>
      </c>
      <c r="H809" s="660">
        <v>1152000</v>
      </c>
      <c r="I809" s="660">
        <v>0</v>
      </c>
      <c r="J809" s="661">
        <v>1152000</v>
      </c>
      <c r="K809" s="660">
        <v>1152000</v>
      </c>
      <c r="L809" s="660">
        <v>0</v>
      </c>
      <c r="M809" s="660">
        <v>0</v>
      </c>
      <c r="N809" s="660">
        <v>0</v>
      </c>
      <c r="O809" s="451"/>
    </row>
    <row r="810" spans="1:15" s="175" customFormat="1" ht="12" customHeight="1" x14ac:dyDescent="0.2">
      <c r="A810" s="188"/>
      <c r="B810" s="883"/>
      <c r="C810" s="884"/>
      <c r="D810" s="884" t="s">
        <v>3132</v>
      </c>
      <c r="E810" s="659" t="s">
        <v>1221</v>
      </c>
      <c r="F810" s="660">
        <v>11584872</v>
      </c>
      <c r="G810" s="661">
        <v>11584872</v>
      </c>
      <c r="H810" s="660">
        <v>0</v>
      </c>
      <c r="I810" s="660">
        <v>0</v>
      </c>
      <c r="J810" s="661">
        <v>0</v>
      </c>
      <c r="K810" s="660">
        <v>0</v>
      </c>
      <c r="L810" s="660">
        <v>0</v>
      </c>
      <c r="M810" s="660">
        <v>0</v>
      </c>
      <c r="N810" s="660">
        <v>0</v>
      </c>
      <c r="O810" s="451"/>
    </row>
    <row r="811" spans="1:15" s="175" customFormat="1" ht="12" customHeight="1" x14ac:dyDescent="0.2">
      <c r="A811" s="188"/>
      <c r="B811" s="883"/>
      <c r="C811" s="884" t="s">
        <v>1975</v>
      </c>
      <c r="D811" s="884" t="s">
        <v>2954</v>
      </c>
      <c r="E811" s="659" t="s">
        <v>26</v>
      </c>
      <c r="F811" s="660">
        <v>325341427</v>
      </c>
      <c r="G811" s="661">
        <v>325341427</v>
      </c>
      <c r="H811" s="660">
        <v>0</v>
      </c>
      <c r="I811" s="660">
        <v>0</v>
      </c>
      <c r="J811" s="661">
        <v>0</v>
      </c>
      <c r="K811" s="660">
        <v>0</v>
      </c>
      <c r="L811" s="660">
        <v>0</v>
      </c>
      <c r="M811" s="660">
        <v>0</v>
      </c>
      <c r="N811" s="660">
        <v>0</v>
      </c>
      <c r="O811" s="451"/>
    </row>
    <row r="812" spans="1:15" s="175" customFormat="1" ht="12" customHeight="1" x14ac:dyDescent="0.2">
      <c r="A812" s="188"/>
      <c r="B812" s="883"/>
      <c r="C812" s="884"/>
      <c r="D812" s="884" t="s">
        <v>2954</v>
      </c>
      <c r="E812" s="659" t="s">
        <v>3212</v>
      </c>
      <c r="F812" s="660">
        <v>45474</v>
      </c>
      <c r="G812" s="661">
        <v>45474</v>
      </c>
      <c r="H812" s="660">
        <v>0</v>
      </c>
      <c r="I812" s="660">
        <v>0</v>
      </c>
      <c r="J812" s="661">
        <v>0</v>
      </c>
      <c r="K812" s="660">
        <v>0</v>
      </c>
      <c r="L812" s="660">
        <v>0</v>
      </c>
      <c r="M812" s="660">
        <v>0</v>
      </c>
      <c r="N812" s="660">
        <v>0</v>
      </c>
      <c r="O812" s="451"/>
    </row>
    <row r="813" spans="1:15" s="175" customFormat="1" ht="12" customHeight="1" x14ac:dyDescent="0.2">
      <c r="A813" s="188"/>
      <c r="B813" s="883"/>
      <c r="C813" s="884" t="s">
        <v>3263</v>
      </c>
      <c r="D813" s="884" t="s">
        <v>3264</v>
      </c>
      <c r="E813" s="659" t="s">
        <v>26</v>
      </c>
      <c r="F813" s="660">
        <v>109798000</v>
      </c>
      <c r="G813" s="661">
        <v>109798000</v>
      </c>
      <c r="H813" s="660">
        <v>0</v>
      </c>
      <c r="I813" s="660">
        <v>0</v>
      </c>
      <c r="J813" s="661">
        <v>0</v>
      </c>
      <c r="K813" s="660">
        <v>0</v>
      </c>
      <c r="L813" s="660">
        <v>0</v>
      </c>
      <c r="M813" s="660">
        <v>0</v>
      </c>
      <c r="N813" s="660">
        <v>0</v>
      </c>
      <c r="O813" s="451"/>
    </row>
    <row r="814" spans="1:15" s="175" customFormat="1" ht="12" customHeight="1" x14ac:dyDescent="0.2">
      <c r="A814" s="188"/>
      <c r="B814" s="883"/>
      <c r="C814" s="884"/>
      <c r="D814" s="884" t="s">
        <v>3264</v>
      </c>
      <c r="E814" s="659" t="s">
        <v>900</v>
      </c>
      <c r="F814" s="660">
        <v>20000000</v>
      </c>
      <c r="G814" s="661">
        <v>0</v>
      </c>
      <c r="H814" s="660">
        <v>20000000</v>
      </c>
      <c r="I814" s="660">
        <v>0</v>
      </c>
      <c r="J814" s="661">
        <v>20000000</v>
      </c>
      <c r="K814" s="660">
        <v>20000000</v>
      </c>
      <c r="L814" s="660">
        <v>0</v>
      </c>
      <c r="M814" s="660">
        <v>0</v>
      </c>
      <c r="N814" s="660">
        <v>0</v>
      </c>
      <c r="O814" s="451"/>
    </row>
    <row r="815" spans="1:15" s="175" customFormat="1" ht="12" hidden="1" customHeight="1" x14ac:dyDescent="0.2">
      <c r="A815" s="188"/>
      <c r="B815" s="883"/>
      <c r="C815" s="884"/>
      <c r="D815" s="884" t="s">
        <v>3264</v>
      </c>
      <c r="E815" s="659" t="s">
        <v>1557</v>
      </c>
      <c r="F815" s="660">
        <v>302862000</v>
      </c>
      <c r="G815" s="661">
        <v>0</v>
      </c>
      <c r="H815" s="660">
        <v>302862000</v>
      </c>
      <c r="I815" s="660">
        <v>302862000</v>
      </c>
      <c r="J815" s="661">
        <v>0</v>
      </c>
      <c r="K815" s="660">
        <v>0</v>
      </c>
      <c r="L815" s="660">
        <v>0</v>
      </c>
      <c r="M815" s="660">
        <v>0</v>
      </c>
      <c r="N815" s="660">
        <v>0</v>
      </c>
      <c r="O815" s="451"/>
    </row>
    <row r="816" spans="1:15" s="175" customFormat="1" ht="12" customHeight="1" x14ac:dyDescent="0.2">
      <c r="A816" s="188"/>
      <c r="B816" s="883"/>
      <c r="C816" s="884" t="s">
        <v>1976</v>
      </c>
      <c r="D816" s="884" t="s">
        <v>1715</v>
      </c>
      <c r="E816" s="659" t="s">
        <v>26</v>
      </c>
      <c r="F816" s="660">
        <v>90535657</v>
      </c>
      <c r="G816" s="661">
        <v>90535657</v>
      </c>
      <c r="H816" s="660">
        <v>0</v>
      </c>
      <c r="I816" s="660">
        <v>0</v>
      </c>
      <c r="J816" s="661">
        <v>0</v>
      </c>
      <c r="K816" s="660">
        <v>0</v>
      </c>
      <c r="L816" s="660">
        <v>0</v>
      </c>
      <c r="M816" s="660">
        <v>0</v>
      </c>
      <c r="N816" s="660">
        <v>0</v>
      </c>
      <c r="O816" s="451"/>
    </row>
    <row r="817" spans="1:15" s="175" customFormat="1" ht="12" hidden="1" customHeight="1" x14ac:dyDescent="0.2">
      <c r="A817" s="188"/>
      <c r="B817" s="883"/>
      <c r="C817" s="884"/>
      <c r="D817" s="884" t="s">
        <v>1715</v>
      </c>
      <c r="E817" s="659" t="s">
        <v>1557</v>
      </c>
      <c r="F817" s="660">
        <v>211133061</v>
      </c>
      <c r="G817" s="661">
        <v>211133061</v>
      </c>
      <c r="H817" s="660">
        <v>0</v>
      </c>
      <c r="I817" s="660">
        <v>0</v>
      </c>
      <c r="J817" s="661">
        <v>0</v>
      </c>
      <c r="K817" s="660">
        <v>0</v>
      </c>
      <c r="L817" s="660">
        <v>0</v>
      </c>
      <c r="M817" s="660">
        <v>0</v>
      </c>
      <c r="N817" s="660">
        <v>0</v>
      </c>
      <c r="O817" s="451"/>
    </row>
    <row r="818" spans="1:15" s="175" customFormat="1" ht="12" customHeight="1" x14ac:dyDescent="0.2">
      <c r="A818" s="188"/>
      <c r="B818" s="883"/>
      <c r="C818" s="884" t="s">
        <v>3336</v>
      </c>
      <c r="D818" s="884" t="s">
        <v>3337</v>
      </c>
      <c r="E818" s="659" t="s">
        <v>26</v>
      </c>
      <c r="F818" s="660">
        <v>103563320</v>
      </c>
      <c r="G818" s="661">
        <v>103563320</v>
      </c>
      <c r="H818" s="660">
        <v>0</v>
      </c>
      <c r="I818" s="660">
        <v>0</v>
      </c>
      <c r="J818" s="661">
        <v>0</v>
      </c>
      <c r="K818" s="660">
        <v>0</v>
      </c>
      <c r="L818" s="660">
        <v>0</v>
      </c>
      <c r="M818" s="660">
        <v>0</v>
      </c>
      <c r="N818" s="660">
        <v>0</v>
      </c>
      <c r="O818" s="451"/>
    </row>
    <row r="819" spans="1:15" s="175" customFormat="1" ht="12" customHeight="1" x14ac:dyDescent="0.2">
      <c r="A819" s="188"/>
      <c r="B819" s="883"/>
      <c r="C819" s="884"/>
      <c r="D819" s="884" t="s">
        <v>3337</v>
      </c>
      <c r="E819" s="659" t="s">
        <v>22</v>
      </c>
      <c r="F819" s="660">
        <v>79633589</v>
      </c>
      <c r="G819" s="661">
        <v>23890078</v>
      </c>
      <c r="H819" s="660">
        <v>55743511</v>
      </c>
      <c r="I819" s="660">
        <v>0</v>
      </c>
      <c r="J819" s="661">
        <v>55743511</v>
      </c>
      <c r="K819" s="660">
        <v>0</v>
      </c>
      <c r="L819" s="660">
        <v>55743511</v>
      </c>
      <c r="M819" s="660">
        <v>0</v>
      </c>
      <c r="N819" s="660">
        <v>0</v>
      </c>
      <c r="O819" s="451"/>
    </row>
    <row r="820" spans="1:15" s="175" customFormat="1" ht="12" hidden="1" customHeight="1" x14ac:dyDescent="0.2">
      <c r="A820" s="188"/>
      <c r="B820" s="883"/>
      <c r="C820" s="884"/>
      <c r="D820" s="884" t="s">
        <v>3337</v>
      </c>
      <c r="E820" s="659" t="s">
        <v>1557</v>
      </c>
      <c r="F820" s="660">
        <v>301126001</v>
      </c>
      <c r="G820" s="661">
        <v>0</v>
      </c>
      <c r="H820" s="660">
        <v>301126001</v>
      </c>
      <c r="I820" s="660">
        <v>0</v>
      </c>
      <c r="J820" s="661">
        <v>301126001</v>
      </c>
      <c r="K820" s="660">
        <v>0</v>
      </c>
      <c r="L820" s="660">
        <v>301126001</v>
      </c>
      <c r="M820" s="660">
        <v>0</v>
      </c>
      <c r="N820" s="660">
        <v>0</v>
      </c>
      <c r="O820" s="451"/>
    </row>
    <row r="821" spans="1:15" s="175" customFormat="1" ht="12" customHeight="1" x14ac:dyDescent="0.2">
      <c r="A821" s="188"/>
      <c r="B821" s="883"/>
      <c r="C821" s="884" t="s">
        <v>1977</v>
      </c>
      <c r="D821" s="884" t="s">
        <v>2955</v>
      </c>
      <c r="E821" s="659" t="s">
        <v>26</v>
      </c>
      <c r="F821" s="660">
        <v>104289240</v>
      </c>
      <c r="G821" s="661">
        <v>104289240</v>
      </c>
      <c r="H821" s="660">
        <v>0</v>
      </c>
      <c r="I821" s="660">
        <v>0</v>
      </c>
      <c r="J821" s="661">
        <v>0</v>
      </c>
      <c r="K821" s="660">
        <v>0</v>
      </c>
      <c r="L821" s="660">
        <v>0</v>
      </c>
      <c r="M821" s="660">
        <v>0</v>
      </c>
      <c r="N821" s="660">
        <v>0</v>
      </c>
      <c r="O821" s="451"/>
    </row>
    <row r="822" spans="1:15" s="175" customFormat="1" ht="12" hidden="1" customHeight="1" x14ac:dyDescent="0.2">
      <c r="A822" s="188"/>
      <c r="B822" s="883"/>
      <c r="C822" s="884"/>
      <c r="D822" s="884" t="s">
        <v>2955</v>
      </c>
      <c r="E822" s="659" t="s">
        <v>1557</v>
      </c>
      <c r="F822" s="660">
        <v>243341560</v>
      </c>
      <c r="G822" s="661">
        <v>243341560</v>
      </c>
      <c r="H822" s="660">
        <v>0</v>
      </c>
      <c r="I822" s="660">
        <v>0</v>
      </c>
      <c r="J822" s="661">
        <v>0</v>
      </c>
      <c r="K822" s="660">
        <v>0</v>
      </c>
      <c r="L822" s="660">
        <v>0</v>
      </c>
      <c r="M822" s="660">
        <v>0</v>
      </c>
      <c r="N822" s="660">
        <v>0</v>
      </c>
      <c r="O822" s="451"/>
    </row>
    <row r="823" spans="1:15" s="175" customFormat="1" ht="12" customHeight="1" x14ac:dyDescent="0.2">
      <c r="A823" s="188"/>
      <c r="B823" s="883"/>
      <c r="C823" s="884"/>
      <c r="D823" s="884" t="s">
        <v>2955</v>
      </c>
      <c r="E823" s="659" t="s">
        <v>822</v>
      </c>
      <c r="F823" s="660">
        <v>496417</v>
      </c>
      <c r="G823" s="661">
        <v>496417</v>
      </c>
      <c r="H823" s="660">
        <v>0</v>
      </c>
      <c r="I823" s="660">
        <v>0</v>
      </c>
      <c r="J823" s="661">
        <v>0</v>
      </c>
      <c r="K823" s="660">
        <v>0</v>
      </c>
      <c r="L823" s="660">
        <v>0</v>
      </c>
      <c r="M823" s="660">
        <v>0</v>
      </c>
      <c r="N823" s="660">
        <v>0</v>
      </c>
      <c r="O823" s="451"/>
    </row>
    <row r="824" spans="1:15" s="175" customFormat="1" ht="12" customHeight="1" x14ac:dyDescent="0.2">
      <c r="A824" s="188"/>
      <c r="B824" s="883"/>
      <c r="C824" s="884" t="s">
        <v>1978</v>
      </c>
      <c r="D824" s="884" t="s">
        <v>1668</v>
      </c>
      <c r="E824" s="659" t="s">
        <v>26</v>
      </c>
      <c r="F824" s="660">
        <v>105141030</v>
      </c>
      <c r="G824" s="661">
        <v>105141030</v>
      </c>
      <c r="H824" s="660">
        <v>0</v>
      </c>
      <c r="I824" s="660">
        <v>0</v>
      </c>
      <c r="J824" s="661">
        <v>0</v>
      </c>
      <c r="K824" s="660">
        <v>0</v>
      </c>
      <c r="L824" s="660">
        <v>0</v>
      </c>
      <c r="M824" s="660">
        <v>0</v>
      </c>
      <c r="N824" s="660">
        <v>0</v>
      </c>
      <c r="O824" s="451"/>
    </row>
    <row r="825" spans="1:15" s="175" customFormat="1" ht="12" hidden="1" customHeight="1" x14ac:dyDescent="0.2">
      <c r="A825" s="188"/>
      <c r="B825" s="883"/>
      <c r="C825" s="884"/>
      <c r="D825" s="884" t="s">
        <v>1668</v>
      </c>
      <c r="E825" s="659" t="s">
        <v>1557</v>
      </c>
      <c r="F825" s="660">
        <v>244639182</v>
      </c>
      <c r="G825" s="661">
        <v>244639182</v>
      </c>
      <c r="H825" s="660">
        <v>0</v>
      </c>
      <c r="I825" s="660">
        <v>0</v>
      </c>
      <c r="J825" s="661">
        <v>0</v>
      </c>
      <c r="K825" s="660">
        <v>0</v>
      </c>
      <c r="L825" s="660">
        <v>0</v>
      </c>
      <c r="M825" s="660">
        <v>0</v>
      </c>
      <c r="N825" s="660">
        <v>0</v>
      </c>
      <c r="O825" s="451"/>
    </row>
    <row r="826" spans="1:15" s="175" customFormat="1" ht="12" customHeight="1" x14ac:dyDescent="0.2">
      <c r="A826" s="188"/>
      <c r="B826" s="883"/>
      <c r="C826" s="884"/>
      <c r="D826" s="884" t="s">
        <v>1668</v>
      </c>
      <c r="E826" s="659" t="s">
        <v>822</v>
      </c>
      <c r="F826" s="660">
        <v>488369</v>
      </c>
      <c r="G826" s="661">
        <v>488369</v>
      </c>
      <c r="H826" s="660">
        <v>0</v>
      </c>
      <c r="I826" s="660">
        <v>0</v>
      </c>
      <c r="J826" s="661">
        <v>0</v>
      </c>
      <c r="K826" s="660">
        <v>0</v>
      </c>
      <c r="L826" s="660">
        <v>0</v>
      </c>
      <c r="M826" s="660">
        <v>0</v>
      </c>
      <c r="N826" s="660">
        <v>0</v>
      </c>
      <c r="O826" s="451"/>
    </row>
    <row r="827" spans="1:15" s="175" customFormat="1" ht="12" customHeight="1" x14ac:dyDescent="0.2">
      <c r="A827" s="188"/>
      <c r="B827" s="883"/>
      <c r="C827" s="884"/>
      <c r="D827" s="884" t="s">
        <v>1668</v>
      </c>
      <c r="E827" s="659" t="s">
        <v>3212</v>
      </c>
      <c r="F827" s="660">
        <v>1297156</v>
      </c>
      <c r="G827" s="661">
        <v>1297156</v>
      </c>
      <c r="H827" s="660">
        <v>0</v>
      </c>
      <c r="I827" s="660">
        <v>0</v>
      </c>
      <c r="J827" s="661">
        <v>0</v>
      </c>
      <c r="K827" s="660">
        <v>0</v>
      </c>
      <c r="L827" s="660">
        <v>0</v>
      </c>
      <c r="M827" s="660">
        <v>0</v>
      </c>
      <c r="N827" s="660">
        <v>0</v>
      </c>
      <c r="O827" s="451"/>
    </row>
    <row r="828" spans="1:15" s="175" customFormat="1" ht="12" customHeight="1" x14ac:dyDescent="0.2">
      <c r="A828" s="188"/>
      <c r="B828" s="883"/>
      <c r="C828" s="884"/>
      <c r="D828" s="884" t="s">
        <v>1668</v>
      </c>
      <c r="E828" s="659" t="s">
        <v>195</v>
      </c>
      <c r="F828" s="660">
        <v>197314</v>
      </c>
      <c r="G828" s="661">
        <v>197314</v>
      </c>
      <c r="H828" s="660">
        <v>0</v>
      </c>
      <c r="I828" s="660">
        <v>0</v>
      </c>
      <c r="J828" s="661">
        <v>0</v>
      </c>
      <c r="K828" s="660">
        <v>0</v>
      </c>
      <c r="L828" s="660">
        <v>0</v>
      </c>
      <c r="M828" s="660">
        <v>0</v>
      </c>
      <c r="N828" s="660">
        <v>0</v>
      </c>
      <c r="O828" s="451"/>
    </row>
    <row r="829" spans="1:15" s="175" customFormat="1" ht="12" customHeight="1" x14ac:dyDescent="0.2">
      <c r="A829" s="188"/>
      <c r="B829" s="883"/>
      <c r="C829" s="884" t="s">
        <v>1979</v>
      </c>
      <c r="D829" s="884" t="s">
        <v>3489</v>
      </c>
      <c r="E829" s="659" t="s">
        <v>26</v>
      </c>
      <c r="F829" s="660">
        <v>90044944</v>
      </c>
      <c r="G829" s="661">
        <v>90044944</v>
      </c>
      <c r="H829" s="660">
        <v>0</v>
      </c>
      <c r="I829" s="660">
        <v>0</v>
      </c>
      <c r="J829" s="661">
        <v>0</v>
      </c>
      <c r="K829" s="660">
        <v>0</v>
      </c>
      <c r="L829" s="660">
        <v>0</v>
      </c>
      <c r="M829" s="660">
        <v>0</v>
      </c>
      <c r="N829" s="660">
        <v>0</v>
      </c>
      <c r="O829" s="451"/>
    </row>
    <row r="830" spans="1:15" s="175" customFormat="1" ht="12" hidden="1" customHeight="1" x14ac:dyDescent="0.2">
      <c r="A830" s="188"/>
      <c r="B830" s="883"/>
      <c r="C830" s="884"/>
      <c r="D830" s="884" t="s">
        <v>3489</v>
      </c>
      <c r="E830" s="659" t="s">
        <v>1557</v>
      </c>
      <c r="F830" s="660">
        <v>209000000</v>
      </c>
      <c r="G830" s="661">
        <v>209000000</v>
      </c>
      <c r="H830" s="660">
        <v>0</v>
      </c>
      <c r="I830" s="660">
        <v>0</v>
      </c>
      <c r="J830" s="661">
        <v>0</v>
      </c>
      <c r="K830" s="660">
        <v>0</v>
      </c>
      <c r="L830" s="660">
        <v>0</v>
      </c>
      <c r="M830" s="660">
        <v>0</v>
      </c>
      <c r="N830" s="660">
        <v>0</v>
      </c>
      <c r="O830" s="451"/>
    </row>
    <row r="831" spans="1:15" s="175" customFormat="1" ht="12" customHeight="1" x14ac:dyDescent="0.2">
      <c r="A831" s="188"/>
      <c r="B831" s="883"/>
      <c r="C831" s="884" t="s">
        <v>1980</v>
      </c>
      <c r="D831" s="884" t="s">
        <v>3490</v>
      </c>
      <c r="E831" s="659" t="s">
        <v>26</v>
      </c>
      <c r="F831" s="660">
        <v>133151502</v>
      </c>
      <c r="G831" s="661">
        <v>133151502</v>
      </c>
      <c r="H831" s="660">
        <v>0</v>
      </c>
      <c r="I831" s="660">
        <v>0</v>
      </c>
      <c r="J831" s="661">
        <v>0</v>
      </c>
      <c r="K831" s="660">
        <v>0</v>
      </c>
      <c r="L831" s="660">
        <v>0</v>
      </c>
      <c r="M831" s="660">
        <v>0</v>
      </c>
      <c r="N831" s="660">
        <v>0</v>
      </c>
      <c r="O831" s="451"/>
    </row>
    <row r="832" spans="1:15" s="175" customFormat="1" ht="12" hidden="1" customHeight="1" x14ac:dyDescent="0.2">
      <c r="A832" s="188"/>
      <c r="B832" s="883"/>
      <c r="C832" s="884"/>
      <c r="D832" s="884" t="s">
        <v>3490</v>
      </c>
      <c r="E832" s="659" t="s">
        <v>1557</v>
      </c>
      <c r="F832" s="660">
        <v>215774249</v>
      </c>
      <c r="G832" s="661">
        <v>0</v>
      </c>
      <c r="H832" s="660">
        <v>215774249</v>
      </c>
      <c r="I832" s="660">
        <v>0</v>
      </c>
      <c r="J832" s="661">
        <v>215774249</v>
      </c>
      <c r="K832" s="660">
        <v>0</v>
      </c>
      <c r="L832" s="660">
        <v>0</v>
      </c>
      <c r="M832" s="660">
        <v>0</v>
      </c>
      <c r="N832" s="660">
        <v>215774249</v>
      </c>
      <c r="O832" s="451"/>
    </row>
    <row r="833" spans="1:15" s="175" customFormat="1" ht="12" customHeight="1" x14ac:dyDescent="0.2">
      <c r="A833" s="188"/>
      <c r="B833" s="883"/>
      <c r="C833" s="884"/>
      <c r="D833" s="884" t="s">
        <v>3490</v>
      </c>
      <c r="E833" s="659" t="s">
        <v>3212</v>
      </c>
      <c r="F833" s="660">
        <v>814387</v>
      </c>
      <c r="G833" s="661">
        <v>814387</v>
      </c>
      <c r="H833" s="660">
        <v>0</v>
      </c>
      <c r="I833" s="660">
        <v>0</v>
      </c>
      <c r="J833" s="661">
        <v>0</v>
      </c>
      <c r="K833" s="660">
        <v>0</v>
      </c>
      <c r="L833" s="660">
        <v>0</v>
      </c>
      <c r="M833" s="660">
        <v>0</v>
      </c>
      <c r="N833" s="660">
        <v>0</v>
      </c>
      <c r="O833" s="451"/>
    </row>
    <row r="834" spans="1:15" s="175" customFormat="1" ht="12" customHeight="1" x14ac:dyDescent="0.2">
      <c r="A834" s="188"/>
      <c r="B834" s="883"/>
      <c r="C834" s="884"/>
      <c r="D834" s="884" t="s">
        <v>3490</v>
      </c>
      <c r="E834" s="659" t="s">
        <v>195</v>
      </c>
      <c r="F834" s="660">
        <v>2961977</v>
      </c>
      <c r="G834" s="661">
        <v>2961977</v>
      </c>
      <c r="H834" s="660">
        <v>0</v>
      </c>
      <c r="I834" s="660">
        <v>0</v>
      </c>
      <c r="J834" s="661">
        <v>0</v>
      </c>
      <c r="K834" s="660">
        <v>0</v>
      </c>
      <c r="L834" s="660">
        <v>0</v>
      </c>
      <c r="M834" s="660">
        <v>0</v>
      </c>
      <c r="N834" s="660">
        <v>0</v>
      </c>
      <c r="O834" s="451"/>
    </row>
    <row r="835" spans="1:15" s="175" customFormat="1" ht="12" customHeight="1" x14ac:dyDescent="0.2">
      <c r="A835" s="188"/>
      <c r="B835" s="883"/>
      <c r="C835" s="884"/>
      <c r="D835" s="884" t="s">
        <v>3490</v>
      </c>
      <c r="E835" s="659" t="s">
        <v>2676</v>
      </c>
      <c r="F835" s="660">
        <v>4096416</v>
      </c>
      <c r="G835" s="661">
        <v>4096416</v>
      </c>
      <c r="H835" s="660">
        <v>0</v>
      </c>
      <c r="I835" s="660">
        <v>0</v>
      </c>
      <c r="J835" s="661">
        <v>0</v>
      </c>
      <c r="K835" s="660">
        <v>0</v>
      </c>
      <c r="L835" s="660">
        <v>0</v>
      </c>
      <c r="M835" s="660">
        <v>0</v>
      </c>
      <c r="N835" s="660">
        <v>0</v>
      </c>
      <c r="O835" s="451"/>
    </row>
    <row r="836" spans="1:15" s="175" customFormat="1" ht="12" customHeight="1" x14ac:dyDescent="0.2">
      <c r="A836" s="188"/>
      <c r="B836" s="883"/>
      <c r="C836" s="884" t="s">
        <v>1981</v>
      </c>
      <c r="D836" s="884" t="s">
        <v>4280</v>
      </c>
      <c r="E836" s="659" t="s">
        <v>26</v>
      </c>
      <c r="F836" s="660">
        <v>94952448</v>
      </c>
      <c r="G836" s="661">
        <v>94952448</v>
      </c>
      <c r="H836" s="660">
        <v>0</v>
      </c>
      <c r="I836" s="660">
        <v>0</v>
      </c>
      <c r="J836" s="661">
        <v>0</v>
      </c>
      <c r="K836" s="660">
        <v>0</v>
      </c>
      <c r="L836" s="660">
        <v>0</v>
      </c>
      <c r="M836" s="660">
        <v>0</v>
      </c>
      <c r="N836" s="660">
        <v>0</v>
      </c>
      <c r="O836" s="451"/>
    </row>
    <row r="837" spans="1:15" s="175" customFormat="1" ht="12" customHeight="1" x14ac:dyDescent="0.2">
      <c r="A837" s="188"/>
      <c r="B837" s="883"/>
      <c r="C837" s="884"/>
      <c r="D837" s="884" t="s">
        <v>4280</v>
      </c>
      <c r="E837" s="659" t="s">
        <v>198</v>
      </c>
      <c r="F837" s="660">
        <v>8526792</v>
      </c>
      <c r="G837" s="661">
        <v>8526792</v>
      </c>
      <c r="H837" s="660">
        <v>0</v>
      </c>
      <c r="I837" s="660">
        <v>0</v>
      </c>
      <c r="J837" s="661">
        <v>0</v>
      </c>
      <c r="K837" s="660">
        <v>0</v>
      </c>
      <c r="L837" s="660">
        <v>0</v>
      </c>
      <c r="M837" s="660">
        <v>0</v>
      </c>
      <c r="N837" s="660">
        <v>0</v>
      </c>
      <c r="O837" s="451"/>
    </row>
    <row r="838" spans="1:15" s="175" customFormat="1" ht="12" hidden="1" customHeight="1" x14ac:dyDescent="0.2">
      <c r="A838" s="188"/>
      <c r="B838" s="883"/>
      <c r="C838" s="884"/>
      <c r="D838" s="884" t="s">
        <v>4280</v>
      </c>
      <c r="E838" s="659" t="s">
        <v>1557</v>
      </c>
      <c r="F838" s="660">
        <v>241451560</v>
      </c>
      <c r="G838" s="661">
        <v>17379950</v>
      </c>
      <c r="H838" s="660">
        <v>224071610</v>
      </c>
      <c r="I838" s="660">
        <v>0</v>
      </c>
      <c r="J838" s="661">
        <v>224071610</v>
      </c>
      <c r="K838" s="660">
        <v>0</v>
      </c>
      <c r="L838" s="660">
        <v>0</v>
      </c>
      <c r="M838" s="660">
        <v>0</v>
      </c>
      <c r="N838" s="660">
        <v>224071610</v>
      </c>
      <c r="O838" s="451"/>
    </row>
    <row r="839" spans="1:15" s="175" customFormat="1" ht="12" customHeight="1" x14ac:dyDescent="0.2">
      <c r="A839" s="188"/>
      <c r="B839" s="883"/>
      <c r="C839" s="884"/>
      <c r="D839" s="884" t="s">
        <v>4280</v>
      </c>
      <c r="E839" s="659" t="s">
        <v>195</v>
      </c>
      <c r="F839" s="660">
        <v>592191</v>
      </c>
      <c r="G839" s="661">
        <v>592191</v>
      </c>
      <c r="H839" s="660">
        <v>0</v>
      </c>
      <c r="I839" s="660">
        <v>0</v>
      </c>
      <c r="J839" s="661">
        <v>0</v>
      </c>
      <c r="K839" s="660">
        <v>0</v>
      </c>
      <c r="L839" s="660">
        <v>0</v>
      </c>
      <c r="M839" s="660">
        <v>0</v>
      </c>
      <c r="N839" s="660">
        <v>0</v>
      </c>
      <c r="O839" s="451"/>
    </row>
    <row r="840" spans="1:15" s="175" customFormat="1" ht="12" customHeight="1" x14ac:dyDescent="0.2">
      <c r="A840" s="188"/>
      <c r="B840" s="883"/>
      <c r="C840" s="884"/>
      <c r="D840" s="884" t="s">
        <v>4280</v>
      </c>
      <c r="E840" s="659" t="s">
        <v>2676</v>
      </c>
      <c r="F840" s="660">
        <v>5038243</v>
      </c>
      <c r="G840" s="661">
        <v>5038243</v>
      </c>
      <c r="H840" s="660">
        <v>0</v>
      </c>
      <c r="I840" s="660">
        <v>0</v>
      </c>
      <c r="J840" s="661">
        <v>0</v>
      </c>
      <c r="K840" s="660">
        <v>0</v>
      </c>
      <c r="L840" s="660">
        <v>0</v>
      </c>
      <c r="M840" s="660">
        <v>0</v>
      </c>
      <c r="N840" s="660">
        <v>0</v>
      </c>
      <c r="O840" s="451"/>
    </row>
    <row r="841" spans="1:15" s="175" customFormat="1" ht="12" customHeight="1" x14ac:dyDescent="0.2">
      <c r="A841" s="188"/>
      <c r="B841" s="883"/>
      <c r="C841" s="884" t="s">
        <v>1982</v>
      </c>
      <c r="D841" s="884" t="s">
        <v>1717</v>
      </c>
      <c r="E841" s="659" t="s">
        <v>26</v>
      </c>
      <c r="F841" s="660">
        <v>110617513</v>
      </c>
      <c r="G841" s="661">
        <v>110617513</v>
      </c>
      <c r="H841" s="660">
        <v>0</v>
      </c>
      <c r="I841" s="660">
        <v>0</v>
      </c>
      <c r="J841" s="661">
        <v>0</v>
      </c>
      <c r="K841" s="660">
        <v>0</v>
      </c>
      <c r="L841" s="660">
        <v>0</v>
      </c>
      <c r="M841" s="660">
        <v>0</v>
      </c>
      <c r="N841" s="660">
        <v>0</v>
      </c>
      <c r="O841" s="451"/>
    </row>
    <row r="842" spans="1:15" s="175" customFormat="1" ht="12" hidden="1" customHeight="1" x14ac:dyDescent="0.2">
      <c r="A842" s="188"/>
      <c r="B842" s="883"/>
      <c r="C842" s="884"/>
      <c r="D842" s="884" t="s">
        <v>1717</v>
      </c>
      <c r="E842" s="659" t="s">
        <v>1557</v>
      </c>
      <c r="F842" s="660">
        <v>240000000</v>
      </c>
      <c r="G842" s="661">
        <v>240000000</v>
      </c>
      <c r="H842" s="660">
        <v>0</v>
      </c>
      <c r="I842" s="660">
        <v>0</v>
      </c>
      <c r="J842" s="661">
        <v>0</v>
      </c>
      <c r="K842" s="660">
        <v>0</v>
      </c>
      <c r="L842" s="660">
        <v>0</v>
      </c>
      <c r="M842" s="660">
        <v>0</v>
      </c>
      <c r="N842" s="660">
        <v>0</v>
      </c>
      <c r="O842" s="451"/>
    </row>
    <row r="843" spans="1:15" s="175" customFormat="1" ht="12" customHeight="1" x14ac:dyDescent="0.2">
      <c r="A843" s="188"/>
      <c r="B843" s="883"/>
      <c r="C843" s="884" t="s">
        <v>1983</v>
      </c>
      <c r="D843" s="884" t="s">
        <v>1716</v>
      </c>
      <c r="E843" s="659" t="s">
        <v>26</v>
      </c>
      <c r="F843" s="660">
        <v>101470817</v>
      </c>
      <c r="G843" s="661">
        <v>101470817</v>
      </c>
      <c r="H843" s="660">
        <v>0</v>
      </c>
      <c r="I843" s="660">
        <v>0</v>
      </c>
      <c r="J843" s="661">
        <v>0</v>
      </c>
      <c r="K843" s="660">
        <v>0</v>
      </c>
      <c r="L843" s="660">
        <v>0</v>
      </c>
      <c r="M843" s="660">
        <v>0</v>
      </c>
      <c r="N843" s="660">
        <v>0</v>
      </c>
      <c r="O843" s="451"/>
    </row>
    <row r="844" spans="1:15" s="175" customFormat="1" ht="12" hidden="1" customHeight="1" x14ac:dyDescent="0.2">
      <c r="A844" s="188"/>
      <c r="B844" s="883"/>
      <c r="C844" s="884"/>
      <c r="D844" s="884" t="s">
        <v>1716</v>
      </c>
      <c r="E844" s="659" t="s">
        <v>1557</v>
      </c>
      <c r="F844" s="660">
        <v>236765241</v>
      </c>
      <c r="G844" s="661">
        <v>236765241</v>
      </c>
      <c r="H844" s="660">
        <v>0</v>
      </c>
      <c r="I844" s="660">
        <v>0</v>
      </c>
      <c r="J844" s="661">
        <v>0</v>
      </c>
      <c r="K844" s="660">
        <v>0</v>
      </c>
      <c r="L844" s="660">
        <v>0</v>
      </c>
      <c r="M844" s="660">
        <v>0</v>
      </c>
      <c r="N844" s="660">
        <v>0</v>
      </c>
      <c r="O844" s="451"/>
    </row>
    <row r="845" spans="1:15" s="175" customFormat="1" ht="12" customHeight="1" x14ac:dyDescent="0.2">
      <c r="A845" s="188"/>
      <c r="B845" s="883"/>
      <c r="C845" s="884"/>
      <c r="D845" s="884" t="s">
        <v>1716</v>
      </c>
      <c r="E845" s="659" t="s">
        <v>3212</v>
      </c>
      <c r="F845" s="660">
        <v>1041502</v>
      </c>
      <c r="G845" s="661">
        <v>0</v>
      </c>
      <c r="H845" s="660">
        <v>1041502</v>
      </c>
      <c r="I845" s="660">
        <v>0</v>
      </c>
      <c r="J845" s="661">
        <v>1041502</v>
      </c>
      <c r="K845" s="660">
        <v>0</v>
      </c>
      <c r="L845" s="660">
        <v>0</v>
      </c>
      <c r="M845" s="660">
        <v>1041502</v>
      </c>
      <c r="N845" s="660">
        <v>0</v>
      </c>
      <c r="O845" s="451"/>
    </row>
    <row r="846" spans="1:15" s="175" customFormat="1" ht="12" customHeight="1" x14ac:dyDescent="0.2">
      <c r="A846" s="188"/>
      <c r="B846" s="883"/>
      <c r="C846" s="677" t="s">
        <v>3429</v>
      </c>
      <c r="D846" s="677" t="s">
        <v>1717</v>
      </c>
      <c r="E846" s="659" t="s">
        <v>26</v>
      </c>
      <c r="F846" s="660">
        <v>10000000</v>
      </c>
      <c r="G846" s="661">
        <v>10000000</v>
      </c>
      <c r="H846" s="660">
        <v>0</v>
      </c>
      <c r="I846" s="660">
        <v>0</v>
      </c>
      <c r="J846" s="661">
        <v>0</v>
      </c>
      <c r="K846" s="660">
        <v>0</v>
      </c>
      <c r="L846" s="660">
        <v>0</v>
      </c>
      <c r="M846" s="660">
        <v>0</v>
      </c>
      <c r="N846" s="660">
        <v>0</v>
      </c>
      <c r="O846" s="451"/>
    </row>
    <row r="847" spans="1:15" s="175" customFormat="1" ht="12" customHeight="1" x14ac:dyDescent="0.2">
      <c r="A847" s="188"/>
      <c r="B847" s="883"/>
      <c r="C847" s="677" t="s">
        <v>3133</v>
      </c>
      <c r="D847" s="677" t="s">
        <v>3134</v>
      </c>
      <c r="E847" s="659" t="s">
        <v>26</v>
      </c>
      <c r="F847" s="660">
        <v>5000000</v>
      </c>
      <c r="G847" s="661">
        <v>5000000</v>
      </c>
      <c r="H847" s="660">
        <v>0</v>
      </c>
      <c r="I847" s="660">
        <v>0</v>
      </c>
      <c r="J847" s="661">
        <v>0</v>
      </c>
      <c r="K847" s="660">
        <v>0</v>
      </c>
      <c r="L847" s="660">
        <v>0</v>
      </c>
      <c r="M847" s="660">
        <v>0</v>
      </c>
      <c r="N847" s="660">
        <v>0</v>
      </c>
      <c r="O847" s="451"/>
    </row>
    <row r="848" spans="1:15" s="175" customFormat="1" ht="12" customHeight="1" x14ac:dyDescent="0.2">
      <c r="A848" s="188"/>
      <c r="B848" s="883"/>
      <c r="C848" s="677" t="s">
        <v>3430</v>
      </c>
      <c r="D848" s="677" t="s">
        <v>1008</v>
      </c>
      <c r="E848" s="659" t="s">
        <v>26</v>
      </c>
      <c r="F848" s="660">
        <v>5000000</v>
      </c>
      <c r="G848" s="661">
        <v>5000000</v>
      </c>
      <c r="H848" s="660">
        <v>0</v>
      </c>
      <c r="I848" s="660">
        <v>0</v>
      </c>
      <c r="J848" s="661">
        <v>0</v>
      </c>
      <c r="K848" s="660">
        <v>0</v>
      </c>
      <c r="L848" s="660">
        <v>0</v>
      </c>
      <c r="M848" s="660">
        <v>0</v>
      </c>
      <c r="N848" s="660">
        <v>0</v>
      </c>
      <c r="O848" s="451"/>
    </row>
    <row r="849" spans="1:16" s="175" customFormat="1" ht="12" customHeight="1" x14ac:dyDescent="0.2">
      <c r="A849" s="188"/>
      <c r="B849" s="883"/>
      <c r="C849" s="677" t="s">
        <v>3215</v>
      </c>
      <c r="D849" s="677" t="s">
        <v>1304</v>
      </c>
      <c r="E849" s="659" t="s">
        <v>26</v>
      </c>
      <c r="F849" s="660">
        <v>10000000</v>
      </c>
      <c r="G849" s="661">
        <v>10000000</v>
      </c>
      <c r="H849" s="660">
        <v>0</v>
      </c>
      <c r="I849" s="660">
        <v>0</v>
      </c>
      <c r="J849" s="661">
        <v>0</v>
      </c>
      <c r="K849" s="660">
        <v>0</v>
      </c>
      <c r="L849" s="660">
        <v>0</v>
      </c>
      <c r="M849" s="660">
        <v>0</v>
      </c>
      <c r="N849" s="660">
        <v>0</v>
      </c>
      <c r="O849" s="451"/>
    </row>
    <row r="850" spans="1:16" s="175" customFormat="1" ht="12" customHeight="1" x14ac:dyDescent="0.2">
      <c r="A850" s="188"/>
      <c r="B850" s="883"/>
      <c r="C850" s="677" t="s">
        <v>3135</v>
      </c>
      <c r="D850" s="677" t="s">
        <v>3261</v>
      </c>
      <c r="E850" s="659" t="s">
        <v>26</v>
      </c>
      <c r="F850" s="660">
        <v>5000000</v>
      </c>
      <c r="G850" s="661">
        <v>5000000</v>
      </c>
      <c r="H850" s="660">
        <v>0</v>
      </c>
      <c r="I850" s="660">
        <v>0</v>
      </c>
      <c r="J850" s="661">
        <v>0</v>
      </c>
      <c r="K850" s="660">
        <v>0</v>
      </c>
      <c r="L850" s="660">
        <v>0</v>
      </c>
      <c r="M850" s="660">
        <v>0</v>
      </c>
      <c r="N850" s="660">
        <v>0</v>
      </c>
      <c r="O850" s="451"/>
    </row>
    <row r="851" spans="1:16" s="175" customFormat="1" ht="12" customHeight="1" x14ac:dyDescent="0.2">
      <c r="A851" s="188"/>
      <c r="B851" s="883"/>
      <c r="C851" s="677" t="s">
        <v>3216</v>
      </c>
      <c r="D851" s="677" t="s">
        <v>2576</v>
      </c>
      <c r="E851" s="659" t="s">
        <v>26</v>
      </c>
      <c r="F851" s="660">
        <v>5000000</v>
      </c>
      <c r="G851" s="661">
        <v>5000000</v>
      </c>
      <c r="H851" s="660">
        <v>0</v>
      </c>
      <c r="I851" s="660">
        <v>0</v>
      </c>
      <c r="J851" s="661">
        <v>0</v>
      </c>
      <c r="K851" s="660">
        <v>0</v>
      </c>
      <c r="L851" s="660">
        <v>0</v>
      </c>
      <c r="M851" s="660">
        <v>0</v>
      </c>
      <c r="N851" s="660">
        <v>0</v>
      </c>
      <c r="O851" s="451"/>
    </row>
    <row r="852" spans="1:16" s="175" customFormat="1" ht="12" customHeight="1" x14ac:dyDescent="0.2">
      <c r="A852" s="188"/>
      <c r="B852" s="883"/>
      <c r="C852" s="677" t="s">
        <v>3338</v>
      </c>
      <c r="D852" s="677" t="s">
        <v>3339</v>
      </c>
      <c r="E852" s="659" t="s">
        <v>26</v>
      </c>
      <c r="F852" s="660">
        <v>5000000</v>
      </c>
      <c r="G852" s="661">
        <v>5000000</v>
      </c>
      <c r="H852" s="660">
        <v>0</v>
      </c>
      <c r="I852" s="660">
        <v>0</v>
      </c>
      <c r="J852" s="661">
        <v>0</v>
      </c>
      <c r="K852" s="660">
        <v>0</v>
      </c>
      <c r="L852" s="660">
        <v>0</v>
      </c>
      <c r="M852" s="660">
        <v>0</v>
      </c>
      <c r="N852" s="660">
        <v>0</v>
      </c>
      <c r="O852" s="451"/>
    </row>
    <row r="853" spans="1:16" s="175" customFormat="1" hidden="1" x14ac:dyDescent="0.2">
      <c r="A853" s="188"/>
      <c r="B853" s="569"/>
      <c r="C853" s="593">
        <f>++'Detalle Inmueble'!I5</f>
        <v>95</v>
      </c>
      <c r="D853" s="593" t="s">
        <v>943</v>
      </c>
      <c r="E853" s="470"/>
      <c r="F853" s="563">
        <f t="shared" ref="F853:N853" si="1">SUBTOTAL(109,F527:F852)</f>
        <v>17772144528</v>
      </c>
      <c r="G853" s="563">
        <f t="shared" si="1"/>
        <v>17385505563</v>
      </c>
      <c r="H853" s="563">
        <f t="shared" si="1"/>
        <v>386638965</v>
      </c>
      <c r="I853" s="563">
        <f t="shared" si="1"/>
        <v>210072565</v>
      </c>
      <c r="J853" s="563">
        <f t="shared" si="1"/>
        <v>176566400</v>
      </c>
      <c r="K853" s="563">
        <f t="shared" si="1"/>
        <v>63198334</v>
      </c>
      <c r="L853" s="563">
        <f t="shared" si="1"/>
        <v>57353878</v>
      </c>
      <c r="M853" s="563">
        <f t="shared" si="1"/>
        <v>51490737</v>
      </c>
      <c r="N853" s="563">
        <f t="shared" si="1"/>
        <v>4523451</v>
      </c>
      <c r="O853" s="451"/>
      <c r="P853" s="452"/>
    </row>
    <row r="854" spans="1:16" s="175" customFormat="1" x14ac:dyDescent="0.2">
      <c r="A854" s="188"/>
      <c r="B854" s="885">
        <v>2</v>
      </c>
      <c r="C854" s="884" t="s">
        <v>3431</v>
      </c>
      <c r="D854" s="884" t="s">
        <v>3432</v>
      </c>
      <c r="E854" s="659" t="s">
        <v>26</v>
      </c>
      <c r="F854" s="660">
        <v>165073500</v>
      </c>
      <c r="G854" s="661">
        <v>32000000</v>
      </c>
      <c r="H854" s="660">
        <v>133073500</v>
      </c>
      <c r="I854" s="660">
        <v>133073500</v>
      </c>
      <c r="J854" s="661">
        <v>0</v>
      </c>
      <c r="K854" s="660">
        <v>0</v>
      </c>
      <c r="L854" s="660">
        <v>0</v>
      </c>
      <c r="M854" s="660">
        <v>0</v>
      </c>
      <c r="N854" s="660">
        <v>0</v>
      </c>
      <c r="O854" s="451"/>
      <c r="P854" s="453"/>
    </row>
    <row r="855" spans="1:16" s="175" customFormat="1" hidden="1" x14ac:dyDescent="0.2">
      <c r="A855" s="188"/>
      <c r="B855" s="886"/>
      <c r="C855" s="884"/>
      <c r="D855" s="884" t="s">
        <v>3432</v>
      </c>
      <c r="E855" s="659" t="s">
        <v>1557</v>
      </c>
      <c r="F855" s="660">
        <v>385171500</v>
      </c>
      <c r="G855" s="661">
        <v>0</v>
      </c>
      <c r="H855" s="660">
        <v>385171500</v>
      </c>
      <c r="I855" s="660">
        <v>385171500</v>
      </c>
      <c r="J855" s="661">
        <v>0</v>
      </c>
      <c r="K855" s="660">
        <v>0</v>
      </c>
      <c r="L855" s="660">
        <v>0</v>
      </c>
      <c r="M855" s="660">
        <v>0</v>
      </c>
      <c r="N855" s="660">
        <v>0</v>
      </c>
      <c r="O855" s="451"/>
      <c r="P855" s="453"/>
    </row>
    <row r="856" spans="1:16" s="175" customFormat="1" x14ac:dyDescent="0.2">
      <c r="A856" s="188"/>
      <c r="B856" s="886"/>
      <c r="C856" s="884" t="s">
        <v>3491</v>
      </c>
      <c r="D856" s="884" t="s">
        <v>3492</v>
      </c>
      <c r="E856" s="659" t="s">
        <v>26</v>
      </c>
      <c r="F856" s="660">
        <v>131475000</v>
      </c>
      <c r="G856" s="661">
        <v>13181000</v>
      </c>
      <c r="H856" s="660">
        <v>118294000</v>
      </c>
      <c r="I856" s="660">
        <v>109030172</v>
      </c>
      <c r="J856" s="661">
        <v>9263828</v>
      </c>
      <c r="K856" s="660">
        <v>4361207</v>
      </c>
      <c r="L856" s="660">
        <v>4361207</v>
      </c>
      <c r="M856" s="660">
        <v>541414</v>
      </c>
      <c r="N856" s="660">
        <v>0</v>
      </c>
      <c r="O856" s="451"/>
      <c r="P856" s="453"/>
    </row>
    <row r="857" spans="1:16" s="175" customFormat="1" hidden="1" x14ac:dyDescent="0.2">
      <c r="A857" s="188"/>
      <c r="B857" s="886"/>
      <c r="C857" s="884"/>
      <c r="D857" s="884" t="s">
        <v>3492</v>
      </c>
      <c r="E857" s="659" t="s">
        <v>1557</v>
      </c>
      <c r="F857" s="660">
        <v>306775000</v>
      </c>
      <c r="G857" s="661">
        <v>0</v>
      </c>
      <c r="H857" s="660">
        <v>306775000</v>
      </c>
      <c r="I857" s="660">
        <v>306775000</v>
      </c>
      <c r="J857" s="661">
        <v>0</v>
      </c>
      <c r="K857" s="660">
        <v>0</v>
      </c>
      <c r="L857" s="660">
        <v>0</v>
      </c>
      <c r="M857" s="660">
        <v>0</v>
      </c>
      <c r="N857" s="660">
        <v>0</v>
      </c>
      <c r="O857" s="451"/>
      <c r="P857" s="453"/>
    </row>
    <row r="858" spans="1:16" s="175" customFormat="1" x14ac:dyDescent="0.2">
      <c r="A858" s="188"/>
      <c r="B858" s="886"/>
      <c r="C858" s="884" t="s">
        <v>3340</v>
      </c>
      <c r="D858" s="884" t="s">
        <v>2724</v>
      </c>
      <c r="E858" s="659" t="s">
        <v>26</v>
      </c>
      <c r="F858" s="660">
        <v>162276000</v>
      </c>
      <c r="G858" s="661">
        <v>42455823</v>
      </c>
      <c r="H858" s="660">
        <v>119820177</v>
      </c>
      <c r="I858" s="660">
        <v>115211708</v>
      </c>
      <c r="J858" s="661">
        <v>4608469</v>
      </c>
      <c r="K858" s="660">
        <v>4608468</v>
      </c>
      <c r="L858" s="660">
        <v>1</v>
      </c>
      <c r="M858" s="660">
        <v>0</v>
      </c>
      <c r="N858" s="660">
        <v>0</v>
      </c>
      <c r="O858" s="451"/>
      <c r="P858" s="453"/>
    </row>
    <row r="859" spans="1:16" s="175" customFormat="1" hidden="1" x14ac:dyDescent="0.2">
      <c r="A859" s="188"/>
      <c r="B859" s="886"/>
      <c r="C859" s="884"/>
      <c r="D859" s="884" t="s">
        <v>2724</v>
      </c>
      <c r="E859" s="659" t="s">
        <v>1557</v>
      </c>
      <c r="F859" s="660">
        <v>378644000</v>
      </c>
      <c r="G859" s="661">
        <v>0</v>
      </c>
      <c r="H859" s="660">
        <v>378644000</v>
      </c>
      <c r="I859" s="660">
        <v>378644000</v>
      </c>
      <c r="J859" s="661">
        <v>0</v>
      </c>
      <c r="K859" s="660">
        <v>0</v>
      </c>
      <c r="L859" s="660">
        <v>0</v>
      </c>
      <c r="M859" s="660">
        <v>0</v>
      </c>
      <c r="N859" s="660">
        <v>0</v>
      </c>
      <c r="O859" s="451"/>
      <c r="P859" s="453"/>
    </row>
    <row r="860" spans="1:16" s="175" customFormat="1" x14ac:dyDescent="0.2">
      <c r="A860" s="188"/>
      <c r="B860" s="886"/>
      <c r="C860" s="884" t="s">
        <v>4281</v>
      </c>
      <c r="D860" s="884" t="s">
        <v>4282</v>
      </c>
      <c r="E860" s="659" t="s">
        <v>26</v>
      </c>
      <c r="F860" s="660">
        <v>136867500</v>
      </c>
      <c r="G860" s="661">
        <v>3000000</v>
      </c>
      <c r="H860" s="660">
        <v>133867500</v>
      </c>
      <c r="I860" s="660">
        <v>133867500</v>
      </c>
      <c r="J860" s="661">
        <v>0</v>
      </c>
      <c r="K860" s="660">
        <v>0</v>
      </c>
      <c r="L860" s="660">
        <v>0</v>
      </c>
      <c r="M860" s="660">
        <v>0</v>
      </c>
      <c r="N860" s="660">
        <v>0</v>
      </c>
      <c r="O860" s="451"/>
      <c r="P860" s="453"/>
    </row>
    <row r="861" spans="1:16" s="175" customFormat="1" hidden="1" x14ac:dyDescent="0.2">
      <c r="A861" s="188"/>
      <c r="B861" s="886"/>
      <c r="C861" s="884"/>
      <c r="D861" s="884" t="s">
        <v>4282</v>
      </c>
      <c r="E861" s="659" t="s">
        <v>1557</v>
      </c>
      <c r="F861" s="660">
        <v>319357500</v>
      </c>
      <c r="G861" s="661">
        <v>0</v>
      </c>
      <c r="H861" s="660">
        <v>319357500</v>
      </c>
      <c r="I861" s="660">
        <v>319357500</v>
      </c>
      <c r="J861" s="661">
        <v>0</v>
      </c>
      <c r="K861" s="660">
        <v>0</v>
      </c>
      <c r="L861" s="660">
        <v>0</v>
      </c>
      <c r="M861" s="660">
        <v>0</v>
      </c>
      <c r="N861" s="660">
        <v>0</v>
      </c>
      <c r="O861" s="451"/>
      <c r="P861" s="453"/>
    </row>
    <row r="862" spans="1:16" s="175" customFormat="1" x14ac:dyDescent="0.2">
      <c r="A862" s="188"/>
      <c r="B862" s="886"/>
      <c r="C862" s="884" t="s">
        <v>3341</v>
      </c>
      <c r="D862" s="884" t="s">
        <v>3342</v>
      </c>
      <c r="E862" s="659" t="s">
        <v>26</v>
      </c>
      <c r="F862" s="660">
        <v>178905000</v>
      </c>
      <c r="G862" s="661">
        <v>44690500</v>
      </c>
      <c r="H862" s="660">
        <v>134214500</v>
      </c>
      <c r="I862" s="660">
        <v>132869253</v>
      </c>
      <c r="J862" s="661">
        <v>1345247</v>
      </c>
      <c r="K862" s="660">
        <v>1345247</v>
      </c>
      <c r="L862" s="660">
        <v>0</v>
      </c>
      <c r="M862" s="660">
        <v>0</v>
      </c>
      <c r="N862" s="660">
        <v>0</v>
      </c>
      <c r="O862" s="451"/>
      <c r="P862" s="453"/>
    </row>
    <row r="863" spans="1:16" s="175" customFormat="1" hidden="1" x14ac:dyDescent="0.2">
      <c r="A863" s="188"/>
      <c r="B863" s="886"/>
      <c r="C863" s="884"/>
      <c r="D863" s="884" t="s">
        <v>3342</v>
      </c>
      <c r="E863" s="659" t="s">
        <v>1557</v>
      </c>
      <c r="F863" s="660">
        <v>417445000</v>
      </c>
      <c r="G863" s="661">
        <v>0</v>
      </c>
      <c r="H863" s="660">
        <v>417445000</v>
      </c>
      <c r="I863" s="660">
        <v>417445000</v>
      </c>
      <c r="J863" s="661">
        <v>0</v>
      </c>
      <c r="K863" s="660">
        <v>0</v>
      </c>
      <c r="L863" s="660">
        <v>0</v>
      </c>
      <c r="M863" s="660">
        <v>0</v>
      </c>
      <c r="N863" s="660">
        <v>0</v>
      </c>
      <c r="O863" s="451"/>
      <c r="P863" s="453"/>
    </row>
    <row r="864" spans="1:16" s="175" customFormat="1" x14ac:dyDescent="0.2">
      <c r="A864" s="188"/>
      <c r="B864" s="886"/>
      <c r="C864" s="884" t="s">
        <v>2680</v>
      </c>
      <c r="D864" s="884" t="s">
        <v>2681</v>
      </c>
      <c r="E864" s="659" t="s">
        <v>26</v>
      </c>
      <c r="F864" s="660">
        <v>156390000</v>
      </c>
      <c r="G864" s="661">
        <v>56905146</v>
      </c>
      <c r="H864" s="660">
        <v>99484854</v>
      </c>
      <c r="I864" s="660">
        <v>99484854</v>
      </c>
      <c r="J864" s="661">
        <v>0</v>
      </c>
      <c r="K864" s="660">
        <v>0</v>
      </c>
      <c r="L864" s="660">
        <v>0</v>
      </c>
      <c r="M864" s="660">
        <v>0</v>
      </c>
      <c r="N864" s="660">
        <v>0</v>
      </c>
      <c r="O864" s="451"/>
      <c r="P864" s="453"/>
    </row>
    <row r="865" spans="1:16" s="175" customFormat="1" hidden="1" x14ac:dyDescent="0.2">
      <c r="A865" s="188"/>
      <c r="B865" s="886"/>
      <c r="C865" s="884"/>
      <c r="D865" s="884" t="s">
        <v>2681</v>
      </c>
      <c r="E865" s="659" t="s">
        <v>1557</v>
      </c>
      <c r="F865" s="660">
        <v>364910000</v>
      </c>
      <c r="G865" s="661">
        <v>0</v>
      </c>
      <c r="H865" s="660">
        <v>364910000</v>
      </c>
      <c r="I865" s="660">
        <v>364910000</v>
      </c>
      <c r="J865" s="661">
        <v>0</v>
      </c>
      <c r="K865" s="660">
        <v>0</v>
      </c>
      <c r="L865" s="660">
        <v>0</v>
      </c>
      <c r="M865" s="660">
        <v>0</v>
      </c>
      <c r="N865" s="660">
        <v>0</v>
      </c>
      <c r="O865" s="451"/>
      <c r="P865" s="453"/>
    </row>
    <row r="866" spans="1:16" s="175" customFormat="1" x14ac:dyDescent="0.2">
      <c r="A866" s="188"/>
      <c r="B866" s="886"/>
      <c r="C866" s="884" t="s">
        <v>3343</v>
      </c>
      <c r="D866" s="884" t="s">
        <v>3344</v>
      </c>
      <c r="E866" s="659" t="s">
        <v>26</v>
      </c>
      <c r="F866" s="660">
        <v>126367500</v>
      </c>
      <c r="G866" s="661">
        <v>25227917</v>
      </c>
      <c r="H866" s="660">
        <v>101139583</v>
      </c>
      <c r="I866" s="660">
        <v>101139583</v>
      </c>
      <c r="J866" s="661">
        <v>0</v>
      </c>
      <c r="K866" s="660">
        <v>0</v>
      </c>
      <c r="L866" s="660">
        <v>0</v>
      </c>
      <c r="M866" s="660">
        <v>0</v>
      </c>
      <c r="N866" s="660">
        <v>0</v>
      </c>
      <c r="O866" s="451"/>
      <c r="P866" s="453"/>
    </row>
    <row r="867" spans="1:16" s="175" customFormat="1" hidden="1" x14ac:dyDescent="0.2">
      <c r="A867" s="188"/>
      <c r="B867" s="886"/>
      <c r="C867" s="884"/>
      <c r="D867" s="884" t="s">
        <v>3344</v>
      </c>
      <c r="E867" s="659" t="s">
        <v>1557</v>
      </c>
      <c r="F867" s="660">
        <v>294857500</v>
      </c>
      <c r="G867" s="661">
        <v>0</v>
      </c>
      <c r="H867" s="660">
        <v>294857500</v>
      </c>
      <c r="I867" s="660">
        <v>294857500</v>
      </c>
      <c r="J867" s="661">
        <v>0</v>
      </c>
      <c r="K867" s="660">
        <v>0</v>
      </c>
      <c r="L867" s="660">
        <v>0</v>
      </c>
      <c r="M867" s="660">
        <v>0</v>
      </c>
      <c r="N867" s="660">
        <v>0</v>
      </c>
      <c r="O867" s="451"/>
      <c r="P867" s="453"/>
    </row>
    <row r="868" spans="1:16" s="175" customFormat="1" x14ac:dyDescent="0.2">
      <c r="A868" s="188"/>
      <c r="B868" s="886"/>
      <c r="C868" s="884" t="s">
        <v>4227</v>
      </c>
      <c r="D868" s="884" t="s">
        <v>4228</v>
      </c>
      <c r="E868" s="659" t="s">
        <v>26</v>
      </c>
      <c r="F868" s="660">
        <v>131154000</v>
      </c>
      <c r="G868" s="661">
        <v>14344740</v>
      </c>
      <c r="H868" s="660">
        <v>116809260</v>
      </c>
      <c r="I868" s="660">
        <v>116809260</v>
      </c>
      <c r="J868" s="661">
        <v>0</v>
      </c>
      <c r="K868" s="660">
        <v>0</v>
      </c>
      <c r="L868" s="660">
        <v>0</v>
      </c>
      <c r="M868" s="660">
        <v>0</v>
      </c>
      <c r="N868" s="660">
        <v>0</v>
      </c>
      <c r="O868" s="451"/>
      <c r="P868" s="453"/>
    </row>
    <row r="869" spans="1:16" s="175" customFormat="1" hidden="1" x14ac:dyDescent="0.2">
      <c r="A869" s="188"/>
      <c r="B869" s="886"/>
      <c r="C869" s="884"/>
      <c r="D869" s="884" t="s">
        <v>4228</v>
      </c>
      <c r="E869" s="659" t="s">
        <v>1557</v>
      </c>
      <c r="F869" s="660">
        <v>306026000</v>
      </c>
      <c r="G869" s="661">
        <v>0</v>
      </c>
      <c r="H869" s="660">
        <v>306026000</v>
      </c>
      <c r="I869" s="660">
        <v>306026000</v>
      </c>
      <c r="J869" s="661">
        <v>0</v>
      </c>
      <c r="K869" s="660">
        <v>0</v>
      </c>
      <c r="L869" s="660">
        <v>0</v>
      </c>
      <c r="M869" s="660">
        <v>0</v>
      </c>
      <c r="N869" s="660">
        <v>0</v>
      </c>
      <c r="O869" s="451"/>
      <c r="P869" s="453"/>
    </row>
    <row r="870" spans="1:16" s="175" customFormat="1" x14ac:dyDescent="0.2">
      <c r="A870" s="188"/>
      <c r="B870" s="886"/>
      <c r="C870" s="884" t="s">
        <v>2956</v>
      </c>
      <c r="D870" s="884" t="s">
        <v>2957</v>
      </c>
      <c r="E870" s="659" t="s">
        <v>26</v>
      </c>
      <c r="F870" s="660">
        <v>158257600</v>
      </c>
      <c r="G870" s="661">
        <v>33258482</v>
      </c>
      <c r="H870" s="660">
        <v>124999118</v>
      </c>
      <c r="I870" s="660">
        <v>115346664</v>
      </c>
      <c r="J870" s="661">
        <v>9652454</v>
      </c>
      <c r="K870" s="660">
        <v>4613867</v>
      </c>
      <c r="L870" s="660">
        <v>4613867</v>
      </c>
      <c r="M870" s="660">
        <v>424720</v>
      </c>
      <c r="N870" s="660">
        <v>0</v>
      </c>
      <c r="O870" s="451"/>
      <c r="P870" s="453"/>
    </row>
    <row r="871" spans="1:16" s="175" customFormat="1" hidden="1" x14ac:dyDescent="0.2">
      <c r="A871" s="188"/>
      <c r="B871" s="886"/>
      <c r="C871" s="884"/>
      <c r="D871" s="884" t="s">
        <v>2957</v>
      </c>
      <c r="E871" s="659" t="s">
        <v>1557</v>
      </c>
      <c r="F871" s="660">
        <v>365260000</v>
      </c>
      <c r="G871" s="661">
        <v>0</v>
      </c>
      <c r="H871" s="660">
        <v>365260000</v>
      </c>
      <c r="I871" s="660">
        <v>365260000</v>
      </c>
      <c r="J871" s="661">
        <v>0</v>
      </c>
      <c r="K871" s="660">
        <v>0</v>
      </c>
      <c r="L871" s="660">
        <v>0</v>
      </c>
      <c r="M871" s="660">
        <v>0</v>
      </c>
      <c r="N871" s="660">
        <v>0</v>
      </c>
      <c r="O871" s="451"/>
      <c r="P871" s="453"/>
    </row>
    <row r="872" spans="1:16" s="175" customFormat="1" x14ac:dyDescent="0.2">
      <c r="A872" s="188"/>
      <c r="B872" s="886"/>
      <c r="C872" s="884"/>
      <c r="D872" s="884" t="s">
        <v>2957</v>
      </c>
      <c r="E872" s="659" t="s">
        <v>195</v>
      </c>
      <c r="F872" s="660">
        <v>1288518</v>
      </c>
      <c r="G872" s="661">
        <v>1288518</v>
      </c>
      <c r="H872" s="660">
        <v>0</v>
      </c>
      <c r="I872" s="660">
        <v>0</v>
      </c>
      <c r="J872" s="661">
        <v>0</v>
      </c>
      <c r="K872" s="660">
        <v>0</v>
      </c>
      <c r="L872" s="660">
        <v>0</v>
      </c>
      <c r="M872" s="660">
        <v>0</v>
      </c>
      <c r="N872" s="660">
        <v>0</v>
      </c>
      <c r="O872" s="451"/>
      <c r="P872" s="453"/>
    </row>
    <row r="873" spans="1:16" s="175" customFormat="1" x14ac:dyDescent="0.2">
      <c r="A873" s="188"/>
      <c r="B873" s="886"/>
      <c r="C873" s="884" t="s">
        <v>3265</v>
      </c>
      <c r="D873" s="884" t="s">
        <v>3266</v>
      </c>
      <c r="E873" s="659" t="s">
        <v>26</v>
      </c>
      <c r="F873" s="660">
        <v>126517500</v>
      </c>
      <c r="G873" s="661">
        <v>28519538</v>
      </c>
      <c r="H873" s="660">
        <v>97997962</v>
      </c>
      <c r="I873" s="660">
        <v>97997962</v>
      </c>
      <c r="J873" s="661">
        <v>0</v>
      </c>
      <c r="K873" s="660">
        <v>0</v>
      </c>
      <c r="L873" s="660">
        <v>0</v>
      </c>
      <c r="M873" s="660">
        <v>0</v>
      </c>
      <c r="N873" s="660">
        <v>0</v>
      </c>
      <c r="O873" s="451"/>
      <c r="P873" s="453"/>
    </row>
    <row r="874" spans="1:16" s="175" customFormat="1" hidden="1" x14ac:dyDescent="0.2">
      <c r="A874" s="188"/>
      <c r="B874" s="886"/>
      <c r="C874" s="884"/>
      <c r="D874" s="884" t="s">
        <v>3266</v>
      </c>
      <c r="E874" s="659" t="s">
        <v>1557</v>
      </c>
      <c r="F874" s="660">
        <v>295207500</v>
      </c>
      <c r="G874" s="661">
        <v>0</v>
      </c>
      <c r="H874" s="660">
        <v>295207500</v>
      </c>
      <c r="I874" s="660">
        <v>295207500</v>
      </c>
      <c r="J874" s="661">
        <v>0</v>
      </c>
      <c r="K874" s="660">
        <v>0</v>
      </c>
      <c r="L874" s="660">
        <v>0</v>
      </c>
      <c r="M874" s="660">
        <v>0</v>
      </c>
      <c r="N874" s="660">
        <v>0</v>
      </c>
      <c r="O874" s="451"/>
      <c r="P874" s="453"/>
    </row>
    <row r="875" spans="1:16" s="175" customFormat="1" x14ac:dyDescent="0.2">
      <c r="A875" s="188"/>
      <c r="B875" s="886"/>
      <c r="C875" s="884" t="s">
        <v>3493</v>
      </c>
      <c r="D875" s="884" t="s">
        <v>3494</v>
      </c>
      <c r="E875" s="659" t="s">
        <v>26</v>
      </c>
      <c r="F875" s="660">
        <v>169599750</v>
      </c>
      <c r="G875" s="661">
        <v>16757126</v>
      </c>
      <c r="H875" s="660">
        <v>152842624</v>
      </c>
      <c r="I875" s="660">
        <v>146964061</v>
      </c>
      <c r="J875" s="661">
        <v>5878563</v>
      </c>
      <c r="K875" s="660">
        <v>5878563</v>
      </c>
      <c r="L875" s="660">
        <v>0</v>
      </c>
      <c r="M875" s="660">
        <v>0</v>
      </c>
      <c r="N875" s="660">
        <v>0</v>
      </c>
      <c r="O875" s="451"/>
      <c r="P875" s="453"/>
    </row>
    <row r="876" spans="1:16" s="175" customFormat="1" hidden="1" x14ac:dyDescent="0.2">
      <c r="A876" s="188"/>
      <c r="B876" s="886"/>
      <c r="C876" s="884"/>
      <c r="D876" s="884" t="s">
        <v>3494</v>
      </c>
      <c r="E876" s="659" t="s">
        <v>1557</v>
      </c>
      <c r="F876" s="660">
        <v>395732750</v>
      </c>
      <c r="G876" s="661">
        <v>0</v>
      </c>
      <c r="H876" s="660">
        <v>395732750</v>
      </c>
      <c r="I876" s="660">
        <v>395732750</v>
      </c>
      <c r="J876" s="661">
        <v>0</v>
      </c>
      <c r="K876" s="660">
        <v>0</v>
      </c>
      <c r="L876" s="660">
        <v>0</v>
      </c>
      <c r="M876" s="660">
        <v>0</v>
      </c>
      <c r="N876" s="660">
        <v>0</v>
      </c>
      <c r="O876" s="451"/>
      <c r="P876" s="453"/>
    </row>
    <row r="877" spans="1:16" s="175" customFormat="1" x14ac:dyDescent="0.2">
      <c r="A877" s="188"/>
      <c r="B877" s="886"/>
      <c r="C877" s="884" t="s">
        <v>3345</v>
      </c>
      <c r="D877" s="884" t="s">
        <v>3346</v>
      </c>
      <c r="E877" s="659" t="s">
        <v>26</v>
      </c>
      <c r="F877" s="660">
        <v>127680000</v>
      </c>
      <c r="G877" s="661">
        <v>32829677</v>
      </c>
      <c r="H877" s="660">
        <v>94850323</v>
      </c>
      <c r="I877" s="660">
        <v>94850323</v>
      </c>
      <c r="J877" s="661">
        <v>0</v>
      </c>
      <c r="K877" s="660">
        <v>0</v>
      </c>
      <c r="L877" s="660">
        <v>0</v>
      </c>
      <c r="M877" s="660">
        <v>0</v>
      </c>
      <c r="N877" s="660">
        <v>0</v>
      </c>
      <c r="O877" s="451"/>
      <c r="P877" s="453"/>
    </row>
    <row r="878" spans="1:16" s="175" customFormat="1" hidden="1" x14ac:dyDescent="0.2">
      <c r="A878" s="188"/>
      <c r="B878" s="886"/>
      <c r="C878" s="884"/>
      <c r="D878" s="884" t="s">
        <v>3346</v>
      </c>
      <c r="E878" s="659" t="s">
        <v>1557</v>
      </c>
      <c r="F878" s="660">
        <v>297920000</v>
      </c>
      <c r="G878" s="661">
        <v>0</v>
      </c>
      <c r="H878" s="660">
        <v>297920000</v>
      </c>
      <c r="I878" s="660">
        <v>297920000</v>
      </c>
      <c r="J878" s="661">
        <v>0</v>
      </c>
      <c r="K878" s="660">
        <v>0</v>
      </c>
      <c r="L878" s="660">
        <v>0</v>
      </c>
      <c r="M878" s="660">
        <v>0</v>
      </c>
      <c r="N878" s="660">
        <v>0</v>
      </c>
      <c r="O878" s="451"/>
      <c r="P878" s="453"/>
    </row>
    <row r="879" spans="1:16" s="175" customFormat="1" x14ac:dyDescent="0.2">
      <c r="A879" s="188"/>
      <c r="B879" s="886"/>
      <c r="C879" s="884" t="s">
        <v>2682</v>
      </c>
      <c r="D879" s="884" t="s">
        <v>2683</v>
      </c>
      <c r="E879" s="659" t="s">
        <v>26</v>
      </c>
      <c r="F879" s="660">
        <v>157950000</v>
      </c>
      <c r="G879" s="661">
        <v>44330000</v>
      </c>
      <c r="H879" s="660">
        <v>113620000</v>
      </c>
      <c r="I879" s="660">
        <v>109250000</v>
      </c>
      <c r="J879" s="661">
        <v>4370000</v>
      </c>
      <c r="K879" s="660">
        <v>4370000</v>
      </c>
      <c r="L879" s="660">
        <v>0</v>
      </c>
      <c r="M879" s="660">
        <v>0</v>
      </c>
      <c r="N879" s="660">
        <v>0</v>
      </c>
      <c r="O879" s="451"/>
      <c r="P879" s="453"/>
    </row>
    <row r="880" spans="1:16" s="175" customFormat="1" hidden="1" x14ac:dyDescent="0.2">
      <c r="A880" s="188"/>
      <c r="B880" s="886"/>
      <c r="C880" s="884"/>
      <c r="D880" s="884" t="s">
        <v>2683</v>
      </c>
      <c r="E880" s="659" t="s">
        <v>1557</v>
      </c>
      <c r="F880" s="660">
        <v>368550000</v>
      </c>
      <c r="G880" s="661">
        <v>0</v>
      </c>
      <c r="H880" s="660">
        <v>368550000</v>
      </c>
      <c r="I880" s="660">
        <v>368550000</v>
      </c>
      <c r="J880" s="661">
        <v>0</v>
      </c>
      <c r="K880" s="660">
        <v>0</v>
      </c>
      <c r="L880" s="660">
        <v>0</v>
      </c>
      <c r="M880" s="660">
        <v>0</v>
      </c>
      <c r="N880" s="660">
        <v>0</v>
      </c>
      <c r="O880" s="451"/>
      <c r="P880" s="453"/>
    </row>
    <row r="881" spans="1:16" s="175" customFormat="1" x14ac:dyDescent="0.2">
      <c r="A881" s="188"/>
      <c r="B881" s="886"/>
      <c r="C881" s="884" t="s">
        <v>3267</v>
      </c>
      <c r="D881" s="884" t="s">
        <v>3268</v>
      </c>
      <c r="E881" s="659" t="s">
        <v>26</v>
      </c>
      <c r="F881" s="660">
        <v>169432500</v>
      </c>
      <c r="G881" s="661">
        <v>40969612</v>
      </c>
      <c r="H881" s="660">
        <v>128462888</v>
      </c>
      <c r="I881" s="660">
        <v>128462888</v>
      </c>
      <c r="J881" s="661">
        <v>0</v>
      </c>
      <c r="K881" s="660">
        <v>0</v>
      </c>
      <c r="L881" s="660">
        <v>0</v>
      </c>
      <c r="M881" s="660">
        <v>0</v>
      </c>
      <c r="N881" s="660">
        <v>0</v>
      </c>
      <c r="O881" s="451"/>
      <c r="P881" s="453"/>
    </row>
    <row r="882" spans="1:16" s="175" customFormat="1" hidden="1" x14ac:dyDescent="0.2">
      <c r="A882" s="188"/>
      <c r="B882" s="886"/>
      <c r="C882" s="884"/>
      <c r="D882" s="884" t="s">
        <v>3268</v>
      </c>
      <c r="E882" s="659" t="s">
        <v>1557</v>
      </c>
      <c r="F882" s="660">
        <v>395342500</v>
      </c>
      <c r="G882" s="661">
        <v>0</v>
      </c>
      <c r="H882" s="660">
        <v>395342500</v>
      </c>
      <c r="I882" s="660">
        <v>395342500</v>
      </c>
      <c r="J882" s="661">
        <v>0</v>
      </c>
      <c r="K882" s="660">
        <v>0</v>
      </c>
      <c r="L882" s="660">
        <v>0</v>
      </c>
      <c r="M882" s="660">
        <v>0</v>
      </c>
      <c r="N882" s="660">
        <v>0</v>
      </c>
      <c r="O882" s="451"/>
      <c r="P882" s="453"/>
    </row>
    <row r="883" spans="1:16" s="175" customFormat="1" x14ac:dyDescent="0.2">
      <c r="A883" s="188"/>
      <c r="B883" s="886"/>
      <c r="C883" s="884" t="s">
        <v>3136</v>
      </c>
      <c r="D883" s="884" t="s">
        <v>3137</v>
      </c>
      <c r="E883" s="659" t="s">
        <v>26</v>
      </c>
      <c r="F883" s="660">
        <v>116250000</v>
      </c>
      <c r="G883" s="661">
        <v>36785710</v>
      </c>
      <c r="H883" s="660">
        <v>79464290</v>
      </c>
      <c r="I883" s="660">
        <v>79464290</v>
      </c>
      <c r="J883" s="661">
        <v>0</v>
      </c>
      <c r="K883" s="660">
        <v>0</v>
      </c>
      <c r="L883" s="660">
        <v>0</v>
      </c>
      <c r="M883" s="660">
        <v>0</v>
      </c>
      <c r="N883" s="660">
        <v>0</v>
      </c>
      <c r="O883" s="451"/>
      <c r="P883" s="453"/>
    </row>
    <row r="884" spans="1:16" s="175" customFormat="1" hidden="1" x14ac:dyDescent="0.2">
      <c r="A884" s="188"/>
      <c r="B884" s="886"/>
      <c r="C884" s="884"/>
      <c r="D884" s="884" t="s">
        <v>3137</v>
      </c>
      <c r="E884" s="659" t="s">
        <v>1557</v>
      </c>
      <c r="F884" s="660">
        <v>271250000</v>
      </c>
      <c r="G884" s="661">
        <v>0</v>
      </c>
      <c r="H884" s="660">
        <v>271250000</v>
      </c>
      <c r="I884" s="660">
        <v>271250000</v>
      </c>
      <c r="J884" s="661">
        <v>0</v>
      </c>
      <c r="K884" s="660">
        <v>0</v>
      </c>
      <c r="L884" s="660">
        <v>0</v>
      </c>
      <c r="M884" s="660">
        <v>0</v>
      </c>
      <c r="N884" s="660">
        <v>0</v>
      </c>
      <c r="O884" s="451"/>
      <c r="P884" s="453"/>
    </row>
    <row r="885" spans="1:16" s="175" customFormat="1" x14ac:dyDescent="0.2">
      <c r="A885" s="188"/>
      <c r="B885" s="886"/>
      <c r="C885" s="884" t="s">
        <v>2958</v>
      </c>
      <c r="D885" s="884" t="s">
        <v>2959</v>
      </c>
      <c r="E885" s="659" t="s">
        <v>26</v>
      </c>
      <c r="F885" s="660">
        <v>151198000</v>
      </c>
      <c r="G885" s="661">
        <v>44641000</v>
      </c>
      <c r="H885" s="660">
        <v>106557000</v>
      </c>
      <c r="I885" s="660">
        <v>106557000</v>
      </c>
      <c r="J885" s="661">
        <v>0</v>
      </c>
      <c r="K885" s="660">
        <v>0</v>
      </c>
      <c r="L885" s="660">
        <v>0</v>
      </c>
      <c r="M885" s="660">
        <v>0</v>
      </c>
      <c r="N885" s="660">
        <v>0</v>
      </c>
      <c r="O885" s="451"/>
      <c r="P885" s="453"/>
    </row>
    <row r="886" spans="1:16" s="175" customFormat="1" hidden="1" x14ac:dyDescent="0.2">
      <c r="A886" s="188"/>
      <c r="B886" s="886"/>
      <c r="C886" s="884"/>
      <c r="D886" s="884" t="s">
        <v>2959</v>
      </c>
      <c r="E886" s="659" t="s">
        <v>1557</v>
      </c>
      <c r="F886" s="660">
        <v>352862000</v>
      </c>
      <c r="G886" s="661">
        <v>0</v>
      </c>
      <c r="H886" s="660">
        <v>352862000</v>
      </c>
      <c r="I886" s="660">
        <v>352862000</v>
      </c>
      <c r="J886" s="661">
        <v>0</v>
      </c>
      <c r="K886" s="660">
        <v>0</v>
      </c>
      <c r="L886" s="660">
        <v>0</v>
      </c>
      <c r="M886" s="660">
        <v>0</v>
      </c>
      <c r="N886" s="660">
        <v>0</v>
      </c>
      <c r="O886" s="451"/>
      <c r="P886" s="453"/>
    </row>
    <row r="887" spans="1:16" s="175" customFormat="1" x14ac:dyDescent="0.2">
      <c r="A887" s="188"/>
      <c r="B887" s="886"/>
      <c r="C887" s="884" t="s">
        <v>2960</v>
      </c>
      <c r="D887" s="884" t="s">
        <v>2961</v>
      </c>
      <c r="E887" s="659" t="s">
        <v>26</v>
      </c>
      <c r="F887" s="660">
        <v>117270000</v>
      </c>
      <c r="G887" s="661">
        <v>37077141</v>
      </c>
      <c r="H887" s="660">
        <v>80192859</v>
      </c>
      <c r="I887" s="660">
        <v>80192859</v>
      </c>
      <c r="J887" s="661">
        <v>0</v>
      </c>
      <c r="K887" s="660">
        <v>0</v>
      </c>
      <c r="L887" s="660">
        <v>0</v>
      </c>
      <c r="M887" s="660">
        <v>0</v>
      </c>
      <c r="N887" s="660">
        <v>0</v>
      </c>
      <c r="O887" s="451"/>
      <c r="P887" s="453"/>
    </row>
    <row r="888" spans="1:16" s="175" customFormat="1" hidden="1" x14ac:dyDescent="0.2">
      <c r="A888" s="188"/>
      <c r="B888" s="886"/>
      <c r="C888" s="884"/>
      <c r="D888" s="884" t="s">
        <v>2961</v>
      </c>
      <c r="E888" s="659" t="s">
        <v>1557</v>
      </c>
      <c r="F888" s="660">
        <v>273630000</v>
      </c>
      <c r="G888" s="661">
        <v>0</v>
      </c>
      <c r="H888" s="660">
        <v>273630000</v>
      </c>
      <c r="I888" s="660">
        <v>273630000</v>
      </c>
      <c r="J888" s="661">
        <v>0</v>
      </c>
      <c r="K888" s="660">
        <v>0</v>
      </c>
      <c r="L888" s="660">
        <v>0</v>
      </c>
      <c r="M888" s="660">
        <v>0</v>
      </c>
      <c r="N888" s="660">
        <v>0</v>
      </c>
      <c r="O888" s="451"/>
      <c r="P888" s="453"/>
    </row>
    <row r="889" spans="1:16" s="175" customFormat="1" x14ac:dyDescent="0.2">
      <c r="A889" s="188"/>
      <c r="B889" s="886"/>
      <c r="C889" s="884" t="s">
        <v>3138</v>
      </c>
      <c r="D889" s="884" t="s">
        <v>3139</v>
      </c>
      <c r="E889" s="659" t="s">
        <v>26</v>
      </c>
      <c r="F889" s="660">
        <v>160878812</v>
      </c>
      <c r="G889" s="661">
        <v>39050000</v>
      </c>
      <c r="H889" s="660">
        <v>121828812</v>
      </c>
      <c r="I889" s="660">
        <v>121828812</v>
      </c>
      <c r="J889" s="661">
        <v>0</v>
      </c>
      <c r="K889" s="660">
        <v>0</v>
      </c>
      <c r="L889" s="660">
        <v>0</v>
      </c>
      <c r="M889" s="660">
        <v>0</v>
      </c>
      <c r="N889" s="660">
        <v>0</v>
      </c>
      <c r="O889" s="451"/>
      <c r="P889" s="453"/>
    </row>
    <row r="890" spans="1:16" s="175" customFormat="1" hidden="1" x14ac:dyDescent="0.2">
      <c r="A890" s="188"/>
      <c r="B890" s="886"/>
      <c r="C890" s="884"/>
      <c r="D890" s="884" t="s">
        <v>3139</v>
      </c>
      <c r="E890" s="659" t="s">
        <v>1557</v>
      </c>
      <c r="F890" s="660">
        <v>368978750</v>
      </c>
      <c r="G890" s="661">
        <v>0</v>
      </c>
      <c r="H890" s="660">
        <v>368978750</v>
      </c>
      <c r="I890" s="660">
        <v>368978750</v>
      </c>
      <c r="J890" s="661">
        <v>0</v>
      </c>
      <c r="K890" s="660">
        <v>0</v>
      </c>
      <c r="L890" s="660">
        <v>0</v>
      </c>
      <c r="M890" s="660">
        <v>0</v>
      </c>
      <c r="N890" s="660">
        <v>0</v>
      </c>
      <c r="O890" s="451"/>
      <c r="P890" s="453"/>
    </row>
    <row r="891" spans="1:16" s="175" customFormat="1" x14ac:dyDescent="0.2">
      <c r="A891" s="188"/>
      <c r="B891" s="886"/>
      <c r="C891" s="884" t="s">
        <v>2962</v>
      </c>
      <c r="D891" s="884" t="s">
        <v>2684</v>
      </c>
      <c r="E891" s="659" t="s">
        <v>26</v>
      </c>
      <c r="F891" s="660">
        <v>131000000</v>
      </c>
      <c r="G891" s="661">
        <v>33500000</v>
      </c>
      <c r="H891" s="660">
        <v>97500000</v>
      </c>
      <c r="I891" s="660">
        <v>97500000</v>
      </c>
      <c r="J891" s="661">
        <v>0</v>
      </c>
      <c r="K891" s="660">
        <v>0</v>
      </c>
      <c r="L891" s="660">
        <v>0</v>
      </c>
      <c r="M891" s="660">
        <v>0</v>
      </c>
      <c r="N891" s="660">
        <v>0</v>
      </c>
      <c r="O891" s="451"/>
      <c r="P891" s="453"/>
    </row>
    <row r="892" spans="1:16" s="175" customFormat="1" hidden="1" x14ac:dyDescent="0.2">
      <c r="A892" s="188"/>
      <c r="B892" s="886"/>
      <c r="C892" s="884"/>
      <c r="D892" s="884" t="s">
        <v>2684</v>
      </c>
      <c r="E892" s="659" t="s">
        <v>1557</v>
      </c>
      <c r="F892" s="660">
        <v>256105000</v>
      </c>
      <c r="G892" s="661">
        <v>0</v>
      </c>
      <c r="H892" s="660">
        <v>256105000</v>
      </c>
      <c r="I892" s="660">
        <v>256105000</v>
      </c>
      <c r="J892" s="661">
        <v>0</v>
      </c>
      <c r="K892" s="660">
        <v>0</v>
      </c>
      <c r="L892" s="660">
        <v>0</v>
      </c>
      <c r="M892" s="660">
        <v>0</v>
      </c>
      <c r="N892" s="660">
        <v>0</v>
      </c>
      <c r="O892" s="451"/>
      <c r="P892" s="453"/>
    </row>
    <row r="893" spans="1:16" s="175" customFormat="1" x14ac:dyDescent="0.2">
      <c r="A893" s="188"/>
      <c r="B893" s="886"/>
      <c r="C893" s="884" t="s">
        <v>2685</v>
      </c>
      <c r="D893" s="884" t="s">
        <v>2686</v>
      </c>
      <c r="E893" s="659" t="s">
        <v>26</v>
      </c>
      <c r="F893" s="660">
        <v>151368000</v>
      </c>
      <c r="G893" s="661">
        <v>51000000</v>
      </c>
      <c r="H893" s="660">
        <v>100368000</v>
      </c>
      <c r="I893" s="660">
        <v>100368000</v>
      </c>
      <c r="J893" s="661">
        <v>0</v>
      </c>
      <c r="K893" s="660">
        <v>0</v>
      </c>
      <c r="L893" s="660">
        <v>0</v>
      </c>
      <c r="M893" s="660">
        <v>0</v>
      </c>
      <c r="N893" s="660">
        <v>0</v>
      </c>
      <c r="O893" s="451"/>
      <c r="P893" s="453"/>
    </row>
    <row r="894" spans="1:16" s="175" customFormat="1" hidden="1" x14ac:dyDescent="0.2">
      <c r="A894" s="188"/>
      <c r="B894" s="886"/>
      <c r="C894" s="884"/>
      <c r="D894" s="884" t="s">
        <v>2686</v>
      </c>
      <c r="E894" s="659" t="s">
        <v>1557</v>
      </c>
      <c r="F894" s="660">
        <v>353192000</v>
      </c>
      <c r="G894" s="661">
        <v>0</v>
      </c>
      <c r="H894" s="660">
        <v>353192000</v>
      </c>
      <c r="I894" s="660">
        <v>353192000</v>
      </c>
      <c r="J894" s="661">
        <v>0</v>
      </c>
      <c r="K894" s="660">
        <v>0</v>
      </c>
      <c r="L894" s="660">
        <v>0</v>
      </c>
      <c r="M894" s="660">
        <v>0</v>
      </c>
      <c r="N894" s="660">
        <v>0</v>
      </c>
      <c r="O894" s="451"/>
      <c r="P894" s="453"/>
    </row>
    <row r="895" spans="1:16" s="175" customFormat="1" x14ac:dyDescent="0.2">
      <c r="A895" s="188"/>
      <c r="B895" s="886"/>
      <c r="C895" s="884" t="s">
        <v>2963</v>
      </c>
      <c r="D895" s="884" t="s">
        <v>2964</v>
      </c>
      <c r="E895" s="659" t="s">
        <v>26</v>
      </c>
      <c r="F895" s="660">
        <v>117420000</v>
      </c>
      <c r="G895" s="661">
        <v>33908000</v>
      </c>
      <c r="H895" s="660">
        <v>83512000</v>
      </c>
      <c r="I895" s="660">
        <v>80300000</v>
      </c>
      <c r="J895" s="661">
        <v>3212000</v>
      </c>
      <c r="K895" s="660">
        <v>3212000</v>
      </c>
      <c r="L895" s="660">
        <v>0</v>
      </c>
      <c r="M895" s="660">
        <v>0</v>
      </c>
      <c r="N895" s="660">
        <v>0</v>
      </c>
      <c r="O895" s="451"/>
      <c r="P895" s="453"/>
    </row>
    <row r="896" spans="1:16" s="175" customFormat="1" hidden="1" x14ac:dyDescent="0.2">
      <c r="A896" s="188"/>
      <c r="B896" s="886"/>
      <c r="C896" s="884"/>
      <c r="D896" s="884" t="s">
        <v>2964</v>
      </c>
      <c r="E896" s="659" t="s">
        <v>1557</v>
      </c>
      <c r="F896" s="660">
        <v>273980000</v>
      </c>
      <c r="G896" s="661">
        <v>0</v>
      </c>
      <c r="H896" s="660">
        <v>273980000</v>
      </c>
      <c r="I896" s="660">
        <v>273980000</v>
      </c>
      <c r="J896" s="661">
        <v>0</v>
      </c>
      <c r="K896" s="660">
        <v>0</v>
      </c>
      <c r="L896" s="660">
        <v>0</v>
      </c>
      <c r="M896" s="660">
        <v>0</v>
      </c>
      <c r="N896" s="660">
        <v>0</v>
      </c>
      <c r="O896" s="451"/>
      <c r="P896" s="453"/>
    </row>
    <row r="897" spans="1:16" s="175" customFormat="1" x14ac:dyDescent="0.2">
      <c r="A897" s="188"/>
      <c r="B897" s="886"/>
      <c r="C897" s="884" t="s">
        <v>3347</v>
      </c>
      <c r="D897" s="884" t="s">
        <v>3348</v>
      </c>
      <c r="E897" s="659" t="s">
        <v>26</v>
      </c>
      <c r="F897" s="660">
        <v>170685000</v>
      </c>
      <c r="G897" s="661">
        <v>32619191</v>
      </c>
      <c r="H897" s="660">
        <v>138065809</v>
      </c>
      <c r="I897" s="660">
        <v>138065809</v>
      </c>
      <c r="J897" s="661">
        <v>0</v>
      </c>
      <c r="K897" s="660">
        <v>0</v>
      </c>
      <c r="L897" s="660">
        <v>0</v>
      </c>
      <c r="M897" s="660">
        <v>0</v>
      </c>
      <c r="N897" s="660">
        <v>0</v>
      </c>
      <c r="O897" s="451"/>
      <c r="P897" s="453"/>
    </row>
    <row r="898" spans="1:16" s="175" customFormat="1" hidden="1" x14ac:dyDescent="0.2">
      <c r="A898" s="188"/>
      <c r="B898" s="886"/>
      <c r="C898" s="884"/>
      <c r="D898" s="884" t="s">
        <v>3348</v>
      </c>
      <c r="E898" s="659" t="s">
        <v>1557</v>
      </c>
      <c r="F898" s="660">
        <v>398265000</v>
      </c>
      <c r="G898" s="661">
        <v>0</v>
      </c>
      <c r="H898" s="660">
        <v>398265000</v>
      </c>
      <c r="I898" s="660">
        <v>398265000</v>
      </c>
      <c r="J898" s="661">
        <v>0</v>
      </c>
      <c r="K898" s="660">
        <v>0</v>
      </c>
      <c r="L898" s="660">
        <v>0</v>
      </c>
      <c r="M898" s="660">
        <v>0</v>
      </c>
      <c r="N898" s="660">
        <v>0</v>
      </c>
      <c r="O898" s="451"/>
      <c r="P898" s="453"/>
    </row>
    <row r="899" spans="1:16" s="175" customFormat="1" x14ac:dyDescent="0.2">
      <c r="A899" s="188"/>
      <c r="B899" s="886"/>
      <c r="C899" s="884" t="s">
        <v>2965</v>
      </c>
      <c r="D899" s="884" t="s">
        <v>2966</v>
      </c>
      <c r="E899" s="659" t="s">
        <v>26</v>
      </c>
      <c r="F899" s="660">
        <v>117241674</v>
      </c>
      <c r="G899" s="661">
        <v>31509074</v>
      </c>
      <c r="H899" s="660">
        <v>85732600</v>
      </c>
      <c r="I899" s="660">
        <v>82315484</v>
      </c>
      <c r="J899" s="661">
        <v>3417116</v>
      </c>
      <c r="K899" s="660">
        <v>3292619</v>
      </c>
      <c r="L899" s="660">
        <v>124497</v>
      </c>
      <c r="M899" s="660">
        <v>0</v>
      </c>
      <c r="N899" s="660">
        <v>0</v>
      </c>
      <c r="O899" s="451"/>
      <c r="P899" s="453"/>
    </row>
    <row r="900" spans="1:16" s="175" customFormat="1" hidden="1" x14ac:dyDescent="0.2">
      <c r="A900" s="188"/>
      <c r="B900" s="886"/>
      <c r="C900" s="884"/>
      <c r="D900" s="884" t="s">
        <v>2966</v>
      </c>
      <c r="E900" s="659" t="s">
        <v>1557</v>
      </c>
      <c r="F900" s="660">
        <v>271950000</v>
      </c>
      <c r="G900" s="661">
        <v>0</v>
      </c>
      <c r="H900" s="660">
        <v>271950000</v>
      </c>
      <c r="I900" s="660">
        <v>271950000</v>
      </c>
      <c r="J900" s="661">
        <v>0</v>
      </c>
      <c r="K900" s="660">
        <v>0</v>
      </c>
      <c r="L900" s="660">
        <v>0</v>
      </c>
      <c r="M900" s="660">
        <v>0</v>
      </c>
      <c r="N900" s="660">
        <v>0</v>
      </c>
      <c r="O900" s="451"/>
      <c r="P900" s="453"/>
    </row>
    <row r="901" spans="1:16" s="175" customFormat="1" x14ac:dyDescent="0.2">
      <c r="A901" s="188"/>
      <c r="B901" s="886"/>
      <c r="C901" s="884" t="s">
        <v>3433</v>
      </c>
      <c r="D901" s="884" t="s">
        <v>3434</v>
      </c>
      <c r="E901" s="659" t="s">
        <v>26</v>
      </c>
      <c r="F901" s="660">
        <v>168849000</v>
      </c>
      <c r="G901" s="661">
        <v>27600000</v>
      </c>
      <c r="H901" s="660">
        <v>141249000</v>
      </c>
      <c r="I901" s="660">
        <v>141249000</v>
      </c>
      <c r="J901" s="661">
        <v>0</v>
      </c>
      <c r="K901" s="660">
        <v>0</v>
      </c>
      <c r="L901" s="660">
        <v>0</v>
      </c>
      <c r="M901" s="660">
        <v>0</v>
      </c>
      <c r="N901" s="660">
        <v>0</v>
      </c>
      <c r="O901" s="451"/>
      <c r="P901" s="453"/>
    </row>
    <row r="902" spans="1:16" s="175" customFormat="1" hidden="1" x14ac:dyDescent="0.2">
      <c r="A902" s="188"/>
      <c r="B902" s="886"/>
      <c r="C902" s="884"/>
      <c r="D902" s="884" t="s">
        <v>3434</v>
      </c>
      <c r="E902" s="659" t="s">
        <v>1557</v>
      </c>
      <c r="F902" s="660">
        <v>393981000</v>
      </c>
      <c r="G902" s="661">
        <v>0</v>
      </c>
      <c r="H902" s="660">
        <v>393981000</v>
      </c>
      <c r="I902" s="660">
        <v>393981000</v>
      </c>
      <c r="J902" s="661">
        <v>0</v>
      </c>
      <c r="K902" s="660">
        <v>0</v>
      </c>
      <c r="L902" s="660">
        <v>0</v>
      </c>
      <c r="M902" s="660">
        <v>0</v>
      </c>
      <c r="N902" s="660">
        <v>0</v>
      </c>
      <c r="O902" s="451"/>
      <c r="P902" s="453"/>
    </row>
    <row r="903" spans="1:16" s="175" customFormat="1" x14ac:dyDescent="0.2">
      <c r="A903" s="188"/>
      <c r="B903" s="886"/>
      <c r="C903" s="884" t="s">
        <v>3349</v>
      </c>
      <c r="D903" s="884" t="s">
        <v>3350</v>
      </c>
      <c r="E903" s="659" t="s">
        <v>26</v>
      </c>
      <c r="F903" s="660">
        <v>128130000</v>
      </c>
      <c r="G903" s="661">
        <v>28831610</v>
      </c>
      <c r="H903" s="660">
        <v>99298390</v>
      </c>
      <c r="I903" s="660">
        <v>99298390</v>
      </c>
      <c r="J903" s="661">
        <v>0</v>
      </c>
      <c r="K903" s="660">
        <v>0</v>
      </c>
      <c r="L903" s="660">
        <v>0</v>
      </c>
      <c r="M903" s="660">
        <v>0</v>
      </c>
      <c r="N903" s="660">
        <v>0</v>
      </c>
      <c r="O903" s="451"/>
      <c r="P903" s="453"/>
    </row>
    <row r="904" spans="1:16" s="175" customFormat="1" hidden="1" x14ac:dyDescent="0.2">
      <c r="A904" s="188"/>
      <c r="B904" s="886"/>
      <c r="C904" s="884"/>
      <c r="D904" s="884" t="s">
        <v>3350</v>
      </c>
      <c r="E904" s="659" t="s">
        <v>1557</v>
      </c>
      <c r="F904" s="660">
        <v>298970000</v>
      </c>
      <c r="G904" s="661">
        <v>0</v>
      </c>
      <c r="H904" s="660">
        <v>298970000</v>
      </c>
      <c r="I904" s="660">
        <v>298970000</v>
      </c>
      <c r="J904" s="661">
        <v>0</v>
      </c>
      <c r="K904" s="660">
        <v>0</v>
      </c>
      <c r="L904" s="660">
        <v>0</v>
      </c>
      <c r="M904" s="660">
        <v>0</v>
      </c>
      <c r="N904" s="660">
        <v>0</v>
      </c>
      <c r="O904" s="451"/>
      <c r="P904" s="453"/>
    </row>
    <row r="905" spans="1:16" s="175" customFormat="1" x14ac:dyDescent="0.2">
      <c r="A905" s="188"/>
      <c r="B905" s="886"/>
      <c r="C905" s="884" t="s">
        <v>2687</v>
      </c>
      <c r="D905" s="884" t="s">
        <v>2688</v>
      </c>
      <c r="E905" s="659" t="s">
        <v>26</v>
      </c>
      <c r="F905" s="660">
        <v>156900000</v>
      </c>
      <c r="G905" s="661">
        <v>48400000</v>
      </c>
      <c r="H905" s="660">
        <v>108500000</v>
      </c>
      <c r="I905" s="660">
        <v>108500000</v>
      </c>
      <c r="J905" s="661">
        <v>0</v>
      </c>
      <c r="K905" s="660">
        <v>0</v>
      </c>
      <c r="L905" s="660">
        <v>0</v>
      </c>
      <c r="M905" s="660">
        <v>0</v>
      </c>
      <c r="N905" s="660">
        <v>0</v>
      </c>
      <c r="O905" s="451"/>
      <c r="P905" s="453"/>
    </row>
    <row r="906" spans="1:16" s="175" customFormat="1" hidden="1" x14ac:dyDescent="0.2">
      <c r="A906" s="188"/>
      <c r="B906" s="886"/>
      <c r="C906" s="884"/>
      <c r="D906" s="884" t="s">
        <v>2688</v>
      </c>
      <c r="E906" s="659" t="s">
        <v>1557</v>
      </c>
      <c r="F906" s="660">
        <v>366100000</v>
      </c>
      <c r="G906" s="661">
        <v>0</v>
      </c>
      <c r="H906" s="660">
        <v>366100000</v>
      </c>
      <c r="I906" s="660">
        <v>366100000</v>
      </c>
      <c r="J906" s="661">
        <v>0</v>
      </c>
      <c r="K906" s="660">
        <v>0</v>
      </c>
      <c r="L906" s="660">
        <v>0</v>
      </c>
      <c r="M906" s="660">
        <v>0</v>
      </c>
      <c r="N906" s="660">
        <v>0</v>
      </c>
      <c r="O906" s="451"/>
      <c r="P906" s="453"/>
    </row>
    <row r="907" spans="1:16" s="175" customFormat="1" x14ac:dyDescent="0.2">
      <c r="A907" s="188"/>
      <c r="B907" s="886"/>
      <c r="C907" s="884" t="s">
        <v>2967</v>
      </c>
      <c r="D907" s="884" t="s">
        <v>2968</v>
      </c>
      <c r="E907" s="659" t="s">
        <v>26</v>
      </c>
      <c r="F907" s="660">
        <v>165894327</v>
      </c>
      <c r="G907" s="661">
        <v>5000000</v>
      </c>
      <c r="H907" s="660">
        <v>160894327</v>
      </c>
      <c r="I907" s="660">
        <v>148894327</v>
      </c>
      <c r="J907" s="661">
        <v>12000000</v>
      </c>
      <c r="K907" s="660">
        <v>4000000</v>
      </c>
      <c r="L907" s="660">
        <v>4000000</v>
      </c>
      <c r="M907" s="660">
        <v>4000000</v>
      </c>
      <c r="N907" s="660">
        <v>0</v>
      </c>
      <c r="O907" s="451"/>
      <c r="P907" s="453"/>
    </row>
    <row r="908" spans="1:16" s="175" customFormat="1" hidden="1" x14ac:dyDescent="0.2">
      <c r="A908" s="188"/>
      <c r="B908" s="886"/>
      <c r="C908" s="884"/>
      <c r="D908" s="884" t="s">
        <v>2968</v>
      </c>
      <c r="E908" s="659" t="s">
        <v>1557</v>
      </c>
      <c r="F908" s="660">
        <v>368060000</v>
      </c>
      <c r="G908" s="661">
        <v>0</v>
      </c>
      <c r="H908" s="660">
        <v>368060000</v>
      </c>
      <c r="I908" s="660">
        <v>368060000</v>
      </c>
      <c r="J908" s="661">
        <v>0</v>
      </c>
      <c r="K908" s="660">
        <v>0</v>
      </c>
      <c r="L908" s="660">
        <v>0</v>
      </c>
      <c r="M908" s="660">
        <v>0</v>
      </c>
      <c r="N908" s="660">
        <v>0</v>
      </c>
      <c r="O908" s="451"/>
      <c r="P908" s="453"/>
    </row>
    <row r="909" spans="1:16" s="175" customFormat="1" x14ac:dyDescent="0.2">
      <c r="A909" s="188"/>
      <c r="B909" s="886"/>
      <c r="C909" s="884" t="s">
        <v>3351</v>
      </c>
      <c r="D909" s="884" t="s">
        <v>3352</v>
      </c>
      <c r="E909" s="659" t="s">
        <v>26</v>
      </c>
      <c r="F909" s="660">
        <v>129681917</v>
      </c>
      <c r="G909" s="661">
        <v>17000000</v>
      </c>
      <c r="H909" s="660">
        <v>112681917</v>
      </c>
      <c r="I909" s="660">
        <v>110681917</v>
      </c>
      <c r="J909" s="661">
        <v>2000000</v>
      </c>
      <c r="K909" s="660">
        <v>2000000</v>
      </c>
      <c r="L909" s="660">
        <v>0</v>
      </c>
      <c r="M909" s="660">
        <v>0</v>
      </c>
      <c r="N909" s="660">
        <v>0</v>
      </c>
      <c r="O909" s="451"/>
      <c r="P909" s="453"/>
    </row>
    <row r="910" spans="1:16" s="175" customFormat="1" hidden="1" x14ac:dyDescent="0.2">
      <c r="A910" s="188"/>
      <c r="B910" s="886"/>
      <c r="C910" s="884"/>
      <c r="D910" s="884" t="s">
        <v>3352</v>
      </c>
      <c r="E910" s="659" t="s">
        <v>1557</v>
      </c>
      <c r="F910" s="660">
        <v>294490000</v>
      </c>
      <c r="G910" s="661">
        <v>0</v>
      </c>
      <c r="H910" s="660">
        <v>294490000</v>
      </c>
      <c r="I910" s="660">
        <v>294490000</v>
      </c>
      <c r="J910" s="661">
        <v>0</v>
      </c>
      <c r="K910" s="660">
        <v>0</v>
      </c>
      <c r="L910" s="660">
        <v>0</v>
      </c>
      <c r="M910" s="660">
        <v>0</v>
      </c>
      <c r="N910" s="660">
        <v>0</v>
      </c>
      <c r="O910" s="451"/>
      <c r="P910" s="453"/>
    </row>
    <row r="911" spans="1:16" s="175" customFormat="1" x14ac:dyDescent="0.2">
      <c r="A911" s="188"/>
      <c r="B911" s="886"/>
      <c r="C911" s="884" t="s">
        <v>3353</v>
      </c>
      <c r="D911" s="884" t="s">
        <v>3354</v>
      </c>
      <c r="E911" s="659" t="s">
        <v>26</v>
      </c>
      <c r="F911" s="660">
        <v>166597500</v>
      </c>
      <c r="G911" s="661">
        <v>36912823</v>
      </c>
      <c r="H911" s="660">
        <v>129684677</v>
      </c>
      <c r="I911" s="660">
        <v>129684677</v>
      </c>
      <c r="J911" s="661">
        <v>0</v>
      </c>
      <c r="K911" s="660">
        <v>0</v>
      </c>
      <c r="L911" s="660">
        <v>0</v>
      </c>
      <c r="M911" s="660">
        <v>0</v>
      </c>
      <c r="N911" s="660">
        <v>0</v>
      </c>
      <c r="O911" s="451"/>
      <c r="P911" s="453"/>
    </row>
    <row r="912" spans="1:16" s="175" customFormat="1" hidden="1" x14ac:dyDescent="0.2">
      <c r="A912" s="188"/>
      <c r="B912" s="886"/>
      <c r="C912" s="884"/>
      <c r="D912" s="884" t="s">
        <v>3354</v>
      </c>
      <c r="E912" s="659" t="s">
        <v>1557</v>
      </c>
      <c r="F912" s="660">
        <v>388727500</v>
      </c>
      <c r="G912" s="661">
        <v>0</v>
      </c>
      <c r="H912" s="660">
        <v>388727500</v>
      </c>
      <c r="I912" s="660">
        <v>388727500</v>
      </c>
      <c r="J912" s="661">
        <v>0</v>
      </c>
      <c r="K912" s="660">
        <v>0</v>
      </c>
      <c r="L912" s="660">
        <v>0</v>
      </c>
      <c r="M912" s="660">
        <v>0</v>
      </c>
      <c r="N912" s="660">
        <v>0</v>
      </c>
      <c r="O912" s="451"/>
      <c r="P912" s="453"/>
    </row>
    <row r="913" spans="1:16" s="175" customFormat="1" x14ac:dyDescent="0.2">
      <c r="A913" s="188"/>
      <c r="B913" s="886"/>
      <c r="C913" s="884" t="s">
        <v>3269</v>
      </c>
      <c r="D913" s="884" t="s">
        <v>3270</v>
      </c>
      <c r="E913" s="659" t="s">
        <v>26</v>
      </c>
      <c r="F913" s="660">
        <v>128280000</v>
      </c>
      <c r="G913" s="661">
        <v>28860644</v>
      </c>
      <c r="H913" s="660">
        <v>99419356</v>
      </c>
      <c r="I913" s="660">
        <v>99419356</v>
      </c>
      <c r="J913" s="661">
        <v>0</v>
      </c>
      <c r="K913" s="660">
        <v>0</v>
      </c>
      <c r="L913" s="660">
        <v>0</v>
      </c>
      <c r="M913" s="660">
        <v>0</v>
      </c>
      <c r="N913" s="660">
        <v>0</v>
      </c>
      <c r="O913" s="451"/>
      <c r="P913" s="453"/>
    </row>
    <row r="914" spans="1:16" s="175" customFormat="1" hidden="1" x14ac:dyDescent="0.2">
      <c r="A914" s="188"/>
      <c r="B914" s="886"/>
      <c r="C914" s="884"/>
      <c r="D914" s="884" t="s">
        <v>3270</v>
      </c>
      <c r="E914" s="659" t="s">
        <v>1557</v>
      </c>
      <c r="F914" s="660">
        <v>299320000</v>
      </c>
      <c r="G914" s="661">
        <v>0</v>
      </c>
      <c r="H914" s="660">
        <v>299320000</v>
      </c>
      <c r="I914" s="660">
        <v>299320000</v>
      </c>
      <c r="J914" s="661">
        <v>0</v>
      </c>
      <c r="K914" s="660">
        <v>0</v>
      </c>
      <c r="L914" s="660">
        <v>0</v>
      </c>
      <c r="M914" s="660">
        <v>0</v>
      </c>
      <c r="N914" s="660">
        <v>0</v>
      </c>
      <c r="O914" s="451"/>
      <c r="P914" s="453"/>
    </row>
    <row r="915" spans="1:16" s="175" customFormat="1" x14ac:dyDescent="0.2">
      <c r="A915" s="188"/>
      <c r="B915" s="886"/>
      <c r="C915" s="884" t="s">
        <v>2969</v>
      </c>
      <c r="D915" s="884" t="s">
        <v>2970</v>
      </c>
      <c r="E915" s="659" t="s">
        <v>26</v>
      </c>
      <c r="F915" s="660">
        <v>158883750</v>
      </c>
      <c r="G915" s="661">
        <v>46985000</v>
      </c>
      <c r="H915" s="660">
        <v>111898750</v>
      </c>
      <c r="I915" s="660">
        <v>111898750</v>
      </c>
      <c r="J915" s="661">
        <v>0</v>
      </c>
      <c r="K915" s="660">
        <v>0</v>
      </c>
      <c r="L915" s="660">
        <v>0</v>
      </c>
      <c r="M915" s="660">
        <v>0</v>
      </c>
      <c r="N915" s="660">
        <v>0</v>
      </c>
      <c r="O915" s="451"/>
      <c r="P915" s="453"/>
    </row>
    <row r="916" spans="1:16" s="175" customFormat="1" hidden="1" x14ac:dyDescent="0.2">
      <c r="A916" s="188"/>
      <c r="B916" s="886"/>
      <c r="C916" s="884"/>
      <c r="D916" s="884" t="s">
        <v>2970</v>
      </c>
      <c r="E916" s="659" t="s">
        <v>1557</v>
      </c>
      <c r="F916" s="660">
        <v>370728750</v>
      </c>
      <c r="G916" s="661">
        <v>0</v>
      </c>
      <c r="H916" s="660">
        <v>370728750</v>
      </c>
      <c r="I916" s="660">
        <v>370728750</v>
      </c>
      <c r="J916" s="661">
        <v>0</v>
      </c>
      <c r="K916" s="660">
        <v>0</v>
      </c>
      <c r="L916" s="660">
        <v>0</v>
      </c>
      <c r="M916" s="660">
        <v>0</v>
      </c>
      <c r="N916" s="660">
        <v>0</v>
      </c>
      <c r="O916" s="451"/>
      <c r="P916" s="453"/>
    </row>
    <row r="917" spans="1:16" s="175" customFormat="1" x14ac:dyDescent="0.2">
      <c r="A917" s="188"/>
      <c r="B917" s="886"/>
      <c r="C917" s="884" t="s">
        <v>4362</v>
      </c>
      <c r="D917" s="884" t="s">
        <v>3502</v>
      </c>
      <c r="E917" s="659" t="s">
        <v>26</v>
      </c>
      <c r="F917" s="660">
        <v>174548250</v>
      </c>
      <c r="G917" s="661">
        <v>23225424</v>
      </c>
      <c r="H917" s="660">
        <v>151322826</v>
      </c>
      <c r="I917" s="660">
        <v>151322826</v>
      </c>
      <c r="J917" s="661">
        <v>0</v>
      </c>
      <c r="K917" s="660">
        <v>0</v>
      </c>
      <c r="L917" s="660">
        <v>0</v>
      </c>
      <c r="M917" s="660">
        <v>0</v>
      </c>
      <c r="N917" s="660">
        <v>0</v>
      </c>
      <c r="O917" s="451"/>
      <c r="P917" s="453"/>
    </row>
    <row r="918" spans="1:16" s="175" customFormat="1" hidden="1" x14ac:dyDescent="0.2">
      <c r="A918" s="188"/>
      <c r="B918" s="886"/>
      <c r="C918" s="884"/>
      <c r="D918" s="884" t="s">
        <v>3502</v>
      </c>
      <c r="E918" s="659" t="s">
        <v>1557</v>
      </c>
      <c r="F918" s="660">
        <v>407279250</v>
      </c>
      <c r="G918" s="661">
        <v>0</v>
      </c>
      <c r="H918" s="660">
        <v>407279250</v>
      </c>
      <c r="I918" s="660">
        <v>407279250</v>
      </c>
      <c r="J918" s="661">
        <v>0</v>
      </c>
      <c r="K918" s="660">
        <v>0</v>
      </c>
      <c r="L918" s="660">
        <v>0</v>
      </c>
      <c r="M918" s="660">
        <v>0</v>
      </c>
      <c r="N918" s="660">
        <v>0</v>
      </c>
      <c r="O918" s="451"/>
      <c r="P918" s="453"/>
    </row>
    <row r="919" spans="1:16" s="175" customFormat="1" x14ac:dyDescent="0.2">
      <c r="A919" s="188"/>
      <c r="B919" s="886"/>
      <c r="C919" s="884" t="s">
        <v>2971</v>
      </c>
      <c r="D919" s="884" t="s">
        <v>2972</v>
      </c>
      <c r="E919" s="659" t="s">
        <v>26</v>
      </c>
      <c r="F919" s="660">
        <v>119212500</v>
      </c>
      <c r="G919" s="661">
        <v>35232719</v>
      </c>
      <c r="H919" s="660">
        <v>83979781</v>
      </c>
      <c r="I919" s="660">
        <v>83979781</v>
      </c>
      <c r="J919" s="661">
        <v>0</v>
      </c>
      <c r="K919" s="660">
        <v>0</v>
      </c>
      <c r="L919" s="660">
        <v>0</v>
      </c>
      <c r="M919" s="660">
        <v>0</v>
      </c>
      <c r="N919" s="660">
        <v>0</v>
      </c>
      <c r="O919" s="451"/>
      <c r="P919" s="453"/>
    </row>
    <row r="920" spans="1:16" s="175" customFormat="1" hidden="1" x14ac:dyDescent="0.2">
      <c r="A920" s="188"/>
      <c r="B920" s="886"/>
      <c r="C920" s="884"/>
      <c r="D920" s="884" t="s">
        <v>2972</v>
      </c>
      <c r="E920" s="659" t="s">
        <v>1557</v>
      </c>
      <c r="F920" s="660">
        <v>278162500</v>
      </c>
      <c r="G920" s="661">
        <v>0</v>
      </c>
      <c r="H920" s="660">
        <v>278162500</v>
      </c>
      <c r="I920" s="660">
        <v>278162500</v>
      </c>
      <c r="J920" s="661">
        <v>0</v>
      </c>
      <c r="K920" s="660">
        <v>0</v>
      </c>
      <c r="L920" s="660">
        <v>0</v>
      </c>
      <c r="M920" s="660">
        <v>0</v>
      </c>
      <c r="N920" s="660">
        <v>0</v>
      </c>
      <c r="O920" s="451"/>
      <c r="P920" s="453"/>
    </row>
    <row r="921" spans="1:16" s="175" customFormat="1" x14ac:dyDescent="0.2">
      <c r="A921" s="188"/>
      <c r="B921" s="886"/>
      <c r="C921" s="884" t="s">
        <v>3495</v>
      </c>
      <c r="D921" s="884" t="s">
        <v>3496</v>
      </c>
      <c r="E921" s="659" t="s">
        <v>26</v>
      </c>
      <c r="F921" s="660">
        <v>170049750</v>
      </c>
      <c r="G921" s="661">
        <v>26800000</v>
      </c>
      <c r="H921" s="660">
        <v>143249750</v>
      </c>
      <c r="I921" s="660">
        <v>143249750</v>
      </c>
      <c r="J921" s="661">
        <v>0</v>
      </c>
      <c r="K921" s="660">
        <v>0</v>
      </c>
      <c r="L921" s="660">
        <v>0</v>
      </c>
      <c r="M921" s="660">
        <v>0</v>
      </c>
      <c r="N921" s="660">
        <v>0</v>
      </c>
      <c r="O921" s="451"/>
      <c r="P921" s="453"/>
    </row>
    <row r="922" spans="1:16" s="175" customFormat="1" hidden="1" x14ac:dyDescent="0.2">
      <c r="A922" s="188"/>
      <c r="B922" s="886"/>
      <c r="C922" s="884"/>
      <c r="D922" s="884" t="s">
        <v>3496</v>
      </c>
      <c r="E922" s="659" t="s">
        <v>1557</v>
      </c>
      <c r="F922" s="660">
        <v>396782750</v>
      </c>
      <c r="G922" s="661">
        <v>0</v>
      </c>
      <c r="H922" s="660">
        <v>396782750</v>
      </c>
      <c r="I922" s="660">
        <v>396782750</v>
      </c>
      <c r="J922" s="661">
        <v>0</v>
      </c>
      <c r="K922" s="660">
        <v>0</v>
      </c>
      <c r="L922" s="660">
        <v>0</v>
      </c>
      <c r="M922" s="660">
        <v>0</v>
      </c>
      <c r="N922" s="660">
        <v>0</v>
      </c>
      <c r="O922" s="451"/>
      <c r="P922" s="453"/>
    </row>
    <row r="923" spans="1:16" s="175" customFormat="1" x14ac:dyDescent="0.2">
      <c r="A923" s="188"/>
      <c r="B923" s="886"/>
      <c r="C923" s="884" t="s">
        <v>3435</v>
      </c>
      <c r="D923" s="884" t="s">
        <v>3436</v>
      </c>
      <c r="E923" s="659" t="s">
        <v>26</v>
      </c>
      <c r="F923" s="660">
        <v>130242000</v>
      </c>
      <c r="G923" s="661">
        <v>17956069</v>
      </c>
      <c r="H923" s="660">
        <v>112285931</v>
      </c>
      <c r="I923" s="660">
        <v>107967240</v>
      </c>
      <c r="J923" s="661">
        <v>4318691</v>
      </c>
      <c r="K923" s="660">
        <v>4318690</v>
      </c>
      <c r="L923" s="660">
        <v>1</v>
      </c>
      <c r="M923" s="660">
        <v>0</v>
      </c>
      <c r="N923" s="660">
        <v>0</v>
      </c>
      <c r="O923" s="451"/>
      <c r="P923" s="453"/>
    </row>
    <row r="924" spans="1:16" s="175" customFormat="1" hidden="1" x14ac:dyDescent="0.2">
      <c r="A924" s="188"/>
      <c r="B924" s="886"/>
      <c r="C924" s="884"/>
      <c r="D924" s="884" t="s">
        <v>3436</v>
      </c>
      <c r="E924" s="659" t="s">
        <v>1557</v>
      </c>
      <c r="F924" s="660">
        <v>303898000</v>
      </c>
      <c r="G924" s="661">
        <v>0</v>
      </c>
      <c r="H924" s="660">
        <v>303898000</v>
      </c>
      <c r="I924" s="660">
        <v>303898000</v>
      </c>
      <c r="J924" s="661">
        <v>0</v>
      </c>
      <c r="K924" s="660">
        <v>0</v>
      </c>
      <c r="L924" s="660">
        <v>0</v>
      </c>
      <c r="M924" s="660">
        <v>0</v>
      </c>
      <c r="N924" s="660">
        <v>0</v>
      </c>
      <c r="O924" s="451"/>
      <c r="P924" s="453"/>
    </row>
    <row r="925" spans="1:16" s="175" customFormat="1" x14ac:dyDescent="0.2">
      <c r="A925" s="188"/>
      <c r="B925" s="886"/>
      <c r="C925" s="884" t="s">
        <v>4283</v>
      </c>
      <c r="D925" s="884" t="s">
        <v>4284</v>
      </c>
      <c r="E925" s="659" t="s">
        <v>26</v>
      </c>
      <c r="F925" s="660">
        <v>177569110</v>
      </c>
      <c r="G925" s="661">
        <v>9000000</v>
      </c>
      <c r="H925" s="660">
        <v>168569110</v>
      </c>
      <c r="I925" s="660">
        <v>168569110</v>
      </c>
      <c r="J925" s="661">
        <v>0</v>
      </c>
      <c r="K925" s="660">
        <v>0</v>
      </c>
      <c r="L925" s="660">
        <v>0</v>
      </c>
      <c r="M925" s="660">
        <v>0</v>
      </c>
      <c r="N925" s="660">
        <v>0</v>
      </c>
      <c r="O925" s="451"/>
      <c r="P925" s="453"/>
    </row>
    <row r="926" spans="1:16" s="175" customFormat="1" hidden="1" x14ac:dyDescent="0.2">
      <c r="A926" s="188"/>
      <c r="B926" s="886"/>
      <c r="C926" s="884"/>
      <c r="D926" s="884" t="s">
        <v>4284</v>
      </c>
      <c r="E926" s="659" t="s">
        <v>1557</v>
      </c>
      <c r="F926" s="660">
        <v>410837000</v>
      </c>
      <c r="G926" s="661">
        <v>0</v>
      </c>
      <c r="H926" s="660">
        <v>410837000</v>
      </c>
      <c r="I926" s="660">
        <v>410837000</v>
      </c>
      <c r="J926" s="661">
        <v>0</v>
      </c>
      <c r="K926" s="660">
        <v>0</v>
      </c>
      <c r="L926" s="660">
        <v>0</v>
      </c>
      <c r="M926" s="660">
        <v>0</v>
      </c>
      <c r="N926" s="660">
        <v>0</v>
      </c>
      <c r="O926" s="451"/>
      <c r="P926" s="453"/>
    </row>
    <row r="927" spans="1:16" s="175" customFormat="1" x14ac:dyDescent="0.2">
      <c r="A927" s="188"/>
      <c r="B927" s="886"/>
      <c r="C927" s="884" t="s">
        <v>4363</v>
      </c>
      <c r="D927" s="884" t="s">
        <v>4364</v>
      </c>
      <c r="E927" s="659" t="s">
        <v>26</v>
      </c>
      <c r="F927" s="660">
        <v>175903500</v>
      </c>
      <c r="G927" s="661">
        <v>5000000</v>
      </c>
      <c r="H927" s="660">
        <v>170903500</v>
      </c>
      <c r="I927" s="660">
        <v>170903500</v>
      </c>
      <c r="J927" s="661">
        <v>0</v>
      </c>
      <c r="K927" s="660">
        <v>0</v>
      </c>
      <c r="L927" s="660">
        <v>0</v>
      </c>
      <c r="M927" s="660">
        <v>0</v>
      </c>
      <c r="N927" s="660">
        <v>0</v>
      </c>
      <c r="O927" s="451"/>
      <c r="P927" s="453"/>
    </row>
    <row r="928" spans="1:16" s="175" customFormat="1" hidden="1" x14ac:dyDescent="0.2">
      <c r="A928" s="188"/>
      <c r="B928" s="886"/>
      <c r="C928" s="884"/>
      <c r="D928" s="884" t="s">
        <v>4364</v>
      </c>
      <c r="E928" s="659" t="s">
        <v>1557</v>
      </c>
      <c r="F928" s="660">
        <v>410441500</v>
      </c>
      <c r="G928" s="661">
        <v>0</v>
      </c>
      <c r="H928" s="660">
        <v>410441500</v>
      </c>
      <c r="I928" s="660">
        <v>410441500</v>
      </c>
      <c r="J928" s="661">
        <v>0</v>
      </c>
      <c r="K928" s="660">
        <v>0</v>
      </c>
      <c r="L928" s="660">
        <v>0</v>
      </c>
      <c r="M928" s="660">
        <v>0</v>
      </c>
      <c r="N928" s="660">
        <v>0</v>
      </c>
      <c r="O928" s="451"/>
      <c r="P928" s="453"/>
    </row>
    <row r="929" spans="1:16" s="175" customFormat="1" x14ac:dyDescent="0.2">
      <c r="A929" s="188"/>
      <c r="B929" s="886"/>
      <c r="C929" s="884" t="s">
        <v>2689</v>
      </c>
      <c r="D929" s="884" t="s">
        <v>862</v>
      </c>
      <c r="E929" s="659" t="s">
        <v>26</v>
      </c>
      <c r="F929" s="660">
        <v>117000000</v>
      </c>
      <c r="G929" s="661">
        <v>42200000</v>
      </c>
      <c r="H929" s="660">
        <v>74800000</v>
      </c>
      <c r="I929" s="660">
        <v>74800000</v>
      </c>
      <c r="J929" s="661">
        <v>0</v>
      </c>
      <c r="K929" s="660">
        <v>0</v>
      </c>
      <c r="L929" s="660">
        <v>0</v>
      </c>
      <c r="M929" s="660">
        <v>0</v>
      </c>
      <c r="N929" s="660">
        <v>0</v>
      </c>
      <c r="O929" s="451"/>
      <c r="P929" s="453"/>
    </row>
    <row r="930" spans="1:16" s="175" customFormat="1" hidden="1" x14ac:dyDescent="0.2">
      <c r="A930" s="188"/>
      <c r="B930" s="886"/>
      <c r="C930" s="884"/>
      <c r="D930" s="884" t="s">
        <v>862</v>
      </c>
      <c r="E930" s="659" t="s">
        <v>1557</v>
      </c>
      <c r="F930" s="660">
        <v>273000000</v>
      </c>
      <c r="G930" s="661">
        <v>0</v>
      </c>
      <c r="H930" s="660">
        <v>273000000</v>
      </c>
      <c r="I930" s="660">
        <v>273000000</v>
      </c>
      <c r="J930" s="661">
        <v>0</v>
      </c>
      <c r="K930" s="660">
        <v>0</v>
      </c>
      <c r="L930" s="660">
        <v>0</v>
      </c>
      <c r="M930" s="660">
        <v>0</v>
      </c>
      <c r="N930" s="660">
        <v>0</v>
      </c>
      <c r="O930" s="451"/>
      <c r="P930" s="453"/>
    </row>
    <row r="931" spans="1:16" s="175" customFormat="1" x14ac:dyDescent="0.2">
      <c r="A931" s="188"/>
      <c r="B931" s="886"/>
      <c r="C931" s="884" t="s">
        <v>3497</v>
      </c>
      <c r="D931" s="884" t="s">
        <v>3498</v>
      </c>
      <c r="E931" s="659" t="s">
        <v>26</v>
      </c>
      <c r="F931" s="660">
        <v>169299000</v>
      </c>
      <c r="G931" s="661">
        <v>39944892</v>
      </c>
      <c r="H931" s="660">
        <v>129354108</v>
      </c>
      <c r="I931" s="660">
        <v>124374108</v>
      </c>
      <c r="J931" s="661">
        <v>4980000</v>
      </c>
      <c r="K931" s="660">
        <v>4974964</v>
      </c>
      <c r="L931" s="660">
        <v>5036</v>
      </c>
      <c r="M931" s="660">
        <v>0</v>
      </c>
      <c r="N931" s="660">
        <v>0</v>
      </c>
      <c r="O931" s="451"/>
      <c r="P931" s="453"/>
    </row>
    <row r="932" spans="1:16" s="175" customFormat="1" hidden="1" x14ac:dyDescent="0.2">
      <c r="A932" s="188"/>
      <c r="B932" s="886"/>
      <c r="C932" s="884"/>
      <c r="D932" s="884" t="s">
        <v>3498</v>
      </c>
      <c r="E932" s="659" t="s">
        <v>1557</v>
      </c>
      <c r="F932" s="660">
        <v>395031000</v>
      </c>
      <c r="G932" s="661">
        <v>0</v>
      </c>
      <c r="H932" s="660">
        <v>395031000</v>
      </c>
      <c r="I932" s="660">
        <v>395031000</v>
      </c>
      <c r="J932" s="661">
        <v>0</v>
      </c>
      <c r="K932" s="660">
        <v>0</v>
      </c>
      <c r="L932" s="660">
        <v>0</v>
      </c>
      <c r="M932" s="660">
        <v>0</v>
      </c>
      <c r="N932" s="660">
        <v>0</v>
      </c>
      <c r="O932" s="451"/>
      <c r="P932" s="453"/>
    </row>
    <row r="933" spans="1:16" s="175" customFormat="1" x14ac:dyDescent="0.2">
      <c r="A933" s="188"/>
      <c r="B933" s="886"/>
      <c r="C933" s="884" t="s">
        <v>2690</v>
      </c>
      <c r="D933" s="884" t="s">
        <v>2691</v>
      </c>
      <c r="E933" s="659" t="s">
        <v>26</v>
      </c>
      <c r="F933" s="660">
        <v>116760000</v>
      </c>
      <c r="G933" s="661">
        <v>30552191</v>
      </c>
      <c r="H933" s="660">
        <v>86207809</v>
      </c>
      <c r="I933" s="660">
        <v>86207809</v>
      </c>
      <c r="J933" s="661">
        <v>0</v>
      </c>
      <c r="K933" s="660">
        <v>0</v>
      </c>
      <c r="L933" s="660">
        <v>0</v>
      </c>
      <c r="M933" s="660">
        <v>0</v>
      </c>
      <c r="N933" s="660">
        <v>0</v>
      </c>
      <c r="O933" s="451"/>
      <c r="P933" s="453"/>
    </row>
    <row r="934" spans="1:16" s="175" customFormat="1" hidden="1" x14ac:dyDescent="0.2">
      <c r="A934" s="188"/>
      <c r="B934" s="886"/>
      <c r="C934" s="884"/>
      <c r="D934" s="884" t="s">
        <v>2691</v>
      </c>
      <c r="E934" s="659" t="s">
        <v>1557</v>
      </c>
      <c r="F934" s="660">
        <v>272440000</v>
      </c>
      <c r="G934" s="661">
        <v>0</v>
      </c>
      <c r="H934" s="660">
        <v>272440000</v>
      </c>
      <c r="I934" s="660">
        <v>272440000</v>
      </c>
      <c r="J934" s="661">
        <v>0</v>
      </c>
      <c r="K934" s="660">
        <v>0</v>
      </c>
      <c r="L934" s="660">
        <v>0</v>
      </c>
      <c r="M934" s="660">
        <v>0</v>
      </c>
      <c r="N934" s="660">
        <v>0</v>
      </c>
      <c r="O934" s="451"/>
      <c r="P934" s="453"/>
    </row>
    <row r="935" spans="1:16" s="175" customFormat="1" x14ac:dyDescent="0.2">
      <c r="A935" s="188"/>
      <c r="B935" s="886"/>
      <c r="C935" s="884" t="s">
        <v>2973</v>
      </c>
      <c r="D935" s="884" t="s">
        <v>2974</v>
      </c>
      <c r="E935" s="659" t="s">
        <v>26</v>
      </c>
      <c r="F935" s="660">
        <v>159090000</v>
      </c>
      <c r="G935" s="661">
        <v>49025772</v>
      </c>
      <c r="H935" s="660">
        <v>110064228</v>
      </c>
      <c r="I935" s="660">
        <v>110064228</v>
      </c>
      <c r="J935" s="661">
        <v>0</v>
      </c>
      <c r="K935" s="660">
        <v>0</v>
      </c>
      <c r="L935" s="660">
        <v>0</v>
      </c>
      <c r="M935" s="660">
        <v>0</v>
      </c>
      <c r="N935" s="660">
        <v>0</v>
      </c>
      <c r="O935" s="451"/>
      <c r="P935" s="453"/>
    </row>
    <row r="936" spans="1:16" s="175" customFormat="1" hidden="1" x14ac:dyDescent="0.2">
      <c r="A936" s="188"/>
      <c r="B936" s="886"/>
      <c r="C936" s="884"/>
      <c r="D936" s="884" t="s">
        <v>2974</v>
      </c>
      <c r="E936" s="659" t="s">
        <v>1557</v>
      </c>
      <c r="F936" s="660">
        <v>371210000</v>
      </c>
      <c r="G936" s="661">
        <v>0</v>
      </c>
      <c r="H936" s="660">
        <v>371210000</v>
      </c>
      <c r="I936" s="660">
        <v>371210000</v>
      </c>
      <c r="J936" s="661">
        <v>0</v>
      </c>
      <c r="K936" s="660">
        <v>0</v>
      </c>
      <c r="L936" s="660">
        <v>0</v>
      </c>
      <c r="M936" s="660">
        <v>0</v>
      </c>
      <c r="N936" s="660">
        <v>0</v>
      </c>
      <c r="O936" s="451"/>
      <c r="P936" s="453"/>
    </row>
    <row r="937" spans="1:16" s="175" customFormat="1" x14ac:dyDescent="0.2">
      <c r="A937" s="188"/>
      <c r="B937" s="886"/>
      <c r="C937" s="884" t="s">
        <v>2975</v>
      </c>
      <c r="D937" s="884" t="s">
        <v>2976</v>
      </c>
      <c r="E937" s="659" t="s">
        <v>26</v>
      </c>
      <c r="F937" s="660">
        <v>117150000</v>
      </c>
      <c r="G937" s="661">
        <v>34900000</v>
      </c>
      <c r="H937" s="660">
        <v>82250000</v>
      </c>
      <c r="I937" s="660">
        <v>82250000</v>
      </c>
      <c r="J937" s="661">
        <v>0</v>
      </c>
      <c r="K937" s="660">
        <v>0</v>
      </c>
      <c r="L937" s="660">
        <v>0</v>
      </c>
      <c r="M937" s="660">
        <v>0</v>
      </c>
      <c r="N937" s="660">
        <v>0</v>
      </c>
      <c r="O937" s="451"/>
      <c r="P937" s="453"/>
    </row>
    <row r="938" spans="1:16" s="175" customFormat="1" hidden="1" x14ac:dyDescent="0.2">
      <c r="A938" s="188"/>
      <c r="B938" s="886"/>
      <c r="C938" s="884"/>
      <c r="D938" s="884" t="s">
        <v>2976</v>
      </c>
      <c r="E938" s="659" t="s">
        <v>1557</v>
      </c>
      <c r="F938" s="660">
        <v>273350000</v>
      </c>
      <c r="G938" s="661">
        <v>0</v>
      </c>
      <c r="H938" s="660">
        <v>273350000</v>
      </c>
      <c r="I938" s="660">
        <v>273350000</v>
      </c>
      <c r="J938" s="661">
        <v>0</v>
      </c>
      <c r="K938" s="660">
        <v>0</v>
      </c>
      <c r="L938" s="660">
        <v>0</v>
      </c>
      <c r="M938" s="660">
        <v>0</v>
      </c>
      <c r="N938" s="660">
        <v>0</v>
      </c>
      <c r="O938" s="451"/>
      <c r="P938" s="453"/>
    </row>
    <row r="939" spans="1:16" s="175" customFormat="1" x14ac:dyDescent="0.2">
      <c r="A939" s="188"/>
      <c r="B939" s="886"/>
      <c r="C939" s="884" t="s">
        <v>2692</v>
      </c>
      <c r="D939" s="884" t="s">
        <v>2693</v>
      </c>
      <c r="E939" s="659" t="s">
        <v>26</v>
      </c>
      <c r="F939" s="660">
        <v>152118000</v>
      </c>
      <c r="G939" s="661">
        <v>54529502</v>
      </c>
      <c r="H939" s="660">
        <v>97588498</v>
      </c>
      <c r="I939" s="660">
        <v>95655712</v>
      </c>
      <c r="J939" s="661">
        <v>1932786</v>
      </c>
      <c r="K939" s="660">
        <v>1932786</v>
      </c>
      <c r="L939" s="660">
        <v>0</v>
      </c>
      <c r="M939" s="660">
        <v>0</v>
      </c>
      <c r="N939" s="660">
        <v>0</v>
      </c>
      <c r="O939" s="451"/>
      <c r="P939" s="453"/>
    </row>
    <row r="940" spans="1:16" s="175" customFormat="1" hidden="1" x14ac:dyDescent="0.2">
      <c r="A940" s="188"/>
      <c r="B940" s="886"/>
      <c r="C940" s="884"/>
      <c r="D940" s="884" t="s">
        <v>2693</v>
      </c>
      <c r="E940" s="659" t="s">
        <v>1557</v>
      </c>
      <c r="F940" s="660">
        <v>354942000</v>
      </c>
      <c r="G940" s="661">
        <v>0</v>
      </c>
      <c r="H940" s="660">
        <v>354942000</v>
      </c>
      <c r="I940" s="660">
        <v>354942000</v>
      </c>
      <c r="J940" s="661">
        <v>0</v>
      </c>
      <c r="K940" s="660">
        <v>0</v>
      </c>
      <c r="L940" s="660">
        <v>0</v>
      </c>
      <c r="M940" s="660">
        <v>0</v>
      </c>
      <c r="N940" s="660">
        <v>0</v>
      </c>
      <c r="O940" s="451"/>
      <c r="P940" s="453"/>
    </row>
    <row r="941" spans="1:16" s="175" customFormat="1" x14ac:dyDescent="0.2">
      <c r="A941" s="188"/>
      <c r="B941" s="886"/>
      <c r="C941" s="884" t="s">
        <v>2694</v>
      </c>
      <c r="D941" s="884" t="s">
        <v>2695</v>
      </c>
      <c r="E941" s="659" t="s">
        <v>26</v>
      </c>
      <c r="F941" s="660">
        <v>148880457</v>
      </c>
      <c r="G941" s="661">
        <v>68041576</v>
      </c>
      <c r="H941" s="660">
        <v>80838881</v>
      </c>
      <c r="I941" s="660">
        <v>80838881</v>
      </c>
      <c r="J941" s="661">
        <v>0</v>
      </c>
      <c r="K941" s="660">
        <v>0</v>
      </c>
      <c r="L941" s="660">
        <v>0</v>
      </c>
      <c r="M941" s="660">
        <v>0</v>
      </c>
      <c r="N941" s="660">
        <v>0</v>
      </c>
      <c r="O941" s="451"/>
      <c r="P941" s="453"/>
    </row>
    <row r="942" spans="1:16" s="175" customFormat="1" hidden="1" x14ac:dyDescent="0.2">
      <c r="A942" s="188"/>
      <c r="B942" s="886"/>
      <c r="C942" s="884"/>
      <c r="D942" s="884" t="s">
        <v>2695</v>
      </c>
      <c r="E942" s="659" t="s">
        <v>1557</v>
      </c>
      <c r="F942" s="660">
        <v>240819543</v>
      </c>
      <c r="G942" s="661">
        <v>0</v>
      </c>
      <c r="H942" s="660">
        <v>240819543</v>
      </c>
      <c r="I942" s="660">
        <v>240819543</v>
      </c>
      <c r="J942" s="661">
        <v>0</v>
      </c>
      <c r="K942" s="660">
        <v>0</v>
      </c>
      <c r="L942" s="660">
        <v>0</v>
      </c>
      <c r="M942" s="660">
        <v>0</v>
      </c>
      <c r="N942" s="660">
        <v>0</v>
      </c>
      <c r="O942" s="451"/>
      <c r="P942" s="453"/>
    </row>
    <row r="943" spans="1:16" s="175" customFormat="1" x14ac:dyDescent="0.2">
      <c r="A943" s="188"/>
      <c r="B943" s="886"/>
      <c r="C943" s="884" t="s">
        <v>3140</v>
      </c>
      <c r="D943" s="884" t="s">
        <v>3141</v>
      </c>
      <c r="E943" s="659" t="s">
        <v>26</v>
      </c>
      <c r="F943" s="660">
        <v>159240000</v>
      </c>
      <c r="G943" s="661">
        <v>31426671</v>
      </c>
      <c r="H943" s="660">
        <v>127813329</v>
      </c>
      <c r="I943" s="660">
        <v>110171430</v>
      </c>
      <c r="J943" s="661">
        <v>17641899</v>
      </c>
      <c r="K943" s="660">
        <v>4406857</v>
      </c>
      <c r="L943" s="660">
        <v>4406857</v>
      </c>
      <c r="M943" s="660">
        <v>4406857</v>
      </c>
      <c r="N943" s="660">
        <v>4421328</v>
      </c>
      <c r="O943" s="451"/>
      <c r="P943" s="453"/>
    </row>
    <row r="944" spans="1:16" s="175" customFormat="1" hidden="1" x14ac:dyDescent="0.2">
      <c r="A944" s="188"/>
      <c r="B944" s="886"/>
      <c r="C944" s="884"/>
      <c r="D944" s="884" t="s">
        <v>3141</v>
      </c>
      <c r="E944" s="659" t="s">
        <v>1557</v>
      </c>
      <c r="F944" s="660">
        <v>371560000</v>
      </c>
      <c r="G944" s="661">
        <v>0</v>
      </c>
      <c r="H944" s="660">
        <v>371560000</v>
      </c>
      <c r="I944" s="660">
        <v>371560000</v>
      </c>
      <c r="J944" s="661">
        <v>0</v>
      </c>
      <c r="K944" s="660">
        <v>0</v>
      </c>
      <c r="L944" s="660">
        <v>0</v>
      </c>
      <c r="M944" s="660">
        <v>0</v>
      </c>
      <c r="N944" s="660">
        <v>0</v>
      </c>
      <c r="O944" s="451"/>
      <c r="P944" s="453"/>
    </row>
    <row r="945" spans="1:16" s="175" customFormat="1" x14ac:dyDescent="0.2">
      <c r="A945" s="188"/>
      <c r="B945" s="886"/>
      <c r="C945" s="884"/>
      <c r="D945" s="884" t="s">
        <v>3141</v>
      </c>
      <c r="E945" s="659" t="s">
        <v>195</v>
      </c>
      <c r="F945" s="660">
        <v>1073329</v>
      </c>
      <c r="G945" s="661">
        <v>1073329</v>
      </c>
      <c r="H945" s="660">
        <v>0</v>
      </c>
      <c r="I945" s="660">
        <v>0</v>
      </c>
      <c r="J945" s="661">
        <v>0</v>
      </c>
      <c r="K945" s="660">
        <v>0</v>
      </c>
      <c r="L945" s="660">
        <v>0</v>
      </c>
      <c r="M945" s="660">
        <v>0</v>
      </c>
      <c r="N945" s="660">
        <v>0</v>
      </c>
      <c r="O945" s="451"/>
      <c r="P945" s="453"/>
    </row>
    <row r="946" spans="1:16" s="175" customFormat="1" x14ac:dyDescent="0.2">
      <c r="A946" s="188"/>
      <c r="B946" s="886"/>
      <c r="C946" s="884" t="s">
        <v>2977</v>
      </c>
      <c r="D946" s="884" t="s">
        <v>2978</v>
      </c>
      <c r="E946" s="659" t="s">
        <v>26</v>
      </c>
      <c r="F946" s="660">
        <v>117300000</v>
      </c>
      <c r="G946" s="661">
        <v>33877139</v>
      </c>
      <c r="H946" s="660">
        <v>83422861</v>
      </c>
      <c r="I946" s="660">
        <v>80214290</v>
      </c>
      <c r="J946" s="661">
        <v>3208571</v>
      </c>
      <c r="K946" s="660">
        <v>3208571</v>
      </c>
      <c r="L946" s="660">
        <v>0</v>
      </c>
      <c r="M946" s="660">
        <v>0</v>
      </c>
      <c r="N946" s="660">
        <v>0</v>
      </c>
      <c r="O946" s="451"/>
      <c r="P946" s="453"/>
    </row>
    <row r="947" spans="1:16" s="175" customFormat="1" hidden="1" x14ac:dyDescent="0.2">
      <c r="A947" s="188"/>
      <c r="B947" s="886"/>
      <c r="C947" s="884"/>
      <c r="D947" s="884" t="s">
        <v>2978</v>
      </c>
      <c r="E947" s="659" t="s">
        <v>1557</v>
      </c>
      <c r="F947" s="660">
        <v>273700000</v>
      </c>
      <c r="G947" s="661">
        <v>0</v>
      </c>
      <c r="H947" s="660">
        <v>273700000</v>
      </c>
      <c r="I947" s="660">
        <v>273700000</v>
      </c>
      <c r="J947" s="661">
        <v>0</v>
      </c>
      <c r="K947" s="660">
        <v>0</v>
      </c>
      <c r="L947" s="660">
        <v>0</v>
      </c>
      <c r="M947" s="660">
        <v>0</v>
      </c>
      <c r="N947" s="660">
        <v>0</v>
      </c>
      <c r="O947" s="451"/>
      <c r="P947" s="453"/>
    </row>
    <row r="948" spans="1:16" s="175" customFormat="1" x14ac:dyDescent="0.2">
      <c r="A948" s="188"/>
      <c r="B948" s="886"/>
      <c r="C948" s="884" t="s">
        <v>3142</v>
      </c>
      <c r="D948" s="884" t="s">
        <v>3143</v>
      </c>
      <c r="E948" s="659" t="s">
        <v>26</v>
      </c>
      <c r="F948" s="660">
        <v>156390750</v>
      </c>
      <c r="G948" s="661">
        <v>51302500</v>
      </c>
      <c r="H948" s="660">
        <v>105088250</v>
      </c>
      <c r="I948" s="660">
        <v>105088250</v>
      </c>
      <c r="J948" s="661">
        <v>0</v>
      </c>
      <c r="K948" s="660">
        <v>0</v>
      </c>
      <c r="L948" s="660">
        <v>0</v>
      </c>
      <c r="M948" s="660">
        <v>0</v>
      </c>
      <c r="N948" s="660">
        <v>0</v>
      </c>
      <c r="O948" s="451"/>
      <c r="P948" s="453"/>
    </row>
    <row r="949" spans="1:16" s="175" customFormat="1" hidden="1" x14ac:dyDescent="0.2">
      <c r="A949" s="188"/>
      <c r="B949" s="886"/>
      <c r="C949" s="884"/>
      <c r="D949" s="884" t="s">
        <v>3143</v>
      </c>
      <c r="E949" s="659" t="s">
        <v>1557</v>
      </c>
      <c r="F949" s="660">
        <v>364911750</v>
      </c>
      <c r="G949" s="661">
        <v>0</v>
      </c>
      <c r="H949" s="660">
        <v>364911750</v>
      </c>
      <c r="I949" s="660">
        <v>364911750</v>
      </c>
      <c r="J949" s="661">
        <v>0</v>
      </c>
      <c r="K949" s="660">
        <v>0</v>
      </c>
      <c r="L949" s="660">
        <v>0</v>
      </c>
      <c r="M949" s="660">
        <v>0</v>
      </c>
      <c r="N949" s="660">
        <v>0</v>
      </c>
      <c r="O949" s="451"/>
      <c r="P949" s="453"/>
    </row>
    <row r="950" spans="1:16" s="175" customFormat="1" x14ac:dyDescent="0.2">
      <c r="A950" s="188"/>
      <c r="B950" s="886"/>
      <c r="C950" s="884" t="s">
        <v>3217</v>
      </c>
      <c r="D950" s="884" t="s">
        <v>3355</v>
      </c>
      <c r="E950" s="659" t="s">
        <v>26</v>
      </c>
      <c r="F950" s="660">
        <v>134478000</v>
      </c>
      <c r="G950" s="661">
        <v>31918000</v>
      </c>
      <c r="H950" s="660">
        <v>102560000</v>
      </c>
      <c r="I950" s="660">
        <v>102560000</v>
      </c>
      <c r="J950" s="661">
        <v>0</v>
      </c>
      <c r="K950" s="660">
        <v>0</v>
      </c>
      <c r="L950" s="660">
        <v>0</v>
      </c>
      <c r="M950" s="660">
        <v>0</v>
      </c>
      <c r="N950" s="660">
        <v>0</v>
      </c>
      <c r="O950" s="451"/>
      <c r="P950" s="453"/>
    </row>
    <row r="951" spans="1:16" s="175" customFormat="1" hidden="1" x14ac:dyDescent="0.2">
      <c r="A951" s="188"/>
      <c r="B951" s="886"/>
      <c r="C951" s="884"/>
      <c r="D951" s="884" t="s">
        <v>3355</v>
      </c>
      <c r="E951" s="659" t="s">
        <v>1557</v>
      </c>
      <c r="F951" s="660">
        <v>295122000</v>
      </c>
      <c r="G951" s="661">
        <v>0</v>
      </c>
      <c r="H951" s="660">
        <v>295122000</v>
      </c>
      <c r="I951" s="660">
        <v>295122000</v>
      </c>
      <c r="J951" s="661">
        <v>0</v>
      </c>
      <c r="K951" s="660">
        <v>0</v>
      </c>
      <c r="L951" s="660">
        <v>0</v>
      </c>
      <c r="M951" s="660">
        <v>0</v>
      </c>
      <c r="N951" s="660">
        <v>0</v>
      </c>
      <c r="O951" s="451"/>
      <c r="P951" s="453"/>
    </row>
    <row r="952" spans="1:16" s="175" customFormat="1" x14ac:dyDescent="0.2">
      <c r="A952" s="188"/>
      <c r="B952" s="886"/>
      <c r="C952" s="884" t="s">
        <v>4229</v>
      </c>
      <c r="D952" s="884" t="s">
        <v>4230</v>
      </c>
      <c r="E952" s="659" t="s">
        <v>26</v>
      </c>
      <c r="F952" s="660">
        <v>176523000</v>
      </c>
      <c r="G952" s="661">
        <v>17705408</v>
      </c>
      <c r="H952" s="660">
        <v>158817592</v>
      </c>
      <c r="I952" s="660">
        <v>158817592</v>
      </c>
      <c r="J952" s="661">
        <v>0</v>
      </c>
      <c r="K952" s="660">
        <v>0</v>
      </c>
      <c r="L952" s="660">
        <v>0</v>
      </c>
      <c r="M952" s="660">
        <v>0</v>
      </c>
      <c r="N952" s="660">
        <v>0</v>
      </c>
      <c r="O952" s="451"/>
      <c r="P952" s="453"/>
    </row>
    <row r="953" spans="1:16" s="175" customFormat="1" hidden="1" x14ac:dyDescent="0.2">
      <c r="A953" s="188"/>
      <c r="B953" s="886"/>
      <c r="C953" s="884"/>
      <c r="D953" s="884" t="s">
        <v>4230</v>
      </c>
      <c r="E953" s="659" t="s">
        <v>1557</v>
      </c>
      <c r="F953" s="660">
        <v>411887000</v>
      </c>
      <c r="G953" s="661">
        <v>0</v>
      </c>
      <c r="H953" s="660">
        <v>411887000</v>
      </c>
      <c r="I953" s="660">
        <v>411887000</v>
      </c>
      <c r="J953" s="661">
        <v>0</v>
      </c>
      <c r="K953" s="660">
        <v>0</v>
      </c>
      <c r="L953" s="660">
        <v>0</v>
      </c>
      <c r="M953" s="660">
        <v>0</v>
      </c>
      <c r="N953" s="660">
        <v>0</v>
      </c>
      <c r="O953" s="451"/>
      <c r="P953" s="453"/>
    </row>
    <row r="954" spans="1:16" s="175" customFormat="1" x14ac:dyDescent="0.2">
      <c r="A954" s="188"/>
      <c r="B954" s="886"/>
      <c r="C954" s="884" t="s">
        <v>2696</v>
      </c>
      <c r="D954" s="884" t="s">
        <v>2697</v>
      </c>
      <c r="E954" s="659" t="s">
        <v>26</v>
      </c>
      <c r="F954" s="660">
        <v>117450000</v>
      </c>
      <c r="G954" s="661">
        <v>37128570</v>
      </c>
      <c r="H954" s="660">
        <v>80321430</v>
      </c>
      <c r="I954" s="660">
        <v>80321430</v>
      </c>
      <c r="J954" s="661">
        <v>0</v>
      </c>
      <c r="K954" s="660">
        <v>0</v>
      </c>
      <c r="L954" s="660">
        <v>0</v>
      </c>
      <c r="M954" s="660">
        <v>0</v>
      </c>
      <c r="N954" s="660">
        <v>0</v>
      </c>
      <c r="O954" s="451"/>
      <c r="P954" s="453"/>
    </row>
    <row r="955" spans="1:16" s="175" customFormat="1" hidden="1" x14ac:dyDescent="0.2">
      <c r="A955" s="188"/>
      <c r="B955" s="886"/>
      <c r="C955" s="884"/>
      <c r="D955" s="884" t="s">
        <v>2697</v>
      </c>
      <c r="E955" s="659" t="s">
        <v>1557</v>
      </c>
      <c r="F955" s="660">
        <v>274050000</v>
      </c>
      <c r="G955" s="661">
        <v>0</v>
      </c>
      <c r="H955" s="660">
        <v>274050000</v>
      </c>
      <c r="I955" s="660">
        <v>274050000</v>
      </c>
      <c r="J955" s="661">
        <v>0</v>
      </c>
      <c r="K955" s="660">
        <v>0</v>
      </c>
      <c r="L955" s="660">
        <v>0</v>
      </c>
      <c r="M955" s="660">
        <v>0</v>
      </c>
      <c r="N955" s="660">
        <v>0</v>
      </c>
      <c r="O955" s="451"/>
      <c r="P955" s="453"/>
    </row>
    <row r="956" spans="1:16" s="175" customFormat="1" x14ac:dyDescent="0.2">
      <c r="A956" s="188"/>
      <c r="B956" s="886"/>
      <c r="C956" s="884" t="s">
        <v>3271</v>
      </c>
      <c r="D956" s="884" t="s">
        <v>3272</v>
      </c>
      <c r="E956" s="659" t="s">
        <v>26</v>
      </c>
      <c r="F956" s="660">
        <v>167347500</v>
      </c>
      <c r="G956" s="661">
        <v>32292403</v>
      </c>
      <c r="H956" s="660">
        <v>135055097</v>
      </c>
      <c r="I956" s="660">
        <v>126833987</v>
      </c>
      <c r="J956" s="661">
        <v>8221110</v>
      </c>
      <c r="K956" s="660">
        <v>5073359</v>
      </c>
      <c r="L956" s="660">
        <v>3147751</v>
      </c>
      <c r="M956" s="660">
        <v>0</v>
      </c>
      <c r="N956" s="660">
        <v>0</v>
      </c>
      <c r="O956" s="451"/>
      <c r="P956" s="453"/>
    </row>
    <row r="957" spans="1:16" s="175" customFormat="1" x14ac:dyDescent="0.2">
      <c r="A957" s="188"/>
      <c r="B957" s="886"/>
      <c r="C957" s="884"/>
      <c r="D957" s="884" t="s">
        <v>3272</v>
      </c>
      <c r="E957" s="659" t="s">
        <v>900</v>
      </c>
      <c r="F957" s="660">
        <v>390477500</v>
      </c>
      <c r="G957" s="661">
        <v>0</v>
      </c>
      <c r="H957" s="660">
        <v>390477500</v>
      </c>
      <c r="I957" s="660">
        <v>390477500</v>
      </c>
      <c r="J957" s="661">
        <v>0</v>
      </c>
      <c r="K957" s="660">
        <v>0</v>
      </c>
      <c r="L957" s="660">
        <v>0</v>
      </c>
      <c r="M957" s="660">
        <v>0</v>
      </c>
      <c r="N957" s="660">
        <v>0</v>
      </c>
      <c r="O957" s="451"/>
      <c r="P957" s="453"/>
    </row>
    <row r="958" spans="1:16" s="175" customFormat="1" x14ac:dyDescent="0.2">
      <c r="A958" s="188"/>
      <c r="B958" s="886"/>
      <c r="C958" s="884" t="s">
        <v>3273</v>
      </c>
      <c r="D958" s="884" t="s">
        <v>3274</v>
      </c>
      <c r="E958" s="659" t="s">
        <v>26</v>
      </c>
      <c r="F958" s="660">
        <v>129030000</v>
      </c>
      <c r="G958" s="661">
        <v>29005808</v>
      </c>
      <c r="H958" s="660">
        <v>100024192</v>
      </c>
      <c r="I958" s="660">
        <v>100024192</v>
      </c>
      <c r="J958" s="661">
        <v>0</v>
      </c>
      <c r="K958" s="660">
        <v>0</v>
      </c>
      <c r="L958" s="660">
        <v>0</v>
      </c>
      <c r="M958" s="660">
        <v>0</v>
      </c>
      <c r="N958" s="660">
        <v>0</v>
      </c>
      <c r="O958" s="451"/>
      <c r="P958" s="453"/>
    </row>
    <row r="959" spans="1:16" s="175" customFormat="1" hidden="1" x14ac:dyDescent="0.2">
      <c r="A959" s="188"/>
      <c r="B959" s="886"/>
      <c r="C959" s="884"/>
      <c r="D959" s="884" t="s">
        <v>3274</v>
      </c>
      <c r="E959" s="659" t="s">
        <v>1557</v>
      </c>
      <c r="F959" s="660">
        <v>301070000</v>
      </c>
      <c r="G959" s="661">
        <v>0</v>
      </c>
      <c r="H959" s="660">
        <v>301070000</v>
      </c>
      <c r="I959" s="660">
        <v>301070000</v>
      </c>
      <c r="J959" s="661">
        <v>0</v>
      </c>
      <c r="K959" s="660">
        <v>0</v>
      </c>
      <c r="L959" s="660">
        <v>0</v>
      </c>
      <c r="M959" s="660">
        <v>0</v>
      </c>
      <c r="N959" s="660">
        <v>0</v>
      </c>
      <c r="O959" s="451"/>
      <c r="P959" s="453"/>
    </row>
    <row r="960" spans="1:16" s="175" customFormat="1" x14ac:dyDescent="0.2">
      <c r="A960" s="188"/>
      <c r="B960" s="886"/>
      <c r="C960" s="884" t="s">
        <v>4231</v>
      </c>
      <c r="D960" s="884" t="s">
        <v>4232</v>
      </c>
      <c r="E960" s="659" t="s">
        <v>26</v>
      </c>
      <c r="F960" s="660">
        <v>176673000</v>
      </c>
      <c r="G960" s="661">
        <v>19000000</v>
      </c>
      <c r="H960" s="660">
        <v>157673000</v>
      </c>
      <c r="I960" s="660">
        <v>157673000</v>
      </c>
      <c r="J960" s="661">
        <v>0</v>
      </c>
      <c r="K960" s="660">
        <v>0</v>
      </c>
      <c r="L960" s="660">
        <v>0</v>
      </c>
      <c r="M960" s="660">
        <v>0</v>
      </c>
      <c r="N960" s="660">
        <v>0</v>
      </c>
      <c r="O960" s="451"/>
      <c r="P960" s="453"/>
    </row>
    <row r="961" spans="1:16" s="175" customFormat="1" hidden="1" x14ac:dyDescent="0.2">
      <c r="A961" s="188"/>
      <c r="B961" s="886"/>
      <c r="C961" s="884"/>
      <c r="D961" s="884" t="s">
        <v>4232</v>
      </c>
      <c r="E961" s="659" t="s">
        <v>1557</v>
      </c>
      <c r="F961" s="660">
        <v>412237000</v>
      </c>
      <c r="G961" s="661">
        <v>0</v>
      </c>
      <c r="H961" s="660">
        <v>412237000</v>
      </c>
      <c r="I961" s="660">
        <v>412237000</v>
      </c>
      <c r="J961" s="661">
        <v>0</v>
      </c>
      <c r="K961" s="660">
        <v>0</v>
      </c>
      <c r="L961" s="660">
        <v>0</v>
      </c>
      <c r="M961" s="660">
        <v>0</v>
      </c>
      <c r="N961" s="660">
        <v>0</v>
      </c>
      <c r="O961" s="451"/>
      <c r="P961" s="453"/>
    </row>
    <row r="962" spans="1:16" s="175" customFormat="1" x14ac:dyDescent="0.2">
      <c r="A962" s="188"/>
      <c r="B962" s="886"/>
      <c r="C962" s="884" t="s">
        <v>3144</v>
      </c>
      <c r="D962" s="884" t="s">
        <v>3145</v>
      </c>
      <c r="E962" s="659" t="s">
        <v>26</v>
      </c>
      <c r="F962" s="660">
        <v>160835250</v>
      </c>
      <c r="G962" s="661">
        <v>46250510</v>
      </c>
      <c r="H962" s="660">
        <v>114584740</v>
      </c>
      <c r="I962" s="660">
        <v>114584740</v>
      </c>
      <c r="J962" s="661">
        <v>0</v>
      </c>
      <c r="K962" s="660">
        <v>0</v>
      </c>
      <c r="L962" s="660">
        <v>0</v>
      </c>
      <c r="M962" s="660">
        <v>0</v>
      </c>
      <c r="N962" s="660">
        <v>0</v>
      </c>
      <c r="O962" s="451"/>
      <c r="P962" s="453"/>
    </row>
    <row r="963" spans="1:16" s="175" customFormat="1" x14ac:dyDescent="0.2">
      <c r="A963" s="188"/>
      <c r="B963" s="886"/>
      <c r="C963" s="884"/>
      <c r="D963" s="884" t="s">
        <v>3145</v>
      </c>
      <c r="E963" s="659" t="s">
        <v>900</v>
      </c>
      <c r="F963" s="660">
        <v>375282250</v>
      </c>
      <c r="G963" s="661">
        <v>0</v>
      </c>
      <c r="H963" s="660">
        <v>375282250</v>
      </c>
      <c r="I963" s="660">
        <v>375282250</v>
      </c>
      <c r="J963" s="661">
        <v>0</v>
      </c>
      <c r="K963" s="660">
        <v>0</v>
      </c>
      <c r="L963" s="660">
        <v>0</v>
      </c>
      <c r="M963" s="660">
        <v>0</v>
      </c>
      <c r="N963" s="660">
        <v>0</v>
      </c>
      <c r="O963" s="451"/>
      <c r="P963" s="453"/>
    </row>
    <row r="964" spans="1:16" s="175" customFormat="1" x14ac:dyDescent="0.2">
      <c r="A964" s="188"/>
      <c r="B964" s="886"/>
      <c r="C964" s="884" t="s">
        <v>2979</v>
      </c>
      <c r="D964" s="884" t="s">
        <v>2980</v>
      </c>
      <c r="E964" s="659" t="s">
        <v>26</v>
      </c>
      <c r="F964" s="660">
        <v>117870000</v>
      </c>
      <c r="G964" s="661">
        <v>40473427</v>
      </c>
      <c r="H964" s="660">
        <v>77396573</v>
      </c>
      <c r="I964" s="660">
        <v>77396573</v>
      </c>
      <c r="J964" s="661">
        <v>0</v>
      </c>
      <c r="K964" s="660">
        <v>0</v>
      </c>
      <c r="L964" s="660">
        <v>0</v>
      </c>
      <c r="M964" s="660">
        <v>0</v>
      </c>
      <c r="N964" s="660">
        <v>0</v>
      </c>
      <c r="O964" s="451"/>
      <c r="P964" s="453"/>
    </row>
    <row r="965" spans="1:16" s="175" customFormat="1" hidden="1" x14ac:dyDescent="0.2">
      <c r="A965" s="188"/>
      <c r="B965" s="886"/>
      <c r="C965" s="884"/>
      <c r="D965" s="884" t="s">
        <v>2980</v>
      </c>
      <c r="E965" s="659" t="s">
        <v>1557</v>
      </c>
      <c r="F965" s="660">
        <v>275030000</v>
      </c>
      <c r="G965" s="661">
        <v>0</v>
      </c>
      <c r="H965" s="660">
        <v>275030000</v>
      </c>
      <c r="I965" s="660">
        <v>275030000</v>
      </c>
      <c r="J965" s="661">
        <v>0</v>
      </c>
      <c r="K965" s="660">
        <v>0</v>
      </c>
      <c r="L965" s="660">
        <v>0</v>
      </c>
      <c r="M965" s="660">
        <v>0</v>
      </c>
      <c r="N965" s="660">
        <v>0</v>
      </c>
      <c r="O965" s="451"/>
      <c r="P965" s="453"/>
    </row>
    <row r="966" spans="1:16" s="175" customFormat="1" x14ac:dyDescent="0.2">
      <c r="A966" s="188"/>
      <c r="B966" s="886"/>
      <c r="C966" s="884" t="s">
        <v>2981</v>
      </c>
      <c r="D966" s="884" t="s">
        <v>2982</v>
      </c>
      <c r="E966" s="659" t="s">
        <v>26</v>
      </c>
      <c r="F966" s="660">
        <v>155490000</v>
      </c>
      <c r="G966" s="661">
        <v>47997140</v>
      </c>
      <c r="H966" s="660">
        <v>107492860</v>
      </c>
      <c r="I966" s="660">
        <v>107492860</v>
      </c>
      <c r="J966" s="661">
        <v>0</v>
      </c>
      <c r="K966" s="660">
        <v>0</v>
      </c>
      <c r="L966" s="660">
        <v>0</v>
      </c>
      <c r="M966" s="660">
        <v>0</v>
      </c>
      <c r="N966" s="660">
        <v>0</v>
      </c>
      <c r="O966" s="451"/>
      <c r="P966" s="453"/>
    </row>
    <row r="967" spans="1:16" s="175" customFormat="1" hidden="1" x14ac:dyDescent="0.2">
      <c r="A967" s="188"/>
      <c r="B967" s="886"/>
      <c r="C967" s="884"/>
      <c r="D967" s="884" t="s">
        <v>2982</v>
      </c>
      <c r="E967" s="659" t="s">
        <v>1557</v>
      </c>
      <c r="F967" s="660">
        <v>362810000</v>
      </c>
      <c r="G967" s="661">
        <v>0</v>
      </c>
      <c r="H967" s="660">
        <v>362810000</v>
      </c>
      <c r="I967" s="660">
        <v>362810000</v>
      </c>
      <c r="J967" s="661">
        <v>0</v>
      </c>
      <c r="K967" s="660">
        <v>0</v>
      </c>
      <c r="L967" s="660">
        <v>0</v>
      </c>
      <c r="M967" s="660">
        <v>0</v>
      </c>
      <c r="N967" s="660">
        <v>0</v>
      </c>
      <c r="O967" s="451"/>
      <c r="P967" s="453"/>
    </row>
    <row r="968" spans="1:16" s="175" customFormat="1" x14ac:dyDescent="0.2">
      <c r="A968" s="188"/>
      <c r="B968" s="886"/>
      <c r="C968" s="884" t="s">
        <v>4233</v>
      </c>
      <c r="D968" s="884" t="s">
        <v>4234</v>
      </c>
      <c r="E968" s="659" t="s">
        <v>26</v>
      </c>
      <c r="F968" s="660">
        <v>132300000</v>
      </c>
      <c r="G968" s="661">
        <v>42000000</v>
      </c>
      <c r="H968" s="660">
        <v>90300000</v>
      </c>
      <c r="I968" s="660">
        <v>90300000</v>
      </c>
      <c r="J968" s="661">
        <v>0</v>
      </c>
      <c r="K968" s="660">
        <v>0</v>
      </c>
      <c r="L968" s="660">
        <v>0</v>
      </c>
      <c r="M968" s="660">
        <v>0</v>
      </c>
      <c r="N968" s="660">
        <v>0</v>
      </c>
      <c r="O968" s="451"/>
      <c r="P968" s="453"/>
    </row>
    <row r="969" spans="1:16" s="175" customFormat="1" hidden="1" x14ac:dyDescent="0.2">
      <c r="A969" s="188"/>
      <c r="B969" s="886"/>
      <c r="C969" s="884"/>
      <c r="D969" s="884" t="s">
        <v>4234</v>
      </c>
      <c r="E969" s="659" t="s">
        <v>1557</v>
      </c>
      <c r="F969" s="660">
        <v>308700000</v>
      </c>
      <c r="G969" s="661">
        <v>0</v>
      </c>
      <c r="H969" s="660">
        <v>308700000</v>
      </c>
      <c r="I969" s="660">
        <v>308700000</v>
      </c>
      <c r="J969" s="661">
        <v>0</v>
      </c>
      <c r="K969" s="660">
        <v>0</v>
      </c>
      <c r="L969" s="660">
        <v>0</v>
      </c>
      <c r="M969" s="660">
        <v>0</v>
      </c>
      <c r="N969" s="660">
        <v>0</v>
      </c>
      <c r="O969" s="451"/>
      <c r="P969" s="453"/>
    </row>
    <row r="970" spans="1:16" s="175" customFormat="1" x14ac:dyDescent="0.2">
      <c r="A970" s="188"/>
      <c r="B970" s="886"/>
      <c r="C970" s="884" t="s">
        <v>4235</v>
      </c>
      <c r="D970" s="884" t="s">
        <v>4236</v>
      </c>
      <c r="E970" s="659" t="s">
        <v>26</v>
      </c>
      <c r="F970" s="660">
        <v>173693767</v>
      </c>
      <c r="G970" s="661">
        <v>17495834</v>
      </c>
      <c r="H970" s="660">
        <v>156197933</v>
      </c>
      <c r="I970" s="660">
        <v>156197933</v>
      </c>
      <c r="J970" s="661">
        <v>0</v>
      </c>
      <c r="K970" s="660">
        <v>0</v>
      </c>
      <c r="L970" s="660">
        <v>0</v>
      </c>
      <c r="M970" s="660">
        <v>0</v>
      </c>
      <c r="N970" s="660">
        <v>0</v>
      </c>
      <c r="O970" s="451"/>
      <c r="P970" s="453"/>
    </row>
    <row r="971" spans="1:16" s="175" customFormat="1" hidden="1" x14ac:dyDescent="0.2">
      <c r="A971" s="188"/>
      <c r="B971" s="886"/>
      <c r="C971" s="884"/>
      <c r="D971" s="884" t="s">
        <v>4236</v>
      </c>
      <c r="E971" s="659" t="s">
        <v>1557</v>
      </c>
      <c r="F971" s="660">
        <v>405285458</v>
      </c>
      <c r="G971" s="661">
        <v>0</v>
      </c>
      <c r="H971" s="660">
        <v>405285458</v>
      </c>
      <c r="I971" s="660">
        <v>405285458</v>
      </c>
      <c r="J971" s="661">
        <v>0</v>
      </c>
      <c r="K971" s="660">
        <v>0</v>
      </c>
      <c r="L971" s="660">
        <v>0</v>
      </c>
      <c r="M971" s="660">
        <v>0</v>
      </c>
      <c r="N971" s="660">
        <v>0</v>
      </c>
      <c r="O971" s="451"/>
      <c r="P971" s="453"/>
    </row>
    <row r="972" spans="1:16" s="175" customFormat="1" x14ac:dyDescent="0.2">
      <c r="A972" s="188"/>
      <c r="B972" s="886"/>
      <c r="C972" s="884" t="s">
        <v>2983</v>
      </c>
      <c r="D972" s="884" t="s">
        <v>2984</v>
      </c>
      <c r="E972" s="659" t="s">
        <v>26</v>
      </c>
      <c r="F972" s="660">
        <v>126564608</v>
      </c>
      <c r="G972" s="661">
        <v>19000000</v>
      </c>
      <c r="H972" s="660">
        <v>107564608</v>
      </c>
      <c r="I972" s="660">
        <v>107564608</v>
      </c>
      <c r="J972" s="661">
        <v>0</v>
      </c>
      <c r="K972" s="660">
        <v>0</v>
      </c>
      <c r="L972" s="660">
        <v>0</v>
      </c>
      <c r="M972" s="660">
        <v>0</v>
      </c>
      <c r="N972" s="660">
        <v>0</v>
      </c>
      <c r="O972" s="451"/>
      <c r="P972" s="453"/>
    </row>
    <row r="973" spans="1:16" s="175" customFormat="1" hidden="1" x14ac:dyDescent="0.2">
      <c r="A973" s="188"/>
      <c r="B973" s="886"/>
      <c r="C973" s="884"/>
      <c r="D973" s="884" t="s">
        <v>2984</v>
      </c>
      <c r="E973" s="659" t="s">
        <v>1557</v>
      </c>
      <c r="F973" s="660">
        <v>274750000</v>
      </c>
      <c r="G973" s="661">
        <v>0</v>
      </c>
      <c r="H973" s="660">
        <v>274750000</v>
      </c>
      <c r="I973" s="660">
        <v>274750000</v>
      </c>
      <c r="J973" s="661">
        <v>0</v>
      </c>
      <c r="K973" s="660">
        <v>0</v>
      </c>
      <c r="L973" s="660">
        <v>0</v>
      </c>
      <c r="M973" s="660">
        <v>0</v>
      </c>
      <c r="N973" s="660">
        <v>0</v>
      </c>
      <c r="O973" s="451"/>
      <c r="P973" s="453"/>
    </row>
    <row r="974" spans="1:16" s="175" customFormat="1" x14ac:dyDescent="0.2">
      <c r="A974" s="188"/>
      <c r="B974" s="886"/>
      <c r="C974" s="884" t="s">
        <v>3146</v>
      </c>
      <c r="D974" s="884" t="s">
        <v>3147</v>
      </c>
      <c r="E974" s="659" t="s">
        <v>26</v>
      </c>
      <c r="F974" s="660">
        <v>156840750</v>
      </c>
      <c r="G974" s="661">
        <v>45193138</v>
      </c>
      <c r="H974" s="660">
        <v>111647612</v>
      </c>
      <c r="I974" s="660">
        <v>111647612</v>
      </c>
      <c r="J974" s="661">
        <v>0</v>
      </c>
      <c r="K974" s="660">
        <v>0</v>
      </c>
      <c r="L974" s="660">
        <v>0</v>
      </c>
      <c r="M974" s="660">
        <v>0</v>
      </c>
      <c r="N974" s="660">
        <v>0</v>
      </c>
      <c r="O974" s="451"/>
      <c r="P974" s="453"/>
    </row>
    <row r="975" spans="1:16" s="175" customFormat="1" hidden="1" x14ac:dyDescent="0.2">
      <c r="A975" s="188"/>
      <c r="B975" s="886"/>
      <c r="C975" s="884"/>
      <c r="D975" s="884" t="s">
        <v>3147</v>
      </c>
      <c r="E975" s="659" t="s">
        <v>1557</v>
      </c>
      <c r="F975" s="660">
        <v>365961750</v>
      </c>
      <c r="G975" s="661">
        <v>0</v>
      </c>
      <c r="H975" s="660">
        <v>365961750</v>
      </c>
      <c r="I975" s="660">
        <v>365961750</v>
      </c>
      <c r="J975" s="661">
        <v>0</v>
      </c>
      <c r="K975" s="660">
        <v>0</v>
      </c>
      <c r="L975" s="660">
        <v>0</v>
      </c>
      <c r="M975" s="660">
        <v>0</v>
      </c>
      <c r="N975" s="660">
        <v>0</v>
      </c>
      <c r="O975" s="451"/>
      <c r="P975" s="453"/>
    </row>
    <row r="976" spans="1:16" s="175" customFormat="1" x14ac:dyDescent="0.2">
      <c r="A976" s="188"/>
      <c r="B976" s="886"/>
      <c r="C976" s="884" t="s">
        <v>3437</v>
      </c>
      <c r="D976" s="884" t="s">
        <v>1186</v>
      </c>
      <c r="E976" s="659" t="s">
        <v>26</v>
      </c>
      <c r="F976" s="660">
        <v>130242000</v>
      </c>
      <c r="G976" s="661">
        <v>25000000</v>
      </c>
      <c r="H976" s="660">
        <v>105242000</v>
      </c>
      <c r="I976" s="660">
        <v>105242000</v>
      </c>
      <c r="J976" s="661">
        <v>0</v>
      </c>
      <c r="K976" s="660">
        <v>0</v>
      </c>
      <c r="L976" s="660">
        <v>0</v>
      </c>
      <c r="M976" s="660">
        <v>0</v>
      </c>
      <c r="N976" s="660">
        <v>0</v>
      </c>
      <c r="O976" s="451"/>
      <c r="P976" s="453"/>
    </row>
    <row r="977" spans="1:16" s="175" customFormat="1" hidden="1" x14ac:dyDescent="0.2">
      <c r="A977" s="188"/>
      <c r="B977" s="886"/>
      <c r="C977" s="884"/>
      <c r="D977" s="884" t="s">
        <v>1186</v>
      </c>
      <c r="E977" s="659" t="s">
        <v>1557</v>
      </c>
      <c r="F977" s="660">
        <v>303898000</v>
      </c>
      <c r="G977" s="661">
        <v>0</v>
      </c>
      <c r="H977" s="660">
        <v>303898000</v>
      </c>
      <c r="I977" s="660">
        <v>303898000</v>
      </c>
      <c r="J977" s="661">
        <v>0</v>
      </c>
      <c r="K977" s="660">
        <v>0</v>
      </c>
      <c r="L977" s="660">
        <v>0</v>
      </c>
      <c r="M977" s="660">
        <v>0</v>
      </c>
      <c r="N977" s="660">
        <v>0</v>
      </c>
      <c r="O977" s="451"/>
      <c r="P977" s="453"/>
    </row>
    <row r="978" spans="1:16" s="175" customFormat="1" x14ac:dyDescent="0.2">
      <c r="A978" s="188"/>
      <c r="B978" s="886"/>
      <c r="C978" s="884" t="s">
        <v>3218</v>
      </c>
      <c r="D978" s="884" t="s">
        <v>3219</v>
      </c>
      <c r="E978" s="659" t="s">
        <v>26</v>
      </c>
      <c r="F978" s="660">
        <v>172035000</v>
      </c>
      <c r="G978" s="661">
        <v>40434478</v>
      </c>
      <c r="H978" s="660">
        <v>131600522</v>
      </c>
      <c r="I978" s="660">
        <v>131600522</v>
      </c>
      <c r="J978" s="661">
        <v>0</v>
      </c>
      <c r="K978" s="660">
        <v>0</v>
      </c>
      <c r="L978" s="660">
        <v>0</v>
      </c>
      <c r="M978" s="660">
        <v>0</v>
      </c>
      <c r="N978" s="660">
        <v>0</v>
      </c>
      <c r="O978" s="451"/>
      <c r="P978" s="453"/>
    </row>
    <row r="979" spans="1:16" s="175" customFormat="1" hidden="1" x14ac:dyDescent="0.2">
      <c r="A979" s="188"/>
      <c r="B979" s="886"/>
      <c r="C979" s="884"/>
      <c r="D979" s="884" t="s">
        <v>3219</v>
      </c>
      <c r="E979" s="659" t="s">
        <v>1557</v>
      </c>
      <c r="F979" s="660">
        <v>401415000</v>
      </c>
      <c r="G979" s="661">
        <v>0</v>
      </c>
      <c r="H979" s="660">
        <v>401415000</v>
      </c>
      <c r="I979" s="660">
        <v>401415000</v>
      </c>
      <c r="J979" s="661">
        <v>0</v>
      </c>
      <c r="K979" s="660">
        <v>0</v>
      </c>
      <c r="L979" s="660">
        <v>0</v>
      </c>
      <c r="M979" s="660">
        <v>0</v>
      </c>
      <c r="N979" s="660">
        <v>0</v>
      </c>
      <c r="O979" s="451"/>
      <c r="P979" s="453"/>
    </row>
    <row r="980" spans="1:16" s="175" customFormat="1" x14ac:dyDescent="0.2">
      <c r="A980" s="188"/>
      <c r="B980" s="886"/>
      <c r="C980" s="884"/>
      <c r="D980" s="884" t="s">
        <v>3219</v>
      </c>
      <c r="E980" s="659" t="s">
        <v>195</v>
      </c>
      <c r="F980" s="660">
        <v>377524</v>
      </c>
      <c r="G980" s="661">
        <v>377524</v>
      </c>
      <c r="H980" s="660">
        <v>0</v>
      </c>
      <c r="I980" s="660">
        <v>0</v>
      </c>
      <c r="J980" s="661">
        <v>0</v>
      </c>
      <c r="K980" s="660">
        <v>0</v>
      </c>
      <c r="L980" s="660">
        <v>0</v>
      </c>
      <c r="M980" s="660">
        <v>0</v>
      </c>
      <c r="N980" s="660">
        <v>0</v>
      </c>
      <c r="O980" s="451"/>
      <c r="P980" s="453"/>
    </row>
    <row r="981" spans="1:16" s="175" customFormat="1" x14ac:dyDescent="0.2">
      <c r="A981" s="188"/>
      <c r="B981" s="886"/>
      <c r="C981" s="884" t="s">
        <v>2698</v>
      </c>
      <c r="D981" s="884" t="s">
        <v>2699</v>
      </c>
      <c r="E981" s="659" t="s">
        <v>26</v>
      </c>
      <c r="F981" s="660">
        <v>158350000</v>
      </c>
      <c r="G981" s="661">
        <v>48811430</v>
      </c>
      <c r="H981" s="660">
        <v>109538570</v>
      </c>
      <c r="I981" s="660">
        <v>109538570</v>
      </c>
      <c r="J981" s="661">
        <v>0</v>
      </c>
      <c r="K981" s="660">
        <v>0</v>
      </c>
      <c r="L981" s="660">
        <v>0</v>
      </c>
      <c r="M981" s="660">
        <v>0</v>
      </c>
      <c r="N981" s="660">
        <v>0</v>
      </c>
      <c r="O981" s="451"/>
      <c r="P981" s="453"/>
    </row>
    <row r="982" spans="1:16" s="175" customFormat="1" hidden="1" x14ac:dyDescent="0.2">
      <c r="A982" s="188"/>
      <c r="B982" s="886"/>
      <c r="C982" s="884"/>
      <c r="D982" s="884" t="s">
        <v>2699</v>
      </c>
      <c r="E982" s="659" t="s">
        <v>1557</v>
      </c>
      <c r="F982" s="660">
        <v>369450000</v>
      </c>
      <c r="G982" s="661">
        <v>0</v>
      </c>
      <c r="H982" s="660">
        <v>369450000</v>
      </c>
      <c r="I982" s="660">
        <v>369450000</v>
      </c>
      <c r="J982" s="661">
        <v>0</v>
      </c>
      <c r="K982" s="660">
        <v>0</v>
      </c>
      <c r="L982" s="660">
        <v>0</v>
      </c>
      <c r="M982" s="660">
        <v>0</v>
      </c>
      <c r="N982" s="660">
        <v>0</v>
      </c>
      <c r="O982" s="451"/>
      <c r="P982" s="453"/>
    </row>
    <row r="983" spans="1:16" s="175" customFormat="1" x14ac:dyDescent="0.2">
      <c r="A983" s="188"/>
      <c r="B983" s="886"/>
      <c r="C983" s="884" t="s">
        <v>2985</v>
      </c>
      <c r="D983" s="884" t="s">
        <v>2986</v>
      </c>
      <c r="E983" s="659" t="s">
        <v>26</v>
      </c>
      <c r="F983" s="660">
        <v>119400000</v>
      </c>
      <c r="G983" s="661">
        <v>39000000</v>
      </c>
      <c r="H983" s="660">
        <v>80400000</v>
      </c>
      <c r="I983" s="660">
        <v>80400000</v>
      </c>
      <c r="J983" s="661">
        <v>0</v>
      </c>
      <c r="K983" s="660">
        <v>0</v>
      </c>
      <c r="L983" s="660">
        <v>0</v>
      </c>
      <c r="M983" s="660">
        <v>0</v>
      </c>
      <c r="N983" s="660">
        <v>0</v>
      </c>
      <c r="O983" s="451"/>
      <c r="P983" s="453"/>
    </row>
    <row r="984" spans="1:16" s="175" customFormat="1" hidden="1" x14ac:dyDescent="0.2">
      <c r="A984" s="188"/>
      <c r="B984" s="886"/>
      <c r="C984" s="884"/>
      <c r="D984" s="884" t="s">
        <v>2986</v>
      </c>
      <c r="E984" s="659" t="s">
        <v>1557</v>
      </c>
      <c r="F984" s="660">
        <v>278600000</v>
      </c>
      <c r="G984" s="661">
        <v>0</v>
      </c>
      <c r="H984" s="660">
        <v>278600000</v>
      </c>
      <c r="I984" s="660">
        <v>278600000</v>
      </c>
      <c r="J984" s="661">
        <v>0</v>
      </c>
      <c r="K984" s="660">
        <v>0</v>
      </c>
      <c r="L984" s="660">
        <v>0</v>
      </c>
      <c r="M984" s="660">
        <v>0</v>
      </c>
      <c r="N984" s="660">
        <v>0</v>
      </c>
      <c r="O984" s="451"/>
      <c r="P984" s="453"/>
    </row>
    <row r="985" spans="1:16" s="175" customFormat="1" x14ac:dyDescent="0.2">
      <c r="A985" s="188"/>
      <c r="B985" s="886"/>
      <c r="C985" s="884" t="s">
        <v>2700</v>
      </c>
      <c r="D985" s="884" t="s">
        <v>2701</v>
      </c>
      <c r="E985" s="659" t="s">
        <v>26</v>
      </c>
      <c r="F985" s="660">
        <v>152868000</v>
      </c>
      <c r="G985" s="661">
        <v>96041718</v>
      </c>
      <c r="H985" s="660">
        <v>56826282</v>
      </c>
      <c r="I985" s="660">
        <v>56826282</v>
      </c>
      <c r="J985" s="661">
        <v>0</v>
      </c>
      <c r="K985" s="660">
        <v>0</v>
      </c>
      <c r="L985" s="660">
        <v>0</v>
      </c>
      <c r="M985" s="660">
        <v>0</v>
      </c>
      <c r="N985" s="660">
        <v>0</v>
      </c>
      <c r="O985" s="451"/>
      <c r="P985" s="453"/>
    </row>
    <row r="986" spans="1:16" s="175" customFormat="1" hidden="1" x14ac:dyDescent="0.2">
      <c r="A986" s="188"/>
      <c r="B986" s="886"/>
      <c r="C986" s="884"/>
      <c r="D986" s="884" t="s">
        <v>2701</v>
      </c>
      <c r="E986" s="659" t="s">
        <v>1557</v>
      </c>
      <c r="F986" s="660">
        <v>356692000</v>
      </c>
      <c r="G986" s="661">
        <v>0</v>
      </c>
      <c r="H986" s="660">
        <v>356692000</v>
      </c>
      <c r="I986" s="660">
        <v>356692000</v>
      </c>
      <c r="J986" s="661">
        <v>0</v>
      </c>
      <c r="K986" s="660">
        <v>0</v>
      </c>
      <c r="L986" s="660">
        <v>0</v>
      </c>
      <c r="M986" s="660">
        <v>0</v>
      </c>
      <c r="N986" s="660">
        <v>0</v>
      </c>
      <c r="O986" s="451"/>
      <c r="P986" s="453"/>
    </row>
    <row r="987" spans="1:16" s="175" customFormat="1" x14ac:dyDescent="0.2">
      <c r="A987" s="188"/>
      <c r="B987" s="886"/>
      <c r="C987" s="884" t="s">
        <v>3356</v>
      </c>
      <c r="D987" s="884" t="s">
        <v>3357</v>
      </c>
      <c r="E987" s="659" t="s">
        <v>26</v>
      </c>
      <c r="F987" s="660">
        <v>129480000</v>
      </c>
      <c r="G987" s="661">
        <v>46500000</v>
      </c>
      <c r="H987" s="660">
        <v>82980000</v>
      </c>
      <c r="I987" s="660">
        <v>82980000</v>
      </c>
      <c r="J987" s="661">
        <v>0</v>
      </c>
      <c r="K987" s="660">
        <v>0</v>
      </c>
      <c r="L987" s="660">
        <v>0</v>
      </c>
      <c r="M987" s="660">
        <v>0</v>
      </c>
      <c r="N987" s="660">
        <v>0</v>
      </c>
      <c r="O987" s="451"/>
      <c r="P987" s="453"/>
    </row>
    <row r="988" spans="1:16" s="175" customFormat="1" hidden="1" x14ac:dyDescent="0.2">
      <c r="A988" s="188"/>
      <c r="B988" s="886"/>
      <c r="C988" s="884"/>
      <c r="D988" s="884" t="s">
        <v>3357</v>
      </c>
      <c r="E988" s="659" t="s">
        <v>1557</v>
      </c>
      <c r="F988" s="660">
        <v>302120000</v>
      </c>
      <c r="G988" s="661">
        <v>0</v>
      </c>
      <c r="H988" s="660">
        <v>302120000</v>
      </c>
      <c r="I988" s="660">
        <v>302120000</v>
      </c>
      <c r="J988" s="661">
        <v>0</v>
      </c>
      <c r="K988" s="660">
        <v>0</v>
      </c>
      <c r="L988" s="660">
        <v>0</v>
      </c>
      <c r="M988" s="660">
        <v>0</v>
      </c>
      <c r="N988" s="660">
        <v>0</v>
      </c>
      <c r="O988" s="451"/>
      <c r="P988" s="453"/>
    </row>
    <row r="989" spans="1:16" s="175" customFormat="1" x14ac:dyDescent="0.2">
      <c r="A989" s="188"/>
      <c r="B989" s="886"/>
      <c r="C989" s="884" t="s">
        <v>3220</v>
      </c>
      <c r="D989" s="884" t="s">
        <v>3221</v>
      </c>
      <c r="E989" s="659" t="s">
        <v>26</v>
      </c>
      <c r="F989" s="660">
        <v>172185000</v>
      </c>
      <c r="G989" s="661">
        <v>45529697</v>
      </c>
      <c r="H989" s="660">
        <v>126655303</v>
      </c>
      <c r="I989" s="660">
        <v>126655303</v>
      </c>
      <c r="J989" s="661">
        <v>0</v>
      </c>
      <c r="K989" s="660">
        <v>0</v>
      </c>
      <c r="L989" s="660">
        <v>0</v>
      </c>
      <c r="M989" s="660">
        <v>0</v>
      </c>
      <c r="N989" s="660">
        <v>0</v>
      </c>
      <c r="O989" s="451"/>
      <c r="P989" s="453"/>
    </row>
    <row r="990" spans="1:16" s="175" customFormat="1" hidden="1" x14ac:dyDescent="0.2">
      <c r="A990" s="188"/>
      <c r="B990" s="886"/>
      <c r="C990" s="884"/>
      <c r="D990" s="884" t="s">
        <v>3221</v>
      </c>
      <c r="E990" s="659" t="s">
        <v>1557</v>
      </c>
      <c r="F990" s="660">
        <v>401765000</v>
      </c>
      <c r="G990" s="661">
        <v>0</v>
      </c>
      <c r="H990" s="660">
        <v>401765000</v>
      </c>
      <c r="I990" s="660">
        <v>401765000</v>
      </c>
      <c r="J990" s="661">
        <v>0</v>
      </c>
      <c r="K990" s="660">
        <v>0</v>
      </c>
      <c r="L990" s="660">
        <v>0</v>
      </c>
      <c r="M990" s="660">
        <v>0</v>
      </c>
      <c r="N990" s="660">
        <v>0</v>
      </c>
      <c r="O990" s="451"/>
      <c r="P990" s="453"/>
    </row>
    <row r="991" spans="1:16" s="175" customFormat="1" x14ac:dyDescent="0.2">
      <c r="A991" s="188"/>
      <c r="B991" s="886"/>
      <c r="C991" s="884" t="s">
        <v>3499</v>
      </c>
      <c r="D991" s="884" t="s">
        <v>3500</v>
      </c>
      <c r="E991" s="659" t="s">
        <v>26</v>
      </c>
      <c r="F991" s="660">
        <v>175748250</v>
      </c>
      <c r="G991" s="661">
        <v>55592073</v>
      </c>
      <c r="H991" s="660">
        <v>120156177</v>
      </c>
      <c r="I991" s="660">
        <v>120156177</v>
      </c>
      <c r="J991" s="661">
        <v>0</v>
      </c>
      <c r="K991" s="660">
        <v>0</v>
      </c>
      <c r="L991" s="660">
        <v>0</v>
      </c>
      <c r="M991" s="660">
        <v>0</v>
      </c>
      <c r="N991" s="660">
        <v>0</v>
      </c>
      <c r="O991" s="451"/>
      <c r="P991" s="453"/>
    </row>
    <row r="992" spans="1:16" s="175" customFormat="1" hidden="1" x14ac:dyDescent="0.2">
      <c r="A992" s="188"/>
      <c r="B992" s="886"/>
      <c r="C992" s="884"/>
      <c r="D992" s="884" t="s">
        <v>3500</v>
      </c>
      <c r="E992" s="659" t="s">
        <v>1557</v>
      </c>
      <c r="F992" s="660">
        <v>410079250</v>
      </c>
      <c r="G992" s="661">
        <v>0</v>
      </c>
      <c r="H992" s="660">
        <v>410079250</v>
      </c>
      <c r="I992" s="660">
        <v>410079250</v>
      </c>
      <c r="J992" s="661">
        <v>0</v>
      </c>
      <c r="K992" s="660">
        <v>0</v>
      </c>
      <c r="L992" s="660">
        <v>0</v>
      </c>
      <c r="M992" s="660">
        <v>0</v>
      </c>
      <c r="N992" s="660">
        <v>0</v>
      </c>
      <c r="O992" s="451"/>
      <c r="P992" s="453"/>
    </row>
    <row r="993" spans="1:16" s="175" customFormat="1" x14ac:dyDescent="0.2">
      <c r="A993" s="188"/>
      <c r="B993" s="886"/>
      <c r="C993" s="884" t="s">
        <v>2702</v>
      </c>
      <c r="D993" s="884" t="s">
        <v>2703</v>
      </c>
      <c r="E993" s="659" t="s">
        <v>26</v>
      </c>
      <c r="F993" s="660">
        <v>118050000</v>
      </c>
      <c r="G993" s="661">
        <v>37001300</v>
      </c>
      <c r="H993" s="660">
        <v>81048700</v>
      </c>
      <c r="I993" s="660">
        <v>80750000</v>
      </c>
      <c r="J993" s="661">
        <v>298700</v>
      </c>
      <c r="K993" s="660">
        <v>298700</v>
      </c>
      <c r="L993" s="660">
        <v>0</v>
      </c>
      <c r="M993" s="660">
        <v>0</v>
      </c>
      <c r="N993" s="660">
        <v>0</v>
      </c>
      <c r="O993" s="451"/>
      <c r="P993" s="453"/>
    </row>
    <row r="994" spans="1:16" s="175" customFormat="1" hidden="1" x14ac:dyDescent="0.2">
      <c r="A994" s="188"/>
      <c r="B994" s="886"/>
      <c r="C994" s="884"/>
      <c r="D994" s="884" t="s">
        <v>2703</v>
      </c>
      <c r="E994" s="659" t="s">
        <v>1557</v>
      </c>
      <c r="F994" s="660">
        <v>275450000</v>
      </c>
      <c r="G994" s="661">
        <v>0</v>
      </c>
      <c r="H994" s="660">
        <v>275450000</v>
      </c>
      <c r="I994" s="660">
        <v>275450000</v>
      </c>
      <c r="J994" s="661">
        <v>0</v>
      </c>
      <c r="K994" s="660">
        <v>0</v>
      </c>
      <c r="L994" s="660">
        <v>0</v>
      </c>
      <c r="M994" s="660">
        <v>0</v>
      </c>
      <c r="N994" s="660">
        <v>0</v>
      </c>
      <c r="O994" s="451"/>
      <c r="P994" s="453"/>
    </row>
    <row r="995" spans="1:16" s="175" customFormat="1" x14ac:dyDescent="0.2">
      <c r="A995" s="188"/>
      <c r="B995" s="886"/>
      <c r="C995" s="884"/>
      <c r="D995" s="884" t="s">
        <v>2703</v>
      </c>
      <c r="E995" s="659" t="s">
        <v>195</v>
      </c>
      <c r="F995" s="660">
        <v>298700</v>
      </c>
      <c r="G995" s="661">
        <v>298700</v>
      </c>
      <c r="H995" s="660">
        <v>0</v>
      </c>
      <c r="I995" s="660">
        <v>0</v>
      </c>
      <c r="J995" s="661">
        <v>0</v>
      </c>
      <c r="K995" s="660">
        <v>0</v>
      </c>
      <c r="L995" s="660">
        <v>0</v>
      </c>
      <c r="M995" s="660">
        <v>0</v>
      </c>
      <c r="N995" s="660">
        <v>0</v>
      </c>
      <c r="O995" s="451"/>
      <c r="P995" s="453"/>
    </row>
    <row r="996" spans="1:16" s="175" customFormat="1" x14ac:dyDescent="0.2">
      <c r="A996" s="188"/>
      <c r="B996" s="886"/>
      <c r="C996" s="884" t="s">
        <v>3148</v>
      </c>
      <c r="D996" s="884" t="s">
        <v>3149</v>
      </c>
      <c r="E996" s="659" t="s">
        <v>26</v>
      </c>
      <c r="F996" s="660">
        <v>157140000</v>
      </c>
      <c r="G996" s="661">
        <v>45275000</v>
      </c>
      <c r="H996" s="660">
        <v>111865000</v>
      </c>
      <c r="I996" s="660">
        <v>111865000</v>
      </c>
      <c r="J996" s="661">
        <v>0</v>
      </c>
      <c r="K996" s="660">
        <v>0</v>
      </c>
      <c r="L996" s="660">
        <v>0</v>
      </c>
      <c r="M996" s="660">
        <v>0</v>
      </c>
      <c r="N996" s="660">
        <v>0</v>
      </c>
      <c r="O996" s="451"/>
      <c r="P996" s="453"/>
    </row>
    <row r="997" spans="1:16" s="175" customFormat="1" hidden="1" x14ac:dyDescent="0.2">
      <c r="A997" s="188"/>
      <c r="B997" s="886"/>
      <c r="C997" s="884"/>
      <c r="D997" s="884" t="s">
        <v>3149</v>
      </c>
      <c r="E997" s="659" t="s">
        <v>1557</v>
      </c>
      <c r="F997" s="660">
        <v>366660000</v>
      </c>
      <c r="G997" s="661">
        <v>0</v>
      </c>
      <c r="H997" s="660">
        <v>366660000</v>
      </c>
      <c r="I997" s="660">
        <v>366660000</v>
      </c>
      <c r="J997" s="661">
        <v>0</v>
      </c>
      <c r="K997" s="660">
        <v>0</v>
      </c>
      <c r="L997" s="660">
        <v>0</v>
      </c>
      <c r="M997" s="660">
        <v>0</v>
      </c>
      <c r="N997" s="660">
        <v>0</v>
      </c>
      <c r="O997" s="451"/>
      <c r="P997" s="453"/>
    </row>
    <row r="998" spans="1:16" s="175" customFormat="1" x14ac:dyDescent="0.2">
      <c r="A998" s="188"/>
      <c r="B998" s="886"/>
      <c r="C998" s="884" t="s">
        <v>3150</v>
      </c>
      <c r="D998" s="884" t="s">
        <v>3151</v>
      </c>
      <c r="E998" s="659" t="s">
        <v>26</v>
      </c>
      <c r="F998" s="660">
        <v>124194000</v>
      </c>
      <c r="G998" s="661">
        <v>100038945</v>
      </c>
      <c r="H998" s="660">
        <v>24155055</v>
      </c>
      <c r="I998" s="660">
        <v>24155055</v>
      </c>
      <c r="J998" s="661">
        <v>0</v>
      </c>
      <c r="K998" s="660">
        <v>0</v>
      </c>
      <c r="L998" s="660">
        <v>0</v>
      </c>
      <c r="M998" s="660">
        <v>0</v>
      </c>
      <c r="N998" s="660">
        <v>0</v>
      </c>
      <c r="O998" s="451"/>
      <c r="P998" s="453"/>
    </row>
    <row r="999" spans="1:16" s="175" customFormat="1" hidden="1" x14ac:dyDescent="0.2">
      <c r="A999" s="188"/>
      <c r="B999" s="886"/>
      <c r="C999" s="884"/>
      <c r="D999" s="884" t="s">
        <v>3151</v>
      </c>
      <c r="E999" s="659" t="s">
        <v>1557</v>
      </c>
      <c r="F999" s="660">
        <v>289786000</v>
      </c>
      <c r="G999" s="661">
        <v>0</v>
      </c>
      <c r="H999" s="660">
        <v>289786000</v>
      </c>
      <c r="I999" s="660">
        <v>289786000</v>
      </c>
      <c r="J999" s="661">
        <v>0</v>
      </c>
      <c r="K999" s="660">
        <v>0</v>
      </c>
      <c r="L999" s="660">
        <v>0</v>
      </c>
      <c r="M999" s="660">
        <v>0</v>
      </c>
      <c r="N999" s="660">
        <v>0</v>
      </c>
      <c r="O999" s="451"/>
      <c r="P999" s="453"/>
    </row>
    <row r="1000" spans="1:16" s="175" customFormat="1" x14ac:dyDescent="0.2">
      <c r="A1000" s="188"/>
      <c r="B1000" s="886"/>
      <c r="C1000" s="884" t="s">
        <v>3358</v>
      </c>
      <c r="D1000" s="884" t="s">
        <v>1473</v>
      </c>
      <c r="E1000" s="659" t="s">
        <v>26</v>
      </c>
      <c r="F1000" s="660">
        <v>172335000</v>
      </c>
      <c r="G1000" s="661">
        <v>46771250</v>
      </c>
      <c r="H1000" s="660">
        <v>125563750</v>
      </c>
      <c r="I1000" s="660">
        <v>125563750</v>
      </c>
      <c r="J1000" s="661">
        <v>0</v>
      </c>
      <c r="K1000" s="660">
        <v>0</v>
      </c>
      <c r="L1000" s="660">
        <v>0</v>
      </c>
      <c r="M1000" s="660">
        <v>0</v>
      </c>
      <c r="N1000" s="660">
        <v>0</v>
      </c>
      <c r="O1000" s="451"/>
      <c r="P1000" s="453"/>
    </row>
    <row r="1001" spans="1:16" s="175" customFormat="1" hidden="1" x14ac:dyDescent="0.2">
      <c r="A1001" s="188"/>
      <c r="B1001" s="886"/>
      <c r="C1001" s="884"/>
      <c r="D1001" s="884" t="s">
        <v>1473</v>
      </c>
      <c r="E1001" s="659" t="s">
        <v>1557</v>
      </c>
      <c r="F1001" s="660">
        <v>402115000</v>
      </c>
      <c r="G1001" s="661">
        <v>0</v>
      </c>
      <c r="H1001" s="660">
        <v>402115000</v>
      </c>
      <c r="I1001" s="660">
        <v>402115000</v>
      </c>
      <c r="J1001" s="661">
        <v>0</v>
      </c>
      <c r="K1001" s="660">
        <v>0</v>
      </c>
      <c r="L1001" s="660">
        <v>0</v>
      </c>
      <c r="M1001" s="660">
        <v>0</v>
      </c>
      <c r="N1001" s="660">
        <v>0</v>
      </c>
      <c r="O1001" s="451"/>
      <c r="P1001" s="453"/>
    </row>
    <row r="1002" spans="1:16" s="175" customFormat="1" x14ac:dyDescent="0.2">
      <c r="A1002" s="188"/>
      <c r="B1002" s="886"/>
      <c r="C1002" s="884" t="s">
        <v>3275</v>
      </c>
      <c r="D1002" s="884" t="s">
        <v>3276</v>
      </c>
      <c r="E1002" s="659" t="s">
        <v>26</v>
      </c>
      <c r="F1002" s="660">
        <v>172282500</v>
      </c>
      <c r="G1002" s="661">
        <v>36270057</v>
      </c>
      <c r="H1002" s="660">
        <v>136012443</v>
      </c>
      <c r="I1002" s="660">
        <v>130689454</v>
      </c>
      <c r="J1002" s="661">
        <v>5322989</v>
      </c>
      <c r="K1002" s="660">
        <v>5227578</v>
      </c>
      <c r="L1002" s="660">
        <v>95411</v>
      </c>
      <c r="M1002" s="660">
        <v>0</v>
      </c>
      <c r="N1002" s="660">
        <v>0</v>
      </c>
      <c r="O1002" s="451"/>
      <c r="P1002" s="453"/>
    </row>
    <row r="1003" spans="1:16" s="175" customFormat="1" hidden="1" x14ac:dyDescent="0.2">
      <c r="A1003" s="188"/>
      <c r="B1003" s="886"/>
      <c r="C1003" s="884"/>
      <c r="D1003" s="884" t="s">
        <v>3276</v>
      </c>
      <c r="E1003" s="659" t="s">
        <v>1557</v>
      </c>
      <c r="F1003" s="660">
        <v>401992500</v>
      </c>
      <c r="G1003" s="661">
        <v>0</v>
      </c>
      <c r="H1003" s="660">
        <v>401992500</v>
      </c>
      <c r="I1003" s="660">
        <v>401992500</v>
      </c>
      <c r="J1003" s="661">
        <v>0</v>
      </c>
      <c r="K1003" s="660">
        <v>0</v>
      </c>
      <c r="L1003" s="660">
        <v>0</v>
      </c>
      <c r="M1003" s="660">
        <v>0</v>
      </c>
      <c r="N1003" s="660">
        <v>0</v>
      </c>
      <c r="O1003" s="451"/>
      <c r="P1003" s="453"/>
    </row>
    <row r="1004" spans="1:16" s="175" customFormat="1" x14ac:dyDescent="0.2">
      <c r="A1004" s="188"/>
      <c r="B1004" s="886"/>
      <c r="C1004" s="884"/>
      <c r="D1004" s="884" t="s">
        <v>3276</v>
      </c>
      <c r="E1004" s="659" t="s">
        <v>195</v>
      </c>
      <c r="F1004" s="660">
        <v>329943</v>
      </c>
      <c r="G1004" s="661">
        <v>329943</v>
      </c>
      <c r="H1004" s="660">
        <v>0</v>
      </c>
      <c r="I1004" s="660">
        <v>0</v>
      </c>
      <c r="J1004" s="661">
        <v>0</v>
      </c>
      <c r="K1004" s="660">
        <v>0</v>
      </c>
      <c r="L1004" s="660">
        <v>0</v>
      </c>
      <c r="M1004" s="660">
        <v>0</v>
      </c>
      <c r="N1004" s="660">
        <v>0</v>
      </c>
      <c r="O1004" s="451"/>
      <c r="P1004" s="453"/>
    </row>
    <row r="1005" spans="1:16" s="175" customFormat="1" x14ac:dyDescent="0.2">
      <c r="A1005" s="188"/>
      <c r="B1005" s="886"/>
      <c r="C1005" s="884" t="s">
        <v>2704</v>
      </c>
      <c r="D1005" s="884" t="s">
        <v>2705</v>
      </c>
      <c r="E1005" s="659" t="s">
        <v>26</v>
      </c>
      <c r="F1005" s="660">
        <v>122412269</v>
      </c>
      <c r="G1005" s="661">
        <v>26800000</v>
      </c>
      <c r="H1005" s="660">
        <v>95612269</v>
      </c>
      <c r="I1005" s="660">
        <v>95612269</v>
      </c>
      <c r="J1005" s="661">
        <v>0</v>
      </c>
      <c r="K1005" s="660">
        <v>0</v>
      </c>
      <c r="L1005" s="660">
        <v>0</v>
      </c>
      <c r="M1005" s="660">
        <v>0</v>
      </c>
      <c r="N1005" s="660">
        <v>0</v>
      </c>
      <c r="O1005" s="451"/>
      <c r="P1005" s="453"/>
    </row>
    <row r="1006" spans="1:16" s="175" customFormat="1" hidden="1" x14ac:dyDescent="0.2">
      <c r="A1006" s="188"/>
      <c r="B1006" s="886"/>
      <c r="C1006" s="884"/>
      <c r="D1006" s="884" t="s">
        <v>2705</v>
      </c>
      <c r="E1006" s="659" t="s">
        <v>1557</v>
      </c>
      <c r="F1006" s="660">
        <v>275800000</v>
      </c>
      <c r="G1006" s="661">
        <v>0</v>
      </c>
      <c r="H1006" s="660">
        <v>275800000</v>
      </c>
      <c r="I1006" s="660">
        <v>275800000</v>
      </c>
      <c r="J1006" s="661">
        <v>0</v>
      </c>
      <c r="K1006" s="660">
        <v>0</v>
      </c>
      <c r="L1006" s="660">
        <v>0</v>
      </c>
      <c r="M1006" s="660">
        <v>0</v>
      </c>
      <c r="N1006" s="660">
        <v>0</v>
      </c>
      <c r="O1006" s="451"/>
      <c r="P1006" s="453"/>
    </row>
    <row r="1007" spans="1:16" s="175" customFormat="1" x14ac:dyDescent="0.2">
      <c r="A1007" s="188"/>
      <c r="B1007" s="886"/>
      <c r="C1007" s="884" t="s">
        <v>3359</v>
      </c>
      <c r="D1007" s="884" t="s">
        <v>3360</v>
      </c>
      <c r="E1007" s="659" t="s">
        <v>26</v>
      </c>
      <c r="F1007" s="660">
        <v>168097500</v>
      </c>
      <c r="G1007" s="661">
        <v>35050000</v>
      </c>
      <c r="H1007" s="660">
        <v>133047500</v>
      </c>
      <c r="I1007" s="660">
        <v>127419921</v>
      </c>
      <c r="J1007" s="661">
        <v>5627579</v>
      </c>
      <c r="K1007" s="660">
        <v>5096797</v>
      </c>
      <c r="L1007" s="660">
        <v>530782</v>
      </c>
      <c r="M1007" s="660">
        <v>0</v>
      </c>
      <c r="N1007" s="660">
        <v>0</v>
      </c>
      <c r="O1007" s="451"/>
      <c r="P1007" s="453"/>
    </row>
    <row r="1008" spans="1:16" s="175" customFormat="1" hidden="1" x14ac:dyDescent="0.2">
      <c r="A1008" s="188"/>
      <c r="B1008" s="886"/>
      <c r="C1008" s="884"/>
      <c r="D1008" s="884" t="s">
        <v>3360</v>
      </c>
      <c r="E1008" s="659" t="s">
        <v>1557</v>
      </c>
      <c r="F1008" s="660">
        <v>392227500</v>
      </c>
      <c r="G1008" s="661">
        <v>0</v>
      </c>
      <c r="H1008" s="660">
        <v>392227500</v>
      </c>
      <c r="I1008" s="660">
        <v>392227500</v>
      </c>
      <c r="J1008" s="661">
        <v>0</v>
      </c>
      <c r="K1008" s="660">
        <v>0</v>
      </c>
      <c r="L1008" s="660">
        <v>0</v>
      </c>
      <c r="M1008" s="660">
        <v>0</v>
      </c>
      <c r="N1008" s="660">
        <v>0</v>
      </c>
      <c r="O1008" s="451"/>
      <c r="P1008" s="453"/>
    </row>
    <row r="1009" spans="1:16" s="175" customFormat="1" x14ac:dyDescent="0.2">
      <c r="A1009" s="188"/>
      <c r="B1009" s="886"/>
      <c r="C1009" s="884" t="s">
        <v>3152</v>
      </c>
      <c r="D1009" s="884" t="s">
        <v>1573</v>
      </c>
      <c r="E1009" s="659" t="s">
        <v>26</v>
      </c>
      <c r="F1009" s="660">
        <v>117668100</v>
      </c>
      <c r="G1009" s="661">
        <v>37000000</v>
      </c>
      <c r="H1009" s="660">
        <v>80668100</v>
      </c>
      <c r="I1009" s="660">
        <v>80668100</v>
      </c>
      <c r="J1009" s="661">
        <v>0</v>
      </c>
      <c r="K1009" s="660">
        <v>0</v>
      </c>
      <c r="L1009" s="660">
        <v>0</v>
      </c>
      <c r="M1009" s="660">
        <v>0</v>
      </c>
      <c r="N1009" s="660">
        <v>0</v>
      </c>
      <c r="O1009" s="451"/>
      <c r="P1009" s="453"/>
    </row>
    <row r="1010" spans="1:16" s="175" customFormat="1" hidden="1" x14ac:dyDescent="0.2">
      <c r="A1010" s="188"/>
      <c r="B1010" s="886"/>
      <c r="C1010" s="884"/>
      <c r="D1010" s="884" t="s">
        <v>1573</v>
      </c>
      <c r="E1010" s="659" t="s">
        <v>1557</v>
      </c>
      <c r="F1010" s="660">
        <v>274558900</v>
      </c>
      <c r="G1010" s="661">
        <v>0</v>
      </c>
      <c r="H1010" s="660">
        <v>274558900</v>
      </c>
      <c r="I1010" s="660">
        <v>274558900</v>
      </c>
      <c r="J1010" s="661">
        <v>0</v>
      </c>
      <c r="K1010" s="660">
        <v>0</v>
      </c>
      <c r="L1010" s="660">
        <v>0</v>
      </c>
      <c r="M1010" s="660">
        <v>0</v>
      </c>
      <c r="N1010" s="660">
        <v>0</v>
      </c>
      <c r="O1010" s="451"/>
      <c r="P1010" s="453"/>
    </row>
    <row r="1011" spans="1:16" s="175" customFormat="1" x14ac:dyDescent="0.2">
      <c r="A1011" s="188"/>
      <c r="B1011" s="886"/>
      <c r="C1011" s="884" t="s">
        <v>2987</v>
      </c>
      <c r="D1011" s="884" t="s">
        <v>1573</v>
      </c>
      <c r="E1011" s="659" t="s">
        <v>26</v>
      </c>
      <c r="F1011" s="660">
        <v>157649250</v>
      </c>
      <c r="G1011" s="661">
        <v>48000000</v>
      </c>
      <c r="H1011" s="660">
        <v>109649250</v>
      </c>
      <c r="I1011" s="660">
        <v>109649250</v>
      </c>
      <c r="J1011" s="661">
        <v>0</v>
      </c>
      <c r="K1011" s="660">
        <v>0</v>
      </c>
      <c r="L1011" s="660">
        <v>0</v>
      </c>
      <c r="M1011" s="660">
        <v>0</v>
      </c>
      <c r="N1011" s="660">
        <v>0</v>
      </c>
      <c r="O1011" s="451"/>
      <c r="P1011" s="453"/>
    </row>
    <row r="1012" spans="1:16" s="175" customFormat="1" hidden="1" x14ac:dyDescent="0.2">
      <c r="A1012" s="188"/>
      <c r="B1012" s="886"/>
      <c r="C1012" s="884"/>
      <c r="D1012" s="884" t="s">
        <v>1573</v>
      </c>
      <c r="E1012" s="659" t="s">
        <v>1557</v>
      </c>
      <c r="F1012" s="660">
        <v>367848250</v>
      </c>
      <c r="G1012" s="661">
        <v>0</v>
      </c>
      <c r="H1012" s="660">
        <v>367848250</v>
      </c>
      <c r="I1012" s="660">
        <v>367848250</v>
      </c>
      <c r="J1012" s="661">
        <v>0</v>
      </c>
      <c r="K1012" s="660">
        <v>0</v>
      </c>
      <c r="L1012" s="660">
        <v>0</v>
      </c>
      <c r="M1012" s="660">
        <v>0</v>
      </c>
      <c r="N1012" s="660">
        <v>0</v>
      </c>
      <c r="O1012" s="451"/>
      <c r="P1012" s="453"/>
    </row>
    <row r="1013" spans="1:16" s="175" customFormat="1" x14ac:dyDescent="0.2">
      <c r="A1013" s="188"/>
      <c r="B1013" s="886"/>
      <c r="C1013" s="884" t="s">
        <v>3361</v>
      </c>
      <c r="D1013" s="884" t="s">
        <v>3362</v>
      </c>
      <c r="E1013" s="659" t="s">
        <v>26</v>
      </c>
      <c r="F1013" s="660">
        <v>160685250</v>
      </c>
      <c r="G1013" s="661">
        <v>42684390</v>
      </c>
      <c r="H1013" s="660">
        <v>118000860</v>
      </c>
      <c r="I1013" s="660">
        <v>118000860</v>
      </c>
      <c r="J1013" s="661">
        <v>0</v>
      </c>
      <c r="K1013" s="660">
        <v>0</v>
      </c>
      <c r="L1013" s="660">
        <v>0</v>
      </c>
      <c r="M1013" s="660">
        <v>0</v>
      </c>
      <c r="N1013" s="660">
        <v>0</v>
      </c>
      <c r="O1013" s="451"/>
      <c r="P1013" s="453"/>
    </row>
    <row r="1014" spans="1:16" s="175" customFormat="1" hidden="1" x14ac:dyDescent="0.2">
      <c r="A1014" s="188"/>
      <c r="B1014" s="886"/>
      <c r="C1014" s="884"/>
      <c r="D1014" s="884" t="s">
        <v>3362</v>
      </c>
      <c r="E1014" s="659" t="s">
        <v>1557</v>
      </c>
      <c r="F1014" s="660">
        <v>374932250</v>
      </c>
      <c r="G1014" s="661">
        <v>0</v>
      </c>
      <c r="H1014" s="660">
        <v>374932250</v>
      </c>
      <c r="I1014" s="660">
        <v>374932250</v>
      </c>
      <c r="J1014" s="661">
        <v>0</v>
      </c>
      <c r="K1014" s="660">
        <v>0</v>
      </c>
      <c r="L1014" s="660">
        <v>0</v>
      </c>
      <c r="M1014" s="660">
        <v>0</v>
      </c>
      <c r="N1014" s="660">
        <v>0</v>
      </c>
      <c r="O1014" s="451"/>
      <c r="P1014" s="453"/>
    </row>
    <row r="1015" spans="1:16" s="175" customFormat="1" x14ac:dyDescent="0.2">
      <c r="A1015" s="188"/>
      <c r="B1015" s="886"/>
      <c r="C1015" s="884" t="s">
        <v>3363</v>
      </c>
      <c r="D1015" s="884" t="s">
        <v>3364</v>
      </c>
      <c r="E1015" s="659" t="s">
        <v>26</v>
      </c>
      <c r="F1015" s="660">
        <v>128767500</v>
      </c>
      <c r="G1015" s="661">
        <v>75955000</v>
      </c>
      <c r="H1015" s="660">
        <v>52812500</v>
      </c>
      <c r="I1015" s="660">
        <v>52812500</v>
      </c>
      <c r="J1015" s="661">
        <v>0</v>
      </c>
      <c r="K1015" s="660">
        <v>0</v>
      </c>
      <c r="L1015" s="660">
        <v>0</v>
      </c>
      <c r="M1015" s="660">
        <v>0</v>
      </c>
      <c r="N1015" s="660">
        <v>0</v>
      </c>
      <c r="O1015" s="451"/>
      <c r="P1015" s="453"/>
    </row>
    <row r="1016" spans="1:16" s="175" customFormat="1" hidden="1" x14ac:dyDescent="0.2">
      <c r="A1016" s="188"/>
      <c r="B1016" s="886"/>
      <c r="C1016" s="884"/>
      <c r="D1016" s="884" t="s">
        <v>3364</v>
      </c>
      <c r="E1016" s="659" t="s">
        <v>1557</v>
      </c>
      <c r="F1016" s="660">
        <v>300457500</v>
      </c>
      <c r="G1016" s="661">
        <v>0</v>
      </c>
      <c r="H1016" s="660">
        <v>300457500</v>
      </c>
      <c r="I1016" s="660">
        <v>300457500</v>
      </c>
      <c r="J1016" s="661">
        <v>0</v>
      </c>
      <c r="K1016" s="660">
        <v>0</v>
      </c>
      <c r="L1016" s="660">
        <v>0</v>
      </c>
      <c r="M1016" s="660">
        <v>0</v>
      </c>
      <c r="N1016" s="660">
        <v>0</v>
      </c>
      <c r="O1016" s="451"/>
      <c r="P1016" s="453"/>
    </row>
    <row r="1017" spans="1:16" s="175" customFormat="1" x14ac:dyDescent="0.2">
      <c r="A1017" s="188"/>
      <c r="B1017" s="886"/>
      <c r="C1017" s="884" t="s">
        <v>2988</v>
      </c>
      <c r="D1017" s="884" t="s">
        <v>2989</v>
      </c>
      <c r="E1017" s="659" t="s">
        <v>26</v>
      </c>
      <c r="F1017" s="660">
        <v>154740000</v>
      </c>
      <c r="G1017" s="661">
        <v>43504574</v>
      </c>
      <c r="H1017" s="660">
        <v>111235426</v>
      </c>
      <c r="I1017" s="660">
        <v>106957140</v>
      </c>
      <c r="J1017" s="661">
        <v>4278286</v>
      </c>
      <c r="K1017" s="660">
        <v>4278286</v>
      </c>
      <c r="L1017" s="660">
        <v>0</v>
      </c>
      <c r="M1017" s="660">
        <v>0</v>
      </c>
      <c r="N1017" s="660">
        <v>0</v>
      </c>
      <c r="O1017" s="451"/>
      <c r="P1017" s="453"/>
    </row>
    <row r="1018" spans="1:16" s="175" customFormat="1" x14ac:dyDescent="0.2">
      <c r="A1018" s="188"/>
      <c r="B1018" s="886"/>
      <c r="C1018" s="884"/>
      <c r="D1018" s="884" t="s">
        <v>2989</v>
      </c>
      <c r="E1018" s="659" t="s">
        <v>900</v>
      </c>
      <c r="F1018" s="660">
        <v>361060000</v>
      </c>
      <c r="G1018" s="661">
        <v>0</v>
      </c>
      <c r="H1018" s="660">
        <v>361060000</v>
      </c>
      <c r="I1018" s="660">
        <v>361060000</v>
      </c>
      <c r="J1018" s="661">
        <v>0</v>
      </c>
      <c r="K1018" s="660">
        <v>0</v>
      </c>
      <c r="L1018" s="660">
        <v>0</v>
      </c>
      <c r="M1018" s="660">
        <v>0</v>
      </c>
      <c r="N1018" s="660">
        <v>0</v>
      </c>
      <c r="O1018" s="451"/>
      <c r="P1018" s="453"/>
    </row>
    <row r="1019" spans="1:16" s="175" customFormat="1" x14ac:dyDescent="0.2">
      <c r="A1019" s="188"/>
      <c r="B1019" s="886"/>
      <c r="C1019" s="884" t="s">
        <v>3153</v>
      </c>
      <c r="D1019" s="884" t="s">
        <v>3154</v>
      </c>
      <c r="E1019" s="659" t="s">
        <v>26</v>
      </c>
      <c r="F1019" s="660">
        <v>132237345</v>
      </c>
      <c r="G1019" s="661">
        <v>33310669</v>
      </c>
      <c r="H1019" s="660">
        <v>98926676</v>
      </c>
      <c r="I1019" s="660">
        <v>98926676</v>
      </c>
      <c r="J1019" s="661">
        <v>0</v>
      </c>
      <c r="K1019" s="660">
        <v>0</v>
      </c>
      <c r="L1019" s="660">
        <v>0</v>
      </c>
      <c r="M1019" s="660">
        <v>0</v>
      </c>
      <c r="N1019" s="660">
        <v>0</v>
      </c>
      <c r="O1019" s="451"/>
      <c r="P1019" s="453"/>
    </row>
    <row r="1020" spans="1:16" s="175" customFormat="1" hidden="1" x14ac:dyDescent="0.2">
      <c r="A1020" s="188"/>
      <c r="B1020" s="886"/>
      <c r="C1020" s="884"/>
      <c r="D1020" s="884" t="s">
        <v>3154</v>
      </c>
      <c r="E1020" s="659" t="s">
        <v>1557</v>
      </c>
      <c r="F1020" s="660">
        <v>273682655</v>
      </c>
      <c r="G1020" s="661">
        <v>0</v>
      </c>
      <c r="H1020" s="660">
        <v>273682655</v>
      </c>
      <c r="I1020" s="660">
        <v>273682655</v>
      </c>
      <c r="J1020" s="661">
        <v>0</v>
      </c>
      <c r="K1020" s="660">
        <v>0</v>
      </c>
      <c r="L1020" s="660">
        <v>0</v>
      </c>
      <c r="M1020" s="660">
        <v>0</v>
      </c>
      <c r="N1020" s="660">
        <v>0</v>
      </c>
      <c r="O1020" s="451"/>
      <c r="P1020" s="453"/>
    </row>
    <row r="1021" spans="1:16" s="175" customFormat="1" x14ac:dyDescent="0.2">
      <c r="A1021" s="188"/>
      <c r="B1021" s="886"/>
      <c r="C1021" s="884" t="s">
        <v>2706</v>
      </c>
      <c r="D1021" s="884" t="s">
        <v>2707</v>
      </c>
      <c r="E1021" s="659" t="s">
        <v>26</v>
      </c>
      <c r="F1021" s="660">
        <v>157797000</v>
      </c>
      <c r="G1021" s="661">
        <v>39201425</v>
      </c>
      <c r="H1021" s="660">
        <v>118595575</v>
      </c>
      <c r="I1021" s="660">
        <v>117797000</v>
      </c>
      <c r="J1021" s="661">
        <v>798575</v>
      </c>
      <c r="K1021" s="660">
        <v>798575</v>
      </c>
      <c r="L1021" s="660">
        <v>0</v>
      </c>
      <c r="M1021" s="660">
        <v>0</v>
      </c>
      <c r="N1021" s="660">
        <v>0</v>
      </c>
      <c r="O1021" s="451"/>
      <c r="P1021" s="453"/>
    </row>
    <row r="1022" spans="1:16" s="175" customFormat="1" hidden="1" x14ac:dyDescent="0.2">
      <c r="A1022" s="188"/>
      <c r="B1022" s="886"/>
      <c r="C1022" s="884"/>
      <c r="D1022" s="884" t="s">
        <v>2707</v>
      </c>
      <c r="E1022" s="659" t="s">
        <v>1557</v>
      </c>
      <c r="F1022" s="660">
        <v>368193000</v>
      </c>
      <c r="G1022" s="661">
        <v>0</v>
      </c>
      <c r="H1022" s="660">
        <v>368193000</v>
      </c>
      <c r="I1022" s="660">
        <v>368193000</v>
      </c>
      <c r="J1022" s="661">
        <v>0</v>
      </c>
      <c r="K1022" s="660">
        <v>0</v>
      </c>
      <c r="L1022" s="660">
        <v>0</v>
      </c>
      <c r="M1022" s="660">
        <v>0</v>
      </c>
      <c r="N1022" s="660">
        <v>0</v>
      </c>
      <c r="O1022" s="451"/>
      <c r="P1022" s="453"/>
    </row>
    <row r="1023" spans="1:16" s="175" customFormat="1" x14ac:dyDescent="0.2">
      <c r="A1023" s="188"/>
      <c r="B1023" s="886"/>
      <c r="C1023" s="884" t="s">
        <v>2708</v>
      </c>
      <c r="D1023" s="884" t="s">
        <v>2990</v>
      </c>
      <c r="E1023" s="659" t="s">
        <v>26</v>
      </c>
      <c r="F1023" s="660">
        <v>158940000</v>
      </c>
      <c r="G1023" s="661">
        <v>44586286</v>
      </c>
      <c r="H1023" s="660">
        <v>114353714</v>
      </c>
      <c r="I1023" s="660">
        <v>109957140</v>
      </c>
      <c r="J1023" s="661">
        <v>4396574</v>
      </c>
      <c r="K1023" s="660">
        <v>4396574</v>
      </c>
      <c r="L1023" s="660">
        <v>0</v>
      </c>
      <c r="M1023" s="660">
        <v>0</v>
      </c>
      <c r="N1023" s="660">
        <v>0</v>
      </c>
      <c r="O1023" s="451"/>
      <c r="P1023" s="453"/>
    </row>
    <row r="1024" spans="1:16" s="175" customFormat="1" hidden="1" x14ac:dyDescent="0.2">
      <c r="A1024" s="188"/>
      <c r="B1024" s="886"/>
      <c r="C1024" s="884"/>
      <c r="D1024" s="884" t="s">
        <v>2990</v>
      </c>
      <c r="E1024" s="659" t="s">
        <v>1557</v>
      </c>
      <c r="F1024" s="660">
        <v>370860000</v>
      </c>
      <c r="G1024" s="661">
        <v>0</v>
      </c>
      <c r="H1024" s="660">
        <v>370860000</v>
      </c>
      <c r="I1024" s="660">
        <v>370860000</v>
      </c>
      <c r="J1024" s="661">
        <v>0</v>
      </c>
      <c r="K1024" s="660">
        <v>0</v>
      </c>
      <c r="L1024" s="660">
        <v>0</v>
      </c>
      <c r="M1024" s="660">
        <v>0</v>
      </c>
      <c r="N1024" s="660">
        <v>0</v>
      </c>
      <c r="O1024" s="451"/>
      <c r="P1024" s="453"/>
    </row>
    <row r="1025" spans="1:16" s="175" customFormat="1" x14ac:dyDescent="0.2">
      <c r="A1025" s="188"/>
      <c r="B1025" s="886"/>
      <c r="C1025" s="884" t="s">
        <v>2991</v>
      </c>
      <c r="D1025" s="884" t="s">
        <v>1719</v>
      </c>
      <c r="E1025" s="659" t="s">
        <v>26</v>
      </c>
      <c r="F1025" s="660">
        <v>135833000</v>
      </c>
      <c r="G1025" s="661">
        <v>135833000</v>
      </c>
      <c r="H1025" s="660">
        <v>0</v>
      </c>
      <c r="I1025" s="660">
        <v>0</v>
      </c>
      <c r="J1025" s="661">
        <v>0</v>
      </c>
      <c r="K1025" s="660">
        <v>0</v>
      </c>
      <c r="L1025" s="660">
        <v>0</v>
      </c>
      <c r="M1025" s="660">
        <v>0</v>
      </c>
      <c r="N1025" s="660">
        <v>0</v>
      </c>
      <c r="O1025" s="451"/>
      <c r="P1025" s="453"/>
    </row>
    <row r="1026" spans="1:16" s="175" customFormat="1" hidden="1" x14ac:dyDescent="0.2">
      <c r="A1026" s="188"/>
      <c r="B1026" s="886"/>
      <c r="C1026" s="884"/>
      <c r="D1026" s="884" t="s">
        <v>1719</v>
      </c>
      <c r="E1026" s="659" t="s">
        <v>1557</v>
      </c>
      <c r="F1026" s="660">
        <v>264167000</v>
      </c>
      <c r="G1026" s="661">
        <v>60737000</v>
      </c>
      <c r="H1026" s="660">
        <v>203430000</v>
      </c>
      <c r="I1026" s="660">
        <v>203430000</v>
      </c>
      <c r="J1026" s="661">
        <v>0</v>
      </c>
      <c r="K1026" s="660">
        <v>0</v>
      </c>
      <c r="L1026" s="660">
        <v>0</v>
      </c>
      <c r="M1026" s="660">
        <v>0</v>
      </c>
      <c r="N1026" s="660">
        <v>0</v>
      </c>
      <c r="O1026" s="451"/>
      <c r="P1026" s="453"/>
    </row>
    <row r="1027" spans="1:16" s="175" customFormat="1" x14ac:dyDescent="0.2">
      <c r="A1027" s="188"/>
      <c r="B1027" s="886"/>
      <c r="C1027" s="884" t="s">
        <v>2992</v>
      </c>
      <c r="D1027" s="884" t="s">
        <v>2993</v>
      </c>
      <c r="E1027" s="659" t="s">
        <v>26</v>
      </c>
      <c r="F1027" s="660">
        <v>157590750</v>
      </c>
      <c r="G1027" s="661">
        <v>45391668</v>
      </c>
      <c r="H1027" s="660">
        <v>112199082</v>
      </c>
      <c r="I1027" s="660">
        <v>112199082</v>
      </c>
      <c r="J1027" s="661">
        <v>0</v>
      </c>
      <c r="K1027" s="660">
        <v>0</v>
      </c>
      <c r="L1027" s="660">
        <v>0</v>
      </c>
      <c r="M1027" s="660">
        <v>0</v>
      </c>
      <c r="N1027" s="660">
        <v>0</v>
      </c>
      <c r="O1027" s="451"/>
      <c r="P1027" s="453"/>
    </row>
    <row r="1028" spans="1:16" s="175" customFormat="1" hidden="1" x14ac:dyDescent="0.2">
      <c r="A1028" s="188"/>
      <c r="B1028" s="886"/>
      <c r="C1028" s="884"/>
      <c r="D1028" s="884" t="s">
        <v>2993</v>
      </c>
      <c r="E1028" s="659" t="s">
        <v>1557</v>
      </c>
      <c r="F1028" s="660">
        <v>367711750</v>
      </c>
      <c r="G1028" s="661">
        <v>0</v>
      </c>
      <c r="H1028" s="660">
        <v>367711750</v>
      </c>
      <c r="I1028" s="660">
        <v>367711750</v>
      </c>
      <c r="J1028" s="661">
        <v>0</v>
      </c>
      <c r="K1028" s="660">
        <v>0</v>
      </c>
      <c r="L1028" s="660">
        <v>0</v>
      </c>
      <c r="M1028" s="660">
        <v>0</v>
      </c>
      <c r="N1028" s="660">
        <v>0</v>
      </c>
      <c r="O1028" s="451"/>
      <c r="P1028" s="453"/>
    </row>
    <row r="1029" spans="1:16" s="175" customFormat="1" x14ac:dyDescent="0.2">
      <c r="A1029" s="188"/>
      <c r="B1029" s="886"/>
      <c r="C1029" s="884" t="s">
        <v>2709</v>
      </c>
      <c r="D1029" s="884" t="s">
        <v>2710</v>
      </c>
      <c r="E1029" s="659" t="s">
        <v>26</v>
      </c>
      <c r="F1029" s="660">
        <v>118260000</v>
      </c>
      <c r="G1029" s="661">
        <v>31895426</v>
      </c>
      <c r="H1029" s="660">
        <v>86364574</v>
      </c>
      <c r="I1029" s="660">
        <v>83042860</v>
      </c>
      <c r="J1029" s="661">
        <v>3321714</v>
      </c>
      <c r="K1029" s="660">
        <v>3321714</v>
      </c>
      <c r="L1029" s="660">
        <v>0</v>
      </c>
      <c r="M1029" s="660">
        <v>0</v>
      </c>
      <c r="N1029" s="660">
        <v>0</v>
      </c>
      <c r="O1029" s="451"/>
      <c r="P1029" s="453"/>
    </row>
    <row r="1030" spans="1:16" s="175" customFormat="1" hidden="1" x14ac:dyDescent="0.2">
      <c r="A1030" s="188"/>
      <c r="B1030" s="886"/>
      <c r="C1030" s="884"/>
      <c r="D1030" s="884" t="s">
        <v>2710</v>
      </c>
      <c r="E1030" s="659" t="s">
        <v>1557</v>
      </c>
      <c r="F1030" s="660">
        <v>275940000</v>
      </c>
      <c r="G1030" s="661">
        <v>0</v>
      </c>
      <c r="H1030" s="660">
        <v>275940000</v>
      </c>
      <c r="I1030" s="660">
        <v>275940000</v>
      </c>
      <c r="J1030" s="661">
        <v>0</v>
      </c>
      <c r="K1030" s="660">
        <v>0</v>
      </c>
      <c r="L1030" s="660">
        <v>0</v>
      </c>
      <c r="M1030" s="660">
        <v>0</v>
      </c>
      <c r="N1030" s="660">
        <v>0</v>
      </c>
      <c r="O1030" s="451"/>
      <c r="P1030" s="453"/>
    </row>
    <row r="1031" spans="1:16" s="175" customFormat="1" x14ac:dyDescent="0.2">
      <c r="A1031" s="188"/>
      <c r="B1031" s="886"/>
      <c r="C1031" s="884" t="s">
        <v>4365</v>
      </c>
      <c r="D1031" s="884" t="s">
        <v>4366</v>
      </c>
      <c r="E1031" s="659" t="s">
        <v>26</v>
      </c>
      <c r="F1031" s="660">
        <v>177723000</v>
      </c>
      <c r="G1031" s="661">
        <v>5000000</v>
      </c>
      <c r="H1031" s="660">
        <v>172723000</v>
      </c>
      <c r="I1031" s="660">
        <v>172723000</v>
      </c>
      <c r="J1031" s="661">
        <v>0</v>
      </c>
      <c r="K1031" s="660">
        <v>0</v>
      </c>
      <c r="L1031" s="660">
        <v>0</v>
      </c>
      <c r="M1031" s="660">
        <v>0</v>
      </c>
      <c r="N1031" s="660">
        <v>0</v>
      </c>
      <c r="O1031" s="451"/>
      <c r="P1031" s="453"/>
    </row>
    <row r="1032" spans="1:16" s="175" customFormat="1" hidden="1" x14ac:dyDescent="0.2">
      <c r="A1032" s="188"/>
      <c r="B1032" s="886"/>
      <c r="C1032" s="884"/>
      <c r="D1032" s="884" t="s">
        <v>4366</v>
      </c>
      <c r="E1032" s="659" t="s">
        <v>1557</v>
      </c>
      <c r="F1032" s="660">
        <v>414687000</v>
      </c>
      <c r="G1032" s="661">
        <v>0</v>
      </c>
      <c r="H1032" s="660">
        <v>414687000</v>
      </c>
      <c r="I1032" s="660">
        <v>414687000</v>
      </c>
      <c r="J1032" s="661">
        <v>0</v>
      </c>
      <c r="K1032" s="660">
        <v>0</v>
      </c>
      <c r="L1032" s="660">
        <v>0</v>
      </c>
      <c r="M1032" s="660">
        <v>0</v>
      </c>
      <c r="N1032" s="660">
        <v>0</v>
      </c>
      <c r="O1032" s="451"/>
      <c r="P1032" s="453"/>
    </row>
    <row r="1033" spans="1:16" s="175" customFormat="1" x14ac:dyDescent="0.2">
      <c r="A1033" s="188"/>
      <c r="B1033" s="886"/>
      <c r="C1033" s="884" t="s">
        <v>3501</v>
      </c>
      <c r="D1033" s="884" t="s">
        <v>4367</v>
      </c>
      <c r="E1033" s="659" t="s">
        <v>26</v>
      </c>
      <c r="F1033" s="660">
        <v>177553500</v>
      </c>
      <c r="G1033" s="661">
        <v>5000000</v>
      </c>
      <c r="H1033" s="660">
        <v>172553500</v>
      </c>
      <c r="I1033" s="660">
        <v>172553500</v>
      </c>
      <c r="J1033" s="661">
        <v>0</v>
      </c>
      <c r="K1033" s="660">
        <v>0</v>
      </c>
      <c r="L1033" s="660">
        <v>0</v>
      </c>
      <c r="M1033" s="660">
        <v>0</v>
      </c>
      <c r="N1033" s="660">
        <v>0</v>
      </c>
      <c r="O1033" s="451"/>
      <c r="P1033" s="453"/>
    </row>
    <row r="1034" spans="1:16" s="175" customFormat="1" hidden="1" x14ac:dyDescent="0.2">
      <c r="A1034" s="188"/>
      <c r="B1034" s="886"/>
      <c r="C1034" s="884"/>
      <c r="D1034" s="884" t="s">
        <v>4367</v>
      </c>
      <c r="E1034" s="659" t="s">
        <v>1557</v>
      </c>
      <c r="F1034" s="660">
        <v>414291500</v>
      </c>
      <c r="G1034" s="661">
        <v>0</v>
      </c>
      <c r="H1034" s="660">
        <v>414291500</v>
      </c>
      <c r="I1034" s="660">
        <v>414291500</v>
      </c>
      <c r="J1034" s="661">
        <v>0</v>
      </c>
      <c r="K1034" s="660">
        <v>0</v>
      </c>
      <c r="L1034" s="660">
        <v>0</v>
      </c>
      <c r="M1034" s="660">
        <v>0</v>
      </c>
      <c r="N1034" s="660">
        <v>0</v>
      </c>
      <c r="O1034" s="451"/>
      <c r="P1034" s="453"/>
    </row>
    <row r="1035" spans="1:16" s="175" customFormat="1" x14ac:dyDescent="0.2">
      <c r="A1035" s="188"/>
      <c r="B1035" s="886"/>
      <c r="C1035" s="884" t="s">
        <v>2711</v>
      </c>
      <c r="D1035" s="884" t="s">
        <v>2712</v>
      </c>
      <c r="E1035" s="659" t="s">
        <v>26</v>
      </c>
      <c r="F1035" s="660">
        <v>118650000</v>
      </c>
      <c r="G1035" s="661">
        <v>35328570</v>
      </c>
      <c r="H1035" s="660">
        <v>83321430</v>
      </c>
      <c r="I1035" s="660">
        <v>83321430</v>
      </c>
      <c r="J1035" s="661">
        <v>0</v>
      </c>
      <c r="K1035" s="660">
        <v>0</v>
      </c>
      <c r="L1035" s="660">
        <v>0</v>
      </c>
      <c r="M1035" s="660">
        <v>0</v>
      </c>
      <c r="N1035" s="660">
        <v>0</v>
      </c>
      <c r="O1035" s="451"/>
      <c r="P1035" s="453"/>
    </row>
    <row r="1036" spans="1:16" s="175" customFormat="1" hidden="1" x14ac:dyDescent="0.2">
      <c r="A1036" s="188"/>
      <c r="B1036" s="886"/>
      <c r="C1036" s="884"/>
      <c r="D1036" s="884" t="s">
        <v>2712</v>
      </c>
      <c r="E1036" s="659" t="s">
        <v>1557</v>
      </c>
      <c r="F1036" s="660">
        <v>276850000</v>
      </c>
      <c r="G1036" s="661">
        <v>0</v>
      </c>
      <c r="H1036" s="660">
        <v>276850000</v>
      </c>
      <c r="I1036" s="660">
        <v>276850000</v>
      </c>
      <c r="J1036" s="661">
        <v>0</v>
      </c>
      <c r="K1036" s="660">
        <v>0</v>
      </c>
      <c r="L1036" s="660">
        <v>0</v>
      </c>
      <c r="M1036" s="660">
        <v>0</v>
      </c>
      <c r="N1036" s="660">
        <v>0</v>
      </c>
      <c r="O1036" s="451"/>
      <c r="P1036" s="453"/>
    </row>
    <row r="1037" spans="1:16" s="175" customFormat="1" x14ac:dyDescent="0.2">
      <c r="A1037" s="188"/>
      <c r="B1037" s="886"/>
      <c r="C1037" s="884" t="s">
        <v>3277</v>
      </c>
      <c r="D1037" s="884" t="s">
        <v>3278</v>
      </c>
      <c r="E1037" s="659" t="s">
        <v>26</v>
      </c>
      <c r="F1037" s="660">
        <v>168547500</v>
      </c>
      <c r="G1037" s="661">
        <v>35666000</v>
      </c>
      <c r="H1037" s="660">
        <v>132881500</v>
      </c>
      <c r="I1037" s="660">
        <v>132881500</v>
      </c>
      <c r="J1037" s="661">
        <v>0</v>
      </c>
      <c r="K1037" s="660">
        <v>0</v>
      </c>
      <c r="L1037" s="660">
        <v>0</v>
      </c>
      <c r="M1037" s="660">
        <v>0</v>
      </c>
      <c r="N1037" s="660">
        <v>0</v>
      </c>
      <c r="O1037" s="451"/>
      <c r="P1037" s="453"/>
    </row>
    <row r="1038" spans="1:16" s="175" customFormat="1" hidden="1" x14ac:dyDescent="0.2">
      <c r="A1038" s="188"/>
      <c r="B1038" s="886"/>
      <c r="C1038" s="884"/>
      <c r="D1038" s="884" t="s">
        <v>3278</v>
      </c>
      <c r="E1038" s="659" t="s">
        <v>1557</v>
      </c>
      <c r="F1038" s="660">
        <v>393277500</v>
      </c>
      <c r="G1038" s="661">
        <v>0</v>
      </c>
      <c r="H1038" s="660">
        <v>393277500</v>
      </c>
      <c r="I1038" s="660">
        <v>393277500</v>
      </c>
      <c r="J1038" s="661">
        <v>0</v>
      </c>
      <c r="K1038" s="660">
        <v>0</v>
      </c>
      <c r="L1038" s="660">
        <v>0</v>
      </c>
      <c r="M1038" s="660">
        <v>0</v>
      </c>
      <c r="N1038" s="660">
        <v>0</v>
      </c>
      <c r="O1038" s="451"/>
      <c r="P1038" s="453"/>
    </row>
    <row r="1039" spans="1:16" s="175" customFormat="1" x14ac:dyDescent="0.2">
      <c r="A1039" s="188"/>
      <c r="B1039" s="886"/>
      <c r="C1039" s="884" t="s">
        <v>2994</v>
      </c>
      <c r="D1039" s="884" t="s">
        <v>2995</v>
      </c>
      <c r="E1039" s="659" t="s">
        <v>26</v>
      </c>
      <c r="F1039" s="660">
        <v>118410000</v>
      </c>
      <c r="G1039" s="661">
        <v>35260001</v>
      </c>
      <c r="H1039" s="660">
        <v>83149999</v>
      </c>
      <c r="I1039" s="660">
        <v>83149999</v>
      </c>
      <c r="J1039" s="661">
        <v>0</v>
      </c>
      <c r="K1039" s="660">
        <v>0</v>
      </c>
      <c r="L1039" s="660">
        <v>0</v>
      </c>
      <c r="M1039" s="660">
        <v>0</v>
      </c>
      <c r="N1039" s="660">
        <v>0</v>
      </c>
      <c r="O1039" s="451"/>
      <c r="P1039" s="453"/>
    </row>
    <row r="1040" spans="1:16" s="175" customFormat="1" hidden="1" x14ac:dyDescent="0.2">
      <c r="A1040" s="188"/>
      <c r="B1040" s="886"/>
      <c r="C1040" s="884"/>
      <c r="D1040" s="884" t="s">
        <v>2995</v>
      </c>
      <c r="E1040" s="659" t="s">
        <v>1557</v>
      </c>
      <c r="F1040" s="660">
        <v>276290000</v>
      </c>
      <c r="G1040" s="661">
        <v>0</v>
      </c>
      <c r="H1040" s="660">
        <v>276290000</v>
      </c>
      <c r="I1040" s="660">
        <v>276290000</v>
      </c>
      <c r="J1040" s="661">
        <v>0</v>
      </c>
      <c r="K1040" s="660">
        <v>0</v>
      </c>
      <c r="L1040" s="660">
        <v>0</v>
      </c>
      <c r="M1040" s="660">
        <v>0</v>
      </c>
      <c r="N1040" s="660">
        <v>0</v>
      </c>
      <c r="O1040" s="451"/>
      <c r="P1040" s="453"/>
    </row>
    <row r="1041" spans="1:16" s="175" customFormat="1" x14ac:dyDescent="0.2">
      <c r="A1041" s="188"/>
      <c r="B1041" s="886"/>
      <c r="C1041" s="884" t="s">
        <v>2996</v>
      </c>
      <c r="D1041" s="884" t="s">
        <v>2997</v>
      </c>
      <c r="E1041" s="659" t="s">
        <v>26</v>
      </c>
      <c r="F1041" s="660">
        <v>159000000</v>
      </c>
      <c r="G1041" s="661">
        <v>49000000</v>
      </c>
      <c r="H1041" s="660">
        <v>110000000</v>
      </c>
      <c r="I1041" s="660">
        <v>110000000</v>
      </c>
      <c r="J1041" s="661">
        <v>0</v>
      </c>
      <c r="K1041" s="660">
        <v>0</v>
      </c>
      <c r="L1041" s="660">
        <v>0</v>
      </c>
      <c r="M1041" s="660">
        <v>0</v>
      </c>
      <c r="N1041" s="660">
        <v>0</v>
      </c>
      <c r="O1041" s="451"/>
      <c r="P1041" s="453"/>
    </row>
    <row r="1042" spans="1:16" s="175" customFormat="1" hidden="1" x14ac:dyDescent="0.2">
      <c r="A1042" s="188"/>
      <c r="B1042" s="886"/>
      <c r="C1042" s="884"/>
      <c r="D1042" s="884" t="s">
        <v>2997</v>
      </c>
      <c r="E1042" s="659" t="s">
        <v>1557</v>
      </c>
      <c r="F1042" s="660">
        <v>371000000</v>
      </c>
      <c r="G1042" s="661">
        <v>0</v>
      </c>
      <c r="H1042" s="660">
        <v>371000000</v>
      </c>
      <c r="I1042" s="660">
        <v>371000000</v>
      </c>
      <c r="J1042" s="661">
        <v>0</v>
      </c>
      <c r="K1042" s="660">
        <v>0</v>
      </c>
      <c r="L1042" s="660">
        <v>0</v>
      </c>
      <c r="M1042" s="660">
        <v>0</v>
      </c>
      <c r="N1042" s="660">
        <v>0</v>
      </c>
      <c r="O1042" s="451"/>
      <c r="P1042" s="453"/>
    </row>
    <row r="1043" spans="1:16" s="175" customFormat="1" x14ac:dyDescent="0.2">
      <c r="A1043" s="188"/>
      <c r="B1043" s="886"/>
      <c r="C1043" s="884" t="s">
        <v>3222</v>
      </c>
      <c r="D1043" s="884" t="s">
        <v>3223</v>
      </c>
      <c r="E1043" s="659" t="s">
        <v>26</v>
      </c>
      <c r="F1043" s="660">
        <v>172882500</v>
      </c>
      <c r="G1043" s="661">
        <v>45698836</v>
      </c>
      <c r="H1043" s="660">
        <v>127183664</v>
      </c>
      <c r="I1043" s="660">
        <v>127183664</v>
      </c>
      <c r="J1043" s="661">
        <v>0</v>
      </c>
      <c r="K1043" s="660">
        <v>0</v>
      </c>
      <c r="L1043" s="660">
        <v>0</v>
      </c>
      <c r="M1043" s="660">
        <v>0</v>
      </c>
      <c r="N1043" s="660">
        <v>0</v>
      </c>
      <c r="O1043" s="451"/>
      <c r="P1043" s="453"/>
    </row>
    <row r="1044" spans="1:16" s="175" customFormat="1" hidden="1" x14ac:dyDescent="0.2">
      <c r="A1044" s="188"/>
      <c r="B1044" s="886"/>
      <c r="C1044" s="884"/>
      <c r="D1044" s="884" t="s">
        <v>3223</v>
      </c>
      <c r="E1044" s="659" t="s">
        <v>1557</v>
      </c>
      <c r="F1044" s="660">
        <v>403392500</v>
      </c>
      <c r="G1044" s="661">
        <v>0</v>
      </c>
      <c r="H1044" s="660">
        <v>403392500</v>
      </c>
      <c r="I1044" s="660">
        <v>403392500</v>
      </c>
      <c r="J1044" s="661">
        <v>0</v>
      </c>
      <c r="K1044" s="660">
        <v>0</v>
      </c>
      <c r="L1044" s="660">
        <v>0</v>
      </c>
      <c r="M1044" s="660">
        <v>0</v>
      </c>
      <c r="N1044" s="660">
        <v>0</v>
      </c>
      <c r="O1044" s="451"/>
      <c r="P1044" s="453"/>
    </row>
    <row r="1045" spans="1:16" s="175" customFormat="1" x14ac:dyDescent="0.2">
      <c r="A1045" s="188"/>
      <c r="B1045" s="886"/>
      <c r="C1045" s="884" t="s">
        <v>4285</v>
      </c>
      <c r="D1045" s="884" t="s">
        <v>4286</v>
      </c>
      <c r="E1045" s="659" t="s">
        <v>26</v>
      </c>
      <c r="F1045" s="660">
        <v>132676500</v>
      </c>
      <c r="G1045" s="661">
        <v>19181500</v>
      </c>
      <c r="H1045" s="660">
        <v>113495000</v>
      </c>
      <c r="I1045" s="660">
        <v>113495000</v>
      </c>
      <c r="J1045" s="661">
        <v>0</v>
      </c>
      <c r="K1045" s="660">
        <v>0</v>
      </c>
      <c r="L1045" s="660">
        <v>0</v>
      </c>
      <c r="M1045" s="660">
        <v>0</v>
      </c>
      <c r="N1045" s="660">
        <v>0</v>
      </c>
      <c r="O1045" s="451"/>
      <c r="P1045" s="453"/>
    </row>
    <row r="1046" spans="1:16" s="175" customFormat="1" hidden="1" x14ac:dyDescent="0.2">
      <c r="A1046" s="188"/>
      <c r="B1046" s="886"/>
      <c r="C1046" s="884"/>
      <c r="D1046" s="884" t="s">
        <v>4286</v>
      </c>
      <c r="E1046" s="659" t="s">
        <v>1557</v>
      </c>
      <c r="F1046" s="660">
        <v>309578500</v>
      </c>
      <c r="G1046" s="661">
        <v>0</v>
      </c>
      <c r="H1046" s="660">
        <v>309578500</v>
      </c>
      <c r="I1046" s="660">
        <v>309578500</v>
      </c>
      <c r="J1046" s="661">
        <v>0</v>
      </c>
      <c r="K1046" s="660">
        <v>0</v>
      </c>
      <c r="L1046" s="660">
        <v>0</v>
      </c>
      <c r="M1046" s="660">
        <v>0</v>
      </c>
      <c r="N1046" s="660">
        <v>0</v>
      </c>
      <c r="O1046" s="451"/>
      <c r="P1046" s="453"/>
    </row>
    <row r="1047" spans="1:16" s="175" customFormat="1" x14ac:dyDescent="0.2">
      <c r="A1047" s="188"/>
      <c r="B1047" s="886"/>
      <c r="C1047" s="884" t="s">
        <v>3155</v>
      </c>
      <c r="D1047" s="884" t="s">
        <v>3156</v>
      </c>
      <c r="E1047" s="659" t="s">
        <v>26</v>
      </c>
      <c r="F1047" s="660">
        <v>158793000</v>
      </c>
      <c r="G1047" s="661">
        <v>45000000</v>
      </c>
      <c r="H1047" s="660">
        <v>113793000</v>
      </c>
      <c r="I1047" s="660">
        <v>113793000</v>
      </c>
      <c r="J1047" s="661">
        <v>0</v>
      </c>
      <c r="K1047" s="660">
        <v>0</v>
      </c>
      <c r="L1047" s="660">
        <v>0</v>
      </c>
      <c r="M1047" s="660">
        <v>0</v>
      </c>
      <c r="N1047" s="660">
        <v>0</v>
      </c>
      <c r="O1047" s="451"/>
      <c r="P1047" s="453"/>
    </row>
    <row r="1048" spans="1:16" s="175" customFormat="1" hidden="1" x14ac:dyDescent="0.2">
      <c r="A1048" s="188"/>
      <c r="B1048" s="886"/>
      <c r="C1048" s="884"/>
      <c r="D1048" s="884" t="s">
        <v>3156</v>
      </c>
      <c r="E1048" s="659" t="s">
        <v>1557</v>
      </c>
      <c r="F1048" s="660">
        <v>370517000</v>
      </c>
      <c r="G1048" s="661">
        <v>0</v>
      </c>
      <c r="H1048" s="660">
        <v>370517000</v>
      </c>
      <c r="I1048" s="660">
        <v>370517000</v>
      </c>
      <c r="J1048" s="661">
        <v>0</v>
      </c>
      <c r="K1048" s="660">
        <v>0</v>
      </c>
      <c r="L1048" s="660">
        <v>0</v>
      </c>
      <c r="M1048" s="660">
        <v>0</v>
      </c>
      <c r="N1048" s="660">
        <v>0</v>
      </c>
      <c r="O1048" s="451"/>
      <c r="P1048" s="453"/>
    </row>
    <row r="1049" spans="1:16" s="175" customFormat="1" x14ac:dyDescent="0.2">
      <c r="A1049" s="188"/>
      <c r="B1049" s="886"/>
      <c r="C1049" s="884" t="s">
        <v>2998</v>
      </c>
      <c r="D1049" s="884" t="s">
        <v>2999</v>
      </c>
      <c r="E1049" s="659" t="s">
        <v>26</v>
      </c>
      <c r="F1049" s="660">
        <v>148000000</v>
      </c>
      <c r="G1049" s="661">
        <v>49650000</v>
      </c>
      <c r="H1049" s="660">
        <v>98350000</v>
      </c>
      <c r="I1049" s="660">
        <v>98350000</v>
      </c>
      <c r="J1049" s="661">
        <v>0</v>
      </c>
      <c r="K1049" s="660">
        <v>0</v>
      </c>
      <c r="L1049" s="660">
        <v>0</v>
      </c>
      <c r="M1049" s="660">
        <v>0</v>
      </c>
      <c r="N1049" s="660">
        <v>0</v>
      </c>
      <c r="O1049" s="451"/>
      <c r="P1049" s="453"/>
    </row>
    <row r="1050" spans="1:16" s="175" customFormat="1" hidden="1" x14ac:dyDescent="0.2">
      <c r="A1050" s="188"/>
      <c r="B1050" s="886"/>
      <c r="C1050" s="884"/>
      <c r="D1050" s="884" t="s">
        <v>2999</v>
      </c>
      <c r="E1050" s="659" t="s">
        <v>1557</v>
      </c>
      <c r="F1050" s="660">
        <v>259420000</v>
      </c>
      <c r="G1050" s="661">
        <v>0</v>
      </c>
      <c r="H1050" s="660">
        <v>259420000</v>
      </c>
      <c r="I1050" s="660">
        <v>259420000</v>
      </c>
      <c r="J1050" s="661">
        <v>0</v>
      </c>
      <c r="K1050" s="660">
        <v>0</v>
      </c>
      <c r="L1050" s="660">
        <v>0</v>
      </c>
      <c r="M1050" s="660">
        <v>0</v>
      </c>
      <c r="N1050" s="660">
        <v>0</v>
      </c>
      <c r="O1050" s="451"/>
      <c r="P1050" s="453"/>
    </row>
    <row r="1051" spans="1:16" s="175" customFormat="1" x14ac:dyDescent="0.2">
      <c r="A1051" s="188"/>
      <c r="B1051" s="886"/>
      <c r="C1051" s="884" t="s">
        <v>3000</v>
      </c>
      <c r="D1051" s="884" t="s">
        <v>3001</v>
      </c>
      <c r="E1051" s="659" t="s">
        <v>26</v>
      </c>
      <c r="F1051" s="660">
        <v>159240000</v>
      </c>
      <c r="G1051" s="661">
        <v>50555008</v>
      </c>
      <c r="H1051" s="660">
        <v>108684992</v>
      </c>
      <c r="I1051" s="660">
        <v>108684992</v>
      </c>
      <c r="J1051" s="661">
        <v>0</v>
      </c>
      <c r="K1051" s="660">
        <v>0</v>
      </c>
      <c r="L1051" s="660">
        <v>0</v>
      </c>
      <c r="M1051" s="660">
        <v>0</v>
      </c>
      <c r="N1051" s="660">
        <v>0</v>
      </c>
      <c r="O1051" s="451"/>
      <c r="P1051" s="453"/>
    </row>
    <row r="1052" spans="1:16" s="175" customFormat="1" hidden="1" x14ac:dyDescent="0.2">
      <c r="A1052" s="188"/>
      <c r="B1052" s="886"/>
      <c r="C1052" s="884"/>
      <c r="D1052" s="884" t="s">
        <v>3001</v>
      </c>
      <c r="E1052" s="659" t="s">
        <v>1557</v>
      </c>
      <c r="F1052" s="660">
        <v>371560000</v>
      </c>
      <c r="G1052" s="661">
        <v>0</v>
      </c>
      <c r="H1052" s="660">
        <v>371560000</v>
      </c>
      <c r="I1052" s="660">
        <v>371560000</v>
      </c>
      <c r="J1052" s="661">
        <v>0</v>
      </c>
      <c r="K1052" s="660">
        <v>0</v>
      </c>
      <c r="L1052" s="660">
        <v>0</v>
      </c>
      <c r="M1052" s="660">
        <v>0</v>
      </c>
      <c r="N1052" s="660">
        <v>0</v>
      </c>
      <c r="O1052" s="451"/>
      <c r="P1052" s="453"/>
    </row>
    <row r="1053" spans="1:16" s="175" customFormat="1" x14ac:dyDescent="0.2">
      <c r="A1053" s="188"/>
      <c r="B1053" s="886"/>
      <c r="C1053" s="884"/>
      <c r="D1053" s="884" t="s">
        <v>3001</v>
      </c>
      <c r="E1053" s="659" t="s">
        <v>195</v>
      </c>
      <c r="F1053" s="660">
        <v>444992</v>
      </c>
      <c r="G1053" s="661">
        <v>444992</v>
      </c>
      <c r="H1053" s="660">
        <v>0</v>
      </c>
      <c r="I1053" s="660">
        <v>0</v>
      </c>
      <c r="J1053" s="661">
        <v>0</v>
      </c>
      <c r="K1053" s="660">
        <v>0</v>
      </c>
      <c r="L1053" s="660">
        <v>0</v>
      </c>
      <c r="M1053" s="660">
        <v>0</v>
      </c>
      <c r="N1053" s="660">
        <v>0</v>
      </c>
      <c r="O1053" s="451"/>
      <c r="P1053" s="453"/>
    </row>
    <row r="1054" spans="1:16" s="175" customFormat="1" x14ac:dyDescent="0.2">
      <c r="A1054" s="188"/>
      <c r="B1054" s="886"/>
      <c r="C1054" s="884" t="s">
        <v>3157</v>
      </c>
      <c r="D1054" s="884" t="s">
        <v>3158</v>
      </c>
      <c r="E1054" s="659" t="s">
        <v>26</v>
      </c>
      <c r="F1054" s="660">
        <v>162185250</v>
      </c>
      <c r="G1054" s="661">
        <v>46607864</v>
      </c>
      <c r="H1054" s="660">
        <v>115577386</v>
      </c>
      <c r="I1054" s="660">
        <v>115577386</v>
      </c>
      <c r="J1054" s="661">
        <v>0</v>
      </c>
      <c r="K1054" s="660">
        <v>0</v>
      </c>
      <c r="L1054" s="660">
        <v>0</v>
      </c>
      <c r="M1054" s="660">
        <v>0</v>
      </c>
      <c r="N1054" s="660">
        <v>0</v>
      </c>
      <c r="O1054" s="451"/>
      <c r="P1054" s="453"/>
    </row>
    <row r="1055" spans="1:16" s="175" customFormat="1" hidden="1" x14ac:dyDescent="0.2">
      <c r="A1055" s="188"/>
      <c r="B1055" s="886"/>
      <c r="C1055" s="884"/>
      <c r="D1055" s="884" t="s">
        <v>3158</v>
      </c>
      <c r="E1055" s="659" t="s">
        <v>1557</v>
      </c>
      <c r="F1055" s="660">
        <v>378432250</v>
      </c>
      <c r="G1055" s="661">
        <v>0</v>
      </c>
      <c r="H1055" s="660">
        <v>378432250</v>
      </c>
      <c r="I1055" s="660">
        <v>378432250</v>
      </c>
      <c r="J1055" s="661">
        <v>0</v>
      </c>
      <c r="K1055" s="660">
        <v>0</v>
      </c>
      <c r="L1055" s="660">
        <v>0</v>
      </c>
      <c r="M1055" s="660">
        <v>0</v>
      </c>
      <c r="N1055" s="660">
        <v>0</v>
      </c>
      <c r="O1055" s="451"/>
      <c r="P1055" s="453"/>
    </row>
    <row r="1056" spans="1:16" s="175" customFormat="1" x14ac:dyDescent="0.2">
      <c r="A1056" s="188"/>
      <c r="B1056" s="886"/>
      <c r="C1056" s="884" t="s">
        <v>3224</v>
      </c>
      <c r="D1056" s="884" t="s">
        <v>3225</v>
      </c>
      <c r="E1056" s="659" t="s">
        <v>26</v>
      </c>
      <c r="F1056" s="660">
        <v>129367500</v>
      </c>
      <c r="G1056" s="661">
        <v>36100000</v>
      </c>
      <c r="H1056" s="660">
        <v>93267500</v>
      </c>
      <c r="I1056" s="660">
        <v>93267500</v>
      </c>
      <c r="J1056" s="661">
        <v>0</v>
      </c>
      <c r="K1056" s="660">
        <v>0</v>
      </c>
      <c r="L1056" s="660">
        <v>0</v>
      </c>
      <c r="M1056" s="660">
        <v>0</v>
      </c>
      <c r="N1056" s="660">
        <v>0</v>
      </c>
      <c r="O1056" s="451"/>
      <c r="P1056" s="453"/>
    </row>
    <row r="1057" spans="1:16" s="175" customFormat="1" hidden="1" x14ac:dyDescent="0.2">
      <c r="A1057" s="188"/>
      <c r="B1057" s="886"/>
      <c r="C1057" s="884"/>
      <c r="D1057" s="884" t="s">
        <v>3225</v>
      </c>
      <c r="E1057" s="659" t="s">
        <v>1557</v>
      </c>
      <c r="F1057" s="660">
        <v>301857500</v>
      </c>
      <c r="G1057" s="661">
        <v>0</v>
      </c>
      <c r="H1057" s="660">
        <v>301857500</v>
      </c>
      <c r="I1057" s="660">
        <v>301857500</v>
      </c>
      <c r="J1057" s="661">
        <v>0</v>
      </c>
      <c r="K1057" s="660">
        <v>0</v>
      </c>
      <c r="L1057" s="660">
        <v>0</v>
      </c>
      <c r="M1057" s="660">
        <v>0</v>
      </c>
      <c r="N1057" s="660">
        <v>0</v>
      </c>
      <c r="O1057" s="451"/>
      <c r="P1057" s="453"/>
    </row>
    <row r="1058" spans="1:16" s="175" customFormat="1" x14ac:dyDescent="0.2">
      <c r="A1058" s="188"/>
      <c r="B1058" s="886"/>
      <c r="C1058" s="884" t="s">
        <v>3002</v>
      </c>
      <c r="D1058" s="884" t="s">
        <v>3003</v>
      </c>
      <c r="E1058" s="659" t="s">
        <v>26</v>
      </c>
      <c r="F1058" s="660">
        <v>155340000</v>
      </c>
      <c r="G1058" s="661">
        <v>43659634</v>
      </c>
      <c r="H1058" s="660">
        <v>111680366</v>
      </c>
      <c r="I1058" s="660">
        <v>107385710</v>
      </c>
      <c r="J1058" s="661">
        <v>4294656</v>
      </c>
      <c r="K1058" s="660">
        <v>4294656</v>
      </c>
      <c r="L1058" s="660">
        <v>0</v>
      </c>
      <c r="M1058" s="660">
        <v>0</v>
      </c>
      <c r="N1058" s="660">
        <v>0</v>
      </c>
      <c r="O1058" s="451"/>
      <c r="P1058" s="453"/>
    </row>
    <row r="1059" spans="1:16" s="175" customFormat="1" hidden="1" x14ac:dyDescent="0.2">
      <c r="A1059" s="188"/>
      <c r="B1059" s="886"/>
      <c r="C1059" s="884"/>
      <c r="D1059" s="884" t="s">
        <v>3003</v>
      </c>
      <c r="E1059" s="659" t="s">
        <v>1557</v>
      </c>
      <c r="F1059" s="660">
        <v>362460000</v>
      </c>
      <c r="G1059" s="661">
        <v>0</v>
      </c>
      <c r="H1059" s="660">
        <v>362460000</v>
      </c>
      <c r="I1059" s="660">
        <v>362460000</v>
      </c>
      <c r="J1059" s="661">
        <v>0</v>
      </c>
      <c r="K1059" s="660">
        <v>0</v>
      </c>
      <c r="L1059" s="660">
        <v>0</v>
      </c>
      <c r="M1059" s="660">
        <v>0</v>
      </c>
      <c r="N1059" s="660">
        <v>0</v>
      </c>
      <c r="O1059" s="451"/>
      <c r="P1059" s="453"/>
    </row>
    <row r="1060" spans="1:16" s="175" customFormat="1" x14ac:dyDescent="0.2">
      <c r="A1060" s="188"/>
      <c r="B1060" s="886"/>
      <c r="C1060" s="884"/>
      <c r="D1060" s="884" t="s">
        <v>3003</v>
      </c>
      <c r="E1060" s="659" t="s">
        <v>195</v>
      </c>
      <c r="F1060" s="660">
        <v>313366</v>
      </c>
      <c r="G1060" s="661">
        <v>313366</v>
      </c>
      <c r="H1060" s="660">
        <v>0</v>
      </c>
      <c r="I1060" s="660">
        <v>0</v>
      </c>
      <c r="J1060" s="661">
        <v>0</v>
      </c>
      <c r="K1060" s="660">
        <v>0</v>
      </c>
      <c r="L1060" s="660">
        <v>0</v>
      </c>
      <c r="M1060" s="660">
        <v>0</v>
      </c>
      <c r="N1060" s="660">
        <v>0</v>
      </c>
      <c r="O1060" s="451"/>
      <c r="P1060" s="453"/>
    </row>
    <row r="1061" spans="1:16" s="175" customFormat="1" x14ac:dyDescent="0.2">
      <c r="A1061" s="188"/>
      <c r="B1061" s="886"/>
      <c r="C1061" s="884" t="s">
        <v>3159</v>
      </c>
      <c r="D1061" s="884" t="s">
        <v>3160</v>
      </c>
      <c r="E1061" s="659" t="s">
        <v>26</v>
      </c>
      <c r="F1061" s="660">
        <v>122226000</v>
      </c>
      <c r="G1061" s="661">
        <v>33800000</v>
      </c>
      <c r="H1061" s="660">
        <v>88426000</v>
      </c>
      <c r="I1061" s="660">
        <v>88426000</v>
      </c>
      <c r="J1061" s="661">
        <v>0</v>
      </c>
      <c r="K1061" s="660">
        <v>0</v>
      </c>
      <c r="L1061" s="660">
        <v>0</v>
      </c>
      <c r="M1061" s="660">
        <v>0</v>
      </c>
      <c r="N1061" s="660">
        <v>0</v>
      </c>
      <c r="O1061" s="451"/>
      <c r="P1061" s="453"/>
    </row>
    <row r="1062" spans="1:16" s="175" customFormat="1" hidden="1" x14ac:dyDescent="0.2">
      <c r="A1062" s="188"/>
      <c r="B1062" s="886"/>
      <c r="C1062" s="884"/>
      <c r="D1062" s="884" t="s">
        <v>3160</v>
      </c>
      <c r="E1062" s="659" t="s">
        <v>1557</v>
      </c>
      <c r="F1062" s="660">
        <v>285194000</v>
      </c>
      <c r="G1062" s="661">
        <v>0</v>
      </c>
      <c r="H1062" s="660">
        <v>285194000</v>
      </c>
      <c r="I1062" s="660">
        <v>285194000</v>
      </c>
      <c r="J1062" s="661">
        <v>0</v>
      </c>
      <c r="K1062" s="660">
        <v>0</v>
      </c>
      <c r="L1062" s="660">
        <v>0</v>
      </c>
      <c r="M1062" s="660">
        <v>0</v>
      </c>
      <c r="N1062" s="660">
        <v>0</v>
      </c>
      <c r="O1062" s="451"/>
      <c r="P1062" s="453"/>
    </row>
    <row r="1063" spans="1:16" s="175" customFormat="1" x14ac:dyDescent="0.2">
      <c r="A1063" s="188"/>
      <c r="B1063" s="886"/>
      <c r="C1063" s="884" t="s">
        <v>2713</v>
      </c>
      <c r="D1063" s="884" t="s">
        <v>2714</v>
      </c>
      <c r="E1063" s="659" t="s">
        <v>26</v>
      </c>
      <c r="F1063" s="660">
        <v>158388000</v>
      </c>
      <c r="G1063" s="661">
        <v>37350000</v>
      </c>
      <c r="H1063" s="660">
        <v>121038000</v>
      </c>
      <c r="I1063" s="660">
        <v>121038000</v>
      </c>
      <c r="J1063" s="661">
        <v>0</v>
      </c>
      <c r="K1063" s="660">
        <v>0</v>
      </c>
      <c r="L1063" s="660">
        <v>0</v>
      </c>
      <c r="M1063" s="660">
        <v>0</v>
      </c>
      <c r="N1063" s="660">
        <v>0</v>
      </c>
      <c r="O1063" s="451"/>
      <c r="P1063" s="453"/>
    </row>
    <row r="1064" spans="1:16" s="175" customFormat="1" hidden="1" x14ac:dyDescent="0.2">
      <c r="A1064" s="188"/>
      <c r="B1064" s="886"/>
      <c r="C1064" s="884"/>
      <c r="D1064" s="884" t="s">
        <v>2714</v>
      </c>
      <c r="E1064" s="659" t="s">
        <v>1557</v>
      </c>
      <c r="F1064" s="660">
        <v>369572000</v>
      </c>
      <c r="G1064" s="661">
        <v>0</v>
      </c>
      <c r="H1064" s="660">
        <v>369572000</v>
      </c>
      <c r="I1064" s="660">
        <v>369572000</v>
      </c>
      <c r="J1064" s="661">
        <v>0</v>
      </c>
      <c r="K1064" s="660">
        <v>0</v>
      </c>
      <c r="L1064" s="660">
        <v>0</v>
      </c>
      <c r="M1064" s="660">
        <v>0</v>
      </c>
      <c r="N1064" s="660">
        <v>0</v>
      </c>
      <c r="O1064" s="451"/>
      <c r="P1064" s="453"/>
    </row>
    <row r="1065" spans="1:16" s="175" customFormat="1" x14ac:dyDescent="0.2">
      <c r="A1065" s="188"/>
      <c r="B1065" s="886"/>
      <c r="C1065" s="884" t="s">
        <v>2715</v>
      </c>
      <c r="D1065" s="884" t="s">
        <v>2716</v>
      </c>
      <c r="E1065" s="659" t="s">
        <v>26</v>
      </c>
      <c r="F1065" s="660">
        <v>163959901</v>
      </c>
      <c r="G1065" s="661">
        <v>33576650</v>
      </c>
      <c r="H1065" s="660">
        <v>130383251</v>
      </c>
      <c r="I1065" s="660">
        <v>130383251</v>
      </c>
      <c r="J1065" s="661">
        <v>0</v>
      </c>
      <c r="K1065" s="660">
        <v>0</v>
      </c>
      <c r="L1065" s="660">
        <v>0</v>
      </c>
      <c r="M1065" s="660">
        <v>0</v>
      </c>
      <c r="N1065" s="660">
        <v>0</v>
      </c>
      <c r="O1065" s="451"/>
      <c r="P1065" s="453"/>
    </row>
    <row r="1066" spans="1:16" s="175" customFormat="1" hidden="1" x14ac:dyDescent="0.2">
      <c r="A1066" s="188"/>
      <c r="B1066" s="886"/>
      <c r="C1066" s="884"/>
      <c r="D1066" s="884" t="s">
        <v>2716</v>
      </c>
      <c r="E1066" s="659" t="s">
        <v>1557</v>
      </c>
      <c r="F1066" s="660">
        <v>372260000</v>
      </c>
      <c r="G1066" s="661">
        <v>0</v>
      </c>
      <c r="H1066" s="660">
        <v>372260000</v>
      </c>
      <c r="I1066" s="660">
        <v>372260000</v>
      </c>
      <c r="J1066" s="661">
        <v>0</v>
      </c>
      <c r="K1066" s="660">
        <v>0</v>
      </c>
      <c r="L1066" s="660">
        <v>0</v>
      </c>
      <c r="M1066" s="660">
        <v>0</v>
      </c>
      <c r="N1066" s="660">
        <v>0</v>
      </c>
      <c r="O1066" s="451"/>
      <c r="P1066" s="453"/>
    </row>
    <row r="1067" spans="1:16" s="175" customFormat="1" x14ac:dyDescent="0.2">
      <c r="A1067" s="188"/>
      <c r="B1067" s="886"/>
      <c r="C1067" s="884" t="s">
        <v>4368</v>
      </c>
      <c r="D1067" s="884" t="s">
        <v>2543</v>
      </c>
      <c r="E1067" s="659" t="s">
        <v>26</v>
      </c>
      <c r="F1067" s="660">
        <v>132976500</v>
      </c>
      <c r="G1067" s="661">
        <v>9000000</v>
      </c>
      <c r="H1067" s="660">
        <v>123976500</v>
      </c>
      <c r="I1067" s="660">
        <v>47809833</v>
      </c>
      <c r="J1067" s="661">
        <v>76166667</v>
      </c>
      <c r="K1067" s="660">
        <v>76166667</v>
      </c>
      <c r="L1067" s="660">
        <v>0</v>
      </c>
      <c r="M1067" s="660">
        <v>0</v>
      </c>
      <c r="N1067" s="660">
        <v>0</v>
      </c>
      <c r="O1067" s="451"/>
      <c r="P1067" s="453"/>
    </row>
    <row r="1068" spans="1:16" s="175" customFormat="1" hidden="1" x14ac:dyDescent="0.2">
      <c r="A1068" s="188"/>
      <c r="B1068" s="886"/>
      <c r="C1068" s="884"/>
      <c r="D1068" s="884" t="s">
        <v>2543</v>
      </c>
      <c r="E1068" s="659" t="s">
        <v>1557</v>
      </c>
      <c r="F1068" s="660">
        <v>310278500</v>
      </c>
      <c r="G1068" s="661">
        <v>0</v>
      </c>
      <c r="H1068" s="660">
        <v>310278500</v>
      </c>
      <c r="I1068" s="660">
        <v>310278500</v>
      </c>
      <c r="J1068" s="661">
        <v>0</v>
      </c>
      <c r="K1068" s="660">
        <v>0</v>
      </c>
      <c r="L1068" s="660">
        <v>0</v>
      </c>
      <c r="M1068" s="660">
        <v>0</v>
      </c>
      <c r="N1068" s="660">
        <v>0</v>
      </c>
      <c r="O1068" s="451"/>
      <c r="P1068" s="453"/>
    </row>
    <row r="1069" spans="1:16" s="175" customFormat="1" x14ac:dyDescent="0.2">
      <c r="A1069" s="188"/>
      <c r="B1069" s="886"/>
      <c r="C1069" s="884" t="s">
        <v>3004</v>
      </c>
      <c r="D1069" s="884" t="s">
        <v>3005</v>
      </c>
      <c r="E1069" s="659" t="s">
        <v>26</v>
      </c>
      <c r="F1069" s="660">
        <v>118554600</v>
      </c>
      <c r="G1069" s="661">
        <v>18332594</v>
      </c>
      <c r="H1069" s="660">
        <v>100222006</v>
      </c>
      <c r="I1069" s="660">
        <v>96654600</v>
      </c>
      <c r="J1069" s="661">
        <v>3567406</v>
      </c>
      <c r="K1069" s="660">
        <v>1300000</v>
      </c>
      <c r="L1069" s="660">
        <v>1300000</v>
      </c>
      <c r="M1069" s="660">
        <v>967406</v>
      </c>
      <c r="N1069" s="660">
        <v>0</v>
      </c>
      <c r="O1069" s="451"/>
      <c r="P1069" s="453"/>
    </row>
    <row r="1070" spans="1:16" s="175" customFormat="1" hidden="1" x14ac:dyDescent="0.2">
      <c r="A1070" s="188"/>
      <c r="B1070" s="886"/>
      <c r="C1070" s="884"/>
      <c r="D1070" s="884" t="s">
        <v>3005</v>
      </c>
      <c r="E1070" s="659" t="s">
        <v>1557</v>
      </c>
      <c r="F1070" s="660">
        <v>276627400</v>
      </c>
      <c r="G1070" s="661">
        <v>0</v>
      </c>
      <c r="H1070" s="660">
        <v>276627400</v>
      </c>
      <c r="I1070" s="660">
        <v>276627400</v>
      </c>
      <c r="J1070" s="661">
        <v>0</v>
      </c>
      <c r="K1070" s="660">
        <v>0</v>
      </c>
      <c r="L1070" s="660">
        <v>0</v>
      </c>
      <c r="M1070" s="660">
        <v>0</v>
      </c>
      <c r="N1070" s="660">
        <v>0</v>
      </c>
      <c r="O1070" s="451"/>
      <c r="P1070" s="453"/>
    </row>
    <row r="1071" spans="1:16" s="175" customFormat="1" x14ac:dyDescent="0.2">
      <c r="A1071" s="188"/>
      <c r="B1071" s="886"/>
      <c r="C1071" s="884"/>
      <c r="D1071" s="884" t="s">
        <v>3005</v>
      </c>
      <c r="E1071" s="659" t="s">
        <v>195</v>
      </c>
      <c r="F1071" s="660">
        <v>67406</v>
      </c>
      <c r="G1071" s="661">
        <v>67406</v>
      </c>
      <c r="H1071" s="660">
        <v>0</v>
      </c>
      <c r="I1071" s="660">
        <v>0</v>
      </c>
      <c r="J1071" s="661">
        <v>0</v>
      </c>
      <c r="K1071" s="660">
        <v>0</v>
      </c>
      <c r="L1071" s="660">
        <v>0</v>
      </c>
      <c r="M1071" s="660">
        <v>0</v>
      </c>
      <c r="N1071" s="660">
        <v>0</v>
      </c>
      <c r="O1071" s="451"/>
      <c r="P1071" s="453"/>
    </row>
    <row r="1072" spans="1:16" s="175" customFormat="1" x14ac:dyDescent="0.2">
      <c r="A1072" s="188"/>
      <c r="B1072" s="886"/>
      <c r="C1072" s="884" t="s">
        <v>2717</v>
      </c>
      <c r="D1072" s="884" t="s">
        <v>2718</v>
      </c>
      <c r="E1072" s="659" t="s">
        <v>26</v>
      </c>
      <c r="F1072" s="660">
        <v>160950000</v>
      </c>
      <c r="G1072" s="661">
        <v>54012855</v>
      </c>
      <c r="H1072" s="660">
        <v>106937145</v>
      </c>
      <c r="I1072" s="660">
        <v>106937145</v>
      </c>
      <c r="J1072" s="661">
        <v>0</v>
      </c>
      <c r="K1072" s="660">
        <v>0</v>
      </c>
      <c r="L1072" s="660">
        <v>0</v>
      </c>
      <c r="M1072" s="660">
        <v>0</v>
      </c>
      <c r="N1072" s="660">
        <v>0</v>
      </c>
      <c r="O1072" s="451"/>
      <c r="P1072" s="453"/>
    </row>
    <row r="1073" spans="1:16" s="175" customFormat="1" hidden="1" x14ac:dyDescent="0.2">
      <c r="A1073" s="188"/>
      <c r="B1073" s="886"/>
      <c r="C1073" s="884"/>
      <c r="D1073" s="884" t="s">
        <v>2718</v>
      </c>
      <c r="E1073" s="659" t="s">
        <v>1557</v>
      </c>
      <c r="F1073" s="660">
        <v>375550000</v>
      </c>
      <c r="G1073" s="661">
        <v>0</v>
      </c>
      <c r="H1073" s="660">
        <v>375550000</v>
      </c>
      <c r="I1073" s="660">
        <v>375550000</v>
      </c>
      <c r="J1073" s="661">
        <v>0</v>
      </c>
      <c r="K1073" s="660">
        <v>0</v>
      </c>
      <c r="L1073" s="660">
        <v>0</v>
      </c>
      <c r="M1073" s="660">
        <v>0</v>
      </c>
      <c r="N1073" s="660">
        <v>0</v>
      </c>
      <c r="O1073" s="451"/>
      <c r="P1073" s="453"/>
    </row>
    <row r="1074" spans="1:16" s="175" customFormat="1" x14ac:dyDescent="0.2">
      <c r="A1074" s="188"/>
      <c r="B1074" s="886"/>
      <c r="C1074" s="884" t="s">
        <v>2719</v>
      </c>
      <c r="D1074" s="884" t="s">
        <v>2720</v>
      </c>
      <c r="E1074" s="659" t="s">
        <v>26</v>
      </c>
      <c r="F1074" s="660">
        <v>159690000</v>
      </c>
      <c r="G1074" s="661">
        <v>47005429</v>
      </c>
      <c r="H1074" s="660">
        <v>112684571</v>
      </c>
      <c r="I1074" s="660">
        <v>112635710</v>
      </c>
      <c r="J1074" s="661">
        <v>48861</v>
      </c>
      <c r="K1074" s="660">
        <v>48861</v>
      </c>
      <c r="L1074" s="660">
        <v>0</v>
      </c>
      <c r="M1074" s="660">
        <v>0</v>
      </c>
      <c r="N1074" s="660">
        <v>0</v>
      </c>
      <c r="O1074" s="451"/>
      <c r="P1074" s="453"/>
    </row>
    <row r="1075" spans="1:16" s="175" customFormat="1" hidden="1" x14ac:dyDescent="0.2">
      <c r="A1075" s="188"/>
      <c r="B1075" s="886"/>
      <c r="C1075" s="884"/>
      <c r="D1075" s="884" t="s">
        <v>2720</v>
      </c>
      <c r="E1075" s="659" t="s">
        <v>1557</v>
      </c>
      <c r="F1075" s="660">
        <v>372610000</v>
      </c>
      <c r="G1075" s="661">
        <v>0</v>
      </c>
      <c r="H1075" s="660">
        <v>372610000</v>
      </c>
      <c r="I1075" s="660">
        <v>372610000</v>
      </c>
      <c r="J1075" s="661">
        <v>0</v>
      </c>
      <c r="K1075" s="660">
        <v>0</v>
      </c>
      <c r="L1075" s="660">
        <v>0</v>
      </c>
      <c r="M1075" s="660">
        <v>0</v>
      </c>
      <c r="N1075" s="660">
        <v>0</v>
      </c>
      <c r="O1075" s="451"/>
      <c r="P1075" s="453"/>
    </row>
    <row r="1076" spans="1:16" s="175" customFormat="1" x14ac:dyDescent="0.2">
      <c r="A1076" s="188"/>
      <c r="B1076" s="886"/>
      <c r="C1076" s="884" t="s">
        <v>2721</v>
      </c>
      <c r="D1076" s="884" t="s">
        <v>2722</v>
      </c>
      <c r="E1076" s="659" t="s">
        <v>26</v>
      </c>
      <c r="F1076" s="660">
        <v>119250000</v>
      </c>
      <c r="G1076" s="661">
        <v>36500000</v>
      </c>
      <c r="H1076" s="660">
        <v>82750000</v>
      </c>
      <c r="I1076" s="660">
        <v>81607140</v>
      </c>
      <c r="J1076" s="661">
        <v>1142860</v>
      </c>
      <c r="K1076" s="660">
        <v>1142860</v>
      </c>
      <c r="L1076" s="660">
        <v>0</v>
      </c>
      <c r="M1076" s="660">
        <v>0</v>
      </c>
      <c r="N1076" s="660">
        <v>0</v>
      </c>
      <c r="O1076" s="451"/>
      <c r="P1076" s="453"/>
    </row>
    <row r="1077" spans="1:16" s="175" customFormat="1" hidden="1" x14ac:dyDescent="0.2">
      <c r="A1077" s="188"/>
      <c r="B1077" s="886"/>
      <c r="C1077" s="884"/>
      <c r="D1077" s="884" t="s">
        <v>2722</v>
      </c>
      <c r="E1077" s="659" t="s">
        <v>1557</v>
      </c>
      <c r="F1077" s="660">
        <v>278250000</v>
      </c>
      <c r="G1077" s="661">
        <v>0</v>
      </c>
      <c r="H1077" s="660">
        <v>278250000</v>
      </c>
      <c r="I1077" s="660">
        <v>278250000</v>
      </c>
      <c r="J1077" s="661">
        <v>0</v>
      </c>
      <c r="K1077" s="660">
        <v>0</v>
      </c>
      <c r="L1077" s="660">
        <v>0</v>
      </c>
      <c r="M1077" s="660">
        <v>0</v>
      </c>
      <c r="N1077" s="660">
        <v>0</v>
      </c>
      <c r="O1077" s="451"/>
      <c r="P1077" s="453"/>
    </row>
    <row r="1078" spans="1:16" s="175" customFormat="1" x14ac:dyDescent="0.2">
      <c r="A1078" s="188"/>
      <c r="B1078" s="886"/>
      <c r="C1078" s="884" t="s">
        <v>3006</v>
      </c>
      <c r="D1078" s="884" t="s">
        <v>3007</v>
      </c>
      <c r="E1078" s="659" t="s">
        <v>26</v>
      </c>
      <c r="F1078" s="660">
        <v>154218000</v>
      </c>
      <c r="G1078" s="661">
        <v>46500000</v>
      </c>
      <c r="H1078" s="660">
        <v>107718000</v>
      </c>
      <c r="I1078" s="660">
        <v>107718000</v>
      </c>
      <c r="J1078" s="661">
        <v>0</v>
      </c>
      <c r="K1078" s="660">
        <v>0</v>
      </c>
      <c r="L1078" s="660">
        <v>0</v>
      </c>
      <c r="M1078" s="660">
        <v>0</v>
      </c>
      <c r="N1078" s="660">
        <v>0</v>
      </c>
      <c r="O1078" s="451"/>
      <c r="P1078" s="453"/>
    </row>
    <row r="1079" spans="1:16" s="175" customFormat="1" hidden="1" x14ac:dyDescent="0.2">
      <c r="A1079" s="188"/>
      <c r="B1079" s="886"/>
      <c r="C1079" s="884"/>
      <c r="D1079" s="884" t="s">
        <v>3007</v>
      </c>
      <c r="E1079" s="659" t="s">
        <v>1557</v>
      </c>
      <c r="F1079" s="660">
        <v>359842000</v>
      </c>
      <c r="G1079" s="661">
        <v>0</v>
      </c>
      <c r="H1079" s="660">
        <v>359842000</v>
      </c>
      <c r="I1079" s="660">
        <v>359842000</v>
      </c>
      <c r="J1079" s="661">
        <v>0</v>
      </c>
      <c r="K1079" s="660">
        <v>0</v>
      </c>
      <c r="L1079" s="660">
        <v>0</v>
      </c>
      <c r="M1079" s="660">
        <v>0</v>
      </c>
      <c r="N1079" s="660">
        <v>0</v>
      </c>
      <c r="O1079" s="451"/>
      <c r="P1079" s="453"/>
    </row>
    <row r="1080" spans="1:16" s="175" customFormat="1" x14ac:dyDescent="0.2">
      <c r="A1080" s="188"/>
      <c r="B1080" s="886"/>
      <c r="C1080" s="884" t="s">
        <v>4369</v>
      </c>
      <c r="D1080" s="884" t="s">
        <v>2723</v>
      </c>
      <c r="E1080" s="659" t="s">
        <v>26</v>
      </c>
      <c r="F1080" s="660">
        <v>259000000</v>
      </c>
      <c r="G1080" s="661">
        <v>15000000</v>
      </c>
      <c r="H1080" s="660">
        <v>244000000</v>
      </c>
      <c r="I1080" s="660">
        <v>244000000</v>
      </c>
      <c r="J1080" s="661">
        <v>0</v>
      </c>
      <c r="K1080" s="660">
        <v>0</v>
      </c>
      <c r="L1080" s="660">
        <v>0</v>
      </c>
      <c r="M1080" s="660">
        <v>0</v>
      </c>
      <c r="N1080" s="660">
        <v>0</v>
      </c>
      <c r="O1080" s="451"/>
      <c r="P1080" s="453"/>
    </row>
    <row r="1081" spans="1:16" s="175" customFormat="1" hidden="1" x14ac:dyDescent="0.2">
      <c r="A1081" s="188"/>
      <c r="B1081" s="886"/>
      <c r="C1081" s="884"/>
      <c r="D1081" s="884" t="s">
        <v>2723</v>
      </c>
      <c r="E1081" s="659" t="s">
        <v>1557</v>
      </c>
      <c r="F1081" s="660">
        <v>136674500</v>
      </c>
      <c r="G1081" s="661">
        <v>0</v>
      </c>
      <c r="H1081" s="660">
        <v>136674500</v>
      </c>
      <c r="I1081" s="660">
        <v>136674500</v>
      </c>
      <c r="J1081" s="661">
        <v>0</v>
      </c>
      <c r="K1081" s="660">
        <v>0</v>
      </c>
      <c r="L1081" s="660">
        <v>0</v>
      </c>
      <c r="M1081" s="660">
        <v>0</v>
      </c>
      <c r="N1081" s="660">
        <v>0</v>
      </c>
      <c r="O1081" s="451"/>
      <c r="P1081" s="453"/>
    </row>
    <row r="1082" spans="1:16" s="175" customFormat="1" x14ac:dyDescent="0.2">
      <c r="A1082" s="188"/>
      <c r="B1082" s="886"/>
      <c r="C1082" s="884" t="s">
        <v>3008</v>
      </c>
      <c r="D1082" s="884" t="s">
        <v>3009</v>
      </c>
      <c r="E1082" s="659" t="s">
        <v>26</v>
      </c>
      <c r="F1082" s="660">
        <v>162333750</v>
      </c>
      <c r="G1082" s="661">
        <v>26619288</v>
      </c>
      <c r="H1082" s="660">
        <v>135714462</v>
      </c>
      <c r="I1082" s="660">
        <v>115686583</v>
      </c>
      <c r="J1082" s="661">
        <v>20027879</v>
      </c>
      <c r="K1082" s="660">
        <v>4627463</v>
      </c>
      <c r="L1082" s="660">
        <v>4627463</v>
      </c>
      <c r="M1082" s="660">
        <v>4627463</v>
      </c>
      <c r="N1082" s="660">
        <v>6145490</v>
      </c>
      <c r="O1082" s="451"/>
      <c r="P1082" s="453"/>
    </row>
    <row r="1083" spans="1:16" s="175" customFormat="1" hidden="1" x14ac:dyDescent="0.2">
      <c r="A1083" s="188"/>
      <c r="B1083" s="886"/>
      <c r="C1083" s="884"/>
      <c r="D1083" s="884" t="s">
        <v>3009</v>
      </c>
      <c r="E1083" s="659" t="s">
        <v>1557</v>
      </c>
      <c r="F1083" s="660">
        <v>378778750</v>
      </c>
      <c r="G1083" s="661">
        <v>0</v>
      </c>
      <c r="H1083" s="660">
        <v>378778750</v>
      </c>
      <c r="I1083" s="660">
        <v>378778750</v>
      </c>
      <c r="J1083" s="661">
        <v>0</v>
      </c>
      <c r="K1083" s="660">
        <v>0</v>
      </c>
      <c r="L1083" s="660">
        <v>0</v>
      </c>
      <c r="M1083" s="660">
        <v>0</v>
      </c>
      <c r="N1083" s="660">
        <v>0</v>
      </c>
      <c r="O1083" s="451"/>
      <c r="P1083" s="453"/>
    </row>
    <row r="1084" spans="1:16" s="175" customFormat="1" x14ac:dyDescent="0.2">
      <c r="A1084" s="188"/>
      <c r="B1084" s="886"/>
      <c r="C1084" s="884"/>
      <c r="D1084" s="884" t="s">
        <v>3009</v>
      </c>
      <c r="E1084" s="659" t="s">
        <v>195</v>
      </c>
      <c r="F1084" s="660">
        <v>1518027</v>
      </c>
      <c r="G1084" s="661">
        <v>1518027</v>
      </c>
      <c r="H1084" s="660">
        <v>0</v>
      </c>
      <c r="I1084" s="660">
        <v>0</v>
      </c>
      <c r="J1084" s="661">
        <v>0</v>
      </c>
      <c r="K1084" s="660">
        <v>0</v>
      </c>
      <c r="L1084" s="660">
        <v>0</v>
      </c>
      <c r="M1084" s="660">
        <v>0</v>
      </c>
      <c r="N1084" s="660">
        <v>0</v>
      </c>
      <c r="O1084" s="451"/>
      <c r="P1084" s="453"/>
    </row>
    <row r="1085" spans="1:16" s="175" customFormat="1" x14ac:dyDescent="0.2">
      <c r="A1085" s="188"/>
      <c r="B1085" s="886"/>
      <c r="C1085" s="884" t="s">
        <v>4370</v>
      </c>
      <c r="D1085" s="884" t="s">
        <v>1629</v>
      </c>
      <c r="E1085" s="659" t="s">
        <v>26</v>
      </c>
      <c r="F1085" s="660">
        <v>70203500</v>
      </c>
      <c r="G1085" s="661">
        <v>5000000</v>
      </c>
      <c r="H1085" s="660">
        <v>65203500</v>
      </c>
      <c r="I1085" s="660">
        <v>65203500</v>
      </c>
      <c r="J1085" s="661">
        <v>0</v>
      </c>
      <c r="K1085" s="660">
        <v>0</v>
      </c>
      <c r="L1085" s="660">
        <v>0</v>
      </c>
      <c r="M1085" s="660">
        <v>0</v>
      </c>
      <c r="N1085" s="660">
        <v>0</v>
      </c>
      <c r="O1085" s="451"/>
      <c r="P1085" s="453"/>
    </row>
    <row r="1086" spans="1:16" s="175" customFormat="1" x14ac:dyDescent="0.2">
      <c r="A1086" s="188"/>
      <c r="B1086" s="886"/>
      <c r="C1086" s="884"/>
      <c r="D1086" s="884" t="s">
        <v>1629</v>
      </c>
      <c r="E1086" s="659" t="s">
        <v>198</v>
      </c>
      <c r="F1086" s="660">
        <v>108100000</v>
      </c>
      <c r="G1086" s="661">
        <v>0</v>
      </c>
      <c r="H1086" s="660">
        <v>108100000</v>
      </c>
      <c r="I1086" s="660">
        <v>108100000</v>
      </c>
      <c r="J1086" s="661">
        <v>0</v>
      </c>
      <c r="K1086" s="660">
        <v>0</v>
      </c>
      <c r="L1086" s="660">
        <v>0</v>
      </c>
      <c r="M1086" s="660">
        <v>0</v>
      </c>
      <c r="N1086" s="660">
        <v>0</v>
      </c>
      <c r="O1086" s="451"/>
      <c r="P1086" s="453"/>
    </row>
    <row r="1087" spans="1:16" s="175" customFormat="1" hidden="1" x14ac:dyDescent="0.2">
      <c r="A1087" s="188"/>
      <c r="B1087" s="886"/>
      <c r="C1087" s="884"/>
      <c r="D1087" s="884" t="s">
        <v>1629</v>
      </c>
      <c r="E1087" s="659" t="s">
        <v>1557</v>
      </c>
      <c r="F1087" s="660">
        <v>416041500</v>
      </c>
      <c r="G1087" s="661">
        <v>0</v>
      </c>
      <c r="H1087" s="660">
        <v>416041500</v>
      </c>
      <c r="I1087" s="660">
        <v>416041500</v>
      </c>
      <c r="J1087" s="661">
        <v>0</v>
      </c>
      <c r="K1087" s="660">
        <v>0</v>
      </c>
      <c r="L1087" s="660">
        <v>0</v>
      </c>
      <c r="M1087" s="660">
        <v>0</v>
      </c>
      <c r="N1087" s="660">
        <v>0</v>
      </c>
      <c r="O1087" s="451"/>
      <c r="P1087" s="453"/>
    </row>
    <row r="1088" spans="1:16" s="175" customFormat="1" x14ac:dyDescent="0.2">
      <c r="A1088" s="188"/>
      <c r="B1088" s="886"/>
      <c r="C1088" s="884" t="s">
        <v>3365</v>
      </c>
      <c r="D1088" s="884" t="s">
        <v>3366</v>
      </c>
      <c r="E1088" s="659" t="s">
        <v>26</v>
      </c>
      <c r="F1088" s="660">
        <v>129817500</v>
      </c>
      <c r="G1088" s="661">
        <v>35000000</v>
      </c>
      <c r="H1088" s="660">
        <v>94817500</v>
      </c>
      <c r="I1088" s="660">
        <v>94817500</v>
      </c>
      <c r="J1088" s="661">
        <v>0</v>
      </c>
      <c r="K1088" s="660">
        <v>0</v>
      </c>
      <c r="L1088" s="660">
        <v>0</v>
      </c>
      <c r="M1088" s="660">
        <v>0</v>
      </c>
      <c r="N1088" s="660">
        <v>0</v>
      </c>
      <c r="O1088" s="451"/>
      <c r="P1088" s="453"/>
    </row>
    <row r="1089" spans="1:16" s="175" customFormat="1" hidden="1" x14ac:dyDescent="0.2">
      <c r="A1089" s="188"/>
      <c r="B1089" s="886"/>
      <c r="C1089" s="884"/>
      <c r="D1089" s="884" t="s">
        <v>3366</v>
      </c>
      <c r="E1089" s="659" t="s">
        <v>1557</v>
      </c>
      <c r="F1089" s="660">
        <v>302907500</v>
      </c>
      <c r="G1089" s="661">
        <v>0</v>
      </c>
      <c r="H1089" s="660">
        <v>302907500</v>
      </c>
      <c r="I1089" s="660">
        <v>302907500</v>
      </c>
      <c r="J1089" s="661">
        <v>0</v>
      </c>
      <c r="K1089" s="660">
        <v>0</v>
      </c>
      <c r="L1089" s="660">
        <v>0</v>
      </c>
      <c r="M1089" s="660">
        <v>0</v>
      </c>
      <c r="N1089" s="660">
        <v>0</v>
      </c>
      <c r="O1089" s="451"/>
      <c r="P1089" s="453"/>
    </row>
    <row r="1090" spans="1:16" s="175" customFormat="1" x14ac:dyDescent="0.2">
      <c r="A1090" s="188"/>
      <c r="B1090" s="886"/>
      <c r="C1090" s="884" t="s">
        <v>4237</v>
      </c>
      <c r="D1090" s="884" t="s">
        <v>4238</v>
      </c>
      <c r="E1090" s="659" t="s">
        <v>26</v>
      </c>
      <c r="F1090" s="660">
        <v>171177053</v>
      </c>
      <c r="G1090" s="661">
        <v>25300000</v>
      </c>
      <c r="H1090" s="660">
        <v>145877053</v>
      </c>
      <c r="I1090" s="660">
        <v>145877053</v>
      </c>
      <c r="J1090" s="661">
        <v>0</v>
      </c>
      <c r="K1090" s="660">
        <v>0</v>
      </c>
      <c r="L1090" s="660">
        <v>0</v>
      </c>
      <c r="M1090" s="660">
        <v>0</v>
      </c>
      <c r="N1090" s="660">
        <v>0</v>
      </c>
      <c r="O1090" s="451"/>
      <c r="P1090" s="453"/>
    </row>
    <row r="1091" spans="1:16" s="175" customFormat="1" hidden="1" x14ac:dyDescent="0.2">
      <c r="A1091" s="188"/>
      <c r="B1091" s="886"/>
      <c r="C1091" s="884"/>
      <c r="D1091" s="884" t="s">
        <v>4238</v>
      </c>
      <c r="E1091" s="659" t="s">
        <v>1557</v>
      </c>
      <c r="F1091" s="660">
        <v>399392122</v>
      </c>
      <c r="G1091" s="661">
        <v>0</v>
      </c>
      <c r="H1091" s="660">
        <v>399392122</v>
      </c>
      <c r="I1091" s="660">
        <v>399392122</v>
      </c>
      <c r="J1091" s="661">
        <v>0</v>
      </c>
      <c r="K1091" s="660">
        <v>0</v>
      </c>
      <c r="L1091" s="660">
        <v>0</v>
      </c>
      <c r="M1091" s="660">
        <v>0</v>
      </c>
      <c r="N1091" s="660">
        <v>0</v>
      </c>
      <c r="O1091" s="451"/>
      <c r="P1091" s="453"/>
    </row>
    <row r="1092" spans="1:16" s="175" customFormat="1" x14ac:dyDescent="0.2">
      <c r="A1092" s="188"/>
      <c r="B1092" s="886"/>
      <c r="C1092" s="884" t="s">
        <v>3161</v>
      </c>
      <c r="D1092" s="884" t="s">
        <v>3162</v>
      </c>
      <c r="E1092" s="659" t="s">
        <v>26</v>
      </c>
      <c r="F1092" s="660">
        <v>122826000</v>
      </c>
      <c r="G1092" s="661">
        <v>33563880</v>
      </c>
      <c r="H1092" s="660">
        <v>89262120</v>
      </c>
      <c r="I1092" s="660">
        <v>89262120</v>
      </c>
      <c r="J1092" s="661">
        <v>0</v>
      </c>
      <c r="K1092" s="660">
        <v>0</v>
      </c>
      <c r="L1092" s="660">
        <v>0</v>
      </c>
      <c r="M1092" s="660">
        <v>0</v>
      </c>
      <c r="N1092" s="660">
        <v>0</v>
      </c>
      <c r="O1092" s="451"/>
      <c r="P1092" s="453"/>
    </row>
    <row r="1093" spans="1:16" s="175" customFormat="1" hidden="1" x14ac:dyDescent="0.2">
      <c r="A1093" s="188"/>
      <c r="B1093" s="886"/>
      <c r="C1093" s="884"/>
      <c r="D1093" s="884" t="s">
        <v>3162</v>
      </c>
      <c r="E1093" s="659" t="s">
        <v>1557</v>
      </c>
      <c r="F1093" s="660">
        <v>286594000</v>
      </c>
      <c r="G1093" s="661">
        <v>0</v>
      </c>
      <c r="H1093" s="660">
        <v>286594000</v>
      </c>
      <c r="I1093" s="660">
        <v>286594000</v>
      </c>
      <c r="J1093" s="661">
        <v>0</v>
      </c>
      <c r="K1093" s="660">
        <v>0</v>
      </c>
      <c r="L1093" s="660">
        <v>0</v>
      </c>
      <c r="M1093" s="660">
        <v>0</v>
      </c>
      <c r="N1093" s="660">
        <v>0</v>
      </c>
      <c r="O1093" s="451"/>
      <c r="P1093" s="453"/>
    </row>
    <row r="1094" spans="1:16" s="175" customFormat="1" x14ac:dyDescent="0.2">
      <c r="A1094" s="188"/>
      <c r="B1094" s="886"/>
      <c r="C1094" s="884" t="s">
        <v>2725</v>
      </c>
      <c r="D1094" s="884" t="s">
        <v>2726</v>
      </c>
      <c r="E1094" s="659" t="s">
        <v>26</v>
      </c>
      <c r="F1094" s="660">
        <v>159750000</v>
      </c>
      <c r="G1094" s="661">
        <v>44792859</v>
      </c>
      <c r="H1094" s="660">
        <v>114957141</v>
      </c>
      <c r="I1094" s="660">
        <v>110535710</v>
      </c>
      <c r="J1094" s="661">
        <v>4421431</v>
      </c>
      <c r="K1094" s="660">
        <v>4421429</v>
      </c>
      <c r="L1094" s="660">
        <v>2</v>
      </c>
      <c r="M1094" s="660">
        <v>0</v>
      </c>
      <c r="N1094" s="660">
        <v>0</v>
      </c>
      <c r="O1094" s="451"/>
      <c r="P1094" s="453"/>
    </row>
    <row r="1095" spans="1:16" s="175" customFormat="1" hidden="1" x14ac:dyDescent="0.2">
      <c r="A1095" s="188"/>
      <c r="B1095" s="886"/>
      <c r="C1095" s="884"/>
      <c r="D1095" s="884" t="s">
        <v>2726</v>
      </c>
      <c r="E1095" s="659" t="s">
        <v>1557</v>
      </c>
      <c r="F1095" s="660">
        <v>372750000</v>
      </c>
      <c r="G1095" s="661">
        <v>0</v>
      </c>
      <c r="H1095" s="660">
        <v>372750000</v>
      </c>
      <c r="I1095" s="660">
        <v>372750000</v>
      </c>
      <c r="J1095" s="661">
        <v>0</v>
      </c>
      <c r="K1095" s="660">
        <v>0</v>
      </c>
      <c r="L1095" s="660">
        <v>0</v>
      </c>
      <c r="M1095" s="660">
        <v>0</v>
      </c>
      <c r="N1095" s="660">
        <v>0</v>
      </c>
      <c r="O1095" s="451"/>
      <c r="P1095" s="453"/>
    </row>
    <row r="1096" spans="1:16" s="175" customFormat="1" hidden="1" x14ac:dyDescent="0.2">
      <c r="A1096" s="188"/>
      <c r="B1096" s="569"/>
      <c r="C1096" s="593">
        <f>++'Detalle Inmueble'!O5</f>
        <v>116</v>
      </c>
      <c r="D1096" s="593" t="s">
        <v>2672</v>
      </c>
      <c r="E1096" s="470"/>
      <c r="F1096" s="563">
        <f t="shared" ref="F1096:N1096" si="2">SUBTOTAL(9,F854:F1095)</f>
        <v>18389631845</v>
      </c>
      <c r="G1096" s="563">
        <f t="shared" si="2"/>
        <v>4296875606</v>
      </c>
      <c r="H1096" s="563">
        <f t="shared" si="2"/>
        <v>14092756239</v>
      </c>
      <c r="I1096" s="563">
        <f t="shared" si="2"/>
        <v>13862991328</v>
      </c>
      <c r="J1096" s="563">
        <f t="shared" si="2"/>
        <v>229764911</v>
      </c>
      <c r="K1096" s="563">
        <f t="shared" si="2"/>
        <v>177017358</v>
      </c>
      <c r="L1096" s="563">
        <f t="shared" si="2"/>
        <v>27212875</v>
      </c>
      <c r="M1096" s="563">
        <f t="shared" si="2"/>
        <v>14967860</v>
      </c>
      <c r="N1096" s="563">
        <f t="shared" si="2"/>
        <v>10566818</v>
      </c>
      <c r="O1096" s="451"/>
      <c r="P1096" s="453"/>
    </row>
    <row r="1097" spans="1:16" s="175" customFormat="1" ht="12.75" customHeight="1" x14ac:dyDescent="0.2">
      <c r="A1097" s="188"/>
      <c r="B1097" s="880" t="s">
        <v>1010</v>
      </c>
      <c r="C1097" s="884" t="s">
        <v>3503</v>
      </c>
      <c r="D1097" s="884" t="s">
        <v>1669</v>
      </c>
      <c r="E1097" s="656" t="s">
        <v>26</v>
      </c>
      <c r="F1097" s="564">
        <v>183277995</v>
      </c>
      <c r="G1097" s="565">
        <v>183277995</v>
      </c>
      <c r="H1097" s="564">
        <v>0</v>
      </c>
      <c r="I1097" s="564">
        <v>0</v>
      </c>
      <c r="J1097" s="565">
        <v>0</v>
      </c>
      <c r="K1097" s="564">
        <v>0</v>
      </c>
      <c r="L1097" s="564">
        <v>0</v>
      </c>
      <c r="M1097" s="564">
        <v>0</v>
      </c>
      <c r="N1097" s="564">
        <v>0</v>
      </c>
      <c r="O1097" s="451"/>
      <c r="P1097" s="453"/>
    </row>
    <row r="1098" spans="1:16" s="175" customFormat="1" ht="12.75" hidden="1" customHeight="1" x14ac:dyDescent="0.2">
      <c r="A1098" s="188"/>
      <c r="B1098" s="881"/>
      <c r="C1098" s="884"/>
      <c r="D1098" s="884" t="s">
        <v>1669</v>
      </c>
      <c r="E1098" s="655" t="s">
        <v>1557</v>
      </c>
      <c r="F1098" s="645">
        <v>273600000</v>
      </c>
      <c r="G1098" s="562">
        <v>0</v>
      </c>
      <c r="H1098" s="645">
        <v>273600000</v>
      </c>
      <c r="I1098" s="645">
        <v>0</v>
      </c>
      <c r="J1098" s="562">
        <v>273600000</v>
      </c>
      <c r="K1098" s="645">
        <v>273600000</v>
      </c>
      <c r="L1098" s="645">
        <v>0</v>
      </c>
      <c r="M1098" s="645">
        <v>0</v>
      </c>
      <c r="N1098" s="645">
        <v>0</v>
      </c>
      <c r="O1098" s="451"/>
      <c r="P1098" s="453"/>
    </row>
    <row r="1099" spans="1:16" s="175" customFormat="1" ht="12.75" customHeight="1" x14ac:dyDescent="0.2">
      <c r="A1099" s="188"/>
      <c r="B1099" s="881"/>
      <c r="C1099" s="884" t="s">
        <v>3504</v>
      </c>
      <c r="D1099" s="884" t="s">
        <v>1528</v>
      </c>
      <c r="E1099" s="655" t="s">
        <v>26</v>
      </c>
      <c r="F1099" s="645">
        <v>115177800</v>
      </c>
      <c r="G1099" s="562">
        <v>115177800</v>
      </c>
      <c r="H1099" s="645">
        <v>0</v>
      </c>
      <c r="I1099" s="645">
        <v>0</v>
      </c>
      <c r="J1099" s="562">
        <v>0</v>
      </c>
      <c r="K1099" s="645">
        <v>0</v>
      </c>
      <c r="L1099" s="645">
        <v>0</v>
      </c>
      <c r="M1099" s="645">
        <v>0</v>
      </c>
      <c r="N1099" s="645">
        <v>0</v>
      </c>
      <c r="O1099" s="451"/>
      <c r="P1099" s="453"/>
    </row>
    <row r="1100" spans="1:16" s="175" customFormat="1" ht="12.75" hidden="1" customHeight="1" x14ac:dyDescent="0.2">
      <c r="A1100" s="188"/>
      <c r="B1100" s="881"/>
      <c r="C1100" s="884"/>
      <c r="D1100" s="884" t="s">
        <v>1528</v>
      </c>
      <c r="E1100" s="655" t="s">
        <v>1557</v>
      </c>
      <c r="F1100" s="645">
        <v>268748200</v>
      </c>
      <c r="G1100" s="562">
        <v>6427325</v>
      </c>
      <c r="H1100" s="645">
        <v>262320875</v>
      </c>
      <c r="I1100" s="645">
        <v>0</v>
      </c>
      <c r="J1100" s="562">
        <v>262320875</v>
      </c>
      <c r="K1100" s="645">
        <v>0</v>
      </c>
      <c r="L1100" s="645">
        <v>0</v>
      </c>
      <c r="M1100" s="645">
        <v>262320875</v>
      </c>
      <c r="N1100" s="645">
        <v>0</v>
      </c>
      <c r="O1100" s="451"/>
      <c r="P1100" s="453"/>
    </row>
    <row r="1101" spans="1:16" s="175" customFormat="1" ht="12.75" customHeight="1" x14ac:dyDescent="0.2">
      <c r="A1101" s="188"/>
      <c r="B1101" s="881"/>
      <c r="C1101" s="884"/>
      <c r="D1101" s="884" t="s">
        <v>1528</v>
      </c>
      <c r="E1101" s="655" t="s">
        <v>1221</v>
      </c>
      <c r="F1101" s="645">
        <v>1512675</v>
      </c>
      <c r="G1101" s="562">
        <v>1512675</v>
      </c>
      <c r="H1101" s="645">
        <v>0</v>
      </c>
      <c r="I1101" s="645">
        <v>0</v>
      </c>
      <c r="J1101" s="562">
        <v>0</v>
      </c>
      <c r="K1101" s="645">
        <v>0</v>
      </c>
      <c r="L1101" s="645">
        <v>0</v>
      </c>
      <c r="M1101" s="645">
        <v>0</v>
      </c>
      <c r="N1101" s="645">
        <v>0</v>
      </c>
      <c r="O1101" s="451"/>
      <c r="P1101" s="453"/>
    </row>
    <row r="1102" spans="1:16" s="175" customFormat="1" ht="12.75" customHeight="1" x14ac:dyDescent="0.2">
      <c r="A1102" s="188"/>
      <c r="B1102" s="881"/>
      <c r="C1102" s="884" t="s">
        <v>3505</v>
      </c>
      <c r="D1102" s="884" t="s">
        <v>2245</v>
      </c>
      <c r="E1102" s="655" t="s">
        <v>26</v>
      </c>
      <c r="F1102" s="645">
        <v>143589405</v>
      </c>
      <c r="G1102" s="562">
        <v>131462631</v>
      </c>
      <c r="H1102" s="645">
        <v>12126774</v>
      </c>
      <c r="I1102" s="645">
        <v>0</v>
      </c>
      <c r="J1102" s="562">
        <v>12126774</v>
      </c>
      <c r="K1102" s="645">
        <v>0</v>
      </c>
      <c r="L1102" s="645">
        <v>0</v>
      </c>
      <c r="M1102" s="645">
        <v>0</v>
      </c>
      <c r="N1102" s="645">
        <v>12126774</v>
      </c>
      <c r="O1102" s="451"/>
      <c r="P1102" s="453"/>
    </row>
    <row r="1103" spans="1:16" s="175" customFormat="1" ht="12.75" hidden="1" customHeight="1" x14ac:dyDescent="0.2">
      <c r="A1103" s="188"/>
      <c r="B1103" s="881"/>
      <c r="C1103" s="884"/>
      <c r="D1103" s="884" t="s">
        <v>2245</v>
      </c>
      <c r="E1103" s="655" t="s">
        <v>1557</v>
      </c>
      <c r="F1103" s="645">
        <v>339549595</v>
      </c>
      <c r="G1103" s="562">
        <v>0</v>
      </c>
      <c r="H1103" s="645">
        <v>339549595</v>
      </c>
      <c r="I1103" s="645">
        <v>0</v>
      </c>
      <c r="J1103" s="562">
        <v>339549595</v>
      </c>
      <c r="K1103" s="645">
        <v>0</v>
      </c>
      <c r="L1103" s="645">
        <v>0</v>
      </c>
      <c r="M1103" s="645">
        <v>0</v>
      </c>
      <c r="N1103" s="645">
        <v>339549595</v>
      </c>
      <c r="O1103" s="451"/>
      <c r="P1103" s="453"/>
    </row>
    <row r="1104" spans="1:16" s="175" customFormat="1" ht="12.75" customHeight="1" x14ac:dyDescent="0.2">
      <c r="A1104" s="188"/>
      <c r="B1104" s="881"/>
      <c r="C1104" s="884"/>
      <c r="D1104" s="884" t="s">
        <v>2245</v>
      </c>
      <c r="E1104" s="655" t="s">
        <v>1221</v>
      </c>
      <c r="F1104" s="645">
        <v>1931850</v>
      </c>
      <c r="G1104" s="562">
        <v>1931850</v>
      </c>
      <c r="H1104" s="645">
        <v>0</v>
      </c>
      <c r="I1104" s="645">
        <v>0</v>
      </c>
      <c r="J1104" s="562">
        <v>0</v>
      </c>
      <c r="K1104" s="645">
        <v>0</v>
      </c>
      <c r="L1104" s="645">
        <v>0</v>
      </c>
      <c r="M1104" s="645">
        <v>0</v>
      </c>
      <c r="N1104" s="645">
        <v>0</v>
      </c>
      <c r="O1104" s="451"/>
      <c r="P1104" s="453"/>
    </row>
    <row r="1105" spans="1:16" s="175" customFormat="1" ht="12.75" customHeight="1" x14ac:dyDescent="0.2">
      <c r="A1105" s="188"/>
      <c r="B1105" s="881"/>
      <c r="C1105" s="884" t="s">
        <v>3506</v>
      </c>
      <c r="D1105" s="884" t="s">
        <v>2578</v>
      </c>
      <c r="E1105" s="655" t="s">
        <v>26</v>
      </c>
      <c r="F1105" s="645">
        <v>147549437</v>
      </c>
      <c r="G1105" s="562">
        <v>147549437</v>
      </c>
      <c r="H1105" s="645">
        <v>0</v>
      </c>
      <c r="I1105" s="645">
        <v>0</v>
      </c>
      <c r="J1105" s="562">
        <v>0</v>
      </c>
      <c r="K1105" s="645">
        <v>0</v>
      </c>
      <c r="L1105" s="645">
        <v>0</v>
      </c>
      <c r="M1105" s="645">
        <v>0</v>
      </c>
      <c r="N1105" s="645">
        <v>0</v>
      </c>
      <c r="O1105" s="451"/>
      <c r="P1105" s="453"/>
    </row>
    <row r="1106" spans="1:16" s="175" customFormat="1" ht="12.75" hidden="1" customHeight="1" x14ac:dyDescent="0.2">
      <c r="A1106" s="188"/>
      <c r="B1106" s="881"/>
      <c r="C1106" s="884"/>
      <c r="D1106" s="884" t="s">
        <v>2578</v>
      </c>
      <c r="E1106" s="655" t="s">
        <v>1557</v>
      </c>
      <c r="F1106" s="645">
        <v>343000000</v>
      </c>
      <c r="G1106" s="562">
        <v>0</v>
      </c>
      <c r="H1106" s="645">
        <v>343000000</v>
      </c>
      <c r="I1106" s="645">
        <v>0</v>
      </c>
      <c r="J1106" s="562">
        <v>343000000</v>
      </c>
      <c r="K1106" s="645">
        <v>343000000</v>
      </c>
      <c r="L1106" s="645">
        <v>0</v>
      </c>
      <c r="M1106" s="645">
        <v>0</v>
      </c>
      <c r="N1106" s="645">
        <v>0</v>
      </c>
      <c r="O1106" s="451"/>
      <c r="P1106" s="453"/>
    </row>
    <row r="1107" spans="1:16" s="175" customFormat="1" ht="12.75" customHeight="1" x14ac:dyDescent="0.2">
      <c r="A1107" s="188"/>
      <c r="B1107" s="881"/>
      <c r="C1107" s="884" t="s">
        <v>3507</v>
      </c>
      <c r="D1107" s="884" t="s">
        <v>3279</v>
      </c>
      <c r="E1107" s="655" t="s">
        <v>26</v>
      </c>
      <c r="F1107" s="645">
        <v>319630490</v>
      </c>
      <c r="G1107" s="562">
        <v>319630490</v>
      </c>
      <c r="H1107" s="645">
        <v>0</v>
      </c>
      <c r="I1107" s="645">
        <v>0</v>
      </c>
      <c r="J1107" s="562">
        <v>0</v>
      </c>
      <c r="K1107" s="645">
        <v>0</v>
      </c>
      <c r="L1107" s="645">
        <v>0</v>
      </c>
      <c r="M1107" s="645">
        <v>0</v>
      </c>
      <c r="N1107" s="645">
        <v>0</v>
      </c>
      <c r="O1107" s="451"/>
      <c r="P1107" s="453"/>
    </row>
    <row r="1108" spans="1:16" s="175" customFormat="1" ht="12.75" customHeight="1" x14ac:dyDescent="0.2">
      <c r="A1108" s="188"/>
      <c r="B1108" s="881"/>
      <c r="C1108" s="884"/>
      <c r="D1108" s="884" t="s">
        <v>3279</v>
      </c>
      <c r="E1108" s="655" t="s">
        <v>3212</v>
      </c>
      <c r="F1108" s="645">
        <v>75526</v>
      </c>
      <c r="G1108" s="562">
        <v>75526</v>
      </c>
      <c r="H1108" s="645">
        <v>0</v>
      </c>
      <c r="I1108" s="645">
        <v>0</v>
      </c>
      <c r="J1108" s="562">
        <v>0</v>
      </c>
      <c r="K1108" s="645">
        <v>0</v>
      </c>
      <c r="L1108" s="645">
        <v>0</v>
      </c>
      <c r="M1108" s="645">
        <v>0</v>
      </c>
      <c r="N1108" s="645">
        <v>0</v>
      </c>
      <c r="O1108" s="451"/>
      <c r="P1108" s="453"/>
    </row>
    <row r="1109" spans="1:16" s="175" customFormat="1" ht="12.75" customHeight="1" x14ac:dyDescent="0.2">
      <c r="A1109" s="188"/>
      <c r="B1109" s="881"/>
      <c r="C1109" s="884" t="s">
        <v>3508</v>
      </c>
      <c r="D1109" s="884" t="s">
        <v>3438</v>
      </c>
      <c r="E1109" s="655" t="s">
        <v>26</v>
      </c>
      <c r="F1109" s="645">
        <v>142606500</v>
      </c>
      <c r="G1109" s="562">
        <v>57625545</v>
      </c>
      <c r="H1109" s="645">
        <v>84980955</v>
      </c>
      <c r="I1109" s="645">
        <v>84980955</v>
      </c>
      <c r="J1109" s="562">
        <v>0</v>
      </c>
      <c r="K1109" s="645">
        <v>0</v>
      </c>
      <c r="L1109" s="645">
        <v>0</v>
      </c>
      <c r="M1109" s="645">
        <v>0</v>
      </c>
      <c r="N1109" s="645">
        <v>0</v>
      </c>
      <c r="O1109" s="451"/>
      <c r="P1109" s="453"/>
    </row>
    <row r="1110" spans="1:16" s="175" customFormat="1" ht="12.75" customHeight="1" x14ac:dyDescent="0.2">
      <c r="A1110" s="188"/>
      <c r="B1110" s="881"/>
      <c r="C1110" s="884"/>
      <c r="D1110" s="884" t="s">
        <v>3438</v>
      </c>
      <c r="E1110" s="655" t="s">
        <v>22</v>
      </c>
      <c r="F1110" s="645">
        <v>38636392</v>
      </c>
      <c r="G1110" s="562">
        <v>6623380</v>
      </c>
      <c r="H1110" s="645">
        <v>32013012</v>
      </c>
      <c r="I1110" s="645">
        <v>32013012</v>
      </c>
      <c r="J1110" s="562">
        <v>0</v>
      </c>
      <c r="K1110" s="645">
        <v>0</v>
      </c>
      <c r="L1110" s="645">
        <v>0</v>
      </c>
      <c r="M1110" s="645">
        <v>0</v>
      </c>
      <c r="N1110" s="645">
        <v>0</v>
      </c>
      <c r="O1110" s="451"/>
      <c r="P1110" s="453"/>
    </row>
    <row r="1111" spans="1:16" s="175" customFormat="1" ht="12.75" hidden="1" customHeight="1" x14ac:dyDescent="0.2">
      <c r="A1111" s="188"/>
      <c r="B1111" s="881"/>
      <c r="C1111" s="884"/>
      <c r="D1111" s="884" t="s">
        <v>3438</v>
      </c>
      <c r="E1111" s="655" t="s">
        <v>1557</v>
      </c>
      <c r="F1111" s="645">
        <v>332748500</v>
      </c>
      <c r="G1111" s="562">
        <v>0</v>
      </c>
      <c r="H1111" s="645">
        <v>332748500</v>
      </c>
      <c r="I1111" s="645">
        <v>332748500</v>
      </c>
      <c r="J1111" s="562">
        <v>0</v>
      </c>
      <c r="K1111" s="645">
        <v>0</v>
      </c>
      <c r="L1111" s="645">
        <v>0</v>
      </c>
      <c r="M1111" s="645">
        <v>0</v>
      </c>
      <c r="N1111" s="645">
        <v>0</v>
      </c>
      <c r="O1111" s="451"/>
      <c r="P1111" s="453"/>
    </row>
    <row r="1112" spans="1:16" s="175" customFormat="1" ht="12.75" customHeight="1" x14ac:dyDescent="0.2">
      <c r="A1112" s="188"/>
      <c r="B1112" s="881"/>
      <c r="C1112" s="884" t="s">
        <v>3509</v>
      </c>
      <c r="D1112" s="884" t="s">
        <v>1116</v>
      </c>
      <c r="E1112" s="655" t="s">
        <v>26</v>
      </c>
      <c r="F1112" s="645">
        <v>117594501</v>
      </c>
      <c r="G1112" s="562">
        <v>117594501</v>
      </c>
      <c r="H1112" s="645">
        <v>0</v>
      </c>
      <c r="I1112" s="645">
        <v>0</v>
      </c>
      <c r="J1112" s="562">
        <v>0</v>
      </c>
      <c r="K1112" s="645">
        <v>0</v>
      </c>
      <c r="L1112" s="645">
        <v>0</v>
      </c>
      <c r="M1112" s="645">
        <v>0</v>
      </c>
      <c r="N1112" s="645">
        <v>0</v>
      </c>
      <c r="O1112" s="451"/>
      <c r="P1112" s="453"/>
    </row>
    <row r="1113" spans="1:16" s="175" customFormat="1" ht="12.75" hidden="1" customHeight="1" x14ac:dyDescent="0.2">
      <c r="A1113" s="188"/>
      <c r="B1113" s="881"/>
      <c r="C1113" s="884"/>
      <c r="D1113" s="884" t="s">
        <v>1116</v>
      </c>
      <c r="E1113" s="655" t="s">
        <v>1557</v>
      </c>
      <c r="F1113" s="645">
        <v>246557412</v>
      </c>
      <c r="G1113" s="562">
        <v>0</v>
      </c>
      <c r="H1113" s="645">
        <v>246557412</v>
      </c>
      <c r="I1113" s="645">
        <v>0</v>
      </c>
      <c r="J1113" s="562">
        <v>246557412</v>
      </c>
      <c r="K1113" s="645">
        <v>246557412</v>
      </c>
      <c r="L1113" s="645">
        <v>0</v>
      </c>
      <c r="M1113" s="645">
        <v>0</v>
      </c>
      <c r="N1113" s="645">
        <v>0</v>
      </c>
      <c r="O1113" s="451"/>
      <c r="P1113" s="453"/>
    </row>
    <row r="1114" spans="1:16" s="175" customFormat="1" ht="12.75" customHeight="1" x14ac:dyDescent="0.2">
      <c r="A1114" s="188"/>
      <c r="B1114" s="881"/>
      <c r="C1114" s="884" t="s">
        <v>3510</v>
      </c>
      <c r="D1114" s="884" t="s">
        <v>1146</v>
      </c>
      <c r="E1114" s="655" t="s">
        <v>26</v>
      </c>
      <c r="F1114" s="645">
        <v>98228000</v>
      </c>
      <c r="G1114" s="562">
        <v>98228000</v>
      </c>
      <c r="H1114" s="645">
        <v>0</v>
      </c>
      <c r="I1114" s="645">
        <v>0</v>
      </c>
      <c r="J1114" s="562">
        <v>0</v>
      </c>
      <c r="K1114" s="645">
        <v>0</v>
      </c>
      <c r="L1114" s="645">
        <v>0</v>
      </c>
      <c r="M1114" s="645">
        <v>0</v>
      </c>
      <c r="N1114" s="645">
        <v>0</v>
      </c>
      <c r="O1114" s="451"/>
      <c r="P1114" s="453"/>
    </row>
    <row r="1115" spans="1:16" s="175" customFormat="1" ht="12.75" hidden="1" customHeight="1" x14ac:dyDescent="0.2">
      <c r="A1115" s="188"/>
      <c r="B1115" s="881"/>
      <c r="C1115" s="884"/>
      <c r="D1115" s="884" t="s">
        <v>1146</v>
      </c>
      <c r="E1115" s="655" t="s">
        <v>1557</v>
      </c>
      <c r="F1115" s="645">
        <v>220123042</v>
      </c>
      <c r="G1115" s="562">
        <v>0</v>
      </c>
      <c r="H1115" s="645">
        <v>220123042</v>
      </c>
      <c r="I1115" s="645">
        <v>0</v>
      </c>
      <c r="J1115" s="562">
        <v>220123042</v>
      </c>
      <c r="K1115" s="645">
        <v>220123042</v>
      </c>
      <c r="L1115" s="645">
        <v>0</v>
      </c>
      <c r="M1115" s="645">
        <v>0</v>
      </c>
      <c r="N1115" s="645">
        <v>0</v>
      </c>
      <c r="O1115" s="451"/>
      <c r="P1115" s="453"/>
    </row>
    <row r="1116" spans="1:16" s="175" customFormat="1" ht="12.75" customHeight="1" x14ac:dyDescent="0.2">
      <c r="A1116" s="188"/>
      <c r="B1116" s="881"/>
      <c r="C1116" s="677" t="s">
        <v>3511</v>
      </c>
      <c r="D1116" s="677" t="s">
        <v>1170</v>
      </c>
      <c r="E1116" s="655" t="s">
        <v>26</v>
      </c>
      <c r="F1116" s="645">
        <v>369935319</v>
      </c>
      <c r="G1116" s="562">
        <v>369935319</v>
      </c>
      <c r="H1116" s="645">
        <v>0</v>
      </c>
      <c r="I1116" s="645">
        <v>0</v>
      </c>
      <c r="J1116" s="562">
        <v>0</v>
      </c>
      <c r="K1116" s="645">
        <v>0</v>
      </c>
      <c r="L1116" s="645">
        <v>0</v>
      </c>
      <c r="M1116" s="645">
        <v>0</v>
      </c>
      <c r="N1116" s="645">
        <v>0</v>
      </c>
      <c r="O1116" s="451"/>
      <c r="P1116" s="453"/>
    </row>
    <row r="1117" spans="1:16" s="175" customFormat="1" ht="12.75" customHeight="1" x14ac:dyDescent="0.2">
      <c r="A1117" s="188"/>
      <c r="B1117" s="881"/>
      <c r="C1117" s="884" t="s">
        <v>3512</v>
      </c>
      <c r="D1117" s="884" t="s">
        <v>4287</v>
      </c>
      <c r="E1117" s="655" t="s">
        <v>26</v>
      </c>
      <c r="F1117" s="645">
        <v>121375836</v>
      </c>
      <c r="G1117" s="562">
        <v>121345836</v>
      </c>
      <c r="H1117" s="645">
        <v>30000</v>
      </c>
      <c r="I1117" s="645">
        <v>0</v>
      </c>
      <c r="J1117" s="562">
        <v>30000</v>
      </c>
      <c r="K1117" s="645">
        <v>30000</v>
      </c>
      <c r="L1117" s="645">
        <v>0</v>
      </c>
      <c r="M1117" s="645">
        <v>0</v>
      </c>
      <c r="N1117" s="645">
        <v>0</v>
      </c>
      <c r="O1117" s="451"/>
      <c r="P1117" s="453"/>
    </row>
    <row r="1118" spans="1:16" s="175" customFormat="1" ht="12.75" hidden="1" customHeight="1" x14ac:dyDescent="0.2">
      <c r="A1118" s="188"/>
      <c r="B1118" s="881"/>
      <c r="C1118" s="884"/>
      <c r="D1118" s="884" t="s">
        <v>4287</v>
      </c>
      <c r="E1118" s="655" t="s">
        <v>1557</v>
      </c>
      <c r="F1118" s="645">
        <v>282000000</v>
      </c>
      <c r="G1118" s="562">
        <v>0</v>
      </c>
      <c r="H1118" s="645">
        <v>282000000</v>
      </c>
      <c r="I1118" s="645">
        <v>0</v>
      </c>
      <c r="J1118" s="562">
        <v>282000000</v>
      </c>
      <c r="K1118" s="645">
        <v>282000000</v>
      </c>
      <c r="L1118" s="645">
        <v>0</v>
      </c>
      <c r="M1118" s="645">
        <v>0</v>
      </c>
      <c r="N1118" s="645">
        <v>0</v>
      </c>
      <c r="O1118" s="451"/>
      <c r="P1118" s="453"/>
    </row>
    <row r="1119" spans="1:16" s="175" customFormat="1" ht="12.75" customHeight="1" x14ac:dyDescent="0.2">
      <c r="A1119" s="188"/>
      <c r="B1119" s="881"/>
      <c r="C1119" s="884" t="s">
        <v>3513</v>
      </c>
      <c r="D1119" s="884" t="s">
        <v>3514</v>
      </c>
      <c r="E1119" s="655" t="s">
        <v>26</v>
      </c>
      <c r="F1119" s="645">
        <v>81453130</v>
      </c>
      <c r="G1119" s="562">
        <v>11007356</v>
      </c>
      <c r="H1119" s="645">
        <v>70445774</v>
      </c>
      <c r="I1119" s="645">
        <v>70445774</v>
      </c>
      <c r="J1119" s="562">
        <v>0</v>
      </c>
      <c r="K1119" s="645">
        <v>0</v>
      </c>
      <c r="L1119" s="645">
        <v>0</v>
      </c>
      <c r="M1119" s="645">
        <v>0</v>
      </c>
      <c r="N1119" s="645">
        <v>0</v>
      </c>
      <c r="O1119" s="451"/>
      <c r="P1119" s="453"/>
    </row>
    <row r="1120" spans="1:16" s="175" customFormat="1" ht="12.75" customHeight="1" x14ac:dyDescent="0.2">
      <c r="A1120" s="188"/>
      <c r="B1120" s="881"/>
      <c r="C1120" s="884"/>
      <c r="D1120" s="884" t="s">
        <v>3514</v>
      </c>
      <c r="E1120" s="655" t="s">
        <v>22</v>
      </c>
      <c r="F1120" s="645">
        <v>12438713</v>
      </c>
      <c r="G1120" s="562">
        <v>1492644</v>
      </c>
      <c r="H1120" s="645">
        <v>10946069</v>
      </c>
      <c r="I1120" s="645">
        <v>10946069</v>
      </c>
      <c r="J1120" s="562">
        <v>0</v>
      </c>
      <c r="K1120" s="645">
        <v>0</v>
      </c>
      <c r="L1120" s="645">
        <v>0</v>
      </c>
      <c r="M1120" s="645">
        <v>0</v>
      </c>
      <c r="N1120" s="645">
        <v>0</v>
      </c>
      <c r="O1120" s="451"/>
      <c r="P1120" s="453"/>
    </row>
    <row r="1121" spans="1:16" s="175" customFormat="1" ht="12.75" hidden="1" customHeight="1" x14ac:dyDescent="0.2">
      <c r="A1121" s="188"/>
      <c r="B1121" s="881"/>
      <c r="C1121" s="884"/>
      <c r="D1121" s="884" t="s">
        <v>3514</v>
      </c>
      <c r="E1121" s="655" t="s">
        <v>1557</v>
      </c>
      <c r="F1121" s="645">
        <v>332031870</v>
      </c>
      <c r="G1121" s="562">
        <v>0</v>
      </c>
      <c r="H1121" s="645">
        <v>332031870</v>
      </c>
      <c r="I1121" s="645">
        <v>332031870</v>
      </c>
      <c r="J1121" s="562">
        <v>0</v>
      </c>
      <c r="K1121" s="645">
        <v>0</v>
      </c>
      <c r="L1121" s="645">
        <v>0</v>
      </c>
      <c r="M1121" s="645">
        <v>0</v>
      </c>
      <c r="N1121" s="645">
        <v>0</v>
      </c>
      <c r="O1121" s="451"/>
      <c r="P1121" s="453"/>
    </row>
    <row r="1122" spans="1:16" s="175" customFormat="1" ht="12.75" customHeight="1" x14ac:dyDescent="0.2">
      <c r="A1122" s="188"/>
      <c r="B1122" s="881"/>
      <c r="C1122" s="884" t="s">
        <v>3515</v>
      </c>
      <c r="D1122" s="884" t="s">
        <v>3516</v>
      </c>
      <c r="E1122" s="655" t="s">
        <v>26</v>
      </c>
      <c r="F1122" s="645">
        <v>95499100</v>
      </c>
      <c r="G1122" s="562">
        <v>85328141</v>
      </c>
      <c r="H1122" s="645">
        <v>10170959</v>
      </c>
      <c r="I1122" s="645">
        <v>10170959</v>
      </c>
      <c r="J1122" s="562">
        <v>0</v>
      </c>
      <c r="K1122" s="645">
        <v>0</v>
      </c>
      <c r="L1122" s="645">
        <v>0</v>
      </c>
      <c r="M1122" s="645">
        <v>0</v>
      </c>
      <c r="N1122" s="645">
        <v>0</v>
      </c>
      <c r="O1122" s="451"/>
      <c r="P1122" s="453"/>
    </row>
    <row r="1123" spans="1:16" s="175" customFormat="1" ht="12.75" hidden="1" customHeight="1" x14ac:dyDescent="0.2">
      <c r="A1123" s="188"/>
      <c r="B1123" s="881"/>
      <c r="C1123" s="884"/>
      <c r="D1123" s="884" t="s">
        <v>3516</v>
      </c>
      <c r="E1123" s="655" t="s">
        <v>1557</v>
      </c>
      <c r="F1123" s="645">
        <v>389785900</v>
      </c>
      <c r="G1123" s="562">
        <v>4431290</v>
      </c>
      <c r="H1123" s="645">
        <v>385354610</v>
      </c>
      <c r="I1123" s="645">
        <v>385354610</v>
      </c>
      <c r="J1123" s="562">
        <v>0</v>
      </c>
      <c r="K1123" s="645">
        <v>0</v>
      </c>
      <c r="L1123" s="645">
        <v>0</v>
      </c>
      <c r="M1123" s="645">
        <v>0</v>
      </c>
      <c r="N1123" s="645">
        <v>0</v>
      </c>
      <c r="O1123" s="451"/>
      <c r="P1123" s="453"/>
    </row>
    <row r="1124" spans="1:16" s="175" customFormat="1" ht="12.75" customHeight="1" x14ac:dyDescent="0.2">
      <c r="A1124" s="188"/>
      <c r="B1124" s="881"/>
      <c r="C1124" s="884"/>
      <c r="D1124" s="884" t="s">
        <v>3516</v>
      </c>
      <c r="E1124" s="655" t="s">
        <v>1221</v>
      </c>
      <c r="F1124" s="645">
        <v>15572863</v>
      </c>
      <c r="G1124" s="562">
        <v>4671859</v>
      </c>
      <c r="H1124" s="645">
        <v>10901004</v>
      </c>
      <c r="I1124" s="645">
        <v>10901004</v>
      </c>
      <c r="J1124" s="562">
        <v>0</v>
      </c>
      <c r="K1124" s="645">
        <v>0</v>
      </c>
      <c r="L1124" s="645">
        <v>0</v>
      </c>
      <c r="M1124" s="645">
        <v>0</v>
      </c>
      <c r="N1124" s="645">
        <v>0</v>
      </c>
      <c r="O1124" s="451"/>
      <c r="P1124" s="453"/>
    </row>
    <row r="1125" spans="1:16" s="175" customFormat="1" ht="12.75" customHeight="1" x14ac:dyDescent="0.2">
      <c r="A1125" s="188"/>
      <c r="B1125" s="881"/>
      <c r="C1125" s="884" t="s">
        <v>3517</v>
      </c>
      <c r="D1125" s="884" t="s">
        <v>1147</v>
      </c>
      <c r="E1125" s="655" t="s">
        <v>26</v>
      </c>
      <c r="F1125" s="645">
        <v>98278486</v>
      </c>
      <c r="G1125" s="562">
        <v>98278486</v>
      </c>
      <c r="H1125" s="645">
        <v>0</v>
      </c>
      <c r="I1125" s="645">
        <v>0</v>
      </c>
      <c r="J1125" s="562">
        <v>0</v>
      </c>
      <c r="K1125" s="645">
        <v>0</v>
      </c>
      <c r="L1125" s="645">
        <v>0</v>
      </c>
      <c r="M1125" s="645">
        <v>0</v>
      </c>
      <c r="N1125" s="645">
        <v>0</v>
      </c>
      <c r="O1125" s="451"/>
      <c r="P1125" s="453"/>
    </row>
    <row r="1126" spans="1:16" s="175" customFormat="1" ht="12.75" hidden="1" customHeight="1" x14ac:dyDescent="0.2">
      <c r="A1126" s="188"/>
      <c r="B1126" s="881"/>
      <c r="C1126" s="884"/>
      <c r="D1126" s="884" t="s">
        <v>1147</v>
      </c>
      <c r="E1126" s="655" t="s">
        <v>1557</v>
      </c>
      <c r="F1126" s="645">
        <v>224062443</v>
      </c>
      <c r="G1126" s="562">
        <v>0</v>
      </c>
      <c r="H1126" s="645">
        <v>224062443</v>
      </c>
      <c r="I1126" s="645">
        <v>0</v>
      </c>
      <c r="J1126" s="562">
        <v>224062443</v>
      </c>
      <c r="K1126" s="645">
        <v>224062443</v>
      </c>
      <c r="L1126" s="645">
        <v>0</v>
      </c>
      <c r="M1126" s="645">
        <v>0</v>
      </c>
      <c r="N1126" s="645">
        <v>0</v>
      </c>
      <c r="O1126" s="451"/>
      <c r="P1126" s="453"/>
    </row>
    <row r="1127" spans="1:16" s="175" customFormat="1" ht="12.75" customHeight="1" x14ac:dyDescent="0.2">
      <c r="A1127" s="188"/>
      <c r="B1127" s="881"/>
      <c r="C1127" s="884"/>
      <c r="D1127" s="884" t="s">
        <v>1147</v>
      </c>
      <c r="E1127" s="655" t="s">
        <v>195</v>
      </c>
      <c r="F1127" s="645">
        <v>3475859</v>
      </c>
      <c r="G1127" s="562">
        <v>3475859</v>
      </c>
      <c r="H1127" s="645">
        <v>0</v>
      </c>
      <c r="I1127" s="645">
        <v>0</v>
      </c>
      <c r="J1127" s="562">
        <v>0</v>
      </c>
      <c r="K1127" s="645">
        <v>0</v>
      </c>
      <c r="L1127" s="645">
        <v>0</v>
      </c>
      <c r="M1127" s="645">
        <v>0</v>
      </c>
      <c r="N1127" s="645">
        <v>0</v>
      </c>
      <c r="O1127" s="451"/>
      <c r="P1127" s="453"/>
    </row>
    <row r="1128" spans="1:16" s="175" customFormat="1" ht="12.75" customHeight="1" x14ac:dyDescent="0.2">
      <c r="A1128" s="188"/>
      <c r="B1128" s="881"/>
      <c r="C1128" s="884" t="s">
        <v>3518</v>
      </c>
      <c r="D1128" s="884" t="s">
        <v>1171</v>
      </c>
      <c r="E1128" s="655" t="s">
        <v>26</v>
      </c>
      <c r="F1128" s="645">
        <v>123144750</v>
      </c>
      <c r="G1128" s="562">
        <v>123144750</v>
      </c>
      <c r="H1128" s="645">
        <v>0</v>
      </c>
      <c r="I1128" s="645">
        <v>0</v>
      </c>
      <c r="J1128" s="562">
        <v>0</v>
      </c>
      <c r="K1128" s="645">
        <v>0</v>
      </c>
      <c r="L1128" s="645">
        <v>0</v>
      </c>
      <c r="M1128" s="645">
        <v>0</v>
      </c>
      <c r="N1128" s="645">
        <v>0</v>
      </c>
      <c r="O1128" s="451"/>
      <c r="P1128" s="453"/>
    </row>
    <row r="1129" spans="1:16" s="175" customFormat="1" ht="12.75" hidden="1" customHeight="1" x14ac:dyDescent="0.2">
      <c r="A1129" s="188"/>
      <c r="B1129" s="881"/>
      <c r="C1129" s="884"/>
      <c r="D1129" s="884" t="s">
        <v>1171</v>
      </c>
      <c r="E1129" s="655" t="s">
        <v>1557</v>
      </c>
      <c r="F1129" s="645">
        <v>287337750</v>
      </c>
      <c r="G1129" s="562">
        <v>75676987</v>
      </c>
      <c r="H1129" s="645">
        <v>211660763</v>
      </c>
      <c r="I1129" s="645">
        <v>0</v>
      </c>
      <c r="J1129" s="562">
        <v>211660763</v>
      </c>
      <c r="K1129" s="645">
        <v>0</v>
      </c>
      <c r="L1129" s="645">
        <v>0</v>
      </c>
      <c r="M1129" s="645">
        <v>211660763</v>
      </c>
      <c r="N1129" s="645">
        <v>0</v>
      </c>
      <c r="O1129" s="451"/>
      <c r="P1129" s="453"/>
    </row>
    <row r="1130" spans="1:16" s="175" customFormat="1" ht="12.75" customHeight="1" x14ac:dyDescent="0.2">
      <c r="A1130" s="188"/>
      <c r="B1130" s="881"/>
      <c r="C1130" s="884" t="s">
        <v>3519</v>
      </c>
      <c r="D1130" s="884" t="s">
        <v>1194</v>
      </c>
      <c r="E1130" s="655" t="s">
        <v>26</v>
      </c>
      <c r="F1130" s="645">
        <v>124077600</v>
      </c>
      <c r="G1130" s="562">
        <v>124077600</v>
      </c>
      <c r="H1130" s="645">
        <v>0</v>
      </c>
      <c r="I1130" s="645">
        <v>0</v>
      </c>
      <c r="J1130" s="562">
        <v>0</v>
      </c>
      <c r="K1130" s="645">
        <v>0</v>
      </c>
      <c r="L1130" s="645">
        <v>0</v>
      </c>
      <c r="M1130" s="645">
        <v>0</v>
      </c>
      <c r="N1130" s="645">
        <v>0</v>
      </c>
      <c r="O1130" s="451"/>
      <c r="P1130" s="453"/>
    </row>
    <row r="1131" spans="1:16" s="175" customFormat="1" ht="12.75" hidden="1" customHeight="1" x14ac:dyDescent="0.2">
      <c r="A1131" s="188"/>
      <c r="B1131" s="881"/>
      <c r="C1131" s="884"/>
      <c r="D1131" s="884" t="s">
        <v>1194</v>
      </c>
      <c r="E1131" s="655" t="s">
        <v>1557</v>
      </c>
      <c r="F1131" s="645">
        <v>289514400</v>
      </c>
      <c r="G1131" s="562">
        <v>221829361</v>
      </c>
      <c r="H1131" s="645">
        <v>67685039</v>
      </c>
      <c r="I1131" s="645">
        <v>0</v>
      </c>
      <c r="J1131" s="562">
        <v>67685039</v>
      </c>
      <c r="K1131" s="645">
        <v>0</v>
      </c>
      <c r="L1131" s="645">
        <v>0</v>
      </c>
      <c r="M1131" s="645">
        <v>67685039</v>
      </c>
      <c r="N1131" s="645">
        <v>0</v>
      </c>
      <c r="O1131" s="451"/>
      <c r="P1131" s="453"/>
    </row>
    <row r="1132" spans="1:16" s="175" customFormat="1" ht="12.75" customHeight="1" x14ac:dyDescent="0.2">
      <c r="A1132" s="188"/>
      <c r="B1132" s="881"/>
      <c r="C1132" s="884" t="s">
        <v>3520</v>
      </c>
      <c r="D1132" s="884" t="s">
        <v>1090</v>
      </c>
      <c r="E1132" s="655" t="s">
        <v>26</v>
      </c>
      <c r="F1132" s="645">
        <v>150311800</v>
      </c>
      <c r="G1132" s="562">
        <v>150311800</v>
      </c>
      <c r="H1132" s="645">
        <v>0</v>
      </c>
      <c r="I1132" s="645">
        <v>0</v>
      </c>
      <c r="J1132" s="562">
        <v>0</v>
      </c>
      <c r="K1132" s="645">
        <v>0</v>
      </c>
      <c r="L1132" s="645">
        <v>0</v>
      </c>
      <c r="M1132" s="645">
        <v>0</v>
      </c>
      <c r="N1132" s="645">
        <v>0</v>
      </c>
      <c r="O1132" s="451"/>
      <c r="P1132" s="453"/>
    </row>
    <row r="1133" spans="1:16" s="175" customFormat="1" ht="12.75" hidden="1" customHeight="1" x14ac:dyDescent="0.2">
      <c r="A1133" s="188"/>
      <c r="B1133" s="881"/>
      <c r="C1133" s="884"/>
      <c r="D1133" s="884" t="s">
        <v>1090</v>
      </c>
      <c r="E1133" s="655" t="s">
        <v>1557</v>
      </c>
      <c r="F1133" s="645">
        <v>160000000</v>
      </c>
      <c r="G1133" s="562">
        <v>0</v>
      </c>
      <c r="H1133" s="645">
        <v>160000000</v>
      </c>
      <c r="I1133" s="645">
        <v>0</v>
      </c>
      <c r="J1133" s="562">
        <v>160000000</v>
      </c>
      <c r="K1133" s="645">
        <v>160000000</v>
      </c>
      <c r="L1133" s="645">
        <v>0</v>
      </c>
      <c r="M1133" s="645">
        <v>0</v>
      </c>
      <c r="N1133" s="645">
        <v>0</v>
      </c>
      <c r="O1133" s="451"/>
      <c r="P1133" s="453"/>
    </row>
    <row r="1134" spans="1:16" s="175" customFormat="1" ht="12.75" customHeight="1" x14ac:dyDescent="0.2">
      <c r="A1134" s="188"/>
      <c r="B1134" s="881"/>
      <c r="C1134" s="884"/>
      <c r="D1134" s="884" t="s">
        <v>1090</v>
      </c>
      <c r="E1134" s="655" t="s">
        <v>195</v>
      </c>
      <c r="F1134" s="645">
        <v>490947</v>
      </c>
      <c r="G1134" s="562">
        <v>490947</v>
      </c>
      <c r="H1134" s="645">
        <v>0</v>
      </c>
      <c r="I1134" s="645">
        <v>0</v>
      </c>
      <c r="J1134" s="562">
        <v>0</v>
      </c>
      <c r="K1134" s="645">
        <v>0</v>
      </c>
      <c r="L1134" s="645">
        <v>0</v>
      </c>
      <c r="M1134" s="645">
        <v>0</v>
      </c>
      <c r="N1134" s="645">
        <v>0</v>
      </c>
      <c r="O1134" s="451"/>
      <c r="P1134" s="453"/>
    </row>
    <row r="1135" spans="1:16" s="175" customFormat="1" ht="12.75" customHeight="1" x14ac:dyDescent="0.2">
      <c r="A1135" s="188"/>
      <c r="B1135" s="881"/>
      <c r="C1135" s="677" t="s">
        <v>3521</v>
      </c>
      <c r="D1135" s="677" t="s">
        <v>1193</v>
      </c>
      <c r="E1135" s="655" t="s">
        <v>26</v>
      </c>
      <c r="F1135" s="645">
        <v>375884059</v>
      </c>
      <c r="G1135" s="562">
        <v>375884059</v>
      </c>
      <c r="H1135" s="645">
        <v>0</v>
      </c>
      <c r="I1135" s="645">
        <v>0</v>
      </c>
      <c r="J1135" s="562">
        <v>0</v>
      </c>
      <c r="K1135" s="645">
        <v>0</v>
      </c>
      <c r="L1135" s="645">
        <v>0</v>
      </c>
      <c r="M1135" s="645">
        <v>0</v>
      </c>
      <c r="N1135" s="645">
        <v>0</v>
      </c>
      <c r="O1135" s="451"/>
      <c r="P1135" s="453"/>
    </row>
    <row r="1136" spans="1:16" s="175" customFormat="1" ht="12.75" customHeight="1" x14ac:dyDescent="0.2">
      <c r="A1136" s="188"/>
      <c r="B1136" s="881"/>
      <c r="C1136" s="884" t="s">
        <v>4240</v>
      </c>
      <c r="D1136" s="884" t="s">
        <v>4241</v>
      </c>
      <c r="E1136" s="655" t="s">
        <v>26</v>
      </c>
      <c r="F1136" s="645">
        <v>77564652</v>
      </c>
      <c r="G1136" s="562">
        <v>8221357</v>
      </c>
      <c r="H1136" s="645">
        <v>69343295</v>
      </c>
      <c r="I1136" s="645">
        <v>69343295</v>
      </c>
      <c r="J1136" s="562">
        <v>0</v>
      </c>
      <c r="K1136" s="645">
        <v>0</v>
      </c>
      <c r="L1136" s="645">
        <v>0</v>
      </c>
      <c r="M1136" s="645">
        <v>0</v>
      </c>
      <c r="N1136" s="645">
        <v>0</v>
      </c>
      <c r="O1136" s="451"/>
      <c r="P1136" s="453"/>
    </row>
    <row r="1137" spans="1:16" s="175" customFormat="1" ht="12.75" customHeight="1" x14ac:dyDescent="0.2">
      <c r="A1137" s="188"/>
      <c r="B1137" s="881"/>
      <c r="C1137" s="884"/>
      <c r="D1137" s="884" t="s">
        <v>4241</v>
      </c>
      <c r="E1137" s="655" t="s">
        <v>22</v>
      </c>
      <c r="F1137" s="645">
        <v>15572863</v>
      </c>
      <c r="G1137" s="562">
        <v>778643</v>
      </c>
      <c r="H1137" s="645">
        <v>14794220</v>
      </c>
      <c r="I1137" s="645">
        <v>14794220</v>
      </c>
      <c r="J1137" s="562">
        <v>0</v>
      </c>
      <c r="K1137" s="645">
        <v>0</v>
      </c>
      <c r="L1137" s="645">
        <v>0</v>
      </c>
      <c r="M1137" s="645">
        <v>0</v>
      </c>
      <c r="N1137" s="645">
        <v>0</v>
      </c>
      <c r="O1137" s="451"/>
      <c r="P1137" s="453"/>
    </row>
    <row r="1138" spans="1:16" s="175" customFormat="1" ht="12.75" customHeight="1" x14ac:dyDescent="0.2">
      <c r="A1138" s="188"/>
      <c r="B1138" s="881"/>
      <c r="C1138" s="884"/>
      <c r="D1138" s="884" t="s">
        <v>4241</v>
      </c>
      <c r="E1138" s="655" t="s">
        <v>900</v>
      </c>
      <c r="F1138" s="645">
        <v>87000000</v>
      </c>
      <c r="G1138" s="562">
        <v>0</v>
      </c>
      <c r="H1138" s="645">
        <v>87000000</v>
      </c>
      <c r="I1138" s="645">
        <v>87000000</v>
      </c>
      <c r="J1138" s="562">
        <v>0</v>
      </c>
      <c r="K1138" s="645">
        <v>0</v>
      </c>
      <c r="L1138" s="645">
        <v>0</v>
      </c>
      <c r="M1138" s="645">
        <v>0</v>
      </c>
      <c r="N1138" s="645">
        <v>0</v>
      </c>
      <c r="O1138" s="451"/>
      <c r="P1138" s="453"/>
    </row>
    <row r="1139" spans="1:16" s="175" customFormat="1" ht="12.75" hidden="1" customHeight="1" x14ac:dyDescent="0.2">
      <c r="A1139" s="188"/>
      <c r="B1139" s="881"/>
      <c r="C1139" s="884"/>
      <c r="D1139" s="884" t="s">
        <v>4241</v>
      </c>
      <c r="E1139" s="655" t="s">
        <v>1557</v>
      </c>
      <c r="F1139" s="645">
        <v>289098995</v>
      </c>
      <c r="G1139" s="562">
        <v>0</v>
      </c>
      <c r="H1139" s="645">
        <v>289098995</v>
      </c>
      <c r="I1139" s="645">
        <v>289098995</v>
      </c>
      <c r="J1139" s="562">
        <v>0</v>
      </c>
      <c r="K1139" s="645">
        <v>0</v>
      </c>
      <c r="L1139" s="645">
        <v>0</v>
      </c>
      <c r="M1139" s="645">
        <v>0</v>
      </c>
      <c r="N1139" s="645">
        <v>0</v>
      </c>
      <c r="O1139" s="451"/>
      <c r="P1139" s="453"/>
    </row>
    <row r="1140" spans="1:16" s="175" customFormat="1" ht="12.75" customHeight="1" x14ac:dyDescent="0.2">
      <c r="A1140" s="188"/>
      <c r="B1140" s="881"/>
      <c r="C1140" s="884"/>
      <c r="D1140" s="884" t="s">
        <v>4241</v>
      </c>
      <c r="E1140" s="655" t="s">
        <v>4239</v>
      </c>
      <c r="F1140" s="645">
        <v>35718853</v>
      </c>
      <c r="G1140" s="562">
        <v>35600000</v>
      </c>
      <c r="H1140" s="645">
        <v>118853</v>
      </c>
      <c r="I1140" s="645">
        <v>0</v>
      </c>
      <c r="J1140" s="562">
        <v>118853</v>
      </c>
      <c r="K1140" s="645">
        <v>0</v>
      </c>
      <c r="L1140" s="645">
        <v>118853</v>
      </c>
      <c r="M1140" s="645">
        <v>0</v>
      </c>
      <c r="N1140" s="645">
        <v>0</v>
      </c>
      <c r="O1140" s="451"/>
      <c r="P1140" s="453"/>
    </row>
    <row r="1141" spans="1:16" s="175" customFormat="1" ht="12.75" customHeight="1" x14ac:dyDescent="0.2">
      <c r="A1141" s="188"/>
      <c r="B1141" s="881"/>
      <c r="C1141" s="884" t="s">
        <v>3522</v>
      </c>
      <c r="D1141" s="884" t="s">
        <v>1117</v>
      </c>
      <c r="E1141" s="655" t="s">
        <v>26</v>
      </c>
      <c r="F1141" s="645">
        <v>95032715</v>
      </c>
      <c r="G1141" s="562">
        <v>95032715</v>
      </c>
      <c r="H1141" s="645">
        <v>0</v>
      </c>
      <c r="I1141" s="645">
        <v>0</v>
      </c>
      <c r="J1141" s="562">
        <v>0</v>
      </c>
      <c r="K1141" s="645">
        <v>0</v>
      </c>
      <c r="L1141" s="645">
        <v>0</v>
      </c>
      <c r="M1141" s="645">
        <v>0</v>
      </c>
      <c r="N1141" s="645">
        <v>0</v>
      </c>
      <c r="O1141" s="451"/>
      <c r="P1141" s="453"/>
    </row>
    <row r="1142" spans="1:16" s="175" customFormat="1" ht="12.75" hidden="1" customHeight="1" x14ac:dyDescent="0.2">
      <c r="A1142" s="188"/>
      <c r="B1142" s="881"/>
      <c r="C1142" s="884"/>
      <c r="D1142" s="884" t="s">
        <v>1117</v>
      </c>
      <c r="E1142" s="655" t="s">
        <v>1557</v>
      </c>
      <c r="F1142" s="645">
        <v>220219461</v>
      </c>
      <c r="G1142" s="562">
        <v>0</v>
      </c>
      <c r="H1142" s="645">
        <v>220219461</v>
      </c>
      <c r="I1142" s="645">
        <v>0</v>
      </c>
      <c r="J1142" s="562">
        <v>220219461</v>
      </c>
      <c r="K1142" s="645">
        <v>220219461</v>
      </c>
      <c r="L1142" s="645">
        <v>0</v>
      </c>
      <c r="M1142" s="645">
        <v>0</v>
      </c>
      <c r="N1142" s="645">
        <v>0</v>
      </c>
      <c r="O1142" s="451"/>
      <c r="P1142" s="453"/>
    </row>
    <row r="1143" spans="1:16" s="175" customFormat="1" ht="12.75" customHeight="1" x14ac:dyDescent="0.2">
      <c r="A1143" s="188"/>
      <c r="B1143" s="881"/>
      <c r="C1143" s="884"/>
      <c r="D1143" s="884" t="s">
        <v>1117</v>
      </c>
      <c r="E1143" s="655" t="s">
        <v>1221</v>
      </c>
      <c r="F1143" s="645">
        <v>1512675</v>
      </c>
      <c r="G1143" s="562">
        <v>1512675</v>
      </c>
      <c r="H1143" s="645">
        <v>0</v>
      </c>
      <c r="I1143" s="645">
        <v>0</v>
      </c>
      <c r="J1143" s="562">
        <v>0</v>
      </c>
      <c r="K1143" s="645">
        <v>0</v>
      </c>
      <c r="L1143" s="645">
        <v>0</v>
      </c>
      <c r="M1143" s="645">
        <v>0</v>
      </c>
      <c r="N1143" s="645">
        <v>0</v>
      </c>
      <c r="O1143" s="451"/>
      <c r="P1143" s="453"/>
    </row>
    <row r="1144" spans="1:16" s="175" customFormat="1" ht="12.75" customHeight="1" x14ac:dyDescent="0.2">
      <c r="A1144" s="188"/>
      <c r="B1144" s="881"/>
      <c r="C1144" s="884" t="s">
        <v>3523</v>
      </c>
      <c r="D1144" s="884" t="s">
        <v>1224</v>
      </c>
      <c r="E1144" s="655" t="s">
        <v>26</v>
      </c>
      <c r="F1144" s="645">
        <v>144183891</v>
      </c>
      <c r="G1144" s="562">
        <v>144183891</v>
      </c>
      <c r="H1144" s="645">
        <v>0</v>
      </c>
      <c r="I1144" s="645">
        <v>0</v>
      </c>
      <c r="J1144" s="562">
        <v>0</v>
      </c>
      <c r="K1144" s="645">
        <v>0</v>
      </c>
      <c r="L1144" s="645">
        <v>0</v>
      </c>
      <c r="M1144" s="645">
        <v>0</v>
      </c>
      <c r="N1144" s="645">
        <v>0</v>
      </c>
      <c r="O1144" s="451"/>
      <c r="P1144" s="453"/>
    </row>
    <row r="1145" spans="1:16" s="175" customFormat="1" ht="12.75" hidden="1" customHeight="1" x14ac:dyDescent="0.2">
      <c r="A1145" s="188"/>
      <c r="B1145" s="881"/>
      <c r="C1145" s="884"/>
      <c r="D1145" s="884" t="s">
        <v>1224</v>
      </c>
      <c r="E1145" s="655" t="s">
        <v>1557</v>
      </c>
      <c r="F1145" s="645">
        <v>294773136</v>
      </c>
      <c r="G1145" s="562">
        <v>294773136</v>
      </c>
      <c r="H1145" s="645">
        <v>0</v>
      </c>
      <c r="I1145" s="645">
        <v>0</v>
      </c>
      <c r="J1145" s="562">
        <v>0</v>
      </c>
      <c r="K1145" s="645">
        <v>0</v>
      </c>
      <c r="L1145" s="645">
        <v>0</v>
      </c>
      <c r="M1145" s="645">
        <v>0</v>
      </c>
      <c r="N1145" s="645">
        <v>0</v>
      </c>
      <c r="O1145" s="451"/>
      <c r="P1145" s="453"/>
    </row>
    <row r="1146" spans="1:16" s="175" customFormat="1" ht="12.75" customHeight="1" x14ac:dyDescent="0.2">
      <c r="A1146" s="188"/>
      <c r="B1146" s="881"/>
      <c r="C1146" s="884"/>
      <c r="D1146" s="884" t="s">
        <v>1224</v>
      </c>
      <c r="E1146" s="655" t="s">
        <v>195</v>
      </c>
      <c r="F1146" s="645">
        <v>1539667</v>
      </c>
      <c r="G1146" s="562">
        <v>1539667</v>
      </c>
      <c r="H1146" s="645">
        <v>0</v>
      </c>
      <c r="I1146" s="645">
        <v>0</v>
      </c>
      <c r="J1146" s="562">
        <v>0</v>
      </c>
      <c r="K1146" s="645">
        <v>0</v>
      </c>
      <c r="L1146" s="645">
        <v>0</v>
      </c>
      <c r="M1146" s="645">
        <v>0</v>
      </c>
      <c r="N1146" s="645">
        <v>0</v>
      </c>
      <c r="O1146" s="451"/>
      <c r="P1146" s="453"/>
    </row>
    <row r="1147" spans="1:16" s="175" customFormat="1" ht="12.75" customHeight="1" x14ac:dyDescent="0.2">
      <c r="A1147" s="188"/>
      <c r="B1147" s="881"/>
      <c r="C1147" s="884" t="s">
        <v>3524</v>
      </c>
      <c r="D1147" s="884" t="s">
        <v>1225</v>
      </c>
      <c r="E1147" s="655" t="s">
        <v>26</v>
      </c>
      <c r="F1147" s="645">
        <v>123928000</v>
      </c>
      <c r="G1147" s="562">
        <v>123928000</v>
      </c>
      <c r="H1147" s="645">
        <v>0</v>
      </c>
      <c r="I1147" s="645">
        <v>0</v>
      </c>
      <c r="J1147" s="562">
        <v>0</v>
      </c>
      <c r="K1147" s="645">
        <v>0</v>
      </c>
      <c r="L1147" s="645">
        <v>0</v>
      </c>
      <c r="M1147" s="645">
        <v>0</v>
      </c>
      <c r="N1147" s="645">
        <v>0</v>
      </c>
      <c r="O1147" s="451"/>
      <c r="P1147" s="453"/>
    </row>
    <row r="1148" spans="1:16" s="175" customFormat="1" ht="12.75" hidden="1" customHeight="1" x14ac:dyDescent="0.2">
      <c r="A1148" s="188"/>
      <c r="B1148" s="881"/>
      <c r="C1148" s="884"/>
      <c r="D1148" s="884" t="s">
        <v>1225</v>
      </c>
      <c r="E1148" s="655" t="s">
        <v>1557</v>
      </c>
      <c r="F1148" s="645">
        <v>289164000</v>
      </c>
      <c r="G1148" s="562">
        <v>246027185</v>
      </c>
      <c r="H1148" s="645">
        <v>43136815</v>
      </c>
      <c r="I1148" s="645">
        <v>0</v>
      </c>
      <c r="J1148" s="562">
        <v>43136815</v>
      </c>
      <c r="K1148" s="645">
        <v>0</v>
      </c>
      <c r="L1148" s="645">
        <v>0</v>
      </c>
      <c r="M1148" s="645">
        <v>43136815</v>
      </c>
      <c r="N1148" s="645">
        <v>0</v>
      </c>
      <c r="O1148" s="451"/>
      <c r="P1148" s="453"/>
    </row>
    <row r="1149" spans="1:16" s="175" customFormat="1" ht="12.75" customHeight="1" x14ac:dyDescent="0.2">
      <c r="A1149" s="188"/>
      <c r="B1149" s="881"/>
      <c r="C1149" s="884"/>
      <c r="D1149" s="884" t="s">
        <v>1225</v>
      </c>
      <c r="E1149" s="655" t="s">
        <v>195</v>
      </c>
      <c r="F1149" s="645">
        <v>631639</v>
      </c>
      <c r="G1149" s="562">
        <v>631639</v>
      </c>
      <c r="H1149" s="645">
        <v>0</v>
      </c>
      <c r="I1149" s="645">
        <v>0</v>
      </c>
      <c r="J1149" s="562">
        <v>0</v>
      </c>
      <c r="K1149" s="645">
        <v>0</v>
      </c>
      <c r="L1149" s="645">
        <v>0</v>
      </c>
      <c r="M1149" s="645">
        <v>0</v>
      </c>
      <c r="N1149" s="645">
        <v>0</v>
      </c>
      <c r="O1149" s="451"/>
      <c r="P1149" s="453"/>
    </row>
    <row r="1150" spans="1:16" s="175" customFormat="1" ht="12.75" customHeight="1" x14ac:dyDescent="0.2">
      <c r="A1150" s="188"/>
      <c r="B1150" s="881"/>
      <c r="C1150" s="884" t="s">
        <v>3525</v>
      </c>
      <c r="D1150" s="884" t="s">
        <v>1718</v>
      </c>
      <c r="E1150" s="655" t="s">
        <v>26</v>
      </c>
      <c r="F1150" s="645">
        <v>324663237</v>
      </c>
      <c r="G1150" s="562">
        <v>324663237</v>
      </c>
      <c r="H1150" s="645">
        <v>0</v>
      </c>
      <c r="I1150" s="645">
        <v>0</v>
      </c>
      <c r="J1150" s="562">
        <v>0</v>
      </c>
      <c r="K1150" s="645">
        <v>0</v>
      </c>
      <c r="L1150" s="645">
        <v>0</v>
      </c>
      <c r="M1150" s="645">
        <v>0</v>
      </c>
      <c r="N1150" s="645">
        <v>0</v>
      </c>
      <c r="O1150" s="451"/>
      <c r="P1150" s="453"/>
    </row>
    <row r="1151" spans="1:16" s="175" customFormat="1" ht="12.75" customHeight="1" x14ac:dyDescent="0.2">
      <c r="A1151" s="188"/>
      <c r="B1151" s="881"/>
      <c r="C1151" s="884"/>
      <c r="D1151" s="884" t="s">
        <v>1718</v>
      </c>
      <c r="E1151" s="655" t="s">
        <v>3212</v>
      </c>
      <c r="F1151" s="645">
        <v>61667</v>
      </c>
      <c r="G1151" s="562">
        <v>61667</v>
      </c>
      <c r="H1151" s="645">
        <v>0</v>
      </c>
      <c r="I1151" s="645">
        <v>0</v>
      </c>
      <c r="J1151" s="562">
        <v>0</v>
      </c>
      <c r="K1151" s="645">
        <v>0</v>
      </c>
      <c r="L1151" s="645">
        <v>0</v>
      </c>
      <c r="M1151" s="645">
        <v>0</v>
      </c>
      <c r="N1151" s="645">
        <v>0</v>
      </c>
      <c r="O1151" s="451"/>
      <c r="P1151" s="453"/>
    </row>
    <row r="1152" spans="1:16" s="175" customFormat="1" ht="12.75" customHeight="1" x14ac:dyDescent="0.2">
      <c r="A1152" s="188"/>
      <c r="B1152" s="881"/>
      <c r="C1152" s="884"/>
      <c r="D1152" s="884" t="s">
        <v>1718</v>
      </c>
      <c r="E1152" s="655" t="s">
        <v>195</v>
      </c>
      <c r="F1152" s="645">
        <v>160357</v>
      </c>
      <c r="G1152" s="562">
        <v>160357</v>
      </c>
      <c r="H1152" s="645">
        <v>0</v>
      </c>
      <c r="I1152" s="645">
        <v>0</v>
      </c>
      <c r="J1152" s="562">
        <v>0</v>
      </c>
      <c r="K1152" s="645">
        <v>0</v>
      </c>
      <c r="L1152" s="645">
        <v>0</v>
      </c>
      <c r="M1152" s="645">
        <v>0</v>
      </c>
      <c r="N1152" s="645">
        <v>0</v>
      </c>
      <c r="O1152" s="451"/>
      <c r="P1152" s="453"/>
    </row>
    <row r="1153" spans="1:16" s="175" customFormat="1" ht="12.75" customHeight="1" x14ac:dyDescent="0.2">
      <c r="A1153" s="188"/>
      <c r="B1153" s="881"/>
      <c r="C1153" s="677" t="s">
        <v>3526</v>
      </c>
      <c r="D1153" s="677" t="s">
        <v>1076</v>
      </c>
      <c r="E1153" s="655" t="s">
        <v>26</v>
      </c>
      <c r="F1153" s="645">
        <v>351949273</v>
      </c>
      <c r="G1153" s="562">
        <v>351949269</v>
      </c>
      <c r="H1153" s="645">
        <v>4</v>
      </c>
      <c r="I1153" s="645">
        <v>0</v>
      </c>
      <c r="J1153" s="562">
        <v>4</v>
      </c>
      <c r="K1153" s="645">
        <v>4</v>
      </c>
      <c r="L1153" s="645">
        <v>0</v>
      </c>
      <c r="M1153" s="645">
        <v>0</v>
      </c>
      <c r="N1153" s="645">
        <v>0</v>
      </c>
      <c r="O1153" s="451"/>
      <c r="P1153" s="453"/>
    </row>
    <row r="1154" spans="1:16" s="175" customFormat="1" ht="12.75" customHeight="1" x14ac:dyDescent="0.2">
      <c r="A1154" s="188"/>
      <c r="B1154" s="881"/>
      <c r="C1154" s="884" t="s">
        <v>4288</v>
      </c>
      <c r="D1154" s="884" t="s">
        <v>4371</v>
      </c>
      <c r="E1154" s="655" t="s">
        <v>26</v>
      </c>
      <c r="F1154" s="645">
        <v>91934212</v>
      </c>
      <c r="G1154" s="562">
        <v>25155277</v>
      </c>
      <c r="H1154" s="645">
        <v>66778935</v>
      </c>
      <c r="I1154" s="645">
        <v>66778935</v>
      </c>
      <c r="J1154" s="562">
        <v>0</v>
      </c>
      <c r="K1154" s="645">
        <v>0</v>
      </c>
      <c r="L1154" s="645">
        <v>0</v>
      </c>
      <c r="M1154" s="645">
        <v>0</v>
      </c>
      <c r="N1154" s="645">
        <v>0</v>
      </c>
      <c r="O1154" s="451"/>
      <c r="P1154" s="453"/>
    </row>
    <row r="1155" spans="1:16" s="175" customFormat="1" ht="12.75" customHeight="1" x14ac:dyDescent="0.2">
      <c r="A1155" s="188"/>
      <c r="B1155" s="881"/>
      <c r="C1155" s="884"/>
      <c r="D1155" s="884" t="s">
        <v>4371</v>
      </c>
      <c r="E1155" s="655" t="s">
        <v>22</v>
      </c>
      <c r="F1155" s="645">
        <v>82007888</v>
      </c>
      <c r="G1155" s="562">
        <v>17221659</v>
      </c>
      <c r="H1155" s="645">
        <v>64786229</v>
      </c>
      <c r="I1155" s="645">
        <v>64786229</v>
      </c>
      <c r="J1155" s="562">
        <v>0</v>
      </c>
      <c r="K1155" s="645">
        <v>0</v>
      </c>
      <c r="L1155" s="645">
        <v>0</v>
      </c>
      <c r="M1155" s="645">
        <v>0</v>
      </c>
      <c r="N1155" s="645">
        <v>0</v>
      </c>
      <c r="O1155" s="451"/>
      <c r="P1155" s="453"/>
    </row>
    <row r="1156" spans="1:16" s="175" customFormat="1" ht="12.75" hidden="1" customHeight="1" x14ac:dyDescent="0.2">
      <c r="A1156" s="188"/>
      <c r="B1156" s="881"/>
      <c r="C1156" s="884"/>
      <c r="D1156" s="884" t="s">
        <v>4371</v>
      </c>
      <c r="E1156" s="655" t="s">
        <v>1557</v>
      </c>
      <c r="F1156" s="645">
        <v>408740788</v>
      </c>
      <c r="G1156" s="562">
        <v>191711208</v>
      </c>
      <c r="H1156" s="645">
        <v>217029580</v>
      </c>
      <c r="I1156" s="645">
        <v>217029580</v>
      </c>
      <c r="J1156" s="562">
        <v>0</v>
      </c>
      <c r="K1156" s="645">
        <v>0</v>
      </c>
      <c r="L1156" s="645">
        <v>0</v>
      </c>
      <c r="M1156" s="645">
        <v>0</v>
      </c>
      <c r="N1156" s="645">
        <v>0</v>
      </c>
      <c r="O1156" s="451"/>
      <c r="P1156" s="453"/>
    </row>
    <row r="1157" spans="1:16" s="175" customFormat="1" ht="12.75" customHeight="1" x14ac:dyDescent="0.2">
      <c r="A1157" s="188"/>
      <c r="B1157" s="881"/>
      <c r="C1157" s="884" t="s">
        <v>3527</v>
      </c>
      <c r="D1157" s="884" t="s">
        <v>890</v>
      </c>
      <c r="E1157" s="655" t="s">
        <v>26</v>
      </c>
      <c r="F1157" s="645">
        <v>314029672</v>
      </c>
      <c r="G1157" s="562">
        <v>314029672</v>
      </c>
      <c r="H1157" s="645">
        <v>0</v>
      </c>
      <c r="I1157" s="645">
        <v>0</v>
      </c>
      <c r="J1157" s="562">
        <v>0</v>
      </c>
      <c r="K1157" s="645">
        <v>0</v>
      </c>
      <c r="L1157" s="645">
        <v>0</v>
      </c>
      <c r="M1157" s="645">
        <v>0</v>
      </c>
      <c r="N1157" s="645">
        <v>0</v>
      </c>
      <c r="O1157" s="451"/>
      <c r="P1157" s="453"/>
    </row>
    <row r="1158" spans="1:16" s="175" customFormat="1" ht="12.75" customHeight="1" x14ac:dyDescent="0.2">
      <c r="A1158" s="188"/>
      <c r="B1158" s="881"/>
      <c r="C1158" s="884"/>
      <c r="D1158" s="884" t="s">
        <v>890</v>
      </c>
      <c r="E1158" s="655" t="s">
        <v>3212</v>
      </c>
      <c r="F1158" s="645">
        <v>74113</v>
      </c>
      <c r="G1158" s="562">
        <v>74113</v>
      </c>
      <c r="H1158" s="645">
        <v>0</v>
      </c>
      <c r="I1158" s="645">
        <v>0</v>
      </c>
      <c r="J1158" s="562">
        <v>0</v>
      </c>
      <c r="K1158" s="645">
        <v>0</v>
      </c>
      <c r="L1158" s="645">
        <v>0</v>
      </c>
      <c r="M1158" s="645">
        <v>0</v>
      </c>
      <c r="N1158" s="645">
        <v>0</v>
      </c>
      <c r="O1158" s="451"/>
      <c r="P1158" s="453"/>
    </row>
    <row r="1159" spans="1:16" s="175" customFormat="1" ht="12.75" customHeight="1" x14ac:dyDescent="0.2">
      <c r="A1159" s="188"/>
      <c r="B1159" s="881"/>
      <c r="C1159" s="884"/>
      <c r="D1159" s="884" t="s">
        <v>890</v>
      </c>
      <c r="E1159" s="655" t="s">
        <v>1221</v>
      </c>
      <c r="F1159" s="645">
        <v>1512675</v>
      </c>
      <c r="G1159" s="562">
        <v>1512675</v>
      </c>
      <c r="H1159" s="645">
        <v>0</v>
      </c>
      <c r="I1159" s="645">
        <v>0</v>
      </c>
      <c r="J1159" s="562">
        <v>0</v>
      </c>
      <c r="K1159" s="645">
        <v>0</v>
      </c>
      <c r="L1159" s="645">
        <v>0</v>
      </c>
      <c r="M1159" s="645">
        <v>0</v>
      </c>
      <c r="N1159" s="645">
        <v>0</v>
      </c>
      <c r="O1159" s="451"/>
      <c r="P1159" s="453"/>
    </row>
    <row r="1160" spans="1:16" s="175" customFormat="1" ht="12.75" customHeight="1" x14ac:dyDescent="0.2">
      <c r="A1160" s="188"/>
      <c r="B1160" s="881"/>
      <c r="C1160" s="884" t="s">
        <v>3528</v>
      </c>
      <c r="D1160" s="884" t="s">
        <v>1235</v>
      </c>
      <c r="E1160" s="655" t="s">
        <v>26</v>
      </c>
      <c r="F1160" s="645">
        <v>152000000</v>
      </c>
      <c r="G1160" s="562">
        <v>145518228</v>
      </c>
      <c r="H1160" s="645">
        <v>6481772</v>
      </c>
      <c r="I1160" s="645">
        <v>0</v>
      </c>
      <c r="J1160" s="562">
        <v>6481772</v>
      </c>
      <c r="K1160" s="645">
        <v>6481772</v>
      </c>
      <c r="L1160" s="645">
        <v>0</v>
      </c>
      <c r="M1160" s="645">
        <v>0</v>
      </c>
      <c r="N1160" s="645">
        <v>0</v>
      </c>
      <c r="O1160" s="451"/>
      <c r="P1160" s="453"/>
    </row>
    <row r="1161" spans="1:16" s="175" customFormat="1" ht="12.75" hidden="1" customHeight="1" x14ac:dyDescent="0.2">
      <c r="A1161" s="188"/>
      <c r="B1161" s="881"/>
      <c r="C1161" s="884"/>
      <c r="D1161" s="884" t="s">
        <v>1235</v>
      </c>
      <c r="E1161" s="655" t="s">
        <v>1557</v>
      </c>
      <c r="F1161" s="645">
        <v>277095000</v>
      </c>
      <c r="G1161" s="562">
        <v>0</v>
      </c>
      <c r="H1161" s="645">
        <v>277095000</v>
      </c>
      <c r="I1161" s="645">
        <v>0</v>
      </c>
      <c r="J1161" s="562">
        <v>277095000</v>
      </c>
      <c r="K1161" s="645">
        <v>277095000</v>
      </c>
      <c r="L1161" s="645">
        <v>0</v>
      </c>
      <c r="M1161" s="645">
        <v>0</v>
      </c>
      <c r="N1161" s="645">
        <v>0</v>
      </c>
      <c r="O1161" s="451"/>
      <c r="P1161" s="453"/>
    </row>
    <row r="1162" spans="1:16" s="175" customFormat="1" ht="12.75" customHeight="1" x14ac:dyDescent="0.2">
      <c r="A1162" s="188"/>
      <c r="B1162" s="881"/>
      <c r="C1162" s="884"/>
      <c r="D1162" s="884" t="s">
        <v>1235</v>
      </c>
      <c r="E1162" s="655" t="s">
        <v>1221</v>
      </c>
      <c r="F1162" s="645">
        <v>1931850</v>
      </c>
      <c r="G1162" s="562">
        <v>1931850</v>
      </c>
      <c r="H1162" s="645">
        <v>0</v>
      </c>
      <c r="I1162" s="645">
        <v>0</v>
      </c>
      <c r="J1162" s="562">
        <v>0</v>
      </c>
      <c r="K1162" s="645">
        <v>0</v>
      </c>
      <c r="L1162" s="645">
        <v>0</v>
      </c>
      <c r="M1162" s="645">
        <v>0</v>
      </c>
      <c r="N1162" s="645">
        <v>0</v>
      </c>
      <c r="O1162" s="451"/>
      <c r="P1162" s="453"/>
    </row>
    <row r="1163" spans="1:16" s="175" customFormat="1" ht="12.75" customHeight="1" x14ac:dyDescent="0.2">
      <c r="A1163" s="188"/>
      <c r="B1163" s="881"/>
      <c r="C1163" s="884" t="s">
        <v>3529</v>
      </c>
      <c r="D1163" s="884" t="s">
        <v>1236</v>
      </c>
      <c r="E1163" s="655" t="s">
        <v>26</v>
      </c>
      <c r="F1163" s="645">
        <v>402542265</v>
      </c>
      <c r="G1163" s="562">
        <v>402542265</v>
      </c>
      <c r="H1163" s="645">
        <v>0</v>
      </c>
      <c r="I1163" s="645">
        <v>0</v>
      </c>
      <c r="J1163" s="562">
        <v>0</v>
      </c>
      <c r="K1163" s="645">
        <v>0</v>
      </c>
      <c r="L1163" s="645">
        <v>0</v>
      </c>
      <c r="M1163" s="645">
        <v>0</v>
      </c>
      <c r="N1163" s="645">
        <v>0</v>
      </c>
      <c r="O1163" s="451"/>
      <c r="P1163" s="453"/>
    </row>
    <row r="1164" spans="1:16" s="175" customFormat="1" ht="12.75" customHeight="1" x14ac:dyDescent="0.2">
      <c r="A1164" s="188"/>
      <c r="B1164" s="881"/>
      <c r="C1164" s="884"/>
      <c r="D1164" s="884" t="s">
        <v>1236</v>
      </c>
      <c r="E1164" s="655" t="s">
        <v>3212</v>
      </c>
      <c r="F1164" s="645">
        <v>91527</v>
      </c>
      <c r="G1164" s="562">
        <v>91527</v>
      </c>
      <c r="H1164" s="645">
        <v>0</v>
      </c>
      <c r="I1164" s="645">
        <v>0</v>
      </c>
      <c r="J1164" s="562">
        <v>0</v>
      </c>
      <c r="K1164" s="645">
        <v>0</v>
      </c>
      <c r="L1164" s="645">
        <v>0</v>
      </c>
      <c r="M1164" s="645">
        <v>0</v>
      </c>
      <c r="N1164" s="645">
        <v>0</v>
      </c>
      <c r="O1164" s="451"/>
      <c r="P1164" s="453"/>
    </row>
    <row r="1165" spans="1:16" s="175" customFormat="1" ht="12.75" customHeight="1" x14ac:dyDescent="0.2">
      <c r="A1165" s="188"/>
      <c r="B1165" s="881"/>
      <c r="C1165" s="884"/>
      <c r="D1165" s="884" t="s">
        <v>1236</v>
      </c>
      <c r="E1165" s="655" t="s">
        <v>1221</v>
      </c>
      <c r="F1165" s="645">
        <v>1931850</v>
      </c>
      <c r="G1165" s="562">
        <v>1931850</v>
      </c>
      <c r="H1165" s="645">
        <v>0</v>
      </c>
      <c r="I1165" s="645">
        <v>0</v>
      </c>
      <c r="J1165" s="562">
        <v>0</v>
      </c>
      <c r="K1165" s="645">
        <v>0</v>
      </c>
      <c r="L1165" s="645">
        <v>0</v>
      </c>
      <c r="M1165" s="645">
        <v>0</v>
      </c>
      <c r="N1165" s="645">
        <v>0</v>
      </c>
      <c r="O1165" s="451"/>
      <c r="P1165" s="453"/>
    </row>
    <row r="1166" spans="1:16" s="175" customFormat="1" ht="12.75" customHeight="1" x14ac:dyDescent="0.2">
      <c r="A1166" s="188"/>
      <c r="B1166" s="881"/>
      <c r="C1166" s="884" t="s">
        <v>3530</v>
      </c>
      <c r="D1166" s="884" t="s">
        <v>1119</v>
      </c>
      <c r="E1166" s="655" t="s">
        <v>26</v>
      </c>
      <c r="F1166" s="645">
        <v>94939500</v>
      </c>
      <c r="G1166" s="562">
        <v>94939500</v>
      </c>
      <c r="H1166" s="645">
        <v>0</v>
      </c>
      <c r="I1166" s="645">
        <v>0</v>
      </c>
      <c r="J1166" s="562">
        <v>0</v>
      </c>
      <c r="K1166" s="645">
        <v>0</v>
      </c>
      <c r="L1166" s="645">
        <v>0</v>
      </c>
      <c r="M1166" s="645">
        <v>0</v>
      </c>
      <c r="N1166" s="645">
        <v>0</v>
      </c>
      <c r="O1166" s="451"/>
      <c r="P1166" s="453"/>
    </row>
    <row r="1167" spans="1:16" s="175" customFormat="1" ht="12.75" hidden="1" customHeight="1" x14ac:dyDescent="0.2">
      <c r="A1167" s="188"/>
      <c r="B1167" s="881"/>
      <c r="C1167" s="884"/>
      <c r="D1167" s="884" t="s">
        <v>1119</v>
      </c>
      <c r="E1167" s="655" t="s">
        <v>1557</v>
      </c>
      <c r="F1167" s="645">
        <v>221525500</v>
      </c>
      <c r="G1167" s="562">
        <v>0</v>
      </c>
      <c r="H1167" s="645">
        <v>221525500</v>
      </c>
      <c r="I1167" s="645">
        <v>0</v>
      </c>
      <c r="J1167" s="562">
        <v>221525500</v>
      </c>
      <c r="K1167" s="645">
        <v>221525500</v>
      </c>
      <c r="L1167" s="645">
        <v>0</v>
      </c>
      <c r="M1167" s="645">
        <v>0</v>
      </c>
      <c r="N1167" s="645">
        <v>0</v>
      </c>
      <c r="O1167" s="451"/>
      <c r="P1167" s="453"/>
    </row>
    <row r="1168" spans="1:16" s="175" customFormat="1" ht="12.75" customHeight="1" x14ac:dyDescent="0.2">
      <c r="A1168" s="188"/>
      <c r="B1168" s="881"/>
      <c r="C1168" s="884" t="s">
        <v>3531</v>
      </c>
      <c r="D1168" s="884" t="s">
        <v>1118</v>
      </c>
      <c r="E1168" s="655" t="s">
        <v>26</v>
      </c>
      <c r="F1168" s="645">
        <v>113351519</v>
      </c>
      <c r="G1168" s="562">
        <v>113195319</v>
      </c>
      <c r="H1168" s="645">
        <v>156200</v>
      </c>
      <c r="I1168" s="645">
        <v>0</v>
      </c>
      <c r="J1168" s="562">
        <v>156200</v>
      </c>
      <c r="K1168" s="645">
        <v>156200</v>
      </c>
      <c r="L1168" s="645">
        <v>0</v>
      </c>
      <c r="M1168" s="645">
        <v>0</v>
      </c>
      <c r="N1168" s="645">
        <v>0</v>
      </c>
      <c r="O1168" s="451"/>
      <c r="P1168" s="453"/>
    </row>
    <row r="1169" spans="1:16" s="175" customFormat="1" ht="12.75" hidden="1" customHeight="1" x14ac:dyDescent="0.2">
      <c r="A1169" s="188"/>
      <c r="B1169" s="881"/>
      <c r="C1169" s="884"/>
      <c r="D1169" s="884" t="s">
        <v>1118</v>
      </c>
      <c r="E1169" s="655" t="s">
        <v>1557</v>
      </c>
      <c r="F1169" s="645">
        <v>257000000</v>
      </c>
      <c r="G1169" s="562">
        <v>0</v>
      </c>
      <c r="H1169" s="645">
        <v>257000000</v>
      </c>
      <c r="I1169" s="645">
        <v>0</v>
      </c>
      <c r="J1169" s="562">
        <v>257000000</v>
      </c>
      <c r="K1169" s="645">
        <v>257000000</v>
      </c>
      <c r="L1169" s="645">
        <v>0</v>
      </c>
      <c r="M1169" s="645">
        <v>0</v>
      </c>
      <c r="N1169" s="645">
        <v>0</v>
      </c>
      <c r="O1169" s="451"/>
      <c r="P1169" s="453"/>
    </row>
    <row r="1170" spans="1:16" s="175" customFormat="1" ht="12.75" customHeight="1" x14ac:dyDescent="0.2">
      <c r="A1170" s="188"/>
      <c r="B1170" s="881"/>
      <c r="C1170" s="884" t="s">
        <v>4372</v>
      </c>
      <c r="D1170" s="884" t="s">
        <v>4373</v>
      </c>
      <c r="E1170" s="655" t="s">
        <v>26</v>
      </c>
      <c r="F1170" s="645">
        <v>92034212</v>
      </c>
      <c r="G1170" s="562">
        <v>5832000</v>
      </c>
      <c r="H1170" s="645">
        <v>86202212</v>
      </c>
      <c r="I1170" s="645">
        <v>86202212</v>
      </c>
      <c r="J1170" s="562">
        <v>0</v>
      </c>
      <c r="K1170" s="645">
        <v>0</v>
      </c>
      <c r="L1170" s="645">
        <v>0</v>
      </c>
      <c r="M1170" s="645">
        <v>0</v>
      </c>
      <c r="N1170" s="645">
        <v>0</v>
      </c>
      <c r="O1170" s="451"/>
      <c r="P1170" s="453"/>
    </row>
    <row r="1171" spans="1:16" s="175" customFormat="1" ht="12.75" customHeight="1" x14ac:dyDescent="0.2">
      <c r="A1171" s="188"/>
      <c r="B1171" s="881"/>
      <c r="C1171" s="884"/>
      <c r="D1171" s="884" t="s">
        <v>4373</v>
      </c>
      <c r="E1171" s="655" t="s">
        <v>22</v>
      </c>
      <c r="F1171" s="645">
        <v>82007888</v>
      </c>
      <c r="G1171" s="562">
        <v>0</v>
      </c>
      <c r="H1171" s="645">
        <v>82007888</v>
      </c>
      <c r="I1171" s="645">
        <v>82007888</v>
      </c>
      <c r="J1171" s="562">
        <v>0</v>
      </c>
      <c r="K1171" s="645">
        <v>0</v>
      </c>
      <c r="L1171" s="645">
        <v>0</v>
      </c>
      <c r="M1171" s="645">
        <v>0</v>
      </c>
      <c r="N1171" s="645">
        <v>0</v>
      </c>
      <c r="O1171" s="451"/>
      <c r="P1171" s="453"/>
    </row>
    <row r="1172" spans="1:16" s="175" customFormat="1" ht="12.75" hidden="1" customHeight="1" x14ac:dyDescent="0.2">
      <c r="A1172" s="188"/>
      <c r="B1172" s="881"/>
      <c r="C1172" s="884"/>
      <c r="D1172" s="884" t="s">
        <v>4373</v>
      </c>
      <c r="E1172" s="655" t="s">
        <v>1557</v>
      </c>
      <c r="F1172" s="645">
        <v>409140788</v>
      </c>
      <c r="G1172" s="562">
        <v>0</v>
      </c>
      <c r="H1172" s="645">
        <v>409140788</v>
      </c>
      <c r="I1172" s="645">
        <v>409140788</v>
      </c>
      <c r="J1172" s="562">
        <v>0</v>
      </c>
      <c r="K1172" s="645">
        <v>0</v>
      </c>
      <c r="L1172" s="645">
        <v>0</v>
      </c>
      <c r="M1172" s="645">
        <v>0</v>
      </c>
      <c r="N1172" s="645">
        <v>0</v>
      </c>
      <c r="O1172" s="451"/>
      <c r="P1172" s="453"/>
    </row>
    <row r="1173" spans="1:16" s="175" customFormat="1" ht="12.75" customHeight="1" x14ac:dyDescent="0.2">
      <c r="A1173" s="188"/>
      <c r="B1173" s="881"/>
      <c r="C1173" s="884" t="s">
        <v>3532</v>
      </c>
      <c r="D1173" s="884" t="s">
        <v>1120</v>
      </c>
      <c r="E1173" s="655" t="s">
        <v>26</v>
      </c>
      <c r="F1173" s="645">
        <v>149225350</v>
      </c>
      <c r="G1173" s="562">
        <v>149225350</v>
      </c>
      <c r="H1173" s="645">
        <v>0</v>
      </c>
      <c r="I1173" s="645">
        <v>0</v>
      </c>
      <c r="J1173" s="562">
        <v>0</v>
      </c>
      <c r="K1173" s="645">
        <v>0</v>
      </c>
      <c r="L1173" s="645">
        <v>0</v>
      </c>
      <c r="M1173" s="645">
        <v>0</v>
      </c>
      <c r="N1173" s="645">
        <v>0</v>
      </c>
      <c r="O1173" s="451"/>
      <c r="P1173" s="453"/>
    </row>
    <row r="1174" spans="1:16" s="175" customFormat="1" ht="12.75" hidden="1" customHeight="1" x14ac:dyDescent="0.2">
      <c r="A1174" s="188"/>
      <c r="B1174" s="881"/>
      <c r="C1174" s="884"/>
      <c r="D1174" s="884" t="s">
        <v>1120</v>
      </c>
      <c r="E1174" s="655" t="s">
        <v>1557</v>
      </c>
      <c r="F1174" s="645">
        <v>170215625</v>
      </c>
      <c r="G1174" s="562">
        <v>0</v>
      </c>
      <c r="H1174" s="645">
        <v>170215625</v>
      </c>
      <c r="I1174" s="645">
        <v>0</v>
      </c>
      <c r="J1174" s="562">
        <v>170215625</v>
      </c>
      <c r="K1174" s="645">
        <v>170215625</v>
      </c>
      <c r="L1174" s="645">
        <v>0</v>
      </c>
      <c r="M1174" s="645">
        <v>0</v>
      </c>
      <c r="N1174" s="645">
        <v>0</v>
      </c>
      <c r="O1174" s="451"/>
      <c r="P1174" s="453"/>
    </row>
    <row r="1175" spans="1:16" s="175" customFormat="1" ht="12.75" customHeight="1" x14ac:dyDescent="0.2">
      <c r="A1175" s="188"/>
      <c r="B1175" s="881"/>
      <c r="C1175" s="884" t="s">
        <v>3533</v>
      </c>
      <c r="D1175" s="884" t="s">
        <v>1148</v>
      </c>
      <c r="E1175" s="655" t="s">
        <v>26</v>
      </c>
      <c r="F1175" s="645">
        <v>120041250</v>
      </c>
      <c r="G1175" s="562">
        <v>120041250</v>
      </c>
      <c r="H1175" s="645">
        <v>0</v>
      </c>
      <c r="I1175" s="645">
        <v>0</v>
      </c>
      <c r="J1175" s="562">
        <v>0</v>
      </c>
      <c r="K1175" s="645">
        <v>0</v>
      </c>
      <c r="L1175" s="645">
        <v>0</v>
      </c>
      <c r="M1175" s="645">
        <v>0</v>
      </c>
      <c r="N1175" s="645">
        <v>0</v>
      </c>
      <c r="O1175" s="451"/>
      <c r="P1175" s="453"/>
    </row>
    <row r="1176" spans="1:16" s="175" customFormat="1" ht="12.75" hidden="1" customHeight="1" x14ac:dyDescent="0.2">
      <c r="A1176" s="188"/>
      <c r="B1176" s="881"/>
      <c r="C1176" s="884"/>
      <c r="D1176" s="884" t="s">
        <v>1148</v>
      </c>
      <c r="E1176" s="655" t="s">
        <v>1557</v>
      </c>
      <c r="F1176" s="645">
        <v>280096250</v>
      </c>
      <c r="G1176" s="562">
        <v>0</v>
      </c>
      <c r="H1176" s="645">
        <v>280096250</v>
      </c>
      <c r="I1176" s="645">
        <v>0</v>
      </c>
      <c r="J1176" s="562">
        <v>280096250</v>
      </c>
      <c r="K1176" s="645">
        <v>0</v>
      </c>
      <c r="L1176" s="645">
        <v>0</v>
      </c>
      <c r="M1176" s="645">
        <v>280096250</v>
      </c>
      <c r="N1176" s="645">
        <v>0</v>
      </c>
      <c r="O1176" s="451"/>
      <c r="P1176" s="453"/>
    </row>
    <row r="1177" spans="1:16" s="175" customFormat="1" ht="12.75" customHeight="1" x14ac:dyDescent="0.2">
      <c r="A1177" s="188"/>
      <c r="B1177" s="881"/>
      <c r="C1177" s="884" t="s">
        <v>3534</v>
      </c>
      <c r="D1177" s="884" t="s">
        <v>1091</v>
      </c>
      <c r="E1177" s="655" t="s">
        <v>26</v>
      </c>
      <c r="F1177" s="645">
        <v>251584831</v>
      </c>
      <c r="G1177" s="562">
        <v>163776514</v>
      </c>
      <c r="H1177" s="645">
        <v>87808317</v>
      </c>
      <c r="I1177" s="645">
        <v>0</v>
      </c>
      <c r="J1177" s="562">
        <v>87808317</v>
      </c>
      <c r="K1177" s="645">
        <v>87808317</v>
      </c>
      <c r="L1177" s="645">
        <v>0</v>
      </c>
      <c r="M1177" s="645">
        <v>0</v>
      </c>
      <c r="N1177" s="645">
        <v>0</v>
      </c>
      <c r="O1177" s="451"/>
      <c r="P1177" s="453"/>
    </row>
    <row r="1178" spans="1:16" s="175" customFormat="1" ht="12.75" hidden="1" customHeight="1" x14ac:dyDescent="0.2">
      <c r="A1178" s="188"/>
      <c r="B1178" s="881"/>
      <c r="C1178" s="884"/>
      <c r="D1178" s="884" t="s">
        <v>1091</v>
      </c>
      <c r="E1178" s="655" t="s">
        <v>1557</v>
      </c>
      <c r="F1178" s="645">
        <v>140125991</v>
      </c>
      <c r="G1178" s="562">
        <v>0</v>
      </c>
      <c r="H1178" s="645">
        <v>140125991</v>
      </c>
      <c r="I1178" s="645">
        <v>0</v>
      </c>
      <c r="J1178" s="562">
        <v>140125991</v>
      </c>
      <c r="K1178" s="645">
        <v>140125991</v>
      </c>
      <c r="L1178" s="645">
        <v>0</v>
      </c>
      <c r="M1178" s="645">
        <v>0</v>
      </c>
      <c r="N1178" s="645">
        <v>0</v>
      </c>
      <c r="O1178" s="451"/>
      <c r="P1178" s="453"/>
    </row>
    <row r="1179" spans="1:16" s="175" customFormat="1" ht="12.75" customHeight="1" x14ac:dyDescent="0.2">
      <c r="A1179" s="188"/>
      <c r="B1179" s="881"/>
      <c r="C1179" s="884"/>
      <c r="D1179" s="884" t="s">
        <v>1091</v>
      </c>
      <c r="E1179" s="655" t="s">
        <v>195</v>
      </c>
      <c r="F1179" s="645">
        <v>1069140</v>
      </c>
      <c r="G1179" s="562">
        <v>1069140</v>
      </c>
      <c r="H1179" s="645">
        <v>0</v>
      </c>
      <c r="I1179" s="645">
        <v>0</v>
      </c>
      <c r="J1179" s="562">
        <v>0</v>
      </c>
      <c r="K1179" s="645">
        <v>0</v>
      </c>
      <c r="L1179" s="645">
        <v>0</v>
      </c>
      <c r="M1179" s="645">
        <v>0</v>
      </c>
      <c r="N1179" s="645">
        <v>0</v>
      </c>
      <c r="O1179" s="451"/>
      <c r="P1179" s="453"/>
    </row>
    <row r="1180" spans="1:16" s="175" customFormat="1" ht="12.75" customHeight="1" x14ac:dyDescent="0.2">
      <c r="A1180" s="188"/>
      <c r="B1180" s="881"/>
      <c r="C1180" s="884"/>
      <c r="D1180" s="884" t="s">
        <v>1091</v>
      </c>
      <c r="E1180" s="655" t="s">
        <v>1221</v>
      </c>
      <c r="F1180" s="645">
        <v>1931850</v>
      </c>
      <c r="G1180" s="562">
        <v>1931850</v>
      </c>
      <c r="H1180" s="645">
        <v>0</v>
      </c>
      <c r="I1180" s="645">
        <v>0</v>
      </c>
      <c r="J1180" s="562">
        <v>0</v>
      </c>
      <c r="K1180" s="645">
        <v>0</v>
      </c>
      <c r="L1180" s="645">
        <v>0</v>
      </c>
      <c r="M1180" s="645">
        <v>0</v>
      </c>
      <c r="N1180" s="645">
        <v>0</v>
      </c>
      <c r="O1180" s="451"/>
      <c r="P1180" s="453"/>
    </row>
    <row r="1181" spans="1:16" s="175" customFormat="1" ht="12.75" customHeight="1" x14ac:dyDescent="0.2">
      <c r="A1181" s="188"/>
      <c r="B1181" s="881"/>
      <c r="C1181" s="884" t="s">
        <v>3535</v>
      </c>
      <c r="D1181" s="884" t="s">
        <v>1237</v>
      </c>
      <c r="E1181" s="655" t="s">
        <v>26</v>
      </c>
      <c r="F1181" s="645">
        <v>102859704</v>
      </c>
      <c r="G1181" s="562">
        <v>102859704</v>
      </c>
      <c r="H1181" s="645">
        <v>0</v>
      </c>
      <c r="I1181" s="645">
        <v>0</v>
      </c>
      <c r="J1181" s="562">
        <v>0</v>
      </c>
      <c r="K1181" s="645">
        <v>0</v>
      </c>
      <c r="L1181" s="645">
        <v>0</v>
      </c>
      <c r="M1181" s="645">
        <v>0</v>
      </c>
      <c r="N1181" s="645">
        <v>0</v>
      </c>
      <c r="O1181" s="451"/>
      <c r="P1181" s="453"/>
    </row>
    <row r="1182" spans="1:16" s="175" customFormat="1" ht="12.75" hidden="1" customHeight="1" x14ac:dyDescent="0.2">
      <c r="A1182" s="188"/>
      <c r="B1182" s="881"/>
      <c r="C1182" s="884"/>
      <c r="D1182" s="884" t="s">
        <v>1237</v>
      </c>
      <c r="E1182" s="655" t="s">
        <v>1557</v>
      </c>
      <c r="F1182" s="645">
        <v>238941500</v>
      </c>
      <c r="G1182" s="562">
        <v>205634</v>
      </c>
      <c r="H1182" s="645">
        <v>238735866</v>
      </c>
      <c r="I1182" s="645">
        <v>0</v>
      </c>
      <c r="J1182" s="562">
        <v>238735866</v>
      </c>
      <c r="K1182" s="645">
        <v>0</v>
      </c>
      <c r="L1182" s="645">
        <v>0</v>
      </c>
      <c r="M1182" s="645">
        <v>238735866</v>
      </c>
      <c r="N1182" s="645">
        <v>0</v>
      </c>
      <c r="O1182" s="451"/>
      <c r="P1182" s="453"/>
    </row>
    <row r="1183" spans="1:16" s="175" customFormat="1" ht="12.75" customHeight="1" x14ac:dyDescent="0.2">
      <c r="A1183" s="188"/>
      <c r="B1183" s="881"/>
      <c r="C1183" s="884"/>
      <c r="D1183" s="884" t="s">
        <v>1237</v>
      </c>
      <c r="E1183" s="655" t="s">
        <v>195</v>
      </c>
      <c r="F1183" s="645">
        <v>139271</v>
      </c>
      <c r="G1183" s="562">
        <v>139271</v>
      </c>
      <c r="H1183" s="645">
        <v>0</v>
      </c>
      <c r="I1183" s="645">
        <v>0</v>
      </c>
      <c r="J1183" s="562">
        <v>0</v>
      </c>
      <c r="K1183" s="645">
        <v>0</v>
      </c>
      <c r="L1183" s="645">
        <v>0</v>
      </c>
      <c r="M1183" s="645">
        <v>0</v>
      </c>
      <c r="N1183" s="645">
        <v>0</v>
      </c>
      <c r="O1183" s="451"/>
      <c r="P1183" s="453"/>
    </row>
    <row r="1184" spans="1:16" s="175" customFormat="1" ht="12.75" customHeight="1" x14ac:dyDescent="0.2">
      <c r="A1184" s="188"/>
      <c r="B1184" s="881"/>
      <c r="C1184" s="884" t="s">
        <v>3536</v>
      </c>
      <c r="D1184" s="884" t="s">
        <v>1529</v>
      </c>
      <c r="E1184" s="655" t="s">
        <v>26</v>
      </c>
      <c r="F1184" s="645">
        <v>134691005</v>
      </c>
      <c r="G1184" s="562">
        <v>134691005</v>
      </c>
      <c r="H1184" s="645">
        <v>0</v>
      </c>
      <c r="I1184" s="645">
        <v>0</v>
      </c>
      <c r="J1184" s="562">
        <v>0</v>
      </c>
      <c r="K1184" s="645">
        <v>0</v>
      </c>
      <c r="L1184" s="645">
        <v>0</v>
      </c>
      <c r="M1184" s="645">
        <v>0</v>
      </c>
      <c r="N1184" s="645">
        <v>0</v>
      </c>
      <c r="O1184" s="451"/>
      <c r="P1184" s="453"/>
    </row>
    <row r="1185" spans="1:16" s="175" customFormat="1" ht="12.75" hidden="1" customHeight="1" x14ac:dyDescent="0.2">
      <c r="A1185" s="188"/>
      <c r="B1185" s="881"/>
      <c r="C1185" s="884"/>
      <c r="D1185" s="884" t="s">
        <v>1529</v>
      </c>
      <c r="E1185" s="655" t="s">
        <v>1557</v>
      </c>
      <c r="F1185" s="645">
        <v>305777241</v>
      </c>
      <c r="G1185" s="562">
        <v>0</v>
      </c>
      <c r="H1185" s="645">
        <v>305777241</v>
      </c>
      <c r="I1185" s="645">
        <v>0</v>
      </c>
      <c r="J1185" s="562">
        <v>305777241</v>
      </c>
      <c r="K1185" s="645">
        <v>305777241</v>
      </c>
      <c r="L1185" s="645">
        <v>0</v>
      </c>
      <c r="M1185" s="645">
        <v>0</v>
      </c>
      <c r="N1185" s="645">
        <v>0</v>
      </c>
      <c r="O1185" s="451"/>
      <c r="P1185" s="453"/>
    </row>
    <row r="1186" spans="1:16" s="175" customFormat="1" ht="12.75" customHeight="1" x14ac:dyDescent="0.2">
      <c r="A1186" s="188"/>
      <c r="B1186" s="881"/>
      <c r="C1186" s="884" t="s">
        <v>3537</v>
      </c>
      <c r="D1186" s="884" t="s">
        <v>4374</v>
      </c>
      <c r="E1186" s="655" t="s">
        <v>26</v>
      </c>
      <c r="F1186" s="645">
        <v>84759863</v>
      </c>
      <c r="G1186" s="562">
        <v>41623596</v>
      </c>
      <c r="H1186" s="645">
        <v>43136267</v>
      </c>
      <c r="I1186" s="645">
        <v>43136267</v>
      </c>
      <c r="J1186" s="562">
        <v>0</v>
      </c>
      <c r="K1186" s="645">
        <v>0</v>
      </c>
      <c r="L1186" s="645">
        <v>0</v>
      </c>
      <c r="M1186" s="645">
        <v>0</v>
      </c>
      <c r="N1186" s="645">
        <v>0</v>
      </c>
      <c r="O1186" s="451"/>
      <c r="P1186" s="453"/>
    </row>
    <row r="1187" spans="1:16" s="175" customFormat="1" ht="12.75" hidden="1" customHeight="1" x14ac:dyDescent="0.2">
      <c r="A1187" s="188"/>
      <c r="B1187" s="881"/>
      <c r="C1187" s="884"/>
      <c r="D1187" s="884" t="s">
        <v>4374</v>
      </c>
      <c r="E1187" s="655" t="s">
        <v>1557</v>
      </c>
      <c r="F1187" s="645">
        <v>345090137</v>
      </c>
      <c r="G1187" s="562">
        <v>0</v>
      </c>
      <c r="H1187" s="645">
        <v>345090137</v>
      </c>
      <c r="I1187" s="645">
        <v>345090137</v>
      </c>
      <c r="J1187" s="562">
        <v>0</v>
      </c>
      <c r="K1187" s="645">
        <v>0</v>
      </c>
      <c r="L1187" s="645">
        <v>0</v>
      </c>
      <c r="M1187" s="645">
        <v>0</v>
      </c>
      <c r="N1187" s="645">
        <v>0</v>
      </c>
      <c r="O1187" s="451"/>
      <c r="P1187" s="453"/>
    </row>
    <row r="1188" spans="1:16" s="175" customFormat="1" ht="12.75" customHeight="1" x14ac:dyDescent="0.2">
      <c r="A1188" s="188"/>
      <c r="B1188" s="881"/>
      <c r="C1188" s="884"/>
      <c r="D1188" s="884" t="s">
        <v>4374</v>
      </c>
      <c r="E1188" s="655" t="s">
        <v>1221</v>
      </c>
      <c r="F1188" s="645">
        <v>1512671</v>
      </c>
      <c r="G1188" s="562">
        <v>1512671</v>
      </c>
      <c r="H1188" s="645">
        <v>0</v>
      </c>
      <c r="I1188" s="645">
        <v>0</v>
      </c>
      <c r="J1188" s="562">
        <v>0</v>
      </c>
      <c r="K1188" s="645">
        <v>0</v>
      </c>
      <c r="L1188" s="645">
        <v>0</v>
      </c>
      <c r="M1188" s="645">
        <v>0</v>
      </c>
      <c r="N1188" s="645">
        <v>0</v>
      </c>
      <c r="O1188" s="451"/>
      <c r="P1188" s="453"/>
    </row>
    <row r="1189" spans="1:16" s="175" customFormat="1" ht="12.75" customHeight="1" x14ac:dyDescent="0.2">
      <c r="A1189" s="188"/>
      <c r="B1189" s="881"/>
      <c r="C1189" s="884" t="s">
        <v>3538</v>
      </c>
      <c r="D1189" s="884" t="s">
        <v>4375</v>
      </c>
      <c r="E1189" s="655" t="s">
        <v>26</v>
      </c>
      <c r="F1189" s="645">
        <v>121691250</v>
      </c>
      <c r="G1189" s="562">
        <v>121691250</v>
      </c>
      <c r="H1189" s="645">
        <v>0</v>
      </c>
      <c r="I1189" s="645">
        <v>0</v>
      </c>
      <c r="J1189" s="562">
        <v>0</v>
      </c>
      <c r="K1189" s="645">
        <v>0</v>
      </c>
      <c r="L1189" s="645">
        <v>0</v>
      </c>
      <c r="M1189" s="645">
        <v>0</v>
      </c>
      <c r="N1189" s="645">
        <v>0</v>
      </c>
      <c r="O1189" s="451"/>
      <c r="P1189" s="453"/>
    </row>
    <row r="1190" spans="1:16" s="175" customFormat="1" ht="12.75" hidden="1" customHeight="1" x14ac:dyDescent="0.2">
      <c r="A1190" s="188"/>
      <c r="B1190" s="881"/>
      <c r="C1190" s="884"/>
      <c r="D1190" s="884" t="s">
        <v>4375</v>
      </c>
      <c r="E1190" s="655" t="s">
        <v>1557</v>
      </c>
      <c r="F1190" s="645">
        <v>283946250</v>
      </c>
      <c r="G1190" s="562">
        <v>2759711</v>
      </c>
      <c r="H1190" s="645">
        <v>281186539</v>
      </c>
      <c r="I1190" s="645">
        <v>0</v>
      </c>
      <c r="J1190" s="562">
        <v>281186539</v>
      </c>
      <c r="K1190" s="645">
        <v>0</v>
      </c>
      <c r="L1190" s="645">
        <v>0</v>
      </c>
      <c r="M1190" s="645">
        <v>281186539</v>
      </c>
      <c r="N1190" s="645">
        <v>0</v>
      </c>
      <c r="O1190" s="451"/>
      <c r="P1190" s="453"/>
    </row>
    <row r="1191" spans="1:16" s="175" customFormat="1" ht="12.75" customHeight="1" x14ac:dyDescent="0.2">
      <c r="A1191" s="188"/>
      <c r="B1191" s="881"/>
      <c r="C1191" s="884"/>
      <c r="D1191" s="884" t="s">
        <v>4375</v>
      </c>
      <c r="E1191" s="655" t="s">
        <v>195</v>
      </c>
      <c r="F1191" s="645">
        <v>159643</v>
      </c>
      <c r="G1191" s="562">
        <v>159643</v>
      </c>
      <c r="H1191" s="645">
        <v>0</v>
      </c>
      <c r="I1191" s="645">
        <v>0</v>
      </c>
      <c r="J1191" s="562">
        <v>0</v>
      </c>
      <c r="K1191" s="645">
        <v>0</v>
      </c>
      <c r="L1191" s="645">
        <v>0</v>
      </c>
      <c r="M1191" s="645">
        <v>0</v>
      </c>
      <c r="N1191" s="645">
        <v>0</v>
      </c>
      <c r="O1191" s="451"/>
      <c r="P1191" s="453"/>
    </row>
    <row r="1192" spans="1:16" s="175" customFormat="1" ht="12.75" customHeight="1" x14ac:dyDescent="0.2">
      <c r="A1192" s="188"/>
      <c r="B1192" s="881"/>
      <c r="C1192" s="884" t="s">
        <v>3539</v>
      </c>
      <c r="D1192" s="884" t="s">
        <v>1596</v>
      </c>
      <c r="E1192" s="655" t="s">
        <v>26</v>
      </c>
      <c r="F1192" s="645">
        <v>401252145</v>
      </c>
      <c r="G1192" s="562">
        <v>401252145</v>
      </c>
      <c r="H1192" s="645">
        <v>0</v>
      </c>
      <c r="I1192" s="645">
        <v>0</v>
      </c>
      <c r="J1192" s="562">
        <v>0</v>
      </c>
      <c r="K1192" s="645">
        <v>0</v>
      </c>
      <c r="L1192" s="645">
        <v>0</v>
      </c>
      <c r="M1192" s="645">
        <v>0</v>
      </c>
      <c r="N1192" s="645">
        <v>0</v>
      </c>
      <c r="O1192" s="451"/>
      <c r="P1192" s="453"/>
    </row>
    <row r="1193" spans="1:16" s="175" customFormat="1" ht="12.75" customHeight="1" x14ac:dyDescent="0.2">
      <c r="A1193" s="188"/>
      <c r="B1193" s="881"/>
      <c r="C1193" s="884"/>
      <c r="D1193" s="884" t="s">
        <v>1596</v>
      </c>
      <c r="E1193" s="655" t="s">
        <v>3212</v>
      </c>
      <c r="F1193" s="645">
        <v>98372</v>
      </c>
      <c r="G1193" s="562">
        <v>98372</v>
      </c>
      <c r="H1193" s="645">
        <v>0</v>
      </c>
      <c r="I1193" s="645">
        <v>0</v>
      </c>
      <c r="J1193" s="562">
        <v>0</v>
      </c>
      <c r="K1193" s="645">
        <v>0</v>
      </c>
      <c r="L1193" s="645">
        <v>0</v>
      </c>
      <c r="M1193" s="645">
        <v>0</v>
      </c>
      <c r="N1193" s="645">
        <v>0</v>
      </c>
      <c r="O1193" s="451"/>
      <c r="P1193" s="453"/>
    </row>
    <row r="1194" spans="1:16" s="175" customFormat="1" ht="12.75" customHeight="1" x14ac:dyDescent="0.2">
      <c r="A1194" s="188"/>
      <c r="B1194" s="881"/>
      <c r="C1194" s="884" t="s">
        <v>3540</v>
      </c>
      <c r="D1194" s="884" t="s">
        <v>1348</v>
      </c>
      <c r="E1194" s="655" t="s">
        <v>26</v>
      </c>
      <c r="F1194" s="645">
        <v>105296250</v>
      </c>
      <c r="G1194" s="562">
        <v>105296250</v>
      </c>
      <c r="H1194" s="645">
        <v>0</v>
      </c>
      <c r="I1194" s="645">
        <v>0</v>
      </c>
      <c r="J1194" s="562">
        <v>0</v>
      </c>
      <c r="K1194" s="645">
        <v>0</v>
      </c>
      <c r="L1194" s="645">
        <v>0</v>
      </c>
      <c r="M1194" s="645">
        <v>0</v>
      </c>
      <c r="N1194" s="645">
        <v>0</v>
      </c>
      <c r="O1194" s="451"/>
      <c r="P1194" s="453"/>
    </row>
    <row r="1195" spans="1:16" s="175" customFormat="1" ht="12.75" hidden="1" customHeight="1" x14ac:dyDescent="0.2">
      <c r="A1195" s="188"/>
      <c r="B1195" s="881"/>
      <c r="C1195" s="884"/>
      <c r="D1195" s="884" t="s">
        <v>1348</v>
      </c>
      <c r="E1195" s="655" t="s">
        <v>1557</v>
      </c>
      <c r="F1195" s="645">
        <v>245691250</v>
      </c>
      <c r="G1195" s="562">
        <v>2670679</v>
      </c>
      <c r="H1195" s="645">
        <v>243020571</v>
      </c>
      <c r="I1195" s="645">
        <v>0</v>
      </c>
      <c r="J1195" s="562">
        <v>243020571</v>
      </c>
      <c r="K1195" s="645">
        <v>0</v>
      </c>
      <c r="L1195" s="645">
        <v>0</v>
      </c>
      <c r="M1195" s="645">
        <v>243020571</v>
      </c>
      <c r="N1195" s="645">
        <v>0</v>
      </c>
      <c r="O1195" s="451"/>
      <c r="P1195" s="453"/>
    </row>
    <row r="1196" spans="1:16" s="175" customFormat="1" ht="12.75" customHeight="1" x14ac:dyDescent="0.2">
      <c r="A1196" s="188"/>
      <c r="B1196" s="881"/>
      <c r="C1196" s="884"/>
      <c r="D1196" s="884" t="s">
        <v>1348</v>
      </c>
      <c r="E1196" s="655" t="s">
        <v>195</v>
      </c>
      <c r="F1196" s="645">
        <v>816646</v>
      </c>
      <c r="G1196" s="562">
        <v>816646</v>
      </c>
      <c r="H1196" s="645">
        <v>0</v>
      </c>
      <c r="I1196" s="645">
        <v>0</v>
      </c>
      <c r="J1196" s="562">
        <v>0</v>
      </c>
      <c r="K1196" s="645">
        <v>0</v>
      </c>
      <c r="L1196" s="645">
        <v>0</v>
      </c>
      <c r="M1196" s="645">
        <v>0</v>
      </c>
      <c r="N1196" s="645">
        <v>0</v>
      </c>
      <c r="O1196" s="451"/>
      <c r="P1196" s="453"/>
    </row>
    <row r="1197" spans="1:16" s="175" customFormat="1" ht="12.75" customHeight="1" x14ac:dyDescent="0.2">
      <c r="A1197" s="188"/>
      <c r="B1197" s="881"/>
      <c r="C1197" s="884"/>
      <c r="D1197" s="884" t="s">
        <v>1348</v>
      </c>
      <c r="E1197" s="655" t="s">
        <v>1221</v>
      </c>
      <c r="F1197" s="645">
        <v>1512675</v>
      </c>
      <c r="G1197" s="562">
        <v>1512675</v>
      </c>
      <c r="H1197" s="645">
        <v>0</v>
      </c>
      <c r="I1197" s="645">
        <v>0</v>
      </c>
      <c r="J1197" s="562">
        <v>0</v>
      </c>
      <c r="K1197" s="645">
        <v>0</v>
      </c>
      <c r="L1197" s="645">
        <v>0</v>
      </c>
      <c r="M1197" s="645">
        <v>0</v>
      </c>
      <c r="N1197" s="645">
        <v>0</v>
      </c>
      <c r="O1197" s="451"/>
      <c r="P1197" s="453"/>
    </row>
    <row r="1198" spans="1:16" s="175" customFormat="1" ht="12.75" customHeight="1" x14ac:dyDescent="0.2">
      <c r="A1198" s="188"/>
      <c r="B1198" s="881"/>
      <c r="C1198" s="884" t="s">
        <v>3541</v>
      </c>
      <c r="D1198" s="884" t="s">
        <v>1184</v>
      </c>
      <c r="E1198" s="655" t="s">
        <v>26</v>
      </c>
      <c r="F1198" s="645">
        <v>114509335</v>
      </c>
      <c r="G1198" s="562">
        <v>114509335</v>
      </c>
      <c r="H1198" s="645">
        <v>0</v>
      </c>
      <c r="I1198" s="645">
        <v>0</v>
      </c>
      <c r="J1198" s="562">
        <v>0</v>
      </c>
      <c r="K1198" s="645">
        <v>0</v>
      </c>
      <c r="L1198" s="645">
        <v>0</v>
      </c>
      <c r="M1198" s="645">
        <v>0</v>
      </c>
      <c r="N1198" s="645">
        <v>0</v>
      </c>
      <c r="O1198" s="451"/>
      <c r="P1198" s="453"/>
    </row>
    <row r="1199" spans="1:16" s="175" customFormat="1" ht="12.75" hidden="1" customHeight="1" x14ac:dyDescent="0.2">
      <c r="A1199" s="188"/>
      <c r="B1199" s="881"/>
      <c r="C1199" s="884"/>
      <c r="D1199" s="884" t="s">
        <v>1184</v>
      </c>
      <c r="E1199" s="655" t="s">
        <v>1557</v>
      </c>
      <c r="F1199" s="645">
        <v>263302827</v>
      </c>
      <c r="G1199" s="562">
        <v>0</v>
      </c>
      <c r="H1199" s="645">
        <v>263302827</v>
      </c>
      <c r="I1199" s="645">
        <v>0</v>
      </c>
      <c r="J1199" s="562">
        <v>263302827</v>
      </c>
      <c r="K1199" s="645">
        <v>263302827</v>
      </c>
      <c r="L1199" s="645">
        <v>0</v>
      </c>
      <c r="M1199" s="645">
        <v>0</v>
      </c>
      <c r="N1199" s="645">
        <v>0</v>
      </c>
      <c r="O1199" s="451"/>
      <c r="P1199" s="453"/>
    </row>
    <row r="1200" spans="1:16" s="175" customFormat="1" ht="12.75" customHeight="1" x14ac:dyDescent="0.2">
      <c r="A1200" s="188"/>
      <c r="B1200" s="881"/>
      <c r="C1200" s="884"/>
      <c r="D1200" s="884" t="s">
        <v>1184</v>
      </c>
      <c r="E1200" s="655" t="s">
        <v>1221</v>
      </c>
      <c r="F1200" s="645">
        <v>1931850</v>
      </c>
      <c r="G1200" s="562">
        <v>1931850</v>
      </c>
      <c r="H1200" s="645">
        <v>0</v>
      </c>
      <c r="I1200" s="645">
        <v>0</v>
      </c>
      <c r="J1200" s="562">
        <v>0</v>
      </c>
      <c r="K1200" s="645">
        <v>0</v>
      </c>
      <c r="L1200" s="645">
        <v>0</v>
      </c>
      <c r="M1200" s="645">
        <v>0</v>
      </c>
      <c r="N1200" s="645">
        <v>0</v>
      </c>
      <c r="O1200" s="451"/>
      <c r="P1200" s="453"/>
    </row>
    <row r="1201" spans="1:16" s="175" customFormat="1" ht="12.75" customHeight="1" x14ac:dyDescent="0.2">
      <c r="A1201" s="188"/>
      <c r="B1201" s="881"/>
      <c r="C1201" s="884" t="s">
        <v>3542</v>
      </c>
      <c r="D1201" s="884" t="s">
        <v>3543</v>
      </c>
      <c r="E1201" s="655" t="s">
        <v>26</v>
      </c>
      <c r="F1201" s="645">
        <v>86644190</v>
      </c>
      <c r="G1201" s="562">
        <v>15666115</v>
      </c>
      <c r="H1201" s="645">
        <v>70978075</v>
      </c>
      <c r="I1201" s="645">
        <v>69308504</v>
      </c>
      <c r="J1201" s="562">
        <v>1669571</v>
      </c>
      <c r="K1201" s="645">
        <v>1669571</v>
      </c>
      <c r="L1201" s="645">
        <v>0</v>
      </c>
      <c r="M1201" s="645">
        <v>0</v>
      </c>
      <c r="N1201" s="645">
        <v>0</v>
      </c>
      <c r="O1201" s="451"/>
      <c r="P1201" s="453"/>
    </row>
    <row r="1202" spans="1:16" s="175" customFormat="1" ht="12.75" customHeight="1" x14ac:dyDescent="0.2">
      <c r="A1202" s="188"/>
      <c r="B1202" s="881"/>
      <c r="C1202" s="884"/>
      <c r="D1202" s="884" t="s">
        <v>3543</v>
      </c>
      <c r="E1202" s="655" t="s">
        <v>22</v>
      </c>
      <c r="F1202" s="645">
        <v>13641013</v>
      </c>
      <c r="G1202" s="562">
        <v>4092303</v>
      </c>
      <c r="H1202" s="645">
        <v>9548710</v>
      </c>
      <c r="I1202" s="645">
        <v>8184609</v>
      </c>
      <c r="J1202" s="562">
        <v>1364101</v>
      </c>
      <c r="K1202" s="645">
        <v>1364101</v>
      </c>
      <c r="L1202" s="645">
        <v>0</v>
      </c>
      <c r="M1202" s="645">
        <v>0</v>
      </c>
      <c r="N1202" s="645">
        <v>0</v>
      </c>
      <c r="O1202" s="451"/>
      <c r="P1202" s="453"/>
    </row>
    <row r="1203" spans="1:16" s="175" customFormat="1" ht="12.75" hidden="1" customHeight="1" x14ac:dyDescent="0.2">
      <c r="A1203" s="188"/>
      <c r="B1203" s="881"/>
      <c r="C1203" s="884"/>
      <c r="D1203" s="884" t="s">
        <v>3543</v>
      </c>
      <c r="E1203" s="655" t="s">
        <v>1557</v>
      </c>
      <c r="F1203" s="645">
        <v>401140810</v>
      </c>
      <c r="G1203" s="562">
        <v>0</v>
      </c>
      <c r="H1203" s="645">
        <v>401140810</v>
      </c>
      <c r="I1203" s="645">
        <v>401140810</v>
      </c>
      <c r="J1203" s="562">
        <v>0</v>
      </c>
      <c r="K1203" s="645">
        <v>0</v>
      </c>
      <c r="L1203" s="645">
        <v>0</v>
      </c>
      <c r="M1203" s="645">
        <v>0</v>
      </c>
      <c r="N1203" s="645">
        <v>0</v>
      </c>
      <c r="O1203" s="451"/>
      <c r="P1203" s="453"/>
    </row>
    <row r="1204" spans="1:16" s="175" customFormat="1" ht="12.75" customHeight="1" x14ac:dyDescent="0.2">
      <c r="A1204" s="188"/>
      <c r="B1204" s="881"/>
      <c r="C1204" s="884" t="s">
        <v>3544</v>
      </c>
      <c r="D1204" s="884" t="s">
        <v>1092</v>
      </c>
      <c r="E1204" s="655" t="s">
        <v>26</v>
      </c>
      <c r="F1204" s="645">
        <v>94836720</v>
      </c>
      <c r="G1204" s="562">
        <v>94836720</v>
      </c>
      <c r="H1204" s="645">
        <v>0</v>
      </c>
      <c r="I1204" s="645">
        <v>0</v>
      </c>
      <c r="J1204" s="562">
        <v>0</v>
      </c>
      <c r="K1204" s="645">
        <v>0</v>
      </c>
      <c r="L1204" s="645">
        <v>0</v>
      </c>
      <c r="M1204" s="645">
        <v>0</v>
      </c>
      <c r="N1204" s="645">
        <v>0</v>
      </c>
      <c r="O1204" s="451"/>
      <c r="P1204" s="453"/>
    </row>
    <row r="1205" spans="1:16" s="175" customFormat="1" ht="12.75" customHeight="1" x14ac:dyDescent="0.2">
      <c r="A1205" s="188"/>
      <c r="B1205" s="881"/>
      <c r="C1205" s="884"/>
      <c r="D1205" s="884" t="s">
        <v>1092</v>
      </c>
      <c r="E1205" s="655" t="s">
        <v>22</v>
      </c>
      <c r="F1205" s="645">
        <v>76584524</v>
      </c>
      <c r="G1205" s="562">
        <v>76584524</v>
      </c>
      <c r="H1205" s="645">
        <v>0</v>
      </c>
      <c r="I1205" s="645">
        <v>0</v>
      </c>
      <c r="J1205" s="562">
        <v>0</v>
      </c>
      <c r="K1205" s="645">
        <v>0</v>
      </c>
      <c r="L1205" s="645">
        <v>0</v>
      </c>
      <c r="M1205" s="645">
        <v>0</v>
      </c>
      <c r="N1205" s="645">
        <v>0</v>
      </c>
      <c r="O1205" s="451"/>
      <c r="P1205" s="453"/>
    </row>
    <row r="1206" spans="1:16" s="175" customFormat="1" ht="12.75" hidden="1" customHeight="1" x14ac:dyDescent="0.2">
      <c r="A1206" s="188"/>
      <c r="B1206" s="881"/>
      <c r="C1206" s="884"/>
      <c r="D1206" s="884" t="s">
        <v>1092</v>
      </c>
      <c r="E1206" s="655" t="s">
        <v>1557</v>
      </c>
      <c r="F1206" s="645">
        <v>221285680</v>
      </c>
      <c r="G1206" s="562">
        <v>221285680</v>
      </c>
      <c r="H1206" s="645">
        <v>0</v>
      </c>
      <c r="I1206" s="645">
        <v>0</v>
      </c>
      <c r="J1206" s="562">
        <v>0</v>
      </c>
      <c r="K1206" s="645">
        <v>0</v>
      </c>
      <c r="L1206" s="645">
        <v>0</v>
      </c>
      <c r="M1206" s="645">
        <v>0</v>
      </c>
      <c r="N1206" s="645">
        <v>0</v>
      </c>
      <c r="O1206" s="451"/>
      <c r="P1206" s="453"/>
    </row>
    <row r="1207" spans="1:16" s="175" customFormat="1" ht="12.75" customHeight="1" x14ac:dyDescent="0.2">
      <c r="A1207" s="188"/>
      <c r="B1207" s="881"/>
      <c r="C1207" s="884"/>
      <c r="D1207" s="884" t="s">
        <v>1092</v>
      </c>
      <c r="E1207" s="655" t="s">
        <v>1221</v>
      </c>
      <c r="F1207" s="645">
        <v>1512675</v>
      </c>
      <c r="G1207" s="562">
        <v>1512675</v>
      </c>
      <c r="H1207" s="645">
        <v>0</v>
      </c>
      <c r="I1207" s="645">
        <v>0</v>
      </c>
      <c r="J1207" s="562">
        <v>0</v>
      </c>
      <c r="K1207" s="645">
        <v>0</v>
      </c>
      <c r="L1207" s="645">
        <v>0</v>
      </c>
      <c r="M1207" s="645">
        <v>0</v>
      </c>
      <c r="N1207" s="645">
        <v>0</v>
      </c>
      <c r="O1207" s="451"/>
      <c r="P1207" s="453"/>
    </row>
    <row r="1208" spans="1:16" s="175" customFormat="1" ht="12.75" customHeight="1" x14ac:dyDescent="0.2">
      <c r="A1208" s="188"/>
      <c r="B1208" s="881"/>
      <c r="C1208" s="884" t="s">
        <v>3545</v>
      </c>
      <c r="D1208" s="884" t="s">
        <v>1172</v>
      </c>
      <c r="E1208" s="655" t="s">
        <v>26</v>
      </c>
      <c r="F1208" s="645">
        <v>124194750</v>
      </c>
      <c r="G1208" s="562">
        <v>124194750</v>
      </c>
      <c r="H1208" s="645">
        <v>0</v>
      </c>
      <c r="I1208" s="645">
        <v>0</v>
      </c>
      <c r="J1208" s="562">
        <v>0</v>
      </c>
      <c r="K1208" s="645">
        <v>0</v>
      </c>
      <c r="L1208" s="645">
        <v>0</v>
      </c>
      <c r="M1208" s="645">
        <v>0</v>
      </c>
      <c r="N1208" s="645">
        <v>0</v>
      </c>
      <c r="O1208" s="451"/>
      <c r="P1208" s="453"/>
    </row>
    <row r="1209" spans="1:16" s="175" customFormat="1" ht="12.75" customHeight="1" x14ac:dyDescent="0.2">
      <c r="A1209" s="188"/>
      <c r="B1209" s="881"/>
      <c r="C1209" s="884"/>
      <c r="D1209" s="884" t="s">
        <v>1172</v>
      </c>
      <c r="E1209" s="655" t="s">
        <v>900</v>
      </c>
      <c r="F1209" s="645">
        <v>285362272</v>
      </c>
      <c r="G1209" s="562">
        <v>285362272</v>
      </c>
      <c r="H1209" s="645">
        <v>0</v>
      </c>
      <c r="I1209" s="645">
        <v>0</v>
      </c>
      <c r="J1209" s="562">
        <v>0</v>
      </c>
      <c r="K1209" s="645">
        <v>0</v>
      </c>
      <c r="L1209" s="645">
        <v>0</v>
      </c>
      <c r="M1209" s="645">
        <v>0</v>
      </c>
      <c r="N1209" s="645">
        <v>0</v>
      </c>
      <c r="O1209" s="451"/>
      <c r="P1209" s="453"/>
    </row>
    <row r="1210" spans="1:16" s="175" customFormat="1" ht="12.75" customHeight="1" x14ac:dyDescent="0.2">
      <c r="A1210" s="188"/>
      <c r="B1210" s="881"/>
      <c r="C1210" s="884"/>
      <c r="D1210" s="884" t="s">
        <v>1172</v>
      </c>
      <c r="E1210" s="655" t="s">
        <v>3212</v>
      </c>
      <c r="F1210" s="645">
        <v>90180</v>
      </c>
      <c r="G1210" s="562">
        <v>90180</v>
      </c>
      <c r="H1210" s="645">
        <v>0</v>
      </c>
      <c r="I1210" s="645">
        <v>0</v>
      </c>
      <c r="J1210" s="562">
        <v>0</v>
      </c>
      <c r="K1210" s="645">
        <v>0</v>
      </c>
      <c r="L1210" s="645">
        <v>0</v>
      </c>
      <c r="M1210" s="645">
        <v>0</v>
      </c>
      <c r="N1210" s="645">
        <v>0</v>
      </c>
      <c r="O1210" s="451"/>
      <c r="P1210" s="453"/>
    </row>
    <row r="1211" spans="1:16" s="175" customFormat="1" ht="12.75" customHeight="1" x14ac:dyDescent="0.2">
      <c r="A1211" s="188"/>
      <c r="B1211" s="881"/>
      <c r="C1211" s="884" t="s">
        <v>3546</v>
      </c>
      <c r="D1211" s="884" t="s">
        <v>1377</v>
      </c>
      <c r="E1211" s="655" t="s">
        <v>26</v>
      </c>
      <c r="F1211" s="645">
        <v>468290260</v>
      </c>
      <c r="G1211" s="562">
        <v>468290260</v>
      </c>
      <c r="H1211" s="645">
        <v>0</v>
      </c>
      <c r="I1211" s="645">
        <v>0</v>
      </c>
      <c r="J1211" s="562">
        <v>0</v>
      </c>
      <c r="K1211" s="645">
        <v>0</v>
      </c>
      <c r="L1211" s="645">
        <v>0</v>
      </c>
      <c r="M1211" s="645">
        <v>0</v>
      </c>
      <c r="N1211" s="645">
        <v>0</v>
      </c>
      <c r="O1211" s="451"/>
      <c r="P1211" s="453"/>
    </row>
    <row r="1212" spans="1:16" s="175" customFormat="1" ht="12.75" customHeight="1" x14ac:dyDescent="0.2">
      <c r="A1212" s="188"/>
      <c r="B1212" s="881"/>
      <c r="C1212" s="884"/>
      <c r="D1212" s="884" t="s">
        <v>1377</v>
      </c>
      <c r="E1212" s="655" t="s">
        <v>3212</v>
      </c>
      <c r="F1212" s="645">
        <v>109740</v>
      </c>
      <c r="G1212" s="562">
        <v>109740</v>
      </c>
      <c r="H1212" s="645">
        <v>0</v>
      </c>
      <c r="I1212" s="645">
        <v>0</v>
      </c>
      <c r="J1212" s="562">
        <v>0</v>
      </c>
      <c r="K1212" s="645">
        <v>0</v>
      </c>
      <c r="L1212" s="645">
        <v>0</v>
      </c>
      <c r="M1212" s="645">
        <v>0</v>
      </c>
      <c r="N1212" s="645">
        <v>0</v>
      </c>
      <c r="O1212" s="451"/>
      <c r="P1212" s="453"/>
    </row>
    <row r="1213" spans="1:16" s="175" customFormat="1" ht="12.75" customHeight="1" x14ac:dyDescent="0.2">
      <c r="A1213" s="188"/>
      <c r="B1213" s="881"/>
      <c r="C1213" s="884" t="s">
        <v>3547</v>
      </c>
      <c r="D1213" s="884" t="s">
        <v>2616</v>
      </c>
      <c r="E1213" s="655" t="s">
        <v>26</v>
      </c>
      <c r="F1213" s="645">
        <v>73830760</v>
      </c>
      <c r="G1213" s="562">
        <v>56556074</v>
      </c>
      <c r="H1213" s="645">
        <v>17274686</v>
      </c>
      <c r="I1213" s="645">
        <v>13446124</v>
      </c>
      <c r="J1213" s="562">
        <v>3828562</v>
      </c>
      <c r="K1213" s="645">
        <v>3828562</v>
      </c>
      <c r="L1213" s="645">
        <v>0</v>
      </c>
      <c r="M1213" s="645">
        <v>0</v>
      </c>
      <c r="N1213" s="645">
        <v>0</v>
      </c>
      <c r="O1213" s="451"/>
      <c r="P1213" s="453"/>
    </row>
    <row r="1214" spans="1:16" s="175" customFormat="1" ht="12.75" hidden="1" customHeight="1" x14ac:dyDescent="0.2">
      <c r="A1214" s="188"/>
      <c r="B1214" s="881"/>
      <c r="C1214" s="884"/>
      <c r="D1214" s="884" t="s">
        <v>2616</v>
      </c>
      <c r="E1214" s="655" t="s">
        <v>1557</v>
      </c>
      <c r="F1214" s="645">
        <v>303049040</v>
      </c>
      <c r="G1214" s="562">
        <v>0</v>
      </c>
      <c r="H1214" s="645">
        <v>303049040</v>
      </c>
      <c r="I1214" s="645">
        <v>303049040</v>
      </c>
      <c r="J1214" s="562">
        <v>0</v>
      </c>
      <c r="K1214" s="645">
        <v>0</v>
      </c>
      <c r="L1214" s="645">
        <v>0</v>
      </c>
      <c r="M1214" s="645">
        <v>0</v>
      </c>
      <c r="N1214" s="645">
        <v>0</v>
      </c>
      <c r="O1214" s="451"/>
      <c r="P1214" s="453"/>
    </row>
    <row r="1215" spans="1:16" s="175" customFormat="1" ht="12.75" customHeight="1" x14ac:dyDescent="0.2">
      <c r="A1215" s="188"/>
      <c r="B1215" s="881"/>
      <c r="C1215" s="884"/>
      <c r="D1215" s="884" t="s">
        <v>2616</v>
      </c>
      <c r="E1215" s="655" t="s">
        <v>195</v>
      </c>
      <c r="F1215" s="645">
        <v>943926</v>
      </c>
      <c r="G1215" s="562">
        <v>943926</v>
      </c>
      <c r="H1215" s="645">
        <v>0</v>
      </c>
      <c r="I1215" s="645">
        <v>0</v>
      </c>
      <c r="J1215" s="562">
        <v>0</v>
      </c>
      <c r="K1215" s="645">
        <v>0</v>
      </c>
      <c r="L1215" s="645">
        <v>0</v>
      </c>
      <c r="M1215" s="645">
        <v>0</v>
      </c>
      <c r="N1215" s="645">
        <v>0</v>
      </c>
      <c r="O1215" s="451"/>
      <c r="P1215" s="453"/>
    </row>
    <row r="1216" spans="1:16" s="175" customFormat="1" ht="12.75" customHeight="1" x14ac:dyDescent="0.2">
      <c r="A1216" s="188"/>
      <c r="B1216" s="881"/>
      <c r="C1216" s="884"/>
      <c r="D1216" s="884" t="s">
        <v>2616</v>
      </c>
      <c r="E1216" s="655" t="s">
        <v>1221</v>
      </c>
      <c r="F1216" s="645">
        <v>1931500</v>
      </c>
      <c r="G1216" s="562">
        <v>0</v>
      </c>
      <c r="H1216" s="645">
        <v>1931500</v>
      </c>
      <c r="I1216" s="645">
        <v>1931500</v>
      </c>
      <c r="J1216" s="562">
        <v>0</v>
      </c>
      <c r="K1216" s="645">
        <v>0</v>
      </c>
      <c r="L1216" s="645">
        <v>0</v>
      </c>
      <c r="M1216" s="645">
        <v>0</v>
      </c>
      <c r="N1216" s="645">
        <v>0</v>
      </c>
      <c r="O1216" s="451"/>
      <c r="P1216" s="453"/>
    </row>
    <row r="1217" spans="1:16" s="175" customFormat="1" ht="12.75" customHeight="1" x14ac:dyDescent="0.2">
      <c r="A1217" s="188"/>
      <c r="B1217" s="881"/>
      <c r="C1217" s="884" t="s">
        <v>3548</v>
      </c>
      <c r="D1217" s="884" t="s">
        <v>1195</v>
      </c>
      <c r="E1217" s="655" t="s">
        <v>26</v>
      </c>
      <c r="F1217" s="645">
        <v>208730557</v>
      </c>
      <c r="G1217" s="562">
        <v>208730557</v>
      </c>
      <c r="H1217" s="645">
        <v>0</v>
      </c>
      <c r="I1217" s="645">
        <v>0</v>
      </c>
      <c r="J1217" s="562">
        <v>0</v>
      </c>
      <c r="K1217" s="645">
        <v>0</v>
      </c>
      <c r="L1217" s="645">
        <v>0</v>
      </c>
      <c r="M1217" s="645">
        <v>0</v>
      </c>
      <c r="N1217" s="645">
        <v>0</v>
      </c>
      <c r="O1217" s="451"/>
      <c r="P1217" s="453"/>
    </row>
    <row r="1218" spans="1:16" s="175" customFormat="1" ht="12.75" hidden="1" customHeight="1" x14ac:dyDescent="0.2">
      <c r="A1218" s="188"/>
      <c r="B1218" s="881"/>
      <c r="C1218" s="884"/>
      <c r="D1218" s="884" t="s">
        <v>1195</v>
      </c>
      <c r="E1218" s="655" t="s">
        <v>1557</v>
      </c>
      <c r="F1218" s="645">
        <v>170000000</v>
      </c>
      <c r="G1218" s="562">
        <v>0</v>
      </c>
      <c r="H1218" s="645">
        <v>170000000</v>
      </c>
      <c r="I1218" s="645">
        <v>0</v>
      </c>
      <c r="J1218" s="562">
        <v>170000000</v>
      </c>
      <c r="K1218" s="645">
        <v>170000000</v>
      </c>
      <c r="L1218" s="645">
        <v>0</v>
      </c>
      <c r="M1218" s="645">
        <v>0</v>
      </c>
      <c r="N1218" s="645">
        <v>0</v>
      </c>
      <c r="O1218" s="451"/>
      <c r="P1218" s="453"/>
    </row>
    <row r="1219" spans="1:16" s="175" customFormat="1" ht="12.75" customHeight="1" x14ac:dyDescent="0.2">
      <c r="A1219" s="188"/>
      <c r="B1219" s="881"/>
      <c r="C1219" s="884" t="s">
        <v>3549</v>
      </c>
      <c r="D1219" s="884" t="s">
        <v>1077</v>
      </c>
      <c r="E1219" s="655" t="s">
        <v>26</v>
      </c>
      <c r="F1219" s="645">
        <v>110189231</v>
      </c>
      <c r="G1219" s="562">
        <v>110189231</v>
      </c>
      <c r="H1219" s="645">
        <v>0</v>
      </c>
      <c r="I1219" s="645">
        <v>0</v>
      </c>
      <c r="J1219" s="562">
        <v>0</v>
      </c>
      <c r="K1219" s="645">
        <v>0</v>
      </c>
      <c r="L1219" s="645">
        <v>0</v>
      </c>
      <c r="M1219" s="645">
        <v>0</v>
      </c>
      <c r="N1219" s="645">
        <v>0</v>
      </c>
      <c r="O1219" s="451"/>
      <c r="P1219" s="453"/>
    </row>
    <row r="1220" spans="1:16" s="175" customFormat="1" ht="12.75" hidden="1" customHeight="1" x14ac:dyDescent="0.2">
      <c r="A1220" s="188"/>
      <c r="B1220" s="881"/>
      <c r="C1220" s="884"/>
      <c r="D1220" s="884" t="s">
        <v>1077</v>
      </c>
      <c r="E1220" s="655" t="s">
        <v>1557</v>
      </c>
      <c r="F1220" s="645">
        <v>253632400</v>
      </c>
      <c r="G1220" s="562">
        <v>0</v>
      </c>
      <c r="H1220" s="645">
        <v>253632400</v>
      </c>
      <c r="I1220" s="645">
        <v>0</v>
      </c>
      <c r="J1220" s="562">
        <v>253632400</v>
      </c>
      <c r="K1220" s="645">
        <v>253632400</v>
      </c>
      <c r="L1220" s="645">
        <v>0</v>
      </c>
      <c r="M1220" s="645">
        <v>0</v>
      </c>
      <c r="N1220" s="645">
        <v>0</v>
      </c>
      <c r="O1220" s="451"/>
      <c r="P1220" s="453"/>
    </row>
    <row r="1221" spans="1:16" s="175" customFormat="1" ht="12.75" customHeight="1" x14ac:dyDescent="0.2">
      <c r="A1221" s="188"/>
      <c r="B1221" s="881"/>
      <c r="C1221" s="884"/>
      <c r="D1221" s="884" t="s">
        <v>1077</v>
      </c>
      <c r="E1221" s="655" t="s">
        <v>195</v>
      </c>
      <c r="F1221" s="645">
        <v>9551465</v>
      </c>
      <c r="G1221" s="562">
        <v>9551465</v>
      </c>
      <c r="H1221" s="645">
        <v>0</v>
      </c>
      <c r="I1221" s="645">
        <v>0</v>
      </c>
      <c r="J1221" s="562">
        <v>0</v>
      </c>
      <c r="K1221" s="645">
        <v>0</v>
      </c>
      <c r="L1221" s="645">
        <v>0</v>
      </c>
      <c r="M1221" s="645">
        <v>0</v>
      </c>
      <c r="N1221" s="645">
        <v>0</v>
      </c>
      <c r="O1221" s="451"/>
      <c r="P1221" s="453"/>
    </row>
    <row r="1222" spans="1:16" s="175" customFormat="1" ht="12.75" customHeight="1" x14ac:dyDescent="0.2">
      <c r="A1222" s="188"/>
      <c r="B1222" s="881"/>
      <c r="C1222" s="884" t="s">
        <v>3550</v>
      </c>
      <c r="D1222" s="884" t="s">
        <v>1226</v>
      </c>
      <c r="E1222" s="655" t="s">
        <v>26</v>
      </c>
      <c r="F1222" s="645">
        <v>99357600</v>
      </c>
      <c r="G1222" s="562">
        <v>99357600</v>
      </c>
      <c r="H1222" s="645">
        <v>0</v>
      </c>
      <c r="I1222" s="645">
        <v>0</v>
      </c>
      <c r="J1222" s="562">
        <v>0</v>
      </c>
      <c r="K1222" s="645">
        <v>0</v>
      </c>
      <c r="L1222" s="645">
        <v>0</v>
      </c>
      <c r="M1222" s="645">
        <v>0</v>
      </c>
      <c r="N1222" s="645">
        <v>0</v>
      </c>
      <c r="O1222" s="451"/>
      <c r="P1222" s="453"/>
    </row>
    <row r="1223" spans="1:16" s="175" customFormat="1" ht="12.75" hidden="1" customHeight="1" x14ac:dyDescent="0.2">
      <c r="A1223" s="188"/>
      <c r="B1223" s="881"/>
      <c r="C1223" s="884"/>
      <c r="D1223" s="884" t="s">
        <v>1226</v>
      </c>
      <c r="E1223" s="655" t="s">
        <v>1557</v>
      </c>
      <c r="F1223" s="645">
        <v>231834400</v>
      </c>
      <c r="G1223" s="562">
        <v>0</v>
      </c>
      <c r="H1223" s="645">
        <v>231834400</v>
      </c>
      <c r="I1223" s="645">
        <v>0</v>
      </c>
      <c r="J1223" s="562">
        <v>231834400</v>
      </c>
      <c r="K1223" s="645">
        <v>231834400</v>
      </c>
      <c r="L1223" s="645">
        <v>0</v>
      </c>
      <c r="M1223" s="645">
        <v>0</v>
      </c>
      <c r="N1223" s="645">
        <v>0</v>
      </c>
      <c r="O1223" s="451"/>
      <c r="P1223" s="453"/>
    </row>
    <row r="1224" spans="1:16" s="175" customFormat="1" ht="12.75" customHeight="1" x14ac:dyDescent="0.2">
      <c r="A1224" s="188"/>
      <c r="B1224" s="881"/>
      <c r="C1224" s="884" t="s">
        <v>3551</v>
      </c>
      <c r="D1224" s="884" t="s">
        <v>1121</v>
      </c>
      <c r="E1224" s="655" t="s">
        <v>26</v>
      </c>
      <c r="F1224" s="645">
        <v>120139618</v>
      </c>
      <c r="G1224" s="562">
        <v>120139618</v>
      </c>
      <c r="H1224" s="645">
        <v>0</v>
      </c>
      <c r="I1224" s="645">
        <v>0</v>
      </c>
      <c r="J1224" s="562">
        <v>0</v>
      </c>
      <c r="K1224" s="645">
        <v>0</v>
      </c>
      <c r="L1224" s="645">
        <v>0</v>
      </c>
      <c r="M1224" s="645">
        <v>0</v>
      </c>
      <c r="N1224" s="645">
        <v>0</v>
      </c>
      <c r="O1224" s="451"/>
      <c r="P1224" s="453"/>
    </row>
    <row r="1225" spans="1:16" s="175" customFormat="1" ht="12.75" hidden="1" customHeight="1" x14ac:dyDescent="0.2">
      <c r="A1225" s="188"/>
      <c r="B1225" s="881"/>
      <c r="C1225" s="884"/>
      <c r="D1225" s="884" t="s">
        <v>1121</v>
      </c>
      <c r="E1225" s="655" t="s">
        <v>1557</v>
      </c>
      <c r="F1225" s="645">
        <v>278512248</v>
      </c>
      <c r="G1225" s="562">
        <v>0</v>
      </c>
      <c r="H1225" s="645">
        <v>278512248</v>
      </c>
      <c r="I1225" s="645">
        <v>0</v>
      </c>
      <c r="J1225" s="562">
        <v>278512248</v>
      </c>
      <c r="K1225" s="645">
        <v>278512248</v>
      </c>
      <c r="L1225" s="645">
        <v>0</v>
      </c>
      <c r="M1225" s="645">
        <v>0</v>
      </c>
      <c r="N1225" s="645">
        <v>0</v>
      </c>
      <c r="O1225" s="451"/>
      <c r="P1225" s="453"/>
    </row>
    <row r="1226" spans="1:16" s="175" customFormat="1" ht="12.75" customHeight="1" x14ac:dyDescent="0.2">
      <c r="A1226" s="188"/>
      <c r="B1226" s="881"/>
      <c r="C1226" s="884"/>
      <c r="D1226" s="884" t="s">
        <v>1121</v>
      </c>
      <c r="E1226" s="655" t="s">
        <v>195</v>
      </c>
      <c r="F1226" s="645">
        <v>434703</v>
      </c>
      <c r="G1226" s="562">
        <v>434703</v>
      </c>
      <c r="H1226" s="645">
        <v>0</v>
      </c>
      <c r="I1226" s="645">
        <v>0</v>
      </c>
      <c r="J1226" s="562">
        <v>0</v>
      </c>
      <c r="K1226" s="645">
        <v>0</v>
      </c>
      <c r="L1226" s="645">
        <v>0</v>
      </c>
      <c r="M1226" s="645">
        <v>0</v>
      </c>
      <c r="N1226" s="645">
        <v>0</v>
      </c>
      <c r="O1226" s="451"/>
      <c r="P1226" s="453"/>
    </row>
    <row r="1227" spans="1:16" s="175" customFormat="1" ht="12.75" customHeight="1" x14ac:dyDescent="0.2">
      <c r="A1227" s="188"/>
      <c r="B1227" s="881"/>
      <c r="C1227" s="884"/>
      <c r="D1227" s="884" t="s">
        <v>1121</v>
      </c>
      <c r="E1227" s="655" t="s">
        <v>1221</v>
      </c>
      <c r="F1227" s="645">
        <v>1931850</v>
      </c>
      <c r="G1227" s="562">
        <v>1931850</v>
      </c>
      <c r="H1227" s="645">
        <v>0</v>
      </c>
      <c r="I1227" s="645">
        <v>0</v>
      </c>
      <c r="J1227" s="562">
        <v>0</v>
      </c>
      <c r="K1227" s="645">
        <v>0</v>
      </c>
      <c r="L1227" s="645">
        <v>0</v>
      </c>
      <c r="M1227" s="645">
        <v>0</v>
      </c>
      <c r="N1227" s="645">
        <v>0</v>
      </c>
      <c r="O1227" s="451"/>
      <c r="P1227" s="453"/>
    </row>
    <row r="1228" spans="1:16" s="175" customFormat="1" ht="12.75" customHeight="1" x14ac:dyDescent="0.2">
      <c r="A1228" s="188"/>
      <c r="B1228" s="881"/>
      <c r="C1228" s="884" t="s">
        <v>3552</v>
      </c>
      <c r="D1228" s="884" t="s">
        <v>3553</v>
      </c>
      <c r="E1228" s="655" t="s">
        <v>26</v>
      </c>
      <c r="F1228" s="645">
        <v>158676000</v>
      </c>
      <c r="G1228" s="562">
        <v>49792889</v>
      </c>
      <c r="H1228" s="645">
        <v>108883111</v>
      </c>
      <c r="I1228" s="645">
        <v>108883111</v>
      </c>
      <c r="J1228" s="562">
        <v>0</v>
      </c>
      <c r="K1228" s="645">
        <v>0</v>
      </c>
      <c r="L1228" s="645">
        <v>0</v>
      </c>
      <c r="M1228" s="645">
        <v>0</v>
      </c>
      <c r="N1228" s="645">
        <v>0</v>
      </c>
      <c r="O1228" s="451"/>
      <c r="P1228" s="453"/>
    </row>
    <row r="1229" spans="1:16" s="175" customFormat="1" ht="12.75" hidden="1" customHeight="1" x14ac:dyDescent="0.2">
      <c r="A1229" s="188"/>
      <c r="B1229" s="881"/>
      <c r="C1229" s="884"/>
      <c r="D1229" s="884" t="s">
        <v>3553</v>
      </c>
      <c r="E1229" s="655" t="s">
        <v>1557</v>
      </c>
      <c r="F1229" s="645">
        <v>370244000</v>
      </c>
      <c r="G1229" s="562">
        <v>0</v>
      </c>
      <c r="H1229" s="645">
        <v>370244000</v>
      </c>
      <c r="I1229" s="645">
        <v>370244000</v>
      </c>
      <c r="J1229" s="562">
        <v>0</v>
      </c>
      <c r="K1229" s="645">
        <v>0</v>
      </c>
      <c r="L1229" s="645">
        <v>0</v>
      </c>
      <c r="M1229" s="645">
        <v>0</v>
      </c>
      <c r="N1229" s="645">
        <v>0</v>
      </c>
      <c r="O1229" s="451"/>
      <c r="P1229" s="453"/>
    </row>
    <row r="1230" spans="1:16" s="175" customFormat="1" ht="12.75" customHeight="1" x14ac:dyDescent="0.2">
      <c r="A1230" s="188"/>
      <c r="B1230" s="881"/>
      <c r="C1230" s="884" t="s">
        <v>3554</v>
      </c>
      <c r="D1230" s="884" t="s">
        <v>1473</v>
      </c>
      <c r="E1230" s="655" t="s">
        <v>26</v>
      </c>
      <c r="F1230" s="645">
        <v>83397000</v>
      </c>
      <c r="G1230" s="562">
        <v>34273875</v>
      </c>
      <c r="H1230" s="645">
        <v>49123125</v>
      </c>
      <c r="I1230" s="645">
        <v>49123125</v>
      </c>
      <c r="J1230" s="562">
        <v>0</v>
      </c>
      <c r="K1230" s="645">
        <v>0</v>
      </c>
      <c r="L1230" s="645">
        <v>0</v>
      </c>
      <c r="M1230" s="645">
        <v>0</v>
      </c>
      <c r="N1230" s="645">
        <v>0</v>
      </c>
      <c r="O1230" s="451"/>
      <c r="P1230" s="453"/>
    </row>
    <row r="1231" spans="1:16" s="175" customFormat="1" ht="12.75" hidden="1" customHeight="1" x14ac:dyDescent="0.2">
      <c r="A1231" s="188"/>
      <c r="B1231" s="881"/>
      <c r="C1231" s="884"/>
      <c r="D1231" s="884" t="s">
        <v>1473</v>
      </c>
      <c r="E1231" s="655" t="s">
        <v>1557</v>
      </c>
      <c r="F1231" s="645">
        <v>333588000</v>
      </c>
      <c r="G1231" s="562">
        <v>1083449</v>
      </c>
      <c r="H1231" s="645">
        <v>332504551</v>
      </c>
      <c r="I1231" s="645">
        <v>332504551</v>
      </c>
      <c r="J1231" s="562">
        <v>0</v>
      </c>
      <c r="K1231" s="645">
        <v>0</v>
      </c>
      <c r="L1231" s="645">
        <v>0</v>
      </c>
      <c r="M1231" s="645">
        <v>0</v>
      </c>
      <c r="N1231" s="645">
        <v>0</v>
      </c>
      <c r="O1231" s="451"/>
      <c r="P1231" s="453"/>
    </row>
    <row r="1232" spans="1:16" s="175" customFormat="1" ht="12.75" customHeight="1" x14ac:dyDescent="0.2">
      <c r="A1232" s="188"/>
      <c r="B1232" s="881"/>
      <c r="C1232" s="884" t="s">
        <v>3555</v>
      </c>
      <c r="D1232" s="884" t="s">
        <v>3439</v>
      </c>
      <c r="E1232" s="655" t="s">
        <v>26</v>
      </c>
      <c r="F1232" s="645">
        <v>97773483</v>
      </c>
      <c r="G1232" s="562">
        <v>26222240</v>
      </c>
      <c r="H1232" s="645">
        <v>71551243</v>
      </c>
      <c r="I1232" s="645">
        <v>71551243</v>
      </c>
      <c r="J1232" s="562">
        <v>0</v>
      </c>
      <c r="K1232" s="645">
        <v>0</v>
      </c>
      <c r="L1232" s="645">
        <v>0</v>
      </c>
      <c r="M1232" s="645">
        <v>0</v>
      </c>
      <c r="N1232" s="645">
        <v>0</v>
      </c>
      <c r="O1232" s="451"/>
      <c r="P1232" s="453"/>
    </row>
    <row r="1233" spans="1:16" s="175" customFormat="1" ht="12.75" hidden="1" customHeight="1" x14ac:dyDescent="0.2">
      <c r="A1233" s="188"/>
      <c r="B1233" s="881"/>
      <c r="C1233" s="884"/>
      <c r="D1233" s="884" t="s">
        <v>3439</v>
      </c>
      <c r="E1233" s="655" t="s">
        <v>1557</v>
      </c>
      <c r="F1233" s="645">
        <v>388389630</v>
      </c>
      <c r="G1233" s="562">
        <v>0</v>
      </c>
      <c r="H1233" s="645">
        <v>388389630</v>
      </c>
      <c r="I1233" s="645">
        <v>388389630</v>
      </c>
      <c r="J1233" s="562">
        <v>0</v>
      </c>
      <c r="K1233" s="645">
        <v>0</v>
      </c>
      <c r="L1233" s="645">
        <v>0</v>
      </c>
      <c r="M1233" s="645">
        <v>0</v>
      </c>
      <c r="N1233" s="645">
        <v>0</v>
      </c>
      <c r="O1233" s="451"/>
      <c r="P1233" s="453"/>
    </row>
    <row r="1234" spans="1:16" s="175" customFormat="1" ht="12.75" customHeight="1" x14ac:dyDescent="0.2">
      <c r="A1234" s="188"/>
      <c r="B1234" s="881"/>
      <c r="C1234" s="884"/>
      <c r="D1234" s="884" t="s">
        <v>3439</v>
      </c>
      <c r="E1234" s="655" t="s">
        <v>1221</v>
      </c>
      <c r="F1234" s="645">
        <v>1931850</v>
      </c>
      <c r="G1234" s="562">
        <v>0</v>
      </c>
      <c r="H1234" s="645">
        <v>1931850</v>
      </c>
      <c r="I1234" s="645">
        <v>1931850</v>
      </c>
      <c r="J1234" s="562">
        <v>0</v>
      </c>
      <c r="K1234" s="645">
        <v>0</v>
      </c>
      <c r="L1234" s="645">
        <v>0</v>
      </c>
      <c r="M1234" s="645">
        <v>0</v>
      </c>
      <c r="N1234" s="645">
        <v>0</v>
      </c>
      <c r="O1234" s="451"/>
      <c r="P1234" s="453"/>
    </row>
    <row r="1235" spans="1:16" s="175" customFormat="1" ht="12.75" customHeight="1" x14ac:dyDescent="0.2">
      <c r="A1235" s="188"/>
      <c r="B1235" s="881"/>
      <c r="C1235" s="884" t="s">
        <v>3556</v>
      </c>
      <c r="D1235" s="884" t="s">
        <v>1093</v>
      </c>
      <c r="E1235" s="655" t="s">
        <v>26</v>
      </c>
      <c r="F1235" s="645">
        <v>110462640</v>
      </c>
      <c r="G1235" s="562">
        <v>110462640</v>
      </c>
      <c r="H1235" s="645">
        <v>0</v>
      </c>
      <c r="I1235" s="645">
        <v>0</v>
      </c>
      <c r="J1235" s="562">
        <v>0</v>
      </c>
      <c r="K1235" s="645">
        <v>0</v>
      </c>
      <c r="L1235" s="645">
        <v>0</v>
      </c>
      <c r="M1235" s="645">
        <v>0</v>
      </c>
      <c r="N1235" s="645">
        <v>0</v>
      </c>
      <c r="O1235" s="451"/>
      <c r="P1235" s="453"/>
    </row>
    <row r="1236" spans="1:16" s="175" customFormat="1" ht="12.75" customHeight="1" x14ac:dyDescent="0.2">
      <c r="A1236" s="188"/>
      <c r="B1236" s="881"/>
      <c r="C1236" s="884"/>
      <c r="D1236" s="884" t="s">
        <v>1093</v>
      </c>
      <c r="E1236" s="655" t="s">
        <v>22</v>
      </c>
      <c r="F1236" s="645">
        <v>90520738</v>
      </c>
      <c r="G1236" s="562">
        <v>27156221</v>
      </c>
      <c r="H1236" s="645">
        <v>63364517</v>
      </c>
      <c r="I1236" s="645">
        <v>0</v>
      </c>
      <c r="J1236" s="562">
        <v>63364517</v>
      </c>
      <c r="K1236" s="645">
        <v>63364517</v>
      </c>
      <c r="L1236" s="645">
        <v>0</v>
      </c>
      <c r="M1236" s="645">
        <v>0</v>
      </c>
      <c r="N1236" s="645">
        <v>0</v>
      </c>
      <c r="O1236" s="451"/>
      <c r="P1236" s="453"/>
    </row>
    <row r="1237" spans="1:16" s="175" customFormat="1" ht="12.75" hidden="1" customHeight="1" x14ac:dyDescent="0.2">
      <c r="A1237" s="188"/>
      <c r="B1237" s="881"/>
      <c r="C1237" s="884"/>
      <c r="D1237" s="884" t="s">
        <v>1093</v>
      </c>
      <c r="E1237" s="655" t="s">
        <v>1557</v>
      </c>
      <c r="F1237" s="645">
        <v>257746160</v>
      </c>
      <c r="G1237" s="562">
        <v>0</v>
      </c>
      <c r="H1237" s="645">
        <v>257746160</v>
      </c>
      <c r="I1237" s="645">
        <v>0</v>
      </c>
      <c r="J1237" s="562">
        <v>257746160</v>
      </c>
      <c r="K1237" s="645">
        <v>257746160</v>
      </c>
      <c r="L1237" s="645">
        <v>0</v>
      </c>
      <c r="M1237" s="645">
        <v>0</v>
      </c>
      <c r="N1237" s="645">
        <v>0</v>
      </c>
      <c r="O1237" s="451"/>
      <c r="P1237" s="453"/>
    </row>
    <row r="1238" spans="1:16" s="175" customFormat="1" ht="12.75" customHeight="1" x14ac:dyDescent="0.2">
      <c r="A1238" s="188"/>
      <c r="B1238" s="881"/>
      <c r="C1238" s="884" t="s">
        <v>3557</v>
      </c>
      <c r="D1238" s="884" t="s">
        <v>1078</v>
      </c>
      <c r="E1238" s="655" t="s">
        <v>26</v>
      </c>
      <c r="F1238" s="645">
        <v>94021260</v>
      </c>
      <c r="G1238" s="562">
        <v>94021260</v>
      </c>
      <c r="H1238" s="645">
        <v>0</v>
      </c>
      <c r="I1238" s="645">
        <v>0</v>
      </c>
      <c r="J1238" s="562">
        <v>0</v>
      </c>
      <c r="K1238" s="645">
        <v>0</v>
      </c>
      <c r="L1238" s="645">
        <v>0</v>
      </c>
      <c r="M1238" s="645">
        <v>0</v>
      </c>
      <c r="N1238" s="645">
        <v>0</v>
      </c>
      <c r="O1238" s="451"/>
      <c r="P1238" s="453"/>
    </row>
    <row r="1239" spans="1:16" s="175" customFormat="1" ht="12.75" customHeight="1" x14ac:dyDescent="0.2">
      <c r="A1239" s="188"/>
      <c r="B1239" s="881"/>
      <c r="C1239" s="884"/>
      <c r="D1239" s="884" t="s">
        <v>1078</v>
      </c>
      <c r="E1239" s="655" t="s">
        <v>22</v>
      </c>
      <c r="F1239" s="645">
        <v>76584524</v>
      </c>
      <c r="G1239" s="562">
        <v>22945357</v>
      </c>
      <c r="H1239" s="645">
        <v>53639167</v>
      </c>
      <c r="I1239" s="645">
        <v>0</v>
      </c>
      <c r="J1239" s="562">
        <v>53639167</v>
      </c>
      <c r="K1239" s="645">
        <v>0</v>
      </c>
      <c r="L1239" s="645">
        <v>0</v>
      </c>
      <c r="M1239" s="645">
        <v>53639167</v>
      </c>
      <c r="N1239" s="645">
        <v>0</v>
      </c>
      <c r="O1239" s="451"/>
      <c r="P1239" s="453"/>
    </row>
    <row r="1240" spans="1:16" s="175" customFormat="1" ht="12.75" hidden="1" customHeight="1" x14ac:dyDescent="0.2">
      <c r="A1240" s="188"/>
      <c r="B1240" s="881"/>
      <c r="C1240" s="884"/>
      <c r="D1240" s="884" t="s">
        <v>1078</v>
      </c>
      <c r="E1240" s="655" t="s">
        <v>1557</v>
      </c>
      <c r="F1240" s="645">
        <v>219382940</v>
      </c>
      <c r="G1240" s="562">
        <v>5</v>
      </c>
      <c r="H1240" s="645">
        <v>219382935</v>
      </c>
      <c r="I1240" s="645">
        <v>0</v>
      </c>
      <c r="J1240" s="562">
        <v>219382935</v>
      </c>
      <c r="K1240" s="645">
        <v>0</v>
      </c>
      <c r="L1240" s="645">
        <v>0</v>
      </c>
      <c r="M1240" s="645">
        <v>219382935</v>
      </c>
      <c r="N1240" s="645">
        <v>0</v>
      </c>
      <c r="O1240" s="451"/>
      <c r="P1240" s="453"/>
    </row>
    <row r="1241" spans="1:16" s="175" customFormat="1" ht="12.75" customHeight="1" x14ac:dyDescent="0.2">
      <c r="A1241" s="188"/>
      <c r="B1241" s="881"/>
      <c r="C1241" s="884" t="s">
        <v>3558</v>
      </c>
      <c r="D1241" s="884" t="s">
        <v>2291</v>
      </c>
      <c r="E1241" s="655" t="s">
        <v>26</v>
      </c>
      <c r="F1241" s="645">
        <v>388699265</v>
      </c>
      <c r="G1241" s="562">
        <v>388699265</v>
      </c>
      <c r="H1241" s="645">
        <v>0</v>
      </c>
      <c r="I1241" s="645">
        <v>0</v>
      </c>
      <c r="J1241" s="562">
        <v>0</v>
      </c>
      <c r="K1241" s="645">
        <v>0</v>
      </c>
      <c r="L1241" s="645">
        <v>0</v>
      </c>
      <c r="M1241" s="645">
        <v>0</v>
      </c>
      <c r="N1241" s="645">
        <v>0</v>
      </c>
      <c r="O1241" s="451"/>
      <c r="P1241" s="453"/>
    </row>
    <row r="1242" spans="1:16" s="175" customFormat="1" ht="12.75" customHeight="1" x14ac:dyDescent="0.2">
      <c r="A1242" s="188"/>
      <c r="B1242" s="881"/>
      <c r="C1242" s="884"/>
      <c r="D1242" s="884" t="s">
        <v>2291</v>
      </c>
      <c r="E1242" s="655" t="s">
        <v>3212</v>
      </c>
      <c r="F1242" s="645">
        <v>99794</v>
      </c>
      <c r="G1242" s="562">
        <v>0</v>
      </c>
      <c r="H1242" s="645">
        <v>99794</v>
      </c>
      <c r="I1242" s="645">
        <v>0</v>
      </c>
      <c r="J1242" s="562">
        <v>99794</v>
      </c>
      <c r="K1242" s="645">
        <v>0</v>
      </c>
      <c r="L1242" s="645">
        <v>99794</v>
      </c>
      <c r="M1242" s="645">
        <v>0</v>
      </c>
      <c r="N1242" s="645">
        <v>0</v>
      </c>
      <c r="O1242" s="451"/>
      <c r="P1242" s="453"/>
    </row>
    <row r="1243" spans="1:16" s="175" customFormat="1" ht="12.75" customHeight="1" x14ac:dyDescent="0.2">
      <c r="A1243" s="188"/>
      <c r="B1243" s="881"/>
      <c r="C1243" s="884"/>
      <c r="D1243" s="884" t="s">
        <v>2291</v>
      </c>
      <c r="E1243" s="655" t="s">
        <v>195</v>
      </c>
      <c r="F1243" s="645">
        <v>974856</v>
      </c>
      <c r="G1243" s="562">
        <v>974856</v>
      </c>
      <c r="H1243" s="645">
        <v>0</v>
      </c>
      <c r="I1243" s="645">
        <v>0</v>
      </c>
      <c r="J1243" s="562">
        <v>0</v>
      </c>
      <c r="K1243" s="645">
        <v>0</v>
      </c>
      <c r="L1243" s="645">
        <v>0</v>
      </c>
      <c r="M1243" s="645">
        <v>0</v>
      </c>
      <c r="N1243" s="645">
        <v>0</v>
      </c>
      <c r="O1243" s="451"/>
      <c r="P1243" s="453"/>
    </row>
    <row r="1244" spans="1:16" s="175" customFormat="1" ht="12.75" customHeight="1" x14ac:dyDescent="0.2">
      <c r="A1244" s="188"/>
      <c r="B1244" s="881"/>
      <c r="C1244" s="884" t="s">
        <v>3559</v>
      </c>
      <c r="D1244" s="884" t="s">
        <v>1612</v>
      </c>
      <c r="E1244" s="655" t="s">
        <v>26</v>
      </c>
      <c r="F1244" s="645">
        <v>118319400</v>
      </c>
      <c r="G1244" s="562">
        <v>118319400</v>
      </c>
      <c r="H1244" s="645">
        <v>0</v>
      </c>
      <c r="I1244" s="645">
        <v>0</v>
      </c>
      <c r="J1244" s="562">
        <v>0</v>
      </c>
      <c r="K1244" s="645">
        <v>0</v>
      </c>
      <c r="L1244" s="645">
        <v>0</v>
      </c>
      <c r="M1244" s="645">
        <v>0</v>
      </c>
      <c r="N1244" s="645">
        <v>0</v>
      </c>
      <c r="O1244" s="451"/>
      <c r="P1244" s="453"/>
    </row>
    <row r="1245" spans="1:16" s="175" customFormat="1" ht="12.75" hidden="1" customHeight="1" x14ac:dyDescent="0.2">
      <c r="A1245" s="188"/>
      <c r="B1245" s="881"/>
      <c r="C1245" s="884"/>
      <c r="D1245" s="884" t="s">
        <v>1612</v>
      </c>
      <c r="E1245" s="655" t="s">
        <v>1557</v>
      </c>
      <c r="F1245" s="645">
        <v>276078600</v>
      </c>
      <c r="G1245" s="562">
        <v>276078600</v>
      </c>
      <c r="H1245" s="645">
        <v>0</v>
      </c>
      <c r="I1245" s="645">
        <v>0</v>
      </c>
      <c r="J1245" s="562">
        <v>0</v>
      </c>
      <c r="K1245" s="645">
        <v>0</v>
      </c>
      <c r="L1245" s="645">
        <v>0</v>
      </c>
      <c r="M1245" s="645">
        <v>0</v>
      </c>
      <c r="N1245" s="645">
        <v>0</v>
      </c>
      <c r="O1245" s="451"/>
      <c r="P1245" s="453"/>
    </row>
    <row r="1246" spans="1:16" s="175" customFormat="1" ht="12.75" customHeight="1" x14ac:dyDescent="0.2">
      <c r="A1246" s="188"/>
      <c r="B1246" s="881"/>
      <c r="C1246" s="884"/>
      <c r="D1246" s="884" t="s">
        <v>1612</v>
      </c>
      <c r="E1246" s="655" t="s">
        <v>3212</v>
      </c>
      <c r="F1246" s="645">
        <v>99367</v>
      </c>
      <c r="G1246" s="562">
        <v>99367</v>
      </c>
      <c r="H1246" s="645">
        <v>0</v>
      </c>
      <c r="I1246" s="645">
        <v>0</v>
      </c>
      <c r="J1246" s="562">
        <v>0</v>
      </c>
      <c r="K1246" s="645">
        <v>0</v>
      </c>
      <c r="L1246" s="645">
        <v>0</v>
      </c>
      <c r="M1246" s="645">
        <v>0</v>
      </c>
      <c r="N1246" s="645">
        <v>0</v>
      </c>
      <c r="O1246" s="451"/>
      <c r="P1246" s="453"/>
    </row>
    <row r="1247" spans="1:16" s="175" customFormat="1" ht="12.75" customHeight="1" x14ac:dyDescent="0.2">
      <c r="A1247" s="188"/>
      <c r="B1247" s="881"/>
      <c r="C1247" s="884"/>
      <c r="D1247" s="884" t="s">
        <v>1612</v>
      </c>
      <c r="E1247" s="655" t="s">
        <v>195</v>
      </c>
      <c r="F1247" s="645">
        <v>716248</v>
      </c>
      <c r="G1247" s="562">
        <v>716248</v>
      </c>
      <c r="H1247" s="645">
        <v>0</v>
      </c>
      <c r="I1247" s="645">
        <v>0</v>
      </c>
      <c r="J1247" s="562">
        <v>0</v>
      </c>
      <c r="K1247" s="645">
        <v>0</v>
      </c>
      <c r="L1247" s="645">
        <v>0</v>
      </c>
      <c r="M1247" s="645">
        <v>0</v>
      </c>
      <c r="N1247" s="645">
        <v>0</v>
      </c>
      <c r="O1247" s="451"/>
      <c r="P1247" s="453"/>
    </row>
    <row r="1248" spans="1:16" s="175" customFormat="1" ht="12.75" customHeight="1" x14ac:dyDescent="0.2">
      <c r="A1248" s="188"/>
      <c r="B1248" s="881"/>
      <c r="C1248" s="884" t="s">
        <v>3560</v>
      </c>
      <c r="D1248" s="884" t="s">
        <v>1079</v>
      </c>
      <c r="E1248" s="655" t="s">
        <v>26</v>
      </c>
      <c r="F1248" s="645">
        <v>93543540</v>
      </c>
      <c r="G1248" s="562">
        <v>93543540</v>
      </c>
      <c r="H1248" s="645">
        <v>0</v>
      </c>
      <c r="I1248" s="645">
        <v>0</v>
      </c>
      <c r="J1248" s="562">
        <v>0</v>
      </c>
      <c r="K1248" s="645">
        <v>0</v>
      </c>
      <c r="L1248" s="645">
        <v>0</v>
      </c>
      <c r="M1248" s="645">
        <v>0</v>
      </c>
      <c r="N1248" s="645">
        <v>0</v>
      </c>
      <c r="O1248" s="451"/>
      <c r="P1248" s="453"/>
    </row>
    <row r="1249" spans="1:16" s="175" customFormat="1" ht="12.75" customHeight="1" x14ac:dyDescent="0.2">
      <c r="A1249" s="188"/>
      <c r="B1249" s="881"/>
      <c r="C1249" s="884"/>
      <c r="D1249" s="884" t="s">
        <v>1079</v>
      </c>
      <c r="E1249" s="655" t="s">
        <v>22</v>
      </c>
      <c r="F1249" s="645">
        <v>79052085</v>
      </c>
      <c r="G1249" s="562">
        <v>23715625</v>
      </c>
      <c r="H1249" s="645">
        <v>55336460</v>
      </c>
      <c r="I1249" s="645">
        <v>0</v>
      </c>
      <c r="J1249" s="562">
        <v>55336460</v>
      </c>
      <c r="K1249" s="645">
        <v>0</v>
      </c>
      <c r="L1249" s="645">
        <v>0</v>
      </c>
      <c r="M1249" s="645">
        <v>55336460</v>
      </c>
      <c r="N1249" s="645">
        <v>0</v>
      </c>
      <c r="O1249" s="451"/>
      <c r="P1249" s="453"/>
    </row>
    <row r="1250" spans="1:16" s="175" customFormat="1" ht="12.75" hidden="1" customHeight="1" x14ac:dyDescent="0.2">
      <c r="A1250" s="188"/>
      <c r="B1250" s="881"/>
      <c r="C1250" s="884"/>
      <c r="D1250" s="884" t="s">
        <v>1079</v>
      </c>
      <c r="E1250" s="655" t="s">
        <v>1557</v>
      </c>
      <c r="F1250" s="645">
        <v>218268260</v>
      </c>
      <c r="G1250" s="562">
        <v>12284385</v>
      </c>
      <c r="H1250" s="645">
        <v>205983875</v>
      </c>
      <c r="I1250" s="645">
        <v>0</v>
      </c>
      <c r="J1250" s="562">
        <v>205983875</v>
      </c>
      <c r="K1250" s="645">
        <v>0</v>
      </c>
      <c r="L1250" s="645">
        <v>0</v>
      </c>
      <c r="M1250" s="645">
        <v>205983875</v>
      </c>
      <c r="N1250" s="645">
        <v>0</v>
      </c>
      <c r="O1250" s="451"/>
      <c r="P1250" s="453"/>
    </row>
    <row r="1251" spans="1:16" s="175" customFormat="1" ht="12.75" customHeight="1" x14ac:dyDescent="0.2">
      <c r="A1251" s="188"/>
      <c r="B1251" s="881"/>
      <c r="C1251" s="884" t="s">
        <v>3561</v>
      </c>
      <c r="D1251" s="884" t="s">
        <v>1185</v>
      </c>
      <c r="E1251" s="655" t="s">
        <v>26</v>
      </c>
      <c r="F1251" s="645">
        <v>115143600</v>
      </c>
      <c r="G1251" s="562">
        <v>115143600</v>
      </c>
      <c r="H1251" s="645">
        <v>0</v>
      </c>
      <c r="I1251" s="645">
        <v>0</v>
      </c>
      <c r="J1251" s="562">
        <v>0</v>
      </c>
      <c r="K1251" s="645">
        <v>0</v>
      </c>
      <c r="L1251" s="645">
        <v>0</v>
      </c>
      <c r="M1251" s="645">
        <v>0</v>
      </c>
      <c r="N1251" s="645">
        <v>0</v>
      </c>
      <c r="O1251" s="451"/>
      <c r="P1251" s="453"/>
    </row>
    <row r="1252" spans="1:16" s="175" customFormat="1" ht="12.75" hidden="1" customHeight="1" x14ac:dyDescent="0.2">
      <c r="A1252" s="188"/>
      <c r="B1252" s="881"/>
      <c r="C1252" s="884"/>
      <c r="D1252" s="884" t="s">
        <v>1185</v>
      </c>
      <c r="E1252" s="655" t="s">
        <v>1557</v>
      </c>
      <c r="F1252" s="645">
        <v>268668400</v>
      </c>
      <c r="G1252" s="562">
        <v>268668400</v>
      </c>
      <c r="H1252" s="645">
        <v>0</v>
      </c>
      <c r="I1252" s="645">
        <v>0</v>
      </c>
      <c r="J1252" s="562">
        <v>0</v>
      </c>
      <c r="K1252" s="645">
        <v>0</v>
      </c>
      <c r="L1252" s="645">
        <v>0</v>
      </c>
      <c r="M1252" s="645">
        <v>0</v>
      </c>
      <c r="N1252" s="645">
        <v>0</v>
      </c>
      <c r="O1252" s="451"/>
      <c r="P1252" s="453"/>
    </row>
    <row r="1253" spans="1:16" s="175" customFormat="1" ht="12.75" customHeight="1" x14ac:dyDescent="0.2">
      <c r="A1253" s="188"/>
      <c r="B1253" s="881"/>
      <c r="C1253" s="884"/>
      <c r="D1253" s="884" t="s">
        <v>1185</v>
      </c>
      <c r="E1253" s="655" t="s">
        <v>3212</v>
      </c>
      <c r="F1253" s="645">
        <v>64777</v>
      </c>
      <c r="G1253" s="562">
        <v>64777</v>
      </c>
      <c r="H1253" s="645">
        <v>0</v>
      </c>
      <c r="I1253" s="645">
        <v>0</v>
      </c>
      <c r="J1253" s="562">
        <v>0</v>
      </c>
      <c r="K1253" s="645">
        <v>0</v>
      </c>
      <c r="L1253" s="645">
        <v>0</v>
      </c>
      <c r="M1253" s="645">
        <v>0</v>
      </c>
      <c r="N1253" s="645">
        <v>0</v>
      </c>
      <c r="O1253" s="451"/>
      <c r="P1253" s="453"/>
    </row>
    <row r="1254" spans="1:16" s="175" customFormat="1" ht="12.75" customHeight="1" x14ac:dyDescent="0.2">
      <c r="A1254" s="188"/>
      <c r="B1254" s="881"/>
      <c r="C1254" s="884" t="s">
        <v>3562</v>
      </c>
      <c r="D1254" s="884" t="s">
        <v>1173</v>
      </c>
      <c r="E1254" s="655" t="s">
        <v>26</v>
      </c>
      <c r="F1254" s="645">
        <v>147749485</v>
      </c>
      <c r="G1254" s="562">
        <v>95413815</v>
      </c>
      <c r="H1254" s="645">
        <v>52335670</v>
      </c>
      <c r="I1254" s="645">
        <v>0</v>
      </c>
      <c r="J1254" s="562">
        <v>52335670</v>
      </c>
      <c r="K1254" s="645">
        <v>52335670</v>
      </c>
      <c r="L1254" s="645">
        <v>0</v>
      </c>
      <c r="M1254" s="645">
        <v>0</v>
      </c>
      <c r="N1254" s="645">
        <v>0</v>
      </c>
      <c r="O1254" s="451"/>
      <c r="P1254" s="453"/>
    </row>
    <row r="1255" spans="1:16" s="175" customFormat="1" ht="12.75" hidden="1" customHeight="1" x14ac:dyDescent="0.2">
      <c r="A1255" s="188"/>
      <c r="B1255" s="881"/>
      <c r="C1255" s="884"/>
      <c r="D1255" s="884" t="s">
        <v>1173</v>
      </c>
      <c r="E1255" s="655" t="s">
        <v>1557</v>
      </c>
      <c r="F1255" s="645">
        <v>170000000</v>
      </c>
      <c r="G1255" s="562">
        <v>0</v>
      </c>
      <c r="H1255" s="645">
        <v>170000000</v>
      </c>
      <c r="I1255" s="645">
        <v>0</v>
      </c>
      <c r="J1255" s="562">
        <v>170000000</v>
      </c>
      <c r="K1255" s="645">
        <v>170000000</v>
      </c>
      <c r="L1255" s="645">
        <v>0</v>
      </c>
      <c r="M1255" s="645">
        <v>0</v>
      </c>
      <c r="N1255" s="645">
        <v>0</v>
      </c>
      <c r="O1255" s="451"/>
      <c r="P1255" s="453"/>
    </row>
    <row r="1256" spans="1:16" s="175" customFormat="1" ht="12.75" customHeight="1" x14ac:dyDescent="0.2">
      <c r="A1256" s="188"/>
      <c r="B1256" s="881"/>
      <c r="C1256" s="884" t="s">
        <v>3563</v>
      </c>
      <c r="D1256" s="884" t="s">
        <v>1122</v>
      </c>
      <c r="E1256" s="655" t="s">
        <v>26</v>
      </c>
      <c r="F1256" s="645">
        <v>122200000</v>
      </c>
      <c r="G1256" s="562">
        <v>122200000</v>
      </c>
      <c r="H1256" s="645">
        <v>0</v>
      </c>
      <c r="I1256" s="645">
        <v>0</v>
      </c>
      <c r="J1256" s="562">
        <v>0</v>
      </c>
      <c r="K1256" s="645">
        <v>0</v>
      </c>
      <c r="L1256" s="645">
        <v>0</v>
      </c>
      <c r="M1256" s="645">
        <v>0</v>
      </c>
      <c r="N1256" s="645">
        <v>0</v>
      </c>
      <c r="O1256" s="451"/>
      <c r="P1256" s="453"/>
    </row>
    <row r="1257" spans="1:16" s="175" customFormat="1" ht="12.75" hidden="1" customHeight="1" x14ac:dyDescent="0.2">
      <c r="A1257" s="188"/>
      <c r="B1257" s="881"/>
      <c r="C1257" s="884"/>
      <c r="D1257" s="884" t="s">
        <v>1122</v>
      </c>
      <c r="E1257" s="655" t="s">
        <v>1557</v>
      </c>
      <c r="F1257" s="645">
        <v>281996619</v>
      </c>
      <c r="G1257" s="562">
        <v>0</v>
      </c>
      <c r="H1257" s="645">
        <v>281996619</v>
      </c>
      <c r="I1257" s="645">
        <v>0</v>
      </c>
      <c r="J1257" s="562">
        <v>281996619</v>
      </c>
      <c r="K1257" s="645">
        <v>281996619</v>
      </c>
      <c r="L1257" s="645">
        <v>0</v>
      </c>
      <c r="M1257" s="645">
        <v>0</v>
      </c>
      <c r="N1257" s="645">
        <v>0</v>
      </c>
      <c r="O1257" s="451"/>
      <c r="P1257" s="453"/>
    </row>
    <row r="1258" spans="1:16" s="175" customFormat="1" ht="12.75" customHeight="1" x14ac:dyDescent="0.2">
      <c r="A1258" s="188"/>
      <c r="B1258" s="881"/>
      <c r="C1258" s="884" t="s">
        <v>3564</v>
      </c>
      <c r="D1258" s="884" t="s">
        <v>1574</v>
      </c>
      <c r="E1258" s="655" t="s">
        <v>26</v>
      </c>
      <c r="F1258" s="645">
        <v>400020962</v>
      </c>
      <c r="G1258" s="562">
        <v>400020962</v>
      </c>
      <c r="H1258" s="645">
        <v>0</v>
      </c>
      <c r="I1258" s="645">
        <v>0</v>
      </c>
      <c r="J1258" s="562">
        <v>0</v>
      </c>
      <c r="K1258" s="645">
        <v>0</v>
      </c>
      <c r="L1258" s="645">
        <v>0</v>
      </c>
      <c r="M1258" s="645">
        <v>0</v>
      </c>
      <c r="N1258" s="645">
        <v>0</v>
      </c>
      <c r="O1258" s="451"/>
      <c r="P1258" s="453"/>
    </row>
    <row r="1259" spans="1:16" s="175" customFormat="1" ht="12.75" customHeight="1" x14ac:dyDescent="0.2">
      <c r="A1259" s="188"/>
      <c r="B1259" s="881"/>
      <c r="C1259" s="884"/>
      <c r="D1259" s="884" t="s">
        <v>1574</v>
      </c>
      <c r="E1259" s="655" t="s">
        <v>3212</v>
      </c>
      <c r="F1259" s="645">
        <v>100000</v>
      </c>
      <c r="G1259" s="562">
        <v>100000</v>
      </c>
      <c r="H1259" s="645">
        <v>0</v>
      </c>
      <c r="I1259" s="645">
        <v>0</v>
      </c>
      <c r="J1259" s="562">
        <v>0</v>
      </c>
      <c r="K1259" s="645">
        <v>0</v>
      </c>
      <c r="L1259" s="645">
        <v>0</v>
      </c>
      <c r="M1259" s="645">
        <v>0</v>
      </c>
      <c r="N1259" s="645">
        <v>0</v>
      </c>
      <c r="O1259" s="451"/>
      <c r="P1259" s="453"/>
    </row>
    <row r="1260" spans="1:16" s="175" customFormat="1" ht="12.75" customHeight="1" x14ac:dyDescent="0.2">
      <c r="A1260" s="188"/>
      <c r="B1260" s="881"/>
      <c r="C1260" s="884" t="s">
        <v>3565</v>
      </c>
      <c r="D1260" s="884" t="s">
        <v>1094</v>
      </c>
      <c r="E1260" s="655" t="s">
        <v>26</v>
      </c>
      <c r="F1260" s="645">
        <v>94658880</v>
      </c>
      <c r="G1260" s="562">
        <v>94658880</v>
      </c>
      <c r="H1260" s="645">
        <v>0</v>
      </c>
      <c r="I1260" s="645">
        <v>0</v>
      </c>
      <c r="J1260" s="562">
        <v>0</v>
      </c>
      <c r="K1260" s="645">
        <v>0</v>
      </c>
      <c r="L1260" s="645">
        <v>0</v>
      </c>
      <c r="M1260" s="645">
        <v>0</v>
      </c>
      <c r="N1260" s="645">
        <v>0</v>
      </c>
      <c r="O1260" s="451"/>
      <c r="P1260" s="453"/>
    </row>
    <row r="1261" spans="1:16" s="175" customFormat="1" ht="12.75" customHeight="1" x14ac:dyDescent="0.2">
      <c r="A1261" s="188"/>
      <c r="B1261" s="881"/>
      <c r="C1261" s="884"/>
      <c r="D1261" s="884" t="s">
        <v>1094</v>
      </c>
      <c r="E1261" s="655" t="s">
        <v>22</v>
      </c>
      <c r="F1261" s="645">
        <v>79052085</v>
      </c>
      <c r="G1261" s="562">
        <v>23715625</v>
      </c>
      <c r="H1261" s="645">
        <v>55336460</v>
      </c>
      <c r="I1261" s="645">
        <v>0</v>
      </c>
      <c r="J1261" s="562">
        <v>55336460</v>
      </c>
      <c r="K1261" s="645">
        <v>0</v>
      </c>
      <c r="L1261" s="645">
        <v>0</v>
      </c>
      <c r="M1261" s="645">
        <v>55336460</v>
      </c>
      <c r="N1261" s="645">
        <v>0</v>
      </c>
      <c r="O1261" s="451"/>
      <c r="P1261" s="453"/>
    </row>
    <row r="1262" spans="1:16" s="175" customFormat="1" ht="12.75" hidden="1" customHeight="1" x14ac:dyDescent="0.2">
      <c r="A1262" s="188"/>
      <c r="B1262" s="881"/>
      <c r="C1262" s="884"/>
      <c r="D1262" s="884" t="s">
        <v>1094</v>
      </c>
      <c r="E1262" s="655" t="s">
        <v>1557</v>
      </c>
      <c r="F1262" s="645">
        <v>220870720</v>
      </c>
      <c r="G1262" s="562">
        <v>622</v>
      </c>
      <c r="H1262" s="645">
        <v>220870098</v>
      </c>
      <c r="I1262" s="645">
        <v>0</v>
      </c>
      <c r="J1262" s="562">
        <v>220870098</v>
      </c>
      <c r="K1262" s="645">
        <v>0</v>
      </c>
      <c r="L1262" s="645">
        <v>0</v>
      </c>
      <c r="M1262" s="645">
        <v>220870098</v>
      </c>
      <c r="N1262" s="645">
        <v>0</v>
      </c>
      <c r="O1262" s="451"/>
      <c r="P1262" s="453"/>
    </row>
    <row r="1263" spans="1:16" s="175" customFormat="1" ht="12.75" customHeight="1" x14ac:dyDescent="0.2">
      <c r="A1263" s="188"/>
      <c r="B1263" s="881"/>
      <c r="C1263" s="884"/>
      <c r="D1263" s="884" t="s">
        <v>1094</v>
      </c>
      <c r="E1263" s="655" t="s">
        <v>1221</v>
      </c>
      <c r="F1263" s="645">
        <v>1512675</v>
      </c>
      <c r="G1263" s="562">
        <v>1512675</v>
      </c>
      <c r="H1263" s="645">
        <v>0</v>
      </c>
      <c r="I1263" s="645">
        <v>0</v>
      </c>
      <c r="J1263" s="562">
        <v>0</v>
      </c>
      <c r="K1263" s="645">
        <v>0</v>
      </c>
      <c r="L1263" s="645">
        <v>0</v>
      </c>
      <c r="M1263" s="645">
        <v>0</v>
      </c>
      <c r="N1263" s="645">
        <v>0</v>
      </c>
      <c r="O1263" s="451"/>
      <c r="P1263" s="453"/>
    </row>
    <row r="1264" spans="1:16" s="175" customFormat="1" ht="12.75" customHeight="1" x14ac:dyDescent="0.2">
      <c r="A1264" s="188"/>
      <c r="B1264" s="881"/>
      <c r="C1264" s="884" t="s">
        <v>3566</v>
      </c>
      <c r="D1264" s="884" t="s">
        <v>3440</v>
      </c>
      <c r="E1264" s="655" t="s">
        <v>26</v>
      </c>
      <c r="F1264" s="645">
        <v>97763815</v>
      </c>
      <c r="G1264" s="562">
        <v>27812210</v>
      </c>
      <c r="H1264" s="645">
        <v>69951605</v>
      </c>
      <c r="I1264" s="645">
        <v>69951605</v>
      </c>
      <c r="J1264" s="562">
        <v>0</v>
      </c>
      <c r="K1264" s="645">
        <v>0</v>
      </c>
      <c r="L1264" s="645">
        <v>0</v>
      </c>
      <c r="M1264" s="645">
        <v>0</v>
      </c>
      <c r="N1264" s="645">
        <v>0</v>
      </c>
      <c r="O1264" s="451"/>
      <c r="P1264" s="453"/>
    </row>
    <row r="1265" spans="1:16" s="175" customFormat="1" ht="12.75" hidden="1" customHeight="1" x14ac:dyDescent="0.2">
      <c r="A1265" s="188"/>
      <c r="B1265" s="881"/>
      <c r="C1265" s="884"/>
      <c r="D1265" s="884" t="s">
        <v>3440</v>
      </c>
      <c r="E1265" s="655" t="s">
        <v>1557</v>
      </c>
      <c r="F1265" s="645">
        <v>392021185</v>
      </c>
      <c r="G1265" s="562">
        <v>0</v>
      </c>
      <c r="H1265" s="645">
        <v>392021185</v>
      </c>
      <c r="I1265" s="645">
        <v>392021185</v>
      </c>
      <c r="J1265" s="562">
        <v>0</v>
      </c>
      <c r="K1265" s="645">
        <v>0</v>
      </c>
      <c r="L1265" s="645">
        <v>0</v>
      </c>
      <c r="M1265" s="645">
        <v>0</v>
      </c>
      <c r="N1265" s="645">
        <v>0</v>
      </c>
      <c r="O1265" s="451"/>
      <c r="P1265" s="453"/>
    </row>
    <row r="1266" spans="1:16" s="175" customFormat="1" ht="12.75" customHeight="1" x14ac:dyDescent="0.2">
      <c r="A1266" s="188"/>
      <c r="B1266" s="881"/>
      <c r="C1266" s="884"/>
      <c r="D1266" s="884" t="s">
        <v>3440</v>
      </c>
      <c r="E1266" s="655" t="s">
        <v>1221</v>
      </c>
      <c r="F1266" s="645">
        <v>1931850</v>
      </c>
      <c r="G1266" s="562">
        <v>0</v>
      </c>
      <c r="H1266" s="645">
        <v>1931850</v>
      </c>
      <c r="I1266" s="645">
        <v>1931850</v>
      </c>
      <c r="J1266" s="562">
        <v>0</v>
      </c>
      <c r="K1266" s="645">
        <v>0</v>
      </c>
      <c r="L1266" s="645">
        <v>0</v>
      </c>
      <c r="M1266" s="645">
        <v>0</v>
      </c>
      <c r="N1266" s="645">
        <v>0</v>
      </c>
      <c r="O1266" s="451"/>
      <c r="P1266" s="453"/>
    </row>
    <row r="1267" spans="1:16" s="175" customFormat="1" ht="12.75" customHeight="1" x14ac:dyDescent="0.2">
      <c r="A1267" s="188"/>
      <c r="B1267" s="881"/>
      <c r="C1267" s="884" t="s">
        <v>3567</v>
      </c>
      <c r="D1267" s="884" t="s">
        <v>1080</v>
      </c>
      <c r="E1267" s="655" t="s">
        <v>26</v>
      </c>
      <c r="F1267" s="645">
        <v>95884364</v>
      </c>
      <c r="G1267" s="562">
        <v>95884364</v>
      </c>
      <c r="H1267" s="645">
        <v>0</v>
      </c>
      <c r="I1267" s="645">
        <v>0</v>
      </c>
      <c r="J1267" s="562">
        <v>0</v>
      </c>
      <c r="K1267" s="645">
        <v>0</v>
      </c>
      <c r="L1267" s="645">
        <v>0</v>
      </c>
      <c r="M1267" s="645">
        <v>0</v>
      </c>
      <c r="N1267" s="645">
        <v>0</v>
      </c>
      <c r="O1267" s="451"/>
      <c r="P1267" s="453"/>
    </row>
    <row r="1268" spans="1:16" s="175" customFormat="1" ht="12.75" customHeight="1" x14ac:dyDescent="0.2">
      <c r="A1268" s="188"/>
      <c r="B1268" s="881"/>
      <c r="C1268" s="884"/>
      <c r="D1268" s="884" t="s">
        <v>1080</v>
      </c>
      <c r="E1268" s="655" t="s">
        <v>22</v>
      </c>
      <c r="F1268" s="645">
        <v>76584524</v>
      </c>
      <c r="G1268" s="562">
        <v>22975357</v>
      </c>
      <c r="H1268" s="645">
        <v>53609167</v>
      </c>
      <c r="I1268" s="645">
        <v>0</v>
      </c>
      <c r="J1268" s="562">
        <v>53609167</v>
      </c>
      <c r="K1268" s="645">
        <v>0</v>
      </c>
      <c r="L1268" s="645">
        <v>0</v>
      </c>
      <c r="M1268" s="645">
        <v>53609167</v>
      </c>
      <c r="N1268" s="645">
        <v>0</v>
      </c>
      <c r="O1268" s="451"/>
      <c r="P1268" s="453"/>
    </row>
    <row r="1269" spans="1:16" s="175" customFormat="1" ht="12.75" hidden="1" customHeight="1" x14ac:dyDescent="0.2">
      <c r="A1269" s="188"/>
      <c r="B1269" s="881"/>
      <c r="C1269" s="884"/>
      <c r="D1269" s="884" t="s">
        <v>1080</v>
      </c>
      <c r="E1269" s="655" t="s">
        <v>1557</v>
      </c>
      <c r="F1269" s="645">
        <v>221832940</v>
      </c>
      <c r="G1269" s="562">
        <v>92183</v>
      </c>
      <c r="H1269" s="645">
        <v>221740757</v>
      </c>
      <c r="I1269" s="645">
        <v>0</v>
      </c>
      <c r="J1269" s="562">
        <v>221740757</v>
      </c>
      <c r="K1269" s="645">
        <v>0</v>
      </c>
      <c r="L1269" s="645">
        <v>0</v>
      </c>
      <c r="M1269" s="645">
        <v>221740757</v>
      </c>
      <c r="N1269" s="645">
        <v>0</v>
      </c>
      <c r="O1269" s="451"/>
      <c r="P1269" s="453"/>
    </row>
    <row r="1270" spans="1:16" s="175" customFormat="1" ht="12.75" customHeight="1" x14ac:dyDescent="0.2">
      <c r="A1270" s="188"/>
      <c r="B1270" s="881"/>
      <c r="C1270" s="884"/>
      <c r="D1270" s="884" t="s">
        <v>1080</v>
      </c>
      <c r="E1270" s="655" t="s">
        <v>1221</v>
      </c>
      <c r="F1270" s="645">
        <v>1512675</v>
      </c>
      <c r="G1270" s="562">
        <v>1512675</v>
      </c>
      <c r="H1270" s="645">
        <v>0</v>
      </c>
      <c r="I1270" s="645">
        <v>0</v>
      </c>
      <c r="J1270" s="562">
        <v>0</v>
      </c>
      <c r="K1270" s="645">
        <v>0</v>
      </c>
      <c r="L1270" s="645">
        <v>0</v>
      </c>
      <c r="M1270" s="645">
        <v>0</v>
      </c>
      <c r="N1270" s="645">
        <v>0</v>
      </c>
      <c r="O1270" s="451"/>
      <c r="P1270" s="453"/>
    </row>
    <row r="1271" spans="1:16" s="175" customFormat="1" ht="12.75" customHeight="1" x14ac:dyDescent="0.2">
      <c r="A1271" s="188"/>
      <c r="B1271" s="881"/>
      <c r="C1271" s="884" t="s">
        <v>3568</v>
      </c>
      <c r="D1271" s="884" t="s">
        <v>1559</v>
      </c>
      <c r="E1271" s="655" t="s">
        <v>26</v>
      </c>
      <c r="F1271" s="645">
        <v>120941250</v>
      </c>
      <c r="G1271" s="562">
        <v>120941250</v>
      </c>
      <c r="H1271" s="645">
        <v>0</v>
      </c>
      <c r="I1271" s="645">
        <v>0</v>
      </c>
      <c r="J1271" s="562">
        <v>0</v>
      </c>
      <c r="K1271" s="645">
        <v>0</v>
      </c>
      <c r="L1271" s="645">
        <v>0</v>
      </c>
      <c r="M1271" s="645">
        <v>0</v>
      </c>
      <c r="N1271" s="645">
        <v>0</v>
      </c>
      <c r="O1271" s="451"/>
      <c r="P1271" s="453"/>
    </row>
    <row r="1272" spans="1:16" s="175" customFormat="1" ht="12.75" hidden="1" customHeight="1" x14ac:dyDescent="0.2">
      <c r="A1272" s="188"/>
      <c r="B1272" s="881"/>
      <c r="C1272" s="884"/>
      <c r="D1272" s="884" t="s">
        <v>1559</v>
      </c>
      <c r="E1272" s="655" t="s">
        <v>1557</v>
      </c>
      <c r="F1272" s="645">
        <v>282196250</v>
      </c>
      <c r="G1272" s="562">
        <v>6896903</v>
      </c>
      <c r="H1272" s="645">
        <v>275299347</v>
      </c>
      <c r="I1272" s="645">
        <v>0</v>
      </c>
      <c r="J1272" s="562">
        <v>275299347</v>
      </c>
      <c r="K1272" s="645">
        <v>0</v>
      </c>
      <c r="L1272" s="645">
        <v>0</v>
      </c>
      <c r="M1272" s="645">
        <v>275299347</v>
      </c>
      <c r="N1272" s="645">
        <v>0</v>
      </c>
      <c r="O1272" s="451"/>
      <c r="P1272" s="453"/>
    </row>
    <row r="1273" spans="1:16" s="175" customFormat="1" ht="12.75" customHeight="1" x14ac:dyDescent="0.2">
      <c r="A1273" s="188"/>
      <c r="B1273" s="881"/>
      <c r="C1273" s="884"/>
      <c r="D1273" s="884" t="s">
        <v>1559</v>
      </c>
      <c r="E1273" s="655" t="s">
        <v>195</v>
      </c>
      <c r="F1273" s="645">
        <v>385630</v>
      </c>
      <c r="G1273" s="562">
        <v>385630</v>
      </c>
      <c r="H1273" s="645">
        <v>0</v>
      </c>
      <c r="I1273" s="645">
        <v>0</v>
      </c>
      <c r="J1273" s="562">
        <v>0</v>
      </c>
      <c r="K1273" s="645">
        <v>0</v>
      </c>
      <c r="L1273" s="645">
        <v>0</v>
      </c>
      <c r="M1273" s="645">
        <v>0</v>
      </c>
      <c r="N1273" s="645">
        <v>0</v>
      </c>
      <c r="O1273" s="451"/>
      <c r="P1273" s="453"/>
    </row>
    <row r="1274" spans="1:16" s="175" customFormat="1" ht="12.75" customHeight="1" x14ac:dyDescent="0.2">
      <c r="A1274" s="188"/>
      <c r="B1274" s="881"/>
      <c r="C1274" s="884" t="s">
        <v>3569</v>
      </c>
      <c r="D1274" s="884" t="s">
        <v>2614</v>
      </c>
      <c r="E1274" s="655" t="s">
        <v>26</v>
      </c>
      <c r="F1274" s="645">
        <v>94610500</v>
      </c>
      <c r="G1274" s="562">
        <v>74779820</v>
      </c>
      <c r="H1274" s="645">
        <v>19830680</v>
      </c>
      <c r="I1274" s="645">
        <v>19830455</v>
      </c>
      <c r="J1274" s="562">
        <v>225</v>
      </c>
      <c r="K1274" s="645">
        <v>225</v>
      </c>
      <c r="L1274" s="645">
        <v>0</v>
      </c>
      <c r="M1274" s="645">
        <v>0</v>
      </c>
      <c r="N1274" s="645">
        <v>0</v>
      </c>
      <c r="O1274" s="451"/>
      <c r="P1274" s="453"/>
    </row>
    <row r="1275" spans="1:16" s="175" customFormat="1" ht="12.75" hidden="1" customHeight="1" x14ac:dyDescent="0.2">
      <c r="A1275" s="188"/>
      <c r="B1275" s="881"/>
      <c r="C1275" s="884"/>
      <c r="D1275" s="884" t="s">
        <v>2614</v>
      </c>
      <c r="E1275" s="655" t="s">
        <v>1557</v>
      </c>
      <c r="F1275" s="645">
        <v>384029548</v>
      </c>
      <c r="G1275" s="562">
        <v>0</v>
      </c>
      <c r="H1275" s="645">
        <v>384029548</v>
      </c>
      <c r="I1275" s="645">
        <v>384029548</v>
      </c>
      <c r="J1275" s="562">
        <v>0</v>
      </c>
      <c r="K1275" s="645">
        <v>0</v>
      </c>
      <c r="L1275" s="645">
        <v>0</v>
      </c>
      <c r="M1275" s="645">
        <v>0</v>
      </c>
      <c r="N1275" s="645">
        <v>0</v>
      </c>
      <c r="O1275" s="451"/>
      <c r="P1275" s="453"/>
    </row>
    <row r="1276" spans="1:16" s="175" customFormat="1" ht="12.75" customHeight="1" x14ac:dyDescent="0.2">
      <c r="A1276" s="188"/>
      <c r="B1276" s="881"/>
      <c r="C1276" s="884"/>
      <c r="D1276" s="884" t="s">
        <v>2614</v>
      </c>
      <c r="E1276" s="655" t="s">
        <v>1221</v>
      </c>
      <c r="F1276" s="645">
        <v>1931500</v>
      </c>
      <c r="G1276" s="562">
        <v>1931500</v>
      </c>
      <c r="H1276" s="645">
        <v>0</v>
      </c>
      <c r="I1276" s="645">
        <v>0</v>
      </c>
      <c r="J1276" s="562">
        <v>0</v>
      </c>
      <c r="K1276" s="645">
        <v>0</v>
      </c>
      <c r="L1276" s="645">
        <v>0</v>
      </c>
      <c r="M1276" s="645">
        <v>0</v>
      </c>
      <c r="N1276" s="645">
        <v>0</v>
      </c>
      <c r="O1276" s="451"/>
      <c r="P1276" s="453"/>
    </row>
    <row r="1277" spans="1:16" s="175" customFormat="1" ht="12.75" customHeight="1" x14ac:dyDescent="0.2">
      <c r="A1277" s="188"/>
      <c r="B1277" s="881"/>
      <c r="C1277" s="884" t="s">
        <v>3570</v>
      </c>
      <c r="D1277" s="884" t="s">
        <v>1096</v>
      </c>
      <c r="E1277" s="655" t="s">
        <v>26</v>
      </c>
      <c r="F1277" s="645">
        <v>165033025</v>
      </c>
      <c r="G1277" s="562">
        <v>165033025</v>
      </c>
      <c r="H1277" s="645">
        <v>0</v>
      </c>
      <c r="I1277" s="645">
        <v>0</v>
      </c>
      <c r="J1277" s="562">
        <v>0</v>
      </c>
      <c r="K1277" s="645">
        <v>0</v>
      </c>
      <c r="L1277" s="645">
        <v>0</v>
      </c>
      <c r="M1277" s="645">
        <v>0</v>
      </c>
      <c r="N1277" s="645">
        <v>0</v>
      </c>
      <c r="O1277" s="451"/>
      <c r="P1277" s="453"/>
    </row>
    <row r="1278" spans="1:16" s="175" customFormat="1" ht="12.75" customHeight="1" x14ac:dyDescent="0.2">
      <c r="A1278" s="188"/>
      <c r="B1278" s="881"/>
      <c r="C1278" s="884"/>
      <c r="D1278" s="884" t="s">
        <v>1096</v>
      </c>
      <c r="E1278" s="655" t="s">
        <v>900</v>
      </c>
      <c r="F1278" s="645">
        <v>20320595</v>
      </c>
      <c r="G1278" s="562">
        <v>20320595</v>
      </c>
      <c r="H1278" s="645">
        <v>0</v>
      </c>
      <c r="I1278" s="645">
        <v>0</v>
      </c>
      <c r="J1278" s="562">
        <v>0</v>
      </c>
      <c r="K1278" s="645">
        <v>0</v>
      </c>
      <c r="L1278" s="645">
        <v>0</v>
      </c>
      <c r="M1278" s="645">
        <v>0</v>
      </c>
      <c r="N1278" s="645">
        <v>0</v>
      </c>
      <c r="O1278" s="451"/>
      <c r="P1278" s="453"/>
    </row>
    <row r="1279" spans="1:16" s="175" customFormat="1" ht="12.75" hidden="1" customHeight="1" x14ac:dyDescent="0.2">
      <c r="A1279" s="188"/>
      <c r="B1279" s="881"/>
      <c r="C1279" s="884"/>
      <c r="D1279" s="884" t="s">
        <v>1096</v>
      </c>
      <c r="E1279" s="655" t="s">
        <v>1557</v>
      </c>
      <c r="F1279" s="645">
        <v>130000000</v>
      </c>
      <c r="G1279" s="562">
        <v>0</v>
      </c>
      <c r="H1279" s="645">
        <v>130000000</v>
      </c>
      <c r="I1279" s="645">
        <v>0</v>
      </c>
      <c r="J1279" s="562">
        <v>130000000</v>
      </c>
      <c r="K1279" s="645">
        <v>130000000</v>
      </c>
      <c r="L1279" s="645">
        <v>0</v>
      </c>
      <c r="M1279" s="645">
        <v>0</v>
      </c>
      <c r="N1279" s="645">
        <v>0</v>
      </c>
      <c r="O1279" s="451"/>
      <c r="P1279" s="453"/>
    </row>
    <row r="1280" spans="1:16" s="175" customFormat="1" ht="12.75" customHeight="1" x14ac:dyDescent="0.2">
      <c r="A1280" s="188"/>
      <c r="B1280" s="881"/>
      <c r="C1280" s="884" t="s">
        <v>3571</v>
      </c>
      <c r="D1280" s="884" t="s">
        <v>1095</v>
      </c>
      <c r="E1280" s="655" t="s">
        <v>26</v>
      </c>
      <c r="F1280" s="645">
        <v>109967760</v>
      </c>
      <c r="G1280" s="562">
        <v>108704018</v>
      </c>
      <c r="H1280" s="645">
        <v>1263742</v>
      </c>
      <c r="I1280" s="645">
        <v>0</v>
      </c>
      <c r="J1280" s="562">
        <v>1263742</v>
      </c>
      <c r="K1280" s="645">
        <v>0</v>
      </c>
      <c r="L1280" s="645">
        <v>0</v>
      </c>
      <c r="M1280" s="645">
        <v>0</v>
      </c>
      <c r="N1280" s="645">
        <v>1263742</v>
      </c>
      <c r="O1280" s="451"/>
      <c r="P1280" s="453"/>
    </row>
    <row r="1281" spans="1:16" s="175" customFormat="1" ht="12.75" customHeight="1" x14ac:dyDescent="0.2">
      <c r="A1281" s="188"/>
      <c r="B1281" s="881"/>
      <c r="C1281" s="884"/>
      <c r="D1281" s="884" t="s">
        <v>1095</v>
      </c>
      <c r="E1281" s="655" t="s">
        <v>22</v>
      </c>
      <c r="F1281" s="645">
        <v>91410412</v>
      </c>
      <c r="G1281" s="562">
        <v>18282082</v>
      </c>
      <c r="H1281" s="645">
        <v>73128330</v>
      </c>
      <c r="I1281" s="645">
        <v>0</v>
      </c>
      <c r="J1281" s="562">
        <v>73128330</v>
      </c>
      <c r="K1281" s="645">
        <v>0</v>
      </c>
      <c r="L1281" s="645">
        <v>0</v>
      </c>
      <c r="M1281" s="645">
        <v>63987288</v>
      </c>
      <c r="N1281" s="645">
        <v>9141042</v>
      </c>
      <c r="O1281" s="451"/>
      <c r="P1281" s="453"/>
    </row>
    <row r="1282" spans="1:16" s="175" customFormat="1" ht="12.75" hidden="1" customHeight="1" x14ac:dyDescent="0.2">
      <c r="A1282" s="188"/>
      <c r="B1282" s="881"/>
      <c r="C1282" s="884"/>
      <c r="D1282" s="884" t="s">
        <v>1095</v>
      </c>
      <c r="E1282" s="655" t="s">
        <v>1557</v>
      </c>
      <c r="F1282" s="645">
        <v>256591440</v>
      </c>
      <c r="G1282" s="562">
        <v>0</v>
      </c>
      <c r="H1282" s="645">
        <v>256591440</v>
      </c>
      <c r="I1282" s="645">
        <v>0</v>
      </c>
      <c r="J1282" s="562">
        <v>256591440</v>
      </c>
      <c r="K1282" s="645">
        <v>0</v>
      </c>
      <c r="L1282" s="645">
        <v>0</v>
      </c>
      <c r="M1282" s="645">
        <v>256591440</v>
      </c>
      <c r="N1282" s="645">
        <v>0</v>
      </c>
      <c r="O1282" s="451"/>
      <c r="P1282" s="453"/>
    </row>
    <row r="1283" spans="1:16" s="175" customFormat="1" ht="12.75" customHeight="1" x14ac:dyDescent="0.2">
      <c r="A1283" s="188"/>
      <c r="B1283" s="881"/>
      <c r="C1283" s="884"/>
      <c r="D1283" s="884" t="s">
        <v>1095</v>
      </c>
      <c r="E1283" s="655" t="s">
        <v>195</v>
      </c>
      <c r="F1283" s="645">
        <v>8342070</v>
      </c>
      <c r="G1283" s="562">
        <v>8342070</v>
      </c>
      <c r="H1283" s="645">
        <v>0</v>
      </c>
      <c r="I1283" s="645">
        <v>0</v>
      </c>
      <c r="J1283" s="562">
        <v>0</v>
      </c>
      <c r="K1283" s="645">
        <v>0</v>
      </c>
      <c r="L1283" s="645">
        <v>0</v>
      </c>
      <c r="M1283" s="645">
        <v>0</v>
      </c>
      <c r="N1283" s="645">
        <v>0</v>
      </c>
      <c r="O1283" s="451"/>
      <c r="P1283" s="453"/>
    </row>
    <row r="1284" spans="1:16" s="175" customFormat="1" ht="12.75" customHeight="1" x14ac:dyDescent="0.2">
      <c r="A1284" s="188"/>
      <c r="B1284" s="881"/>
      <c r="C1284" s="884" t="s">
        <v>3572</v>
      </c>
      <c r="D1284" s="884" t="s">
        <v>3367</v>
      </c>
      <c r="E1284" s="655" t="s">
        <v>26</v>
      </c>
      <c r="F1284" s="645">
        <v>96511520</v>
      </c>
      <c r="G1284" s="562">
        <v>38283533</v>
      </c>
      <c r="H1284" s="645">
        <v>58227987</v>
      </c>
      <c r="I1284" s="645">
        <v>58227987</v>
      </c>
      <c r="J1284" s="562">
        <v>0</v>
      </c>
      <c r="K1284" s="645">
        <v>0</v>
      </c>
      <c r="L1284" s="645">
        <v>0</v>
      </c>
      <c r="M1284" s="645">
        <v>0</v>
      </c>
      <c r="N1284" s="645">
        <v>0</v>
      </c>
      <c r="O1284" s="451"/>
      <c r="P1284" s="453"/>
    </row>
    <row r="1285" spans="1:16" s="175" customFormat="1" ht="12.75" hidden="1" customHeight="1" x14ac:dyDescent="0.2">
      <c r="A1285" s="188"/>
      <c r="B1285" s="881"/>
      <c r="C1285" s="884"/>
      <c r="D1285" s="884" t="s">
        <v>3367</v>
      </c>
      <c r="E1285" s="655" t="s">
        <v>1557</v>
      </c>
      <c r="F1285" s="645">
        <v>393773480</v>
      </c>
      <c r="G1285" s="562">
        <v>0</v>
      </c>
      <c r="H1285" s="645">
        <v>393773480</v>
      </c>
      <c r="I1285" s="645">
        <v>393773480</v>
      </c>
      <c r="J1285" s="562">
        <v>0</v>
      </c>
      <c r="K1285" s="645">
        <v>0</v>
      </c>
      <c r="L1285" s="645">
        <v>0</v>
      </c>
      <c r="M1285" s="645">
        <v>0</v>
      </c>
      <c r="N1285" s="645">
        <v>0</v>
      </c>
      <c r="O1285" s="451"/>
      <c r="P1285" s="453"/>
    </row>
    <row r="1286" spans="1:16" s="175" customFormat="1" ht="12.75" customHeight="1" x14ac:dyDescent="0.2">
      <c r="A1286" s="188"/>
      <c r="B1286" s="881"/>
      <c r="C1286" s="884"/>
      <c r="D1286" s="884" t="s">
        <v>3367</v>
      </c>
      <c r="E1286" s="655" t="s">
        <v>1221</v>
      </c>
      <c r="F1286" s="645">
        <v>1931850</v>
      </c>
      <c r="G1286" s="562">
        <v>0</v>
      </c>
      <c r="H1286" s="645">
        <v>1931850</v>
      </c>
      <c r="I1286" s="645">
        <v>1931850</v>
      </c>
      <c r="J1286" s="562">
        <v>0</v>
      </c>
      <c r="K1286" s="645">
        <v>0</v>
      </c>
      <c r="L1286" s="645">
        <v>0</v>
      </c>
      <c r="M1286" s="645">
        <v>0</v>
      </c>
      <c r="N1286" s="645">
        <v>0</v>
      </c>
      <c r="O1286" s="451"/>
      <c r="P1286" s="453"/>
    </row>
    <row r="1287" spans="1:16" s="175" customFormat="1" ht="12.75" customHeight="1" x14ac:dyDescent="0.2">
      <c r="A1287" s="188"/>
      <c r="B1287" s="881"/>
      <c r="C1287" s="884" t="s">
        <v>3573</v>
      </c>
      <c r="D1287" s="884" t="s">
        <v>1081</v>
      </c>
      <c r="E1287" s="655" t="s">
        <v>26</v>
      </c>
      <c r="F1287" s="645">
        <v>94405800</v>
      </c>
      <c r="G1287" s="562">
        <v>94405800</v>
      </c>
      <c r="H1287" s="645">
        <v>0</v>
      </c>
      <c r="I1287" s="645">
        <v>0</v>
      </c>
      <c r="J1287" s="562">
        <v>0</v>
      </c>
      <c r="K1287" s="645">
        <v>0</v>
      </c>
      <c r="L1287" s="645">
        <v>0</v>
      </c>
      <c r="M1287" s="645">
        <v>0</v>
      </c>
      <c r="N1287" s="645">
        <v>0</v>
      </c>
      <c r="O1287" s="451"/>
      <c r="P1287" s="453"/>
    </row>
    <row r="1288" spans="1:16" s="175" customFormat="1" ht="12.75" hidden="1" customHeight="1" x14ac:dyDescent="0.2">
      <c r="A1288" s="188"/>
      <c r="B1288" s="881"/>
      <c r="C1288" s="884"/>
      <c r="D1288" s="884" t="s">
        <v>1081</v>
      </c>
      <c r="E1288" s="655" t="s">
        <v>1557</v>
      </c>
      <c r="F1288" s="645">
        <v>220280200</v>
      </c>
      <c r="G1288" s="562">
        <v>19346</v>
      </c>
      <c r="H1288" s="645">
        <v>220260854</v>
      </c>
      <c r="I1288" s="645">
        <v>0</v>
      </c>
      <c r="J1288" s="562">
        <v>220260854</v>
      </c>
      <c r="K1288" s="645">
        <v>0</v>
      </c>
      <c r="L1288" s="645">
        <v>0</v>
      </c>
      <c r="M1288" s="645">
        <v>220260854</v>
      </c>
      <c r="N1288" s="645">
        <v>0</v>
      </c>
      <c r="O1288" s="451"/>
      <c r="P1288" s="453"/>
    </row>
    <row r="1289" spans="1:16" s="175" customFormat="1" ht="12.75" customHeight="1" x14ac:dyDescent="0.2">
      <c r="A1289" s="188"/>
      <c r="B1289" s="881"/>
      <c r="C1289" s="884" t="s">
        <v>3574</v>
      </c>
      <c r="D1289" s="884" t="s">
        <v>1123</v>
      </c>
      <c r="E1289" s="655" t="s">
        <v>26</v>
      </c>
      <c r="F1289" s="645">
        <v>121114500</v>
      </c>
      <c r="G1289" s="562">
        <v>121114500</v>
      </c>
      <c r="H1289" s="645">
        <v>0</v>
      </c>
      <c r="I1289" s="645">
        <v>0</v>
      </c>
      <c r="J1289" s="562">
        <v>0</v>
      </c>
      <c r="K1289" s="645">
        <v>0</v>
      </c>
      <c r="L1289" s="645">
        <v>0</v>
      </c>
      <c r="M1289" s="645">
        <v>0</v>
      </c>
      <c r="N1289" s="645">
        <v>0</v>
      </c>
      <c r="O1289" s="451"/>
      <c r="P1289" s="453"/>
    </row>
    <row r="1290" spans="1:16" s="175" customFormat="1" ht="12.75" hidden="1" customHeight="1" x14ac:dyDescent="0.2">
      <c r="A1290" s="188"/>
      <c r="B1290" s="881"/>
      <c r="C1290" s="884"/>
      <c r="D1290" s="884" t="s">
        <v>1123</v>
      </c>
      <c r="E1290" s="655" t="s">
        <v>1557</v>
      </c>
      <c r="F1290" s="645">
        <v>282600500</v>
      </c>
      <c r="G1290" s="562">
        <v>282600500</v>
      </c>
      <c r="H1290" s="645">
        <v>0</v>
      </c>
      <c r="I1290" s="645">
        <v>0</v>
      </c>
      <c r="J1290" s="562">
        <v>0</v>
      </c>
      <c r="K1290" s="645">
        <v>0</v>
      </c>
      <c r="L1290" s="645">
        <v>0</v>
      </c>
      <c r="M1290" s="645">
        <v>0</v>
      </c>
      <c r="N1290" s="645">
        <v>0</v>
      </c>
      <c r="O1290" s="451"/>
      <c r="P1290" s="453"/>
    </row>
    <row r="1291" spans="1:16" s="175" customFormat="1" ht="12.75" customHeight="1" x14ac:dyDescent="0.2">
      <c r="A1291" s="188"/>
      <c r="B1291" s="881"/>
      <c r="C1291" s="884" t="s">
        <v>3575</v>
      </c>
      <c r="D1291" s="884" t="s">
        <v>1238</v>
      </c>
      <c r="E1291" s="655" t="s">
        <v>26</v>
      </c>
      <c r="F1291" s="645">
        <v>131052010</v>
      </c>
      <c r="G1291" s="562">
        <v>131052010</v>
      </c>
      <c r="H1291" s="645">
        <v>0</v>
      </c>
      <c r="I1291" s="645">
        <v>0</v>
      </c>
      <c r="J1291" s="562">
        <v>0</v>
      </c>
      <c r="K1291" s="645">
        <v>0</v>
      </c>
      <c r="L1291" s="645">
        <v>0</v>
      </c>
      <c r="M1291" s="645">
        <v>0</v>
      </c>
      <c r="N1291" s="645">
        <v>0</v>
      </c>
      <c r="O1291" s="451"/>
      <c r="P1291" s="453"/>
    </row>
    <row r="1292" spans="1:16" s="175" customFormat="1" ht="12.75" hidden="1" customHeight="1" x14ac:dyDescent="0.2">
      <c r="A1292" s="188"/>
      <c r="B1292" s="881"/>
      <c r="C1292" s="884"/>
      <c r="D1292" s="884" t="s">
        <v>1238</v>
      </c>
      <c r="E1292" s="655" t="s">
        <v>1557</v>
      </c>
      <c r="F1292" s="645">
        <v>305787990</v>
      </c>
      <c r="G1292" s="562">
        <v>0</v>
      </c>
      <c r="H1292" s="645">
        <v>305787990</v>
      </c>
      <c r="I1292" s="645">
        <v>0</v>
      </c>
      <c r="J1292" s="562">
        <v>305787990</v>
      </c>
      <c r="K1292" s="645">
        <v>305787990</v>
      </c>
      <c r="L1292" s="645">
        <v>0</v>
      </c>
      <c r="M1292" s="645">
        <v>0</v>
      </c>
      <c r="N1292" s="645">
        <v>0</v>
      </c>
      <c r="O1292" s="451"/>
      <c r="P1292" s="453"/>
    </row>
    <row r="1293" spans="1:16" s="175" customFormat="1" ht="12.75" customHeight="1" x14ac:dyDescent="0.2">
      <c r="A1293" s="188"/>
      <c r="B1293" s="881"/>
      <c r="C1293" s="884" t="s">
        <v>3576</v>
      </c>
      <c r="D1293" s="884" t="s">
        <v>1149</v>
      </c>
      <c r="E1293" s="655" t="s">
        <v>26</v>
      </c>
      <c r="F1293" s="645">
        <v>97053750</v>
      </c>
      <c r="G1293" s="562">
        <v>97053750</v>
      </c>
      <c r="H1293" s="645">
        <v>0</v>
      </c>
      <c r="I1293" s="645">
        <v>0</v>
      </c>
      <c r="J1293" s="562">
        <v>0</v>
      </c>
      <c r="K1293" s="645">
        <v>0</v>
      </c>
      <c r="L1293" s="645">
        <v>0</v>
      </c>
      <c r="M1293" s="645">
        <v>0</v>
      </c>
      <c r="N1293" s="645">
        <v>0</v>
      </c>
      <c r="O1293" s="451"/>
      <c r="P1293" s="453"/>
    </row>
    <row r="1294" spans="1:16" s="175" customFormat="1" ht="12.75" hidden="1" customHeight="1" x14ac:dyDescent="0.2">
      <c r="A1294" s="188"/>
      <c r="B1294" s="881"/>
      <c r="C1294" s="884"/>
      <c r="D1294" s="884" t="s">
        <v>1149</v>
      </c>
      <c r="E1294" s="655" t="s">
        <v>1557</v>
      </c>
      <c r="F1294" s="645">
        <v>226458750</v>
      </c>
      <c r="G1294" s="562">
        <v>142201</v>
      </c>
      <c r="H1294" s="645">
        <v>226316549</v>
      </c>
      <c r="I1294" s="645">
        <v>0</v>
      </c>
      <c r="J1294" s="562">
        <v>226316549</v>
      </c>
      <c r="K1294" s="645">
        <v>0</v>
      </c>
      <c r="L1294" s="645">
        <v>0</v>
      </c>
      <c r="M1294" s="645">
        <v>226316549</v>
      </c>
      <c r="N1294" s="645">
        <v>0</v>
      </c>
      <c r="O1294" s="451"/>
      <c r="P1294" s="453"/>
    </row>
    <row r="1295" spans="1:16" s="175" customFormat="1" ht="12.75" customHeight="1" x14ac:dyDescent="0.2">
      <c r="A1295" s="188"/>
      <c r="B1295" s="881"/>
      <c r="C1295" s="884"/>
      <c r="D1295" s="884" t="s">
        <v>1149</v>
      </c>
      <c r="E1295" s="655" t="s">
        <v>195</v>
      </c>
      <c r="F1295" s="645">
        <v>1871830</v>
      </c>
      <c r="G1295" s="562">
        <v>1871830</v>
      </c>
      <c r="H1295" s="645">
        <v>0</v>
      </c>
      <c r="I1295" s="645">
        <v>0</v>
      </c>
      <c r="J1295" s="562">
        <v>0</v>
      </c>
      <c r="K1295" s="645">
        <v>0</v>
      </c>
      <c r="L1295" s="645">
        <v>0</v>
      </c>
      <c r="M1295" s="645">
        <v>0</v>
      </c>
      <c r="N1295" s="645">
        <v>0</v>
      </c>
      <c r="O1295" s="451"/>
      <c r="P1295" s="453"/>
    </row>
    <row r="1296" spans="1:16" s="175" customFormat="1" ht="12.75" customHeight="1" x14ac:dyDescent="0.2">
      <c r="A1296" s="188"/>
      <c r="B1296" s="881"/>
      <c r="C1296" s="884" t="s">
        <v>3577</v>
      </c>
      <c r="D1296" s="884" t="s">
        <v>1466</v>
      </c>
      <c r="E1296" s="655" t="s">
        <v>26</v>
      </c>
      <c r="F1296" s="645">
        <v>130412476</v>
      </c>
      <c r="G1296" s="562">
        <v>130412476</v>
      </c>
      <c r="H1296" s="645">
        <v>0</v>
      </c>
      <c r="I1296" s="645">
        <v>0</v>
      </c>
      <c r="J1296" s="562">
        <v>0</v>
      </c>
      <c r="K1296" s="645">
        <v>0</v>
      </c>
      <c r="L1296" s="645">
        <v>0</v>
      </c>
      <c r="M1296" s="645">
        <v>0</v>
      </c>
      <c r="N1296" s="645">
        <v>0</v>
      </c>
      <c r="O1296" s="451"/>
      <c r="P1296" s="453"/>
    </row>
    <row r="1297" spans="1:16" s="175" customFormat="1" ht="12.75" hidden="1" customHeight="1" x14ac:dyDescent="0.2">
      <c r="A1297" s="188"/>
      <c r="B1297" s="881"/>
      <c r="C1297" s="884"/>
      <c r="D1297" s="884" t="s">
        <v>1466</v>
      </c>
      <c r="E1297" s="655" t="s">
        <v>1557</v>
      </c>
      <c r="F1297" s="645">
        <v>304274744</v>
      </c>
      <c r="G1297" s="562">
        <v>0</v>
      </c>
      <c r="H1297" s="645">
        <v>304274744</v>
      </c>
      <c r="I1297" s="645">
        <v>0</v>
      </c>
      <c r="J1297" s="562">
        <v>304274744</v>
      </c>
      <c r="K1297" s="645">
        <v>304274744</v>
      </c>
      <c r="L1297" s="645">
        <v>0</v>
      </c>
      <c r="M1297" s="645">
        <v>0</v>
      </c>
      <c r="N1297" s="645">
        <v>0</v>
      </c>
      <c r="O1297" s="451"/>
      <c r="P1297" s="453"/>
    </row>
    <row r="1298" spans="1:16" s="175" customFormat="1" ht="12.75" customHeight="1" x14ac:dyDescent="0.2">
      <c r="A1298" s="188"/>
      <c r="B1298" s="881"/>
      <c r="C1298" s="884"/>
      <c r="D1298" s="884" t="s">
        <v>1466</v>
      </c>
      <c r="E1298" s="655" t="s">
        <v>195</v>
      </c>
      <c r="F1298" s="645">
        <v>849580</v>
      </c>
      <c r="G1298" s="562">
        <v>849580</v>
      </c>
      <c r="H1298" s="645">
        <v>0</v>
      </c>
      <c r="I1298" s="645">
        <v>0</v>
      </c>
      <c r="J1298" s="562">
        <v>0</v>
      </c>
      <c r="K1298" s="645">
        <v>0</v>
      </c>
      <c r="L1298" s="645">
        <v>0</v>
      </c>
      <c r="M1298" s="645">
        <v>0</v>
      </c>
      <c r="N1298" s="645">
        <v>0</v>
      </c>
      <c r="O1298" s="451"/>
      <c r="P1298" s="453"/>
    </row>
    <row r="1299" spans="1:16" s="175" customFormat="1" ht="12.75" customHeight="1" x14ac:dyDescent="0.2">
      <c r="A1299" s="188"/>
      <c r="B1299" s="881"/>
      <c r="C1299" s="884" t="s">
        <v>3578</v>
      </c>
      <c r="D1299" s="884" t="s">
        <v>1306</v>
      </c>
      <c r="E1299" s="655" t="s">
        <v>26</v>
      </c>
      <c r="F1299" s="645">
        <v>130824653</v>
      </c>
      <c r="G1299" s="562">
        <v>129571250</v>
      </c>
      <c r="H1299" s="645">
        <v>1253403</v>
      </c>
      <c r="I1299" s="645">
        <v>0</v>
      </c>
      <c r="J1299" s="562">
        <v>1253403</v>
      </c>
      <c r="K1299" s="645">
        <v>1253403</v>
      </c>
      <c r="L1299" s="645">
        <v>0</v>
      </c>
      <c r="M1299" s="645">
        <v>0</v>
      </c>
      <c r="N1299" s="645">
        <v>0</v>
      </c>
      <c r="O1299" s="451"/>
      <c r="P1299" s="453"/>
    </row>
    <row r="1300" spans="1:16" s="175" customFormat="1" ht="12.75" hidden="1" customHeight="1" x14ac:dyDescent="0.2">
      <c r="A1300" s="188"/>
      <c r="B1300" s="881"/>
      <c r="C1300" s="884"/>
      <c r="D1300" s="884" t="s">
        <v>1306</v>
      </c>
      <c r="E1300" s="655" t="s">
        <v>1557</v>
      </c>
      <c r="F1300" s="645">
        <v>289000000</v>
      </c>
      <c r="G1300" s="562">
        <v>0</v>
      </c>
      <c r="H1300" s="645">
        <v>289000000</v>
      </c>
      <c r="I1300" s="645">
        <v>0</v>
      </c>
      <c r="J1300" s="562">
        <v>289000000</v>
      </c>
      <c r="K1300" s="645">
        <v>289000000</v>
      </c>
      <c r="L1300" s="645">
        <v>0</v>
      </c>
      <c r="M1300" s="645">
        <v>0</v>
      </c>
      <c r="N1300" s="645">
        <v>0</v>
      </c>
      <c r="O1300" s="451"/>
      <c r="P1300" s="453"/>
    </row>
    <row r="1301" spans="1:16" s="175" customFormat="1" ht="12.75" customHeight="1" x14ac:dyDescent="0.2">
      <c r="A1301" s="188"/>
      <c r="B1301" s="881"/>
      <c r="C1301" s="884" t="s">
        <v>3579</v>
      </c>
      <c r="D1301" s="884" t="s">
        <v>1560</v>
      </c>
      <c r="E1301" s="655" t="s">
        <v>26</v>
      </c>
      <c r="F1301" s="645">
        <v>112969452</v>
      </c>
      <c r="G1301" s="562">
        <v>112969452</v>
      </c>
      <c r="H1301" s="645">
        <v>0</v>
      </c>
      <c r="I1301" s="645">
        <v>0</v>
      </c>
      <c r="J1301" s="562">
        <v>0</v>
      </c>
      <c r="K1301" s="645">
        <v>0</v>
      </c>
      <c r="L1301" s="645">
        <v>0</v>
      </c>
      <c r="M1301" s="645">
        <v>0</v>
      </c>
      <c r="N1301" s="645">
        <v>0</v>
      </c>
      <c r="O1301" s="451"/>
      <c r="P1301" s="453"/>
    </row>
    <row r="1302" spans="1:16" s="175" customFormat="1" ht="12.75" customHeight="1" x14ac:dyDescent="0.2">
      <c r="A1302" s="188"/>
      <c r="B1302" s="881"/>
      <c r="C1302" s="884"/>
      <c r="D1302" s="884" t="s">
        <v>1560</v>
      </c>
      <c r="E1302" s="655" t="s">
        <v>22</v>
      </c>
      <c r="F1302" s="645">
        <v>76584524</v>
      </c>
      <c r="G1302" s="562">
        <v>22975357</v>
      </c>
      <c r="H1302" s="645">
        <v>53609167</v>
      </c>
      <c r="I1302" s="645">
        <v>0</v>
      </c>
      <c r="J1302" s="562">
        <v>53609167</v>
      </c>
      <c r="K1302" s="645">
        <v>0</v>
      </c>
      <c r="L1302" s="645">
        <v>0</v>
      </c>
      <c r="M1302" s="645">
        <v>53609167</v>
      </c>
      <c r="N1302" s="645">
        <v>0</v>
      </c>
      <c r="O1302" s="451"/>
      <c r="P1302" s="453"/>
    </row>
    <row r="1303" spans="1:16" s="175" customFormat="1" ht="12.75" hidden="1" customHeight="1" x14ac:dyDescent="0.2">
      <c r="A1303" s="188"/>
      <c r="B1303" s="881"/>
      <c r="C1303" s="884"/>
      <c r="D1303" s="884" t="s">
        <v>1560</v>
      </c>
      <c r="E1303" s="655" t="s">
        <v>1557</v>
      </c>
      <c r="F1303" s="645">
        <v>265862100</v>
      </c>
      <c r="G1303" s="562">
        <v>92000643</v>
      </c>
      <c r="H1303" s="645">
        <v>173861457</v>
      </c>
      <c r="I1303" s="645">
        <v>0</v>
      </c>
      <c r="J1303" s="562">
        <v>173861457</v>
      </c>
      <c r="K1303" s="645">
        <v>0</v>
      </c>
      <c r="L1303" s="645">
        <v>0</v>
      </c>
      <c r="M1303" s="645">
        <v>173861457</v>
      </c>
      <c r="N1303" s="645">
        <v>0</v>
      </c>
      <c r="O1303" s="451"/>
      <c r="P1303" s="453"/>
    </row>
    <row r="1304" spans="1:16" s="175" customFormat="1" ht="12.75" customHeight="1" x14ac:dyDescent="0.2">
      <c r="A1304" s="188"/>
      <c r="B1304" s="881"/>
      <c r="C1304" s="884" t="s">
        <v>3580</v>
      </c>
      <c r="D1304" s="884" t="s">
        <v>1630</v>
      </c>
      <c r="E1304" s="655" t="s">
        <v>26</v>
      </c>
      <c r="F1304" s="645">
        <v>122741250</v>
      </c>
      <c r="G1304" s="562">
        <v>122741250</v>
      </c>
      <c r="H1304" s="645">
        <v>0</v>
      </c>
      <c r="I1304" s="645">
        <v>0</v>
      </c>
      <c r="J1304" s="562">
        <v>0</v>
      </c>
      <c r="K1304" s="645">
        <v>0</v>
      </c>
      <c r="L1304" s="645">
        <v>0</v>
      </c>
      <c r="M1304" s="645">
        <v>0</v>
      </c>
      <c r="N1304" s="645">
        <v>0</v>
      </c>
      <c r="O1304" s="451"/>
      <c r="P1304" s="453"/>
    </row>
    <row r="1305" spans="1:16" s="175" customFormat="1" ht="12.75" hidden="1" customHeight="1" x14ac:dyDescent="0.2">
      <c r="A1305" s="188"/>
      <c r="B1305" s="881"/>
      <c r="C1305" s="884"/>
      <c r="D1305" s="884" t="s">
        <v>1630</v>
      </c>
      <c r="E1305" s="655" t="s">
        <v>1557</v>
      </c>
      <c r="F1305" s="645">
        <v>286396250</v>
      </c>
      <c r="G1305" s="562">
        <v>14250</v>
      </c>
      <c r="H1305" s="645">
        <v>286382000</v>
      </c>
      <c r="I1305" s="645">
        <v>0</v>
      </c>
      <c r="J1305" s="562">
        <v>286382000</v>
      </c>
      <c r="K1305" s="645">
        <v>0</v>
      </c>
      <c r="L1305" s="645">
        <v>0</v>
      </c>
      <c r="M1305" s="645">
        <v>286382000</v>
      </c>
      <c r="N1305" s="645">
        <v>0</v>
      </c>
      <c r="O1305" s="451"/>
      <c r="P1305" s="453"/>
    </row>
    <row r="1306" spans="1:16" s="175" customFormat="1" ht="12.75" customHeight="1" x14ac:dyDescent="0.2">
      <c r="A1306" s="188"/>
      <c r="B1306" s="881"/>
      <c r="C1306" s="884"/>
      <c r="D1306" s="884" t="s">
        <v>1630</v>
      </c>
      <c r="E1306" s="655" t="s">
        <v>195</v>
      </c>
      <c r="F1306" s="645">
        <v>2126835</v>
      </c>
      <c r="G1306" s="562">
        <v>2126835</v>
      </c>
      <c r="H1306" s="645">
        <v>0</v>
      </c>
      <c r="I1306" s="645">
        <v>0</v>
      </c>
      <c r="J1306" s="562">
        <v>0</v>
      </c>
      <c r="K1306" s="645">
        <v>0</v>
      </c>
      <c r="L1306" s="645">
        <v>0</v>
      </c>
      <c r="M1306" s="645">
        <v>0</v>
      </c>
      <c r="N1306" s="645">
        <v>0</v>
      </c>
      <c r="O1306" s="451"/>
      <c r="P1306" s="453"/>
    </row>
    <row r="1307" spans="1:16" s="175" customFormat="1" ht="12.75" customHeight="1" x14ac:dyDescent="0.2">
      <c r="A1307" s="188"/>
      <c r="B1307" s="881"/>
      <c r="C1307" s="884" t="s">
        <v>3581</v>
      </c>
      <c r="D1307" s="884" t="s">
        <v>1239</v>
      </c>
      <c r="E1307" s="655" t="s">
        <v>26</v>
      </c>
      <c r="F1307" s="645">
        <v>336550000</v>
      </c>
      <c r="G1307" s="562">
        <v>336550000</v>
      </c>
      <c r="H1307" s="645">
        <v>0</v>
      </c>
      <c r="I1307" s="645">
        <v>0</v>
      </c>
      <c r="J1307" s="562">
        <v>0</v>
      </c>
      <c r="K1307" s="645">
        <v>0</v>
      </c>
      <c r="L1307" s="645">
        <v>0</v>
      </c>
      <c r="M1307" s="645">
        <v>0</v>
      </c>
      <c r="N1307" s="645">
        <v>0</v>
      </c>
      <c r="O1307" s="451"/>
      <c r="P1307" s="453"/>
    </row>
    <row r="1308" spans="1:16" s="175" customFormat="1" ht="12.75" hidden="1" customHeight="1" x14ac:dyDescent="0.2">
      <c r="A1308" s="188"/>
      <c r="B1308" s="881"/>
      <c r="C1308" s="884"/>
      <c r="D1308" s="884" t="s">
        <v>1239</v>
      </c>
      <c r="E1308" s="655" t="s">
        <v>1557</v>
      </c>
      <c r="F1308" s="645">
        <v>99999196</v>
      </c>
      <c r="G1308" s="562">
        <v>0</v>
      </c>
      <c r="H1308" s="645">
        <v>99999196</v>
      </c>
      <c r="I1308" s="645">
        <v>0</v>
      </c>
      <c r="J1308" s="562">
        <v>99999196</v>
      </c>
      <c r="K1308" s="645">
        <v>99999196</v>
      </c>
      <c r="L1308" s="645">
        <v>0</v>
      </c>
      <c r="M1308" s="645">
        <v>0</v>
      </c>
      <c r="N1308" s="645">
        <v>0</v>
      </c>
      <c r="O1308" s="451"/>
      <c r="P1308" s="453"/>
    </row>
    <row r="1309" spans="1:16" s="175" customFormat="1" ht="12.75" customHeight="1" x14ac:dyDescent="0.2">
      <c r="A1309" s="188"/>
      <c r="B1309" s="881"/>
      <c r="C1309" s="884" t="s">
        <v>3582</v>
      </c>
      <c r="D1309" s="884" t="s">
        <v>1151</v>
      </c>
      <c r="E1309" s="655" t="s">
        <v>26</v>
      </c>
      <c r="F1309" s="645">
        <v>97975610</v>
      </c>
      <c r="G1309" s="562">
        <v>97975610</v>
      </c>
      <c r="H1309" s="645">
        <v>0</v>
      </c>
      <c r="I1309" s="645">
        <v>0</v>
      </c>
      <c r="J1309" s="562">
        <v>0</v>
      </c>
      <c r="K1309" s="645">
        <v>0</v>
      </c>
      <c r="L1309" s="645">
        <v>0</v>
      </c>
      <c r="M1309" s="645">
        <v>0</v>
      </c>
      <c r="N1309" s="645">
        <v>0</v>
      </c>
      <c r="O1309" s="451"/>
      <c r="P1309" s="453"/>
    </row>
    <row r="1310" spans="1:16" s="175" customFormat="1" ht="12.75" hidden="1" customHeight="1" x14ac:dyDescent="0.2">
      <c r="A1310" s="188"/>
      <c r="B1310" s="881"/>
      <c r="C1310" s="884"/>
      <c r="D1310" s="884" t="s">
        <v>1151</v>
      </c>
      <c r="E1310" s="655" t="s">
        <v>1557</v>
      </c>
      <c r="F1310" s="645">
        <v>225000000</v>
      </c>
      <c r="G1310" s="562">
        <v>678435</v>
      </c>
      <c r="H1310" s="645">
        <v>224321565</v>
      </c>
      <c r="I1310" s="645">
        <v>0</v>
      </c>
      <c r="J1310" s="562">
        <v>224321565</v>
      </c>
      <c r="K1310" s="645">
        <v>0</v>
      </c>
      <c r="L1310" s="645">
        <v>0</v>
      </c>
      <c r="M1310" s="645">
        <v>224321565</v>
      </c>
      <c r="N1310" s="645">
        <v>0</v>
      </c>
      <c r="O1310" s="451"/>
      <c r="P1310" s="453"/>
    </row>
    <row r="1311" spans="1:16" s="175" customFormat="1" ht="12.75" customHeight="1" x14ac:dyDescent="0.2">
      <c r="A1311" s="188"/>
      <c r="B1311" s="881"/>
      <c r="C1311" s="884"/>
      <c r="D1311" s="884" t="s">
        <v>1151</v>
      </c>
      <c r="E1311" s="655" t="s">
        <v>195</v>
      </c>
      <c r="F1311" s="645">
        <v>675000</v>
      </c>
      <c r="G1311" s="562">
        <v>675000</v>
      </c>
      <c r="H1311" s="645">
        <v>0</v>
      </c>
      <c r="I1311" s="645">
        <v>0</v>
      </c>
      <c r="J1311" s="562">
        <v>0</v>
      </c>
      <c r="K1311" s="645">
        <v>0</v>
      </c>
      <c r="L1311" s="645">
        <v>0</v>
      </c>
      <c r="M1311" s="645">
        <v>0</v>
      </c>
      <c r="N1311" s="645">
        <v>0</v>
      </c>
      <c r="O1311" s="451"/>
      <c r="P1311" s="453"/>
    </row>
    <row r="1312" spans="1:16" s="175" customFormat="1" ht="12.75" customHeight="1" x14ac:dyDescent="0.2">
      <c r="A1312" s="188"/>
      <c r="B1312" s="881"/>
      <c r="C1312" s="884" t="s">
        <v>3583</v>
      </c>
      <c r="D1312" s="884" t="s">
        <v>1467</v>
      </c>
      <c r="E1312" s="655" t="s">
        <v>26</v>
      </c>
      <c r="F1312" s="645">
        <v>130554666</v>
      </c>
      <c r="G1312" s="562">
        <v>130554666</v>
      </c>
      <c r="H1312" s="645">
        <v>0</v>
      </c>
      <c r="I1312" s="645">
        <v>0</v>
      </c>
      <c r="J1312" s="562">
        <v>0</v>
      </c>
      <c r="K1312" s="645">
        <v>0</v>
      </c>
      <c r="L1312" s="645">
        <v>0</v>
      </c>
      <c r="M1312" s="645">
        <v>0</v>
      </c>
      <c r="N1312" s="645">
        <v>0</v>
      </c>
      <c r="O1312" s="451"/>
      <c r="P1312" s="453"/>
    </row>
    <row r="1313" spans="1:16" s="175" customFormat="1" ht="12.75" hidden="1" customHeight="1" x14ac:dyDescent="0.2">
      <c r="A1313" s="188"/>
      <c r="B1313" s="881"/>
      <c r="C1313" s="884"/>
      <c r="D1313" s="884" t="s">
        <v>1467</v>
      </c>
      <c r="E1313" s="655" t="s">
        <v>1557</v>
      </c>
      <c r="F1313" s="645">
        <v>304627554</v>
      </c>
      <c r="G1313" s="562">
        <v>0</v>
      </c>
      <c r="H1313" s="645">
        <v>304627554</v>
      </c>
      <c r="I1313" s="645">
        <v>0</v>
      </c>
      <c r="J1313" s="562">
        <v>304627554</v>
      </c>
      <c r="K1313" s="645">
        <v>304627554</v>
      </c>
      <c r="L1313" s="645">
        <v>0</v>
      </c>
      <c r="M1313" s="645">
        <v>0</v>
      </c>
      <c r="N1313" s="645">
        <v>0</v>
      </c>
      <c r="O1313" s="451"/>
      <c r="P1313" s="453"/>
    </row>
    <row r="1314" spans="1:16" s="175" customFormat="1" ht="12.75" customHeight="1" x14ac:dyDescent="0.2">
      <c r="A1314" s="188"/>
      <c r="B1314" s="881"/>
      <c r="C1314" s="884"/>
      <c r="D1314" s="884" t="s">
        <v>1467</v>
      </c>
      <c r="E1314" s="655" t="s">
        <v>195</v>
      </c>
      <c r="F1314" s="645">
        <v>217964</v>
      </c>
      <c r="G1314" s="562">
        <v>217964</v>
      </c>
      <c r="H1314" s="645">
        <v>0</v>
      </c>
      <c r="I1314" s="645">
        <v>0</v>
      </c>
      <c r="J1314" s="562">
        <v>0</v>
      </c>
      <c r="K1314" s="645">
        <v>0</v>
      </c>
      <c r="L1314" s="645">
        <v>0</v>
      </c>
      <c r="M1314" s="645">
        <v>0</v>
      </c>
      <c r="N1314" s="645">
        <v>0</v>
      </c>
      <c r="O1314" s="451"/>
      <c r="P1314" s="453"/>
    </row>
    <row r="1315" spans="1:16" s="175" customFormat="1" ht="12.75" customHeight="1" x14ac:dyDescent="0.2">
      <c r="A1315" s="188"/>
      <c r="B1315" s="881"/>
      <c r="C1315" s="884" t="s">
        <v>3584</v>
      </c>
      <c r="D1315" s="884" t="s">
        <v>1468</v>
      </c>
      <c r="E1315" s="655" t="s">
        <v>26</v>
      </c>
      <c r="F1315" s="645">
        <v>131380623</v>
      </c>
      <c r="G1315" s="562">
        <v>131380623</v>
      </c>
      <c r="H1315" s="645">
        <v>0</v>
      </c>
      <c r="I1315" s="645">
        <v>0</v>
      </c>
      <c r="J1315" s="562">
        <v>0</v>
      </c>
      <c r="K1315" s="645">
        <v>0</v>
      </c>
      <c r="L1315" s="645">
        <v>0</v>
      </c>
      <c r="M1315" s="645">
        <v>0</v>
      </c>
      <c r="N1315" s="645">
        <v>0</v>
      </c>
      <c r="O1315" s="451"/>
      <c r="P1315" s="453"/>
    </row>
    <row r="1316" spans="1:16" s="175" customFormat="1" ht="12.75" hidden="1" customHeight="1" x14ac:dyDescent="0.2">
      <c r="A1316" s="188"/>
      <c r="B1316" s="881"/>
      <c r="C1316" s="884"/>
      <c r="D1316" s="884" t="s">
        <v>1468</v>
      </c>
      <c r="E1316" s="655" t="s">
        <v>1557</v>
      </c>
      <c r="F1316" s="645">
        <v>306554787</v>
      </c>
      <c r="G1316" s="562">
        <v>52988986</v>
      </c>
      <c r="H1316" s="645">
        <v>253565801</v>
      </c>
      <c r="I1316" s="645">
        <v>0</v>
      </c>
      <c r="J1316" s="562">
        <v>253565801</v>
      </c>
      <c r="K1316" s="645">
        <v>0</v>
      </c>
      <c r="L1316" s="645">
        <v>0</v>
      </c>
      <c r="M1316" s="645">
        <v>253565801</v>
      </c>
      <c r="N1316" s="645">
        <v>0</v>
      </c>
      <c r="O1316" s="451"/>
      <c r="P1316" s="453"/>
    </row>
    <row r="1317" spans="1:16" s="175" customFormat="1" ht="12.75" customHeight="1" x14ac:dyDescent="0.2">
      <c r="A1317" s="188"/>
      <c r="B1317" s="881"/>
      <c r="C1317" s="884"/>
      <c r="D1317" s="884" t="s">
        <v>1468</v>
      </c>
      <c r="E1317" s="655" t="s">
        <v>195</v>
      </c>
      <c r="F1317" s="645">
        <v>273819</v>
      </c>
      <c r="G1317" s="562">
        <v>273819</v>
      </c>
      <c r="H1317" s="645">
        <v>0</v>
      </c>
      <c r="I1317" s="645">
        <v>0</v>
      </c>
      <c r="J1317" s="562">
        <v>0</v>
      </c>
      <c r="K1317" s="645">
        <v>0</v>
      </c>
      <c r="L1317" s="645">
        <v>0</v>
      </c>
      <c r="M1317" s="645">
        <v>0</v>
      </c>
      <c r="N1317" s="645">
        <v>0</v>
      </c>
      <c r="O1317" s="451"/>
      <c r="P1317" s="453"/>
    </row>
    <row r="1318" spans="1:16" s="175" customFormat="1" ht="12.75" customHeight="1" x14ac:dyDescent="0.2">
      <c r="A1318" s="188"/>
      <c r="B1318" s="881"/>
      <c r="C1318" s="884" t="s">
        <v>3585</v>
      </c>
      <c r="D1318" s="884" t="s">
        <v>1082</v>
      </c>
      <c r="E1318" s="655" t="s">
        <v>26</v>
      </c>
      <c r="F1318" s="645">
        <v>309426002</v>
      </c>
      <c r="G1318" s="562">
        <v>309426002</v>
      </c>
      <c r="H1318" s="645">
        <v>0</v>
      </c>
      <c r="I1318" s="645">
        <v>0</v>
      </c>
      <c r="J1318" s="562">
        <v>0</v>
      </c>
      <c r="K1318" s="645">
        <v>0</v>
      </c>
      <c r="L1318" s="645">
        <v>0</v>
      </c>
      <c r="M1318" s="645">
        <v>0</v>
      </c>
      <c r="N1318" s="645">
        <v>0</v>
      </c>
      <c r="O1318" s="451"/>
      <c r="P1318" s="453"/>
    </row>
    <row r="1319" spans="1:16" s="175" customFormat="1" ht="12.75" customHeight="1" x14ac:dyDescent="0.2">
      <c r="A1319" s="188"/>
      <c r="B1319" s="881"/>
      <c r="C1319" s="884"/>
      <c r="D1319" s="884" t="s">
        <v>1082</v>
      </c>
      <c r="E1319" s="655" t="s">
        <v>3212</v>
      </c>
      <c r="F1319" s="645">
        <v>70418</v>
      </c>
      <c r="G1319" s="562">
        <v>70418</v>
      </c>
      <c r="H1319" s="645">
        <v>0</v>
      </c>
      <c r="I1319" s="645">
        <v>0</v>
      </c>
      <c r="J1319" s="562">
        <v>0</v>
      </c>
      <c r="K1319" s="645">
        <v>0</v>
      </c>
      <c r="L1319" s="645">
        <v>0</v>
      </c>
      <c r="M1319" s="645">
        <v>0</v>
      </c>
      <c r="N1319" s="645">
        <v>0</v>
      </c>
      <c r="O1319" s="451"/>
      <c r="P1319" s="453"/>
    </row>
    <row r="1320" spans="1:16" s="175" customFormat="1" ht="12.75" customHeight="1" x14ac:dyDescent="0.2">
      <c r="A1320" s="188"/>
      <c r="B1320" s="881"/>
      <c r="C1320" s="884"/>
      <c r="D1320" s="884" t="s">
        <v>1082</v>
      </c>
      <c r="E1320" s="655" t="s">
        <v>195</v>
      </c>
      <c r="F1320" s="645">
        <v>594782</v>
      </c>
      <c r="G1320" s="562">
        <v>594782</v>
      </c>
      <c r="H1320" s="645">
        <v>0</v>
      </c>
      <c r="I1320" s="645">
        <v>0</v>
      </c>
      <c r="J1320" s="562">
        <v>0</v>
      </c>
      <c r="K1320" s="645">
        <v>0</v>
      </c>
      <c r="L1320" s="645">
        <v>0</v>
      </c>
      <c r="M1320" s="645">
        <v>0</v>
      </c>
      <c r="N1320" s="645">
        <v>0</v>
      </c>
      <c r="O1320" s="451"/>
      <c r="P1320" s="453"/>
    </row>
    <row r="1321" spans="1:16" s="175" customFormat="1" ht="12.75" customHeight="1" x14ac:dyDescent="0.2">
      <c r="A1321" s="188"/>
      <c r="B1321" s="881"/>
      <c r="C1321" s="884" t="s">
        <v>3586</v>
      </c>
      <c r="D1321" s="884" t="s">
        <v>1097</v>
      </c>
      <c r="E1321" s="655" t="s">
        <v>26</v>
      </c>
      <c r="F1321" s="645">
        <v>119495040</v>
      </c>
      <c r="G1321" s="562">
        <v>119495040</v>
      </c>
      <c r="H1321" s="645">
        <v>0</v>
      </c>
      <c r="I1321" s="645">
        <v>0</v>
      </c>
      <c r="J1321" s="562">
        <v>0</v>
      </c>
      <c r="K1321" s="645">
        <v>0</v>
      </c>
      <c r="L1321" s="645">
        <v>0</v>
      </c>
      <c r="M1321" s="645">
        <v>0</v>
      </c>
      <c r="N1321" s="645">
        <v>0</v>
      </c>
      <c r="O1321" s="451"/>
      <c r="P1321" s="453"/>
    </row>
    <row r="1322" spans="1:16" s="175" customFormat="1" ht="12.75" hidden="1" customHeight="1" x14ac:dyDescent="0.2">
      <c r="A1322" s="188"/>
      <c r="B1322" s="881"/>
      <c r="C1322" s="884"/>
      <c r="D1322" s="884" t="s">
        <v>1097</v>
      </c>
      <c r="E1322" s="655" t="s">
        <v>1557</v>
      </c>
      <c r="F1322" s="645">
        <v>278821760</v>
      </c>
      <c r="G1322" s="562">
        <v>81502665</v>
      </c>
      <c r="H1322" s="645">
        <v>197319095</v>
      </c>
      <c r="I1322" s="645">
        <v>0</v>
      </c>
      <c r="J1322" s="562">
        <v>197319095</v>
      </c>
      <c r="K1322" s="645">
        <v>0</v>
      </c>
      <c r="L1322" s="645">
        <v>0</v>
      </c>
      <c r="M1322" s="645">
        <v>197319095</v>
      </c>
      <c r="N1322" s="645">
        <v>0</v>
      </c>
      <c r="O1322" s="451"/>
      <c r="P1322" s="453"/>
    </row>
    <row r="1323" spans="1:16" s="175" customFormat="1" ht="12.75" customHeight="1" x14ac:dyDescent="0.2">
      <c r="A1323" s="188"/>
      <c r="B1323" s="881"/>
      <c r="C1323" s="884" t="s">
        <v>3587</v>
      </c>
      <c r="D1323" s="884" t="s">
        <v>1613</v>
      </c>
      <c r="E1323" s="655" t="s">
        <v>26</v>
      </c>
      <c r="F1323" s="645">
        <v>214136881</v>
      </c>
      <c r="G1323" s="562">
        <v>214136881</v>
      </c>
      <c r="H1323" s="645">
        <v>0</v>
      </c>
      <c r="I1323" s="645">
        <v>0</v>
      </c>
      <c r="J1323" s="562">
        <v>0</v>
      </c>
      <c r="K1323" s="645">
        <v>0</v>
      </c>
      <c r="L1323" s="645">
        <v>0</v>
      </c>
      <c r="M1323" s="645">
        <v>0</v>
      </c>
      <c r="N1323" s="645">
        <v>0</v>
      </c>
      <c r="O1323" s="451"/>
      <c r="P1323" s="453"/>
    </row>
    <row r="1324" spans="1:16" s="175" customFormat="1" ht="12.75" hidden="1" customHeight="1" x14ac:dyDescent="0.2">
      <c r="A1324" s="188"/>
      <c r="B1324" s="881"/>
      <c r="C1324" s="884"/>
      <c r="D1324" s="884" t="s">
        <v>1613</v>
      </c>
      <c r="E1324" s="655" t="s">
        <v>1557</v>
      </c>
      <c r="F1324" s="645">
        <v>200000000</v>
      </c>
      <c r="G1324" s="562">
        <v>0</v>
      </c>
      <c r="H1324" s="645">
        <v>200000000</v>
      </c>
      <c r="I1324" s="645">
        <v>0</v>
      </c>
      <c r="J1324" s="562">
        <v>200000000</v>
      </c>
      <c r="K1324" s="645">
        <v>200000000</v>
      </c>
      <c r="L1324" s="645">
        <v>0</v>
      </c>
      <c r="M1324" s="645">
        <v>0</v>
      </c>
      <c r="N1324" s="645">
        <v>0</v>
      </c>
      <c r="O1324" s="451"/>
      <c r="P1324" s="453"/>
    </row>
    <row r="1325" spans="1:16" s="175" customFormat="1" ht="12.75" customHeight="1" x14ac:dyDescent="0.2">
      <c r="A1325" s="188"/>
      <c r="B1325" s="881"/>
      <c r="C1325" s="884" t="s">
        <v>3588</v>
      </c>
      <c r="D1325" s="884" t="s">
        <v>1098</v>
      </c>
      <c r="E1325" s="655" t="s">
        <v>26</v>
      </c>
      <c r="F1325" s="645">
        <v>95259244</v>
      </c>
      <c r="G1325" s="562">
        <v>95259244</v>
      </c>
      <c r="H1325" s="645">
        <v>0</v>
      </c>
      <c r="I1325" s="645">
        <v>0</v>
      </c>
      <c r="J1325" s="562">
        <v>0</v>
      </c>
      <c r="K1325" s="645">
        <v>0</v>
      </c>
      <c r="L1325" s="645">
        <v>0</v>
      </c>
      <c r="M1325" s="645">
        <v>0</v>
      </c>
      <c r="N1325" s="645">
        <v>0</v>
      </c>
      <c r="O1325" s="451"/>
      <c r="P1325" s="453"/>
    </row>
    <row r="1326" spans="1:16" s="175" customFormat="1" ht="12.75" hidden="1" customHeight="1" x14ac:dyDescent="0.2">
      <c r="A1326" s="188"/>
      <c r="B1326" s="881"/>
      <c r="C1326" s="884"/>
      <c r="D1326" s="884" t="s">
        <v>1098</v>
      </c>
      <c r="E1326" s="655" t="s">
        <v>1557</v>
      </c>
      <c r="F1326" s="645">
        <v>222270356</v>
      </c>
      <c r="G1326" s="562">
        <v>0</v>
      </c>
      <c r="H1326" s="645">
        <v>222270356</v>
      </c>
      <c r="I1326" s="645">
        <v>0</v>
      </c>
      <c r="J1326" s="562">
        <v>222270356</v>
      </c>
      <c r="K1326" s="645">
        <v>222270356</v>
      </c>
      <c r="L1326" s="645">
        <v>0</v>
      </c>
      <c r="M1326" s="645">
        <v>0</v>
      </c>
      <c r="N1326" s="645">
        <v>0</v>
      </c>
      <c r="O1326" s="451"/>
      <c r="P1326" s="453"/>
    </row>
    <row r="1327" spans="1:16" s="175" customFormat="1" ht="12.75" customHeight="1" x14ac:dyDescent="0.2">
      <c r="A1327" s="188"/>
      <c r="B1327" s="881"/>
      <c r="C1327" s="884"/>
      <c r="D1327" s="884" t="s">
        <v>1098</v>
      </c>
      <c r="E1327" s="655" t="s">
        <v>195</v>
      </c>
      <c r="F1327" s="645">
        <v>3184756</v>
      </c>
      <c r="G1327" s="562">
        <v>3184756</v>
      </c>
      <c r="H1327" s="645">
        <v>0</v>
      </c>
      <c r="I1327" s="645">
        <v>0</v>
      </c>
      <c r="J1327" s="562">
        <v>0</v>
      </c>
      <c r="K1327" s="645">
        <v>0</v>
      </c>
      <c r="L1327" s="645">
        <v>0</v>
      </c>
      <c r="M1327" s="645">
        <v>0</v>
      </c>
      <c r="N1327" s="645">
        <v>0</v>
      </c>
      <c r="O1327" s="451"/>
      <c r="P1327" s="453"/>
    </row>
    <row r="1328" spans="1:16" s="175" customFormat="1" ht="12.75" customHeight="1" x14ac:dyDescent="0.2">
      <c r="A1328" s="188"/>
      <c r="B1328" s="881"/>
      <c r="C1328" s="884" t="s">
        <v>3589</v>
      </c>
      <c r="D1328" s="884" t="s">
        <v>3368</v>
      </c>
      <c r="E1328" s="655" t="s">
        <v>26</v>
      </c>
      <c r="F1328" s="645">
        <v>147785000</v>
      </c>
      <c r="G1328" s="562">
        <v>96847562</v>
      </c>
      <c r="H1328" s="645">
        <v>50937438</v>
      </c>
      <c r="I1328" s="645">
        <v>50937438</v>
      </c>
      <c r="J1328" s="562">
        <v>0</v>
      </c>
      <c r="K1328" s="645">
        <v>0</v>
      </c>
      <c r="L1328" s="645">
        <v>0</v>
      </c>
      <c r="M1328" s="645">
        <v>0</v>
      </c>
      <c r="N1328" s="645">
        <v>0</v>
      </c>
      <c r="O1328" s="451"/>
      <c r="P1328" s="453"/>
    </row>
    <row r="1329" spans="1:16" s="175" customFormat="1" ht="12.75" hidden="1" customHeight="1" x14ac:dyDescent="0.2">
      <c r="A1329" s="188"/>
      <c r="B1329" s="881"/>
      <c r="C1329" s="884"/>
      <c r="D1329" s="884" t="s">
        <v>3368</v>
      </c>
      <c r="E1329" s="655" t="s">
        <v>1557</v>
      </c>
      <c r="F1329" s="645">
        <v>344000000</v>
      </c>
      <c r="G1329" s="562">
        <v>2825647</v>
      </c>
      <c r="H1329" s="645">
        <v>341174353</v>
      </c>
      <c r="I1329" s="645">
        <v>341174353</v>
      </c>
      <c r="J1329" s="562">
        <v>0</v>
      </c>
      <c r="K1329" s="645">
        <v>0</v>
      </c>
      <c r="L1329" s="645">
        <v>0</v>
      </c>
      <c r="M1329" s="645">
        <v>0</v>
      </c>
      <c r="N1329" s="645">
        <v>0</v>
      </c>
      <c r="O1329" s="451"/>
      <c r="P1329" s="453"/>
    </row>
    <row r="1330" spans="1:16" s="175" customFormat="1" ht="12.75" customHeight="1" x14ac:dyDescent="0.2">
      <c r="A1330" s="188"/>
      <c r="B1330" s="881"/>
      <c r="C1330" s="884"/>
      <c r="D1330" s="884" t="s">
        <v>3368</v>
      </c>
      <c r="E1330" s="655" t="s">
        <v>1221</v>
      </c>
      <c r="F1330" s="645">
        <v>1931850</v>
      </c>
      <c r="G1330" s="562">
        <v>1931850</v>
      </c>
      <c r="H1330" s="645">
        <v>0</v>
      </c>
      <c r="I1330" s="645">
        <v>0</v>
      </c>
      <c r="J1330" s="562">
        <v>0</v>
      </c>
      <c r="K1330" s="645">
        <v>0</v>
      </c>
      <c r="L1330" s="645">
        <v>0</v>
      </c>
      <c r="M1330" s="645">
        <v>0</v>
      </c>
      <c r="N1330" s="645">
        <v>0</v>
      </c>
      <c r="O1330" s="451"/>
      <c r="P1330" s="453"/>
    </row>
    <row r="1331" spans="1:16" s="175" customFormat="1" ht="12.75" customHeight="1" x14ac:dyDescent="0.2">
      <c r="A1331" s="188"/>
      <c r="B1331" s="881"/>
      <c r="C1331" s="884" t="s">
        <v>3590</v>
      </c>
      <c r="D1331" s="884" t="s">
        <v>2246</v>
      </c>
      <c r="E1331" s="655" t="s">
        <v>26</v>
      </c>
      <c r="F1331" s="645">
        <v>97971813</v>
      </c>
      <c r="G1331" s="562">
        <v>97971813</v>
      </c>
      <c r="H1331" s="645">
        <v>0</v>
      </c>
      <c r="I1331" s="645">
        <v>0</v>
      </c>
      <c r="J1331" s="562">
        <v>0</v>
      </c>
      <c r="K1331" s="645">
        <v>0</v>
      </c>
      <c r="L1331" s="645">
        <v>0</v>
      </c>
      <c r="M1331" s="645">
        <v>0</v>
      </c>
      <c r="N1331" s="645">
        <v>0</v>
      </c>
      <c r="O1331" s="451"/>
      <c r="P1331" s="453"/>
    </row>
    <row r="1332" spans="1:16" s="175" customFormat="1" ht="12.75" hidden="1" customHeight="1" x14ac:dyDescent="0.2">
      <c r="A1332" s="188"/>
      <c r="B1332" s="881"/>
      <c r="C1332" s="884"/>
      <c r="D1332" s="884" t="s">
        <v>2246</v>
      </c>
      <c r="E1332" s="655" t="s">
        <v>1557</v>
      </c>
      <c r="F1332" s="645">
        <v>219622085</v>
      </c>
      <c r="G1332" s="562">
        <v>0</v>
      </c>
      <c r="H1332" s="645">
        <v>219622085</v>
      </c>
      <c r="I1332" s="645">
        <v>0</v>
      </c>
      <c r="J1332" s="562">
        <v>219622085</v>
      </c>
      <c r="K1332" s="645">
        <v>219622085</v>
      </c>
      <c r="L1332" s="645">
        <v>0</v>
      </c>
      <c r="M1332" s="645">
        <v>0</v>
      </c>
      <c r="N1332" s="645">
        <v>0</v>
      </c>
      <c r="O1332" s="451"/>
      <c r="P1332" s="453"/>
    </row>
    <row r="1333" spans="1:16" s="175" customFormat="1" ht="12.75" customHeight="1" x14ac:dyDescent="0.2">
      <c r="A1333" s="188"/>
      <c r="B1333" s="881"/>
      <c r="C1333" s="884"/>
      <c r="D1333" s="884" t="s">
        <v>2246</v>
      </c>
      <c r="E1333" s="655" t="s">
        <v>195</v>
      </c>
      <c r="F1333" s="645">
        <v>366562</v>
      </c>
      <c r="G1333" s="562">
        <v>366562</v>
      </c>
      <c r="H1333" s="645">
        <v>0</v>
      </c>
      <c r="I1333" s="645">
        <v>0</v>
      </c>
      <c r="J1333" s="562">
        <v>0</v>
      </c>
      <c r="K1333" s="645">
        <v>0</v>
      </c>
      <c r="L1333" s="645">
        <v>0</v>
      </c>
      <c r="M1333" s="645">
        <v>0</v>
      </c>
      <c r="N1333" s="645">
        <v>0</v>
      </c>
      <c r="O1333" s="451"/>
      <c r="P1333" s="453"/>
    </row>
    <row r="1334" spans="1:16" s="175" customFormat="1" ht="12.75" customHeight="1" x14ac:dyDescent="0.2">
      <c r="A1334" s="188"/>
      <c r="B1334" s="881"/>
      <c r="C1334" s="884"/>
      <c r="D1334" s="884" t="s">
        <v>2246</v>
      </c>
      <c r="E1334" s="655" t="s">
        <v>1221</v>
      </c>
      <c r="F1334" s="645">
        <v>1512675</v>
      </c>
      <c r="G1334" s="562">
        <v>1512675</v>
      </c>
      <c r="H1334" s="645">
        <v>0</v>
      </c>
      <c r="I1334" s="645">
        <v>0</v>
      </c>
      <c r="J1334" s="562">
        <v>0</v>
      </c>
      <c r="K1334" s="645">
        <v>0</v>
      </c>
      <c r="L1334" s="645">
        <v>0</v>
      </c>
      <c r="M1334" s="645">
        <v>0</v>
      </c>
      <c r="N1334" s="645">
        <v>0</v>
      </c>
      <c r="O1334" s="451"/>
      <c r="P1334" s="453"/>
    </row>
    <row r="1335" spans="1:16" s="175" customFormat="1" ht="12.75" customHeight="1" x14ac:dyDescent="0.2">
      <c r="A1335" s="188"/>
      <c r="B1335" s="881"/>
      <c r="C1335" s="884" t="s">
        <v>3591</v>
      </c>
      <c r="D1335" s="884" t="s">
        <v>1240</v>
      </c>
      <c r="E1335" s="655" t="s">
        <v>26</v>
      </c>
      <c r="F1335" s="645">
        <v>133085090</v>
      </c>
      <c r="G1335" s="562">
        <v>126316545</v>
      </c>
      <c r="H1335" s="645">
        <v>6768545</v>
      </c>
      <c r="I1335" s="645">
        <v>0</v>
      </c>
      <c r="J1335" s="562">
        <v>6768545</v>
      </c>
      <c r="K1335" s="645">
        <v>0</v>
      </c>
      <c r="L1335" s="645">
        <v>0</v>
      </c>
      <c r="M1335" s="645">
        <v>0</v>
      </c>
      <c r="N1335" s="645">
        <v>6768545</v>
      </c>
      <c r="O1335" s="451"/>
      <c r="P1335" s="453"/>
    </row>
    <row r="1336" spans="1:16" s="175" customFormat="1" ht="12.75" hidden="1" customHeight="1" x14ac:dyDescent="0.2">
      <c r="A1336" s="188"/>
      <c r="B1336" s="881"/>
      <c r="C1336" s="884"/>
      <c r="D1336" s="884" t="s">
        <v>1240</v>
      </c>
      <c r="E1336" s="655" t="s">
        <v>1557</v>
      </c>
      <c r="F1336" s="645">
        <v>302816500</v>
      </c>
      <c r="G1336" s="562">
        <v>0</v>
      </c>
      <c r="H1336" s="645">
        <v>302816500</v>
      </c>
      <c r="I1336" s="645">
        <v>0</v>
      </c>
      <c r="J1336" s="562">
        <v>302816500</v>
      </c>
      <c r="K1336" s="645">
        <v>0</v>
      </c>
      <c r="L1336" s="645">
        <v>0</v>
      </c>
      <c r="M1336" s="645">
        <v>302816500</v>
      </c>
      <c r="N1336" s="645">
        <v>0</v>
      </c>
      <c r="O1336" s="451"/>
      <c r="P1336" s="453"/>
    </row>
    <row r="1337" spans="1:16" s="175" customFormat="1" ht="12.75" customHeight="1" x14ac:dyDescent="0.2">
      <c r="A1337" s="188"/>
      <c r="B1337" s="881"/>
      <c r="C1337" s="884"/>
      <c r="D1337" s="884" t="s">
        <v>1240</v>
      </c>
      <c r="E1337" s="655" t="s">
        <v>195</v>
      </c>
      <c r="F1337" s="645">
        <v>6768543</v>
      </c>
      <c r="G1337" s="562">
        <v>6768543</v>
      </c>
      <c r="H1337" s="645">
        <v>0</v>
      </c>
      <c r="I1337" s="645">
        <v>0</v>
      </c>
      <c r="J1337" s="562">
        <v>0</v>
      </c>
      <c r="K1337" s="645">
        <v>0</v>
      </c>
      <c r="L1337" s="645">
        <v>0</v>
      </c>
      <c r="M1337" s="645">
        <v>0</v>
      </c>
      <c r="N1337" s="645">
        <v>0</v>
      </c>
      <c r="O1337" s="451"/>
      <c r="P1337" s="453"/>
    </row>
    <row r="1338" spans="1:16" s="175" customFormat="1" ht="12.75" customHeight="1" x14ac:dyDescent="0.2">
      <c r="A1338" s="188"/>
      <c r="B1338" s="881"/>
      <c r="C1338" s="884" t="s">
        <v>3592</v>
      </c>
      <c r="D1338" s="884" t="s">
        <v>1196</v>
      </c>
      <c r="E1338" s="655" t="s">
        <v>26</v>
      </c>
      <c r="F1338" s="645">
        <v>125792400</v>
      </c>
      <c r="G1338" s="562">
        <v>125792400</v>
      </c>
      <c r="H1338" s="645">
        <v>0</v>
      </c>
      <c r="I1338" s="645">
        <v>0</v>
      </c>
      <c r="J1338" s="562">
        <v>0</v>
      </c>
      <c r="K1338" s="645">
        <v>0</v>
      </c>
      <c r="L1338" s="645">
        <v>0</v>
      </c>
      <c r="M1338" s="645">
        <v>0</v>
      </c>
      <c r="N1338" s="645">
        <v>0</v>
      </c>
      <c r="O1338" s="451"/>
      <c r="P1338" s="453"/>
    </row>
    <row r="1339" spans="1:16" s="175" customFormat="1" ht="12.75" hidden="1" customHeight="1" x14ac:dyDescent="0.2">
      <c r="A1339" s="188"/>
      <c r="B1339" s="881"/>
      <c r="C1339" s="884"/>
      <c r="D1339" s="884" t="s">
        <v>1196</v>
      </c>
      <c r="E1339" s="655" t="s">
        <v>1557</v>
      </c>
      <c r="F1339" s="645">
        <v>293515600</v>
      </c>
      <c r="G1339" s="562">
        <v>11182863</v>
      </c>
      <c r="H1339" s="645">
        <v>282332737</v>
      </c>
      <c r="I1339" s="645">
        <v>0</v>
      </c>
      <c r="J1339" s="562">
        <v>282332737</v>
      </c>
      <c r="K1339" s="645">
        <v>0</v>
      </c>
      <c r="L1339" s="645">
        <v>0</v>
      </c>
      <c r="M1339" s="645">
        <v>282332737</v>
      </c>
      <c r="N1339" s="645">
        <v>0</v>
      </c>
      <c r="O1339" s="451"/>
      <c r="P1339" s="453"/>
    </row>
    <row r="1340" spans="1:16" s="175" customFormat="1" ht="12.75" customHeight="1" x14ac:dyDescent="0.2">
      <c r="A1340" s="188"/>
      <c r="B1340" s="881"/>
      <c r="C1340" s="884"/>
      <c r="D1340" s="884" t="s">
        <v>1196</v>
      </c>
      <c r="E1340" s="655" t="s">
        <v>195</v>
      </c>
      <c r="F1340" s="645">
        <v>1478178</v>
      </c>
      <c r="G1340" s="562">
        <v>1478178</v>
      </c>
      <c r="H1340" s="645">
        <v>0</v>
      </c>
      <c r="I1340" s="645">
        <v>0</v>
      </c>
      <c r="J1340" s="562">
        <v>0</v>
      </c>
      <c r="K1340" s="645">
        <v>0</v>
      </c>
      <c r="L1340" s="645">
        <v>0</v>
      </c>
      <c r="M1340" s="645">
        <v>0</v>
      </c>
      <c r="N1340" s="645">
        <v>0</v>
      </c>
      <c r="O1340" s="451"/>
      <c r="P1340" s="453"/>
    </row>
    <row r="1341" spans="1:16" s="175" customFormat="1" ht="12.75" customHeight="1" x14ac:dyDescent="0.2">
      <c r="A1341" s="188"/>
      <c r="B1341" s="881"/>
      <c r="C1341" s="884" t="s">
        <v>3593</v>
      </c>
      <c r="D1341" s="884" t="s">
        <v>1098</v>
      </c>
      <c r="E1341" s="655" t="s">
        <v>26</v>
      </c>
      <c r="F1341" s="645">
        <v>95108880</v>
      </c>
      <c r="G1341" s="562">
        <v>95108880</v>
      </c>
      <c r="H1341" s="645">
        <v>0</v>
      </c>
      <c r="I1341" s="645">
        <v>0</v>
      </c>
      <c r="J1341" s="562">
        <v>0</v>
      </c>
      <c r="K1341" s="645">
        <v>0</v>
      </c>
      <c r="L1341" s="645">
        <v>0</v>
      </c>
      <c r="M1341" s="645">
        <v>0</v>
      </c>
      <c r="N1341" s="645">
        <v>0</v>
      </c>
      <c r="O1341" s="451"/>
      <c r="P1341" s="453"/>
    </row>
    <row r="1342" spans="1:16" s="175" customFormat="1" ht="12.75" hidden="1" customHeight="1" x14ac:dyDescent="0.2">
      <c r="A1342" s="188"/>
      <c r="B1342" s="881"/>
      <c r="C1342" s="884"/>
      <c r="D1342" s="884" t="s">
        <v>1098</v>
      </c>
      <c r="E1342" s="655" t="s">
        <v>1557</v>
      </c>
      <c r="F1342" s="645">
        <v>221920720</v>
      </c>
      <c r="G1342" s="562">
        <v>75225333</v>
      </c>
      <c r="H1342" s="645">
        <v>146695387</v>
      </c>
      <c r="I1342" s="645">
        <v>0</v>
      </c>
      <c r="J1342" s="562">
        <v>146695387</v>
      </c>
      <c r="K1342" s="645">
        <v>0</v>
      </c>
      <c r="L1342" s="645">
        <v>0</v>
      </c>
      <c r="M1342" s="645">
        <v>146695387</v>
      </c>
      <c r="N1342" s="645">
        <v>0</v>
      </c>
      <c r="O1342" s="451"/>
      <c r="P1342" s="453"/>
    </row>
    <row r="1343" spans="1:16" s="175" customFormat="1" ht="12.75" customHeight="1" x14ac:dyDescent="0.2">
      <c r="A1343" s="188"/>
      <c r="B1343" s="881"/>
      <c r="C1343" s="884"/>
      <c r="D1343" s="884" t="s">
        <v>1098</v>
      </c>
      <c r="E1343" s="655" t="s">
        <v>195</v>
      </c>
      <c r="F1343" s="645">
        <v>795141</v>
      </c>
      <c r="G1343" s="562">
        <v>795141</v>
      </c>
      <c r="H1343" s="645">
        <v>0</v>
      </c>
      <c r="I1343" s="645">
        <v>0</v>
      </c>
      <c r="J1343" s="562">
        <v>0</v>
      </c>
      <c r="K1343" s="645">
        <v>0</v>
      </c>
      <c r="L1343" s="645">
        <v>0</v>
      </c>
      <c r="M1343" s="645">
        <v>0</v>
      </c>
      <c r="N1343" s="645">
        <v>0</v>
      </c>
      <c r="O1343" s="451"/>
      <c r="P1343" s="453"/>
    </row>
    <row r="1344" spans="1:16" s="175" customFormat="1" ht="12.75" customHeight="1" x14ac:dyDescent="0.2">
      <c r="A1344" s="188"/>
      <c r="B1344" s="881"/>
      <c r="C1344" s="884" t="s">
        <v>3594</v>
      </c>
      <c r="D1344" s="884" t="s">
        <v>3280</v>
      </c>
      <c r="E1344" s="655" t="s">
        <v>26</v>
      </c>
      <c r="F1344" s="645">
        <v>96911520</v>
      </c>
      <c r="G1344" s="562">
        <v>47489835</v>
      </c>
      <c r="H1344" s="645">
        <v>49421685</v>
      </c>
      <c r="I1344" s="645">
        <v>49421685</v>
      </c>
      <c r="J1344" s="562">
        <v>0</v>
      </c>
      <c r="K1344" s="645">
        <v>0</v>
      </c>
      <c r="L1344" s="645">
        <v>0</v>
      </c>
      <c r="M1344" s="645">
        <v>0</v>
      </c>
      <c r="N1344" s="645">
        <v>0</v>
      </c>
      <c r="O1344" s="451"/>
      <c r="P1344" s="453"/>
    </row>
    <row r="1345" spans="1:16" s="175" customFormat="1" ht="12.75" hidden="1" customHeight="1" x14ac:dyDescent="0.2">
      <c r="A1345" s="188"/>
      <c r="B1345" s="881"/>
      <c r="C1345" s="884"/>
      <c r="D1345" s="884" t="s">
        <v>3280</v>
      </c>
      <c r="E1345" s="655" t="s">
        <v>1557</v>
      </c>
      <c r="F1345" s="645">
        <v>395373480</v>
      </c>
      <c r="G1345" s="562">
        <v>1229971</v>
      </c>
      <c r="H1345" s="645">
        <v>394143509</v>
      </c>
      <c r="I1345" s="645">
        <v>394143509</v>
      </c>
      <c r="J1345" s="562">
        <v>0</v>
      </c>
      <c r="K1345" s="645">
        <v>0</v>
      </c>
      <c r="L1345" s="645">
        <v>0</v>
      </c>
      <c r="M1345" s="645">
        <v>0</v>
      </c>
      <c r="N1345" s="645">
        <v>0</v>
      </c>
      <c r="O1345" s="451"/>
      <c r="P1345" s="453"/>
    </row>
    <row r="1346" spans="1:16" s="175" customFormat="1" ht="12.75" customHeight="1" x14ac:dyDescent="0.2">
      <c r="A1346" s="188"/>
      <c r="B1346" s="881"/>
      <c r="C1346" s="884"/>
      <c r="D1346" s="884" t="s">
        <v>3280</v>
      </c>
      <c r="E1346" s="655" t="s">
        <v>1221</v>
      </c>
      <c r="F1346" s="645">
        <v>1931850</v>
      </c>
      <c r="G1346" s="562">
        <v>1931848</v>
      </c>
      <c r="H1346" s="645">
        <v>2</v>
      </c>
      <c r="I1346" s="645">
        <v>2</v>
      </c>
      <c r="J1346" s="562">
        <v>0</v>
      </c>
      <c r="K1346" s="645">
        <v>0</v>
      </c>
      <c r="L1346" s="645">
        <v>0</v>
      </c>
      <c r="M1346" s="645">
        <v>0</v>
      </c>
      <c r="N1346" s="645">
        <v>0</v>
      </c>
      <c r="O1346" s="451"/>
      <c r="P1346" s="453"/>
    </row>
    <row r="1347" spans="1:16" s="175" customFormat="1" ht="12.75" customHeight="1" x14ac:dyDescent="0.2">
      <c r="A1347" s="188"/>
      <c r="B1347" s="881"/>
      <c r="C1347" s="884" t="s">
        <v>3595</v>
      </c>
      <c r="D1347" s="884" t="s">
        <v>2247</v>
      </c>
      <c r="E1347" s="655" t="s">
        <v>26</v>
      </c>
      <c r="F1347" s="645">
        <v>195455800</v>
      </c>
      <c r="G1347" s="562">
        <v>195455800</v>
      </c>
      <c r="H1347" s="645">
        <v>0</v>
      </c>
      <c r="I1347" s="645">
        <v>0</v>
      </c>
      <c r="J1347" s="562">
        <v>0</v>
      </c>
      <c r="K1347" s="645">
        <v>0</v>
      </c>
      <c r="L1347" s="645">
        <v>0</v>
      </c>
      <c r="M1347" s="645">
        <v>0</v>
      </c>
      <c r="N1347" s="645">
        <v>0</v>
      </c>
      <c r="O1347" s="451"/>
      <c r="P1347" s="453"/>
    </row>
    <row r="1348" spans="1:16" s="175" customFormat="1" ht="12.75" hidden="1" customHeight="1" x14ac:dyDescent="0.2">
      <c r="A1348" s="188"/>
      <c r="B1348" s="881"/>
      <c r="C1348" s="884"/>
      <c r="D1348" s="884" t="s">
        <v>2247</v>
      </c>
      <c r="E1348" s="655" t="s">
        <v>1557</v>
      </c>
      <c r="F1348" s="645">
        <v>116209323</v>
      </c>
      <c r="G1348" s="562">
        <v>0</v>
      </c>
      <c r="H1348" s="645">
        <v>116209323</v>
      </c>
      <c r="I1348" s="645">
        <v>0</v>
      </c>
      <c r="J1348" s="562">
        <v>116209323</v>
      </c>
      <c r="K1348" s="645">
        <v>116209323</v>
      </c>
      <c r="L1348" s="645">
        <v>0</v>
      </c>
      <c r="M1348" s="645">
        <v>0</v>
      </c>
      <c r="N1348" s="645">
        <v>0</v>
      </c>
      <c r="O1348" s="451"/>
      <c r="P1348" s="453"/>
    </row>
    <row r="1349" spans="1:16" s="175" customFormat="1" ht="12.75" customHeight="1" x14ac:dyDescent="0.2">
      <c r="A1349" s="188"/>
      <c r="B1349" s="881"/>
      <c r="C1349" s="884"/>
      <c r="D1349" s="884" t="s">
        <v>2247</v>
      </c>
      <c r="E1349" s="655" t="s">
        <v>195</v>
      </c>
      <c r="F1349" s="645">
        <v>259095</v>
      </c>
      <c r="G1349" s="562">
        <v>259095</v>
      </c>
      <c r="H1349" s="645">
        <v>0</v>
      </c>
      <c r="I1349" s="645">
        <v>0</v>
      </c>
      <c r="J1349" s="562">
        <v>0</v>
      </c>
      <c r="K1349" s="645">
        <v>0</v>
      </c>
      <c r="L1349" s="645">
        <v>0</v>
      </c>
      <c r="M1349" s="645">
        <v>0</v>
      </c>
      <c r="N1349" s="645">
        <v>0</v>
      </c>
      <c r="O1349" s="451"/>
      <c r="P1349" s="453"/>
    </row>
    <row r="1350" spans="1:16" s="175" customFormat="1" ht="12.75" customHeight="1" x14ac:dyDescent="0.2">
      <c r="A1350" s="188"/>
      <c r="B1350" s="881"/>
      <c r="C1350" s="884"/>
      <c r="D1350" s="884" t="s">
        <v>2247</v>
      </c>
      <c r="E1350" s="655" t="s">
        <v>1221</v>
      </c>
      <c r="F1350" s="645">
        <v>1512675</v>
      </c>
      <c r="G1350" s="562">
        <v>1512675</v>
      </c>
      <c r="H1350" s="645">
        <v>0</v>
      </c>
      <c r="I1350" s="645">
        <v>0</v>
      </c>
      <c r="J1350" s="562">
        <v>0</v>
      </c>
      <c r="K1350" s="645">
        <v>0</v>
      </c>
      <c r="L1350" s="645">
        <v>0</v>
      </c>
      <c r="M1350" s="645">
        <v>0</v>
      </c>
      <c r="N1350" s="645">
        <v>0</v>
      </c>
      <c r="O1350" s="451"/>
      <c r="P1350" s="453"/>
    </row>
    <row r="1351" spans="1:16" s="175" customFormat="1" ht="12.75" customHeight="1" x14ac:dyDescent="0.2">
      <c r="A1351" s="188"/>
      <c r="B1351" s="881"/>
      <c r="C1351" s="884" t="s">
        <v>3596</v>
      </c>
      <c r="D1351" s="884" t="s">
        <v>1083</v>
      </c>
      <c r="E1351" s="655" t="s">
        <v>26</v>
      </c>
      <c r="F1351" s="645">
        <v>118727820</v>
      </c>
      <c r="G1351" s="562">
        <v>118727820</v>
      </c>
      <c r="H1351" s="645">
        <v>0</v>
      </c>
      <c r="I1351" s="645">
        <v>0</v>
      </c>
      <c r="J1351" s="562">
        <v>0</v>
      </c>
      <c r="K1351" s="645">
        <v>0</v>
      </c>
      <c r="L1351" s="645">
        <v>0</v>
      </c>
      <c r="M1351" s="645">
        <v>0</v>
      </c>
      <c r="N1351" s="645">
        <v>0</v>
      </c>
      <c r="O1351" s="451"/>
      <c r="P1351" s="453"/>
    </row>
    <row r="1352" spans="1:16" s="175" customFormat="1" ht="12.75" hidden="1" customHeight="1" x14ac:dyDescent="0.2">
      <c r="A1352" s="188"/>
      <c r="B1352" s="881"/>
      <c r="C1352" s="884"/>
      <c r="D1352" s="884" t="s">
        <v>1083</v>
      </c>
      <c r="E1352" s="655" t="s">
        <v>1557</v>
      </c>
      <c r="F1352" s="645">
        <v>277031580</v>
      </c>
      <c r="G1352" s="562">
        <v>277031580</v>
      </c>
      <c r="H1352" s="645">
        <v>0</v>
      </c>
      <c r="I1352" s="645">
        <v>0</v>
      </c>
      <c r="J1352" s="562">
        <v>0</v>
      </c>
      <c r="K1352" s="645">
        <v>0</v>
      </c>
      <c r="L1352" s="645">
        <v>0</v>
      </c>
      <c r="M1352" s="645">
        <v>0</v>
      </c>
      <c r="N1352" s="645">
        <v>0</v>
      </c>
      <c r="O1352" s="451"/>
      <c r="P1352" s="453"/>
    </row>
    <row r="1353" spans="1:16" s="175" customFormat="1" ht="12.75" customHeight="1" x14ac:dyDescent="0.2">
      <c r="A1353" s="188"/>
      <c r="B1353" s="881"/>
      <c r="C1353" s="884"/>
      <c r="D1353" s="884" t="s">
        <v>1083</v>
      </c>
      <c r="E1353" s="655" t="s">
        <v>3212</v>
      </c>
      <c r="F1353" s="645">
        <v>92441</v>
      </c>
      <c r="G1353" s="562">
        <v>0</v>
      </c>
      <c r="H1353" s="645">
        <v>92441</v>
      </c>
      <c r="I1353" s="645">
        <v>0</v>
      </c>
      <c r="J1353" s="562">
        <v>92441</v>
      </c>
      <c r="K1353" s="645">
        <v>0</v>
      </c>
      <c r="L1353" s="645">
        <v>92441</v>
      </c>
      <c r="M1353" s="645">
        <v>0</v>
      </c>
      <c r="N1353" s="645">
        <v>0</v>
      </c>
      <c r="O1353" s="451"/>
      <c r="P1353" s="453"/>
    </row>
    <row r="1354" spans="1:16" s="175" customFormat="1" ht="12.75" customHeight="1" x14ac:dyDescent="0.2">
      <c r="A1354" s="188"/>
      <c r="B1354" s="881"/>
      <c r="C1354" s="884" t="s">
        <v>3597</v>
      </c>
      <c r="D1354" s="884" t="s">
        <v>1186</v>
      </c>
      <c r="E1354" s="655" t="s">
        <v>26</v>
      </c>
      <c r="F1354" s="645">
        <v>414269670</v>
      </c>
      <c r="G1354" s="562">
        <v>414269670</v>
      </c>
      <c r="H1354" s="645">
        <v>0</v>
      </c>
      <c r="I1354" s="645">
        <v>0</v>
      </c>
      <c r="J1354" s="562">
        <v>0</v>
      </c>
      <c r="K1354" s="645">
        <v>0</v>
      </c>
      <c r="L1354" s="645">
        <v>0</v>
      </c>
      <c r="M1354" s="645">
        <v>0</v>
      </c>
      <c r="N1354" s="645">
        <v>0</v>
      </c>
      <c r="O1354" s="451"/>
      <c r="P1354" s="453"/>
    </row>
    <row r="1355" spans="1:16" s="175" customFormat="1" ht="12.75" customHeight="1" x14ac:dyDescent="0.2">
      <c r="A1355" s="188"/>
      <c r="B1355" s="881"/>
      <c r="C1355" s="884"/>
      <c r="D1355" s="884" t="s">
        <v>1186</v>
      </c>
      <c r="E1355" s="655" t="s">
        <v>3212</v>
      </c>
      <c r="F1355" s="645">
        <v>100000</v>
      </c>
      <c r="G1355" s="562">
        <v>100000</v>
      </c>
      <c r="H1355" s="645">
        <v>0</v>
      </c>
      <c r="I1355" s="645">
        <v>0</v>
      </c>
      <c r="J1355" s="562">
        <v>0</v>
      </c>
      <c r="K1355" s="645">
        <v>0</v>
      </c>
      <c r="L1355" s="645">
        <v>0</v>
      </c>
      <c r="M1355" s="645">
        <v>0</v>
      </c>
      <c r="N1355" s="645">
        <v>0</v>
      </c>
      <c r="O1355" s="451"/>
      <c r="P1355" s="453"/>
    </row>
    <row r="1356" spans="1:16" s="175" customFormat="1" ht="12.75" customHeight="1" x14ac:dyDescent="0.2">
      <c r="A1356" s="188"/>
      <c r="B1356" s="881"/>
      <c r="C1356" s="884" t="s">
        <v>3598</v>
      </c>
      <c r="D1356" s="884" t="s">
        <v>3599</v>
      </c>
      <c r="E1356" s="655" t="s">
        <v>26</v>
      </c>
      <c r="F1356" s="645">
        <v>82953130</v>
      </c>
      <c r="G1356" s="562">
        <v>17864730</v>
      </c>
      <c r="H1356" s="645">
        <v>65088400</v>
      </c>
      <c r="I1356" s="645">
        <v>65088400</v>
      </c>
      <c r="J1356" s="562">
        <v>0</v>
      </c>
      <c r="K1356" s="645">
        <v>0</v>
      </c>
      <c r="L1356" s="645">
        <v>0</v>
      </c>
      <c r="M1356" s="645">
        <v>0</v>
      </c>
      <c r="N1356" s="645">
        <v>0</v>
      </c>
      <c r="O1356" s="451"/>
      <c r="P1356" s="453"/>
    </row>
    <row r="1357" spans="1:16" s="175" customFormat="1" ht="12.75" customHeight="1" x14ac:dyDescent="0.2">
      <c r="A1357" s="188"/>
      <c r="B1357" s="881"/>
      <c r="C1357" s="884"/>
      <c r="D1357" s="884" t="s">
        <v>3599</v>
      </c>
      <c r="E1357" s="655" t="s">
        <v>22</v>
      </c>
      <c r="F1357" s="645">
        <v>12438713</v>
      </c>
      <c r="G1357" s="562">
        <v>1398546</v>
      </c>
      <c r="H1357" s="645">
        <v>11040167</v>
      </c>
      <c r="I1357" s="645">
        <v>11039357</v>
      </c>
      <c r="J1357" s="562">
        <v>810</v>
      </c>
      <c r="K1357" s="645">
        <v>810</v>
      </c>
      <c r="L1357" s="645">
        <v>0</v>
      </c>
      <c r="M1357" s="645">
        <v>0</v>
      </c>
      <c r="N1357" s="645">
        <v>0</v>
      </c>
      <c r="O1357" s="451"/>
      <c r="P1357" s="453"/>
    </row>
    <row r="1358" spans="1:16" s="175" customFormat="1" ht="12.75" hidden="1" customHeight="1" x14ac:dyDescent="0.2">
      <c r="A1358" s="188"/>
      <c r="B1358" s="881"/>
      <c r="C1358" s="884"/>
      <c r="D1358" s="884" t="s">
        <v>3599</v>
      </c>
      <c r="E1358" s="655" t="s">
        <v>1557</v>
      </c>
      <c r="F1358" s="645">
        <v>338031870</v>
      </c>
      <c r="G1358" s="562">
        <v>0</v>
      </c>
      <c r="H1358" s="645">
        <v>338031870</v>
      </c>
      <c r="I1358" s="645">
        <v>338031870</v>
      </c>
      <c r="J1358" s="562">
        <v>0</v>
      </c>
      <c r="K1358" s="645">
        <v>0</v>
      </c>
      <c r="L1358" s="645">
        <v>0</v>
      </c>
      <c r="M1358" s="645">
        <v>0</v>
      </c>
      <c r="N1358" s="645">
        <v>0</v>
      </c>
      <c r="O1358" s="451"/>
      <c r="P1358" s="453"/>
    </row>
    <row r="1359" spans="1:16" s="175" customFormat="1" ht="12.75" customHeight="1" x14ac:dyDescent="0.2">
      <c r="A1359" s="188"/>
      <c r="B1359" s="881"/>
      <c r="C1359" s="884" t="s">
        <v>3600</v>
      </c>
      <c r="D1359" s="884" t="s">
        <v>3369</v>
      </c>
      <c r="E1359" s="655" t="s">
        <v>26</v>
      </c>
      <c r="F1359" s="645">
        <v>97011520</v>
      </c>
      <c r="G1359" s="562">
        <v>24122640</v>
      </c>
      <c r="H1359" s="645">
        <v>72888880</v>
      </c>
      <c r="I1359" s="645">
        <v>72275680</v>
      </c>
      <c r="J1359" s="562">
        <v>613200</v>
      </c>
      <c r="K1359" s="645">
        <v>613200</v>
      </c>
      <c r="L1359" s="645">
        <v>0</v>
      </c>
      <c r="M1359" s="645">
        <v>0</v>
      </c>
      <c r="N1359" s="645">
        <v>0</v>
      </c>
      <c r="O1359" s="451"/>
      <c r="P1359" s="453"/>
    </row>
    <row r="1360" spans="1:16" s="175" customFormat="1" ht="12.75" hidden="1" customHeight="1" x14ac:dyDescent="0.2">
      <c r="A1360" s="188"/>
      <c r="B1360" s="881"/>
      <c r="C1360" s="884"/>
      <c r="D1360" s="884" t="s">
        <v>3369</v>
      </c>
      <c r="E1360" s="655" t="s">
        <v>1557</v>
      </c>
      <c r="F1360" s="645">
        <v>395773480</v>
      </c>
      <c r="G1360" s="562">
        <v>217628</v>
      </c>
      <c r="H1360" s="645">
        <v>395555852</v>
      </c>
      <c r="I1360" s="645">
        <v>395555852</v>
      </c>
      <c r="J1360" s="562">
        <v>0</v>
      </c>
      <c r="K1360" s="645">
        <v>0</v>
      </c>
      <c r="L1360" s="645">
        <v>0</v>
      </c>
      <c r="M1360" s="645">
        <v>0</v>
      </c>
      <c r="N1360" s="645">
        <v>0</v>
      </c>
      <c r="O1360" s="451"/>
      <c r="P1360" s="453"/>
    </row>
    <row r="1361" spans="1:16" s="175" customFormat="1" ht="12.75" customHeight="1" x14ac:dyDescent="0.2">
      <c r="A1361" s="188"/>
      <c r="B1361" s="881"/>
      <c r="C1361" s="884"/>
      <c r="D1361" s="884" t="s">
        <v>3369</v>
      </c>
      <c r="E1361" s="655" t="s">
        <v>1221</v>
      </c>
      <c r="F1361" s="645">
        <v>1931850</v>
      </c>
      <c r="G1361" s="562">
        <v>0</v>
      </c>
      <c r="H1361" s="645">
        <v>1931850</v>
      </c>
      <c r="I1361" s="645">
        <v>1931850</v>
      </c>
      <c r="J1361" s="562">
        <v>0</v>
      </c>
      <c r="K1361" s="645">
        <v>0</v>
      </c>
      <c r="L1361" s="645">
        <v>0</v>
      </c>
      <c r="M1361" s="645">
        <v>0</v>
      </c>
      <c r="N1361" s="645">
        <v>0</v>
      </c>
      <c r="O1361" s="451"/>
      <c r="P1361" s="453"/>
    </row>
    <row r="1362" spans="1:16" s="175" customFormat="1" ht="12.75" customHeight="1" x14ac:dyDescent="0.2">
      <c r="A1362" s="188"/>
      <c r="B1362" s="881"/>
      <c r="C1362" s="884" t="s">
        <v>3601</v>
      </c>
      <c r="D1362" s="884" t="s">
        <v>1125</v>
      </c>
      <c r="E1362" s="655" t="s">
        <v>26</v>
      </c>
      <c r="F1362" s="645">
        <v>96458769</v>
      </c>
      <c r="G1362" s="562">
        <v>96458769</v>
      </c>
      <c r="H1362" s="645">
        <v>0</v>
      </c>
      <c r="I1362" s="645">
        <v>0</v>
      </c>
      <c r="J1362" s="562">
        <v>0</v>
      </c>
      <c r="K1362" s="645">
        <v>0</v>
      </c>
      <c r="L1362" s="645">
        <v>0</v>
      </c>
      <c r="M1362" s="645">
        <v>0</v>
      </c>
      <c r="N1362" s="645">
        <v>0</v>
      </c>
      <c r="O1362" s="451"/>
      <c r="P1362" s="453"/>
    </row>
    <row r="1363" spans="1:16" s="175" customFormat="1" ht="12.75" hidden="1" customHeight="1" x14ac:dyDescent="0.2">
      <c r="A1363" s="188"/>
      <c r="B1363" s="881"/>
      <c r="C1363" s="884"/>
      <c r="D1363" s="884" t="s">
        <v>1125</v>
      </c>
      <c r="E1363" s="655" t="s">
        <v>1557</v>
      </c>
      <c r="F1363" s="645">
        <v>225070461</v>
      </c>
      <c r="G1363" s="562">
        <v>0</v>
      </c>
      <c r="H1363" s="645">
        <v>225070461</v>
      </c>
      <c r="I1363" s="645">
        <v>0</v>
      </c>
      <c r="J1363" s="562">
        <v>225070461</v>
      </c>
      <c r="K1363" s="645">
        <v>225070461</v>
      </c>
      <c r="L1363" s="645">
        <v>0</v>
      </c>
      <c r="M1363" s="645">
        <v>0</v>
      </c>
      <c r="N1363" s="645">
        <v>0</v>
      </c>
      <c r="O1363" s="451"/>
      <c r="P1363" s="453"/>
    </row>
    <row r="1364" spans="1:16" s="175" customFormat="1" ht="12.75" customHeight="1" x14ac:dyDescent="0.2">
      <c r="A1364" s="188"/>
      <c r="B1364" s="881"/>
      <c r="C1364" s="884" t="s">
        <v>3602</v>
      </c>
      <c r="D1364" s="884" t="s">
        <v>1124</v>
      </c>
      <c r="E1364" s="655" t="s">
        <v>26</v>
      </c>
      <c r="F1364" s="645">
        <v>123341250</v>
      </c>
      <c r="G1364" s="562">
        <v>123341250</v>
      </c>
      <c r="H1364" s="645">
        <v>0</v>
      </c>
      <c r="I1364" s="645">
        <v>0</v>
      </c>
      <c r="J1364" s="562">
        <v>0</v>
      </c>
      <c r="K1364" s="645">
        <v>0</v>
      </c>
      <c r="L1364" s="645">
        <v>0</v>
      </c>
      <c r="M1364" s="645">
        <v>0</v>
      </c>
      <c r="N1364" s="645">
        <v>0</v>
      </c>
      <c r="O1364" s="451"/>
      <c r="P1364" s="453"/>
    </row>
    <row r="1365" spans="1:16" s="175" customFormat="1" ht="12.75" hidden="1" customHeight="1" x14ac:dyDescent="0.2">
      <c r="A1365" s="188"/>
      <c r="B1365" s="881"/>
      <c r="C1365" s="884"/>
      <c r="D1365" s="884" t="s">
        <v>1124</v>
      </c>
      <c r="E1365" s="655" t="s">
        <v>1557</v>
      </c>
      <c r="F1365" s="645">
        <v>287796250</v>
      </c>
      <c r="G1365" s="562">
        <v>86178883</v>
      </c>
      <c r="H1365" s="645">
        <v>201617367</v>
      </c>
      <c r="I1365" s="645">
        <v>0</v>
      </c>
      <c r="J1365" s="562">
        <v>201617367</v>
      </c>
      <c r="K1365" s="645">
        <v>0</v>
      </c>
      <c r="L1365" s="645">
        <v>0</v>
      </c>
      <c r="M1365" s="645">
        <v>201617367</v>
      </c>
      <c r="N1365" s="645">
        <v>0</v>
      </c>
      <c r="O1365" s="451"/>
      <c r="P1365" s="453"/>
    </row>
    <row r="1366" spans="1:16" s="175" customFormat="1" ht="12.75" customHeight="1" x14ac:dyDescent="0.2">
      <c r="A1366" s="188"/>
      <c r="B1366" s="881"/>
      <c r="C1366" s="884"/>
      <c r="D1366" s="884" t="s">
        <v>1124</v>
      </c>
      <c r="E1366" s="655" t="s">
        <v>1221</v>
      </c>
      <c r="F1366" s="645">
        <v>1931850</v>
      </c>
      <c r="G1366" s="562">
        <v>1931850</v>
      </c>
      <c r="H1366" s="645">
        <v>0</v>
      </c>
      <c r="I1366" s="645">
        <v>0</v>
      </c>
      <c r="J1366" s="562">
        <v>0</v>
      </c>
      <c r="K1366" s="645">
        <v>0</v>
      </c>
      <c r="L1366" s="645">
        <v>0</v>
      </c>
      <c r="M1366" s="645">
        <v>0</v>
      </c>
      <c r="N1366" s="645">
        <v>0</v>
      </c>
      <c r="O1366" s="451"/>
      <c r="P1366" s="453"/>
    </row>
    <row r="1367" spans="1:16" s="175" customFormat="1" ht="12.75" customHeight="1" x14ac:dyDescent="0.2">
      <c r="A1367" s="188"/>
      <c r="B1367" s="881"/>
      <c r="C1367" s="884" t="s">
        <v>3603</v>
      </c>
      <c r="D1367" s="884" t="s">
        <v>1241</v>
      </c>
      <c r="E1367" s="655" t="s">
        <v>26</v>
      </c>
      <c r="F1367" s="645">
        <v>131802000</v>
      </c>
      <c r="G1367" s="562">
        <v>131802000</v>
      </c>
      <c r="H1367" s="645">
        <v>0</v>
      </c>
      <c r="I1367" s="645">
        <v>0</v>
      </c>
      <c r="J1367" s="562">
        <v>0</v>
      </c>
      <c r="K1367" s="645">
        <v>0</v>
      </c>
      <c r="L1367" s="645">
        <v>0</v>
      </c>
      <c r="M1367" s="645">
        <v>0</v>
      </c>
      <c r="N1367" s="645">
        <v>0</v>
      </c>
      <c r="O1367" s="451"/>
      <c r="P1367" s="453"/>
    </row>
    <row r="1368" spans="1:16" s="175" customFormat="1" ht="12.75" hidden="1" customHeight="1" x14ac:dyDescent="0.2">
      <c r="A1368" s="188"/>
      <c r="B1368" s="881"/>
      <c r="C1368" s="884"/>
      <c r="D1368" s="884" t="s">
        <v>1241</v>
      </c>
      <c r="E1368" s="655" t="s">
        <v>1557</v>
      </c>
      <c r="F1368" s="645">
        <v>307538000</v>
      </c>
      <c r="G1368" s="562">
        <v>462322</v>
      </c>
      <c r="H1368" s="645">
        <v>307075678</v>
      </c>
      <c r="I1368" s="645">
        <v>0</v>
      </c>
      <c r="J1368" s="562">
        <v>307075678</v>
      </c>
      <c r="K1368" s="645">
        <v>0</v>
      </c>
      <c r="L1368" s="645">
        <v>0</v>
      </c>
      <c r="M1368" s="645">
        <v>307075678</v>
      </c>
      <c r="N1368" s="645">
        <v>0</v>
      </c>
      <c r="O1368" s="451"/>
      <c r="P1368" s="453"/>
    </row>
    <row r="1369" spans="1:16" s="175" customFormat="1" ht="12.75" customHeight="1" x14ac:dyDescent="0.2">
      <c r="A1369" s="188"/>
      <c r="B1369" s="881"/>
      <c r="C1369" s="884"/>
      <c r="D1369" s="884" t="s">
        <v>1241</v>
      </c>
      <c r="E1369" s="655" t="s">
        <v>195</v>
      </c>
      <c r="F1369" s="645">
        <v>599564</v>
      </c>
      <c r="G1369" s="562">
        <v>599564</v>
      </c>
      <c r="H1369" s="645">
        <v>0</v>
      </c>
      <c r="I1369" s="645">
        <v>0</v>
      </c>
      <c r="J1369" s="562">
        <v>0</v>
      </c>
      <c r="K1369" s="645">
        <v>0</v>
      </c>
      <c r="L1369" s="645">
        <v>0</v>
      </c>
      <c r="M1369" s="645">
        <v>0</v>
      </c>
      <c r="N1369" s="645">
        <v>0</v>
      </c>
      <c r="O1369" s="451"/>
      <c r="P1369" s="453"/>
    </row>
    <row r="1370" spans="1:16" s="175" customFormat="1" ht="12.75" customHeight="1" x14ac:dyDescent="0.2">
      <c r="A1370" s="188"/>
      <c r="B1370" s="881"/>
      <c r="C1370" s="884" t="s">
        <v>3604</v>
      </c>
      <c r="D1370" s="884" t="s">
        <v>3370</v>
      </c>
      <c r="E1370" s="655" t="s">
        <v>26</v>
      </c>
      <c r="F1370" s="645">
        <v>83086859</v>
      </c>
      <c r="G1370" s="562">
        <v>19227366</v>
      </c>
      <c r="H1370" s="645">
        <v>63859493</v>
      </c>
      <c r="I1370" s="645">
        <v>60014261</v>
      </c>
      <c r="J1370" s="562">
        <v>3845232</v>
      </c>
      <c r="K1370" s="645">
        <v>3845232</v>
      </c>
      <c r="L1370" s="645">
        <v>0</v>
      </c>
      <c r="M1370" s="645">
        <v>0</v>
      </c>
      <c r="N1370" s="645">
        <v>0</v>
      </c>
      <c r="O1370" s="451"/>
      <c r="P1370" s="453"/>
    </row>
    <row r="1371" spans="1:16" s="175" customFormat="1" ht="12.75" hidden="1" customHeight="1" x14ac:dyDescent="0.2">
      <c r="A1371" s="188"/>
      <c r="B1371" s="881"/>
      <c r="C1371" s="884"/>
      <c r="D1371" s="884" t="s">
        <v>3370</v>
      </c>
      <c r="E1371" s="655" t="s">
        <v>1557</v>
      </c>
      <c r="F1371" s="645">
        <v>338020141</v>
      </c>
      <c r="G1371" s="562">
        <v>0</v>
      </c>
      <c r="H1371" s="645">
        <v>338020141</v>
      </c>
      <c r="I1371" s="645">
        <v>338020141</v>
      </c>
      <c r="J1371" s="562">
        <v>0</v>
      </c>
      <c r="K1371" s="645">
        <v>0</v>
      </c>
      <c r="L1371" s="645">
        <v>0</v>
      </c>
      <c r="M1371" s="645">
        <v>0</v>
      </c>
      <c r="N1371" s="645">
        <v>0</v>
      </c>
      <c r="O1371" s="451"/>
      <c r="P1371" s="453"/>
    </row>
    <row r="1372" spans="1:16" s="175" customFormat="1" ht="12.75" customHeight="1" x14ac:dyDescent="0.2">
      <c r="A1372" s="188"/>
      <c r="B1372" s="881"/>
      <c r="C1372" s="884"/>
      <c r="D1372" s="884" t="s">
        <v>3370</v>
      </c>
      <c r="E1372" s="655" t="s">
        <v>1221</v>
      </c>
      <c r="F1372" s="645">
        <v>1512675</v>
      </c>
      <c r="G1372" s="562">
        <v>0</v>
      </c>
      <c r="H1372" s="645">
        <v>1512675</v>
      </c>
      <c r="I1372" s="645">
        <v>1512675</v>
      </c>
      <c r="J1372" s="562">
        <v>0</v>
      </c>
      <c r="K1372" s="645">
        <v>0</v>
      </c>
      <c r="L1372" s="645">
        <v>0</v>
      </c>
      <c r="M1372" s="645">
        <v>0</v>
      </c>
      <c r="N1372" s="645">
        <v>0</v>
      </c>
      <c r="O1372" s="451"/>
      <c r="P1372" s="453"/>
    </row>
    <row r="1373" spans="1:16" s="175" customFormat="1" ht="12.75" customHeight="1" x14ac:dyDescent="0.2">
      <c r="A1373" s="188"/>
      <c r="B1373" s="881"/>
      <c r="C1373" s="884" t="s">
        <v>3605</v>
      </c>
      <c r="D1373" s="884" t="s">
        <v>1099</v>
      </c>
      <c r="E1373" s="655" t="s">
        <v>26</v>
      </c>
      <c r="F1373" s="645">
        <v>317904190</v>
      </c>
      <c r="G1373" s="562">
        <v>317904190</v>
      </c>
      <c r="H1373" s="645">
        <v>0</v>
      </c>
      <c r="I1373" s="645">
        <v>0</v>
      </c>
      <c r="J1373" s="562">
        <v>0</v>
      </c>
      <c r="K1373" s="645">
        <v>0</v>
      </c>
      <c r="L1373" s="645">
        <v>0</v>
      </c>
      <c r="M1373" s="645">
        <v>0</v>
      </c>
      <c r="N1373" s="645">
        <v>0</v>
      </c>
      <c r="O1373" s="451"/>
      <c r="P1373" s="453"/>
    </row>
    <row r="1374" spans="1:16" s="175" customFormat="1" ht="12.75" customHeight="1" x14ac:dyDescent="0.2">
      <c r="A1374" s="188"/>
      <c r="B1374" s="881"/>
      <c r="C1374" s="884"/>
      <c r="D1374" s="884" t="s">
        <v>1099</v>
      </c>
      <c r="E1374" s="655" t="s">
        <v>3212</v>
      </c>
      <c r="F1374" s="645">
        <v>70402</v>
      </c>
      <c r="G1374" s="562">
        <v>0</v>
      </c>
      <c r="H1374" s="645">
        <v>70402</v>
      </c>
      <c r="I1374" s="645">
        <v>0</v>
      </c>
      <c r="J1374" s="562">
        <v>70402</v>
      </c>
      <c r="K1374" s="645">
        <v>0</v>
      </c>
      <c r="L1374" s="645">
        <v>70402</v>
      </c>
      <c r="M1374" s="645">
        <v>0</v>
      </c>
      <c r="N1374" s="645">
        <v>0</v>
      </c>
      <c r="O1374" s="451"/>
      <c r="P1374" s="453"/>
    </row>
    <row r="1375" spans="1:16" s="175" customFormat="1" ht="12.75" customHeight="1" x14ac:dyDescent="0.2">
      <c r="A1375" s="188"/>
      <c r="B1375" s="881"/>
      <c r="C1375" s="677" t="s">
        <v>3606</v>
      </c>
      <c r="D1375" s="677" t="s">
        <v>1152</v>
      </c>
      <c r="E1375" s="655" t="s">
        <v>26</v>
      </c>
      <c r="F1375" s="645">
        <v>411637500</v>
      </c>
      <c r="G1375" s="562">
        <v>411637500</v>
      </c>
      <c r="H1375" s="645">
        <v>0</v>
      </c>
      <c r="I1375" s="645">
        <v>0</v>
      </c>
      <c r="J1375" s="562">
        <v>0</v>
      </c>
      <c r="K1375" s="645">
        <v>0</v>
      </c>
      <c r="L1375" s="645">
        <v>0</v>
      </c>
      <c r="M1375" s="645">
        <v>0</v>
      </c>
      <c r="N1375" s="645">
        <v>0</v>
      </c>
      <c r="O1375" s="451"/>
      <c r="P1375" s="453"/>
    </row>
    <row r="1376" spans="1:16" s="175" customFormat="1" ht="12.75" customHeight="1" x14ac:dyDescent="0.2">
      <c r="A1376" s="188"/>
      <c r="B1376" s="881"/>
      <c r="C1376" s="884" t="s">
        <v>3607</v>
      </c>
      <c r="D1376" s="884" t="s">
        <v>1748</v>
      </c>
      <c r="E1376" s="655" t="s">
        <v>26</v>
      </c>
      <c r="F1376" s="645">
        <v>120323610</v>
      </c>
      <c r="G1376" s="562">
        <v>120323610</v>
      </c>
      <c r="H1376" s="645">
        <v>0</v>
      </c>
      <c r="I1376" s="645">
        <v>0</v>
      </c>
      <c r="J1376" s="562">
        <v>0</v>
      </c>
      <c r="K1376" s="645">
        <v>0</v>
      </c>
      <c r="L1376" s="645">
        <v>0</v>
      </c>
      <c r="M1376" s="645">
        <v>0</v>
      </c>
      <c r="N1376" s="645">
        <v>0</v>
      </c>
      <c r="O1376" s="451"/>
      <c r="P1376" s="453"/>
    </row>
    <row r="1377" spans="1:16" s="175" customFormat="1" ht="12.75" hidden="1" customHeight="1" x14ac:dyDescent="0.2">
      <c r="A1377" s="188"/>
      <c r="B1377" s="881"/>
      <c r="C1377" s="884"/>
      <c r="D1377" s="884" t="s">
        <v>1748</v>
      </c>
      <c r="E1377" s="655" t="s">
        <v>1557</v>
      </c>
      <c r="F1377" s="645">
        <v>280755090</v>
      </c>
      <c r="G1377" s="562">
        <v>280755090</v>
      </c>
      <c r="H1377" s="645">
        <v>0</v>
      </c>
      <c r="I1377" s="645">
        <v>0</v>
      </c>
      <c r="J1377" s="562">
        <v>0</v>
      </c>
      <c r="K1377" s="645">
        <v>0</v>
      </c>
      <c r="L1377" s="645">
        <v>0</v>
      </c>
      <c r="M1377" s="645">
        <v>0</v>
      </c>
      <c r="N1377" s="645">
        <v>0</v>
      </c>
      <c r="O1377" s="451"/>
      <c r="P1377" s="453"/>
    </row>
    <row r="1378" spans="1:16" s="175" customFormat="1" ht="12.75" customHeight="1" x14ac:dyDescent="0.2">
      <c r="A1378" s="188"/>
      <c r="B1378" s="881"/>
      <c r="C1378" s="884"/>
      <c r="D1378" s="884" t="s">
        <v>1748</v>
      </c>
      <c r="E1378" s="655" t="s">
        <v>3212</v>
      </c>
      <c r="F1378" s="645">
        <v>90768</v>
      </c>
      <c r="G1378" s="562">
        <v>0</v>
      </c>
      <c r="H1378" s="645">
        <v>90768</v>
      </c>
      <c r="I1378" s="645">
        <v>0</v>
      </c>
      <c r="J1378" s="562">
        <v>90768</v>
      </c>
      <c r="K1378" s="645">
        <v>0</v>
      </c>
      <c r="L1378" s="645">
        <v>90768</v>
      </c>
      <c r="M1378" s="645">
        <v>0</v>
      </c>
      <c r="N1378" s="645">
        <v>0</v>
      </c>
      <c r="O1378" s="451"/>
      <c r="P1378" s="453"/>
    </row>
    <row r="1379" spans="1:16" s="175" customFormat="1" ht="12.75" customHeight="1" x14ac:dyDescent="0.2">
      <c r="A1379" s="188"/>
      <c r="B1379" s="881"/>
      <c r="C1379" s="884"/>
      <c r="D1379" s="884" t="s">
        <v>1748</v>
      </c>
      <c r="E1379" s="655" t="s">
        <v>1221</v>
      </c>
      <c r="F1379" s="645">
        <v>1931850</v>
      </c>
      <c r="G1379" s="562">
        <v>1931850</v>
      </c>
      <c r="H1379" s="645">
        <v>0</v>
      </c>
      <c r="I1379" s="645">
        <v>0</v>
      </c>
      <c r="J1379" s="562">
        <v>0</v>
      </c>
      <c r="K1379" s="645">
        <v>0</v>
      </c>
      <c r="L1379" s="645">
        <v>0</v>
      </c>
      <c r="M1379" s="645">
        <v>0</v>
      </c>
      <c r="N1379" s="645">
        <v>0</v>
      </c>
      <c r="O1379" s="451"/>
      <c r="P1379" s="453"/>
    </row>
    <row r="1380" spans="1:16" s="175" customFormat="1" ht="12.75" customHeight="1" x14ac:dyDescent="0.2">
      <c r="A1380" s="188"/>
      <c r="B1380" s="881"/>
      <c r="C1380" s="884" t="s">
        <v>3608</v>
      </c>
      <c r="D1380" s="884" t="s">
        <v>1242</v>
      </c>
      <c r="E1380" s="655" t="s">
        <v>26</v>
      </c>
      <c r="F1380" s="645">
        <v>106482198</v>
      </c>
      <c r="G1380" s="562">
        <v>106482198</v>
      </c>
      <c r="H1380" s="645">
        <v>0</v>
      </c>
      <c r="I1380" s="645">
        <v>0</v>
      </c>
      <c r="J1380" s="562">
        <v>0</v>
      </c>
      <c r="K1380" s="645">
        <v>0</v>
      </c>
      <c r="L1380" s="645">
        <v>0</v>
      </c>
      <c r="M1380" s="645">
        <v>0</v>
      </c>
      <c r="N1380" s="645">
        <v>0</v>
      </c>
      <c r="O1380" s="451"/>
      <c r="P1380" s="453"/>
    </row>
    <row r="1381" spans="1:16" s="175" customFormat="1" ht="12.75" hidden="1" customHeight="1" x14ac:dyDescent="0.2">
      <c r="A1381" s="188"/>
      <c r="B1381" s="881"/>
      <c r="C1381" s="884"/>
      <c r="D1381" s="884" t="s">
        <v>1242</v>
      </c>
      <c r="E1381" s="655" t="s">
        <v>1557</v>
      </c>
      <c r="F1381" s="645">
        <v>244191500</v>
      </c>
      <c r="G1381" s="562">
        <v>0</v>
      </c>
      <c r="H1381" s="645">
        <v>244191500</v>
      </c>
      <c r="I1381" s="645">
        <v>0</v>
      </c>
      <c r="J1381" s="562">
        <v>244191500</v>
      </c>
      <c r="K1381" s="645">
        <v>0</v>
      </c>
      <c r="L1381" s="645">
        <v>0</v>
      </c>
      <c r="M1381" s="645">
        <v>244191500</v>
      </c>
      <c r="N1381" s="645">
        <v>0</v>
      </c>
      <c r="O1381" s="451"/>
      <c r="P1381" s="453"/>
    </row>
    <row r="1382" spans="1:16" s="175" customFormat="1" ht="12.75" customHeight="1" x14ac:dyDescent="0.2">
      <c r="A1382" s="188"/>
      <c r="B1382" s="881"/>
      <c r="C1382" s="884" t="s">
        <v>3609</v>
      </c>
      <c r="D1382" s="884" t="s">
        <v>1187</v>
      </c>
      <c r="E1382" s="655" t="s">
        <v>26</v>
      </c>
      <c r="F1382" s="645">
        <v>148921485</v>
      </c>
      <c r="G1382" s="562">
        <v>148921485</v>
      </c>
      <c r="H1382" s="645">
        <v>0</v>
      </c>
      <c r="I1382" s="645">
        <v>0</v>
      </c>
      <c r="J1382" s="562">
        <v>0</v>
      </c>
      <c r="K1382" s="645">
        <v>0</v>
      </c>
      <c r="L1382" s="645">
        <v>0</v>
      </c>
      <c r="M1382" s="645">
        <v>0</v>
      </c>
      <c r="N1382" s="645">
        <v>0</v>
      </c>
      <c r="O1382" s="451"/>
      <c r="P1382" s="453"/>
    </row>
    <row r="1383" spans="1:16" s="175" customFormat="1" ht="12.75" hidden="1" customHeight="1" x14ac:dyDescent="0.2">
      <c r="A1383" s="188"/>
      <c r="B1383" s="881"/>
      <c r="C1383" s="884"/>
      <c r="D1383" s="884" t="s">
        <v>1187</v>
      </c>
      <c r="E1383" s="655" t="s">
        <v>1557</v>
      </c>
      <c r="F1383" s="645">
        <v>249999361</v>
      </c>
      <c r="G1383" s="562">
        <v>0</v>
      </c>
      <c r="H1383" s="645">
        <v>249999361</v>
      </c>
      <c r="I1383" s="645">
        <v>0</v>
      </c>
      <c r="J1383" s="562">
        <v>249999361</v>
      </c>
      <c r="K1383" s="645">
        <v>249999361</v>
      </c>
      <c r="L1383" s="645">
        <v>0</v>
      </c>
      <c r="M1383" s="645">
        <v>0</v>
      </c>
      <c r="N1383" s="645">
        <v>0</v>
      </c>
      <c r="O1383" s="451"/>
      <c r="P1383" s="453"/>
    </row>
    <row r="1384" spans="1:16" s="175" customFormat="1" ht="12.75" customHeight="1" x14ac:dyDescent="0.2">
      <c r="A1384" s="188"/>
      <c r="B1384" s="881"/>
      <c r="C1384" s="884" t="s">
        <v>3610</v>
      </c>
      <c r="D1384" s="884" t="s">
        <v>1084</v>
      </c>
      <c r="E1384" s="655" t="s">
        <v>26</v>
      </c>
      <c r="F1384" s="645">
        <v>313384644</v>
      </c>
      <c r="G1384" s="562">
        <v>313384644</v>
      </c>
      <c r="H1384" s="645">
        <v>0</v>
      </c>
      <c r="I1384" s="645">
        <v>0</v>
      </c>
      <c r="J1384" s="562">
        <v>0</v>
      </c>
      <c r="K1384" s="645">
        <v>0</v>
      </c>
      <c r="L1384" s="645">
        <v>0</v>
      </c>
      <c r="M1384" s="645">
        <v>0</v>
      </c>
      <c r="N1384" s="645">
        <v>0</v>
      </c>
      <c r="O1384" s="451"/>
      <c r="P1384" s="453"/>
    </row>
    <row r="1385" spans="1:16" s="175" customFormat="1" ht="12.75" customHeight="1" x14ac:dyDescent="0.2">
      <c r="A1385" s="188"/>
      <c r="B1385" s="881"/>
      <c r="C1385" s="884"/>
      <c r="D1385" s="884" t="s">
        <v>1084</v>
      </c>
      <c r="E1385" s="655" t="s">
        <v>3212</v>
      </c>
      <c r="F1385" s="645">
        <v>76967</v>
      </c>
      <c r="G1385" s="562">
        <v>76967</v>
      </c>
      <c r="H1385" s="645">
        <v>0</v>
      </c>
      <c r="I1385" s="645">
        <v>0</v>
      </c>
      <c r="J1385" s="562">
        <v>0</v>
      </c>
      <c r="K1385" s="645">
        <v>0</v>
      </c>
      <c r="L1385" s="645">
        <v>0</v>
      </c>
      <c r="M1385" s="645">
        <v>0</v>
      </c>
      <c r="N1385" s="645">
        <v>0</v>
      </c>
      <c r="O1385" s="451"/>
      <c r="P1385" s="453"/>
    </row>
    <row r="1386" spans="1:16" s="175" customFormat="1" ht="12.75" customHeight="1" x14ac:dyDescent="0.2">
      <c r="A1386" s="188"/>
      <c r="B1386" s="881"/>
      <c r="C1386" s="884"/>
      <c r="D1386" s="884" t="s">
        <v>1084</v>
      </c>
      <c r="E1386" s="655" t="s">
        <v>1221</v>
      </c>
      <c r="F1386" s="645">
        <v>1512675</v>
      </c>
      <c r="G1386" s="562">
        <v>1512675</v>
      </c>
      <c r="H1386" s="645">
        <v>0</v>
      </c>
      <c r="I1386" s="645">
        <v>0</v>
      </c>
      <c r="J1386" s="562">
        <v>0</v>
      </c>
      <c r="K1386" s="645">
        <v>0</v>
      </c>
      <c r="L1386" s="645">
        <v>0</v>
      </c>
      <c r="M1386" s="645">
        <v>0</v>
      </c>
      <c r="N1386" s="645">
        <v>0</v>
      </c>
      <c r="O1386" s="451"/>
      <c r="P1386" s="453"/>
    </row>
    <row r="1387" spans="1:16" s="175" customFormat="1" ht="12.75" customHeight="1" x14ac:dyDescent="0.2">
      <c r="A1387" s="188"/>
      <c r="B1387" s="881"/>
      <c r="C1387" s="884" t="s">
        <v>3611</v>
      </c>
      <c r="D1387" s="884" t="s">
        <v>1153</v>
      </c>
      <c r="E1387" s="655" t="s">
        <v>26</v>
      </c>
      <c r="F1387" s="645">
        <v>125000000</v>
      </c>
      <c r="G1387" s="562">
        <v>125000000</v>
      </c>
      <c r="H1387" s="645">
        <v>0</v>
      </c>
      <c r="I1387" s="645">
        <v>0</v>
      </c>
      <c r="J1387" s="562">
        <v>0</v>
      </c>
      <c r="K1387" s="645">
        <v>0</v>
      </c>
      <c r="L1387" s="645">
        <v>0</v>
      </c>
      <c r="M1387" s="645">
        <v>0</v>
      </c>
      <c r="N1387" s="645">
        <v>0</v>
      </c>
      <c r="O1387" s="451"/>
      <c r="P1387" s="453"/>
    </row>
    <row r="1388" spans="1:16" s="175" customFormat="1" ht="12.75" hidden="1" customHeight="1" x14ac:dyDescent="0.2">
      <c r="A1388" s="188"/>
      <c r="B1388" s="881"/>
      <c r="C1388" s="884"/>
      <c r="D1388" s="884" t="s">
        <v>1153</v>
      </c>
      <c r="E1388" s="655" t="s">
        <v>1557</v>
      </c>
      <c r="F1388" s="645">
        <v>282465915</v>
      </c>
      <c r="G1388" s="562">
        <v>0</v>
      </c>
      <c r="H1388" s="645">
        <v>282465915</v>
      </c>
      <c r="I1388" s="645">
        <v>0</v>
      </c>
      <c r="J1388" s="562">
        <v>282465915</v>
      </c>
      <c r="K1388" s="645">
        <v>0</v>
      </c>
      <c r="L1388" s="645">
        <v>0</v>
      </c>
      <c r="M1388" s="645">
        <v>282465915</v>
      </c>
      <c r="N1388" s="645">
        <v>0</v>
      </c>
      <c r="O1388" s="451"/>
      <c r="P1388" s="453"/>
    </row>
    <row r="1389" spans="1:16" s="175" customFormat="1" ht="12.75" customHeight="1" x14ac:dyDescent="0.2">
      <c r="A1389" s="188"/>
      <c r="B1389" s="881"/>
      <c r="C1389" s="884"/>
      <c r="D1389" s="884" t="s">
        <v>1153</v>
      </c>
      <c r="E1389" s="655" t="s">
        <v>195</v>
      </c>
      <c r="F1389" s="645">
        <v>6988740</v>
      </c>
      <c r="G1389" s="562">
        <v>6988740</v>
      </c>
      <c r="H1389" s="645">
        <v>0</v>
      </c>
      <c r="I1389" s="645">
        <v>0</v>
      </c>
      <c r="J1389" s="562">
        <v>0</v>
      </c>
      <c r="K1389" s="645">
        <v>0</v>
      </c>
      <c r="L1389" s="645">
        <v>0</v>
      </c>
      <c r="M1389" s="645">
        <v>0</v>
      </c>
      <c r="N1389" s="645">
        <v>0</v>
      </c>
      <c r="O1389" s="451"/>
      <c r="P1389" s="453"/>
    </row>
    <row r="1390" spans="1:16" s="175" customFormat="1" ht="12.75" customHeight="1" x14ac:dyDescent="0.2">
      <c r="A1390" s="188"/>
      <c r="B1390" s="881"/>
      <c r="C1390" s="884" t="s">
        <v>3612</v>
      </c>
      <c r="D1390" s="884" t="s">
        <v>1197</v>
      </c>
      <c r="E1390" s="655" t="s">
        <v>26</v>
      </c>
      <c r="F1390" s="645">
        <v>126627600</v>
      </c>
      <c r="G1390" s="562">
        <v>126627600</v>
      </c>
      <c r="H1390" s="645">
        <v>0</v>
      </c>
      <c r="I1390" s="645">
        <v>0</v>
      </c>
      <c r="J1390" s="562">
        <v>0</v>
      </c>
      <c r="K1390" s="645">
        <v>0</v>
      </c>
      <c r="L1390" s="645">
        <v>0</v>
      </c>
      <c r="M1390" s="645">
        <v>0</v>
      </c>
      <c r="N1390" s="645">
        <v>0</v>
      </c>
      <c r="O1390" s="451"/>
      <c r="P1390" s="453"/>
    </row>
    <row r="1391" spans="1:16" s="175" customFormat="1" ht="12.75" hidden="1" customHeight="1" x14ac:dyDescent="0.2">
      <c r="A1391" s="188"/>
      <c r="B1391" s="881"/>
      <c r="C1391" s="884"/>
      <c r="D1391" s="884" t="s">
        <v>1197</v>
      </c>
      <c r="E1391" s="655" t="s">
        <v>1557</v>
      </c>
      <c r="F1391" s="645">
        <v>292838148</v>
      </c>
      <c r="G1391" s="562">
        <v>0</v>
      </c>
      <c r="H1391" s="645">
        <v>292838148</v>
      </c>
      <c r="I1391" s="645">
        <v>0</v>
      </c>
      <c r="J1391" s="562">
        <v>292838148</v>
      </c>
      <c r="K1391" s="645">
        <v>292838148</v>
      </c>
      <c r="L1391" s="645">
        <v>0</v>
      </c>
      <c r="M1391" s="645">
        <v>0</v>
      </c>
      <c r="N1391" s="645">
        <v>0</v>
      </c>
      <c r="O1391" s="451"/>
      <c r="P1391" s="453"/>
    </row>
    <row r="1392" spans="1:16" s="175" customFormat="1" ht="12.75" customHeight="1" x14ac:dyDescent="0.2">
      <c r="A1392" s="188"/>
      <c r="B1392" s="881"/>
      <c r="C1392" s="884"/>
      <c r="D1392" s="884" t="s">
        <v>1197</v>
      </c>
      <c r="E1392" s="655" t="s">
        <v>195</v>
      </c>
      <c r="F1392" s="645">
        <v>483053</v>
      </c>
      <c r="G1392" s="562">
        <v>483053</v>
      </c>
      <c r="H1392" s="645">
        <v>0</v>
      </c>
      <c r="I1392" s="645">
        <v>0</v>
      </c>
      <c r="J1392" s="562">
        <v>0</v>
      </c>
      <c r="K1392" s="645">
        <v>0</v>
      </c>
      <c r="L1392" s="645">
        <v>0</v>
      </c>
      <c r="M1392" s="645">
        <v>0</v>
      </c>
      <c r="N1392" s="645">
        <v>0</v>
      </c>
      <c r="O1392" s="451"/>
      <c r="P1392" s="453"/>
    </row>
    <row r="1393" spans="1:16" s="175" customFormat="1" ht="12.75" customHeight="1" x14ac:dyDescent="0.2">
      <c r="A1393" s="188"/>
      <c r="B1393" s="881"/>
      <c r="C1393" s="884" t="s">
        <v>3613</v>
      </c>
      <c r="D1393" s="884" t="s">
        <v>890</v>
      </c>
      <c r="E1393" s="655" t="s">
        <v>26</v>
      </c>
      <c r="F1393" s="645">
        <v>319349355</v>
      </c>
      <c r="G1393" s="562">
        <v>319349355</v>
      </c>
      <c r="H1393" s="645">
        <v>0</v>
      </c>
      <c r="I1393" s="645">
        <v>0</v>
      </c>
      <c r="J1393" s="562">
        <v>0</v>
      </c>
      <c r="K1393" s="645">
        <v>0</v>
      </c>
      <c r="L1393" s="645">
        <v>0</v>
      </c>
      <c r="M1393" s="645">
        <v>0</v>
      </c>
      <c r="N1393" s="645">
        <v>0</v>
      </c>
      <c r="O1393" s="451"/>
      <c r="P1393" s="453"/>
    </row>
    <row r="1394" spans="1:16" s="175" customFormat="1" ht="12.75" customHeight="1" x14ac:dyDescent="0.2">
      <c r="A1394" s="188"/>
      <c r="B1394" s="881"/>
      <c r="C1394" s="884"/>
      <c r="D1394" s="884" t="s">
        <v>890</v>
      </c>
      <c r="E1394" s="655" t="s">
        <v>3212</v>
      </c>
      <c r="F1394" s="645">
        <v>74634</v>
      </c>
      <c r="G1394" s="562">
        <v>74634</v>
      </c>
      <c r="H1394" s="645">
        <v>0</v>
      </c>
      <c r="I1394" s="645">
        <v>0</v>
      </c>
      <c r="J1394" s="562">
        <v>0</v>
      </c>
      <c r="K1394" s="645">
        <v>0</v>
      </c>
      <c r="L1394" s="645">
        <v>0</v>
      </c>
      <c r="M1394" s="645">
        <v>0</v>
      </c>
      <c r="N1394" s="645">
        <v>0</v>
      </c>
      <c r="O1394" s="451"/>
      <c r="P1394" s="453"/>
    </row>
    <row r="1395" spans="1:16" s="175" customFormat="1" ht="12.75" customHeight="1" x14ac:dyDescent="0.2">
      <c r="A1395" s="188"/>
      <c r="B1395" s="881"/>
      <c r="C1395" s="884" t="s">
        <v>3614</v>
      </c>
      <c r="D1395" s="884" t="s">
        <v>1561</v>
      </c>
      <c r="E1395" s="655" t="s">
        <v>26</v>
      </c>
      <c r="F1395" s="645">
        <v>137915150</v>
      </c>
      <c r="G1395" s="562">
        <v>137915150</v>
      </c>
      <c r="H1395" s="645">
        <v>0</v>
      </c>
      <c r="I1395" s="645">
        <v>0</v>
      </c>
      <c r="J1395" s="562">
        <v>0</v>
      </c>
      <c r="K1395" s="645">
        <v>0</v>
      </c>
      <c r="L1395" s="645">
        <v>0</v>
      </c>
      <c r="M1395" s="645">
        <v>0</v>
      </c>
      <c r="N1395" s="645">
        <v>0</v>
      </c>
      <c r="O1395" s="451"/>
      <c r="P1395" s="453"/>
    </row>
    <row r="1396" spans="1:16" s="175" customFormat="1" ht="12.75" hidden="1" customHeight="1" x14ac:dyDescent="0.2">
      <c r="A1396" s="188"/>
      <c r="B1396" s="881"/>
      <c r="C1396" s="884"/>
      <c r="D1396" s="884" t="s">
        <v>1561</v>
      </c>
      <c r="E1396" s="655" t="s">
        <v>1557</v>
      </c>
      <c r="F1396" s="645">
        <v>311515294</v>
      </c>
      <c r="G1396" s="562">
        <v>0</v>
      </c>
      <c r="H1396" s="645">
        <v>311515294</v>
      </c>
      <c r="I1396" s="645">
        <v>0</v>
      </c>
      <c r="J1396" s="562">
        <v>311515294</v>
      </c>
      <c r="K1396" s="645">
        <v>311515294</v>
      </c>
      <c r="L1396" s="645">
        <v>0</v>
      </c>
      <c r="M1396" s="645">
        <v>0</v>
      </c>
      <c r="N1396" s="645">
        <v>0</v>
      </c>
      <c r="O1396" s="451"/>
      <c r="P1396" s="453"/>
    </row>
    <row r="1397" spans="1:16" s="175" customFormat="1" ht="12.75" customHeight="1" x14ac:dyDescent="0.2">
      <c r="A1397" s="188"/>
      <c r="B1397" s="881"/>
      <c r="C1397" s="884"/>
      <c r="D1397" s="884" t="s">
        <v>1561</v>
      </c>
      <c r="E1397" s="655" t="s">
        <v>1221</v>
      </c>
      <c r="F1397" s="645">
        <v>1931850</v>
      </c>
      <c r="G1397" s="562">
        <v>1931850</v>
      </c>
      <c r="H1397" s="645">
        <v>0</v>
      </c>
      <c r="I1397" s="645">
        <v>0</v>
      </c>
      <c r="J1397" s="562">
        <v>0</v>
      </c>
      <c r="K1397" s="645">
        <v>0</v>
      </c>
      <c r="L1397" s="645">
        <v>0</v>
      </c>
      <c r="M1397" s="645">
        <v>0</v>
      </c>
      <c r="N1397" s="645">
        <v>0</v>
      </c>
      <c r="O1397" s="451"/>
      <c r="P1397" s="453"/>
    </row>
    <row r="1398" spans="1:16" s="175" customFormat="1" ht="12.75" customHeight="1" x14ac:dyDescent="0.2">
      <c r="A1398" s="188"/>
      <c r="B1398" s="881"/>
      <c r="C1398" s="884" t="s">
        <v>3615</v>
      </c>
      <c r="D1398" s="884" t="s">
        <v>1100</v>
      </c>
      <c r="E1398" s="655" t="s">
        <v>26</v>
      </c>
      <c r="F1398" s="645">
        <v>313381512</v>
      </c>
      <c r="G1398" s="562">
        <v>313381512</v>
      </c>
      <c r="H1398" s="645">
        <v>0</v>
      </c>
      <c r="I1398" s="645">
        <v>0</v>
      </c>
      <c r="J1398" s="562">
        <v>0</v>
      </c>
      <c r="K1398" s="645">
        <v>0</v>
      </c>
      <c r="L1398" s="645">
        <v>0</v>
      </c>
      <c r="M1398" s="645">
        <v>0</v>
      </c>
      <c r="N1398" s="645">
        <v>0</v>
      </c>
      <c r="O1398" s="451"/>
      <c r="P1398" s="453"/>
    </row>
    <row r="1399" spans="1:16" s="175" customFormat="1" ht="12.75" customHeight="1" x14ac:dyDescent="0.2">
      <c r="A1399" s="188"/>
      <c r="B1399" s="881"/>
      <c r="C1399" s="884"/>
      <c r="D1399" s="884" t="s">
        <v>1100</v>
      </c>
      <c r="E1399" s="655" t="s">
        <v>3212</v>
      </c>
      <c r="F1399" s="645">
        <v>78310</v>
      </c>
      <c r="G1399" s="562">
        <v>78310</v>
      </c>
      <c r="H1399" s="645">
        <v>0</v>
      </c>
      <c r="I1399" s="645">
        <v>0</v>
      </c>
      <c r="J1399" s="562">
        <v>0</v>
      </c>
      <c r="K1399" s="645">
        <v>0</v>
      </c>
      <c r="L1399" s="645">
        <v>0</v>
      </c>
      <c r="M1399" s="645">
        <v>0</v>
      </c>
      <c r="N1399" s="645">
        <v>0</v>
      </c>
      <c r="O1399" s="451"/>
      <c r="P1399" s="453"/>
    </row>
    <row r="1400" spans="1:16" s="175" customFormat="1" ht="12.75" customHeight="1" x14ac:dyDescent="0.2">
      <c r="A1400" s="188"/>
      <c r="B1400" s="881"/>
      <c r="C1400" s="884"/>
      <c r="D1400" s="884" t="s">
        <v>1100</v>
      </c>
      <c r="E1400" s="655" t="s">
        <v>1221</v>
      </c>
      <c r="F1400" s="645">
        <v>1512675</v>
      </c>
      <c r="G1400" s="562">
        <v>1512675</v>
      </c>
      <c r="H1400" s="645">
        <v>0</v>
      </c>
      <c r="I1400" s="645">
        <v>0</v>
      </c>
      <c r="J1400" s="562">
        <v>0</v>
      </c>
      <c r="K1400" s="645">
        <v>0</v>
      </c>
      <c r="L1400" s="645">
        <v>0</v>
      </c>
      <c r="M1400" s="645">
        <v>0</v>
      </c>
      <c r="N1400" s="645">
        <v>0</v>
      </c>
      <c r="O1400" s="451"/>
      <c r="P1400" s="453"/>
    </row>
    <row r="1401" spans="1:16" s="175" customFormat="1" ht="12.75" customHeight="1" x14ac:dyDescent="0.2">
      <c r="A1401" s="188"/>
      <c r="B1401" s="881"/>
      <c r="C1401" s="884" t="s">
        <v>3616</v>
      </c>
      <c r="D1401" s="884" t="s">
        <v>1150</v>
      </c>
      <c r="E1401" s="655" t="s">
        <v>26</v>
      </c>
      <c r="F1401" s="645">
        <v>132309451</v>
      </c>
      <c r="G1401" s="562">
        <v>132309451</v>
      </c>
      <c r="H1401" s="645">
        <v>0</v>
      </c>
      <c r="I1401" s="645">
        <v>0</v>
      </c>
      <c r="J1401" s="562">
        <v>0</v>
      </c>
      <c r="K1401" s="645">
        <v>0</v>
      </c>
      <c r="L1401" s="645">
        <v>0</v>
      </c>
      <c r="M1401" s="645">
        <v>0</v>
      </c>
      <c r="N1401" s="645">
        <v>0</v>
      </c>
      <c r="O1401" s="451"/>
      <c r="P1401" s="453"/>
    </row>
    <row r="1402" spans="1:16" s="175" customFormat="1" ht="12.75" hidden="1" customHeight="1" x14ac:dyDescent="0.2">
      <c r="A1402" s="188"/>
      <c r="B1402" s="881"/>
      <c r="C1402" s="884"/>
      <c r="D1402" s="884" t="s">
        <v>1150</v>
      </c>
      <c r="E1402" s="655" t="s">
        <v>1557</v>
      </c>
      <c r="F1402" s="645">
        <v>288923353</v>
      </c>
      <c r="G1402" s="562">
        <v>288923353</v>
      </c>
      <c r="H1402" s="645">
        <v>0</v>
      </c>
      <c r="I1402" s="645">
        <v>0</v>
      </c>
      <c r="J1402" s="562">
        <v>0</v>
      </c>
      <c r="K1402" s="645">
        <v>0</v>
      </c>
      <c r="L1402" s="645">
        <v>0</v>
      </c>
      <c r="M1402" s="645">
        <v>0</v>
      </c>
      <c r="N1402" s="645">
        <v>0</v>
      </c>
      <c r="O1402" s="451"/>
      <c r="P1402" s="453"/>
    </row>
    <row r="1403" spans="1:16" s="175" customFormat="1" ht="12.75" customHeight="1" x14ac:dyDescent="0.2">
      <c r="A1403" s="188"/>
      <c r="B1403" s="881"/>
      <c r="C1403" s="884"/>
      <c r="D1403" s="884" t="s">
        <v>1150</v>
      </c>
      <c r="E1403" s="655" t="s">
        <v>3212</v>
      </c>
      <c r="F1403" s="645">
        <v>96573</v>
      </c>
      <c r="G1403" s="562">
        <v>0</v>
      </c>
      <c r="H1403" s="645">
        <v>96573</v>
      </c>
      <c r="I1403" s="645">
        <v>0</v>
      </c>
      <c r="J1403" s="562">
        <v>96573</v>
      </c>
      <c r="K1403" s="645">
        <v>0</v>
      </c>
      <c r="L1403" s="645">
        <v>96573</v>
      </c>
      <c r="M1403" s="645">
        <v>0</v>
      </c>
      <c r="N1403" s="645">
        <v>0</v>
      </c>
      <c r="O1403" s="451"/>
      <c r="P1403" s="453"/>
    </row>
    <row r="1404" spans="1:16" s="175" customFormat="1" ht="12.75" customHeight="1" x14ac:dyDescent="0.2">
      <c r="A1404" s="188"/>
      <c r="B1404" s="881"/>
      <c r="C1404" s="884" t="s">
        <v>3617</v>
      </c>
      <c r="D1404" s="884" t="s">
        <v>1378</v>
      </c>
      <c r="E1404" s="655" t="s">
        <v>26</v>
      </c>
      <c r="F1404" s="645">
        <v>481715827</v>
      </c>
      <c r="G1404" s="562">
        <v>481715827</v>
      </c>
      <c r="H1404" s="645">
        <v>0</v>
      </c>
      <c r="I1404" s="645">
        <v>0</v>
      </c>
      <c r="J1404" s="562">
        <v>0</v>
      </c>
      <c r="K1404" s="645">
        <v>0</v>
      </c>
      <c r="L1404" s="645">
        <v>0</v>
      </c>
      <c r="M1404" s="645">
        <v>0</v>
      </c>
      <c r="N1404" s="645">
        <v>0</v>
      </c>
      <c r="O1404" s="451"/>
      <c r="P1404" s="453"/>
    </row>
    <row r="1405" spans="1:16" s="175" customFormat="1" ht="12.75" customHeight="1" x14ac:dyDescent="0.2">
      <c r="A1405" s="188"/>
      <c r="B1405" s="881"/>
      <c r="C1405" s="884"/>
      <c r="D1405" s="884" t="s">
        <v>1378</v>
      </c>
      <c r="E1405" s="655" t="s">
        <v>3212</v>
      </c>
      <c r="F1405" s="645">
        <v>99977</v>
      </c>
      <c r="G1405" s="562">
        <v>0</v>
      </c>
      <c r="H1405" s="645">
        <v>99977</v>
      </c>
      <c r="I1405" s="645">
        <v>0</v>
      </c>
      <c r="J1405" s="562">
        <v>99977</v>
      </c>
      <c r="K1405" s="645">
        <v>0</v>
      </c>
      <c r="L1405" s="645">
        <v>99977</v>
      </c>
      <c r="M1405" s="645">
        <v>0</v>
      </c>
      <c r="N1405" s="645">
        <v>0</v>
      </c>
      <c r="O1405" s="451"/>
      <c r="P1405" s="453"/>
    </row>
    <row r="1406" spans="1:16" s="175" customFormat="1" ht="12.75" customHeight="1" x14ac:dyDescent="0.2">
      <c r="A1406" s="188"/>
      <c r="B1406" s="881"/>
      <c r="C1406" s="884" t="s">
        <v>4242</v>
      </c>
      <c r="D1406" s="884" t="s">
        <v>4243</v>
      </c>
      <c r="E1406" s="655" t="s">
        <v>26</v>
      </c>
      <c r="F1406" s="645">
        <v>83353129</v>
      </c>
      <c r="G1406" s="562">
        <v>24324157</v>
      </c>
      <c r="H1406" s="645">
        <v>59028972</v>
      </c>
      <c r="I1406" s="645">
        <v>59028972</v>
      </c>
      <c r="J1406" s="562">
        <v>0</v>
      </c>
      <c r="K1406" s="645">
        <v>0</v>
      </c>
      <c r="L1406" s="645">
        <v>0</v>
      </c>
      <c r="M1406" s="645">
        <v>0</v>
      </c>
      <c r="N1406" s="645">
        <v>0</v>
      </c>
      <c r="O1406" s="451"/>
      <c r="P1406" s="453"/>
    </row>
    <row r="1407" spans="1:16" s="175" customFormat="1" ht="12.75" customHeight="1" x14ac:dyDescent="0.2">
      <c r="A1407" s="188"/>
      <c r="B1407" s="881"/>
      <c r="C1407" s="884"/>
      <c r="D1407" s="884" t="s">
        <v>4243</v>
      </c>
      <c r="E1407" s="655" t="s">
        <v>22</v>
      </c>
      <c r="F1407" s="645">
        <v>12438713</v>
      </c>
      <c r="G1407" s="562">
        <v>932905</v>
      </c>
      <c r="H1407" s="645">
        <v>11505808</v>
      </c>
      <c r="I1407" s="645">
        <v>11505808</v>
      </c>
      <c r="J1407" s="562">
        <v>0</v>
      </c>
      <c r="K1407" s="645">
        <v>0</v>
      </c>
      <c r="L1407" s="645">
        <v>0</v>
      </c>
      <c r="M1407" s="645">
        <v>0</v>
      </c>
      <c r="N1407" s="645">
        <v>0</v>
      </c>
      <c r="O1407" s="451"/>
      <c r="P1407" s="453"/>
    </row>
    <row r="1408" spans="1:16" s="175" customFormat="1" ht="12.75" hidden="1" customHeight="1" x14ac:dyDescent="0.2">
      <c r="A1408" s="188"/>
      <c r="B1408" s="881"/>
      <c r="C1408" s="884"/>
      <c r="D1408" s="884" t="s">
        <v>4243</v>
      </c>
      <c r="E1408" s="655" t="s">
        <v>1557</v>
      </c>
      <c r="F1408" s="645">
        <v>339631871</v>
      </c>
      <c r="G1408" s="562">
        <v>0</v>
      </c>
      <c r="H1408" s="645">
        <v>339631871</v>
      </c>
      <c r="I1408" s="645">
        <v>339631871</v>
      </c>
      <c r="J1408" s="562">
        <v>0</v>
      </c>
      <c r="K1408" s="645">
        <v>0</v>
      </c>
      <c r="L1408" s="645">
        <v>0</v>
      </c>
      <c r="M1408" s="645">
        <v>0</v>
      </c>
      <c r="N1408" s="645">
        <v>0</v>
      </c>
      <c r="O1408" s="451"/>
      <c r="P1408" s="453"/>
    </row>
    <row r="1409" spans="1:16" s="175" customFormat="1" ht="12.75" customHeight="1" x14ac:dyDescent="0.2">
      <c r="A1409" s="188"/>
      <c r="B1409" s="881"/>
      <c r="C1409" s="884" t="s">
        <v>3618</v>
      </c>
      <c r="D1409" s="884" t="s">
        <v>1432</v>
      </c>
      <c r="E1409" s="655" t="s">
        <v>26</v>
      </c>
      <c r="F1409" s="645">
        <v>121179142</v>
      </c>
      <c r="G1409" s="562">
        <v>121179142</v>
      </c>
      <c r="H1409" s="645">
        <v>0</v>
      </c>
      <c r="I1409" s="645">
        <v>0</v>
      </c>
      <c r="J1409" s="562">
        <v>0</v>
      </c>
      <c r="K1409" s="645">
        <v>0</v>
      </c>
      <c r="L1409" s="645">
        <v>0</v>
      </c>
      <c r="M1409" s="645">
        <v>0</v>
      </c>
      <c r="N1409" s="645">
        <v>0</v>
      </c>
      <c r="O1409" s="451"/>
      <c r="P1409" s="453"/>
    </row>
    <row r="1410" spans="1:16" s="175" customFormat="1" ht="12.75" hidden="1" customHeight="1" x14ac:dyDescent="0.2">
      <c r="A1410" s="188"/>
      <c r="B1410" s="881"/>
      <c r="C1410" s="884"/>
      <c r="D1410" s="884" t="s">
        <v>1432</v>
      </c>
      <c r="E1410" s="655" t="s">
        <v>1557</v>
      </c>
      <c r="F1410" s="645">
        <v>269957100</v>
      </c>
      <c r="G1410" s="562">
        <v>15548192</v>
      </c>
      <c r="H1410" s="645">
        <v>254408908</v>
      </c>
      <c r="I1410" s="645">
        <v>0</v>
      </c>
      <c r="J1410" s="562">
        <v>254408908</v>
      </c>
      <c r="K1410" s="645">
        <v>0</v>
      </c>
      <c r="L1410" s="645">
        <v>0</v>
      </c>
      <c r="M1410" s="645">
        <v>254408908</v>
      </c>
      <c r="N1410" s="645">
        <v>0</v>
      </c>
      <c r="O1410" s="451"/>
      <c r="P1410" s="453"/>
    </row>
    <row r="1411" spans="1:16" s="175" customFormat="1" ht="12.75" customHeight="1" x14ac:dyDescent="0.2">
      <c r="A1411" s="188"/>
      <c r="B1411" s="881"/>
      <c r="C1411" s="884"/>
      <c r="D1411" s="884" t="s">
        <v>1432</v>
      </c>
      <c r="E1411" s="655" t="s">
        <v>195</v>
      </c>
      <c r="F1411" s="645">
        <v>1008523</v>
      </c>
      <c r="G1411" s="562">
        <v>1008523</v>
      </c>
      <c r="H1411" s="645">
        <v>0</v>
      </c>
      <c r="I1411" s="645">
        <v>0</v>
      </c>
      <c r="J1411" s="562">
        <v>0</v>
      </c>
      <c r="K1411" s="645">
        <v>0</v>
      </c>
      <c r="L1411" s="645">
        <v>0</v>
      </c>
      <c r="M1411" s="645">
        <v>0</v>
      </c>
      <c r="N1411" s="645">
        <v>0</v>
      </c>
      <c r="O1411" s="451"/>
      <c r="P1411" s="453"/>
    </row>
    <row r="1412" spans="1:16" s="175" customFormat="1" ht="12.75" customHeight="1" x14ac:dyDescent="0.2">
      <c r="A1412" s="188"/>
      <c r="B1412" s="881"/>
      <c r="C1412" s="884" t="s">
        <v>3619</v>
      </c>
      <c r="D1412" s="884" t="s">
        <v>1126</v>
      </c>
      <c r="E1412" s="655" t="s">
        <v>26</v>
      </c>
      <c r="F1412" s="645">
        <v>97733100</v>
      </c>
      <c r="G1412" s="562">
        <v>97733100</v>
      </c>
      <c r="H1412" s="645">
        <v>0</v>
      </c>
      <c r="I1412" s="645">
        <v>0</v>
      </c>
      <c r="J1412" s="562">
        <v>0</v>
      </c>
      <c r="K1412" s="645">
        <v>0</v>
      </c>
      <c r="L1412" s="645">
        <v>0</v>
      </c>
      <c r="M1412" s="645">
        <v>0</v>
      </c>
      <c r="N1412" s="645">
        <v>0</v>
      </c>
      <c r="O1412" s="451"/>
      <c r="P1412" s="453"/>
    </row>
    <row r="1413" spans="1:16" s="175" customFormat="1" ht="12.75" hidden="1" customHeight="1" x14ac:dyDescent="0.2">
      <c r="A1413" s="188"/>
      <c r="B1413" s="881"/>
      <c r="C1413" s="884"/>
      <c r="D1413" s="884" t="s">
        <v>1126</v>
      </c>
      <c r="E1413" s="655" t="s">
        <v>1557</v>
      </c>
      <c r="F1413" s="645">
        <v>228043900</v>
      </c>
      <c r="G1413" s="562">
        <v>4</v>
      </c>
      <c r="H1413" s="645">
        <v>228043896</v>
      </c>
      <c r="I1413" s="645">
        <v>0</v>
      </c>
      <c r="J1413" s="562">
        <v>228043896</v>
      </c>
      <c r="K1413" s="645">
        <v>0</v>
      </c>
      <c r="L1413" s="645">
        <v>0</v>
      </c>
      <c r="M1413" s="645">
        <v>228043896</v>
      </c>
      <c r="N1413" s="645">
        <v>0</v>
      </c>
      <c r="O1413" s="451"/>
      <c r="P1413" s="453"/>
    </row>
    <row r="1414" spans="1:16" s="175" customFormat="1" ht="12.75" customHeight="1" x14ac:dyDescent="0.2">
      <c r="A1414" s="188"/>
      <c r="B1414" s="881"/>
      <c r="C1414" s="884"/>
      <c r="D1414" s="884" t="s">
        <v>1126</v>
      </c>
      <c r="E1414" s="655" t="s">
        <v>1221</v>
      </c>
      <c r="F1414" s="645">
        <v>1512675</v>
      </c>
      <c r="G1414" s="562">
        <v>1512675</v>
      </c>
      <c r="H1414" s="645">
        <v>0</v>
      </c>
      <c r="I1414" s="645">
        <v>0</v>
      </c>
      <c r="J1414" s="562">
        <v>0</v>
      </c>
      <c r="K1414" s="645">
        <v>0</v>
      </c>
      <c r="L1414" s="645">
        <v>0</v>
      </c>
      <c r="M1414" s="645">
        <v>0</v>
      </c>
      <c r="N1414" s="645">
        <v>0</v>
      </c>
      <c r="O1414" s="451"/>
      <c r="P1414" s="453"/>
    </row>
    <row r="1415" spans="1:16" s="175" customFormat="1" ht="12.75" customHeight="1" x14ac:dyDescent="0.2">
      <c r="A1415" s="188"/>
      <c r="B1415" s="881"/>
      <c r="C1415" s="884" t="s">
        <v>3620</v>
      </c>
      <c r="D1415" s="884" t="s">
        <v>1243</v>
      </c>
      <c r="E1415" s="655" t="s">
        <v>26</v>
      </c>
      <c r="F1415" s="645">
        <v>133000000</v>
      </c>
      <c r="G1415" s="562">
        <v>133000000</v>
      </c>
      <c r="H1415" s="645">
        <v>0</v>
      </c>
      <c r="I1415" s="645">
        <v>0</v>
      </c>
      <c r="J1415" s="562">
        <v>0</v>
      </c>
      <c r="K1415" s="645">
        <v>0</v>
      </c>
      <c r="L1415" s="645">
        <v>0</v>
      </c>
      <c r="M1415" s="645">
        <v>0</v>
      </c>
      <c r="N1415" s="645">
        <v>0</v>
      </c>
      <c r="O1415" s="451"/>
      <c r="P1415" s="453"/>
    </row>
    <row r="1416" spans="1:16" s="175" customFormat="1" ht="12.75" hidden="1" customHeight="1" x14ac:dyDescent="0.2">
      <c r="A1416" s="188"/>
      <c r="B1416" s="881"/>
      <c r="C1416" s="884"/>
      <c r="D1416" s="884" t="s">
        <v>1243</v>
      </c>
      <c r="E1416" s="655" t="s">
        <v>1557</v>
      </c>
      <c r="F1416" s="645">
        <v>307726844</v>
      </c>
      <c r="G1416" s="562">
        <v>25675972</v>
      </c>
      <c r="H1416" s="645">
        <v>282050872</v>
      </c>
      <c r="I1416" s="645">
        <v>0</v>
      </c>
      <c r="J1416" s="562">
        <v>282050872</v>
      </c>
      <c r="K1416" s="645">
        <v>0</v>
      </c>
      <c r="L1416" s="645">
        <v>0</v>
      </c>
      <c r="M1416" s="645">
        <v>282050872</v>
      </c>
      <c r="N1416" s="645">
        <v>0</v>
      </c>
      <c r="O1416" s="451"/>
      <c r="P1416" s="453"/>
    </row>
    <row r="1417" spans="1:16" s="175" customFormat="1" ht="12.75" customHeight="1" x14ac:dyDescent="0.2">
      <c r="A1417" s="188"/>
      <c r="B1417" s="881"/>
      <c r="C1417" s="884"/>
      <c r="D1417" s="884" t="s">
        <v>1243</v>
      </c>
      <c r="E1417" s="655" t="s">
        <v>195</v>
      </c>
      <c r="F1417" s="645">
        <v>927770</v>
      </c>
      <c r="G1417" s="562">
        <v>927770</v>
      </c>
      <c r="H1417" s="645">
        <v>0</v>
      </c>
      <c r="I1417" s="645">
        <v>0</v>
      </c>
      <c r="J1417" s="562">
        <v>0</v>
      </c>
      <c r="K1417" s="645">
        <v>0</v>
      </c>
      <c r="L1417" s="645">
        <v>0</v>
      </c>
      <c r="M1417" s="645">
        <v>0</v>
      </c>
      <c r="N1417" s="645">
        <v>0</v>
      </c>
      <c r="O1417" s="451"/>
      <c r="P1417" s="453"/>
    </row>
    <row r="1418" spans="1:16" s="175" customFormat="1" ht="12.75" customHeight="1" x14ac:dyDescent="0.2">
      <c r="A1418" s="188"/>
      <c r="B1418" s="881"/>
      <c r="C1418" s="884" t="s">
        <v>3621</v>
      </c>
      <c r="D1418" s="884" t="s">
        <v>1379</v>
      </c>
      <c r="E1418" s="655" t="s">
        <v>26</v>
      </c>
      <c r="F1418" s="645">
        <v>126692408</v>
      </c>
      <c r="G1418" s="562">
        <v>126692408</v>
      </c>
      <c r="H1418" s="645">
        <v>0</v>
      </c>
      <c r="I1418" s="645">
        <v>0</v>
      </c>
      <c r="J1418" s="562">
        <v>0</v>
      </c>
      <c r="K1418" s="645">
        <v>0</v>
      </c>
      <c r="L1418" s="645">
        <v>0</v>
      </c>
      <c r="M1418" s="645">
        <v>0</v>
      </c>
      <c r="N1418" s="645">
        <v>0</v>
      </c>
      <c r="O1418" s="451"/>
      <c r="P1418" s="453"/>
    </row>
    <row r="1419" spans="1:16" s="175" customFormat="1" ht="12.75" hidden="1" customHeight="1" x14ac:dyDescent="0.2">
      <c r="A1419" s="188"/>
      <c r="B1419" s="881"/>
      <c r="C1419" s="884"/>
      <c r="D1419" s="884" t="s">
        <v>1379</v>
      </c>
      <c r="E1419" s="655" t="s">
        <v>1557</v>
      </c>
      <c r="F1419" s="645">
        <v>295615592</v>
      </c>
      <c r="G1419" s="562">
        <v>168557</v>
      </c>
      <c r="H1419" s="645">
        <v>295447035</v>
      </c>
      <c r="I1419" s="645">
        <v>0</v>
      </c>
      <c r="J1419" s="562">
        <v>295447035</v>
      </c>
      <c r="K1419" s="645">
        <v>0</v>
      </c>
      <c r="L1419" s="645">
        <v>0</v>
      </c>
      <c r="M1419" s="645">
        <v>295447035</v>
      </c>
      <c r="N1419" s="645">
        <v>0</v>
      </c>
      <c r="O1419" s="451"/>
      <c r="P1419" s="453"/>
    </row>
    <row r="1420" spans="1:16" s="175" customFormat="1" ht="12.75" customHeight="1" x14ac:dyDescent="0.2">
      <c r="A1420" s="188"/>
      <c r="B1420" s="881"/>
      <c r="C1420" s="884"/>
      <c r="D1420" s="884" t="s">
        <v>1379</v>
      </c>
      <c r="E1420" s="655" t="s">
        <v>195</v>
      </c>
      <c r="F1420" s="645">
        <v>3509859</v>
      </c>
      <c r="G1420" s="562">
        <v>0</v>
      </c>
      <c r="H1420" s="645">
        <v>3509859</v>
      </c>
      <c r="I1420" s="645">
        <v>0</v>
      </c>
      <c r="J1420" s="562">
        <v>3509859</v>
      </c>
      <c r="K1420" s="645">
        <v>0</v>
      </c>
      <c r="L1420" s="645">
        <v>0</v>
      </c>
      <c r="M1420" s="645">
        <v>0</v>
      </c>
      <c r="N1420" s="645">
        <v>3509859</v>
      </c>
      <c r="O1420" s="451"/>
      <c r="P1420" s="453"/>
    </row>
    <row r="1421" spans="1:16" s="175" customFormat="1" ht="12.75" customHeight="1" x14ac:dyDescent="0.2">
      <c r="A1421" s="188"/>
      <c r="B1421" s="881"/>
      <c r="C1421" s="884"/>
      <c r="D1421" s="884" t="s">
        <v>1379</v>
      </c>
      <c r="E1421" s="655" t="s">
        <v>1221</v>
      </c>
      <c r="F1421" s="645">
        <v>1931850</v>
      </c>
      <c r="G1421" s="562">
        <v>641007</v>
      </c>
      <c r="H1421" s="645">
        <v>1290843</v>
      </c>
      <c r="I1421" s="645">
        <v>0</v>
      </c>
      <c r="J1421" s="562">
        <v>1290843</v>
      </c>
      <c r="K1421" s="645">
        <v>0</v>
      </c>
      <c r="L1421" s="645">
        <v>0</v>
      </c>
      <c r="M1421" s="645">
        <v>0</v>
      </c>
      <c r="N1421" s="645">
        <v>1290843</v>
      </c>
      <c r="O1421" s="451"/>
      <c r="P1421" s="453"/>
    </row>
    <row r="1422" spans="1:16" s="175" customFormat="1" ht="12.75" customHeight="1" x14ac:dyDescent="0.2">
      <c r="A1422" s="188"/>
      <c r="B1422" s="881"/>
      <c r="C1422" s="884" t="s">
        <v>3622</v>
      </c>
      <c r="D1422" s="884" t="s">
        <v>3441</v>
      </c>
      <c r="E1422" s="655" t="s">
        <v>26</v>
      </c>
      <c r="F1422" s="645">
        <v>132192100</v>
      </c>
      <c r="G1422" s="562">
        <v>9468387</v>
      </c>
      <c r="H1422" s="645">
        <v>122723713</v>
      </c>
      <c r="I1422" s="645">
        <v>43592371</v>
      </c>
      <c r="J1422" s="562">
        <v>79131342</v>
      </c>
      <c r="K1422" s="645">
        <v>0</v>
      </c>
      <c r="L1422" s="645">
        <v>79100000</v>
      </c>
      <c r="M1422" s="645">
        <v>31342</v>
      </c>
      <c r="N1422" s="645">
        <v>0</v>
      </c>
      <c r="O1422" s="451"/>
      <c r="P1422" s="453"/>
    </row>
    <row r="1423" spans="1:16" s="175" customFormat="1" ht="12.75" hidden="1" customHeight="1" x14ac:dyDescent="0.2">
      <c r="A1423" s="188"/>
      <c r="B1423" s="881"/>
      <c r="C1423" s="884"/>
      <c r="D1423" s="884" t="s">
        <v>3441</v>
      </c>
      <c r="E1423" s="655" t="s">
        <v>1557</v>
      </c>
      <c r="F1423" s="645">
        <v>291292900</v>
      </c>
      <c r="G1423" s="562">
        <v>0</v>
      </c>
      <c r="H1423" s="645">
        <v>291292900</v>
      </c>
      <c r="I1423" s="645">
        <v>291292900</v>
      </c>
      <c r="J1423" s="562">
        <v>0</v>
      </c>
      <c r="K1423" s="645">
        <v>0</v>
      </c>
      <c r="L1423" s="645">
        <v>0</v>
      </c>
      <c r="M1423" s="645">
        <v>0</v>
      </c>
      <c r="N1423" s="645">
        <v>0</v>
      </c>
      <c r="O1423" s="451"/>
      <c r="P1423" s="453"/>
    </row>
    <row r="1424" spans="1:16" s="175" customFormat="1" ht="12.75" customHeight="1" x14ac:dyDescent="0.2">
      <c r="A1424" s="188"/>
      <c r="B1424" s="881"/>
      <c r="C1424" s="884"/>
      <c r="D1424" s="884" t="s">
        <v>3441</v>
      </c>
      <c r="E1424" s="655" t="s">
        <v>1221</v>
      </c>
      <c r="F1424" s="645">
        <v>12438713</v>
      </c>
      <c r="G1424" s="562">
        <v>3731613</v>
      </c>
      <c r="H1424" s="645">
        <v>8707100</v>
      </c>
      <c r="I1424" s="645">
        <v>8707100</v>
      </c>
      <c r="J1424" s="562">
        <v>0</v>
      </c>
      <c r="K1424" s="645">
        <v>0</v>
      </c>
      <c r="L1424" s="645">
        <v>0</v>
      </c>
      <c r="M1424" s="645">
        <v>0</v>
      </c>
      <c r="N1424" s="645">
        <v>0</v>
      </c>
      <c r="O1424" s="451"/>
      <c r="P1424" s="453"/>
    </row>
    <row r="1425" spans="1:16" s="175" customFormat="1" ht="12.75" customHeight="1" x14ac:dyDescent="0.2">
      <c r="A1425" s="188"/>
      <c r="B1425" s="881"/>
      <c r="C1425" s="884" t="s">
        <v>3623</v>
      </c>
      <c r="D1425" s="884" t="s">
        <v>3010</v>
      </c>
      <c r="E1425" s="655" t="s">
        <v>26</v>
      </c>
      <c r="F1425" s="645">
        <v>134997900</v>
      </c>
      <c r="G1425" s="562">
        <v>133973522</v>
      </c>
      <c r="H1425" s="645">
        <v>1024378</v>
      </c>
      <c r="I1425" s="645">
        <v>0</v>
      </c>
      <c r="J1425" s="562">
        <v>1024378</v>
      </c>
      <c r="K1425" s="645">
        <v>0</v>
      </c>
      <c r="L1425" s="645">
        <v>0</v>
      </c>
      <c r="M1425" s="645">
        <v>0</v>
      </c>
      <c r="N1425" s="645">
        <v>1024378</v>
      </c>
      <c r="O1425" s="451"/>
      <c r="P1425" s="453"/>
    </row>
    <row r="1426" spans="1:16" s="175" customFormat="1" ht="12.75" hidden="1" customHeight="1" x14ac:dyDescent="0.2">
      <c r="A1426" s="188"/>
      <c r="B1426" s="881"/>
      <c r="C1426" s="884"/>
      <c r="D1426" s="884" t="s">
        <v>3010</v>
      </c>
      <c r="E1426" s="655" t="s">
        <v>1557</v>
      </c>
      <c r="F1426" s="645">
        <v>314995100</v>
      </c>
      <c r="G1426" s="562">
        <v>0</v>
      </c>
      <c r="H1426" s="645">
        <v>314995100</v>
      </c>
      <c r="I1426" s="645">
        <v>0</v>
      </c>
      <c r="J1426" s="562">
        <v>314995100</v>
      </c>
      <c r="K1426" s="645">
        <v>0</v>
      </c>
      <c r="L1426" s="645">
        <v>0</v>
      </c>
      <c r="M1426" s="645">
        <v>0</v>
      </c>
      <c r="N1426" s="645">
        <v>314995100</v>
      </c>
      <c r="O1426" s="451"/>
      <c r="P1426" s="453"/>
    </row>
    <row r="1427" spans="1:16" s="175" customFormat="1" ht="12.75" customHeight="1" x14ac:dyDescent="0.2">
      <c r="A1427" s="188"/>
      <c r="B1427" s="881"/>
      <c r="C1427" s="884"/>
      <c r="D1427" s="884" t="s">
        <v>3010</v>
      </c>
      <c r="E1427" s="655" t="s">
        <v>195</v>
      </c>
      <c r="F1427" s="645">
        <v>1988478</v>
      </c>
      <c r="G1427" s="562">
        <v>1988478</v>
      </c>
      <c r="H1427" s="645">
        <v>0</v>
      </c>
      <c r="I1427" s="645">
        <v>0</v>
      </c>
      <c r="J1427" s="562">
        <v>0</v>
      </c>
      <c r="K1427" s="645">
        <v>0</v>
      </c>
      <c r="L1427" s="645">
        <v>0</v>
      </c>
      <c r="M1427" s="645">
        <v>0</v>
      </c>
      <c r="N1427" s="645">
        <v>0</v>
      </c>
      <c r="O1427" s="451"/>
      <c r="P1427" s="453"/>
    </row>
    <row r="1428" spans="1:16" s="175" customFormat="1" ht="12.75" customHeight="1" x14ac:dyDescent="0.2">
      <c r="A1428" s="188"/>
      <c r="B1428" s="881"/>
      <c r="C1428" s="884" t="s">
        <v>3624</v>
      </c>
      <c r="D1428" s="884" t="s">
        <v>1625</v>
      </c>
      <c r="E1428" s="655" t="s">
        <v>26</v>
      </c>
      <c r="F1428" s="645">
        <v>163338462</v>
      </c>
      <c r="G1428" s="562">
        <v>162500000</v>
      </c>
      <c r="H1428" s="645">
        <v>838462</v>
      </c>
      <c r="I1428" s="645">
        <v>0</v>
      </c>
      <c r="J1428" s="562">
        <v>838462</v>
      </c>
      <c r="K1428" s="645">
        <v>838462</v>
      </c>
      <c r="L1428" s="645">
        <v>0</v>
      </c>
      <c r="M1428" s="645">
        <v>0</v>
      </c>
      <c r="N1428" s="645">
        <v>0</v>
      </c>
      <c r="O1428" s="451"/>
      <c r="P1428" s="453"/>
    </row>
    <row r="1429" spans="1:16" s="175" customFormat="1" ht="12.75" hidden="1" customHeight="1" x14ac:dyDescent="0.2">
      <c r="A1429" s="188"/>
      <c r="B1429" s="881"/>
      <c r="C1429" s="884"/>
      <c r="D1429" s="884" t="s">
        <v>1625</v>
      </c>
      <c r="E1429" s="655" t="s">
        <v>1557</v>
      </c>
      <c r="F1429" s="645">
        <v>216000000</v>
      </c>
      <c r="G1429" s="562">
        <v>0</v>
      </c>
      <c r="H1429" s="645">
        <v>216000000</v>
      </c>
      <c r="I1429" s="645">
        <v>0</v>
      </c>
      <c r="J1429" s="562">
        <v>216000000</v>
      </c>
      <c r="K1429" s="645">
        <v>216000000</v>
      </c>
      <c r="L1429" s="645">
        <v>0</v>
      </c>
      <c r="M1429" s="645">
        <v>0</v>
      </c>
      <c r="N1429" s="645">
        <v>0</v>
      </c>
      <c r="O1429" s="451"/>
      <c r="P1429" s="453"/>
    </row>
    <row r="1430" spans="1:16" s="175" customFormat="1" ht="12.75" customHeight="1" x14ac:dyDescent="0.2">
      <c r="A1430" s="188"/>
      <c r="B1430" s="881"/>
      <c r="C1430" s="884" t="s">
        <v>3625</v>
      </c>
      <c r="D1430" s="884" t="s">
        <v>1087</v>
      </c>
      <c r="E1430" s="655" t="s">
        <v>26</v>
      </c>
      <c r="F1430" s="645">
        <v>122616300</v>
      </c>
      <c r="G1430" s="562">
        <v>122616300</v>
      </c>
      <c r="H1430" s="645">
        <v>0</v>
      </c>
      <c r="I1430" s="645">
        <v>0</v>
      </c>
      <c r="J1430" s="562">
        <v>0</v>
      </c>
      <c r="K1430" s="645">
        <v>0</v>
      </c>
      <c r="L1430" s="645">
        <v>0</v>
      </c>
      <c r="M1430" s="645">
        <v>0</v>
      </c>
      <c r="N1430" s="645">
        <v>0</v>
      </c>
      <c r="O1430" s="451"/>
      <c r="P1430" s="453"/>
    </row>
    <row r="1431" spans="1:16" s="175" customFormat="1" ht="12.75" hidden="1" customHeight="1" x14ac:dyDescent="0.2">
      <c r="A1431" s="188"/>
      <c r="B1431" s="881"/>
      <c r="C1431" s="884"/>
      <c r="D1431" s="884" t="s">
        <v>1087</v>
      </c>
      <c r="E1431" s="655" t="s">
        <v>1557</v>
      </c>
      <c r="F1431" s="645">
        <v>284466993</v>
      </c>
      <c r="G1431" s="562">
        <v>0</v>
      </c>
      <c r="H1431" s="645">
        <v>284466993</v>
      </c>
      <c r="I1431" s="645">
        <v>0</v>
      </c>
      <c r="J1431" s="562">
        <v>284466993</v>
      </c>
      <c r="K1431" s="645">
        <v>284466993</v>
      </c>
      <c r="L1431" s="645">
        <v>0</v>
      </c>
      <c r="M1431" s="645">
        <v>0</v>
      </c>
      <c r="N1431" s="645">
        <v>0</v>
      </c>
      <c r="O1431" s="451"/>
      <c r="P1431" s="453"/>
    </row>
    <row r="1432" spans="1:16" s="175" customFormat="1" ht="12.75" customHeight="1" x14ac:dyDescent="0.2">
      <c r="A1432" s="188"/>
      <c r="B1432" s="881"/>
      <c r="C1432" s="884"/>
      <c r="D1432" s="884" t="s">
        <v>1087</v>
      </c>
      <c r="E1432" s="655" t="s">
        <v>1221</v>
      </c>
      <c r="F1432" s="645">
        <v>1931850</v>
      </c>
      <c r="G1432" s="562">
        <v>1931850</v>
      </c>
      <c r="H1432" s="645">
        <v>0</v>
      </c>
      <c r="I1432" s="645">
        <v>0</v>
      </c>
      <c r="J1432" s="562">
        <v>0</v>
      </c>
      <c r="K1432" s="645">
        <v>0</v>
      </c>
      <c r="L1432" s="645">
        <v>0</v>
      </c>
      <c r="M1432" s="645">
        <v>0</v>
      </c>
      <c r="N1432" s="645">
        <v>0</v>
      </c>
      <c r="O1432" s="451"/>
      <c r="P1432" s="453"/>
    </row>
    <row r="1433" spans="1:16" s="175" customFormat="1" ht="12.75" customHeight="1" x14ac:dyDescent="0.2">
      <c r="A1433" s="188"/>
      <c r="B1433" s="881"/>
      <c r="C1433" s="884" t="s">
        <v>3626</v>
      </c>
      <c r="D1433" s="884" t="s">
        <v>3226</v>
      </c>
      <c r="E1433" s="655" t="s">
        <v>26</v>
      </c>
      <c r="F1433" s="645">
        <v>140504732</v>
      </c>
      <c r="G1433" s="562">
        <v>140504732</v>
      </c>
      <c r="H1433" s="645">
        <v>0</v>
      </c>
      <c r="I1433" s="645">
        <v>0</v>
      </c>
      <c r="J1433" s="562">
        <v>0</v>
      </c>
      <c r="K1433" s="645">
        <v>0</v>
      </c>
      <c r="L1433" s="645">
        <v>0</v>
      </c>
      <c r="M1433" s="645">
        <v>0</v>
      </c>
      <c r="N1433" s="645">
        <v>0</v>
      </c>
      <c r="O1433" s="451"/>
      <c r="P1433" s="453"/>
    </row>
    <row r="1434" spans="1:16" s="175" customFormat="1" ht="12.75" hidden="1" customHeight="1" x14ac:dyDescent="0.2">
      <c r="A1434" s="188"/>
      <c r="B1434" s="881"/>
      <c r="C1434" s="884"/>
      <c r="D1434" s="884" t="s">
        <v>3226</v>
      </c>
      <c r="E1434" s="655" t="s">
        <v>1557</v>
      </c>
      <c r="F1434" s="645">
        <v>332935200</v>
      </c>
      <c r="G1434" s="562">
        <v>0</v>
      </c>
      <c r="H1434" s="645">
        <v>332935200</v>
      </c>
      <c r="I1434" s="645">
        <v>0</v>
      </c>
      <c r="J1434" s="562">
        <v>332935200</v>
      </c>
      <c r="K1434" s="645">
        <v>332935200</v>
      </c>
      <c r="L1434" s="645">
        <v>0</v>
      </c>
      <c r="M1434" s="645">
        <v>0</v>
      </c>
      <c r="N1434" s="645">
        <v>0</v>
      </c>
      <c r="O1434" s="451"/>
      <c r="P1434" s="453"/>
    </row>
    <row r="1435" spans="1:16" s="175" customFormat="1" ht="12.75" customHeight="1" x14ac:dyDescent="0.2">
      <c r="A1435" s="188"/>
      <c r="B1435" s="881"/>
      <c r="C1435" s="884" t="s">
        <v>3627</v>
      </c>
      <c r="D1435" s="884" t="s">
        <v>1174</v>
      </c>
      <c r="E1435" s="655" t="s">
        <v>26</v>
      </c>
      <c r="F1435" s="645">
        <v>98882250</v>
      </c>
      <c r="G1435" s="562">
        <v>98882250</v>
      </c>
      <c r="H1435" s="645">
        <v>0</v>
      </c>
      <c r="I1435" s="645">
        <v>0</v>
      </c>
      <c r="J1435" s="562">
        <v>0</v>
      </c>
      <c r="K1435" s="645">
        <v>0</v>
      </c>
      <c r="L1435" s="645">
        <v>0</v>
      </c>
      <c r="M1435" s="645">
        <v>0</v>
      </c>
      <c r="N1435" s="645">
        <v>0</v>
      </c>
      <c r="O1435" s="451"/>
      <c r="P1435" s="453"/>
    </row>
    <row r="1436" spans="1:16" s="175" customFormat="1" ht="12.75" customHeight="1" x14ac:dyDescent="0.2">
      <c r="A1436" s="188"/>
      <c r="B1436" s="881"/>
      <c r="C1436" s="884"/>
      <c r="D1436" s="884" t="s">
        <v>1174</v>
      </c>
      <c r="E1436" s="655" t="s">
        <v>22</v>
      </c>
      <c r="F1436" s="645">
        <v>79052085</v>
      </c>
      <c r="G1436" s="562">
        <v>24000000</v>
      </c>
      <c r="H1436" s="645">
        <v>55052085</v>
      </c>
      <c r="I1436" s="645">
        <v>0</v>
      </c>
      <c r="J1436" s="562">
        <v>55052085</v>
      </c>
      <c r="K1436" s="645">
        <v>0</v>
      </c>
      <c r="L1436" s="645">
        <v>0</v>
      </c>
      <c r="M1436" s="645">
        <v>55052085</v>
      </c>
      <c r="N1436" s="645">
        <v>0</v>
      </c>
      <c r="O1436" s="451"/>
      <c r="P1436" s="453"/>
    </row>
    <row r="1437" spans="1:16" s="175" customFormat="1" ht="12.75" hidden="1" customHeight="1" x14ac:dyDescent="0.2">
      <c r="A1437" s="188"/>
      <c r="B1437" s="881"/>
      <c r="C1437" s="884"/>
      <c r="D1437" s="884" t="s">
        <v>1174</v>
      </c>
      <c r="E1437" s="655" t="s">
        <v>1557</v>
      </c>
      <c r="F1437" s="645">
        <v>230725250</v>
      </c>
      <c r="G1437" s="562">
        <v>2144570</v>
      </c>
      <c r="H1437" s="645">
        <v>228580680</v>
      </c>
      <c r="I1437" s="645">
        <v>0</v>
      </c>
      <c r="J1437" s="562">
        <v>228580680</v>
      </c>
      <c r="K1437" s="645">
        <v>0</v>
      </c>
      <c r="L1437" s="645">
        <v>0</v>
      </c>
      <c r="M1437" s="645">
        <v>228580680</v>
      </c>
      <c r="N1437" s="645">
        <v>0</v>
      </c>
      <c r="O1437" s="451"/>
      <c r="P1437" s="453"/>
    </row>
    <row r="1438" spans="1:16" s="175" customFormat="1" ht="12.75" customHeight="1" x14ac:dyDescent="0.2">
      <c r="A1438" s="188"/>
      <c r="B1438" s="881"/>
      <c r="C1438" s="884" t="s">
        <v>3628</v>
      </c>
      <c r="D1438" s="884" t="s">
        <v>1227</v>
      </c>
      <c r="E1438" s="655" t="s">
        <v>26</v>
      </c>
      <c r="F1438" s="645">
        <v>124172787</v>
      </c>
      <c r="G1438" s="562">
        <v>124172787</v>
      </c>
      <c r="H1438" s="645">
        <v>0</v>
      </c>
      <c r="I1438" s="645">
        <v>0</v>
      </c>
      <c r="J1438" s="562">
        <v>0</v>
      </c>
      <c r="K1438" s="645">
        <v>0</v>
      </c>
      <c r="L1438" s="645">
        <v>0</v>
      </c>
      <c r="M1438" s="645">
        <v>0</v>
      </c>
      <c r="N1438" s="645">
        <v>0</v>
      </c>
      <c r="O1438" s="451"/>
      <c r="P1438" s="453"/>
    </row>
    <row r="1439" spans="1:16" s="175" customFormat="1" ht="12.75" hidden="1" customHeight="1" x14ac:dyDescent="0.2">
      <c r="A1439" s="188"/>
      <c r="B1439" s="881"/>
      <c r="C1439" s="884"/>
      <c r="D1439" s="884" t="s">
        <v>1227</v>
      </c>
      <c r="E1439" s="655" t="s">
        <v>1557</v>
      </c>
      <c r="F1439" s="645">
        <v>280487200</v>
      </c>
      <c r="G1439" s="562">
        <v>280310</v>
      </c>
      <c r="H1439" s="645">
        <v>280206890</v>
      </c>
      <c r="I1439" s="645">
        <v>0</v>
      </c>
      <c r="J1439" s="562">
        <v>280206890</v>
      </c>
      <c r="K1439" s="645">
        <v>0</v>
      </c>
      <c r="L1439" s="645">
        <v>0</v>
      </c>
      <c r="M1439" s="645">
        <v>280206890</v>
      </c>
      <c r="N1439" s="645">
        <v>0</v>
      </c>
      <c r="O1439" s="451"/>
      <c r="P1439" s="453"/>
    </row>
    <row r="1440" spans="1:16" s="175" customFormat="1" ht="12.75" customHeight="1" x14ac:dyDescent="0.2">
      <c r="A1440" s="188"/>
      <c r="B1440" s="881"/>
      <c r="C1440" s="884"/>
      <c r="D1440" s="884" t="s">
        <v>1227</v>
      </c>
      <c r="E1440" s="655" t="s">
        <v>195</v>
      </c>
      <c r="F1440" s="645">
        <v>220694</v>
      </c>
      <c r="G1440" s="562">
        <v>220694</v>
      </c>
      <c r="H1440" s="645">
        <v>0</v>
      </c>
      <c r="I1440" s="645">
        <v>0</v>
      </c>
      <c r="J1440" s="562">
        <v>0</v>
      </c>
      <c r="K1440" s="645">
        <v>0</v>
      </c>
      <c r="L1440" s="645">
        <v>0</v>
      </c>
      <c r="M1440" s="645">
        <v>0</v>
      </c>
      <c r="N1440" s="645">
        <v>0</v>
      </c>
      <c r="O1440" s="451"/>
      <c r="P1440" s="453"/>
    </row>
    <row r="1441" spans="1:16" s="175" customFormat="1" ht="12.75" customHeight="1" x14ac:dyDescent="0.2">
      <c r="A1441" s="188"/>
      <c r="B1441" s="881"/>
      <c r="C1441" s="884" t="s">
        <v>3629</v>
      </c>
      <c r="D1441" s="884" t="s">
        <v>1086</v>
      </c>
      <c r="E1441" s="655" t="s">
        <v>26</v>
      </c>
      <c r="F1441" s="645">
        <v>219759190</v>
      </c>
      <c r="G1441" s="562">
        <v>219759190</v>
      </c>
      <c r="H1441" s="645">
        <v>0</v>
      </c>
      <c r="I1441" s="645">
        <v>0</v>
      </c>
      <c r="J1441" s="562">
        <v>0</v>
      </c>
      <c r="K1441" s="645">
        <v>0</v>
      </c>
      <c r="L1441" s="645">
        <v>0</v>
      </c>
      <c r="M1441" s="645">
        <v>0</v>
      </c>
      <c r="N1441" s="645">
        <v>0</v>
      </c>
      <c r="O1441" s="451"/>
      <c r="P1441" s="453"/>
    </row>
    <row r="1442" spans="1:16" s="175" customFormat="1" ht="12.75" hidden="1" customHeight="1" x14ac:dyDescent="0.2">
      <c r="A1442" s="188"/>
      <c r="B1442" s="881"/>
      <c r="C1442" s="884"/>
      <c r="D1442" s="884" t="s">
        <v>1086</v>
      </c>
      <c r="E1442" s="655" t="s">
        <v>1557</v>
      </c>
      <c r="F1442" s="645">
        <v>100000000</v>
      </c>
      <c r="G1442" s="562">
        <v>0</v>
      </c>
      <c r="H1442" s="645">
        <v>100000000</v>
      </c>
      <c r="I1442" s="645">
        <v>0</v>
      </c>
      <c r="J1442" s="562">
        <v>100000000</v>
      </c>
      <c r="K1442" s="645">
        <v>100000000</v>
      </c>
      <c r="L1442" s="645">
        <v>0</v>
      </c>
      <c r="M1442" s="645">
        <v>0</v>
      </c>
      <c r="N1442" s="645">
        <v>0</v>
      </c>
      <c r="O1442" s="451"/>
      <c r="P1442" s="453"/>
    </row>
    <row r="1443" spans="1:16" s="175" customFormat="1" ht="12.75" customHeight="1" x14ac:dyDescent="0.2">
      <c r="A1443" s="188"/>
      <c r="B1443" s="881"/>
      <c r="C1443" s="884" t="s">
        <v>3630</v>
      </c>
      <c r="D1443" s="884" t="s">
        <v>1085</v>
      </c>
      <c r="E1443" s="655" t="s">
        <v>26</v>
      </c>
      <c r="F1443" s="645">
        <v>400259400</v>
      </c>
      <c r="G1443" s="562">
        <v>285469511</v>
      </c>
      <c r="H1443" s="645">
        <v>114789889</v>
      </c>
      <c r="I1443" s="645">
        <v>87380676</v>
      </c>
      <c r="J1443" s="562">
        <v>27409213</v>
      </c>
      <c r="K1443" s="645">
        <v>27409213</v>
      </c>
      <c r="L1443" s="645">
        <v>0</v>
      </c>
      <c r="M1443" s="645">
        <v>0</v>
      </c>
      <c r="N1443" s="645">
        <v>0</v>
      </c>
      <c r="O1443" s="451"/>
      <c r="P1443" s="453"/>
    </row>
    <row r="1444" spans="1:16" s="175" customFormat="1" ht="12.75" customHeight="1" x14ac:dyDescent="0.2">
      <c r="A1444" s="188"/>
      <c r="B1444" s="881"/>
      <c r="C1444" s="884"/>
      <c r="D1444" s="884" t="s">
        <v>1085</v>
      </c>
      <c r="E1444" s="655" t="s">
        <v>195</v>
      </c>
      <c r="F1444" s="645">
        <v>21319771</v>
      </c>
      <c r="G1444" s="562">
        <v>0</v>
      </c>
      <c r="H1444" s="645">
        <v>21319771</v>
      </c>
      <c r="I1444" s="645">
        <v>21319771</v>
      </c>
      <c r="J1444" s="562">
        <v>0</v>
      </c>
      <c r="K1444" s="645">
        <v>0</v>
      </c>
      <c r="L1444" s="645">
        <v>0</v>
      </c>
      <c r="M1444" s="645">
        <v>0</v>
      </c>
      <c r="N1444" s="645">
        <v>0</v>
      </c>
      <c r="O1444" s="451"/>
      <c r="P1444" s="453"/>
    </row>
    <row r="1445" spans="1:16" s="175" customFormat="1" ht="12.75" customHeight="1" x14ac:dyDescent="0.2">
      <c r="A1445" s="188"/>
      <c r="B1445" s="881"/>
      <c r="C1445" s="884" t="s">
        <v>3631</v>
      </c>
      <c r="D1445" s="884" t="s">
        <v>1101</v>
      </c>
      <c r="E1445" s="655" t="s">
        <v>26</v>
      </c>
      <c r="F1445" s="645">
        <v>123752584</v>
      </c>
      <c r="G1445" s="562">
        <v>123752584</v>
      </c>
      <c r="H1445" s="645">
        <v>0</v>
      </c>
      <c r="I1445" s="645">
        <v>0</v>
      </c>
      <c r="J1445" s="562">
        <v>0</v>
      </c>
      <c r="K1445" s="645">
        <v>0</v>
      </c>
      <c r="L1445" s="645">
        <v>0</v>
      </c>
      <c r="M1445" s="645">
        <v>0</v>
      </c>
      <c r="N1445" s="645">
        <v>0</v>
      </c>
      <c r="O1445" s="451"/>
      <c r="P1445" s="453"/>
    </row>
    <row r="1446" spans="1:16" s="175" customFormat="1" ht="12.75" hidden="1" customHeight="1" x14ac:dyDescent="0.2">
      <c r="A1446" s="188"/>
      <c r="B1446" s="881"/>
      <c r="C1446" s="884"/>
      <c r="D1446" s="884" t="s">
        <v>1101</v>
      </c>
      <c r="E1446" s="655" t="s">
        <v>1557</v>
      </c>
      <c r="F1446" s="645">
        <v>275000000</v>
      </c>
      <c r="G1446" s="562">
        <v>0</v>
      </c>
      <c r="H1446" s="645">
        <v>275000000</v>
      </c>
      <c r="I1446" s="645">
        <v>0</v>
      </c>
      <c r="J1446" s="562">
        <v>275000000</v>
      </c>
      <c r="K1446" s="645">
        <v>275000000</v>
      </c>
      <c r="L1446" s="645">
        <v>0</v>
      </c>
      <c r="M1446" s="645">
        <v>0</v>
      </c>
      <c r="N1446" s="645">
        <v>0</v>
      </c>
      <c r="O1446" s="451"/>
      <c r="P1446" s="453"/>
    </row>
    <row r="1447" spans="1:16" s="175" customFormat="1" ht="12.75" customHeight="1" x14ac:dyDescent="0.2">
      <c r="A1447" s="188"/>
      <c r="B1447" s="881"/>
      <c r="C1447" s="884" t="s">
        <v>3632</v>
      </c>
      <c r="D1447" s="884" t="s">
        <v>3633</v>
      </c>
      <c r="E1447" s="655" t="s">
        <v>26</v>
      </c>
      <c r="F1447" s="645">
        <v>345701319</v>
      </c>
      <c r="G1447" s="562">
        <v>345701319</v>
      </c>
      <c r="H1447" s="645">
        <v>0</v>
      </c>
      <c r="I1447" s="645">
        <v>0</v>
      </c>
      <c r="J1447" s="562">
        <v>0</v>
      </c>
      <c r="K1447" s="645">
        <v>0</v>
      </c>
      <c r="L1447" s="645">
        <v>0</v>
      </c>
      <c r="M1447" s="645">
        <v>0</v>
      </c>
      <c r="N1447" s="645">
        <v>0</v>
      </c>
      <c r="O1447" s="451"/>
      <c r="P1447" s="453"/>
    </row>
    <row r="1448" spans="1:16" s="175" customFormat="1" ht="12.75" customHeight="1" x14ac:dyDescent="0.2">
      <c r="A1448" s="188"/>
      <c r="B1448" s="881"/>
      <c r="C1448" s="884"/>
      <c r="D1448" s="884" t="s">
        <v>3633</v>
      </c>
      <c r="E1448" s="655" t="s">
        <v>3212</v>
      </c>
      <c r="F1448" s="645">
        <v>71369</v>
      </c>
      <c r="G1448" s="562">
        <v>71369</v>
      </c>
      <c r="H1448" s="645">
        <v>0</v>
      </c>
      <c r="I1448" s="645">
        <v>0</v>
      </c>
      <c r="J1448" s="562">
        <v>0</v>
      </c>
      <c r="K1448" s="645">
        <v>0</v>
      </c>
      <c r="L1448" s="645">
        <v>0</v>
      </c>
      <c r="M1448" s="645">
        <v>0</v>
      </c>
      <c r="N1448" s="645">
        <v>0</v>
      </c>
      <c r="O1448" s="451"/>
      <c r="P1448" s="453"/>
    </row>
    <row r="1449" spans="1:16" s="175" customFormat="1" ht="12.75" customHeight="1" x14ac:dyDescent="0.2">
      <c r="A1449" s="188"/>
      <c r="B1449" s="881"/>
      <c r="C1449" s="884" t="s">
        <v>3634</v>
      </c>
      <c r="D1449" s="884" t="s">
        <v>3011</v>
      </c>
      <c r="E1449" s="655" t="s">
        <v>26</v>
      </c>
      <c r="F1449" s="645">
        <v>140068150</v>
      </c>
      <c r="G1449" s="562">
        <v>140068150</v>
      </c>
      <c r="H1449" s="645">
        <v>0</v>
      </c>
      <c r="I1449" s="645">
        <v>0</v>
      </c>
      <c r="J1449" s="562">
        <v>0</v>
      </c>
      <c r="K1449" s="645">
        <v>0</v>
      </c>
      <c r="L1449" s="645">
        <v>0</v>
      </c>
      <c r="M1449" s="645">
        <v>0</v>
      </c>
      <c r="N1449" s="645">
        <v>0</v>
      </c>
      <c r="O1449" s="451"/>
      <c r="P1449" s="453"/>
    </row>
    <row r="1450" spans="1:16" s="175" customFormat="1" ht="12.75" customHeight="1" x14ac:dyDescent="0.2">
      <c r="A1450" s="188"/>
      <c r="B1450" s="881"/>
      <c r="C1450" s="884"/>
      <c r="D1450" s="884" t="s">
        <v>3011</v>
      </c>
      <c r="E1450" s="655" t="s">
        <v>22</v>
      </c>
      <c r="F1450" s="645">
        <v>15420275</v>
      </c>
      <c r="G1450" s="562">
        <v>15420275</v>
      </c>
      <c r="H1450" s="645">
        <v>0</v>
      </c>
      <c r="I1450" s="645">
        <v>0</v>
      </c>
      <c r="J1450" s="562">
        <v>0</v>
      </c>
      <c r="K1450" s="645">
        <v>0</v>
      </c>
      <c r="L1450" s="645">
        <v>0</v>
      </c>
      <c r="M1450" s="645">
        <v>0</v>
      </c>
      <c r="N1450" s="645">
        <v>0</v>
      </c>
      <c r="O1450" s="451"/>
      <c r="P1450" s="453"/>
    </row>
    <row r="1451" spans="1:16" s="175" customFormat="1" ht="12.75" hidden="1" customHeight="1" x14ac:dyDescent="0.2">
      <c r="A1451" s="188"/>
      <c r="B1451" s="881"/>
      <c r="C1451" s="884"/>
      <c r="D1451" s="884" t="s">
        <v>3011</v>
      </c>
      <c r="E1451" s="655" t="s">
        <v>1557</v>
      </c>
      <c r="F1451" s="645">
        <v>308000000</v>
      </c>
      <c r="G1451" s="562">
        <v>34396396</v>
      </c>
      <c r="H1451" s="645">
        <v>273603604</v>
      </c>
      <c r="I1451" s="645">
        <v>273603604</v>
      </c>
      <c r="J1451" s="562">
        <v>0</v>
      </c>
      <c r="K1451" s="645">
        <v>0</v>
      </c>
      <c r="L1451" s="645">
        <v>0</v>
      </c>
      <c r="M1451" s="645">
        <v>0</v>
      </c>
      <c r="N1451" s="645">
        <v>0</v>
      </c>
      <c r="O1451" s="451"/>
      <c r="P1451" s="453"/>
    </row>
    <row r="1452" spans="1:16" s="175" customFormat="1" ht="12.75" customHeight="1" x14ac:dyDescent="0.2">
      <c r="A1452" s="188"/>
      <c r="B1452" s="881"/>
      <c r="C1452" s="884"/>
      <c r="D1452" s="884" t="s">
        <v>3011</v>
      </c>
      <c r="E1452" s="655" t="s">
        <v>1221</v>
      </c>
      <c r="F1452" s="645">
        <v>1931850</v>
      </c>
      <c r="G1452" s="562">
        <v>1931850</v>
      </c>
      <c r="H1452" s="645">
        <v>0</v>
      </c>
      <c r="I1452" s="645">
        <v>0</v>
      </c>
      <c r="J1452" s="562">
        <v>0</v>
      </c>
      <c r="K1452" s="645">
        <v>0</v>
      </c>
      <c r="L1452" s="645">
        <v>0</v>
      </c>
      <c r="M1452" s="645">
        <v>0</v>
      </c>
      <c r="N1452" s="645">
        <v>0</v>
      </c>
      <c r="O1452" s="451"/>
      <c r="P1452" s="453"/>
    </row>
    <row r="1453" spans="1:16" s="175" customFormat="1" ht="12.75" customHeight="1" x14ac:dyDescent="0.2">
      <c r="A1453" s="188"/>
      <c r="B1453" s="881"/>
      <c r="C1453" s="884" t="s">
        <v>3635</v>
      </c>
      <c r="D1453" s="884" t="s">
        <v>1127</v>
      </c>
      <c r="E1453" s="655" t="s">
        <v>26</v>
      </c>
      <c r="F1453" s="645">
        <v>98169000</v>
      </c>
      <c r="G1453" s="562">
        <v>98169000</v>
      </c>
      <c r="H1453" s="645">
        <v>0</v>
      </c>
      <c r="I1453" s="645">
        <v>0</v>
      </c>
      <c r="J1453" s="562">
        <v>0</v>
      </c>
      <c r="K1453" s="645">
        <v>0</v>
      </c>
      <c r="L1453" s="645">
        <v>0</v>
      </c>
      <c r="M1453" s="645">
        <v>0</v>
      </c>
      <c r="N1453" s="645">
        <v>0</v>
      </c>
      <c r="O1453" s="451"/>
      <c r="P1453" s="453"/>
    </row>
    <row r="1454" spans="1:16" s="175" customFormat="1" ht="12.75" hidden="1" customHeight="1" x14ac:dyDescent="0.2">
      <c r="A1454" s="188"/>
      <c r="B1454" s="881"/>
      <c r="C1454" s="884"/>
      <c r="D1454" s="884" t="s">
        <v>1127</v>
      </c>
      <c r="E1454" s="655" t="s">
        <v>1557</v>
      </c>
      <c r="F1454" s="645">
        <v>229061000</v>
      </c>
      <c r="G1454" s="562">
        <v>187506970</v>
      </c>
      <c r="H1454" s="645">
        <v>41554030</v>
      </c>
      <c r="I1454" s="645">
        <v>0</v>
      </c>
      <c r="J1454" s="562">
        <v>41554030</v>
      </c>
      <c r="K1454" s="645">
        <v>0</v>
      </c>
      <c r="L1454" s="645">
        <v>0</v>
      </c>
      <c r="M1454" s="645">
        <v>41554030</v>
      </c>
      <c r="N1454" s="645">
        <v>0</v>
      </c>
      <c r="O1454" s="451"/>
      <c r="P1454" s="453"/>
    </row>
    <row r="1455" spans="1:16" s="175" customFormat="1" ht="12.75" customHeight="1" x14ac:dyDescent="0.2">
      <c r="A1455" s="188"/>
      <c r="B1455" s="881"/>
      <c r="C1455" s="884" t="s">
        <v>3636</v>
      </c>
      <c r="D1455" s="884" t="s">
        <v>1087</v>
      </c>
      <c r="E1455" s="655" t="s">
        <v>26</v>
      </c>
      <c r="F1455" s="645">
        <v>119610600</v>
      </c>
      <c r="G1455" s="562">
        <v>119610600</v>
      </c>
      <c r="H1455" s="645">
        <v>0</v>
      </c>
      <c r="I1455" s="645">
        <v>0</v>
      </c>
      <c r="J1455" s="562">
        <v>0</v>
      </c>
      <c r="K1455" s="645">
        <v>0</v>
      </c>
      <c r="L1455" s="645">
        <v>0</v>
      </c>
      <c r="M1455" s="645">
        <v>0</v>
      </c>
      <c r="N1455" s="645">
        <v>0</v>
      </c>
      <c r="O1455" s="451"/>
      <c r="P1455" s="453"/>
    </row>
    <row r="1456" spans="1:16" s="175" customFormat="1" ht="12.75" hidden="1" customHeight="1" x14ac:dyDescent="0.2">
      <c r="A1456" s="188"/>
      <c r="B1456" s="881"/>
      <c r="C1456" s="884"/>
      <c r="D1456" s="884" t="s">
        <v>1087</v>
      </c>
      <c r="E1456" s="655" t="s">
        <v>1557</v>
      </c>
      <c r="F1456" s="645">
        <v>278331098</v>
      </c>
      <c r="G1456" s="562">
        <v>0</v>
      </c>
      <c r="H1456" s="645">
        <v>278331098</v>
      </c>
      <c r="I1456" s="645">
        <v>0</v>
      </c>
      <c r="J1456" s="562">
        <v>278331098</v>
      </c>
      <c r="K1456" s="645">
        <v>278331098</v>
      </c>
      <c r="L1456" s="645">
        <v>0</v>
      </c>
      <c r="M1456" s="645">
        <v>0</v>
      </c>
      <c r="N1456" s="645">
        <v>0</v>
      </c>
      <c r="O1456" s="451"/>
      <c r="P1456" s="453"/>
    </row>
    <row r="1457" spans="1:16" s="175" customFormat="1" ht="12.75" customHeight="1" x14ac:dyDescent="0.2">
      <c r="A1457" s="188"/>
      <c r="B1457" s="881"/>
      <c r="C1457" s="884"/>
      <c r="D1457" s="884" t="s">
        <v>1087</v>
      </c>
      <c r="E1457" s="655" t="s">
        <v>1221</v>
      </c>
      <c r="F1457" s="645">
        <v>1931850</v>
      </c>
      <c r="G1457" s="562">
        <v>1931850</v>
      </c>
      <c r="H1457" s="645">
        <v>0</v>
      </c>
      <c r="I1457" s="645">
        <v>0</v>
      </c>
      <c r="J1457" s="562">
        <v>0</v>
      </c>
      <c r="K1457" s="645">
        <v>0</v>
      </c>
      <c r="L1457" s="645">
        <v>0</v>
      </c>
      <c r="M1457" s="645">
        <v>0</v>
      </c>
      <c r="N1457" s="645">
        <v>0</v>
      </c>
      <c r="O1457" s="451"/>
      <c r="P1457" s="453"/>
    </row>
    <row r="1458" spans="1:16" s="175" customFormat="1" ht="12.75" customHeight="1" x14ac:dyDescent="0.2">
      <c r="A1458" s="188"/>
      <c r="B1458" s="881"/>
      <c r="C1458" s="884" t="s">
        <v>3637</v>
      </c>
      <c r="D1458" s="884" t="s">
        <v>1088</v>
      </c>
      <c r="E1458" s="655" t="s">
        <v>26</v>
      </c>
      <c r="F1458" s="645">
        <v>119819400</v>
      </c>
      <c r="G1458" s="562">
        <v>119819400</v>
      </c>
      <c r="H1458" s="645">
        <v>0</v>
      </c>
      <c r="I1458" s="645">
        <v>0</v>
      </c>
      <c r="J1458" s="562">
        <v>0</v>
      </c>
      <c r="K1458" s="645">
        <v>0</v>
      </c>
      <c r="L1458" s="645">
        <v>0</v>
      </c>
      <c r="M1458" s="645">
        <v>0</v>
      </c>
      <c r="N1458" s="645">
        <v>0</v>
      </c>
      <c r="O1458" s="451"/>
      <c r="P1458" s="453"/>
    </row>
    <row r="1459" spans="1:16" s="175" customFormat="1" ht="12.75" customHeight="1" x14ac:dyDescent="0.2">
      <c r="A1459" s="188"/>
      <c r="B1459" s="881"/>
      <c r="C1459" s="884"/>
      <c r="D1459" s="884" t="s">
        <v>1088</v>
      </c>
      <c r="E1459" s="655" t="s">
        <v>22</v>
      </c>
      <c r="F1459" s="645">
        <v>92988932</v>
      </c>
      <c r="G1459" s="562">
        <v>27896680</v>
      </c>
      <c r="H1459" s="645">
        <v>65092252</v>
      </c>
      <c r="I1459" s="645">
        <v>0</v>
      </c>
      <c r="J1459" s="562">
        <v>65092252</v>
      </c>
      <c r="K1459" s="645">
        <v>0</v>
      </c>
      <c r="L1459" s="645">
        <v>0</v>
      </c>
      <c r="M1459" s="645">
        <v>65092252</v>
      </c>
      <c r="N1459" s="645">
        <v>0</v>
      </c>
      <c r="O1459" s="451"/>
      <c r="P1459" s="453"/>
    </row>
    <row r="1460" spans="1:16" s="175" customFormat="1" ht="12.75" hidden="1" customHeight="1" x14ac:dyDescent="0.2">
      <c r="A1460" s="188"/>
      <c r="B1460" s="881"/>
      <c r="C1460" s="884"/>
      <c r="D1460" s="884" t="s">
        <v>1088</v>
      </c>
      <c r="E1460" s="655" t="s">
        <v>1557</v>
      </c>
      <c r="F1460" s="645">
        <v>279578600</v>
      </c>
      <c r="G1460" s="562">
        <v>5051660</v>
      </c>
      <c r="H1460" s="645">
        <v>274526940</v>
      </c>
      <c r="I1460" s="645">
        <v>0</v>
      </c>
      <c r="J1460" s="562">
        <v>274526940</v>
      </c>
      <c r="K1460" s="645">
        <v>0</v>
      </c>
      <c r="L1460" s="645">
        <v>0</v>
      </c>
      <c r="M1460" s="645">
        <v>274526940</v>
      </c>
      <c r="N1460" s="645">
        <v>0</v>
      </c>
      <c r="O1460" s="451"/>
      <c r="P1460" s="453"/>
    </row>
    <row r="1461" spans="1:16" s="175" customFormat="1" ht="12.75" customHeight="1" x14ac:dyDescent="0.2">
      <c r="A1461" s="188"/>
      <c r="B1461" s="881"/>
      <c r="C1461" s="884"/>
      <c r="D1461" s="884" t="s">
        <v>1088</v>
      </c>
      <c r="E1461" s="655" t="s">
        <v>1221</v>
      </c>
      <c r="F1461" s="645">
        <v>1931850</v>
      </c>
      <c r="G1461" s="562">
        <v>1931850</v>
      </c>
      <c r="H1461" s="645">
        <v>0</v>
      </c>
      <c r="I1461" s="645">
        <v>0</v>
      </c>
      <c r="J1461" s="562">
        <v>0</v>
      </c>
      <c r="K1461" s="645">
        <v>0</v>
      </c>
      <c r="L1461" s="645">
        <v>0</v>
      </c>
      <c r="M1461" s="645">
        <v>0</v>
      </c>
      <c r="N1461" s="645">
        <v>0</v>
      </c>
      <c r="O1461" s="451"/>
      <c r="P1461" s="453"/>
    </row>
    <row r="1462" spans="1:16" s="175" customFormat="1" ht="12.75" customHeight="1" x14ac:dyDescent="0.2">
      <c r="A1462" s="188"/>
      <c r="B1462" s="881"/>
      <c r="C1462" s="677" t="s">
        <v>3638</v>
      </c>
      <c r="D1462" s="677" t="s">
        <v>1717</v>
      </c>
      <c r="E1462" s="655" t="s">
        <v>26</v>
      </c>
      <c r="F1462" s="645">
        <v>12000000</v>
      </c>
      <c r="G1462" s="562">
        <v>12000000</v>
      </c>
      <c r="H1462" s="645">
        <v>0</v>
      </c>
      <c r="I1462" s="645">
        <v>0</v>
      </c>
      <c r="J1462" s="562">
        <v>0</v>
      </c>
      <c r="K1462" s="645">
        <v>0</v>
      </c>
      <c r="L1462" s="645">
        <v>0</v>
      </c>
      <c r="M1462" s="645">
        <v>0</v>
      </c>
      <c r="N1462" s="645">
        <v>0</v>
      </c>
      <c r="O1462" s="451"/>
      <c r="P1462" s="453"/>
    </row>
    <row r="1463" spans="1:16" s="175" customFormat="1" ht="12.75" customHeight="1" x14ac:dyDescent="0.2">
      <c r="A1463" s="188"/>
      <c r="B1463" s="881"/>
      <c r="C1463" s="677" t="s">
        <v>3639</v>
      </c>
      <c r="D1463" s="677" t="s">
        <v>1008</v>
      </c>
      <c r="E1463" s="655" t="s">
        <v>26</v>
      </c>
      <c r="F1463" s="645">
        <v>12000000</v>
      </c>
      <c r="G1463" s="562">
        <v>12000000</v>
      </c>
      <c r="H1463" s="645">
        <v>0</v>
      </c>
      <c r="I1463" s="645">
        <v>0</v>
      </c>
      <c r="J1463" s="562">
        <v>0</v>
      </c>
      <c r="K1463" s="645">
        <v>0</v>
      </c>
      <c r="L1463" s="645">
        <v>0</v>
      </c>
      <c r="M1463" s="645">
        <v>0</v>
      </c>
      <c r="N1463" s="645">
        <v>0</v>
      </c>
      <c r="O1463" s="451"/>
      <c r="P1463" s="453"/>
    </row>
    <row r="1464" spans="1:16" s="175" customFormat="1" ht="12.75" customHeight="1" x14ac:dyDescent="0.2">
      <c r="A1464" s="188"/>
      <c r="B1464" s="881"/>
      <c r="C1464" s="677" t="s">
        <v>4244</v>
      </c>
      <c r="D1464" s="677" t="s">
        <v>1082</v>
      </c>
      <c r="E1464" s="655" t="s">
        <v>26</v>
      </c>
      <c r="F1464" s="645">
        <v>12000000</v>
      </c>
      <c r="G1464" s="562">
        <v>3000000</v>
      </c>
      <c r="H1464" s="645">
        <v>9000000</v>
      </c>
      <c r="I1464" s="645">
        <v>6000000</v>
      </c>
      <c r="J1464" s="562">
        <v>3000000</v>
      </c>
      <c r="K1464" s="645">
        <v>3000000</v>
      </c>
      <c r="L1464" s="645">
        <v>0</v>
      </c>
      <c r="M1464" s="645">
        <v>0</v>
      </c>
      <c r="N1464" s="645">
        <v>0</v>
      </c>
      <c r="O1464" s="451"/>
      <c r="P1464" s="453"/>
    </row>
    <row r="1465" spans="1:16" s="175" customFormat="1" ht="12.75" customHeight="1" x14ac:dyDescent="0.2">
      <c r="A1465" s="188"/>
      <c r="B1465" s="881"/>
      <c r="C1465" s="677" t="s">
        <v>4245</v>
      </c>
      <c r="D1465" s="677" t="s">
        <v>1594</v>
      </c>
      <c r="E1465" s="655" t="s">
        <v>26</v>
      </c>
      <c r="F1465" s="645">
        <v>12000000</v>
      </c>
      <c r="G1465" s="562">
        <v>5000000</v>
      </c>
      <c r="H1465" s="645">
        <v>7000000</v>
      </c>
      <c r="I1465" s="645">
        <v>0</v>
      </c>
      <c r="J1465" s="562">
        <v>7000000</v>
      </c>
      <c r="K1465" s="645">
        <v>0</v>
      </c>
      <c r="L1465" s="645">
        <v>7000000</v>
      </c>
      <c r="M1465" s="645">
        <v>0</v>
      </c>
      <c r="N1465" s="645">
        <v>0</v>
      </c>
      <c r="O1465" s="451"/>
      <c r="P1465" s="453"/>
    </row>
    <row r="1466" spans="1:16" s="175" customFormat="1" ht="12.75" customHeight="1" x14ac:dyDescent="0.2">
      <c r="A1466" s="188"/>
      <c r="B1466" s="881"/>
      <c r="C1466" s="677" t="s">
        <v>4289</v>
      </c>
      <c r="D1466" s="677" t="s">
        <v>3335</v>
      </c>
      <c r="E1466" s="655" t="s">
        <v>26</v>
      </c>
      <c r="F1466" s="645">
        <v>12000000</v>
      </c>
      <c r="G1466" s="562">
        <v>12000000</v>
      </c>
      <c r="H1466" s="645">
        <v>0</v>
      </c>
      <c r="I1466" s="645">
        <v>0</v>
      </c>
      <c r="J1466" s="562">
        <v>0</v>
      </c>
      <c r="K1466" s="645">
        <v>0</v>
      </c>
      <c r="L1466" s="645">
        <v>0</v>
      </c>
      <c r="M1466" s="645">
        <v>0</v>
      </c>
      <c r="N1466" s="645">
        <v>0</v>
      </c>
      <c r="O1466" s="451"/>
      <c r="P1466" s="453"/>
    </row>
    <row r="1467" spans="1:16" s="175" customFormat="1" hidden="1" x14ac:dyDescent="0.2">
      <c r="A1467" s="188"/>
      <c r="B1467" s="580"/>
      <c r="C1467" s="593">
        <f>++'Detalle Inmueble'!U5</f>
        <v>133</v>
      </c>
      <c r="D1467" s="593" t="s">
        <v>1011</v>
      </c>
      <c r="E1467" s="470"/>
      <c r="F1467" s="563">
        <f t="shared" ref="F1467:N1467" si="3">SUBTOTAL(109,F1097:F1466)</f>
        <v>23250472886</v>
      </c>
      <c r="G1467" s="563">
        <f t="shared" si="3"/>
        <v>20659389570</v>
      </c>
      <c r="H1467" s="563">
        <f t="shared" si="3"/>
        <v>2591083316</v>
      </c>
      <c r="I1467" s="563">
        <f t="shared" si="3"/>
        <v>1759496678</v>
      </c>
      <c r="J1467" s="563">
        <f t="shared" si="3"/>
        <v>831586638</v>
      </c>
      <c r="K1467" s="563">
        <f t="shared" si="3"/>
        <v>253999259</v>
      </c>
      <c r="L1467" s="563">
        <f t="shared" si="3"/>
        <v>86768808</v>
      </c>
      <c r="M1467" s="563">
        <f t="shared" si="3"/>
        <v>455693388</v>
      </c>
      <c r="N1467" s="563">
        <f t="shared" si="3"/>
        <v>35125183</v>
      </c>
      <c r="O1467" s="451">
        <f>SUM(O1097:O1099)</f>
        <v>0</v>
      </c>
      <c r="P1467" s="452"/>
    </row>
    <row r="1468" spans="1:16" s="175" customFormat="1" x14ac:dyDescent="0.2">
      <c r="A1468" s="188"/>
      <c r="B1468" s="878" t="s">
        <v>1216</v>
      </c>
      <c r="C1468" s="884" t="s">
        <v>3640</v>
      </c>
      <c r="D1468" s="884" t="s">
        <v>4290</v>
      </c>
      <c r="E1468" s="657" t="s">
        <v>26</v>
      </c>
      <c r="F1468" s="564">
        <v>147859500</v>
      </c>
      <c r="G1468" s="565">
        <v>147859500</v>
      </c>
      <c r="H1468" s="564">
        <v>0</v>
      </c>
      <c r="I1468" s="564">
        <v>0</v>
      </c>
      <c r="J1468" s="565">
        <v>0</v>
      </c>
      <c r="K1468" s="564">
        <v>0</v>
      </c>
      <c r="L1468" s="564">
        <v>0</v>
      </c>
      <c r="M1468" s="564">
        <v>0</v>
      </c>
      <c r="N1468" s="566">
        <v>0</v>
      </c>
      <c r="O1468" s="291"/>
      <c r="P1468" s="453"/>
    </row>
    <row r="1469" spans="1:16" s="175" customFormat="1" hidden="1" x14ac:dyDescent="0.2">
      <c r="A1469" s="188"/>
      <c r="B1469" s="879"/>
      <c r="C1469" s="884"/>
      <c r="D1469" s="884" t="s">
        <v>4290</v>
      </c>
      <c r="E1469" s="658" t="s">
        <v>1557</v>
      </c>
      <c r="F1469" s="645">
        <v>345005500</v>
      </c>
      <c r="G1469" s="562">
        <v>0</v>
      </c>
      <c r="H1469" s="645">
        <v>345005500</v>
      </c>
      <c r="I1469" s="645">
        <v>345005500</v>
      </c>
      <c r="J1469" s="562">
        <v>0</v>
      </c>
      <c r="K1469" s="645">
        <v>0</v>
      </c>
      <c r="L1469" s="645">
        <v>0</v>
      </c>
      <c r="M1469" s="645">
        <v>0</v>
      </c>
      <c r="N1469" s="646">
        <v>0</v>
      </c>
      <c r="O1469" s="291"/>
      <c r="P1469" s="453"/>
    </row>
    <row r="1470" spans="1:16" s="175" customFormat="1" x14ac:dyDescent="0.2">
      <c r="A1470" s="188"/>
      <c r="B1470" s="879"/>
      <c r="C1470" s="884"/>
      <c r="D1470" s="884" t="s">
        <v>4290</v>
      </c>
      <c r="E1470" s="658" t="s">
        <v>195</v>
      </c>
      <c r="F1470" s="645">
        <v>6747982</v>
      </c>
      <c r="G1470" s="562">
        <v>2640500</v>
      </c>
      <c r="H1470" s="645">
        <v>4107482</v>
      </c>
      <c r="I1470" s="645">
        <v>4107482</v>
      </c>
      <c r="J1470" s="562">
        <v>0</v>
      </c>
      <c r="K1470" s="645">
        <v>0</v>
      </c>
      <c r="L1470" s="645">
        <v>0</v>
      </c>
      <c r="M1470" s="645">
        <v>0</v>
      </c>
      <c r="N1470" s="646">
        <v>0</v>
      </c>
      <c r="O1470" s="291"/>
      <c r="P1470" s="453"/>
    </row>
    <row r="1471" spans="1:16" s="175" customFormat="1" x14ac:dyDescent="0.2">
      <c r="A1471" s="188"/>
      <c r="B1471" s="879"/>
      <c r="C1471" s="884" t="s">
        <v>3641</v>
      </c>
      <c r="D1471" s="884" t="s">
        <v>3281</v>
      </c>
      <c r="E1471" s="658" t="s">
        <v>26</v>
      </c>
      <c r="F1471" s="645">
        <v>143062500</v>
      </c>
      <c r="G1471" s="562">
        <v>140500000</v>
      </c>
      <c r="H1471" s="645">
        <v>2562500</v>
      </c>
      <c r="I1471" s="645">
        <v>2062500</v>
      </c>
      <c r="J1471" s="562">
        <v>500000</v>
      </c>
      <c r="K1471" s="645">
        <v>500000</v>
      </c>
      <c r="L1471" s="645">
        <v>0</v>
      </c>
      <c r="M1471" s="645">
        <v>0</v>
      </c>
      <c r="N1471" s="646">
        <v>0</v>
      </c>
      <c r="O1471" s="291"/>
      <c r="P1471" s="453"/>
    </row>
    <row r="1472" spans="1:16" s="175" customFormat="1" hidden="1" x14ac:dyDescent="0.2">
      <c r="A1472" s="188"/>
      <c r="B1472" s="879"/>
      <c r="C1472" s="884"/>
      <c r="D1472" s="884" t="s">
        <v>3281</v>
      </c>
      <c r="E1472" s="658" t="s">
        <v>1557</v>
      </c>
      <c r="F1472" s="645">
        <v>333812500</v>
      </c>
      <c r="G1472" s="562">
        <v>103688647</v>
      </c>
      <c r="H1472" s="645">
        <v>230123853</v>
      </c>
      <c r="I1472" s="645">
        <v>230123853</v>
      </c>
      <c r="J1472" s="562">
        <v>0</v>
      </c>
      <c r="K1472" s="645">
        <v>0</v>
      </c>
      <c r="L1472" s="645">
        <v>0</v>
      </c>
      <c r="M1472" s="645">
        <v>0</v>
      </c>
      <c r="N1472" s="646">
        <v>0</v>
      </c>
      <c r="O1472" s="291"/>
      <c r="P1472" s="453"/>
    </row>
    <row r="1473" spans="1:16" s="175" customFormat="1" x14ac:dyDescent="0.2">
      <c r="A1473" s="188"/>
      <c r="B1473" s="879"/>
      <c r="C1473" s="884"/>
      <c r="D1473" s="884" t="s">
        <v>3281</v>
      </c>
      <c r="E1473" s="658" t="s">
        <v>195</v>
      </c>
      <c r="F1473" s="645">
        <v>1027222</v>
      </c>
      <c r="G1473" s="562">
        <v>1027222</v>
      </c>
      <c r="H1473" s="645">
        <v>0</v>
      </c>
      <c r="I1473" s="645">
        <v>0</v>
      </c>
      <c r="J1473" s="562">
        <v>0</v>
      </c>
      <c r="K1473" s="645">
        <v>0</v>
      </c>
      <c r="L1473" s="645">
        <v>0</v>
      </c>
      <c r="M1473" s="645">
        <v>0</v>
      </c>
      <c r="N1473" s="646">
        <v>0</v>
      </c>
      <c r="O1473" s="291"/>
      <c r="P1473" s="453"/>
    </row>
    <row r="1474" spans="1:16" s="175" customFormat="1" x14ac:dyDescent="0.2">
      <c r="A1474" s="188"/>
      <c r="B1474" s="879"/>
      <c r="C1474" s="884" t="s">
        <v>3642</v>
      </c>
      <c r="D1474" s="884" t="s">
        <v>1469</v>
      </c>
      <c r="E1474" s="658" t="s">
        <v>26</v>
      </c>
      <c r="F1474" s="645">
        <v>130400000</v>
      </c>
      <c r="G1474" s="562">
        <v>124800000</v>
      </c>
      <c r="H1474" s="645">
        <v>5600000</v>
      </c>
      <c r="I1474" s="645">
        <v>5600000</v>
      </c>
      <c r="J1474" s="562">
        <v>0</v>
      </c>
      <c r="K1474" s="645">
        <v>0</v>
      </c>
      <c r="L1474" s="645">
        <v>0</v>
      </c>
      <c r="M1474" s="645">
        <v>0</v>
      </c>
      <c r="N1474" s="646">
        <v>0</v>
      </c>
      <c r="O1474" s="291"/>
      <c r="P1474" s="453"/>
    </row>
    <row r="1475" spans="1:16" s="175" customFormat="1" hidden="1" x14ac:dyDescent="0.2">
      <c r="A1475" s="188"/>
      <c r="B1475" s="879"/>
      <c r="C1475" s="884"/>
      <c r="D1475" s="884" t="s">
        <v>1469</v>
      </c>
      <c r="E1475" s="658" t="s">
        <v>1557</v>
      </c>
      <c r="F1475" s="645">
        <v>265298050</v>
      </c>
      <c r="G1475" s="562">
        <v>0</v>
      </c>
      <c r="H1475" s="645">
        <v>265298050</v>
      </c>
      <c r="I1475" s="645">
        <v>265298050</v>
      </c>
      <c r="J1475" s="562">
        <v>0</v>
      </c>
      <c r="K1475" s="645">
        <v>0</v>
      </c>
      <c r="L1475" s="645">
        <v>0</v>
      </c>
      <c r="M1475" s="645">
        <v>0</v>
      </c>
      <c r="N1475" s="646">
        <v>0</v>
      </c>
      <c r="O1475" s="291"/>
      <c r="P1475" s="453"/>
    </row>
    <row r="1476" spans="1:16" s="175" customFormat="1" x14ac:dyDescent="0.2">
      <c r="A1476" s="188"/>
      <c r="B1476" s="879"/>
      <c r="C1476" s="884" t="s">
        <v>3643</v>
      </c>
      <c r="D1476" s="884" t="s">
        <v>2292</v>
      </c>
      <c r="E1476" s="658" t="s">
        <v>26</v>
      </c>
      <c r="F1476" s="645">
        <v>136463355</v>
      </c>
      <c r="G1476" s="562">
        <v>103017245</v>
      </c>
      <c r="H1476" s="645">
        <v>33446110</v>
      </c>
      <c r="I1476" s="645">
        <v>28513310</v>
      </c>
      <c r="J1476" s="562">
        <v>4932800</v>
      </c>
      <c r="K1476" s="645">
        <v>4932800</v>
      </c>
      <c r="L1476" s="645">
        <v>0</v>
      </c>
      <c r="M1476" s="645">
        <v>0</v>
      </c>
      <c r="N1476" s="646">
        <v>0</v>
      </c>
      <c r="O1476" s="291"/>
      <c r="P1476" s="453"/>
    </row>
    <row r="1477" spans="1:16" s="175" customFormat="1" hidden="1" x14ac:dyDescent="0.2">
      <c r="A1477" s="188"/>
      <c r="B1477" s="879"/>
      <c r="C1477" s="884"/>
      <c r="D1477" s="884" t="s">
        <v>2292</v>
      </c>
      <c r="E1477" s="658" t="s">
        <v>1557</v>
      </c>
      <c r="F1477" s="645">
        <v>322922145</v>
      </c>
      <c r="G1477" s="562">
        <v>0</v>
      </c>
      <c r="H1477" s="645">
        <v>322922145</v>
      </c>
      <c r="I1477" s="645">
        <v>322922145</v>
      </c>
      <c r="J1477" s="562">
        <v>0</v>
      </c>
      <c r="K1477" s="645">
        <v>0</v>
      </c>
      <c r="L1477" s="645">
        <v>0</v>
      </c>
      <c r="M1477" s="645">
        <v>0</v>
      </c>
      <c r="N1477" s="646">
        <v>0</v>
      </c>
      <c r="O1477" s="291"/>
      <c r="P1477" s="453"/>
    </row>
    <row r="1478" spans="1:16" s="175" customFormat="1" x14ac:dyDescent="0.2">
      <c r="A1478" s="188"/>
      <c r="B1478" s="879"/>
      <c r="C1478" s="884"/>
      <c r="D1478" s="884" t="s">
        <v>2292</v>
      </c>
      <c r="E1478" s="658" t="s">
        <v>1221</v>
      </c>
      <c r="F1478" s="645">
        <v>1931850</v>
      </c>
      <c r="G1478" s="562">
        <v>579555</v>
      </c>
      <c r="H1478" s="645">
        <v>1352295</v>
      </c>
      <c r="I1478" s="645">
        <v>1352295</v>
      </c>
      <c r="J1478" s="562">
        <v>0</v>
      </c>
      <c r="K1478" s="645">
        <v>0</v>
      </c>
      <c r="L1478" s="645">
        <v>0</v>
      </c>
      <c r="M1478" s="645">
        <v>0</v>
      </c>
      <c r="N1478" s="646">
        <v>0</v>
      </c>
      <c r="O1478" s="291"/>
      <c r="P1478" s="453"/>
    </row>
    <row r="1479" spans="1:16" s="175" customFormat="1" x14ac:dyDescent="0.2">
      <c r="A1479" s="188"/>
      <c r="B1479" s="879"/>
      <c r="C1479" s="884" t="s">
        <v>3644</v>
      </c>
      <c r="D1479" s="884" t="s">
        <v>1984</v>
      </c>
      <c r="E1479" s="658" t="s">
        <v>26</v>
      </c>
      <c r="F1479" s="645">
        <v>140793555</v>
      </c>
      <c r="G1479" s="562">
        <v>113444846</v>
      </c>
      <c r="H1479" s="645">
        <v>27348709</v>
      </c>
      <c r="I1479" s="645">
        <v>20519029</v>
      </c>
      <c r="J1479" s="562">
        <v>6829680</v>
      </c>
      <c r="K1479" s="645">
        <v>6829680</v>
      </c>
      <c r="L1479" s="645">
        <v>0</v>
      </c>
      <c r="M1479" s="645">
        <v>0</v>
      </c>
      <c r="N1479" s="646">
        <v>0</v>
      </c>
      <c r="O1479" s="291"/>
      <c r="P1479" s="453"/>
    </row>
    <row r="1480" spans="1:16" s="175" customFormat="1" hidden="1" x14ac:dyDescent="0.2">
      <c r="A1480" s="188"/>
      <c r="B1480" s="879"/>
      <c r="C1480" s="884"/>
      <c r="D1480" s="884" t="s">
        <v>1984</v>
      </c>
      <c r="E1480" s="658" t="s">
        <v>1557</v>
      </c>
      <c r="F1480" s="645">
        <v>326586445</v>
      </c>
      <c r="G1480" s="562">
        <v>0</v>
      </c>
      <c r="H1480" s="645">
        <v>326586445</v>
      </c>
      <c r="I1480" s="645">
        <v>326586445</v>
      </c>
      <c r="J1480" s="562">
        <v>0</v>
      </c>
      <c r="K1480" s="645">
        <v>0</v>
      </c>
      <c r="L1480" s="645">
        <v>0</v>
      </c>
      <c r="M1480" s="645">
        <v>0</v>
      </c>
      <c r="N1480" s="646">
        <v>0</v>
      </c>
      <c r="O1480" s="291"/>
      <c r="P1480" s="453"/>
    </row>
    <row r="1481" spans="1:16" s="175" customFormat="1" x14ac:dyDescent="0.2">
      <c r="A1481" s="188"/>
      <c r="B1481" s="879"/>
      <c r="C1481" s="884"/>
      <c r="D1481" s="884" t="s">
        <v>1984</v>
      </c>
      <c r="E1481" s="658" t="s">
        <v>1221</v>
      </c>
      <c r="F1481" s="645">
        <v>1931850</v>
      </c>
      <c r="G1481" s="562">
        <v>0</v>
      </c>
      <c r="H1481" s="645">
        <v>1931850</v>
      </c>
      <c r="I1481" s="645">
        <v>1931850</v>
      </c>
      <c r="J1481" s="562">
        <v>0</v>
      </c>
      <c r="K1481" s="645">
        <v>0</v>
      </c>
      <c r="L1481" s="645">
        <v>0</v>
      </c>
      <c r="M1481" s="645">
        <v>0</v>
      </c>
      <c r="N1481" s="646">
        <v>0</v>
      </c>
      <c r="O1481" s="291"/>
      <c r="P1481" s="453"/>
    </row>
    <row r="1482" spans="1:16" s="175" customFormat="1" x14ac:dyDescent="0.2">
      <c r="A1482" s="188"/>
      <c r="B1482" s="879"/>
      <c r="C1482" s="884" t="s">
        <v>3645</v>
      </c>
      <c r="D1482" s="884" t="s">
        <v>3012</v>
      </c>
      <c r="E1482" s="658" t="s">
        <v>26</v>
      </c>
      <c r="F1482" s="645">
        <v>164699395</v>
      </c>
      <c r="G1482" s="562">
        <v>164699395</v>
      </c>
      <c r="H1482" s="645">
        <v>0</v>
      </c>
      <c r="I1482" s="645">
        <v>0</v>
      </c>
      <c r="J1482" s="562">
        <v>0</v>
      </c>
      <c r="K1482" s="645">
        <v>0</v>
      </c>
      <c r="L1482" s="645">
        <v>0</v>
      </c>
      <c r="M1482" s="645">
        <v>0</v>
      </c>
      <c r="N1482" s="646">
        <v>0</v>
      </c>
      <c r="O1482" s="291"/>
      <c r="P1482" s="453"/>
    </row>
    <row r="1483" spans="1:16" s="175" customFormat="1" hidden="1" x14ac:dyDescent="0.2">
      <c r="A1483" s="188"/>
      <c r="B1483" s="879"/>
      <c r="C1483" s="884"/>
      <c r="D1483" s="884" t="s">
        <v>3012</v>
      </c>
      <c r="E1483" s="658" t="s">
        <v>1557</v>
      </c>
      <c r="F1483" s="645">
        <v>302057387</v>
      </c>
      <c r="G1483" s="562">
        <v>22900446</v>
      </c>
      <c r="H1483" s="645">
        <v>279156941</v>
      </c>
      <c r="I1483" s="645">
        <v>279156941</v>
      </c>
      <c r="J1483" s="562">
        <v>0</v>
      </c>
      <c r="K1483" s="645">
        <v>0</v>
      </c>
      <c r="L1483" s="645">
        <v>0</v>
      </c>
      <c r="M1483" s="645">
        <v>0</v>
      </c>
      <c r="N1483" s="646">
        <v>0</v>
      </c>
      <c r="O1483" s="291"/>
      <c r="P1483" s="453"/>
    </row>
    <row r="1484" spans="1:16" s="175" customFormat="1" x14ac:dyDescent="0.2">
      <c r="A1484" s="188"/>
      <c r="B1484" s="879"/>
      <c r="C1484" s="884"/>
      <c r="D1484" s="884" t="s">
        <v>3012</v>
      </c>
      <c r="E1484" s="658" t="s">
        <v>1221</v>
      </c>
      <c r="F1484" s="645">
        <v>1931850</v>
      </c>
      <c r="G1484" s="562">
        <v>1931850</v>
      </c>
      <c r="H1484" s="645">
        <v>0</v>
      </c>
      <c r="I1484" s="645">
        <v>0</v>
      </c>
      <c r="J1484" s="562">
        <v>0</v>
      </c>
      <c r="K1484" s="645">
        <v>0</v>
      </c>
      <c r="L1484" s="645">
        <v>0</v>
      </c>
      <c r="M1484" s="645">
        <v>0</v>
      </c>
      <c r="N1484" s="646">
        <v>0</v>
      </c>
      <c r="O1484" s="291"/>
      <c r="P1484" s="453"/>
    </row>
    <row r="1485" spans="1:16" s="175" customFormat="1" x14ac:dyDescent="0.2">
      <c r="A1485" s="188"/>
      <c r="B1485" s="879"/>
      <c r="C1485" s="884" t="s">
        <v>3646</v>
      </c>
      <c r="D1485" s="884" t="s">
        <v>1749</v>
      </c>
      <c r="E1485" s="658" t="s">
        <v>26</v>
      </c>
      <c r="F1485" s="645">
        <v>139387200</v>
      </c>
      <c r="G1485" s="562">
        <v>139387200</v>
      </c>
      <c r="H1485" s="645">
        <v>0</v>
      </c>
      <c r="I1485" s="645">
        <v>0</v>
      </c>
      <c r="J1485" s="562">
        <v>0</v>
      </c>
      <c r="K1485" s="645">
        <v>0</v>
      </c>
      <c r="L1485" s="645">
        <v>0</v>
      </c>
      <c r="M1485" s="645">
        <v>0</v>
      </c>
      <c r="N1485" s="646">
        <v>0</v>
      </c>
      <c r="O1485" s="291"/>
      <c r="P1485" s="453"/>
    </row>
    <row r="1486" spans="1:16" s="175" customFormat="1" hidden="1" x14ac:dyDescent="0.2">
      <c r="A1486" s="188"/>
      <c r="B1486" s="879"/>
      <c r="C1486" s="884"/>
      <c r="D1486" s="884" t="s">
        <v>1749</v>
      </c>
      <c r="E1486" s="658" t="s">
        <v>1557</v>
      </c>
      <c r="F1486" s="645">
        <v>312546595</v>
      </c>
      <c r="G1486" s="562">
        <v>0</v>
      </c>
      <c r="H1486" s="645">
        <v>312546595</v>
      </c>
      <c r="I1486" s="645">
        <v>312546595</v>
      </c>
      <c r="J1486" s="562">
        <v>0</v>
      </c>
      <c r="K1486" s="645">
        <v>0</v>
      </c>
      <c r="L1486" s="645">
        <v>0</v>
      </c>
      <c r="M1486" s="645">
        <v>0</v>
      </c>
      <c r="N1486" s="646">
        <v>0</v>
      </c>
      <c r="O1486" s="291"/>
      <c r="P1486" s="453"/>
    </row>
    <row r="1487" spans="1:16" s="175" customFormat="1" x14ac:dyDescent="0.2">
      <c r="A1487" s="188"/>
      <c r="B1487" s="879"/>
      <c r="C1487" s="884" t="s">
        <v>3647</v>
      </c>
      <c r="D1487" s="884" t="s">
        <v>1749</v>
      </c>
      <c r="E1487" s="658" t="s">
        <v>26</v>
      </c>
      <c r="F1487" s="645">
        <v>144860000</v>
      </c>
      <c r="G1487" s="562">
        <v>131374000</v>
      </c>
      <c r="H1487" s="645">
        <v>13486000</v>
      </c>
      <c r="I1487" s="645">
        <v>13486000</v>
      </c>
      <c r="J1487" s="562">
        <v>0</v>
      </c>
      <c r="K1487" s="645">
        <v>0</v>
      </c>
      <c r="L1487" s="645">
        <v>0</v>
      </c>
      <c r="M1487" s="645">
        <v>0</v>
      </c>
      <c r="N1487" s="646">
        <v>0</v>
      </c>
      <c r="O1487" s="291"/>
      <c r="P1487" s="453"/>
    </row>
    <row r="1488" spans="1:16" s="175" customFormat="1" hidden="1" x14ac:dyDescent="0.2">
      <c r="A1488" s="188"/>
      <c r="B1488" s="879"/>
      <c r="C1488" s="884"/>
      <c r="D1488" s="884" t="s">
        <v>1749</v>
      </c>
      <c r="E1488" s="658" t="s">
        <v>1557</v>
      </c>
      <c r="F1488" s="645">
        <v>316927477</v>
      </c>
      <c r="G1488" s="562">
        <v>0</v>
      </c>
      <c r="H1488" s="645">
        <v>316927477</v>
      </c>
      <c r="I1488" s="645">
        <v>316927477</v>
      </c>
      <c r="J1488" s="562">
        <v>0</v>
      </c>
      <c r="K1488" s="645">
        <v>0</v>
      </c>
      <c r="L1488" s="645">
        <v>0</v>
      </c>
      <c r="M1488" s="645">
        <v>0</v>
      </c>
      <c r="N1488" s="646">
        <v>0</v>
      </c>
      <c r="O1488" s="291"/>
      <c r="P1488" s="453"/>
    </row>
    <row r="1489" spans="1:16" s="175" customFormat="1" x14ac:dyDescent="0.2">
      <c r="A1489" s="188"/>
      <c r="B1489" s="879"/>
      <c r="C1489" s="884" t="s">
        <v>3648</v>
      </c>
      <c r="D1489" s="884" t="s">
        <v>3227</v>
      </c>
      <c r="E1489" s="658" t="s">
        <v>26</v>
      </c>
      <c r="F1489" s="645">
        <v>117336000</v>
      </c>
      <c r="G1489" s="562">
        <v>92150223</v>
      </c>
      <c r="H1489" s="645">
        <v>25185777</v>
      </c>
      <c r="I1489" s="645">
        <v>25185777</v>
      </c>
      <c r="J1489" s="562">
        <v>0</v>
      </c>
      <c r="K1489" s="645">
        <v>0</v>
      </c>
      <c r="L1489" s="645">
        <v>0</v>
      </c>
      <c r="M1489" s="645">
        <v>0</v>
      </c>
      <c r="N1489" s="646">
        <v>0</v>
      </c>
      <c r="O1489" s="291"/>
      <c r="P1489" s="453"/>
    </row>
    <row r="1490" spans="1:16" s="175" customFormat="1" hidden="1" x14ac:dyDescent="0.2">
      <c r="A1490" s="188"/>
      <c r="B1490" s="879"/>
      <c r="C1490" s="884"/>
      <c r="D1490" s="884" t="s">
        <v>3227</v>
      </c>
      <c r="E1490" s="658" t="s">
        <v>1557</v>
      </c>
      <c r="F1490" s="645">
        <v>273784000</v>
      </c>
      <c r="G1490" s="562">
        <v>0</v>
      </c>
      <c r="H1490" s="645">
        <v>273784000</v>
      </c>
      <c r="I1490" s="645">
        <v>273784000</v>
      </c>
      <c r="J1490" s="562">
        <v>0</v>
      </c>
      <c r="K1490" s="645">
        <v>0</v>
      </c>
      <c r="L1490" s="645">
        <v>0</v>
      </c>
      <c r="M1490" s="645">
        <v>0</v>
      </c>
      <c r="N1490" s="646">
        <v>0</v>
      </c>
      <c r="O1490" s="291"/>
      <c r="P1490" s="453"/>
    </row>
    <row r="1491" spans="1:16" s="175" customFormat="1" x14ac:dyDescent="0.2">
      <c r="A1491" s="188"/>
      <c r="B1491" s="879"/>
      <c r="C1491" s="884" t="s">
        <v>3649</v>
      </c>
      <c r="D1491" s="884" t="s">
        <v>1562</v>
      </c>
      <c r="E1491" s="658" t="s">
        <v>26</v>
      </c>
      <c r="F1491" s="645">
        <v>138081150</v>
      </c>
      <c r="G1491" s="562">
        <v>123715325</v>
      </c>
      <c r="H1491" s="645">
        <v>14365825</v>
      </c>
      <c r="I1491" s="645">
        <v>14365825</v>
      </c>
      <c r="J1491" s="562">
        <v>0</v>
      </c>
      <c r="K1491" s="645">
        <v>0</v>
      </c>
      <c r="L1491" s="645">
        <v>0</v>
      </c>
      <c r="M1491" s="645">
        <v>0</v>
      </c>
      <c r="N1491" s="646">
        <v>0</v>
      </c>
      <c r="O1491" s="291"/>
      <c r="P1491" s="453"/>
    </row>
    <row r="1492" spans="1:16" s="175" customFormat="1" hidden="1" x14ac:dyDescent="0.2">
      <c r="A1492" s="188"/>
      <c r="B1492" s="879"/>
      <c r="C1492" s="884"/>
      <c r="D1492" s="884" t="s">
        <v>1562</v>
      </c>
      <c r="E1492" s="658" t="s">
        <v>1557</v>
      </c>
      <c r="F1492" s="645">
        <v>322189350</v>
      </c>
      <c r="G1492" s="562">
        <v>0</v>
      </c>
      <c r="H1492" s="645">
        <v>322189350</v>
      </c>
      <c r="I1492" s="645">
        <v>322189350</v>
      </c>
      <c r="J1492" s="562">
        <v>0</v>
      </c>
      <c r="K1492" s="645">
        <v>0</v>
      </c>
      <c r="L1492" s="645">
        <v>0</v>
      </c>
      <c r="M1492" s="645">
        <v>0</v>
      </c>
      <c r="N1492" s="646">
        <v>0</v>
      </c>
      <c r="O1492" s="291"/>
      <c r="P1492" s="453"/>
    </row>
    <row r="1493" spans="1:16" s="175" customFormat="1" x14ac:dyDescent="0.2">
      <c r="A1493" s="188"/>
      <c r="B1493" s="879"/>
      <c r="C1493" s="884" t="s">
        <v>3650</v>
      </c>
      <c r="D1493" s="884" t="s">
        <v>3651</v>
      </c>
      <c r="E1493" s="658" t="s">
        <v>26</v>
      </c>
      <c r="F1493" s="645">
        <v>93736864</v>
      </c>
      <c r="G1493" s="562">
        <v>11717108</v>
      </c>
      <c r="H1493" s="645">
        <v>82019756</v>
      </c>
      <c r="I1493" s="645">
        <v>64444094</v>
      </c>
      <c r="J1493" s="562">
        <v>17575662</v>
      </c>
      <c r="K1493" s="645">
        <v>5858554</v>
      </c>
      <c r="L1493" s="645">
        <v>5858554</v>
      </c>
      <c r="M1493" s="645">
        <v>5858554</v>
      </c>
      <c r="N1493" s="646">
        <v>0</v>
      </c>
      <c r="O1493" s="291"/>
      <c r="P1493" s="453"/>
    </row>
    <row r="1494" spans="1:16" s="175" customFormat="1" x14ac:dyDescent="0.2">
      <c r="A1494" s="188"/>
      <c r="B1494" s="879"/>
      <c r="C1494" s="884"/>
      <c r="D1494" s="884" t="s">
        <v>3651</v>
      </c>
      <c r="E1494" s="658" t="s">
        <v>22</v>
      </c>
      <c r="F1494" s="645">
        <v>80931364</v>
      </c>
      <c r="G1494" s="562">
        <v>4020020</v>
      </c>
      <c r="H1494" s="645">
        <v>76911344</v>
      </c>
      <c r="I1494" s="645">
        <v>73344049</v>
      </c>
      <c r="J1494" s="562">
        <v>3567295</v>
      </c>
      <c r="K1494" s="645">
        <v>1517463</v>
      </c>
      <c r="L1494" s="645">
        <v>1517463</v>
      </c>
      <c r="M1494" s="645">
        <v>532369</v>
      </c>
      <c r="N1494" s="646">
        <v>0</v>
      </c>
      <c r="O1494" s="291"/>
      <c r="P1494" s="453"/>
    </row>
    <row r="1495" spans="1:16" s="175" customFormat="1" hidden="1" x14ac:dyDescent="0.2">
      <c r="A1495" s="188"/>
      <c r="B1495" s="879"/>
      <c r="C1495" s="884"/>
      <c r="D1495" s="884" t="s">
        <v>3651</v>
      </c>
      <c r="E1495" s="658" t="s">
        <v>1557</v>
      </c>
      <c r="F1495" s="645">
        <v>415413136</v>
      </c>
      <c r="G1495" s="562">
        <v>0</v>
      </c>
      <c r="H1495" s="645">
        <v>415413136</v>
      </c>
      <c r="I1495" s="645">
        <v>415413136</v>
      </c>
      <c r="J1495" s="562">
        <v>0</v>
      </c>
      <c r="K1495" s="645">
        <v>0</v>
      </c>
      <c r="L1495" s="645">
        <v>0</v>
      </c>
      <c r="M1495" s="645">
        <v>0</v>
      </c>
      <c r="N1495" s="646">
        <v>0</v>
      </c>
      <c r="O1495" s="291"/>
      <c r="P1495" s="453"/>
    </row>
    <row r="1496" spans="1:16" s="175" customFormat="1" x14ac:dyDescent="0.2">
      <c r="A1496" s="188"/>
      <c r="B1496" s="879"/>
      <c r="C1496" s="884" t="s">
        <v>3652</v>
      </c>
      <c r="D1496" s="884" t="s">
        <v>1433</v>
      </c>
      <c r="E1496" s="658" t="s">
        <v>26</v>
      </c>
      <c r="F1496" s="645">
        <v>136860600</v>
      </c>
      <c r="G1496" s="562">
        <v>124756291</v>
      </c>
      <c r="H1496" s="645">
        <v>12104309</v>
      </c>
      <c r="I1496" s="645">
        <v>8052151</v>
      </c>
      <c r="J1496" s="562">
        <v>4052158</v>
      </c>
      <c r="K1496" s="645">
        <v>4026079</v>
      </c>
      <c r="L1496" s="645">
        <v>26079</v>
      </c>
      <c r="M1496" s="645">
        <v>0</v>
      </c>
      <c r="N1496" s="646">
        <v>0</v>
      </c>
      <c r="O1496" s="291"/>
      <c r="P1496" s="453"/>
    </row>
    <row r="1497" spans="1:16" s="175" customFormat="1" hidden="1" x14ac:dyDescent="0.2">
      <c r="A1497" s="188"/>
      <c r="B1497" s="879"/>
      <c r="C1497" s="884"/>
      <c r="D1497" s="884" t="s">
        <v>1433</v>
      </c>
      <c r="E1497" s="658" t="s">
        <v>1557</v>
      </c>
      <c r="F1497" s="645">
        <v>319341400</v>
      </c>
      <c r="G1497" s="562">
        <v>0</v>
      </c>
      <c r="H1497" s="645">
        <v>319341400</v>
      </c>
      <c r="I1497" s="645">
        <v>319341400</v>
      </c>
      <c r="J1497" s="562">
        <v>0</v>
      </c>
      <c r="K1497" s="645">
        <v>0</v>
      </c>
      <c r="L1497" s="645">
        <v>0</v>
      </c>
      <c r="M1497" s="645">
        <v>0</v>
      </c>
      <c r="N1497" s="646">
        <v>0</v>
      </c>
      <c r="O1497" s="291"/>
      <c r="P1497" s="453"/>
    </row>
    <row r="1498" spans="1:16" s="175" customFormat="1" x14ac:dyDescent="0.2">
      <c r="A1498" s="188"/>
      <c r="B1498" s="879"/>
      <c r="C1498" s="884" t="s">
        <v>3653</v>
      </c>
      <c r="D1498" s="884" t="s">
        <v>1307</v>
      </c>
      <c r="E1498" s="658" t="s">
        <v>26</v>
      </c>
      <c r="F1498" s="645">
        <v>116418000</v>
      </c>
      <c r="G1498" s="562">
        <v>93934404</v>
      </c>
      <c r="H1498" s="645">
        <v>22483596</v>
      </c>
      <c r="I1498" s="645">
        <v>6423881</v>
      </c>
      <c r="J1498" s="562">
        <v>16059715</v>
      </c>
      <c r="K1498" s="645">
        <v>3211943</v>
      </c>
      <c r="L1498" s="645">
        <v>3211943</v>
      </c>
      <c r="M1498" s="645">
        <v>3211943</v>
      </c>
      <c r="N1498" s="646">
        <v>6423886</v>
      </c>
      <c r="O1498" s="291"/>
      <c r="P1498" s="453"/>
    </row>
    <row r="1499" spans="1:16" s="175" customFormat="1" x14ac:dyDescent="0.2">
      <c r="A1499" s="188"/>
      <c r="B1499" s="879"/>
      <c r="C1499" s="884"/>
      <c r="D1499" s="884" t="s">
        <v>1307</v>
      </c>
      <c r="E1499" s="658" t="s">
        <v>22</v>
      </c>
      <c r="F1499" s="645">
        <v>80949512</v>
      </c>
      <c r="G1499" s="562">
        <v>10095378</v>
      </c>
      <c r="H1499" s="645">
        <v>70854134</v>
      </c>
      <c r="I1499" s="645">
        <v>60712132</v>
      </c>
      <c r="J1499" s="562">
        <v>10142002</v>
      </c>
      <c r="K1499" s="645">
        <v>2023738</v>
      </c>
      <c r="L1499" s="645">
        <v>2023738</v>
      </c>
      <c r="M1499" s="645">
        <v>2023738</v>
      </c>
      <c r="N1499" s="646">
        <v>4070788</v>
      </c>
      <c r="O1499" s="291"/>
      <c r="P1499" s="453"/>
    </row>
    <row r="1500" spans="1:16" s="175" customFormat="1" hidden="1" x14ac:dyDescent="0.2">
      <c r="A1500" s="188"/>
      <c r="B1500" s="879"/>
      <c r="C1500" s="884"/>
      <c r="D1500" s="884" t="s">
        <v>1307</v>
      </c>
      <c r="E1500" s="658" t="s">
        <v>1557</v>
      </c>
      <c r="F1500" s="645">
        <v>271642000</v>
      </c>
      <c r="G1500" s="562">
        <v>0</v>
      </c>
      <c r="H1500" s="645">
        <v>271642000</v>
      </c>
      <c r="I1500" s="645">
        <v>271642000</v>
      </c>
      <c r="J1500" s="562">
        <v>0</v>
      </c>
      <c r="K1500" s="645">
        <v>0</v>
      </c>
      <c r="L1500" s="645">
        <v>0</v>
      </c>
      <c r="M1500" s="645">
        <v>0</v>
      </c>
      <c r="N1500" s="646">
        <v>0</v>
      </c>
      <c r="O1500" s="291"/>
      <c r="P1500" s="453"/>
    </row>
    <row r="1501" spans="1:16" s="175" customFormat="1" x14ac:dyDescent="0.2">
      <c r="A1501" s="188"/>
      <c r="B1501" s="879"/>
      <c r="C1501" s="884"/>
      <c r="D1501" s="884" t="s">
        <v>1307</v>
      </c>
      <c r="E1501" s="658" t="s">
        <v>195</v>
      </c>
      <c r="F1501" s="645">
        <v>2752393</v>
      </c>
      <c r="G1501" s="562">
        <v>2752393</v>
      </c>
      <c r="H1501" s="645">
        <v>0</v>
      </c>
      <c r="I1501" s="645">
        <v>0</v>
      </c>
      <c r="J1501" s="562">
        <v>0</v>
      </c>
      <c r="K1501" s="645">
        <v>0</v>
      </c>
      <c r="L1501" s="645">
        <v>0</v>
      </c>
      <c r="M1501" s="645">
        <v>0</v>
      </c>
      <c r="N1501" s="646">
        <v>0</v>
      </c>
      <c r="O1501" s="291"/>
      <c r="P1501" s="453"/>
    </row>
    <row r="1502" spans="1:16" s="175" customFormat="1" x14ac:dyDescent="0.2">
      <c r="A1502" s="188"/>
      <c r="B1502" s="879"/>
      <c r="C1502" s="884" t="s">
        <v>3654</v>
      </c>
      <c r="D1502" s="884" t="s">
        <v>1244</v>
      </c>
      <c r="E1502" s="658" t="s">
        <v>26</v>
      </c>
      <c r="F1502" s="645">
        <v>139775751</v>
      </c>
      <c r="G1502" s="562">
        <v>131124768</v>
      </c>
      <c r="H1502" s="645">
        <v>8650983</v>
      </c>
      <c r="I1502" s="645">
        <v>4799099</v>
      </c>
      <c r="J1502" s="562">
        <v>3851884</v>
      </c>
      <c r="K1502" s="645">
        <v>3851884</v>
      </c>
      <c r="L1502" s="645">
        <v>0</v>
      </c>
      <c r="M1502" s="645">
        <v>0</v>
      </c>
      <c r="N1502" s="646">
        <v>0</v>
      </c>
      <c r="O1502" s="291"/>
      <c r="P1502" s="453"/>
    </row>
    <row r="1503" spans="1:16" s="175" customFormat="1" hidden="1" x14ac:dyDescent="0.2">
      <c r="A1503" s="188"/>
      <c r="B1503" s="879"/>
      <c r="C1503" s="884"/>
      <c r="D1503" s="884" t="s">
        <v>1244</v>
      </c>
      <c r="E1503" s="658" t="s">
        <v>1557</v>
      </c>
      <c r="F1503" s="645">
        <v>311021725</v>
      </c>
      <c r="G1503" s="562">
        <v>0</v>
      </c>
      <c r="H1503" s="645">
        <v>311021725</v>
      </c>
      <c r="I1503" s="645">
        <v>311021725</v>
      </c>
      <c r="J1503" s="562">
        <v>0</v>
      </c>
      <c r="K1503" s="645">
        <v>0</v>
      </c>
      <c r="L1503" s="645">
        <v>0</v>
      </c>
      <c r="M1503" s="645">
        <v>0</v>
      </c>
      <c r="N1503" s="646">
        <v>0</v>
      </c>
      <c r="O1503" s="291"/>
      <c r="P1503" s="453"/>
    </row>
    <row r="1504" spans="1:16" s="175" customFormat="1" x14ac:dyDescent="0.2">
      <c r="A1504" s="188"/>
      <c r="B1504" s="879"/>
      <c r="C1504" s="884"/>
      <c r="D1504" s="884" t="s">
        <v>1244</v>
      </c>
      <c r="E1504" s="658" t="s">
        <v>1221</v>
      </c>
      <c r="F1504" s="645">
        <v>1931850</v>
      </c>
      <c r="G1504" s="562">
        <v>1704570</v>
      </c>
      <c r="H1504" s="645">
        <v>227280</v>
      </c>
      <c r="I1504" s="645">
        <v>113642</v>
      </c>
      <c r="J1504" s="562">
        <v>113638</v>
      </c>
      <c r="K1504" s="645">
        <v>113638</v>
      </c>
      <c r="L1504" s="645">
        <v>0</v>
      </c>
      <c r="M1504" s="645">
        <v>0</v>
      </c>
      <c r="N1504" s="646">
        <v>0</v>
      </c>
      <c r="O1504" s="291"/>
      <c r="P1504" s="453"/>
    </row>
    <row r="1505" spans="1:16" s="175" customFormat="1" x14ac:dyDescent="0.2">
      <c r="A1505" s="188"/>
      <c r="B1505" s="879"/>
      <c r="C1505" s="884" t="s">
        <v>4291</v>
      </c>
      <c r="D1505" s="884" t="s">
        <v>4292</v>
      </c>
      <c r="E1505" s="658" t="s">
        <v>26</v>
      </c>
      <c r="F1505" s="645">
        <v>96856864</v>
      </c>
      <c r="G1505" s="562">
        <v>12096450</v>
      </c>
      <c r="H1505" s="645">
        <v>84760414</v>
      </c>
      <c r="I1505" s="645">
        <v>84760414</v>
      </c>
      <c r="J1505" s="562">
        <v>0</v>
      </c>
      <c r="K1505" s="645">
        <v>0</v>
      </c>
      <c r="L1505" s="645">
        <v>0</v>
      </c>
      <c r="M1505" s="645">
        <v>0</v>
      </c>
      <c r="N1505" s="646">
        <v>0</v>
      </c>
      <c r="O1505" s="291"/>
      <c r="P1505" s="453"/>
    </row>
    <row r="1506" spans="1:16" s="175" customFormat="1" x14ac:dyDescent="0.2">
      <c r="A1506" s="188"/>
      <c r="B1506" s="879"/>
      <c r="C1506" s="884"/>
      <c r="D1506" s="884" t="s">
        <v>4292</v>
      </c>
      <c r="E1506" s="658" t="s">
        <v>22</v>
      </c>
      <c r="F1506" s="645">
        <v>80931364</v>
      </c>
      <c r="G1506" s="562">
        <v>8093136</v>
      </c>
      <c r="H1506" s="645">
        <v>72838228</v>
      </c>
      <c r="I1506" s="645">
        <v>72838228</v>
      </c>
      <c r="J1506" s="562">
        <v>0</v>
      </c>
      <c r="K1506" s="645">
        <v>0</v>
      </c>
      <c r="L1506" s="645">
        <v>0</v>
      </c>
      <c r="M1506" s="645">
        <v>0</v>
      </c>
      <c r="N1506" s="646">
        <v>0</v>
      </c>
      <c r="O1506" s="291"/>
      <c r="P1506" s="453"/>
    </row>
    <row r="1507" spans="1:16" s="175" customFormat="1" hidden="1" x14ac:dyDescent="0.2">
      <c r="A1507" s="188"/>
      <c r="B1507" s="879"/>
      <c r="C1507" s="884"/>
      <c r="D1507" s="884" t="s">
        <v>4292</v>
      </c>
      <c r="E1507" s="658" t="s">
        <v>1557</v>
      </c>
      <c r="F1507" s="645">
        <v>427893136</v>
      </c>
      <c r="G1507" s="562">
        <v>0</v>
      </c>
      <c r="H1507" s="645">
        <v>427893136</v>
      </c>
      <c r="I1507" s="645">
        <v>427893136</v>
      </c>
      <c r="J1507" s="562">
        <v>0</v>
      </c>
      <c r="K1507" s="645">
        <v>0</v>
      </c>
      <c r="L1507" s="645">
        <v>0</v>
      </c>
      <c r="M1507" s="645">
        <v>0</v>
      </c>
      <c r="N1507" s="646">
        <v>0</v>
      </c>
      <c r="O1507" s="291"/>
      <c r="P1507" s="453"/>
    </row>
    <row r="1508" spans="1:16" s="175" customFormat="1" x14ac:dyDescent="0.2">
      <c r="A1508" s="188"/>
      <c r="B1508" s="879"/>
      <c r="C1508" s="884" t="s">
        <v>3655</v>
      </c>
      <c r="D1508" s="884" t="s">
        <v>1530</v>
      </c>
      <c r="E1508" s="658" t="s">
        <v>26</v>
      </c>
      <c r="F1508" s="645">
        <v>117003120</v>
      </c>
      <c r="G1508" s="562">
        <v>117003120</v>
      </c>
      <c r="H1508" s="645">
        <v>0</v>
      </c>
      <c r="I1508" s="645">
        <v>0</v>
      </c>
      <c r="J1508" s="562">
        <v>0</v>
      </c>
      <c r="K1508" s="645">
        <v>0</v>
      </c>
      <c r="L1508" s="645">
        <v>0</v>
      </c>
      <c r="M1508" s="645">
        <v>0</v>
      </c>
      <c r="N1508" s="646">
        <v>0</v>
      </c>
      <c r="O1508" s="291"/>
      <c r="P1508" s="453"/>
    </row>
    <row r="1509" spans="1:16" s="175" customFormat="1" hidden="1" x14ac:dyDescent="0.2">
      <c r="A1509" s="188"/>
      <c r="B1509" s="879"/>
      <c r="C1509" s="884"/>
      <c r="D1509" s="884" t="s">
        <v>1530</v>
      </c>
      <c r="E1509" s="658" t="s">
        <v>1557</v>
      </c>
      <c r="F1509" s="645">
        <v>273007280</v>
      </c>
      <c r="G1509" s="562">
        <v>113646001</v>
      </c>
      <c r="H1509" s="645">
        <v>159361279</v>
      </c>
      <c r="I1509" s="645">
        <v>159361279</v>
      </c>
      <c r="J1509" s="562">
        <v>0</v>
      </c>
      <c r="K1509" s="645">
        <v>0</v>
      </c>
      <c r="L1509" s="645">
        <v>0</v>
      </c>
      <c r="M1509" s="645">
        <v>0</v>
      </c>
      <c r="N1509" s="646">
        <v>0</v>
      </c>
      <c r="O1509" s="291"/>
      <c r="P1509" s="453"/>
    </row>
    <row r="1510" spans="1:16" s="175" customFormat="1" x14ac:dyDescent="0.2">
      <c r="A1510" s="188"/>
      <c r="B1510" s="879"/>
      <c r="C1510" s="884"/>
      <c r="D1510" s="884" t="s">
        <v>1530</v>
      </c>
      <c r="E1510" s="658" t="s">
        <v>195</v>
      </c>
      <c r="F1510" s="645">
        <v>1905256</v>
      </c>
      <c r="G1510" s="562">
        <v>1905256</v>
      </c>
      <c r="H1510" s="645">
        <v>0</v>
      </c>
      <c r="I1510" s="645">
        <v>0</v>
      </c>
      <c r="J1510" s="562">
        <v>0</v>
      </c>
      <c r="K1510" s="645">
        <v>0</v>
      </c>
      <c r="L1510" s="645">
        <v>0</v>
      </c>
      <c r="M1510" s="645">
        <v>0</v>
      </c>
      <c r="N1510" s="646">
        <v>0</v>
      </c>
      <c r="O1510" s="291"/>
      <c r="P1510" s="453"/>
    </row>
    <row r="1511" spans="1:16" s="175" customFormat="1" x14ac:dyDescent="0.2">
      <c r="A1511" s="188"/>
      <c r="B1511" s="879"/>
      <c r="C1511" s="884" t="s">
        <v>3656</v>
      </c>
      <c r="D1511" s="884" t="s">
        <v>1670</v>
      </c>
      <c r="E1511" s="658" t="s">
        <v>26</v>
      </c>
      <c r="F1511" s="645">
        <v>135250456</v>
      </c>
      <c r="G1511" s="562">
        <v>103426496</v>
      </c>
      <c r="H1511" s="645">
        <v>31823960</v>
      </c>
      <c r="I1511" s="645">
        <v>26312608</v>
      </c>
      <c r="J1511" s="562">
        <v>5511352</v>
      </c>
      <c r="K1511" s="645">
        <v>4385436</v>
      </c>
      <c r="L1511" s="645">
        <v>1125916</v>
      </c>
      <c r="M1511" s="645">
        <v>0</v>
      </c>
      <c r="N1511" s="646">
        <v>0</v>
      </c>
      <c r="O1511" s="291"/>
      <c r="P1511" s="453"/>
    </row>
    <row r="1512" spans="1:16" s="175" customFormat="1" hidden="1" x14ac:dyDescent="0.2">
      <c r="A1512" s="188"/>
      <c r="B1512" s="879"/>
      <c r="C1512" s="884"/>
      <c r="D1512" s="884" t="s">
        <v>1670</v>
      </c>
      <c r="E1512" s="658" t="s">
        <v>1557</v>
      </c>
      <c r="F1512" s="645">
        <v>318220700</v>
      </c>
      <c r="G1512" s="562">
        <v>161226</v>
      </c>
      <c r="H1512" s="645">
        <v>318059474</v>
      </c>
      <c r="I1512" s="645">
        <v>318059474</v>
      </c>
      <c r="J1512" s="562">
        <v>0</v>
      </c>
      <c r="K1512" s="645">
        <v>0</v>
      </c>
      <c r="L1512" s="645">
        <v>0</v>
      </c>
      <c r="M1512" s="645">
        <v>0</v>
      </c>
      <c r="N1512" s="646">
        <v>0</v>
      </c>
      <c r="O1512" s="291"/>
      <c r="P1512" s="453"/>
    </row>
    <row r="1513" spans="1:16" s="175" customFormat="1" x14ac:dyDescent="0.2">
      <c r="A1513" s="188"/>
      <c r="B1513" s="879"/>
      <c r="C1513" s="884"/>
      <c r="D1513" s="884" t="s">
        <v>1670</v>
      </c>
      <c r="E1513" s="658" t="s">
        <v>195</v>
      </c>
      <c r="F1513" s="645">
        <v>511654</v>
      </c>
      <c r="G1513" s="562">
        <v>511654</v>
      </c>
      <c r="H1513" s="645">
        <v>0</v>
      </c>
      <c r="I1513" s="645">
        <v>0</v>
      </c>
      <c r="J1513" s="562">
        <v>0</v>
      </c>
      <c r="K1513" s="645">
        <v>0</v>
      </c>
      <c r="L1513" s="645">
        <v>0</v>
      </c>
      <c r="M1513" s="645">
        <v>0</v>
      </c>
      <c r="N1513" s="646">
        <v>0</v>
      </c>
      <c r="O1513" s="291"/>
      <c r="P1513" s="453"/>
    </row>
    <row r="1514" spans="1:16" s="175" customFormat="1" x14ac:dyDescent="0.2">
      <c r="A1514" s="188"/>
      <c r="B1514" s="879"/>
      <c r="C1514" s="884"/>
      <c r="D1514" s="884" t="s">
        <v>1670</v>
      </c>
      <c r="E1514" s="658" t="s">
        <v>1221</v>
      </c>
      <c r="F1514" s="645">
        <v>1931850</v>
      </c>
      <c r="G1514" s="562">
        <v>1931850</v>
      </c>
      <c r="H1514" s="645">
        <v>0</v>
      </c>
      <c r="I1514" s="645">
        <v>0</v>
      </c>
      <c r="J1514" s="562">
        <v>0</v>
      </c>
      <c r="K1514" s="645">
        <v>0</v>
      </c>
      <c r="L1514" s="645">
        <v>0</v>
      </c>
      <c r="M1514" s="645">
        <v>0</v>
      </c>
      <c r="N1514" s="646">
        <v>0</v>
      </c>
      <c r="O1514" s="291"/>
      <c r="P1514" s="453"/>
    </row>
    <row r="1515" spans="1:16" s="175" customFormat="1" x14ac:dyDescent="0.2">
      <c r="A1515" s="188"/>
      <c r="B1515" s="879"/>
      <c r="C1515" s="884" t="s">
        <v>3657</v>
      </c>
      <c r="D1515" s="884" t="s">
        <v>3658</v>
      </c>
      <c r="E1515" s="658" t="s">
        <v>26</v>
      </c>
      <c r="F1515" s="645">
        <v>94968164</v>
      </c>
      <c r="G1515" s="562">
        <v>18993636</v>
      </c>
      <c r="H1515" s="645">
        <v>75974528</v>
      </c>
      <c r="I1515" s="645">
        <v>75974528</v>
      </c>
      <c r="J1515" s="562">
        <v>0</v>
      </c>
      <c r="K1515" s="645">
        <v>0</v>
      </c>
      <c r="L1515" s="645">
        <v>0</v>
      </c>
      <c r="M1515" s="645">
        <v>0</v>
      </c>
      <c r="N1515" s="646">
        <v>0</v>
      </c>
      <c r="O1515" s="291"/>
      <c r="P1515" s="453"/>
    </row>
    <row r="1516" spans="1:16" s="175" customFormat="1" x14ac:dyDescent="0.2">
      <c r="A1516" s="188"/>
      <c r="B1516" s="879"/>
      <c r="C1516" s="884"/>
      <c r="D1516" s="884" t="s">
        <v>3658</v>
      </c>
      <c r="E1516" s="658" t="s">
        <v>22</v>
      </c>
      <c r="F1516" s="645">
        <v>80698355</v>
      </c>
      <c r="G1516" s="562">
        <v>5906364</v>
      </c>
      <c r="H1516" s="645">
        <v>74791991</v>
      </c>
      <c r="I1516" s="645">
        <v>74791991</v>
      </c>
      <c r="J1516" s="562">
        <v>0</v>
      </c>
      <c r="K1516" s="645">
        <v>0</v>
      </c>
      <c r="L1516" s="645">
        <v>0</v>
      </c>
      <c r="M1516" s="645">
        <v>0</v>
      </c>
      <c r="N1516" s="646">
        <v>0</v>
      </c>
      <c r="O1516" s="291"/>
      <c r="P1516" s="453"/>
    </row>
    <row r="1517" spans="1:16" s="175" customFormat="1" hidden="1" x14ac:dyDescent="0.2">
      <c r="A1517" s="188"/>
      <c r="B1517" s="879"/>
      <c r="C1517" s="884"/>
      <c r="D1517" s="884" t="s">
        <v>3658</v>
      </c>
      <c r="E1517" s="658" t="s">
        <v>1557</v>
      </c>
      <c r="F1517" s="645">
        <v>420221836</v>
      </c>
      <c r="G1517" s="562">
        <v>0</v>
      </c>
      <c r="H1517" s="645">
        <v>420221836</v>
      </c>
      <c r="I1517" s="645">
        <v>420221836</v>
      </c>
      <c r="J1517" s="562">
        <v>0</v>
      </c>
      <c r="K1517" s="645">
        <v>0</v>
      </c>
      <c r="L1517" s="645">
        <v>0</v>
      </c>
      <c r="M1517" s="645">
        <v>0</v>
      </c>
      <c r="N1517" s="646">
        <v>0</v>
      </c>
      <c r="O1517" s="291"/>
      <c r="P1517" s="453"/>
    </row>
    <row r="1518" spans="1:16" s="175" customFormat="1" x14ac:dyDescent="0.2">
      <c r="A1518" s="188"/>
      <c r="B1518" s="879"/>
      <c r="C1518" s="884" t="s">
        <v>3659</v>
      </c>
      <c r="D1518" s="884" t="s">
        <v>1531</v>
      </c>
      <c r="E1518" s="658" t="s">
        <v>26</v>
      </c>
      <c r="F1518" s="645">
        <v>117426934</v>
      </c>
      <c r="G1518" s="562">
        <v>106800000</v>
      </c>
      <c r="H1518" s="645">
        <v>10626934</v>
      </c>
      <c r="I1518" s="645">
        <v>8721049</v>
      </c>
      <c r="J1518" s="562">
        <v>1905885</v>
      </c>
      <c r="K1518" s="645">
        <v>1905885</v>
      </c>
      <c r="L1518" s="645">
        <v>0</v>
      </c>
      <c r="M1518" s="645">
        <v>0</v>
      </c>
      <c r="N1518" s="646">
        <v>0</v>
      </c>
      <c r="O1518" s="291"/>
      <c r="P1518" s="453"/>
    </row>
    <row r="1519" spans="1:16" s="175" customFormat="1" hidden="1" x14ac:dyDescent="0.2">
      <c r="A1519" s="188"/>
      <c r="B1519" s="879"/>
      <c r="C1519" s="884"/>
      <c r="D1519" s="884" t="s">
        <v>1531</v>
      </c>
      <c r="E1519" s="658" t="s">
        <v>1557</v>
      </c>
      <c r="F1519" s="645">
        <v>273134850</v>
      </c>
      <c r="G1519" s="562">
        <v>0</v>
      </c>
      <c r="H1519" s="645">
        <v>273134850</v>
      </c>
      <c r="I1519" s="645">
        <v>273134850</v>
      </c>
      <c r="J1519" s="562">
        <v>0</v>
      </c>
      <c r="K1519" s="645">
        <v>0</v>
      </c>
      <c r="L1519" s="645">
        <v>0</v>
      </c>
      <c r="M1519" s="645">
        <v>0</v>
      </c>
      <c r="N1519" s="646">
        <v>0</v>
      </c>
      <c r="O1519" s="291"/>
      <c r="P1519" s="453"/>
    </row>
    <row r="1520" spans="1:16" s="175" customFormat="1" x14ac:dyDescent="0.2">
      <c r="A1520" s="188"/>
      <c r="B1520" s="879"/>
      <c r="C1520" s="884" t="s">
        <v>3660</v>
      </c>
      <c r="D1520" s="884" t="s">
        <v>1576</v>
      </c>
      <c r="E1520" s="658" t="s">
        <v>26</v>
      </c>
      <c r="F1520" s="645">
        <v>139431150</v>
      </c>
      <c r="G1520" s="562">
        <v>119367287</v>
      </c>
      <c r="H1520" s="645">
        <v>20063863</v>
      </c>
      <c r="I1520" s="645">
        <v>15047894</v>
      </c>
      <c r="J1520" s="562">
        <v>5015969</v>
      </c>
      <c r="K1520" s="645">
        <v>5015969</v>
      </c>
      <c r="L1520" s="645">
        <v>0</v>
      </c>
      <c r="M1520" s="645">
        <v>0</v>
      </c>
      <c r="N1520" s="646">
        <v>0</v>
      </c>
      <c r="O1520" s="291"/>
      <c r="P1520" s="453"/>
    </row>
    <row r="1521" spans="1:16" s="175" customFormat="1" hidden="1" x14ac:dyDescent="0.2">
      <c r="A1521" s="188"/>
      <c r="B1521" s="879"/>
      <c r="C1521" s="884"/>
      <c r="D1521" s="884" t="s">
        <v>1576</v>
      </c>
      <c r="E1521" s="658" t="s">
        <v>1557</v>
      </c>
      <c r="F1521" s="645">
        <v>325339350</v>
      </c>
      <c r="G1521" s="562">
        <v>0</v>
      </c>
      <c r="H1521" s="645">
        <v>325339350</v>
      </c>
      <c r="I1521" s="645">
        <v>325339350</v>
      </c>
      <c r="J1521" s="562">
        <v>0</v>
      </c>
      <c r="K1521" s="645">
        <v>0</v>
      </c>
      <c r="L1521" s="645">
        <v>0</v>
      </c>
      <c r="M1521" s="645">
        <v>0</v>
      </c>
      <c r="N1521" s="646">
        <v>0</v>
      </c>
      <c r="O1521" s="291"/>
      <c r="P1521" s="453"/>
    </row>
    <row r="1522" spans="1:16" s="175" customFormat="1" x14ac:dyDescent="0.2">
      <c r="A1522" s="188"/>
      <c r="B1522" s="879"/>
      <c r="C1522" s="884" t="s">
        <v>3661</v>
      </c>
      <c r="D1522" s="884" t="s">
        <v>1575</v>
      </c>
      <c r="E1522" s="658" t="s">
        <v>26</v>
      </c>
      <c r="F1522" s="645">
        <v>139944489</v>
      </c>
      <c r="G1522" s="562">
        <v>139944489</v>
      </c>
      <c r="H1522" s="645">
        <v>0</v>
      </c>
      <c r="I1522" s="645">
        <v>0</v>
      </c>
      <c r="J1522" s="562">
        <v>0</v>
      </c>
      <c r="K1522" s="645">
        <v>0</v>
      </c>
      <c r="L1522" s="645">
        <v>0</v>
      </c>
      <c r="M1522" s="645">
        <v>0</v>
      </c>
      <c r="N1522" s="646">
        <v>0</v>
      </c>
      <c r="O1522" s="291"/>
      <c r="P1522" s="453"/>
    </row>
    <row r="1523" spans="1:16" s="175" customFormat="1" hidden="1" x14ac:dyDescent="0.2">
      <c r="A1523" s="188"/>
      <c r="B1523" s="879"/>
      <c r="C1523" s="884"/>
      <c r="D1523" s="884" t="s">
        <v>1575</v>
      </c>
      <c r="E1523" s="658" t="s">
        <v>1557</v>
      </c>
      <c r="F1523" s="645">
        <v>327334700</v>
      </c>
      <c r="G1523" s="562">
        <v>94889994</v>
      </c>
      <c r="H1523" s="645">
        <v>232444706</v>
      </c>
      <c r="I1523" s="645">
        <v>232444706</v>
      </c>
      <c r="J1523" s="562">
        <v>0</v>
      </c>
      <c r="K1523" s="645">
        <v>0</v>
      </c>
      <c r="L1523" s="645">
        <v>0</v>
      </c>
      <c r="M1523" s="645">
        <v>0</v>
      </c>
      <c r="N1523" s="646">
        <v>0</v>
      </c>
      <c r="O1523" s="291"/>
      <c r="P1523" s="453"/>
    </row>
    <row r="1524" spans="1:16" s="175" customFormat="1" x14ac:dyDescent="0.2">
      <c r="A1524" s="188"/>
      <c r="B1524" s="879"/>
      <c r="C1524" s="884" t="s">
        <v>3662</v>
      </c>
      <c r="D1524" s="884" t="s">
        <v>1614</v>
      </c>
      <c r="E1524" s="658" t="s">
        <v>26</v>
      </c>
      <c r="F1524" s="645">
        <v>118764000</v>
      </c>
      <c r="G1524" s="562">
        <v>109582880</v>
      </c>
      <c r="H1524" s="645">
        <v>9181120</v>
      </c>
      <c r="I1524" s="645">
        <v>9181120</v>
      </c>
      <c r="J1524" s="562">
        <v>0</v>
      </c>
      <c r="K1524" s="645">
        <v>0</v>
      </c>
      <c r="L1524" s="645">
        <v>0</v>
      </c>
      <c r="M1524" s="645">
        <v>0</v>
      </c>
      <c r="N1524" s="646">
        <v>0</v>
      </c>
      <c r="O1524" s="291"/>
      <c r="P1524" s="453"/>
    </row>
    <row r="1525" spans="1:16" s="175" customFormat="1" hidden="1" x14ac:dyDescent="0.2">
      <c r="A1525" s="188"/>
      <c r="B1525" s="879"/>
      <c r="C1525" s="884"/>
      <c r="D1525" s="884" t="s">
        <v>1614</v>
      </c>
      <c r="E1525" s="658" t="s">
        <v>1557</v>
      </c>
      <c r="F1525" s="645">
        <v>277116000</v>
      </c>
      <c r="G1525" s="562">
        <v>0</v>
      </c>
      <c r="H1525" s="645">
        <v>277116000</v>
      </c>
      <c r="I1525" s="645">
        <v>277116000</v>
      </c>
      <c r="J1525" s="562">
        <v>0</v>
      </c>
      <c r="K1525" s="645">
        <v>0</v>
      </c>
      <c r="L1525" s="645">
        <v>0</v>
      </c>
      <c r="M1525" s="645">
        <v>0</v>
      </c>
      <c r="N1525" s="646">
        <v>0</v>
      </c>
      <c r="O1525" s="291"/>
      <c r="P1525" s="453"/>
    </row>
    <row r="1526" spans="1:16" s="175" customFormat="1" x14ac:dyDescent="0.2">
      <c r="A1526" s="188"/>
      <c r="B1526" s="879"/>
      <c r="C1526" s="884" t="s">
        <v>3663</v>
      </c>
      <c r="D1526" s="884" t="s">
        <v>1720</v>
      </c>
      <c r="E1526" s="658" t="s">
        <v>26</v>
      </c>
      <c r="F1526" s="645">
        <v>140140546</v>
      </c>
      <c r="G1526" s="562">
        <v>89168150</v>
      </c>
      <c r="H1526" s="645">
        <v>50972396</v>
      </c>
      <c r="I1526" s="645">
        <v>45640546</v>
      </c>
      <c r="J1526" s="562">
        <v>5331850</v>
      </c>
      <c r="K1526" s="645">
        <v>5331850</v>
      </c>
      <c r="L1526" s="645">
        <v>0</v>
      </c>
      <c r="M1526" s="645">
        <v>0</v>
      </c>
      <c r="N1526" s="646">
        <v>0</v>
      </c>
      <c r="O1526" s="291"/>
      <c r="P1526" s="453"/>
    </row>
    <row r="1527" spans="1:16" s="175" customFormat="1" hidden="1" x14ac:dyDescent="0.2">
      <c r="A1527" s="188"/>
      <c r="B1527" s="879"/>
      <c r="C1527" s="884"/>
      <c r="D1527" s="884" t="s">
        <v>1720</v>
      </c>
      <c r="E1527" s="658" t="s">
        <v>1557</v>
      </c>
      <c r="F1527" s="645">
        <v>318920700</v>
      </c>
      <c r="G1527" s="562">
        <v>0</v>
      </c>
      <c r="H1527" s="645">
        <v>318920700</v>
      </c>
      <c r="I1527" s="645">
        <v>318920700</v>
      </c>
      <c r="J1527" s="562">
        <v>0</v>
      </c>
      <c r="K1527" s="645">
        <v>0</v>
      </c>
      <c r="L1527" s="645">
        <v>0</v>
      </c>
      <c r="M1527" s="645">
        <v>0</v>
      </c>
      <c r="N1527" s="646">
        <v>0</v>
      </c>
      <c r="O1527" s="291"/>
      <c r="P1527" s="453"/>
    </row>
    <row r="1528" spans="1:16" s="175" customFormat="1" x14ac:dyDescent="0.2">
      <c r="A1528" s="188"/>
      <c r="B1528" s="879"/>
      <c r="C1528" s="884"/>
      <c r="D1528" s="884" t="s">
        <v>1720</v>
      </c>
      <c r="E1528" s="658" t="s">
        <v>1221</v>
      </c>
      <c r="F1528" s="645">
        <v>1931850</v>
      </c>
      <c r="G1528" s="562">
        <v>1931850</v>
      </c>
      <c r="H1528" s="645">
        <v>0</v>
      </c>
      <c r="I1528" s="645">
        <v>0</v>
      </c>
      <c r="J1528" s="562">
        <v>0</v>
      </c>
      <c r="K1528" s="645">
        <v>0</v>
      </c>
      <c r="L1528" s="645">
        <v>0</v>
      </c>
      <c r="M1528" s="645">
        <v>0</v>
      </c>
      <c r="N1528" s="646">
        <v>0</v>
      </c>
      <c r="O1528" s="291"/>
      <c r="P1528" s="453"/>
    </row>
    <row r="1529" spans="1:16" s="175" customFormat="1" x14ac:dyDescent="0.2">
      <c r="A1529" s="188"/>
      <c r="B1529" s="879"/>
      <c r="C1529" s="884" t="s">
        <v>3664</v>
      </c>
      <c r="D1529" s="884" t="s">
        <v>2579</v>
      </c>
      <c r="E1529" s="658" t="s">
        <v>26</v>
      </c>
      <c r="F1529" s="645">
        <v>92367720</v>
      </c>
      <c r="G1529" s="562">
        <v>81615673</v>
      </c>
      <c r="H1529" s="645">
        <v>10752047</v>
      </c>
      <c r="I1529" s="645">
        <v>10752047</v>
      </c>
      <c r="J1529" s="562">
        <v>0</v>
      </c>
      <c r="K1529" s="645">
        <v>0</v>
      </c>
      <c r="L1529" s="645">
        <v>0</v>
      </c>
      <c r="M1529" s="645">
        <v>0</v>
      </c>
      <c r="N1529" s="646">
        <v>0</v>
      </c>
      <c r="O1529" s="291"/>
      <c r="P1529" s="453"/>
    </row>
    <row r="1530" spans="1:16" s="175" customFormat="1" hidden="1" x14ac:dyDescent="0.2">
      <c r="A1530" s="188"/>
      <c r="B1530" s="879"/>
      <c r="C1530" s="884"/>
      <c r="D1530" s="884" t="s">
        <v>2579</v>
      </c>
      <c r="E1530" s="658" t="s">
        <v>1557</v>
      </c>
      <c r="F1530" s="645">
        <v>377198280</v>
      </c>
      <c r="G1530" s="562">
        <v>0</v>
      </c>
      <c r="H1530" s="645">
        <v>377198280</v>
      </c>
      <c r="I1530" s="645">
        <v>377198280</v>
      </c>
      <c r="J1530" s="562">
        <v>0</v>
      </c>
      <c r="K1530" s="645">
        <v>0</v>
      </c>
      <c r="L1530" s="645">
        <v>0</v>
      </c>
      <c r="M1530" s="645">
        <v>0</v>
      </c>
      <c r="N1530" s="646">
        <v>0</v>
      </c>
      <c r="O1530" s="291"/>
      <c r="P1530" s="453"/>
    </row>
    <row r="1531" spans="1:16" s="175" customFormat="1" x14ac:dyDescent="0.2">
      <c r="A1531" s="188"/>
      <c r="B1531" s="879"/>
      <c r="C1531" s="884"/>
      <c r="D1531" s="884" t="s">
        <v>2579</v>
      </c>
      <c r="E1531" s="658" t="s">
        <v>1221</v>
      </c>
      <c r="F1531" s="645">
        <v>1931850</v>
      </c>
      <c r="G1531" s="562">
        <v>643950</v>
      </c>
      <c r="H1531" s="645">
        <v>1287900</v>
      </c>
      <c r="I1531" s="645">
        <v>1287900</v>
      </c>
      <c r="J1531" s="562">
        <v>0</v>
      </c>
      <c r="K1531" s="645">
        <v>0</v>
      </c>
      <c r="L1531" s="645">
        <v>0</v>
      </c>
      <c r="M1531" s="645">
        <v>0</v>
      </c>
      <c r="N1531" s="646">
        <v>0</v>
      </c>
      <c r="O1531" s="291"/>
      <c r="P1531" s="453"/>
    </row>
    <row r="1532" spans="1:16" s="175" customFormat="1" x14ac:dyDescent="0.2">
      <c r="A1532" s="188"/>
      <c r="B1532" s="879"/>
      <c r="C1532" s="884" t="s">
        <v>3665</v>
      </c>
      <c r="D1532" s="884" t="s">
        <v>1380</v>
      </c>
      <c r="E1532" s="658" t="s">
        <v>26</v>
      </c>
      <c r="F1532" s="645">
        <v>117018000</v>
      </c>
      <c r="G1532" s="562">
        <v>117018000</v>
      </c>
      <c r="H1532" s="645">
        <v>0</v>
      </c>
      <c r="I1532" s="645">
        <v>0</v>
      </c>
      <c r="J1532" s="562">
        <v>0</v>
      </c>
      <c r="K1532" s="645">
        <v>0</v>
      </c>
      <c r="L1532" s="645">
        <v>0</v>
      </c>
      <c r="M1532" s="645">
        <v>0</v>
      </c>
      <c r="N1532" s="646">
        <v>0</v>
      </c>
      <c r="O1532" s="291"/>
      <c r="P1532" s="453"/>
    </row>
    <row r="1533" spans="1:16" s="175" customFormat="1" hidden="1" x14ac:dyDescent="0.2">
      <c r="A1533" s="188"/>
      <c r="B1533" s="879"/>
      <c r="C1533" s="884"/>
      <c r="D1533" s="884" t="s">
        <v>1380</v>
      </c>
      <c r="E1533" s="658" t="s">
        <v>1557</v>
      </c>
      <c r="F1533" s="645">
        <v>273042000</v>
      </c>
      <c r="G1533" s="562">
        <v>31484419</v>
      </c>
      <c r="H1533" s="645">
        <v>241557581</v>
      </c>
      <c r="I1533" s="645">
        <v>241557581</v>
      </c>
      <c r="J1533" s="562">
        <v>0</v>
      </c>
      <c r="K1533" s="645">
        <v>0</v>
      </c>
      <c r="L1533" s="645">
        <v>0</v>
      </c>
      <c r="M1533" s="645">
        <v>0</v>
      </c>
      <c r="N1533" s="646">
        <v>0</v>
      </c>
      <c r="O1533" s="291"/>
      <c r="P1533" s="453"/>
    </row>
    <row r="1534" spans="1:16" s="175" customFormat="1" x14ac:dyDescent="0.2">
      <c r="A1534" s="188"/>
      <c r="B1534" s="879"/>
      <c r="C1534" s="884" t="s">
        <v>3666</v>
      </c>
      <c r="D1534" s="884" t="s">
        <v>1629</v>
      </c>
      <c r="E1534" s="658" t="s">
        <v>26</v>
      </c>
      <c r="F1534" s="645">
        <v>145972825</v>
      </c>
      <c r="G1534" s="562">
        <v>103869534</v>
      </c>
      <c r="H1534" s="645">
        <v>42103291</v>
      </c>
      <c r="I1534" s="645">
        <v>27783497</v>
      </c>
      <c r="J1534" s="562">
        <v>14319794</v>
      </c>
      <c r="K1534" s="645">
        <v>9261166</v>
      </c>
      <c r="L1534" s="645">
        <v>5058628</v>
      </c>
      <c r="M1534" s="645">
        <v>0</v>
      </c>
      <c r="N1534" s="646">
        <v>0</v>
      </c>
      <c r="O1534" s="291"/>
      <c r="P1534" s="453"/>
    </row>
    <row r="1535" spans="1:16" s="175" customFormat="1" hidden="1" x14ac:dyDescent="0.2">
      <c r="A1535" s="188"/>
      <c r="B1535" s="879"/>
      <c r="C1535" s="884"/>
      <c r="D1535" s="884" t="s">
        <v>1629</v>
      </c>
      <c r="E1535" s="658" t="s">
        <v>1557</v>
      </c>
      <c r="F1535" s="645">
        <v>330788895</v>
      </c>
      <c r="G1535" s="562">
        <v>0</v>
      </c>
      <c r="H1535" s="645">
        <v>330788895</v>
      </c>
      <c r="I1535" s="645">
        <v>330788895</v>
      </c>
      <c r="J1535" s="562">
        <v>0</v>
      </c>
      <c r="K1535" s="645">
        <v>0</v>
      </c>
      <c r="L1535" s="645">
        <v>0</v>
      </c>
      <c r="M1535" s="645">
        <v>0</v>
      </c>
      <c r="N1535" s="646">
        <v>0</v>
      </c>
      <c r="O1535" s="291"/>
      <c r="P1535" s="453"/>
    </row>
    <row r="1536" spans="1:16" s="175" customFormat="1" x14ac:dyDescent="0.2">
      <c r="A1536" s="188"/>
      <c r="B1536" s="879"/>
      <c r="C1536" s="884"/>
      <c r="D1536" s="884" t="s">
        <v>1629</v>
      </c>
      <c r="E1536" s="664" t="s">
        <v>195</v>
      </c>
      <c r="F1536" s="660">
        <v>4230466</v>
      </c>
      <c r="G1536" s="661">
        <v>4230466</v>
      </c>
      <c r="H1536" s="660">
        <v>0</v>
      </c>
      <c r="I1536" s="660">
        <v>0</v>
      </c>
      <c r="J1536" s="661">
        <v>0</v>
      </c>
      <c r="K1536" s="660">
        <v>0</v>
      </c>
      <c r="L1536" s="660">
        <v>0</v>
      </c>
      <c r="M1536" s="660">
        <v>0</v>
      </c>
      <c r="N1536" s="665">
        <v>0</v>
      </c>
      <c r="O1536" s="291"/>
      <c r="P1536" s="453"/>
    </row>
    <row r="1537" spans="1:16" s="175" customFormat="1" x14ac:dyDescent="0.2">
      <c r="A1537" s="188"/>
      <c r="B1537" s="879"/>
      <c r="C1537" s="884"/>
      <c r="D1537" s="884" t="s">
        <v>1629</v>
      </c>
      <c r="E1537" s="664" t="s">
        <v>1221</v>
      </c>
      <c r="F1537" s="660">
        <v>1931850</v>
      </c>
      <c r="G1537" s="661">
        <v>0</v>
      </c>
      <c r="H1537" s="660">
        <v>1931850</v>
      </c>
      <c r="I1537" s="660">
        <v>1931850</v>
      </c>
      <c r="J1537" s="661">
        <v>0</v>
      </c>
      <c r="K1537" s="660">
        <v>0</v>
      </c>
      <c r="L1537" s="660">
        <v>0</v>
      </c>
      <c r="M1537" s="660">
        <v>0</v>
      </c>
      <c r="N1537" s="665">
        <v>0</v>
      </c>
      <c r="O1537" s="291"/>
      <c r="P1537" s="453"/>
    </row>
    <row r="1538" spans="1:16" s="175" customFormat="1" x14ac:dyDescent="0.2">
      <c r="A1538" s="188"/>
      <c r="B1538" s="879"/>
      <c r="C1538" s="884" t="s">
        <v>3667</v>
      </c>
      <c r="D1538" s="884" t="s">
        <v>1470</v>
      </c>
      <c r="E1538" s="664" t="s">
        <v>26</v>
      </c>
      <c r="F1538" s="660">
        <v>136712070</v>
      </c>
      <c r="G1538" s="661">
        <v>123868980</v>
      </c>
      <c r="H1538" s="660">
        <v>12843090</v>
      </c>
      <c r="I1538" s="660">
        <v>8562055</v>
      </c>
      <c r="J1538" s="661">
        <v>4281035</v>
      </c>
      <c r="K1538" s="660">
        <v>4281035</v>
      </c>
      <c r="L1538" s="660">
        <v>0</v>
      </c>
      <c r="M1538" s="660">
        <v>0</v>
      </c>
      <c r="N1538" s="665">
        <v>0</v>
      </c>
      <c r="O1538" s="291"/>
      <c r="P1538" s="453"/>
    </row>
    <row r="1539" spans="1:16" s="175" customFormat="1" hidden="1" x14ac:dyDescent="0.2">
      <c r="A1539" s="188"/>
      <c r="B1539" s="879"/>
      <c r="C1539" s="884"/>
      <c r="D1539" s="884" t="s">
        <v>1470</v>
      </c>
      <c r="E1539" s="664" t="s">
        <v>1557</v>
      </c>
      <c r="F1539" s="660">
        <v>318994830</v>
      </c>
      <c r="G1539" s="661">
        <v>0</v>
      </c>
      <c r="H1539" s="660">
        <v>318994830</v>
      </c>
      <c r="I1539" s="660">
        <v>318994830</v>
      </c>
      <c r="J1539" s="661">
        <v>0</v>
      </c>
      <c r="K1539" s="660">
        <v>0</v>
      </c>
      <c r="L1539" s="660">
        <v>0</v>
      </c>
      <c r="M1539" s="660">
        <v>0</v>
      </c>
      <c r="N1539" s="665">
        <v>0</v>
      </c>
      <c r="O1539" s="291"/>
      <c r="P1539" s="453"/>
    </row>
    <row r="1540" spans="1:16" s="175" customFormat="1" x14ac:dyDescent="0.2">
      <c r="A1540" s="188"/>
      <c r="B1540" s="879"/>
      <c r="C1540" s="884"/>
      <c r="D1540" s="884" t="s">
        <v>1470</v>
      </c>
      <c r="E1540" s="664" t="s">
        <v>1221</v>
      </c>
      <c r="F1540" s="660">
        <v>1931850</v>
      </c>
      <c r="G1540" s="661">
        <v>1931850</v>
      </c>
      <c r="H1540" s="660">
        <v>0</v>
      </c>
      <c r="I1540" s="660">
        <v>0</v>
      </c>
      <c r="J1540" s="661">
        <v>0</v>
      </c>
      <c r="K1540" s="660">
        <v>0</v>
      </c>
      <c r="L1540" s="660">
        <v>0</v>
      </c>
      <c r="M1540" s="660">
        <v>0</v>
      </c>
      <c r="N1540" s="665">
        <v>0</v>
      </c>
      <c r="O1540" s="291"/>
      <c r="P1540" s="453"/>
    </row>
    <row r="1541" spans="1:16" s="175" customFormat="1" x14ac:dyDescent="0.2">
      <c r="A1541" s="188"/>
      <c r="B1541" s="879"/>
      <c r="C1541" s="884" t="s">
        <v>3668</v>
      </c>
      <c r="D1541" s="884" t="s">
        <v>1434</v>
      </c>
      <c r="E1541" s="664" t="s">
        <v>26</v>
      </c>
      <c r="F1541" s="660">
        <v>137610600</v>
      </c>
      <c r="G1541" s="661">
        <v>131500000</v>
      </c>
      <c r="H1541" s="660">
        <v>6110600</v>
      </c>
      <c r="I1541" s="660">
        <v>6110600</v>
      </c>
      <c r="J1541" s="661">
        <v>0</v>
      </c>
      <c r="K1541" s="660">
        <v>0</v>
      </c>
      <c r="L1541" s="660">
        <v>0</v>
      </c>
      <c r="M1541" s="660">
        <v>0</v>
      </c>
      <c r="N1541" s="665">
        <v>0</v>
      </c>
      <c r="O1541" s="291"/>
      <c r="P1541" s="453"/>
    </row>
    <row r="1542" spans="1:16" s="175" customFormat="1" hidden="1" x14ac:dyDescent="0.2">
      <c r="A1542" s="188"/>
      <c r="B1542" s="879"/>
      <c r="C1542" s="884"/>
      <c r="D1542" s="884" t="s">
        <v>1434</v>
      </c>
      <c r="E1542" s="664" t="s">
        <v>1557</v>
      </c>
      <c r="F1542" s="660">
        <v>321091400</v>
      </c>
      <c r="G1542" s="661">
        <v>0</v>
      </c>
      <c r="H1542" s="660">
        <v>321091400</v>
      </c>
      <c r="I1542" s="660">
        <v>321091400</v>
      </c>
      <c r="J1542" s="661">
        <v>0</v>
      </c>
      <c r="K1542" s="660">
        <v>0</v>
      </c>
      <c r="L1542" s="660">
        <v>0</v>
      </c>
      <c r="M1542" s="660">
        <v>0</v>
      </c>
      <c r="N1542" s="665">
        <v>0</v>
      </c>
      <c r="O1542" s="291"/>
      <c r="P1542" s="453"/>
    </row>
    <row r="1543" spans="1:16" s="175" customFormat="1" x14ac:dyDescent="0.2">
      <c r="A1543" s="188"/>
      <c r="B1543" s="879"/>
      <c r="C1543" s="884" t="s">
        <v>3669</v>
      </c>
      <c r="D1543" s="884" t="s">
        <v>1245</v>
      </c>
      <c r="E1543" s="664" t="s">
        <v>26</v>
      </c>
      <c r="F1543" s="660">
        <v>116100000</v>
      </c>
      <c r="G1543" s="661">
        <v>112897140</v>
      </c>
      <c r="H1543" s="660">
        <v>3202860</v>
      </c>
      <c r="I1543" s="660">
        <v>3202860</v>
      </c>
      <c r="J1543" s="661">
        <v>0</v>
      </c>
      <c r="K1543" s="660">
        <v>0</v>
      </c>
      <c r="L1543" s="660">
        <v>0</v>
      </c>
      <c r="M1543" s="660">
        <v>0</v>
      </c>
      <c r="N1543" s="665">
        <v>0</v>
      </c>
      <c r="O1543" s="291"/>
      <c r="P1543" s="453"/>
    </row>
    <row r="1544" spans="1:16" s="175" customFormat="1" x14ac:dyDescent="0.2">
      <c r="A1544" s="188"/>
      <c r="B1544" s="879"/>
      <c r="C1544" s="884"/>
      <c r="D1544" s="884" t="s">
        <v>1245</v>
      </c>
      <c r="E1544" s="664" t="s">
        <v>22</v>
      </c>
      <c r="F1544" s="660">
        <v>80949512</v>
      </c>
      <c r="G1544" s="661">
        <v>23601717</v>
      </c>
      <c r="H1544" s="660">
        <v>57347795</v>
      </c>
      <c r="I1544" s="660">
        <v>57347795</v>
      </c>
      <c r="J1544" s="661">
        <v>0</v>
      </c>
      <c r="K1544" s="660">
        <v>0</v>
      </c>
      <c r="L1544" s="660">
        <v>0</v>
      </c>
      <c r="M1544" s="660">
        <v>0</v>
      </c>
      <c r="N1544" s="665">
        <v>0</v>
      </c>
      <c r="O1544" s="291"/>
      <c r="P1544" s="453"/>
    </row>
    <row r="1545" spans="1:16" s="175" customFormat="1" hidden="1" x14ac:dyDescent="0.2">
      <c r="A1545" s="188"/>
      <c r="B1545" s="879"/>
      <c r="C1545" s="884"/>
      <c r="D1545" s="884" t="s">
        <v>1245</v>
      </c>
      <c r="E1545" s="664" t="s">
        <v>1557</v>
      </c>
      <c r="F1545" s="660">
        <v>270900000</v>
      </c>
      <c r="G1545" s="661">
        <v>227625</v>
      </c>
      <c r="H1545" s="660">
        <v>270672375</v>
      </c>
      <c r="I1545" s="660">
        <v>270672375</v>
      </c>
      <c r="J1545" s="661">
        <v>0</v>
      </c>
      <c r="K1545" s="660">
        <v>0</v>
      </c>
      <c r="L1545" s="660">
        <v>0</v>
      </c>
      <c r="M1545" s="660">
        <v>0</v>
      </c>
      <c r="N1545" s="665">
        <v>0</v>
      </c>
      <c r="O1545" s="291"/>
      <c r="P1545" s="453"/>
    </row>
    <row r="1546" spans="1:16" s="175" customFormat="1" x14ac:dyDescent="0.2">
      <c r="A1546" s="188"/>
      <c r="B1546" s="879"/>
      <c r="C1546" s="884" t="s">
        <v>3670</v>
      </c>
      <c r="D1546" s="884" t="s">
        <v>1577</v>
      </c>
      <c r="E1546" s="664" t="s">
        <v>26</v>
      </c>
      <c r="F1546" s="660">
        <v>139881150</v>
      </c>
      <c r="G1546" s="661">
        <v>124783240</v>
      </c>
      <c r="H1546" s="660">
        <v>15097910</v>
      </c>
      <c r="I1546" s="660">
        <v>15097910</v>
      </c>
      <c r="J1546" s="661">
        <v>0</v>
      </c>
      <c r="K1546" s="660">
        <v>0</v>
      </c>
      <c r="L1546" s="660">
        <v>0</v>
      </c>
      <c r="M1546" s="660">
        <v>0</v>
      </c>
      <c r="N1546" s="665">
        <v>0</v>
      </c>
      <c r="O1546" s="291"/>
      <c r="P1546" s="453"/>
    </row>
    <row r="1547" spans="1:16" s="175" customFormat="1" hidden="1" x14ac:dyDescent="0.2">
      <c r="A1547" s="188"/>
      <c r="B1547" s="879"/>
      <c r="C1547" s="884"/>
      <c r="D1547" s="884" t="s">
        <v>1577</v>
      </c>
      <c r="E1547" s="664" t="s">
        <v>1557</v>
      </c>
      <c r="F1547" s="660">
        <v>326389350</v>
      </c>
      <c r="G1547" s="661">
        <v>0</v>
      </c>
      <c r="H1547" s="660">
        <v>326389350</v>
      </c>
      <c r="I1547" s="660">
        <v>326389350</v>
      </c>
      <c r="J1547" s="661">
        <v>0</v>
      </c>
      <c r="K1547" s="660">
        <v>0</v>
      </c>
      <c r="L1547" s="660">
        <v>0</v>
      </c>
      <c r="M1547" s="660">
        <v>0</v>
      </c>
      <c r="N1547" s="665">
        <v>0</v>
      </c>
      <c r="O1547" s="291"/>
      <c r="P1547" s="453"/>
    </row>
    <row r="1548" spans="1:16" s="175" customFormat="1" x14ac:dyDescent="0.2">
      <c r="A1548" s="188"/>
      <c r="B1548" s="879"/>
      <c r="C1548" s="884" t="s">
        <v>4246</v>
      </c>
      <c r="D1548" s="884" t="s">
        <v>4247</v>
      </c>
      <c r="E1548" s="664" t="s">
        <v>26</v>
      </c>
      <c r="F1548" s="660">
        <v>95091864</v>
      </c>
      <c r="G1548" s="661">
        <v>31906864</v>
      </c>
      <c r="H1548" s="660">
        <v>63185000</v>
      </c>
      <c r="I1548" s="660">
        <v>63185000</v>
      </c>
      <c r="J1548" s="661">
        <v>0</v>
      </c>
      <c r="K1548" s="660">
        <v>0</v>
      </c>
      <c r="L1548" s="660">
        <v>0</v>
      </c>
      <c r="M1548" s="660">
        <v>0</v>
      </c>
      <c r="N1548" s="665">
        <v>0</v>
      </c>
      <c r="O1548" s="291"/>
      <c r="P1548" s="453"/>
    </row>
    <row r="1549" spans="1:16" s="175" customFormat="1" x14ac:dyDescent="0.2">
      <c r="A1549" s="188"/>
      <c r="B1549" s="879"/>
      <c r="C1549" s="884"/>
      <c r="D1549" s="884" t="s">
        <v>4247</v>
      </c>
      <c r="E1549" s="664" t="s">
        <v>22</v>
      </c>
      <c r="F1549" s="660">
        <v>80931364</v>
      </c>
      <c r="G1549" s="661">
        <v>8093136</v>
      </c>
      <c r="H1549" s="660">
        <v>72838228</v>
      </c>
      <c r="I1549" s="660">
        <v>72838228</v>
      </c>
      <c r="J1549" s="661">
        <v>0</v>
      </c>
      <c r="K1549" s="660">
        <v>0</v>
      </c>
      <c r="L1549" s="660">
        <v>0</v>
      </c>
      <c r="M1549" s="660">
        <v>0</v>
      </c>
      <c r="N1549" s="665">
        <v>0</v>
      </c>
      <c r="O1549" s="291"/>
      <c r="P1549" s="453"/>
    </row>
    <row r="1550" spans="1:16" s="175" customFormat="1" hidden="1" x14ac:dyDescent="0.2">
      <c r="A1550" s="188"/>
      <c r="B1550" s="879"/>
      <c r="C1550" s="884"/>
      <c r="D1550" s="884" t="s">
        <v>4247</v>
      </c>
      <c r="E1550" s="664" t="s">
        <v>1557</v>
      </c>
      <c r="F1550" s="660">
        <v>420833136</v>
      </c>
      <c r="G1550" s="661">
        <v>257667</v>
      </c>
      <c r="H1550" s="660">
        <v>420575469</v>
      </c>
      <c r="I1550" s="660">
        <v>420575469</v>
      </c>
      <c r="J1550" s="661">
        <v>0</v>
      </c>
      <c r="K1550" s="660">
        <v>0</v>
      </c>
      <c r="L1550" s="660">
        <v>0</v>
      </c>
      <c r="M1550" s="660">
        <v>0</v>
      </c>
      <c r="N1550" s="665">
        <v>0</v>
      </c>
      <c r="O1550" s="291"/>
      <c r="P1550" s="453"/>
    </row>
    <row r="1551" spans="1:16" s="175" customFormat="1" x14ac:dyDescent="0.2">
      <c r="A1551" s="188"/>
      <c r="B1551" s="879"/>
      <c r="C1551" s="884" t="s">
        <v>3671</v>
      </c>
      <c r="D1551" s="884" t="s">
        <v>1615</v>
      </c>
      <c r="E1551" s="664" t="s">
        <v>26</v>
      </c>
      <c r="F1551" s="660">
        <v>119814000</v>
      </c>
      <c r="G1551" s="661">
        <v>105337243</v>
      </c>
      <c r="H1551" s="660">
        <v>14476757</v>
      </c>
      <c r="I1551" s="660">
        <v>9651174</v>
      </c>
      <c r="J1551" s="661">
        <v>4825583</v>
      </c>
      <c r="K1551" s="660">
        <v>4825583</v>
      </c>
      <c r="L1551" s="660">
        <v>0</v>
      </c>
      <c r="M1551" s="660">
        <v>0</v>
      </c>
      <c r="N1551" s="665">
        <v>0</v>
      </c>
      <c r="O1551" s="291"/>
      <c r="P1551" s="453"/>
    </row>
    <row r="1552" spans="1:16" s="175" customFormat="1" hidden="1" x14ac:dyDescent="0.2">
      <c r="A1552" s="188"/>
      <c r="B1552" s="879"/>
      <c r="C1552" s="884"/>
      <c r="D1552" s="884" t="s">
        <v>1615</v>
      </c>
      <c r="E1552" s="664" t="s">
        <v>1557</v>
      </c>
      <c r="F1552" s="660">
        <v>279566000</v>
      </c>
      <c r="G1552" s="661">
        <v>0</v>
      </c>
      <c r="H1552" s="660">
        <v>279566000</v>
      </c>
      <c r="I1552" s="660">
        <v>279566000</v>
      </c>
      <c r="J1552" s="661">
        <v>0</v>
      </c>
      <c r="K1552" s="660">
        <v>0</v>
      </c>
      <c r="L1552" s="660">
        <v>0</v>
      </c>
      <c r="M1552" s="660">
        <v>0</v>
      </c>
      <c r="N1552" s="665">
        <v>0</v>
      </c>
      <c r="O1552" s="291"/>
      <c r="P1552" s="453"/>
    </row>
    <row r="1553" spans="1:16" s="175" customFormat="1" x14ac:dyDescent="0.2">
      <c r="A1553" s="188"/>
      <c r="B1553" s="879"/>
      <c r="C1553" s="884" t="s">
        <v>3672</v>
      </c>
      <c r="D1553" s="884" t="s">
        <v>1721</v>
      </c>
      <c r="E1553" s="664" t="s">
        <v>26</v>
      </c>
      <c r="F1553" s="660">
        <v>141630300</v>
      </c>
      <c r="G1553" s="661">
        <v>102644137</v>
      </c>
      <c r="H1553" s="660">
        <v>38986163</v>
      </c>
      <c r="I1553" s="660">
        <v>37054313</v>
      </c>
      <c r="J1553" s="661">
        <v>1931850</v>
      </c>
      <c r="K1553" s="660">
        <v>1931850</v>
      </c>
      <c r="L1553" s="660">
        <v>0</v>
      </c>
      <c r="M1553" s="660">
        <v>0</v>
      </c>
      <c r="N1553" s="665">
        <v>0</v>
      </c>
      <c r="O1553" s="291"/>
      <c r="P1553" s="453"/>
    </row>
    <row r="1554" spans="1:16" s="175" customFormat="1" hidden="1" x14ac:dyDescent="0.2">
      <c r="A1554" s="188"/>
      <c r="B1554" s="879"/>
      <c r="C1554" s="884"/>
      <c r="D1554" s="884" t="s">
        <v>1721</v>
      </c>
      <c r="E1554" s="664" t="s">
        <v>1557</v>
      </c>
      <c r="F1554" s="660">
        <v>330470700</v>
      </c>
      <c r="G1554" s="661">
        <v>0</v>
      </c>
      <c r="H1554" s="660">
        <v>330470700</v>
      </c>
      <c r="I1554" s="660">
        <v>330470700</v>
      </c>
      <c r="J1554" s="661">
        <v>0</v>
      </c>
      <c r="K1554" s="660">
        <v>0</v>
      </c>
      <c r="L1554" s="660">
        <v>0</v>
      </c>
      <c r="M1554" s="660">
        <v>0</v>
      </c>
      <c r="N1554" s="665">
        <v>0</v>
      </c>
      <c r="O1554" s="291"/>
      <c r="P1554" s="453"/>
    </row>
    <row r="1555" spans="1:16" s="175" customFormat="1" x14ac:dyDescent="0.2">
      <c r="A1555" s="188"/>
      <c r="B1555" s="879"/>
      <c r="C1555" s="884"/>
      <c r="D1555" s="884" t="s">
        <v>1721</v>
      </c>
      <c r="E1555" s="664" t="s">
        <v>1221</v>
      </c>
      <c r="F1555" s="660">
        <v>1931850</v>
      </c>
      <c r="G1555" s="661">
        <v>1931850</v>
      </c>
      <c r="H1555" s="660">
        <v>0</v>
      </c>
      <c r="I1555" s="660">
        <v>0</v>
      </c>
      <c r="J1555" s="661">
        <v>0</v>
      </c>
      <c r="K1555" s="660">
        <v>0</v>
      </c>
      <c r="L1555" s="660">
        <v>0</v>
      </c>
      <c r="M1555" s="660">
        <v>0</v>
      </c>
      <c r="N1555" s="665">
        <v>0</v>
      </c>
      <c r="O1555" s="291"/>
      <c r="P1555" s="453"/>
    </row>
    <row r="1556" spans="1:16" s="175" customFormat="1" x14ac:dyDescent="0.2">
      <c r="A1556" s="188"/>
      <c r="B1556" s="879"/>
      <c r="C1556" s="884" t="s">
        <v>3673</v>
      </c>
      <c r="D1556" s="884" t="s">
        <v>1381</v>
      </c>
      <c r="E1556" s="664" t="s">
        <v>26</v>
      </c>
      <c r="F1556" s="660">
        <v>137910600</v>
      </c>
      <c r="G1556" s="661">
        <v>130980000</v>
      </c>
      <c r="H1556" s="660">
        <v>6930600</v>
      </c>
      <c r="I1556" s="660">
        <v>6930600</v>
      </c>
      <c r="J1556" s="661">
        <v>0</v>
      </c>
      <c r="K1556" s="660">
        <v>0</v>
      </c>
      <c r="L1556" s="660">
        <v>0</v>
      </c>
      <c r="M1556" s="660">
        <v>0</v>
      </c>
      <c r="N1556" s="665">
        <v>0</v>
      </c>
      <c r="O1556" s="291"/>
      <c r="P1556" s="453"/>
    </row>
    <row r="1557" spans="1:16" s="175" customFormat="1" hidden="1" x14ac:dyDescent="0.2">
      <c r="A1557" s="188"/>
      <c r="B1557" s="879"/>
      <c r="C1557" s="884"/>
      <c r="D1557" s="884" t="s">
        <v>1381</v>
      </c>
      <c r="E1557" s="664" t="s">
        <v>1557</v>
      </c>
      <c r="F1557" s="660">
        <v>321791400</v>
      </c>
      <c r="G1557" s="661">
        <v>0</v>
      </c>
      <c r="H1557" s="660">
        <v>321791400</v>
      </c>
      <c r="I1557" s="660">
        <v>321791400</v>
      </c>
      <c r="J1557" s="661">
        <v>0</v>
      </c>
      <c r="K1557" s="660">
        <v>0</v>
      </c>
      <c r="L1557" s="660">
        <v>0</v>
      </c>
      <c r="M1557" s="660">
        <v>0</v>
      </c>
      <c r="N1557" s="665">
        <v>0</v>
      </c>
      <c r="O1557" s="291"/>
      <c r="P1557" s="453"/>
    </row>
    <row r="1558" spans="1:16" s="175" customFormat="1" x14ac:dyDescent="0.2">
      <c r="A1558" s="188"/>
      <c r="B1558" s="879"/>
      <c r="C1558" s="884" t="s">
        <v>3674</v>
      </c>
      <c r="D1558" s="884" t="s">
        <v>1471</v>
      </c>
      <c r="E1558" s="664" t="s">
        <v>26</v>
      </c>
      <c r="F1558" s="660">
        <v>117813960</v>
      </c>
      <c r="G1558" s="661">
        <v>106799704</v>
      </c>
      <c r="H1558" s="660">
        <v>11014256</v>
      </c>
      <c r="I1558" s="660">
        <v>7342838</v>
      </c>
      <c r="J1558" s="661">
        <v>3671418</v>
      </c>
      <c r="K1558" s="660">
        <v>3671418</v>
      </c>
      <c r="L1558" s="660">
        <v>0</v>
      </c>
      <c r="M1558" s="660">
        <v>0</v>
      </c>
      <c r="N1558" s="665">
        <v>0</v>
      </c>
      <c r="O1558" s="291"/>
      <c r="P1558" s="453"/>
    </row>
    <row r="1559" spans="1:16" s="175" customFormat="1" hidden="1" x14ac:dyDescent="0.2">
      <c r="A1559" s="188"/>
      <c r="B1559" s="879"/>
      <c r="C1559" s="884"/>
      <c r="D1559" s="884" t="s">
        <v>1471</v>
      </c>
      <c r="E1559" s="664" t="s">
        <v>1557</v>
      </c>
      <c r="F1559" s="660">
        <v>274899240</v>
      </c>
      <c r="G1559" s="661">
        <v>0</v>
      </c>
      <c r="H1559" s="660">
        <v>274899240</v>
      </c>
      <c r="I1559" s="660">
        <v>274899240</v>
      </c>
      <c r="J1559" s="661">
        <v>0</v>
      </c>
      <c r="K1559" s="660">
        <v>0</v>
      </c>
      <c r="L1559" s="660">
        <v>0</v>
      </c>
      <c r="M1559" s="660">
        <v>0</v>
      </c>
      <c r="N1559" s="665">
        <v>0</v>
      </c>
      <c r="O1559" s="291"/>
      <c r="P1559" s="453"/>
    </row>
    <row r="1560" spans="1:16" s="175" customFormat="1" x14ac:dyDescent="0.2">
      <c r="A1560" s="188"/>
      <c r="B1560" s="879"/>
      <c r="C1560" s="884" t="s">
        <v>3675</v>
      </c>
      <c r="D1560" s="884" t="s">
        <v>1671</v>
      </c>
      <c r="E1560" s="664" t="s">
        <v>26</v>
      </c>
      <c r="F1560" s="660">
        <v>137280300</v>
      </c>
      <c r="G1560" s="661">
        <v>101424000</v>
      </c>
      <c r="H1560" s="660">
        <v>35856300</v>
      </c>
      <c r="I1560" s="660">
        <v>35856300</v>
      </c>
      <c r="J1560" s="661">
        <v>0</v>
      </c>
      <c r="K1560" s="660">
        <v>0</v>
      </c>
      <c r="L1560" s="660">
        <v>0</v>
      </c>
      <c r="M1560" s="660">
        <v>0</v>
      </c>
      <c r="N1560" s="665">
        <v>0</v>
      </c>
      <c r="O1560" s="291"/>
      <c r="P1560" s="453"/>
    </row>
    <row r="1561" spans="1:16" s="175" customFormat="1" hidden="1" x14ac:dyDescent="0.2">
      <c r="A1561" s="188"/>
      <c r="B1561" s="879"/>
      <c r="C1561" s="884"/>
      <c r="D1561" s="884" t="s">
        <v>1671</v>
      </c>
      <c r="E1561" s="664" t="s">
        <v>1557</v>
      </c>
      <c r="F1561" s="660">
        <v>320320700</v>
      </c>
      <c r="G1561" s="661">
        <v>0</v>
      </c>
      <c r="H1561" s="660">
        <v>320320700</v>
      </c>
      <c r="I1561" s="660">
        <v>320320700</v>
      </c>
      <c r="J1561" s="661">
        <v>0</v>
      </c>
      <c r="K1561" s="660">
        <v>0</v>
      </c>
      <c r="L1561" s="660">
        <v>0</v>
      </c>
      <c r="M1561" s="660">
        <v>0</v>
      </c>
      <c r="N1561" s="665">
        <v>0</v>
      </c>
      <c r="O1561" s="291"/>
      <c r="P1561" s="453"/>
    </row>
    <row r="1562" spans="1:16" s="175" customFormat="1" x14ac:dyDescent="0.2">
      <c r="A1562" s="188"/>
      <c r="B1562" s="879"/>
      <c r="C1562" s="884" t="s">
        <v>3676</v>
      </c>
      <c r="D1562" s="884" t="s">
        <v>2541</v>
      </c>
      <c r="E1562" s="664" t="s">
        <v>26</v>
      </c>
      <c r="F1562" s="660">
        <v>92767720</v>
      </c>
      <c r="G1562" s="661">
        <v>76559656</v>
      </c>
      <c r="H1562" s="660">
        <v>16208064</v>
      </c>
      <c r="I1562" s="660">
        <v>10161426</v>
      </c>
      <c r="J1562" s="661">
        <v>6046638</v>
      </c>
      <c r="K1562" s="660">
        <v>6046638</v>
      </c>
      <c r="L1562" s="660">
        <v>0</v>
      </c>
      <c r="M1562" s="660">
        <v>0</v>
      </c>
      <c r="N1562" s="665">
        <v>0</v>
      </c>
      <c r="O1562" s="291"/>
      <c r="P1562" s="453"/>
    </row>
    <row r="1563" spans="1:16" s="175" customFormat="1" x14ac:dyDescent="0.2">
      <c r="A1563" s="188"/>
      <c r="B1563" s="879"/>
      <c r="C1563" s="884"/>
      <c r="D1563" s="884" t="s">
        <v>2541</v>
      </c>
      <c r="E1563" s="664" t="s">
        <v>22</v>
      </c>
      <c r="F1563" s="660">
        <v>91224227</v>
      </c>
      <c r="G1563" s="661">
        <v>62400262</v>
      </c>
      <c r="H1563" s="660">
        <v>28823965</v>
      </c>
      <c r="I1563" s="660">
        <v>21051747</v>
      </c>
      <c r="J1563" s="661">
        <v>7772218</v>
      </c>
      <c r="K1563" s="660">
        <v>7017248</v>
      </c>
      <c r="L1563" s="660">
        <v>754970</v>
      </c>
      <c r="M1563" s="660">
        <v>0</v>
      </c>
      <c r="N1563" s="665">
        <v>0</v>
      </c>
      <c r="O1563" s="291"/>
      <c r="P1563" s="453"/>
    </row>
    <row r="1564" spans="1:16" s="175" customFormat="1" hidden="1" x14ac:dyDescent="0.2">
      <c r="A1564" s="188"/>
      <c r="B1564" s="879"/>
      <c r="C1564" s="884"/>
      <c r="D1564" s="884" t="s">
        <v>2541</v>
      </c>
      <c r="E1564" s="664" t="s">
        <v>1557</v>
      </c>
      <c r="F1564" s="660">
        <v>378798280</v>
      </c>
      <c r="G1564" s="661">
        <v>0</v>
      </c>
      <c r="H1564" s="660">
        <v>378798280</v>
      </c>
      <c r="I1564" s="660">
        <v>378798280</v>
      </c>
      <c r="J1564" s="661">
        <v>0</v>
      </c>
      <c r="K1564" s="660">
        <v>0</v>
      </c>
      <c r="L1564" s="660">
        <v>0</v>
      </c>
      <c r="M1564" s="660">
        <v>0</v>
      </c>
      <c r="N1564" s="665">
        <v>0</v>
      </c>
      <c r="O1564" s="291"/>
      <c r="P1564" s="453"/>
    </row>
    <row r="1565" spans="1:16" s="175" customFormat="1" x14ac:dyDescent="0.2">
      <c r="A1565" s="188"/>
      <c r="B1565" s="879"/>
      <c r="C1565" s="884"/>
      <c r="D1565" s="884" t="s">
        <v>2541</v>
      </c>
      <c r="E1565" s="664" t="s">
        <v>195</v>
      </c>
      <c r="F1565" s="660">
        <v>396720</v>
      </c>
      <c r="G1565" s="661">
        <v>396720</v>
      </c>
      <c r="H1565" s="660">
        <v>0</v>
      </c>
      <c r="I1565" s="660">
        <v>0</v>
      </c>
      <c r="J1565" s="661">
        <v>0</v>
      </c>
      <c r="K1565" s="660">
        <v>0</v>
      </c>
      <c r="L1565" s="660">
        <v>0</v>
      </c>
      <c r="M1565" s="660">
        <v>0</v>
      </c>
      <c r="N1565" s="665">
        <v>0</v>
      </c>
      <c r="O1565" s="291"/>
      <c r="P1565" s="453"/>
    </row>
    <row r="1566" spans="1:16" s="175" customFormat="1" x14ac:dyDescent="0.2">
      <c r="A1566" s="188"/>
      <c r="B1566" s="879"/>
      <c r="C1566" s="884"/>
      <c r="D1566" s="884" t="s">
        <v>2541</v>
      </c>
      <c r="E1566" s="664" t="s">
        <v>1221</v>
      </c>
      <c r="F1566" s="660">
        <v>1931850</v>
      </c>
      <c r="G1566" s="661">
        <v>0</v>
      </c>
      <c r="H1566" s="660">
        <v>1931850</v>
      </c>
      <c r="I1566" s="660">
        <v>1931850</v>
      </c>
      <c r="J1566" s="661">
        <v>0</v>
      </c>
      <c r="K1566" s="660">
        <v>0</v>
      </c>
      <c r="L1566" s="660">
        <v>0</v>
      </c>
      <c r="M1566" s="660">
        <v>0</v>
      </c>
      <c r="N1566" s="665">
        <v>0</v>
      </c>
      <c r="O1566" s="291"/>
      <c r="P1566" s="453"/>
    </row>
    <row r="1567" spans="1:16" s="175" customFormat="1" x14ac:dyDescent="0.2">
      <c r="A1567" s="188"/>
      <c r="B1567" s="879"/>
      <c r="C1567" s="884" t="s">
        <v>3677</v>
      </c>
      <c r="D1567" s="884" t="s">
        <v>1246</v>
      </c>
      <c r="E1567" s="664" t="s">
        <v>26</v>
      </c>
      <c r="F1567" s="660">
        <v>116850000</v>
      </c>
      <c r="G1567" s="661">
        <v>107177152</v>
      </c>
      <c r="H1567" s="660">
        <v>9672848</v>
      </c>
      <c r="I1567" s="660">
        <v>3224276</v>
      </c>
      <c r="J1567" s="661">
        <v>6448572</v>
      </c>
      <c r="K1567" s="660">
        <v>3224286</v>
      </c>
      <c r="L1567" s="660">
        <v>3224286</v>
      </c>
      <c r="M1567" s="660">
        <v>0</v>
      </c>
      <c r="N1567" s="665">
        <v>0</v>
      </c>
      <c r="O1567" s="291"/>
      <c r="P1567" s="453"/>
    </row>
    <row r="1568" spans="1:16" s="175" customFormat="1" hidden="1" x14ac:dyDescent="0.2">
      <c r="A1568" s="188"/>
      <c r="B1568" s="879"/>
      <c r="C1568" s="884"/>
      <c r="D1568" s="884" t="s">
        <v>1246</v>
      </c>
      <c r="E1568" s="664" t="s">
        <v>1557</v>
      </c>
      <c r="F1568" s="660">
        <v>272650000</v>
      </c>
      <c r="G1568" s="661">
        <v>0</v>
      </c>
      <c r="H1568" s="660">
        <v>272650000</v>
      </c>
      <c r="I1568" s="660">
        <v>272650000</v>
      </c>
      <c r="J1568" s="661">
        <v>0</v>
      </c>
      <c r="K1568" s="660">
        <v>0</v>
      </c>
      <c r="L1568" s="660">
        <v>0</v>
      </c>
      <c r="M1568" s="660">
        <v>0</v>
      </c>
      <c r="N1568" s="665">
        <v>0</v>
      </c>
      <c r="O1568" s="291"/>
      <c r="P1568" s="453"/>
    </row>
    <row r="1569" spans="1:16" s="175" customFormat="1" x14ac:dyDescent="0.2">
      <c r="A1569" s="188"/>
      <c r="B1569" s="879"/>
      <c r="C1569" s="884" t="s">
        <v>3678</v>
      </c>
      <c r="D1569" s="884" t="s">
        <v>1472</v>
      </c>
      <c r="E1569" s="664" t="s">
        <v>26</v>
      </c>
      <c r="F1569" s="660">
        <v>137797011</v>
      </c>
      <c r="G1569" s="661">
        <v>130000000</v>
      </c>
      <c r="H1569" s="660">
        <v>7797011</v>
      </c>
      <c r="I1569" s="660">
        <v>4797011</v>
      </c>
      <c r="J1569" s="661">
        <v>3000000</v>
      </c>
      <c r="K1569" s="660">
        <v>3000000</v>
      </c>
      <c r="L1569" s="660">
        <v>0</v>
      </c>
      <c r="M1569" s="660">
        <v>0</v>
      </c>
      <c r="N1569" s="665">
        <v>0</v>
      </c>
      <c r="O1569" s="291"/>
      <c r="P1569" s="453"/>
    </row>
    <row r="1570" spans="1:16" s="175" customFormat="1" hidden="1" x14ac:dyDescent="0.2">
      <c r="A1570" s="188"/>
      <c r="B1570" s="879"/>
      <c r="C1570" s="884"/>
      <c r="D1570" s="884" t="s">
        <v>1472</v>
      </c>
      <c r="E1570" s="664" t="s">
        <v>1557</v>
      </c>
      <c r="F1570" s="660">
        <v>321526359</v>
      </c>
      <c r="G1570" s="661">
        <v>0</v>
      </c>
      <c r="H1570" s="660">
        <v>321526359</v>
      </c>
      <c r="I1570" s="660">
        <v>321526359</v>
      </c>
      <c r="J1570" s="661">
        <v>0</v>
      </c>
      <c r="K1570" s="660">
        <v>0</v>
      </c>
      <c r="L1570" s="660">
        <v>0</v>
      </c>
      <c r="M1570" s="660">
        <v>0</v>
      </c>
      <c r="N1570" s="665">
        <v>0</v>
      </c>
      <c r="O1570" s="291"/>
      <c r="P1570" s="453"/>
    </row>
    <row r="1571" spans="1:16" s="175" customFormat="1" x14ac:dyDescent="0.2">
      <c r="A1571" s="188"/>
      <c r="B1571" s="879"/>
      <c r="C1571" s="884" t="s">
        <v>3679</v>
      </c>
      <c r="D1571" s="884" t="s">
        <v>3680</v>
      </c>
      <c r="E1571" s="664" t="s">
        <v>26</v>
      </c>
      <c r="F1571" s="660">
        <v>94636864</v>
      </c>
      <c r="G1571" s="661">
        <v>19150116</v>
      </c>
      <c r="H1571" s="660">
        <v>75486748</v>
      </c>
      <c r="I1571" s="660">
        <v>75486748</v>
      </c>
      <c r="J1571" s="661">
        <v>0</v>
      </c>
      <c r="K1571" s="660">
        <v>0</v>
      </c>
      <c r="L1571" s="660">
        <v>0</v>
      </c>
      <c r="M1571" s="660">
        <v>0</v>
      </c>
      <c r="N1571" s="665">
        <v>0</v>
      </c>
      <c r="O1571" s="291"/>
      <c r="P1571" s="453"/>
    </row>
    <row r="1572" spans="1:16" s="175" customFormat="1" x14ac:dyDescent="0.2">
      <c r="A1572" s="188"/>
      <c r="B1572" s="879"/>
      <c r="C1572" s="884"/>
      <c r="D1572" s="884" t="s">
        <v>3680</v>
      </c>
      <c r="E1572" s="664" t="s">
        <v>22</v>
      </c>
      <c r="F1572" s="660">
        <v>80931364</v>
      </c>
      <c r="G1572" s="661">
        <v>4855884</v>
      </c>
      <c r="H1572" s="660">
        <v>76075480</v>
      </c>
      <c r="I1572" s="660">
        <v>76075480</v>
      </c>
      <c r="J1572" s="661">
        <v>0</v>
      </c>
      <c r="K1572" s="660">
        <v>0</v>
      </c>
      <c r="L1572" s="660">
        <v>0</v>
      </c>
      <c r="M1572" s="660">
        <v>0</v>
      </c>
      <c r="N1572" s="665">
        <v>0</v>
      </c>
      <c r="O1572" s="291"/>
      <c r="P1572" s="453"/>
    </row>
    <row r="1573" spans="1:16" s="175" customFormat="1" hidden="1" x14ac:dyDescent="0.2">
      <c r="A1573" s="188"/>
      <c r="B1573" s="879"/>
      <c r="C1573" s="884"/>
      <c r="D1573" s="884" t="s">
        <v>3680</v>
      </c>
      <c r="E1573" s="664" t="s">
        <v>1557</v>
      </c>
      <c r="F1573" s="660">
        <v>419013136</v>
      </c>
      <c r="G1573" s="661">
        <v>0</v>
      </c>
      <c r="H1573" s="660">
        <v>419013136</v>
      </c>
      <c r="I1573" s="660">
        <v>419013136</v>
      </c>
      <c r="J1573" s="661">
        <v>0</v>
      </c>
      <c r="K1573" s="660">
        <v>0</v>
      </c>
      <c r="L1573" s="660">
        <v>0</v>
      </c>
      <c r="M1573" s="660">
        <v>0</v>
      </c>
      <c r="N1573" s="665">
        <v>0</v>
      </c>
      <c r="O1573" s="291"/>
      <c r="P1573" s="453"/>
    </row>
    <row r="1574" spans="1:16" s="175" customFormat="1" x14ac:dyDescent="0.2">
      <c r="A1574" s="188"/>
      <c r="B1574" s="879"/>
      <c r="C1574" s="884" t="s">
        <v>3681</v>
      </c>
      <c r="D1574" s="884" t="s">
        <v>2580</v>
      </c>
      <c r="E1574" s="664" t="s">
        <v>26</v>
      </c>
      <c r="F1574" s="660">
        <v>139741800</v>
      </c>
      <c r="G1574" s="661">
        <v>121912315</v>
      </c>
      <c r="H1574" s="660">
        <v>17829485</v>
      </c>
      <c r="I1574" s="660">
        <v>13136296</v>
      </c>
      <c r="J1574" s="661">
        <v>4693189</v>
      </c>
      <c r="K1574" s="660">
        <v>4378768</v>
      </c>
      <c r="L1574" s="660">
        <v>314421</v>
      </c>
      <c r="M1574" s="660">
        <v>0</v>
      </c>
      <c r="N1574" s="665">
        <v>0</v>
      </c>
      <c r="O1574" s="291"/>
      <c r="P1574" s="453"/>
    </row>
    <row r="1575" spans="1:16" s="175" customFormat="1" hidden="1" x14ac:dyDescent="0.2">
      <c r="A1575" s="188"/>
      <c r="B1575" s="879"/>
      <c r="C1575" s="884"/>
      <c r="D1575" s="884" t="s">
        <v>2580</v>
      </c>
      <c r="E1575" s="664" t="s">
        <v>1557</v>
      </c>
      <c r="F1575" s="660">
        <v>326064200</v>
      </c>
      <c r="G1575" s="661">
        <v>0</v>
      </c>
      <c r="H1575" s="660">
        <v>326064200</v>
      </c>
      <c r="I1575" s="660">
        <v>326064200</v>
      </c>
      <c r="J1575" s="661">
        <v>0</v>
      </c>
      <c r="K1575" s="660">
        <v>0</v>
      </c>
      <c r="L1575" s="660">
        <v>0</v>
      </c>
      <c r="M1575" s="660">
        <v>0</v>
      </c>
      <c r="N1575" s="665">
        <v>0</v>
      </c>
      <c r="O1575" s="291"/>
      <c r="P1575" s="453"/>
    </row>
    <row r="1576" spans="1:16" s="175" customFormat="1" x14ac:dyDescent="0.2">
      <c r="A1576" s="188"/>
      <c r="B1576" s="879"/>
      <c r="C1576" s="884"/>
      <c r="D1576" s="884" t="s">
        <v>2580</v>
      </c>
      <c r="E1576" s="664" t="s">
        <v>195</v>
      </c>
      <c r="F1576" s="660">
        <v>1623989</v>
      </c>
      <c r="G1576" s="661">
        <v>1623989</v>
      </c>
      <c r="H1576" s="660">
        <v>0</v>
      </c>
      <c r="I1576" s="660">
        <v>0</v>
      </c>
      <c r="J1576" s="661">
        <v>0</v>
      </c>
      <c r="K1576" s="660">
        <v>0</v>
      </c>
      <c r="L1576" s="660">
        <v>0</v>
      </c>
      <c r="M1576" s="660">
        <v>0</v>
      </c>
      <c r="N1576" s="665">
        <v>0</v>
      </c>
      <c r="O1576" s="291"/>
      <c r="P1576" s="453"/>
    </row>
    <row r="1577" spans="1:16" s="175" customFormat="1" x14ac:dyDescent="0.2">
      <c r="A1577" s="188"/>
      <c r="B1577" s="879"/>
      <c r="C1577" s="884" t="s">
        <v>3682</v>
      </c>
      <c r="D1577" s="884" t="s">
        <v>1247</v>
      </c>
      <c r="E1577" s="664" t="s">
        <v>26</v>
      </c>
      <c r="F1577" s="660">
        <v>117468000</v>
      </c>
      <c r="G1577" s="661">
        <v>117468000</v>
      </c>
      <c r="H1577" s="660">
        <v>0</v>
      </c>
      <c r="I1577" s="660">
        <v>0</v>
      </c>
      <c r="J1577" s="661">
        <v>0</v>
      </c>
      <c r="K1577" s="660">
        <v>0</v>
      </c>
      <c r="L1577" s="660">
        <v>0</v>
      </c>
      <c r="M1577" s="660">
        <v>0</v>
      </c>
      <c r="N1577" s="665">
        <v>0</v>
      </c>
      <c r="O1577" s="291"/>
      <c r="P1577" s="453"/>
    </row>
    <row r="1578" spans="1:16" s="175" customFormat="1" hidden="1" x14ac:dyDescent="0.2">
      <c r="A1578" s="188"/>
      <c r="B1578" s="879"/>
      <c r="C1578" s="884"/>
      <c r="D1578" s="884" t="s">
        <v>1247</v>
      </c>
      <c r="E1578" s="664" t="s">
        <v>1557</v>
      </c>
      <c r="F1578" s="660">
        <v>274092000</v>
      </c>
      <c r="G1578" s="661">
        <v>27453268</v>
      </c>
      <c r="H1578" s="660">
        <v>246638732</v>
      </c>
      <c r="I1578" s="660">
        <v>246638732</v>
      </c>
      <c r="J1578" s="661">
        <v>0</v>
      </c>
      <c r="K1578" s="660">
        <v>0</v>
      </c>
      <c r="L1578" s="660">
        <v>0</v>
      </c>
      <c r="M1578" s="660">
        <v>0</v>
      </c>
      <c r="N1578" s="665">
        <v>0</v>
      </c>
      <c r="O1578" s="291"/>
      <c r="P1578" s="453"/>
    </row>
    <row r="1579" spans="1:16" s="175" customFormat="1" x14ac:dyDescent="0.2">
      <c r="A1579" s="188"/>
      <c r="B1579" s="879"/>
      <c r="C1579" s="884" t="s">
        <v>3683</v>
      </c>
      <c r="D1579" s="884" t="s">
        <v>1722</v>
      </c>
      <c r="E1579" s="664" t="s">
        <v>26</v>
      </c>
      <c r="F1579" s="660">
        <v>139339058</v>
      </c>
      <c r="G1579" s="661">
        <v>133714332</v>
      </c>
      <c r="H1579" s="660">
        <v>5624726</v>
      </c>
      <c r="I1579" s="660">
        <v>5624726</v>
      </c>
      <c r="J1579" s="661">
        <v>0</v>
      </c>
      <c r="K1579" s="660">
        <v>0</v>
      </c>
      <c r="L1579" s="660">
        <v>0</v>
      </c>
      <c r="M1579" s="660">
        <v>0</v>
      </c>
      <c r="N1579" s="665">
        <v>0</v>
      </c>
      <c r="O1579" s="291"/>
      <c r="P1579" s="453"/>
    </row>
    <row r="1580" spans="1:16" s="175" customFormat="1" hidden="1" x14ac:dyDescent="0.2">
      <c r="A1580" s="188"/>
      <c r="B1580" s="879"/>
      <c r="C1580" s="884"/>
      <c r="D1580" s="884" t="s">
        <v>1722</v>
      </c>
      <c r="E1580" s="664" t="s">
        <v>1557</v>
      </c>
      <c r="F1580" s="660">
        <v>328553750</v>
      </c>
      <c r="G1580" s="661">
        <v>219396</v>
      </c>
      <c r="H1580" s="660">
        <v>328334354</v>
      </c>
      <c r="I1580" s="660">
        <v>328334354</v>
      </c>
      <c r="J1580" s="661">
        <v>0</v>
      </c>
      <c r="K1580" s="660">
        <v>0</v>
      </c>
      <c r="L1580" s="660">
        <v>0</v>
      </c>
      <c r="M1580" s="660">
        <v>0</v>
      </c>
      <c r="N1580" s="665">
        <v>0</v>
      </c>
      <c r="O1580" s="291"/>
      <c r="P1580" s="453"/>
    </row>
    <row r="1581" spans="1:16" s="175" customFormat="1" x14ac:dyDescent="0.2">
      <c r="A1581" s="188"/>
      <c r="B1581" s="879"/>
      <c r="C1581" s="884"/>
      <c r="D1581" s="884" t="s">
        <v>1722</v>
      </c>
      <c r="E1581" s="664" t="s">
        <v>195</v>
      </c>
      <c r="F1581" s="660">
        <v>1290668</v>
      </c>
      <c r="G1581" s="661">
        <v>1290668</v>
      </c>
      <c r="H1581" s="660">
        <v>0</v>
      </c>
      <c r="I1581" s="660">
        <v>0</v>
      </c>
      <c r="J1581" s="661">
        <v>0</v>
      </c>
      <c r="K1581" s="660">
        <v>0</v>
      </c>
      <c r="L1581" s="660">
        <v>0</v>
      </c>
      <c r="M1581" s="660">
        <v>0</v>
      </c>
      <c r="N1581" s="665">
        <v>0</v>
      </c>
      <c r="O1581" s="291"/>
      <c r="P1581" s="453"/>
    </row>
    <row r="1582" spans="1:16" s="175" customFormat="1" x14ac:dyDescent="0.2">
      <c r="A1582" s="188"/>
      <c r="B1582" s="879"/>
      <c r="C1582" s="884" t="s">
        <v>3684</v>
      </c>
      <c r="D1582" s="884" t="s">
        <v>3685</v>
      </c>
      <c r="E1582" s="664" t="s">
        <v>26</v>
      </c>
      <c r="F1582" s="660">
        <v>103662565</v>
      </c>
      <c r="G1582" s="661">
        <v>21810088</v>
      </c>
      <c r="H1582" s="660">
        <v>81852477</v>
      </c>
      <c r="I1582" s="660">
        <v>81852477</v>
      </c>
      <c r="J1582" s="661">
        <v>0</v>
      </c>
      <c r="K1582" s="660">
        <v>0</v>
      </c>
      <c r="L1582" s="660">
        <v>0</v>
      </c>
      <c r="M1582" s="660">
        <v>0</v>
      </c>
      <c r="N1582" s="665">
        <v>0</v>
      </c>
      <c r="O1582" s="291"/>
      <c r="P1582" s="453"/>
    </row>
    <row r="1583" spans="1:16" s="175" customFormat="1" hidden="1" x14ac:dyDescent="0.2">
      <c r="A1583" s="188"/>
      <c r="B1583" s="879"/>
      <c r="C1583" s="884"/>
      <c r="D1583" s="884" t="s">
        <v>3685</v>
      </c>
      <c r="E1583" s="664" t="s">
        <v>1557</v>
      </c>
      <c r="F1583" s="660">
        <v>422487435</v>
      </c>
      <c r="G1583" s="661">
        <v>0</v>
      </c>
      <c r="H1583" s="660">
        <v>422487435</v>
      </c>
      <c r="I1583" s="660">
        <v>422487435</v>
      </c>
      <c r="J1583" s="661">
        <v>0</v>
      </c>
      <c r="K1583" s="660">
        <v>0</v>
      </c>
      <c r="L1583" s="660">
        <v>0</v>
      </c>
      <c r="M1583" s="660">
        <v>0</v>
      </c>
      <c r="N1583" s="665">
        <v>0</v>
      </c>
      <c r="O1583" s="291"/>
      <c r="P1583" s="453"/>
    </row>
    <row r="1584" spans="1:16" s="175" customFormat="1" x14ac:dyDescent="0.2">
      <c r="A1584" s="188"/>
      <c r="B1584" s="879"/>
      <c r="C1584" s="884"/>
      <c r="D1584" s="884" t="s">
        <v>3685</v>
      </c>
      <c r="E1584" s="664" t="s">
        <v>1221</v>
      </c>
      <c r="F1584" s="660">
        <v>15674347</v>
      </c>
      <c r="G1584" s="661">
        <v>2089912</v>
      </c>
      <c r="H1584" s="660">
        <v>13584435</v>
      </c>
      <c r="I1584" s="660">
        <v>13584435</v>
      </c>
      <c r="J1584" s="661">
        <v>0</v>
      </c>
      <c r="K1584" s="660">
        <v>0</v>
      </c>
      <c r="L1584" s="660">
        <v>0</v>
      </c>
      <c r="M1584" s="660">
        <v>0</v>
      </c>
      <c r="N1584" s="665">
        <v>0</v>
      </c>
      <c r="O1584" s="291"/>
      <c r="P1584" s="453"/>
    </row>
    <row r="1585" spans="1:16" s="175" customFormat="1" x14ac:dyDescent="0.2">
      <c r="A1585" s="188"/>
      <c r="B1585" s="879"/>
      <c r="C1585" s="884" t="s">
        <v>3686</v>
      </c>
      <c r="D1585" s="884" t="s">
        <v>1435</v>
      </c>
      <c r="E1585" s="664" t="s">
        <v>26</v>
      </c>
      <c r="F1585" s="660">
        <v>143462700</v>
      </c>
      <c r="G1585" s="661">
        <v>124625652</v>
      </c>
      <c r="H1585" s="660">
        <v>18837048</v>
      </c>
      <c r="I1585" s="660">
        <v>10495055</v>
      </c>
      <c r="J1585" s="661">
        <v>8341993</v>
      </c>
      <c r="K1585" s="660">
        <v>4200000</v>
      </c>
      <c r="L1585" s="660">
        <v>4141993</v>
      </c>
      <c r="M1585" s="660">
        <v>0</v>
      </c>
      <c r="N1585" s="665">
        <v>0</v>
      </c>
      <c r="O1585" s="291"/>
      <c r="P1585" s="453"/>
    </row>
    <row r="1586" spans="1:16" s="175" customFormat="1" hidden="1" x14ac:dyDescent="0.2">
      <c r="A1586" s="188"/>
      <c r="B1586" s="879"/>
      <c r="C1586" s="884"/>
      <c r="D1586" s="884" t="s">
        <v>1435</v>
      </c>
      <c r="E1586" s="664" t="s">
        <v>1557</v>
      </c>
      <c r="F1586" s="660">
        <v>322841400</v>
      </c>
      <c r="G1586" s="661">
        <v>0</v>
      </c>
      <c r="H1586" s="660">
        <v>322841400</v>
      </c>
      <c r="I1586" s="660">
        <v>322841400</v>
      </c>
      <c r="J1586" s="661">
        <v>0</v>
      </c>
      <c r="K1586" s="660">
        <v>0</v>
      </c>
      <c r="L1586" s="660">
        <v>0</v>
      </c>
      <c r="M1586" s="660">
        <v>0</v>
      </c>
      <c r="N1586" s="665">
        <v>0</v>
      </c>
      <c r="O1586" s="291"/>
      <c r="P1586" s="453"/>
    </row>
    <row r="1587" spans="1:16" s="175" customFormat="1" x14ac:dyDescent="0.2">
      <c r="A1587" s="188"/>
      <c r="B1587" s="879"/>
      <c r="C1587" s="884"/>
      <c r="D1587" s="884" t="s">
        <v>1435</v>
      </c>
      <c r="E1587" s="664" t="s">
        <v>195</v>
      </c>
      <c r="F1587" s="660">
        <v>1210143</v>
      </c>
      <c r="G1587" s="661">
        <v>1210143</v>
      </c>
      <c r="H1587" s="660">
        <v>0</v>
      </c>
      <c r="I1587" s="660">
        <v>0</v>
      </c>
      <c r="J1587" s="661">
        <v>0</v>
      </c>
      <c r="K1587" s="660">
        <v>0</v>
      </c>
      <c r="L1587" s="660">
        <v>0</v>
      </c>
      <c r="M1587" s="660">
        <v>0</v>
      </c>
      <c r="N1587" s="665">
        <v>0</v>
      </c>
      <c r="O1587" s="291"/>
      <c r="P1587" s="453"/>
    </row>
    <row r="1588" spans="1:16" s="175" customFormat="1" x14ac:dyDescent="0.2">
      <c r="A1588" s="188"/>
      <c r="B1588" s="879"/>
      <c r="C1588" s="884"/>
      <c r="D1588" s="884" t="s">
        <v>1435</v>
      </c>
      <c r="E1588" s="664" t="s">
        <v>1221</v>
      </c>
      <c r="F1588" s="660">
        <v>1931850</v>
      </c>
      <c r="G1588" s="661">
        <v>1931850</v>
      </c>
      <c r="H1588" s="660">
        <v>0</v>
      </c>
      <c r="I1588" s="660">
        <v>0</v>
      </c>
      <c r="J1588" s="661">
        <v>0</v>
      </c>
      <c r="K1588" s="660">
        <v>0</v>
      </c>
      <c r="L1588" s="660">
        <v>0</v>
      </c>
      <c r="M1588" s="660">
        <v>0</v>
      </c>
      <c r="N1588" s="665">
        <v>0</v>
      </c>
      <c r="O1588" s="291"/>
      <c r="P1588" s="453"/>
    </row>
    <row r="1589" spans="1:16" s="175" customFormat="1" x14ac:dyDescent="0.2">
      <c r="A1589" s="188"/>
      <c r="B1589" s="879"/>
      <c r="C1589" s="884" t="s">
        <v>3687</v>
      </c>
      <c r="D1589" s="884" t="s">
        <v>1532</v>
      </c>
      <c r="E1589" s="664" t="s">
        <v>26</v>
      </c>
      <c r="F1589" s="660">
        <v>118639620</v>
      </c>
      <c r="G1589" s="661">
        <v>116761715</v>
      </c>
      <c r="H1589" s="660">
        <v>1877905</v>
      </c>
      <c r="I1589" s="660">
        <v>1877905</v>
      </c>
      <c r="J1589" s="661">
        <v>0</v>
      </c>
      <c r="K1589" s="660">
        <v>0</v>
      </c>
      <c r="L1589" s="660">
        <v>0</v>
      </c>
      <c r="M1589" s="660">
        <v>0</v>
      </c>
      <c r="N1589" s="665">
        <v>0</v>
      </c>
      <c r="O1589" s="291"/>
      <c r="P1589" s="453"/>
    </row>
    <row r="1590" spans="1:16" s="175" customFormat="1" x14ac:dyDescent="0.2">
      <c r="A1590" s="188"/>
      <c r="B1590" s="879"/>
      <c r="C1590" s="884"/>
      <c r="D1590" s="884" t="s">
        <v>1532</v>
      </c>
      <c r="E1590" s="664" t="s">
        <v>22</v>
      </c>
      <c r="F1590" s="660">
        <v>80949512</v>
      </c>
      <c r="G1590" s="661">
        <v>49000000</v>
      </c>
      <c r="H1590" s="660">
        <v>31949512</v>
      </c>
      <c r="I1590" s="660">
        <v>18000000</v>
      </c>
      <c r="J1590" s="661">
        <v>13949512</v>
      </c>
      <c r="K1590" s="660">
        <v>7000000</v>
      </c>
      <c r="L1590" s="660">
        <v>6949512</v>
      </c>
      <c r="M1590" s="660">
        <v>0</v>
      </c>
      <c r="N1590" s="665">
        <v>0</v>
      </c>
      <c r="O1590" s="291"/>
      <c r="P1590" s="453"/>
    </row>
    <row r="1591" spans="1:16" s="175" customFormat="1" hidden="1" x14ac:dyDescent="0.2">
      <c r="A1591" s="188"/>
      <c r="B1591" s="879"/>
      <c r="C1591" s="884"/>
      <c r="D1591" s="884" t="s">
        <v>1532</v>
      </c>
      <c r="E1591" s="664" t="s">
        <v>1557</v>
      </c>
      <c r="F1591" s="660">
        <v>276825780</v>
      </c>
      <c r="G1591" s="661">
        <v>1659189</v>
      </c>
      <c r="H1591" s="660">
        <v>275166591</v>
      </c>
      <c r="I1591" s="660">
        <v>275166591</v>
      </c>
      <c r="J1591" s="661">
        <v>0</v>
      </c>
      <c r="K1591" s="660">
        <v>0</v>
      </c>
      <c r="L1591" s="660">
        <v>0</v>
      </c>
      <c r="M1591" s="660">
        <v>0</v>
      </c>
      <c r="N1591" s="665">
        <v>0</v>
      </c>
      <c r="O1591" s="291"/>
      <c r="P1591" s="453"/>
    </row>
    <row r="1592" spans="1:16" s="175" customFormat="1" x14ac:dyDescent="0.2">
      <c r="A1592" s="188"/>
      <c r="B1592" s="879"/>
      <c r="C1592" s="884"/>
      <c r="D1592" s="884" t="s">
        <v>1532</v>
      </c>
      <c r="E1592" s="664" t="s">
        <v>195</v>
      </c>
      <c r="F1592" s="660">
        <v>275610</v>
      </c>
      <c r="G1592" s="661">
        <v>275610</v>
      </c>
      <c r="H1592" s="660">
        <v>0</v>
      </c>
      <c r="I1592" s="660">
        <v>0</v>
      </c>
      <c r="J1592" s="661">
        <v>0</v>
      </c>
      <c r="K1592" s="660">
        <v>0</v>
      </c>
      <c r="L1592" s="660">
        <v>0</v>
      </c>
      <c r="M1592" s="660">
        <v>0</v>
      </c>
      <c r="N1592" s="665">
        <v>0</v>
      </c>
      <c r="O1592" s="291"/>
      <c r="P1592" s="453"/>
    </row>
    <row r="1593" spans="1:16" s="175" customFormat="1" x14ac:dyDescent="0.2">
      <c r="A1593" s="188"/>
      <c r="B1593" s="879"/>
      <c r="C1593" s="884"/>
      <c r="D1593" s="884" t="s">
        <v>1532</v>
      </c>
      <c r="E1593" s="664" t="s">
        <v>1221</v>
      </c>
      <c r="F1593" s="660">
        <v>1512675</v>
      </c>
      <c r="G1593" s="661">
        <v>1512675</v>
      </c>
      <c r="H1593" s="660">
        <v>0</v>
      </c>
      <c r="I1593" s="660">
        <v>0</v>
      </c>
      <c r="J1593" s="661">
        <v>0</v>
      </c>
      <c r="K1593" s="660">
        <v>0</v>
      </c>
      <c r="L1593" s="660">
        <v>0</v>
      </c>
      <c r="M1593" s="660">
        <v>0</v>
      </c>
      <c r="N1593" s="665">
        <v>0</v>
      </c>
      <c r="O1593" s="291"/>
      <c r="P1593" s="453"/>
    </row>
    <row r="1594" spans="1:16" s="175" customFormat="1" x14ac:dyDescent="0.2">
      <c r="A1594" s="188"/>
      <c r="B1594" s="879"/>
      <c r="C1594" s="884" t="s">
        <v>3688</v>
      </c>
      <c r="D1594" s="884" t="s">
        <v>3013</v>
      </c>
      <c r="E1594" s="664" t="s">
        <v>26</v>
      </c>
      <c r="F1594" s="660">
        <v>166000000</v>
      </c>
      <c r="G1594" s="661">
        <v>156500000</v>
      </c>
      <c r="H1594" s="660">
        <v>9500000</v>
      </c>
      <c r="I1594" s="660">
        <v>9500000</v>
      </c>
      <c r="J1594" s="661">
        <v>0</v>
      </c>
      <c r="K1594" s="660">
        <v>0</v>
      </c>
      <c r="L1594" s="660">
        <v>0</v>
      </c>
      <c r="M1594" s="660">
        <v>0</v>
      </c>
      <c r="N1594" s="665">
        <v>0</v>
      </c>
      <c r="O1594" s="291"/>
      <c r="P1594" s="453"/>
    </row>
    <row r="1595" spans="1:16" s="175" customFormat="1" hidden="1" x14ac:dyDescent="0.2">
      <c r="A1595" s="188"/>
      <c r="B1595" s="879"/>
      <c r="C1595" s="884"/>
      <c r="D1595" s="884" t="s">
        <v>3013</v>
      </c>
      <c r="E1595" s="664" t="s">
        <v>1557</v>
      </c>
      <c r="F1595" s="660">
        <v>298085000</v>
      </c>
      <c r="G1595" s="661">
        <v>51210521</v>
      </c>
      <c r="H1595" s="660">
        <v>246874479</v>
      </c>
      <c r="I1595" s="660">
        <v>246874479</v>
      </c>
      <c r="J1595" s="661">
        <v>0</v>
      </c>
      <c r="K1595" s="660">
        <v>0</v>
      </c>
      <c r="L1595" s="660">
        <v>0</v>
      </c>
      <c r="M1595" s="660">
        <v>0</v>
      </c>
      <c r="N1595" s="665">
        <v>0</v>
      </c>
      <c r="O1595" s="291"/>
      <c r="P1595" s="453"/>
    </row>
    <row r="1596" spans="1:16" s="175" customFormat="1" x14ac:dyDescent="0.2">
      <c r="A1596" s="188"/>
      <c r="B1596" s="879"/>
      <c r="C1596" s="884" t="s">
        <v>3689</v>
      </c>
      <c r="D1596" s="884" t="s">
        <v>1553</v>
      </c>
      <c r="E1596" s="664" t="s">
        <v>26</v>
      </c>
      <c r="F1596" s="660">
        <v>144924245</v>
      </c>
      <c r="G1596" s="661">
        <v>133710440</v>
      </c>
      <c r="H1596" s="660">
        <v>11213805</v>
      </c>
      <c r="I1596" s="660">
        <v>11213805</v>
      </c>
      <c r="J1596" s="661">
        <v>0</v>
      </c>
      <c r="K1596" s="660">
        <v>0</v>
      </c>
      <c r="L1596" s="660">
        <v>0</v>
      </c>
      <c r="M1596" s="660">
        <v>0</v>
      </c>
      <c r="N1596" s="665">
        <v>0</v>
      </c>
      <c r="O1596" s="291"/>
      <c r="P1596" s="453"/>
    </row>
    <row r="1597" spans="1:16" s="175" customFormat="1" hidden="1" x14ac:dyDescent="0.2">
      <c r="A1597" s="188"/>
      <c r="B1597" s="879"/>
      <c r="C1597" s="884"/>
      <c r="D1597" s="884" t="s">
        <v>1553</v>
      </c>
      <c r="E1597" s="664" t="s">
        <v>1557</v>
      </c>
      <c r="F1597" s="660">
        <v>325036411</v>
      </c>
      <c r="G1597" s="661">
        <v>0</v>
      </c>
      <c r="H1597" s="660">
        <v>325036411</v>
      </c>
      <c r="I1597" s="660">
        <v>325036411</v>
      </c>
      <c r="J1597" s="661">
        <v>0</v>
      </c>
      <c r="K1597" s="660">
        <v>0</v>
      </c>
      <c r="L1597" s="660">
        <v>0</v>
      </c>
      <c r="M1597" s="660">
        <v>0</v>
      </c>
      <c r="N1597" s="665">
        <v>0</v>
      </c>
      <c r="O1597" s="291"/>
      <c r="P1597" s="453"/>
    </row>
    <row r="1598" spans="1:16" s="175" customFormat="1" x14ac:dyDescent="0.2">
      <c r="A1598" s="188"/>
      <c r="B1598" s="879"/>
      <c r="C1598" s="884"/>
      <c r="D1598" s="884" t="s">
        <v>1553</v>
      </c>
      <c r="E1598" s="664" t="s">
        <v>1221</v>
      </c>
      <c r="F1598" s="660">
        <v>1000000</v>
      </c>
      <c r="G1598" s="661">
        <v>1000000</v>
      </c>
      <c r="H1598" s="660">
        <v>0</v>
      </c>
      <c r="I1598" s="660">
        <v>0</v>
      </c>
      <c r="J1598" s="661">
        <v>0</v>
      </c>
      <c r="K1598" s="660">
        <v>0</v>
      </c>
      <c r="L1598" s="660">
        <v>0</v>
      </c>
      <c r="M1598" s="660">
        <v>0</v>
      </c>
      <c r="N1598" s="665">
        <v>0</v>
      </c>
      <c r="O1598" s="291"/>
      <c r="P1598" s="453"/>
    </row>
    <row r="1599" spans="1:16" s="175" customFormat="1" x14ac:dyDescent="0.2">
      <c r="A1599" s="188"/>
      <c r="B1599" s="879"/>
      <c r="C1599" s="884" t="s">
        <v>3690</v>
      </c>
      <c r="D1599" s="884" t="s">
        <v>1347</v>
      </c>
      <c r="E1599" s="664" t="s">
        <v>26</v>
      </c>
      <c r="F1599" s="660">
        <v>118711851</v>
      </c>
      <c r="G1599" s="661">
        <v>112000000</v>
      </c>
      <c r="H1599" s="660">
        <v>6711851</v>
      </c>
      <c r="I1599" s="660">
        <v>6711851</v>
      </c>
      <c r="J1599" s="661">
        <v>0</v>
      </c>
      <c r="K1599" s="660">
        <v>0</v>
      </c>
      <c r="L1599" s="660">
        <v>0</v>
      </c>
      <c r="M1599" s="660">
        <v>0</v>
      </c>
      <c r="N1599" s="665">
        <v>0</v>
      </c>
      <c r="O1599" s="291"/>
      <c r="P1599" s="453"/>
    </row>
    <row r="1600" spans="1:16" s="175" customFormat="1" hidden="1" x14ac:dyDescent="0.2">
      <c r="A1600" s="188"/>
      <c r="B1600" s="879"/>
      <c r="C1600" s="884"/>
      <c r="D1600" s="884" t="s">
        <v>1347</v>
      </c>
      <c r="E1600" s="664" t="s">
        <v>1557</v>
      </c>
      <c r="F1600" s="660">
        <v>274792000</v>
      </c>
      <c r="G1600" s="661">
        <v>1674609</v>
      </c>
      <c r="H1600" s="660">
        <v>273117391</v>
      </c>
      <c r="I1600" s="660">
        <v>273117391</v>
      </c>
      <c r="J1600" s="661">
        <v>0</v>
      </c>
      <c r="K1600" s="660">
        <v>0</v>
      </c>
      <c r="L1600" s="660">
        <v>0</v>
      </c>
      <c r="M1600" s="660">
        <v>0</v>
      </c>
      <c r="N1600" s="665">
        <v>0</v>
      </c>
      <c r="O1600" s="291"/>
      <c r="P1600" s="453"/>
    </row>
    <row r="1601" spans="1:16" s="175" customFormat="1" x14ac:dyDescent="0.2">
      <c r="A1601" s="188"/>
      <c r="B1601" s="879"/>
      <c r="C1601" s="884" t="s">
        <v>3691</v>
      </c>
      <c r="D1601" s="884" t="s">
        <v>2581</v>
      </c>
      <c r="E1601" s="664" t="s">
        <v>26</v>
      </c>
      <c r="F1601" s="660">
        <v>92593120</v>
      </c>
      <c r="G1601" s="661">
        <v>68026050</v>
      </c>
      <c r="H1601" s="660">
        <v>24567070</v>
      </c>
      <c r="I1601" s="660">
        <v>11644242</v>
      </c>
      <c r="J1601" s="661">
        <v>12922828</v>
      </c>
      <c r="K1601" s="660">
        <v>6466069</v>
      </c>
      <c r="L1601" s="660">
        <v>6456759</v>
      </c>
      <c r="M1601" s="660">
        <v>0</v>
      </c>
      <c r="N1601" s="665">
        <v>0</v>
      </c>
      <c r="O1601" s="291"/>
      <c r="P1601" s="453"/>
    </row>
    <row r="1602" spans="1:16" s="175" customFormat="1" hidden="1" x14ac:dyDescent="0.2">
      <c r="A1602" s="188"/>
      <c r="B1602" s="879"/>
      <c r="C1602" s="884"/>
      <c r="D1602" s="884" t="s">
        <v>2581</v>
      </c>
      <c r="E1602" s="664" t="s">
        <v>1557</v>
      </c>
      <c r="F1602" s="660">
        <v>378099880</v>
      </c>
      <c r="G1602" s="661">
        <v>0</v>
      </c>
      <c r="H1602" s="660">
        <v>378099880</v>
      </c>
      <c r="I1602" s="660">
        <v>378099880</v>
      </c>
      <c r="J1602" s="661">
        <v>0</v>
      </c>
      <c r="K1602" s="660">
        <v>0</v>
      </c>
      <c r="L1602" s="660">
        <v>0</v>
      </c>
      <c r="M1602" s="660">
        <v>0</v>
      </c>
      <c r="N1602" s="665">
        <v>0</v>
      </c>
      <c r="O1602" s="291"/>
      <c r="P1602" s="453"/>
    </row>
    <row r="1603" spans="1:16" s="175" customFormat="1" x14ac:dyDescent="0.2">
      <c r="A1603" s="188"/>
      <c r="B1603" s="879"/>
      <c r="C1603" s="884"/>
      <c r="D1603" s="884" t="s">
        <v>2581</v>
      </c>
      <c r="E1603" s="664" t="s">
        <v>1221</v>
      </c>
      <c r="F1603" s="660">
        <v>1931850</v>
      </c>
      <c r="G1603" s="661">
        <v>643950</v>
      </c>
      <c r="H1603" s="660">
        <v>1287900</v>
      </c>
      <c r="I1603" s="660">
        <v>1287900</v>
      </c>
      <c r="J1603" s="661">
        <v>0</v>
      </c>
      <c r="K1603" s="660">
        <v>0</v>
      </c>
      <c r="L1603" s="660">
        <v>0</v>
      </c>
      <c r="M1603" s="660">
        <v>0</v>
      </c>
      <c r="N1603" s="665">
        <v>0</v>
      </c>
      <c r="O1603" s="291"/>
      <c r="P1603" s="453"/>
    </row>
    <row r="1604" spans="1:16" s="175" customFormat="1" x14ac:dyDescent="0.2">
      <c r="A1604" s="188"/>
      <c r="B1604" s="879"/>
      <c r="C1604" s="884" t="s">
        <v>3692</v>
      </c>
      <c r="D1604" s="884" t="s">
        <v>3282</v>
      </c>
      <c r="E1604" s="664" t="s">
        <v>26</v>
      </c>
      <c r="F1604" s="660">
        <v>103030000</v>
      </c>
      <c r="G1604" s="661">
        <v>51515000</v>
      </c>
      <c r="H1604" s="660">
        <v>51515000</v>
      </c>
      <c r="I1604" s="660">
        <v>51515000</v>
      </c>
      <c r="J1604" s="661">
        <v>0</v>
      </c>
      <c r="K1604" s="660">
        <v>0</v>
      </c>
      <c r="L1604" s="660">
        <v>0</v>
      </c>
      <c r="M1604" s="660">
        <v>0</v>
      </c>
      <c r="N1604" s="665">
        <v>0</v>
      </c>
      <c r="O1604" s="291"/>
      <c r="P1604" s="453"/>
    </row>
    <row r="1605" spans="1:16" s="175" customFormat="1" hidden="1" x14ac:dyDescent="0.2">
      <c r="A1605" s="188"/>
      <c r="B1605" s="879"/>
      <c r="C1605" s="884"/>
      <c r="D1605" s="884" t="s">
        <v>3282</v>
      </c>
      <c r="E1605" s="664" t="s">
        <v>1557</v>
      </c>
      <c r="F1605" s="660">
        <v>412120000</v>
      </c>
      <c r="G1605" s="661">
        <v>87311956</v>
      </c>
      <c r="H1605" s="660">
        <v>324808044</v>
      </c>
      <c r="I1605" s="660">
        <v>324808044</v>
      </c>
      <c r="J1605" s="661">
        <v>0</v>
      </c>
      <c r="K1605" s="660">
        <v>0</v>
      </c>
      <c r="L1605" s="660">
        <v>0</v>
      </c>
      <c r="M1605" s="660">
        <v>0</v>
      </c>
      <c r="N1605" s="665">
        <v>0</v>
      </c>
      <c r="O1605" s="291"/>
      <c r="P1605" s="453"/>
    </row>
    <row r="1606" spans="1:16" s="175" customFormat="1" x14ac:dyDescent="0.2">
      <c r="A1606" s="188"/>
      <c r="B1606" s="879"/>
      <c r="C1606" s="884" t="s">
        <v>3693</v>
      </c>
      <c r="D1606" s="884" t="s">
        <v>2293</v>
      </c>
      <c r="E1606" s="664" t="s">
        <v>26</v>
      </c>
      <c r="F1606" s="660">
        <v>99654579</v>
      </c>
      <c r="G1606" s="661">
        <v>55461057</v>
      </c>
      <c r="H1606" s="660">
        <v>44193522</v>
      </c>
      <c r="I1606" s="660">
        <v>26516114</v>
      </c>
      <c r="J1606" s="661">
        <v>17677408</v>
      </c>
      <c r="K1606" s="660">
        <v>8838704</v>
      </c>
      <c r="L1606" s="660">
        <v>8838704</v>
      </c>
      <c r="M1606" s="660">
        <v>0</v>
      </c>
      <c r="N1606" s="665">
        <v>0</v>
      </c>
      <c r="O1606" s="291"/>
      <c r="P1606" s="453"/>
    </row>
    <row r="1607" spans="1:16" s="175" customFormat="1" hidden="1" x14ac:dyDescent="0.2">
      <c r="A1607" s="188"/>
      <c r="B1607" s="879"/>
      <c r="C1607" s="884"/>
      <c r="D1607" s="884" t="s">
        <v>2293</v>
      </c>
      <c r="E1607" s="664" t="s">
        <v>1557</v>
      </c>
      <c r="F1607" s="660">
        <v>385346216</v>
      </c>
      <c r="G1607" s="661">
        <v>0</v>
      </c>
      <c r="H1607" s="660">
        <v>385346216</v>
      </c>
      <c r="I1607" s="660">
        <v>385346216</v>
      </c>
      <c r="J1607" s="661">
        <v>0</v>
      </c>
      <c r="K1607" s="660">
        <v>0</v>
      </c>
      <c r="L1607" s="660">
        <v>0</v>
      </c>
      <c r="M1607" s="660">
        <v>0</v>
      </c>
      <c r="N1607" s="665">
        <v>0</v>
      </c>
      <c r="O1607" s="291"/>
      <c r="P1607" s="453"/>
    </row>
    <row r="1608" spans="1:16" s="175" customFormat="1" x14ac:dyDescent="0.2">
      <c r="A1608" s="188"/>
      <c r="B1608" s="879"/>
      <c r="C1608" s="884" t="s">
        <v>3694</v>
      </c>
      <c r="D1608" s="884" t="s">
        <v>3228</v>
      </c>
      <c r="E1608" s="664" t="s">
        <v>26</v>
      </c>
      <c r="F1608" s="660">
        <v>87329860</v>
      </c>
      <c r="G1608" s="661">
        <v>33315952</v>
      </c>
      <c r="H1608" s="660">
        <v>54013908</v>
      </c>
      <c r="I1608" s="660">
        <v>54013908</v>
      </c>
      <c r="J1608" s="661">
        <v>0</v>
      </c>
      <c r="K1608" s="660">
        <v>0</v>
      </c>
      <c r="L1608" s="660">
        <v>0</v>
      </c>
      <c r="M1608" s="660">
        <v>0</v>
      </c>
      <c r="N1608" s="665">
        <v>0</v>
      </c>
      <c r="O1608" s="291"/>
      <c r="P1608" s="453"/>
    </row>
    <row r="1609" spans="1:16" s="175" customFormat="1" hidden="1" x14ac:dyDescent="0.2">
      <c r="A1609" s="188"/>
      <c r="B1609" s="879"/>
      <c r="C1609" s="884"/>
      <c r="D1609" s="884" t="s">
        <v>3228</v>
      </c>
      <c r="E1609" s="664" t="s">
        <v>1557</v>
      </c>
      <c r="F1609" s="660">
        <v>355370140</v>
      </c>
      <c r="G1609" s="661">
        <v>0</v>
      </c>
      <c r="H1609" s="660">
        <v>355370140</v>
      </c>
      <c r="I1609" s="660">
        <v>355370140</v>
      </c>
      <c r="J1609" s="661">
        <v>0</v>
      </c>
      <c r="K1609" s="660">
        <v>0</v>
      </c>
      <c r="L1609" s="660">
        <v>0</v>
      </c>
      <c r="M1609" s="660">
        <v>0</v>
      </c>
      <c r="N1609" s="665">
        <v>0</v>
      </c>
      <c r="O1609" s="291"/>
      <c r="P1609" s="453"/>
    </row>
    <row r="1610" spans="1:16" s="175" customFormat="1" x14ac:dyDescent="0.2">
      <c r="A1610" s="188"/>
      <c r="B1610" s="879"/>
      <c r="C1610" s="884"/>
      <c r="D1610" s="884" t="s">
        <v>3228</v>
      </c>
      <c r="E1610" s="664" t="s">
        <v>1221</v>
      </c>
      <c r="F1610" s="660">
        <v>1512675</v>
      </c>
      <c r="G1610" s="661">
        <v>0</v>
      </c>
      <c r="H1610" s="660">
        <v>1512675</v>
      </c>
      <c r="I1610" s="660">
        <v>1512675</v>
      </c>
      <c r="J1610" s="661">
        <v>0</v>
      </c>
      <c r="K1610" s="660">
        <v>0</v>
      </c>
      <c r="L1610" s="660">
        <v>0</v>
      </c>
      <c r="M1610" s="660">
        <v>0</v>
      </c>
      <c r="N1610" s="665">
        <v>0</v>
      </c>
      <c r="O1610" s="291"/>
      <c r="P1610" s="453"/>
    </row>
    <row r="1611" spans="1:16" s="175" customFormat="1" x14ac:dyDescent="0.2">
      <c r="A1611" s="188"/>
      <c r="B1611" s="879"/>
      <c r="C1611" s="884" t="s">
        <v>3695</v>
      </c>
      <c r="D1611" s="884" t="s">
        <v>1672</v>
      </c>
      <c r="E1611" s="664" t="s">
        <v>26</v>
      </c>
      <c r="F1611" s="660">
        <v>138630300</v>
      </c>
      <c r="G1611" s="661">
        <v>99000000</v>
      </c>
      <c r="H1611" s="660">
        <v>39630300</v>
      </c>
      <c r="I1611" s="660">
        <v>36246628</v>
      </c>
      <c r="J1611" s="661">
        <v>3383672</v>
      </c>
      <c r="K1611" s="660">
        <v>3383672</v>
      </c>
      <c r="L1611" s="660">
        <v>0</v>
      </c>
      <c r="M1611" s="660">
        <v>0</v>
      </c>
      <c r="N1611" s="665">
        <v>0</v>
      </c>
      <c r="O1611" s="291"/>
      <c r="P1611" s="453"/>
    </row>
    <row r="1612" spans="1:16" s="175" customFormat="1" hidden="1" x14ac:dyDescent="0.2">
      <c r="A1612" s="188"/>
      <c r="B1612" s="879"/>
      <c r="C1612" s="884"/>
      <c r="D1612" s="884" t="s">
        <v>1672</v>
      </c>
      <c r="E1612" s="664" t="s">
        <v>1557</v>
      </c>
      <c r="F1612" s="660">
        <v>323470700</v>
      </c>
      <c r="G1612" s="661">
        <v>254109</v>
      </c>
      <c r="H1612" s="660">
        <v>323216591</v>
      </c>
      <c r="I1612" s="660">
        <v>323216591</v>
      </c>
      <c r="J1612" s="661">
        <v>0</v>
      </c>
      <c r="K1612" s="660">
        <v>0</v>
      </c>
      <c r="L1612" s="660">
        <v>0</v>
      </c>
      <c r="M1612" s="660">
        <v>0</v>
      </c>
      <c r="N1612" s="665">
        <v>0</v>
      </c>
      <c r="O1612" s="291"/>
      <c r="P1612" s="453"/>
    </row>
    <row r="1613" spans="1:16" s="175" customFormat="1" x14ac:dyDescent="0.2">
      <c r="A1613" s="188"/>
      <c r="B1613" s="879"/>
      <c r="C1613" s="884" t="s">
        <v>3696</v>
      </c>
      <c r="D1613" s="884" t="s">
        <v>3283</v>
      </c>
      <c r="E1613" s="664" t="s">
        <v>26</v>
      </c>
      <c r="F1613" s="660">
        <v>101584520</v>
      </c>
      <c r="G1613" s="661">
        <v>40256365</v>
      </c>
      <c r="H1613" s="660">
        <v>61328155</v>
      </c>
      <c r="I1613" s="660">
        <v>61328155</v>
      </c>
      <c r="J1613" s="661">
        <v>0</v>
      </c>
      <c r="K1613" s="660">
        <v>0</v>
      </c>
      <c r="L1613" s="660">
        <v>0</v>
      </c>
      <c r="M1613" s="660">
        <v>0</v>
      </c>
      <c r="N1613" s="665">
        <v>0</v>
      </c>
      <c r="O1613" s="291"/>
      <c r="P1613" s="453"/>
    </row>
    <row r="1614" spans="1:16" s="175" customFormat="1" hidden="1" x14ac:dyDescent="0.2">
      <c r="A1614" s="188"/>
      <c r="B1614" s="879"/>
      <c r="C1614" s="884"/>
      <c r="D1614" s="884" t="s">
        <v>3283</v>
      </c>
      <c r="E1614" s="664" t="s">
        <v>1557</v>
      </c>
      <c r="F1614" s="660">
        <v>414065480</v>
      </c>
      <c r="G1614" s="661">
        <v>0</v>
      </c>
      <c r="H1614" s="660">
        <v>414065480</v>
      </c>
      <c r="I1614" s="660">
        <v>414065480</v>
      </c>
      <c r="J1614" s="661">
        <v>0</v>
      </c>
      <c r="K1614" s="660">
        <v>0</v>
      </c>
      <c r="L1614" s="660">
        <v>0</v>
      </c>
      <c r="M1614" s="660">
        <v>0</v>
      </c>
      <c r="N1614" s="665">
        <v>0</v>
      </c>
      <c r="O1614" s="291"/>
      <c r="P1614" s="453"/>
    </row>
    <row r="1615" spans="1:16" s="175" customFormat="1" x14ac:dyDescent="0.2">
      <c r="A1615" s="188"/>
      <c r="B1615" s="879"/>
      <c r="C1615" s="884"/>
      <c r="D1615" s="884" t="s">
        <v>3283</v>
      </c>
      <c r="E1615" s="664" t="s">
        <v>1221</v>
      </c>
      <c r="F1615" s="660">
        <v>1931850</v>
      </c>
      <c r="G1615" s="661">
        <v>0</v>
      </c>
      <c r="H1615" s="660">
        <v>1931850</v>
      </c>
      <c r="I1615" s="660">
        <v>1931850</v>
      </c>
      <c r="J1615" s="661">
        <v>0</v>
      </c>
      <c r="K1615" s="660">
        <v>0</v>
      </c>
      <c r="L1615" s="660">
        <v>0</v>
      </c>
      <c r="M1615" s="660">
        <v>0</v>
      </c>
      <c r="N1615" s="665">
        <v>0</v>
      </c>
      <c r="O1615" s="291"/>
      <c r="P1615" s="453"/>
    </row>
    <row r="1616" spans="1:16" s="175" customFormat="1" x14ac:dyDescent="0.2">
      <c r="A1616" s="188"/>
      <c r="B1616" s="879"/>
      <c r="C1616" s="884" t="s">
        <v>3697</v>
      </c>
      <c r="D1616" s="884" t="s">
        <v>2542</v>
      </c>
      <c r="E1616" s="664" t="s">
        <v>26</v>
      </c>
      <c r="F1616" s="660">
        <v>139723005</v>
      </c>
      <c r="G1616" s="661">
        <v>116718866</v>
      </c>
      <c r="H1616" s="660">
        <v>23004139</v>
      </c>
      <c r="I1616" s="660">
        <v>23004139</v>
      </c>
      <c r="J1616" s="661">
        <v>0</v>
      </c>
      <c r="K1616" s="660">
        <v>0</v>
      </c>
      <c r="L1616" s="660">
        <v>0</v>
      </c>
      <c r="M1616" s="660">
        <v>0</v>
      </c>
      <c r="N1616" s="665">
        <v>0</v>
      </c>
      <c r="O1616" s="291"/>
      <c r="P1616" s="453"/>
    </row>
    <row r="1617" spans="1:16" s="175" customFormat="1" x14ac:dyDescent="0.2">
      <c r="A1617" s="188"/>
      <c r="B1617" s="879"/>
      <c r="C1617" s="884"/>
      <c r="D1617" s="884" t="s">
        <v>2542</v>
      </c>
      <c r="E1617" s="664" t="s">
        <v>22</v>
      </c>
      <c r="F1617" s="660">
        <v>80698359</v>
      </c>
      <c r="G1617" s="661">
        <v>9683804</v>
      </c>
      <c r="H1617" s="660">
        <v>71014555</v>
      </c>
      <c r="I1617" s="660">
        <v>71014555</v>
      </c>
      <c r="J1617" s="661">
        <v>0</v>
      </c>
      <c r="K1617" s="660">
        <v>0</v>
      </c>
      <c r="L1617" s="660">
        <v>0</v>
      </c>
      <c r="M1617" s="660">
        <v>0</v>
      </c>
      <c r="N1617" s="665">
        <v>0</v>
      </c>
      <c r="O1617" s="291"/>
      <c r="P1617" s="453"/>
    </row>
    <row r="1618" spans="1:16" s="175" customFormat="1" hidden="1" x14ac:dyDescent="0.2">
      <c r="A1618" s="188"/>
      <c r="B1618" s="879"/>
      <c r="C1618" s="884"/>
      <c r="D1618" s="884" t="s">
        <v>2542</v>
      </c>
      <c r="E1618" s="664" t="s">
        <v>1557</v>
      </c>
      <c r="F1618" s="660">
        <v>330527995</v>
      </c>
      <c r="G1618" s="661">
        <v>0</v>
      </c>
      <c r="H1618" s="660">
        <v>330527995</v>
      </c>
      <c r="I1618" s="660">
        <v>330527995</v>
      </c>
      <c r="J1618" s="661">
        <v>0</v>
      </c>
      <c r="K1618" s="660">
        <v>0</v>
      </c>
      <c r="L1618" s="660">
        <v>0</v>
      </c>
      <c r="M1618" s="660">
        <v>0</v>
      </c>
      <c r="N1618" s="665">
        <v>0</v>
      </c>
      <c r="O1618" s="291"/>
      <c r="P1618" s="453"/>
    </row>
    <row r="1619" spans="1:16" s="175" customFormat="1" x14ac:dyDescent="0.2">
      <c r="A1619" s="188"/>
      <c r="B1619" s="879"/>
      <c r="C1619" s="884"/>
      <c r="D1619" s="884" t="s">
        <v>2542</v>
      </c>
      <c r="E1619" s="664" t="s">
        <v>1221</v>
      </c>
      <c r="F1619" s="660">
        <v>1931850</v>
      </c>
      <c r="G1619" s="661">
        <v>643950</v>
      </c>
      <c r="H1619" s="660">
        <v>1287900</v>
      </c>
      <c r="I1619" s="660">
        <v>1287900</v>
      </c>
      <c r="J1619" s="661">
        <v>0</v>
      </c>
      <c r="K1619" s="660">
        <v>0</v>
      </c>
      <c r="L1619" s="660">
        <v>0</v>
      </c>
      <c r="M1619" s="660">
        <v>0</v>
      </c>
      <c r="N1619" s="665">
        <v>0</v>
      </c>
      <c r="O1619" s="291"/>
      <c r="P1619" s="453"/>
    </row>
    <row r="1620" spans="1:16" s="175" customFormat="1" x14ac:dyDescent="0.2">
      <c r="A1620" s="188"/>
      <c r="B1620" s="879"/>
      <c r="C1620" s="884" t="s">
        <v>3698</v>
      </c>
      <c r="D1620" s="884" t="s">
        <v>1473</v>
      </c>
      <c r="E1620" s="664" t="s">
        <v>26</v>
      </c>
      <c r="F1620" s="660">
        <v>119904000</v>
      </c>
      <c r="G1620" s="661">
        <v>105416000</v>
      </c>
      <c r="H1620" s="660">
        <v>14488000</v>
      </c>
      <c r="I1620" s="660">
        <v>10866000</v>
      </c>
      <c r="J1620" s="661">
        <v>3622000</v>
      </c>
      <c r="K1620" s="660">
        <v>3622000</v>
      </c>
      <c r="L1620" s="660">
        <v>0</v>
      </c>
      <c r="M1620" s="660">
        <v>0</v>
      </c>
      <c r="N1620" s="665">
        <v>0</v>
      </c>
      <c r="O1620" s="291"/>
      <c r="P1620" s="453"/>
    </row>
    <row r="1621" spans="1:16" s="175" customFormat="1" hidden="1" x14ac:dyDescent="0.2">
      <c r="A1621" s="188"/>
      <c r="B1621" s="879"/>
      <c r="C1621" s="884"/>
      <c r="D1621" s="884" t="s">
        <v>1473</v>
      </c>
      <c r="E1621" s="664" t="s">
        <v>1557</v>
      </c>
      <c r="F1621" s="660">
        <v>279776000</v>
      </c>
      <c r="G1621" s="661">
        <v>0</v>
      </c>
      <c r="H1621" s="660">
        <v>279776000</v>
      </c>
      <c r="I1621" s="660">
        <v>279776000</v>
      </c>
      <c r="J1621" s="661">
        <v>0</v>
      </c>
      <c r="K1621" s="660">
        <v>0</v>
      </c>
      <c r="L1621" s="660">
        <v>0</v>
      </c>
      <c r="M1621" s="660">
        <v>0</v>
      </c>
      <c r="N1621" s="665">
        <v>0</v>
      </c>
      <c r="O1621" s="291"/>
      <c r="P1621" s="453"/>
    </row>
    <row r="1622" spans="1:16" s="175" customFormat="1" x14ac:dyDescent="0.2">
      <c r="A1622" s="188"/>
      <c r="B1622" s="879"/>
      <c r="C1622" s="884" t="s">
        <v>3699</v>
      </c>
      <c r="D1622" s="884" t="s">
        <v>1474</v>
      </c>
      <c r="E1622" s="664" t="s">
        <v>26</v>
      </c>
      <c r="F1622" s="660">
        <v>137420743</v>
      </c>
      <c r="G1622" s="661">
        <v>127110634</v>
      </c>
      <c r="H1622" s="660">
        <v>10310109</v>
      </c>
      <c r="I1622" s="660">
        <v>8338803</v>
      </c>
      <c r="J1622" s="661">
        <v>1971306</v>
      </c>
      <c r="K1622" s="660">
        <v>1971306</v>
      </c>
      <c r="L1622" s="660">
        <v>0</v>
      </c>
      <c r="M1622" s="660">
        <v>0</v>
      </c>
      <c r="N1622" s="665">
        <v>0</v>
      </c>
      <c r="O1622" s="291"/>
      <c r="P1622" s="453"/>
    </row>
    <row r="1623" spans="1:16" s="175" customFormat="1" hidden="1" x14ac:dyDescent="0.2">
      <c r="A1623" s="188"/>
      <c r="B1623" s="879"/>
      <c r="C1623" s="884"/>
      <c r="D1623" s="884" t="s">
        <v>1474</v>
      </c>
      <c r="E1623" s="664" t="s">
        <v>1557</v>
      </c>
      <c r="F1623" s="660">
        <v>320648402</v>
      </c>
      <c r="G1623" s="661">
        <v>0</v>
      </c>
      <c r="H1623" s="660">
        <v>320648402</v>
      </c>
      <c r="I1623" s="660">
        <v>320648402</v>
      </c>
      <c r="J1623" s="661">
        <v>0</v>
      </c>
      <c r="K1623" s="660">
        <v>0</v>
      </c>
      <c r="L1623" s="660">
        <v>0</v>
      </c>
      <c r="M1623" s="660">
        <v>0</v>
      </c>
      <c r="N1623" s="665">
        <v>0</v>
      </c>
      <c r="O1623" s="291"/>
      <c r="P1623" s="453"/>
    </row>
    <row r="1624" spans="1:16" s="175" customFormat="1" x14ac:dyDescent="0.2">
      <c r="A1624" s="188"/>
      <c r="B1624" s="879"/>
      <c r="C1624" s="884"/>
      <c r="D1624" s="884" t="s">
        <v>1474</v>
      </c>
      <c r="E1624" s="664" t="s">
        <v>195</v>
      </c>
      <c r="F1624" s="660">
        <v>39456</v>
      </c>
      <c r="G1624" s="661">
        <v>39456</v>
      </c>
      <c r="H1624" s="660">
        <v>0</v>
      </c>
      <c r="I1624" s="660">
        <v>0</v>
      </c>
      <c r="J1624" s="661">
        <v>0</v>
      </c>
      <c r="K1624" s="660">
        <v>0</v>
      </c>
      <c r="L1624" s="660">
        <v>0</v>
      </c>
      <c r="M1624" s="660">
        <v>0</v>
      </c>
      <c r="N1624" s="665">
        <v>0</v>
      </c>
      <c r="O1624" s="291"/>
      <c r="P1624" s="453"/>
    </row>
    <row r="1625" spans="1:16" s="175" customFormat="1" x14ac:dyDescent="0.2">
      <c r="A1625" s="188"/>
      <c r="B1625" s="879"/>
      <c r="C1625" s="884"/>
      <c r="D1625" s="884" t="s">
        <v>1474</v>
      </c>
      <c r="E1625" s="664" t="s">
        <v>1221</v>
      </c>
      <c r="F1625" s="660">
        <v>1931850</v>
      </c>
      <c r="G1625" s="661">
        <v>1931850</v>
      </c>
      <c r="H1625" s="660">
        <v>0</v>
      </c>
      <c r="I1625" s="660">
        <v>0</v>
      </c>
      <c r="J1625" s="661">
        <v>0</v>
      </c>
      <c r="K1625" s="660">
        <v>0</v>
      </c>
      <c r="L1625" s="660">
        <v>0</v>
      </c>
      <c r="M1625" s="660">
        <v>0</v>
      </c>
      <c r="N1625" s="665">
        <v>0</v>
      </c>
      <c r="O1625" s="291"/>
      <c r="P1625" s="453"/>
    </row>
    <row r="1626" spans="1:16" s="175" customFormat="1" x14ac:dyDescent="0.2">
      <c r="A1626" s="188"/>
      <c r="B1626" s="879"/>
      <c r="C1626" s="884" t="s">
        <v>3700</v>
      </c>
      <c r="D1626" s="884" t="s">
        <v>2543</v>
      </c>
      <c r="E1626" s="664" t="s">
        <v>26</v>
      </c>
      <c r="F1626" s="660">
        <v>168068150</v>
      </c>
      <c r="G1626" s="661">
        <v>74234817</v>
      </c>
      <c r="H1626" s="660">
        <v>93833333</v>
      </c>
      <c r="I1626" s="660">
        <v>25833333</v>
      </c>
      <c r="J1626" s="661">
        <v>68000000</v>
      </c>
      <c r="K1626" s="660">
        <v>15000000</v>
      </c>
      <c r="L1626" s="660">
        <v>15000000</v>
      </c>
      <c r="M1626" s="660">
        <v>15000000</v>
      </c>
      <c r="N1626" s="665">
        <v>23000000</v>
      </c>
      <c r="O1626" s="291"/>
      <c r="P1626" s="453"/>
    </row>
    <row r="1627" spans="1:16" s="175" customFormat="1" hidden="1" x14ac:dyDescent="0.2">
      <c r="A1627" s="188"/>
      <c r="B1627" s="879"/>
      <c r="C1627" s="884"/>
      <c r="D1627" s="884" t="s">
        <v>2543</v>
      </c>
      <c r="E1627" s="664" t="s">
        <v>1557</v>
      </c>
      <c r="F1627" s="660">
        <v>308687595</v>
      </c>
      <c r="G1627" s="661">
        <v>0</v>
      </c>
      <c r="H1627" s="660">
        <v>308687595</v>
      </c>
      <c r="I1627" s="660">
        <v>308687595</v>
      </c>
      <c r="J1627" s="661">
        <v>0</v>
      </c>
      <c r="K1627" s="660">
        <v>0</v>
      </c>
      <c r="L1627" s="660">
        <v>0</v>
      </c>
      <c r="M1627" s="660">
        <v>0</v>
      </c>
      <c r="N1627" s="665">
        <v>0</v>
      </c>
      <c r="O1627" s="291"/>
      <c r="P1627" s="453"/>
    </row>
    <row r="1628" spans="1:16" s="175" customFormat="1" x14ac:dyDescent="0.2">
      <c r="A1628" s="188"/>
      <c r="B1628" s="879"/>
      <c r="C1628" s="884"/>
      <c r="D1628" s="884" t="s">
        <v>2543</v>
      </c>
      <c r="E1628" s="664" t="s">
        <v>1221</v>
      </c>
      <c r="F1628" s="660">
        <v>1931850</v>
      </c>
      <c r="G1628" s="661">
        <v>1931850</v>
      </c>
      <c r="H1628" s="660">
        <v>0</v>
      </c>
      <c r="I1628" s="660">
        <v>0</v>
      </c>
      <c r="J1628" s="661">
        <v>0</v>
      </c>
      <c r="K1628" s="660">
        <v>0</v>
      </c>
      <c r="L1628" s="660">
        <v>0</v>
      </c>
      <c r="M1628" s="660">
        <v>0</v>
      </c>
      <c r="N1628" s="665">
        <v>0</v>
      </c>
      <c r="O1628" s="291"/>
      <c r="P1628" s="453"/>
    </row>
    <row r="1629" spans="1:16" s="175" customFormat="1" x14ac:dyDescent="0.2">
      <c r="A1629" s="188"/>
      <c r="B1629" s="879"/>
      <c r="C1629" s="884" t="s">
        <v>3701</v>
      </c>
      <c r="D1629" s="884" t="s">
        <v>2248</v>
      </c>
      <c r="E1629" s="664" t="s">
        <v>26</v>
      </c>
      <c r="F1629" s="660">
        <v>129000000</v>
      </c>
      <c r="G1629" s="661">
        <v>119000767</v>
      </c>
      <c r="H1629" s="660">
        <v>9999233</v>
      </c>
      <c r="I1629" s="660">
        <v>9999233</v>
      </c>
      <c r="J1629" s="661">
        <v>0</v>
      </c>
      <c r="K1629" s="660">
        <v>0</v>
      </c>
      <c r="L1629" s="660">
        <v>0</v>
      </c>
      <c r="M1629" s="660">
        <v>0</v>
      </c>
      <c r="N1629" s="665">
        <v>0</v>
      </c>
      <c r="O1629" s="291"/>
      <c r="P1629" s="453"/>
    </row>
    <row r="1630" spans="1:16" s="175" customFormat="1" hidden="1" x14ac:dyDescent="0.2">
      <c r="A1630" s="188"/>
      <c r="B1630" s="879"/>
      <c r="C1630" s="884"/>
      <c r="D1630" s="884" t="s">
        <v>2248</v>
      </c>
      <c r="E1630" s="664" t="s">
        <v>1557</v>
      </c>
      <c r="F1630" s="660">
        <v>273951128</v>
      </c>
      <c r="G1630" s="661">
        <v>0</v>
      </c>
      <c r="H1630" s="660">
        <v>273951128</v>
      </c>
      <c r="I1630" s="660">
        <v>273951128</v>
      </c>
      <c r="J1630" s="661">
        <v>0</v>
      </c>
      <c r="K1630" s="660">
        <v>0</v>
      </c>
      <c r="L1630" s="660">
        <v>0</v>
      </c>
      <c r="M1630" s="660">
        <v>0</v>
      </c>
      <c r="N1630" s="665">
        <v>0</v>
      </c>
      <c r="O1630" s="291"/>
      <c r="P1630" s="453"/>
    </row>
    <row r="1631" spans="1:16" s="175" customFormat="1" x14ac:dyDescent="0.2">
      <c r="A1631" s="188"/>
      <c r="B1631" s="879"/>
      <c r="C1631" s="884"/>
      <c r="D1631" s="884" t="s">
        <v>2248</v>
      </c>
      <c r="E1631" s="664" t="s">
        <v>195</v>
      </c>
      <c r="F1631" s="660">
        <v>813233</v>
      </c>
      <c r="G1631" s="661">
        <v>813233</v>
      </c>
      <c r="H1631" s="660">
        <v>0</v>
      </c>
      <c r="I1631" s="660">
        <v>0</v>
      </c>
      <c r="J1631" s="661">
        <v>0</v>
      </c>
      <c r="K1631" s="660">
        <v>0</v>
      </c>
      <c r="L1631" s="660">
        <v>0</v>
      </c>
      <c r="M1631" s="660">
        <v>0</v>
      </c>
      <c r="N1631" s="665">
        <v>0</v>
      </c>
      <c r="O1631" s="291"/>
      <c r="P1631" s="453"/>
    </row>
    <row r="1632" spans="1:16" s="175" customFormat="1" x14ac:dyDescent="0.2">
      <c r="A1632" s="188"/>
      <c r="B1632" s="879"/>
      <c r="C1632" s="884" t="s">
        <v>3702</v>
      </c>
      <c r="D1632" s="884" t="s">
        <v>1616</v>
      </c>
      <c r="E1632" s="664" t="s">
        <v>26</v>
      </c>
      <c r="F1632" s="660">
        <v>141918943</v>
      </c>
      <c r="G1632" s="661">
        <v>123709850</v>
      </c>
      <c r="H1632" s="660">
        <v>18209093</v>
      </c>
      <c r="I1632" s="660">
        <v>16618943</v>
      </c>
      <c r="J1632" s="661">
        <v>1590150</v>
      </c>
      <c r="K1632" s="660">
        <v>1590150</v>
      </c>
      <c r="L1632" s="660">
        <v>0</v>
      </c>
      <c r="M1632" s="660">
        <v>0</v>
      </c>
      <c r="N1632" s="665">
        <v>0</v>
      </c>
      <c r="O1632" s="291"/>
      <c r="P1632" s="453"/>
    </row>
    <row r="1633" spans="1:16" s="175" customFormat="1" x14ac:dyDescent="0.2">
      <c r="A1633" s="188"/>
      <c r="B1633" s="879"/>
      <c r="C1633" s="884"/>
      <c r="D1633" s="884" t="s">
        <v>1616</v>
      </c>
      <c r="E1633" s="664" t="s">
        <v>22</v>
      </c>
      <c r="F1633" s="660">
        <v>15426429</v>
      </c>
      <c r="G1633" s="661">
        <v>12858300</v>
      </c>
      <c r="H1633" s="660">
        <v>2568129</v>
      </c>
      <c r="I1633" s="660">
        <v>1282299</v>
      </c>
      <c r="J1633" s="661">
        <v>1285830</v>
      </c>
      <c r="K1633" s="660">
        <v>1285830</v>
      </c>
      <c r="L1633" s="660">
        <v>0</v>
      </c>
      <c r="M1633" s="660">
        <v>0</v>
      </c>
      <c r="N1633" s="665">
        <v>0</v>
      </c>
      <c r="O1633" s="291"/>
      <c r="P1633" s="453"/>
    </row>
    <row r="1634" spans="1:16" s="175" customFormat="1" hidden="1" x14ac:dyDescent="0.2">
      <c r="A1634" s="188"/>
      <c r="B1634" s="879"/>
      <c r="C1634" s="884"/>
      <c r="D1634" s="884" t="s">
        <v>1616</v>
      </c>
      <c r="E1634" s="664" t="s">
        <v>1557</v>
      </c>
      <c r="F1634" s="660">
        <v>329539350</v>
      </c>
      <c r="G1634" s="661">
        <v>0</v>
      </c>
      <c r="H1634" s="660">
        <v>329539350</v>
      </c>
      <c r="I1634" s="660">
        <v>329539350</v>
      </c>
      <c r="J1634" s="661">
        <v>0</v>
      </c>
      <c r="K1634" s="660">
        <v>0</v>
      </c>
      <c r="L1634" s="660">
        <v>0</v>
      </c>
      <c r="M1634" s="660">
        <v>0</v>
      </c>
      <c r="N1634" s="665">
        <v>0</v>
      </c>
      <c r="O1634" s="291"/>
      <c r="P1634" s="453"/>
    </row>
    <row r="1635" spans="1:16" s="175" customFormat="1" x14ac:dyDescent="0.2">
      <c r="A1635" s="188"/>
      <c r="B1635" s="879"/>
      <c r="C1635" s="884"/>
      <c r="D1635" s="884" t="s">
        <v>1616</v>
      </c>
      <c r="E1635" s="664" t="s">
        <v>1221</v>
      </c>
      <c r="F1635" s="660">
        <v>1931850</v>
      </c>
      <c r="G1635" s="661">
        <v>1931850</v>
      </c>
      <c r="H1635" s="660">
        <v>0</v>
      </c>
      <c r="I1635" s="660">
        <v>0</v>
      </c>
      <c r="J1635" s="661">
        <v>0</v>
      </c>
      <c r="K1635" s="660">
        <v>0</v>
      </c>
      <c r="L1635" s="660">
        <v>0</v>
      </c>
      <c r="M1635" s="660">
        <v>0</v>
      </c>
      <c r="N1635" s="665">
        <v>0</v>
      </c>
      <c r="O1635" s="291"/>
      <c r="P1635" s="453"/>
    </row>
    <row r="1636" spans="1:16" s="175" customFormat="1" x14ac:dyDescent="0.2">
      <c r="A1636" s="188"/>
      <c r="B1636" s="879"/>
      <c r="C1636" s="884" t="s">
        <v>3703</v>
      </c>
      <c r="D1636" s="884" t="s">
        <v>1533</v>
      </c>
      <c r="E1636" s="664" t="s">
        <v>26</v>
      </c>
      <c r="F1636" s="660">
        <v>123232860</v>
      </c>
      <c r="G1636" s="661">
        <v>107641386</v>
      </c>
      <c r="H1636" s="660">
        <v>15591474</v>
      </c>
      <c r="I1636" s="660">
        <v>14432860</v>
      </c>
      <c r="J1636" s="661">
        <v>1158614</v>
      </c>
      <c r="K1636" s="660">
        <v>1158614</v>
      </c>
      <c r="L1636" s="660">
        <v>0</v>
      </c>
      <c r="M1636" s="660">
        <v>0</v>
      </c>
      <c r="N1636" s="665">
        <v>0</v>
      </c>
      <c r="O1636" s="291"/>
      <c r="P1636" s="453"/>
    </row>
    <row r="1637" spans="1:16" s="175" customFormat="1" hidden="1" x14ac:dyDescent="0.2">
      <c r="A1637" s="188"/>
      <c r="B1637" s="879"/>
      <c r="C1637" s="884"/>
      <c r="D1637" s="884" t="s">
        <v>1533</v>
      </c>
      <c r="E1637" s="664" t="s">
        <v>1557</v>
      </c>
      <c r="F1637" s="660">
        <v>281568000</v>
      </c>
      <c r="G1637" s="661">
        <v>47772</v>
      </c>
      <c r="H1637" s="660">
        <v>281520228</v>
      </c>
      <c r="I1637" s="660">
        <v>281520228</v>
      </c>
      <c r="J1637" s="661">
        <v>0</v>
      </c>
      <c r="K1637" s="660">
        <v>0</v>
      </c>
      <c r="L1637" s="660">
        <v>0</v>
      </c>
      <c r="M1637" s="660">
        <v>0</v>
      </c>
      <c r="N1637" s="665">
        <v>0</v>
      </c>
      <c r="O1637" s="291"/>
      <c r="P1637" s="453"/>
    </row>
    <row r="1638" spans="1:16" s="175" customFormat="1" x14ac:dyDescent="0.2">
      <c r="A1638" s="188"/>
      <c r="B1638" s="879"/>
      <c r="C1638" s="884"/>
      <c r="D1638" s="884" t="s">
        <v>1533</v>
      </c>
      <c r="E1638" s="664" t="s">
        <v>195</v>
      </c>
      <c r="F1638" s="660">
        <v>129650</v>
      </c>
      <c r="G1638" s="661">
        <v>129650</v>
      </c>
      <c r="H1638" s="660">
        <v>0</v>
      </c>
      <c r="I1638" s="660">
        <v>0</v>
      </c>
      <c r="J1638" s="661">
        <v>0</v>
      </c>
      <c r="K1638" s="660">
        <v>0</v>
      </c>
      <c r="L1638" s="660">
        <v>0</v>
      </c>
      <c r="M1638" s="660">
        <v>0</v>
      </c>
      <c r="N1638" s="665">
        <v>0</v>
      </c>
      <c r="O1638" s="291"/>
      <c r="P1638" s="453"/>
    </row>
    <row r="1639" spans="1:16" s="175" customFormat="1" x14ac:dyDescent="0.2">
      <c r="A1639" s="188"/>
      <c r="B1639" s="879"/>
      <c r="C1639" s="884" t="s">
        <v>3704</v>
      </c>
      <c r="D1639" s="884" t="s">
        <v>3705</v>
      </c>
      <c r="E1639" s="664" t="s">
        <v>26</v>
      </c>
      <c r="F1639" s="660">
        <v>92931834</v>
      </c>
      <c r="G1639" s="661">
        <v>16757078</v>
      </c>
      <c r="H1639" s="660">
        <v>76174756</v>
      </c>
      <c r="I1639" s="660">
        <v>76174756</v>
      </c>
      <c r="J1639" s="661">
        <v>0</v>
      </c>
      <c r="K1639" s="660">
        <v>0</v>
      </c>
      <c r="L1639" s="660">
        <v>0</v>
      </c>
      <c r="M1639" s="660">
        <v>0</v>
      </c>
      <c r="N1639" s="665">
        <v>0</v>
      </c>
      <c r="O1639" s="291"/>
      <c r="P1639" s="453"/>
    </row>
    <row r="1640" spans="1:16" s="175" customFormat="1" hidden="1" x14ac:dyDescent="0.2">
      <c r="A1640" s="188"/>
      <c r="B1640" s="879"/>
      <c r="C1640" s="884"/>
      <c r="D1640" s="884" t="s">
        <v>3705</v>
      </c>
      <c r="E1640" s="664" t="s">
        <v>1557</v>
      </c>
      <c r="F1640" s="660">
        <v>426313166</v>
      </c>
      <c r="G1640" s="661">
        <v>0</v>
      </c>
      <c r="H1640" s="660">
        <v>426313166</v>
      </c>
      <c r="I1640" s="660">
        <v>426313166</v>
      </c>
      <c r="J1640" s="661">
        <v>0</v>
      </c>
      <c r="K1640" s="660">
        <v>0</v>
      </c>
      <c r="L1640" s="660">
        <v>0</v>
      </c>
      <c r="M1640" s="660">
        <v>0</v>
      </c>
      <c r="N1640" s="665">
        <v>0</v>
      </c>
      <c r="O1640" s="291"/>
      <c r="P1640" s="453"/>
    </row>
    <row r="1641" spans="1:16" s="175" customFormat="1" x14ac:dyDescent="0.2">
      <c r="A1641" s="188"/>
      <c r="B1641" s="879"/>
      <c r="C1641" s="884"/>
      <c r="D1641" s="884" t="s">
        <v>3705</v>
      </c>
      <c r="E1641" s="664" t="s">
        <v>1221</v>
      </c>
      <c r="F1641" s="660">
        <v>13646457</v>
      </c>
      <c r="G1641" s="661">
        <v>5458580</v>
      </c>
      <c r="H1641" s="660">
        <v>8187877</v>
      </c>
      <c r="I1641" s="660">
        <v>8187877</v>
      </c>
      <c r="J1641" s="661">
        <v>0</v>
      </c>
      <c r="K1641" s="660">
        <v>0</v>
      </c>
      <c r="L1641" s="660">
        <v>0</v>
      </c>
      <c r="M1641" s="660">
        <v>0</v>
      </c>
      <c r="N1641" s="665">
        <v>0</v>
      </c>
      <c r="O1641" s="291"/>
      <c r="P1641" s="453"/>
    </row>
    <row r="1642" spans="1:16" s="175" customFormat="1" x14ac:dyDescent="0.2">
      <c r="A1642" s="188"/>
      <c r="B1642" s="879"/>
      <c r="C1642" s="884" t="s">
        <v>3706</v>
      </c>
      <c r="D1642" s="884" t="s">
        <v>2615</v>
      </c>
      <c r="E1642" s="664" t="s">
        <v>26</v>
      </c>
      <c r="F1642" s="660">
        <v>95369896</v>
      </c>
      <c r="G1642" s="661">
        <v>50000000</v>
      </c>
      <c r="H1642" s="660">
        <v>45369896</v>
      </c>
      <c r="I1642" s="660">
        <v>8000000</v>
      </c>
      <c r="J1642" s="661">
        <v>37369896</v>
      </c>
      <c r="K1642" s="660">
        <v>37369896</v>
      </c>
      <c r="L1642" s="660">
        <v>0</v>
      </c>
      <c r="M1642" s="660">
        <v>0</v>
      </c>
      <c r="N1642" s="665">
        <v>0</v>
      </c>
      <c r="O1642" s="291"/>
      <c r="P1642" s="453"/>
    </row>
    <row r="1643" spans="1:16" s="175" customFormat="1" hidden="1" x14ac:dyDescent="0.2">
      <c r="A1643" s="188"/>
      <c r="B1643" s="879"/>
      <c r="C1643" s="884"/>
      <c r="D1643" s="884" t="s">
        <v>2615</v>
      </c>
      <c r="E1643" s="664" t="s">
        <v>1557</v>
      </c>
      <c r="F1643" s="660">
        <v>381998280</v>
      </c>
      <c r="G1643" s="661">
        <v>0</v>
      </c>
      <c r="H1643" s="660">
        <v>381998280</v>
      </c>
      <c r="I1643" s="660">
        <v>381998280</v>
      </c>
      <c r="J1643" s="661">
        <v>0</v>
      </c>
      <c r="K1643" s="660">
        <v>0</v>
      </c>
      <c r="L1643" s="660">
        <v>0</v>
      </c>
      <c r="M1643" s="660">
        <v>0</v>
      </c>
      <c r="N1643" s="665">
        <v>0</v>
      </c>
      <c r="O1643" s="291"/>
      <c r="P1643" s="453"/>
    </row>
    <row r="1644" spans="1:16" s="175" customFormat="1" x14ac:dyDescent="0.2">
      <c r="A1644" s="188"/>
      <c r="B1644" s="879"/>
      <c r="C1644" s="884"/>
      <c r="D1644" s="884" t="s">
        <v>2615</v>
      </c>
      <c r="E1644" s="664" t="s">
        <v>1221</v>
      </c>
      <c r="F1644" s="660">
        <v>1931850</v>
      </c>
      <c r="G1644" s="661">
        <v>0</v>
      </c>
      <c r="H1644" s="660">
        <v>1931850</v>
      </c>
      <c r="I1644" s="660">
        <v>0</v>
      </c>
      <c r="J1644" s="661">
        <v>1931850</v>
      </c>
      <c r="K1644" s="660">
        <v>1931850</v>
      </c>
      <c r="L1644" s="660">
        <v>0</v>
      </c>
      <c r="M1644" s="660">
        <v>0</v>
      </c>
      <c r="N1644" s="665">
        <v>0</v>
      </c>
      <c r="O1644" s="291"/>
      <c r="P1644" s="453"/>
    </row>
    <row r="1645" spans="1:16" s="175" customFormat="1" x14ac:dyDescent="0.2">
      <c r="A1645" s="188"/>
      <c r="B1645" s="879"/>
      <c r="C1645" s="884" t="s">
        <v>3707</v>
      </c>
      <c r="D1645" s="884" t="s">
        <v>1514</v>
      </c>
      <c r="E1645" s="664" t="s">
        <v>26</v>
      </c>
      <c r="F1645" s="660">
        <v>118223910</v>
      </c>
      <c r="G1645" s="661">
        <v>106795746</v>
      </c>
      <c r="H1645" s="660">
        <v>11428164</v>
      </c>
      <c r="I1645" s="660">
        <v>7139000</v>
      </c>
      <c r="J1645" s="661">
        <v>4289164</v>
      </c>
      <c r="K1645" s="660">
        <v>3569497</v>
      </c>
      <c r="L1645" s="660">
        <v>719667</v>
      </c>
      <c r="M1645" s="660">
        <v>0</v>
      </c>
      <c r="N1645" s="665">
        <v>0</v>
      </c>
      <c r="O1645" s="291"/>
      <c r="P1645" s="453"/>
    </row>
    <row r="1646" spans="1:16" s="175" customFormat="1" hidden="1" x14ac:dyDescent="0.2">
      <c r="A1646" s="188"/>
      <c r="B1646" s="879"/>
      <c r="C1646" s="884"/>
      <c r="D1646" s="884" t="s">
        <v>1514</v>
      </c>
      <c r="E1646" s="664" t="s">
        <v>1557</v>
      </c>
      <c r="F1646" s="660">
        <v>275855790</v>
      </c>
      <c r="G1646" s="661">
        <v>0</v>
      </c>
      <c r="H1646" s="660">
        <v>275855790</v>
      </c>
      <c r="I1646" s="660">
        <v>275855790</v>
      </c>
      <c r="J1646" s="661">
        <v>0</v>
      </c>
      <c r="K1646" s="660">
        <v>0</v>
      </c>
      <c r="L1646" s="660">
        <v>0</v>
      </c>
      <c r="M1646" s="660">
        <v>0</v>
      </c>
      <c r="N1646" s="665">
        <v>0</v>
      </c>
      <c r="O1646" s="291"/>
      <c r="P1646" s="453"/>
    </row>
    <row r="1647" spans="1:16" s="175" customFormat="1" x14ac:dyDescent="0.2">
      <c r="A1647" s="188"/>
      <c r="B1647" s="879"/>
      <c r="C1647" s="884"/>
      <c r="D1647" s="884" t="s">
        <v>1514</v>
      </c>
      <c r="E1647" s="664" t="s">
        <v>195</v>
      </c>
      <c r="F1647" s="660">
        <v>4289165</v>
      </c>
      <c r="G1647" s="661">
        <v>4289165</v>
      </c>
      <c r="H1647" s="660">
        <v>0</v>
      </c>
      <c r="I1647" s="660">
        <v>0</v>
      </c>
      <c r="J1647" s="661">
        <v>0</v>
      </c>
      <c r="K1647" s="660">
        <v>0</v>
      </c>
      <c r="L1647" s="660">
        <v>0</v>
      </c>
      <c r="M1647" s="660">
        <v>0</v>
      </c>
      <c r="N1647" s="665">
        <v>0</v>
      </c>
      <c r="O1647" s="291"/>
      <c r="P1647" s="453"/>
    </row>
    <row r="1648" spans="1:16" s="175" customFormat="1" x14ac:dyDescent="0.2">
      <c r="A1648" s="188"/>
      <c r="B1648" s="879"/>
      <c r="C1648" s="884" t="s">
        <v>3708</v>
      </c>
      <c r="D1648" s="884" t="s">
        <v>1724</v>
      </c>
      <c r="E1648" s="664" t="s">
        <v>26</v>
      </c>
      <c r="F1648" s="660">
        <v>138180300</v>
      </c>
      <c r="G1648" s="661">
        <v>108000000</v>
      </c>
      <c r="H1648" s="660">
        <v>30180300</v>
      </c>
      <c r="I1648" s="660">
        <v>30180300</v>
      </c>
      <c r="J1648" s="661">
        <v>0</v>
      </c>
      <c r="K1648" s="660">
        <v>0</v>
      </c>
      <c r="L1648" s="660">
        <v>0</v>
      </c>
      <c r="M1648" s="660">
        <v>0</v>
      </c>
      <c r="N1648" s="665">
        <v>0</v>
      </c>
      <c r="O1648" s="291"/>
      <c r="P1648" s="453"/>
    </row>
    <row r="1649" spans="1:16" s="175" customFormat="1" hidden="1" x14ac:dyDescent="0.2">
      <c r="A1649" s="188"/>
      <c r="B1649" s="879"/>
      <c r="C1649" s="884"/>
      <c r="D1649" s="884" t="s">
        <v>1724</v>
      </c>
      <c r="E1649" s="664" t="s">
        <v>1557</v>
      </c>
      <c r="F1649" s="660">
        <v>322420700</v>
      </c>
      <c r="G1649" s="661">
        <v>411982</v>
      </c>
      <c r="H1649" s="660">
        <v>322008718</v>
      </c>
      <c r="I1649" s="660">
        <v>322008718</v>
      </c>
      <c r="J1649" s="661">
        <v>0</v>
      </c>
      <c r="K1649" s="660">
        <v>0</v>
      </c>
      <c r="L1649" s="660">
        <v>0</v>
      </c>
      <c r="M1649" s="660">
        <v>0</v>
      </c>
      <c r="N1649" s="665">
        <v>0</v>
      </c>
      <c r="O1649" s="291"/>
      <c r="P1649" s="453"/>
    </row>
    <row r="1650" spans="1:16" s="175" customFormat="1" x14ac:dyDescent="0.2">
      <c r="A1650" s="188"/>
      <c r="B1650" s="879"/>
      <c r="C1650" s="884" t="s">
        <v>4293</v>
      </c>
      <c r="D1650" s="884" t="s">
        <v>4294</v>
      </c>
      <c r="E1650" s="664" t="s">
        <v>26</v>
      </c>
      <c r="F1650" s="660">
        <v>105184053</v>
      </c>
      <c r="G1650" s="661">
        <v>4000000</v>
      </c>
      <c r="H1650" s="660">
        <v>101184053</v>
      </c>
      <c r="I1650" s="660">
        <v>97662386</v>
      </c>
      <c r="J1650" s="661">
        <v>3521667</v>
      </c>
      <c r="K1650" s="660">
        <v>3521667</v>
      </c>
      <c r="L1650" s="660">
        <v>0</v>
      </c>
      <c r="M1650" s="660">
        <v>0</v>
      </c>
      <c r="N1650" s="665">
        <v>0</v>
      </c>
      <c r="O1650" s="291"/>
      <c r="P1650" s="453"/>
    </row>
    <row r="1651" spans="1:16" s="175" customFormat="1" x14ac:dyDescent="0.2">
      <c r="A1651" s="188"/>
      <c r="B1651" s="879"/>
      <c r="C1651" s="884"/>
      <c r="D1651" s="884" t="s">
        <v>4294</v>
      </c>
      <c r="E1651" s="664" t="s">
        <v>22</v>
      </c>
      <c r="F1651" s="660">
        <v>15944436</v>
      </c>
      <c r="G1651" s="661">
        <v>0</v>
      </c>
      <c r="H1651" s="660">
        <v>15944436</v>
      </c>
      <c r="I1651" s="660">
        <v>15466103</v>
      </c>
      <c r="J1651" s="661">
        <v>478333</v>
      </c>
      <c r="K1651" s="660">
        <v>478333</v>
      </c>
      <c r="L1651" s="660">
        <v>0</v>
      </c>
      <c r="M1651" s="660">
        <v>0</v>
      </c>
      <c r="N1651" s="665">
        <v>0</v>
      </c>
      <c r="O1651" s="291"/>
      <c r="P1651" s="453"/>
    </row>
    <row r="1652" spans="1:16" s="175" customFormat="1" hidden="1" x14ac:dyDescent="0.2">
      <c r="A1652" s="188"/>
      <c r="B1652" s="879"/>
      <c r="C1652" s="884"/>
      <c r="D1652" s="884" t="s">
        <v>4294</v>
      </c>
      <c r="E1652" s="664" t="s">
        <v>1557</v>
      </c>
      <c r="F1652" s="660">
        <v>427794443</v>
      </c>
      <c r="G1652" s="661">
        <v>0</v>
      </c>
      <c r="H1652" s="660">
        <v>427794443</v>
      </c>
      <c r="I1652" s="660">
        <v>427794443</v>
      </c>
      <c r="J1652" s="661">
        <v>0</v>
      </c>
      <c r="K1652" s="660">
        <v>0</v>
      </c>
      <c r="L1652" s="660">
        <v>0</v>
      </c>
      <c r="M1652" s="660">
        <v>0</v>
      </c>
      <c r="N1652" s="665">
        <v>0</v>
      </c>
      <c r="O1652" s="291"/>
      <c r="P1652" s="453"/>
    </row>
    <row r="1653" spans="1:16" s="175" customFormat="1" x14ac:dyDescent="0.2">
      <c r="A1653" s="188"/>
      <c r="B1653" s="879"/>
      <c r="C1653" s="884" t="s">
        <v>3709</v>
      </c>
      <c r="D1653" s="884" t="s">
        <v>1723</v>
      </c>
      <c r="E1653" s="664" t="s">
        <v>26</v>
      </c>
      <c r="F1653" s="660">
        <v>139488600</v>
      </c>
      <c r="G1653" s="661">
        <v>108222000</v>
      </c>
      <c r="H1653" s="660">
        <v>31266600</v>
      </c>
      <c r="I1653" s="660">
        <v>31266600</v>
      </c>
      <c r="J1653" s="661">
        <v>0</v>
      </c>
      <c r="K1653" s="660">
        <v>0</v>
      </c>
      <c r="L1653" s="660">
        <v>0</v>
      </c>
      <c r="M1653" s="660">
        <v>0</v>
      </c>
      <c r="N1653" s="665">
        <v>0</v>
      </c>
      <c r="O1653" s="291"/>
      <c r="P1653" s="453"/>
    </row>
    <row r="1654" spans="1:16" s="175" customFormat="1" hidden="1" x14ac:dyDescent="0.2">
      <c r="A1654" s="188"/>
      <c r="B1654" s="879"/>
      <c r="C1654" s="884"/>
      <c r="D1654" s="884" t="s">
        <v>1723</v>
      </c>
      <c r="E1654" s="664" t="s">
        <v>1557</v>
      </c>
      <c r="F1654" s="660">
        <v>325473400</v>
      </c>
      <c r="G1654" s="661">
        <v>4654757</v>
      </c>
      <c r="H1654" s="660">
        <v>320818643</v>
      </c>
      <c r="I1654" s="660">
        <v>320818643</v>
      </c>
      <c r="J1654" s="661">
        <v>0</v>
      </c>
      <c r="K1654" s="660">
        <v>0</v>
      </c>
      <c r="L1654" s="660">
        <v>0</v>
      </c>
      <c r="M1654" s="660">
        <v>0</v>
      </c>
      <c r="N1654" s="665">
        <v>0</v>
      </c>
      <c r="O1654" s="291"/>
      <c r="P1654" s="453"/>
    </row>
    <row r="1655" spans="1:16" s="175" customFormat="1" x14ac:dyDescent="0.2">
      <c r="A1655" s="188"/>
      <c r="B1655" s="879"/>
      <c r="C1655" s="884" t="s">
        <v>3710</v>
      </c>
      <c r="D1655" s="884" t="s">
        <v>1515</v>
      </c>
      <c r="E1655" s="664" t="s">
        <v>26</v>
      </c>
      <c r="F1655" s="660">
        <v>119298960</v>
      </c>
      <c r="G1655" s="661">
        <v>99259283</v>
      </c>
      <c r="H1655" s="660">
        <v>20039677</v>
      </c>
      <c r="I1655" s="660">
        <v>7438651</v>
      </c>
      <c r="J1655" s="661">
        <v>12601026</v>
      </c>
      <c r="K1655" s="660">
        <v>3719321</v>
      </c>
      <c r="L1655" s="660">
        <v>3719321</v>
      </c>
      <c r="M1655" s="660">
        <v>3719321</v>
      </c>
      <c r="N1655" s="665">
        <v>1443063</v>
      </c>
      <c r="O1655" s="291"/>
      <c r="P1655" s="453"/>
    </row>
    <row r="1656" spans="1:16" s="175" customFormat="1" hidden="1" x14ac:dyDescent="0.2">
      <c r="A1656" s="188"/>
      <c r="B1656" s="879"/>
      <c r="C1656" s="884"/>
      <c r="D1656" s="884" t="s">
        <v>1515</v>
      </c>
      <c r="E1656" s="664" t="s">
        <v>1557</v>
      </c>
      <c r="F1656" s="660">
        <v>278364240</v>
      </c>
      <c r="G1656" s="661">
        <v>0</v>
      </c>
      <c r="H1656" s="660">
        <v>278364240</v>
      </c>
      <c r="I1656" s="660">
        <v>278364240</v>
      </c>
      <c r="J1656" s="661">
        <v>0</v>
      </c>
      <c r="K1656" s="660">
        <v>0</v>
      </c>
      <c r="L1656" s="660">
        <v>0</v>
      </c>
      <c r="M1656" s="660">
        <v>0</v>
      </c>
      <c r="N1656" s="665">
        <v>0</v>
      </c>
      <c r="O1656" s="291"/>
      <c r="P1656" s="453"/>
    </row>
    <row r="1657" spans="1:16" s="175" customFormat="1" x14ac:dyDescent="0.2">
      <c r="A1657" s="188"/>
      <c r="B1657" s="879"/>
      <c r="C1657" s="884"/>
      <c r="D1657" s="884" t="s">
        <v>1515</v>
      </c>
      <c r="E1657" s="664" t="s">
        <v>195</v>
      </c>
      <c r="F1657" s="660">
        <v>2330717</v>
      </c>
      <c r="G1657" s="661">
        <v>2330717</v>
      </c>
      <c r="H1657" s="660">
        <v>0</v>
      </c>
      <c r="I1657" s="660">
        <v>0</v>
      </c>
      <c r="J1657" s="661">
        <v>0</v>
      </c>
      <c r="K1657" s="660">
        <v>0</v>
      </c>
      <c r="L1657" s="660">
        <v>0</v>
      </c>
      <c r="M1657" s="660">
        <v>0</v>
      </c>
      <c r="N1657" s="665">
        <v>0</v>
      </c>
      <c r="O1657" s="291"/>
      <c r="P1657" s="453"/>
    </row>
    <row r="1658" spans="1:16" s="175" customFormat="1" x14ac:dyDescent="0.2">
      <c r="A1658" s="188"/>
      <c r="B1658" s="879"/>
      <c r="C1658" s="884" t="s">
        <v>3711</v>
      </c>
      <c r="D1658" s="884" t="s">
        <v>1673</v>
      </c>
      <c r="E1658" s="664" t="s">
        <v>26</v>
      </c>
      <c r="F1658" s="660">
        <v>138330300</v>
      </c>
      <c r="G1658" s="661">
        <v>97600000</v>
      </c>
      <c r="H1658" s="660">
        <v>40730300</v>
      </c>
      <c r="I1658" s="660">
        <v>36165850</v>
      </c>
      <c r="J1658" s="661">
        <v>4564450</v>
      </c>
      <c r="K1658" s="660">
        <v>4564450</v>
      </c>
      <c r="L1658" s="660">
        <v>0</v>
      </c>
      <c r="M1658" s="660">
        <v>0</v>
      </c>
      <c r="N1658" s="665">
        <v>0</v>
      </c>
      <c r="O1658" s="291"/>
      <c r="P1658" s="453"/>
    </row>
    <row r="1659" spans="1:16" s="175" customFormat="1" hidden="1" x14ac:dyDescent="0.2">
      <c r="A1659" s="188"/>
      <c r="B1659" s="879"/>
      <c r="C1659" s="884"/>
      <c r="D1659" s="884" t="s">
        <v>1673</v>
      </c>
      <c r="E1659" s="664" t="s">
        <v>1557</v>
      </c>
      <c r="F1659" s="660">
        <v>322770700</v>
      </c>
      <c r="G1659" s="661">
        <v>0</v>
      </c>
      <c r="H1659" s="660">
        <v>322770700</v>
      </c>
      <c r="I1659" s="660">
        <v>322770700</v>
      </c>
      <c r="J1659" s="661">
        <v>0</v>
      </c>
      <c r="K1659" s="660">
        <v>0</v>
      </c>
      <c r="L1659" s="660">
        <v>0</v>
      </c>
      <c r="M1659" s="660">
        <v>0</v>
      </c>
      <c r="N1659" s="665">
        <v>0</v>
      </c>
      <c r="O1659" s="291"/>
      <c r="P1659" s="453"/>
    </row>
    <row r="1660" spans="1:16" s="175" customFormat="1" x14ac:dyDescent="0.2">
      <c r="A1660" s="188"/>
      <c r="B1660" s="879"/>
      <c r="C1660" s="884" t="s">
        <v>3712</v>
      </c>
      <c r="D1660" s="884" t="s">
        <v>3284</v>
      </c>
      <c r="E1660" s="664" t="s">
        <v>26</v>
      </c>
      <c r="F1660" s="660">
        <v>102084520</v>
      </c>
      <c r="G1660" s="661">
        <v>102084520</v>
      </c>
      <c r="H1660" s="660">
        <v>0</v>
      </c>
      <c r="I1660" s="660">
        <v>0</v>
      </c>
      <c r="J1660" s="661">
        <v>0</v>
      </c>
      <c r="K1660" s="660">
        <v>0</v>
      </c>
      <c r="L1660" s="660">
        <v>0</v>
      </c>
      <c r="M1660" s="660">
        <v>0</v>
      </c>
      <c r="N1660" s="665">
        <v>0</v>
      </c>
      <c r="O1660" s="291"/>
      <c r="P1660" s="453"/>
    </row>
    <row r="1661" spans="1:16" s="175" customFormat="1" hidden="1" x14ac:dyDescent="0.2">
      <c r="A1661" s="188"/>
      <c r="B1661" s="879"/>
      <c r="C1661" s="884"/>
      <c r="D1661" s="884" t="s">
        <v>3284</v>
      </c>
      <c r="E1661" s="664" t="s">
        <v>1557</v>
      </c>
      <c r="F1661" s="660">
        <v>416065480</v>
      </c>
      <c r="G1661" s="661">
        <v>104376156</v>
      </c>
      <c r="H1661" s="660">
        <v>311689324</v>
      </c>
      <c r="I1661" s="660">
        <v>311689324</v>
      </c>
      <c r="J1661" s="661">
        <v>0</v>
      </c>
      <c r="K1661" s="660">
        <v>0</v>
      </c>
      <c r="L1661" s="660">
        <v>0</v>
      </c>
      <c r="M1661" s="660">
        <v>0</v>
      </c>
      <c r="N1661" s="665">
        <v>0</v>
      </c>
      <c r="O1661" s="291"/>
      <c r="P1661" s="453"/>
    </row>
    <row r="1662" spans="1:16" s="175" customFormat="1" x14ac:dyDescent="0.2">
      <c r="A1662" s="188"/>
      <c r="B1662" s="879"/>
      <c r="C1662" s="884"/>
      <c r="D1662" s="884" t="s">
        <v>3284</v>
      </c>
      <c r="E1662" s="664" t="s">
        <v>1221</v>
      </c>
      <c r="F1662" s="660">
        <v>1931850</v>
      </c>
      <c r="G1662" s="661">
        <v>1931850</v>
      </c>
      <c r="H1662" s="660">
        <v>0</v>
      </c>
      <c r="I1662" s="660">
        <v>0</v>
      </c>
      <c r="J1662" s="661">
        <v>0</v>
      </c>
      <c r="K1662" s="660">
        <v>0</v>
      </c>
      <c r="L1662" s="660">
        <v>0</v>
      </c>
      <c r="M1662" s="660">
        <v>0</v>
      </c>
      <c r="N1662" s="665">
        <v>0</v>
      </c>
      <c r="O1662" s="291"/>
      <c r="P1662" s="453"/>
    </row>
    <row r="1663" spans="1:16" s="175" customFormat="1" x14ac:dyDescent="0.2">
      <c r="A1663" s="188"/>
      <c r="B1663" s="879"/>
      <c r="C1663" s="884" t="s">
        <v>3713</v>
      </c>
      <c r="D1663" s="884" t="s">
        <v>2249</v>
      </c>
      <c r="E1663" s="664" t="s">
        <v>26</v>
      </c>
      <c r="F1663" s="660">
        <v>122475127</v>
      </c>
      <c r="G1663" s="661">
        <v>104156496</v>
      </c>
      <c r="H1663" s="660">
        <v>18318631</v>
      </c>
      <c r="I1663" s="660">
        <v>18318631</v>
      </c>
      <c r="J1663" s="661">
        <v>0</v>
      </c>
      <c r="K1663" s="660">
        <v>0</v>
      </c>
      <c r="L1663" s="660">
        <v>0</v>
      </c>
      <c r="M1663" s="660">
        <v>0</v>
      </c>
      <c r="N1663" s="665">
        <v>0</v>
      </c>
      <c r="O1663" s="291"/>
      <c r="P1663" s="453"/>
    </row>
    <row r="1664" spans="1:16" s="175" customFormat="1" hidden="1" x14ac:dyDescent="0.2">
      <c r="A1664" s="188"/>
      <c r="B1664" s="879"/>
      <c r="C1664" s="884"/>
      <c r="D1664" s="884" t="s">
        <v>2249</v>
      </c>
      <c r="E1664" s="664" t="s">
        <v>1557</v>
      </c>
      <c r="F1664" s="660">
        <v>289304873</v>
      </c>
      <c r="G1664" s="661">
        <v>0</v>
      </c>
      <c r="H1664" s="660">
        <v>289304873</v>
      </c>
      <c r="I1664" s="660">
        <v>289304873</v>
      </c>
      <c r="J1664" s="661">
        <v>0</v>
      </c>
      <c r="K1664" s="660">
        <v>0</v>
      </c>
      <c r="L1664" s="660">
        <v>0</v>
      </c>
      <c r="M1664" s="660">
        <v>0</v>
      </c>
      <c r="N1664" s="665">
        <v>0</v>
      </c>
      <c r="O1664" s="291"/>
      <c r="P1664" s="453"/>
    </row>
    <row r="1665" spans="1:16" s="175" customFormat="1" x14ac:dyDescent="0.2">
      <c r="A1665" s="188"/>
      <c r="B1665" s="879"/>
      <c r="C1665" s="884"/>
      <c r="D1665" s="884" t="s">
        <v>2249</v>
      </c>
      <c r="E1665" s="664" t="s">
        <v>1221</v>
      </c>
      <c r="F1665" s="660">
        <v>1512675</v>
      </c>
      <c r="G1665" s="661">
        <v>0</v>
      </c>
      <c r="H1665" s="660">
        <v>1512675</v>
      </c>
      <c r="I1665" s="660">
        <v>1512675</v>
      </c>
      <c r="J1665" s="661">
        <v>0</v>
      </c>
      <c r="K1665" s="660">
        <v>0</v>
      </c>
      <c r="L1665" s="660">
        <v>0</v>
      </c>
      <c r="M1665" s="660">
        <v>0</v>
      </c>
      <c r="N1665" s="665">
        <v>0</v>
      </c>
      <c r="O1665" s="291"/>
      <c r="P1665" s="453"/>
    </row>
    <row r="1666" spans="1:16" s="175" customFormat="1" x14ac:dyDescent="0.2">
      <c r="A1666" s="188"/>
      <c r="B1666" s="879"/>
      <c r="C1666" s="884" t="s">
        <v>3714</v>
      </c>
      <c r="D1666" s="884" t="s">
        <v>1750</v>
      </c>
      <c r="E1666" s="664" t="s">
        <v>26</v>
      </c>
      <c r="F1666" s="660">
        <v>139962439</v>
      </c>
      <c r="G1666" s="661">
        <v>129705216</v>
      </c>
      <c r="H1666" s="660">
        <v>10257223</v>
      </c>
      <c r="I1666" s="660">
        <v>10257223</v>
      </c>
      <c r="J1666" s="661">
        <v>0</v>
      </c>
      <c r="K1666" s="660">
        <v>0</v>
      </c>
      <c r="L1666" s="660">
        <v>0</v>
      </c>
      <c r="M1666" s="660">
        <v>0</v>
      </c>
      <c r="N1666" s="665">
        <v>0</v>
      </c>
      <c r="O1666" s="291"/>
      <c r="P1666" s="453"/>
    </row>
    <row r="1667" spans="1:16" s="175" customFormat="1" hidden="1" x14ac:dyDescent="0.2">
      <c r="A1667" s="188"/>
      <c r="B1667" s="879"/>
      <c r="C1667" s="884"/>
      <c r="D1667" s="884" t="s">
        <v>1750</v>
      </c>
      <c r="E1667" s="664" t="s">
        <v>1557</v>
      </c>
      <c r="F1667" s="660">
        <v>331703750</v>
      </c>
      <c r="G1667" s="661">
        <v>0</v>
      </c>
      <c r="H1667" s="660">
        <v>331703750</v>
      </c>
      <c r="I1667" s="660">
        <v>331703750</v>
      </c>
      <c r="J1667" s="661">
        <v>0</v>
      </c>
      <c r="K1667" s="660">
        <v>0</v>
      </c>
      <c r="L1667" s="660">
        <v>0</v>
      </c>
      <c r="M1667" s="660">
        <v>0</v>
      </c>
      <c r="N1667" s="665">
        <v>0</v>
      </c>
      <c r="O1667" s="291"/>
      <c r="P1667" s="453"/>
    </row>
    <row r="1668" spans="1:16" s="175" customFormat="1" x14ac:dyDescent="0.2">
      <c r="A1668" s="188"/>
      <c r="B1668" s="879"/>
      <c r="C1668" s="884" t="s">
        <v>3715</v>
      </c>
      <c r="D1668" s="884" t="s">
        <v>2582</v>
      </c>
      <c r="E1668" s="664" t="s">
        <v>26</v>
      </c>
      <c r="F1668" s="660">
        <v>95838150</v>
      </c>
      <c r="G1668" s="661">
        <v>95838150</v>
      </c>
      <c r="H1668" s="660">
        <v>0</v>
      </c>
      <c r="I1668" s="660">
        <v>0</v>
      </c>
      <c r="J1668" s="661">
        <v>0</v>
      </c>
      <c r="K1668" s="660">
        <v>0</v>
      </c>
      <c r="L1668" s="660">
        <v>0</v>
      </c>
      <c r="M1668" s="660">
        <v>0</v>
      </c>
      <c r="N1668" s="665">
        <v>0</v>
      </c>
      <c r="O1668" s="291"/>
      <c r="P1668" s="453"/>
    </row>
    <row r="1669" spans="1:16" s="175" customFormat="1" hidden="1" x14ac:dyDescent="0.2">
      <c r="A1669" s="188"/>
      <c r="B1669" s="879"/>
      <c r="C1669" s="884"/>
      <c r="D1669" s="884" t="s">
        <v>2582</v>
      </c>
      <c r="E1669" s="664" t="s">
        <v>1557</v>
      </c>
      <c r="F1669" s="660">
        <v>386571850</v>
      </c>
      <c r="G1669" s="661">
        <v>0</v>
      </c>
      <c r="H1669" s="660">
        <v>386571850</v>
      </c>
      <c r="I1669" s="660">
        <v>386571850</v>
      </c>
      <c r="J1669" s="661">
        <v>0</v>
      </c>
      <c r="K1669" s="660">
        <v>0</v>
      </c>
      <c r="L1669" s="660">
        <v>0</v>
      </c>
      <c r="M1669" s="660">
        <v>0</v>
      </c>
      <c r="N1669" s="665">
        <v>0</v>
      </c>
      <c r="O1669" s="291"/>
      <c r="P1669" s="453"/>
    </row>
    <row r="1670" spans="1:16" s="175" customFormat="1" x14ac:dyDescent="0.2">
      <c r="A1670" s="188"/>
      <c r="B1670" s="879"/>
      <c r="C1670" s="884"/>
      <c r="D1670" s="884" t="s">
        <v>2582</v>
      </c>
      <c r="E1670" s="664" t="s">
        <v>1221</v>
      </c>
      <c r="F1670" s="660">
        <v>1931850</v>
      </c>
      <c r="G1670" s="661">
        <v>1931850</v>
      </c>
      <c r="H1670" s="660">
        <v>0</v>
      </c>
      <c r="I1670" s="660">
        <v>0</v>
      </c>
      <c r="J1670" s="661">
        <v>0</v>
      </c>
      <c r="K1670" s="660">
        <v>0</v>
      </c>
      <c r="L1670" s="660">
        <v>0</v>
      </c>
      <c r="M1670" s="660">
        <v>0</v>
      </c>
      <c r="N1670" s="665">
        <v>0</v>
      </c>
      <c r="O1670" s="291"/>
      <c r="P1670" s="453"/>
    </row>
    <row r="1671" spans="1:16" s="175" customFormat="1" x14ac:dyDescent="0.2">
      <c r="A1671" s="188"/>
      <c r="B1671" s="879"/>
      <c r="C1671" s="884" t="s">
        <v>3716</v>
      </c>
      <c r="D1671" s="884" t="s">
        <v>1436</v>
      </c>
      <c r="E1671" s="664" t="s">
        <v>26</v>
      </c>
      <c r="F1671" s="660">
        <v>139012047</v>
      </c>
      <c r="G1671" s="661">
        <v>126424506</v>
      </c>
      <c r="H1671" s="660">
        <v>12587541</v>
      </c>
      <c r="I1671" s="660">
        <v>8438267</v>
      </c>
      <c r="J1671" s="661">
        <v>4149274</v>
      </c>
      <c r="K1671" s="660">
        <v>4149274</v>
      </c>
      <c r="L1671" s="660">
        <v>0</v>
      </c>
      <c r="M1671" s="660">
        <v>0</v>
      </c>
      <c r="N1671" s="665">
        <v>0</v>
      </c>
      <c r="O1671" s="291"/>
      <c r="P1671" s="453"/>
    </row>
    <row r="1672" spans="1:16" s="175" customFormat="1" hidden="1" x14ac:dyDescent="0.2">
      <c r="A1672" s="188"/>
      <c r="B1672" s="879"/>
      <c r="C1672" s="884"/>
      <c r="D1672" s="884" t="s">
        <v>1436</v>
      </c>
      <c r="E1672" s="664" t="s">
        <v>1557</v>
      </c>
      <c r="F1672" s="660">
        <v>324361443</v>
      </c>
      <c r="G1672" s="661">
        <v>0</v>
      </c>
      <c r="H1672" s="660">
        <v>324361443</v>
      </c>
      <c r="I1672" s="660">
        <v>324361443</v>
      </c>
      <c r="J1672" s="661">
        <v>0</v>
      </c>
      <c r="K1672" s="660">
        <v>0</v>
      </c>
      <c r="L1672" s="660">
        <v>0</v>
      </c>
      <c r="M1672" s="660">
        <v>0</v>
      </c>
      <c r="N1672" s="665">
        <v>0</v>
      </c>
      <c r="O1672" s="291"/>
      <c r="P1672" s="453"/>
    </row>
    <row r="1673" spans="1:16" s="175" customFormat="1" x14ac:dyDescent="0.2">
      <c r="A1673" s="188"/>
      <c r="B1673" s="879"/>
      <c r="C1673" s="884"/>
      <c r="D1673" s="884" t="s">
        <v>1436</v>
      </c>
      <c r="E1673" s="664" t="s">
        <v>195</v>
      </c>
      <c r="F1673" s="660">
        <v>2145494</v>
      </c>
      <c r="G1673" s="661">
        <v>2145494</v>
      </c>
      <c r="H1673" s="660">
        <v>0</v>
      </c>
      <c r="I1673" s="660">
        <v>0</v>
      </c>
      <c r="J1673" s="661">
        <v>0</v>
      </c>
      <c r="K1673" s="660">
        <v>0</v>
      </c>
      <c r="L1673" s="660">
        <v>0</v>
      </c>
      <c r="M1673" s="660">
        <v>0</v>
      </c>
      <c r="N1673" s="665">
        <v>0</v>
      </c>
      <c r="O1673" s="291"/>
      <c r="P1673" s="453"/>
    </row>
    <row r="1674" spans="1:16" s="175" customFormat="1" x14ac:dyDescent="0.2">
      <c r="A1674" s="188"/>
      <c r="B1674" s="879"/>
      <c r="C1674" s="884" t="s">
        <v>3717</v>
      </c>
      <c r="D1674" s="884" t="s">
        <v>1578</v>
      </c>
      <c r="E1674" s="664" t="s">
        <v>26</v>
      </c>
      <c r="F1674" s="660">
        <v>120864000</v>
      </c>
      <c r="G1674" s="661">
        <v>96276518</v>
      </c>
      <c r="H1674" s="660">
        <v>24587482</v>
      </c>
      <c r="I1674" s="660">
        <v>12521150</v>
      </c>
      <c r="J1674" s="661">
        <v>12066332</v>
      </c>
      <c r="K1674" s="660">
        <v>4173714</v>
      </c>
      <c r="L1674" s="660">
        <v>4173714</v>
      </c>
      <c r="M1674" s="660">
        <v>3718904</v>
      </c>
      <c r="N1674" s="665">
        <v>0</v>
      </c>
      <c r="O1674" s="291"/>
      <c r="P1674" s="453"/>
    </row>
    <row r="1675" spans="1:16" s="175" customFormat="1" hidden="1" x14ac:dyDescent="0.2">
      <c r="A1675" s="188"/>
      <c r="B1675" s="879"/>
      <c r="C1675" s="884"/>
      <c r="D1675" s="884" t="s">
        <v>1578</v>
      </c>
      <c r="E1675" s="664" t="s">
        <v>1557</v>
      </c>
      <c r="F1675" s="660">
        <v>282016000</v>
      </c>
      <c r="G1675" s="661">
        <v>0</v>
      </c>
      <c r="H1675" s="660">
        <v>282016000</v>
      </c>
      <c r="I1675" s="660">
        <v>282016000</v>
      </c>
      <c r="J1675" s="661">
        <v>0</v>
      </c>
      <c r="K1675" s="660">
        <v>0</v>
      </c>
      <c r="L1675" s="660">
        <v>0</v>
      </c>
      <c r="M1675" s="660">
        <v>0</v>
      </c>
      <c r="N1675" s="665">
        <v>0</v>
      </c>
      <c r="O1675" s="291"/>
      <c r="P1675" s="453"/>
    </row>
    <row r="1676" spans="1:16" s="175" customFormat="1" x14ac:dyDescent="0.2">
      <c r="A1676" s="188"/>
      <c r="B1676" s="879"/>
      <c r="C1676" s="884"/>
      <c r="D1676" s="884" t="s">
        <v>1578</v>
      </c>
      <c r="E1676" s="664" t="s">
        <v>195</v>
      </c>
      <c r="F1676" s="660">
        <v>1665021</v>
      </c>
      <c r="G1676" s="661">
        <v>1665021</v>
      </c>
      <c r="H1676" s="660">
        <v>0</v>
      </c>
      <c r="I1676" s="660">
        <v>0</v>
      </c>
      <c r="J1676" s="661">
        <v>0</v>
      </c>
      <c r="K1676" s="660">
        <v>0</v>
      </c>
      <c r="L1676" s="660">
        <v>0</v>
      </c>
      <c r="M1676" s="660">
        <v>0</v>
      </c>
      <c r="N1676" s="665">
        <v>0</v>
      </c>
      <c r="O1676" s="291"/>
      <c r="P1676" s="453"/>
    </row>
    <row r="1677" spans="1:16" s="175" customFormat="1" x14ac:dyDescent="0.2">
      <c r="A1677" s="188"/>
      <c r="B1677" s="879"/>
      <c r="C1677" s="884" t="s">
        <v>3718</v>
      </c>
      <c r="D1677" s="884" t="s">
        <v>1985</v>
      </c>
      <c r="E1677" s="664" t="s">
        <v>26</v>
      </c>
      <c r="F1677" s="660">
        <v>136578973</v>
      </c>
      <c r="G1677" s="661">
        <v>121608656</v>
      </c>
      <c r="H1677" s="660">
        <v>14970317</v>
      </c>
      <c r="I1677" s="660">
        <v>14970317</v>
      </c>
      <c r="J1677" s="661">
        <v>0</v>
      </c>
      <c r="K1677" s="660">
        <v>0</v>
      </c>
      <c r="L1677" s="660">
        <v>0</v>
      </c>
      <c r="M1677" s="660">
        <v>0</v>
      </c>
      <c r="N1677" s="665">
        <v>0</v>
      </c>
      <c r="O1677" s="291"/>
      <c r="P1677" s="453"/>
    </row>
    <row r="1678" spans="1:16" s="175" customFormat="1" hidden="1" x14ac:dyDescent="0.2">
      <c r="A1678" s="188"/>
      <c r="B1678" s="879"/>
      <c r="C1678" s="884"/>
      <c r="D1678" s="884" t="s">
        <v>1985</v>
      </c>
      <c r="E1678" s="664" t="s">
        <v>1557</v>
      </c>
      <c r="F1678" s="660">
        <v>333239095</v>
      </c>
      <c r="G1678" s="661">
        <v>0</v>
      </c>
      <c r="H1678" s="660">
        <v>333239095</v>
      </c>
      <c r="I1678" s="660">
        <v>333239095</v>
      </c>
      <c r="J1678" s="661">
        <v>0</v>
      </c>
      <c r="K1678" s="660">
        <v>0</v>
      </c>
      <c r="L1678" s="660">
        <v>0</v>
      </c>
      <c r="M1678" s="660">
        <v>0</v>
      </c>
      <c r="N1678" s="665">
        <v>0</v>
      </c>
      <c r="O1678" s="291"/>
      <c r="P1678" s="453"/>
    </row>
    <row r="1679" spans="1:16" s="175" customFormat="1" x14ac:dyDescent="0.2">
      <c r="A1679" s="188"/>
      <c r="B1679" s="879"/>
      <c r="C1679" s="884"/>
      <c r="D1679" s="884" t="s">
        <v>1985</v>
      </c>
      <c r="E1679" s="664" t="s">
        <v>1221</v>
      </c>
      <c r="F1679" s="660">
        <v>1931850</v>
      </c>
      <c r="G1679" s="661">
        <v>0</v>
      </c>
      <c r="H1679" s="660">
        <v>1931850</v>
      </c>
      <c r="I1679" s="660">
        <v>1931850</v>
      </c>
      <c r="J1679" s="661">
        <v>0</v>
      </c>
      <c r="K1679" s="660">
        <v>0</v>
      </c>
      <c r="L1679" s="660">
        <v>0</v>
      </c>
      <c r="M1679" s="660">
        <v>0</v>
      </c>
      <c r="N1679" s="665">
        <v>0</v>
      </c>
      <c r="O1679" s="291"/>
      <c r="P1679" s="453"/>
    </row>
    <row r="1680" spans="1:16" s="175" customFormat="1" x14ac:dyDescent="0.2">
      <c r="A1680" s="188"/>
      <c r="B1680" s="879"/>
      <c r="C1680" s="884" t="s">
        <v>3719</v>
      </c>
      <c r="D1680" s="884" t="s">
        <v>1725</v>
      </c>
      <c r="E1680" s="664" t="s">
        <v>26</v>
      </c>
      <c r="F1680" s="660">
        <v>138561000</v>
      </c>
      <c r="G1680" s="661">
        <v>117859306</v>
      </c>
      <c r="H1680" s="660">
        <v>20701694</v>
      </c>
      <c r="I1680" s="660">
        <v>20701694</v>
      </c>
      <c r="J1680" s="661">
        <v>0</v>
      </c>
      <c r="K1680" s="660">
        <v>0</v>
      </c>
      <c r="L1680" s="660">
        <v>0</v>
      </c>
      <c r="M1680" s="660">
        <v>0</v>
      </c>
      <c r="N1680" s="665">
        <v>0</v>
      </c>
      <c r="O1680" s="291"/>
      <c r="P1680" s="453"/>
    </row>
    <row r="1681" spans="1:16" s="175" customFormat="1" hidden="1" x14ac:dyDescent="0.2">
      <c r="A1681" s="188"/>
      <c r="B1681" s="879"/>
      <c r="C1681" s="884"/>
      <c r="D1681" s="884" t="s">
        <v>1725</v>
      </c>
      <c r="E1681" s="664" t="s">
        <v>1557</v>
      </c>
      <c r="F1681" s="660">
        <v>323309000</v>
      </c>
      <c r="G1681" s="661">
        <v>805115</v>
      </c>
      <c r="H1681" s="660">
        <v>322503885</v>
      </c>
      <c r="I1681" s="660">
        <v>322503885</v>
      </c>
      <c r="J1681" s="661">
        <v>0</v>
      </c>
      <c r="K1681" s="660">
        <v>0</v>
      </c>
      <c r="L1681" s="660">
        <v>0</v>
      </c>
      <c r="M1681" s="660">
        <v>0</v>
      </c>
      <c r="N1681" s="665">
        <v>0</v>
      </c>
      <c r="O1681" s="291"/>
      <c r="P1681" s="453"/>
    </row>
    <row r="1682" spans="1:16" s="175" customFormat="1" x14ac:dyDescent="0.2">
      <c r="A1682" s="188"/>
      <c r="B1682" s="879"/>
      <c r="C1682" s="884" t="s">
        <v>3720</v>
      </c>
      <c r="D1682" s="884" t="s">
        <v>1248</v>
      </c>
      <c r="E1682" s="664" t="s">
        <v>26</v>
      </c>
      <c r="F1682" s="660">
        <v>123766656</v>
      </c>
      <c r="G1682" s="661">
        <v>103347945</v>
      </c>
      <c r="H1682" s="660">
        <v>20418711</v>
      </c>
      <c r="I1682" s="660">
        <v>3672746</v>
      </c>
      <c r="J1682" s="661">
        <v>16745965</v>
      </c>
      <c r="K1682" s="660">
        <v>3850000</v>
      </c>
      <c r="L1682" s="660">
        <v>3850000</v>
      </c>
      <c r="M1682" s="660">
        <v>3850000</v>
      </c>
      <c r="N1682" s="665">
        <v>5195965</v>
      </c>
      <c r="O1682" s="291"/>
      <c r="P1682" s="453"/>
    </row>
    <row r="1683" spans="1:16" s="175" customFormat="1" hidden="1" x14ac:dyDescent="0.2">
      <c r="A1683" s="188"/>
      <c r="B1683" s="879"/>
      <c r="C1683" s="884"/>
      <c r="D1683" s="884" t="s">
        <v>1248</v>
      </c>
      <c r="E1683" s="664" t="s">
        <v>1557</v>
      </c>
      <c r="F1683" s="660">
        <v>278587236</v>
      </c>
      <c r="G1683" s="661">
        <v>0</v>
      </c>
      <c r="H1683" s="660">
        <v>278587236</v>
      </c>
      <c r="I1683" s="660">
        <v>278587236</v>
      </c>
      <c r="J1683" s="661">
        <v>0</v>
      </c>
      <c r="K1683" s="660">
        <v>0</v>
      </c>
      <c r="L1683" s="660">
        <v>0</v>
      </c>
      <c r="M1683" s="660">
        <v>0</v>
      </c>
      <c r="N1683" s="665">
        <v>0</v>
      </c>
      <c r="O1683" s="291"/>
      <c r="P1683" s="453"/>
    </row>
    <row r="1684" spans="1:16" s="175" customFormat="1" x14ac:dyDescent="0.2">
      <c r="A1684" s="188"/>
      <c r="B1684" s="879"/>
      <c r="C1684" s="884"/>
      <c r="D1684" s="884" t="s">
        <v>1248</v>
      </c>
      <c r="E1684" s="664" t="s">
        <v>195</v>
      </c>
      <c r="F1684" s="660">
        <v>5195965</v>
      </c>
      <c r="G1684" s="661">
        <v>5195965</v>
      </c>
      <c r="H1684" s="660">
        <v>0</v>
      </c>
      <c r="I1684" s="660">
        <v>0</v>
      </c>
      <c r="J1684" s="661">
        <v>0</v>
      </c>
      <c r="K1684" s="660">
        <v>0</v>
      </c>
      <c r="L1684" s="660">
        <v>0</v>
      </c>
      <c r="M1684" s="660">
        <v>0</v>
      </c>
      <c r="N1684" s="665">
        <v>0</v>
      </c>
      <c r="O1684" s="291"/>
      <c r="P1684" s="453"/>
    </row>
    <row r="1685" spans="1:16" s="175" customFormat="1" x14ac:dyDescent="0.2">
      <c r="A1685" s="188"/>
      <c r="B1685" s="879"/>
      <c r="C1685" s="884" t="s">
        <v>3721</v>
      </c>
      <c r="D1685" s="884" t="s">
        <v>2583</v>
      </c>
      <c r="E1685" s="664" t="s">
        <v>26</v>
      </c>
      <c r="F1685" s="660">
        <v>141531150</v>
      </c>
      <c r="G1685" s="661">
        <v>117000000</v>
      </c>
      <c r="H1685" s="660">
        <v>24531150</v>
      </c>
      <c r="I1685" s="660">
        <v>14735475</v>
      </c>
      <c r="J1685" s="661">
        <v>9795675</v>
      </c>
      <c r="K1685" s="660">
        <v>4911827</v>
      </c>
      <c r="L1685" s="660">
        <v>4883848</v>
      </c>
      <c r="M1685" s="660">
        <v>0</v>
      </c>
      <c r="N1685" s="665">
        <v>0</v>
      </c>
      <c r="O1685" s="291"/>
      <c r="P1685" s="453"/>
    </row>
    <row r="1686" spans="1:16" s="175" customFormat="1" hidden="1" x14ac:dyDescent="0.2">
      <c r="A1686" s="188"/>
      <c r="B1686" s="879"/>
      <c r="C1686" s="884"/>
      <c r="D1686" s="884" t="s">
        <v>2583</v>
      </c>
      <c r="E1686" s="664" t="s">
        <v>1557</v>
      </c>
      <c r="F1686" s="660">
        <v>330239350</v>
      </c>
      <c r="G1686" s="661">
        <v>358024</v>
      </c>
      <c r="H1686" s="660">
        <v>329881326</v>
      </c>
      <c r="I1686" s="660">
        <v>329881326</v>
      </c>
      <c r="J1686" s="661">
        <v>0</v>
      </c>
      <c r="K1686" s="660">
        <v>0</v>
      </c>
      <c r="L1686" s="660">
        <v>0</v>
      </c>
      <c r="M1686" s="660">
        <v>0</v>
      </c>
      <c r="N1686" s="665">
        <v>0</v>
      </c>
      <c r="O1686" s="291"/>
      <c r="P1686" s="453"/>
    </row>
    <row r="1687" spans="1:16" s="175" customFormat="1" x14ac:dyDescent="0.2">
      <c r="A1687" s="188"/>
      <c r="B1687" s="879"/>
      <c r="C1687" s="884" t="s">
        <v>3722</v>
      </c>
      <c r="D1687" s="884" t="s">
        <v>2544</v>
      </c>
      <c r="E1687" s="664" t="s">
        <v>26</v>
      </c>
      <c r="F1687" s="660">
        <v>106231989</v>
      </c>
      <c r="G1687" s="661">
        <v>56176177</v>
      </c>
      <c r="H1687" s="660">
        <v>50055812</v>
      </c>
      <c r="I1687" s="660">
        <v>29883956</v>
      </c>
      <c r="J1687" s="661">
        <v>20171856</v>
      </c>
      <c r="K1687" s="660">
        <v>15585928</v>
      </c>
      <c r="L1687" s="660">
        <v>4585928</v>
      </c>
      <c r="M1687" s="660">
        <v>0</v>
      </c>
      <c r="N1687" s="665">
        <v>0</v>
      </c>
      <c r="O1687" s="291"/>
      <c r="P1687" s="453"/>
    </row>
    <row r="1688" spans="1:16" s="175" customFormat="1" hidden="1" x14ac:dyDescent="0.2">
      <c r="A1688" s="188"/>
      <c r="B1688" s="879"/>
      <c r="C1688" s="884"/>
      <c r="D1688" s="884" t="s">
        <v>2544</v>
      </c>
      <c r="E1688" s="664" t="s">
        <v>1557</v>
      </c>
      <c r="F1688" s="660">
        <v>380877480</v>
      </c>
      <c r="G1688" s="661">
        <v>0</v>
      </c>
      <c r="H1688" s="660">
        <v>380877480</v>
      </c>
      <c r="I1688" s="660">
        <v>380877480</v>
      </c>
      <c r="J1688" s="661">
        <v>0</v>
      </c>
      <c r="K1688" s="660">
        <v>0</v>
      </c>
      <c r="L1688" s="660">
        <v>0</v>
      </c>
      <c r="M1688" s="660">
        <v>0</v>
      </c>
      <c r="N1688" s="665">
        <v>0</v>
      </c>
      <c r="O1688" s="291"/>
      <c r="P1688" s="453"/>
    </row>
    <row r="1689" spans="1:16" s="175" customFormat="1" x14ac:dyDescent="0.2">
      <c r="A1689" s="188"/>
      <c r="B1689" s="879"/>
      <c r="C1689" s="884"/>
      <c r="D1689" s="884" t="s">
        <v>2544</v>
      </c>
      <c r="E1689" s="664" t="s">
        <v>1221</v>
      </c>
      <c r="F1689" s="660">
        <v>1931850</v>
      </c>
      <c r="G1689" s="661">
        <v>643950</v>
      </c>
      <c r="H1689" s="660">
        <v>1287900</v>
      </c>
      <c r="I1689" s="660">
        <v>1287900</v>
      </c>
      <c r="J1689" s="661">
        <v>0</v>
      </c>
      <c r="K1689" s="660">
        <v>0</v>
      </c>
      <c r="L1689" s="660">
        <v>0</v>
      </c>
      <c r="M1689" s="660">
        <v>0</v>
      </c>
      <c r="N1689" s="665">
        <v>0</v>
      </c>
      <c r="O1689" s="291"/>
      <c r="P1689" s="453"/>
    </row>
    <row r="1690" spans="1:16" s="175" customFormat="1" x14ac:dyDescent="0.2">
      <c r="A1690" s="188"/>
      <c r="B1690" s="879"/>
      <c r="C1690" s="884" t="s">
        <v>3723</v>
      </c>
      <c r="D1690" s="884" t="s">
        <v>1475</v>
      </c>
      <c r="E1690" s="664" t="s">
        <v>26</v>
      </c>
      <c r="F1690" s="660">
        <v>147124609</v>
      </c>
      <c r="G1690" s="661">
        <v>44650135</v>
      </c>
      <c r="H1690" s="660">
        <v>102474474</v>
      </c>
      <c r="I1690" s="660">
        <v>20382334</v>
      </c>
      <c r="J1690" s="661">
        <v>82092140</v>
      </c>
      <c r="K1690" s="660">
        <v>8000000</v>
      </c>
      <c r="L1690" s="660">
        <v>8000000</v>
      </c>
      <c r="M1690" s="660">
        <v>8000000</v>
      </c>
      <c r="N1690" s="665">
        <v>58092140</v>
      </c>
      <c r="O1690" s="291"/>
      <c r="P1690" s="453"/>
    </row>
    <row r="1691" spans="1:16" s="175" customFormat="1" hidden="1" x14ac:dyDescent="0.2">
      <c r="A1691" s="188"/>
      <c r="B1691" s="879"/>
      <c r="C1691" s="884"/>
      <c r="D1691" s="884" t="s">
        <v>1475</v>
      </c>
      <c r="E1691" s="664" t="s">
        <v>1557</v>
      </c>
      <c r="F1691" s="660">
        <v>325057943</v>
      </c>
      <c r="G1691" s="661">
        <v>0</v>
      </c>
      <c r="H1691" s="660">
        <v>325057943</v>
      </c>
      <c r="I1691" s="660">
        <v>325057943</v>
      </c>
      <c r="J1691" s="661">
        <v>0</v>
      </c>
      <c r="K1691" s="660">
        <v>0</v>
      </c>
      <c r="L1691" s="660">
        <v>0</v>
      </c>
      <c r="M1691" s="660">
        <v>0</v>
      </c>
      <c r="N1691" s="665">
        <v>0</v>
      </c>
      <c r="O1691" s="291"/>
      <c r="P1691" s="453"/>
    </row>
    <row r="1692" spans="1:16" s="175" customFormat="1" x14ac:dyDescent="0.2">
      <c r="A1692" s="188"/>
      <c r="B1692" s="879"/>
      <c r="C1692" s="884"/>
      <c r="D1692" s="884" t="s">
        <v>1475</v>
      </c>
      <c r="E1692" s="664" t="s">
        <v>195</v>
      </c>
      <c r="F1692" s="660">
        <v>9464113</v>
      </c>
      <c r="G1692" s="661">
        <v>5692140</v>
      </c>
      <c r="H1692" s="660">
        <v>3771973</v>
      </c>
      <c r="I1692" s="660">
        <v>0</v>
      </c>
      <c r="J1692" s="661">
        <v>3771973</v>
      </c>
      <c r="K1692" s="660">
        <v>0</v>
      </c>
      <c r="L1692" s="660">
        <v>3771973</v>
      </c>
      <c r="M1692" s="660">
        <v>0</v>
      </c>
      <c r="N1692" s="665">
        <v>0</v>
      </c>
      <c r="O1692" s="291"/>
      <c r="P1692" s="453"/>
    </row>
    <row r="1693" spans="1:16" s="175" customFormat="1" x14ac:dyDescent="0.2">
      <c r="A1693" s="188"/>
      <c r="B1693" s="879"/>
      <c r="C1693" s="884" t="s">
        <v>3724</v>
      </c>
      <c r="D1693" s="884" t="s">
        <v>1986</v>
      </c>
      <c r="E1693" s="664" t="s">
        <v>26</v>
      </c>
      <c r="F1693" s="660">
        <v>126875050</v>
      </c>
      <c r="G1693" s="661">
        <v>98000000</v>
      </c>
      <c r="H1693" s="660">
        <v>28875050</v>
      </c>
      <c r="I1693" s="660">
        <v>28875050</v>
      </c>
      <c r="J1693" s="661">
        <v>0</v>
      </c>
      <c r="K1693" s="660">
        <v>0</v>
      </c>
      <c r="L1693" s="660">
        <v>0</v>
      </c>
      <c r="M1693" s="660">
        <v>0</v>
      </c>
      <c r="N1693" s="665">
        <v>0</v>
      </c>
      <c r="O1693" s="291"/>
      <c r="P1693" s="453"/>
    </row>
    <row r="1694" spans="1:16" s="175" customFormat="1" hidden="1" x14ac:dyDescent="0.2">
      <c r="A1694" s="188"/>
      <c r="B1694" s="879"/>
      <c r="C1694" s="884"/>
      <c r="D1694" s="884" t="s">
        <v>1986</v>
      </c>
      <c r="E1694" s="664" t="s">
        <v>1557</v>
      </c>
      <c r="F1694" s="660">
        <v>273000000</v>
      </c>
      <c r="G1694" s="661">
        <v>1117403</v>
      </c>
      <c r="H1694" s="660">
        <v>271882597</v>
      </c>
      <c r="I1694" s="660">
        <v>271882597</v>
      </c>
      <c r="J1694" s="661">
        <v>0</v>
      </c>
      <c r="K1694" s="660">
        <v>0</v>
      </c>
      <c r="L1694" s="660">
        <v>0</v>
      </c>
      <c r="M1694" s="660">
        <v>0</v>
      </c>
      <c r="N1694" s="665">
        <v>0</v>
      </c>
      <c r="O1694" s="291"/>
      <c r="P1694" s="453"/>
    </row>
    <row r="1695" spans="1:16" s="175" customFormat="1" hidden="1" x14ac:dyDescent="0.2">
      <c r="A1695" s="188"/>
      <c r="B1695" s="469"/>
      <c r="C1695" s="593">
        <f>++'Detalle Inmueble'!AA5</f>
        <v>83</v>
      </c>
      <c r="D1695" s="593" t="s">
        <v>1217</v>
      </c>
      <c r="E1695" s="470"/>
      <c r="F1695" s="675">
        <f t="shared" ref="F1695:N1695" si="4">SUBTOTAL(109,F1468:F1694)</f>
        <v>11406630153</v>
      </c>
      <c r="G1695" s="675">
        <f t="shared" si="4"/>
        <v>8505010175</v>
      </c>
      <c r="H1695" s="675">
        <f t="shared" si="4"/>
        <v>2901619978</v>
      </c>
      <c r="I1695" s="675">
        <f t="shared" si="4"/>
        <v>2411786877</v>
      </c>
      <c r="J1695" s="675">
        <f t="shared" si="4"/>
        <v>489833101</v>
      </c>
      <c r="K1695" s="675">
        <f t="shared" si="4"/>
        <v>247485013</v>
      </c>
      <c r="L1695" s="675">
        <f t="shared" si="4"/>
        <v>98207417</v>
      </c>
      <c r="M1695" s="675">
        <f t="shared" si="4"/>
        <v>45914829</v>
      </c>
      <c r="N1695" s="675">
        <f t="shared" si="4"/>
        <v>98225842</v>
      </c>
      <c r="O1695" s="451"/>
      <c r="P1695" s="452"/>
    </row>
    <row r="1696" spans="1:16" ht="13.5" hidden="1" thickBot="1" x14ac:dyDescent="0.25">
      <c r="B1696" s="471"/>
      <c r="C1696" s="587">
        <f>++C853+C526+C1467+C1695+C1096</f>
        <v>576</v>
      </c>
      <c r="D1696" s="587" t="s">
        <v>59</v>
      </c>
      <c r="E1696" s="472"/>
      <c r="F1696" s="473">
        <f t="shared" ref="F1696:N1696" si="5">+F853+F526+F1467+F1695+F1096</f>
        <v>96841282524</v>
      </c>
      <c r="G1696" s="473">
        <f t="shared" si="5"/>
        <v>76697874303</v>
      </c>
      <c r="H1696" s="473">
        <f t="shared" si="5"/>
        <v>20143408221</v>
      </c>
      <c r="I1696" s="473">
        <f t="shared" si="5"/>
        <v>18319619596</v>
      </c>
      <c r="J1696" s="473">
        <f t="shared" si="5"/>
        <v>1823788625</v>
      </c>
      <c r="K1696" s="473">
        <f t="shared" si="5"/>
        <v>747204658</v>
      </c>
      <c r="L1696" s="473">
        <f t="shared" si="5"/>
        <v>269542978</v>
      </c>
      <c r="M1696" s="473">
        <f t="shared" si="5"/>
        <v>574430935</v>
      </c>
      <c r="N1696" s="473">
        <f t="shared" si="5"/>
        <v>232610054</v>
      </c>
    </row>
    <row r="1697" spans="1:15" hidden="1" x14ac:dyDescent="0.2">
      <c r="B1697" s="454"/>
      <c r="C1697" s="592"/>
      <c r="D1697" s="589"/>
      <c r="E1697" s="393"/>
      <c r="F1697" s="455">
        <f>+F1696-('Ventas mes a mes'!J64+'Ventas mes a mes'!K64)-507137600</f>
        <v>-133322488301</v>
      </c>
      <c r="G1697" s="456"/>
      <c r="H1697" s="455">
        <f>+H1696-'Proyeccion Recaudos'!AO87</f>
        <v>-95250878599</v>
      </c>
      <c r="I1697" s="455">
        <f>+I1696-SUM('Proyeccion Recaudos'!AO59:AO85)</f>
        <v>-73644069919</v>
      </c>
      <c r="J1697" s="570">
        <f>+J1696/H1696</f>
        <v>9.0540220651371961E-2</v>
      </c>
      <c r="K1697" s="455">
        <f>+K1696-'Proyeccion Recaudos'!AO58</f>
        <v>-10006274172</v>
      </c>
      <c r="L1697" s="455">
        <f>+L1696-'Proyeccion Recaudos'!AO57</f>
        <v>-301126001</v>
      </c>
      <c r="M1697" s="455">
        <f>+M1696-'Proyeccion Recaudos'!AO56</f>
        <v>-8470133995</v>
      </c>
      <c r="N1697" s="455">
        <f>SUM('Proyeccion Recaudos'!AO8:AO55)-'Detalle Clientes'!N1696</f>
        <v>2829274512</v>
      </c>
    </row>
    <row r="1698" spans="1:15" x14ac:dyDescent="0.2">
      <c r="B1698" s="393"/>
      <c r="C1698" s="590"/>
      <c r="D1698" s="590"/>
      <c r="E1698" s="393"/>
      <c r="F1698" s="393"/>
      <c r="G1698" s="393"/>
      <c r="H1698" s="393"/>
      <c r="I1698" s="393"/>
      <c r="J1698" s="393"/>
      <c r="K1698" s="456"/>
      <c r="L1698" s="390"/>
      <c r="M1698" s="393"/>
      <c r="N1698" s="393"/>
    </row>
    <row r="1699" spans="1:15" ht="12.75" hidden="1" customHeight="1" x14ac:dyDescent="0.2">
      <c r="B1699" s="393"/>
      <c r="C1699" s="590"/>
      <c r="D1699" s="590"/>
      <c r="E1699" s="458" t="s">
        <v>37</v>
      </c>
      <c r="F1699" s="458" t="s">
        <v>38</v>
      </c>
      <c r="G1699" s="458" t="s">
        <v>39</v>
      </c>
      <c r="H1699" s="458" t="s">
        <v>49</v>
      </c>
      <c r="I1699" s="458" t="s">
        <v>40</v>
      </c>
      <c r="J1699" s="458" t="s">
        <v>50</v>
      </c>
      <c r="K1699" s="459" t="s">
        <v>41</v>
      </c>
      <c r="L1699" s="459" t="s">
        <v>42</v>
      </c>
      <c r="M1699" s="459" t="s">
        <v>43</v>
      </c>
      <c r="N1699" s="459" t="s">
        <v>44</v>
      </c>
    </row>
    <row r="1700" spans="1:15" ht="12.75" hidden="1" customHeight="1" x14ac:dyDescent="0.2">
      <c r="A1700" s="385"/>
      <c r="B1700" s="393"/>
      <c r="C1700" s="590"/>
      <c r="D1700" s="590"/>
      <c r="E1700" s="460" t="s">
        <v>200</v>
      </c>
      <c r="F1700" s="461">
        <v>1196143079</v>
      </c>
      <c r="G1700" s="461">
        <v>0</v>
      </c>
      <c r="H1700" s="461">
        <f>+F1700-G1700</f>
        <v>1196143079</v>
      </c>
      <c r="I1700" s="461">
        <v>1196143079</v>
      </c>
      <c r="J1700" s="461">
        <f>+H1700-I1700</f>
        <v>0</v>
      </c>
      <c r="K1700" s="462">
        <v>0</v>
      </c>
      <c r="L1700" s="461">
        <v>0</v>
      </c>
      <c r="M1700" s="461">
        <v>0</v>
      </c>
      <c r="N1700" s="461">
        <v>0</v>
      </c>
      <c r="O1700" s="385"/>
    </row>
    <row r="1701" spans="1:15" ht="12.75" hidden="1" customHeight="1" x14ac:dyDescent="0.2">
      <c r="A1701" s="385"/>
      <c r="B1701" s="393"/>
      <c r="C1701" s="590"/>
      <c r="D1701" s="590"/>
      <c r="E1701" s="460" t="s">
        <v>201</v>
      </c>
      <c r="F1701" s="461">
        <v>0</v>
      </c>
      <c r="G1701" s="461">
        <v>0</v>
      </c>
      <c r="H1701" s="461">
        <v>0</v>
      </c>
      <c r="I1701" s="461">
        <v>0</v>
      </c>
      <c r="J1701" s="461">
        <f>+H1701-I1701</f>
        <v>0</v>
      </c>
      <c r="K1701" s="462">
        <v>0</v>
      </c>
      <c r="L1701" s="461">
        <v>0</v>
      </c>
      <c r="M1701" s="461">
        <v>0</v>
      </c>
      <c r="N1701" s="461">
        <v>0</v>
      </c>
      <c r="O1701" s="385"/>
    </row>
    <row r="1702" spans="1:15" ht="12.75" hidden="1" customHeight="1" x14ac:dyDescent="0.2">
      <c r="A1702" s="385"/>
      <c r="B1702" s="393"/>
      <c r="C1702" s="590"/>
      <c r="D1702" s="590"/>
      <c r="E1702" s="463" t="s">
        <v>198</v>
      </c>
      <c r="F1702" s="461">
        <v>12000000</v>
      </c>
      <c r="G1702" s="461">
        <v>0</v>
      </c>
      <c r="H1702" s="461">
        <f>+F1702-G1702</f>
        <v>12000000</v>
      </c>
      <c r="I1702" s="461">
        <v>12000000</v>
      </c>
      <c r="J1702" s="461">
        <v>0</v>
      </c>
      <c r="K1702" s="462">
        <v>0</v>
      </c>
      <c r="L1702" s="461">
        <v>0</v>
      </c>
      <c r="M1702" s="461">
        <v>0</v>
      </c>
      <c r="N1702" s="461">
        <v>0</v>
      </c>
      <c r="O1702" s="385"/>
    </row>
    <row r="1703" spans="1:15" ht="12.75" hidden="1" customHeight="1" x14ac:dyDescent="0.2">
      <c r="A1703" s="385"/>
      <c r="B1703" s="393"/>
      <c r="C1703" s="590"/>
      <c r="D1703" s="590"/>
      <c r="E1703" s="464" t="s">
        <v>21</v>
      </c>
      <c r="F1703" s="465">
        <f>SUM(F1700:F1702)</f>
        <v>1208143079</v>
      </c>
      <c r="G1703" s="465">
        <f t="shared" ref="G1703:N1703" si="6">SUM(G1700:G1702)</f>
        <v>0</v>
      </c>
      <c r="H1703" s="465">
        <f t="shared" si="6"/>
        <v>1208143079</v>
      </c>
      <c r="I1703" s="465">
        <f t="shared" si="6"/>
        <v>1208143079</v>
      </c>
      <c r="J1703" s="465">
        <f t="shared" si="6"/>
        <v>0</v>
      </c>
      <c r="K1703" s="465">
        <f t="shared" si="6"/>
        <v>0</v>
      </c>
      <c r="L1703" s="465">
        <f t="shared" si="6"/>
        <v>0</v>
      </c>
      <c r="M1703" s="465">
        <f t="shared" si="6"/>
        <v>0</v>
      </c>
      <c r="N1703" s="465">
        <f t="shared" si="6"/>
        <v>0</v>
      </c>
      <c r="O1703" s="385"/>
    </row>
    <row r="1704" spans="1:15" ht="12.75" hidden="1" customHeight="1" x14ac:dyDescent="0.2">
      <c r="A1704" s="385"/>
      <c r="B1704" s="393"/>
      <c r="C1704" s="590"/>
      <c r="D1704" s="590"/>
      <c r="E1704" s="385"/>
      <c r="F1704" s="385"/>
      <c r="G1704" s="385"/>
      <c r="H1704" s="385"/>
      <c r="I1704" s="385"/>
      <c r="J1704" s="457">
        <f>+J1703/H1696</f>
        <v>0</v>
      </c>
      <c r="K1704" s="466"/>
      <c r="L1704" s="385"/>
      <c r="M1704" s="385"/>
      <c r="N1704" s="385"/>
      <c r="O1704" s="385"/>
    </row>
    <row r="1705" spans="1:15" ht="12.75" hidden="1" customHeight="1" x14ac:dyDescent="0.2">
      <c r="A1705" s="385"/>
      <c r="B1705" s="393"/>
      <c r="C1705" s="590"/>
      <c r="D1705" s="590"/>
      <c r="E1705" s="467" t="s">
        <v>202</v>
      </c>
      <c r="F1705" s="468">
        <f>+F1696-F1703</f>
        <v>95633139445</v>
      </c>
      <c r="G1705" s="468">
        <f t="shared" ref="G1705:N1705" si="7">+G1696-G1703</f>
        <v>76697874303</v>
      </c>
      <c r="H1705" s="468">
        <f t="shared" si="7"/>
        <v>18935265142</v>
      </c>
      <c r="I1705" s="468">
        <f t="shared" si="7"/>
        <v>17111476517</v>
      </c>
      <c r="J1705" s="468">
        <f t="shared" si="7"/>
        <v>1823788625</v>
      </c>
      <c r="K1705" s="468">
        <f t="shared" si="7"/>
        <v>747204658</v>
      </c>
      <c r="L1705" s="468">
        <f t="shared" si="7"/>
        <v>269542978</v>
      </c>
      <c r="M1705" s="468">
        <f t="shared" si="7"/>
        <v>574430935</v>
      </c>
      <c r="N1705" s="468">
        <f t="shared" si="7"/>
        <v>232610054</v>
      </c>
      <c r="O1705" s="385"/>
    </row>
    <row r="1706" spans="1:15" ht="12.75" hidden="1" customHeight="1" x14ac:dyDescent="0.2">
      <c r="A1706" s="385"/>
      <c r="B1706" s="393"/>
      <c r="C1706" s="590"/>
      <c r="D1706" s="590"/>
      <c r="E1706" s="393"/>
      <c r="F1706" s="393"/>
      <c r="G1706" s="393"/>
      <c r="H1706" s="393"/>
      <c r="I1706" s="393"/>
      <c r="J1706" s="457">
        <f>+J1705/H1696</f>
        <v>9.0540220651371961E-2</v>
      </c>
      <c r="K1706" s="456"/>
      <c r="L1706" s="393"/>
      <c r="M1706" s="393"/>
      <c r="N1706" s="393"/>
    </row>
    <row r="1707" spans="1:15" x14ac:dyDescent="0.2">
      <c r="A1707" s="385"/>
      <c r="B1707" s="393"/>
      <c r="C1707" s="590"/>
      <c r="D1707" s="590"/>
      <c r="E1707" s="393"/>
      <c r="F1707" s="390"/>
      <c r="G1707" s="241"/>
      <c r="H1707" s="390"/>
      <c r="I1707" s="390"/>
      <c r="J1707" s="390"/>
      <c r="K1707" s="583"/>
      <c r="L1707" s="393"/>
      <c r="M1707" s="393"/>
      <c r="N1707" s="393"/>
      <c r="O1707" s="302"/>
    </row>
    <row r="1708" spans="1:15" x14ac:dyDescent="0.2">
      <c r="A1708" s="385"/>
      <c r="B1708" s="393"/>
      <c r="C1708" s="590"/>
      <c r="D1708" s="590"/>
      <c r="E1708" s="393"/>
      <c r="F1708" s="390"/>
      <c r="G1708" s="390"/>
      <c r="H1708" s="395"/>
      <c r="I1708" s="395"/>
      <c r="J1708" s="395"/>
      <c r="K1708" s="395"/>
      <c r="L1708" s="395"/>
      <c r="M1708" s="395"/>
      <c r="N1708" s="395"/>
      <c r="O1708" s="302"/>
    </row>
    <row r="1709" spans="1:15" x14ac:dyDescent="0.2">
      <c r="A1709" s="385"/>
      <c r="B1709" s="393"/>
      <c r="C1709" s="590"/>
      <c r="D1709" s="590"/>
      <c r="E1709" s="393"/>
      <c r="F1709" s="527"/>
      <c r="G1709" s="527"/>
      <c r="H1709" s="527"/>
      <c r="I1709" s="393"/>
      <c r="J1709" s="398"/>
      <c r="K1709" s="456"/>
      <c r="L1709" s="393"/>
      <c r="M1709" s="393"/>
      <c r="N1709" s="393"/>
      <c r="O1709" s="302"/>
    </row>
    <row r="1710" spans="1:15" x14ac:dyDescent="0.2">
      <c r="A1710" s="385"/>
      <c r="B1710" s="393"/>
      <c r="C1710" s="590"/>
      <c r="D1710" s="590"/>
      <c r="E1710" s="393"/>
      <c r="F1710" s="390"/>
      <c r="G1710" s="393"/>
      <c r="H1710" s="393"/>
      <c r="I1710" s="393"/>
      <c r="J1710" s="393"/>
      <c r="K1710" s="456"/>
      <c r="L1710" s="393"/>
      <c r="M1710" s="393"/>
      <c r="N1710" s="393"/>
      <c r="O1710" s="302"/>
    </row>
    <row r="1711" spans="1:15" x14ac:dyDescent="0.2">
      <c r="F1711" s="528"/>
      <c r="O1711" s="302"/>
    </row>
  </sheetData>
  <autoFilter ref="B5:O1697" xr:uid="{00000000-0009-0000-0000-000002000000}">
    <filterColumn colId="3">
      <filters>
        <filter val="Acabados"/>
        <filter val="Ahorro Prog."/>
        <filter val="Cesantias"/>
        <filter val="Cuenta AFC"/>
        <filter val="Estudio de Titulos"/>
        <filter val="Impuesto Predial"/>
        <filter val="Inicial"/>
        <filter val="Intereses de Mora"/>
        <filter val="Intereses Financieros"/>
        <filter val="Reforma Escriturable"/>
        <filter val="Subsidio"/>
      </filters>
    </filterColumn>
  </autoFilter>
  <sortState xmlns:xlrd2="http://schemas.microsoft.com/office/spreadsheetml/2017/richdata2" ref="C1859:N1866">
    <sortCondition ref="C1859:C1866"/>
    <sortCondition ref="E1859:E1866"/>
  </sortState>
  <mergeCells count="1137">
    <mergeCell ref="C1608:C1610"/>
    <mergeCell ref="D1608:D1610"/>
    <mergeCell ref="C1367:C1369"/>
    <mergeCell ref="D1367:D1369"/>
    <mergeCell ref="C1370:C1372"/>
    <mergeCell ref="D1370:D1372"/>
    <mergeCell ref="C1351:C1353"/>
    <mergeCell ref="D1351:D1353"/>
    <mergeCell ref="C1626:C1628"/>
    <mergeCell ref="D1626:D1628"/>
    <mergeCell ref="C1629:C1631"/>
    <mergeCell ref="D1629:D1631"/>
    <mergeCell ref="C1632:C1635"/>
    <mergeCell ref="D1632:D1635"/>
    <mergeCell ref="C1636:C1638"/>
    <mergeCell ref="D1636:D1638"/>
    <mergeCell ref="C1404:C1405"/>
    <mergeCell ref="D1404:D1405"/>
    <mergeCell ref="C1415:C1417"/>
    <mergeCell ref="D1415:D1417"/>
    <mergeCell ref="C1418:C1421"/>
    <mergeCell ref="D1418:D1421"/>
    <mergeCell ref="C1425:C1427"/>
    <mergeCell ref="D1425:D1427"/>
    <mergeCell ref="C1428:C1429"/>
    <mergeCell ref="D1428:D1429"/>
    <mergeCell ref="C1430:C1432"/>
    <mergeCell ref="D1430:D1432"/>
    <mergeCell ref="C1433:C1434"/>
    <mergeCell ref="D1433:D1434"/>
    <mergeCell ref="C1438:C1440"/>
    <mergeCell ref="D1438:D1440"/>
    <mergeCell ref="C1441:C1442"/>
    <mergeCell ref="D1441:D1442"/>
    <mergeCell ref="C1335:C1337"/>
    <mergeCell ref="D1335:D1337"/>
    <mergeCell ref="C1338:C1340"/>
    <mergeCell ref="D1338:D1340"/>
    <mergeCell ref="C1341:C1343"/>
    <mergeCell ref="D1341:D1343"/>
    <mergeCell ref="C1344:C1346"/>
    <mergeCell ref="D1344:D1346"/>
    <mergeCell ref="C1347:C1350"/>
    <mergeCell ref="D1347:D1350"/>
    <mergeCell ref="C1354:C1355"/>
    <mergeCell ref="D1354:D1355"/>
    <mergeCell ref="C1356:C1358"/>
    <mergeCell ref="D1356:D1358"/>
    <mergeCell ref="C1362:C1363"/>
    <mergeCell ref="D1362:D1363"/>
    <mergeCell ref="C1364:C1366"/>
    <mergeCell ref="D1364:D1366"/>
    <mergeCell ref="C1390:C1392"/>
    <mergeCell ref="D1390:D1392"/>
    <mergeCell ref="C1393:C1394"/>
    <mergeCell ref="D1393:D1394"/>
    <mergeCell ref="C1401:C1403"/>
    <mergeCell ref="D1401:D1403"/>
    <mergeCell ref="C1412:C1414"/>
    <mergeCell ref="D1412:D1414"/>
    <mergeCell ref="C1422:C1424"/>
    <mergeCell ref="D1422:D1424"/>
    <mergeCell ref="D1287:D1288"/>
    <mergeCell ref="C1289:C1290"/>
    <mergeCell ref="D1289:D1290"/>
    <mergeCell ref="C1315:C1317"/>
    <mergeCell ref="D1315:D1317"/>
    <mergeCell ref="C1318:C1320"/>
    <mergeCell ref="D1318:D1320"/>
    <mergeCell ref="C1321:C1322"/>
    <mergeCell ref="D1321:D1322"/>
    <mergeCell ref="C1323:C1324"/>
    <mergeCell ref="D1323:D1324"/>
    <mergeCell ref="C1325:C1327"/>
    <mergeCell ref="D1325:D1327"/>
    <mergeCell ref="C1328:C1330"/>
    <mergeCell ref="D1328:D1330"/>
    <mergeCell ref="C1331:C1334"/>
    <mergeCell ref="D1331:D1334"/>
    <mergeCell ref="C1296:C1298"/>
    <mergeCell ref="D1296:D1298"/>
    <mergeCell ref="C1304:C1306"/>
    <mergeCell ref="D1304:D1306"/>
    <mergeCell ref="C1235:C1237"/>
    <mergeCell ref="D1235:D1237"/>
    <mergeCell ref="C1238:C1240"/>
    <mergeCell ref="D1238:D1240"/>
    <mergeCell ref="C1241:C1243"/>
    <mergeCell ref="D1241:D1243"/>
    <mergeCell ref="D1264:D1266"/>
    <mergeCell ref="C1267:C1270"/>
    <mergeCell ref="D1267:D1270"/>
    <mergeCell ref="C1271:C1273"/>
    <mergeCell ref="D1271:D1273"/>
    <mergeCell ref="C1274:C1276"/>
    <mergeCell ref="D1274:D1276"/>
    <mergeCell ref="C1277:C1279"/>
    <mergeCell ref="D1277:D1279"/>
    <mergeCell ref="C1280:C1283"/>
    <mergeCell ref="D1280:D1283"/>
    <mergeCell ref="C1244:C1247"/>
    <mergeCell ref="D1244:D1247"/>
    <mergeCell ref="C1248:C1250"/>
    <mergeCell ref="D1248:D1250"/>
    <mergeCell ref="C1251:C1253"/>
    <mergeCell ref="D1251:D1253"/>
    <mergeCell ref="C1254:C1255"/>
    <mergeCell ref="D1254:D1255"/>
    <mergeCell ref="C1256:C1257"/>
    <mergeCell ref="D1256:D1257"/>
    <mergeCell ref="C1258:C1259"/>
    <mergeCell ref="D1258:D1259"/>
    <mergeCell ref="C1260:C1263"/>
    <mergeCell ref="D1260:D1263"/>
    <mergeCell ref="C1264:C1266"/>
    <mergeCell ref="C1211:C1212"/>
    <mergeCell ref="D1211:D1212"/>
    <mergeCell ref="C1213:C1216"/>
    <mergeCell ref="D1213:D1216"/>
    <mergeCell ref="C1217:C1218"/>
    <mergeCell ref="D1217:D1218"/>
    <mergeCell ref="C1219:C1221"/>
    <mergeCell ref="D1219:D1221"/>
    <mergeCell ref="C1222:C1223"/>
    <mergeCell ref="D1222:D1223"/>
    <mergeCell ref="C1224:C1227"/>
    <mergeCell ref="D1224:D1227"/>
    <mergeCell ref="C1228:C1229"/>
    <mergeCell ref="D1228:D1229"/>
    <mergeCell ref="C1230:C1231"/>
    <mergeCell ref="D1230:D1231"/>
    <mergeCell ref="C1232:C1234"/>
    <mergeCell ref="D1232:D1234"/>
    <mergeCell ref="C1184:C1185"/>
    <mergeCell ref="D1184:D1185"/>
    <mergeCell ref="C1186:C1188"/>
    <mergeCell ref="D1186:D1188"/>
    <mergeCell ref="C1189:C1191"/>
    <mergeCell ref="D1189:D1191"/>
    <mergeCell ref="C1192:C1193"/>
    <mergeCell ref="D1192:D1193"/>
    <mergeCell ref="C1194:C1197"/>
    <mergeCell ref="D1194:D1197"/>
    <mergeCell ref="C1198:C1200"/>
    <mergeCell ref="D1198:D1200"/>
    <mergeCell ref="C1201:C1203"/>
    <mergeCell ref="D1201:D1203"/>
    <mergeCell ref="C1204:C1207"/>
    <mergeCell ref="D1204:D1207"/>
    <mergeCell ref="C1208:C1210"/>
    <mergeCell ref="D1208:D1210"/>
    <mergeCell ref="C1181:C1183"/>
    <mergeCell ref="D1181:D1183"/>
    <mergeCell ref="C1132:C1134"/>
    <mergeCell ref="D1132:D1134"/>
    <mergeCell ref="C1150:C1152"/>
    <mergeCell ref="D1150:D1152"/>
    <mergeCell ref="C1154:C1156"/>
    <mergeCell ref="D1154:D1156"/>
    <mergeCell ref="C1157:C1159"/>
    <mergeCell ref="D1157:D1159"/>
    <mergeCell ref="C1160:C1162"/>
    <mergeCell ref="D1160:D1162"/>
    <mergeCell ref="C1163:C1165"/>
    <mergeCell ref="D1163:D1165"/>
    <mergeCell ref="C1166:C1167"/>
    <mergeCell ref="D1166:D1167"/>
    <mergeCell ref="C1136:C1140"/>
    <mergeCell ref="D1136:D1140"/>
    <mergeCell ref="C1141:C1143"/>
    <mergeCell ref="D1141:D1143"/>
    <mergeCell ref="C1144:C1146"/>
    <mergeCell ref="D1144:D1146"/>
    <mergeCell ref="C1168:C1169"/>
    <mergeCell ref="D1168:D1169"/>
    <mergeCell ref="C1170:C1172"/>
    <mergeCell ref="D1170:D1172"/>
    <mergeCell ref="C1173:C1174"/>
    <mergeCell ref="D1173:D1174"/>
    <mergeCell ref="C1175:C1176"/>
    <mergeCell ref="D1175:D1176"/>
    <mergeCell ref="C1177:C1180"/>
    <mergeCell ref="D1177:D1180"/>
    <mergeCell ref="C1021:C1022"/>
    <mergeCell ref="D1021:D1022"/>
    <mergeCell ref="C1147:C1149"/>
    <mergeCell ref="D1147:D1149"/>
    <mergeCell ref="C1023:C1024"/>
    <mergeCell ref="D1023:D1024"/>
    <mergeCell ref="C1025:C1026"/>
    <mergeCell ref="D1025:D1026"/>
    <mergeCell ref="C1005:C1006"/>
    <mergeCell ref="D1005:D1006"/>
    <mergeCell ref="C1007:C1008"/>
    <mergeCell ref="D1007:D1008"/>
    <mergeCell ref="C1009:C1010"/>
    <mergeCell ref="D1009:D1010"/>
    <mergeCell ref="C1072:C1073"/>
    <mergeCell ref="D1072:D1073"/>
    <mergeCell ref="C1074:C1075"/>
    <mergeCell ref="D1074:D1075"/>
    <mergeCell ref="C1078:C1079"/>
    <mergeCell ref="D1078:D1079"/>
    <mergeCell ref="C1080:C1081"/>
    <mergeCell ref="D1080:D1081"/>
    <mergeCell ref="C1082:C1084"/>
    <mergeCell ref="D1082:D1084"/>
    <mergeCell ref="D1076:D1077"/>
    <mergeCell ref="C1130:C1131"/>
    <mergeCell ref="C1099:C1101"/>
    <mergeCell ref="D1099:D1101"/>
    <mergeCell ref="C1102:C1104"/>
    <mergeCell ref="C1092:C1093"/>
    <mergeCell ref="D1092:D1093"/>
    <mergeCell ref="C1117:C1118"/>
    <mergeCell ref="D991:D992"/>
    <mergeCell ref="C993:C995"/>
    <mergeCell ref="C1002:C1004"/>
    <mergeCell ref="D1002:D1004"/>
    <mergeCell ref="C1045:C1046"/>
    <mergeCell ref="D1045:D1046"/>
    <mergeCell ref="C1047:C1048"/>
    <mergeCell ref="D1047:D1048"/>
    <mergeCell ref="C1011:C1012"/>
    <mergeCell ref="D1011:D1012"/>
    <mergeCell ref="C1013:C1014"/>
    <mergeCell ref="D1013:D1014"/>
    <mergeCell ref="C1065:C1066"/>
    <mergeCell ref="D1065:D1066"/>
    <mergeCell ref="C1067:C1068"/>
    <mergeCell ref="D1067:D1068"/>
    <mergeCell ref="C1069:C1071"/>
    <mergeCell ref="D1069:D1071"/>
    <mergeCell ref="C1027:C1028"/>
    <mergeCell ref="D1027:D1028"/>
    <mergeCell ref="C1029:C1030"/>
    <mergeCell ref="D1029:D1030"/>
    <mergeCell ref="C1031:C1032"/>
    <mergeCell ref="D1031:D1032"/>
    <mergeCell ref="C1033:C1034"/>
    <mergeCell ref="D1033:D1034"/>
    <mergeCell ref="C1015:C1016"/>
    <mergeCell ref="D1015:D1016"/>
    <mergeCell ref="C1017:C1018"/>
    <mergeCell ref="D1017:D1018"/>
    <mergeCell ref="C1019:C1020"/>
    <mergeCell ref="D1019:D1020"/>
    <mergeCell ref="C939:C940"/>
    <mergeCell ref="D939:D940"/>
    <mergeCell ref="C941:C942"/>
    <mergeCell ref="D941:D942"/>
    <mergeCell ref="C943:C945"/>
    <mergeCell ref="D943:D945"/>
    <mergeCell ref="C974:C975"/>
    <mergeCell ref="D974:D975"/>
    <mergeCell ref="C976:C977"/>
    <mergeCell ref="D976:D977"/>
    <mergeCell ref="C978:C980"/>
    <mergeCell ref="D978:D980"/>
    <mergeCell ref="D993:D995"/>
    <mergeCell ref="C998:C999"/>
    <mergeCell ref="D998:D999"/>
    <mergeCell ref="C1000:C1001"/>
    <mergeCell ref="D1000:D1001"/>
    <mergeCell ref="D987:D988"/>
    <mergeCell ref="C981:C982"/>
    <mergeCell ref="D981:D982"/>
    <mergeCell ref="C989:C990"/>
    <mergeCell ref="D989:D990"/>
    <mergeCell ref="C991:C992"/>
    <mergeCell ref="C983:C984"/>
    <mergeCell ref="D983:D984"/>
    <mergeCell ref="C985:C986"/>
    <mergeCell ref="D985:D986"/>
    <mergeCell ref="C987:C988"/>
    <mergeCell ref="C960:C961"/>
    <mergeCell ref="D960:D961"/>
    <mergeCell ref="C962:C963"/>
    <mergeCell ref="D962:D963"/>
    <mergeCell ref="C907:C908"/>
    <mergeCell ref="D907:D908"/>
    <mergeCell ref="C909:C910"/>
    <mergeCell ref="D909:D910"/>
    <mergeCell ref="C911:C912"/>
    <mergeCell ref="D911:D912"/>
    <mergeCell ref="C913:C914"/>
    <mergeCell ref="D913:D914"/>
    <mergeCell ref="C915:C916"/>
    <mergeCell ref="D915:D916"/>
    <mergeCell ref="D931:D932"/>
    <mergeCell ref="C933:C934"/>
    <mergeCell ref="D933:D934"/>
    <mergeCell ref="C935:C936"/>
    <mergeCell ref="D935:D936"/>
    <mergeCell ref="C937:C938"/>
    <mergeCell ref="D937:D938"/>
    <mergeCell ref="C917:C918"/>
    <mergeCell ref="C829:C830"/>
    <mergeCell ref="D829:D830"/>
    <mergeCell ref="C831:C835"/>
    <mergeCell ref="D831:D835"/>
    <mergeCell ref="C836:C840"/>
    <mergeCell ref="D836:D840"/>
    <mergeCell ref="C899:C900"/>
    <mergeCell ref="D899:D900"/>
    <mergeCell ref="C841:C842"/>
    <mergeCell ref="D841:D842"/>
    <mergeCell ref="C843:C845"/>
    <mergeCell ref="D843:D845"/>
    <mergeCell ref="C901:C902"/>
    <mergeCell ref="D901:D902"/>
    <mergeCell ref="C903:C904"/>
    <mergeCell ref="D903:D904"/>
    <mergeCell ref="C905:C906"/>
    <mergeCell ref="D905:D906"/>
    <mergeCell ref="C866:C867"/>
    <mergeCell ref="D866:D867"/>
    <mergeCell ref="C885:C886"/>
    <mergeCell ref="C893:C894"/>
    <mergeCell ref="D893:D894"/>
    <mergeCell ref="C895:C896"/>
    <mergeCell ref="D895:D896"/>
    <mergeCell ref="C897:C898"/>
    <mergeCell ref="D897:D898"/>
    <mergeCell ref="C873:C874"/>
    <mergeCell ref="D873:D874"/>
    <mergeCell ref="C875:C876"/>
    <mergeCell ref="D875:D876"/>
    <mergeCell ref="C877:C878"/>
    <mergeCell ref="C774:C777"/>
    <mergeCell ref="D774:D777"/>
    <mergeCell ref="C778:C781"/>
    <mergeCell ref="D778:D781"/>
    <mergeCell ref="C813:C815"/>
    <mergeCell ref="D813:D815"/>
    <mergeCell ref="C816:C817"/>
    <mergeCell ref="D816:D817"/>
    <mergeCell ref="C818:C820"/>
    <mergeCell ref="D818:D820"/>
    <mergeCell ref="C821:C823"/>
    <mergeCell ref="D821:D823"/>
    <mergeCell ref="C824:C828"/>
    <mergeCell ref="D824:D828"/>
    <mergeCell ref="C782:C784"/>
    <mergeCell ref="D782:D784"/>
    <mergeCell ref="C770:C773"/>
    <mergeCell ref="D770:D773"/>
    <mergeCell ref="C785:C789"/>
    <mergeCell ref="D785:D789"/>
    <mergeCell ref="C790:C794"/>
    <mergeCell ref="D790:D794"/>
    <mergeCell ref="C795:C797"/>
    <mergeCell ref="D795:D797"/>
    <mergeCell ref="C798:C800"/>
    <mergeCell ref="D798:D800"/>
    <mergeCell ref="C802:C805"/>
    <mergeCell ref="D802:D805"/>
    <mergeCell ref="D720:D722"/>
    <mergeCell ref="C723:C727"/>
    <mergeCell ref="D723:D727"/>
    <mergeCell ref="C734:C737"/>
    <mergeCell ref="D734:D737"/>
    <mergeCell ref="C738:C740"/>
    <mergeCell ref="D738:D740"/>
    <mergeCell ref="C741:C742"/>
    <mergeCell ref="D741:D742"/>
    <mergeCell ref="C728:C731"/>
    <mergeCell ref="D728:D731"/>
    <mergeCell ref="C732:C733"/>
    <mergeCell ref="D732:D733"/>
    <mergeCell ref="C764:C766"/>
    <mergeCell ref="D764:D766"/>
    <mergeCell ref="C767:C769"/>
    <mergeCell ref="D767:D769"/>
    <mergeCell ref="C616:C617"/>
    <mergeCell ref="D616:D617"/>
    <mergeCell ref="C618:C620"/>
    <mergeCell ref="D618:D620"/>
    <mergeCell ref="C621:C622"/>
    <mergeCell ref="D621:D622"/>
    <mergeCell ref="C579:C581"/>
    <mergeCell ref="D579:D581"/>
    <mergeCell ref="C582:C583"/>
    <mergeCell ref="D582:D583"/>
    <mergeCell ref="C584:C586"/>
    <mergeCell ref="D584:D586"/>
    <mergeCell ref="C587:C589"/>
    <mergeCell ref="D587:D589"/>
    <mergeCell ref="C590:C593"/>
    <mergeCell ref="D590:D593"/>
    <mergeCell ref="C595:C596"/>
    <mergeCell ref="D595:D596"/>
    <mergeCell ref="C488:C491"/>
    <mergeCell ref="D488:D491"/>
    <mergeCell ref="C492:C495"/>
    <mergeCell ref="D492:D495"/>
    <mergeCell ref="C496:C499"/>
    <mergeCell ref="D496:D499"/>
    <mergeCell ref="C518:C520"/>
    <mergeCell ref="D518:D520"/>
    <mergeCell ref="C597:C600"/>
    <mergeCell ref="D597:D600"/>
    <mergeCell ref="C601:C604"/>
    <mergeCell ref="D601:D604"/>
    <mergeCell ref="C605:C607"/>
    <mergeCell ref="D605:D607"/>
    <mergeCell ref="C608:C612"/>
    <mergeCell ref="D608:D612"/>
    <mergeCell ref="C613:C615"/>
    <mergeCell ref="D613:D615"/>
    <mergeCell ref="C573:C575"/>
    <mergeCell ref="D573:D575"/>
    <mergeCell ref="C576:C577"/>
    <mergeCell ref="D576:D577"/>
    <mergeCell ref="C521:C525"/>
    <mergeCell ref="D521:D525"/>
    <mergeCell ref="C527:C531"/>
    <mergeCell ref="D527:D531"/>
    <mergeCell ref="C532:C535"/>
    <mergeCell ref="D532:D535"/>
    <mergeCell ref="C536:C540"/>
    <mergeCell ref="D536:D540"/>
    <mergeCell ref="C541:C544"/>
    <mergeCell ref="D541:D544"/>
    <mergeCell ref="C444:C446"/>
    <mergeCell ref="D444:D446"/>
    <mergeCell ref="C471:C472"/>
    <mergeCell ref="D471:D472"/>
    <mergeCell ref="C473:C476"/>
    <mergeCell ref="D473:D476"/>
    <mergeCell ref="C477:C478"/>
    <mergeCell ref="D477:D478"/>
    <mergeCell ref="C479:C481"/>
    <mergeCell ref="D479:D481"/>
    <mergeCell ref="C482:C484"/>
    <mergeCell ref="D482:D484"/>
    <mergeCell ref="C485:C487"/>
    <mergeCell ref="D485:D487"/>
    <mergeCell ref="C447:C450"/>
    <mergeCell ref="D447:D450"/>
    <mergeCell ref="C452:C454"/>
    <mergeCell ref="D452:D454"/>
    <mergeCell ref="C455:C457"/>
    <mergeCell ref="D455:D457"/>
    <mergeCell ref="C458:C460"/>
    <mergeCell ref="D458:D460"/>
    <mergeCell ref="C461:C462"/>
    <mergeCell ref="D461:D462"/>
    <mergeCell ref="C463:C466"/>
    <mergeCell ref="D463:D466"/>
    <mergeCell ref="C467:C470"/>
    <mergeCell ref="D467:D470"/>
    <mergeCell ref="D424:D426"/>
    <mergeCell ref="C427:C430"/>
    <mergeCell ref="D427:D430"/>
    <mergeCell ref="C397:C401"/>
    <mergeCell ref="D397:D401"/>
    <mergeCell ref="C402:C404"/>
    <mergeCell ref="D402:D404"/>
    <mergeCell ref="C405:C407"/>
    <mergeCell ref="D405:D407"/>
    <mergeCell ref="C408:C412"/>
    <mergeCell ref="D408:D412"/>
    <mergeCell ref="C437:C438"/>
    <mergeCell ref="D437:D438"/>
    <mergeCell ref="C439:C443"/>
    <mergeCell ref="D439:D443"/>
    <mergeCell ref="C431:C432"/>
    <mergeCell ref="D431:D432"/>
    <mergeCell ref="C433:C434"/>
    <mergeCell ref="D433:D434"/>
    <mergeCell ref="C435:C436"/>
    <mergeCell ref="D435:D436"/>
    <mergeCell ref="C1666:C1667"/>
    <mergeCell ref="D1666:D1667"/>
    <mergeCell ref="C1668:C1670"/>
    <mergeCell ref="D1668:D1670"/>
    <mergeCell ref="C1671:C1673"/>
    <mergeCell ref="D1671:D1673"/>
    <mergeCell ref="C1674:C1676"/>
    <mergeCell ref="D1674:D1676"/>
    <mergeCell ref="C1677:C1679"/>
    <mergeCell ref="D1677:D1679"/>
    <mergeCell ref="C1680:C1681"/>
    <mergeCell ref="D1680:D1681"/>
    <mergeCell ref="C1682:C1684"/>
    <mergeCell ref="D1682:D1684"/>
    <mergeCell ref="C1685:C1686"/>
    <mergeCell ref="D1685:D1686"/>
    <mergeCell ref="C1687:C1689"/>
    <mergeCell ref="D1687:D1689"/>
    <mergeCell ref="C1642:C1644"/>
    <mergeCell ref="D1642:D1644"/>
    <mergeCell ref="C1645:C1647"/>
    <mergeCell ref="D1645:D1647"/>
    <mergeCell ref="C1648:C1649"/>
    <mergeCell ref="D1648:D1649"/>
    <mergeCell ref="C1650:C1652"/>
    <mergeCell ref="D1650:D1652"/>
    <mergeCell ref="C1653:C1654"/>
    <mergeCell ref="D1653:D1654"/>
    <mergeCell ref="C1655:C1657"/>
    <mergeCell ref="D1655:D1657"/>
    <mergeCell ref="C1658:C1659"/>
    <mergeCell ref="D1658:D1659"/>
    <mergeCell ref="C1660:C1662"/>
    <mergeCell ref="D1660:D1662"/>
    <mergeCell ref="C1663:C1665"/>
    <mergeCell ref="D1663:D1665"/>
    <mergeCell ref="C1611:C1612"/>
    <mergeCell ref="D1611:D1612"/>
    <mergeCell ref="C1613:C1615"/>
    <mergeCell ref="D1613:D1615"/>
    <mergeCell ref="C1616:C1619"/>
    <mergeCell ref="D1616:D1619"/>
    <mergeCell ref="C1620:C1621"/>
    <mergeCell ref="D1620:D1621"/>
    <mergeCell ref="C1622:C1625"/>
    <mergeCell ref="D1622:D1625"/>
    <mergeCell ref="C1577:C1578"/>
    <mergeCell ref="D1577:D1578"/>
    <mergeCell ref="C1579:C1581"/>
    <mergeCell ref="D1579:D1581"/>
    <mergeCell ref="C1582:C1584"/>
    <mergeCell ref="D1582:D1584"/>
    <mergeCell ref="C1585:C1588"/>
    <mergeCell ref="D1585:D1588"/>
    <mergeCell ref="C1589:C1593"/>
    <mergeCell ref="D1589:D1593"/>
    <mergeCell ref="C1594:C1595"/>
    <mergeCell ref="D1594:D1595"/>
    <mergeCell ref="C1596:C1598"/>
    <mergeCell ref="D1596:D1598"/>
    <mergeCell ref="C1599:C1600"/>
    <mergeCell ref="D1599:D1600"/>
    <mergeCell ref="C1601:C1603"/>
    <mergeCell ref="D1601:D1603"/>
    <mergeCell ref="C1604:C1605"/>
    <mergeCell ref="D1604:D1605"/>
    <mergeCell ref="C1606:C1607"/>
    <mergeCell ref="D1606:D1607"/>
    <mergeCell ref="D1551:D1552"/>
    <mergeCell ref="C1553:C1555"/>
    <mergeCell ref="D1553:D1555"/>
    <mergeCell ref="C1558:C1559"/>
    <mergeCell ref="D1558:D1559"/>
    <mergeCell ref="C1560:C1561"/>
    <mergeCell ref="D1560:D1561"/>
    <mergeCell ref="C1562:C1566"/>
    <mergeCell ref="D1562:D1566"/>
    <mergeCell ref="C1567:C1568"/>
    <mergeCell ref="D1567:D1568"/>
    <mergeCell ref="C1569:C1570"/>
    <mergeCell ref="D1569:D1570"/>
    <mergeCell ref="C1571:C1573"/>
    <mergeCell ref="D1571:D1573"/>
    <mergeCell ref="C1574:C1576"/>
    <mergeCell ref="D1574:D1576"/>
    <mergeCell ref="C1511:C1514"/>
    <mergeCell ref="D1511:D1514"/>
    <mergeCell ref="C1515:C1517"/>
    <mergeCell ref="D1515:D1517"/>
    <mergeCell ref="C1522:C1523"/>
    <mergeCell ref="D1522:D1523"/>
    <mergeCell ref="C1524:C1525"/>
    <mergeCell ref="D1524:D1525"/>
    <mergeCell ref="C1526:C1528"/>
    <mergeCell ref="D1526:D1528"/>
    <mergeCell ref="C1529:C1531"/>
    <mergeCell ref="D1529:D1531"/>
    <mergeCell ref="D1518:D1519"/>
    <mergeCell ref="C1520:C1521"/>
    <mergeCell ref="D1520:D1521"/>
    <mergeCell ref="C1489:C1490"/>
    <mergeCell ref="D1489:D1490"/>
    <mergeCell ref="C1505:C1507"/>
    <mergeCell ref="D1505:D1507"/>
    <mergeCell ref="C1508:C1510"/>
    <mergeCell ref="D1508:D1510"/>
    <mergeCell ref="C1491:C1492"/>
    <mergeCell ref="D1491:D1492"/>
    <mergeCell ref="C1443:C1444"/>
    <mergeCell ref="D1443:D1444"/>
    <mergeCell ref="C1445:C1446"/>
    <mergeCell ref="D1445:D1446"/>
    <mergeCell ref="C1447:C1448"/>
    <mergeCell ref="D1447:D1448"/>
    <mergeCell ref="C1449:C1452"/>
    <mergeCell ref="D1449:D1452"/>
    <mergeCell ref="C1453:C1454"/>
    <mergeCell ref="D1453:D1454"/>
    <mergeCell ref="C1455:C1457"/>
    <mergeCell ref="D1455:D1457"/>
    <mergeCell ref="C1458:C1461"/>
    <mergeCell ref="D1458:D1461"/>
    <mergeCell ref="C1291:C1292"/>
    <mergeCell ref="D1291:D1292"/>
    <mergeCell ref="C1293:C1295"/>
    <mergeCell ref="D1293:D1295"/>
    <mergeCell ref="C1299:C1300"/>
    <mergeCell ref="D1299:D1300"/>
    <mergeCell ref="C1301:C1303"/>
    <mergeCell ref="D1301:D1303"/>
    <mergeCell ref="C1307:C1308"/>
    <mergeCell ref="D1307:D1308"/>
    <mergeCell ref="C1309:C1311"/>
    <mergeCell ref="D1309:D1311"/>
    <mergeCell ref="C1312:C1314"/>
    <mergeCell ref="D1312:D1314"/>
    <mergeCell ref="C1395:C1397"/>
    <mergeCell ref="D1395:D1397"/>
    <mergeCell ref="C1398:C1400"/>
    <mergeCell ref="D1398:D1400"/>
    <mergeCell ref="C1284:C1286"/>
    <mergeCell ref="D1284:D1286"/>
    <mergeCell ref="C1287:C1288"/>
    <mergeCell ref="D1102:D1104"/>
    <mergeCell ref="C1105:C1106"/>
    <mergeCell ref="D1105:D1106"/>
    <mergeCell ref="C1107:C1108"/>
    <mergeCell ref="D1107:D1108"/>
    <mergeCell ref="C1035:C1036"/>
    <mergeCell ref="D1035:D1036"/>
    <mergeCell ref="C1037:C1038"/>
    <mergeCell ref="D1037:D1038"/>
    <mergeCell ref="C1043:C1044"/>
    <mergeCell ref="D1043:D1044"/>
    <mergeCell ref="C1049:C1050"/>
    <mergeCell ref="D1049:D1050"/>
    <mergeCell ref="C1051:C1053"/>
    <mergeCell ref="D1051:D1053"/>
    <mergeCell ref="C1054:C1055"/>
    <mergeCell ref="D1054:D1055"/>
    <mergeCell ref="C1056:C1057"/>
    <mergeCell ref="D1056:D1057"/>
    <mergeCell ref="C1058:C1060"/>
    <mergeCell ref="D1058:D1060"/>
    <mergeCell ref="C1085:C1087"/>
    <mergeCell ref="D1085:D1087"/>
    <mergeCell ref="C1088:C1089"/>
    <mergeCell ref="D1088:D1089"/>
    <mergeCell ref="C1090:C1091"/>
    <mergeCell ref="D1090:D1091"/>
    <mergeCell ref="C1039:C1040"/>
    <mergeCell ref="D1039:D1040"/>
    <mergeCell ref="C868:C869"/>
    <mergeCell ref="D868:D869"/>
    <mergeCell ref="C870:C872"/>
    <mergeCell ref="D870:D872"/>
    <mergeCell ref="C887:C888"/>
    <mergeCell ref="D887:D888"/>
    <mergeCell ref="D885:D886"/>
    <mergeCell ref="C862:C863"/>
    <mergeCell ref="D862:D863"/>
    <mergeCell ref="C889:C890"/>
    <mergeCell ref="D889:D890"/>
    <mergeCell ref="C891:C892"/>
    <mergeCell ref="D891:D892"/>
    <mergeCell ref="C864:C865"/>
    <mergeCell ref="D864:D865"/>
    <mergeCell ref="C881:C882"/>
    <mergeCell ref="D881:D882"/>
    <mergeCell ref="C883:C884"/>
    <mergeCell ref="D883:D884"/>
    <mergeCell ref="D662:D665"/>
    <mergeCell ref="C666:C668"/>
    <mergeCell ref="D666:D668"/>
    <mergeCell ref="C752:C755"/>
    <mergeCell ref="D752:D755"/>
    <mergeCell ref="C748:C750"/>
    <mergeCell ref="D748:D750"/>
    <mergeCell ref="C680:C682"/>
    <mergeCell ref="D680:D682"/>
    <mergeCell ref="C683:C688"/>
    <mergeCell ref="D683:D688"/>
    <mergeCell ref="C689:C692"/>
    <mergeCell ref="D689:D692"/>
    <mergeCell ref="C693:C696"/>
    <mergeCell ref="D693:D696"/>
    <mergeCell ref="C697:C700"/>
    <mergeCell ref="D697:D700"/>
    <mergeCell ref="C704:C706"/>
    <mergeCell ref="D704:D706"/>
    <mergeCell ref="C707:C709"/>
    <mergeCell ref="D707:D709"/>
    <mergeCell ref="C743:C747"/>
    <mergeCell ref="D743:D747"/>
    <mergeCell ref="C675:C679"/>
    <mergeCell ref="D675:D679"/>
    <mergeCell ref="C710:C711"/>
    <mergeCell ref="D710:D711"/>
    <mergeCell ref="C712:C715"/>
    <mergeCell ref="D712:D715"/>
    <mergeCell ref="C716:C719"/>
    <mergeCell ref="D716:D719"/>
    <mergeCell ref="C720:C722"/>
    <mergeCell ref="C511:C513"/>
    <mergeCell ref="D511:D513"/>
    <mergeCell ref="C514:C517"/>
    <mergeCell ref="D514:D517"/>
    <mergeCell ref="C352:C357"/>
    <mergeCell ref="D352:D357"/>
    <mergeCell ref="C358:C359"/>
    <mergeCell ref="C756:C759"/>
    <mergeCell ref="D756:D759"/>
    <mergeCell ref="C760:C763"/>
    <mergeCell ref="D760:D763"/>
    <mergeCell ref="C623:C627"/>
    <mergeCell ref="D623:D627"/>
    <mergeCell ref="C628:C630"/>
    <mergeCell ref="D628:D630"/>
    <mergeCell ref="C631:C635"/>
    <mergeCell ref="D631:D635"/>
    <mergeCell ref="C636:C639"/>
    <mergeCell ref="D636:D639"/>
    <mergeCell ref="C640:C644"/>
    <mergeCell ref="D640:D644"/>
    <mergeCell ref="C645:C648"/>
    <mergeCell ref="D645:D648"/>
    <mergeCell ref="C649:C650"/>
    <mergeCell ref="D649:D650"/>
    <mergeCell ref="C701:C703"/>
    <mergeCell ref="C651:C653"/>
    <mergeCell ref="D651:D653"/>
    <mergeCell ref="C654:C655"/>
    <mergeCell ref="D654:D655"/>
    <mergeCell ref="C656:C657"/>
    <mergeCell ref="D656:D657"/>
    <mergeCell ref="C310:C313"/>
    <mergeCell ref="D310:D313"/>
    <mergeCell ref="C314:C316"/>
    <mergeCell ref="D314:D316"/>
    <mergeCell ref="C317:C320"/>
    <mergeCell ref="D317:D320"/>
    <mergeCell ref="C500:C504"/>
    <mergeCell ref="D500:D504"/>
    <mergeCell ref="C505:C508"/>
    <mergeCell ref="D505:D508"/>
    <mergeCell ref="C509:C510"/>
    <mergeCell ref="D509:D510"/>
    <mergeCell ref="D374:D378"/>
    <mergeCell ref="C379:C383"/>
    <mergeCell ref="D379:D383"/>
    <mergeCell ref="C384:C385"/>
    <mergeCell ref="D384:D385"/>
    <mergeCell ref="C386:C388"/>
    <mergeCell ref="D386:D388"/>
    <mergeCell ref="C389:C392"/>
    <mergeCell ref="D389:D392"/>
    <mergeCell ref="C393:C396"/>
    <mergeCell ref="D393:D396"/>
    <mergeCell ref="C413:C414"/>
    <mergeCell ref="D413:D414"/>
    <mergeCell ref="C415:C417"/>
    <mergeCell ref="D415:D417"/>
    <mergeCell ref="C418:C421"/>
    <mergeCell ref="D418:D421"/>
    <mergeCell ref="C422:C423"/>
    <mergeCell ref="D422:D423"/>
    <mergeCell ref="C424:C426"/>
    <mergeCell ref="C175:C176"/>
    <mergeCell ref="D175:D176"/>
    <mergeCell ref="C180:C182"/>
    <mergeCell ref="D180:D182"/>
    <mergeCell ref="C183:C187"/>
    <mergeCell ref="D183:D187"/>
    <mergeCell ref="C188:C191"/>
    <mergeCell ref="D188:D191"/>
    <mergeCell ref="C192:C194"/>
    <mergeCell ref="D192:D194"/>
    <mergeCell ref="C195:C197"/>
    <mergeCell ref="D195:D197"/>
    <mergeCell ref="C198:C201"/>
    <mergeCell ref="D198:D201"/>
    <mergeCell ref="C202:C204"/>
    <mergeCell ref="D202:D204"/>
    <mergeCell ref="C213:C216"/>
    <mergeCell ref="D213:D216"/>
    <mergeCell ref="D205:D208"/>
    <mergeCell ref="C209:C212"/>
    <mergeCell ref="D209:D212"/>
    <mergeCell ref="C92:C94"/>
    <mergeCell ref="D92:D94"/>
    <mergeCell ref="C95:C96"/>
    <mergeCell ref="D95:D96"/>
    <mergeCell ref="C97:C100"/>
    <mergeCell ref="D97:D100"/>
    <mergeCell ref="C101:C103"/>
    <mergeCell ref="D101:D103"/>
    <mergeCell ref="C104:C108"/>
    <mergeCell ref="D104:D108"/>
    <mergeCell ref="C109:C110"/>
    <mergeCell ref="D109:D110"/>
    <mergeCell ref="C111:C113"/>
    <mergeCell ref="D111:D113"/>
    <mergeCell ref="C114:C119"/>
    <mergeCell ref="D114:D119"/>
    <mergeCell ref="C120:C124"/>
    <mergeCell ref="D120:D124"/>
    <mergeCell ref="C125:C128"/>
    <mergeCell ref="D125:D128"/>
    <mergeCell ref="C129:C131"/>
    <mergeCell ref="D129:D131"/>
    <mergeCell ref="C132:C135"/>
    <mergeCell ref="D132:D135"/>
    <mergeCell ref="C136:C137"/>
    <mergeCell ref="D136:D137"/>
    <mergeCell ref="C138:C141"/>
    <mergeCell ref="D138:D141"/>
    <mergeCell ref="C142:C145"/>
    <mergeCell ref="D142:D145"/>
    <mergeCell ref="C1690:C1692"/>
    <mergeCell ref="D1690:D1692"/>
    <mergeCell ref="C1639:C1641"/>
    <mergeCell ref="D1639:D1641"/>
    <mergeCell ref="D1498:D1501"/>
    <mergeCell ref="C1502:C1504"/>
    <mergeCell ref="D1502:D1504"/>
    <mergeCell ref="C1532:C1533"/>
    <mergeCell ref="D1532:D1533"/>
    <mergeCell ref="C1534:C1537"/>
    <mergeCell ref="D1534:D1537"/>
    <mergeCell ref="C1538:C1540"/>
    <mergeCell ref="D1538:D1540"/>
    <mergeCell ref="C1541:C1542"/>
    <mergeCell ref="D1541:D1542"/>
    <mergeCell ref="C1543:C1545"/>
    <mergeCell ref="D1543:D1545"/>
    <mergeCell ref="C1546:C1547"/>
    <mergeCell ref="D1546:D1547"/>
    <mergeCell ref="C1548:C1550"/>
    <mergeCell ref="D1548:D1550"/>
    <mergeCell ref="C1551:C1552"/>
    <mergeCell ref="C1556:C1557"/>
    <mergeCell ref="D1556:D1557"/>
    <mergeCell ref="C1435:C1437"/>
    <mergeCell ref="D1435:D1437"/>
    <mergeCell ref="C1493:C1495"/>
    <mergeCell ref="D1493:D1495"/>
    <mergeCell ref="C1496:C1497"/>
    <mergeCell ref="D1496:D1497"/>
    <mergeCell ref="C1498:C1501"/>
    <mergeCell ref="C1518:C1519"/>
    <mergeCell ref="C1384:C1386"/>
    <mergeCell ref="D1384:D1386"/>
    <mergeCell ref="C1387:C1389"/>
    <mergeCell ref="D1387:D1389"/>
    <mergeCell ref="C1359:C1361"/>
    <mergeCell ref="D1359:D1361"/>
    <mergeCell ref="C1487:C1488"/>
    <mergeCell ref="D1487:D1488"/>
    <mergeCell ref="C1406:C1408"/>
    <mergeCell ref="D1406:D1408"/>
    <mergeCell ref="C1409:C1411"/>
    <mergeCell ref="D1409:D1411"/>
    <mergeCell ref="C1373:C1374"/>
    <mergeCell ref="D1373:D1374"/>
    <mergeCell ref="C1376:C1379"/>
    <mergeCell ref="D1376:D1379"/>
    <mergeCell ref="C1380:C1381"/>
    <mergeCell ref="D1380:D1381"/>
    <mergeCell ref="C1382:C1383"/>
    <mergeCell ref="D1382:D1383"/>
    <mergeCell ref="D964:D965"/>
    <mergeCell ref="C966:C967"/>
    <mergeCell ref="C811:C812"/>
    <mergeCell ref="D811:D812"/>
    <mergeCell ref="C545:C547"/>
    <mergeCell ref="D545:D547"/>
    <mergeCell ref="C550:C551"/>
    <mergeCell ref="D550:D551"/>
    <mergeCell ref="C552:C554"/>
    <mergeCell ref="D552:D554"/>
    <mergeCell ref="C555:C557"/>
    <mergeCell ref="D555:D557"/>
    <mergeCell ref="C558:C560"/>
    <mergeCell ref="D558:D560"/>
    <mergeCell ref="C561:C564"/>
    <mergeCell ref="D561:D564"/>
    <mergeCell ref="C565:C569"/>
    <mergeCell ref="D565:D569"/>
    <mergeCell ref="C570:C572"/>
    <mergeCell ref="D570:D572"/>
    <mergeCell ref="C548:C549"/>
    <mergeCell ref="D548:D549"/>
    <mergeCell ref="C669:C671"/>
    <mergeCell ref="D669:D671"/>
    <mergeCell ref="C672:C674"/>
    <mergeCell ref="D672:D674"/>
    <mergeCell ref="D701:D703"/>
    <mergeCell ref="C879:C880"/>
    <mergeCell ref="D879:D880"/>
    <mergeCell ref="C658:C661"/>
    <mergeCell ref="D658:D661"/>
    <mergeCell ref="C662:C665"/>
    <mergeCell ref="C374:C378"/>
    <mergeCell ref="C271:C272"/>
    <mergeCell ref="D271:D272"/>
    <mergeCell ref="C273:C274"/>
    <mergeCell ref="D273:D274"/>
    <mergeCell ref="C275:C277"/>
    <mergeCell ref="D275:D277"/>
    <mergeCell ref="C278:C280"/>
    <mergeCell ref="D278:D280"/>
    <mergeCell ref="C281:C284"/>
    <mergeCell ref="D281:D284"/>
    <mergeCell ref="C285:C286"/>
    <mergeCell ref="D285:D286"/>
    <mergeCell ref="C287:C290"/>
    <mergeCell ref="D287:D290"/>
    <mergeCell ref="C321:C324"/>
    <mergeCell ref="D321:D324"/>
    <mergeCell ref="C325:C328"/>
    <mergeCell ref="D325:D328"/>
    <mergeCell ref="C329:C331"/>
    <mergeCell ref="C291:C293"/>
    <mergeCell ref="D291:D293"/>
    <mergeCell ref="C294:C295"/>
    <mergeCell ref="D294:D295"/>
    <mergeCell ref="C296:C298"/>
    <mergeCell ref="D296:D298"/>
    <mergeCell ref="C299:C303"/>
    <mergeCell ref="D299:D303"/>
    <mergeCell ref="C305:C306"/>
    <mergeCell ref="D305:D306"/>
    <mergeCell ref="C307:C309"/>
    <mergeCell ref="D307:D309"/>
    <mergeCell ref="C81:C87"/>
    <mergeCell ref="D81:D87"/>
    <mergeCell ref="C88:C91"/>
    <mergeCell ref="D88:D91"/>
    <mergeCell ref="C267:C268"/>
    <mergeCell ref="D267:D268"/>
    <mergeCell ref="C269:C270"/>
    <mergeCell ref="D269:D270"/>
    <mergeCell ref="D245:D248"/>
    <mergeCell ref="C249:C253"/>
    <mergeCell ref="D249:D253"/>
    <mergeCell ref="C255:C257"/>
    <mergeCell ref="D255:D257"/>
    <mergeCell ref="C258:C261"/>
    <mergeCell ref="D258:D261"/>
    <mergeCell ref="C262:C263"/>
    <mergeCell ref="D262:D263"/>
    <mergeCell ref="C264:C266"/>
    <mergeCell ref="D264:D266"/>
    <mergeCell ref="C177:C179"/>
    <mergeCell ref="D177:D179"/>
    <mergeCell ref="C217:C219"/>
    <mergeCell ref="D217:D219"/>
    <mergeCell ref="C220:C224"/>
    <mergeCell ref="D220:D224"/>
    <mergeCell ref="C225:C228"/>
    <mergeCell ref="D225:D228"/>
    <mergeCell ref="C229:C231"/>
    <mergeCell ref="D229:D231"/>
    <mergeCell ref="C232:C236"/>
    <mergeCell ref="D232:D236"/>
    <mergeCell ref="C205:C208"/>
    <mergeCell ref="C33:C34"/>
    <mergeCell ref="D33:D34"/>
    <mergeCell ref="C35:C40"/>
    <mergeCell ref="D35:D40"/>
    <mergeCell ref="C41:C45"/>
    <mergeCell ref="D41:D45"/>
    <mergeCell ref="C46:C48"/>
    <mergeCell ref="D46:D48"/>
    <mergeCell ref="C49:C52"/>
    <mergeCell ref="D49:D52"/>
    <mergeCell ref="C53:C55"/>
    <mergeCell ref="D53:D55"/>
    <mergeCell ref="C56:C58"/>
    <mergeCell ref="D56:D58"/>
    <mergeCell ref="C59:C63"/>
    <mergeCell ref="D59:D63"/>
    <mergeCell ref="C64:C66"/>
    <mergeCell ref="D64:D66"/>
    <mergeCell ref="D1117:D1118"/>
    <mergeCell ref="C1119:C1121"/>
    <mergeCell ref="D1119:D1121"/>
    <mergeCell ref="C1122:C1124"/>
    <mergeCell ref="D1122:D1124"/>
    <mergeCell ref="D237:D240"/>
    <mergeCell ref="C241:C244"/>
    <mergeCell ref="D241:D244"/>
    <mergeCell ref="D329:D331"/>
    <mergeCell ref="C332:C336"/>
    <mergeCell ref="D332:D336"/>
    <mergeCell ref="C337:C340"/>
    <mergeCell ref="D337:D340"/>
    <mergeCell ref="C341:C344"/>
    <mergeCell ref="D341:D344"/>
    <mergeCell ref="C345:C349"/>
    <mergeCell ref="D345:D349"/>
    <mergeCell ref="C350:C351"/>
    <mergeCell ref="D350:D351"/>
    <mergeCell ref="D358:D359"/>
    <mergeCell ref="C806:C810"/>
    <mergeCell ref="D806:D810"/>
    <mergeCell ref="D877:D878"/>
    <mergeCell ref="C237:C240"/>
    <mergeCell ref="C360:C363"/>
    <mergeCell ref="D360:D363"/>
    <mergeCell ref="C364:C368"/>
    <mergeCell ref="D364:D368"/>
    <mergeCell ref="C369:C370"/>
    <mergeCell ref="D369:D370"/>
    <mergeCell ref="C371:C373"/>
    <mergeCell ref="D371:D373"/>
    <mergeCell ref="C1485:C1486"/>
    <mergeCell ref="D1485:D1486"/>
    <mergeCell ref="C1468:C1470"/>
    <mergeCell ref="C1094:C1095"/>
    <mergeCell ref="D1094:D1095"/>
    <mergeCell ref="C946:C947"/>
    <mergeCell ref="D946:D947"/>
    <mergeCell ref="D996:D997"/>
    <mergeCell ref="C948:C949"/>
    <mergeCell ref="D948:D949"/>
    <mergeCell ref="C950:C951"/>
    <mergeCell ref="D950:D951"/>
    <mergeCell ref="C952:C953"/>
    <mergeCell ref="D952:D953"/>
    <mergeCell ref="C954:C955"/>
    <mergeCell ref="D954:D955"/>
    <mergeCell ref="C67:C69"/>
    <mergeCell ref="D67:D69"/>
    <mergeCell ref="C70:C71"/>
    <mergeCell ref="D70:D71"/>
    <mergeCell ref="C72:C74"/>
    <mergeCell ref="D72:D74"/>
    <mergeCell ref="C75:C77"/>
    <mergeCell ref="D75:D77"/>
    <mergeCell ref="C78:C80"/>
    <mergeCell ref="D78:D80"/>
    <mergeCell ref="D1468:D1470"/>
    <mergeCell ref="C1471:C1473"/>
    <mergeCell ref="D1471:D1473"/>
    <mergeCell ref="C1474:C1475"/>
    <mergeCell ref="D1474:D1475"/>
    <mergeCell ref="C146:C149"/>
    <mergeCell ref="C1482:C1484"/>
    <mergeCell ref="D1482:D1484"/>
    <mergeCell ref="D146:D149"/>
    <mergeCell ref="C150:C154"/>
    <mergeCell ref="D150:D154"/>
    <mergeCell ref="C155:C158"/>
    <mergeCell ref="D155:D158"/>
    <mergeCell ref="C159:C161"/>
    <mergeCell ref="D159:D161"/>
    <mergeCell ref="C162:C166"/>
    <mergeCell ref="D162:D166"/>
    <mergeCell ref="C167:C168"/>
    <mergeCell ref="D167:D168"/>
    <mergeCell ref="C169:C174"/>
    <mergeCell ref="D169:D174"/>
    <mergeCell ref="C245:C248"/>
    <mergeCell ref="C1041:C1042"/>
    <mergeCell ref="D1041:D1042"/>
    <mergeCell ref="C1109:C1111"/>
    <mergeCell ref="D1109:D1111"/>
    <mergeCell ref="C1076:C1077"/>
    <mergeCell ref="C1061:C1062"/>
    <mergeCell ref="D1061:D1062"/>
    <mergeCell ref="C1063:C1064"/>
    <mergeCell ref="D1063:D1064"/>
    <mergeCell ref="C1125:C1127"/>
    <mergeCell ref="D1125:D1127"/>
    <mergeCell ref="C1128:C1129"/>
    <mergeCell ref="D1128:D1129"/>
    <mergeCell ref="D1130:D1131"/>
    <mergeCell ref="C1097:C1098"/>
    <mergeCell ref="D1097:D1098"/>
    <mergeCell ref="C31:C32"/>
    <mergeCell ref="D31:D32"/>
    <mergeCell ref="D970:D971"/>
    <mergeCell ref="C860:C861"/>
    <mergeCell ref="D860:D861"/>
    <mergeCell ref="B854:B1095"/>
    <mergeCell ref="C1476:C1478"/>
    <mergeCell ref="D1476:D1478"/>
    <mergeCell ref="C1479:C1481"/>
    <mergeCell ref="D1479:D1481"/>
    <mergeCell ref="C1112:C1113"/>
    <mergeCell ref="D1112:D1113"/>
    <mergeCell ref="C1114:C1115"/>
    <mergeCell ref="D1114:D1115"/>
    <mergeCell ref="C996:C997"/>
    <mergeCell ref="C972:C973"/>
    <mergeCell ref="D972:D973"/>
    <mergeCell ref="D917:D918"/>
    <mergeCell ref="C919:C920"/>
    <mergeCell ref="D919:D920"/>
    <mergeCell ref="C921:C922"/>
    <mergeCell ref="D921:D922"/>
    <mergeCell ref="C923:C924"/>
    <mergeCell ref="D923:D924"/>
    <mergeCell ref="C925:C926"/>
    <mergeCell ref="D925:D926"/>
    <mergeCell ref="C927:C928"/>
    <mergeCell ref="D927:D928"/>
    <mergeCell ref="C929:C930"/>
    <mergeCell ref="D929:D930"/>
    <mergeCell ref="C931:C932"/>
    <mergeCell ref="C964:C965"/>
    <mergeCell ref="D2:K2"/>
    <mergeCell ref="D3:J3"/>
    <mergeCell ref="B6:B525"/>
    <mergeCell ref="B1468:B1694"/>
    <mergeCell ref="B1097:B1466"/>
    <mergeCell ref="B527:B852"/>
    <mergeCell ref="D966:D967"/>
    <mergeCell ref="C968:C969"/>
    <mergeCell ref="D968:D969"/>
    <mergeCell ref="C970:C971"/>
    <mergeCell ref="C854:C855"/>
    <mergeCell ref="D854:D855"/>
    <mergeCell ref="C856:C857"/>
    <mergeCell ref="D856:D857"/>
    <mergeCell ref="C858:C859"/>
    <mergeCell ref="D858:D859"/>
    <mergeCell ref="C1693:C1694"/>
    <mergeCell ref="D1693:D1694"/>
    <mergeCell ref="C956:C957"/>
    <mergeCell ref="D956:D957"/>
    <mergeCell ref="C958:C959"/>
    <mergeCell ref="D958:D959"/>
    <mergeCell ref="C6:C9"/>
    <mergeCell ref="D6:D9"/>
    <mergeCell ref="D10:D14"/>
    <mergeCell ref="C15:C21"/>
    <mergeCell ref="D15:D21"/>
    <mergeCell ref="C22:C27"/>
    <mergeCell ref="D22:D27"/>
    <mergeCell ref="C28:C30"/>
    <mergeCell ref="D28:D30"/>
    <mergeCell ref="C10:C14"/>
  </mergeCells>
  <phoneticPr fontId="62" type="noConversion"/>
  <printOptions horizontalCentered="1" verticalCentered="1"/>
  <pageMargins left="0.51181102362204722" right="0.47244094488188981" top="0.35433070866141736" bottom="0.39370078740157483" header="0" footer="0"/>
  <pageSetup scale="66" fitToHeight="0" orientation="landscape" r:id="rId1"/>
  <headerFooter alignWithMargins="0">
    <oddFooter>&amp;C&amp;P&amp;RElaborado por EQUILIBRIUM Inmobiliario S.A.S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7376C-D4AF-484C-B862-1C4A70C78179}">
  <sheetPr>
    <tabColor rgb="FFF6FA58"/>
    <pageSetUpPr fitToPage="1"/>
  </sheetPr>
  <dimension ref="A1:P2886"/>
  <sheetViews>
    <sheetView zoomScale="115" zoomScaleNormal="115" workbookViewId="0">
      <pane xSplit="5" ySplit="4" topLeftCell="F8" activePane="bottomRight" state="frozen"/>
      <selection activeCell="B9" sqref="B9:C9"/>
      <selection pane="topRight" activeCell="B9" sqref="B9:C9"/>
      <selection pane="bottomLeft" activeCell="B9" sqref="B9:C9"/>
      <selection pane="bottomRight" activeCell="F10" sqref="F10"/>
    </sheetView>
  </sheetViews>
  <sheetFormatPr baseColWidth="10" defaultColWidth="0" defaultRowHeight="12.75" x14ac:dyDescent="0.2"/>
  <cols>
    <col min="1" max="1" width="0.5703125" style="301" customWidth="1"/>
    <col min="2" max="2" width="31.28515625" style="721" customWidth="1"/>
    <col min="3" max="3" width="16.5703125" style="591" customWidth="1"/>
    <col min="4" max="4" width="27.42578125" style="591" customWidth="1"/>
    <col min="5" max="5" width="18.85546875" style="301" bestFit="1" customWidth="1"/>
    <col min="6" max="6" width="18.42578125" style="301" bestFit="1" customWidth="1"/>
    <col min="7" max="7" width="18" style="301" bestFit="1" customWidth="1"/>
    <col min="8" max="8" width="16.5703125" style="301" bestFit="1" customWidth="1"/>
    <col min="9" max="9" width="27" style="301" bestFit="1" customWidth="1"/>
    <col min="10" max="10" width="18.42578125" style="301" bestFit="1" customWidth="1"/>
    <col min="11" max="11" width="19.140625" style="328" bestFit="1" customWidth="1"/>
    <col min="12" max="13" width="15.42578125" style="301" bestFit="1" customWidth="1"/>
    <col min="14" max="14" width="16.5703125" style="301" bestFit="1" customWidth="1"/>
    <col min="15" max="15" width="0.42578125" style="301" hidden="1" customWidth="1"/>
    <col min="16" max="16" width="4.5703125" style="302" customWidth="1"/>
    <col min="17" max="16384" width="4.5703125" style="302" hidden="1"/>
  </cols>
  <sheetData>
    <row r="1" spans="1:16" ht="3.75" customHeight="1" x14ac:dyDescent="0.2">
      <c r="B1" s="716"/>
      <c r="C1" s="588"/>
      <c r="D1" s="588"/>
      <c r="E1" s="443"/>
      <c r="F1" s="444"/>
      <c r="G1" s="444"/>
      <c r="H1" s="444"/>
      <c r="I1" s="380"/>
      <c r="J1" s="380"/>
      <c r="K1" s="443"/>
      <c r="L1" s="380"/>
      <c r="M1" s="380"/>
      <c r="N1" s="380"/>
    </row>
    <row r="2" spans="1:16" ht="21" x14ac:dyDescent="0.35">
      <c r="B2" s="716"/>
      <c r="C2" s="588"/>
      <c r="D2" s="874" t="s">
        <v>847</v>
      </c>
      <c r="E2" s="874"/>
      <c r="F2" s="874"/>
      <c r="G2" s="874"/>
      <c r="H2" s="874"/>
      <c r="I2" s="874"/>
      <c r="J2" s="874"/>
      <c r="K2" s="874"/>
      <c r="L2" s="380"/>
      <c r="M2" s="380"/>
      <c r="N2" s="380"/>
      <c r="O2" s="445"/>
      <c r="P2" s="547"/>
    </row>
    <row r="3" spans="1:16" ht="15.75" x14ac:dyDescent="0.25">
      <c r="B3" s="716"/>
      <c r="C3" s="588"/>
      <c r="D3" s="875">
        <f>+'Datos globales '!B10</f>
        <v>45900</v>
      </c>
      <c r="E3" s="875"/>
      <c r="F3" s="875"/>
      <c r="G3" s="875"/>
      <c r="H3" s="875"/>
      <c r="I3" s="875"/>
      <c r="J3" s="875"/>
      <c r="K3" s="380"/>
      <c r="L3" s="380"/>
      <c r="M3" s="380"/>
      <c r="N3" s="380"/>
    </row>
    <row r="4" spans="1:16" ht="2.25" customHeight="1" x14ac:dyDescent="0.2">
      <c r="B4" s="716"/>
      <c r="C4" s="588"/>
      <c r="D4" s="588"/>
      <c r="E4" s="443"/>
      <c r="F4" s="444"/>
      <c r="G4" s="444"/>
      <c r="H4" s="444"/>
      <c r="I4" s="380"/>
      <c r="J4" s="380"/>
      <c r="K4" s="446"/>
      <c r="L4" s="380"/>
      <c r="M4" s="380"/>
      <c r="N4" s="380"/>
    </row>
    <row r="5" spans="1:16" s="175" customFormat="1" ht="12" customHeight="1" x14ac:dyDescent="0.25">
      <c r="A5" s="449"/>
      <c r="B5" s="717"/>
    </row>
    <row r="6" spans="1:16" s="247" customFormat="1" ht="12" customHeight="1" x14ac:dyDescent="0.25">
      <c r="A6" s="449"/>
      <c r="B6" s="718"/>
    </row>
    <row r="7" spans="1:16" s="247" customFormat="1" ht="15" x14ac:dyDescent="0.25">
      <c r="A7" s="449"/>
      <c r="B7" s="719" t="s">
        <v>4441</v>
      </c>
      <c r="C7" s="714" t="s">
        <v>109</v>
      </c>
      <c r="D7" s="714" t="s">
        <v>110</v>
      </c>
      <c r="E7" s="714" t="s">
        <v>37</v>
      </c>
      <c r="F7" s="715" t="s">
        <v>4442</v>
      </c>
      <c r="G7" s="715" t="s">
        <v>4443</v>
      </c>
      <c r="H7" s="715" t="s">
        <v>4444</v>
      </c>
      <c r="I7" s="715" t="s">
        <v>4445</v>
      </c>
      <c r="J7" s="715" t="s">
        <v>4446</v>
      </c>
      <c r="K7" s="715" t="s">
        <v>4447</v>
      </c>
      <c r="L7" s="715" t="s">
        <v>4448</v>
      </c>
      <c r="M7" s="715" t="s">
        <v>4449</v>
      </c>
      <c r="N7" s="715" t="s">
        <v>4450</v>
      </c>
    </row>
    <row r="8" spans="1:16" s="247" customFormat="1" ht="15" x14ac:dyDescent="0.25">
      <c r="A8" s="449"/>
      <c r="B8" s="838">
        <v>1</v>
      </c>
      <c r="C8" s="838" t="s">
        <v>1762</v>
      </c>
      <c r="D8" s="838" t="s">
        <v>1192</v>
      </c>
      <c r="E8" s="713" t="s">
        <v>26</v>
      </c>
      <c r="F8" s="712">
        <v>214272235</v>
      </c>
      <c r="G8" s="712">
        <v>214272235</v>
      </c>
      <c r="H8" s="712">
        <v>0</v>
      </c>
      <c r="I8" s="712">
        <v>0</v>
      </c>
      <c r="J8" s="712">
        <v>0</v>
      </c>
      <c r="K8" s="712">
        <v>0</v>
      </c>
      <c r="L8" s="712">
        <v>0</v>
      </c>
      <c r="M8" s="712">
        <v>0</v>
      </c>
      <c r="N8" s="712">
        <v>0</v>
      </c>
    </row>
    <row r="9" spans="1:16" s="247" customFormat="1" ht="15" x14ac:dyDescent="0.25">
      <c r="A9" s="449"/>
      <c r="B9" s="887"/>
      <c r="C9" s="888"/>
      <c r="D9" s="888"/>
      <c r="E9" s="713" t="s">
        <v>1557</v>
      </c>
      <c r="F9" s="712">
        <v>142000000</v>
      </c>
      <c r="G9" s="712">
        <v>142000000</v>
      </c>
      <c r="H9" s="712">
        <v>0</v>
      </c>
      <c r="I9" s="712">
        <v>0</v>
      </c>
      <c r="J9" s="712">
        <v>0</v>
      </c>
      <c r="K9" s="712">
        <v>0</v>
      </c>
      <c r="L9" s="712">
        <v>0</v>
      </c>
      <c r="M9" s="712">
        <v>0</v>
      </c>
      <c r="N9" s="712">
        <v>0</v>
      </c>
    </row>
    <row r="10" spans="1:16" s="247" customFormat="1" ht="15" x14ac:dyDescent="0.25">
      <c r="A10" s="449"/>
      <c r="B10" s="887"/>
      <c r="C10" s="888"/>
      <c r="D10" s="888"/>
      <c r="E10" s="713" t="s">
        <v>3212</v>
      </c>
      <c r="F10" s="712">
        <v>132437</v>
      </c>
      <c r="G10" s="712">
        <v>0</v>
      </c>
      <c r="H10" s="712">
        <v>132437</v>
      </c>
      <c r="I10" s="712">
        <v>0</v>
      </c>
      <c r="J10" s="712">
        <v>132437</v>
      </c>
      <c r="K10" s="712">
        <v>0</v>
      </c>
      <c r="L10" s="712">
        <v>0</v>
      </c>
      <c r="M10" s="712">
        <v>0</v>
      </c>
      <c r="N10" s="712">
        <v>132437</v>
      </c>
    </row>
    <row r="11" spans="1:16" s="247" customFormat="1" ht="15" x14ac:dyDescent="0.25">
      <c r="A11" s="449"/>
      <c r="B11" s="887"/>
      <c r="C11" s="888"/>
      <c r="D11" s="888"/>
      <c r="E11" s="713" t="s">
        <v>2676</v>
      </c>
      <c r="F11" s="712">
        <v>1666133</v>
      </c>
      <c r="G11" s="712">
        <v>0</v>
      </c>
      <c r="H11" s="712">
        <v>1666133</v>
      </c>
      <c r="I11" s="712">
        <v>0</v>
      </c>
      <c r="J11" s="712">
        <v>1666133</v>
      </c>
      <c r="K11" s="712">
        <v>0</v>
      </c>
      <c r="L11" s="712">
        <v>0</v>
      </c>
      <c r="M11" s="712">
        <v>0</v>
      </c>
      <c r="N11" s="712">
        <v>1666133</v>
      </c>
    </row>
    <row r="12" spans="1:16" s="247" customFormat="1" ht="15" x14ac:dyDescent="0.25">
      <c r="A12" s="449"/>
      <c r="B12" s="887"/>
      <c r="C12" s="838" t="s">
        <v>1763</v>
      </c>
      <c r="D12" s="838" t="s">
        <v>2288</v>
      </c>
      <c r="E12" s="713" t="s">
        <v>26</v>
      </c>
      <c r="F12" s="712">
        <v>109529214</v>
      </c>
      <c r="G12" s="712">
        <v>109529214</v>
      </c>
      <c r="H12" s="712">
        <v>0</v>
      </c>
      <c r="I12" s="712">
        <v>0</v>
      </c>
      <c r="J12" s="712">
        <v>0</v>
      </c>
      <c r="K12" s="712">
        <v>0</v>
      </c>
      <c r="L12" s="712">
        <v>0</v>
      </c>
      <c r="M12" s="712">
        <v>0</v>
      </c>
      <c r="N12" s="712">
        <v>0</v>
      </c>
    </row>
    <row r="13" spans="1:16" s="247" customFormat="1" ht="15" x14ac:dyDescent="0.25">
      <c r="A13" s="449"/>
      <c r="B13" s="887"/>
      <c r="C13" s="839"/>
      <c r="D13" s="839"/>
      <c r="E13" s="713" t="s">
        <v>1557</v>
      </c>
      <c r="F13" s="712">
        <v>177500000</v>
      </c>
      <c r="G13" s="712">
        <v>177500000</v>
      </c>
      <c r="H13" s="712">
        <v>0</v>
      </c>
      <c r="I13" s="712">
        <v>0</v>
      </c>
      <c r="J13" s="712">
        <v>0</v>
      </c>
      <c r="K13" s="712">
        <v>0</v>
      </c>
      <c r="L13" s="712">
        <v>0</v>
      </c>
      <c r="M13" s="712">
        <v>0</v>
      </c>
      <c r="N13" s="712">
        <v>0</v>
      </c>
    </row>
    <row r="14" spans="1:16" s="247" customFormat="1" ht="15" x14ac:dyDescent="0.25">
      <c r="A14" s="449"/>
      <c r="B14" s="887"/>
      <c r="C14" s="839"/>
      <c r="D14" s="839"/>
      <c r="E14" s="713" t="s">
        <v>195</v>
      </c>
      <c r="F14" s="712">
        <v>1242114</v>
      </c>
      <c r="G14" s="712">
        <v>1242114</v>
      </c>
      <c r="H14" s="712">
        <v>0</v>
      </c>
      <c r="I14" s="712">
        <v>0</v>
      </c>
      <c r="J14" s="712">
        <v>0</v>
      </c>
      <c r="K14" s="712">
        <v>0</v>
      </c>
      <c r="L14" s="712">
        <v>0</v>
      </c>
      <c r="M14" s="712">
        <v>0</v>
      </c>
      <c r="N14" s="712">
        <v>0</v>
      </c>
    </row>
    <row r="15" spans="1:16" s="247" customFormat="1" ht="15" x14ac:dyDescent="0.25">
      <c r="A15" s="449"/>
      <c r="B15" s="887"/>
      <c r="C15" s="839"/>
      <c r="D15" s="839"/>
      <c r="E15" s="713" t="s">
        <v>2676</v>
      </c>
      <c r="F15" s="712">
        <v>426000</v>
      </c>
      <c r="G15" s="712">
        <v>426000</v>
      </c>
      <c r="H15" s="712">
        <v>0</v>
      </c>
      <c r="I15" s="712">
        <v>0</v>
      </c>
      <c r="J15" s="712">
        <v>0</v>
      </c>
      <c r="K15" s="712">
        <v>0</v>
      </c>
      <c r="L15" s="712">
        <v>0</v>
      </c>
      <c r="M15" s="712">
        <v>0</v>
      </c>
      <c r="N15" s="712">
        <v>0</v>
      </c>
    </row>
    <row r="16" spans="1:16" s="247" customFormat="1" ht="15" x14ac:dyDescent="0.25">
      <c r="A16" s="449"/>
      <c r="B16" s="887"/>
      <c r="C16" s="839"/>
      <c r="D16" s="839"/>
      <c r="E16" s="713" t="s">
        <v>1221</v>
      </c>
      <c r="F16" s="712">
        <v>10005788</v>
      </c>
      <c r="G16" s="712">
        <v>10005788</v>
      </c>
      <c r="H16" s="712">
        <v>0</v>
      </c>
      <c r="I16" s="712">
        <v>0</v>
      </c>
      <c r="J16" s="712">
        <v>0</v>
      </c>
      <c r="K16" s="712">
        <v>0</v>
      </c>
      <c r="L16" s="712">
        <v>0</v>
      </c>
      <c r="M16" s="712">
        <v>0</v>
      </c>
      <c r="N16" s="712">
        <v>0</v>
      </c>
    </row>
    <row r="17" spans="1:14" s="247" customFormat="1" ht="15" x14ac:dyDescent="0.25">
      <c r="A17" s="449"/>
      <c r="B17" s="887"/>
      <c r="C17" s="838" t="s">
        <v>1764</v>
      </c>
      <c r="D17" s="838" t="s">
        <v>1571</v>
      </c>
      <c r="E17" s="713" t="s">
        <v>198</v>
      </c>
      <c r="F17" s="712">
        <v>33000000</v>
      </c>
      <c r="G17" s="712">
        <v>33000000</v>
      </c>
      <c r="H17" s="712">
        <v>0</v>
      </c>
      <c r="I17" s="712">
        <v>0</v>
      </c>
      <c r="J17" s="712">
        <v>0</v>
      </c>
      <c r="K17" s="712">
        <v>0</v>
      </c>
      <c r="L17" s="712">
        <v>0</v>
      </c>
      <c r="M17" s="712">
        <v>0</v>
      </c>
      <c r="N17" s="712">
        <v>0</v>
      </c>
    </row>
    <row r="18" spans="1:14" s="247" customFormat="1" ht="15" x14ac:dyDescent="0.25">
      <c r="A18" s="449"/>
      <c r="B18" s="887"/>
      <c r="C18" s="839"/>
      <c r="D18" s="839"/>
      <c r="E18" s="713" t="s">
        <v>26</v>
      </c>
      <c r="F18" s="712">
        <v>64802542</v>
      </c>
      <c r="G18" s="712">
        <v>64802542</v>
      </c>
      <c r="H18" s="712">
        <v>0</v>
      </c>
      <c r="I18" s="712">
        <v>0</v>
      </c>
      <c r="J18" s="712">
        <v>0</v>
      </c>
      <c r="K18" s="712">
        <v>0</v>
      </c>
      <c r="L18" s="712">
        <v>0</v>
      </c>
      <c r="M18" s="712">
        <v>0</v>
      </c>
      <c r="N18" s="712">
        <v>0</v>
      </c>
    </row>
    <row r="19" spans="1:14" s="247" customFormat="1" ht="15" x14ac:dyDescent="0.25">
      <c r="A19" s="449"/>
      <c r="B19" s="887"/>
      <c r="C19" s="839"/>
      <c r="D19" s="839"/>
      <c r="E19" s="713" t="s">
        <v>1557</v>
      </c>
      <c r="F19" s="712">
        <v>208000000</v>
      </c>
      <c r="G19" s="712">
        <v>208000000</v>
      </c>
      <c r="H19" s="712">
        <v>0</v>
      </c>
      <c r="I19" s="712">
        <v>0</v>
      </c>
      <c r="J19" s="712">
        <v>0</v>
      </c>
      <c r="K19" s="712">
        <v>0</v>
      </c>
      <c r="L19" s="712">
        <v>0</v>
      </c>
      <c r="M19" s="712">
        <v>0</v>
      </c>
      <c r="N19" s="712">
        <v>0</v>
      </c>
    </row>
    <row r="20" spans="1:14" s="247" customFormat="1" ht="15" x14ac:dyDescent="0.25">
      <c r="A20" s="449"/>
      <c r="B20" s="887"/>
      <c r="C20" s="839"/>
      <c r="D20" s="839"/>
      <c r="E20" s="713" t="s">
        <v>822</v>
      </c>
      <c r="F20" s="712">
        <v>438845</v>
      </c>
      <c r="G20" s="712">
        <v>438845</v>
      </c>
      <c r="H20" s="712">
        <v>0</v>
      </c>
      <c r="I20" s="712">
        <v>0</v>
      </c>
      <c r="J20" s="712">
        <v>0</v>
      </c>
      <c r="K20" s="712">
        <v>0</v>
      </c>
      <c r="L20" s="712">
        <v>0</v>
      </c>
      <c r="M20" s="712">
        <v>0</v>
      </c>
      <c r="N20" s="712">
        <v>0</v>
      </c>
    </row>
    <row r="21" spans="1:14" s="247" customFormat="1" ht="15" x14ac:dyDescent="0.25">
      <c r="A21" s="449"/>
      <c r="B21" s="887"/>
      <c r="C21" s="839"/>
      <c r="D21" s="839"/>
      <c r="E21" s="713" t="s">
        <v>3212</v>
      </c>
      <c r="F21" s="712">
        <v>23510</v>
      </c>
      <c r="G21" s="712">
        <v>23510</v>
      </c>
      <c r="H21" s="712">
        <v>0</v>
      </c>
      <c r="I21" s="712">
        <v>0</v>
      </c>
      <c r="J21" s="712">
        <v>0</v>
      </c>
      <c r="K21" s="712">
        <v>0</v>
      </c>
      <c r="L21" s="712">
        <v>0</v>
      </c>
      <c r="M21" s="712">
        <v>0</v>
      </c>
      <c r="N21" s="712">
        <v>0</v>
      </c>
    </row>
    <row r="22" spans="1:14" s="247" customFormat="1" ht="15" x14ac:dyDescent="0.25">
      <c r="A22" s="449"/>
      <c r="B22" s="887"/>
      <c r="C22" s="839"/>
      <c r="D22" s="839"/>
      <c r="E22" s="713" t="s">
        <v>2676</v>
      </c>
      <c r="F22" s="712">
        <v>1168160</v>
      </c>
      <c r="G22" s="712">
        <v>1168160</v>
      </c>
      <c r="H22" s="712">
        <v>0</v>
      </c>
      <c r="I22" s="712">
        <v>0</v>
      </c>
      <c r="J22" s="712">
        <v>0</v>
      </c>
      <c r="K22" s="712">
        <v>0</v>
      </c>
      <c r="L22" s="712">
        <v>0</v>
      </c>
      <c r="M22" s="712">
        <v>0</v>
      </c>
      <c r="N22" s="712">
        <v>0</v>
      </c>
    </row>
    <row r="23" spans="1:14" s="247" customFormat="1" ht="15" x14ac:dyDescent="0.25">
      <c r="A23" s="449"/>
      <c r="B23" s="887"/>
      <c r="C23" s="839"/>
      <c r="D23" s="839"/>
      <c r="E23" s="713" t="s">
        <v>1221</v>
      </c>
      <c r="F23" s="712">
        <v>1512675</v>
      </c>
      <c r="G23" s="712">
        <v>1512675</v>
      </c>
      <c r="H23" s="712">
        <v>0</v>
      </c>
      <c r="I23" s="712">
        <v>0</v>
      </c>
      <c r="J23" s="712">
        <v>0</v>
      </c>
      <c r="K23" s="712">
        <v>0</v>
      </c>
      <c r="L23" s="712">
        <v>0</v>
      </c>
      <c r="M23" s="712">
        <v>0</v>
      </c>
      <c r="N23" s="712">
        <v>0</v>
      </c>
    </row>
    <row r="24" spans="1:14" s="247" customFormat="1" ht="15" x14ac:dyDescent="0.25">
      <c r="A24" s="449"/>
      <c r="B24" s="887"/>
      <c r="C24" s="838" t="s">
        <v>1765</v>
      </c>
      <c r="D24" s="838" t="s">
        <v>1696</v>
      </c>
      <c r="E24" s="713" t="s">
        <v>26</v>
      </c>
      <c r="F24" s="712">
        <v>124455315</v>
      </c>
      <c r="G24" s="712">
        <v>124455315</v>
      </c>
      <c r="H24" s="712">
        <v>0</v>
      </c>
      <c r="I24" s="712">
        <v>0</v>
      </c>
      <c r="J24" s="712">
        <v>0</v>
      </c>
      <c r="K24" s="712">
        <v>0</v>
      </c>
      <c r="L24" s="712">
        <v>0</v>
      </c>
      <c r="M24" s="712">
        <v>0</v>
      </c>
      <c r="N24" s="712">
        <v>0</v>
      </c>
    </row>
    <row r="25" spans="1:14" s="247" customFormat="1" ht="15" x14ac:dyDescent="0.25">
      <c r="A25" s="449"/>
      <c r="B25" s="887"/>
      <c r="C25" s="839"/>
      <c r="D25" s="839"/>
      <c r="E25" s="713" t="s">
        <v>1557</v>
      </c>
      <c r="F25" s="712">
        <v>234821747</v>
      </c>
      <c r="G25" s="712">
        <v>234821747</v>
      </c>
      <c r="H25" s="712">
        <v>0</v>
      </c>
      <c r="I25" s="712">
        <v>0</v>
      </c>
      <c r="J25" s="712">
        <v>0</v>
      </c>
      <c r="K25" s="712">
        <v>0</v>
      </c>
      <c r="L25" s="712">
        <v>0</v>
      </c>
      <c r="M25" s="712">
        <v>0</v>
      </c>
      <c r="N25" s="712">
        <v>0</v>
      </c>
    </row>
    <row r="26" spans="1:14" s="247" customFormat="1" ht="15" x14ac:dyDescent="0.25">
      <c r="A26" s="449"/>
      <c r="B26" s="887"/>
      <c r="C26" s="839"/>
      <c r="D26" s="839"/>
      <c r="E26" s="713" t="s">
        <v>822</v>
      </c>
      <c r="F26" s="712">
        <v>515806</v>
      </c>
      <c r="G26" s="712">
        <v>515806</v>
      </c>
      <c r="H26" s="712">
        <v>0</v>
      </c>
      <c r="I26" s="712">
        <v>0</v>
      </c>
      <c r="J26" s="712">
        <v>0</v>
      </c>
      <c r="K26" s="712">
        <v>0</v>
      </c>
      <c r="L26" s="712">
        <v>0</v>
      </c>
      <c r="M26" s="712">
        <v>0</v>
      </c>
      <c r="N26" s="712">
        <v>0</v>
      </c>
    </row>
    <row r="27" spans="1:14" s="247" customFormat="1" ht="15" x14ac:dyDescent="0.25">
      <c r="A27" s="449"/>
      <c r="B27" s="887"/>
      <c r="C27" s="839"/>
      <c r="D27" s="839"/>
      <c r="E27" s="713" t="s">
        <v>3212</v>
      </c>
      <c r="F27" s="712">
        <v>98442</v>
      </c>
      <c r="G27" s="712">
        <v>98442</v>
      </c>
      <c r="H27" s="712">
        <v>0</v>
      </c>
      <c r="I27" s="712">
        <v>0</v>
      </c>
      <c r="J27" s="712">
        <v>0</v>
      </c>
      <c r="K27" s="712">
        <v>0</v>
      </c>
      <c r="L27" s="712">
        <v>0</v>
      </c>
      <c r="M27" s="712">
        <v>0</v>
      </c>
      <c r="N27" s="712">
        <v>0</v>
      </c>
    </row>
    <row r="28" spans="1:14" s="175" customFormat="1" ht="15" x14ac:dyDescent="0.25">
      <c r="A28" s="449"/>
      <c r="B28" s="887"/>
      <c r="C28" s="839"/>
      <c r="D28" s="839"/>
      <c r="E28" s="713" t="s">
        <v>2676</v>
      </c>
      <c r="F28" s="712">
        <v>1440240</v>
      </c>
      <c r="G28" s="712">
        <v>1440240</v>
      </c>
      <c r="H28" s="712">
        <v>0</v>
      </c>
      <c r="I28" s="712">
        <v>0</v>
      </c>
      <c r="J28" s="712">
        <v>0</v>
      </c>
      <c r="K28" s="712">
        <v>0</v>
      </c>
      <c r="L28" s="712">
        <v>0</v>
      </c>
      <c r="M28" s="712">
        <v>0</v>
      </c>
      <c r="N28" s="712">
        <v>0</v>
      </c>
    </row>
    <row r="29" spans="1:14" s="175" customFormat="1" ht="15" x14ac:dyDescent="0.25">
      <c r="A29" s="449"/>
      <c r="B29" s="887"/>
      <c r="C29" s="839"/>
      <c r="D29" s="839"/>
      <c r="E29" s="713" t="s">
        <v>1221</v>
      </c>
      <c r="F29" s="712">
        <v>1931850</v>
      </c>
      <c r="G29" s="712">
        <v>1931850</v>
      </c>
      <c r="H29" s="712">
        <v>0</v>
      </c>
      <c r="I29" s="712">
        <v>0</v>
      </c>
      <c r="J29" s="712">
        <v>0</v>
      </c>
      <c r="K29" s="712">
        <v>0</v>
      </c>
      <c r="L29" s="712">
        <v>0</v>
      </c>
      <c r="M29" s="712">
        <v>0</v>
      </c>
      <c r="N29" s="712">
        <v>0</v>
      </c>
    </row>
    <row r="30" spans="1:14" s="175" customFormat="1" ht="15" x14ac:dyDescent="0.25">
      <c r="A30" s="449"/>
      <c r="B30" s="887"/>
      <c r="C30" s="838" t="s">
        <v>1766</v>
      </c>
      <c r="D30" s="838" t="s">
        <v>1526</v>
      </c>
      <c r="E30" s="713" t="s">
        <v>26</v>
      </c>
      <c r="F30" s="712">
        <v>83180012</v>
      </c>
      <c r="G30" s="712">
        <v>83180012</v>
      </c>
      <c r="H30" s="712">
        <v>0</v>
      </c>
      <c r="I30" s="712">
        <v>0</v>
      </c>
      <c r="J30" s="712">
        <v>0</v>
      </c>
      <c r="K30" s="712">
        <v>0</v>
      </c>
      <c r="L30" s="712">
        <v>0</v>
      </c>
      <c r="M30" s="712">
        <v>0</v>
      </c>
      <c r="N30" s="712">
        <v>0</v>
      </c>
    </row>
    <row r="31" spans="1:14" s="175" customFormat="1" ht="15" x14ac:dyDescent="0.25">
      <c r="A31" s="449"/>
      <c r="B31" s="887"/>
      <c r="C31" s="839"/>
      <c r="D31" s="839"/>
      <c r="E31" s="713" t="s">
        <v>1557</v>
      </c>
      <c r="F31" s="712">
        <v>186919823</v>
      </c>
      <c r="G31" s="712">
        <v>0</v>
      </c>
      <c r="H31" s="712">
        <v>186919823</v>
      </c>
      <c r="I31" s="712">
        <v>0</v>
      </c>
      <c r="J31" s="712">
        <v>186919823</v>
      </c>
      <c r="K31" s="712">
        <v>0</v>
      </c>
      <c r="L31" s="712">
        <v>0</v>
      </c>
      <c r="M31" s="712">
        <v>0</v>
      </c>
      <c r="N31" s="712">
        <v>186919823</v>
      </c>
    </row>
    <row r="32" spans="1:14" s="175" customFormat="1" ht="15" x14ac:dyDescent="0.25">
      <c r="A32" s="449"/>
      <c r="B32" s="887"/>
      <c r="C32" s="839"/>
      <c r="D32" s="839"/>
      <c r="E32" s="713" t="s">
        <v>1221</v>
      </c>
      <c r="F32" s="712">
        <v>1120500</v>
      </c>
      <c r="G32" s="712">
        <v>1120500</v>
      </c>
      <c r="H32" s="712">
        <v>0</v>
      </c>
      <c r="I32" s="712">
        <v>0</v>
      </c>
      <c r="J32" s="712">
        <v>0</v>
      </c>
      <c r="K32" s="712">
        <v>0</v>
      </c>
      <c r="L32" s="712">
        <v>0</v>
      </c>
      <c r="M32" s="712">
        <v>0</v>
      </c>
      <c r="N32" s="712">
        <v>0</v>
      </c>
    </row>
    <row r="33" spans="1:14" s="175" customFormat="1" ht="15" x14ac:dyDescent="0.25">
      <c r="A33" s="449"/>
      <c r="B33" s="887"/>
      <c r="C33" s="838" t="s">
        <v>1767</v>
      </c>
      <c r="D33" s="838" t="s">
        <v>918</v>
      </c>
      <c r="E33" s="713" t="s">
        <v>26</v>
      </c>
      <c r="F33" s="712">
        <v>301653522</v>
      </c>
      <c r="G33" s="712">
        <v>301653522</v>
      </c>
      <c r="H33" s="712">
        <v>0</v>
      </c>
      <c r="I33" s="712">
        <v>0</v>
      </c>
      <c r="J33" s="712">
        <v>0</v>
      </c>
      <c r="K33" s="712">
        <v>0</v>
      </c>
      <c r="L33" s="712">
        <v>0</v>
      </c>
      <c r="M33" s="712">
        <v>0</v>
      </c>
      <c r="N33" s="712">
        <v>0</v>
      </c>
    </row>
    <row r="34" spans="1:14" s="175" customFormat="1" ht="15" x14ac:dyDescent="0.25">
      <c r="A34" s="449"/>
      <c r="B34" s="887"/>
      <c r="C34" s="839"/>
      <c r="D34" s="839"/>
      <c r="E34" s="713" t="s">
        <v>3212</v>
      </c>
      <c r="F34" s="712">
        <v>162752</v>
      </c>
      <c r="G34" s="712">
        <v>0</v>
      </c>
      <c r="H34" s="712">
        <v>162752</v>
      </c>
      <c r="I34" s="712">
        <v>0</v>
      </c>
      <c r="J34" s="712">
        <v>162752</v>
      </c>
      <c r="K34" s="712">
        <v>0</v>
      </c>
      <c r="L34" s="712">
        <v>0</v>
      </c>
      <c r="M34" s="712">
        <v>0</v>
      </c>
      <c r="N34" s="712">
        <v>162752</v>
      </c>
    </row>
    <row r="35" spans="1:14" s="175" customFormat="1" ht="15" x14ac:dyDescent="0.25">
      <c r="A35" s="449"/>
      <c r="B35" s="887"/>
      <c r="C35" s="838" t="s">
        <v>1768</v>
      </c>
      <c r="D35" s="838" t="s">
        <v>3484</v>
      </c>
      <c r="E35" s="713" t="s">
        <v>26</v>
      </c>
      <c r="F35" s="712">
        <v>92391000</v>
      </c>
      <c r="G35" s="712">
        <v>92391000</v>
      </c>
      <c r="H35" s="712">
        <v>0</v>
      </c>
      <c r="I35" s="712">
        <v>0</v>
      </c>
      <c r="J35" s="712">
        <v>0</v>
      </c>
      <c r="K35" s="712">
        <v>0</v>
      </c>
      <c r="L35" s="712">
        <v>0</v>
      </c>
      <c r="M35" s="712">
        <v>0</v>
      </c>
      <c r="N35" s="712">
        <v>0</v>
      </c>
    </row>
    <row r="36" spans="1:14" s="175" customFormat="1" ht="15" x14ac:dyDescent="0.25">
      <c r="A36" s="449"/>
      <c r="B36" s="887"/>
      <c r="C36" s="839"/>
      <c r="D36" s="839"/>
      <c r="E36" s="713" t="s">
        <v>1557</v>
      </c>
      <c r="F36" s="712">
        <v>213609000</v>
      </c>
      <c r="G36" s="712">
        <v>213609000</v>
      </c>
      <c r="H36" s="712">
        <v>0</v>
      </c>
      <c r="I36" s="712">
        <v>0</v>
      </c>
      <c r="J36" s="712">
        <v>0</v>
      </c>
      <c r="K36" s="712">
        <v>0</v>
      </c>
      <c r="L36" s="712">
        <v>0</v>
      </c>
      <c r="M36" s="712">
        <v>0</v>
      </c>
      <c r="N36" s="712">
        <v>0</v>
      </c>
    </row>
    <row r="37" spans="1:14" s="175" customFormat="1" ht="15" x14ac:dyDescent="0.25">
      <c r="A37" s="449"/>
      <c r="B37" s="887"/>
      <c r="C37" s="838" t="s">
        <v>1769</v>
      </c>
      <c r="D37" s="838" t="s">
        <v>1633</v>
      </c>
      <c r="E37" s="713" t="s">
        <v>22</v>
      </c>
      <c r="F37" s="712">
        <v>82210737</v>
      </c>
      <c r="G37" s="712">
        <v>82210737</v>
      </c>
      <c r="H37" s="712">
        <v>0</v>
      </c>
      <c r="I37" s="712">
        <v>0</v>
      </c>
      <c r="J37" s="712">
        <v>0</v>
      </c>
      <c r="K37" s="712">
        <v>0</v>
      </c>
      <c r="L37" s="712">
        <v>0</v>
      </c>
      <c r="M37" s="712">
        <v>0</v>
      </c>
      <c r="N37" s="712">
        <v>0</v>
      </c>
    </row>
    <row r="38" spans="1:14" s="175" customFormat="1" ht="15" x14ac:dyDescent="0.25">
      <c r="A38" s="449"/>
      <c r="B38" s="887"/>
      <c r="C38" s="839"/>
      <c r="D38" s="839"/>
      <c r="E38" s="713" t="s">
        <v>26</v>
      </c>
      <c r="F38" s="712">
        <v>160796283</v>
      </c>
      <c r="G38" s="712">
        <v>160796283</v>
      </c>
      <c r="H38" s="712">
        <v>0</v>
      </c>
      <c r="I38" s="712">
        <v>0</v>
      </c>
      <c r="J38" s="712">
        <v>0</v>
      </c>
      <c r="K38" s="712">
        <v>0</v>
      </c>
      <c r="L38" s="712">
        <v>0</v>
      </c>
      <c r="M38" s="712">
        <v>0</v>
      </c>
      <c r="N38" s="712">
        <v>0</v>
      </c>
    </row>
    <row r="39" spans="1:14" s="175" customFormat="1" ht="15" x14ac:dyDescent="0.25">
      <c r="A39" s="449"/>
      <c r="B39" s="887"/>
      <c r="C39" s="839"/>
      <c r="D39" s="839"/>
      <c r="E39" s="713" t="s">
        <v>1557</v>
      </c>
      <c r="F39" s="712">
        <v>184525830</v>
      </c>
      <c r="G39" s="712">
        <v>184525830</v>
      </c>
      <c r="H39" s="712">
        <v>0</v>
      </c>
      <c r="I39" s="712">
        <v>0</v>
      </c>
      <c r="J39" s="712">
        <v>0</v>
      </c>
      <c r="K39" s="712">
        <v>0</v>
      </c>
      <c r="L39" s="712">
        <v>0</v>
      </c>
      <c r="M39" s="712">
        <v>0</v>
      </c>
      <c r="N39" s="712">
        <v>0</v>
      </c>
    </row>
    <row r="40" spans="1:14" s="175" customFormat="1" ht="15" x14ac:dyDescent="0.25">
      <c r="A40" s="449"/>
      <c r="B40" s="887"/>
      <c r="C40" s="839"/>
      <c r="D40" s="839"/>
      <c r="E40" s="713" t="s">
        <v>3212</v>
      </c>
      <c r="F40" s="712">
        <v>66115</v>
      </c>
      <c r="G40" s="712">
        <v>0</v>
      </c>
      <c r="H40" s="712">
        <v>66115</v>
      </c>
      <c r="I40" s="712">
        <v>0</v>
      </c>
      <c r="J40" s="712">
        <v>66115</v>
      </c>
      <c r="K40" s="712">
        <v>0</v>
      </c>
      <c r="L40" s="712">
        <v>0</v>
      </c>
      <c r="M40" s="712">
        <v>0</v>
      </c>
      <c r="N40" s="712">
        <v>66115</v>
      </c>
    </row>
    <row r="41" spans="1:14" s="175" customFormat="1" ht="15" x14ac:dyDescent="0.25">
      <c r="A41" s="449"/>
      <c r="B41" s="887"/>
      <c r="C41" s="839"/>
      <c r="D41" s="839"/>
      <c r="E41" s="713" t="s">
        <v>195</v>
      </c>
      <c r="F41" s="712">
        <v>1330653</v>
      </c>
      <c r="G41" s="712">
        <v>1330653</v>
      </c>
      <c r="H41" s="712">
        <v>0</v>
      </c>
      <c r="I41" s="712">
        <v>0</v>
      </c>
      <c r="J41" s="712">
        <v>0</v>
      </c>
      <c r="K41" s="712">
        <v>0</v>
      </c>
      <c r="L41" s="712">
        <v>0</v>
      </c>
      <c r="M41" s="712">
        <v>0</v>
      </c>
      <c r="N41" s="712">
        <v>0</v>
      </c>
    </row>
    <row r="42" spans="1:14" s="175" customFormat="1" ht="15" x14ac:dyDescent="0.25">
      <c r="A42" s="449"/>
      <c r="B42" s="887"/>
      <c r="C42" s="839"/>
      <c r="D42" s="839"/>
      <c r="E42" s="713" t="s">
        <v>2676</v>
      </c>
      <c r="F42" s="712">
        <v>3033986</v>
      </c>
      <c r="G42" s="712">
        <v>0</v>
      </c>
      <c r="H42" s="712">
        <v>3033986</v>
      </c>
      <c r="I42" s="712">
        <v>0</v>
      </c>
      <c r="J42" s="712">
        <v>3033986</v>
      </c>
      <c r="K42" s="712">
        <v>0</v>
      </c>
      <c r="L42" s="712">
        <v>0</v>
      </c>
      <c r="M42" s="712">
        <v>0</v>
      </c>
      <c r="N42" s="712">
        <v>3033986</v>
      </c>
    </row>
    <row r="43" spans="1:14" s="175" customFormat="1" ht="15" x14ac:dyDescent="0.25">
      <c r="A43" s="449"/>
      <c r="B43" s="887"/>
      <c r="C43" s="838" t="s">
        <v>1770</v>
      </c>
      <c r="D43" s="838" t="s">
        <v>863</v>
      </c>
      <c r="E43" s="713" t="s">
        <v>26</v>
      </c>
      <c r="F43" s="712">
        <v>101639995</v>
      </c>
      <c r="G43" s="712">
        <v>101639995</v>
      </c>
      <c r="H43" s="712">
        <v>0</v>
      </c>
      <c r="I43" s="712">
        <v>0</v>
      </c>
      <c r="J43" s="712">
        <v>0</v>
      </c>
      <c r="K43" s="712">
        <v>0</v>
      </c>
      <c r="L43" s="712">
        <v>0</v>
      </c>
      <c r="M43" s="712">
        <v>0</v>
      </c>
      <c r="N43" s="712">
        <v>0</v>
      </c>
    </row>
    <row r="44" spans="1:14" s="175" customFormat="1" ht="15" x14ac:dyDescent="0.25">
      <c r="A44" s="449"/>
      <c r="B44" s="887"/>
      <c r="C44" s="839"/>
      <c r="D44" s="839"/>
      <c r="E44" s="713" t="s">
        <v>1557</v>
      </c>
      <c r="F44" s="712">
        <v>236596943</v>
      </c>
      <c r="G44" s="712">
        <v>236596943</v>
      </c>
      <c r="H44" s="712">
        <v>0</v>
      </c>
      <c r="I44" s="712">
        <v>0</v>
      </c>
      <c r="J44" s="712">
        <v>0</v>
      </c>
      <c r="K44" s="712">
        <v>0</v>
      </c>
      <c r="L44" s="712">
        <v>0</v>
      </c>
      <c r="M44" s="712">
        <v>0</v>
      </c>
      <c r="N44" s="712">
        <v>0</v>
      </c>
    </row>
    <row r="45" spans="1:14" s="175" customFormat="1" ht="15" x14ac:dyDescent="0.25">
      <c r="A45" s="449"/>
      <c r="B45" s="887"/>
      <c r="C45" s="839"/>
      <c r="D45" s="839"/>
      <c r="E45" s="713" t="s">
        <v>3212</v>
      </c>
      <c r="F45" s="712">
        <v>162653</v>
      </c>
      <c r="G45" s="712">
        <v>1000</v>
      </c>
      <c r="H45" s="712">
        <v>161653</v>
      </c>
      <c r="I45" s="712">
        <v>0</v>
      </c>
      <c r="J45" s="712">
        <v>161653</v>
      </c>
      <c r="K45" s="712">
        <v>0</v>
      </c>
      <c r="L45" s="712">
        <v>0</v>
      </c>
      <c r="M45" s="712">
        <v>0</v>
      </c>
      <c r="N45" s="712">
        <v>161653</v>
      </c>
    </row>
    <row r="46" spans="1:14" s="247" customFormat="1" ht="15" x14ac:dyDescent="0.25">
      <c r="A46" s="449"/>
      <c r="B46" s="887"/>
      <c r="C46" s="839"/>
      <c r="D46" s="839"/>
      <c r="E46" s="713" t="s">
        <v>2676</v>
      </c>
      <c r="F46" s="712">
        <v>1451128</v>
      </c>
      <c r="G46" s="712">
        <v>0</v>
      </c>
      <c r="H46" s="712">
        <v>1451128</v>
      </c>
      <c r="I46" s="712">
        <v>0</v>
      </c>
      <c r="J46" s="712">
        <v>1451128</v>
      </c>
      <c r="K46" s="712">
        <v>0</v>
      </c>
      <c r="L46" s="712">
        <v>1451128</v>
      </c>
      <c r="M46" s="712">
        <v>0</v>
      </c>
      <c r="N46" s="712">
        <v>0</v>
      </c>
    </row>
    <row r="47" spans="1:14" s="247" customFormat="1" ht="15" x14ac:dyDescent="0.25">
      <c r="A47" s="449"/>
      <c r="B47" s="887"/>
      <c r="C47" s="839"/>
      <c r="D47" s="839"/>
      <c r="E47" s="713" t="s">
        <v>1221</v>
      </c>
      <c r="F47" s="712">
        <v>1931850</v>
      </c>
      <c r="G47" s="712">
        <v>1931850</v>
      </c>
      <c r="H47" s="712">
        <v>0</v>
      </c>
      <c r="I47" s="712">
        <v>0</v>
      </c>
      <c r="J47" s="712">
        <v>0</v>
      </c>
      <c r="K47" s="712">
        <v>0</v>
      </c>
      <c r="L47" s="712">
        <v>0</v>
      </c>
      <c r="M47" s="712">
        <v>0</v>
      </c>
      <c r="N47" s="712">
        <v>0</v>
      </c>
    </row>
    <row r="48" spans="1:14" s="247" customFormat="1" ht="15" x14ac:dyDescent="0.25">
      <c r="A48" s="449"/>
      <c r="B48" s="887"/>
      <c r="C48" s="838" t="s">
        <v>1771</v>
      </c>
      <c r="D48" s="838" t="s">
        <v>862</v>
      </c>
      <c r="E48" s="713" t="s">
        <v>26</v>
      </c>
      <c r="F48" s="712">
        <v>88272000</v>
      </c>
      <c r="G48" s="712">
        <v>88272000</v>
      </c>
      <c r="H48" s="712">
        <v>0</v>
      </c>
      <c r="I48" s="712">
        <v>0</v>
      </c>
      <c r="J48" s="712">
        <v>0</v>
      </c>
      <c r="K48" s="712">
        <v>0</v>
      </c>
      <c r="L48" s="712">
        <v>0</v>
      </c>
      <c r="M48" s="712">
        <v>0</v>
      </c>
      <c r="N48" s="712">
        <v>0</v>
      </c>
    </row>
    <row r="49" spans="1:14" s="247" customFormat="1" ht="15" x14ac:dyDescent="0.25">
      <c r="A49" s="449"/>
      <c r="B49" s="887"/>
      <c r="C49" s="839"/>
      <c r="D49" s="839"/>
      <c r="E49" s="713" t="s">
        <v>1557</v>
      </c>
      <c r="F49" s="712">
        <v>190000000</v>
      </c>
      <c r="G49" s="712">
        <v>190000000</v>
      </c>
      <c r="H49" s="712">
        <v>0</v>
      </c>
      <c r="I49" s="712">
        <v>0</v>
      </c>
      <c r="J49" s="712">
        <v>0</v>
      </c>
      <c r="K49" s="712">
        <v>0</v>
      </c>
      <c r="L49" s="712">
        <v>0</v>
      </c>
      <c r="M49" s="712">
        <v>0</v>
      </c>
      <c r="N49" s="712">
        <v>0</v>
      </c>
    </row>
    <row r="50" spans="1:14" s="247" customFormat="1" ht="15" x14ac:dyDescent="0.25">
      <c r="A50" s="449"/>
      <c r="B50" s="887"/>
      <c r="C50" s="839"/>
      <c r="D50" s="839"/>
      <c r="E50" s="713" t="s">
        <v>195</v>
      </c>
      <c r="F50" s="712">
        <v>431382</v>
      </c>
      <c r="G50" s="712">
        <v>431382</v>
      </c>
      <c r="H50" s="712">
        <v>0</v>
      </c>
      <c r="I50" s="712">
        <v>0</v>
      </c>
      <c r="J50" s="712">
        <v>0</v>
      </c>
      <c r="K50" s="712">
        <v>0</v>
      </c>
      <c r="L50" s="712">
        <v>0</v>
      </c>
      <c r="M50" s="712">
        <v>0</v>
      </c>
      <c r="N50" s="712">
        <v>0</v>
      </c>
    </row>
    <row r="51" spans="1:14" s="247" customFormat="1" ht="15" x14ac:dyDescent="0.25">
      <c r="A51" s="449"/>
      <c r="B51" s="887"/>
      <c r="C51" s="838" t="s">
        <v>1772</v>
      </c>
      <c r="D51" s="838" t="s">
        <v>1634</v>
      </c>
      <c r="E51" s="713" t="s">
        <v>26</v>
      </c>
      <c r="F51" s="712">
        <v>131910275</v>
      </c>
      <c r="G51" s="712">
        <v>131910275</v>
      </c>
      <c r="H51" s="712">
        <v>0</v>
      </c>
      <c r="I51" s="712">
        <v>0</v>
      </c>
      <c r="J51" s="712">
        <v>0</v>
      </c>
      <c r="K51" s="712">
        <v>0</v>
      </c>
      <c r="L51" s="712">
        <v>0</v>
      </c>
      <c r="M51" s="712">
        <v>0</v>
      </c>
      <c r="N51" s="712">
        <v>0</v>
      </c>
    </row>
    <row r="52" spans="1:14" s="247" customFormat="1" ht="15" x14ac:dyDescent="0.25">
      <c r="A52" s="449"/>
      <c r="B52" s="887"/>
      <c r="C52" s="839"/>
      <c r="D52" s="839"/>
      <c r="E52" s="713" t="s">
        <v>1557</v>
      </c>
      <c r="F52" s="712">
        <v>174233052</v>
      </c>
      <c r="G52" s="712">
        <v>174233052</v>
      </c>
      <c r="H52" s="712">
        <v>0</v>
      </c>
      <c r="I52" s="712">
        <v>0</v>
      </c>
      <c r="J52" s="712">
        <v>0</v>
      </c>
      <c r="K52" s="712">
        <v>0</v>
      </c>
      <c r="L52" s="712">
        <v>0</v>
      </c>
      <c r="M52" s="712">
        <v>0</v>
      </c>
      <c r="N52" s="712">
        <v>0</v>
      </c>
    </row>
    <row r="53" spans="1:14" s="247" customFormat="1" ht="15" x14ac:dyDescent="0.25">
      <c r="A53" s="449"/>
      <c r="B53" s="887"/>
      <c r="C53" s="839"/>
      <c r="D53" s="839"/>
      <c r="E53" s="713" t="s">
        <v>3212</v>
      </c>
      <c r="F53" s="712">
        <v>76535</v>
      </c>
      <c r="G53" s="712">
        <v>76535</v>
      </c>
      <c r="H53" s="712">
        <v>0</v>
      </c>
      <c r="I53" s="712">
        <v>0</v>
      </c>
      <c r="J53" s="712">
        <v>0</v>
      </c>
      <c r="K53" s="712">
        <v>0</v>
      </c>
      <c r="L53" s="712">
        <v>0</v>
      </c>
      <c r="M53" s="712">
        <v>0</v>
      </c>
      <c r="N53" s="712">
        <v>0</v>
      </c>
    </row>
    <row r="54" spans="1:14" s="247" customFormat="1" ht="15" x14ac:dyDescent="0.25">
      <c r="A54" s="449"/>
      <c r="B54" s="887"/>
      <c r="C54" s="839"/>
      <c r="D54" s="839"/>
      <c r="E54" s="713" t="s">
        <v>2676</v>
      </c>
      <c r="F54" s="712">
        <v>1347402</v>
      </c>
      <c r="G54" s="712">
        <v>1347402</v>
      </c>
      <c r="H54" s="712">
        <v>0</v>
      </c>
      <c r="I54" s="712">
        <v>0</v>
      </c>
      <c r="J54" s="712">
        <v>0</v>
      </c>
      <c r="K54" s="712">
        <v>0</v>
      </c>
      <c r="L54" s="712">
        <v>0</v>
      </c>
      <c r="M54" s="712">
        <v>0</v>
      </c>
      <c r="N54" s="712">
        <v>0</v>
      </c>
    </row>
    <row r="55" spans="1:14" s="247" customFormat="1" ht="15" x14ac:dyDescent="0.25">
      <c r="A55" s="449"/>
      <c r="B55" s="887"/>
      <c r="C55" s="838" t="s">
        <v>1773</v>
      </c>
      <c r="D55" s="838" t="s">
        <v>2608</v>
      </c>
      <c r="E55" s="713" t="s">
        <v>26</v>
      </c>
      <c r="F55" s="712">
        <v>94428962</v>
      </c>
      <c r="G55" s="712">
        <v>94428962</v>
      </c>
      <c r="H55" s="712">
        <v>0</v>
      </c>
      <c r="I55" s="712">
        <v>0</v>
      </c>
      <c r="J55" s="712">
        <v>0</v>
      </c>
      <c r="K55" s="712">
        <v>0</v>
      </c>
      <c r="L55" s="712">
        <v>0</v>
      </c>
      <c r="M55" s="712">
        <v>0</v>
      </c>
      <c r="N55" s="712">
        <v>0</v>
      </c>
    </row>
    <row r="56" spans="1:14" s="247" customFormat="1" ht="15" x14ac:dyDescent="0.25">
      <c r="A56" s="449"/>
      <c r="B56" s="887"/>
      <c r="C56" s="839"/>
      <c r="D56" s="839"/>
      <c r="E56" s="713" t="s">
        <v>1557</v>
      </c>
      <c r="F56" s="712">
        <v>216861292</v>
      </c>
      <c r="G56" s="712">
        <v>0</v>
      </c>
      <c r="H56" s="712">
        <v>216861292</v>
      </c>
      <c r="I56" s="712">
        <v>0</v>
      </c>
      <c r="J56" s="712">
        <v>216861292</v>
      </c>
      <c r="K56" s="712">
        <v>0</v>
      </c>
      <c r="L56" s="712">
        <v>0</v>
      </c>
      <c r="M56" s="712">
        <v>0</v>
      </c>
      <c r="N56" s="712">
        <v>216861292</v>
      </c>
    </row>
    <row r="57" spans="1:14" s="247" customFormat="1" ht="15" x14ac:dyDescent="0.25">
      <c r="A57" s="449"/>
      <c r="B57" s="887"/>
      <c r="C57" s="839"/>
      <c r="D57" s="839"/>
      <c r="E57" s="713" t="s">
        <v>3212</v>
      </c>
      <c r="F57" s="712">
        <v>613226</v>
      </c>
      <c r="G57" s="712">
        <v>0</v>
      </c>
      <c r="H57" s="712">
        <v>613226</v>
      </c>
      <c r="I57" s="712">
        <v>0</v>
      </c>
      <c r="J57" s="712">
        <v>613226</v>
      </c>
      <c r="K57" s="712">
        <v>613226</v>
      </c>
      <c r="L57" s="712">
        <v>0</v>
      </c>
      <c r="M57" s="712">
        <v>0</v>
      </c>
      <c r="N57" s="712">
        <v>0</v>
      </c>
    </row>
    <row r="58" spans="1:14" s="247" customFormat="1" ht="15" x14ac:dyDescent="0.25">
      <c r="A58" s="449"/>
      <c r="B58" s="887"/>
      <c r="C58" s="839"/>
      <c r="D58" s="839"/>
      <c r="E58" s="713" t="s">
        <v>1221</v>
      </c>
      <c r="F58" s="712">
        <v>1931850</v>
      </c>
      <c r="G58" s="712">
        <v>1931850</v>
      </c>
      <c r="H58" s="712">
        <v>0</v>
      </c>
      <c r="I58" s="712">
        <v>0</v>
      </c>
      <c r="J58" s="712">
        <v>0</v>
      </c>
      <c r="K58" s="712">
        <v>0</v>
      </c>
      <c r="L58" s="712">
        <v>0</v>
      </c>
      <c r="M58" s="712">
        <v>0</v>
      </c>
      <c r="N58" s="712">
        <v>0</v>
      </c>
    </row>
    <row r="59" spans="1:14" s="247" customFormat="1" ht="15" x14ac:dyDescent="0.25">
      <c r="A59" s="449"/>
      <c r="B59" s="887"/>
      <c r="C59" s="838" t="s">
        <v>1774</v>
      </c>
      <c r="D59" s="839" t="s">
        <v>2608</v>
      </c>
      <c r="E59" s="713" t="s">
        <v>26</v>
      </c>
      <c r="F59" s="712">
        <v>81330000</v>
      </c>
      <c r="G59" s="712">
        <v>81330000</v>
      </c>
      <c r="H59" s="712">
        <v>0</v>
      </c>
      <c r="I59" s="712">
        <v>0</v>
      </c>
      <c r="J59" s="712">
        <v>0</v>
      </c>
      <c r="K59" s="712">
        <v>0</v>
      </c>
      <c r="L59" s="712">
        <v>0</v>
      </c>
      <c r="M59" s="712">
        <v>0</v>
      </c>
      <c r="N59" s="712">
        <v>0</v>
      </c>
    </row>
    <row r="60" spans="1:14" s="247" customFormat="1" ht="15" x14ac:dyDescent="0.25">
      <c r="A60" s="449"/>
      <c r="B60" s="887"/>
      <c r="C60" s="839"/>
      <c r="D60" s="839"/>
      <c r="E60" s="713" t="s">
        <v>1557</v>
      </c>
      <c r="F60" s="712">
        <v>189754552</v>
      </c>
      <c r="G60" s="712">
        <v>189754552</v>
      </c>
      <c r="H60" s="712">
        <v>0</v>
      </c>
      <c r="I60" s="712">
        <v>0</v>
      </c>
      <c r="J60" s="712">
        <v>0</v>
      </c>
      <c r="K60" s="712">
        <v>0</v>
      </c>
      <c r="L60" s="712">
        <v>0</v>
      </c>
      <c r="M60" s="712">
        <v>0</v>
      </c>
      <c r="N60" s="712">
        <v>0</v>
      </c>
    </row>
    <row r="61" spans="1:14" s="247" customFormat="1" ht="15" x14ac:dyDescent="0.25">
      <c r="A61" s="449"/>
      <c r="B61" s="887"/>
      <c r="C61" s="839"/>
      <c r="D61" s="839"/>
      <c r="E61" s="713" t="s">
        <v>195</v>
      </c>
      <c r="F61" s="712">
        <v>2909987</v>
      </c>
      <c r="G61" s="712">
        <v>2909987</v>
      </c>
      <c r="H61" s="712">
        <v>0</v>
      </c>
      <c r="I61" s="712">
        <v>0</v>
      </c>
      <c r="J61" s="712">
        <v>0</v>
      </c>
      <c r="K61" s="712">
        <v>0</v>
      </c>
      <c r="L61" s="712">
        <v>0</v>
      </c>
      <c r="M61" s="712">
        <v>0</v>
      </c>
      <c r="N61" s="712">
        <v>0</v>
      </c>
    </row>
    <row r="62" spans="1:14" s="247" customFormat="1" ht="15" x14ac:dyDescent="0.25">
      <c r="A62" s="449"/>
      <c r="B62" s="887"/>
      <c r="C62" s="838" t="s">
        <v>1775</v>
      </c>
      <c r="D62" s="838" t="s">
        <v>2602</v>
      </c>
      <c r="E62" s="713" t="s">
        <v>26</v>
      </c>
      <c r="F62" s="712">
        <v>104015698</v>
      </c>
      <c r="G62" s="712">
        <v>104015698</v>
      </c>
      <c r="H62" s="712">
        <v>0</v>
      </c>
      <c r="I62" s="712">
        <v>0</v>
      </c>
      <c r="J62" s="712">
        <v>0</v>
      </c>
      <c r="K62" s="712">
        <v>0</v>
      </c>
      <c r="L62" s="712">
        <v>0</v>
      </c>
      <c r="M62" s="712">
        <v>0</v>
      </c>
      <c r="N62" s="712">
        <v>0</v>
      </c>
    </row>
    <row r="63" spans="1:14" s="247" customFormat="1" ht="15" x14ac:dyDescent="0.25">
      <c r="A63" s="449"/>
      <c r="B63" s="887"/>
      <c r="C63" s="839"/>
      <c r="D63" s="839"/>
      <c r="E63" s="713" t="s">
        <v>1557</v>
      </c>
      <c r="F63" s="712">
        <v>242360302</v>
      </c>
      <c r="G63" s="712">
        <v>242360302</v>
      </c>
      <c r="H63" s="712">
        <v>0</v>
      </c>
      <c r="I63" s="712">
        <v>0</v>
      </c>
      <c r="J63" s="712">
        <v>0</v>
      </c>
      <c r="K63" s="712">
        <v>0</v>
      </c>
      <c r="L63" s="712">
        <v>0</v>
      </c>
      <c r="M63" s="712">
        <v>0</v>
      </c>
      <c r="N63" s="712">
        <v>0</v>
      </c>
    </row>
    <row r="64" spans="1:14" s="247" customFormat="1" ht="15" x14ac:dyDescent="0.25">
      <c r="A64" s="449"/>
      <c r="B64" s="887"/>
      <c r="C64" s="839"/>
      <c r="D64" s="839"/>
      <c r="E64" s="713" t="s">
        <v>822</v>
      </c>
      <c r="F64" s="712">
        <v>494624</v>
      </c>
      <c r="G64" s="712">
        <v>494624</v>
      </c>
      <c r="H64" s="712">
        <v>0</v>
      </c>
      <c r="I64" s="712">
        <v>0</v>
      </c>
      <c r="J64" s="712">
        <v>0</v>
      </c>
      <c r="K64" s="712">
        <v>0</v>
      </c>
      <c r="L64" s="712">
        <v>0</v>
      </c>
      <c r="M64" s="712">
        <v>0</v>
      </c>
      <c r="N64" s="712">
        <v>0</v>
      </c>
    </row>
    <row r="65" spans="1:14" s="247" customFormat="1" ht="15" x14ac:dyDescent="0.25">
      <c r="A65" s="449"/>
      <c r="B65" s="887"/>
      <c r="C65" s="839"/>
      <c r="D65" s="839"/>
      <c r="E65" s="713" t="s">
        <v>3212</v>
      </c>
      <c r="F65" s="712">
        <v>66359</v>
      </c>
      <c r="G65" s="712">
        <v>66359</v>
      </c>
      <c r="H65" s="712">
        <v>0</v>
      </c>
      <c r="I65" s="712">
        <v>0</v>
      </c>
      <c r="J65" s="712">
        <v>0</v>
      </c>
      <c r="K65" s="712">
        <v>0</v>
      </c>
      <c r="L65" s="712">
        <v>0</v>
      </c>
      <c r="M65" s="712">
        <v>0</v>
      </c>
      <c r="N65" s="712">
        <v>0</v>
      </c>
    </row>
    <row r="66" spans="1:14" s="247" customFormat="1" ht="15" x14ac:dyDescent="0.25">
      <c r="A66" s="449"/>
      <c r="B66" s="887"/>
      <c r="C66" s="839"/>
      <c r="D66" s="839"/>
      <c r="E66" s="713" t="s">
        <v>195</v>
      </c>
      <c r="F66" s="712">
        <v>2942922</v>
      </c>
      <c r="G66" s="712">
        <v>2942922</v>
      </c>
      <c r="H66" s="712">
        <v>0</v>
      </c>
      <c r="I66" s="712">
        <v>0</v>
      </c>
      <c r="J66" s="712">
        <v>0</v>
      </c>
      <c r="K66" s="712">
        <v>0</v>
      </c>
      <c r="L66" s="712">
        <v>0</v>
      </c>
      <c r="M66" s="712">
        <v>0</v>
      </c>
      <c r="N66" s="712">
        <v>0</v>
      </c>
    </row>
    <row r="67" spans="1:14" s="247" customFormat="1" ht="15" x14ac:dyDescent="0.25">
      <c r="A67" s="449"/>
      <c r="B67" s="887"/>
      <c r="C67" s="838" t="s">
        <v>1776</v>
      </c>
      <c r="D67" s="838" t="s">
        <v>864</v>
      </c>
      <c r="E67" s="713" t="s">
        <v>26</v>
      </c>
      <c r="F67" s="712">
        <v>103817100</v>
      </c>
      <c r="G67" s="712">
        <v>103817100</v>
      </c>
      <c r="H67" s="712">
        <v>0</v>
      </c>
      <c r="I67" s="712">
        <v>0</v>
      </c>
      <c r="J67" s="712">
        <v>0</v>
      </c>
      <c r="K67" s="712">
        <v>0</v>
      </c>
      <c r="L67" s="712">
        <v>0</v>
      </c>
      <c r="M67" s="712">
        <v>0</v>
      </c>
      <c r="N67" s="712">
        <v>0</v>
      </c>
    </row>
    <row r="68" spans="1:14" s="247" customFormat="1" ht="15" x14ac:dyDescent="0.25">
      <c r="A68" s="449"/>
      <c r="B68" s="887"/>
      <c r="C68" s="839"/>
      <c r="D68" s="839"/>
      <c r="E68" s="713" t="s">
        <v>1557</v>
      </c>
      <c r="F68" s="712">
        <v>242239900</v>
      </c>
      <c r="G68" s="712">
        <v>242239900</v>
      </c>
      <c r="H68" s="712">
        <v>0</v>
      </c>
      <c r="I68" s="712">
        <v>0</v>
      </c>
      <c r="J68" s="712">
        <v>0</v>
      </c>
      <c r="K68" s="712">
        <v>0</v>
      </c>
      <c r="L68" s="712">
        <v>0</v>
      </c>
      <c r="M68" s="712">
        <v>0</v>
      </c>
      <c r="N68" s="712">
        <v>0</v>
      </c>
    </row>
    <row r="69" spans="1:14" s="247" customFormat="1" ht="15" x14ac:dyDescent="0.25">
      <c r="A69" s="449"/>
      <c r="B69" s="887"/>
      <c r="C69" s="839"/>
      <c r="D69" s="839"/>
      <c r="E69" s="713" t="s">
        <v>2676</v>
      </c>
      <c r="F69" s="712">
        <v>4250000</v>
      </c>
      <c r="G69" s="712">
        <v>4250000</v>
      </c>
      <c r="H69" s="712">
        <v>0</v>
      </c>
      <c r="I69" s="712">
        <v>0</v>
      </c>
      <c r="J69" s="712">
        <v>0</v>
      </c>
      <c r="K69" s="712">
        <v>0</v>
      </c>
      <c r="L69" s="712">
        <v>0</v>
      </c>
      <c r="M69" s="712">
        <v>0</v>
      </c>
      <c r="N69" s="712">
        <v>0</v>
      </c>
    </row>
    <row r="70" spans="1:14" s="247" customFormat="1" ht="15" x14ac:dyDescent="0.25">
      <c r="A70" s="449"/>
      <c r="B70" s="887"/>
      <c r="C70" s="838" t="s">
        <v>1777</v>
      </c>
      <c r="D70" s="838" t="s">
        <v>1697</v>
      </c>
      <c r="E70" s="713" t="s">
        <v>26</v>
      </c>
      <c r="F70" s="712">
        <v>83572342</v>
      </c>
      <c r="G70" s="712">
        <v>83572342</v>
      </c>
      <c r="H70" s="712">
        <v>0</v>
      </c>
      <c r="I70" s="712">
        <v>0</v>
      </c>
      <c r="J70" s="712">
        <v>0</v>
      </c>
      <c r="K70" s="712">
        <v>0</v>
      </c>
      <c r="L70" s="712">
        <v>0</v>
      </c>
      <c r="M70" s="712">
        <v>0</v>
      </c>
      <c r="N70" s="712">
        <v>0</v>
      </c>
    </row>
    <row r="71" spans="1:14" s="247" customFormat="1" ht="15" x14ac:dyDescent="0.25">
      <c r="A71" s="449"/>
      <c r="B71" s="887"/>
      <c r="C71" s="839"/>
      <c r="D71" s="839"/>
      <c r="E71" s="713" t="s">
        <v>1557</v>
      </c>
      <c r="F71" s="712">
        <v>194999658</v>
      </c>
      <c r="G71" s="712">
        <v>194999658</v>
      </c>
      <c r="H71" s="712">
        <v>0</v>
      </c>
      <c r="I71" s="712">
        <v>0</v>
      </c>
      <c r="J71" s="712">
        <v>0</v>
      </c>
      <c r="K71" s="712">
        <v>0</v>
      </c>
      <c r="L71" s="712">
        <v>0</v>
      </c>
      <c r="M71" s="712">
        <v>0</v>
      </c>
      <c r="N71" s="712">
        <v>0</v>
      </c>
    </row>
    <row r="72" spans="1:14" s="247" customFormat="1" ht="15" x14ac:dyDescent="0.25">
      <c r="A72" s="449"/>
      <c r="B72" s="887"/>
      <c r="C72" s="839"/>
      <c r="D72" s="839"/>
      <c r="E72" s="713" t="s">
        <v>3212</v>
      </c>
      <c r="F72" s="712">
        <v>98000</v>
      </c>
      <c r="G72" s="712">
        <v>98000</v>
      </c>
      <c r="H72" s="712">
        <v>0</v>
      </c>
      <c r="I72" s="712">
        <v>0</v>
      </c>
      <c r="J72" s="712">
        <v>0</v>
      </c>
      <c r="K72" s="712">
        <v>0</v>
      </c>
      <c r="L72" s="712">
        <v>0</v>
      </c>
      <c r="M72" s="712">
        <v>0</v>
      </c>
      <c r="N72" s="712">
        <v>0</v>
      </c>
    </row>
    <row r="73" spans="1:14" s="247" customFormat="1" ht="15" x14ac:dyDescent="0.25">
      <c r="A73" s="449"/>
      <c r="B73" s="887"/>
      <c r="C73" s="838" t="s">
        <v>1778</v>
      </c>
      <c r="D73" s="838" t="s">
        <v>1114</v>
      </c>
      <c r="E73" s="713" t="s">
        <v>26</v>
      </c>
      <c r="F73" s="712">
        <v>326655996</v>
      </c>
      <c r="G73" s="712">
        <v>326655996</v>
      </c>
      <c r="H73" s="712">
        <v>0</v>
      </c>
      <c r="I73" s="712">
        <v>0</v>
      </c>
      <c r="J73" s="712">
        <v>0</v>
      </c>
      <c r="K73" s="712">
        <v>0</v>
      </c>
      <c r="L73" s="712">
        <v>0</v>
      </c>
      <c r="M73" s="712">
        <v>0</v>
      </c>
      <c r="N73" s="712">
        <v>0</v>
      </c>
    </row>
    <row r="74" spans="1:14" s="247" customFormat="1" ht="15" x14ac:dyDescent="0.25">
      <c r="A74" s="449"/>
      <c r="B74" s="887"/>
      <c r="C74" s="839"/>
      <c r="D74" s="839"/>
      <c r="E74" s="713" t="s">
        <v>3212</v>
      </c>
      <c r="F74" s="712">
        <v>124613</v>
      </c>
      <c r="G74" s="712">
        <v>124613</v>
      </c>
      <c r="H74" s="712">
        <v>0</v>
      </c>
      <c r="I74" s="712">
        <v>0</v>
      </c>
      <c r="J74" s="712">
        <v>0</v>
      </c>
      <c r="K74" s="712">
        <v>0</v>
      </c>
      <c r="L74" s="712">
        <v>0</v>
      </c>
      <c r="M74" s="712">
        <v>0</v>
      </c>
      <c r="N74" s="712">
        <v>0</v>
      </c>
    </row>
    <row r="75" spans="1:14" s="247" customFormat="1" ht="15" x14ac:dyDescent="0.25">
      <c r="A75" s="449"/>
      <c r="B75" s="887"/>
      <c r="C75" s="838" t="s">
        <v>1779</v>
      </c>
      <c r="D75" s="838" t="s">
        <v>1635</v>
      </c>
      <c r="E75" s="713" t="s">
        <v>26</v>
      </c>
      <c r="F75" s="712">
        <v>123517227</v>
      </c>
      <c r="G75" s="712">
        <v>123517227</v>
      </c>
      <c r="H75" s="712">
        <v>0</v>
      </c>
      <c r="I75" s="712">
        <v>0</v>
      </c>
      <c r="J75" s="712">
        <v>0</v>
      </c>
      <c r="K75" s="712">
        <v>0</v>
      </c>
      <c r="L75" s="712">
        <v>0</v>
      </c>
      <c r="M75" s="712">
        <v>0</v>
      </c>
      <c r="N75" s="712">
        <v>0</v>
      </c>
    </row>
    <row r="76" spans="1:14" s="247" customFormat="1" ht="15" x14ac:dyDescent="0.25">
      <c r="A76" s="449"/>
      <c r="B76" s="887"/>
      <c r="C76" s="839"/>
      <c r="D76" s="839"/>
      <c r="E76" s="713" t="s">
        <v>1557</v>
      </c>
      <c r="F76" s="712">
        <v>175000000</v>
      </c>
      <c r="G76" s="712">
        <v>175000000</v>
      </c>
      <c r="H76" s="712">
        <v>0</v>
      </c>
      <c r="I76" s="712">
        <v>0</v>
      </c>
      <c r="J76" s="712">
        <v>0</v>
      </c>
      <c r="K76" s="712">
        <v>0</v>
      </c>
      <c r="L76" s="712">
        <v>0</v>
      </c>
      <c r="M76" s="712">
        <v>0</v>
      </c>
      <c r="N76" s="712">
        <v>0</v>
      </c>
    </row>
    <row r="77" spans="1:14" s="247" customFormat="1" ht="15" x14ac:dyDescent="0.25">
      <c r="A77" s="449"/>
      <c r="B77" s="887"/>
      <c r="C77" s="839"/>
      <c r="D77" s="839"/>
      <c r="E77" s="713" t="s">
        <v>3212</v>
      </c>
      <c r="F77" s="712">
        <v>114713</v>
      </c>
      <c r="G77" s="712">
        <v>0</v>
      </c>
      <c r="H77" s="712">
        <v>114713</v>
      </c>
      <c r="I77" s="712">
        <v>0</v>
      </c>
      <c r="J77" s="712">
        <v>114713</v>
      </c>
      <c r="K77" s="712">
        <v>0</v>
      </c>
      <c r="L77" s="712">
        <v>0</v>
      </c>
      <c r="M77" s="712">
        <v>0</v>
      </c>
      <c r="N77" s="712">
        <v>114713</v>
      </c>
    </row>
    <row r="78" spans="1:14" s="247" customFormat="1" ht="15" x14ac:dyDescent="0.25">
      <c r="A78" s="449"/>
      <c r="B78" s="887"/>
      <c r="C78" s="838" t="s">
        <v>1780</v>
      </c>
      <c r="D78" s="838" t="s">
        <v>865</v>
      </c>
      <c r="E78" s="713" t="s">
        <v>26</v>
      </c>
      <c r="F78" s="712">
        <v>81539888</v>
      </c>
      <c r="G78" s="712">
        <v>81539888</v>
      </c>
      <c r="H78" s="712">
        <v>0</v>
      </c>
      <c r="I78" s="712">
        <v>0</v>
      </c>
      <c r="J78" s="712">
        <v>0</v>
      </c>
      <c r="K78" s="712">
        <v>0</v>
      </c>
      <c r="L78" s="712">
        <v>0</v>
      </c>
      <c r="M78" s="712">
        <v>0</v>
      </c>
      <c r="N78" s="712">
        <v>0</v>
      </c>
    </row>
    <row r="79" spans="1:14" s="247" customFormat="1" ht="15" x14ac:dyDescent="0.25">
      <c r="A79" s="449"/>
      <c r="B79" s="887"/>
      <c r="C79" s="839"/>
      <c r="D79" s="839"/>
      <c r="E79" s="713" t="s">
        <v>1557</v>
      </c>
      <c r="F79" s="712">
        <v>184789640</v>
      </c>
      <c r="G79" s="712">
        <v>184789640</v>
      </c>
      <c r="H79" s="712">
        <v>0</v>
      </c>
      <c r="I79" s="712">
        <v>0</v>
      </c>
      <c r="J79" s="712">
        <v>0</v>
      </c>
      <c r="K79" s="712">
        <v>0</v>
      </c>
      <c r="L79" s="712">
        <v>0</v>
      </c>
      <c r="M79" s="712">
        <v>0</v>
      </c>
      <c r="N79" s="712">
        <v>0</v>
      </c>
    </row>
    <row r="80" spans="1:14" s="247" customFormat="1" ht="15" x14ac:dyDescent="0.25">
      <c r="A80" s="449"/>
      <c r="B80" s="887"/>
      <c r="C80" s="839"/>
      <c r="D80" s="839"/>
      <c r="E80" s="713" t="s">
        <v>3212</v>
      </c>
      <c r="F80" s="712">
        <v>105443</v>
      </c>
      <c r="G80" s="712">
        <v>0</v>
      </c>
      <c r="H80" s="712">
        <v>105443</v>
      </c>
      <c r="I80" s="712">
        <v>0</v>
      </c>
      <c r="J80" s="712">
        <v>105443</v>
      </c>
      <c r="K80" s="712">
        <v>0</v>
      </c>
      <c r="L80" s="712">
        <v>0</v>
      </c>
      <c r="M80" s="712">
        <v>0</v>
      </c>
      <c r="N80" s="712">
        <v>105443</v>
      </c>
    </row>
    <row r="81" spans="1:14" s="247" customFormat="1" ht="15" x14ac:dyDescent="0.25">
      <c r="A81" s="449"/>
      <c r="B81" s="887"/>
      <c r="C81" s="838" t="s">
        <v>1781</v>
      </c>
      <c r="D81" s="838" t="s">
        <v>1698</v>
      </c>
      <c r="E81" s="713" t="s">
        <v>26</v>
      </c>
      <c r="F81" s="712">
        <v>322048531</v>
      </c>
      <c r="G81" s="712">
        <v>322048531</v>
      </c>
      <c r="H81" s="712">
        <v>0</v>
      </c>
      <c r="I81" s="712">
        <v>0</v>
      </c>
      <c r="J81" s="712">
        <v>0</v>
      </c>
      <c r="K81" s="712">
        <v>0</v>
      </c>
      <c r="L81" s="712">
        <v>0</v>
      </c>
      <c r="M81" s="712">
        <v>0</v>
      </c>
      <c r="N81" s="712">
        <v>0</v>
      </c>
    </row>
    <row r="82" spans="1:14" s="247" customFormat="1" ht="15" x14ac:dyDescent="0.25">
      <c r="A82" s="449"/>
      <c r="B82" s="887"/>
      <c r="C82" s="839"/>
      <c r="D82" s="839"/>
      <c r="E82" s="713" t="s">
        <v>3212</v>
      </c>
      <c r="F82" s="712">
        <v>167905</v>
      </c>
      <c r="G82" s="712">
        <v>167905</v>
      </c>
      <c r="H82" s="712">
        <v>0</v>
      </c>
      <c r="I82" s="712">
        <v>0</v>
      </c>
      <c r="J82" s="712">
        <v>0</v>
      </c>
      <c r="K82" s="712">
        <v>0</v>
      </c>
      <c r="L82" s="712">
        <v>0</v>
      </c>
      <c r="M82" s="712">
        <v>0</v>
      </c>
      <c r="N82" s="712">
        <v>0</v>
      </c>
    </row>
    <row r="83" spans="1:14" s="247" customFormat="1" ht="15" x14ac:dyDescent="0.25">
      <c r="A83" s="449"/>
      <c r="B83" s="887"/>
      <c r="C83" s="839"/>
      <c r="D83" s="839"/>
      <c r="E83" s="713" t="s">
        <v>1221</v>
      </c>
      <c r="F83" s="712">
        <v>1931850</v>
      </c>
      <c r="G83" s="712">
        <v>1931850</v>
      </c>
      <c r="H83" s="712">
        <v>0</v>
      </c>
      <c r="I83" s="712">
        <v>0</v>
      </c>
      <c r="J83" s="712">
        <v>0</v>
      </c>
      <c r="K83" s="712">
        <v>0</v>
      </c>
      <c r="L83" s="712">
        <v>0</v>
      </c>
      <c r="M83" s="712">
        <v>0</v>
      </c>
      <c r="N83" s="712">
        <v>0</v>
      </c>
    </row>
    <row r="84" spans="1:14" s="247" customFormat="1" ht="15" x14ac:dyDescent="0.25">
      <c r="A84" s="449"/>
      <c r="B84" s="887"/>
      <c r="C84" s="838" t="s">
        <v>1782</v>
      </c>
      <c r="D84" s="838" t="s">
        <v>866</v>
      </c>
      <c r="E84" s="713" t="s">
        <v>26</v>
      </c>
      <c r="F84" s="712">
        <v>94846488</v>
      </c>
      <c r="G84" s="712">
        <v>94846488</v>
      </c>
      <c r="H84" s="712">
        <v>0</v>
      </c>
      <c r="I84" s="712">
        <v>0</v>
      </c>
      <c r="J84" s="712">
        <v>0</v>
      </c>
      <c r="K84" s="712">
        <v>0</v>
      </c>
      <c r="L84" s="712">
        <v>0</v>
      </c>
      <c r="M84" s="712">
        <v>0</v>
      </c>
      <c r="N84" s="712">
        <v>0</v>
      </c>
    </row>
    <row r="85" spans="1:14" s="247" customFormat="1" ht="15" x14ac:dyDescent="0.25">
      <c r="A85" s="449"/>
      <c r="B85" s="887"/>
      <c r="C85" s="839"/>
      <c r="D85" s="839"/>
      <c r="E85" s="713" t="s">
        <v>1557</v>
      </c>
      <c r="F85" s="712">
        <v>225816123</v>
      </c>
      <c r="G85" s="712">
        <v>225816123</v>
      </c>
      <c r="H85" s="712">
        <v>0</v>
      </c>
      <c r="I85" s="712">
        <v>0</v>
      </c>
      <c r="J85" s="712">
        <v>0</v>
      </c>
      <c r="K85" s="712">
        <v>0</v>
      </c>
      <c r="L85" s="712">
        <v>0</v>
      </c>
      <c r="M85" s="712">
        <v>0</v>
      </c>
      <c r="N85" s="712">
        <v>0</v>
      </c>
    </row>
    <row r="86" spans="1:14" s="247" customFormat="1" ht="15" x14ac:dyDescent="0.25">
      <c r="A86" s="449"/>
      <c r="B86" s="887"/>
      <c r="C86" s="839"/>
      <c r="D86" s="839"/>
      <c r="E86" s="713" t="s">
        <v>822</v>
      </c>
      <c r="F86" s="712">
        <v>460664</v>
      </c>
      <c r="G86" s="712">
        <v>460664</v>
      </c>
      <c r="H86" s="712">
        <v>0</v>
      </c>
      <c r="I86" s="712">
        <v>0</v>
      </c>
      <c r="J86" s="712">
        <v>0</v>
      </c>
      <c r="K86" s="712">
        <v>0</v>
      </c>
      <c r="L86" s="712">
        <v>0</v>
      </c>
      <c r="M86" s="712">
        <v>0</v>
      </c>
      <c r="N86" s="712">
        <v>0</v>
      </c>
    </row>
    <row r="87" spans="1:14" s="247" customFormat="1" ht="15" x14ac:dyDescent="0.25">
      <c r="A87" s="449"/>
      <c r="B87" s="887"/>
      <c r="C87" s="839"/>
      <c r="D87" s="839"/>
      <c r="E87" s="713" t="s">
        <v>3212</v>
      </c>
      <c r="F87" s="712">
        <v>119044</v>
      </c>
      <c r="G87" s="712">
        <v>119044</v>
      </c>
      <c r="H87" s="712">
        <v>0</v>
      </c>
      <c r="I87" s="712">
        <v>0</v>
      </c>
      <c r="J87" s="712">
        <v>0</v>
      </c>
      <c r="K87" s="712">
        <v>0</v>
      </c>
      <c r="L87" s="712">
        <v>0</v>
      </c>
      <c r="M87" s="712">
        <v>0</v>
      </c>
      <c r="N87" s="712">
        <v>0</v>
      </c>
    </row>
    <row r="88" spans="1:14" s="247" customFormat="1" ht="15" x14ac:dyDescent="0.25">
      <c r="A88" s="449"/>
      <c r="B88" s="887"/>
      <c r="C88" s="839"/>
      <c r="D88" s="839"/>
      <c r="E88" s="713" t="s">
        <v>195</v>
      </c>
      <c r="F88" s="712">
        <v>279258</v>
      </c>
      <c r="G88" s="712">
        <v>279258</v>
      </c>
      <c r="H88" s="712">
        <v>0</v>
      </c>
      <c r="I88" s="712">
        <v>0</v>
      </c>
      <c r="J88" s="712">
        <v>0</v>
      </c>
      <c r="K88" s="712">
        <v>0</v>
      </c>
      <c r="L88" s="712">
        <v>0</v>
      </c>
      <c r="M88" s="712">
        <v>0</v>
      </c>
      <c r="N88" s="712">
        <v>0</v>
      </c>
    </row>
    <row r="89" spans="1:14" s="247" customFormat="1" ht="15" x14ac:dyDescent="0.25">
      <c r="A89" s="449"/>
      <c r="B89" s="887"/>
      <c r="C89" s="839"/>
      <c r="D89" s="839"/>
      <c r="E89" s="713" t="s">
        <v>2676</v>
      </c>
      <c r="F89" s="712">
        <v>541881</v>
      </c>
      <c r="G89" s="712">
        <v>541881</v>
      </c>
      <c r="H89" s="712">
        <v>0</v>
      </c>
      <c r="I89" s="712">
        <v>0</v>
      </c>
      <c r="J89" s="712">
        <v>0</v>
      </c>
      <c r="K89" s="712">
        <v>0</v>
      </c>
      <c r="L89" s="712">
        <v>0</v>
      </c>
      <c r="M89" s="712">
        <v>0</v>
      </c>
      <c r="N89" s="712">
        <v>0</v>
      </c>
    </row>
    <row r="90" spans="1:14" s="247" customFormat="1" ht="15" x14ac:dyDescent="0.25">
      <c r="A90" s="449"/>
      <c r="B90" s="887"/>
      <c r="C90" s="839"/>
      <c r="D90" s="839"/>
      <c r="E90" s="713" t="s">
        <v>1221</v>
      </c>
      <c r="F90" s="712">
        <v>1931850</v>
      </c>
      <c r="G90" s="712">
        <v>1931850</v>
      </c>
      <c r="H90" s="712">
        <v>0</v>
      </c>
      <c r="I90" s="712">
        <v>0</v>
      </c>
      <c r="J90" s="712">
        <v>0</v>
      </c>
      <c r="K90" s="712">
        <v>0</v>
      </c>
      <c r="L90" s="712">
        <v>0</v>
      </c>
      <c r="M90" s="712">
        <v>0</v>
      </c>
      <c r="N90" s="712">
        <v>0</v>
      </c>
    </row>
    <row r="91" spans="1:14" s="247" customFormat="1" ht="15" x14ac:dyDescent="0.25">
      <c r="A91" s="449"/>
      <c r="B91" s="887"/>
      <c r="C91" s="838" t="s">
        <v>2236</v>
      </c>
      <c r="D91" s="838" t="s">
        <v>2237</v>
      </c>
      <c r="E91" s="713" t="s">
        <v>26</v>
      </c>
      <c r="F91" s="712">
        <v>89380462</v>
      </c>
      <c r="G91" s="712">
        <v>89380462</v>
      </c>
      <c r="H91" s="712">
        <v>0</v>
      </c>
      <c r="I91" s="712">
        <v>0</v>
      </c>
      <c r="J91" s="712">
        <v>0</v>
      </c>
      <c r="K91" s="712">
        <v>0</v>
      </c>
      <c r="L91" s="712">
        <v>0</v>
      </c>
      <c r="M91" s="712">
        <v>0</v>
      </c>
      <c r="N91" s="712">
        <v>0</v>
      </c>
    </row>
    <row r="92" spans="1:14" s="247" customFormat="1" ht="15" x14ac:dyDescent="0.25">
      <c r="A92" s="449"/>
      <c r="B92" s="887"/>
      <c r="C92" s="839"/>
      <c r="D92" s="839"/>
      <c r="E92" s="713" t="s">
        <v>1557</v>
      </c>
      <c r="F92" s="712">
        <v>229780877</v>
      </c>
      <c r="G92" s="712">
        <v>229780877</v>
      </c>
      <c r="H92" s="712">
        <v>0</v>
      </c>
      <c r="I92" s="712">
        <v>0</v>
      </c>
      <c r="J92" s="712">
        <v>0</v>
      </c>
      <c r="K92" s="712">
        <v>0</v>
      </c>
      <c r="L92" s="712">
        <v>0</v>
      </c>
      <c r="M92" s="712">
        <v>0</v>
      </c>
      <c r="N92" s="712">
        <v>0</v>
      </c>
    </row>
    <row r="93" spans="1:14" s="247" customFormat="1" ht="15" x14ac:dyDescent="0.25">
      <c r="A93" s="449"/>
      <c r="B93" s="887"/>
      <c r="C93" s="839"/>
      <c r="D93" s="839"/>
      <c r="E93" s="713" t="s">
        <v>3212</v>
      </c>
      <c r="F93" s="712">
        <v>89981</v>
      </c>
      <c r="G93" s="712">
        <v>0</v>
      </c>
      <c r="H93" s="712">
        <v>89981</v>
      </c>
      <c r="I93" s="712">
        <v>0</v>
      </c>
      <c r="J93" s="712">
        <v>89981</v>
      </c>
      <c r="K93" s="712">
        <v>0</v>
      </c>
      <c r="L93" s="712">
        <v>0</v>
      </c>
      <c r="M93" s="712">
        <v>0</v>
      </c>
      <c r="N93" s="712">
        <v>89981</v>
      </c>
    </row>
    <row r="94" spans="1:14" s="247" customFormat="1" ht="15" x14ac:dyDescent="0.25">
      <c r="A94" s="449"/>
      <c r="B94" s="887"/>
      <c r="C94" s="839"/>
      <c r="D94" s="839"/>
      <c r="E94" s="713" t="s">
        <v>1221</v>
      </c>
      <c r="F94" s="712">
        <v>9147381</v>
      </c>
      <c r="G94" s="712">
        <v>9147381</v>
      </c>
      <c r="H94" s="712">
        <v>0</v>
      </c>
      <c r="I94" s="712">
        <v>0</v>
      </c>
      <c r="J94" s="712">
        <v>0</v>
      </c>
      <c r="K94" s="712">
        <v>0</v>
      </c>
      <c r="L94" s="712">
        <v>0</v>
      </c>
      <c r="M94" s="712">
        <v>0</v>
      </c>
      <c r="N94" s="712">
        <v>0</v>
      </c>
    </row>
    <row r="95" spans="1:14" s="247" customFormat="1" ht="15" x14ac:dyDescent="0.25">
      <c r="A95" s="449"/>
      <c r="B95" s="887"/>
      <c r="C95" s="838" t="s">
        <v>4273</v>
      </c>
      <c r="D95" s="838" t="s">
        <v>4274</v>
      </c>
      <c r="E95" s="713" t="s">
        <v>26</v>
      </c>
      <c r="F95" s="712">
        <v>93000000</v>
      </c>
      <c r="G95" s="712">
        <v>49500000</v>
      </c>
      <c r="H95" s="712">
        <v>43500000</v>
      </c>
      <c r="I95" s="712">
        <v>22750000</v>
      </c>
      <c r="J95" s="712">
        <v>20750000</v>
      </c>
      <c r="K95" s="712">
        <v>20750000</v>
      </c>
      <c r="L95" s="712">
        <v>0</v>
      </c>
      <c r="M95" s="712">
        <v>0</v>
      </c>
      <c r="N95" s="712">
        <v>0</v>
      </c>
    </row>
    <row r="96" spans="1:14" s="247" customFormat="1" ht="15" x14ac:dyDescent="0.25">
      <c r="A96" s="449"/>
      <c r="B96" s="887"/>
      <c r="C96" s="839"/>
      <c r="D96" s="839"/>
      <c r="E96" s="713" t="s">
        <v>1557</v>
      </c>
      <c r="F96" s="712">
        <v>307976000</v>
      </c>
      <c r="G96" s="712">
        <v>0</v>
      </c>
      <c r="H96" s="712">
        <v>307976000</v>
      </c>
      <c r="I96" s="712">
        <v>307976000</v>
      </c>
      <c r="J96" s="712">
        <v>0</v>
      </c>
      <c r="K96" s="712">
        <v>0</v>
      </c>
      <c r="L96" s="712">
        <v>0</v>
      </c>
      <c r="M96" s="712">
        <v>0</v>
      </c>
      <c r="N96" s="712">
        <v>0</v>
      </c>
    </row>
    <row r="97" spans="1:14" s="247" customFormat="1" ht="15" x14ac:dyDescent="0.25">
      <c r="A97" s="449"/>
      <c r="B97" s="887"/>
      <c r="C97" s="839"/>
      <c r="D97" s="839"/>
      <c r="E97" s="713" t="s">
        <v>1221</v>
      </c>
      <c r="F97" s="712">
        <v>14906392</v>
      </c>
      <c r="G97" s="712">
        <v>2500000</v>
      </c>
      <c r="H97" s="712">
        <v>12406392</v>
      </c>
      <c r="I97" s="712">
        <v>11156392</v>
      </c>
      <c r="J97" s="712">
        <v>1250000</v>
      </c>
      <c r="K97" s="712">
        <v>1250000</v>
      </c>
      <c r="L97" s="712">
        <v>0</v>
      </c>
      <c r="M97" s="712">
        <v>0</v>
      </c>
      <c r="N97" s="712">
        <v>0</v>
      </c>
    </row>
    <row r="98" spans="1:14" s="247" customFormat="1" ht="15" x14ac:dyDescent="0.25">
      <c r="A98" s="449"/>
      <c r="B98" s="887"/>
      <c r="C98" s="838" t="s">
        <v>1783</v>
      </c>
      <c r="D98" s="838" t="s">
        <v>868</v>
      </c>
      <c r="E98" s="713" t="s">
        <v>26</v>
      </c>
      <c r="F98" s="712">
        <v>293843906</v>
      </c>
      <c r="G98" s="712">
        <v>293843906</v>
      </c>
      <c r="H98" s="712">
        <v>0</v>
      </c>
      <c r="I98" s="712">
        <v>0</v>
      </c>
      <c r="J98" s="712">
        <v>0</v>
      </c>
      <c r="K98" s="712">
        <v>0</v>
      </c>
      <c r="L98" s="712">
        <v>0</v>
      </c>
      <c r="M98" s="712">
        <v>0</v>
      </c>
      <c r="N98" s="712">
        <v>0</v>
      </c>
    </row>
    <row r="99" spans="1:14" s="247" customFormat="1" ht="15" x14ac:dyDescent="0.25">
      <c r="A99" s="449"/>
      <c r="B99" s="887"/>
      <c r="C99" s="839"/>
      <c r="D99" s="839"/>
      <c r="E99" s="713" t="s">
        <v>1221</v>
      </c>
      <c r="F99" s="712">
        <v>1931850</v>
      </c>
      <c r="G99" s="712">
        <v>1931850</v>
      </c>
      <c r="H99" s="712">
        <v>0</v>
      </c>
      <c r="I99" s="712">
        <v>0</v>
      </c>
      <c r="J99" s="712">
        <v>0</v>
      </c>
      <c r="K99" s="712">
        <v>0</v>
      </c>
      <c r="L99" s="712">
        <v>0</v>
      </c>
      <c r="M99" s="712">
        <v>0</v>
      </c>
      <c r="N99" s="712">
        <v>0</v>
      </c>
    </row>
    <row r="100" spans="1:14" s="247" customFormat="1" ht="15" x14ac:dyDescent="0.25">
      <c r="A100" s="449"/>
      <c r="B100" s="887"/>
      <c r="C100" s="838" t="s">
        <v>1784</v>
      </c>
      <c r="D100" s="838" t="s">
        <v>1636</v>
      </c>
      <c r="E100" s="713" t="s">
        <v>26</v>
      </c>
      <c r="F100" s="712">
        <v>82251600</v>
      </c>
      <c r="G100" s="712">
        <v>82251600</v>
      </c>
      <c r="H100" s="712">
        <v>0</v>
      </c>
      <c r="I100" s="712">
        <v>0</v>
      </c>
      <c r="J100" s="712">
        <v>0</v>
      </c>
      <c r="K100" s="712">
        <v>0</v>
      </c>
      <c r="L100" s="712">
        <v>0</v>
      </c>
      <c r="M100" s="712">
        <v>0</v>
      </c>
      <c r="N100" s="712">
        <v>0</v>
      </c>
    </row>
    <row r="101" spans="1:14" s="247" customFormat="1" ht="15" x14ac:dyDescent="0.25">
      <c r="A101" s="449"/>
      <c r="B101" s="887"/>
      <c r="C101" s="839"/>
      <c r="D101" s="839"/>
      <c r="E101" s="713" t="s">
        <v>1557</v>
      </c>
      <c r="F101" s="712">
        <v>191920400</v>
      </c>
      <c r="G101" s="712">
        <v>191920400</v>
      </c>
      <c r="H101" s="712">
        <v>0</v>
      </c>
      <c r="I101" s="712">
        <v>0</v>
      </c>
      <c r="J101" s="712">
        <v>0</v>
      </c>
      <c r="K101" s="712">
        <v>0</v>
      </c>
      <c r="L101" s="712">
        <v>0</v>
      </c>
      <c r="M101" s="712">
        <v>0</v>
      </c>
      <c r="N101" s="712">
        <v>0</v>
      </c>
    </row>
    <row r="102" spans="1:14" s="247" customFormat="1" ht="15" x14ac:dyDescent="0.25">
      <c r="A102" s="449"/>
      <c r="B102" s="887"/>
      <c r="C102" s="839"/>
      <c r="D102" s="839"/>
      <c r="E102" s="713" t="s">
        <v>3212</v>
      </c>
      <c r="F102" s="712">
        <v>134445</v>
      </c>
      <c r="G102" s="712">
        <v>134445</v>
      </c>
      <c r="H102" s="712">
        <v>0</v>
      </c>
      <c r="I102" s="712">
        <v>0</v>
      </c>
      <c r="J102" s="712">
        <v>0</v>
      </c>
      <c r="K102" s="712">
        <v>0</v>
      </c>
      <c r="L102" s="712">
        <v>0</v>
      </c>
      <c r="M102" s="712">
        <v>0</v>
      </c>
      <c r="N102" s="712">
        <v>0</v>
      </c>
    </row>
    <row r="103" spans="1:14" s="247" customFormat="1" ht="15" x14ac:dyDescent="0.25">
      <c r="A103" s="449"/>
      <c r="B103" s="887"/>
      <c r="C103" s="839"/>
      <c r="D103" s="839"/>
      <c r="E103" s="713" t="s">
        <v>2676</v>
      </c>
      <c r="F103" s="712">
        <v>614145</v>
      </c>
      <c r="G103" s="712">
        <v>614145</v>
      </c>
      <c r="H103" s="712">
        <v>0</v>
      </c>
      <c r="I103" s="712">
        <v>0</v>
      </c>
      <c r="J103" s="712">
        <v>0</v>
      </c>
      <c r="K103" s="712">
        <v>0</v>
      </c>
      <c r="L103" s="712">
        <v>0</v>
      </c>
      <c r="M103" s="712">
        <v>0</v>
      </c>
      <c r="N103" s="712">
        <v>0</v>
      </c>
    </row>
    <row r="104" spans="1:14" s="247" customFormat="1" ht="15" x14ac:dyDescent="0.25">
      <c r="A104" s="449"/>
      <c r="B104" s="887"/>
      <c r="C104" s="838" t="s">
        <v>1785</v>
      </c>
      <c r="D104" s="838" t="s">
        <v>867</v>
      </c>
      <c r="E104" s="713" t="s">
        <v>26</v>
      </c>
      <c r="F104" s="712">
        <v>337699997</v>
      </c>
      <c r="G104" s="712">
        <v>337699997</v>
      </c>
      <c r="H104" s="712">
        <v>0</v>
      </c>
      <c r="I104" s="712">
        <v>0</v>
      </c>
      <c r="J104" s="712">
        <v>0</v>
      </c>
      <c r="K104" s="712">
        <v>0</v>
      </c>
      <c r="L104" s="712">
        <v>0</v>
      </c>
      <c r="M104" s="712">
        <v>0</v>
      </c>
      <c r="N104" s="712">
        <v>0</v>
      </c>
    </row>
    <row r="105" spans="1:14" s="247" customFormat="1" ht="15" x14ac:dyDescent="0.25">
      <c r="A105" s="449"/>
      <c r="B105" s="887"/>
      <c r="C105" s="839"/>
      <c r="D105" s="839"/>
      <c r="E105" s="713" t="s">
        <v>3212</v>
      </c>
      <c r="F105" s="712">
        <v>180626</v>
      </c>
      <c r="G105" s="712">
        <v>180626</v>
      </c>
      <c r="H105" s="712">
        <v>0</v>
      </c>
      <c r="I105" s="712">
        <v>0</v>
      </c>
      <c r="J105" s="712">
        <v>0</v>
      </c>
      <c r="K105" s="712">
        <v>0</v>
      </c>
      <c r="L105" s="712">
        <v>0</v>
      </c>
      <c r="M105" s="712">
        <v>0</v>
      </c>
      <c r="N105" s="712">
        <v>0</v>
      </c>
    </row>
    <row r="106" spans="1:14" s="247" customFormat="1" ht="15" x14ac:dyDescent="0.25">
      <c r="A106" s="449"/>
      <c r="B106" s="887"/>
      <c r="C106" s="839"/>
      <c r="D106" s="839"/>
      <c r="E106" s="713" t="s">
        <v>1221</v>
      </c>
      <c r="F106" s="712">
        <v>1931850</v>
      </c>
      <c r="G106" s="712">
        <v>1931850</v>
      </c>
      <c r="H106" s="712">
        <v>0</v>
      </c>
      <c r="I106" s="712">
        <v>0</v>
      </c>
      <c r="J106" s="712">
        <v>0</v>
      </c>
      <c r="K106" s="712">
        <v>0</v>
      </c>
      <c r="L106" s="712">
        <v>0</v>
      </c>
      <c r="M106" s="712">
        <v>0</v>
      </c>
      <c r="N106" s="712">
        <v>0</v>
      </c>
    </row>
    <row r="107" spans="1:14" s="247" customFormat="1" ht="15" x14ac:dyDescent="0.25">
      <c r="A107" s="449"/>
      <c r="B107" s="887"/>
      <c r="C107" s="838" t="s">
        <v>1786</v>
      </c>
      <c r="D107" s="838" t="s">
        <v>1072</v>
      </c>
      <c r="E107" s="713" t="s">
        <v>900</v>
      </c>
      <c r="F107" s="712">
        <v>14000000</v>
      </c>
      <c r="G107" s="712">
        <v>14000000</v>
      </c>
      <c r="H107" s="712">
        <v>0</v>
      </c>
      <c r="I107" s="712">
        <v>0</v>
      </c>
      <c r="J107" s="712">
        <v>0</v>
      </c>
      <c r="K107" s="712">
        <v>0</v>
      </c>
      <c r="L107" s="712">
        <v>0</v>
      </c>
      <c r="M107" s="712">
        <v>0</v>
      </c>
      <c r="N107" s="712">
        <v>0</v>
      </c>
    </row>
    <row r="108" spans="1:14" s="247" customFormat="1" ht="15" x14ac:dyDescent="0.25">
      <c r="A108" s="449"/>
      <c r="B108" s="887"/>
      <c r="C108" s="839"/>
      <c r="D108" s="839"/>
      <c r="E108" s="713" t="s">
        <v>26</v>
      </c>
      <c r="F108" s="712">
        <v>91752518</v>
      </c>
      <c r="G108" s="712">
        <v>91752518</v>
      </c>
      <c r="H108" s="712">
        <v>0</v>
      </c>
      <c r="I108" s="712">
        <v>0</v>
      </c>
      <c r="J108" s="712">
        <v>0</v>
      </c>
      <c r="K108" s="712">
        <v>0</v>
      </c>
      <c r="L108" s="712">
        <v>0</v>
      </c>
      <c r="M108" s="712">
        <v>0</v>
      </c>
      <c r="N108" s="712">
        <v>0</v>
      </c>
    </row>
    <row r="109" spans="1:14" s="247" customFormat="1" ht="15" x14ac:dyDescent="0.25">
      <c r="A109" s="449"/>
      <c r="B109" s="887"/>
      <c r="C109" s="839"/>
      <c r="D109" s="839"/>
      <c r="E109" s="713" t="s">
        <v>1557</v>
      </c>
      <c r="F109" s="712">
        <v>240000000</v>
      </c>
      <c r="G109" s="712">
        <v>240000000</v>
      </c>
      <c r="H109" s="712">
        <v>0</v>
      </c>
      <c r="I109" s="712">
        <v>0</v>
      </c>
      <c r="J109" s="712">
        <v>0</v>
      </c>
      <c r="K109" s="712">
        <v>0</v>
      </c>
      <c r="L109" s="712">
        <v>0</v>
      </c>
      <c r="M109" s="712">
        <v>0</v>
      </c>
      <c r="N109" s="712">
        <v>0</v>
      </c>
    </row>
    <row r="110" spans="1:14" s="247" customFormat="1" ht="15" x14ac:dyDescent="0.25">
      <c r="A110" s="449"/>
      <c r="B110" s="887"/>
      <c r="C110" s="839"/>
      <c r="D110" s="839"/>
      <c r="E110" s="713" t="s">
        <v>3212</v>
      </c>
      <c r="F110" s="712">
        <v>128330</v>
      </c>
      <c r="G110" s="712">
        <v>128330</v>
      </c>
      <c r="H110" s="712">
        <v>0</v>
      </c>
      <c r="I110" s="712">
        <v>0</v>
      </c>
      <c r="J110" s="712">
        <v>0</v>
      </c>
      <c r="K110" s="712">
        <v>0</v>
      </c>
      <c r="L110" s="712">
        <v>0</v>
      </c>
      <c r="M110" s="712">
        <v>0</v>
      </c>
      <c r="N110" s="712">
        <v>0</v>
      </c>
    </row>
    <row r="111" spans="1:14" s="247" customFormat="1" ht="15" x14ac:dyDescent="0.25">
      <c r="A111" s="449"/>
      <c r="B111" s="887"/>
      <c r="C111" s="839"/>
      <c r="D111" s="839"/>
      <c r="E111" s="713" t="s">
        <v>1221</v>
      </c>
      <c r="F111" s="712">
        <v>1931850</v>
      </c>
      <c r="G111" s="712">
        <v>1931850</v>
      </c>
      <c r="H111" s="712">
        <v>0</v>
      </c>
      <c r="I111" s="712">
        <v>0</v>
      </c>
      <c r="J111" s="712">
        <v>0</v>
      </c>
      <c r="K111" s="712">
        <v>0</v>
      </c>
      <c r="L111" s="712">
        <v>0</v>
      </c>
      <c r="M111" s="712">
        <v>0</v>
      </c>
      <c r="N111" s="712">
        <v>0</v>
      </c>
    </row>
    <row r="112" spans="1:14" s="247" customFormat="1" ht="15" x14ac:dyDescent="0.25">
      <c r="A112" s="449"/>
      <c r="B112" s="887"/>
      <c r="C112" s="838" t="s">
        <v>1787</v>
      </c>
      <c r="D112" s="838" t="s">
        <v>870</v>
      </c>
      <c r="E112" s="713" t="s">
        <v>26</v>
      </c>
      <c r="F112" s="712">
        <v>253342611</v>
      </c>
      <c r="G112" s="712">
        <v>253342611</v>
      </c>
      <c r="H112" s="712">
        <v>0</v>
      </c>
      <c r="I112" s="712">
        <v>0</v>
      </c>
      <c r="J112" s="712">
        <v>0</v>
      </c>
      <c r="K112" s="712">
        <v>0</v>
      </c>
      <c r="L112" s="712">
        <v>0</v>
      </c>
      <c r="M112" s="712">
        <v>0</v>
      </c>
      <c r="N112" s="712">
        <v>0</v>
      </c>
    </row>
    <row r="113" spans="2:14" s="175" customFormat="1" x14ac:dyDescent="0.2">
      <c r="B113" s="887"/>
      <c r="C113" s="839"/>
      <c r="D113" s="839"/>
      <c r="E113" s="713" t="s">
        <v>3212</v>
      </c>
      <c r="F113" s="712">
        <v>101200</v>
      </c>
      <c r="G113" s="712">
        <v>101200</v>
      </c>
      <c r="H113" s="712">
        <v>0</v>
      </c>
      <c r="I113" s="712">
        <v>0</v>
      </c>
      <c r="J113" s="712">
        <v>0</v>
      </c>
      <c r="K113" s="712">
        <v>0</v>
      </c>
      <c r="L113" s="712">
        <v>0</v>
      </c>
      <c r="M113" s="712">
        <v>0</v>
      </c>
      <c r="N113" s="712">
        <v>0</v>
      </c>
    </row>
    <row r="114" spans="2:14" s="175" customFormat="1" x14ac:dyDescent="0.2">
      <c r="B114" s="887"/>
      <c r="C114" s="838" t="s">
        <v>1788</v>
      </c>
      <c r="D114" s="838" t="s">
        <v>869</v>
      </c>
      <c r="E114" s="713" t="s">
        <v>26</v>
      </c>
      <c r="F114" s="712">
        <v>94590000</v>
      </c>
      <c r="G114" s="712">
        <v>94590000</v>
      </c>
      <c r="H114" s="712">
        <v>0</v>
      </c>
      <c r="I114" s="712">
        <v>0</v>
      </c>
      <c r="J114" s="712">
        <v>0</v>
      </c>
      <c r="K114" s="712">
        <v>0</v>
      </c>
      <c r="L114" s="712">
        <v>0</v>
      </c>
      <c r="M114" s="712">
        <v>0</v>
      </c>
      <c r="N114" s="712">
        <v>0</v>
      </c>
    </row>
    <row r="115" spans="2:14" s="175" customFormat="1" x14ac:dyDescent="0.2">
      <c r="B115" s="887"/>
      <c r="C115" s="839"/>
      <c r="D115" s="839"/>
      <c r="E115" s="713" t="s">
        <v>1557</v>
      </c>
      <c r="F115" s="712">
        <v>220710000</v>
      </c>
      <c r="G115" s="712">
        <v>220710000</v>
      </c>
      <c r="H115" s="712">
        <v>0</v>
      </c>
      <c r="I115" s="712">
        <v>0</v>
      </c>
      <c r="J115" s="712">
        <v>0</v>
      </c>
      <c r="K115" s="712">
        <v>0</v>
      </c>
      <c r="L115" s="712">
        <v>0</v>
      </c>
      <c r="M115" s="712">
        <v>0</v>
      </c>
      <c r="N115" s="712">
        <v>0</v>
      </c>
    </row>
    <row r="116" spans="2:14" s="175" customFormat="1" x14ac:dyDescent="0.2">
      <c r="B116" s="887"/>
      <c r="C116" s="839"/>
      <c r="D116" s="839"/>
      <c r="E116" s="713" t="s">
        <v>1221</v>
      </c>
      <c r="F116" s="712">
        <v>81534992</v>
      </c>
      <c r="G116" s="712">
        <v>81534992</v>
      </c>
      <c r="H116" s="712">
        <v>0</v>
      </c>
      <c r="I116" s="712">
        <v>0</v>
      </c>
      <c r="J116" s="712">
        <v>0</v>
      </c>
      <c r="K116" s="712">
        <v>0</v>
      </c>
      <c r="L116" s="712">
        <v>0</v>
      </c>
      <c r="M116" s="712">
        <v>0</v>
      </c>
      <c r="N116" s="712">
        <v>0</v>
      </c>
    </row>
    <row r="117" spans="2:14" s="175" customFormat="1" x14ac:dyDescent="0.2">
      <c r="B117" s="887"/>
      <c r="C117" s="838" t="s">
        <v>1789</v>
      </c>
      <c r="D117" s="838" t="s">
        <v>1699</v>
      </c>
      <c r="E117" s="713" t="s">
        <v>26</v>
      </c>
      <c r="F117" s="712">
        <v>97557840</v>
      </c>
      <c r="G117" s="712">
        <v>97557840</v>
      </c>
      <c r="H117" s="712">
        <v>0</v>
      </c>
      <c r="I117" s="712">
        <v>0</v>
      </c>
      <c r="J117" s="712">
        <v>0</v>
      </c>
      <c r="K117" s="712">
        <v>0</v>
      </c>
      <c r="L117" s="712">
        <v>0</v>
      </c>
      <c r="M117" s="712">
        <v>0</v>
      </c>
      <c r="N117" s="712">
        <v>0</v>
      </c>
    </row>
    <row r="118" spans="2:14" s="175" customFormat="1" x14ac:dyDescent="0.2">
      <c r="B118" s="887"/>
      <c r="C118" s="839"/>
      <c r="D118" s="839"/>
      <c r="E118" s="713" t="s">
        <v>1557</v>
      </c>
      <c r="F118" s="712">
        <v>227634960</v>
      </c>
      <c r="G118" s="712">
        <v>227634960</v>
      </c>
      <c r="H118" s="712">
        <v>0</v>
      </c>
      <c r="I118" s="712">
        <v>0</v>
      </c>
      <c r="J118" s="712">
        <v>0</v>
      </c>
      <c r="K118" s="712">
        <v>0</v>
      </c>
      <c r="L118" s="712">
        <v>0</v>
      </c>
      <c r="M118" s="712">
        <v>0</v>
      </c>
      <c r="N118" s="712">
        <v>0</v>
      </c>
    </row>
    <row r="119" spans="2:14" s="175" customFormat="1" x14ac:dyDescent="0.2">
      <c r="B119" s="887"/>
      <c r="C119" s="839"/>
      <c r="D119" s="839"/>
      <c r="E119" s="713" t="s">
        <v>822</v>
      </c>
      <c r="F119" s="712">
        <v>464374</v>
      </c>
      <c r="G119" s="712">
        <v>464374</v>
      </c>
      <c r="H119" s="712">
        <v>0</v>
      </c>
      <c r="I119" s="712">
        <v>0</v>
      </c>
      <c r="J119" s="712">
        <v>0</v>
      </c>
      <c r="K119" s="712">
        <v>0</v>
      </c>
      <c r="L119" s="712">
        <v>0</v>
      </c>
      <c r="M119" s="712">
        <v>0</v>
      </c>
      <c r="N119" s="712">
        <v>0</v>
      </c>
    </row>
    <row r="120" spans="2:14" s="175" customFormat="1" x14ac:dyDescent="0.2">
      <c r="B120" s="887"/>
      <c r="C120" s="839"/>
      <c r="D120" s="839"/>
      <c r="E120" s="713" t="s">
        <v>3212</v>
      </c>
      <c r="F120" s="712">
        <v>1260402</v>
      </c>
      <c r="G120" s="712">
        <v>1260402</v>
      </c>
      <c r="H120" s="712">
        <v>0</v>
      </c>
      <c r="I120" s="712">
        <v>0</v>
      </c>
      <c r="J120" s="712">
        <v>0</v>
      </c>
      <c r="K120" s="712">
        <v>0</v>
      </c>
      <c r="L120" s="712">
        <v>0</v>
      </c>
      <c r="M120" s="712">
        <v>0</v>
      </c>
      <c r="N120" s="712">
        <v>0</v>
      </c>
    </row>
    <row r="121" spans="2:14" s="175" customFormat="1" x14ac:dyDescent="0.2">
      <c r="B121" s="887"/>
      <c r="C121" s="839"/>
      <c r="D121" s="839"/>
      <c r="E121" s="713" t="s">
        <v>195</v>
      </c>
      <c r="F121" s="712">
        <v>696791</v>
      </c>
      <c r="G121" s="712">
        <v>696791</v>
      </c>
      <c r="H121" s="712">
        <v>0</v>
      </c>
      <c r="I121" s="712">
        <v>0</v>
      </c>
      <c r="J121" s="712">
        <v>0</v>
      </c>
      <c r="K121" s="712">
        <v>0</v>
      </c>
      <c r="L121" s="712">
        <v>0</v>
      </c>
      <c r="M121" s="712">
        <v>0</v>
      </c>
      <c r="N121" s="712">
        <v>0</v>
      </c>
    </row>
    <row r="122" spans="2:14" s="175" customFormat="1" x14ac:dyDescent="0.2">
      <c r="B122" s="887"/>
      <c r="C122" s="839"/>
      <c r="D122" s="839"/>
      <c r="E122" s="713" t="s">
        <v>2676</v>
      </c>
      <c r="F122" s="712">
        <v>5554293</v>
      </c>
      <c r="G122" s="712">
        <v>5554293</v>
      </c>
      <c r="H122" s="712">
        <v>0</v>
      </c>
      <c r="I122" s="712">
        <v>0</v>
      </c>
      <c r="J122" s="712">
        <v>0</v>
      </c>
      <c r="K122" s="712">
        <v>0</v>
      </c>
      <c r="L122" s="712">
        <v>0</v>
      </c>
      <c r="M122" s="712">
        <v>0</v>
      </c>
      <c r="N122" s="712">
        <v>0</v>
      </c>
    </row>
    <row r="123" spans="2:14" s="175" customFormat="1" x14ac:dyDescent="0.2">
      <c r="B123" s="887"/>
      <c r="C123" s="838" t="s">
        <v>1790</v>
      </c>
      <c r="D123" s="838" t="s">
        <v>871</v>
      </c>
      <c r="E123" s="713" t="s">
        <v>26</v>
      </c>
      <c r="F123" s="712">
        <v>212000000</v>
      </c>
      <c r="G123" s="712">
        <v>212000000</v>
      </c>
      <c r="H123" s="712">
        <v>0</v>
      </c>
      <c r="I123" s="712">
        <v>0</v>
      </c>
      <c r="J123" s="712">
        <v>0</v>
      </c>
      <c r="K123" s="712">
        <v>0</v>
      </c>
      <c r="L123" s="712">
        <v>0</v>
      </c>
      <c r="M123" s="712">
        <v>0</v>
      </c>
      <c r="N123" s="712">
        <v>0</v>
      </c>
    </row>
    <row r="124" spans="2:14" s="175" customFormat="1" x14ac:dyDescent="0.2">
      <c r="B124" s="887"/>
      <c r="C124" s="839"/>
      <c r="D124" s="839"/>
      <c r="E124" s="713" t="s">
        <v>1557</v>
      </c>
      <c r="F124" s="712">
        <v>59000000</v>
      </c>
      <c r="G124" s="712">
        <v>59000000</v>
      </c>
      <c r="H124" s="712">
        <v>0</v>
      </c>
      <c r="I124" s="712">
        <v>0</v>
      </c>
      <c r="J124" s="712">
        <v>0</v>
      </c>
      <c r="K124" s="712">
        <v>0</v>
      </c>
      <c r="L124" s="712">
        <v>0</v>
      </c>
      <c r="M124" s="712">
        <v>0</v>
      </c>
      <c r="N124" s="712">
        <v>0</v>
      </c>
    </row>
    <row r="125" spans="2:14" s="175" customFormat="1" x14ac:dyDescent="0.2">
      <c r="B125" s="887"/>
      <c r="C125" s="839"/>
      <c r="D125" s="839"/>
      <c r="E125" s="713" t="s">
        <v>3212</v>
      </c>
      <c r="F125" s="712">
        <v>114043</v>
      </c>
      <c r="G125" s="712">
        <v>0</v>
      </c>
      <c r="H125" s="712">
        <v>114043</v>
      </c>
      <c r="I125" s="712">
        <v>0</v>
      </c>
      <c r="J125" s="712">
        <v>114043</v>
      </c>
      <c r="K125" s="712">
        <v>0</v>
      </c>
      <c r="L125" s="712">
        <v>0</v>
      </c>
      <c r="M125" s="712">
        <v>0</v>
      </c>
      <c r="N125" s="712">
        <v>114043</v>
      </c>
    </row>
    <row r="126" spans="2:14" s="175" customFormat="1" x14ac:dyDescent="0.2">
      <c r="B126" s="887"/>
      <c r="C126" s="839"/>
      <c r="D126" s="839"/>
      <c r="E126" s="713" t="s">
        <v>2676</v>
      </c>
      <c r="F126" s="712">
        <v>173067</v>
      </c>
      <c r="G126" s="712">
        <v>173067</v>
      </c>
      <c r="H126" s="712">
        <v>0</v>
      </c>
      <c r="I126" s="712">
        <v>0</v>
      </c>
      <c r="J126" s="712">
        <v>0</v>
      </c>
      <c r="K126" s="712">
        <v>0</v>
      </c>
      <c r="L126" s="712">
        <v>0</v>
      </c>
      <c r="M126" s="712">
        <v>0</v>
      </c>
      <c r="N126" s="712">
        <v>0</v>
      </c>
    </row>
    <row r="127" spans="2:14" s="175" customFormat="1" x14ac:dyDescent="0.2">
      <c r="B127" s="887"/>
      <c r="C127" s="839"/>
      <c r="D127" s="839"/>
      <c r="E127" s="713" t="s">
        <v>1221</v>
      </c>
      <c r="F127" s="712">
        <v>1512675</v>
      </c>
      <c r="G127" s="712">
        <v>1512675</v>
      </c>
      <c r="H127" s="712">
        <v>0</v>
      </c>
      <c r="I127" s="712">
        <v>0</v>
      </c>
      <c r="J127" s="712">
        <v>0</v>
      </c>
      <c r="K127" s="712">
        <v>0</v>
      </c>
      <c r="L127" s="712">
        <v>0</v>
      </c>
      <c r="M127" s="712">
        <v>0</v>
      </c>
      <c r="N127" s="712">
        <v>0</v>
      </c>
    </row>
    <row r="128" spans="2:14" s="175" customFormat="1" x14ac:dyDescent="0.2">
      <c r="B128" s="887"/>
      <c r="C128" s="838" t="s">
        <v>1791</v>
      </c>
      <c r="D128" s="838" t="s">
        <v>2677</v>
      </c>
      <c r="E128" s="713" t="s">
        <v>26</v>
      </c>
      <c r="F128" s="712">
        <v>112187608</v>
      </c>
      <c r="G128" s="712">
        <v>112187608</v>
      </c>
      <c r="H128" s="712">
        <v>0</v>
      </c>
      <c r="I128" s="712">
        <v>0</v>
      </c>
      <c r="J128" s="712">
        <v>0</v>
      </c>
      <c r="K128" s="712">
        <v>0</v>
      </c>
      <c r="L128" s="712">
        <v>0</v>
      </c>
      <c r="M128" s="712">
        <v>0</v>
      </c>
      <c r="N128" s="712">
        <v>0</v>
      </c>
    </row>
    <row r="129" spans="2:14" s="175" customFormat="1" x14ac:dyDescent="0.2">
      <c r="B129" s="887"/>
      <c r="C129" s="839"/>
      <c r="D129" s="839"/>
      <c r="E129" s="713" t="s">
        <v>1557</v>
      </c>
      <c r="F129" s="712">
        <v>232769392</v>
      </c>
      <c r="G129" s="712">
        <v>232769392</v>
      </c>
      <c r="H129" s="712">
        <v>0</v>
      </c>
      <c r="I129" s="712">
        <v>0</v>
      </c>
      <c r="J129" s="712">
        <v>0</v>
      </c>
      <c r="K129" s="712">
        <v>0</v>
      </c>
      <c r="L129" s="712">
        <v>0</v>
      </c>
      <c r="M129" s="712">
        <v>0</v>
      </c>
      <c r="N129" s="712">
        <v>0</v>
      </c>
    </row>
    <row r="130" spans="2:14" s="175" customFormat="1" x14ac:dyDescent="0.2">
      <c r="B130" s="887"/>
      <c r="C130" s="839"/>
      <c r="D130" s="839"/>
      <c r="E130" s="713" t="s">
        <v>3212</v>
      </c>
      <c r="F130" s="712">
        <v>1407978</v>
      </c>
      <c r="G130" s="712">
        <v>1407978</v>
      </c>
      <c r="H130" s="712">
        <v>0</v>
      </c>
      <c r="I130" s="712">
        <v>0</v>
      </c>
      <c r="J130" s="712">
        <v>0</v>
      </c>
      <c r="K130" s="712">
        <v>0</v>
      </c>
      <c r="L130" s="712">
        <v>0</v>
      </c>
      <c r="M130" s="712">
        <v>0</v>
      </c>
      <c r="N130" s="712">
        <v>0</v>
      </c>
    </row>
    <row r="131" spans="2:14" s="175" customFormat="1" x14ac:dyDescent="0.2">
      <c r="B131" s="887"/>
      <c r="C131" s="839"/>
      <c r="D131" s="839"/>
      <c r="E131" s="713" t="s">
        <v>2676</v>
      </c>
      <c r="F131" s="712">
        <v>5586500</v>
      </c>
      <c r="G131" s="712">
        <v>5586500</v>
      </c>
      <c r="H131" s="712">
        <v>0</v>
      </c>
      <c r="I131" s="712">
        <v>0</v>
      </c>
      <c r="J131" s="712">
        <v>0</v>
      </c>
      <c r="K131" s="712">
        <v>0</v>
      </c>
      <c r="L131" s="712">
        <v>0</v>
      </c>
      <c r="M131" s="712">
        <v>0</v>
      </c>
      <c r="N131" s="712">
        <v>0</v>
      </c>
    </row>
    <row r="132" spans="2:14" s="175" customFormat="1" x14ac:dyDescent="0.2">
      <c r="B132" s="887"/>
      <c r="C132" s="838" t="s">
        <v>1792</v>
      </c>
      <c r="D132" s="838" t="s">
        <v>979</v>
      </c>
      <c r="E132" s="713" t="s">
        <v>26</v>
      </c>
      <c r="F132" s="712">
        <v>112782801</v>
      </c>
      <c r="G132" s="712">
        <v>112782801</v>
      </c>
      <c r="H132" s="712">
        <v>0</v>
      </c>
      <c r="I132" s="712">
        <v>0</v>
      </c>
      <c r="J132" s="712">
        <v>0</v>
      </c>
      <c r="K132" s="712">
        <v>0</v>
      </c>
      <c r="L132" s="712">
        <v>0</v>
      </c>
      <c r="M132" s="712">
        <v>0</v>
      </c>
      <c r="N132" s="712">
        <v>0</v>
      </c>
    </row>
    <row r="133" spans="2:14" s="175" customFormat="1" x14ac:dyDescent="0.2">
      <c r="B133" s="887"/>
      <c r="C133" s="839"/>
      <c r="D133" s="839"/>
      <c r="E133" s="713" t="s">
        <v>1557</v>
      </c>
      <c r="F133" s="712">
        <v>236493199</v>
      </c>
      <c r="G133" s="712">
        <v>236493199</v>
      </c>
      <c r="H133" s="712">
        <v>0</v>
      </c>
      <c r="I133" s="712">
        <v>0</v>
      </c>
      <c r="J133" s="712">
        <v>0</v>
      </c>
      <c r="K133" s="712">
        <v>0</v>
      </c>
      <c r="L133" s="712">
        <v>0</v>
      </c>
      <c r="M133" s="712">
        <v>0</v>
      </c>
      <c r="N133" s="712">
        <v>0</v>
      </c>
    </row>
    <row r="134" spans="2:14" s="175" customFormat="1" x14ac:dyDescent="0.2">
      <c r="B134" s="887"/>
      <c r="C134" s="839"/>
      <c r="D134" s="839"/>
      <c r="E134" s="713" t="s">
        <v>195</v>
      </c>
      <c r="F134" s="712">
        <v>2513301</v>
      </c>
      <c r="G134" s="712">
        <v>2513301</v>
      </c>
      <c r="H134" s="712">
        <v>0</v>
      </c>
      <c r="I134" s="712">
        <v>0</v>
      </c>
      <c r="J134" s="712">
        <v>0</v>
      </c>
      <c r="K134" s="712">
        <v>0</v>
      </c>
      <c r="L134" s="712">
        <v>0</v>
      </c>
      <c r="M134" s="712">
        <v>0</v>
      </c>
      <c r="N134" s="712">
        <v>0</v>
      </c>
    </row>
    <row r="135" spans="2:14" s="175" customFormat="1" x14ac:dyDescent="0.2">
      <c r="B135" s="887"/>
      <c r="C135" s="838" t="s">
        <v>1793</v>
      </c>
      <c r="D135" s="838" t="s">
        <v>2678</v>
      </c>
      <c r="E135" s="713" t="s">
        <v>26</v>
      </c>
      <c r="F135" s="712">
        <v>163245187</v>
      </c>
      <c r="G135" s="712">
        <v>163245187</v>
      </c>
      <c r="H135" s="712">
        <v>0</v>
      </c>
      <c r="I135" s="712">
        <v>0</v>
      </c>
      <c r="J135" s="712">
        <v>0</v>
      </c>
      <c r="K135" s="712">
        <v>0</v>
      </c>
      <c r="L135" s="712">
        <v>0</v>
      </c>
      <c r="M135" s="712">
        <v>0</v>
      </c>
      <c r="N135" s="712">
        <v>0</v>
      </c>
    </row>
    <row r="136" spans="2:14" s="175" customFormat="1" x14ac:dyDescent="0.2">
      <c r="B136" s="887"/>
      <c r="C136" s="839"/>
      <c r="D136" s="839"/>
      <c r="E136" s="713" t="s">
        <v>1557</v>
      </c>
      <c r="F136" s="712">
        <v>125000000</v>
      </c>
      <c r="G136" s="712">
        <v>125000000</v>
      </c>
      <c r="H136" s="712">
        <v>0</v>
      </c>
      <c r="I136" s="712">
        <v>0</v>
      </c>
      <c r="J136" s="712">
        <v>0</v>
      </c>
      <c r="K136" s="712">
        <v>0</v>
      </c>
      <c r="L136" s="712">
        <v>0</v>
      </c>
      <c r="M136" s="712">
        <v>0</v>
      </c>
      <c r="N136" s="712">
        <v>0</v>
      </c>
    </row>
    <row r="137" spans="2:14" s="175" customFormat="1" x14ac:dyDescent="0.2">
      <c r="B137" s="887"/>
      <c r="C137" s="839"/>
      <c r="D137" s="839"/>
      <c r="E137" s="713" t="s">
        <v>195</v>
      </c>
      <c r="F137" s="712">
        <v>3388374</v>
      </c>
      <c r="G137" s="712">
        <v>3388374</v>
      </c>
      <c r="H137" s="712">
        <v>0</v>
      </c>
      <c r="I137" s="712">
        <v>0</v>
      </c>
      <c r="J137" s="712">
        <v>0</v>
      </c>
      <c r="K137" s="712">
        <v>0</v>
      </c>
      <c r="L137" s="712">
        <v>0</v>
      </c>
      <c r="M137" s="712">
        <v>0</v>
      </c>
      <c r="N137" s="712">
        <v>0</v>
      </c>
    </row>
    <row r="138" spans="2:14" s="175" customFormat="1" x14ac:dyDescent="0.2">
      <c r="B138" s="887"/>
      <c r="C138" s="839"/>
      <c r="D138" s="839"/>
      <c r="E138" s="713" t="s">
        <v>2676</v>
      </c>
      <c r="F138" s="712">
        <v>2402536</v>
      </c>
      <c r="G138" s="712">
        <v>2402536</v>
      </c>
      <c r="H138" s="712">
        <v>0</v>
      </c>
      <c r="I138" s="712">
        <v>0</v>
      </c>
      <c r="J138" s="712">
        <v>0</v>
      </c>
      <c r="K138" s="712">
        <v>0</v>
      </c>
      <c r="L138" s="712">
        <v>0</v>
      </c>
      <c r="M138" s="712">
        <v>0</v>
      </c>
      <c r="N138" s="712">
        <v>0</v>
      </c>
    </row>
    <row r="139" spans="2:14" s="175" customFormat="1" x14ac:dyDescent="0.2">
      <c r="B139" s="887"/>
      <c r="C139" s="838" t="s">
        <v>3424</v>
      </c>
      <c r="D139" s="838" t="s">
        <v>3425</v>
      </c>
      <c r="E139" s="713" t="s">
        <v>26</v>
      </c>
      <c r="F139" s="712">
        <v>392680000</v>
      </c>
      <c r="G139" s="712">
        <v>392680000</v>
      </c>
      <c r="H139" s="712">
        <v>0</v>
      </c>
      <c r="I139" s="712">
        <v>0</v>
      </c>
      <c r="J139" s="712">
        <v>0</v>
      </c>
      <c r="K139" s="712">
        <v>0</v>
      </c>
      <c r="L139" s="712">
        <v>0</v>
      </c>
      <c r="M139" s="712">
        <v>0</v>
      </c>
      <c r="N139" s="712">
        <v>0</v>
      </c>
    </row>
    <row r="140" spans="2:14" s="175" customFormat="1" x14ac:dyDescent="0.2">
      <c r="B140" s="887"/>
      <c r="C140" s="839"/>
      <c r="D140" s="839"/>
      <c r="E140" s="713" t="s">
        <v>3212</v>
      </c>
      <c r="F140" s="712">
        <v>1191026</v>
      </c>
      <c r="G140" s="712">
        <v>0</v>
      </c>
      <c r="H140" s="712">
        <v>1191026</v>
      </c>
      <c r="I140" s="712">
        <v>0</v>
      </c>
      <c r="J140" s="712">
        <v>1191026</v>
      </c>
      <c r="K140" s="712">
        <v>0</v>
      </c>
      <c r="L140" s="712">
        <v>0</v>
      </c>
      <c r="M140" s="712">
        <v>0</v>
      </c>
      <c r="N140" s="712">
        <v>1191026</v>
      </c>
    </row>
    <row r="141" spans="2:14" s="175" customFormat="1" x14ac:dyDescent="0.2">
      <c r="B141" s="887"/>
      <c r="C141" s="838" t="s">
        <v>1794</v>
      </c>
      <c r="D141" s="838" t="s">
        <v>2608</v>
      </c>
      <c r="E141" s="713" t="s">
        <v>26</v>
      </c>
      <c r="F141" s="712">
        <v>96486000</v>
      </c>
      <c r="G141" s="712">
        <v>96486000</v>
      </c>
      <c r="H141" s="712">
        <v>0</v>
      </c>
      <c r="I141" s="712">
        <v>0</v>
      </c>
      <c r="J141" s="712">
        <v>0</v>
      </c>
      <c r="K141" s="712">
        <v>0</v>
      </c>
      <c r="L141" s="712">
        <v>0</v>
      </c>
      <c r="M141" s="712">
        <v>0</v>
      </c>
      <c r="N141" s="712">
        <v>0</v>
      </c>
    </row>
    <row r="142" spans="2:14" s="175" customFormat="1" x14ac:dyDescent="0.2">
      <c r="B142" s="887"/>
      <c r="C142" s="839"/>
      <c r="D142" s="839"/>
      <c r="E142" s="713" t="s">
        <v>1557</v>
      </c>
      <c r="F142" s="712">
        <v>225134000</v>
      </c>
      <c r="G142" s="712">
        <v>225134000</v>
      </c>
      <c r="H142" s="712">
        <v>0</v>
      </c>
      <c r="I142" s="712">
        <v>0</v>
      </c>
      <c r="J142" s="712">
        <v>0</v>
      </c>
      <c r="K142" s="712">
        <v>0</v>
      </c>
      <c r="L142" s="712">
        <v>0</v>
      </c>
      <c r="M142" s="712">
        <v>0</v>
      </c>
      <c r="N142" s="712">
        <v>0</v>
      </c>
    </row>
    <row r="143" spans="2:14" s="175" customFormat="1" x14ac:dyDescent="0.2">
      <c r="B143" s="887"/>
      <c r="C143" s="839"/>
      <c r="D143" s="839"/>
      <c r="E143" s="713" t="s">
        <v>195</v>
      </c>
      <c r="F143" s="712">
        <v>4066135</v>
      </c>
      <c r="G143" s="712">
        <v>4066135</v>
      </c>
      <c r="H143" s="712">
        <v>0</v>
      </c>
      <c r="I143" s="712">
        <v>0</v>
      </c>
      <c r="J143" s="712">
        <v>0</v>
      </c>
      <c r="K143" s="712">
        <v>0</v>
      </c>
      <c r="L143" s="712">
        <v>0</v>
      </c>
      <c r="M143" s="712">
        <v>0</v>
      </c>
      <c r="N143" s="712">
        <v>0</v>
      </c>
    </row>
    <row r="144" spans="2:14" s="175" customFormat="1" x14ac:dyDescent="0.2">
      <c r="B144" s="887"/>
      <c r="C144" s="839"/>
      <c r="D144" s="839"/>
      <c r="E144" s="713" t="s">
        <v>2676</v>
      </c>
      <c r="F144" s="712">
        <v>3572126</v>
      </c>
      <c r="G144" s="712">
        <v>576800</v>
      </c>
      <c r="H144" s="712">
        <v>2995326</v>
      </c>
      <c r="I144" s="712">
        <v>0</v>
      </c>
      <c r="J144" s="712">
        <v>2995326</v>
      </c>
      <c r="K144" s="712">
        <v>0</v>
      </c>
      <c r="L144" s="712">
        <v>0</v>
      </c>
      <c r="M144" s="712">
        <v>0</v>
      </c>
      <c r="N144" s="712">
        <v>2995326</v>
      </c>
    </row>
    <row r="145" spans="2:14" s="175" customFormat="1" x14ac:dyDescent="0.2">
      <c r="B145" s="887"/>
      <c r="C145" s="838" t="s">
        <v>2238</v>
      </c>
      <c r="D145" s="838" t="s">
        <v>2603</v>
      </c>
      <c r="E145" s="713" t="s">
        <v>26</v>
      </c>
      <c r="F145" s="712">
        <v>167300000</v>
      </c>
      <c r="G145" s="712">
        <v>167300000</v>
      </c>
      <c r="H145" s="712">
        <v>0</v>
      </c>
      <c r="I145" s="712">
        <v>0</v>
      </c>
      <c r="J145" s="712">
        <v>0</v>
      </c>
      <c r="K145" s="712">
        <v>0</v>
      </c>
      <c r="L145" s="712">
        <v>0</v>
      </c>
      <c r="M145" s="712">
        <v>0</v>
      </c>
      <c r="N145" s="712">
        <v>0</v>
      </c>
    </row>
    <row r="146" spans="2:14" s="175" customFormat="1" x14ac:dyDescent="0.2">
      <c r="B146" s="887"/>
      <c r="C146" s="839"/>
      <c r="D146" s="839"/>
      <c r="E146" s="713" t="s">
        <v>1557</v>
      </c>
      <c r="F146" s="712">
        <v>105000000</v>
      </c>
      <c r="G146" s="712">
        <v>105000000</v>
      </c>
      <c r="H146" s="712">
        <v>0</v>
      </c>
      <c r="I146" s="712">
        <v>0</v>
      </c>
      <c r="J146" s="712">
        <v>0</v>
      </c>
      <c r="K146" s="712">
        <v>0</v>
      </c>
      <c r="L146" s="712">
        <v>0</v>
      </c>
      <c r="M146" s="712">
        <v>0</v>
      </c>
      <c r="N146" s="712">
        <v>0</v>
      </c>
    </row>
    <row r="147" spans="2:14" s="175" customFormat="1" x14ac:dyDescent="0.2">
      <c r="B147" s="887"/>
      <c r="C147" s="839"/>
      <c r="D147" s="839"/>
      <c r="E147" s="713" t="s">
        <v>3212</v>
      </c>
      <c r="F147" s="712">
        <v>81079</v>
      </c>
      <c r="G147" s="712">
        <v>0</v>
      </c>
      <c r="H147" s="712">
        <v>81079</v>
      </c>
      <c r="I147" s="712">
        <v>0</v>
      </c>
      <c r="J147" s="712">
        <v>81079</v>
      </c>
      <c r="K147" s="712">
        <v>0</v>
      </c>
      <c r="L147" s="712">
        <v>0</v>
      </c>
      <c r="M147" s="712">
        <v>0</v>
      </c>
      <c r="N147" s="712">
        <v>81079</v>
      </c>
    </row>
    <row r="148" spans="2:14" s="175" customFormat="1" x14ac:dyDescent="0.2">
      <c r="B148" s="887"/>
      <c r="C148" s="839"/>
      <c r="D148" s="839"/>
      <c r="E148" s="713" t="s">
        <v>2676</v>
      </c>
      <c r="F148" s="712">
        <v>1456000</v>
      </c>
      <c r="G148" s="712">
        <v>1456000</v>
      </c>
      <c r="H148" s="712">
        <v>0</v>
      </c>
      <c r="I148" s="712">
        <v>0</v>
      </c>
      <c r="J148" s="712">
        <v>0</v>
      </c>
      <c r="K148" s="712">
        <v>0</v>
      </c>
      <c r="L148" s="712">
        <v>0</v>
      </c>
      <c r="M148" s="712">
        <v>0</v>
      </c>
      <c r="N148" s="712">
        <v>0</v>
      </c>
    </row>
    <row r="149" spans="2:14" s="175" customFormat="1" x14ac:dyDescent="0.2">
      <c r="B149" s="887"/>
      <c r="C149" s="838" t="s">
        <v>2289</v>
      </c>
      <c r="D149" s="838" t="s">
        <v>3131</v>
      </c>
      <c r="E149" s="713" t="s">
        <v>26</v>
      </c>
      <c r="F149" s="712">
        <v>185613000</v>
      </c>
      <c r="G149" s="712">
        <v>185613000</v>
      </c>
      <c r="H149" s="712">
        <v>0</v>
      </c>
      <c r="I149" s="712">
        <v>0</v>
      </c>
      <c r="J149" s="712">
        <v>0</v>
      </c>
      <c r="K149" s="712">
        <v>0</v>
      </c>
      <c r="L149" s="712">
        <v>0</v>
      </c>
      <c r="M149" s="712">
        <v>0</v>
      </c>
      <c r="N149" s="712">
        <v>0</v>
      </c>
    </row>
    <row r="150" spans="2:14" s="175" customFormat="1" x14ac:dyDescent="0.2">
      <c r="B150" s="887"/>
      <c r="C150" s="839"/>
      <c r="D150" s="839"/>
      <c r="E150" s="713" t="s">
        <v>1557</v>
      </c>
      <c r="F150" s="712">
        <v>210000000</v>
      </c>
      <c r="G150" s="712">
        <v>210000000</v>
      </c>
      <c r="H150" s="712">
        <v>0</v>
      </c>
      <c r="I150" s="712">
        <v>0</v>
      </c>
      <c r="J150" s="712">
        <v>0</v>
      </c>
      <c r="K150" s="712">
        <v>0</v>
      </c>
      <c r="L150" s="712">
        <v>0</v>
      </c>
      <c r="M150" s="712">
        <v>0</v>
      </c>
      <c r="N150" s="712">
        <v>0</v>
      </c>
    </row>
    <row r="151" spans="2:14" s="175" customFormat="1" x14ac:dyDescent="0.2">
      <c r="B151" s="887"/>
      <c r="C151" s="839"/>
      <c r="D151" s="839"/>
      <c r="E151" s="713" t="s">
        <v>3212</v>
      </c>
      <c r="F151" s="712">
        <v>2033515</v>
      </c>
      <c r="G151" s="712">
        <v>2033515</v>
      </c>
      <c r="H151" s="712">
        <v>0</v>
      </c>
      <c r="I151" s="712">
        <v>0</v>
      </c>
      <c r="J151" s="712">
        <v>0</v>
      </c>
      <c r="K151" s="712">
        <v>0</v>
      </c>
      <c r="L151" s="712">
        <v>0</v>
      </c>
      <c r="M151" s="712">
        <v>0</v>
      </c>
      <c r="N151" s="712">
        <v>0</v>
      </c>
    </row>
    <row r="152" spans="2:14" s="175" customFormat="1" x14ac:dyDescent="0.2">
      <c r="B152" s="887"/>
      <c r="C152" s="839"/>
      <c r="D152" s="839"/>
      <c r="E152" s="713" t="s">
        <v>1221</v>
      </c>
      <c r="F152" s="712">
        <v>8466015</v>
      </c>
      <c r="G152" s="712">
        <v>8466015</v>
      </c>
      <c r="H152" s="712">
        <v>0</v>
      </c>
      <c r="I152" s="712">
        <v>0</v>
      </c>
      <c r="J152" s="712">
        <v>0</v>
      </c>
      <c r="K152" s="712">
        <v>0</v>
      </c>
      <c r="L152" s="712">
        <v>0</v>
      </c>
      <c r="M152" s="712">
        <v>0</v>
      </c>
      <c r="N152" s="712">
        <v>0</v>
      </c>
    </row>
    <row r="153" spans="2:14" s="175" customFormat="1" x14ac:dyDescent="0.2">
      <c r="B153" s="887"/>
      <c r="C153" s="838" t="s">
        <v>1795</v>
      </c>
      <c r="D153" s="838" t="s">
        <v>873</v>
      </c>
      <c r="E153" s="713" t="s">
        <v>26</v>
      </c>
      <c r="F153" s="712">
        <v>128987542</v>
      </c>
      <c r="G153" s="712">
        <v>128987542</v>
      </c>
      <c r="H153" s="712">
        <v>0</v>
      </c>
      <c r="I153" s="712">
        <v>0</v>
      </c>
      <c r="J153" s="712">
        <v>0</v>
      </c>
      <c r="K153" s="712">
        <v>0</v>
      </c>
      <c r="L153" s="712">
        <v>0</v>
      </c>
      <c r="M153" s="712">
        <v>0</v>
      </c>
      <c r="N153" s="712">
        <v>0</v>
      </c>
    </row>
    <row r="154" spans="2:14" s="175" customFormat="1" x14ac:dyDescent="0.2">
      <c r="B154" s="887"/>
      <c r="C154" s="839"/>
      <c r="D154" s="839"/>
      <c r="E154" s="713" t="s">
        <v>1557</v>
      </c>
      <c r="F154" s="712">
        <v>220000000</v>
      </c>
      <c r="G154" s="712">
        <v>220000000</v>
      </c>
      <c r="H154" s="712">
        <v>0</v>
      </c>
      <c r="I154" s="712">
        <v>0</v>
      </c>
      <c r="J154" s="712">
        <v>0</v>
      </c>
      <c r="K154" s="712">
        <v>0</v>
      </c>
      <c r="L154" s="712">
        <v>0</v>
      </c>
      <c r="M154" s="712">
        <v>0</v>
      </c>
      <c r="N154" s="712">
        <v>0</v>
      </c>
    </row>
    <row r="155" spans="2:14" s="175" customFormat="1" x14ac:dyDescent="0.2">
      <c r="B155" s="887"/>
      <c r="C155" s="839"/>
      <c r="D155" s="839"/>
      <c r="E155" s="713" t="s">
        <v>3212</v>
      </c>
      <c r="F155" s="712">
        <v>103334</v>
      </c>
      <c r="G155" s="712">
        <v>103334</v>
      </c>
      <c r="H155" s="712">
        <v>0</v>
      </c>
      <c r="I155" s="712">
        <v>0</v>
      </c>
      <c r="J155" s="712">
        <v>0</v>
      </c>
      <c r="K155" s="712">
        <v>0</v>
      </c>
      <c r="L155" s="712">
        <v>0</v>
      </c>
      <c r="M155" s="712">
        <v>0</v>
      </c>
      <c r="N155" s="712">
        <v>0</v>
      </c>
    </row>
    <row r="156" spans="2:14" s="175" customFormat="1" x14ac:dyDescent="0.2">
      <c r="B156" s="887"/>
      <c r="C156" s="839"/>
      <c r="D156" s="839"/>
      <c r="E156" s="713" t="s">
        <v>195</v>
      </c>
      <c r="F156" s="712">
        <v>948361</v>
      </c>
      <c r="G156" s="712">
        <v>948361</v>
      </c>
      <c r="H156" s="712">
        <v>0</v>
      </c>
      <c r="I156" s="712">
        <v>0</v>
      </c>
      <c r="J156" s="712">
        <v>0</v>
      </c>
      <c r="K156" s="712">
        <v>0</v>
      </c>
      <c r="L156" s="712">
        <v>0</v>
      </c>
      <c r="M156" s="712">
        <v>0</v>
      </c>
      <c r="N156" s="712">
        <v>0</v>
      </c>
    </row>
    <row r="157" spans="2:14" s="175" customFormat="1" x14ac:dyDescent="0.2">
      <c r="B157" s="887"/>
      <c r="C157" s="839"/>
      <c r="D157" s="839"/>
      <c r="E157" s="713" t="s">
        <v>2676</v>
      </c>
      <c r="F157" s="712">
        <v>1026666</v>
      </c>
      <c r="G157" s="712">
        <v>1026666</v>
      </c>
      <c r="H157" s="712">
        <v>0</v>
      </c>
      <c r="I157" s="712">
        <v>0</v>
      </c>
      <c r="J157" s="712">
        <v>0</v>
      </c>
      <c r="K157" s="712">
        <v>0</v>
      </c>
      <c r="L157" s="712">
        <v>0</v>
      </c>
      <c r="M157" s="712">
        <v>0</v>
      </c>
      <c r="N157" s="712">
        <v>0</v>
      </c>
    </row>
    <row r="158" spans="2:14" s="175" customFormat="1" x14ac:dyDescent="0.2">
      <c r="B158" s="887"/>
      <c r="C158" s="838" t="s">
        <v>1796</v>
      </c>
      <c r="D158" s="838" t="s">
        <v>872</v>
      </c>
      <c r="E158" s="713" t="s">
        <v>26</v>
      </c>
      <c r="F158" s="712">
        <v>267324400</v>
      </c>
      <c r="G158" s="712">
        <v>267324400</v>
      </c>
      <c r="H158" s="712">
        <v>0</v>
      </c>
      <c r="I158" s="712">
        <v>0</v>
      </c>
      <c r="J158" s="712">
        <v>0</v>
      </c>
      <c r="K158" s="712">
        <v>0</v>
      </c>
      <c r="L158" s="712">
        <v>0</v>
      </c>
      <c r="M158" s="712">
        <v>0</v>
      </c>
      <c r="N158" s="712">
        <v>0</v>
      </c>
    </row>
    <row r="159" spans="2:14" s="175" customFormat="1" x14ac:dyDescent="0.2">
      <c r="B159" s="887"/>
      <c r="C159" s="839"/>
      <c r="D159" s="839"/>
      <c r="E159" s="713" t="s">
        <v>3212</v>
      </c>
      <c r="F159" s="712">
        <v>53062</v>
      </c>
      <c r="G159" s="712">
        <v>53062</v>
      </c>
      <c r="H159" s="712">
        <v>0</v>
      </c>
      <c r="I159" s="712">
        <v>0</v>
      </c>
      <c r="J159" s="712">
        <v>0</v>
      </c>
      <c r="K159" s="712">
        <v>0</v>
      </c>
      <c r="L159" s="712">
        <v>0</v>
      </c>
      <c r="M159" s="712">
        <v>0</v>
      </c>
      <c r="N159" s="712">
        <v>0</v>
      </c>
    </row>
    <row r="160" spans="2:14" s="175" customFormat="1" x14ac:dyDescent="0.2">
      <c r="B160" s="887"/>
      <c r="C160" s="839"/>
      <c r="D160" s="839"/>
      <c r="E160" s="713" t="s">
        <v>195</v>
      </c>
      <c r="F160" s="712">
        <v>393055</v>
      </c>
      <c r="G160" s="712">
        <v>393055</v>
      </c>
      <c r="H160" s="712">
        <v>0</v>
      </c>
      <c r="I160" s="712">
        <v>0</v>
      </c>
      <c r="J160" s="712">
        <v>0</v>
      </c>
      <c r="K160" s="712">
        <v>0</v>
      </c>
      <c r="L160" s="712">
        <v>0</v>
      </c>
      <c r="M160" s="712">
        <v>0</v>
      </c>
      <c r="N160" s="712">
        <v>0</v>
      </c>
    </row>
    <row r="161" spans="2:14" s="175" customFormat="1" x14ac:dyDescent="0.2">
      <c r="B161" s="887"/>
      <c r="C161" s="839"/>
      <c r="D161" s="839"/>
      <c r="E161" s="713" t="s">
        <v>1221</v>
      </c>
      <c r="F161" s="712">
        <v>1512675</v>
      </c>
      <c r="G161" s="712">
        <v>1512675</v>
      </c>
      <c r="H161" s="712">
        <v>0</v>
      </c>
      <c r="I161" s="712">
        <v>0</v>
      </c>
      <c r="J161" s="712">
        <v>0</v>
      </c>
      <c r="K161" s="712">
        <v>0</v>
      </c>
      <c r="L161" s="712">
        <v>0</v>
      </c>
      <c r="M161" s="712">
        <v>0</v>
      </c>
      <c r="N161" s="712">
        <v>0</v>
      </c>
    </row>
    <row r="162" spans="2:14" s="175" customFormat="1" x14ac:dyDescent="0.2">
      <c r="B162" s="887"/>
      <c r="C162" s="838" t="s">
        <v>1797</v>
      </c>
      <c r="D162" s="838" t="s">
        <v>1637</v>
      </c>
      <c r="E162" s="713" t="s">
        <v>26</v>
      </c>
      <c r="F162" s="712">
        <v>317500385</v>
      </c>
      <c r="G162" s="712">
        <v>317500385</v>
      </c>
      <c r="H162" s="712">
        <v>0</v>
      </c>
      <c r="I162" s="712">
        <v>0</v>
      </c>
      <c r="J162" s="712">
        <v>0</v>
      </c>
      <c r="K162" s="712">
        <v>0</v>
      </c>
      <c r="L162" s="712">
        <v>0</v>
      </c>
      <c r="M162" s="712">
        <v>0</v>
      </c>
      <c r="N162" s="712">
        <v>0</v>
      </c>
    </row>
    <row r="163" spans="2:14" s="175" customFormat="1" x14ac:dyDescent="0.2">
      <c r="B163" s="887"/>
      <c r="C163" s="839"/>
      <c r="D163" s="839"/>
      <c r="E163" s="713" t="s">
        <v>3212</v>
      </c>
      <c r="F163" s="712">
        <v>88396</v>
      </c>
      <c r="G163" s="712">
        <v>0</v>
      </c>
      <c r="H163" s="712">
        <v>88396</v>
      </c>
      <c r="I163" s="712">
        <v>0</v>
      </c>
      <c r="J163" s="712">
        <v>88396</v>
      </c>
      <c r="K163" s="712">
        <v>0</v>
      </c>
      <c r="L163" s="712">
        <v>0</v>
      </c>
      <c r="M163" s="712">
        <v>0</v>
      </c>
      <c r="N163" s="712">
        <v>88396</v>
      </c>
    </row>
    <row r="164" spans="2:14" s="175" customFormat="1" x14ac:dyDescent="0.2">
      <c r="B164" s="887"/>
      <c r="C164" s="839"/>
      <c r="D164" s="839"/>
      <c r="E164" s="713" t="s">
        <v>195</v>
      </c>
      <c r="F164" s="712">
        <v>395529</v>
      </c>
      <c r="G164" s="712">
        <v>395529</v>
      </c>
      <c r="H164" s="712">
        <v>0</v>
      </c>
      <c r="I164" s="712">
        <v>0</v>
      </c>
      <c r="J164" s="712">
        <v>0</v>
      </c>
      <c r="K164" s="712">
        <v>0</v>
      </c>
      <c r="L164" s="712">
        <v>0</v>
      </c>
      <c r="M164" s="712">
        <v>0</v>
      </c>
      <c r="N164" s="712">
        <v>0</v>
      </c>
    </row>
    <row r="165" spans="2:14" s="175" customFormat="1" x14ac:dyDescent="0.2">
      <c r="B165" s="887"/>
      <c r="C165" s="838" t="s">
        <v>1798</v>
      </c>
      <c r="D165" s="838" t="s">
        <v>2604</v>
      </c>
      <c r="E165" s="713" t="s">
        <v>26</v>
      </c>
      <c r="F165" s="712">
        <v>96212119</v>
      </c>
      <c r="G165" s="712">
        <v>96212119</v>
      </c>
      <c r="H165" s="712">
        <v>0</v>
      </c>
      <c r="I165" s="712">
        <v>0</v>
      </c>
      <c r="J165" s="712">
        <v>0</v>
      </c>
      <c r="K165" s="712">
        <v>0</v>
      </c>
      <c r="L165" s="712">
        <v>0</v>
      </c>
      <c r="M165" s="712">
        <v>0</v>
      </c>
      <c r="N165" s="712">
        <v>0</v>
      </c>
    </row>
    <row r="166" spans="2:14" s="175" customFormat="1" x14ac:dyDescent="0.2">
      <c r="B166" s="887"/>
      <c r="C166" s="839"/>
      <c r="D166" s="839"/>
      <c r="E166" s="713" t="s">
        <v>1557</v>
      </c>
      <c r="F166" s="712">
        <v>222850549</v>
      </c>
      <c r="G166" s="712">
        <v>222850549</v>
      </c>
      <c r="H166" s="712">
        <v>0</v>
      </c>
      <c r="I166" s="712">
        <v>0</v>
      </c>
      <c r="J166" s="712">
        <v>0</v>
      </c>
      <c r="K166" s="712">
        <v>0</v>
      </c>
      <c r="L166" s="712">
        <v>0</v>
      </c>
      <c r="M166" s="712">
        <v>0</v>
      </c>
      <c r="N166" s="712">
        <v>0</v>
      </c>
    </row>
    <row r="167" spans="2:14" s="175" customFormat="1" x14ac:dyDescent="0.2">
      <c r="B167" s="887"/>
      <c r="C167" s="839"/>
      <c r="D167" s="839"/>
      <c r="E167" s="713" t="s">
        <v>822</v>
      </c>
      <c r="F167" s="712">
        <v>455621</v>
      </c>
      <c r="G167" s="712">
        <v>455621</v>
      </c>
      <c r="H167" s="712">
        <v>0</v>
      </c>
      <c r="I167" s="712">
        <v>0</v>
      </c>
      <c r="J167" s="712">
        <v>0</v>
      </c>
      <c r="K167" s="712">
        <v>0</v>
      </c>
      <c r="L167" s="712">
        <v>0</v>
      </c>
      <c r="M167" s="712">
        <v>0</v>
      </c>
      <c r="N167" s="712">
        <v>0</v>
      </c>
    </row>
    <row r="168" spans="2:14" s="175" customFormat="1" x14ac:dyDescent="0.2">
      <c r="B168" s="887"/>
      <c r="C168" s="839"/>
      <c r="D168" s="839"/>
      <c r="E168" s="713" t="s">
        <v>3212</v>
      </c>
      <c r="F168" s="712">
        <v>87187</v>
      </c>
      <c r="G168" s="712">
        <v>0</v>
      </c>
      <c r="H168" s="712">
        <v>87187</v>
      </c>
      <c r="I168" s="712">
        <v>0</v>
      </c>
      <c r="J168" s="712">
        <v>87187</v>
      </c>
      <c r="K168" s="712">
        <v>0</v>
      </c>
      <c r="L168" s="712">
        <v>0</v>
      </c>
      <c r="M168" s="712">
        <v>0</v>
      </c>
      <c r="N168" s="712">
        <v>87187</v>
      </c>
    </row>
    <row r="169" spans="2:14" s="175" customFormat="1" x14ac:dyDescent="0.2">
      <c r="B169" s="887"/>
      <c r="C169" s="839"/>
      <c r="D169" s="839"/>
      <c r="E169" s="713" t="s">
        <v>195</v>
      </c>
      <c r="F169" s="712">
        <v>363869</v>
      </c>
      <c r="G169" s="712">
        <v>363869</v>
      </c>
      <c r="H169" s="712">
        <v>0</v>
      </c>
      <c r="I169" s="712">
        <v>0</v>
      </c>
      <c r="J169" s="712">
        <v>0</v>
      </c>
      <c r="K169" s="712">
        <v>0</v>
      </c>
      <c r="L169" s="712">
        <v>0</v>
      </c>
      <c r="M169" s="712">
        <v>0</v>
      </c>
      <c r="N169" s="712">
        <v>0</v>
      </c>
    </row>
    <row r="170" spans="2:14" s="175" customFormat="1" x14ac:dyDescent="0.2">
      <c r="B170" s="887"/>
      <c r="C170" s="838" t="s">
        <v>1799</v>
      </c>
      <c r="D170" s="838" t="s">
        <v>1700</v>
      </c>
      <c r="E170" s="713" t="s">
        <v>26</v>
      </c>
      <c r="F170" s="712">
        <v>204896000</v>
      </c>
      <c r="G170" s="712">
        <v>204896000</v>
      </c>
      <c r="H170" s="712">
        <v>0</v>
      </c>
      <c r="I170" s="712">
        <v>0</v>
      </c>
      <c r="J170" s="712">
        <v>0</v>
      </c>
      <c r="K170" s="712">
        <v>0</v>
      </c>
      <c r="L170" s="712">
        <v>0</v>
      </c>
      <c r="M170" s="712">
        <v>0</v>
      </c>
      <c r="N170" s="712">
        <v>0</v>
      </c>
    </row>
    <row r="171" spans="2:14" s="175" customFormat="1" x14ac:dyDescent="0.2">
      <c r="B171" s="887"/>
      <c r="C171" s="839"/>
      <c r="D171" s="839"/>
      <c r="E171" s="713" t="s">
        <v>1557</v>
      </c>
      <c r="F171" s="712">
        <v>75000000</v>
      </c>
      <c r="G171" s="712">
        <v>75000000</v>
      </c>
      <c r="H171" s="712">
        <v>0</v>
      </c>
      <c r="I171" s="712">
        <v>0</v>
      </c>
      <c r="J171" s="712">
        <v>0</v>
      </c>
      <c r="K171" s="712">
        <v>0</v>
      </c>
      <c r="L171" s="712">
        <v>0</v>
      </c>
      <c r="M171" s="712">
        <v>0</v>
      </c>
      <c r="N171" s="712">
        <v>0</v>
      </c>
    </row>
    <row r="172" spans="2:14" s="175" customFormat="1" x14ac:dyDescent="0.2">
      <c r="B172" s="887"/>
      <c r="C172" s="838" t="s">
        <v>3330</v>
      </c>
      <c r="D172" s="838" t="s">
        <v>3331</v>
      </c>
      <c r="E172" s="713" t="s">
        <v>26</v>
      </c>
      <c r="F172" s="712">
        <v>127601354</v>
      </c>
      <c r="G172" s="712">
        <v>111651520</v>
      </c>
      <c r="H172" s="712">
        <v>15949834</v>
      </c>
      <c r="I172" s="712">
        <v>15949834</v>
      </c>
      <c r="J172" s="712">
        <v>0</v>
      </c>
      <c r="K172" s="712">
        <v>0</v>
      </c>
      <c r="L172" s="712">
        <v>0</v>
      </c>
      <c r="M172" s="712">
        <v>0</v>
      </c>
      <c r="N172" s="712">
        <v>0</v>
      </c>
    </row>
    <row r="173" spans="2:14" s="175" customFormat="1" x14ac:dyDescent="0.2">
      <c r="B173" s="887"/>
      <c r="C173" s="839"/>
      <c r="D173" s="839"/>
      <c r="E173" s="713" t="s">
        <v>1557</v>
      </c>
      <c r="F173" s="712">
        <v>302244140</v>
      </c>
      <c r="G173" s="712">
        <v>302244140</v>
      </c>
      <c r="H173" s="712">
        <v>0</v>
      </c>
      <c r="I173" s="712">
        <v>0</v>
      </c>
      <c r="J173" s="712">
        <v>0</v>
      </c>
      <c r="K173" s="712">
        <v>0</v>
      </c>
      <c r="L173" s="712">
        <v>0</v>
      </c>
      <c r="M173" s="712">
        <v>0</v>
      </c>
      <c r="N173" s="712">
        <v>0</v>
      </c>
    </row>
    <row r="174" spans="2:14" s="175" customFormat="1" x14ac:dyDescent="0.2">
      <c r="B174" s="887"/>
      <c r="C174" s="839"/>
      <c r="D174" s="839"/>
      <c r="E174" s="713" t="s">
        <v>822</v>
      </c>
      <c r="F174" s="712">
        <v>616577</v>
      </c>
      <c r="G174" s="712">
        <v>616577</v>
      </c>
      <c r="H174" s="712">
        <v>0</v>
      </c>
      <c r="I174" s="712">
        <v>0</v>
      </c>
      <c r="J174" s="712">
        <v>0</v>
      </c>
      <c r="K174" s="712">
        <v>0</v>
      </c>
      <c r="L174" s="712">
        <v>0</v>
      </c>
      <c r="M174" s="712">
        <v>0</v>
      </c>
      <c r="N174" s="712">
        <v>0</v>
      </c>
    </row>
    <row r="175" spans="2:14" s="175" customFormat="1" x14ac:dyDescent="0.2">
      <c r="B175" s="887"/>
      <c r="C175" s="839"/>
      <c r="D175" s="839"/>
      <c r="E175" s="713" t="s">
        <v>3212</v>
      </c>
      <c r="F175" s="712">
        <v>1335027</v>
      </c>
      <c r="G175" s="712">
        <v>1335027</v>
      </c>
      <c r="H175" s="712">
        <v>0</v>
      </c>
      <c r="I175" s="712">
        <v>0</v>
      </c>
      <c r="J175" s="712">
        <v>0</v>
      </c>
      <c r="K175" s="712">
        <v>0</v>
      </c>
      <c r="L175" s="712">
        <v>0</v>
      </c>
      <c r="M175" s="712">
        <v>0</v>
      </c>
      <c r="N175" s="712">
        <v>0</v>
      </c>
    </row>
    <row r="176" spans="2:14" s="175" customFormat="1" x14ac:dyDescent="0.2">
      <c r="B176" s="887"/>
      <c r="C176" s="839"/>
      <c r="D176" s="839"/>
      <c r="E176" s="713" t="s">
        <v>195</v>
      </c>
      <c r="F176" s="712">
        <v>1491310</v>
      </c>
      <c r="G176" s="712">
        <v>925976</v>
      </c>
      <c r="H176" s="712">
        <v>565334</v>
      </c>
      <c r="I176" s="712">
        <v>565334</v>
      </c>
      <c r="J176" s="712">
        <v>0</v>
      </c>
      <c r="K176" s="712">
        <v>0</v>
      </c>
      <c r="L176" s="712">
        <v>0</v>
      </c>
      <c r="M176" s="712">
        <v>0</v>
      </c>
      <c r="N176" s="712">
        <v>0</v>
      </c>
    </row>
    <row r="177" spans="1:14" s="175" customFormat="1" x14ac:dyDescent="0.2">
      <c r="B177" s="887"/>
      <c r="C177" s="839"/>
      <c r="D177" s="839"/>
      <c r="E177" s="713" t="s">
        <v>1221</v>
      </c>
      <c r="F177" s="712">
        <v>1931850</v>
      </c>
      <c r="G177" s="712">
        <v>1931850</v>
      </c>
      <c r="H177" s="712">
        <v>0</v>
      </c>
      <c r="I177" s="712">
        <v>0</v>
      </c>
      <c r="J177" s="712">
        <v>0</v>
      </c>
      <c r="K177" s="712">
        <v>0</v>
      </c>
      <c r="L177" s="712">
        <v>0</v>
      </c>
      <c r="M177" s="712">
        <v>0</v>
      </c>
      <c r="N177" s="712">
        <v>0</v>
      </c>
    </row>
    <row r="178" spans="1:14" s="175" customFormat="1" x14ac:dyDescent="0.2">
      <c r="B178" s="887"/>
      <c r="C178" s="838" t="s">
        <v>3426</v>
      </c>
      <c r="D178" s="838" t="s">
        <v>3425</v>
      </c>
      <c r="E178" s="713" t="s">
        <v>26</v>
      </c>
      <c r="F178" s="712">
        <v>426820000</v>
      </c>
      <c r="G178" s="712">
        <v>426820000</v>
      </c>
      <c r="H178" s="712">
        <v>0</v>
      </c>
      <c r="I178" s="712">
        <v>0</v>
      </c>
      <c r="J178" s="712">
        <v>0</v>
      </c>
      <c r="K178" s="712">
        <v>0</v>
      </c>
      <c r="L178" s="712">
        <v>0</v>
      </c>
      <c r="M178" s="712">
        <v>0</v>
      </c>
      <c r="N178" s="712">
        <v>0</v>
      </c>
    </row>
    <row r="179" spans="1:14" s="175" customFormat="1" x14ac:dyDescent="0.2">
      <c r="B179" s="887"/>
      <c r="C179" s="839"/>
      <c r="D179" s="839"/>
      <c r="E179" s="713" t="s">
        <v>3212</v>
      </c>
      <c r="F179" s="712">
        <v>1292417</v>
      </c>
      <c r="G179" s="712">
        <v>0</v>
      </c>
      <c r="H179" s="712">
        <v>1292417</v>
      </c>
      <c r="I179" s="712">
        <v>0</v>
      </c>
      <c r="J179" s="712">
        <v>1292417</v>
      </c>
      <c r="K179" s="712">
        <v>0</v>
      </c>
      <c r="L179" s="712">
        <v>0</v>
      </c>
      <c r="M179" s="712">
        <v>0</v>
      </c>
      <c r="N179" s="712">
        <v>1292417</v>
      </c>
    </row>
    <row r="180" spans="1:14" s="175" customFormat="1" x14ac:dyDescent="0.2">
      <c r="B180" s="887"/>
      <c r="C180" s="838" t="s">
        <v>1800</v>
      </c>
      <c r="D180" s="838" t="s">
        <v>874</v>
      </c>
      <c r="E180" s="713" t="s">
        <v>26</v>
      </c>
      <c r="F180" s="712">
        <v>270479247</v>
      </c>
      <c r="G180" s="712">
        <v>270479247</v>
      </c>
      <c r="H180" s="712">
        <v>0</v>
      </c>
      <c r="I180" s="712">
        <v>0</v>
      </c>
      <c r="J180" s="712">
        <v>0</v>
      </c>
      <c r="K180" s="712">
        <v>0</v>
      </c>
      <c r="L180" s="712">
        <v>0</v>
      </c>
      <c r="M180" s="712">
        <v>0</v>
      </c>
      <c r="N180" s="712">
        <v>0</v>
      </c>
    </row>
    <row r="181" spans="1:14" s="175" customFormat="1" x14ac:dyDescent="0.2">
      <c r="B181" s="887"/>
      <c r="C181" s="839"/>
      <c r="D181" s="839"/>
      <c r="E181" s="713" t="s">
        <v>3212</v>
      </c>
      <c r="F181" s="712">
        <v>81280</v>
      </c>
      <c r="G181" s="712">
        <v>0</v>
      </c>
      <c r="H181" s="712">
        <v>81280</v>
      </c>
      <c r="I181" s="712">
        <v>0</v>
      </c>
      <c r="J181" s="712">
        <v>81280</v>
      </c>
      <c r="K181" s="712">
        <v>0</v>
      </c>
      <c r="L181" s="712">
        <v>0</v>
      </c>
      <c r="M181" s="712">
        <v>0</v>
      </c>
      <c r="N181" s="712">
        <v>81280</v>
      </c>
    </row>
    <row r="182" spans="1:14" s="175" customFormat="1" x14ac:dyDescent="0.2">
      <c r="B182" s="887"/>
      <c r="C182" s="839"/>
      <c r="D182" s="839"/>
      <c r="E182" s="713" t="s">
        <v>195</v>
      </c>
      <c r="F182" s="712">
        <v>1571579</v>
      </c>
      <c r="G182" s="712">
        <v>1571579</v>
      </c>
      <c r="H182" s="712">
        <v>0</v>
      </c>
      <c r="I182" s="712">
        <v>0</v>
      </c>
      <c r="J182" s="712">
        <v>0</v>
      </c>
      <c r="K182" s="712">
        <v>0</v>
      </c>
      <c r="L182" s="712">
        <v>0</v>
      </c>
      <c r="M182" s="712">
        <v>0</v>
      </c>
      <c r="N182" s="712">
        <v>0</v>
      </c>
    </row>
    <row r="183" spans="1:14" s="175" customFormat="1" x14ac:dyDescent="0.2">
      <c r="B183" s="887"/>
      <c r="C183" s="838" t="s">
        <v>1801</v>
      </c>
      <c r="D183" s="838" t="s">
        <v>1701</v>
      </c>
      <c r="E183" s="713" t="s">
        <v>26</v>
      </c>
      <c r="F183" s="712">
        <v>93234162</v>
      </c>
      <c r="G183" s="712">
        <v>93234162</v>
      </c>
      <c r="H183" s="712">
        <v>0</v>
      </c>
      <c r="I183" s="712">
        <v>0</v>
      </c>
      <c r="J183" s="712">
        <v>0</v>
      </c>
      <c r="K183" s="712">
        <v>0</v>
      </c>
      <c r="L183" s="712">
        <v>0</v>
      </c>
      <c r="M183" s="712">
        <v>0</v>
      </c>
      <c r="N183" s="712">
        <v>0</v>
      </c>
    </row>
    <row r="184" spans="1:14" s="175" customFormat="1" x14ac:dyDescent="0.2">
      <c r="B184" s="887"/>
      <c r="C184" s="839"/>
      <c r="D184" s="839"/>
      <c r="E184" s="713" t="s">
        <v>1557</v>
      </c>
      <c r="F184" s="712">
        <v>217546378</v>
      </c>
      <c r="G184" s="712">
        <v>217546378</v>
      </c>
      <c r="H184" s="712">
        <v>0</v>
      </c>
      <c r="I184" s="712">
        <v>0</v>
      </c>
      <c r="J184" s="712">
        <v>0</v>
      </c>
      <c r="K184" s="712">
        <v>0</v>
      </c>
      <c r="L184" s="712">
        <v>0</v>
      </c>
      <c r="M184" s="712">
        <v>0</v>
      </c>
      <c r="N184" s="712">
        <v>0</v>
      </c>
    </row>
    <row r="185" spans="1:14" s="175" customFormat="1" x14ac:dyDescent="0.2">
      <c r="B185" s="887"/>
      <c r="C185" s="839"/>
      <c r="D185" s="839"/>
      <c r="E185" s="713" t="s">
        <v>1221</v>
      </c>
      <c r="F185" s="712">
        <v>1931850</v>
      </c>
      <c r="G185" s="712">
        <v>1931850</v>
      </c>
      <c r="H185" s="712">
        <v>0</v>
      </c>
      <c r="I185" s="712">
        <v>0</v>
      </c>
      <c r="J185" s="712">
        <v>0</v>
      </c>
      <c r="K185" s="712">
        <v>0</v>
      </c>
      <c r="L185" s="712">
        <v>0</v>
      </c>
      <c r="M185" s="712">
        <v>0</v>
      </c>
      <c r="N185" s="712">
        <v>0</v>
      </c>
    </row>
    <row r="186" spans="1:14" s="175" customFormat="1" x14ac:dyDescent="0.2">
      <c r="A186" s="452"/>
      <c r="B186" s="887"/>
      <c r="C186" s="838" t="s">
        <v>1802</v>
      </c>
      <c r="D186" s="838" t="s">
        <v>2290</v>
      </c>
      <c r="E186" s="713" t="s">
        <v>26</v>
      </c>
      <c r="F186" s="712">
        <v>96760652</v>
      </c>
      <c r="G186" s="712">
        <v>96760652</v>
      </c>
      <c r="H186" s="712">
        <v>0</v>
      </c>
      <c r="I186" s="712">
        <v>0</v>
      </c>
      <c r="J186" s="712">
        <v>0</v>
      </c>
      <c r="K186" s="712">
        <v>0</v>
      </c>
      <c r="L186" s="712">
        <v>0</v>
      </c>
      <c r="M186" s="712">
        <v>0</v>
      </c>
      <c r="N186" s="712">
        <v>0</v>
      </c>
    </row>
    <row r="187" spans="1:14" s="175" customFormat="1" x14ac:dyDescent="0.2">
      <c r="A187" s="453"/>
      <c r="B187" s="887"/>
      <c r="C187" s="839"/>
      <c r="D187" s="839"/>
      <c r="E187" s="713" t="s">
        <v>1557</v>
      </c>
      <c r="F187" s="712">
        <v>226906295</v>
      </c>
      <c r="G187" s="712">
        <v>226906295</v>
      </c>
      <c r="H187" s="712">
        <v>0</v>
      </c>
      <c r="I187" s="712">
        <v>0</v>
      </c>
      <c r="J187" s="712">
        <v>0</v>
      </c>
      <c r="K187" s="712">
        <v>0</v>
      </c>
      <c r="L187" s="712">
        <v>0</v>
      </c>
      <c r="M187" s="712">
        <v>0</v>
      </c>
      <c r="N187" s="712">
        <v>0</v>
      </c>
    </row>
    <row r="188" spans="1:14" s="175" customFormat="1" x14ac:dyDescent="0.2">
      <c r="A188" s="453"/>
      <c r="B188" s="887"/>
      <c r="C188" s="839"/>
      <c r="D188" s="839"/>
      <c r="E188" s="713" t="s">
        <v>195</v>
      </c>
      <c r="F188" s="712">
        <v>528861</v>
      </c>
      <c r="G188" s="712">
        <v>528861</v>
      </c>
      <c r="H188" s="712">
        <v>0</v>
      </c>
      <c r="I188" s="712">
        <v>0</v>
      </c>
      <c r="J188" s="712">
        <v>0</v>
      </c>
      <c r="K188" s="712">
        <v>0</v>
      </c>
      <c r="L188" s="712">
        <v>0</v>
      </c>
      <c r="M188" s="712">
        <v>0</v>
      </c>
      <c r="N188" s="712">
        <v>0</v>
      </c>
    </row>
    <row r="189" spans="1:14" s="175" customFormat="1" x14ac:dyDescent="0.2">
      <c r="A189" s="453"/>
      <c r="B189" s="887"/>
      <c r="C189" s="839"/>
      <c r="D189" s="839"/>
      <c r="E189" s="713" t="s">
        <v>2676</v>
      </c>
      <c r="F189" s="712">
        <v>1210167</v>
      </c>
      <c r="G189" s="712">
        <v>0</v>
      </c>
      <c r="H189" s="712">
        <v>1210167</v>
      </c>
      <c r="I189" s="712">
        <v>0</v>
      </c>
      <c r="J189" s="712">
        <v>1210167</v>
      </c>
      <c r="K189" s="712">
        <v>0</v>
      </c>
      <c r="L189" s="712">
        <v>0</v>
      </c>
      <c r="M189" s="712">
        <v>0</v>
      </c>
      <c r="N189" s="712">
        <v>1210167</v>
      </c>
    </row>
    <row r="190" spans="1:14" s="175" customFormat="1" x14ac:dyDescent="0.2">
      <c r="A190" s="453"/>
      <c r="B190" s="887"/>
      <c r="C190" s="839"/>
      <c r="D190" s="839"/>
      <c r="E190" s="713" t="s">
        <v>1221</v>
      </c>
      <c r="F190" s="712">
        <v>1931860</v>
      </c>
      <c r="G190" s="712">
        <v>1931860</v>
      </c>
      <c r="H190" s="712">
        <v>0</v>
      </c>
      <c r="I190" s="712">
        <v>0</v>
      </c>
      <c r="J190" s="712">
        <v>0</v>
      </c>
      <c r="K190" s="712">
        <v>0</v>
      </c>
      <c r="L190" s="712">
        <v>0</v>
      </c>
      <c r="M190" s="712">
        <v>0</v>
      </c>
      <c r="N190" s="712">
        <v>0</v>
      </c>
    </row>
    <row r="191" spans="1:14" s="175" customFormat="1" x14ac:dyDescent="0.2">
      <c r="A191" s="453"/>
      <c r="B191" s="887"/>
      <c r="C191" s="838" t="s">
        <v>1803</v>
      </c>
      <c r="D191" s="838" t="s">
        <v>1572</v>
      </c>
      <c r="E191" s="713" t="s">
        <v>26</v>
      </c>
      <c r="F191" s="712">
        <v>82724000</v>
      </c>
      <c r="G191" s="712">
        <v>82724000</v>
      </c>
      <c r="H191" s="712">
        <v>0</v>
      </c>
      <c r="I191" s="712">
        <v>0</v>
      </c>
      <c r="J191" s="712">
        <v>0</v>
      </c>
      <c r="K191" s="712">
        <v>0</v>
      </c>
      <c r="L191" s="712">
        <v>0</v>
      </c>
      <c r="M191" s="712">
        <v>0</v>
      </c>
      <c r="N191" s="712">
        <v>0</v>
      </c>
    </row>
    <row r="192" spans="1:14" s="175" customFormat="1" x14ac:dyDescent="0.2">
      <c r="A192" s="453"/>
      <c r="B192" s="887"/>
      <c r="C192" s="839"/>
      <c r="D192" s="839"/>
      <c r="E192" s="713" t="s">
        <v>1557</v>
      </c>
      <c r="F192" s="712">
        <v>192000000</v>
      </c>
      <c r="G192" s="712">
        <v>192000000</v>
      </c>
      <c r="H192" s="712">
        <v>0</v>
      </c>
      <c r="I192" s="712">
        <v>0</v>
      </c>
      <c r="J192" s="712">
        <v>0</v>
      </c>
      <c r="K192" s="712">
        <v>0</v>
      </c>
      <c r="L192" s="712">
        <v>0</v>
      </c>
      <c r="M192" s="712">
        <v>0</v>
      </c>
      <c r="N192" s="712">
        <v>0</v>
      </c>
    </row>
    <row r="193" spans="1:14" s="175" customFormat="1" x14ac:dyDescent="0.2">
      <c r="A193" s="453"/>
      <c r="B193" s="887"/>
      <c r="C193" s="839"/>
      <c r="D193" s="839"/>
      <c r="E193" s="713" t="s">
        <v>3212</v>
      </c>
      <c r="F193" s="712">
        <v>61800</v>
      </c>
      <c r="G193" s="712">
        <v>0</v>
      </c>
      <c r="H193" s="712">
        <v>61800</v>
      </c>
      <c r="I193" s="712">
        <v>0</v>
      </c>
      <c r="J193" s="712">
        <v>61800</v>
      </c>
      <c r="K193" s="712">
        <v>0</v>
      </c>
      <c r="L193" s="712">
        <v>0</v>
      </c>
      <c r="M193" s="712">
        <v>0</v>
      </c>
      <c r="N193" s="712">
        <v>61800</v>
      </c>
    </row>
    <row r="194" spans="1:14" s="175" customFormat="1" x14ac:dyDescent="0.2">
      <c r="A194" s="453"/>
      <c r="B194" s="887"/>
      <c r="C194" s="839"/>
      <c r="D194" s="839"/>
      <c r="E194" s="713" t="s">
        <v>2676</v>
      </c>
      <c r="F194" s="712">
        <v>870400</v>
      </c>
      <c r="G194" s="712">
        <v>0</v>
      </c>
      <c r="H194" s="712">
        <v>870400</v>
      </c>
      <c r="I194" s="712">
        <v>0</v>
      </c>
      <c r="J194" s="712">
        <v>870400</v>
      </c>
      <c r="K194" s="712">
        <v>0</v>
      </c>
      <c r="L194" s="712">
        <v>0</v>
      </c>
      <c r="M194" s="712">
        <v>0</v>
      </c>
      <c r="N194" s="712">
        <v>870400</v>
      </c>
    </row>
    <row r="195" spans="1:14" s="175" customFormat="1" x14ac:dyDescent="0.2">
      <c r="A195" s="453"/>
      <c r="B195" s="887"/>
      <c r="C195" s="838" t="s">
        <v>1804</v>
      </c>
      <c r="D195" s="838" t="s">
        <v>1610</v>
      </c>
      <c r="E195" s="713" t="s">
        <v>26</v>
      </c>
      <c r="F195" s="712">
        <v>209640981</v>
      </c>
      <c r="G195" s="712">
        <v>209640981</v>
      </c>
      <c r="H195" s="712">
        <v>0</v>
      </c>
      <c r="I195" s="712">
        <v>0</v>
      </c>
      <c r="J195" s="712">
        <v>0</v>
      </c>
      <c r="K195" s="712">
        <v>0</v>
      </c>
      <c r="L195" s="712">
        <v>0</v>
      </c>
      <c r="M195" s="712">
        <v>0</v>
      </c>
      <c r="N195" s="712">
        <v>0</v>
      </c>
    </row>
    <row r="196" spans="1:14" s="175" customFormat="1" x14ac:dyDescent="0.2">
      <c r="A196" s="453"/>
      <c r="B196" s="887"/>
      <c r="C196" s="839"/>
      <c r="D196" s="839"/>
      <c r="E196" s="713" t="s">
        <v>1557</v>
      </c>
      <c r="F196" s="712">
        <v>174679317</v>
      </c>
      <c r="G196" s="712">
        <v>174679317</v>
      </c>
      <c r="H196" s="712">
        <v>0</v>
      </c>
      <c r="I196" s="712">
        <v>0</v>
      </c>
      <c r="J196" s="712">
        <v>0</v>
      </c>
      <c r="K196" s="712">
        <v>0</v>
      </c>
      <c r="L196" s="712">
        <v>0</v>
      </c>
      <c r="M196" s="712">
        <v>0</v>
      </c>
      <c r="N196" s="712">
        <v>0</v>
      </c>
    </row>
    <row r="197" spans="1:14" s="175" customFormat="1" x14ac:dyDescent="0.2">
      <c r="A197" s="453"/>
      <c r="B197" s="887"/>
      <c r="C197" s="839"/>
      <c r="D197" s="839"/>
      <c r="E197" s="713" t="s">
        <v>3212</v>
      </c>
      <c r="F197" s="712">
        <v>162860</v>
      </c>
      <c r="G197" s="712">
        <v>162860</v>
      </c>
      <c r="H197" s="712">
        <v>0</v>
      </c>
      <c r="I197" s="712">
        <v>0</v>
      </c>
      <c r="J197" s="712">
        <v>0</v>
      </c>
      <c r="K197" s="712">
        <v>0</v>
      </c>
      <c r="L197" s="712">
        <v>0</v>
      </c>
      <c r="M197" s="712">
        <v>0</v>
      </c>
      <c r="N197" s="712">
        <v>0</v>
      </c>
    </row>
    <row r="198" spans="1:14" s="175" customFormat="1" x14ac:dyDescent="0.2">
      <c r="A198" s="453"/>
      <c r="B198" s="887"/>
      <c r="C198" s="838" t="s">
        <v>1805</v>
      </c>
      <c r="D198" s="838" t="s">
        <v>3485</v>
      </c>
      <c r="E198" s="713" t="s">
        <v>26</v>
      </c>
      <c r="F198" s="712">
        <v>101970072</v>
      </c>
      <c r="G198" s="712">
        <v>101970072</v>
      </c>
      <c r="H198" s="712">
        <v>0</v>
      </c>
      <c r="I198" s="712">
        <v>0</v>
      </c>
      <c r="J198" s="712">
        <v>0</v>
      </c>
      <c r="K198" s="712">
        <v>0</v>
      </c>
      <c r="L198" s="712">
        <v>0</v>
      </c>
      <c r="M198" s="712">
        <v>0</v>
      </c>
      <c r="N198" s="712">
        <v>0</v>
      </c>
    </row>
    <row r="199" spans="1:14" s="175" customFormat="1" x14ac:dyDescent="0.2">
      <c r="A199" s="453"/>
      <c r="B199" s="887"/>
      <c r="C199" s="839"/>
      <c r="D199" s="839"/>
      <c r="E199" s="713" t="s">
        <v>1557</v>
      </c>
      <c r="F199" s="712">
        <v>237929928</v>
      </c>
      <c r="G199" s="712">
        <v>0</v>
      </c>
      <c r="H199" s="712">
        <v>237929928</v>
      </c>
      <c r="I199" s="712">
        <v>0</v>
      </c>
      <c r="J199" s="712">
        <v>237929928</v>
      </c>
      <c r="K199" s="712">
        <v>0</v>
      </c>
      <c r="L199" s="712">
        <v>0</v>
      </c>
      <c r="M199" s="712">
        <v>0</v>
      </c>
      <c r="N199" s="712">
        <v>237929928</v>
      </c>
    </row>
    <row r="200" spans="1:14" s="175" customFormat="1" x14ac:dyDescent="0.2">
      <c r="A200" s="453"/>
      <c r="B200" s="887"/>
      <c r="C200" s="839"/>
      <c r="D200" s="839"/>
      <c r="E200" s="713" t="s">
        <v>3212</v>
      </c>
      <c r="F200" s="712">
        <v>925180</v>
      </c>
      <c r="G200" s="712">
        <v>0</v>
      </c>
      <c r="H200" s="712">
        <v>925180</v>
      </c>
      <c r="I200" s="712">
        <v>0</v>
      </c>
      <c r="J200" s="712">
        <v>925180</v>
      </c>
      <c r="K200" s="712">
        <v>0</v>
      </c>
      <c r="L200" s="712">
        <v>925180</v>
      </c>
      <c r="M200" s="712">
        <v>0</v>
      </c>
      <c r="N200" s="712">
        <v>0</v>
      </c>
    </row>
    <row r="201" spans="1:14" s="175" customFormat="1" x14ac:dyDescent="0.2">
      <c r="A201" s="453"/>
      <c r="B201" s="887"/>
      <c r="C201" s="838" t="s">
        <v>1806</v>
      </c>
      <c r="D201" s="838" t="s">
        <v>2575</v>
      </c>
      <c r="E201" s="713" t="s">
        <v>26</v>
      </c>
      <c r="F201" s="712">
        <v>82470000</v>
      </c>
      <c r="G201" s="712">
        <v>82470000</v>
      </c>
      <c r="H201" s="712">
        <v>0</v>
      </c>
      <c r="I201" s="712">
        <v>0</v>
      </c>
      <c r="J201" s="712">
        <v>0</v>
      </c>
      <c r="K201" s="712">
        <v>0</v>
      </c>
      <c r="L201" s="712">
        <v>0</v>
      </c>
      <c r="M201" s="712">
        <v>0</v>
      </c>
      <c r="N201" s="712">
        <v>0</v>
      </c>
    </row>
    <row r="202" spans="1:14" s="175" customFormat="1" x14ac:dyDescent="0.2">
      <c r="A202" s="453"/>
      <c r="B202" s="887"/>
      <c r="C202" s="839"/>
      <c r="D202" s="839"/>
      <c r="E202" s="713" t="s">
        <v>1557</v>
      </c>
      <c r="F202" s="712">
        <v>192430000</v>
      </c>
      <c r="G202" s="712">
        <v>192430000</v>
      </c>
      <c r="H202" s="712">
        <v>0</v>
      </c>
      <c r="I202" s="712">
        <v>0</v>
      </c>
      <c r="J202" s="712">
        <v>0</v>
      </c>
      <c r="K202" s="712">
        <v>0</v>
      </c>
      <c r="L202" s="712">
        <v>0</v>
      </c>
      <c r="M202" s="712">
        <v>0</v>
      </c>
      <c r="N202" s="712">
        <v>0</v>
      </c>
    </row>
    <row r="203" spans="1:14" s="175" customFormat="1" x14ac:dyDescent="0.2">
      <c r="A203" s="453"/>
      <c r="B203" s="887"/>
      <c r="C203" s="839"/>
      <c r="D203" s="839"/>
      <c r="E203" s="713" t="s">
        <v>3212</v>
      </c>
      <c r="F203" s="712">
        <v>89747</v>
      </c>
      <c r="G203" s="712">
        <v>0</v>
      </c>
      <c r="H203" s="712">
        <v>89747</v>
      </c>
      <c r="I203" s="712">
        <v>0</v>
      </c>
      <c r="J203" s="712">
        <v>89747</v>
      </c>
      <c r="K203" s="712">
        <v>0</v>
      </c>
      <c r="L203" s="712">
        <v>0</v>
      </c>
      <c r="M203" s="712">
        <v>0</v>
      </c>
      <c r="N203" s="712">
        <v>89747</v>
      </c>
    </row>
    <row r="204" spans="1:14" s="175" customFormat="1" x14ac:dyDescent="0.2">
      <c r="A204" s="453"/>
      <c r="B204" s="887"/>
      <c r="C204" s="839"/>
      <c r="D204" s="839"/>
      <c r="E204" s="713" t="s">
        <v>1221</v>
      </c>
      <c r="F204" s="712">
        <v>1512675</v>
      </c>
      <c r="G204" s="712">
        <v>1512675</v>
      </c>
      <c r="H204" s="712">
        <v>0</v>
      </c>
      <c r="I204" s="712">
        <v>0</v>
      </c>
      <c r="J204" s="712">
        <v>0</v>
      </c>
      <c r="K204" s="712">
        <v>0</v>
      </c>
      <c r="L204" s="712">
        <v>0</v>
      </c>
      <c r="M204" s="712">
        <v>0</v>
      </c>
      <c r="N204" s="712">
        <v>0</v>
      </c>
    </row>
    <row r="205" spans="1:14" s="175" customFormat="1" x14ac:dyDescent="0.2">
      <c r="A205" s="453"/>
      <c r="B205" s="887"/>
      <c r="C205" s="838" t="s">
        <v>1807</v>
      </c>
      <c r="D205" s="838" t="s">
        <v>1222</v>
      </c>
      <c r="E205" s="713" t="s">
        <v>26</v>
      </c>
      <c r="F205" s="712">
        <v>263219927</v>
      </c>
      <c r="G205" s="712">
        <v>263219927</v>
      </c>
      <c r="H205" s="712">
        <v>0</v>
      </c>
      <c r="I205" s="712">
        <v>0</v>
      </c>
      <c r="J205" s="712">
        <v>0</v>
      </c>
      <c r="K205" s="712">
        <v>0</v>
      </c>
      <c r="L205" s="712">
        <v>0</v>
      </c>
      <c r="M205" s="712">
        <v>0</v>
      </c>
      <c r="N205" s="712">
        <v>0</v>
      </c>
    </row>
    <row r="206" spans="1:14" s="175" customFormat="1" x14ac:dyDescent="0.2">
      <c r="A206" s="453"/>
      <c r="B206" s="887"/>
      <c r="C206" s="839"/>
      <c r="D206" s="839"/>
      <c r="E206" s="713" t="s">
        <v>3212</v>
      </c>
      <c r="F206" s="712">
        <v>139421</v>
      </c>
      <c r="G206" s="712">
        <v>139421</v>
      </c>
      <c r="H206" s="712">
        <v>0</v>
      </c>
      <c r="I206" s="712">
        <v>0</v>
      </c>
      <c r="J206" s="712">
        <v>0</v>
      </c>
      <c r="K206" s="712">
        <v>0</v>
      </c>
      <c r="L206" s="712">
        <v>0</v>
      </c>
      <c r="M206" s="712">
        <v>0</v>
      </c>
      <c r="N206" s="712">
        <v>0</v>
      </c>
    </row>
    <row r="207" spans="1:14" s="175" customFormat="1" x14ac:dyDescent="0.2">
      <c r="A207" s="453"/>
      <c r="B207" s="887"/>
      <c r="C207" s="839"/>
      <c r="D207" s="839"/>
      <c r="E207" s="713" t="s">
        <v>195</v>
      </c>
      <c r="F207" s="712">
        <v>189207</v>
      </c>
      <c r="G207" s="712">
        <v>189207</v>
      </c>
      <c r="H207" s="712">
        <v>0</v>
      </c>
      <c r="I207" s="712">
        <v>0</v>
      </c>
      <c r="J207" s="712">
        <v>0</v>
      </c>
      <c r="K207" s="712">
        <v>0</v>
      </c>
      <c r="L207" s="712">
        <v>0</v>
      </c>
      <c r="M207" s="712">
        <v>0</v>
      </c>
      <c r="N207" s="712">
        <v>0</v>
      </c>
    </row>
    <row r="208" spans="1:14" s="175" customFormat="1" x14ac:dyDescent="0.2">
      <c r="A208" s="453"/>
      <c r="B208" s="887"/>
      <c r="C208" s="838" t="s">
        <v>1808</v>
      </c>
      <c r="D208" s="838" t="s">
        <v>875</v>
      </c>
      <c r="E208" s="713" t="s">
        <v>26</v>
      </c>
      <c r="F208" s="712">
        <v>96865280</v>
      </c>
      <c r="G208" s="712">
        <v>96865280</v>
      </c>
      <c r="H208" s="712">
        <v>0</v>
      </c>
      <c r="I208" s="712">
        <v>0</v>
      </c>
      <c r="J208" s="712">
        <v>0</v>
      </c>
      <c r="K208" s="712">
        <v>0</v>
      </c>
      <c r="L208" s="712">
        <v>0</v>
      </c>
      <c r="M208" s="712">
        <v>0</v>
      </c>
      <c r="N208" s="712">
        <v>0</v>
      </c>
    </row>
    <row r="209" spans="1:14" s="175" customFormat="1" x14ac:dyDescent="0.2">
      <c r="A209" s="453"/>
      <c r="B209" s="887"/>
      <c r="C209" s="839"/>
      <c r="D209" s="839"/>
      <c r="E209" s="713" t="s">
        <v>1557</v>
      </c>
      <c r="F209" s="712">
        <v>225654720</v>
      </c>
      <c r="G209" s="712">
        <v>225654720</v>
      </c>
      <c r="H209" s="712">
        <v>0</v>
      </c>
      <c r="I209" s="712">
        <v>0</v>
      </c>
      <c r="J209" s="712">
        <v>0</v>
      </c>
      <c r="K209" s="712">
        <v>0</v>
      </c>
      <c r="L209" s="712">
        <v>0</v>
      </c>
      <c r="M209" s="712">
        <v>0</v>
      </c>
      <c r="N209" s="712">
        <v>0</v>
      </c>
    </row>
    <row r="210" spans="1:14" s="175" customFormat="1" x14ac:dyDescent="0.2">
      <c r="A210" s="453"/>
      <c r="B210" s="887"/>
      <c r="C210" s="839"/>
      <c r="D210" s="839"/>
      <c r="E210" s="713" t="s">
        <v>822</v>
      </c>
      <c r="F210" s="712">
        <v>460558</v>
      </c>
      <c r="G210" s="712">
        <v>460558</v>
      </c>
      <c r="H210" s="712">
        <v>0</v>
      </c>
      <c r="I210" s="712">
        <v>0</v>
      </c>
      <c r="J210" s="712">
        <v>0</v>
      </c>
      <c r="K210" s="712">
        <v>0</v>
      </c>
      <c r="L210" s="712">
        <v>0</v>
      </c>
      <c r="M210" s="712">
        <v>0</v>
      </c>
      <c r="N210" s="712">
        <v>0</v>
      </c>
    </row>
    <row r="211" spans="1:14" s="175" customFormat="1" x14ac:dyDescent="0.2">
      <c r="A211" s="453"/>
      <c r="B211" s="887"/>
      <c r="C211" s="839"/>
      <c r="D211" s="839"/>
      <c r="E211" s="713" t="s">
        <v>3212</v>
      </c>
      <c r="F211" s="712">
        <v>82650</v>
      </c>
      <c r="G211" s="712">
        <v>0</v>
      </c>
      <c r="H211" s="712">
        <v>82650</v>
      </c>
      <c r="I211" s="712">
        <v>0</v>
      </c>
      <c r="J211" s="712">
        <v>82650</v>
      </c>
      <c r="K211" s="712">
        <v>0</v>
      </c>
      <c r="L211" s="712">
        <v>0</v>
      </c>
      <c r="M211" s="712">
        <v>0</v>
      </c>
      <c r="N211" s="712">
        <v>82650</v>
      </c>
    </row>
    <row r="212" spans="1:14" s="175" customFormat="1" x14ac:dyDescent="0.2">
      <c r="A212" s="453"/>
      <c r="B212" s="887"/>
      <c r="C212" s="838" t="s">
        <v>1809</v>
      </c>
      <c r="D212" s="838" t="s">
        <v>4226</v>
      </c>
      <c r="E212" s="713" t="s">
        <v>26</v>
      </c>
      <c r="F212" s="712">
        <v>81960000</v>
      </c>
      <c r="G212" s="712">
        <v>81960000</v>
      </c>
      <c r="H212" s="712">
        <v>0</v>
      </c>
      <c r="I212" s="712">
        <v>0</v>
      </c>
      <c r="J212" s="712">
        <v>0</v>
      </c>
      <c r="K212" s="712">
        <v>0</v>
      </c>
      <c r="L212" s="712">
        <v>0</v>
      </c>
      <c r="M212" s="712">
        <v>0</v>
      </c>
      <c r="N212" s="712">
        <v>0</v>
      </c>
    </row>
    <row r="213" spans="1:14" s="175" customFormat="1" x14ac:dyDescent="0.2">
      <c r="A213" s="453"/>
      <c r="B213" s="887"/>
      <c r="C213" s="839"/>
      <c r="D213" s="839"/>
      <c r="E213" s="713" t="s">
        <v>1557</v>
      </c>
      <c r="F213" s="712">
        <v>191240000</v>
      </c>
      <c r="G213" s="712">
        <v>191240000</v>
      </c>
      <c r="H213" s="712">
        <v>0</v>
      </c>
      <c r="I213" s="712">
        <v>0</v>
      </c>
      <c r="J213" s="712">
        <v>0</v>
      </c>
      <c r="K213" s="712">
        <v>0</v>
      </c>
      <c r="L213" s="712">
        <v>0</v>
      </c>
      <c r="M213" s="712">
        <v>0</v>
      </c>
      <c r="N213" s="712">
        <v>0</v>
      </c>
    </row>
    <row r="214" spans="1:14" s="175" customFormat="1" x14ac:dyDescent="0.2">
      <c r="A214" s="453"/>
      <c r="B214" s="887"/>
      <c r="C214" s="839"/>
      <c r="D214" s="839"/>
      <c r="E214" s="713" t="s">
        <v>3212</v>
      </c>
      <c r="F214" s="712">
        <v>105000</v>
      </c>
      <c r="G214" s="712">
        <v>105000</v>
      </c>
      <c r="H214" s="712">
        <v>0</v>
      </c>
      <c r="I214" s="712">
        <v>0</v>
      </c>
      <c r="J214" s="712">
        <v>0</v>
      </c>
      <c r="K214" s="712">
        <v>0</v>
      </c>
      <c r="L214" s="712">
        <v>0</v>
      </c>
      <c r="M214" s="712">
        <v>0</v>
      </c>
      <c r="N214" s="712">
        <v>0</v>
      </c>
    </row>
    <row r="215" spans="1:14" s="175" customFormat="1" x14ac:dyDescent="0.2">
      <c r="A215" s="453"/>
      <c r="B215" s="887"/>
      <c r="C215" s="839"/>
      <c r="D215" s="839"/>
      <c r="E215" s="713" t="s">
        <v>2676</v>
      </c>
      <c r="F215" s="712">
        <v>101995</v>
      </c>
      <c r="G215" s="712">
        <v>101995</v>
      </c>
      <c r="H215" s="712">
        <v>0</v>
      </c>
      <c r="I215" s="712">
        <v>0</v>
      </c>
      <c r="J215" s="712">
        <v>0</v>
      </c>
      <c r="K215" s="712">
        <v>0</v>
      </c>
      <c r="L215" s="712">
        <v>0</v>
      </c>
      <c r="M215" s="712">
        <v>0</v>
      </c>
      <c r="N215" s="712">
        <v>0</v>
      </c>
    </row>
    <row r="216" spans="1:14" s="175" customFormat="1" x14ac:dyDescent="0.2">
      <c r="A216" s="453"/>
      <c r="B216" s="887"/>
      <c r="C216" s="838" t="s">
        <v>1810</v>
      </c>
      <c r="D216" s="838" t="s">
        <v>4275</v>
      </c>
      <c r="E216" s="713" t="s">
        <v>26</v>
      </c>
      <c r="F216" s="712">
        <v>93689768</v>
      </c>
      <c r="G216" s="712">
        <v>93689768</v>
      </c>
      <c r="H216" s="712">
        <v>0</v>
      </c>
      <c r="I216" s="712">
        <v>0</v>
      </c>
      <c r="J216" s="712">
        <v>0</v>
      </c>
      <c r="K216" s="712">
        <v>0</v>
      </c>
      <c r="L216" s="712">
        <v>0</v>
      </c>
      <c r="M216" s="712">
        <v>0</v>
      </c>
      <c r="N216" s="712">
        <v>0</v>
      </c>
    </row>
    <row r="217" spans="1:14" s="175" customFormat="1" x14ac:dyDescent="0.2">
      <c r="A217" s="453"/>
      <c r="B217" s="887"/>
      <c r="C217" s="839"/>
      <c r="D217" s="839"/>
      <c r="E217" s="713" t="s">
        <v>1557</v>
      </c>
      <c r="F217" s="712">
        <v>254012927</v>
      </c>
      <c r="G217" s="712">
        <v>254012927</v>
      </c>
      <c r="H217" s="712">
        <v>0</v>
      </c>
      <c r="I217" s="712">
        <v>0</v>
      </c>
      <c r="J217" s="712">
        <v>0</v>
      </c>
      <c r="K217" s="712">
        <v>0</v>
      </c>
      <c r="L217" s="712">
        <v>0</v>
      </c>
      <c r="M217" s="712">
        <v>0</v>
      </c>
      <c r="N217" s="712">
        <v>0</v>
      </c>
    </row>
    <row r="218" spans="1:14" s="175" customFormat="1" x14ac:dyDescent="0.2">
      <c r="A218" s="453"/>
      <c r="B218" s="887"/>
      <c r="C218" s="839"/>
      <c r="D218" s="839"/>
      <c r="E218" s="713" t="s">
        <v>822</v>
      </c>
      <c r="F218" s="712">
        <v>538317</v>
      </c>
      <c r="G218" s="712">
        <v>490000</v>
      </c>
      <c r="H218" s="712">
        <v>48317</v>
      </c>
      <c r="I218" s="712">
        <v>0</v>
      </c>
      <c r="J218" s="712">
        <v>48317</v>
      </c>
      <c r="K218" s="712">
        <v>0</v>
      </c>
      <c r="L218" s="712">
        <v>0</v>
      </c>
      <c r="M218" s="712">
        <v>0</v>
      </c>
      <c r="N218" s="712">
        <v>48317</v>
      </c>
    </row>
    <row r="219" spans="1:14" s="175" customFormat="1" x14ac:dyDescent="0.2">
      <c r="A219" s="453"/>
      <c r="B219" s="887"/>
      <c r="C219" s="839"/>
      <c r="D219" s="839"/>
      <c r="E219" s="713" t="s">
        <v>3212</v>
      </c>
      <c r="F219" s="712">
        <v>108144</v>
      </c>
      <c r="G219" s="712">
        <v>0</v>
      </c>
      <c r="H219" s="712">
        <v>108144</v>
      </c>
      <c r="I219" s="712">
        <v>0</v>
      </c>
      <c r="J219" s="712">
        <v>108144</v>
      </c>
      <c r="K219" s="712">
        <v>0</v>
      </c>
      <c r="L219" s="712">
        <v>0</v>
      </c>
      <c r="M219" s="712">
        <v>0</v>
      </c>
      <c r="N219" s="712">
        <v>108144</v>
      </c>
    </row>
    <row r="220" spans="1:14" s="175" customFormat="1" x14ac:dyDescent="0.2">
      <c r="A220" s="453"/>
      <c r="B220" s="887"/>
      <c r="C220" s="838" t="s">
        <v>1811</v>
      </c>
      <c r="D220" s="838" t="s">
        <v>1183</v>
      </c>
      <c r="E220" s="713" t="s">
        <v>26</v>
      </c>
      <c r="F220" s="712">
        <v>293657354</v>
      </c>
      <c r="G220" s="712">
        <v>293657354</v>
      </c>
      <c r="H220" s="712">
        <v>0</v>
      </c>
      <c r="I220" s="712">
        <v>0</v>
      </c>
      <c r="J220" s="712">
        <v>0</v>
      </c>
      <c r="K220" s="712">
        <v>0</v>
      </c>
      <c r="L220" s="712">
        <v>0</v>
      </c>
      <c r="M220" s="712">
        <v>0</v>
      </c>
      <c r="N220" s="712">
        <v>0</v>
      </c>
    </row>
    <row r="221" spans="1:14" s="175" customFormat="1" x14ac:dyDescent="0.2">
      <c r="A221" s="453"/>
      <c r="B221" s="887"/>
      <c r="C221" s="839"/>
      <c r="D221" s="839"/>
      <c r="E221" s="713" t="s">
        <v>3212</v>
      </c>
      <c r="F221" s="712">
        <v>171008</v>
      </c>
      <c r="G221" s="712">
        <v>0</v>
      </c>
      <c r="H221" s="712">
        <v>171008</v>
      </c>
      <c r="I221" s="712">
        <v>0</v>
      </c>
      <c r="J221" s="712">
        <v>171008</v>
      </c>
      <c r="K221" s="712">
        <v>0</v>
      </c>
      <c r="L221" s="712">
        <v>0</v>
      </c>
      <c r="M221" s="712">
        <v>0</v>
      </c>
      <c r="N221" s="712">
        <v>171008</v>
      </c>
    </row>
    <row r="222" spans="1:14" s="175" customFormat="1" x14ac:dyDescent="0.2">
      <c r="A222" s="453"/>
      <c r="B222" s="887"/>
      <c r="C222" s="839"/>
      <c r="D222" s="839"/>
      <c r="E222" s="713" t="s">
        <v>1221</v>
      </c>
      <c r="F222" s="712">
        <v>1931850</v>
      </c>
      <c r="G222" s="712">
        <v>1931850</v>
      </c>
      <c r="H222" s="712">
        <v>0</v>
      </c>
      <c r="I222" s="712">
        <v>0</v>
      </c>
      <c r="J222" s="712">
        <v>0</v>
      </c>
      <c r="K222" s="712">
        <v>0</v>
      </c>
      <c r="L222" s="712">
        <v>0</v>
      </c>
      <c r="M222" s="712">
        <v>0</v>
      </c>
      <c r="N222" s="712">
        <v>0</v>
      </c>
    </row>
    <row r="223" spans="1:14" s="175" customFormat="1" x14ac:dyDescent="0.2">
      <c r="A223" s="453"/>
      <c r="B223" s="887"/>
      <c r="C223" s="838" t="s">
        <v>2679</v>
      </c>
      <c r="D223" s="838" t="s">
        <v>2608</v>
      </c>
      <c r="E223" s="713" t="s">
        <v>900</v>
      </c>
      <c r="F223" s="712">
        <v>6000000</v>
      </c>
      <c r="G223" s="712">
        <v>6000000</v>
      </c>
      <c r="H223" s="712">
        <v>0</v>
      </c>
      <c r="I223" s="712">
        <v>0</v>
      </c>
      <c r="J223" s="712">
        <v>0</v>
      </c>
      <c r="K223" s="712">
        <v>0</v>
      </c>
      <c r="L223" s="712">
        <v>0</v>
      </c>
      <c r="M223" s="712">
        <v>0</v>
      </c>
      <c r="N223" s="712">
        <v>0</v>
      </c>
    </row>
    <row r="224" spans="1:14" s="175" customFormat="1" x14ac:dyDescent="0.2">
      <c r="A224" s="453"/>
      <c r="B224" s="887"/>
      <c r="C224" s="839"/>
      <c r="D224" s="839"/>
      <c r="E224" s="713" t="s">
        <v>26</v>
      </c>
      <c r="F224" s="712">
        <v>110693345</v>
      </c>
      <c r="G224" s="712">
        <v>110693345</v>
      </c>
      <c r="H224" s="712">
        <v>0</v>
      </c>
      <c r="I224" s="712">
        <v>0</v>
      </c>
      <c r="J224" s="712">
        <v>0</v>
      </c>
      <c r="K224" s="712">
        <v>0</v>
      </c>
      <c r="L224" s="712">
        <v>0</v>
      </c>
      <c r="M224" s="712">
        <v>0</v>
      </c>
      <c r="N224" s="712">
        <v>0</v>
      </c>
    </row>
    <row r="225" spans="1:14" s="175" customFormat="1" x14ac:dyDescent="0.2">
      <c r="A225" s="453"/>
      <c r="B225" s="887"/>
      <c r="C225" s="839"/>
      <c r="D225" s="839"/>
      <c r="E225" s="713" t="s">
        <v>1557</v>
      </c>
      <c r="F225" s="712">
        <v>131882871</v>
      </c>
      <c r="G225" s="712">
        <v>131882871</v>
      </c>
      <c r="H225" s="712">
        <v>0</v>
      </c>
      <c r="I225" s="712">
        <v>0</v>
      </c>
      <c r="J225" s="712">
        <v>0</v>
      </c>
      <c r="K225" s="712">
        <v>0</v>
      </c>
      <c r="L225" s="712">
        <v>0</v>
      </c>
      <c r="M225" s="712">
        <v>0</v>
      </c>
      <c r="N225" s="712">
        <v>0</v>
      </c>
    </row>
    <row r="226" spans="1:14" s="175" customFormat="1" x14ac:dyDescent="0.2">
      <c r="A226" s="453"/>
      <c r="B226" s="887"/>
      <c r="C226" s="839"/>
      <c r="D226" s="839"/>
      <c r="E226" s="713" t="s">
        <v>3212</v>
      </c>
      <c r="F226" s="712">
        <v>64543</v>
      </c>
      <c r="G226" s="712">
        <v>64543</v>
      </c>
      <c r="H226" s="712">
        <v>0</v>
      </c>
      <c r="I226" s="712">
        <v>0</v>
      </c>
      <c r="J226" s="712">
        <v>0</v>
      </c>
      <c r="K226" s="712">
        <v>0</v>
      </c>
      <c r="L226" s="712">
        <v>0</v>
      </c>
      <c r="M226" s="712">
        <v>0</v>
      </c>
      <c r="N226" s="712">
        <v>0</v>
      </c>
    </row>
    <row r="227" spans="1:14" s="175" customFormat="1" x14ac:dyDescent="0.2">
      <c r="A227" s="453"/>
      <c r="B227" s="887"/>
      <c r="C227" s="839"/>
      <c r="D227" s="839"/>
      <c r="E227" s="713" t="s">
        <v>1221</v>
      </c>
      <c r="F227" s="712">
        <v>1120500</v>
      </c>
      <c r="G227" s="712">
        <v>1120500</v>
      </c>
      <c r="H227" s="712">
        <v>0</v>
      </c>
      <c r="I227" s="712">
        <v>0</v>
      </c>
      <c r="J227" s="712">
        <v>0</v>
      </c>
      <c r="K227" s="712">
        <v>0</v>
      </c>
      <c r="L227" s="712">
        <v>0</v>
      </c>
      <c r="M227" s="712">
        <v>0</v>
      </c>
      <c r="N227" s="712">
        <v>0</v>
      </c>
    </row>
    <row r="228" spans="1:14" s="175" customFormat="1" x14ac:dyDescent="0.2">
      <c r="A228" s="453"/>
      <c r="B228" s="887"/>
      <c r="C228" s="838" t="s">
        <v>1812</v>
      </c>
      <c r="D228" s="838" t="s">
        <v>876</v>
      </c>
      <c r="E228" s="713" t="s">
        <v>26</v>
      </c>
      <c r="F228" s="712">
        <v>97732358</v>
      </c>
      <c r="G228" s="712">
        <v>97732358</v>
      </c>
      <c r="H228" s="712">
        <v>0</v>
      </c>
      <c r="I228" s="712">
        <v>0</v>
      </c>
      <c r="J228" s="712">
        <v>0</v>
      </c>
      <c r="K228" s="712">
        <v>0</v>
      </c>
      <c r="L228" s="712">
        <v>0</v>
      </c>
      <c r="M228" s="712">
        <v>0</v>
      </c>
      <c r="N228" s="712">
        <v>0</v>
      </c>
    </row>
    <row r="229" spans="1:14" s="175" customFormat="1" x14ac:dyDescent="0.2">
      <c r="A229" s="453"/>
      <c r="B229" s="887"/>
      <c r="C229" s="839"/>
      <c r="D229" s="839"/>
      <c r="E229" s="713" t="s">
        <v>1557</v>
      </c>
      <c r="F229" s="712">
        <v>227500000</v>
      </c>
      <c r="G229" s="712">
        <v>227500000</v>
      </c>
      <c r="H229" s="712">
        <v>0</v>
      </c>
      <c r="I229" s="712">
        <v>0</v>
      </c>
      <c r="J229" s="712">
        <v>0</v>
      </c>
      <c r="K229" s="712">
        <v>0</v>
      </c>
      <c r="L229" s="712">
        <v>0</v>
      </c>
      <c r="M229" s="712">
        <v>0</v>
      </c>
      <c r="N229" s="712">
        <v>0</v>
      </c>
    </row>
    <row r="230" spans="1:14" s="175" customFormat="1" x14ac:dyDescent="0.2">
      <c r="A230" s="453"/>
      <c r="B230" s="887"/>
      <c r="C230" s="839"/>
      <c r="D230" s="839"/>
      <c r="E230" s="713" t="s">
        <v>822</v>
      </c>
      <c r="F230" s="712">
        <v>464431</v>
      </c>
      <c r="G230" s="712">
        <v>0</v>
      </c>
      <c r="H230" s="712">
        <v>464431</v>
      </c>
      <c r="I230" s="712">
        <v>0</v>
      </c>
      <c r="J230" s="712">
        <v>464431</v>
      </c>
      <c r="K230" s="712">
        <v>0</v>
      </c>
      <c r="L230" s="712">
        <v>0</v>
      </c>
      <c r="M230" s="712">
        <v>0</v>
      </c>
      <c r="N230" s="712">
        <v>464431</v>
      </c>
    </row>
    <row r="231" spans="1:14" s="175" customFormat="1" x14ac:dyDescent="0.2">
      <c r="A231" s="453"/>
      <c r="B231" s="887"/>
      <c r="C231" s="839"/>
      <c r="D231" s="839"/>
      <c r="E231" s="713" t="s">
        <v>2676</v>
      </c>
      <c r="F231" s="712">
        <v>546000</v>
      </c>
      <c r="G231" s="712">
        <v>0</v>
      </c>
      <c r="H231" s="712">
        <v>546000</v>
      </c>
      <c r="I231" s="712">
        <v>0</v>
      </c>
      <c r="J231" s="712">
        <v>546000</v>
      </c>
      <c r="K231" s="712">
        <v>0</v>
      </c>
      <c r="L231" s="712">
        <v>0</v>
      </c>
      <c r="M231" s="712">
        <v>0</v>
      </c>
      <c r="N231" s="712">
        <v>546000</v>
      </c>
    </row>
    <row r="232" spans="1:14" s="175" customFormat="1" x14ac:dyDescent="0.2">
      <c r="A232" s="453"/>
      <c r="B232" s="887"/>
      <c r="C232" s="838" t="s">
        <v>1813</v>
      </c>
      <c r="D232" s="838" t="s">
        <v>1234</v>
      </c>
      <c r="E232" s="713" t="s">
        <v>26</v>
      </c>
      <c r="F232" s="712">
        <v>110985976</v>
      </c>
      <c r="G232" s="712">
        <v>110985976</v>
      </c>
      <c r="H232" s="712">
        <v>0</v>
      </c>
      <c r="I232" s="712">
        <v>0</v>
      </c>
      <c r="J232" s="712">
        <v>0</v>
      </c>
      <c r="K232" s="712">
        <v>0</v>
      </c>
      <c r="L232" s="712">
        <v>0</v>
      </c>
      <c r="M232" s="712">
        <v>0</v>
      </c>
      <c r="N232" s="712">
        <v>0</v>
      </c>
    </row>
    <row r="233" spans="1:14" s="175" customFormat="1" x14ac:dyDescent="0.2">
      <c r="A233" s="453"/>
      <c r="B233" s="887"/>
      <c r="C233" s="839"/>
      <c r="D233" s="839"/>
      <c r="E233" s="713" t="s">
        <v>1557</v>
      </c>
      <c r="F233" s="712">
        <v>254425500</v>
      </c>
      <c r="G233" s="712">
        <v>254425500</v>
      </c>
      <c r="H233" s="712">
        <v>0</v>
      </c>
      <c r="I233" s="712">
        <v>0</v>
      </c>
      <c r="J233" s="712">
        <v>0</v>
      </c>
      <c r="K233" s="712">
        <v>0</v>
      </c>
      <c r="L233" s="712">
        <v>0</v>
      </c>
      <c r="M233" s="712">
        <v>0</v>
      </c>
      <c r="N233" s="712">
        <v>0</v>
      </c>
    </row>
    <row r="234" spans="1:14" s="175" customFormat="1" x14ac:dyDescent="0.2">
      <c r="A234" s="453"/>
      <c r="B234" s="887"/>
      <c r="C234" s="839"/>
      <c r="D234" s="839"/>
      <c r="E234" s="713" t="s">
        <v>3212</v>
      </c>
      <c r="F234" s="712">
        <v>54548</v>
      </c>
      <c r="G234" s="712">
        <v>54548</v>
      </c>
      <c r="H234" s="712">
        <v>0</v>
      </c>
      <c r="I234" s="712">
        <v>0</v>
      </c>
      <c r="J234" s="712">
        <v>0</v>
      </c>
      <c r="K234" s="712">
        <v>0</v>
      </c>
      <c r="L234" s="712">
        <v>0</v>
      </c>
      <c r="M234" s="712">
        <v>0</v>
      </c>
      <c r="N234" s="712">
        <v>0</v>
      </c>
    </row>
    <row r="235" spans="1:14" s="175" customFormat="1" x14ac:dyDescent="0.2">
      <c r="A235" s="453"/>
      <c r="B235" s="887"/>
      <c r="C235" s="838" t="s">
        <v>1814</v>
      </c>
      <c r="D235" s="838" t="s">
        <v>877</v>
      </c>
      <c r="E235" s="713" t="s">
        <v>26</v>
      </c>
      <c r="F235" s="712">
        <v>113608279</v>
      </c>
      <c r="G235" s="712">
        <v>113608279</v>
      </c>
      <c r="H235" s="712">
        <v>0</v>
      </c>
      <c r="I235" s="712">
        <v>0</v>
      </c>
      <c r="J235" s="712">
        <v>0</v>
      </c>
      <c r="K235" s="712">
        <v>0</v>
      </c>
      <c r="L235" s="712">
        <v>0</v>
      </c>
      <c r="M235" s="712">
        <v>0</v>
      </c>
      <c r="N235" s="712">
        <v>0</v>
      </c>
    </row>
    <row r="236" spans="1:14" s="175" customFormat="1" x14ac:dyDescent="0.2">
      <c r="A236" s="453"/>
      <c r="B236" s="887"/>
      <c r="C236" s="839"/>
      <c r="D236" s="839"/>
      <c r="E236" s="713" t="s">
        <v>1557</v>
      </c>
      <c r="F236" s="712">
        <v>160000000</v>
      </c>
      <c r="G236" s="712">
        <v>160000000</v>
      </c>
      <c r="H236" s="712">
        <v>0</v>
      </c>
      <c r="I236" s="712">
        <v>0</v>
      </c>
      <c r="J236" s="712">
        <v>0</v>
      </c>
      <c r="K236" s="712">
        <v>0</v>
      </c>
      <c r="L236" s="712">
        <v>0</v>
      </c>
      <c r="M236" s="712">
        <v>0</v>
      </c>
      <c r="N236" s="712">
        <v>0</v>
      </c>
    </row>
    <row r="237" spans="1:14" s="175" customFormat="1" x14ac:dyDescent="0.2">
      <c r="A237" s="453"/>
      <c r="B237" s="887"/>
      <c r="C237" s="839"/>
      <c r="D237" s="839"/>
      <c r="E237" s="713" t="s">
        <v>3212</v>
      </c>
      <c r="F237" s="712">
        <v>103264</v>
      </c>
      <c r="G237" s="712">
        <v>0</v>
      </c>
      <c r="H237" s="712">
        <v>103264</v>
      </c>
      <c r="I237" s="712">
        <v>0</v>
      </c>
      <c r="J237" s="712">
        <v>103264</v>
      </c>
      <c r="K237" s="712">
        <v>0</v>
      </c>
      <c r="L237" s="712">
        <v>0</v>
      </c>
      <c r="M237" s="712">
        <v>0</v>
      </c>
      <c r="N237" s="712">
        <v>103264</v>
      </c>
    </row>
    <row r="238" spans="1:14" s="175" customFormat="1" x14ac:dyDescent="0.2">
      <c r="A238" s="453"/>
      <c r="B238" s="887"/>
      <c r="C238" s="839"/>
      <c r="D238" s="839"/>
      <c r="E238" s="713" t="s">
        <v>195</v>
      </c>
      <c r="F238" s="712">
        <v>1979980</v>
      </c>
      <c r="G238" s="712">
        <v>1979980</v>
      </c>
      <c r="H238" s="712">
        <v>0</v>
      </c>
      <c r="I238" s="712">
        <v>0</v>
      </c>
      <c r="J238" s="712">
        <v>0</v>
      </c>
      <c r="K238" s="712">
        <v>0</v>
      </c>
      <c r="L238" s="712">
        <v>0</v>
      </c>
      <c r="M238" s="712">
        <v>0</v>
      </c>
      <c r="N238" s="712">
        <v>0</v>
      </c>
    </row>
    <row r="239" spans="1:14" s="175" customFormat="1" x14ac:dyDescent="0.2">
      <c r="A239" s="453"/>
      <c r="B239" s="887"/>
      <c r="C239" s="839"/>
      <c r="D239" s="839"/>
      <c r="E239" s="713" t="s">
        <v>2676</v>
      </c>
      <c r="F239" s="712">
        <v>768000</v>
      </c>
      <c r="G239" s="712">
        <v>1</v>
      </c>
      <c r="H239" s="712">
        <v>767999</v>
      </c>
      <c r="I239" s="712">
        <v>0</v>
      </c>
      <c r="J239" s="712">
        <v>767999</v>
      </c>
      <c r="K239" s="712">
        <v>0</v>
      </c>
      <c r="L239" s="712">
        <v>0</v>
      </c>
      <c r="M239" s="712">
        <v>0</v>
      </c>
      <c r="N239" s="712">
        <v>767999</v>
      </c>
    </row>
    <row r="240" spans="1:14" s="175" customFormat="1" x14ac:dyDescent="0.2">
      <c r="A240" s="453"/>
      <c r="B240" s="887"/>
      <c r="C240" s="838" t="s">
        <v>1815</v>
      </c>
      <c r="D240" s="838" t="s">
        <v>919</v>
      </c>
      <c r="E240" s="713" t="s">
        <v>26</v>
      </c>
      <c r="F240" s="712">
        <v>164428995</v>
      </c>
      <c r="G240" s="712">
        <v>164428995</v>
      </c>
      <c r="H240" s="712">
        <v>0</v>
      </c>
      <c r="I240" s="712">
        <v>0</v>
      </c>
      <c r="J240" s="712">
        <v>0</v>
      </c>
      <c r="K240" s="712">
        <v>0</v>
      </c>
      <c r="L240" s="712">
        <v>0</v>
      </c>
      <c r="M240" s="712">
        <v>0</v>
      </c>
      <c r="N240" s="712">
        <v>0</v>
      </c>
    </row>
    <row r="241" spans="1:14" s="175" customFormat="1" x14ac:dyDescent="0.2">
      <c r="A241" s="453"/>
      <c r="B241" s="887"/>
      <c r="C241" s="839"/>
      <c r="D241" s="839"/>
      <c r="E241" s="713" t="s">
        <v>1557</v>
      </c>
      <c r="F241" s="712">
        <v>178247940</v>
      </c>
      <c r="G241" s="712">
        <v>178247940</v>
      </c>
      <c r="H241" s="712">
        <v>0</v>
      </c>
      <c r="I241" s="712">
        <v>0</v>
      </c>
      <c r="J241" s="712">
        <v>0</v>
      </c>
      <c r="K241" s="712">
        <v>0</v>
      </c>
      <c r="L241" s="712">
        <v>0</v>
      </c>
      <c r="M241" s="712">
        <v>0</v>
      </c>
      <c r="N241" s="712">
        <v>0</v>
      </c>
    </row>
    <row r="242" spans="1:14" s="175" customFormat="1" x14ac:dyDescent="0.2">
      <c r="A242" s="453"/>
      <c r="B242" s="887"/>
      <c r="C242" s="839"/>
      <c r="D242" s="839"/>
      <c r="E242" s="713" t="s">
        <v>3212</v>
      </c>
      <c r="F242" s="712">
        <v>124838</v>
      </c>
      <c r="G242" s="712">
        <v>124838</v>
      </c>
      <c r="H242" s="712">
        <v>0</v>
      </c>
      <c r="I242" s="712">
        <v>0</v>
      </c>
      <c r="J242" s="712">
        <v>0</v>
      </c>
      <c r="K242" s="712">
        <v>0</v>
      </c>
      <c r="L242" s="712">
        <v>0</v>
      </c>
      <c r="M242" s="712">
        <v>0</v>
      </c>
      <c r="N242" s="712">
        <v>0</v>
      </c>
    </row>
    <row r="243" spans="1:14" s="175" customFormat="1" x14ac:dyDescent="0.2">
      <c r="A243" s="453"/>
      <c r="B243" s="887"/>
      <c r="C243" s="839"/>
      <c r="D243" s="839"/>
      <c r="E243" s="713" t="s">
        <v>2676</v>
      </c>
      <c r="F243" s="712">
        <v>186162</v>
      </c>
      <c r="G243" s="712">
        <v>186162</v>
      </c>
      <c r="H243" s="712">
        <v>0</v>
      </c>
      <c r="I243" s="712">
        <v>0</v>
      </c>
      <c r="J243" s="712">
        <v>0</v>
      </c>
      <c r="K243" s="712">
        <v>0</v>
      </c>
      <c r="L243" s="712">
        <v>0</v>
      </c>
      <c r="M243" s="712">
        <v>0</v>
      </c>
      <c r="N243" s="712">
        <v>0</v>
      </c>
    </row>
    <row r="244" spans="1:14" s="175" customFormat="1" x14ac:dyDescent="0.2">
      <c r="A244" s="453"/>
      <c r="B244" s="887"/>
      <c r="C244" s="838" t="s">
        <v>1816</v>
      </c>
      <c r="D244" s="838" t="s">
        <v>1175</v>
      </c>
      <c r="E244" s="713" t="s">
        <v>26</v>
      </c>
      <c r="F244" s="712">
        <v>104537100</v>
      </c>
      <c r="G244" s="712">
        <v>104537100</v>
      </c>
      <c r="H244" s="712">
        <v>0</v>
      </c>
      <c r="I244" s="712">
        <v>0</v>
      </c>
      <c r="J244" s="712">
        <v>0</v>
      </c>
      <c r="K244" s="712">
        <v>0</v>
      </c>
      <c r="L244" s="712">
        <v>0</v>
      </c>
      <c r="M244" s="712">
        <v>0</v>
      </c>
      <c r="N244" s="712">
        <v>0</v>
      </c>
    </row>
    <row r="245" spans="1:14" s="175" customFormat="1" x14ac:dyDescent="0.2">
      <c r="A245" s="453"/>
      <c r="B245" s="887"/>
      <c r="C245" s="839"/>
      <c r="D245" s="839"/>
      <c r="E245" s="713" t="s">
        <v>1557</v>
      </c>
      <c r="F245" s="712">
        <v>243919900</v>
      </c>
      <c r="G245" s="712">
        <v>243919900</v>
      </c>
      <c r="H245" s="712">
        <v>0</v>
      </c>
      <c r="I245" s="712">
        <v>0</v>
      </c>
      <c r="J245" s="712">
        <v>0</v>
      </c>
      <c r="K245" s="712">
        <v>0</v>
      </c>
      <c r="L245" s="712">
        <v>0</v>
      </c>
      <c r="M245" s="712">
        <v>0</v>
      </c>
      <c r="N245" s="712">
        <v>0</v>
      </c>
    </row>
    <row r="246" spans="1:14" s="175" customFormat="1" x14ac:dyDescent="0.2">
      <c r="A246" s="453"/>
      <c r="B246" s="887"/>
      <c r="C246" s="839"/>
      <c r="D246" s="839"/>
      <c r="E246" s="713" t="s">
        <v>3212</v>
      </c>
      <c r="F246" s="712">
        <v>167266</v>
      </c>
      <c r="G246" s="712">
        <v>167266</v>
      </c>
      <c r="H246" s="712">
        <v>0</v>
      </c>
      <c r="I246" s="712">
        <v>0</v>
      </c>
      <c r="J246" s="712">
        <v>0</v>
      </c>
      <c r="K246" s="712">
        <v>0</v>
      </c>
      <c r="L246" s="712">
        <v>0</v>
      </c>
      <c r="M246" s="712">
        <v>0</v>
      </c>
      <c r="N246" s="712">
        <v>0</v>
      </c>
    </row>
    <row r="247" spans="1:14" s="175" customFormat="1" x14ac:dyDescent="0.2">
      <c r="A247" s="453"/>
      <c r="B247" s="887"/>
      <c r="C247" s="839"/>
      <c r="D247" s="839"/>
      <c r="E247" s="713" t="s">
        <v>195</v>
      </c>
      <c r="F247" s="712">
        <v>3323659</v>
      </c>
      <c r="G247" s="712">
        <v>3323659</v>
      </c>
      <c r="H247" s="712">
        <v>0</v>
      </c>
      <c r="I247" s="712">
        <v>0</v>
      </c>
      <c r="J247" s="712">
        <v>0</v>
      </c>
      <c r="K247" s="712">
        <v>0</v>
      </c>
      <c r="L247" s="712">
        <v>0</v>
      </c>
      <c r="M247" s="712">
        <v>0</v>
      </c>
      <c r="N247" s="712">
        <v>0</v>
      </c>
    </row>
    <row r="248" spans="1:14" s="175" customFormat="1" x14ac:dyDescent="0.2">
      <c r="A248" s="453"/>
      <c r="B248" s="887"/>
      <c r="C248" s="838" t="s">
        <v>1817</v>
      </c>
      <c r="D248" s="838" t="s">
        <v>1745</v>
      </c>
      <c r="E248" s="713" t="s">
        <v>26</v>
      </c>
      <c r="F248" s="712">
        <v>89061007</v>
      </c>
      <c r="G248" s="712">
        <v>89061007</v>
      </c>
      <c r="H248" s="712">
        <v>0</v>
      </c>
      <c r="I248" s="712">
        <v>0</v>
      </c>
      <c r="J248" s="712">
        <v>0</v>
      </c>
      <c r="K248" s="712">
        <v>0</v>
      </c>
      <c r="L248" s="712">
        <v>0</v>
      </c>
      <c r="M248" s="712">
        <v>0</v>
      </c>
      <c r="N248" s="712">
        <v>0</v>
      </c>
    </row>
    <row r="249" spans="1:14" s="175" customFormat="1" x14ac:dyDescent="0.2">
      <c r="A249" s="453"/>
      <c r="B249" s="887"/>
      <c r="C249" s="839"/>
      <c r="D249" s="839"/>
      <c r="E249" s="713" t="s">
        <v>1557</v>
      </c>
      <c r="F249" s="712">
        <v>192848883</v>
      </c>
      <c r="G249" s="712">
        <v>192848883</v>
      </c>
      <c r="H249" s="712">
        <v>0</v>
      </c>
      <c r="I249" s="712">
        <v>0</v>
      </c>
      <c r="J249" s="712">
        <v>0</v>
      </c>
      <c r="K249" s="712">
        <v>0</v>
      </c>
      <c r="L249" s="712">
        <v>0</v>
      </c>
      <c r="M249" s="712">
        <v>0</v>
      </c>
      <c r="N249" s="712">
        <v>0</v>
      </c>
    </row>
    <row r="250" spans="1:14" s="175" customFormat="1" x14ac:dyDescent="0.2">
      <c r="A250" s="453"/>
      <c r="B250" s="887"/>
      <c r="C250" s="839"/>
      <c r="D250" s="839"/>
      <c r="E250" s="713" t="s">
        <v>822</v>
      </c>
      <c r="F250" s="712">
        <v>402000</v>
      </c>
      <c r="G250" s="712">
        <v>402000</v>
      </c>
      <c r="H250" s="712">
        <v>0</v>
      </c>
      <c r="I250" s="712">
        <v>0</v>
      </c>
      <c r="J250" s="712">
        <v>0</v>
      </c>
      <c r="K250" s="712">
        <v>0</v>
      </c>
      <c r="L250" s="712">
        <v>0</v>
      </c>
      <c r="M250" s="712">
        <v>0</v>
      </c>
      <c r="N250" s="712">
        <v>0</v>
      </c>
    </row>
    <row r="251" spans="1:14" s="175" customFormat="1" x14ac:dyDescent="0.2">
      <c r="A251" s="453"/>
      <c r="B251" s="887"/>
      <c r="C251" s="839"/>
      <c r="D251" s="839"/>
      <c r="E251" s="713" t="s">
        <v>195</v>
      </c>
      <c r="F251" s="712">
        <v>2028883</v>
      </c>
      <c r="G251" s="712">
        <v>2028883</v>
      </c>
      <c r="H251" s="712">
        <v>0</v>
      </c>
      <c r="I251" s="712">
        <v>0</v>
      </c>
      <c r="J251" s="712">
        <v>0</v>
      </c>
      <c r="K251" s="712">
        <v>0</v>
      </c>
      <c r="L251" s="712">
        <v>0</v>
      </c>
      <c r="M251" s="712">
        <v>0</v>
      </c>
      <c r="N251" s="712">
        <v>0</v>
      </c>
    </row>
    <row r="252" spans="1:14" s="175" customFormat="1" x14ac:dyDescent="0.2">
      <c r="A252" s="453"/>
      <c r="B252" s="887"/>
      <c r="C252" s="838" t="s">
        <v>1818</v>
      </c>
      <c r="D252" s="838" t="s">
        <v>1744</v>
      </c>
      <c r="E252" s="713" t="s">
        <v>26</v>
      </c>
      <c r="F252" s="712">
        <v>97100000</v>
      </c>
      <c r="G252" s="712">
        <v>97100000</v>
      </c>
      <c r="H252" s="712">
        <v>0</v>
      </c>
      <c r="I252" s="712">
        <v>0</v>
      </c>
      <c r="J252" s="712">
        <v>0</v>
      </c>
      <c r="K252" s="712">
        <v>0</v>
      </c>
      <c r="L252" s="712">
        <v>0</v>
      </c>
      <c r="M252" s="712">
        <v>0</v>
      </c>
      <c r="N252" s="712">
        <v>0</v>
      </c>
    </row>
    <row r="253" spans="1:14" s="175" customFormat="1" x14ac:dyDescent="0.2">
      <c r="A253" s="453"/>
      <c r="B253" s="887"/>
      <c r="C253" s="839"/>
      <c r="D253" s="839"/>
      <c r="E253" s="713" t="s">
        <v>1557</v>
      </c>
      <c r="F253" s="712">
        <v>220000000</v>
      </c>
      <c r="G253" s="712">
        <v>220000000</v>
      </c>
      <c r="H253" s="712">
        <v>0</v>
      </c>
      <c r="I253" s="712">
        <v>0</v>
      </c>
      <c r="J253" s="712">
        <v>0</v>
      </c>
      <c r="K253" s="712">
        <v>0</v>
      </c>
      <c r="L253" s="712">
        <v>0</v>
      </c>
      <c r="M253" s="712">
        <v>0</v>
      </c>
      <c r="N253" s="712">
        <v>0</v>
      </c>
    </row>
    <row r="254" spans="1:14" s="175" customFormat="1" x14ac:dyDescent="0.2">
      <c r="A254" s="453"/>
      <c r="B254" s="887"/>
      <c r="C254" s="839"/>
      <c r="D254" s="839"/>
      <c r="E254" s="713" t="s">
        <v>822</v>
      </c>
      <c r="F254" s="712">
        <v>452818</v>
      </c>
      <c r="G254" s="712">
        <v>452818</v>
      </c>
      <c r="H254" s="712">
        <v>0</v>
      </c>
      <c r="I254" s="712">
        <v>0</v>
      </c>
      <c r="J254" s="712">
        <v>0</v>
      </c>
      <c r="K254" s="712">
        <v>0</v>
      </c>
      <c r="L254" s="712">
        <v>0</v>
      </c>
      <c r="M254" s="712">
        <v>0</v>
      </c>
      <c r="N254" s="712">
        <v>0</v>
      </c>
    </row>
    <row r="255" spans="1:14" s="175" customFormat="1" x14ac:dyDescent="0.2">
      <c r="A255" s="453"/>
      <c r="B255" s="887"/>
      <c r="C255" s="839"/>
      <c r="D255" s="839"/>
      <c r="E255" s="713" t="s">
        <v>3212</v>
      </c>
      <c r="F255" s="712">
        <v>131332</v>
      </c>
      <c r="G255" s="712">
        <v>0</v>
      </c>
      <c r="H255" s="712">
        <v>131332</v>
      </c>
      <c r="I255" s="712">
        <v>0</v>
      </c>
      <c r="J255" s="712">
        <v>131332</v>
      </c>
      <c r="K255" s="712">
        <v>0</v>
      </c>
      <c r="L255" s="712">
        <v>0</v>
      </c>
      <c r="M255" s="712">
        <v>0</v>
      </c>
      <c r="N255" s="712">
        <v>131332</v>
      </c>
    </row>
    <row r="256" spans="1:14" s="175" customFormat="1" x14ac:dyDescent="0.2">
      <c r="A256" s="453"/>
      <c r="B256" s="887"/>
      <c r="C256" s="839"/>
      <c r="D256" s="839"/>
      <c r="E256" s="713" t="s">
        <v>2676</v>
      </c>
      <c r="F256" s="712">
        <v>821333</v>
      </c>
      <c r="G256" s="712">
        <v>821333</v>
      </c>
      <c r="H256" s="712">
        <v>0</v>
      </c>
      <c r="I256" s="712">
        <v>0</v>
      </c>
      <c r="J256" s="712">
        <v>0</v>
      </c>
      <c r="K256" s="712">
        <v>0</v>
      </c>
      <c r="L256" s="712">
        <v>0</v>
      </c>
      <c r="M256" s="712">
        <v>0</v>
      </c>
      <c r="N256" s="712">
        <v>0</v>
      </c>
    </row>
    <row r="257" spans="1:14" s="175" customFormat="1" x14ac:dyDescent="0.2">
      <c r="A257" s="453"/>
      <c r="B257" s="887"/>
      <c r="C257" s="713" t="s">
        <v>1819</v>
      </c>
      <c r="D257" s="713" t="s">
        <v>1430</v>
      </c>
      <c r="E257" s="713" t="s">
        <v>26</v>
      </c>
      <c r="F257" s="712">
        <v>319905792</v>
      </c>
      <c r="G257" s="712">
        <v>319905792</v>
      </c>
      <c r="H257" s="712">
        <v>0</v>
      </c>
      <c r="I257" s="712">
        <v>0</v>
      </c>
      <c r="J257" s="712">
        <v>0</v>
      </c>
      <c r="K257" s="712">
        <v>0</v>
      </c>
      <c r="L257" s="712">
        <v>0</v>
      </c>
      <c r="M257" s="712">
        <v>0</v>
      </c>
      <c r="N257" s="712">
        <v>0</v>
      </c>
    </row>
    <row r="258" spans="1:14" s="175" customFormat="1" x14ac:dyDescent="0.2">
      <c r="A258" s="453"/>
      <c r="B258" s="887"/>
      <c r="C258" s="838" t="s">
        <v>1820</v>
      </c>
      <c r="D258" s="838" t="s">
        <v>878</v>
      </c>
      <c r="E258" s="713" t="s">
        <v>26</v>
      </c>
      <c r="F258" s="712">
        <v>82140000</v>
      </c>
      <c r="G258" s="712">
        <v>82140000</v>
      </c>
      <c r="H258" s="712">
        <v>0</v>
      </c>
      <c r="I258" s="712">
        <v>0</v>
      </c>
      <c r="J258" s="712">
        <v>0</v>
      </c>
      <c r="K258" s="712">
        <v>0</v>
      </c>
      <c r="L258" s="712">
        <v>0</v>
      </c>
      <c r="M258" s="712">
        <v>0</v>
      </c>
      <c r="N258" s="712">
        <v>0</v>
      </c>
    </row>
    <row r="259" spans="1:14" s="175" customFormat="1" x14ac:dyDescent="0.2">
      <c r="A259" s="453"/>
      <c r="B259" s="887"/>
      <c r="C259" s="839"/>
      <c r="D259" s="839"/>
      <c r="E259" s="713" t="s">
        <v>1557</v>
      </c>
      <c r="F259" s="712">
        <v>191660000</v>
      </c>
      <c r="G259" s="712">
        <v>191660000</v>
      </c>
      <c r="H259" s="712">
        <v>0</v>
      </c>
      <c r="I259" s="712">
        <v>0</v>
      </c>
      <c r="J259" s="712">
        <v>0</v>
      </c>
      <c r="K259" s="712">
        <v>0</v>
      </c>
      <c r="L259" s="712">
        <v>0</v>
      </c>
      <c r="M259" s="712">
        <v>0</v>
      </c>
      <c r="N259" s="712">
        <v>0</v>
      </c>
    </row>
    <row r="260" spans="1:14" s="175" customFormat="1" x14ac:dyDescent="0.2">
      <c r="A260" s="453"/>
      <c r="B260" s="887"/>
      <c r="C260" s="839"/>
      <c r="D260" s="839"/>
      <c r="E260" s="713" t="s">
        <v>3212</v>
      </c>
      <c r="F260" s="712">
        <v>105226</v>
      </c>
      <c r="G260" s="712">
        <v>0</v>
      </c>
      <c r="H260" s="712">
        <v>105226</v>
      </c>
      <c r="I260" s="712">
        <v>0</v>
      </c>
      <c r="J260" s="712">
        <v>105226</v>
      </c>
      <c r="K260" s="712">
        <v>0</v>
      </c>
      <c r="L260" s="712">
        <v>0</v>
      </c>
      <c r="M260" s="712">
        <v>0</v>
      </c>
      <c r="N260" s="712">
        <v>105226</v>
      </c>
    </row>
    <row r="261" spans="1:14" s="175" customFormat="1" x14ac:dyDescent="0.2">
      <c r="A261" s="453"/>
      <c r="B261" s="887"/>
      <c r="C261" s="838" t="s">
        <v>1821</v>
      </c>
      <c r="D261" s="838" t="s">
        <v>1702</v>
      </c>
      <c r="E261" s="713" t="s">
        <v>26</v>
      </c>
      <c r="F261" s="712">
        <v>104722800</v>
      </c>
      <c r="G261" s="712">
        <v>104722800</v>
      </c>
      <c r="H261" s="712">
        <v>0</v>
      </c>
      <c r="I261" s="712">
        <v>0</v>
      </c>
      <c r="J261" s="712">
        <v>0</v>
      </c>
      <c r="K261" s="712">
        <v>0</v>
      </c>
      <c r="L261" s="712">
        <v>0</v>
      </c>
      <c r="M261" s="712">
        <v>0</v>
      </c>
      <c r="N261" s="712">
        <v>0</v>
      </c>
    </row>
    <row r="262" spans="1:14" s="175" customFormat="1" x14ac:dyDescent="0.2">
      <c r="A262" s="453"/>
      <c r="B262" s="887"/>
      <c r="C262" s="839"/>
      <c r="D262" s="839"/>
      <c r="E262" s="713" t="s">
        <v>1557</v>
      </c>
      <c r="F262" s="712">
        <v>244353200</v>
      </c>
      <c r="G262" s="712">
        <v>244353200</v>
      </c>
      <c r="H262" s="712">
        <v>0</v>
      </c>
      <c r="I262" s="712">
        <v>0</v>
      </c>
      <c r="J262" s="712">
        <v>0</v>
      </c>
      <c r="K262" s="712">
        <v>0</v>
      </c>
      <c r="L262" s="712">
        <v>0</v>
      </c>
      <c r="M262" s="712">
        <v>0</v>
      </c>
      <c r="N262" s="712">
        <v>0</v>
      </c>
    </row>
    <row r="263" spans="1:14" s="175" customFormat="1" x14ac:dyDescent="0.2">
      <c r="A263" s="453"/>
      <c r="B263" s="887"/>
      <c r="C263" s="839"/>
      <c r="D263" s="839"/>
      <c r="E263" s="713" t="s">
        <v>3212</v>
      </c>
      <c r="F263" s="712">
        <v>155254</v>
      </c>
      <c r="G263" s="712">
        <v>155254</v>
      </c>
      <c r="H263" s="712">
        <v>0</v>
      </c>
      <c r="I263" s="712">
        <v>0</v>
      </c>
      <c r="J263" s="712">
        <v>0</v>
      </c>
      <c r="K263" s="712">
        <v>0</v>
      </c>
      <c r="L263" s="712">
        <v>0</v>
      </c>
      <c r="M263" s="712">
        <v>0</v>
      </c>
      <c r="N263" s="712">
        <v>0</v>
      </c>
    </row>
    <row r="264" spans="1:14" s="175" customFormat="1" x14ac:dyDescent="0.2">
      <c r="A264" s="453"/>
      <c r="B264" s="887"/>
      <c r="C264" s="839"/>
      <c r="D264" s="839"/>
      <c r="E264" s="713" t="s">
        <v>2676</v>
      </c>
      <c r="F264" s="712">
        <v>651609</v>
      </c>
      <c r="G264" s="712">
        <v>651609</v>
      </c>
      <c r="H264" s="712">
        <v>0</v>
      </c>
      <c r="I264" s="712">
        <v>0</v>
      </c>
      <c r="J264" s="712">
        <v>0</v>
      </c>
      <c r="K264" s="712">
        <v>0</v>
      </c>
      <c r="L264" s="712">
        <v>0</v>
      </c>
      <c r="M264" s="712">
        <v>0</v>
      </c>
      <c r="N264" s="712">
        <v>0</v>
      </c>
    </row>
    <row r="265" spans="1:14" s="175" customFormat="1" x14ac:dyDescent="0.2">
      <c r="A265" s="453"/>
      <c r="B265" s="887"/>
      <c r="C265" s="838" t="s">
        <v>1822</v>
      </c>
      <c r="D265" s="838" t="s">
        <v>3427</v>
      </c>
      <c r="E265" s="713" t="s">
        <v>26</v>
      </c>
      <c r="F265" s="712">
        <v>341800000</v>
      </c>
      <c r="G265" s="712">
        <v>341800000</v>
      </c>
      <c r="H265" s="712">
        <v>0</v>
      </c>
      <c r="I265" s="712">
        <v>0</v>
      </c>
      <c r="J265" s="712">
        <v>0</v>
      </c>
      <c r="K265" s="712">
        <v>0</v>
      </c>
      <c r="L265" s="712">
        <v>0</v>
      </c>
      <c r="M265" s="712">
        <v>0</v>
      </c>
      <c r="N265" s="712">
        <v>0</v>
      </c>
    </row>
    <row r="266" spans="1:14" s="175" customFormat="1" x14ac:dyDescent="0.2">
      <c r="A266" s="453"/>
      <c r="B266" s="887"/>
      <c r="C266" s="839"/>
      <c r="D266" s="839"/>
      <c r="E266" s="713" t="s">
        <v>3212</v>
      </c>
      <c r="F266" s="712">
        <v>1317000</v>
      </c>
      <c r="G266" s="712">
        <v>1317000</v>
      </c>
      <c r="H266" s="712">
        <v>0</v>
      </c>
      <c r="I266" s="712">
        <v>0</v>
      </c>
      <c r="J266" s="712">
        <v>0</v>
      </c>
      <c r="K266" s="712">
        <v>0</v>
      </c>
      <c r="L266" s="712">
        <v>0</v>
      </c>
      <c r="M266" s="712">
        <v>0</v>
      </c>
      <c r="N266" s="712">
        <v>0</v>
      </c>
    </row>
    <row r="267" spans="1:14" s="175" customFormat="1" x14ac:dyDescent="0.2">
      <c r="A267" s="453"/>
      <c r="B267" s="887"/>
      <c r="C267" s="838" t="s">
        <v>1823</v>
      </c>
      <c r="D267" s="838" t="s">
        <v>879</v>
      </c>
      <c r="E267" s="713" t="s">
        <v>26</v>
      </c>
      <c r="F267" s="712">
        <v>82800000</v>
      </c>
      <c r="G267" s="712">
        <v>82800000</v>
      </c>
      <c r="H267" s="712">
        <v>0</v>
      </c>
      <c r="I267" s="712">
        <v>0</v>
      </c>
      <c r="J267" s="712">
        <v>0</v>
      </c>
      <c r="K267" s="712">
        <v>0</v>
      </c>
      <c r="L267" s="712">
        <v>0</v>
      </c>
      <c r="M267" s="712">
        <v>0</v>
      </c>
      <c r="N267" s="712">
        <v>0</v>
      </c>
    </row>
    <row r="268" spans="1:14" s="175" customFormat="1" x14ac:dyDescent="0.2">
      <c r="A268" s="453"/>
      <c r="B268" s="887"/>
      <c r="C268" s="839"/>
      <c r="D268" s="839"/>
      <c r="E268" s="713" t="s">
        <v>1557</v>
      </c>
      <c r="F268" s="712">
        <v>193000000</v>
      </c>
      <c r="G268" s="712">
        <v>193000000</v>
      </c>
      <c r="H268" s="712">
        <v>0</v>
      </c>
      <c r="I268" s="712">
        <v>0</v>
      </c>
      <c r="J268" s="712">
        <v>0</v>
      </c>
      <c r="K268" s="712">
        <v>0</v>
      </c>
      <c r="L268" s="712">
        <v>0</v>
      </c>
      <c r="M268" s="712">
        <v>0</v>
      </c>
      <c r="N268" s="712">
        <v>0</v>
      </c>
    </row>
    <row r="269" spans="1:14" s="175" customFormat="1" x14ac:dyDescent="0.2">
      <c r="A269" s="453"/>
      <c r="B269" s="887"/>
      <c r="C269" s="839"/>
      <c r="D269" s="839"/>
      <c r="E269" s="713" t="s">
        <v>195</v>
      </c>
      <c r="F269" s="712">
        <v>391718</v>
      </c>
      <c r="G269" s="712">
        <v>391718</v>
      </c>
      <c r="H269" s="712">
        <v>0</v>
      </c>
      <c r="I269" s="712">
        <v>0</v>
      </c>
      <c r="J269" s="712">
        <v>0</v>
      </c>
      <c r="K269" s="712">
        <v>0</v>
      </c>
      <c r="L269" s="712">
        <v>0</v>
      </c>
      <c r="M269" s="712">
        <v>0</v>
      </c>
      <c r="N269" s="712">
        <v>0</v>
      </c>
    </row>
    <row r="270" spans="1:14" s="175" customFormat="1" x14ac:dyDescent="0.2">
      <c r="A270" s="453"/>
      <c r="B270" s="887"/>
      <c r="C270" s="838" t="s">
        <v>1824</v>
      </c>
      <c r="D270" s="838" t="s">
        <v>1745</v>
      </c>
      <c r="E270" s="713" t="s">
        <v>26</v>
      </c>
      <c r="F270" s="712">
        <v>317400000</v>
      </c>
      <c r="G270" s="712">
        <v>317400000</v>
      </c>
      <c r="H270" s="712">
        <v>0</v>
      </c>
      <c r="I270" s="712">
        <v>0</v>
      </c>
      <c r="J270" s="712">
        <v>0</v>
      </c>
      <c r="K270" s="712">
        <v>0</v>
      </c>
      <c r="L270" s="712">
        <v>0</v>
      </c>
      <c r="M270" s="712">
        <v>0</v>
      </c>
      <c r="N270" s="712">
        <v>0</v>
      </c>
    </row>
    <row r="271" spans="1:14" s="175" customFormat="1" x14ac:dyDescent="0.2">
      <c r="A271" s="453"/>
      <c r="B271" s="887"/>
      <c r="C271" s="839"/>
      <c r="D271" s="839"/>
      <c r="E271" s="713" t="s">
        <v>3212</v>
      </c>
      <c r="F271" s="712">
        <v>1321937</v>
      </c>
      <c r="G271" s="712">
        <v>1321937</v>
      </c>
      <c r="H271" s="712">
        <v>0</v>
      </c>
      <c r="I271" s="712">
        <v>0</v>
      </c>
      <c r="J271" s="712">
        <v>0</v>
      </c>
      <c r="K271" s="712">
        <v>0</v>
      </c>
      <c r="L271" s="712">
        <v>0</v>
      </c>
      <c r="M271" s="712">
        <v>0</v>
      </c>
      <c r="N271" s="712">
        <v>0</v>
      </c>
    </row>
    <row r="272" spans="1:14" s="175" customFormat="1" x14ac:dyDescent="0.2">
      <c r="A272" s="453"/>
      <c r="B272" s="887"/>
      <c r="C272" s="838" t="s">
        <v>1825</v>
      </c>
      <c r="D272" s="838" t="s">
        <v>1431</v>
      </c>
      <c r="E272" s="713" t="s">
        <v>26</v>
      </c>
      <c r="F272" s="712">
        <v>308344500</v>
      </c>
      <c r="G272" s="712">
        <v>308344500</v>
      </c>
      <c r="H272" s="712">
        <v>0</v>
      </c>
      <c r="I272" s="712">
        <v>0</v>
      </c>
      <c r="J272" s="712">
        <v>0</v>
      </c>
      <c r="K272" s="712">
        <v>0</v>
      </c>
      <c r="L272" s="712">
        <v>0</v>
      </c>
      <c r="M272" s="712">
        <v>0</v>
      </c>
      <c r="N272" s="712">
        <v>0</v>
      </c>
    </row>
    <row r="273" spans="1:14" s="175" customFormat="1" x14ac:dyDescent="0.2">
      <c r="A273" s="453"/>
      <c r="B273" s="887"/>
      <c r="C273" s="839"/>
      <c r="D273" s="839"/>
      <c r="E273" s="713" t="s">
        <v>3212</v>
      </c>
      <c r="F273" s="712">
        <v>187454</v>
      </c>
      <c r="G273" s="712">
        <v>187454</v>
      </c>
      <c r="H273" s="712">
        <v>0</v>
      </c>
      <c r="I273" s="712">
        <v>0</v>
      </c>
      <c r="J273" s="712">
        <v>0</v>
      </c>
      <c r="K273" s="712">
        <v>0</v>
      </c>
      <c r="L273" s="712">
        <v>0</v>
      </c>
      <c r="M273" s="712">
        <v>0</v>
      </c>
      <c r="N273" s="712">
        <v>0</v>
      </c>
    </row>
    <row r="274" spans="1:14" s="175" customFormat="1" x14ac:dyDescent="0.2">
      <c r="A274" s="453"/>
      <c r="B274" s="887"/>
      <c r="C274" s="838" t="s">
        <v>1826</v>
      </c>
      <c r="D274" s="838" t="s">
        <v>2531</v>
      </c>
      <c r="E274" s="713" t="s">
        <v>26</v>
      </c>
      <c r="F274" s="712">
        <v>273978674</v>
      </c>
      <c r="G274" s="712">
        <v>273978674</v>
      </c>
      <c r="H274" s="712">
        <v>0</v>
      </c>
      <c r="I274" s="712">
        <v>0</v>
      </c>
      <c r="J274" s="712">
        <v>0</v>
      </c>
      <c r="K274" s="712">
        <v>0</v>
      </c>
      <c r="L274" s="712">
        <v>0</v>
      </c>
      <c r="M274" s="712">
        <v>0</v>
      </c>
      <c r="N274" s="712">
        <v>0</v>
      </c>
    </row>
    <row r="275" spans="1:14" s="175" customFormat="1" x14ac:dyDescent="0.2">
      <c r="A275" s="453"/>
      <c r="B275" s="887"/>
      <c r="C275" s="839"/>
      <c r="D275" s="839"/>
      <c r="E275" s="713" t="s">
        <v>3212</v>
      </c>
      <c r="F275" s="712">
        <v>105628</v>
      </c>
      <c r="G275" s="712">
        <v>105628</v>
      </c>
      <c r="H275" s="712">
        <v>0</v>
      </c>
      <c r="I275" s="712">
        <v>0</v>
      </c>
      <c r="J275" s="712">
        <v>0</v>
      </c>
      <c r="K275" s="712">
        <v>0</v>
      </c>
      <c r="L275" s="712">
        <v>0</v>
      </c>
      <c r="M275" s="712">
        <v>0</v>
      </c>
      <c r="N275" s="712">
        <v>0</v>
      </c>
    </row>
    <row r="276" spans="1:14" s="175" customFormat="1" x14ac:dyDescent="0.2">
      <c r="A276" s="453"/>
      <c r="B276" s="887"/>
      <c r="C276" s="838" t="s">
        <v>1827</v>
      </c>
      <c r="D276" s="838" t="s">
        <v>1430</v>
      </c>
      <c r="E276" s="713" t="s">
        <v>26</v>
      </c>
      <c r="F276" s="712">
        <v>104812800</v>
      </c>
      <c r="G276" s="712">
        <v>104812800</v>
      </c>
      <c r="H276" s="712">
        <v>0</v>
      </c>
      <c r="I276" s="712">
        <v>0</v>
      </c>
      <c r="J276" s="712">
        <v>0</v>
      </c>
      <c r="K276" s="712">
        <v>0</v>
      </c>
      <c r="L276" s="712">
        <v>0</v>
      </c>
      <c r="M276" s="712">
        <v>0</v>
      </c>
      <c r="N276" s="712">
        <v>0</v>
      </c>
    </row>
    <row r="277" spans="1:14" s="175" customFormat="1" x14ac:dyDescent="0.2">
      <c r="A277" s="453"/>
      <c r="B277" s="887"/>
      <c r="C277" s="839"/>
      <c r="D277" s="839"/>
      <c r="E277" s="713" t="s">
        <v>1557</v>
      </c>
      <c r="F277" s="712">
        <v>244563200</v>
      </c>
      <c r="G277" s="712">
        <v>244563200</v>
      </c>
      <c r="H277" s="712">
        <v>0</v>
      </c>
      <c r="I277" s="712">
        <v>0</v>
      </c>
      <c r="J277" s="712">
        <v>0</v>
      </c>
      <c r="K277" s="712">
        <v>0</v>
      </c>
      <c r="L277" s="712">
        <v>0</v>
      </c>
      <c r="M277" s="712">
        <v>0</v>
      </c>
      <c r="N277" s="712">
        <v>0</v>
      </c>
    </row>
    <row r="278" spans="1:14" s="175" customFormat="1" x14ac:dyDescent="0.2">
      <c r="A278" s="453"/>
      <c r="B278" s="887"/>
      <c r="C278" s="838" t="s">
        <v>1828</v>
      </c>
      <c r="D278" s="838" t="s">
        <v>881</v>
      </c>
      <c r="E278" s="713" t="s">
        <v>26</v>
      </c>
      <c r="F278" s="712">
        <v>117818635</v>
      </c>
      <c r="G278" s="712">
        <v>117818635</v>
      </c>
      <c r="H278" s="712">
        <v>0</v>
      </c>
      <c r="I278" s="712">
        <v>0</v>
      </c>
      <c r="J278" s="712">
        <v>0</v>
      </c>
      <c r="K278" s="712">
        <v>0</v>
      </c>
      <c r="L278" s="712">
        <v>0</v>
      </c>
      <c r="M278" s="712">
        <v>0</v>
      </c>
      <c r="N278" s="712">
        <v>0</v>
      </c>
    </row>
    <row r="279" spans="1:14" s="175" customFormat="1" x14ac:dyDescent="0.2">
      <c r="A279" s="453"/>
      <c r="B279" s="887"/>
      <c r="C279" s="839"/>
      <c r="D279" s="839"/>
      <c r="E279" s="713" t="s">
        <v>1557</v>
      </c>
      <c r="F279" s="712">
        <v>231500000</v>
      </c>
      <c r="G279" s="712">
        <v>231500000</v>
      </c>
      <c r="H279" s="712">
        <v>0</v>
      </c>
      <c r="I279" s="712">
        <v>0</v>
      </c>
      <c r="J279" s="712">
        <v>0</v>
      </c>
      <c r="K279" s="712">
        <v>0</v>
      </c>
      <c r="L279" s="712">
        <v>0</v>
      </c>
      <c r="M279" s="712">
        <v>0</v>
      </c>
      <c r="N279" s="712">
        <v>0</v>
      </c>
    </row>
    <row r="280" spans="1:14" s="175" customFormat="1" x14ac:dyDescent="0.2">
      <c r="A280" s="453"/>
      <c r="B280" s="887"/>
      <c r="C280" s="839"/>
      <c r="D280" s="839"/>
      <c r="E280" s="713" t="s">
        <v>3212</v>
      </c>
      <c r="F280" s="712">
        <v>127280</v>
      </c>
      <c r="G280" s="712">
        <v>0</v>
      </c>
      <c r="H280" s="712">
        <v>127280</v>
      </c>
      <c r="I280" s="712">
        <v>0</v>
      </c>
      <c r="J280" s="712">
        <v>127280</v>
      </c>
      <c r="K280" s="712">
        <v>0</v>
      </c>
      <c r="L280" s="712">
        <v>0</v>
      </c>
      <c r="M280" s="712">
        <v>0</v>
      </c>
      <c r="N280" s="712">
        <v>127280</v>
      </c>
    </row>
    <row r="281" spans="1:14" s="175" customFormat="1" x14ac:dyDescent="0.2">
      <c r="A281" s="453"/>
      <c r="B281" s="887"/>
      <c r="C281" s="838" t="s">
        <v>1829</v>
      </c>
      <c r="D281" s="838" t="s">
        <v>880</v>
      </c>
      <c r="E281" s="713" t="s">
        <v>26</v>
      </c>
      <c r="F281" s="712">
        <v>82830000</v>
      </c>
      <c r="G281" s="712">
        <v>82830000</v>
      </c>
      <c r="H281" s="712">
        <v>0</v>
      </c>
      <c r="I281" s="712">
        <v>0</v>
      </c>
      <c r="J281" s="712">
        <v>0</v>
      </c>
      <c r="K281" s="712">
        <v>0</v>
      </c>
      <c r="L281" s="712">
        <v>0</v>
      </c>
      <c r="M281" s="712">
        <v>0</v>
      </c>
      <c r="N281" s="712">
        <v>0</v>
      </c>
    </row>
    <row r="282" spans="1:14" s="175" customFormat="1" x14ac:dyDescent="0.2">
      <c r="A282" s="453"/>
      <c r="B282" s="887"/>
      <c r="C282" s="839"/>
      <c r="D282" s="839"/>
      <c r="E282" s="713" t="s">
        <v>1557</v>
      </c>
      <c r="F282" s="712">
        <v>193270000</v>
      </c>
      <c r="G282" s="712">
        <v>193270000</v>
      </c>
      <c r="H282" s="712">
        <v>0</v>
      </c>
      <c r="I282" s="712">
        <v>0</v>
      </c>
      <c r="J282" s="712">
        <v>0</v>
      </c>
      <c r="K282" s="712">
        <v>0</v>
      </c>
      <c r="L282" s="712">
        <v>0</v>
      </c>
      <c r="M282" s="712">
        <v>0</v>
      </c>
      <c r="N282" s="712">
        <v>0</v>
      </c>
    </row>
    <row r="283" spans="1:14" s="175" customFormat="1" x14ac:dyDescent="0.2">
      <c r="A283" s="453"/>
      <c r="B283" s="887"/>
      <c r="C283" s="839"/>
      <c r="D283" s="839"/>
      <c r="E283" s="713" t="s">
        <v>822</v>
      </c>
      <c r="F283" s="712">
        <v>394270</v>
      </c>
      <c r="G283" s="712">
        <v>394270</v>
      </c>
      <c r="H283" s="712">
        <v>0</v>
      </c>
      <c r="I283" s="712">
        <v>0</v>
      </c>
      <c r="J283" s="712">
        <v>0</v>
      </c>
      <c r="K283" s="712">
        <v>0</v>
      </c>
      <c r="L283" s="712">
        <v>0</v>
      </c>
      <c r="M283" s="712">
        <v>0</v>
      </c>
      <c r="N283" s="712">
        <v>0</v>
      </c>
    </row>
    <row r="284" spans="1:14" s="175" customFormat="1" x14ac:dyDescent="0.2">
      <c r="A284" s="453"/>
      <c r="B284" s="887"/>
      <c r="C284" s="838" t="s">
        <v>1830</v>
      </c>
      <c r="D284" s="838" t="s">
        <v>1223</v>
      </c>
      <c r="E284" s="713" t="s">
        <v>26</v>
      </c>
      <c r="F284" s="712">
        <v>109700258</v>
      </c>
      <c r="G284" s="712">
        <v>109700258</v>
      </c>
      <c r="H284" s="712">
        <v>0</v>
      </c>
      <c r="I284" s="712">
        <v>0</v>
      </c>
      <c r="J284" s="712">
        <v>0</v>
      </c>
      <c r="K284" s="712">
        <v>0</v>
      </c>
      <c r="L284" s="712">
        <v>0</v>
      </c>
      <c r="M284" s="712">
        <v>0</v>
      </c>
      <c r="N284" s="712">
        <v>0</v>
      </c>
    </row>
    <row r="285" spans="1:14" s="175" customFormat="1" x14ac:dyDescent="0.2">
      <c r="A285" s="453"/>
      <c r="B285" s="887"/>
      <c r="C285" s="839"/>
      <c r="D285" s="839"/>
      <c r="E285" s="713" t="s">
        <v>1557</v>
      </c>
      <c r="F285" s="712">
        <v>253281000</v>
      </c>
      <c r="G285" s="712">
        <v>253281000</v>
      </c>
      <c r="H285" s="712">
        <v>0</v>
      </c>
      <c r="I285" s="712">
        <v>0</v>
      </c>
      <c r="J285" s="712">
        <v>0</v>
      </c>
      <c r="K285" s="712">
        <v>0</v>
      </c>
      <c r="L285" s="712">
        <v>0</v>
      </c>
      <c r="M285" s="712">
        <v>0</v>
      </c>
      <c r="N285" s="712">
        <v>0</v>
      </c>
    </row>
    <row r="286" spans="1:14" s="175" customFormat="1" x14ac:dyDescent="0.2">
      <c r="A286" s="453"/>
      <c r="B286" s="887"/>
      <c r="C286" s="839"/>
      <c r="D286" s="839"/>
      <c r="E286" s="713" t="s">
        <v>195</v>
      </c>
      <c r="F286" s="712">
        <v>3141613</v>
      </c>
      <c r="G286" s="712">
        <v>3141613</v>
      </c>
      <c r="H286" s="712">
        <v>0</v>
      </c>
      <c r="I286" s="712">
        <v>0</v>
      </c>
      <c r="J286" s="712">
        <v>0</v>
      </c>
      <c r="K286" s="712">
        <v>0</v>
      </c>
      <c r="L286" s="712">
        <v>0</v>
      </c>
      <c r="M286" s="712">
        <v>0</v>
      </c>
      <c r="N286" s="712">
        <v>0</v>
      </c>
    </row>
    <row r="287" spans="1:14" s="175" customFormat="1" x14ac:dyDescent="0.2">
      <c r="A287" s="453"/>
      <c r="B287" s="887"/>
      <c r="C287" s="839"/>
      <c r="D287" s="839"/>
      <c r="E287" s="713" t="s">
        <v>2676</v>
      </c>
      <c r="F287" s="712">
        <v>674667</v>
      </c>
      <c r="G287" s="712">
        <v>0</v>
      </c>
      <c r="H287" s="712">
        <v>674667</v>
      </c>
      <c r="I287" s="712">
        <v>0</v>
      </c>
      <c r="J287" s="712">
        <v>674667</v>
      </c>
      <c r="K287" s="712">
        <v>0</v>
      </c>
      <c r="L287" s="712">
        <v>0</v>
      </c>
      <c r="M287" s="712">
        <v>0</v>
      </c>
      <c r="N287" s="712">
        <v>674667</v>
      </c>
    </row>
    <row r="288" spans="1:14" s="175" customFormat="1" x14ac:dyDescent="0.2">
      <c r="A288" s="453"/>
      <c r="B288" s="887"/>
      <c r="C288" s="838" t="s">
        <v>1831</v>
      </c>
      <c r="D288" s="838" t="s">
        <v>2576</v>
      </c>
      <c r="E288" s="713" t="s">
        <v>900</v>
      </c>
      <c r="F288" s="712">
        <v>60000000</v>
      </c>
      <c r="G288" s="712">
        <v>60000000</v>
      </c>
      <c r="H288" s="712">
        <v>0</v>
      </c>
      <c r="I288" s="712">
        <v>0</v>
      </c>
      <c r="J288" s="712">
        <v>0</v>
      </c>
      <c r="K288" s="712">
        <v>0</v>
      </c>
      <c r="L288" s="712">
        <v>0</v>
      </c>
      <c r="M288" s="712">
        <v>0</v>
      </c>
      <c r="N288" s="712">
        <v>0</v>
      </c>
    </row>
    <row r="289" spans="1:14" s="175" customFormat="1" x14ac:dyDescent="0.2">
      <c r="A289" s="453"/>
      <c r="B289" s="887"/>
      <c r="C289" s="839"/>
      <c r="D289" s="839"/>
      <c r="E289" s="713" t="s">
        <v>26</v>
      </c>
      <c r="F289" s="712">
        <v>253292593</v>
      </c>
      <c r="G289" s="712">
        <v>253292593</v>
      </c>
      <c r="H289" s="712">
        <v>0</v>
      </c>
      <c r="I289" s="712">
        <v>0</v>
      </c>
      <c r="J289" s="712">
        <v>0</v>
      </c>
      <c r="K289" s="712">
        <v>0</v>
      </c>
      <c r="L289" s="712">
        <v>0</v>
      </c>
      <c r="M289" s="712">
        <v>0</v>
      </c>
      <c r="N289" s="712">
        <v>0</v>
      </c>
    </row>
    <row r="290" spans="1:14" s="175" customFormat="1" x14ac:dyDescent="0.2">
      <c r="A290" s="453"/>
      <c r="B290" s="887"/>
      <c r="C290" s="838" t="s">
        <v>1832</v>
      </c>
      <c r="D290" s="838" t="s">
        <v>2239</v>
      </c>
      <c r="E290" s="713" t="s">
        <v>26</v>
      </c>
      <c r="F290" s="712">
        <v>84540622</v>
      </c>
      <c r="G290" s="712">
        <v>84540622</v>
      </c>
      <c r="H290" s="712">
        <v>0</v>
      </c>
      <c r="I290" s="712">
        <v>0</v>
      </c>
      <c r="J290" s="712">
        <v>0</v>
      </c>
      <c r="K290" s="712">
        <v>0</v>
      </c>
      <c r="L290" s="712">
        <v>0</v>
      </c>
      <c r="M290" s="712">
        <v>0</v>
      </c>
      <c r="N290" s="712">
        <v>0</v>
      </c>
    </row>
    <row r="291" spans="1:14" s="175" customFormat="1" x14ac:dyDescent="0.2">
      <c r="A291" s="453"/>
      <c r="B291" s="887"/>
      <c r="C291" s="839"/>
      <c r="D291" s="839"/>
      <c r="E291" s="713" t="s">
        <v>1557</v>
      </c>
      <c r="F291" s="712">
        <v>192080000</v>
      </c>
      <c r="G291" s="712">
        <v>192080000</v>
      </c>
      <c r="H291" s="712">
        <v>0</v>
      </c>
      <c r="I291" s="712">
        <v>0</v>
      </c>
      <c r="J291" s="712">
        <v>0</v>
      </c>
      <c r="K291" s="712">
        <v>0</v>
      </c>
      <c r="L291" s="712">
        <v>0</v>
      </c>
      <c r="M291" s="712">
        <v>0</v>
      </c>
      <c r="N291" s="712">
        <v>0</v>
      </c>
    </row>
    <row r="292" spans="1:14" s="175" customFormat="1" x14ac:dyDescent="0.2">
      <c r="A292" s="453"/>
      <c r="B292" s="887"/>
      <c r="C292" s="839"/>
      <c r="D292" s="839"/>
      <c r="E292" s="713" t="s">
        <v>3212</v>
      </c>
      <c r="F292" s="712">
        <v>93919</v>
      </c>
      <c r="G292" s="712">
        <v>0</v>
      </c>
      <c r="H292" s="712">
        <v>93919</v>
      </c>
      <c r="I292" s="712">
        <v>0</v>
      </c>
      <c r="J292" s="712">
        <v>93919</v>
      </c>
      <c r="K292" s="712">
        <v>0</v>
      </c>
      <c r="L292" s="712">
        <v>0</v>
      </c>
      <c r="M292" s="712">
        <v>0</v>
      </c>
      <c r="N292" s="712">
        <v>93919</v>
      </c>
    </row>
    <row r="293" spans="1:14" s="175" customFormat="1" x14ac:dyDescent="0.2">
      <c r="A293" s="453"/>
      <c r="B293" s="887"/>
      <c r="C293" s="839"/>
      <c r="D293" s="839"/>
      <c r="E293" s="713" t="s">
        <v>195</v>
      </c>
      <c r="F293" s="712">
        <v>1909791</v>
      </c>
      <c r="G293" s="712">
        <v>1909791</v>
      </c>
      <c r="H293" s="712">
        <v>0</v>
      </c>
      <c r="I293" s="712">
        <v>0</v>
      </c>
      <c r="J293" s="712">
        <v>0</v>
      </c>
      <c r="K293" s="712">
        <v>0</v>
      </c>
      <c r="L293" s="712">
        <v>0</v>
      </c>
      <c r="M293" s="712">
        <v>0</v>
      </c>
      <c r="N293" s="712">
        <v>0</v>
      </c>
    </row>
    <row r="294" spans="1:14" s="175" customFormat="1" x14ac:dyDescent="0.2">
      <c r="A294" s="453"/>
      <c r="B294" s="887"/>
      <c r="C294" s="838" t="s">
        <v>1833</v>
      </c>
      <c r="D294" s="838" t="s">
        <v>1703</v>
      </c>
      <c r="E294" s="713" t="s">
        <v>26</v>
      </c>
      <c r="F294" s="712">
        <v>104902800</v>
      </c>
      <c r="G294" s="712">
        <v>104902800</v>
      </c>
      <c r="H294" s="712">
        <v>0</v>
      </c>
      <c r="I294" s="712">
        <v>0</v>
      </c>
      <c r="J294" s="712">
        <v>0</v>
      </c>
      <c r="K294" s="712">
        <v>0</v>
      </c>
      <c r="L294" s="712">
        <v>0</v>
      </c>
      <c r="M294" s="712">
        <v>0</v>
      </c>
      <c r="N294" s="712">
        <v>0</v>
      </c>
    </row>
    <row r="295" spans="1:14" s="175" customFormat="1" x14ac:dyDescent="0.2">
      <c r="A295" s="453"/>
      <c r="B295" s="887"/>
      <c r="C295" s="839"/>
      <c r="D295" s="839"/>
      <c r="E295" s="713" t="s">
        <v>1557</v>
      </c>
      <c r="F295" s="712">
        <v>244773200</v>
      </c>
      <c r="G295" s="712">
        <v>244773200</v>
      </c>
      <c r="H295" s="712">
        <v>0</v>
      </c>
      <c r="I295" s="712">
        <v>0</v>
      </c>
      <c r="J295" s="712">
        <v>0</v>
      </c>
      <c r="K295" s="712">
        <v>0</v>
      </c>
      <c r="L295" s="712">
        <v>0</v>
      </c>
      <c r="M295" s="712">
        <v>0</v>
      </c>
      <c r="N295" s="712">
        <v>0</v>
      </c>
    </row>
    <row r="296" spans="1:14" s="175" customFormat="1" x14ac:dyDescent="0.2">
      <c r="A296" s="453"/>
      <c r="B296" s="887"/>
      <c r="C296" s="839"/>
      <c r="D296" s="839"/>
      <c r="E296" s="713" t="s">
        <v>3212</v>
      </c>
      <c r="F296" s="712">
        <v>58596</v>
      </c>
      <c r="G296" s="712">
        <v>0</v>
      </c>
      <c r="H296" s="712">
        <v>58596</v>
      </c>
      <c r="I296" s="712">
        <v>0</v>
      </c>
      <c r="J296" s="712">
        <v>58596</v>
      </c>
      <c r="K296" s="712">
        <v>0</v>
      </c>
      <c r="L296" s="712">
        <v>0</v>
      </c>
      <c r="M296" s="712">
        <v>0</v>
      </c>
      <c r="N296" s="712">
        <v>58596</v>
      </c>
    </row>
    <row r="297" spans="1:14" s="175" customFormat="1" x14ac:dyDescent="0.2">
      <c r="A297" s="453"/>
      <c r="B297" s="887"/>
      <c r="C297" s="838" t="s">
        <v>1834</v>
      </c>
      <c r="D297" s="838" t="s">
        <v>2608</v>
      </c>
      <c r="E297" s="713" t="s">
        <v>26</v>
      </c>
      <c r="F297" s="712">
        <v>155658150</v>
      </c>
      <c r="G297" s="712">
        <v>155658150</v>
      </c>
      <c r="H297" s="712">
        <v>0</v>
      </c>
      <c r="I297" s="712">
        <v>0</v>
      </c>
      <c r="J297" s="712">
        <v>0</v>
      </c>
      <c r="K297" s="712">
        <v>0</v>
      </c>
      <c r="L297" s="712">
        <v>0</v>
      </c>
      <c r="M297" s="712">
        <v>0</v>
      </c>
      <c r="N297" s="712">
        <v>0</v>
      </c>
    </row>
    <row r="298" spans="1:14" s="175" customFormat="1" x14ac:dyDescent="0.2">
      <c r="A298" s="453"/>
      <c r="B298" s="887"/>
      <c r="C298" s="839"/>
      <c r="D298" s="839"/>
      <c r="E298" s="713" t="s">
        <v>1557</v>
      </c>
      <c r="F298" s="712">
        <v>178000000</v>
      </c>
      <c r="G298" s="712">
        <v>178000000</v>
      </c>
      <c r="H298" s="712">
        <v>0</v>
      </c>
      <c r="I298" s="712">
        <v>0</v>
      </c>
      <c r="J298" s="712">
        <v>0</v>
      </c>
      <c r="K298" s="712">
        <v>0</v>
      </c>
      <c r="L298" s="712">
        <v>0</v>
      </c>
      <c r="M298" s="712">
        <v>0</v>
      </c>
      <c r="N298" s="712">
        <v>0</v>
      </c>
    </row>
    <row r="299" spans="1:14" s="175" customFormat="1" x14ac:dyDescent="0.2">
      <c r="A299" s="453"/>
      <c r="B299" s="887"/>
      <c r="C299" s="838" t="s">
        <v>1835</v>
      </c>
      <c r="D299" s="838" t="s">
        <v>1527</v>
      </c>
      <c r="E299" s="713" t="s">
        <v>26</v>
      </c>
      <c r="F299" s="712">
        <v>277306412</v>
      </c>
      <c r="G299" s="712">
        <v>277306412</v>
      </c>
      <c r="H299" s="712">
        <v>0</v>
      </c>
      <c r="I299" s="712">
        <v>0</v>
      </c>
      <c r="J299" s="712">
        <v>0</v>
      </c>
      <c r="K299" s="712">
        <v>0</v>
      </c>
      <c r="L299" s="712">
        <v>0</v>
      </c>
      <c r="M299" s="712">
        <v>0</v>
      </c>
      <c r="N299" s="712">
        <v>0</v>
      </c>
    </row>
    <row r="300" spans="1:14" s="175" customFormat="1" x14ac:dyDescent="0.2">
      <c r="A300" s="453"/>
      <c r="B300" s="887"/>
      <c r="C300" s="839"/>
      <c r="D300" s="839"/>
      <c r="E300" s="713" t="s">
        <v>3212</v>
      </c>
      <c r="F300" s="712">
        <v>116363</v>
      </c>
      <c r="G300" s="712">
        <v>0</v>
      </c>
      <c r="H300" s="712">
        <v>116363</v>
      </c>
      <c r="I300" s="712">
        <v>0</v>
      </c>
      <c r="J300" s="712">
        <v>116363</v>
      </c>
      <c r="K300" s="712">
        <v>0</v>
      </c>
      <c r="L300" s="712">
        <v>0</v>
      </c>
      <c r="M300" s="712">
        <v>0</v>
      </c>
      <c r="N300" s="712">
        <v>116363</v>
      </c>
    </row>
    <row r="301" spans="1:14" s="175" customFormat="1" ht="12.75" customHeight="1" x14ac:dyDescent="0.2">
      <c r="A301" s="453"/>
      <c r="B301" s="887"/>
      <c r="C301" s="839"/>
      <c r="D301" s="839"/>
      <c r="E301" s="713" t="s">
        <v>195</v>
      </c>
      <c r="F301" s="712">
        <v>1456986</v>
      </c>
      <c r="G301" s="712">
        <v>1456986</v>
      </c>
      <c r="H301" s="712">
        <v>0</v>
      </c>
      <c r="I301" s="712">
        <v>0</v>
      </c>
      <c r="J301" s="712">
        <v>0</v>
      </c>
      <c r="K301" s="712">
        <v>0</v>
      </c>
      <c r="L301" s="712">
        <v>0</v>
      </c>
      <c r="M301" s="712">
        <v>0</v>
      </c>
      <c r="N301" s="712">
        <v>0</v>
      </c>
    </row>
    <row r="302" spans="1:14" s="175" customFormat="1" ht="12.75" customHeight="1" x14ac:dyDescent="0.2">
      <c r="A302" s="453"/>
      <c r="B302" s="887"/>
      <c r="C302" s="838" t="s">
        <v>1836</v>
      </c>
      <c r="D302" s="838" t="s">
        <v>3332</v>
      </c>
      <c r="E302" s="713" t="s">
        <v>900</v>
      </c>
      <c r="F302" s="712">
        <v>77159765</v>
      </c>
      <c r="G302" s="712">
        <v>77159765</v>
      </c>
      <c r="H302" s="712">
        <v>0</v>
      </c>
      <c r="I302" s="712">
        <v>0</v>
      </c>
      <c r="J302" s="712">
        <v>0</v>
      </c>
      <c r="K302" s="712">
        <v>0</v>
      </c>
      <c r="L302" s="712">
        <v>0</v>
      </c>
      <c r="M302" s="712">
        <v>0</v>
      </c>
      <c r="N302" s="712">
        <v>0</v>
      </c>
    </row>
    <row r="303" spans="1:14" s="175" customFormat="1" ht="12.75" customHeight="1" x14ac:dyDescent="0.2">
      <c r="A303" s="453"/>
      <c r="B303" s="887"/>
      <c r="C303" s="839"/>
      <c r="D303" s="839"/>
      <c r="E303" s="713" t="s">
        <v>26</v>
      </c>
      <c r="F303" s="712">
        <v>177989150</v>
      </c>
      <c r="G303" s="712">
        <v>177989150</v>
      </c>
      <c r="H303" s="712">
        <v>0</v>
      </c>
      <c r="I303" s="712">
        <v>0</v>
      </c>
      <c r="J303" s="712">
        <v>0</v>
      </c>
      <c r="K303" s="712">
        <v>0</v>
      </c>
      <c r="L303" s="712">
        <v>0</v>
      </c>
      <c r="M303" s="712">
        <v>0</v>
      </c>
      <c r="N303" s="712">
        <v>0</v>
      </c>
    </row>
    <row r="304" spans="1:14" s="175" customFormat="1" ht="12.75" customHeight="1" x14ac:dyDescent="0.2">
      <c r="A304" s="453"/>
      <c r="B304" s="887"/>
      <c r="C304" s="839"/>
      <c r="D304" s="839"/>
      <c r="E304" s="713" t="s">
        <v>3212</v>
      </c>
      <c r="F304" s="712">
        <v>779000</v>
      </c>
      <c r="G304" s="712">
        <v>779000</v>
      </c>
      <c r="H304" s="712">
        <v>0</v>
      </c>
      <c r="I304" s="712">
        <v>0</v>
      </c>
      <c r="J304" s="712">
        <v>0</v>
      </c>
      <c r="K304" s="712">
        <v>0</v>
      </c>
      <c r="L304" s="712">
        <v>0</v>
      </c>
      <c r="M304" s="712">
        <v>0</v>
      </c>
      <c r="N304" s="712">
        <v>0</v>
      </c>
    </row>
    <row r="305" spans="1:14" s="175" customFormat="1" ht="12.75" customHeight="1" x14ac:dyDescent="0.2">
      <c r="A305" s="453"/>
      <c r="B305" s="887"/>
      <c r="C305" s="839"/>
      <c r="D305" s="839"/>
      <c r="E305" s="713" t="s">
        <v>1221</v>
      </c>
      <c r="F305" s="712">
        <v>1931850</v>
      </c>
      <c r="G305" s="712">
        <v>1931850</v>
      </c>
      <c r="H305" s="712">
        <v>0</v>
      </c>
      <c r="I305" s="712">
        <v>0</v>
      </c>
      <c r="J305" s="712">
        <v>0</v>
      </c>
      <c r="K305" s="712">
        <v>0</v>
      </c>
      <c r="L305" s="712">
        <v>0</v>
      </c>
      <c r="M305" s="712">
        <v>0</v>
      </c>
      <c r="N305" s="712">
        <v>0</v>
      </c>
    </row>
    <row r="306" spans="1:14" s="175" customFormat="1" ht="12.75" customHeight="1" x14ac:dyDescent="0.2">
      <c r="A306" s="453"/>
      <c r="B306" s="887"/>
      <c r="C306" s="839"/>
      <c r="D306" s="839"/>
      <c r="E306" s="713" t="s">
        <v>3483</v>
      </c>
      <c r="F306" s="712">
        <v>56632400</v>
      </c>
      <c r="G306" s="712">
        <v>405055</v>
      </c>
      <c r="H306" s="712">
        <v>56227345</v>
      </c>
      <c r="I306" s="712">
        <v>0</v>
      </c>
      <c r="J306" s="712">
        <v>56227345</v>
      </c>
      <c r="K306" s="712">
        <v>0</v>
      </c>
      <c r="L306" s="712">
        <v>0</v>
      </c>
      <c r="M306" s="712">
        <v>0</v>
      </c>
      <c r="N306" s="712">
        <v>56227345</v>
      </c>
    </row>
    <row r="307" spans="1:14" s="175" customFormat="1" ht="12.75" customHeight="1" x14ac:dyDescent="0.2">
      <c r="A307" s="453"/>
      <c r="B307" s="887"/>
      <c r="C307" s="713" t="s">
        <v>3428</v>
      </c>
      <c r="D307" s="713" t="s">
        <v>3425</v>
      </c>
      <c r="E307" s="713" t="s">
        <v>26</v>
      </c>
      <c r="F307" s="712">
        <v>393640000</v>
      </c>
      <c r="G307" s="712">
        <v>393640000</v>
      </c>
      <c r="H307" s="712">
        <v>0</v>
      </c>
      <c r="I307" s="712">
        <v>0</v>
      </c>
      <c r="J307" s="712">
        <v>0</v>
      </c>
      <c r="K307" s="712">
        <v>0</v>
      </c>
      <c r="L307" s="712">
        <v>0</v>
      </c>
      <c r="M307" s="712">
        <v>0</v>
      </c>
      <c r="N307" s="712">
        <v>0</v>
      </c>
    </row>
    <row r="308" spans="1:14" s="175" customFormat="1" ht="12.75" customHeight="1" x14ac:dyDescent="0.2">
      <c r="A308" s="453"/>
      <c r="B308" s="887"/>
      <c r="C308" s="838" t="s">
        <v>1837</v>
      </c>
      <c r="D308" s="838" t="s">
        <v>882</v>
      </c>
      <c r="E308" s="713" t="s">
        <v>26</v>
      </c>
      <c r="F308" s="712">
        <v>272960910</v>
      </c>
      <c r="G308" s="712">
        <v>272960910</v>
      </c>
      <c r="H308" s="712">
        <v>0</v>
      </c>
      <c r="I308" s="712">
        <v>0</v>
      </c>
      <c r="J308" s="712">
        <v>0</v>
      </c>
      <c r="K308" s="712">
        <v>0</v>
      </c>
      <c r="L308" s="712">
        <v>0</v>
      </c>
      <c r="M308" s="712">
        <v>0</v>
      </c>
      <c r="N308" s="712">
        <v>0</v>
      </c>
    </row>
    <row r="309" spans="1:14" s="175" customFormat="1" ht="12.75" customHeight="1" x14ac:dyDescent="0.2">
      <c r="A309" s="453"/>
      <c r="B309" s="887"/>
      <c r="C309" s="839"/>
      <c r="D309" s="839"/>
      <c r="E309" s="713" t="s">
        <v>1221</v>
      </c>
      <c r="F309" s="712">
        <v>1512675</v>
      </c>
      <c r="G309" s="712">
        <v>1512675</v>
      </c>
      <c r="H309" s="712">
        <v>0</v>
      </c>
      <c r="I309" s="712">
        <v>0</v>
      </c>
      <c r="J309" s="712">
        <v>0</v>
      </c>
      <c r="K309" s="712">
        <v>0</v>
      </c>
      <c r="L309" s="712">
        <v>0</v>
      </c>
      <c r="M309" s="712">
        <v>0</v>
      </c>
      <c r="N309" s="712">
        <v>0</v>
      </c>
    </row>
    <row r="310" spans="1:14" s="175" customFormat="1" ht="12.75" customHeight="1" x14ac:dyDescent="0.2">
      <c r="A310" s="453"/>
      <c r="B310" s="887"/>
      <c r="C310" s="838" t="s">
        <v>1838</v>
      </c>
      <c r="D310" s="838" t="s">
        <v>992</v>
      </c>
      <c r="E310" s="713" t="s">
        <v>26</v>
      </c>
      <c r="F310" s="712">
        <v>101424120</v>
      </c>
      <c r="G310" s="712">
        <v>101424120</v>
      </c>
      <c r="H310" s="712">
        <v>0</v>
      </c>
      <c r="I310" s="712">
        <v>0</v>
      </c>
      <c r="J310" s="712">
        <v>0</v>
      </c>
      <c r="K310" s="712">
        <v>0</v>
      </c>
      <c r="L310" s="712">
        <v>0</v>
      </c>
      <c r="M310" s="712">
        <v>0</v>
      </c>
      <c r="N310" s="712">
        <v>0</v>
      </c>
    </row>
    <row r="311" spans="1:14" s="175" customFormat="1" ht="12.75" customHeight="1" x14ac:dyDescent="0.2">
      <c r="A311" s="453"/>
      <c r="B311" s="887"/>
      <c r="C311" s="839"/>
      <c r="D311" s="839"/>
      <c r="E311" s="713" t="s">
        <v>1557</v>
      </c>
      <c r="F311" s="712">
        <v>236656280</v>
      </c>
      <c r="G311" s="712">
        <v>3139646</v>
      </c>
      <c r="H311" s="712">
        <v>233516634</v>
      </c>
      <c r="I311" s="712">
        <v>0</v>
      </c>
      <c r="J311" s="712">
        <v>233516634</v>
      </c>
      <c r="K311" s="712">
        <v>0</v>
      </c>
      <c r="L311" s="712">
        <v>0</v>
      </c>
      <c r="M311" s="712">
        <v>0</v>
      </c>
      <c r="N311" s="712">
        <v>233516634</v>
      </c>
    </row>
    <row r="312" spans="1:14" s="175" customFormat="1" ht="12.75" customHeight="1" x14ac:dyDescent="0.2">
      <c r="A312" s="453"/>
      <c r="B312" s="887"/>
      <c r="C312" s="839"/>
      <c r="D312" s="839"/>
      <c r="E312" s="713" t="s">
        <v>1221</v>
      </c>
      <c r="F312" s="712">
        <v>1931850</v>
      </c>
      <c r="G312" s="712">
        <v>1931850</v>
      </c>
      <c r="H312" s="712">
        <v>0</v>
      </c>
      <c r="I312" s="712">
        <v>0</v>
      </c>
      <c r="J312" s="712">
        <v>0</v>
      </c>
      <c r="K312" s="712">
        <v>0</v>
      </c>
      <c r="L312" s="712">
        <v>0</v>
      </c>
      <c r="M312" s="712">
        <v>0</v>
      </c>
      <c r="N312" s="712">
        <v>0</v>
      </c>
    </row>
    <row r="313" spans="1:14" s="175" customFormat="1" ht="12.75" customHeight="1" x14ac:dyDescent="0.2">
      <c r="A313" s="453"/>
      <c r="B313" s="887"/>
      <c r="C313" s="838" t="s">
        <v>1839</v>
      </c>
      <c r="D313" s="838" t="s">
        <v>1704</v>
      </c>
      <c r="E313" s="713" t="s">
        <v>26</v>
      </c>
      <c r="F313" s="712">
        <v>191097567</v>
      </c>
      <c r="G313" s="712">
        <v>191097567</v>
      </c>
      <c r="H313" s="712">
        <v>0</v>
      </c>
      <c r="I313" s="712">
        <v>0</v>
      </c>
      <c r="J313" s="712">
        <v>0</v>
      </c>
      <c r="K313" s="712">
        <v>0</v>
      </c>
      <c r="L313" s="712">
        <v>0</v>
      </c>
      <c r="M313" s="712">
        <v>0</v>
      </c>
      <c r="N313" s="712">
        <v>0</v>
      </c>
    </row>
    <row r="314" spans="1:14" s="175" customFormat="1" ht="12.75" customHeight="1" x14ac:dyDescent="0.2">
      <c r="A314" s="453"/>
      <c r="B314" s="887"/>
      <c r="C314" s="839"/>
      <c r="D314" s="839"/>
      <c r="E314" s="713" t="s">
        <v>1557</v>
      </c>
      <c r="F314" s="712">
        <v>158443223</v>
      </c>
      <c r="G314" s="712">
        <v>158443223</v>
      </c>
      <c r="H314" s="712">
        <v>0</v>
      </c>
      <c r="I314" s="712">
        <v>0</v>
      </c>
      <c r="J314" s="712">
        <v>0</v>
      </c>
      <c r="K314" s="712">
        <v>0</v>
      </c>
      <c r="L314" s="712">
        <v>0</v>
      </c>
      <c r="M314" s="712">
        <v>0</v>
      </c>
      <c r="N314" s="712">
        <v>0</v>
      </c>
    </row>
    <row r="315" spans="1:14" s="175" customFormat="1" ht="12.75" customHeight="1" x14ac:dyDescent="0.2">
      <c r="A315" s="453"/>
      <c r="B315" s="887"/>
      <c r="C315" s="839"/>
      <c r="D315" s="839"/>
      <c r="E315" s="713" t="s">
        <v>3212</v>
      </c>
      <c r="F315" s="712">
        <v>52830</v>
      </c>
      <c r="G315" s="712">
        <v>52830</v>
      </c>
      <c r="H315" s="712">
        <v>0</v>
      </c>
      <c r="I315" s="712">
        <v>0</v>
      </c>
      <c r="J315" s="712">
        <v>0</v>
      </c>
      <c r="K315" s="712">
        <v>0</v>
      </c>
      <c r="L315" s="712">
        <v>0</v>
      </c>
      <c r="M315" s="712">
        <v>0</v>
      </c>
      <c r="N315" s="712">
        <v>0</v>
      </c>
    </row>
    <row r="316" spans="1:14" s="175" customFormat="1" ht="12.75" customHeight="1" x14ac:dyDescent="0.2">
      <c r="A316" s="453"/>
      <c r="B316" s="887"/>
      <c r="C316" s="839"/>
      <c r="D316" s="839"/>
      <c r="E316" s="713" t="s">
        <v>2676</v>
      </c>
      <c r="F316" s="712">
        <v>2366085</v>
      </c>
      <c r="G316" s="712">
        <v>2366085</v>
      </c>
      <c r="H316" s="712">
        <v>0</v>
      </c>
      <c r="I316" s="712">
        <v>0</v>
      </c>
      <c r="J316" s="712">
        <v>0</v>
      </c>
      <c r="K316" s="712">
        <v>0</v>
      </c>
      <c r="L316" s="712">
        <v>0</v>
      </c>
      <c r="M316" s="712">
        <v>0</v>
      </c>
      <c r="N316" s="712">
        <v>0</v>
      </c>
    </row>
    <row r="317" spans="1:14" s="175" customFormat="1" ht="12.75" customHeight="1" x14ac:dyDescent="0.2">
      <c r="A317" s="453"/>
      <c r="B317" s="887"/>
      <c r="C317" s="838" t="s">
        <v>1840</v>
      </c>
      <c r="D317" s="838" t="s">
        <v>2608</v>
      </c>
      <c r="E317" s="713" t="s">
        <v>26</v>
      </c>
      <c r="F317" s="712">
        <v>90524000</v>
      </c>
      <c r="G317" s="712">
        <v>90524000</v>
      </c>
      <c r="H317" s="712">
        <v>0</v>
      </c>
      <c r="I317" s="712">
        <v>0</v>
      </c>
      <c r="J317" s="712">
        <v>0</v>
      </c>
      <c r="K317" s="712">
        <v>0</v>
      </c>
      <c r="L317" s="712">
        <v>0</v>
      </c>
      <c r="M317" s="712">
        <v>0</v>
      </c>
      <c r="N317" s="712">
        <v>0</v>
      </c>
    </row>
    <row r="318" spans="1:14" s="175" customFormat="1" ht="12.75" customHeight="1" x14ac:dyDescent="0.2">
      <c r="A318" s="453"/>
      <c r="B318" s="887"/>
      <c r="C318" s="839"/>
      <c r="D318" s="839"/>
      <c r="E318" s="713" t="s">
        <v>1557</v>
      </c>
      <c r="F318" s="712">
        <v>188000000</v>
      </c>
      <c r="G318" s="712">
        <v>188000000</v>
      </c>
      <c r="H318" s="712">
        <v>0</v>
      </c>
      <c r="I318" s="712">
        <v>0</v>
      </c>
      <c r="J318" s="712">
        <v>0</v>
      </c>
      <c r="K318" s="712">
        <v>0</v>
      </c>
      <c r="L318" s="712">
        <v>0</v>
      </c>
      <c r="M318" s="712">
        <v>0</v>
      </c>
      <c r="N318" s="712">
        <v>0</v>
      </c>
    </row>
    <row r="319" spans="1:14" s="175" customFormat="1" ht="12.75" customHeight="1" x14ac:dyDescent="0.2">
      <c r="A319" s="453"/>
      <c r="B319" s="887"/>
      <c r="C319" s="839"/>
      <c r="D319" s="839"/>
      <c r="E319" s="713" t="s">
        <v>195</v>
      </c>
      <c r="F319" s="712">
        <v>2199540</v>
      </c>
      <c r="G319" s="712">
        <v>2199540</v>
      </c>
      <c r="H319" s="712">
        <v>0</v>
      </c>
      <c r="I319" s="712">
        <v>0</v>
      </c>
      <c r="J319" s="712">
        <v>0</v>
      </c>
      <c r="K319" s="712">
        <v>0</v>
      </c>
      <c r="L319" s="712">
        <v>0</v>
      </c>
      <c r="M319" s="712">
        <v>0</v>
      </c>
      <c r="N319" s="712">
        <v>0</v>
      </c>
    </row>
    <row r="320" spans="1:14" s="175" customFormat="1" ht="12.75" customHeight="1" x14ac:dyDescent="0.2">
      <c r="A320" s="453"/>
      <c r="B320" s="887"/>
      <c r="C320" s="838" t="s">
        <v>1841</v>
      </c>
      <c r="D320" s="838" t="s">
        <v>1000</v>
      </c>
      <c r="E320" s="713" t="s">
        <v>26</v>
      </c>
      <c r="F320" s="712">
        <v>164647857</v>
      </c>
      <c r="G320" s="712">
        <v>164647857</v>
      </c>
      <c r="H320" s="712">
        <v>0</v>
      </c>
      <c r="I320" s="712">
        <v>0</v>
      </c>
      <c r="J320" s="712">
        <v>0</v>
      </c>
      <c r="K320" s="712">
        <v>0</v>
      </c>
      <c r="L320" s="712">
        <v>0</v>
      </c>
      <c r="M320" s="712">
        <v>0</v>
      </c>
      <c r="N320" s="712">
        <v>0</v>
      </c>
    </row>
    <row r="321" spans="1:14" s="175" customFormat="1" ht="12.75" customHeight="1" x14ac:dyDescent="0.2">
      <c r="A321" s="453"/>
      <c r="B321" s="887"/>
      <c r="C321" s="839"/>
      <c r="D321" s="839"/>
      <c r="E321" s="713" t="s">
        <v>1557</v>
      </c>
      <c r="F321" s="712">
        <v>150000000</v>
      </c>
      <c r="G321" s="712">
        <v>150000000</v>
      </c>
      <c r="H321" s="712">
        <v>0</v>
      </c>
      <c r="I321" s="712">
        <v>0</v>
      </c>
      <c r="J321" s="712">
        <v>0</v>
      </c>
      <c r="K321" s="712">
        <v>0</v>
      </c>
      <c r="L321" s="712">
        <v>0</v>
      </c>
      <c r="M321" s="712">
        <v>0</v>
      </c>
      <c r="N321" s="712">
        <v>0</v>
      </c>
    </row>
    <row r="322" spans="1:14" s="175" customFormat="1" ht="12.75" customHeight="1" x14ac:dyDescent="0.2">
      <c r="A322" s="453"/>
      <c r="B322" s="887"/>
      <c r="C322" s="839"/>
      <c r="D322" s="839"/>
      <c r="E322" s="713" t="s">
        <v>3212</v>
      </c>
      <c r="F322" s="712">
        <v>105000</v>
      </c>
      <c r="G322" s="712">
        <v>105000</v>
      </c>
      <c r="H322" s="712">
        <v>0</v>
      </c>
      <c r="I322" s="712">
        <v>0</v>
      </c>
      <c r="J322" s="712">
        <v>0</v>
      </c>
      <c r="K322" s="712">
        <v>0</v>
      </c>
      <c r="L322" s="712">
        <v>0</v>
      </c>
      <c r="M322" s="712">
        <v>0</v>
      </c>
      <c r="N322" s="712">
        <v>0</v>
      </c>
    </row>
    <row r="323" spans="1:14" s="175" customFormat="1" ht="12.75" customHeight="1" x14ac:dyDescent="0.2">
      <c r="A323" s="453"/>
      <c r="B323" s="887"/>
      <c r="C323" s="839"/>
      <c r="D323" s="839"/>
      <c r="E323" s="713" t="s">
        <v>2676</v>
      </c>
      <c r="F323" s="712">
        <v>800000</v>
      </c>
      <c r="G323" s="712">
        <v>800000</v>
      </c>
      <c r="H323" s="712">
        <v>0</v>
      </c>
      <c r="I323" s="712">
        <v>0</v>
      </c>
      <c r="J323" s="712">
        <v>0</v>
      </c>
      <c r="K323" s="712">
        <v>0</v>
      </c>
      <c r="L323" s="712">
        <v>0</v>
      </c>
      <c r="M323" s="712">
        <v>0</v>
      </c>
      <c r="N323" s="712">
        <v>0</v>
      </c>
    </row>
    <row r="324" spans="1:14" s="175" customFormat="1" ht="12.75" customHeight="1" x14ac:dyDescent="0.2">
      <c r="A324" s="453"/>
      <c r="B324" s="887"/>
      <c r="C324" s="838" t="s">
        <v>1842</v>
      </c>
      <c r="D324" s="838" t="s">
        <v>2577</v>
      </c>
      <c r="E324" s="713" t="s">
        <v>26</v>
      </c>
      <c r="F324" s="712">
        <v>315800000</v>
      </c>
      <c r="G324" s="712">
        <v>315800000</v>
      </c>
      <c r="H324" s="712">
        <v>0</v>
      </c>
      <c r="I324" s="712">
        <v>0</v>
      </c>
      <c r="J324" s="712">
        <v>0</v>
      </c>
      <c r="K324" s="712">
        <v>0</v>
      </c>
      <c r="L324" s="712">
        <v>0</v>
      </c>
      <c r="M324" s="712">
        <v>0</v>
      </c>
      <c r="N324" s="712">
        <v>0</v>
      </c>
    </row>
    <row r="325" spans="1:14" s="175" customFormat="1" ht="12.75" customHeight="1" x14ac:dyDescent="0.2">
      <c r="A325" s="453"/>
      <c r="B325" s="887"/>
      <c r="C325" s="839"/>
      <c r="D325" s="839"/>
      <c r="E325" s="713" t="s">
        <v>3212</v>
      </c>
      <c r="F325" s="712">
        <v>120754</v>
      </c>
      <c r="G325" s="712">
        <v>0</v>
      </c>
      <c r="H325" s="712">
        <v>120754</v>
      </c>
      <c r="I325" s="712">
        <v>0</v>
      </c>
      <c r="J325" s="712">
        <v>120754</v>
      </c>
      <c r="K325" s="712">
        <v>0</v>
      </c>
      <c r="L325" s="712">
        <v>0</v>
      </c>
      <c r="M325" s="712">
        <v>0</v>
      </c>
      <c r="N325" s="712">
        <v>120754</v>
      </c>
    </row>
    <row r="326" spans="1:14" s="175" customFormat="1" ht="12.75" customHeight="1" x14ac:dyDescent="0.2">
      <c r="A326" s="453"/>
      <c r="B326" s="887"/>
      <c r="C326" s="839"/>
      <c r="D326" s="839"/>
      <c r="E326" s="713" t="s">
        <v>195</v>
      </c>
      <c r="F326" s="712">
        <v>732954</v>
      </c>
      <c r="G326" s="712">
        <v>732954</v>
      </c>
      <c r="H326" s="712">
        <v>0</v>
      </c>
      <c r="I326" s="712">
        <v>0</v>
      </c>
      <c r="J326" s="712">
        <v>0</v>
      </c>
      <c r="K326" s="712">
        <v>0</v>
      </c>
      <c r="L326" s="712">
        <v>0</v>
      </c>
      <c r="M326" s="712">
        <v>0</v>
      </c>
      <c r="N326" s="712">
        <v>0</v>
      </c>
    </row>
    <row r="327" spans="1:14" s="175" customFormat="1" ht="12.75" customHeight="1" x14ac:dyDescent="0.2">
      <c r="A327" s="453"/>
      <c r="B327" s="887"/>
      <c r="C327" s="839"/>
      <c r="D327" s="839"/>
      <c r="E327" s="713" t="s">
        <v>1221</v>
      </c>
      <c r="F327" s="712">
        <v>1931850</v>
      </c>
      <c r="G327" s="712">
        <v>1931850</v>
      </c>
      <c r="H327" s="712">
        <v>0</v>
      </c>
      <c r="I327" s="712">
        <v>0</v>
      </c>
      <c r="J327" s="712">
        <v>0</v>
      </c>
      <c r="K327" s="712">
        <v>0</v>
      </c>
      <c r="L327" s="712">
        <v>0</v>
      </c>
      <c r="M327" s="712">
        <v>0</v>
      </c>
      <c r="N327" s="712">
        <v>0</v>
      </c>
    </row>
    <row r="328" spans="1:14" s="175" customFormat="1" ht="12.75" customHeight="1" x14ac:dyDescent="0.2">
      <c r="A328" s="453"/>
      <c r="B328" s="887"/>
      <c r="C328" s="838" t="s">
        <v>1843</v>
      </c>
      <c r="D328" s="838" t="s">
        <v>883</v>
      </c>
      <c r="E328" s="713" t="s">
        <v>22</v>
      </c>
      <c r="F328" s="712">
        <v>65925346</v>
      </c>
      <c r="G328" s="712">
        <v>65925346</v>
      </c>
      <c r="H328" s="712">
        <v>0</v>
      </c>
      <c r="I328" s="712">
        <v>0</v>
      </c>
      <c r="J328" s="712">
        <v>0</v>
      </c>
      <c r="K328" s="712">
        <v>0</v>
      </c>
      <c r="L328" s="712">
        <v>0</v>
      </c>
      <c r="M328" s="712">
        <v>0</v>
      </c>
      <c r="N328" s="712">
        <v>0</v>
      </c>
    </row>
    <row r="329" spans="1:14" s="175" customFormat="1" ht="12.75" customHeight="1" x14ac:dyDescent="0.2">
      <c r="A329" s="453"/>
      <c r="B329" s="887"/>
      <c r="C329" s="839"/>
      <c r="D329" s="839"/>
      <c r="E329" s="713" t="s">
        <v>26</v>
      </c>
      <c r="F329" s="712">
        <v>84383147</v>
      </c>
      <c r="G329" s="712">
        <v>84383147</v>
      </c>
      <c r="H329" s="712">
        <v>0</v>
      </c>
      <c r="I329" s="712">
        <v>0</v>
      </c>
      <c r="J329" s="712">
        <v>0</v>
      </c>
      <c r="K329" s="712">
        <v>0</v>
      </c>
      <c r="L329" s="712">
        <v>0</v>
      </c>
      <c r="M329" s="712">
        <v>0</v>
      </c>
      <c r="N329" s="712">
        <v>0</v>
      </c>
    </row>
    <row r="330" spans="1:14" s="175" customFormat="1" ht="12.75" customHeight="1" x14ac:dyDescent="0.2">
      <c r="A330" s="453"/>
      <c r="B330" s="887"/>
      <c r="C330" s="839"/>
      <c r="D330" s="839"/>
      <c r="E330" s="713" t="s">
        <v>1557</v>
      </c>
      <c r="F330" s="712">
        <v>196894012</v>
      </c>
      <c r="G330" s="712">
        <v>196894012</v>
      </c>
      <c r="H330" s="712">
        <v>0</v>
      </c>
      <c r="I330" s="712">
        <v>0</v>
      </c>
      <c r="J330" s="712">
        <v>0</v>
      </c>
      <c r="K330" s="712">
        <v>0</v>
      </c>
      <c r="L330" s="712">
        <v>0</v>
      </c>
      <c r="M330" s="712">
        <v>0</v>
      </c>
      <c r="N330" s="712">
        <v>0</v>
      </c>
    </row>
    <row r="331" spans="1:14" s="175" customFormat="1" ht="12.75" customHeight="1" x14ac:dyDescent="0.2">
      <c r="A331" s="453"/>
      <c r="B331" s="887"/>
      <c r="C331" s="839"/>
      <c r="D331" s="839"/>
      <c r="E331" s="713" t="s">
        <v>2676</v>
      </c>
      <c r="F331" s="712">
        <v>259245</v>
      </c>
      <c r="G331" s="712">
        <v>259245</v>
      </c>
      <c r="H331" s="712">
        <v>0</v>
      </c>
      <c r="I331" s="712">
        <v>0</v>
      </c>
      <c r="J331" s="712">
        <v>0</v>
      </c>
      <c r="K331" s="712">
        <v>0</v>
      </c>
      <c r="L331" s="712">
        <v>0</v>
      </c>
      <c r="M331" s="712">
        <v>0</v>
      </c>
      <c r="N331" s="712">
        <v>0</v>
      </c>
    </row>
    <row r="332" spans="1:14" s="175" customFormat="1" ht="12.75" customHeight="1" x14ac:dyDescent="0.2">
      <c r="A332" s="453"/>
      <c r="B332" s="887"/>
      <c r="C332" s="838" t="s">
        <v>1844</v>
      </c>
      <c r="D332" s="838" t="s">
        <v>3333</v>
      </c>
      <c r="E332" s="713" t="s">
        <v>26</v>
      </c>
      <c r="F332" s="712">
        <v>346438716</v>
      </c>
      <c r="G332" s="712">
        <v>346438716</v>
      </c>
      <c r="H332" s="712">
        <v>0</v>
      </c>
      <c r="I332" s="712">
        <v>0</v>
      </c>
      <c r="J332" s="712">
        <v>0</v>
      </c>
      <c r="K332" s="712">
        <v>0</v>
      </c>
      <c r="L332" s="712">
        <v>0</v>
      </c>
      <c r="M332" s="712">
        <v>0</v>
      </c>
      <c r="N332" s="712">
        <v>0</v>
      </c>
    </row>
    <row r="333" spans="1:14" s="175" customFormat="1" ht="12.75" customHeight="1" x14ac:dyDescent="0.2">
      <c r="A333" s="453"/>
      <c r="B333" s="887"/>
      <c r="C333" s="839"/>
      <c r="D333" s="839"/>
      <c r="E333" s="713" t="s">
        <v>3212</v>
      </c>
      <c r="F333" s="712">
        <v>1534811</v>
      </c>
      <c r="G333" s="712">
        <v>1534811</v>
      </c>
      <c r="H333" s="712">
        <v>0</v>
      </c>
      <c r="I333" s="712">
        <v>0</v>
      </c>
      <c r="J333" s="712">
        <v>0</v>
      </c>
      <c r="K333" s="712">
        <v>0</v>
      </c>
      <c r="L333" s="712">
        <v>0</v>
      </c>
      <c r="M333" s="712">
        <v>0</v>
      </c>
      <c r="N333" s="712">
        <v>0</v>
      </c>
    </row>
    <row r="334" spans="1:14" s="175" customFormat="1" ht="12.75" customHeight="1" x14ac:dyDescent="0.2">
      <c r="A334" s="453"/>
      <c r="B334" s="887"/>
      <c r="C334" s="839"/>
      <c r="D334" s="839"/>
      <c r="E334" s="713" t="s">
        <v>2676</v>
      </c>
      <c r="F334" s="712">
        <v>14848000</v>
      </c>
      <c r="G334" s="712">
        <v>14848000</v>
      </c>
      <c r="H334" s="712">
        <v>0</v>
      </c>
      <c r="I334" s="712">
        <v>0</v>
      </c>
      <c r="J334" s="712">
        <v>0</v>
      </c>
      <c r="K334" s="712">
        <v>0</v>
      </c>
      <c r="L334" s="712">
        <v>0</v>
      </c>
      <c r="M334" s="712">
        <v>0</v>
      </c>
      <c r="N334" s="712">
        <v>0</v>
      </c>
    </row>
    <row r="335" spans="1:14" s="175" customFormat="1" ht="12.75" customHeight="1" x14ac:dyDescent="0.2">
      <c r="A335" s="453"/>
      <c r="B335" s="887"/>
      <c r="C335" s="838" t="s">
        <v>1845</v>
      </c>
      <c r="D335" s="838" t="s">
        <v>1115</v>
      </c>
      <c r="E335" s="713" t="s">
        <v>26</v>
      </c>
      <c r="F335" s="712">
        <v>213474090</v>
      </c>
      <c r="G335" s="712">
        <v>213474090</v>
      </c>
      <c r="H335" s="712">
        <v>0</v>
      </c>
      <c r="I335" s="712">
        <v>0</v>
      </c>
      <c r="J335" s="712">
        <v>0</v>
      </c>
      <c r="K335" s="712">
        <v>0</v>
      </c>
      <c r="L335" s="712">
        <v>0</v>
      </c>
      <c r="M335" s="712">
        <v>0</v>
      </c>
      <c r="N335" s="712">
        <v>0</v>
      </c>
    </row>
    <row r="336" spans="1:14" s="175" customFormat="1" ht="12.75" customHeight="1" x14ac:dyDescent="0.2">
      <c r="A336" s="453"/>
      <c r="B336" s="887"/>
      <c r="C336" s="839"/>
      <c r="D336" s="839"/>
      <c r="E336" s="713" t="s">
        <v>1557</v>
      </c>
      <c r="F336" s="712">
        <v>138000000</v>
      </c>
      <c r="G336" s="712">
        <v>138000000</v>
      </c>
      <c r="H336" s="712">
        <v>0</v>
      </c>
      <c r="I336" s="712">
        <v>0</v>
      </c>
      <c r="J336" s="712">
        <v>0</v>
      </c>
      <c r="K336" s="712">
        <v>0</v>
      </c>
      <c r="L336" s="712">
        <v>0</v>
      </c>
      <c r="M336" s="712">
        <v>0</v>
      </c>
      <c r="N336" s="712">
        <v>0</v>
      </c>
    </row>
    <row r="337" spans="1:14" s="175" customFormat="1" ht="12.75" customHeight="1" x14ac:dyDescent="0.2">
      <c r="A337" s="453"/>
      <c r="B337" s="887"/>
      <c r="C337" s="839"/>
      <c r="D337" s="839"/>
      <c r="E337" s="713" t="s">
        <v>3212</v>
      </c>
      <c r="F337" s="712">
        <v>148178</v>
      </c>
      <c r="G337" s="712">
        <v>0</v>
      </c>
      <c r="H337" s="712">
        <v>148178</v>
      </c>
      <c r="I337" s="712">
        <v>0</v>
      </c>
      <c r="J337" s="712">
        <v>148178</v>
      </c>
      <c r="K337" s="712">
        <v>0</v>
      </c>
      <c r="L337" s="712">
        <v>0</v>
      </c>
      <c r="M337" s="712">
        <v>0</v>
      </c>
      <c r="N337" s="712">
        <v>148178</v>
      </c>
    </row>
    <row r="338" spans="1:14" s="175" customFormat="1" ht="12.75" customHeight="1" x14ac:dyDescent="0.2">
      <c r="A338" s="453"/>
      <c r="B338" s="887"/>
      <c r="C338" s="839"/>
      <c r="D338" s="839"/>
      <c r="E338" s="713" t="s">
        <v>195</v>
      </c>
      <c r="F338" s="712">
        <v>419362</v>
      </c>
      <c r="G338" s="712">
        <v>419362</v>
      </c>
      <c r="H338" s="712">
        <v>0</v>
      </c>
      <c r="I338" s="712">
        <v>0</v>
      </c>
      <c r="J338" s="712">
        <v>0</v>
      </c>
      <c r="K338" s="712">
        <v>0</v>
      </c>
      <c r="L338" s="712">
        <v>0</v>
      </c>
      <c r="M338" s="712">
        <v>0</v>
      </c>
      <c r="N338" s="712">
        <v>0</v>
      </c>
    </row>
    <row r="339" spans="1:14" s="175" customFormat="1" ht="12.75" customHeight="1" x14ac:dyDescent="0.2">
      <c r="A339" s="453"/>
      <c r="B339" s="887"/>
      <c r="C339" s="839"/>
      <c r="D339" s="839"/>
      <c r="E339" s="713" t="s">
        <v>2676</v>
      </c>
      <c r="F339" s="712">
        <v>294400</v>
      </c>
      <c r="G339" s="712">
        <v>548</v>
      </c>
      <c r="H339" s="712">
        <v>293852</v>
      </c>
      <c r="I339" s="712">
        <v>0</v>
      </c>
      <c r="J339" s="712">
        <v>293852</v>
      </c>
      <c r="K339" s="712">
        <v>0</v>
      </c>
      <c r="L339" s="712">
        <v>0</v>
      </c>
      <c r="M339" s="712">
        <v>0</v>
      </c>
      <c r="N339" s="712">
        <v>293852</v>
      </c>
    </row>
    <row r="340" spans="1:14" s="175" customFormat="1" ht="12.75" customHeight="1" x14ac:dyDescent="0.2">
      <c r="A340" s="453"/>
      <c r="B340" s="887"/>
      <c r="C340" s="838" t="s">
        <v>1846</v>
      </c>
      <c r="D340" s="838" t="s">
        <v>1746</v>
      </c>
      <c r="E340" s="713" t="s">
        <v>26</v>
      </c>
      <c r="F340" s="712">
        <v>89140000</v>
      </c>
      <c r="G340" s="712">
        <v>89140000</v>
      </c>
      <c r="H340" s="712">
        <v>0</v>
      </c>
      <c r="I340" s="712">
        <v>0</v>
      </c>
      <c r="J340" s="712">
        <v>0</v>
      </c>
      <c r="K340" s="712">
        <v>0</v>
      </c>
      <c r="L340" s="712">
        <v>0</v>
      </c>
      <c r="M340" s="712">
        <v>0</v>
      </c>
      <c r="N340" s="712">
        <v>0</v>
      </c>
    </row>
    <row r="341" spans="1:14" s="175" customFormat="1" ht="12.75" customHeight="1" x14ac:dyDescent="0.2">
      <c r="A341" s="453"/>
      <c r="B341" s="887"/>
      <c r="C341" s="839"/>
      <c r="D341" s="839"/>
      <c r="E341" s="713" t="s">
        <v>1557</v>
      </c>
      <c r="F341" s="712">
        <v>193221803</v>
      </c>
      <c r="G341" s="712">
        <v>193221803</v>
      </c>
      <c r="H341" s="712">
        <v>0</v>
      </c>
      <c r="I341" s="712">
        <v>0</v>
      </c>
      <c r="J341" s="712">
        <v>0</v>
      </c>
      <c r="K341" s="712">
        <v>0</v>
      </c>
      <c r="L341" s="712">
        <v>0</v>
      </c>
      <c r="M341" s="712">
        <v>0</v>
      </c>
      <c r="N341" s="712">
        <v>0</v>
      </c>
    </row>
    <row r="342" spans="1:14" s="175" customFormat="1" ht="12.75" customHeight="1" x14ac:dyDescent="0.2">
      <c r="A342" s="453"/>
      <c r="B342" s="887"/>
      <c r="C342" s="839"/>
      <c r="D342" s="839"/>
      <c r="E342" s="713" t="s">
        <v>3212</v>
      </c>
      <c r="F342" s="712">
        <v>599076</v>
      </c>
      <c r="G342" s="712">
        <v>0</v>
      </c>
      <c r="H342" s="712">
        <v>599076</v>
      </c>
      <c r="I342" s="712">
        <v>0</v>
      </c>
      <c r="J342" s="712">
        <v>599076</v>
      </c>
      <c r="K342" s="712">
        <v>0</v>
      </c>
      <c r="L342" s="712">
        <v>599076</v>
      </c>
      <c r="M342" s="712">
        <v>0</v>
      </c>
      <c r="N342" s="712">
        <v>0</v>
      </c>
    </row>
    <row r="343" spans="1:14" s="175" customFormat="1" ht="12.75" customHeight="1" x14ac:dyDescent="0.2">
      <c r="A343" s="453"/>
      <c r="B343" s="887"/>
      <c r="C343" s="839"/>
      <c r="D343" s="839"/>
      <c r="E343" s="713" t="s">
        <v>2676</v>
      </c>
      <c r="F343" s="712">
        <v>11091566</v>
      </c>
      <c r="G343" s="712">
        <v>11091566</v>
      </c>
      <c r="H343" s="712">
        <v>0</v>
      </c>
      <c r="I343" s="712">
        <v>0</v>
      </c>
      <c r="J343" s="712">
        <v>0</v>
      </c>
      <c r="K343" s="712">
        <v>0</v>
      </c>
      <c r="L343" s="712">
        <v>0</v>
      </c>
      <c r="M343" s="712">
        <v>0</v>
      </c>
      <c r="N343" s="712">
        <v>0</v>
      </c>
    </row>
    <row r="344" spans="1:14" s="175" customFormat="1" ht="12.75" customHeight="1" x14ac:dyDescent="0.2">
      <c r="A344" s="453"/>
      <c r="B344" s="887"/>
      <c r="C344" s="838" t="s">
        <v>1847</v>
      </c>
      <c r="D344" s="838" t="s">
        <v>2532</v>
      </c>
      <c r="E344" s="713" t="s">
        <v>26</v>
      </c>
      <c r="F344" s="712">
        <v>111040506</v>
      </c>
      <c r="G344" s="712">
        <v>111040506</v>
      </c>
      <c r="H344" s="712">
        <v>0</v>
      </c>
      <c r="I344" s="712">
        <v>0</v>
      </c>
      <c r="J344" s="712">
        <v>0</v>
      </c>
      <c r="K344" s="712">
        <v>0</v>
      </c>
      <c r="L344" s="712">
        <v>0</v>
      </c>
      <c r="M344" s="712">
        <v>0</v>
      </c>
      <c r="N344" s="712">
        <v>0</v>
      </c>
    </row>
    <row r="345" spans="1:14" s="175" customFormat="1" ht="12.75" customHeight="1" x14ac:dyDescent="0.2">
      <c r="A345" s="453"/>
      <c r="B345" s="887"/>
      <c r="C345" s="839"/>
      <c r="D345" s="839"/>
      <c r="E345" s="713" t="s">
        <v>1557</v>
      </c>
      <c r="F345" s="712">
        <v>259094513</v>
      </c>
      <c r="G345" s="712">
        <v>259094513</v>
      </c>
      <c r="H345" s="712">
        <v>0</v>
      </c>
      <c r="I345" s="712">
        <v>0</v>
      </c>
      <c r="J345" s="712">
        <v>0</v>
      </c>
      <c r="K345" s="712">
        <v>0</v>
      </c>
      <c r="L345" s="712">
        <v>0</v>
      </c>
      <c r="M345" s="712">
        <v>0</v>
      </c>
      <c r="N345" s="712">
        <v>0</v>
      </c>
    </row>
    <row r="346" spans="1:14" s="175" customFormat="1" ht="12.75" customHeight="1" x14ac:dyDescent="0.2">
      <c r="A346" s="453"/>
      <c r="B346" s="887"/>
      <c r="C346" s="839"/>
      <c r="D346" s="839"/>
      <c r="E346" s="713" t="s">
        <v>3212</v>
      </c>
      <c r="F346" s="712">
        <v>158208</v>
      </c>
      <c r="G346" s="712">
        <v>0</v>
      </c>
      <c r="H346" s="712">
        <v>158208</v>
      </c>
      <c r="I346" s="712">
        <v>0</v>
      </c>
      <c r="J346" s="712">
        <v>158208</v>
      </c>
      <c r="K346" s="712">
        <v>0</v>
      </c>
      <c r="L346" s="712">
        <v>0</v>
      </c>
      <c r="M346" s="712">
        <v>0</v>
      </c>
      <c r="N346" s="712">
        <v>158208</v>
      </c>
    </row>
    <row r="347" spans="1:14" s="175" customFormat="1" ht="12.75" customHeight="1" x14ac:dyDescent="0.2">
      <c r="A347" s="453"/>
      <c r="B347" s="887"/>
      <c r="C347" s="839"/>
      <c r="D347" s="839"/>
      <c r="E347" s="713" t="s">
        <v>2676</v>
      </c>
      <c r="F347" s="712">
        <v>2141848</v>
      </c>
      <c r="G347" s="712">
        <v>0</v>
      </c>
      <c r="H347" s="712">
        <v>2141848</v>
      </c>
      <c r="I347" s="712">
        <v>0</v>
      </c>
      <c r="J347" s="712">
        <v>2141848</v>
      </c>
      <c r="K347" s="712">
        <v>0</v>
      </c>
      <c r="L347" s="712">
        <v>0</v>
      </c>
      <c r="M347" s="712">
        <v>0</v>
      </c>
      <c r="N347" s="712">
        <v>2141848</v>
      </c>
    </row>
    <row r="348" spans="1:14" s="175" customFormat="1" ht="12.75" customHeight="1" x14ac:dyDescent="0.2">
      <c r="A348" s="453"/>
      <c r="B348" s="887"/>
      <c r="C348" s="838" t="s">
        <v>1848</v>
      </c>
      <c r="D348" s="838" t="s">
        <v>1638</v>
      </c>
      <c r="E348" s="713" t="s">
        <v>26</v>
      </c>
      <c r="F348" s="712">
        <v>97386000</v>
      </c>
      <c r="G348" s="712">
        <v>97386000</v>
      </c>
      <c r="H348" s="712">
        <v>0</v>
      </c>
      <c r="I348" s="712">
        <v>0</v>
      </c>
      <c r="J348" s="712">
        <v>0</v>
      </c>
      <c r="K348" s="712">
        <v>0</v>
      </c>
      <c r="L348" s="712">
        <v>0</v>
      </c>
      <c r="M348" s="712">
        <v>0</v>
      </c>
      <c r="N348" s="712">
        <v>0</v>
      </c>
    </row>
    <row r="349" spans="1:14" s="175" customFormat="1" ht="12.75" customHeight="1" x14ac:dyDescent="0.2">
      <c r="A349" s="453"/>
      <c r="B349" s="887"/>
      <c r="C349" s="839"/>
      <c r="D349" s="839"/>
      <c r="E349" s="713" t="s">
        <v>1557</v>
      </c>
      <c r="F349" s="712">
        <v>227234000</v>
      </c>
      <c r="G349" s="712">
        <v>227234000</v>
      </c>
      <c r="H349" s="712">
        <v>0</v>
      </c>
      <c r="I349" s="712">
        <v>0</v>
      </c>
      <c r="J349" s="712">
        <v>0</v>
      </c>
      <c r="K349" s="712">
        <v>0</v>
      </c>
      <c r="L349" s="712">
        <v>0</v>
      </c>
      <c r="M349" s="712">
        <v>0</v>
      </c>
      <c r="N349" s="712">
        <v>0</v>
      </c>
    </row>
    <row r="350" spans="1:14" s="175" customFormat="1" ht="12.75" customHeight="1" x14ac:dyDescent="0.2">
      <c r="A350" s="453"/>
      <c r="B350" s="887"/>
      <c r="C350" s="839"/>
      <c r="D350" s="839"/>
      <c r="E350" s="713" t="s">
        <v>822</v>
      </c>
      <c r="F350" s="712">
        <v>463557</v>
      </c>
      <c r="G350" s="712">
        <v>0</v>
      </c>
      <c r="H350" s="712">
        <v>463557</v>
      </c>
      <c r="I350" s="712">
        <v>0</v>
      </c>
      <c r="J350" s="712">
        <v>463557</v>
      </c>
      <c r="K350" s="712">
        <v>0</v>
      </c>
      <c r="L350" s="712">
        <v>0</v>
      </c>
      <c r="M350" s="712">
        <v>0</v>
      </c>
      <c r="N350" s="712">
        <v>463557</v>
      </c>
    </row>
    <row r="351" spans="1:14" s="175" customFormat="1" ht="12.75" customHeight="1" x14ac:dyDescent="0.2">
      <c r="A351" s="453"/>
      <c r="B351" s="887"/>
      <c r="C351" s="839"/>
      <c r="D351" s="839"/>
      <c r="E351" s="713" t="s">
        <v>3212</v>
      </c>
      <c r="F351" s="712">
        <v>108020</v>
      </c>
      <c r="G351" s="712">
        <v>0</v>
      </c>
      <c r="H351" s="712">
        <v>108020</v>
      </c>
      <c r="I351" s="712">
        <v>0</v>
      </c>
      <c r="J351" s="712">
        <v>108020</v>
      </c>
      <c r="K351" s="712">
        <v>0</v>
      </c>
      <c r="L351" s="712">
        <v>0</v>
      </c>
      <c r="M351" s="712">
        <v>0</v>
      </c>
      <c r="N351" s="712">
        <v>108020</v>
      </c>
    </row>
    <row r="352" spans="1:14" s="175" customFormat="1" ht="12.75" customHeight="1" x14ac:dyDescent="0.2">
      <c r="A352" s="453"/>
      <c r="B352" s="887"/>
      <c r="C352" s="839"/>
      <c r="D352" s="839"/>
      <c r="E352" s="713" t="s">
        <v>2676</v>
      </c>
      <c r="F352" s="712">
        <v>293645</v>
      </c>
      <c r="G352" s="712">
        <v>293645</v>
      </c>
      <c r="H352" s="712">
        <v>0</v>
      </c>
      <c r="I352" s="712">
        <v>0</v>
      </c>
      <c r="J352" s="712">
        <v>0</v>
      </c>
      <c r="K352" s="712">
        <v>0</v>
      </c>
      <c r="L352" s="712">
        <v>0</v>
      </c>
      <c r="M352" s="712">
        <v>0</v>
      </c>
      <c r="N352" s="712">
        <v>0</v>
      </c>
    </row>
    <row r="353" spans="1:14" s="175" customFormat="1" ht="12.75" customHeight="1" x14ac:dyDescent="0.2">
      <c r="A353" s="453"/>
      <c r="B353" s="887"/>
      <c r="C353" s="838" t="s">
        <v>1849</v>
      </c>
      <c r="D353" s="838" t="s">
        <v>2605</v>
      </c>
      <c r="E353" s="713" t="s">
        <v>26</v>
      </c>
      <c r="F353" s="712">
        <v>273213733</v>
      </c>
      <c r="G353" s="712">
        <v>273213733</v>
      </c>
      <c r="H353" s="712">
        <v>0</v>
      </c>
      <c r="I353" s="712">
        <v>0</v>
      </c>
      <c r="J353" s="712">
        <v>0</v>
      </c>
      <c r="K353" s="712">
        <v>0</v>
      </c>
      <c r="L353" s="712">
        <v>0</v>
      </c>
      <c r="M353" s="712">
        <v>0</v>
      </c>
      <c r="N353" s="712">
        <v>0</v>
      </c>
    </row>
    <row r="354" spans="1:14" s="175" customFormat="1" ht="12.75" customHeight="1" x14ac:dyDescent="0.2">
      <c r="A354" s="453"/>
      <c r="B354" s="887"/>
      <c r="C354" s="839"/>
      <c r="D354" s="839"/>
      <c r="E354" s="713" t="s">
        <v>3212</v>
      </c>
      <c r="F354" s="712">
        <v>127099</v>
      </c>
      <c r="G354" s="712">
        <v>127099</v>
      </c>
      <c r="H354" s="712">
        <v>0</v>
      </c>
      <c r="I354" s="712">
        <v>0</v>
      </c>
      <c r="J354" s="712">
        <v>0</v>
      </c>
      <c r="K354" s="712">
        <v>0</v>
      </c>
      <c r="L354" s="712">
        <v>0</v>
      </c>
      <c r="M354" s="712">
        <v>0</v>
      </c>
      <c r="N354" s="712">
        <v>0</v>
      </c>
    </row>
    <row r="355" spans="1:14" s="175" customFormat="1" ht="12.75" customHeight="1" x14ac:dyDescent="0.2">
      <c r="A355" s="453"/>
      <c r="B355" s="887"/>
      <c r="C355" s="838" t="s">
        <v>1850</v>
      </c>
      <c r="D355" s="838" t="s">
        <v>3131</v>
      </c>
      <c r="E355" s="713" t="s">
        <v>26</v>
      </c>
      <c r="F355" s="712">
        <v>102390000</v>
      </c>
      <c r="G355" s="712">
        <v>102390000</v>
      </c>
      <c r="H355" s="712">
        <v>0</v>
      </c>
      <c r="I355" s="712">
        <v>0</v>
      </c>
      <c r="J355" s="712">
        <v>0</v>
      </c>
      <c r="K355" s="712">
        <v>0</v>
      </c>
      <c r="L355" s="712">
        <v>0</v>
      </c>
      <c r="M355" s="712">
        <v>0</v>
      </c>
      <c r="N355" s="712">
        <v>0</v>
      </c>
    </row>
    <row r="356" spans="1:14" s="175" customFormat="1" ht="12.75" customHeight="1" x14ac:dyDescent="0.2">
      <c r="A356" s="453"/>
      <c r="B356" s="887"/>
      <c r="C356" s="839"/>
      <c r="D356" s="839"/>
      <c r="E356" s="713" t="s">
        <v>1557</v>
      </c>
      <c r="F356" s="712">
        <v>238910000</v>
      </c>
      <c r="G356" s="712">
        <v>238910000</v>
      </c>
      <c r="H356" s="712">
        <v>0</v>
      </c>
      <c r="I356" s="712">
        <v>0</v>
      </c>
      <c r="J356" s="712">
        <v>0</v>
      </c>
      <c r="K356" s="712">
        <v>0</v>
      </c>
      <c r="L356" s="712">
        <v>0</v>
      </c>
      <c r="M356" s="712">
        <v>0</v>
      </c>
      <c r="N356" s="712">
        <v>0</v>
      </c>
    </row>
    <row r="357" spans="1:14" s="175" customFormat="1" ht="12.75" customHeight="1" x14ac:dyDescent="0.2">
      <c r="A357" s="453"/>
      <c r="B357" s="887"/>
      <c r="C357" s="839"/>
      <c r="D357" s="839"/>
      <c r="E357" s="713" t="s">
        <v>822</v>
      </c>
      <c r="F357" s="712">
        <v>487375</v>
      </c>
      <c r="G357" s="712">
        <v>487375</v>
      </c>
      <c r="H357" s="712">
        <v>0</v>
      </c>
      <c r="I357" s="712">
        <v>0</v>
      </c>
      <c r="J357" s="712">
        <v>0</v>
      </c>
      <c r="K357" s="712">
        <v>0</v>
      </c>
      <c r="L357" s="712">
        <v>0</v>
      </c>
      <c r="M357" s="712">
        <v>0</v>
      </c>
      <c r="N357" s="712">
        <v>0</v>
      </c>
    </row>
    <row r="358" spans="1:14" s="175" customFormat="1" ht="12.75" customHeight="1" x14ac:dyDescent="0.2">
      <c r="A358" s="453"/>
      <c r="B358" s="887"/>
      <c r="C358" s="839"/>
      <c r="D358" s="839"/>
      <c r="E358" s="713" t="s">
        <v>3212</v>
      </c>
      <c r="F358" s="712">
        <v>1406367</v>
      </c>
      <c r="G358" s="712">
        <v>0</v>
      </c>
      <c r="H358" s="712">
        <v>1406367</v>
      </c>
      <c r="I358" s="712">
        <v>0</v>
      </c>
      <c r="J358" s="712">
        <v>1406367</v>
      </c>
      <c r="K358" s="712">
        <v>0</v>
      </c>
      <c r="L358" s="712">
        <v>0</v>
      </c>
      <c r="M358" s="712">
        <v>0</v>
      </c>
      <c r="N358" s="712">
        <v>1406367</v>
      </c>
    </row>
    <row r="359" spans="1:14" s="175" customFormat="1" ht="12.75" customHeight="1" x14ac:dyDescent="0.2">
      <c r="A359" s="453"/>
      <c r="B359" s="887"/>
      <c r="C359" s="839"/>
      <c r="D359" s="839"/>
      <c r="E359" s="713" t="s">
        <v>195</v>
      </c>
      <c r="F359" s="712">
        <v>1968755</v>
      </c>
      <c r="G359" s="712">
        <v>1968755</v>
      </c>
      <c r="H359" s="712">
        <v>0</v>
      </c>
      <c r="I359" s="712">
        <v>0</v>
      </c>
      <c r="J359" s="712">
        <v>0</v>
      </c>
      <c r="K359" s="712">
        <v>0</v>
      </c>
      <c r="L359" s="712">
        <v>0</v>
      </c>
      <c r="M359" s="712">
        <v>0</v>
      </c>
      <c r="N359" s="712">
        <v>0</v>
      </c>
    </row>
    <row r="360" spans="1:14" s="175" customFormat="1" ht="12.75" customHeight="1" x14ac:dyDescent="0.2">
      <c r="A360" s="453"/>
      <c r="B360" s="887"/>
      <c r="C360" s="839"/>
      <c r="D360" s="839"/>
      <c r="E360" s="713" t="s">
        <v>2676</v>
      </c>
      <c r="F360" s="712">
        <v>4646768</v>
      </c>
      <c r="G360" s="712">
        <v>1500000</v>
      </c>
      <c r="H360" s="712">
        <v>3146768</v>
      </c>
      <c r="I360" s="712">
        <v>0</v>
      </c>
      <c r="J360" s="712">
        <v>3146768</v>
      </c>
      <c r="K360" s="712">
        <v>0</v>
      </c>
      <c r="L360" s="712">
        <v>1146768</v>
      </c>
      <c r="M360" s="712">
        <v>0</v>
      </c>
      <c r="N360" s="712">
        <v>2000000</v>
      </c>
    </row>
    <row r="361" spans="1:14" s="175" customFormat="1" ht="12.75" customHeight="1" x14ac:dyDescent="0.2">
      <c r="A361" s="453"/>
      <c r="B361" s="887"/>
      <c r="C361" s="838" t="s">
        <v>1851</v>
      </c>
      <c r="D361" s="838" t="s">
        <v>1640</v>
      </c>
      <c r="E361" s="713" t="s">
        <v>26</v>
      </c>
      <c r="F361" s="712">
        <v>341447367</v>
      </c>
      <c r="G361" s="712">
        <v>341447367</v>
      </c>
      <c r="H361" s="712">
        <v>0</v>
      </c>
      <c r="I361" s="712">
        <v>0</v>
      </c>
      <c r="J361" s="712">
        <v>0</v>
      </c>
      <c r="K361" s="712">
        <v>0</v>
      </c>
      <c r="L361" s="712">
        <v>0</v>
      </c>
      <c r="M361" s="712">
        <v>0</v>
      </c>
      <c r="N361" s="712">
        <v>0</v>
      </c>
    </row>
    <row r="362" spans="1:14" s="175" customFormat="1" ht="12.75" customHeight="1" x14ac:dyDescent="0.2">
      <c r="A362" s="453"/>
      <c r="B362" s="887"/>
      <c r="C362" s="839"/>
      <c r="D362" s="839"/>
      <c r="E362" s="713" t="s">
        <v>3212</v>
      </c>
      <c r="F362" s="712">
        <v>132643</v>
      </c>
      <c r="G362" s="712">
        <v>132643</v>
      </c>
      <c r="H362" s="712">
        <v>0</v>
      </c>
      <c r="I362" s="712">
        <v>0</v>
      </c>
      <c r="J362" s="712">
        <v>0</v>
      </c>
      <c r="K362" s="712">
        <v>0</v>
      </c>
      <c r="L362" s="712">
        <v>0</v>
      </c>
      <c r="M362" s="712">
        <v>0</v>
      </c>
      <c r="N362" s="712">
        <v>0</v>
      </c>
    </row>
    <row r="363" spans="1:14" s="175" customFormat="1" ht="12.75" customHeight="1" x14ac:dyDescent="0.2">
      <c r="A363" s="453"/>
      <c r="B363" s="887"/>
      <c r="C363" s="838" t="s">
        <v>1852</v>
      </c>
      <c r="D363" s="838" t="s">
        <v>884</v>
      </c>
      <c r="E363" s="713" t="s">
        <v>26</v>
      </c>
      <c r="F363" s="712">
        <v>89046695</v>
      </c>
      <c r="G363" s="712">
        <v>89046695</v>
      </c>
      <c r="H363" s="712">
        <v>0</v>
      </c>
      <c r="I363" s="712">
        <v>0</v>
      </c>
      <c r="J363" s="712">
        <v>0</v>
      </c>
      <c r="K363" s="712">
        <v>0</v>
      </c>
      <c r="L363" s="712">
        <v>0</v>
      </c>
      <c r="M363" s="712">
        <v>0</v>
      </c>
      <c r="N363" s="712">
        <v>0</v>
      </c>
    </row>
    <row r="364" spans="1:14" s="175" customFormat="1" ht="12.75" customHeight="1" x14ac:dyDescent="0.2">
      <c r="A364" s="453"/>
      <c r="B364" s="887"/>
      <c r="C364" s="839"/>
      <c r="D364" s="839"/>
      <c r="E364" s="713" t="s">
        <v>1557</v>
      </c>
      <c r="F364" s="712">
        <v>193660000</v>
      </c>
      <c r="G364" s="712">
        <v>193660000</v>
      </c>
      <c r="H364" s="712">
        <v>0</v>
      </c>
      <c r="I364" s="712">
        <v>0</v>
      </c>
      <c r="J364" s="712">
        <v>0</v>
      </c>
      <c r="K364" s="712">
        <v>0</v>
      </c>
      <c r="L364" s="712">
        <v>0</v>
      </c>
      <c r="M364" s="712">
        <v>0</v>
      </c>
      <c r="N364" s="712">
        <v>0</v>
      </c>
    </row>
    <row r="365" spans="1:14" s="175" customFormat="1" ht="12.75" customHeight="1" x14ac:dyDescent="0.2">
      <c r="A365" s="453"/>
      <c r="B365" s="887"/>
      <c r="C365" s="839"/>
      <c r="D365" s="839"/>
      <c r="E365" s="713" t="s">
        <v>822</v>
      </c>
      <c r="F365" s="712">
        <v>403704</v>
      </c>
      <c r="G365" s="712">
        <v>0</v>
      </c>
      <c r="H365" s="712">
        <v>403704</v>
      </c>
      <c r="I365" s="712">
        <v>0</v>
      </c>
      <c r="J365" s="712">
        <v>403704</v>
      </c>
      <c r="K365" s="712">
        <v>0</v>
      </c>
      <c r="L365" s="712">
        <v>0</v>
      </c>
      <c r="M365" s="712">
        <v>0</v>
      </c>
      <c r="N365" s="712">
        <v>403704</v>
      </c>
    </row>
    <row r="366" spans="1:14" s="175" customFormat="1" ht="12.75" customHeight="1" x14ac:dyDescent="0.2">
      <c r="A366" s="453"/>
      <c r="B366" s="887"/>
      <c r="C366" s="839"/>
      <c r="D366" s="839"/>
      <c r="E366" s="713" t="s">
        <v>195</v>
      </c>
      <c r="F366" s="712">
        <v>6769474</v>
      </c>
      <c r="G366" s="712">
        <v>6769474</v>
      </c>
      <c r="H366" s="712">
        <v>0</v>
      </c>
      <c r="I366" s="712">
        <v>0</v>
      </c>
      <c r="J366" s="712">
        <v>0</v>
      </c>
      <c r="K366" s="712">
        <v>0</v>
      </c>
      <c r="L366" s="712">
        <v>0</v>
      </c>
      <c r="M366" s="712">
        <v>0</v>
      </c>
      <c r="N366" s="712">
        <v>0</v>
      </c>
    </row>
    <row r="367" spans="1:14" s="175" customFormat="1" ht="12.75" customHeight="1" x14ac:dyDescent="0.2">
      <c r="A367" s="453"/>
      <c r="B367" s="887"/>
      <c r="C367" s="838" t="s">
        <v>1853</v>
      </c>
      <c r="D367" s="838" t="s">
        <v>1639</v>
      </c>
      <c r="E367" s="713" t="s">
        <v>26</v>
      </c>
      <c r="F367" s="712">
        <v>110455164</v>
      </c>
      <c r="G367" s="712">
        <v>110455164</v>
      </c>
      <c r="H367" s="712">
        <v>0</v>
      </c>
      <c r="I367" s="712">
        <v>0</v>
      </c>
      <c r="J367" s="712">
        <v>0</v>
      </c>
      <c r="K367" s="712">
        <v>0</v>
      </c>
      <c r="L367" s="712">
        <v>0</v>
      </c>
      <c r="M367" s="712">
        <v>0</v>
      </c>
      <c r="N367" s="712">
        <v>0</v>
      </c>
    </row>
    <row r="368" spans="1:14" s="175" customFormat="1" ht="12.75" customHeight="1" x14ac:dyDescent="0.2">
      <c r="A368" s="453"/>
      <c r="B368" s="887"/>
      <c r="C368" s="839"/>
      <c r="D368" s="839"/>
      <c r="E368" s="713" t="s">
        <v>1557</v>
      </c>
      <c r="F368" s="712">
        <v>219790436</v>
      </c>
      <c r="G368" s="712">
        <v>219790436</v>
      </c>
      <c r="H368" s="712">
        <v>0</v>
      </c>
      <c r="I368" s="712">
        <v>0</v>
      </c>
      <c r="J368" s="712">
        <v>0</v>
      </c>
      <c r="K368" s="712">
        <v>0</v>
      </c>
      <c r="L368" s="712">
        <v>0</v>
      </c>
      <c r="M368" s="712">
        <v>0</v>
      </c>
      <c r="N368" s="712">
        <v>0</v>
      </c>
    </row>
    <row r="369" spans="1:14" s="175" customFormat="1" ht="12.75" customHeight="1" x14ac:dyDescent="0.2">
      <c r="A369" s="453"/>
      <c r="B369" s="887"/>
      <c r="C369" s="839"/>
      <c r="D369" s="839"/>
      <c r="E369" s="713" t="s">
        <v>3212</v>
      </c>
      <c r="F369" s="712">
        <v>109173</v>
      </c>
      <c r="G369" s="712">
        <v>0</v>
      </c>
      <c r="H369" s="712">
        <v>109173</v>
      </c>
      <c r="I369" s="712">
        <v>0</v>
      </c>
      <c r="J369" s="712">
        <v>109173</v>
      </c>
      <c r="K369" s="712">
        <v>0</v>
      </c>
      <c r="L369" s="712">
        <v>0</v>
      </c>
      <c r="M369" s="712">
        <v>0</v>
      </c>
      <c r="N369" s="712">
        <v>109173</v>
      </c>
    </row>
    <row r="370" spans="1:14" s="175" customFormat="1" ht="12.75" customHeight="1" x14ac:dyDescent="0.2">
      <c r="A370" s="453"/>
      <c r="B370" s="887"/>
      <c r="C370" s="839"/>
      <c r="D370" s="839"/>
      <c r="E370" s="713" t="s">
        <v>195</v>
      </c>
      <c r="F370" s="712">
        <v>590575</v>
      </c>
      <c r="G370" s="712">
        <v>590575</v>
      </c>
      <c r="H370" s="712">
        <v>0</v>
      </c>
      <c r="I370" s="712">
        <v>0</v>
      </c>
      <c r="J370" s="712">
        <v>0</v>
      </c>
      <c r="K370" s="712">
        <v>0</v>
      </c>
      <c r="L370" s="712">
        <v>0</v>
      </c>
      <c r="M370" s="712">
        <v>0</v>
      </c>
      <c r="N370" s="712">
        <v>0</v>
      </c>
    </row>
    <row r="371" spans="1:14" s="175" customFormat="1" ht="12.75" customHeight="1" x14ac:dyDescent="0.2">
      <c r="A371" s="453"/>
      <c r="B371" s="887"/>
      <c r="C371" s="839"/>
      <c r="D371" s="839"/>
      <c r="E371" s="713" t="s">
        <v>2676</v>
      </c>
      <c r="F371" s="712">
        <v>2227210</v>
      </c>
      <c r="G371" s="712">
        <v>0</v>
      </c>
      <c r="H371" s="712">
        <v>2227210</v>
      </c>
      <c r="I371" s="712">
        <v>0</v>
      </c>
      <c r="J371" s="712">
        <v>2227210</v>
      </c>
      <c r="K371" s="712">
        <v>0</v>
      </c>
      <c r="L371" s="712">
        <v>0</v>
      </c>
      <c r="M371" s="712">
        <v>0</v>
      </c>
      <c r="N371" s="712">
        <v>2227210</v>
      </c>
    </row>
    <row r="372" spans="1:14" s="175" customFormat="1" ht="12.75" customHeight="1" x14ac:dyDescent="0.2">
      <c r="A372" s="453"/>
      <c r="B372" s="887"/>
      <c r="C372" s="838" t="s">
        <v>1854</v>
      </c>
      <c r="D372" s="838" t="s">
        <v>885</v>
      </c>
      <c r="E372" s="713" t="s">
        <v>26</v>
      </c>
      <c r="F372" s="712">
        <v>289169830</v>
      </c>
      <c r="G372" s="712">
        <v>289169830</v>
      </c>
      <c r="H372" s="712">
        <v>0</v>
      </c>
      <c r="I372" s="712">
        <v>0</v>
      </c>
      <c r="J372" s="712">
        <v>0</v>
      </c>
      <c r="K372" s="712">
        <v>0</v>
      </c>
      <c r="L372" s="712">
        <v>0</v>
      </c>
      <c r="M372" s="712">
        <v>0</v>
      </c>
      <c r="N372" s="712">
        <v>0</v>
      </c>
    </row>
    <row r="373" spans="1:14" s="175" customFormat="1" ht="12.75" customHeight="1" x14ac:dyDescent="0.2">
      <c r="A373" s="453"/>
      <c r="B373" s="887"/>
      <c r="C373" s="839"/>
      <c r="D373" s="839"/>
      <c r="E373" s="713" t="s">
        <v>3212</v>
      </c>
      <c r="F373" s="712">
        <v>158993</v>
      </c>
      <c r="G373" s="712">
        <v>0</v>
      </c>
      <c r="H373" s="712">
        <v>158993</v>
      </c>
      <c r="I373" s="712">
        <v>0</v>
      </c>
      <c r="J373" s="712">
        <v>158993</v>
      </c>
      <c r="K373" s="712">
        <v>0</v>
      </c>
      <c r="L373" s="712">
        <v>0</v>
      </c>
      <c r="M373" s="712">
        <v>0</v>
      </c>
      <c r="N373" s="712">
        <v>158993</v>
      </c>
    </row>
    <row r="374" spans="1:14" s="175" customFormat="1" ht="12.75" customHeight="1" x14ac:dyDescent="0.2">
      <c r="A374" s="453"/>
      <c r="B374" s="887"/>
      <c r="C374" s="838" t="s">
        <v>1855</v>
      </c>
      <c r="D374" s="838" t="s">
        <v>2533</v>
      </c>
      <c r="E374" s="713" t="s">
        <v>26</v>
      </c>
      <c r="F374" s="712">
        <v>82300000</v>
      </c>
      <c r="G374" s="712">
        <v>82300000</v>
      </c>
      <c r="H374" s="712">
        <v>0</v>
      </c>
      <c r="I374" s="712">
        <v>0</v>
      </c>
      <c r="J374" s="712">
        <v>0</v>
      </c>
      <c r="K374" s="712">
        <v>0</v>
      </c>
      <c r="L374" s="712">
        <v>0</v>
      </c>
      <c r="M374" s="712">
        <v>0</v>
      </c>
      <c r="N374" s="712">
        <v>0</v>
      </c>
    </row>
    <row r="375" spans="1:14" s="175" customFormat="1" ht="12.75" customHeight="1" x14ac:dyDescent="0.2">
      <c r="A375" s="453"/>
      <c r="B375" s="887"/>
      <c r="C375" s="839"/>
      <c r="D375" s="839"/>
      <c r="E375" s="713" t="s">
        <v>1557</v>
      </c>
      <c r="F375" s="712">
        <v>192000000</v>
      </c>
      <c r="G375" s="712">
        <v>192000000</v>
      </c>
      <c r="H375" s="712">
        <v>0</v>
      </c>
      <c r="I375" s="712">
        <v>0</v>
      </c>
      <c r="J375" s="712">
        <v>0</v>
      </c>
      <c r="K375" s="712">
        <v>0</v>
      </c>
      <c r="L375" s="712">
        <v>0</v>
      </c>
      <c r="M375" s="712">
        <v>0</v>
      </c>
      <c r="N375" s="712">
        <v>0</v>
      </c>
    </row>
    <row r="376" spans="1:14" s="175" customFormat="1" ht="12.75" customHeight="1" x14ac:dyDescent="0.2">
      <c r="A376" s="453"/>
      <c r="B376" s="887"/>
      <c r="C376" s="839"/>
      <c r="D376" s="839"/>
      <c r="E376" s="713" t="s">
        <v>3212</v>
      </c>
      <c r="F376" s="712">
        <v>121000</v>
      </c>
      <c r="G376" s="712">
        <v>121000</v>
      </c>
      <c r="H376" s="712">
        <v>0</v>
      </c>
      <c r="I376" s="712">
        <v>0</v>
      </c>
      <c r="J376" s="712">
        <v>0</v>
      </c>
      <c r="K376" s="712">
        <v>0</v>
      </c>
      <c r="L376" s="712">
        <v>0</v>
      </c>
      <c r="M376" s="712">
        <v>0</v>
      </c>
      <c r="N376" s="712">
        <v>0</v>
      </c>
    </row>
    <row r="377" spans="1:14" s="175" customFormat="1" ht="12.75" customHeight="1" x14ac:dyDescent="0.2">
      <c r="A377" s="453"/>
      <c r="B377" s="887"/>
      <c r="C377" s="838" t="s">
        <v>1856</v>
      </c>
      <c r="D377" s="838" t="s">
        <v>1705</v>
      </c>
      <c r="E377" s="713" t="s">
        <v>26</v>
      </c>
      <c r="F377" s="712">
        <v>105262800</v>
      </c>
      <c r="G377" s="712">
        <v>105262800</v>
      </c>
      <c r="H377" s="712">
        <v>0</v>
      </c>
      <c r="I377" s="712">
        <v>0</v>
      </c>
      <c r="J377" s="712">
        <v>0</v>
      </c>
      <c r="K377" s="712">
        <v>0</v>
      </c>
      <c r="L377" s="712">
        <v>0</v>
      </c>
      <c r="M377" s="712">
        <v>0</v>
      </c>
      <c r="N377" s="712">
        <v>0</v>
      </c>
    </row>
    <row r="378" spans="1:14" s="175" customFormat="1" ht="12.75" customHeight="1" x14ac:dyDescent="0.2">
      <c r="A378" s="453"/>
      <c r="B378" s="887"/>
      <c r="C378" s="839"/>
      <c r="D378" s="839"/>
      <c r="E378" s="713" t="s">
        <v>1557</v>
      </c>
      <c r="F378" s="712">
        <v>245613200</v>
      </c>
      <c r="G378" s="712">
        <v>245613200</v>
      </c>
      <c r="H378" s="712">
        <v>0</v>
      </c>
      <c r="I378" s="712">
        <v>0</v>
      </c>
      <c r="J378" s="712">
        <v>0</v>
      </c>
      <c r="K378" s="712">
        <v>0</v>
      </c>
      <c r="L378" s="712">
        <v>0</v>
      </c>
      <c r="M378" s="712">
        <v>0</v>
      </c>
      <c r="N378" s="712">
        <v>0</v>
      </c>
    </row>
    <row r="379" spans="1:14" s="175" customFormat="1" ht="12.75" customHeight="1" x14ac:dyDescent="0.2">
      <c r="A379" s="453"/>
      <c r="B379" s="887"/>
      <c r="C379" s="839"/>
      <c r="D379" s="839"/>
      <c r="E379" s="713" t="s">
        <v>822</v>
      </c>
      <c r="F379" s="712">
        <v>503809</v>
      </c>
      <c r="G379" s="712">
        <v>503809</v>
      </c>
      <c r="H379" s="712">
        <v>0</v>
      </c>
      <c r="I379" s="712">
        <v>0</v>
      </c>
      <c r="J379" s="712">
        <v>0</v>
      </c>
      <c r="K379" s="712">
        <v>0</v>
      </c>
      <c r="L379" s="712">
        <v>0</v>
      </c>
      <c r="M379" s="712">
        <v>0</v>
      </c>
      <c r="N379" s="712">
        <v>0</v>
      </c>
    </row>
    <row r="380" spans="1:14" s="175" customFormat="1" ht="12.75" customHeight="1" x14ac:dyDescent="0.2">
      <c r="A380" s="453"/>
      <c r="B380" s="887"/>
      <c r="C380" s="839"/>
      <c r="D380" s="839"/>
      <c r="E380" s="713" t="s">
        <v>3212</v>
      </c>
      <c r="F380" s="712">
        <v>1893913</v>
      </c>
      <c r="G380" s="712">
        <v>1893913</v>
      </c>
      <c r="H380" s="712">
        <v>0</v>
      </c>
      <c r="I380" s="712">
        <v>0</v>
      </c>
      <c r="J380" s="712">
        <v>0</v>
      </c>
      <c r="K380" s="712">
        <v>0</v>
      </c>
      <c r="L380" s="712">
        <v>0</v>
      </c>
      <c r="M380" s="712">
        <v>0</v>
      </c>
      <c r="N380" s="712">
        <v>0</v>
      </c>
    </row>
    <row r="381" spans="1:14" s="175" customFormat="1" ht="12.75" customHeight="1" x14ac:dyDescent="0.2">
      <c r="A381" s="453"/>
      <c r="B381" s="887"/>
      <c r="C381" s="839"/>
      <c r="D381" s="839"/>
      <c r="E381" s="713" t="s">
        <v>1221</v>
      </c>
      <c r="F381" s="712">
        <v>1931850</v>
      </c>
      <c r="G381" s="712">
        <v>1931850</v>
      </c>
      <c r="H381" s="712">
        <v>0</v>
      </c>
      <c r="I381" s="712">
        <v>0</v>
      </c>
      <c r="J381" s="712">
        <v>0</v>
      </c>
      <c r="K381" s="712">
        <v>0</v>
      </c>
      <c r="L381" s="712">
        <v>0</v>
      </c>
      <c r="M381" s="712">
        <v>0</v>
      </c>
      <c r="N381" s="712">
        <v>0</v>
      </c>
    </row>
    <row r="382" spans="1:14" s="175" customFormat="1" ht="12.75" customHeight="1" x14ac:dyDescent="0.2">
      <c r="A382" s="453"/>
      <c r="B382" s="887"/>
      <c r="C382" s="838" t="s">
        <v>1857</v>
      </c>
      <c r="D382" s="838" t="s">
        <v>1611</v>
      </c>
      <c r="E382" s="713" t="s">
        <v>26</v>
      </c>
      <c r="F382" s="712">
        <v>103116150</v>
      </c>
      <c r="G382" s="712">
        <v>103116150</v>
      </c>
      <c r="H382" s="712">
        <v>0</v>
      </c>
      <c r="I382" s="712">
        <v>0</v>
      </c>
      <c r="J382" s="712">
        <v>0</v>
      </c>
      <c r="K382" s="712">
        <v>0</v>
      </c>
      <c r="L382" s="712">
        <v>0</v>
      </c>
      <c r="M382" s="712">
        <v>0</v>
      </c>
      <c r="N382" s="712">
        <v>0</v>
      </c>
    </row>
    <row r="383" spans="1:14" s="175" customFormat="1" ht="12.75" customHeight="1" x14ac:dyDescent="0.2">
      <c r="A383" s="453"/>
      <c r="B383" s="887"/>
      <c r="C383" s="839"/>
      <c r="D383" s="839"/>
      <c r="E383" s="713" t="s">
        <v>1557</v>
      </c>
      <c r="F383" s="712">
        <v>240483850</v>
      </c>
      <c r="G383" s="712">
        <v>240483850</v>
      </c>
      <c r="H383" s="712">
        <v>0</v>
      </c>
      <c r="I383" s="712">
        <v>0</v>
      </c>
      <c r="J383" s="712">
        <v>0</v>
      </c>
      <c r="K383" s="712">
        <v>0</v>
      </c>
      <c r="L383" s="712">
        <v>0</v>
      </c>
      <c r="M383" s="712">
        <v>0</v>
      </c>
      <c r="N383" s="712">
        <v>0</v>
      </c>
    </row>
    <row r="384" spans="1:14" s="175" customFormat="1" ht="12.75" customHeight="1" x14ac:dyDescent="0.2">
      <c r="A384" s="453"/>
      <c r="B384" s="887"/>
      <c r="C384" s="839"/>
      <c r="D384" s="839"/>
      <c r="E384" s="713" t="s">
        <v>822</v>
      </c>
      <c r="F384" s="712">
        <v>493419</v>
      </c>
      <c r="G384" s="712">
        <v>0</v>
      </c>
      <c r="H384" s="712">
        <v>493419</v>
      </c>
      <c r="I384" s="712">
        <v>0</v>
      </c>
      <c r="J384" s="712">
        <v>493419</v>
      </c>
      <c r="K384" s="712">
        <v>0</v>
      </c>
      <c r="L384" s="712">
        <v>0</v>
      </c>
      <c r="M384" s="712">
        <v>0</v>
      </c>
      <c r="N384" s="712">
        <v>493419</v>
      </c>
    </row>
    <row r="385" spans="1:14" s="175" customFormat="1" ht="12.75" customHeight="1" x14ac:dyDescent="0.2">
      <c r="A385" s="453"/>
      <c r="B385" s="887"/>
      <c r="C385" s="839"/>
      <c r="D385" s="839"/>
      <c r="E385" s="713" t="s">
        <v>3212</v>
      </c>
      <c r="F385" s="712">
        <v>127338</v>
      </c>
      <c r="G385" s="712">
        <v>0</v>
      </c>
      <c r="H385" s="712">
        <v>127338</v>
      </c>
      <c r="I385" s="712">
        <v>0</v>
      </c>
      <c r="J385" s="712">
        <v>127338</v>
      </c>
      <c r="K385" s="712">
        <v>0</v>
      </c>
      <c r="L385" s="712">
        <v>0</v>
      </c>
      <c r="M385" s="712">
        <v>0</v>
      </c>
      <c r="N385" s="712">
        <v>127338</v>
      </c>
    </row>
    <row r="386" spans="1:14" s="175" customFormat="1" ht="12.75" customHeight="1" x14ac:dyDescent="0.2">
      <c r="A386" s="453"/>
      <c r="B386" s="887"/>
      <c r="C386" s="839"/>
      <c r="D386" s="839"/>
      <c r="E386" s="713" t="s">
        <v>1221</v>
      </c>
      <c r="F386" s="712">
        <v>1931850</v>
      </c>
      <c r="G386" s="712">
        <v>1931850</v>
      </c>
      <c r="H386" s="712">
        <v>0</v>
      </c>
      <c r="I386" s="712">
        <v>0</v>
      </c>
      <c r="J386" s="712">
        <v>0</v>
      </c>
      <c r="K386" s="712">
        <v>0</v>
      </c>
      <c r="L386" s="712">
        <v>0</v>
      </c>
      <c r="M386" s="712">
        <v>0</v>
      </c>
      <c r="N386" s="712">
        <v>0</v>
      </c>
    </row>
    <row r="387" spans="1:14" s="175" customFormat="1" ht="12.75" customHeight="1" x14ac:dyDescent="0.2">
      <c r="A387" s="453"/>
      <c r="B387" s="887"/>
      <c r="C387" s="838" t="s">
        <v>1858</v>
      </c>
      <c r="D387" s="838" t="s">
        <v>886</v>
      </c>
      <c r="E387" s="713" t="s">
        <v>26</v>
      </c>
      <c r="F387" s="712">
        <v>276637525</v>
      </c>
      <c r="G387" s="712">
        <v>276637525</v>
      </c>
      <c r="H387" s="712">
        <v>0</v>
      </c>
      <c r="I387" s="712">
        <v>0</v>
      </c>
      <c r="J387" s="712">
        <v>0</v>
      </c>
      <c r="K387" s="712">
        <v>0</v>
      </c>
      <c r="L387" s="712">
        <v>0</v>
      </c>
      <c r="M387" s="712">
        <v>0</v>
      </c>
      <c r="N387" s="712">
        <v>0</v>
      </c>
    </row>
    <row r="388" spans="1:14" s="175" customFormat="1" ht="12.75" customHeight="1" x14ac:dyDescent="0.2">
      <c r="A388" s="453"/>
      <c r="B388" s="887"/>
      <c r="C388" s="839"/>
      <c r="D388" s="839"/>
      <c r="E388" s="713" t="s">
        <v>1221</v>
      </c>
      <c r="F388" s="712">
        <v>1512675</v>
      </c>
      <c r="G388" s="712">
        <v>1512675</v>
      </c>
      <c r="H388" s="712">
        <v>0</v>
      </c>
      <c r="I388" s="712">
        <v>0</v>
      </c>
      <c r="J388" s="712">
        <v>0</v>
      </c>
      <c r="K388" s="712">
        <v>0</v>
      </c>
      <c r="L388" s="712">
        <v>0</v>
      </c>
      <c r="M388" s="712">
        <v>0</v>
      </c>
      <c r="N388" s="712">
        <v>0</v>
      </c>
    </row>
    <row r="389" spans="1:14" s="175" customFormat="1" ht="12.75" customHeight="1" x14ac:dyDescent="0.2">
      <c r="A389" s="453"/>
      <c r="B389" s="887"/>
      <c r="C389" s="838" t="s">
        <v>1859</v>
      </c>
      <c r="D389" s="838" t="s">
        <v>3486</v>
      </c>
      <c r="E389" s="713" t="s">
        <v>26</v>
      </c>
      <c r="F389" s="712">
        <v>111903143</v>
      </c>
      <c r="G389" s="712">
        <v>111903143</v>
      </c>
      <c r="H389" s="712">
        <v>0</v>
      </c>
      <c r="I389" s="712">
        <v>0</v>
      </c>
      <c r="J389" s="712">
        <v>0</v>
      </c>
      <c r="K389" s="712">
        <v>0</v>
      </c>
      <c r="L389" s="712">
        <v>0</v>
      </c>
      <c r="M389" s="712">
        <v>0</v>
      </c>
      <c r="N389" s="712">
        <v>0</v>
      </c>
    </row>
    <row r="390" spans="1:14" s="175" customFormat="1" ht="12.75" customHeight="1" x14ac:dyDescent="0.2">
      <c r="A390" s="453"/>
      <c r="B390" s="887"/>
      <c r="C390" s="839"/>
      <c r="D390" s="839"/>
      <c r="E390" s="713" t="s">
        <v>1557</v>
      </c>
      <c r="F390" s="712">
        <v>261107333</v>
      </c>
      <c r="G390" s="712">
        <v>261107333</v>
      </c>
      <c r="H390" s="712">
        <v>0</v>
      </c>
      <c r="I390" s="712">
        <v>0</v>
      </c>
      <c r="J390" s="712">
        <v>0</v>
      </c>
      <c r="K390" s="712">
        <v>0</v>
      </c>
      <c r="L390" s="712">
        <v>0</v>
      </c>
      <c r="M390" s="712">
        <v>0</v>
      </c>
      <c r="N390" s="712">
        <v>0</v>
      </c>
    </row>
    <row r="391" spans="1:14" s="175" customFormat="1" ht="12.75" customHeight="1" x14ac:dyDescent="0.2">
      <c r="A391" s="453"/>
      <c r="B391" s="887"/>
      <c r="C391" s="839"/>
      <c r="D391" s="839"/>
      <c r="E391" s="713" t="s">
        <v>195</v>
      </c>
      <c r="F391" s="712">
        <v>1787747</v>
      </c>
      <c r="G391" s="712">
        <v>1787747</v>
      </c>
      <c r="H391" s="712">
        <v>0</v>
      </c>
      <c r="I391" s="712">
        <v>0</v>
      </c>
      <c r="J391" s="712">
        <v>0</v>
      </c>
      <c r="K391" s="712">
        <v>0</v>
      </c>
      <c r="L391" s="712">
        <v>0</v>
      </c>
      <c r="M391" s="712">
        <v>0</v>
      </c>
      <c r="N391" s="712">
        <v>0</v>
      </c>
    </row>
    <row r="392" spans="1:14" s="175" customFormat="1" ht="12.75" customHeight="1" x14ac:dyDescent="0.2">
      <c r="A392" s="453"/>
      <c r="B392" s="887"/>
      <c r="C392" s="838" t="s">
        <v>1860</v>
      </c>
      <c r="D392" s="838" t="s">
        <v>2606</v>
      </c>
      <c r="E392" s="713" t="s">
        <v>26</v>
      </c>
      <c r="F392" s="712">
        <v>92971758</v>
      </c>
      <c r="G392" s="712">
        <v>92971758</v>
      </c>
      <c r="H392" s="712">
        <v>0</v>
      </c>
      <c r="I392" s="712">
        <v>0</v>
      </c>
      <c r="J392" s="712">
        <v>0</v>
      </c>
      <c r="K392" s="712">
        <v>0</v>
      </c>
      <c r="L392" s="712">
        <v>0</v>
      </c>
      <c r="M392" s="712">
        <v>0</v>
      </c>
      <c r="N392" s="712">
        <v>0</v>
      </c>
    </row>
    <row r="393" spans="1:14" s="175" customFormat="1" ht="12.75" customHeight="1" x14ac:dyDescent="0.2">
      <c r="A393" s="453"/>
      <c r="B393" s="887"/>
      <c r="C393" s="839"/>
      <c r="D393" s="839"/>
      <c r="E393" s="713" t="s">
        <v>1557</v>
      </c>
      <c r="F393" s="712">
        <v>215626500</v>
      </c>
      <c r="G393" s="712">
        <v>215626500</v>
      </c>
      <c r="H393" s="712">
        <v>0</v>
      </c>
      <c r="I393" s="712">
        <v>0</v>
      </c>
      <c r="J393" s="712">
        <v>0</v>
      </c>
      <c r="K393" s="712">
        <v>0</v>
      </c>
      <c r="L393" s="712">
        <v>0</v>
      </c>
      <c r="M393" s="712">
        <v>0</v>
      </c>
      <c r="N393" s="712">
        <v>0</v>
      </c>
    </row>
    <row r="394" spans="1:14" s="175" customFormat="1" ht="12.75" customHeight="1" x14ac:dyDescent="0.2">
      <c r="A394" s="453"/>
      <c r="B394" s="887"/>
      <c r="C394" s="839"/>
      <c r="D394" s="839"/>
      <c r="E394" s="713" t="s">
        <v>3212</v>
      </c>
      <c r="F394" s="712">
        <v>66052</v>
      </c>
      <c r="G394" s="712">
        <v>0</v>
      </c>
      <c r="H394" s="712">
        <v>66052</v>
      </c>
      <c r="I394" s="712">
        <v>0</v>
      </c>
      <c r="J394" s="712">
        <v>66052</v>
      </c>
      <c r="K394" s="712">
        <v>0</v>
      </c>
      <c r="L394" s="712">
        <v>0</v>
      </c>
      <c r="M394" s="712">
        <v>0</v>
      </c>
      <c r="N394" s="712">
        <v>66052</v>
      </c>
    </row>
    <row r="395" spans="1:14" s="175" customFormat="1" ht="12.75" customHeight="1" x14ac:dyDescent="0.2">
      <c r="A395" s="453"/>
      <c r="B395" s="887"/>
      <c r="C395" s="839"/>
      <c r="D395" s="839"/>
      <c r="E395" s="713" t="s">
        <v>1221</v>
      </c>
      <c r="F395" s="712">
        <v>1931850</v>
      </c>
      <c r="G395" s="712">
        <v>1931850</v>
      </c>
      <c r="H395" s="712">
        <v>0</v>
      </c>
      <c r="I395" s="712">
        <v>0</v>
      </c>
      <c r="J395" s="712">
        <v>0</v>
      </c>
      <c r="K395" s="712">
        <v>0</v>
      </c>
      <c r="L395" s="712">
        <v>0</v>
      </c>
      <c r="M395" s="712">
        <v>0</v>
      </c>
      <c r="N395" s="712">
        <v>0</v>
      </c>
    </row>
    <row r="396" spans="1:14" s="175" customFormat="1" ht="12.75" customHeight="1" x14ac:dyDescent="0.2">
      <c r="A396" s="453"/>
      <c r="B396" s="887"/>
      <c r="C396" s="838" t="s">
        <v>1861</v>
      </c>
      <c r="D396" s="838" t="s">
        <v>1001</v>
      </c>
      <c r="E396" s="713" t="s">
        <v>900</v>
      </c>
      <c r="F396" s="712">
        <v>12900000</v>
      </c>
      <c r="G396" s="712">
        <v>12900000</v>
      </c>
      <c r="H396" s="712">
        <v>0</v>
      </c>
      <c r="I396" s="712">
        <v>0</v>
      </c>
      <c r="J396" s="712">
        <v>0</v>
      </c>
      <c r="K396" s="712">
        <v>0</v>
      </c>
      <c r="L396" s="712">
        <v>0</v>
      </c>
      <c r="M396" s="712">
        <v>0</v>
      </c>
      <c r="N396" s="712">
        <v>0</v>
      </c>
    </row>
    <row r="397" spans="1:14" s="175" customFormat="1" ht="12.75" customHeight="1" x14ac:dyDescent="0.2">
      <c r="A397" s="453"/>
      <c r="B397" s="887"/>
      <c r="C397" s="839"/>
      <c r="D397" s="839"/>
      <c r="E397" s="713" t="s">
        <v>26</v>
      </c>
      <c r="F397" s="712">
        <v>232918349</v>
      </c>
      <c r="G397" s="712">
        <v>232918349</v>
      </c>
      <c r="H397" s="712">
        <v>0</v>
      </c>
      <c r="I397" s="712">
        <v>0</v>
      </c>
      <c r="J397" s="712">
        <v>0</v>
      </c>
      <c r="K397" s="712">
        <v>0</v>
      </c>
      <c r="L397" s="712">
        <v>0</v>
      </c>
      <c r="M397" s="712">
        <v>0</v>
      </c>
      <c r="N397" s="712">
        <v>0</v>
      </c>
    </row>
    <row r="398" spans="1:14" s="175" customFormat="1" ht="12.75" customHeight="1" x14ac:dyDescent="0.2">
      <c r="A398" s="453"/>
      <c r="B398" s="887"/>
      <c r="C398" s="839"/>
      <c r="D398" s="839"/>
      <c r="E398" s="713" t="s">
        <v>3212</v>
      </c>
      <c r="F398" s="712">
        <v>116603</v>
      </c>
      <c r="G398" s="712">
        <v>116603</v>
      </c>
      <c r="H398" s="712">
        <v>0</v>
      </c>
      <c r="I398" s="712">
        <v>0</v>
      </c>
      <c r="J398" s="712">
        <v>0</v>
      </c>
      <c r="K398" s="712">
        <v>0</v>
      </c>
      <c r="L398" s="712">
        <v>0</v>
      </c>
      <c r="M398" s="712">
        <v>0</v>
      </c>
      <c r="N398" s="712">
        <v>0</v>
      </c>
    </row>
    <row r="399" spans="1:14" s="175" customFormat="1" ht="12.75" customHeight="1" x14ac:dyDescent="0.2">
      <c r="A399" s="453"/>
      <c r="B399" s="887"/>
      <c r="C399" s="839"/>
      <c r="D399" s="839"/>
      <c r="E399" s="713" t="s">
        <v>1221</v>
      </c>
      <c r="F399" s="712">
        <v>1512675</v>
      </c>
      <c r="G399" s="712">
        <v>1512675</v>
      </c>
      <c r="H399" s="712">
        <v>0</v>
      </c>
      <c r="I399" s="712">
        <v>0</v>
      </c>
      <c r="J399" s="712">
        <v>0</v>
      </c>
      <c r="K399" s="712">
        <v>0</v>
      </c>
      <c r="L399" s="712">
        <v>0</v>
      </c>
      <c r="M399" s="712">
        <v>0</v>
      </c>
      <c r="N399" s="712">
        <v>0</v>
      </c>
    </row>
    <row r="400" spans="1:14" s="175" customFormat="1" ht="12.75" customHeight="1" x14ac:dyDescent="0.2">
      <c r="A400" s="453"/>
      <c r="B400" s="887"/>
      <c r="C400" s="838" t="s">
        <v>1862</v>
      </c>
      <c r="D400" s="838" t="s">
        <v>1641</v>
      </c>
      <c r="E400" s="713" t="s">
        <v>26</v>
      </c>
      <c r="F400" s="712">
        <v>105352800</v>
      </c>
      <c r="G400" s="712">
        <v>105352800</v>
      </c>
      <c r="H400" s="712">
        <v>0</v>
      </c>
      <c r="I400" s="712">
        <v>0</v>
      </c>
      <c r="J400" s="712">
        <v>0</v>
      </c>
      <c r="K400" s="712">
        <v>0</v>
      </c>
      <c r="L400" s="712">
        <v>0</v>
      </c>
      <c r="M400" s="712">
        <v>0</v>
      </c>
      <c r="N400" s="712">
        <v>0</v>
      </c>
    </row>
    <row r="401" spans="1:14" s="175" customFormat="1" ht="12.75" customHeight="1" x14ac:dyDescent="0.2">
      <c r="A401" s="453"/>
      <c r="B401" s="887"/>
      <c r="C401" s="839"/>
      <c r="D401" s="839"/>
      <c r="E401" s="713" t="s">
        <v>1557</v>
      </c>
      <c r="F401" s="712">
        <v>245823200</v>
      </c>
      <c r="G401" s="712">
        <v>245823200</v>
      </c>
      <c r="H401" s="712">
        <v>0</v>
      </c>
      <c r="I401" s="712">
        <v>0</v>
      </c>
      <c r="J401" s="712">
        <v>0</v>
      </c>
      <c r="K401" s="712">
        <v>0</v>
      </c>
      <c r="L401" s="712">
        <v>0</v>
      </c>
      <c r="M401" s="712">
        <v>0</v>
      </c>
      <c r="N401" s="712">
        <v>0</v>
      </c>
    </row>
    <row r="402" spans="1:14" s="175" customFormat="1" ht="12.75" customHeight="1" x14ac:dyDescent="0.2">
      <c r="A402" s="453"/>
      <c r="B402" s="887"/>
      <c r="C402" s="839"/>
      <c r="D402" s="839"/>
      <c r="E402" s="713" t="s">
        <v>822</v>
      </c>
      <c r="F402" s="712">
        <v>504237</v>
      </c>
      <c r="G402" s="712">
        <v>0</v>
      </c>
      <c r="H402" s="712">
        <v>504237</v>
      </c>
      <c r="I402" s="712">
        <v>0</v>
      </c>
      <c r="J402" s="712">
        <v>504237</v>
      </c>
      <c r="K402" s="712">
        <v>0</v>
      </c>
      <c r="L402" s="712">
        <v>0</v>
      </c>
      <c r="M402" s="712">
        <v>0</v>
      </c>
      <c r="N402" s="712">
        <v>504237</v>
      </c>
    </row>
    <row r="403" spans="1:14" s="175" customFormat="1" ht="12.75" customHeight="1" x14ac:dyDescent="0.2">
      <c r="A403" s="453"/>
      <c r="B403" s="887"/>
      <c r="C403" s="839"/>
      <c r="D403" s="839"/>
      <c r="E403" s="713" t="s">
        <v>195</v>
      </c>
      <c r="F403" s="712">
        <v>627157</v>
      </c>
      <c r="G403" s="712">
        <v>627157</v>
      </c>
      <c r="H403" s="712">
        <v>0</v>
      </c>
      <c r="I403" s="712">
        <v>0</v>
      </c>
      <c r="J403" s="712">
        <v>0</v>
      </c>
      <c r="K403" s="712">
        <v>0</v>
      </c>
      <c r="L403" s="712">
        <v>0</v>
      </c>
      <c r="M403" s="712">
        <v>0</v>
      </c>
      <c r="N403" s="712">
        <v>0</v>
      </c>
    </row>
    <row r="404" spans="1:14" s="175" customFormat="1" ht="12.75" customHeight="1" x14ac:dyDescent="0.2">
      <c r="A404" s="453"/>
      <c r="B404" s="887"/>
      <c r="C404" s="839"/>
      <c r="D404" s="839"/>
      <c r="E404" s="713" t="s">
        <v>1221</v>
      </c>
      <c r="F404" s="712">
        <v>1931850</v>
      </c>
      <c r="G404" s="712">
        <v>1931850</v>
      </c>
      <c r="H404" s="712">
        <v>0</v>
      </c>
      <c r="I404" s="712">
        <v>0</v>
      </c>
      <c r="J404" s="712">
        <v>0</v>
      </c>
      <c r="K404" s="712">
        <v>0</v>
      </c>
      <c r="L404" s="712">
        <v>0</v>
      </c>
      <c r="M404" s="712">
        <v>0</v>
      </c>
      <c r="N404" s="712">
        <v>0</v>
      </c>
    </row>
    <row r="405" spans="1:14" s="175" customFormat="1" ht="12.75" customHeight="1" x14ac:dyDescent="0.2">
      <c r="A405" s="453"/>
      <c r="B405" s="887"/>
      <c r="C405" s="838" t="s">
        <v>1863</v>
      </c>
      <c r="D405" s="838" t="s">
        <v>888</v>
      </c>
      <c r="E405" s="713" t="s">
        <v>26</v>
      </c>
      <c r="F405" s="712">
        <v>343900000</v>
      </c>
      <c r="G405" s="712">
        <v>343900000</v>
      </c>
      <c r="H405" s="712">
        <v>0</v>
      </c>
      <c r="I405" s="712">
        <v>0</v>
      </c>
      <c r="J405" s="712">
        <v>0</v>
      </c>
      <c r="K405" s="712">
        <v>0</v>
      </c>
      <c r="L405" s="712">
        <v>0</v>
      </c>
      <c r="M405" s="712">
        <v>0</v>
      </c>
      <c r="N405" s="712">
        <v>0</v>
      </c>
    </row>
    <row r="406" spans="1:14" s="175" customFormat="1" ht="12.75" customHeight="1" x14ac:dyDescent="0.2">
      <c r="A406" s="453"/>
      <c r="B406" s="887"/>
      <c r="C406" s="839"/>
      <c r="D406" s="839"/>
      <c r="E406" s="713" t="s">
        <v>3212</v>
      </c>
      <c r="F406" s="712">
        <v>94986</v>
      </c>
      <c r="G406" s="712">
        <v>0</v>
      </c>
      <c r="H406" s="712">
        <v>94986</v>
      </c>
      <c r="I406" s="712">
        <v>0</v>
      </c>
      <c r="J406" s="712">
        <v>94986</v>
      </c>
      <c r="K406" s="712">
        <v>0</v>
      </c>
      <c r="L406" s="712">
        <v>0</v>
      </c>
      <c r="M406" s="712">
        <v>0</v>
      </c>
      <c r="N406" s="712">
        <v>94986</v>
      </c>
    </row>
    <row r="407" spans="1:14" s="175" customFormat="1" ht="12.75" customHeight="1" x14ac:dyDescent="0.2">
      <c r="A407" s="453"/>
      <c r="B407" s="887"/>
      <c r="C407" s="839"/>
      <c r="D407" s="839"/>
      <c r="E407" s="713" t="s">
        <v>1221</v>
      </c>
      <c r="F407" s="712">
        <v>1931850</v>
      </c>
      <c r="G407" s="712">
        <v>1931850</v>
      </c>
      <c r="H407" s="712">
        <v>0</v>
      </c>
      <c r="I407" s="712">
        <v>0</v>
      </c>
      <c r="J407" s="712">
        <v>0</v>
      </c>
      <c r="K407" s="712">
        <v>0</v>
      </c>
      <c r="L407" s="712">
        <v>0</v>
      </c>
      <c r="M407" s="712">
        <v>0</v>
      </c>
      <c r="N407" s="712">
        <v>0</v>
      </c>
    </row>
    <row r="408" spans="1:14" s="175" customFormat="1" ht="12.75" customHeight="1" x14ac:dyDescent="0.2">
      <c r="A408" s="453"/>
      <c r="B408" s="887"/>
      <c r="C408" s="838" t="s">
        <v>1864</v>
      </c>
      <c r="D408" s="838" t="s">
        <v>1706</v>
      </c>
      <c r="E408" s="713" t="s">
        <v>26</v>
      </c>
      <c r="F408" s="712">
        <v>85832028</v>
      </c>
      <c r="G408" s="712">
        <v>85832028</v>
      </c>
      <c r="H408" s="712">
        <v>0</v>
      </c>
      <c r="I408" s="712">
        <v>0</v>
      </c>
      <c r="J408" s="712">
        <v>0</v>
      </c>
      <c r="K408" s="712">
        <v>0</v>
      </c>
      <c r="L408" s="712">
        <v>0</v>
      </c>
      <c r="M408" s="712">
        <v>0</v>
      </c>
      <c r="N408" s="712">
        <v>0</v>
      </c>
    </row>
    <row r="409" spans="1:14" s="175" customFormat="1" ht="12.75" customHeight="1" x14ac:dyDescent="0.2">
      <c r="A409" s="453"/>
      <c r="B409" s="887"/>
      <c r="C409" s="839"/>
      <c r="D409" s="839"/>
      <c r="E409" s="713" t="s">
        <v>1557</v>
      </c>
      <c r="F409" s="712">
        <v>199637200</v>
      </c>
      <c r="G409" s="712">
        <v>199637200</v>
      </c>
      <c r="H409" s="712">
        <v>0</v>
      </c>
      <c r="I409" s="712">
        <v>0</v>
      </c>
      <c r="J409" s="712">
        <v>0</v>
      </c>
      <c r="K409" s="712">
        <v>0</v>
      </c>
      <c r="L409" s="712">
        <v>0</v>
      </c>
      <c r="M409" s="712">
        <v>0</v>
      </c>
      <c r="N409" s="712">
        <v>0</v>
      </c>
    </row>
    <row r="410" spans="1:14" s="175" customFormat="1" ht="12.75" customHeight="1" x14ac:dyDescent="0.2">
      <c r="A410" s="453"/>
      <c r="B410" s="887"/>
      <c r="C410" s="839"/>
      <c r="D410" s="839"/>
      <c r="E410" s="713" t="s">
        <v>3212</v>
      </c>
      <c r="F410" s="712">
        <v>96616</v>
      </c>
      <c r="G410" s="712">
        <v>0</v>
      </c>
      <c r="H410" s="712">
        <v>96616</v>
      </c>
      <c r="I410" s="712">
        <v>0</v>
      </c>
      <c r="J410" s="712">
        <v>96616</v>
      </c>
      <c r="K410" s="712">
        <v>0</v>
      </c>
      <c r="L410" s="712">
        <v>0</v>
      </c>
      <c r="M410" s="712">
        <v>0</v>
      </c>
      <c r="N410" s="712">
        <v>96616</v>
      </c>
    </row>
    <row r="411" spans="1:14" s="175" customFormat="1" ht="12.75" customHeight="1" x14ac:dyDescent="0.2">
      <c r="A411" s="453"/>
      <c r="B411" s="887"/>
      <c r="C411" s="838" t="s">
        <v>1865</v>
      </c>
      <c r="D411" s="838" t="s">
        <v>887</v>
      </c>
      <c r="E411" s="713" t="s">
        <v>26</v>
      </c>
      <c r="F411" s="712">
        <v>98864123</v>
      </c>
      <c r="G411" s="712">
        <v>98864123</v>
      </c>
      <c r="H411" s="712">
        <v>0</v>
      </c>
      <c r="I411" s="712">
        <v>0</v>
      </c>
      <c r="J411" s="712">
        <v>0</v>
      </c>
      <c r="K411" s="712">
        <v>0</v>
      </c>
      <c r="L411" s="712">
        <v>0</v>
      </c>
      <c r="M411" s="712">
        <v>0</v>
      </c>
      <c r="N411" s="712">
        <v>0</v>
      </c>
    </row>
    <row r="412" spans="1:14" s="175" customFormat="1" x14ac:dyDescent="0.2">
      <c r="A412" s="452"/>
      <c r="B412" s="887"/>
      <c r="C412" s="839"/>
      <c r="D412" s="839"/>
      <c r="E412" s="713" t="s">
        <v>1557</v>
      </c>
      <c r="F412" s="712">
        <v>230682955</v>
      </c>
      <c r="G412" s="712">
        <v>230682954</v>
      </c>
      <c r="H412" s="712">
        <v>1</v>
      </c>
      <c r="I412" s="712">
        <v>0</v>
      </c>
      <c r="J412" s="712">
        <v>1</v>
      </c>
      <c r="K412" s="712">
        <v>0</v>
      </c>
      <c r="L412" s="712">
        <v>0</v>
      </c>
      <c r="M412" s="712">
        <v>0</v>
      </c>
      <c r="N412" s="712">
        <v>1</v>
      </c>
    </row>
    <row r="413" spans="1:14" s="175" customFormat="1" x14ac:dyDescent="0.2">
      <c r="A413" s="453"/>
      <c r="B413" s="887"/>
      <c r="C413" s="839"/>
      <c r="D413" s="839"/>
      <c r="E413" s="713" t="s">
        <v>3212</v>
      </c>
      <c r="F413" s="712">
        <v>1227080</v>
      </c>
      <c r="G413" s="712">
        <v>0</v>
      </c>
      <c r="H413" s="712">
        <v>1227080</v>
      </c>
      <c r="I413" s="712">
        <v>0</v>
      </c>
      <c r="J413" s="712">
        <v>1227080</v>
      </c>
      <c r="K413" s="712">
        <v>0</v>
      </c>
      <c r="L413" s="712">
        <v>0</v>
      </c>
      <c r="M413" s="712">
        <v>0</v>
      </c>
      <c r="N413" s="712">
        <v>1227080</v>
      </c>
    </row>
    <row r="414" spans="1:14" s="175" customFormat="1" x14ac:dyDescent="0.2">
      <c r="A414" s="453"/>
      <c r="B414" s="887"/>
      <c r="C414" s="839"/>
      <c r="D414" s="839"/>
      <c r="E414" s="713" t="s">
        <v>195</v>
      </c>
      <c r="F414" s="712">
        <v>2623150</v>
      </c>
      <c r="G414" s="712">
        <v>2623150</v>
      </c>
      <c r="H414" s="712">
        <v>0</v>
      </c>
      <c r="I414" s="712">
        <v>0</v>
      </c>
      <c r="J414" s="712">
        <v>0</v>
      </c>
      <c r="K414" s="712">
        <v>0</v>
      </c>
      <c r="L414" s="712">
        <v>0</v>
      </c>
      <c r="M414" s="712">
        <v>0</v>
      </c>
      <c r="N414" s="712">
        <v>0</v>
      </c>
    </row>
    <row r="415" spans="1:14" s="175" customFormat="1" x14ac:dyDescent="0.2">
      <c r="A415" s="453"/>
      <c r="B415" s="887"/>
      <c r="C415" s="839"/>
      <c r="D415" s="839"/>
      <c r="E415" s="713" t="s">
        <v>2676</v>
      </c>
      <c r="F415" s="712">
        <v>5822927</v>
      </c>
      <c r="G415" s="712">
        <v>5822927</v>
      </c>
      <c r="H415" s="712">
        <v>0</v>
      </c>
      <c r="I415" s="712">
        <v>0</v>
      </c>
      <c r="J415" s="712">
        <v>0</v>
      </c>
      <c r="K415" s="712">
        <v>0</v>
      </c>
      <c r="L415" s="712">
        <v>0</v>
      </c>
      <c r="M415" s="712">
        <v>0</v>
      </c>
      <c r="N415" s="712">
        <v>0</v>
      </c>
    </row>
    <row r="416" spans="1:14" s="175" customFormat="1" x14ac:dyDescent="0.2">
      <c r="A416" s="453"/>
      <c r="B416" s="887"/>
      <c r="C416" s="838" t="s">
        <v>1866</v>
      </c>
      <c r="D416" s="838" t="s">
        <v>890</v>
      </c>
      <c r="E416" s="713" t="s">
        <v>26</v>
      </c>
      <c r="F416" s="712">
        <v>312140067</v>
      </c>
      <c r="G416" s="712">
        <v>312140067</v>
      </c>
      <c r="H416" s="712">
        <v>0</v>
      </c>
      <c r="I416" s="712">
        <v>0</v>
      </c>
      <c r="J416" s="712">
        <v>0</v>
      </c>
      <c r="K416" s="712">
        <v>0</v>
      </c>
      <c r="L416" s="712">
        <v>0</v>
      </c>
      <c r="M416" s="712">
        <v>0</v>
      </c>
      <c r="N416" s="712">
        <v>0</v>
      </c>
    </row>
    <row r="417" spans="1:14" s="175" customFormat="1" x14ac:dyDescent="0.2">
      <c r="A417" s="453"/>
      <c r="B417" s="887"/>
      <c r="C417" s="839"/>
      <c r="D417" s="839"/>
      <c r="E417" s="713" t="s">
        <v>3212</v>
      </c>
      <c r="F417" s="712">
        <v>157610</v>
      </c>
      <c r="G417" s="712">
        <v>157610</v>
      </c>
      <c r="H417" s="712">
        <v>0</v>
      </c>
      <c r="I417" s="712">
        <v>0</v>
      </c>
      <c r="J417" s="712">
        <v>0</v>
      </c>
      <c r="K417" s="712">
        <v>0</v>
      </c>
      <c r="L417" s="712">
        <v>0</v>
      </c>
      <c r="M417" s="712">
        <v>0</v>
      </c>
      <c r="N417" s="712">
        <v>0</v>
      </c>
    </row>
    <row r="418" spans="1:14" s="175" customFormat="1" x14ac:dyDescent="0.2">
      <c r="A418" s="453"/>
      <c r="B418" s="887"/>
      <c r="C418" s="838" t="s">
        <v>1867</v>
      </c>
      <c r="D418" s="838" t="s">
        <v>1624</v>
      </c>
      <c r="E418" s="713" t="s">
        <v>26</v>
      </c>
      <c r="F418" s="712">
        <v>278864929</v>
      </c>
      <c r="G418" s="712">
        <v>278864929</v>
      </c>
      <c r="H418" s="712">
        <v>0</v>
      </c>
      <c r="I418" s="712">
        <v>0</v>
      </c>
      <c r="J418" s="712">
        <v>0</v>
      </c>
      <c r="K418" s="712">
        <v>0</v>
      </c>
      <c r="L418" s="712">
        <v>0</v>
      </c>
      <c r="M418" s="712">
        <v>0</v>
      </c>
      <c r="N418" s="712">
        <v>0</v>
      </c>
    </row>
    <row r="419" spans="1:14" s="175" customFormat="1" x14ac:dyDescent="0.2">
      <c r="A419" s="453"/>
      <c r="B419" s="887"/>
      <c r="C419" s="839"/>
      <c r="D419" s="839"/>
      <c r="E419" s="713" t="s">
        <v>3212</v>
      </c>
      <c r="F419" s="712">
        <v>1109000</v>
      </c>
      <c r="G419" s="712">
        <v>1109000</v>
      </c>
      <c r="H419" s="712">
        <v>0</v>
      </c>
      <c r="I419" s="712">
        <v>0</v>
      </c>
      <c r="J419" s="712">
        <v>0</v>
      </c>
      <c r="K419" s="712">
        <v>0</v>
      </c>
      <c r="L419" s="712">
        <v>0</v>
      </c>
      <c r="M419" s="712">
        <v>0</v>
      </c>
      <c r="N419" s="712">
        <v>0</v>
      </c>
    </row>
    <row r="420" spans="1:14" s="175" customFormat="1" x14ac:dyDescent="0.2">
      <c r="A420" s="453"/>
      <c r="B420" s="887"/>
      <c r="C420" s="838" t="s">
        <v>1868</v>
      </c>
      <c r="D420" s="838" t="s">
        <v>889</v>
      </c>
      <c r="E420" s="713" t="s">
        <v>26</v>
      </c>
      <c r="F420" s="712">
        <v>352608351</v>
      </c>
      <c r="G420" s="712">
        <v>352608351</v>
      </c>
      <c r="H420" s="712">
        <v>0</v>
      </c>
      <c r="I420" s="712">
        <v>0</v>
      </c>
      <c r="J420" s="712">
        <v>0</v>
      </c>
      <c r="K420" s="712">
        <v>0</v>
      </c>
      <c r="L420" s="712">
        <v>0</v>
      </c>
      <c r="M420" s="712">
        <v>0</v>
      </c>
      <c r="N420" s="712">
        <v>0</v>
      </c>
    </row>
    <row r="421" spans="1:14" s="175" customFormat="1" x14ac:dyDescent="0.2">
      <c r="A421" s="453"/>
      <c r="B421" s="887"/>
      <c r="C421" s="839"/>
      <c r="D421" s="839"/>
      <c r="E421" s="713" t="s">
        <v>3212</v>
      </c>
      <c r="F421" s="712">
        <v>1409515</v>
      </c>
      <c r="G421" s="712">
        <v>1409515</v>
      </c>
      <c r="H421" s="712">
        <v>0</v>
      </c>
      <c r="I421" s="712">
        <v>0</v>
      </c>
      <c r="J421" s="712">
        <v>0</v>
      </c>
      <c r="K421" s="712">
        <v>0</v>
      </c>
      <c r="L421" s="712">
        <v>0</v>
      </c>
      <c r="M421" s="712">
        <v>0</v>
      </c>
      <c r="N421" s="712">
        <v>0</v>
      </c>
    </row>
    <row r="422" spans="1:14" s="175" customFormat="1" x14ac:dyDescent="0.2">
      <c r="A422" s="453"/>
      <c r="B422" s="887"/>
      <c r="C422" s="839"/>
      <c r="D422" s="839"/>
      <c r="E422" s="713" t="s">
        <v>195</v>
      </c>
      <c r="F422" s="712">
        <v>1123819</v>
      </c>
      <c r="G422" s="712">
        <v>1123819</v>
      </c>
      <c r="H422" s="712">
        <v>0</v>
      </c>
      <c r="I422" s="712">
        <v>0</v>
      </c>
      <c r="J422" s="712">
        <v>0</v>
      </c>
      <c r="K422" s="712">
        <v>0</v>
      </c>
      <c r="L422" s="712">
        <v>0</v>
      </c>
      <c r="M422" s="712">
        <v>0</v>
      </c>
      <c r="N422" s="712">
        <v>0</v>
      </c>
    </row>
    <row r="423" spans="1:14" s="175" customFormat="1" x14ac:dyDescent="0.2">
      <c r="A423" s="453"/>
      <c r="B423" s="887"/>
      <c r="C423" s="839"/>
      <c r="D423" s="839"/>
      <c r="E423" s="713" t="s">
        <v>1221</v>
      </c>
      <c r="F423" s="712">
        <v>1931850</v>
      </c>
      <c r="G423" s="712">
        <v>1931850</v>
      </c>
      <c r="H423" s="712">
        <v>0</v>
      </c>
      <c r="I423" s="712">
        <v>0</v>
      </c>
      <c r="J423" s="712">
        <v>0</v>
      </c>
      <c r="K423" s="712">
        <v>0</v>
      </c>
      <c r="L423" s="712">
        <v>0</v>
      </c>
      <c r="M423" s="712">
        <v>0</v>
      </c>
      <c r="N423" s="712">
        <v>0</v>
      </c>
    </row>
    <row r="424" spans="1:14" s="175" customFormat="1" x14ac:dyDescent="0.2">
      <c r="A424" s="453"/>
      <c r="B424" s="887"/>
      <c r="C424" s="838" t="s">
        <v>1869</v>
      </c>
      <c r="D424" s="838" t="s">
        <v>1707</v>
      </c>
      <c r="E424" s="713" t="s">
        <v>26</v>
      </c>
      <c r="F424" s="712">
        <v>340733421</v>
      </c>
      <c r="G424" s="712">
        <v>340733421</v>
      </c>
      <c r="H424" s="712">
        <v>0</v>
      </c>
      <c r="I424" s="712">
        <v>0</v>
      </c>
      <c r="J424" s="712">
        <v>0</v>
      </c>
      <c r="K424" s="712">
        <v>0</v>
      </c>
      <c r="L424" s="712">
        <v>0</v>
      </c>
      <c r="M424" s="712">
        <v>0</v>
      </c>
      <c r="N424" s="712">
        <v>0</v>
      </c>
    </row>
    <row r="425" spans="1:14" s="175" customFormat="1" x14ac:dyDescent="0.2">
      <c r="A425" s="453"/>
      <c r="B425" s="887"/>
      <c r="C425" s="839"/>
      <c r="D425" s="839"/>
      <c r="E425" s="713" t="s">
        <v>3212</v>
      </c>
      <c r="F425" s="712">
        <v>162510</v>
      </c>
      <c r="G425" s="712">
        <v>162510</v>
      </c>
      <c r="H425" s="712">
        <v>0</v>
      </c>
      <c r="I425" s="712">
        <v>0</v>
      </c>
      <c r="J425" s="712">
        <v>0</v>
      </c>
      <c r="K425" s="712">
        <v>0</v>
      </c>
      <c r="L425" s="712">
        <v>0</v>
      </c>
      <c r="M425" s="712">
        <v>0</v>
      </c>
      <c r="N425" s="712">
        <v>0</v>
      </c>
    </row>
    <row r="426" spans="1:14" s="175" customFormat="1" x14ac:dyDescent="0.2">
      <c r="A426" s="453"/>
      <c r="B426" s="887"/>
      <c r="C426" s="838" t="s">
        <v>1870</v>
      </c>
      <c r="D426" s="838" t="s">
        <v>891</v>
      </c>
      <c r="E426" s="713" t="s">
        <v>22</v>
      </c>
      <c r="F426" s="712">
        <v>68819215</v>
      </c>
      <c r="G426" s="712">
        <v>68819215</v>
      </c>
      <c r="H426" s="712">
        <v>0</v>
      </c>
      <c r="I426" s="712">
        <v>0</v>
      </c>
      <c r="J426" s="712">
        <v>0</v>
      </c>
      <c r="K426" s="712">
        <v>0</v>
      </c>
      <c r="L426" s="712">
        <v>0</v>
      </c>
      <c r="M426" s="712">
        <v>0</v>
      </c>
      <c r="N426" s="712">
        <v>0</v>
      </c>
    </row>
    <row r="427" spans="1:14" s="175" customFormat="1" x14ac:dyDescent="0.2">
      <c r="A427" s="453"/>
      <c r="B427" s="887"/>
      <c r="C427" s="839"/>
      <c r="D427" s="839"/>
      <c r="E427" s="713" t="s">
        <v>26</v>
      </c>
      <c r="F427" s="712">
        <v>101145451</v>
      </c>
      <c r="G427" s="712">
        <v>101145451</v>
      </c>
      <c r="H427" s="712">
        <v>0</v>
      </c>
      <c r="I427" s="712">
        <v>0</v>
      </c>
      <c r="J427" s="712">
        <v>0</v>
      </c>
      <c r="K427" s="712">
        <v>0</v>
      </c>
      <c r="L427" s="712">
        <v>0</v>
      </c>
      <c r="M427" s="712">
        <v>0</v>
      </c>
      <c r="N427" s="712">
        <v>0</v>
      </c>
    </row>
    <row r="428" spans="1:14" s="175" customFormat="1" x14ac:dyDescent="0.2">
      <c r="A428" s="453"/>
      <c r="B428" s="887"/>
      <c r="C428" s="839"/>
      <c r="D428" s="839"/>
      <c r="E428" s="713" t="s">
        <v>1557</v>
      </c>
      <c r="F428" s="712">
        <v>182526549</v>
      </c>
      <c r="G428" s="712">
        <v>182526549</v>
      </c>
      <c r="H428" s="712">
        <v>0</v>
      </c>
      <c r="I428" s="712">
        <v>0</v>
      </c>
      <c r="J428" s="712">
        <v>0</v>
      </c>
      <c r="K428" s="712">
        <v>0</v>
      </c>
      <c r="L428" s="712">
        <v>0</v>
      </c>
      <c r="M428" s="712">
        <v>0</v>
      </c>
      <c r="N428" s="712">
        <v>0</v>
      </c>
    </row>
    <row r="429" spans="1:14" s="175" customFormat="1" x14ac:dyDescent="0.2">
      <c r="A429" s="453"/>
      <c r="B429" s="887"/>
      <c r="C429" s="838" t="s">
        <v>1871</v>
      </c>
      <c r="D429" s="838" t="s">
        <v>1642</v>
      </c>
      <c r="E429" s="713" t="s">
        <v>26</v>
      </c>
      <c r="F429" s="712">
        <v>101899057</v>
      </c>
      <c r="G429" s="712">
        <v>101899057</v>
      </c>
      <c r="H429" s="712">
        <v>0</v>
      </c>
      <c r="I429" s="712">
        <v>0</v>
      </c>
      <c r="J429" s="712">
        <v>0</v>
      </c>
      <c r="K429" s="712">
        <v>0</v>
      </c>
      <c r="L429" s="712">
        <v>0</v>
      </c>
      <c r="M429" s="712">
        <v>0</v>
      </c>
      <c r="N429" s="712">
        <v>0</v>
      </c>
    </row>
    <row r="430" spans="1:14" s="175" customFormat="1" x14ac:dyDescent="0.2">
      <c r="A430" s="453"/>
      <c r="B430" s="887"/>
      <c r="C430" s="839"/>
      <c r="D430" s="839"/>
      <c r="E430" s="713" t="s">
        <v>1557</v>
      </c>
      <c r="F430" s="712">
        <v>226304623</v>
      </c>
      <c r="G430" s="712">
        <v>226304623</v>
      </c>
      <c r="H430" s="712">
        <v>0</v>
      </c>
      <c r="I430" s="712">
        <v>0</v>
      </c>
      <c r="J430" s="712">
        <v>0</v>
      </c>
      <c r="K430" s="712">
        <v>0</v>
      </c>
      <c r="L430" s="712">
        <v>0</v>
      </c>
      <c r="M430" s="712">
        <v>0</v>
      </c>
      <c r="N430" s="712">
        <v>0</v>
      </c>
    </row>
    <row r="431" spans="1:14" s="175" customFormat="1" x14ac:dyDescent="0.2">
      <c r="A431" s="453"/>
      <c r="B431" s="887"/>
      <c r="C431" s="839"/>
      <c r="D431" s="839"/>
      <c r="E431" s="713" t="s">
        <v>2676</v>
      </c>
      <c r="F431" s="712">
        <v>724175</v>
      </c>
      <c r="G431" s="712">
        <v>724175</v>
      </c>
      <c r="H431" s="712">
        <v>0</v>
      </c>
      <c r="I431" s="712">
        <v>0</v>
      </c>
      <c r="J431" s="712">
        <v>0</v>
      </c>
      <c r="K431" s="712">
        <v>0</v>
      </c>
      <c r="L431" s="712">
        <v>0</v>
      </c>
      <c r="M431" s="712">
        <v>0</v>
      </c>
      <c r="N431" s="712">
        <v>0</v>
      </c>
    </row>
    <row r="432" spans="1:14" s="175" customFormat="1" x14ac:dyDescent="0.2">
      <c r="A432" s="453"/>
      <c r="B432" s="887"/>
      <c r="C432" s="839"/>
      <c r="D432" s="839"/>
      <c r="E432" s="713" t="s">
        <v>1221</v>
      </c>
      <c r="F432" s="712">
        <v>1931850</v>
      </c>
      <c r="G432" s="712">
        <v>1931850</v>
      </c>
      <c r="H432" s="712">
        <v>0</v>
      </c>
      <c r="I432" s="712">
        <v>0</v>
      </c>
      <c r="J432" s="712">
        <v>0</v>
      </c>
      <c r="K432" s="712">
        <v>0</v>
      </c>
      <c r="L432" s="712">
        <v>0</v>
      </c>
      <c r="M432" s="712">
        <v>0</v>
      </c>
      <c r="N432" s="712">
        <v>0</v>
      </c>
    </row>
    <row r="433" spans="1:14" s="175" customFormat="1" x14ac:dyDescent="0.2">
      <c r="A433" s="453"/>
      <c r="B433" s="887"/>
      <c r="C433" s="838" t="s">
        <v>1872</v>
      </c>
      <c r="D433" s="838" t="s">
        <v>1643</v>
      </c>
      <c r="E433" s="713" t="s">
        <v>26</v>
      </c>
      <c r="F433" s="712">
        <v>98269000</v>
      </c>
      <c r="G433" s="712">
        <v>98269000</v>
      </c>
      <c r="H433" s="712">
        <v>0</v>
      </c>
      <c r="I433" s="712">
        <v>0</v>
      </c>
      <c r="J433" s="712">
        <v>0</v>
      </c>
      <c r="K433" s="712">
        <v>0</v>
      </c>
      <c r="L433" s="712">
        <v>0</v>
      </c>
      <c r="M433" s="712">
        <v>0</v>
      </c>
      <c r="N433" s="712">
        <v>0</v>
      </c>
    </row>
    <row r="434" spans="1:14" s="175" customFormat="1" x14ac:dyDescent="0.2">
      <c r="A434" s="453"/>
      <c r="B434" s="887"/>
      <c r="C434" s="839"/>
      <c r="D434" s="839"/>
      <c r="E434" s="713" t="s">
        <v>1557</v>
      </c>
      <c r="F434" s="712">
        <v>225729348</v>
      </c>
      <c r="G434" s="712">
        <v>225729348</v>
      </c>
      <c r="H434" s="712">
        <v>0</v>
      </c>
      <c r="I434" s="712">
        <v>0</v>
      </c>
      <c r="J434" s="712">
        <v>0</v>
      </c>
      <c r="K434" s="712">
        <v>0</v>
      </c>
      <c r="L434" s="712">
        <v>0</v>
      </c>
      <c r="M434" s="712">
        <v>0</v>
      </c>
      <c r="N434" s="712">
        <v>0</v>
      </c>
    </row>
    <row r="435" spans="1:14" s="175" customFormat="1" x14ac:dyDescent="0.2">
      <c r="A435" s="453"/>
      <c r="B435" s="887"/>
      <c r="C435" s="838" t="s">
        <v>1873</v>
      </c>
      <c r="D435" s="838" t="s">
        <v>892</v>
      </c>
      <c r="E435" s="713" t="s">
        <v>26</v>
      </c>
      <c r="F435" s="712">
        <v>80844120</v>
      </c>
      <c r="G435" s="712">
        <v>80844120</v>
      </c>
      <c r="H435" s="712">
        <v>0</v>
      </c>
      <c r="I435" s="712">
        <v>0</v>
      </c>
      <c r="J435" s="712">
        <v>0</v>
      </c>
      <c r="K435" s="712">
        <v>0</v>
      </c>
      <c r="L435" s="712">
        <v>0</v>
      </c>
      <c r="M435" s="712">
        <v>0</v>
      </c>
      <c r="N435" s="712">
        <v>0</v>
      </c>
    </row>
    <row r="436" spans="1:14" s="175" customFormat="1" x14ac:dyDescent="0.2">
      <c r="A436" s="453"/>
      <c r="B436" s="887"/>
      <c r="C436" s="839"/>
      <c r="D436" s="839"/>
      <c r="E436" s="713" t="s">
        <v>1557</v>
      </c>
      <c r="F436" s="712">
        <v>188636280</v>
      </c>
      <c r="G436" s="712">
        <v>0</v>
      </c>
      <c r="H436" s="712">
        <v>188636280</v>
      </c>
      <c r="I436" s="712">
        <v>0</v>
      </c>
      <c r="J436" s="712">
        <v>188636280</v>
      </c>
      <c r="K436" s="712">
        <v>0</v>
      </c>
      <c r="L436" s="712">
        <v>0</v>
      </c>
      <c r="M436" s="712">
        <v>0</v>
      </c>
      <c r="N436" s="712">
        <v>188636280</v>
      </c>
    </row>
    <row r="437" spans="1:14" s="175" customFormat="1" x14ac:dyDescent="0.2">
      <c r="A437" s="453"/>
      <c r="B437" s="887"/>
      <c r="C437" s="838" t="s">
        <v>1874</v>
      </c>
      <c r="D437" s="838" t="s">
        <v>993</v>
      </c>
      <c r="E437" s="713" t="s">
        <v>26</v>
      </c>
      <c r="F437" s="712">
        <v>352563156</v>
      </c>
      <c r="G437" s="712">
        <v>352563156</v>
      </c>
      <c r="H437" s="712">
        <v>0</v>
      </c>
      <c r="I437" s="712">
        <v>0</v>
      </c>
      <c r="J437" s="712">
        <v>0</v>
      </c>
      <c r="K437" s="712">
        <v>0</v>
      </c>
      <c r="L437" s="712">
        <v>0</v>
      </c>
      <c r="M437" s="712">
        <v>0</v>
      </c>
      <c r="N437" s="712">
        <v>0</v>
      </c>
    </row>
    <row r="438" spans="1:14" s="175" customFormat="1" x14ac:dyDescent="0.2">
      <c r="A438" s="453"/>
      <c r="B438" s="887"/>
      <c r="C438" s="839"/>
      <c r="D438" s="839"/>
      <c r="E438" s="713" t="s">
        <v>3212</v>
      </c>
      <c r="F438" s="712">
        <v>143754</v>
      </c>
      <c r="G438" s="712">
        <v>0</v>
      </c>
      <c r="H438" s="712">
        <v>143754</v>
      </c>
      <c r="I438" s="712">
        <v>0</v>
      </c>
      <c r="J438" s="712">
        <v>143754</v>
      </c>
      <c r="K438" s="712">
        <v>0</v>
      </c>
      <c r="L438" s="712">
        <v>0</v>
      </c>
      <c r="M438" s="712">
        <v>0</v>
      </c>
      <c r="N438" s="712">
        <v>143754</v>
      </c>
    </row>
    <row r="439" spans="1:14" s="175" customFormat="1" x14ac:dyDescent="0.2">
      <c r="A439" s="453"/>
      <c r="B439" s="887"/>
      <c r="C439" s="838" t="s">
        <v>1875</v>
      </c>
      <c r="D439" s="838" t="s">
        <v>2607</v>
      </c>
      <c r="E439" s="713" t="s">
        <v>26</v>
      </c>
      <c r="F439" s="712">
        <v>181457000</v>
      </c>
      <c r="G439" s="712">
        <v>181457000</v>
      </c>
      <c r="H439" s="712">
        <v>0</v>
      </c>
      <c r="I439" s="712">
        <v>0</v>
      </c>
      <c r="J439" s="712">
        <v>0</v>
      </c>
      <c r="K439" s="712">
        <v>0</v>
      </c>
      <c r="L439" s="712">
        <v>0</v>
      </c>
      <c r="M439" s="712">
        <v>0</v>
      </c>
      <c r="N439" s="712">
        <v>0</v>
      </c>
    </row>
    <row r="440" spans="1:14" s="175" customFormat="1" x14ac:dyDescent="0.2">
      <c r="A440" s="453"/>
      <c r="B440" s="887"/>
      <c r="C440" s="839"/>
      <c r="D440" s="839"/>
      <c r="E440" s="713" t="s">
        <v>1557</v>
      </c>
      <c r="F440" s="712">
        <v>167235895</v>
      </c>
      <c r="G440" s="712">
        <v>167235895</v>
      </c>
      <c r="H440" s="712">
        <v>0</v>
      </c>
      <c r="I440" s="712">
        <v>0</v>
      </c>
      <c r="J440" s="712">
        <v>0</v>
      </c>
      <c r="K440" s="712">
        <v>0</v>
      </c>
      <c r="L440" s="712">
        <v>0</v>
      </c>
      <c r="M440" s="712">
        <v>0</v>
      </c>
      <c r="N440" s="712">
        <v>0</v>
      </c>
    </row>
    <row r="441" spans="1:14" s="175" customFormat="1" x14ac:dyDescent="0.2">
      <c r="A441" s="453"/>
      <c r="B441" s="887"/>
      <c r="C441" s="838" t="s">
        <v>1876</v>
      </c>
      <c r="D441" s="838" t="s">
        <v>1708</v>
      </c>
      <c r="E441" s="713" t="s">
        <v>26</v>
      </c>
      <c r="F441" s="712">
        <v>85188719</v>
      </c>
      <c r="G441" s="712">
        <v>85188719</v>
      </c>
      <c r="H441" s="712">
        <v>0</v>
      </c>
      <c r="I441" s="712">
        <v>0</v>
      </c>
      <c r="J441" s="712">
        <v>0</v>
      </c>
      <c r="K441" s="712">
        <v>0</v>
      </c>
      <c r="L441" s="712">
        <v>0</v>
      </c>
      <c r="M441" s="712">
        <v>0</v>
      </c>
      <c r="N441" s="712">
        <v>0</v>
      </c>
    </row>
    <row r="442" spans="1:14" s="175" customFormat="1" x14ac:dyDescent="0.2">
      <c r="A442" s="453"/>
      <c r="B442" s="887"/>
      <c r="C442" s="839"/>
      <c r="D442" s="839"/>
      <c r="E442" s="713" t="s">
        <v>1557</v>
      </c>
      <c r="F442" s="712">
        <v>198773677</v>
      </c>
      <c r="G442" s="712">
        <v>198773677</v>
      </c>
      <c r="H442" s="712">
        <v>0</v>
      </c>
      <c r="I442" s="712">
        <v>0</v>
      </c>
      <c r="J442" s="712">
        <v>0</v>
      </c>
      <c r="K442" s="712">
        <v>0</v>
      </c>
      <c r="L442" s="712">
        <v>0</v>
      </c>
      <c r="M442" s="712">
        <v>0</v>
      </c>
      <c r="N442" s="712">
        <v>0</v>
      </c>
    </row>
    <row r="443" spans="1:14" s="175" customFormat="1" x14ac:dyDescent="0.2">
      <c r="A443" s="453"/>
      <c r="B443" s="887"/>
      <c r="C443" s="839"/>
      <c r="D443" s="839"/>
      <c r="E443" s="713" t="s">
        <v>822</v>
      </c>
      <c r="F443" s="712">
        <v>408384</v>
      </c>
      <c r="G443" s="712">
        <v>408384</v>
      </c>
      <c r="H443" s="712">
        <v>0</v>
      </c>
      <c r="I443" s="712">
        <v>0</v>
      </c>
      <c r="J443" s="712">
        <v>0</v>
      </c>
      <c r="K443" s="712">
        <v>0</v>
      </c>
      <c r="L443" s="712">
        <v>0</v>
      </c>
      <c r="M443" s="712">
        <v>0</v>
      </c>
      <c r="N443" s="712">
        <v>0</v>
      </c>
    </row>
    <row r="444" spans="1:14" s="175" customFormat="1" x14ac:dyDescent="0.2">
      <c r="A444" s="453"/>
      <c r="B444" s="887"/>
      <c r="C444" s="839"/>
      <c r="D444" s="839"/>
      <c r="E444" s="713" t="s">
        <v>3212</v>
      </c>
      <c r="F444" s="712">
        <v>83142</v>
      </c>
      <c r="G444" s="712">
        <v>83142</v>
      </c>
      <c r="H444" s="712">
        <v>0</v>
      </c>
      <c r="I444" s="712">
        <v>0</v>
      </c>
      <c r="J444" s="712">
        <v>0</v>
      </c>
      <c r="K444" s="712">
        <v>0</v>
      </c>
      <c r="L444" s="712">
        <v>0</v>
      </c>
      <c r="M444" s="712">
        <v>0</v>
      </c>
      <c r="N444" s="712">
        <v>0</v>
      </c>
    </row>
    <row r="445" spans="1:14" s="175" customFormat="1" x14ac:dyDescent="0.2">
      <c r="A445" s="453"/>
      <c r="B445" s="887"/>
      <c r="C445" s="839"/>
      <c r="D445" s="839"/>
      <c r="E445" s="713" t="s">
        <v>2676</v>
      </c>
      <c r="F445" s="712">
        <v>1166139</v>
      </c>
      <c r="G445" s="712">
        <v>1166139</v>
      </c>
      <c r="H445" s="712">
        <v>0</v>
      </c>
      <c r="I445" s="712">
        <v>0</v>
      </c>
      <c r="J445" s="712">
        <v>0</v>
      </c>
      <c r="K445" s="712">
        <v>0</v>
      </c>
      <c r="L445" s="712">
        <v>0</v>
      </c>
      <c r="M445" s="712">
        <v>0</v>
      </c>
      <c r="N445" s="712">
        <v>0</v>
      </c>
    </row>
    <row r="446" spans="1:14" s="175" customFormat="1" x14ac:dyDescent="0.2">
      <c r="A446" s="453"/>
      <c r="B446" s="887"/>
      <c r="C446" s="838" t="s">
        <v>2534</v>
      </c>
      <c r="D446" s="838" t="s">
        <v>2608</v>
      </c>
      <c r="E446" s="713" t="s">
        <v>26</v>
      </c>
      <c r="F446" s="712">
        <v>199424367</v>
      </c>
      <c r="G446" s="712">
        <v>199424367</v>
      </c>
      <c r="H446" s="712">
        <v>0</v>
      </c>
      <c r="I446" s="712">
        <v>0</v>
      </c>
      <c r="J446" s="712">
        <v>0</v>
      </c>
      <c r="K446" s="712">
        <v>0</v>
      </c>
      <c r="L446" s="712">
        <v>0</v>
      </c>
      <c r="M446" s="712">
        <v>0</v>
      </c>
      <c r="N446" s="712">
        <v>0</v>
      </c>
    </row>
    <row r="447" spans="1:14" s="175" customFormat="1" x14ac:dyDescent="0.2">
      <c r="A447" s="453"/>
      <c r="B447" s="887"/>
      <c r="C447" s="839"/>
      <c r="D447" s="839"/>
      <c r="E447" s="713" t="s">
        <v>1557</v>
      </c>
      <c r="F447" s="712">
        <v>168152633</v>
      </c>
      <c r="G447" s="712">
        <v>168152633</v>
      </c>
      <c r="H447" s="712">
        <v>0</v>
      </c>
      <c r="I447" s="712">
        <v>0</v>
      </c>
      <c r="J447" s="712">
        <v>0</v>
      </c>
      <c r="K447" s="712">
        <v>0</v>
      </c>
      <c r="L447" s="712">
        <v>0</v>
      </c>
      <c r="M447" s="712">
        <v>0</v>
      </c>
      <c r="N447" s="712">
        <v>0</v>
      </c>
    </row>
    <row r="448" spans="1:14" s="175" customFormat="1" x14ac:dyDescent="0.2">
      <c r="A448" s="453"/>
      <c r="B448" s="887"/>
      <c r="C448" s="839"/>
      <c r="D448" s="839"/>
      <c r="E448" s="713" t="s">
        <v>2676</v>
      </c>
      <c r="F448" s="712">
        <v>1434902</v>
      </c>
      <c r="G448" s="712">
        <v>0</v>
      </c>
      <c r="H448" s="712">
        <v>1434902</v>
      </c>
      <c r="I448" s="712">
        <v>0</v>
      </c>
      <c r="J448" s="712">
        <v>1434902</v>
      </c>
      <c r="K448" s="712">
        <v>0</v>
      </c>
      <c r="L448" s="712">
        <v>0</v>
      </c>
      <c r="M448" s="712">
        <v>0</v>
      </c>
      <c r="N448" s="712">
        <v>1434902</v>
      </c>
    </row>
    <row r="449" spans="1:14" s="175" customFormat="1" x14ac:dyDescent="0.2">
      <c r="A449" s="453"/>
      <c r="B449" s="887"/>
      <c r="C449" s="838" t="s">
        <v>1877</v>
      </c>
      <c r="D449" s="838" t="s">
        <v>893</v>
      </c>
      <c r="E449" s="713" t="s">
        <v>26</v>
      </c>
      <c r="F449" s="712">
        <v>100609123</v>
      </c>
      <c r="G449" s="712">
        <v>100609123</v>
      </c>
      <c r="H449" s="712">
        <v>0</v>
      </c>
      <c r="I449" s="712">
        <v>0</v>
      </c>
      <c r="J449" s="712">
        <v>0</v>
      </c>
      <c r="K449" s="712">
        <v>0</v>
      </c>
      <c r="L449" s="712">
        <v>0</v>
      </c>
      <c r="M449" s="712">
        <v>0</v>
      </c>
      <c r="N449" s="712">
        <v>0</v>
      </c>
    </row>
    <row r="450" spans="1:14" s="175" customFormat="1" x14ac:dyDescent="0.2">
      <c r="A450" s="453"/>
      <c r="B450" s="887"/>
      <c r="C450" s="839"/>
      <c r="D450" s="839"/>
      <c r="E450" s="713" t="s">
        <v>1557</v>
      </c>
      <c r="F450" s="712">
        <v>225000000</v>
      </c>
      <c r="G450" s="712">
        <v>225000000</v>
      </c>
      <c r="H450" s="712">
        <v>0</v>
      </c>
      <c r="I450" s="712">
        <v>0</v>
      </c>
      <c r="J450" s="712">
        <v>0</v>
      </c>
      <c r="K450" s="712">
        <v>0</v>
      </c>
      <c r="L450" s="712">
        <v>0</v>
      </c>
      <c r="M450" s="712">
        <v>0</v>
      </c>
      <c r="N450" s="712">
        <v>0</v>
      </c>
    </row>
    <row r="451" spans="1:14" s="175" customFormat="1" x14ac:dyDescent="0.2">
      <c r="A451" s="453"/>
      <c r="B451" s="887"/>
      <c r="C451" s="839"/>
      <c r="D451" s="839"/>
      <c r="E451" s="713" t="s">
        <v>3212</v>
      </c>
      <c r="F451" s="712">
        <v>111901</v>
      </c>
      <c r="G451" s="712">
        <v>111901</v>
      </c>
      <c r="H451" s="712">
        <v>0</v>
      </c>
      <c r="I451" s="712">
        <v>0</v>
      </c>
      <c r="J451" s="712">
        <v>0</v>
      </c>
      <c r="K451" s="712">
        <v>0</v>
      </c>
      <c r="L451" s="712">
        <v>0</v>
      </c>
      <c r="M451" s="712">
        <v>0</v>
      </c>
      <c r="N451" s="712">
        <v>0</v>
      </c>
    </row>
    <row r="452" spans="1:14" s="175" customFormat="1" x14ac:dyDescent="0.2">
      <c r="A452" s="453"/>
      <c r="B452" s="887"/>
      <c r="C452" s="839"/>
      <c r="D452" s="839"/>
      <c r="E452" s="713" t="s">
        <v>195</v>
      </c>
      <c r="F452" s="712">
        <v>71791</v>
      </c>
      <c r="G452" s="712">
        <v>71791</v>
      </c>
      <c r="H452" s="712">
        <v>0</v>
      </c>
      <c r="I452" s="712">
        <v>0</v>
      </c>
      <c r="J452" s="712">
        <v>0</v>
      </c>
      <c r="K452" s="712">
        <v>0</v>
      </c>
      <c r="L452" s="712">
        <v>0</v>
      </c>
      <c r="M452" s="712">
        <v>0</v>
      </c>
      <c r="N452" s="712">
        <v>0</v>
      </c>
    </row>
    <row r="453" spans="1:14" s="175" customFormat="1" ht="25.5" x14ac:dyDescent="0.2">
      <c r="A453" s="453"/>
      <c r="B453" s="887"/>
      <c r="C453" s="713" t="s">
        <v>1878</v>
      </c>
      <c r="D453" s="713" t="s">
        <v>1644</v>
      </c>
      <c r="E453" s="713" t="s">
        <v>26</v>
      </c>
      <c r="F453" s="712">
        <v>261591999</v>
      </c>
      <c r="G453" s="712">
        <v>261591999</v>
      </c>
      <c r="H453" s="712">
        <v>0</v>
      </c>
      <c r="I453" s="712">
        <v>0</v>
      </c>
      <c r="J453" s="712">
        <v>0</v>
      </c>
      <c r="K453" s="712">
        <v>0</v>
      </c>
      <c r="L453" s="712">
        <v>0</v>
      </c>
      <c r="M453" s="712">
        <v>0</v>
      </c>
      <c r="N453" s="712">
        <v>0</v>
      </c>
    </row>
    <row r="454" spans="1:14" s="175" customFormat="1" x14ac:dyDescent="0.2">
      <c r="A454" s="453"/>
      <c r="B454" s="887"/>
      <c r="C454" s="838" t="s">
        <v>1879</v>
      </c>
      <c r="D454" s="838" t="s">
        <v>2951</v>
      </c>
      <c r="E454" s="713" t="s">
        <v>26</v>
      </c>
      <c r="F454" s="712">
        <v>347120750</v>
      </c>
      <c r="G454" s="712">
        <v>347120750</v>
      </c>
      <c r="H454" s="712">
        <v>0</v>
      </c>
      <c r="I454" s="712">
        <v>0</v>
      </c>
      <c r="J454" s="712">
        <v>0</v>
      </c>
      <c r="K454" s="712">
        <v>0</v>
      </c>
      <c r="L454" s="712">
        <v>0</v>
      </c>
      <c r="M454" s="712">
        <v>0</v>
      </c>
      <c r="N454" s="712">
        <v>0</v>
      </c>
    </row>
    <row r="455" spans="1:14" s="175" customFormat="1" x14ac:dyDescent="0.2">
      <c r="A455" s="453"/>
      <c r="B455" s="887"/>
      <c r="C455" s="839"/>
      <c r="D455" s="839"/>
      <c r="E455" s="713" t="s">
        <v>3212</v>
      </c>
      <c r="F455" s="712">
        <v>19332</v>
      </c>
      <c r="G455" s="712">
        <v>0</v>
      </c>
      <c r="H455" s="712">
        <v>19332</v>
      </c>
      <c r="I455" s="712">
        <v>0</v>
      </c>
      <c r="J455" s="712">
        <v>19332</v>
      </c>
      <c r="K455" s="712">
        <v>0</v>
      </c>
      <c r="L455" s="712">
        <v>0</v>
      </c>
      <c r="M455" s="712">
        <v>0</v>
      </c>
      <c r="N455" s="712">
        <v>19332</v>
      </c>
    </row>
    <row r="456" spans="1:14" s="175" customFormat="1" x14ac:dyDescent="0.2">
      <c r="A456" s="453"/>
      <c r="B456" s="887"/>
      <c r="C456" s="839"/>
      <c r="D456" s="839"/>
      <c r="E456" s="713" t="s">
        <v>195</v>
      </c>
      <c r="F456" s="712">
        <v>2036444</v>
      </c>
      <c r="G456" s="712">
        <v>2036444</v>
      </c>
      <c r="H456" s="712">
        <v>0</v>
      </c>
      <c r="I456" s="712">
        <v>0</v>
      </c>
      <c r="J456" s="712">
        <v>0</v>
      </c>
      <c r="K456" s="712">
        <v>0</v>
      </c>
      <c r="L456" s="712">
        <v>0</v>
      </c>
      <c r="M456" s="712">
        <v>0</v>
      </c>
      <c r="N456" s="712">
        <v>0</v>
      </c>
    </row>
    <row r="457" spans="1:14" s="175" customFormat="1" x14ac:dyDescent="0.2">
      <c r="A457" s="453"/>
      <c r="B457" s="887"/>
      <c r="C457" s="838" t="s">
        <v>1880</v>
      </c>
      <c r="D457" s="838" t="s">
        <v>920</v>
      </c>
      <c r="E457" s="713" t="s">
        <v>26</v>
      </c>
      <c r="F457" s="712">
        <v>344111805</v>
      </c>
      <c r="G457" s="712">
        <v>344111805</v>
      </c>
      <c r="H457" s="712">
        <v>0</v>
      </c>
      <c r="I457" s="712">
        <v>0</v>
      </c>
      <c r="J457" s="712">
        <v>0</v>
      </c>
      <c r="K457" s="712">
        <v>0</v>
      </c>
      <c r="L457" s="712">
        <v>0</v>
      </c>
      <c r="M457" s="712">
        <v>0</v>
      </c>
      <c r="N457" s="712">
        <v>0</v>
      </c>
    </row>
    <row r="458" spans="1:14" s="175" customFormat="1" x14ac:dyDescent="0.2">
      <c r="A458" s="453"/>
      <c r="B458" s="887"/>
      <c r="C458" s="839"/>
      <c r="D458" s="839"/>
      <c r="E458" s="713" t="s">
        <v>3212</v>
      </c>
      <c r="F458" s="712">
        <v>163000</v>
      </c>
      <c r="G458" s="712">
        <v>163000</v>
      </c>
      <c r="H458" s="712">
        <v>0</v>
      </c>
      <c r="I458" s="712">
        <v>0</v>
      </c>
      <c r="J458" s="712">
        <v>0</v>
      </c>
      <c r="K458" s="712">
        <v>0</v>
      </c>
      <c r="L458" s="712">
        <v>0</v>
      </c>
      <c r="M458" s="712">
        <v>0</v>
      </c>
      <c r="N458" s="712">
        <v>0</v>
      </c>
    </row>
    <row r="459" spans="1:14" s="175" customFormat="1" x14ac:dyDescent="0.2">
      <c r="A459" s="453"/>
      <c r="B459" s="887"/>
      <c r="C459" s="839"/>
      <c r="D459" s="839"/>
      <c r="E459" s="713" t="s">
        <v>195</v>
      </c>
      <c r="F459" s="712">
        <v>497053</v>
      </c>
      <c r="G459" s="712">
        <v>497053</v>
      </c>
      <c r="H459" s="712">
        <v>0</v>
      </c>
      <c r="I459" s="712">
        <v>0</v>
      </c>
      <c r="J459" s="712">
        <v>0</v>
      </c>
      <c r="K459" s="712">
        <v>0</v>
      </c>
      <c r="L459" s="712">
        <v>0</v>
      </c>
      <c r="M459" s="712">
        <v>0</v>
      </c>
      <c r="N459" s="712">
        <v>0</v>
      </c>
    </row>
    <row r="460" spans="1:14" s="175" customFormat="1" x14ac:dyDescent="0.2">
      <c r="A460" s="453"/>
      <c r="B460" s="887"/>
      <c r="C460" s="838" t="s">
        <v>1881</v>
      </c>
      <c r="D460" s="838" t="s">
        <v>894</v>
      </c>
      <c r="E460" s="713" t="s">
        <v>26</v>
      </c>
      <c r="F460" s="712">
        <v>253369524</v>
      </c>
      <c r="G460" s="712">
        <v>253369524</v>
      </c>
      <c r="H460" s="712">
        <v>0</v>
      </c>
      <c r="I460" s="712">
        <v>0</v>
      </c>
      <c r="J460" s="712">
        <v>0</v>
      </c>
      <c r="K460" s="712">
        <v>0</v>
      </c>
      <c r="L460" s="712">
        <v>0</v>
      </c>
      <c r="M460" s="712">
        <v>0</v>
      </c>
      <c r="N460" s="712">
        <v>0</v>
      </c>
    </row>
    <row r="461" spans="1:14" s="175" customFormat="1" x14ac:dyDescent="0.2">
      <c r="A461" s="453"/>
      <c r="B461" s="887"/>
      <c r="C461" s="839"/>
      <c r="D461" s="839"/>
      <c r="E461" s="713" t="s">
        <v>3212</v>
      </c>
      <c r="F461" s="712">
        <v>134205</v>
      </c>
      <c r="G461" s="712">
        <v>0</v>
      </c>
      <c r="H461" s="712">
        <v>134205</v>
      </c>
      <c r="I461" s="712">
        <v>0</v>
      </c>
      <c r="J461" s="712">
        <v>134205</v>
      </c>
      <c r="K461" s="712">
        <v>0</v>
      </c>
      <c r="L461" s="712">
        <v>0</v>
      </c>
      <c r="M461" s="712">
        <v>0</v>
      </c>
      <c r="N461" s="712">
        <v>134205</v>
      </c>
    </row>
    <row r="462" spans="1:14" s="175" customFormat="1" x14ac:dyDescent="0.2">
      <c r="A462" s="453"/>
      <c r="B462" s="887"/>
      <c r="C462" s="839"/>
      <c r="D462" s="839"/>
      <c r="E462" s="713" t="s">
        <v>195</v>
      </c>
      <c r="F462" s="712">
        <v>431956</v>
      </c>
      <c r="G462" s="712">
        <v>431956</v>
      </c>
      <c r="H462" s="712">
        <v>0</v>
      </c>
      <c r="I462" s="712">
        <v>0</v>
      </c>
      <c r="J462" s="712">
        <v>0</v>
      </c>
      <c r="K462" s="712">
        <v>0</v>
      </c>
      <c r="L462" s="712">
        <v>0</v>
      </c>
      <c r="M462" s="712">
        <v>0</v>
      </c>
      <c r="N462" s="712">
        <v>0</v>
      </c>
    </row>
    <row r="463" spans="1:14" s="175" customFormat="1" x14ac:dyDescent="0.2">
      <c r="A463" s="453"/>
      <c r="B463" s="887"/>
      <c r="C463" s="838" t="s">
        <v>1882</v>
      </c>
      <c r="D463" s="838" t="s">
        <v>918</v>
      </c>
      <c r="E463" s="713" t="s">
        <v>26</v>
      </c>
      <c r="F463" s="712">
        <v>126271421</v>
      </c>
      <c r="G463" s="712">
        <v>126271421</v>
      </c>
      <c r="H463" s="712">
        <v>0</v>
      </c>
      <c r="I463" s="712">
        <v>0</v>
      </c>
      <c r="J463" s="712">
        <v>0</v>
      </c>
      <c r="K463" s="712">
        <v>0</v>
      </c>
      <c r="L463" s="712">
        <v>0</v>
      </c>
      <c r="M463" s="712">
        <v>0</v>
      </c>
      <c r="N463" s="712">
        <v>0</v>
      </c>
    </row>
    <row r="464" spans="1:14" s="175" customFormat="1" x14ac:dyDescent="0.2">
      <c r="A464" s="453"/>
      <c r="B464" s="887"/>
      <c r="C464" s="839"/>
      <c r="D464" s="839"/>
      <c r="E464" s="713" t="s">
        <v>1557</v>
      </c>
      <c r="F464" s="712">
        <v>200000000</v>
      </c>
      <c r="G464" s="712">
        <v>200000000</v>
      </c>
      <c r="H464" s="712">
        <v>0</v>
      </c>
      <c r="I464" s="712">
        <v>0</v>
      </c>
      <c r="J464" s="712">
        <v>0</v>
      </c>
      <c r="K464" s="712">
        <v>0</v>
      </c>
      <c r="L464" s="712">
        <v>0</v>
      </c>
      <c r="M464" s="712">
        <v>0</v>
      </c>
      <c r="N464" s="712">
        <v>0</v>
      </c>
    </row>
    <row r="465" spans="1:14" s="175" customFormat="1" x14ac:dyDescent="0.2">
      <c r="A465" s="453"/>
      <c r="B465" s="887"/>
      <c r="C465" s="838" t="s">
        <v>1883</v>
      </c>
      <c r="D465" s="838" t="s">
        <v>1645</v>
      </c>
      <c r="E465" s="713" t="s">
        <v>26</v>
      </c>
      <c r="F465" s="712">
        <v>188408144</v>
      </c>
      <c r="G465" s="712">
        <v>188408144</v>
      </c>
      <c r="H465" s="712">
        <v>0</v>
      </c>
      <c r="I465" s="712">
        <v>0</v>
      </c>
      <c r="J465" s="712">
        <v>0</v>
      </c>
      <c r="K465" s="712">
        <v>0</v>
      </c>
      <c r="L465" s="712">
        <v>0</v>
      </c>
      <c r="M465" s="712">
        <v>0</v>
      </c>
      <c r="N465" s="712">
        <v>0</v>
      </c>
    </row>
    <row r="466" spans="1:14" s="175" customFormat="1" x14ac:dyDescent="0.2">
      <c r="A466" s="453"/>
      <c r="B466" s="887"/>
      <c r="C466" s="839"/>
      <c r="D466" s="839"/>
      <c r="E466" s="713" t="s">
        <v>1557</v>
      </c>
      <c r="F466" s="712">
        <v>120800000</v>
      </c>
      <c r="G466" s="712">
        <v>120800000</v>
      </c>
      <c r="H466" s="712">
        <v>0</v>
      </c>
      <c r="I466" s="712">
        <v>0</v>
      </c>
      <c r="J466" s="712">
        <v>0</v>
      </c>
      <c r="K466" s="712">
        <v>0</v>
      </c>
      <c r="L466" s="712">
        <v>0</v>
      </c>
      <c r="M466" s="712">
        <v>0</v>
      </c>
      <c r="N466" s="712">
        <v>0</v>
      </c>
    </row>
    <row r="467" spans="1:14" s="175" customFormat="1" x14ac:dyDescent="0.2">
      <c r="A467" s="453"/>
      <c r="B467" s="887"/>
      <c r="C467" s="839"/>
      <c r="D467" s="839"/>
      <c r="E467" s="713" t="s">
        <v>3212</v>
      </c>
      <c r="F467" s="712">
        <v>109783</v>
      </c>
      <c r="G467" s="712">
        <v>0</v>
      </c>
      <c r="H467" s="712">
        <v>109783</v>
      </c>
      <c r="I467" s="712">
        <v>0</v>
      </c>
      <c r="J467" s="712">
        <v>109783</v>
      </c>
      <c r="K467" s="712">
        <v>0</v>
      </c>
      <c r="L467" s="712">
        <v>0</v>
      </c>
      <c r="M467" s="712">
        <v>0</v>
      </c>
      <c r="N467" s="712">
        <v>109783</v>
      </c>
    </row>
    <row r="468" spans="1:14" s="175" customFormat="1" x14ac:dyDescent="0.2">
      <c r="A468" s="453"/>
      <c r="B468" s="887"/>
      <c r="C468" s="839"/>
      <c r="D468" s="839"/>
      <c r="E468" s="713" t="s">
        <v>1221</v>
      </c>
      <c r="F468" s="712">
        <v>1931850</v>
      </c>
      <c r="G468" s="712">
        <v>1931850</v>
      </c>
      <c r="H468" s="712">
        <v>0</v>
      </c>
      <c r="I468" s="712">
        <v>0</v>
      </c>
      <c r="J468" s="712">
        <v>0</v>
      </c>
      <c r="K468" s="712">
        <v>0</v>
      </c>
      <c r="L468" s="712">
        <v>0</v>
      </c>
      <c r="M468" s="712">
        <v>0</v>
      </c>
      <c r="N468" s="712">
        <v>0</v>
      </c>
    </row>
    <row r="469" spans="1:14" s="175" customFormat="1" x14ac:dyDescent="0.2">
      <c r="A469" s="453"/>
      <c r="B469" s="887"/>
      <c r="C469" s="838" t="s">
        <v>1884</v>
      </c>
      <c r="D469" s="838" t="s">
        <v>981</v>
      </c>
      <c r="E469" s="713" t="s">
        <v>26</v>
      </c>
      <c r="F469" s="712">
        <v>197850283</v>
      </c>
      <c r="G469" s="712">
        <v>197850283</v>
      </c>
      <c r="H469" s="712">
        <v>0</v>
      </c>
      <c r="I469" s="712">
        <v>0</v>
      </c>
      <c r="J469" s="712">
        <v>0</v>
      </c>
      <c r="K469" s="712">
        <v>0</v>
      </c>
      <c r="L469" s="712">
        <v>0</v>
      </c>
      <c r="M469" s="712">
        <v>0</v>
      </c>
      <c r="N469" s="712">
        <v>0</v>
      </c>
    </row>
    <row r="470" spans="1:14" s="175" customFormat="1" x14ac:dyDescent="0.2">
      <c r="A470" s="453"/>
      <c r="B470" s="887"/>
      <c r="C470" s="839"/>
      <c r="D470" s="839"/>
      <c r="E470" s="713" t="s">
        <v>1557</v>
      </c>
      <c r="F470" s="712">
        <v>79000000</v>
      </c>
      <c r="G470" s="712">
        <v>79000000</v>
      </c>
      <c r="H470" s="712">
        <v>0</v>
      </c>
      <c r="I470" s="712">
        <v>0</v>
      </c>
      <c r="J470" s="712">
        <v>0</v>
      </c>
      <c r="K470" s="712">
        <v>0</v>
      </c>
      <c r="L470" s="712">
        <v>0</v>
      </c>
      <c r="M470" s="712">
        <v>0</v>
      </c>
      <c r="N470" s="712">
        <v>0</v>
      </c>
    </row>
    <row r="471" spans="1:14" s="175" customFormat="1" x14ac:dyDescent="0.2">
      <c r="A471" s="453"/>
      <c r="B471" s="887"/>
      <c r="C471" s="839"/>
      <c r="D471" s="839"/>
      <c r="E471" s="713" t="s">
        <v>3212</v>
      </c>
      <c r="F471" s="712">
        <v>105659</v>
      </c>
      <c r="G471" s="712">
        <v>105659</v>
      </c>
      <c r="H471" s="712">
        <v>0</v>
      </c>
      <c r="I471" s="712">
        <v>0</v>
      </c>
      <c r="J471" s="712">
        <v>0</v>
      </c>
      <c r="K471" s="712">
        <v>0</v>
      </c>
      <c r="L471" s="712">
        <v>0</v>
      </c>
      <c r="M471" s="712">
        <v>0</v>
      </c>
      <c r="N471" s="712">
        <v>0</v>
      </c>
    </row>
    <row r="472" spans="1:14" s="175" customFormat="1" x14ac:dyDescent="0.2">
      <c r="A472" s="453"/>
      <c r="B472" s="887"/>
      <c r="C472" s="839"/>
      <c r="D472" s="839"/>
      <c r="E472" s="713" t="s">
        <v>195</v>
      </c>
      <c r="F472" s="712">
        <v>82212</v>
      </c>
      <c r="G472" s="712">
        <v>82212</v>
      </c>
      <c r="H472" s="712">
        <v>0</v>
      </c>
      <c r="I472" s="712">
        <v>0</v>
      </c>
      <c r="J472" s="712">
        <v>0</v>
      </c>
      <c r="K472" s="712">
        <v>0</v>
      </c>
      <c r="L472" s="712">
        <v>0</v>
      </c>
      <c r="M472" s="712">
        <v>0</v>
      </c>
      <c r="N472" s="712">
        <v>0</v>
      </c>
    </row>
    <row r="473" spans="1:14" s="175" customFormat="1" x14ac:dyDescent="0.2">
      <c r="A473" s="453"/>
      <c r="B473" s="887"/>
      <c r="C473" s="838" t="s">
        <v>1885</v>
      </c>
      <c r="D473" s="838" t="s">
        <v>895</v>
      </c>
      <c r="E473" s="713" t="s">
        <v>26</v>
      </c>
      <c r="F473" s="712">
        <v>340506333</v>
      </c>
      <c r="G473" s="712">
        <v>340506333</v>
      </c>
      <c r="H473" s="712">
        <v>0</v>
      </c>
      <c r="I473" s="712">
        <v>0</v>
      </c>
      <c r="J473" s="712">
        <v>0</v>
      </c>
      <c r="K473" s="712">
        <v>0</v>
      </c>
      <c r="L473" s="712">
        <v>0</v>
      </c>
      <c r="M473" s="712">
        <v>0</v>
      </c>
      <c r="N473" s="712">
        <v>0</v>
      </c>
    </row>
    <row r="474" spans="1:14" s="175" customFormat="1" x14ac:dyDescent="0.2">
      <c r="A474" s="453"/>
      <c r="B474" s="887"/>
      <c r="C474" s="839"/>
      <c r="D474" s="839"/>
      <c r="E474" s="713" t="s">
        <v>3212</v>
      </c>
      <c r="F474" s="712">
        <v>111050</v>
      </c>
      <c r="G474" s="712">
        <v>111050</v>
      </c>
      <c r="H474" s="712">
        <v>0</v>
      </c>
      <c r="I474" s="712">
        <v>0</v>
      </c>
      <c r="J474" s="712">
        <v>0</v>
      </c>
      <c r="K474" s="712">
        <v>0</v>
      </c>
      <c r="L474" s="712">
        <v>0</v>
      </c>
      <c r="M474" s="712">
        <v>0</v>
      </c>
      <c r="N474" s="712">
        <v>0</v>
      </c>
    </row>
    <row r="475" spans="1:14" s="175" customFormat="1" x14ac:dyDescent="0.2">
      <c r="A475" s="453"/>
      <c r="B475" s="887"/>
      <c r="C475" s="838" t="s">
        <v>1886</v>
      </c>
      <c r="D475" s="838" t="s">
        <v>921</v>
      </c>
      <c r="E475" s="713" t="s">
        <v>26</v>
      </c>
      <c r="F475" s="712">
        <v>107151558</v>
      </c>
      <c r="G475" s="712">
        <v>107151558</v>
      </c>
      <c r="H475" s="712">
        <v>0</v>
      </c>
      <c r="I475" s="712">
        <v>0</v>
      </c>
      <c r="J475" s="712">
        <v>0</v>
      </c>
      <c r="K475" s="712">
        <v>0</v>
      </c>
      <c r="L475" s="712">
        <v>0</v>
      </c>
      <c r="M475" s="712">
        <v>0</v>
      </c>
      <c r="N475" s="712">
        <v>0</v>
      </c>
    </row>
    <row r="476" spans="1:14" s="175" customFormat="1" x14ac:dyDescent="0.2">
      <c r="A476" s="453"/>
      <c r="B476" s="887"/>
      <c r="C476" s="839"/>
      <c r="D476" s="839"/>
      <c r="E476" s="713" t="s">
        <v>1557</v>
      </c>
      <c r="F476" s="712">
        <v>246439900</v>
      </c>
      <c r="G476" s="712">
        <v>246439900</v>
      </c>
      <c r="H476" s="712">
        <v>0</v>
      </c>
      <c r="I476" s="712">
        <v>0</v>
      </c>
      <c r="J476" s="712">
        <v>0</v>
      </c>
      <c r="K476" s="712">
        <v>0</v>
      </c>
      <c r="L476" s="712">
        <v>0</v>
      </c>
      <c r="M476" s="712">
        <v>0</v>
      </c>
      <c r="N476" s="712">
        <v>0</v>
      </c>
    </row>
    <row r="477" spans="1:14" s="175" customFormat="1" x14ac:dyDescent="0.2">
      <c r="A477" s="453"/>
      <c r="B477" s="887"/>
      <c r="C477" s="839"/>
      <c r="D477" s="839"/>
      <c r="E477" s="713" t="s">
        <v>3212</v>
      </c>
      <c r="F477" s="712">
        <v>95978</v>
      </c>
      <c r="G477" s="712">
        <v>95978</v>
      </c>
      <c r="H477" s="712">
        <v>0</v>
      </c>
      <c r="I477" s="712">
        <v>0</v>
      </c>
      <c r="J477" s="712">
        <v>0</v>
      </c>
      <c r="K477" s="712">
        <v>0</v>
      </c>
      <c r="L477" s="712">
        <v>0</v>
      </c>
      <c r="M477" s="712">
        <v>0</v>
      </c>
      <c r="N477" s="712">
        <v>0</v>
      </c>
    </row>
    <row r="478" spans="1:14" s="175" customFormat="1" x14ac:dyDescent="0.2">
      <c r="A478" s="453"/>
      <c r="B478" s="887"/>
      <c r="C478" s="839"/>
      <c r="D478" s="839"/>
      <c r="E478" s="713" t="s">
        <v>2676</v>
      </c>
      <c r="F478" s="712">
        <v>328587</v>
      </c>
      <c r="G478" s="712">
        <v>328587</v>
      </c>
      <c r="H478" s="712">
        <v>0</v>
      </c>
      <c r="I478" s="712">
        <v>0</v>
      </c>
      <c r="J478" s="712">
        <v>0</v>
      </c>
      <c r="K478" s="712">
        <v>0</v>
      </c>
      <c r="L478" s="712">
        <v>0</v>
      </c>
      <c r="M478" s="712">
        <v>0</v>
      </c>
      <c r="N478" s="712">
        <v>0</v>
      </c>
    </row>
    <row r="479" spans="1:14" s="175" customFormat="1" x14ac:dyDescent="0.2">
      <c r="A479" s="453"/>
      <c r="B479" s="887"/>
      <c r="C479" s="838" t="s">
        <v>1887</v>
      </c>
      <c r="D479" s="838" t="s">
        <v>896</v>
      </c>
      <c r="E479" s="713" t="s">
        <v>26</v>
      </c>
      <c r="F479" s="712">
        <v>83730000</v>
      </c>
      <c r="G479" s="712">
        <v>83730000</v>
      </c>
      <c r="H479" s="712">
        <v>0</v>
      </c>
      <c r="I479" s="712">
        <v>0</v>
      </c>
      <c r="J479" s="712">
        <v>0</v>
      </c>
      <c r="K479" s="712">
        <v>0</v>
      </c>
      <c r="L479" s="712">
        <v>0</v>
      </c>
      <c r="M479" s="712">
        <v>0</v>
      </c>
      <c r="N479" s="712">
        <v>0</v>
      </c>
    </row>
    <row r="480" spans="1:14" s="175" customFormat="1" x14ac:dyDescent="0.2">
      <c r="A480" s="453"/>
      <c r="B480" s="887"/>
      <c r="C480" s="839"/>
      <c r="D480" s="839"/>
      <c r="E480" s="713" t="s">
        <v>1557</v>
      </c>
      <c r="F480" s="712">
        <v>195370000</v>
      </c>
      <c r="G480" s="712">
        <v>195370000</v>
      </c>
      <c r="H480" s="712">
        <v>0</v>
      </c>
      <c r="I480" s="712">
        <v>0</v>
      </c>
      <c r="J480" s="712">
        <v>0</v>
      </c>
      <c r="K480" s="712">
        <v>0</v>
      </c>
      <c r="L480" s="712">
        <v>0</v>
      </c>
      <c r="M480" s="712">
        <v>0</v>
      </c>
      <c r="N480" s="712">
        <v>0</v>
      </c>
    </row>
    <row r="481" spans="1:14" s="175" customFormat="1" x14ac:dyDescent="0.2">
      <c r="A481" s="453"/>
      <c r="B481" s="887"/>
      <c r="C481" s="838" t="s">
        <v>1888</v>
      </c>
      <c r="D481" s="838" t="s">
        <v>1646</v>
      </c>
      <c r="E481" s="713" t="s">
        <v>26</v>
      </c>
      <c r="F481" s="712">
        <v>94978432</v>
      </c>
      <c r="G481" s="712">
        <v>94978432</v>
      </c>
      <c r="H481" s="712">
        <v>0</v>
      </c>
      <c r="I481" s="712">
        <v>0</v>
      </c>
      <c r="J481" s="712">
        <v>0</v>
      </c>
      <c r="K481" s="712">
        <v>0</v>
      </c>
      <c r="L481" s="712">
        <v>0</v>
      </c>
      <c r="M481" s="712">
        <v>0</v>
      </c>
      <c r="N481" s="712">
        <v>0</v>
      </c>
    </row>
    <row r="482" spans="1:14" s="175" customFormat="1" x14ac:dyDescent="0.2">
      <c r="A482" s="453"/>
      <c r="B482" s="887"/>
      <c r="C482" s="839"/>
      <c r="D482" s="839"/>
      <c r="E482" s="713" t="s">
        <v>1557</v>
      </c>
      <c r="F482" s="712">
        <v>221616342</v>
      </c>
      <c r="G482" s="712">
        <v>221616342</v>
      </c>
      <c r="H482" s="712">
        <v>0</v>
      </c>
      <c r="I482" s="712">
        <v>0</v>
      </c>
      <c r="J482" s="712">
        <v>0</v>
      </c>
      <c r="K482" s="712">
        <v>0</v>
      </c>
      <c r="L482" s="712">
        <v>0</v>
      </c>
      <c r="M482" s="712">
        <v>0</v>
      </c>
      <c r="N482" s="712">
        <v>0</v>
      </c>
    </row>
    <row r="483" spans="1:14" s="175" customFormat="1" x14ac:dyDescent="0.2">
      <c r="A483" s="453"/>
      <c r="B483" s="887"/>
      <c r="C483" s="839"/>
      <c r="D483" s="839"/>
      <c r="E483" s="713" t="s">
        <v>3212</v>
      </c>
      <c r="F483" s="712">
        <v>95295</v>
      </c>
      <c r="G483" s="712">
        <v>95295</v>
      </c>
      <c r="H483" s="712">
        <v>0</v>
      </c>
      <c r="I483" s="712">
        <v>0</v>
      </c>
      <c r="J483" s="712">
        <v>0</v>
      </c>
      <c r="K483" s="712">
        <v>0</v>
      </c>
      <c r="L483" s="712">
        <v>0</v>
      </c>
      <c r="M483" s="712">
        <v>0</v>
      </c>
      <c r="N483" s="712">
        <v>0</v>
      </c>
    </row>
    <row r="484" spans="1:14" s="175" customFormat="1" x14ac:dyDescent="0.2">
      <c r="A484" s="453"/>
      <c r="B484" s="887"/>
      <c r="C484" s="838" t="s">
        <v>1889</v>
      </c>
      <c r="D484" s="838" t="s">
        <v>1573</v>
      </c>
      <c r="E484" s="713" t="s">
        <v>26</v>
      </c>
      <c r="F484" s="712">
        <v>94715481</v>
      </c>
      <c r="G484" s="712">
        <v>94715481</v>
      </c>
      <c r="H484" s="712">
        <v>0</v>
      </c>
      <c r="I484" s="712">
        <v>0</v>
      </c>
      <c r="J484" s="712">
        <v>0</v>
      </c>
      <c r="K484" s="712">
        <v>0</v>
      </c>
      <c r="L484" s="712">
        <v>0</v>
      </c>
      <c r="M484" s="712">
        <v>0</v>
      </c>
      <c r="N484" s="712">
        <v>0</v>
      </c>
    </row>
    <row r="485" spans="1:14" s="175" customFormat="1" x14ac:dyDescent="0.2">
      <c r="A485" s="453"/>
      <c r="B485" s="887"/>
      <c r="C485" s="839"/>
      <c r="D485" s="839"/>
      <c r="E485" s="713" t="s">
        <v>1557</v>
      </c>
      <c r="F485" s="712">
        <v>221002789</v>
      </c>
      <c r="G485" s="712">
        <v>221002789</v>
      </c>
      <c r="H485" s="712">
        <v>0</v>
      </c>
      <c r="I485" s="712">
        <v>0</v>
      </c>
      <c r="J485" s="712">
        <v>0</v>
      </c>
      <c r="K485" s="712">
        <v>0</v>
      </c>
      <c r="L485" s="712">
        <v>0</v>
      </c>
      <c r="M485" s="712">
        <v>0</v>
      </c>
      <c r="N485" s="712">
        <v>0</v>
      </c>
    </row>
    <row r="486" spans="1:14" s="175" customFormat="1" x14ac:dyDescent="0.2">
      <c r="A486" s="453"/>
      <c r="B486" s="887"/>
      <c r="C486" s="839"/>
      <c r="D486" s="839"/>
      <c r="E486" s="713" t="s">
        <v>1221</v>
      </c>
      <c r="F486" s="712">
        <v>1931850</v>
      </c>
      <c r="G486" s="712">
        <v>1931850</v>
      </c>
      <c r="H486" s="712">
        <v>0</v>
      </c>
      <c r="I486" s="712">
        <v>0</v>
      </c>
      <c r="J486" s="712">
        <v>0</v>
      </c>
      <c r="K486" s="712">
        <v>0</v>
      </c>
      <c r="L486" s="712">
        <v>0</v>
      </c>
      <c r="M486" s="712">
        <v>0</v>
      </c>
      <c r="N486" s="712">
        <v>0</v>
      </c>
    </row>
    <row r="487" spans="1:14" s="175" customFormat="1" x14ac:dyDescent="0.2">
      <c r="A487" s="453"/>
      <c r="B487" s="887"/>
      <c r="C487" s="838" t="s">
        <v>1890</v>
      </c>
      <c r="D487" s="838" t="s">
        <v>1376</v>
      </c>
      <c r="E487" s="713" t="s">
        <v>26</v>
      </c>
      <c r="F487" s="712">
        <v>86250221</v>
      </c>
      <c r="G487" s="712">
        <v>86250221</v>
      </c>
      <c r="H487" s="712">
        <v>0</v>
      </c>
      <c r="I487" s="712">
        <v>0</v>
      </c>
      <c r="J487" s="712">
        <v>0</v>
      </c>
      <c r="K487" s="712">
        <v>0</v>
      </c>
      <c r="L487" s="712">
        <v>0</v>
      </c>
      <c r="M487" s="712">
        <v>0</v>
      </c>
      <c r="N487" s="712">
        <v>0</v>
      </c>
    </row>
    <row r="488" spans="1:14" s="175" customFormat="1" x14ac:dyDescent="0.2">
      <c r="A488" s="453"/>
      <c r="B488" s="887"/>
      <c r="C488" s="839"/>
      <c r="D488" s="839"/>
      <c r="E488" s="713" t="s">
        <v>1557</v>
      </c>
      <c r="F488" s="712">
        <v>192000000</v>
      </c>
      <c r="G488" s="712">
        <v>192000000</v>
      </c>
      <c r="H488" s="712">
        <v>0</v>
      </c>
      <c r="I488" s="712">
        <v>0</v>
      </c>
      <c r="J488" s="712">
        <v>0</v>
      </c>
      <c r="K488" s="712">
        <v>0</v>
      </c>
      <c r="L488" s="712">
        <v>0</v>
      </c>
      <c r="M488" s="712">
        <v>0</v>
      </c>
      <c r="N488" s="712">
        <v>0</v>
      </c>
    </row>
    <row r="489" spans="1:14" s="175" customFormat="1" x14ac:dyDescent="0.2">
      <c r="A489" s="453"/>
      <c r="B489" s="887"/>
      <c r="C489" s="839"/>
      <c r="D489" s="839"/>
      <c r="E489" s="713" t="s">
        <v>3212</v>
      </c>
      <c r="F489" s="712">
        <v>93534</v>
      </c>
      <c r="G489" s="712">
        <v>0</v>
      </c>
      <c r="H489" s="712">
        <v>93534</v>
      </c>
      <c r="I489" s="712">
        <v>0</v>
      </c>
      <c r="J489" s="712">
        <v>93534</v>
      </c>
      <c r="K489" s="712">
        <v>0</v>
      </c>
      <c r="L489" s="712">
        <v>0</v>
      </c>
      <c r="M489" s="712">
        <v>0</v>
      </c>
      <c r="N489" s="712">
        <v>93534</v>
      </c>
    </row>
    <row r="490" spans="1:14" s="175" customFormat="1" x14ac:dyDescent="0.2">
      <c r="A490" s="453"/>
      <c r="B490" s="887"/>
      <c r="C490" s="838" t="s">
        <v>1891</v>
      </c>
      <c r="D490" s="838" t="s">
        <v>2608</v>
      </c>
      <c r="E490" s="713" t="s">
        <v>26</v>
      </c>
      <c r="F490" s="712">
        <v>105789413</v>
      </c>
      <c r="G490" s="712">
        <v>105789413</v>
      </c>
      <c r="H490" s="712">
        <v>0</v>
      </c>
      <c r="I490" s="712">
        <v>0</v>
      </c>
      <c r="J490" s="712">
        <v>0</v>
      </c>
      <c r="K490" s="712">
        <v>0</v>
      </c>
      <c r="L490" s="712">
        <v>0</v>
      </c>
      <c r="M490" s="712">
        <v>0</v>
      </c>
      <c r="N490" s="712">
        <v>0</v>
      </c>
    </row>
    <row r="491" spans="1:14" s="175" customFormat="1" x14ac:dyDescent="0.2">
      <c r="A491" s="453"/>
      <c r="B491" s="887"/>
      <c r="C491" s="839"/>
      <c r="D491" s="839"/>
      <c r="E491" s="713" t="s">
        <v>1557</v>
      </c>
      <c r="F491" s="712">
        <v>246841963</v>
      </c>
      <c r="G491" s="712">
        <v>246841963</v>
      </c>
      <c r="H491" s="712">
        <v>0</v>
      </c>
      <c r="I491" s="712">
        <v>0</v>
      </c>
      <c r="J491" s="712">
        <v>0</v>
      </c>
      <c r="K491" s="712">
        <v>0</v>
      </c>
      <c r="L491" s="712">
        <v>0</v>
      </c>
      <c r="M491" s="712">
        <v>0</v>
      </c>
      <c r="N491" s="712">
        <v>0</v>
      </c>
    </row>
    <row r="492" spans="1:14" s="175" customFormat="1" x14ac:dyDescent="0.2">
      <c r="A492" s="453"/>
      <c r="B492" s="887"/>
      <c r="C492" s="839"/>
      <c r="D492" s="839"/>
      <c r="E492" s="713" t="s">
        <v>3212</v>
      </c>
      <c r="F492" s="712">
        <v>118449</v>
      </c>
      <c r="G492" s="712">
        <v>0</v>
      </c>
      <c r="H492" s="712">
        <v>118449</v>
      </c>
      <c r="I492" s="712">
        <v>0</v>
      </c>
      <c r="J492" s="712">
        <v>118449</v>
      </c>
      <c r="K492" s="712">
        <v>0</v>
      </c>
      <c r="L492" s="712">
        <v>0</v>
      </c>
      <c r="M492" s="712">
        <v>0</v>
      </c>
      <c r="N492" s="712">
        <v>118449</v>
      </c>
    </row>
    <row r="493" spans="1:14" s="175" customFormat="1" x14ac:dyDescent="0.2">
      <c r="A493" s="453"/>
      <c r="B493" s="887"/>
      <c r="C493" s="839"/>
      <c r="D493" s="839"/>
      <c r="E493" s="713" t="s">
        <v>2676</v>
      </c>
      <c r="F493" s="712">
        <v>2238317</v>
      </c>
      <c r="G493" s="712">
        <v>2238317</v>
      </c>
      <c r="H493" s="712">
        <v>0</v>
      </c>
      <c r="I493" s="712">
        <v>0</v>
      </c>
      <c r="J493" s="712">
        <v>0</v>
      </c>
      <c r="K493" s="712">
        <v>0</v>
      </c>
      <c r="L493" s="712">
        <v>0</v>
      </c>
      <c r="M493" s="712">
        <v>0</v>
      </c>
      <c r="N493" s="712">
        <v>0</v>
      </c>
    </row>
    <row r="494" spans="1:14" s="175" customFormat="1" x14ac:dyDescent="0.2">
      <c r="A494" s="453"/>
      <c r="B494" s="887"/>
      <c r="C494" s="838" t="s">
        <v>1892</v>
      </c>
      <c r="D494" s="838" t="s">
        <v>1594</v>
      </c>
      <c r="E494" s="713" t="s">
        <v>26</v>
      </c>
      <c r="F494" s="712">
        <v>225118082</v>
      </c>
      <c r="G494" s="712">
        <v>225118082</v>
      </c>
      <c r="H494" s="712">
        <v>0</v>
      </c>
      <c r="I494" s="712">
        <v>0</v>
      </c>
      <c r="J494" s="712">
        <v>0</v>
      </c>
      <c r="K494" s="712">
        <v>0</v>
      </c>
      <c r="L494" s="712">
        <v>0</v>
      </c>
      <c r="M494" s="712">
        <v>0</v>
      </c>
      <c r="N494" s="712">
        <v>0</v>
      </c>
    </row>
    <row r="495" spans="1:14" s="175" customFormat="1" x14ac:dyDescent="0.2">
      <c r="A495" s="453"/>
      <c r="B495" s="887"/>
      <c r="C495" s="839"/>
      <c r="D495" s="839"/>
      <c r="E495" s="713" t="s">
        <v>1557</v>
      </c>
      <c r="F495" s="712">
        <v>100000000</v>
      </c>
      <c r="G495" s="712">
        <v>100000000</v>
      </c>
      <c r="H495" s="712">
        <v>0</v>
      </c>
      <c r="I495" s="712">
        <v>0</v>
      </c>
      <c r="J495" s="712">
        <v>0</v>
      </c>
      <c r="K495" s="712">
        <v>0</v>
      </c>
      <c r="L495" s="712">
        <v>0</v>
      </c>
      <c r="M495" s="712">
        <v>0</v>
      </c>
      <c r="N495" s="712">
        <v>0</v>
      </c>
    </row>
    <row r="496" spans="1:14" s="175" customFormat="1" x14ac:dyDescent="0.2">
      <c r="A496" s="452"/>
      <c r="B496" s="887"/>
      <c r="C496" s="839"/>
      <c r="D496" s="839"/>
      <c r="E496" s="713" t="s">
        <v>2676</v>
      </c>
      <c r="F496" s="712">
        <v>1508133</v>
      </c>
      <c r="G496" s="712">
        <v>1508133</v>
      </c>
      <c r="H496" s="712">
        <v>0</v>
      </c>
      <c r="I496" s="712">
        <v>0</v>
      </c>
      <c r="J496" s="712">
        <v>0</v>
      </c>
      <c r="K496" s="712">
        <v>0</v>
      </c>
      <c r="L496" s="712">
        <v>0</v>
      </c>
      <c r="M496" s="712">
        <v>0</v>
      </c>
      <c r="N496" s="712">
        <v>0</v>
      </c>
    </row>
    <row r="497" spans="1:15" x14ac:dyDescent="0.2">
      <c r="A497" s="302"/>
      <c r="B497" s="887"/>
      <c r="C497" s="839"/>
      <c r="D497" s="839"/>
      <c r="E497" s="713" t="s">
        <v>1221</v>
      </c>
      <c r="F497" s="712">
        <v>1431000</v>
      </c>
      <c r="G497" s="712">
        <v>1431000</v>
      </c>
      <c r="H497" s="712">
        <v>0</v>
      </c>
      <c r="I497" s="712">
        <v>0</v>
      </c>
      <c r="J497" s="712">
        <v>0</v>
      </c>
      <c r="K497" s="712">
        <v>0</v>
      </c>
      <c r="L497" s="712">
        <v>0</v>
      </c>
      <c r="M497" s="712">
        <v>0</v>
      </c>
      <c r="N497" s="712">
        <v>0</v>
      </c>
      <c r="O497" s="302"/>
    </row>
    <row r="498" spans="1:15" x14ac:dyDescent="0.2">
      <c r="A498" s="302"/>
      <c r="B498" s="887"/>
      <c r="C498" s="838" t="s">
        <v>1893</v>
      </c>
      <c r="D498" s="838" t="s">
        <v>896</v>
      </c>
      <c r="E498" s="713" t="s">
        <v>26</v>
      </c>
      <c r="F498" s="712">
        <v>83819992</v>
      </c>
      <c r="G498" s="712">
        <v>83819992</v>
      </c>
      <c r="H498" s="712">
        <v>0</v>
      </c>
      <c r="I498" s="712">
        <v>0</v>
      </c>
      <c r="J498" s="712">
        <v>0</v>
      </c>
      <c r="K498" s="712">
        <v>0</v>
      </c>
      <c r="L498" s="712">
        <v>0</v>
      </c>
      <c r="M498" s="712">
        <v>0</v>
      </c>
      <c r="N498" s="712">
        <v>0</v>
      </c>
      <c r="O498" s="302"/>
    </row>
    <row r="499" spans="1:15" x14ac:dyDescent="0.2">
      <c r="A499" s="302"/>
      <c r="B499" s="887"/>
      <c r="C499" s="839"/>
      <c r="D499" s="839"/>
      <c r="E499" s="713" t="s">
        <v>1557</v>
      </c>
      <c r="F499" s="712">
        <v>195580008</v>
      </c>
      <c r="G499" s="712">
        <v>195580008</v>
      </c>
      <c r="H499" s="712">
        <v>0</v>
      </c>
      <c r="I499" s="712">
        <v>0</v>
      </c>
      <c r="J499" s="712">
        <v>0</v>
      </c>
      <c r="K499" s="712">
        <v>0</v>
      </c>
      <c r="L499" s="712">
        <v>0</v>
      </c>
      <c r="M499" s="712">
        <v>0</v>
      </c>
      <c r="N499" s="712">
        <v>0</v>
      </c>
      <c r="O499" s="302"/>
    </row>
    <row r="500" spans="1:15" hidden="1" x14ac:dyDescent="0.2">
      <c r="A500" s="302"/>
      <c r="B500" s="887"/>
      <c r="C500" s="839"/>
      <c r="D500" s="839"/>
      <c r="E500" s="713" t="s">
        <v>2676</v>
      </c>
      <c r="F500" s="712">
        <v>521547</v>
      </c>
      <c r="G500" s="712">
        <v>0</v>
      </c>
      <c r="H500" s="712">
        <v>521547</v>
      </c>
      <c r="I500" s="712">
        <v>0</v>
      </c>
      <c r="J500" s="712">
        <v>521547</v>
      </c>
      <c r="K500" s="712">
        <v>0</v>
      </c>
      <c r="L500" s="712">
        <v>0</v>
      </c>
      <c r="M500" s="712">
        <v>0</v>
      </c>
      <c r="N500" s="712">
        <v>521547</v>
      </c>
      <c r="O500" s="302"/>
    </row>
    <row r="501" spans="1:15" hidden="1" x14ac:dyDescent="0.2">
      <c r="A501" s="302"/>
      <c r="B501" s="887"/>
      <c r="C501" s="839"/>
      <c r="D501" s="839"/>
      <c r="E501" s="713" t="s">
        <v>1221</v>
      </c>
      <c r="F501" s="712">
        <v>1512675</v>
      </c>
      <c r="G501" s="712">
        <v>1512675</v>
      </c>
      <c r="H501" s="712">
        <v>0</v>
      </c>
      <c r="I501" s="712">
        <v>0</v>
      </c>
      <c r="J501" s="712">
        <v>0</v>
      </c>
      <c r="K501" s="712">
        <v>0</v>
      </c>
      <c r="L501" s="712">
        <v>0</v>
      </c>
      <c r="M501" s="712">
        <v>0</v>
      </c>
      <c r="N501" s="712">
        <v>0</v>
      </c>
      <c r="O501" s="302"/>
    </row>
    <row r="502" spans="1:15" hidden="1" x14ac:dyDescent="0.2">
      <c r="A502" s="302"/>
      <c r="B502" s="887"/>
      <c r="C502" s="838" t="s">
        <v>1894</v>
      </c>
      <c r="D502" s="838" t="s">
        <v>2608</v>
      </c>
      <c r="E502" s="713" t="s">
        <v>900</v>
      </c>
      <c r="F502" s="712">
        <v>51123000</v>
      </c>
      <c r="G502" s="712">
        <v>51123000</v>
      </c>
      <c r="H502" s="712">
        <v>0</v>
      </c>
      <c r="I502" s="712">
        <v>0</v>
      </c>
      <c r="J502" s="712">
        <v>0</v>
      </c>
      <c r="K502" s="712">
        <v>0</v>
      </c>
      <c r="L502" s="712">
        <v>0</v>
      </c>
      <c r="M502" s="712">
        <v>0</v>
      </c>
      <c r="N502" s="712">
        <v>0</v>
      </c>
      <c r="O502" s="302"/>
    </row>
    <row r="503" spans="1:15" hidden="1" x14ac:dyDescent="0.2">
      <c r="A503" s="302"/>
      <c r="B503" s="887"/>
      <c r="C503" s="839"/>
      <c r="D503" s="839"/>
      <c r="E503" s="713" t="s">
        <v>26</v>
      </c>
      <c r="F503" s="712">
        <v>160429149</v>
      </c>
      <c r="G503" s="712">
        <v>160429149</v>
      </c>
      <c r="H503" s="712">
        <v>0</v>
      </c>
      <c r="I503" s="712">
        <v>0</v>
      </c>
      <c r="J503" s="712">
        <v>0</v>
      </c>
      <c r="K503" s="712">
        <v>0</v>
      </c>
      <c r="L503" s="712">
        <v>0</v>
      </c>
      <c r="M503" s="712">
        <v>0</v>
      </c>
      <c r="N503" s="712">
        <v>0</v>
      </c>
      <c r="O503" s="302"/>
    </row>
    <row r="504" spans="1:15" hidden="1" x14ac:dyDescent="0.2">
      <c r="A504" s="302"/>
      <c r="B504" s="887"/>
      <c r="C504" s="839"/>
      <c r="D504" s="839"/>
      <c r="E504" s="713" t="s">
        <v>1557</v>
      </c>
      <c r="F504" s="712">
        <v>111135695</v>
      </c>
      <c r="G504" s="712">
        <v>111135695</v>
      </c>
      <c r="H504" s="712">
        <v>0</v>
      </c>
      <c r="I504" s="712">
        <v>0</v>
      </c>
      <c r="J504" s="712">
        <v>0</v>
      </c>
      <c r="K504" s="712">
        <v>0</v>
      </c>
      <c r="L504" s="712">
        <v>0</v>
      </c>
      <c r="M504" s="712">
        <v>0</v>
      </c>
      <c r="N504" s="712">
        <v>0</v>
      </c>
      <c r="O504" s="302"/>
    </row>
    <row r="505" spans="1:15" hidden="1" x14ac:dyDescent="0.2">
      <c r="A505" s="302"/>
      <c r="B505" s="887"/>
      <c r="C505" s="839"/>
      <c r="D505" s="839"/>
      <c r="E505" s="713" t="s">
        <v>3212</v>
      </c>
      <c r="F505" s="712">
        <v>90428</v>
      </c>
      <c r="G505" s="712">
        <v>90428</v>
      </c>
      <c r="H505" s="712">
        <v>0</v>
      </c>
      <c r="I505" s="712">
        <v>0</v>
      </c>
      <c r="J505" s="712">
        <v>0</v>
      </c>
      <c r="K505" s="712">
        <v>0</v>
      </c>
      <c r="L505" s="712">
        <v>0</v>
      </c>
      <c r="M505" s="712">
        <v>0</v>
      </c>
      <c r="N505" s="712">
        <v>0</v>
      </c>
      <c r="O505" s="302"/>
    </row>
    <row r="506" spans="1:15" hidden="1" x14ac:dyDescent="0.2">
      <c r="A506" s="302"/>
      <c r="B506" s="887"/>
      <c r="C506" s="839"/>
      <c r="D506" s="839"/>
      <c r="E506" s="713" t="s">
        <v>2676</v>
      </c>
      <c r="F506" s="712">
        <v>829813</v>
      </c>
      <c r="G506" s="712">
        <v>829813</v>
      </c>
      <c r="H506" s="712">
        <v>0</v>
      </c>
      <c r="I506" s="712">
        <v>0</v>
      </c>
      <c r="J506" s="712">
        <v>0</v>
      </c>
      <c r="K506" s="712">
        <v>0</v>
      </c>
      <c r="L506" s="712">
        <v>0</v>
      </c>
      <c r="M506" s="712">
        <v>0</v>
      </c>
      <c r="N506" s="712">
        <v>0</v>
      </c>
      <c r="O506" s="302"/>
    </row>
    <row r="507" spans="1:15" hidden="1" x14ac:dyDescent="0.2">
      <c r="A507" s="302"/>
      <c r="B507" s="887"/>
      <c r="C507" s="838" t="s">
        <v>1895</v>
      </c>
      <c r="D507" s="838" t="s">
        <v>898</v>
      </c>
      <c r="E507" s="713" t="s">
        <v>26</v>
      </c>
      <c r="F507" s="712">
        <v>100997406</v>
      </c>
      <c r="G507" s="712">
        <v>100997406</v>
      </c>
      <c r="H507" s="712">
        <v>0</v>
      </c>
      <c r="I507" s="712">
        <v>0</v>
      </c>
      <c r="J507" s="712">
        <v>0</v>
      </c>
      <c r="K507" s="712">
        <v>0</v>
      </c>
      <c r="L507" s="712">
        <v>0</v>
      </c>
      <c r="M507" s="712">
        <v>0</v>
      </c>
      <c r="N507" s="712">
        <v>0</v>
      </c>
      <c r="O507" s="302"/>
    </row>
    <row r="508" spans="1:15" x14ac:dyDescent="0.2">
      <c r="A508" s="302"/>
      <c r="B508" s="887"/>
      <c r="C508" s="839"/>
      <c r="D508" s="839"/>
      <c r="E508" s="713" t="s">
        <v>1557</v>
      </c>
      <c r="F508" s="712">
        <v>235660611</v>
      </c>
      <c r="G508" s="712">
        <v>235660611</v>
      </c>
      <c r="H508" s="712">
        <v>0</v>
      </c>
      <c r="I508" s="712">
        <v>0</v>
      </c>
      <c r="J508" s="712">
        <v>0</v>
      </c>
      <c r="K508" s="712">
        <v>0</v>
      </c>
      <c r="L508" s="712">
        <v>0</v>
      </c>
      <c r="M508" s="712">
        <v>0</v>
      </c>
      <c r="N508" s="712">
        <v>0</v>
      </c>
      <c r="O508" s="302"/>
    </row>
    <row r="509" spans="1:15" x14ac:dyDescent="0.2">
      <c r="A509" s="302"/>
      <c r="B509" s="887"/>
      <c r="C509" s="839"/>
      <c r="D509" s="839"/>
      <c r="E509" s="713" t="s">
        <v>3212</v>
      </c>
      <c r="F509" s="712">
        <v>1247231</v>
      </c>
      <c r="G509" s="712">
        <v>0</v>
      </c>
      <c r="H509" s="712">
        <v>1247231</v>
      </c>
      <c r="I509" s="712">
        <v>0</v>
      </c>
      <c r="J509" s="712">
        <v>1247231</v>
      </c>
      <c r="K509" s="712">
        <v>0</v>
      </c>
      <c r="L509" s="712">
        <v>0</v>
      </c>
      <c r="M509" s="712">
        <v>0</v>
      </c>
      <c r="N509" s="712">
        <v>1247231</v>
      </c>
      <c r="O509" s="302"/>
    </row>
    <row r="510" spans="1:15" x14ac:dyDescent="0.2">
      <c r="A510" s="302"/>
      <c r="B510" s="887"/>
      <c r="C510" s="839"/>
      <c r="D510" s="839"/>
      <c r="E510" s="713" t="s">
        <v>2676</v>
      </c>
      <c r="F510" s="712">
        <v>10617608</v>
      </c>
      <c r="G510" s="712">
        <v>9235066</v>
      </c>
      <c r="H510" s="712">
        <v>1382542</v>
      </c>
      <c r="I510" s="712">
        <v>0</v>
      </c>
      <c r="J510" s="712">
        <v>1382542</v>
      </c>
      <c r="K510" s="712">
        <v>0</v>
      </c>
      <c r="L510" s="712">
        <v>1382542</v>
      </c>
      <c r="M510" s="712">
        <v>0</v>
      </c>
      <c r="N510" s="712">
        <v>0</v>
      </c>
      <c r="O510" s="302"/>
    </row>
    <row r="511" spans="1:15" x14ac:dyDescent="0.2">
      <c r="A511" s="302"/>
      <c r="B511" s="887"/>
      <c r="C511" s="838" t="s">
        <v>1896</v>
      </c>
      <c r="D511" s="838" t="s">
        <v>897</v>
      </c>
      <c r="E511" s="713" t="s">
        <v>26</v>
      </c>
      <c r="F511" s="712">
        <v>97195000</v>
      </c>
      <c r="G511" s="712">
        <v>97195000</v>
      </c>
      <c r="H511" s="712">
        <v>0</v>
      </c>
      <c r="I511" s="712">
        <v>0</v>
      </c>
      <c r="J511" s="712">
        <v>0</v>
      </c>
      <c r="K511" s="712">
        <v>0</v>
      </c>
      <c r="L511" s="712">
        <v>0</v>
      </c>
      <c r="M511" s="712">
        <v>0</v>
      </c>
      <c r="N511" s="712">
        <v>0</v>
      </c>
      <c r="O511" s="302"/>
    </row>
    <row r="512" spans="1:15" x14ac:dyDescent="0.2">
      <c r="A512" s="302"/>
      <c r="B512" s="887"/>
      <c r="C512" s="839"/>
      <c r="D512" s="839"/>
      <c r="E512" s="713" t="s">
        <v>1557</v>
      </c>
      <c r="F512" s="712">
        <v>180505000</v>
      </c>
      <c r="G512" s="712">
        <v>180505000</v>
      </c>
      <c r="H512" s="712">
        <v>0</v>
      </c>
      <c r="I512" s="712">
        <v>0</v>
      </c>
      <c r="J512" s="712">
        <v>0</v>
      </c>
      <c r="K512" s="712">
        <v>0</v>
      </c>
      <c r="L512" s="712">
        <v>0</v>
      </c>
      <c r="M512" s="712">
        <v>0</v>
      </c>
      <c r="N512" s="712">
        <v>0</v>
      </c>
      <c r="O512" s="302"/>
    </row>
    <row r="513" spans="1:15" x14ac:dyDescent="0.2">
      <c r="A513" s="302"/>
      <c r="B513" s="887"/>
      <c r="C513" s="838" t="s">
        <v>1897</v>
      </c>
      <c r="D513" s="838" t="s">
        <v>1647</v>
      </c>
      <c r="E513" s="713" t="s">
        <v>26</v>
      </c>
      <c r="F513" s="712">
        <v>345276157</v>
      </c>
      <c r="G513" s="712">
        <v>345276157</v>
      </c>
      <c r="H513" s="712">
        <v>0</v>
      </c>
      <c r="I513" s="712">
        <v>0</v>
      </c>
      <c r="J513" s="712">
        <v>0</v>
      </c>
      <c r="K513" s="712">
        <v>0</v>
      </c>
      <c r="L513" s="712">
        <v>0</v>
      </c>
      <c r="M513" s="712">
        <v>0</v>
      </c>
      <c r="N513" s="712">
        <v>0</v>
      </c>
      <c r="O513" s="302"/>
    </row>
    <row r="514" spans="1:15" x14ac:dyDescent="0.2">
      <c r="A514" s="302"/>
      <c r="B514" s="887"/>
      <c r="C514" s="839"/>
      <c r="D514" s="839"/>
      <c r="E514" s="713" t="s">
        <v>3212</v>
      </c>
      <c r="F514" s="712">
        <v>66952</v>
      </c>
      <c r="G514" s="712">
        <v>0</v>
      </c>
      <c r="H514" s="712">
        <v>66952</v>
      </c>
      <c r="I514" s="712">
        <v>0</v>
      </c>
      <c r="J514" s="712">
        <v>66952</v>
      </c>
      <c r="K514" s="712">
        <v>0</v>
      </c>
      <c r="L514" s="712">
        <v>0</v>
      </c>
      <c r="M514" s="712">
        <v>0</v>
      </c>
      <c r="N514" s="712">
        <v>66952</v>
      </c>
      <c r="O514" s="302"/>
    </row>
    <row r="515" spans="1:15" x14ac:dyDescent="0.2">
      <c r="A515" s="302"/>
      <c r="B515" s="887"/>
      <c r="C515" s="839"/>
      <c r="D515" s="839"/>
      <c r="E515" s="713" t="s">
        <v>195</v>
      </c>
      <c r="F515" s="712">
        <v>513889</v>
      </c>
      <c r="G515" s="712">
        <v>513889</v>
      </c>
      <c r="H515" s="712">
        <v>0</v>
      </c>
      <c r="I515" s="712">
        <v>0</v>
      </c>
      <c r="J515" s="712">
        <v>0</v>
      </c>
      <c r="K515" s="712">
        <v>0</v>
      </c>
      <c r="L515" s="712">
        <v>0</v>
      </c>
      <c r="M515" s="712">
        <v>0</v>
      </c>
      <c r="N515" s="712">
        <v>0</v>
      </c>
      <c r="O515" s="302"/>
    </row>
    <row r="516" spans="1:15" x14ac:dyDescent="0.2">
      <c r="A516" s="302"/>
      <c r="B516" s="887"/>
      <c r="C516" s="838" t="s">
        <v>1898</v>
      </c>
      <c r="D516" s="838" t="s">
        <v>896</v>
      </c>
      <c r="E516" s="713" t="s">
        <v>26</v>
      </c>
      <c r="F516" s="712">
        <v>102810006</v>
      </c>
      <c r="G516" s="712">
        <v>102810006</v>
      </c>
      <c r="H516" s="712">
        <v>0</v>
      </c>
      <c r="I516" s="712">
        <v>0</v>
      </c>
      <c r="J516" s="712">
        <v>0</v>
      </c>
      <c r="K516" s="712">
        <v>0</v>
      </c>
      <c r="L516" s="712">
        <v>0</v>
      </c>
      <c r="M516" s="712">
        <v>0</v>
      </c>
      <c r="N516" s="712">
        <v>0</v>
      </c>
      <c r="O516" s="302"/>
    </row>
    <row r="517" spans="1:15" x14ac:dyDescent="0.2">
      <c r="A517" s="302"/>
      <c r="B517" s="887"/>
      <c r="C517" s="839"/>
      <c r="D517" s="839"/>
      <c r="E517" s="713" t="s">
        <v>1557</v>
      </c>
      <c r="F517" s="712">
        <v>239889994</v>
      </c>
      <c r="G517" s="712">
        <v>239889994</v>
      </c>
      <c r="H517" s="712">
        <v>0</v>
      </c>
      <c r="I517" s="712">
        <v>0</v>
      </c>
      <c r="J517" s="712">
        <v>0</v>
      </c>
      <c r="K517" s="712">
        <v>0</v>
      </c>
      <c r="L517" s="712">
        <v>0</v>
      </c>
      <c r="M517" s="712">
        <v>0</v>
      </c>
      <c r="N517" s="712">
        <v>0</v>
      </c>
      <c r="O517" s="302"/>
    </row>
    <row r="518" spans="1:15" x14ac:dyDescent="0.2">
      <c r="A518" s="302"/>
      <c r="B518" s="887"/>
      <c r="C518" s="839"/>
      <c r="D518" s="839"/>
      <c r="E518" s="713" t="s">
        <v>2676</v>
      </c>
      <c r="F518" s="712">
        <v>639707</v>
      </c>
      <c r="G518" s="712">
        <v>0</v>
      </c>
      <c r="H518" s="712">
        <v>639707</v>
      </c>
      <c r="I518" s="712">
        <v>0</v>
      </c>
      <c r="J518" s="712">
        <v>639707</v>
      </c>
      <c r="K518" s="712">
        <v>0</v>
      </c>
      <c r="L518" s="712">
        <v>0</v>
      </c>
      <c r="M518" s="712">
        <v>0</v>
      </c>
      <c r="N518" s="712">
        <v>639707</v>
      </c>
      <c r="O518" s="302"/>
    </row>
    <row r="519" spans="1:15" x14ac:dyDescent="0.2">
      <c r="A519" s="302"/>
      <c r="B519" s="887"/>
      <c r="C519" s="839"/>
      <c r="D519" s="839"/>
      <c r="E519" s="713" t="s">
        <v>1221</v>
      </c>
      <c r="F519" s="712">
        <v>1931850</v>
      </c>
      <c r="G519" s="712">
        <v>1931850</v>
      </c>
      <c r="H519" s="712">
        <v>0</v>
      </c>
      <c r="I519" s="712">
        <v>0</v>
      </c>
      <c r="J519" s="712">
        <v>0</v>
      </c>
      <c r="K519" s="712">
        <v>0</v>
      </c>
      <c r="L519" s="712">
        <v>0</v>
      </c>
      <c r="M519" s="712">
        <v>0</v>
      </c>
      <c r="N519" s="712">
        <v>0</v>
      </c>
      <c r="O519" s="302"/>
    </row>
    <row r="520" spans="1:15" x14ac:dyDescent="0.2">
      <c r="A520" s="302"/>
      <c r="B520" s="887"/>
      <c r="C520" s="838" t="s">
        <v>1899</v>
      </c>
      <c r="D520" s="838" t="s">
        <v>899</v>
      </c>
      <c r="E520" s="713" t="s">
        <v>26</v>
      </c>
      <c r="F520" s="712">
        <v>139494246</v>
      </c>
      <c r="G520" s="712">
        <v>139494246</v>
      </c>
      <c r="H520" s="712">
        <v>0</v>
      </c>
      <c r="I520" s="712">
        <v>0</v>
      </c>
      <c r="J520" s="712">
        <v>0</v>
      </c>
      <c r="K520" s="712">
        <v>0</v>
      </c>
      <c r="L520" s="712">
        <v>0</v>
      </c>
      <c r="M520" s="712">
        <v>0</v>
      </c>
      <c r="N520" s="712">
        <v>0</v>
      </c>
      <c r="O520" s="302"/>
    </row>
    <row r="521" spans="1:15" x14ac:dyDescent="0.2">
      <c r="A521" s="302"/>
      <c r="B521" s="887"/>
      <c r="C521" s="839"/>
      <c r="D521" s="839"/>
      <c r="E521" s="713" t="s">
        <v>1557</v>
      </c>
      <c r="F521" s="712">
        <v>140000000</v>
      </c>
      <c r="G521" s="712">
        <v>140000000</v>
      </c>
      <c r="H521" s="712">
        <v>0</v>
      </c>
      <c r="I521" s="712">
        <v>0</v>
      </c>
      <c r="J521" s="712">
        <v>0</v>
      </c>
      <c r="K521" s="712">
        <v>0</v>
      </c>
      <c r="L521" s="712">
        <v>0</v>
      </c>
      <c r="M521" s="712">
        <v>0</v>
      </c>
      <c r="N521" s="712">
        <v>0</v>
      </c>
      <c r="O521" s="302"/>
    </row>
    <row r="522" spans="1:15" x14ac:dyDescent="0.2">
      <c r="A522" s="302"/>
      <c r="B522" s="887"/>
      <c r="C522" s="839"/>
      <c r="D522" s="839"/>
      <c r="E522" s="713" t="s">
        <v>3212</v>
      </c>
      <c r="F522" s="712">
        <v>131271</v>
      </c>
      <c r="G522" s="712">
        <v>0</v>
      </c>
      <c r="H522" s="712">
        <v>131271</v>
      </c>
      <c r="I522" s="712">
        <v>0</v>
      </c>
      <c r="J522" s="712">
        <v>131271</v>
      </c>
      <c r="K522" s="712">
        <v>0</v>
      </c>
      <c r="L522" s="712">
        <v>0</v>
      </c>
      <c r="M522" s="712">
        <v>0</v>
      </c>
      <c r="N522" s="712">
        <v>131271</v>
      </c>
      <c r="O522" s="302"/>
    </row>
    <row r="523" spans="1:15" x14ac:dyDescent="0.2">
      <c r="A523" s="302"/>
      <c r="B523" s="887"/>
      <c r="C523" s="838" t="s">
        <v>1900</v>
      </c>
      <c r="D523" s="838" t="s">
        <v>1709</v>
      </c>
      <c r="E523" s="713" t="s">
        <v>26</v>
      </c>
      <c r="F523" s="712">
        <v>134326161</v>
      </c>
      <c r="G523" s="712">
        <v>134326161</v>
      </c>
      <c r="H523" s="712">
        <v>0</v>
      </c>
      <c r="I523" s="712">
        <v>0</v>
      </c>
      <c r="J523" s="712">
        <v>0</v>
      </c>
      <c r="K523" s="712">
        <v>0</v>
      </c>
      <c r="L523" s="712">
        <v>0</v>
      </c>
      <c r="M523" s="712">
        <v>0</v>
      </c>
      <c r="N523" s="712">
        <v>0</v>
      </c>
      <c r="O523" s="302"/>
    </row>
    <row r="524" spans="1:15" x14ac:dyDescent="0.2">
      <c r="A524" s="302"/>
      <c r="B524" s="887"/>
      <c r="C524" s="839"/>
      <c r="D524" s="839"/>
      <c r="E524" s="713" t="s">
        <v>1557</v>
      </c>
      <c r="F524" s="712">
        <v>187189132</v>
      </c>
      <c r="G524" s="712">
        <v>187189132</v>
      </c>
      <c r="H524" s="712">
        <v>0</v>
      </c>
      <c r="I524" s="712">
        <v>0</v>
      </c>
      <c r="J524" s="712">
        <v>0</v>
      </c>
      <c r="K524" s="712">
        <v>0</v>
      </c>
      <c r="L524" s="712">
        <v>0</v>
      </c>
      <c r="M524" s="712">
        <v>0</v>
      </c>
      <c r="N524" s="712">
        <v>0</v>
      </c>
      <c r="O524" s="302"/>
    </row>
    <row r="525" spans="1:15" x14ac:dyDescent="0.2">
      <c r="A525" s="302"/>
      <c r="B525" s="887"/>
      <c r="C525" s="839"/>
      <c r="D525" s="839"/>
      <c r="E525" s="713" t="s">
        <v>3212</v>
      </c>
      <c r="F525" s="712">
        <v>54495</v>
      </c>
      <c r="G525" s="712">
        <v>54495</v>
      </c>
      <c r="H525" s="712">
        <v>0</v>
      </c>
      <c r="I525" s="712">
        <v>0</v>
      </c>
      <c r="J525" s="712">
        <v>0</v>
      </c>
      <c r="K525" s="712">
        <v>0</v>
      </c>
      <c r="L525" s="712">
        <v>0</v>
      </c>
      <c r="M525" s="712">
        <v>0</v>
      </c>
      <c r="N525" s="712">
        <v>0</v>
      </c>
      <c r="O525" s="302"/>
    </row>
    <row r="526" spans="1:15" x14ac:dyDescent="0.2">
      <c r="A526" s="302"/>
      <c r="B526" s="887"/>
      <c r="C526" s="839"/>
      <c r="D526" s="839"/>
      <c r="E526" s="713" t="s">
        <v>2676</v>
      </c>
      <c r="F526" s="712">
        <v>2895192</v>
      </c>
      <c r="G526" s="712">
        <v>2895192</v>
      </c>
      <c r="H526" s="712">
        <v>0</v>
      </c>
      <c r="I526" s="712">
        <v>0</v>
      </c>
      <c r="J526" s="712">
        <v>0</v>
      </c>
      <c r="K526" s="712">
        <v>0</v>
      </c>
      <c r="L526" s="712">
        <v>0</v>
      </c>
      <c r="M526" s="712">
        <v>0</v>
      </c>
      <c r="N526" s="712">
        <v>0</v>
      </c>
      <c r="O526" s="302"/>
    </row>
    <row r="527" spans="1:15" x14ac:dyDescent="0.2">
      <c r="A527" s="302"/>
      <c r="B527" s="887"/>
      <c r="C527" s="839"/>
      <c r="D527" s="839"/>
      <c r="E527" s="713" t="s">
        <v>1221</v>
      </c>
      <c r="F527" s="712">
        <v>1931850</v>
      </c>
      <c r="G527" s="712">
        <v>1931850</v>
      </c>
      <c r="H527" s="712">
        <v>0</v>
      </c>
      <c r="I527" s="712">
        <v>0</v>
      </c>
      <c r="J527" s="712">
        <v>0</v>
      </c>
      <c r="K527" s="712">
        <v>0</v>
      </c>
      <c r="L527" s="712">
        <v>0</v>
      </c>
      <c r="M527" s="712">
        <v>0</v>
      </c>
      <c r="N527" s="712">
        <v>0</v>
      </c>
      <c r="O527" s="302"/>
    </row>
    <row r="528" spans="1:15" ht="25.5" x14ac:dyDescent="0.2">
      <c r="A528" s="302"/>
      <c r="B528" s="887"/>
      <c r="C528" s="713" t="s">
        <v>4430</v>
      </c>
      <c r="D528" s="713" t="s">
        <v>4437</v>
      </c>
      <c r="E528" s="713"/>
      <c r="F528"/>
      <c r="G528"/>
      <c r="H528"/>
      <c r="I528"/>
      <c r="J528"/>
      <c r="K528"/>
      <c r="L528"/>
      <c r="M528"/>
      <c r="N528"/>
      <c r="O528" s="302"/>
    </row>
    <row r="529" spans="1:15" s="302" customFormat="1" x14ac:dyDescent="0.2">
      <c r="B529" s="838">
        <v>2</v>
      </c>
      <c r="C529" s="838" t="s">
        <v>1901</v>
      </c>
      <c r="D529" s="838" t="s">
        <v>1558</v>
      </c>
      <c r="E529" s="713" t="s">
        <v>26</v>
      </c>
      <c r="F529">
        <v>216583786</v>
      </c>
      <c r="G529">
        <v>216583786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</row>
    <row r="530" spans="1:15" x14ac:dyDescent="0.2">
      <c r="A530" s="302"/>
      <c r="B530" s="887"/>
      <c r="C530" s="839"/>
      <c r="D530" s="839"/>
      <c r="E530" s="713" t="s">
        <v>1557</v>
      </c>
      <c r="F530">
        <v>183636093</v>
      </c>
      <c r="G530">
        <v>183636093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 s="302"/>
    </row>
    <row r="531" spans="1:15" x14ac:dyDescent="0.2">
      <c r="A531" s="302"/>
      <c r="B531" s="887"/>
      <c r="C531" s="839"/>
      <c r="D531" s="839"/>
      <c r="E531" s="713" t="s">
        <v>822</v>
      </c>
      <c r="F531">
        <v>574272</v>
      </c>
      <c r="G531">
        <v>0</v>
      </c>
      <c r="H531">
        <v>574272</v>
      </c>
      <c r="I531">
        <v>0</v>
      </c>
      <c r="J531">
        <v>574272</v>
      </c>
      <c r="K531">
        <v>0</v>
      </c>
      <c r="L531">
        <v>0</v>
      </c>
      <c r="M531">
        <v>574272</v>
      </c>
      <c r="N531">
        <v>0</v>
      </c>
      <c r="O531" s="302"/>
    </row>
    <row r="532" spans="1:15" x14ac:dyDescent="0.2">
      <c r="A532" s="302"/>
      <c r="B532" s="887"/>
      <c r="C532" s="839"/>
      <c r="D532" s="839"/>
      <c r="E532" s="713" t="s">
        <v>3212</v>
      </c>
      <c r="F532">
        <v>1385473</v>
      </c>
      <c r="G532">
        <v>1385473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 s="302"/>
    </row>
    <row r="533" spans="1:15" x14ac:dyDescent="0.2">
      <c r="A533" s="302"/>
      <c r="B533" s="887"/>
      <c r="C533" s="839"/>
      <c r="D533" s="839"/>
      <c r="E533" s="713" t="s">
        <v>1221</v>
      </c>
      <c r="F533">
        <v>1931850</v>
      </c>
      <c r="G533">
        <v>1931850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 s="302"/>
    </row>
    <row r="534" spans="1:15" x14ac:dyDescent="0.2">
      <c r="A534" s="302"/>
      <c r="B534" s="887"/>
      <c r="C534" s="838" t="s">
        <v>1902</v>
      </c>
      <c r="D534" s="838" t="s">
        <v>1648</v>
      </c>
      <c r="E534" s="713" t="s">
        <v>22</v>
      </c>
      <c r="F534">
        <v>68406567</v>
      </c>
      <c r="G534">
        <v>68406567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 s="302"/>
    </row>
    <row r="535" spans="1:15" x14ac:dyDescent="0.2">
      <c r="A535" s="302"/>
      <c r="B535" s="887"/>
      <c r="C535" s="839"/>
      <c r="D535" s="839"/>
      <c r="E535" s="713" t="s">
        <v>26</v>
      </c>
      <c r="F535">
        <v>90561480</v>
      </c>
      <c r="G535">
        <v>90561480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 s="302"/>
    </row>
    <row r="536" spans="1:15" x14ac:dyDescent="0.2">
      <c r="A536" s="302"/>
      <c r="B536" s="887"/>
      <c r="C536" s="839"/>
      <c r="D536" s="839"/>
      <c r="E536" s="713" t="s">
        <v>1557</v>
      </c>
      <c r="F536">
        <v>210954193</v>
      </c>
      <c r="G536">
        <v>210954193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 s="302"/>
    </row>
    <row r="537" spans="1:15" x14ac:dyDescent="0.2">
      <c r="A537" s="302"/>
      <c r="B537" s="887"/>
      <c r="C537" s="839"/>
      <c r="D537" s="839"/>
      <c r="E537" s="713" t="s">
        <v>3212</v>
      </c>
      <c r="F537">
        <v>1581443</v>
      </c>
      <c r="G537">
        <v>1581443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 s="302"/>
    </row>
    <row r="538" spans="1:15" x14ac:dyDescent="0.2">
      <c r="A538" s="302"/>
      <c r="B538" s="887"/>
      <c r="C538" s="838" t="s">
        <v>1903</v>
      </c>
      <c r="D538" s="838" t="s">
        <v>1710</v>
      </c>
      <c r="E538" s="713" t="s">
        <v>26</v>
      </c>
      <c r="F538">
        <v>151409833</v>
      </c>
      <c r="G538">
        <v>151409833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 s="302"/>
    </row>
    <row r="539" spans="1:15" x14ac:dyDescent="0.2">
      <c r="A539" s="302"/>
      <c r="B539" s="887"/>
      <c r="C539" s="839"/>
      <c r="D539" s="839"/>
      <c r="E539" s="713" t="s">
        <v>1557</v>
      </c>
      <c r="F539">
        <v>190000000</v>
      </c>
      <c r="G539">
        <v>0</v>
      </c>
      <c r="H539">
        <v>190000000</v>
      </c>
      <c r="I539">
        <v>0</v>
      </c>
      <c r="J539">
        <v>190000000</v>
      </c>
      <c r="K539">
        <v>0</v>
      </c>
      <c r="L539">
        <v>0</v>
      </c>
      <c r="M539">
        <v>0</v>
      </c>
      <c r="N539">
        <v>190000000</v>
      </c>
      <c r="O539" s="302"/>
    </row>
    <row r="540" spans="1:15" x14ac:dyDescent="0.2">
      <c r="A540" s="302"/>
      <c r="B540" s="887"/>
      <c r="C540" s="839"/>
      <c r="D540" s="839"/>
      <c r="E540" s="713" t="s">
        <v>822</v>
      </c>
      <c r="F540">
        <v>490291</v>
      </c>
      <c r="G540">
        <v>490291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 s="302"/>
    </row>
    <row r="541" spans="1:15" x14ac:dyDescent="0.2">
      <c r="A541" s="302"/>
      <c r="B541" s="887"/>
      <c r="C541" s="839"/>
      <c r="D541" s="839"/>
      <c r="E541" s="713" t="s">
        <v>3212</v>
      </c>
      <c r="F541">
        <v>60000</v>
      </c>
      <c r="G541">
        <v>60000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 s="302"/>
    </row>
    <row r="542" spans="1:15" x14ac:dyDescent="0.2">
      <c r="A542" s="302"/>
      <c r="B542" s="887"/>
      <c r="C542" s="839"/>
      <c r="D542" s="839"/>
      <c r="E542" s="713" t="s">
        <v>1221</v>
      </c>
      <c r="F542">
        <v>1931850</v>
      </c>
      <c r="G542">
        <v>1931850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 s="302"/>
    </row>
    <row r="543" spans="1:15" x14ac:dyDescent="0.2">
      <c r="A543" s="302"/>
      <c r="B543" s="887"/>
      <c r="C543" s="838" t="s">
        <v>1904</v>
      </c>
      <c r="D543" s="838" t="s">
        <v>3134</v>
      </c>
      <c r="E543" s="713" t="s">
        <v>26</v>
      </c>
      <c r="F543">
        <v>101996334</v>
      </c>
      <c r="G543">
        <v>101996334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 s="302"/>
    </row>
    <row r="544" spans="1:15" x14ac:dyDescent="0.2">
      <c r="A544" s="302"/>
      <c r="B544" s="887"/>
      <c r="C544" s="839"/>
      <c r="D544" s="839"/>
      <c r="E544" s="713" t="s">
        <v>1557</v>
      </c>
      <c r="F544">
        <v>232870924</v>
      </c>
      <c r="G544">
        <v>232870924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 s="302"/>
    </row>
    <row r="545" spans="1:15" x14ac:dyDescent="0.2">
      <c r="A545" s="302"/>
      <c r="B545" s="887"/>
      <c r="C545" s="839"/>
      <c r="D545" s="839"/>
      <c r="E545" s="713" t="s">
        <v>822</v>
      </c>
      <c r="F545">
        <v>574272</v>
      </c>
      <c r="G545">
        <v>574272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 s="302"/>
    </row>
    <row r="546" spans="1:15" x14ac:dyDescent="0.2">
      <c r="A546" s="302"/>
      <c r="B546" s="887"/>
      <c r="C546" s="839"/>
      <c r="D546" s="839"/>
      <c r="E546" s="713" t="s">
        <v>3212</v>
      </c>
      <c r="F546">
        <v>1299234</v>
      </c>
      <c r="G546">
        <v>1</v>
      </c>
      <c r="H546">
        <v>1299233</v>
      </c>
      <c r="I546">
        <v>0</v>
      </c>
      <c r="J546">
        <v>1299233</v>
      </c>
      <c r="K546">
        <v>0</v>
      </c>
      <c r="L546">
        <v>0</v>
      </c>
      <c r="M546">
        <v>0</v>
      </c>
      <c r="N546">
        <v>1299233</v>
      </c>
      <c r="O546" s="302"/>
    </row>
    <row r="547" spans="1:15" x14ac:dyDescent="0.2">
      <c r="A547" s="302"/>
      <c r="B547" s="887"/>
      <c r="C547" s="838" t="s">
        <v>1905</v>
      </c>
      <c r="D547" s="838" t="s">
        <v>1002</v>
      </c>
      <c r="E547" s="713" t="s">
        <v>26</v>
      </c>
      <c r="F547">
        <v>127333812</v>
      </c>
      <c r="G547">
        <v>127333812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 s="302"/>
    </row>
    <row r="548" spans="1:15" x14ac:dyDescent="0.2">
      <c r="A548" s="302"/>
      <c r="B548" s="887"/>
      <c r="C548" s="839"/>
      <c r="D548" s="839"/>
      <c r="E548" s="713" t="s">
        <v>1557</v>
      </c>
      <c r="F548">
        <v>163600000</v>
      </c>
      <c r="G548">
        <v>163600000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 s="302"/>
    </row>
    <row r="549" spans="1:15" x14ac:dyDescent="0.2">
      <c r="A549" s="302"/>
      <c r="B549" s="887"/>
      <c r="C549" s="839"/>
      <c r="D549" s="839"/>
      <c r="E549" s="713" t="s">
        <v>1221</v>
      </c>
      <c r="F549">
        <v>1512675</v>
      </c>
      <c r="G549">
        <v>1512675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 s="302"/>
    </row>
    <row r="550" spans="1:15" x14ac:dyDescent="0.2">
      <c r="A550" s="302"/>
      <c r="B550" s="887"/>
      <c r="C550" s="838" t="s">
        <v>2609</v>
      </c>
      <c r="D550" s="838" t="s">
        <v>2610</v>
      </c>
      <c r="E550" s="713" t="s">
        <v>26</v>
      </c>
      <c r="F550">
        <v>380607900</v>
      </c>
      <c r="G550">
        <v>380607900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 s="302"/>
    </row>
    <row r="551" spans="1:15" x14ac:dyDescent="0.2">
      <c r="A551" s="302"/>
      <c r="B551" s="887"/>
      <c r="C551" s="839"/>
      <c r="D551" s="839"/>
      <c r="E551" s="713" t="s">
        <v>1221</v>
      </c>
      <c r="F551">
        <v>1931850</v>
      </c>
      <c r="G551">
        <v>1931850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 s="302"/>
    </row>
    <row r="552" spans="1:15" x14ac:dyDescent="0.2">
      <c r="A552" s="302"/>
      <c r="B552" s="887"/>
      <c r="C552" s="838" t="s">
        <v>1906</v>
      </c>
      <c r="D552" s="838" t="s">
        <v>1073</v>
      </c>
      <c r="E552" s="713" t="s">
        <v>26</v>
      </c>
      <c r="F552">
        <v>333677340</v>
      </c>
      <c r="G552">
        <v>333677340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 s="302"/>
    </row>
    <row r="553" spans="1:15" x14ac:dyDescent="0.2">
      <c r="A553" s="302"/>
      <c r="B553" s="887"/>
      <c r="C553" s="839"/>
      <c r="D553" s="839"/>
      <c r="E553" s="713" t="s">
        <v>3212</v>
      </c>
      <c r="F553">
        <v>88606</v>
      </c>
      <c r="G553">
        <v>88606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 s="302"/>
    </row>
    <row r="554" spans="1:15" x14ac:dyDescent="0.2">
      <c r="A554" s="302"/>
      <c r="B554" s="887"/>
      <c r="C554" s="838" t="s">
        <v>1907</v>
      </c>
      <c r="D554" s="838" t="s">
        <v>1649</v>
      </c>
      <c r="E554" s="713" t="s">
        <v>26</v>
      </c>
      <c r="F554">
        <v>223437191</v>
      </c>
      <c r="G554">
        <v>223437191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 s="302"/>
    </row>
    <row r="555" spans="1:15" x14ac:dyDescent="0.2">
      <c r="A555" s="302"/>
      <c r="B555" s="887"/>
      <c r="C555" s="839"/>
      <c r="D555" s="839"/>
      <c r="E555" s="713" t="s">
        <v>1557</v>
      </c>
      <c r="F555">
        <v>101954830</v>
      </c>
      <c r="G555">
        <v>101954830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 s="302"/>
    </row>
    <row r="556" spans="1:15" x14ac:dyDescent="0.2">
      <c r="A556" s="302"/>
      <c r="B556" s="887"/>
      <c r="C556" s="839"/>
      <c r="D556" s="839"/>
      <c r="E556" s="713" t="s">
        <v>2676</v>
      </c>
      <c r="F556">
        <v>299068</v>
      </c>
      <c r="G556">
        <v>299068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 s="302"/>
    </row>
    <row r="557" spans="1:15" x14ac:dyDescent="0.2">
      <c r="A557" s="302"/>
      <c r="B557" s="887"/>
      <c r="C557" s="838" t="s">
        <v>1908</v>
      </c>
      <c r="D557" s="838" t="s">
        <v>1627</v>
      </c>
      <c r="E557" s="713" t="s">
        <v>26</v>
      </c>
      <c r="F557">
        <v>88729680</v>
      </c>
      <c r="G557">
        <v>88729680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 s="302"/>
    </row>
    <row r="558" spans="1:15" x14ac:dyDescent="0.2">
      <c r="A558" s="302"/>
      <c r="B558" s="887"/>
      <c r="C558" s="839"/>
      <c r="D558" s="839"/>
      <c r="E558" s="713" t="s">
        <v>1557</v>
      </c>
      <c r="F558">
        <v>207035920</v>
      </c>
      <c r="G558">
        <v>207035920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 s="302"/>
    </row>
    <row r="559" spans="1:15" x14ac:dyDescent="0.2">
      <c r="A559" s="302"/>
      <c r="B559" s="887"/>
      <c r="C559" s="839"/>
      <c r="D559" s="839"/>
      <c r="E559" s="713" t="s">
        <v>195</v>
      </c>
      <c r="F559">
        <v>1614698</v>
      </c>
      <c r="G559">
        <v>1614698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 s="302"/>
    </row>
    <row r="560" spans="1:15" x14ac:dyDescent="0.2">
      <c r="A560" s="302"/>
      <c r="B560" s="887"/>
      <c r="C560" s="838" t="s">
        <v>1909</v>
      </c>
      <c r="D560" s="838" t="s">
        <v>2608</v>
      </c>
      <c r="E560" s="713" t="s">
        <v>26</v>
      </c>
      <c r="F560">
        <v>175119992</v>
      </c>
      <c r="G560">
        <v>175119992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 s="302"/>
    </row>
    <row r="561" spans="1:15" x14ac:dyDescent="0.2">
      <c r="A561" s="302"/>
      <c r="B561" s="887"/>
      <c r="C561" s="839"/>
      <c r="D561" s="839"/>
      <c r="E561" s="713" t="s">
        <v>1557</v>
      </c>
      <c r="F561">
        <v>165400000</v>
      </c>
      <c r="G561">
        <v>165400000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 s="302"/>
    </row>
    <row r="562" spans="1:15" x14ac:dyDescent="0.2">
      <c r="A562" s="302"/>
      <c r="B562" s="887"/>
      <c r="C562" s="839"/>
      <c r="D562" s="839"/>
      <c r="E562" s="713" t="s">
        <v>1221</v>
      </c>
      <c r="F562">
        <v>1931850</v>
      </c>
      <c r="G562">
        <v>1931850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 s="302"/>
    </row>
    <row r="563" spans="1:15" x14ac:dyDescent="0.2">
      <c r="A563" s="302"/>
      <c r="B563" s="887"/>
      <c r="C563" s="838" t="s">
        <v>1910</v>
      </c>
      <c r="D563" s="838" t="s">
        <v>1628</v>
      </c>
      <c r="E563" s="713" t="s">
        <v>22</v>
      </c>
      <c r="F563">
        <v>77601742</v>
      </c>
      <c r="G563">
        <v>77601742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 s="302"/>
    </row>
    <row r="564" spans="1:15" x14ac:dyDescent="0.2">
      <c r="A564" s="302"/>
      <c r="B564" s="887"/>
      <c r="C564" s="839"/>
      <c r="D564" s="839"/>
      <c r="E564" s="713" t="s">
        <v>26</v>
      </c>
      <c r="F564">
        <v>364751526</v>
      </c>
      <c r="G564">
        <v>364751526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 s="302"/>
    </row>
    <row r="565" spans="1:15" x14ac:dyDescent="0.2">
      <c r="A565" s="302"/>
      <c r="B565" s="887"/>
      <c r="C565" s="839"/>
      <c r="D565" s="839"/>
      <c r="E565" s="713" t="s">
        <v>3212</v>
      </c>
      <c r="F565">
        <v>71495</v>
      </c>
      <c r="G565">
        <v>71495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 s="302"/>
    </row>
    <row r="566" spans="1:15" x14ac:dyDescent="0.2">
      <c r="A566" s="302"/>
      <c r="B566" s="887"/>
      <c r="C566" s="839"/>
      <c r="D566" s="839"/>
      <c r="E566" s="713" t="s">
        <v>1221</v>
      </c>
      <c r="F566">
        <v>1931850</v>
      </c>
      <c r="G566">
        <v>1931850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 s="302"/>
    </row>
    <row r="567" spans="1:15" x14ac:dyDescent="0.2">
      <c r="A567" s="302"/>
      <c r="B567" s="887"/>
      <c r="C567" s="838" t="s">
        <v>1911</v>
      </c>
      <c r="D567" s="838" t="s">
        <v>1651</v>
      </c>
      <c r="E567" s="713" t="s">
        <v>26</v>
      </c>
      <c r="F567">
        <v>103836288</v>
      </c>
      <c r="G567">
        <v>103836288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 s="302"/>
    </row>
    <row r="568" spans="1:15" x14ac:dyDescent="0.2">
      <c r="A568" s="302"/>
      <c r="B568" s="887"/>
      <c r="C568" s="839"/>
      <c r="D568" s="839"/>
      <c r="E568" s="713" t="s">
        <v>1557</v>
      </c>
      <c r="F568">
        <v>239998046</v>
      </c>
      <c r="G568">
        <v>239998046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 s="302"/>
    </row>
    <row r="569" spans="1:15" x14ac:dyDescent="0.2">
      <c r="A569" s="302"/>
      <c r="B569" s="887"/>
      <c r="C569" s="839"/>
      <c r="D569" s="839"/>
      <c r="E569" s="713" t="s">
        <v>3212</v>
      </c>
      <c r="F569">
        <v>1342492</v>
      </c>
      <c r="G569">
        <v>0</v>
      </c>
      <c r="H569">
        <v>1342492</v>
      </c>
      <c r="I569">
        <v>0</v>
      </c>
      <c r="J569">
        <v>1342492</v>
      </c>
      <c r="K569">
        <v>0</v>
      </c>
      <c r="L569">
        <v>0</v>
      </c>
      <c r="M569">
        <v>0</v>
      </c>
      <c r="N569">
        <v>1342492</v>
      </c>
      <c r="O569" s="302"/>
    </row>
    <row r="570" spans="1:15" x14ac:dyDescent="0.2">
      <c r="A570" s="302"/>
      <c r="B570" s="887"/>
      <c r="C570" s="839"/>
      <c r="D570" s="839"/>
      <c r="E570" s="713" t="s">
        <v>195</v>
      </c>
      <c r="F570">
        <v>462414</v>
      </c>
      <c r="G570">
        <v>462414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 s="302"/>
    </row>
    <row r="571" spans="1:15" x14ac:dyDescent="0.2">
      <c r="A571" s="302"/>
      <c r="B571" s="887"/>
      <c r="C571" s="839"/>
      <c r="D571" s="839"/>
      <c r="E571" s="713" t="s">
        <v>1221</v>
      </c>
      <c r="F571">
        <v>1931850</v>
      </c>
      <c r="G571">
        <v>1931850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 s="302"/>
    </row>
    <row r="572" spans="1:15" x14ac:dyDescent="0.2">
      <c r="A572" s="302"/>
      <c r="B572" s="887"/>
      <c r="C572" s="838" t="s">
        <v>1912</v>
      </c>
      <c r="D572" s="838" t="s">
        <v>1650</v>
      </c>
      <c r="E572" s="713" t="s">
        <v>22</v>
      </c>
      <c r="F572">
        <v>68406567</v>
      </c>
      <c r="G572">
        <v>68406567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 s="302"/>
    </row>
    <row r="573" spans="1:15" x14ac:dyDescent="0.2">
      <c r="A573" s="302"/>
      <c r="B573" s="887"/>
      <c r="C573" s="839"/>
      <c r="D573" s="839"/>
      <c r="E573" s="713" t="s">
        <v>26</v>
      </c>
      <c r="F573">
        <v>144787400</v>
      </c>
      <c r="G573">
        <v>144787400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 s="302"/>
    </row>
    <row r="574" spans="1:15" x14ac:dyDescent="0.2">
      <c r="A574" s="302"/>
      <c r="B574" s="887"/>
      <c r="C574" s="839"/>
      <c r="D574" s="839"/>
      <c r="E574" s="713" t="s">
        <v>1557</v>
      </c>
      <c r="F574">
        <v>150000000</v>
      </c>
      <c r="G574">
        <v>150000000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 s="302"/>
    </row>
    <row r="575" spans="1:15" x14ac:dyDescent="0.2">
      <c r="A575" s="302"/>
      <c r="B575" s="887"/>
      <c r="C575" s="838" t="s">
        <v>2535</v>
      </c>
      <c r="D575" s="838" t="s">
        <v>2536</v>
      </c>
      <c r="E575" s="713" t="s">
        <v>26</v>
      </c>
      <c r="F575">
        <v>108176505</v>
      </c>
      <c r="G575">
        <v>108176505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 s="302"/>
    </row>
    <row r="576" spans="1:15" x14ac:dyDescent="0.2">
      <c r="A576" s="302"/>
      <c r="B576" s="887"/>
      <c r="C576" s="839"/>
      <c r="D576" s="839"/>
      <c r="E576" s="713" t="s">
        <v>1557</v>
      </c>
      <c r="F576">
        <v>275857310</v>
      </c>
      <c r="G576">
        <v>275857310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 s="302"/>
    </row>
    <row r="577" spans="1:15" x14ac:dyDescent="0.2">
      <c r="A577" s="302"/>
      <c r="B577" s="887"/>
      <c r="C577" s="839"/>
      <c r="D577" s="839"/>
      <c r="E577" s="713" t="s">
        <v>1221</v>
      </c>
      <c r="F577">
        <v>11584872</v>
      </c>
      <c r="G577">
        <v>11584872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 s="302"/>
    </row>
    <row r="578" spans="1:15" x14ac:dyDescent="0.2">
      <c r="A578" s="302"/>
      <c r="B578" s="887"/>
      <c r="C578" s="838" t="s">
        <v>1913</v>
      </c>
      <c r="D578" s="838" t="s">
        <v>1513</v>
      </c>
      <c r="E578" s="713" t="s">
        <v>26</v>
      </c>
      <c r="F578">
        <v>361491358</v>
      </c>
      <c r="G578">
        <v>361491358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 s="302"/>
    </row>
    <row r="579" spans="1:15" x14ac:dyDescent="0.2">
      <c r="A579" s="302"/>
      <c r="B579" s="887"/>
      <c r="C579" s="839"/>
      <c r="D579" s="839"/>
      <c r="E579" s="713" t="s">
        <v>1221</v>
      </c>
      <c r="F579">
        <v>1931850</v>
      </c>
      <c r="G579">
        <v>1931850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 s="302"/>
    </row>
    <row r="580" spans="1:15" x14ac:dyDescent="0.2">
      <c r="A580" s="302"/>
      <c r="B580" s="887"/>
      <c r="C580" s="713" t="s">
        <v>1914</v>
      </c>
      <c r="D580" s="713" t="s">
        <v>922</v>
      </c>
      <c r="E580" s="713" t="s">
        <v>26</v>
      </c>
      <c r="F580">
        <v>332996531</v>
      </c>
      <c r="G580">
        <v>332996531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 s="302"/>
    </row>
    <row r="581" spans="1:15" x14ac:dyDescent="0.2">
      <c r="A581" s="302"/>
      <c r="B581" s="887"/>
      <c r="C581" s="838" t="s">
        <v>1915</v>
      </c>
      <c r="D581" s="838" t="s">
        <v>2608</v>
      </c>
      <c r="E581" s="713" t="s">
        <v>26</v>
      </c>
      <c r="F581">
        <v>88494138</v>
      </c>
      <c r="G581">
        <v>88494138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 s="302"/>
    </row>
    <row r="582" spans="1:15" x14ac:dyDescent="0.2">
      <c r="A582" s="302"/>
      <c r="B582" s="887"/>
      <c r="C582" s="839"/>
      <c r="D582" s="839"/>
      <c r="E582" s="713" t="s">
        <v>1557</v>
      </c>
      <c r="F582">
        <v>205755229</v>
      </c>
      <c r="G582">
        <v>205755229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 s="302"/>
    </row>
    <row r="583" spans="1:15" x14ac:dyDescent="0.2">
      <c r="A583" s="302"/>
      <c r="B583" s="887"/>
      <c r="C583" s="839"/>
      <c r="D583" s="839"/>
      <c r="E583" s="713" t="s">
        <v>3212</v>
      </c>
      <c r="F583">
        <v>1052746</v>
      </c>
      <c r="G583">
        <v>1052746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 s="302"/>
    </row>
    <row r="584" spans="1:15" x14ac:dyDescent="0.2">
      <c r="A584" s="302"/>
      <c r="B584" s="887"/>
      <c r="C584" s="838" t="s">
        <v>1916</v>
      </c>
      <c r="D584" s="838" t="s">
        <v>1003</v>
      </c>
      <c r="E584" s="713" t="s">
        <v>26</v>
      </c>
      <c r="F584">
        <v>109853767</v>
      </c>
      <c r="G584">
        <v>109853767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 s="302"/>
    </row>
    <row r="585" spans="1:15" x14ac:dyDescent="0.2">
      <c r="A585" s="302"/>
      <c r="B585" s="887"/>
      <c r="C585" s="839"/>
      <c r="D585" s="839"/>
      <c r="E585" s="713" t="s">
        <v>1557</v>
      </c>
      <c r="F585">
        <v>229545186</v>
      </c>
      <c r="G585">
        <v>229545186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 s="302"/>
    </row>
    <row r="586" spans="1:15" x14ac:dyDescent="0.2">
      <c r="A586" s="302"/>
      <c r="B586" s="887"/>
      <c r="C586" s="838" t="s">
        <v>1917</v>
      </c>
      <c r="D586" s="838" t="s">
        <v>3213</v>
      </c>
      <c r="E586" s="713" t="s">
        <v>26</v>
      </c>
      <c r="F586">
        <v>142320740</v>
      </c>
      <c r="G586">
        <v>142320740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 s="302"/>
    </row>
    <row r="587" spans="1:15" x14ac:dyDescent="0.2">
      <c r="A587" s="302"/>
      <c r="B587" s="887"/>
      <c r="C587" s="839"/>
      <c r="D587" s="839"/>
      <c r="E587" s="713" t="s">
        <v>1557</v>
      </c>
      <c r="F587">
        <v>200000000</v>
      </c>
      <c r="G587">
        <v>200000000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 s="302"/>
    </row>
    <row r="588" spans="1:15" x14ac:dyDescent="0.2">
      <c r="A588" s="302"/>
      <c r="B588" s="887"/>
      <c r="C588" s="839"/>
      <c r="D588" s="839"/>
      <c r="E588" s="713" t="s">
        <v>195</v>
      </c>
      <c r="F588">
        <v>3732330</v>
      </c>
      <c r="G588">
        <v>3732330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 s="302"/>
    </row>
    <row r="589" spans="1:15" x14ac:dyDescent="0.2">
      <c r="A589" s="302"/>
      <c r="B589" s="887"/>
      <c r="C589" s="838" t="s">
        <v>1918</v>
      </c>
      <c r="D589" s="838" t="s">
        <v>1652</v>
      </c>
      <c r="E589" s="713" t="s">
        <v>26</v>
      </c>
      <c r="F589">
        <v>87552825</v>
      </c>
      <c r="G589">
        <v>87552825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 s="302"/>
    </row>
    <row r="590" spans="1:15" x14ac:dyDescent="0.2">
      <c r="A590" s="302"/>
      <c r="B590" s="887"/>
      <c r="C590" s="839"/>
      <c r="D590" s="839"/>
      <c r="E590" s="713" t="s">
        <v>1557</v>
      </c>
      <c r="F590">
        <v>204289926</v>
      </c>
      <c r="G590">
        <v>204289926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 s="302"/>
    </row>
    <row r="591" spans="1:15" x14ac:dyDescent="0.2">
      <c r="A591" s="302"/>
      <c r="B591" s="887"/>
      <c r="C591" s="839"/>
      <c r="D591" s="839"/>
      <c r="E591" s="713" t="s">
        <v>2676</v>
      </c>
      <c r="F591">
        <v>1080000</v>
      </c>
      <c r="G591">
        <v>1080000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 s="302"/>
    </row>
    <row r="592" spans="1:15" x14ac:dyDescent="0.2">
      <c r="A592" s="302"/>
      <c r="B592" s="887"/>
      <c r="C592" s="838" t="s">
        <v>2537</v>
      </c>
      <c r="D592" s="838" t="s">
        <v>2538</v>
      </c>
      <c r="E592" s="713" t="s">
        <v>26</v>
      </c>
      <c r="F592">
        <v>105319689</v>
      </c>
      <c r="G592">
        <v>105319689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 s="302"/>
    </row>
    <row r="593" spans="1:15" x14ac:dyDescent="0.2">
      <c r="A593" s="302"/>
      <c r="B593" s="887"/>
      <c r="C593" s="839"/>
      <c r="D593" s="839"/>
      <c r="E593" s="713" t="s">
        <v>1557</v>
      </c>
      <c r="F593">
        <v>271821699</v>
      </c>
      <c r="G593">
        <v>271821699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 s="302"/>
    </row>
    <row r="594" spans="1:15" x14ac:dyDescent="0.2">
      <c r="A594" s="302"/>
      <c r="B594" s="887"/>
      <c r="C594" s="839"/>
      <c r="D594" s="839"/>
      <c r="E594" s="713" t="s">
        <v>2676</v>
      </c>
      <c r="F594">
        <v>3044403</v>
      </c>
      <c r="G594">
        <v>3044403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 s="302"/>
    </row>
    <row r="595" spans="1:15" x14ac:dyDescent="0.2">
      <c r="A595" s="302"/>
      <c r="B595" s="887"/>
      <c r="C595" s="839"/>
      <c r="D595" s="839"/>
      <c r="E595" s="713" t="s">
        <v>1221</v>
      </c>
      <c r="F595">
        <v>11584872</v>
      </c>
      <c r="G595">
        <v>11584872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 s="302"/>
    </row>
    <row r="596" spans="1:15" ht="25.5" x14ac:dyDescent="0.2">
      <c r="A596" s="302"/>
      <c r="B596" s="887"/>
      <c r="C596" s="713" t="s">
        <v>1919</v>
      </c>
      <c r="D596" s="713" t="s">
        <v>1076</v>
      </c>
      <c r="E596" s="713" t="s">
        <v>26</v>
      </c>
      <c r="F596">
        <v>362558193</v>
      </c>
      <c r="G596">
        <v>362558193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 s="302"/>
    </row>
    <row r="597" spans="1:15" x14ac:dyDescent="0.2">
      <c r="A597" s="302"/>
      <c r="B597" s="887"/>
      <c r="C597" s="838" t="s">
        <v>1920</v>
      </c>
      <c r="D597" s="838" t="s">
        <v>996</v>
      </c>
      <c r="E597" s="713" t="s">
        <v>26</v>
      </c>
      <c r="F597">
        <v>327872200</v>
      </c>
      <c r="G597">
        <v>327872200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 s="302"/>
    </row>
    <row r="598" spans="1:15" x14ac:dyDescent="0.2">
      <c r="A598" s="302"/>
      <c r="B598" s="887"/>
      <c r="C598" s="839"/>
      <c r="D598" s="839"/>
      <c r="E598" s="713" t="s">
        <v>3212</v>
      </c>
      <c r="F598">
        <v>1394027</v>
      </c>
      <c r="G598">
        <v>1394027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 s="302"/>
    </row>
    <row r="599" spans="1:15" x14ac:dyDescent="0.2">
      <c r="A599" s="302"/>
      <c r="B599" s="887"/>
      <c r="C599" s="838" t="s">
        <v>1921</v>
      </c>
      <c r="D599" s="838" t="s">
        <v>1747</v>
      </c>
      <c r="E599" s="713" t="s">
        <v>26</v>
      </c>
      <c r="F599">
        <v>90058683</v>
      </c>
      <c r="G599">
        <v>90058683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 s="302"/>
    </row>
    <row r="600" spans="1:15" x14ac:dyDescent="0.2">
      <c r="A600" s="302"/>
      <c r="B600" s="887"/>
      <c r="C600" s="839"/>
      <c r="D600" s="839"/>
      <c r="E600" s="713" t="s">
        <v>1557</v>
      </c>
      <c r="F600">
        <v>204350517</v>
      </c>
      <c r="G600">
        <v>204350517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 s="302"/>
    </row>
    <row r="601" spans="1:15" x14ac:dyDescent="0.2">
      <c r="A601" s="302"/>
      <c r="B601" s="887"/>
      <c r="C601" s="839"/>
      <c r="D601" s="839"/>
      <c r="E601" s="713" t="s">
        <v>3212</v>
      </c>
      <c r="F601">
        <v>626997</v>
      </c>
      <c r="G601">
        <v>0</v>
      </c>
      <c r="H601">
        <v>626997</v>
      </c>
      <c r="I601">
        <v>0</v>
      </c>
      <c r="J601">
        <v>626997</v>
      </c>
      <c r="K601">
        <v>0</v>
      </c>
      <c r="L601">
        <v>626997</v>
      </c>
      <c r="M601">
        <v>0</v>
      </c>
      <c r="N601">
        <v>0</v>
      </c>
      <c r="O601" s="302"/>
    </row>
    <row r="602" spans="1:15" x14ac:dyDescent="0.2">
      <c r="A602" s="302"/>
      <c r="B602" s="887"/>
      <c r="C602" s="839"/>
      <c r="D602" s="839"/>
      <c r="E602" s="713" t="s">
        <v>2676</v>
      </c>
      <c r="F602">
        <v>9880444</v>
      </c>
      <c r="G602">
        <v>9880444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 s="302"/>
    </row>
    <row r="603" spans="1:15" x14ac:dyDescent="0.2">
      <c r="A603" s="302"/>
      <c r="B603" s="887"/>
      <c r="C603" s="838" t="s">
        <v>1922</v>
      </c>
      <c r="D603" s="838" t="s">
        <v>1074</v>
      </c>
      <c r="E603" s="713" t="s">
        <v>22</v>
      </c>
      <c r="F603">
        <v>77701739</v>
      </c>
      <c r="G603">
        <v>77701739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 s="302"/>
    </row>
    <row r="604" spans="1:15" x14ac:dyDescent="0.2">
      <c r="A604" s="302"/>
      <c r="B604" s="887"/>
      <c r="C604" s="839"/>
      <c r="D604" s="839"/>
      <c r="E604" s="713" t="s">
        <v>26</v>
      </c>
      <c r="F604">
        <v>167428970</v>
      </c>
      <c r="G604">
        <v>167428970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 s="302"/>
    </row>
    <row r="605" spans="1:15" x14ac:dyDescent="0.2">
      <c r="A605" s="302"/>
      <c r="B605" s="887"/>
      <c r="C605" s="839"/>
      <c r="D605" s="839"/>
      <c r="E605" s="713" t="s">
        <v>1557</v>
      </c>
      <c r="F605">
        <v>184000930</v>
      </c>
      <c r="G605">
        <v>184000930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 s="302"/>
    </row>
    <row r="606" spans="1:15" x14ac:dyDescent="0.2">
      <c r="A606" s="302"/>
      <c r="B606" s="887"/>
      <c r="C606" s="839"/>
      <c r="D606" s="839"/>
      <c r="E606" s="713" t="s">
        <v>822</v>
      </c>
      <c r="F606">
        <v>612800</v>
      </c>
      <c r="G606">
        <v>612800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 s="302"/>
    </row>
    <row r="607" spans="1:15" x14ac:dyDescent="0.2">
      <c r="A607" s="302"/>
      <c r="B607" s="887"/>
      <c r="C607" s="838" t="s">
        <v>1923</v>
      </c>
      <c r="D607" s="838" t="s">
        <v>1004</v>
      </c>
      <c r="E607" s="713" t="s">
        <v>26</v>
      </c>
      <c r="F607">
        <v>108843710</v>
      </c>
      <c r="G607">
        <v>108843710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 s="302"/>
    </row>
    <row r="608" spans="1:15" x14ac:dyDescent="0.2">
      <c r="A608" s="302"/>
      <c r="B608" s="887"/>
      <c r="C608" s="839"/>
      <c r="D608" s="839"/>
      <c r="E608" s="713" t="s">
        <v>1557</v>
      </c>
      <c r="F608">
        <v>241894634</v>
      </c>
      <c r="G608">
        <v>241894634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 s="302"/>
    </row>
    <row r="609" spans="1:15" x14ac:dyDescent="0.2">
      <c r="A609" s="302"/>
      <c r="B609" s="887"/>
      <c r="C609" s="839"/>
      <c r="D609" s="839"/>
      <c r="E609" s="713" t="s">
        <v>3212</v>
      </c>
      <c r="F609">
        <v>1258696</v>
      </c>
      <c r="G609">
        <v>1258696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 s="302"/>
    </row>
    <row r="610" spans="1:15" x14ac:dyDescent="0.2">
      <c r="A610" s="302"/>
      <c r="B610" s="887"/>
      <c r="C610" s="838" t="s">
        <v>1924</v>
      </c>
      <c r="D610" s="838" t="s">
        <v>1304</v>
      </c>
      <c r="E610" s="713" t="s">
        <v>26</v>
      </c>
      <c r="F610">
        <v>165010000</v>
      </c>
      <c r="G610">
        <v>165010000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 s="302"/>
    </row>
    <row r="611" spans="1:15" x14ac:dyDescent="0.2">
      <c r="A611" s="302"/>
      <c r="B611" s="887"/>
      <c r="C611" s="839"/>
      <c r="D611" s="839"/>
      <c r="E611" s="713" t="s">
        <v>1557</v>
      </c>
      <c r="F611">
        <v>220000000</v>
      </c>
      <c r="G611">
        <v>220000000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 s="302"/>
    </row>
    <row r="612" spans="1:15" x14ac:dyDescent="0.2">
      <c r="A612" s="302"/>
      <c r="B612" s="887"/>
      <c r="C612" s="839"/>
      <c r="D612" s="839"/>
      <c r="E612" s="713" t="s">
        <v>3212</v>
      </c>
      <c r="F612">
        <v>63821</v>
      </c>
      <c r="G612">
        <v>63821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 s="302"/>
    </row>
    <row r="613" spans="1:15" x14ac:dyDescent="0.2">
      <c r="A613" s="302"/>
      <c r="B613" s="887"/>
      <c r="C613" s="839"/>
      <c r="D613" s="839"/>
      <c r="E613" s="713" t="s">
        <v>195</v>
      </c>
      <c r="F613">
        <v>186420</v>
      </c>
      <c r="G613">
        <v>186420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 s="302"/>
    </row>
    <row r="614" spans="1:15" x14ac:dyDescent="0.2">
      <c r="A614" s="302"/>
      <c r="B614" s="887"/>
      <c r="C614" s="839"/>
      <c r="D614" s="839"/>
      <c r="E614" s="713" t="s">
        <v>2676</v>
      </c>
      <c r="F614">
        <v>2698667</v>
      </c>
      <c r="G614">
        <v>2698667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 s="302"/>
    </row>
    <row r="615" spans="1:15" x14ac:dyDescent="0.2">
      <c r="A615" s="302"/>
      <c r="B615" s="887"/>
      <c r="C615" s="838" t="s">
        <v>1925</v>
      </c>
      <c r="D615" s="838" t="s">
        <v>1711</v>
      </c>
      <c r="E615" s="713" t="s">
        <v>26</v>
      </c>
      <c r="F615">
        <v>88782374</v>
      </c>
      <c r="G615">
        <v>88782374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 s="302"/>
    </row>
    <row r="616" spans="1:15" x14ac:dyDescent="0.2">
      <c r="A616" s="302"/>
      <c r="B616" s="887"/>
      <c r="C616" s="839"/>
      <c r="D616" s="839"/>
      <c r="E616" s="713" t="s">
        <v>1557</v>
      </c>
      <c r="F616">
        <v>206289414</v>
      </c>
      <c r="G616">
        <v>206289414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 s="302"/>
    </row>
    <row r="617" spans="1:15" x14ac:dyDescent="0.2">
      <c r="A617" s="302"/>
      <c r="B617" s="887"/>
      <c r="C617" s="839"/>
      <c r="D617" s="839"/>
      <c r="E617" s="713" t="s">
        <v>3212</v>
      </c>
      <c r="F617">
        <v>1031045</v>
      </c>
      <c r="G617">
        <v>1031045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 s="302"/>
    </row>
    <row r="618" spans="1:15" x14ac:dyDescent="0.2">
      <c r="A618" s="302"/>
      <c r="B618" s="887"/>
      <c r="C618" s="838" t="s">
        <v>4276</v>
      </c>
      <c r="D618" s="838" t="s">
        <v>4277</v>
      </c>
      <c r="E618" s="713" t="s">
        <v>22</v>
      </c>
      <c r="F618">
        <v>80698355</v>
      </c>
      <c r="G618">
        <v>80698355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 s="302"/>
    </row>
    <row r="619" spans="1:15" x14ac:dyDescent="0.2">
      <c r="A619" s="302"/>
      <c r="B619" s="887"/>
      <c r="C619" s="839"/>
      <c r="D619" s="839"/>
      <c r="E619" s="713" t="s">
        <v>26</v>
      </c>
      <c r="F619">
        <v>415680000</v>
      </c>
      <c r="G619">
        <v>415680000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 s="302"/>
    </row>
    <row r="620" spans="1:15" x14ac:dyDescent="0.2">
      <c r="A620" s="302"/>
      <c r="B620" s="887"/>
      <c r="C620" s="838" t="s">
        <v>1926</v>
      </c>
      <c r="D620" s="838" t="s">
        <v>1653</v>
      </c>
      <c r="E620" s="713" t="s">
        <v>26</v>
      </c>
      <c r="F620">
        <v>105331661</v>
      </c>
      <c r="G620">
        <v>105331661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 s="302"/>
    </row>
    <row r="621" spans="1:15" x14ac:dyDescent="0.2">
      <c r="A621" s="302"/>
      <c r="B621" s="887"/>
      <c r="C621" s="839"/>
      <c r="D621" s="839"/>
      <c r="E621" s="713" t="s">
        <v>1557</v>
      </c>
      <c r="F621">
        <v>236990339</v>
      </c>
      <c r="G621">
        <v>236990339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 s="302"/>
    </row>
    <row r="622" spans="1:15" x14ac:dyDescent="0.2">
      <c r="A622" s="302"/>
      <c r="B622" s="887"/>
      <c r="C622" s="839"/>
      <c r="D622" s="839"/>
      <c r="E622" s="713" t="s">
        <v>1221</v>
      </c>
      <c r="F622">
        <v>1931850</v>
      </c>
      <c r="G622">
        <v>1931850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 s="302"/>
    </row>
    <row r="623" spans="1:15" x14ac:dyDescent="0.2">
      <c r="A623" s="302"/>
      <c r="B623" s="887"/>
      <c r="C623" s="838" t="s">
        <v>1927</v>
      </c>
      <c r="D623" s="838" t="s">
        <v>2952</v>
      </c>
      <c r="E623" s="713" t="s">
        <v>26</v>
      </c>
      <c r="F623">
        <v>340548519</v>
      </c>
      <c r="G623">
        <v>340548519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 s="302"/>
    </row>
    <row r="624" spans="1:15" x14ac:dyDescent="0.2">
      <c r="A624" s="302"/>
      <c r="B624" s="887"/>
      <c r="C624" s="839"/>
      <c r="D624" s="839"/>
      <c r="E624" s="713" t="s">
        <v>3212</v>
      </c>
      <c r="F624">
        <v>56153</v>
      </c>
      <c r="G624">
        <v>56153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 s="302"/>
    </row>
    <row r="625" spans="1:15" x14ac:dyDescent="0.2">
      <c r="A625" s="302"/>
      <c r="B625" s="887"/>
      <c r="C625" s="838" t="s">
        <v>1928</v>
      </c>
      <c r="D625" s="838" t="s">
        <v>2608</v>
      </c>
      <c r="E625" s="713" t="s">
        <v>26</v>
      </c>
      <c r="F625">
        <v>152900000</v>
      </c>
      <c r="G625">
        <v>152900000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 s="302"/>
    </row>
    <row r="626" spans="1:15" x14ac:dyDescent="0.2">
      <c r="A626" s="302"/>
      <c r="B626" s="887"/>
      <c r="C626" s="839"/>
      <c r="D626" s="839"/>
      <c r="E626" s="713" t="s">
        <v>1557</v>
      </c>
      <c r="F626">
        <v>142100000</v>
      </c>
      <c r="G626">
        <v>0</v>
      </c>
      <c r="H626">
        <v>142100000</v>
      </c>
      <c r="I626">
        <v>0</v>
      </c>
      <c r="J626">
        <v>142100000</v>
      </c>
      <c r="K626">
        <v>0</v>
      </c>
      <c r="L626">
        <v>0</v>
      </c>
      <c r="M626">
        <v>0</v>
      </c>
      <c r="N626">
        <v>142100000</v>
      </c>
      <c r="O626" s="302"/>
    </row>
    <row r="627" spans="1:15" x14ac:dyDescent="0.2">
      <c r="A627" s="302"/>
      <c r="B627" s="887"/>
      <c r="C627" s="839"/>
      <c r="D627" s="839"/>
      <c r="E627" s="713" t="s">
        <v>3212</v>
      </c>
      <c r="F627">
        <v>563450</v>
      </c>
      <c r="G627">
        <v>0</v>
      </c>
      <c r="H627">
        <v>563450</v>
      </c>
      <c r="I627">
        <v>0</v>
      </c>
      <c r="J627">
        <v>563450</v>
      </c>
      <c r="K627">
        <v>563450</v>
      </c>
      <c r="L627">
        <v>0</v>
      </c>
      <c r="M627">
        <v>0</v>
      </c>
      <c r="N627">
        <v>0</v>
      </c>
      <c r="O627" s="302"/>
    </row>
    <row r="628" spans="1:15" x14ac:dyDescent="0.2">
      <c r="A628" s="302"/>
      <c r="B628" s="887"/>
      <c r="C628" s="839"/>
      <c r="D628" s="839"/>
      <c r="E628" s="713" t="s">
        <v>195</v>
      </c>
      <c r="F628">
        <v>472465</v>
      </c>
      <c r="G628">
        <v>472465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 s="302"/>
    </row>
    <row r="629" spans="1:15" x14ac:dyDescent="0.2">
      <c r="A629" s="302"/>
      <c r="B629" s="887"/>
      <c r="C629" s="839"/>
      <c r="D629" s="839"/>
      <c r="E629" s="713" t="s">
        <v>2676</v>
      </c>
      <c r="F629">
        <v>3469200</v>
      </c>
      <c r="G629">
        <v>3469200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 s="302"/>
    </row>
    <row r="630" spans="1:15" x14ac:dyDescent="0.2">
      <c r="A630" s="302"/>
      <c r="B630" s="887"/>
      <c r="C630" s="838" t="s">
        <v>1929</v>
      </c>
      <c r="D630" s="838" t="s">
        <v>1655</v>
      </c>
      <c r="E630" s="713" t="s">
        <v>26</v>
      </c>
      <c r="F630">
        <v>215354936</v>
      </c>
      <c r="G630">
        <v>215354936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 s="302"/>
    </row>
    <row r="631" spans="1:15" x14ac:dyDescent="0.2">
      <c r="A631" s="302"/>
      <c r="B631" s="887"/>
      <c r="C631" s="839"/>
      <c r="D631" s="839"/>
      <c r="E631" s="713" t="s">
        <v>1557</v>
      </c>
      <c r="F631">
        <v>120000000</v>
      </c>
      <c r="G631">
        <v>120000000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 s="302"/>
    </row>
    <row r="632" spans="1:15" x14ac:dyDescent="0.2">
      <c r="A632" s="302"/>
      <c r="B632" s="887"/>
      <c r="C632" s="839"/>
      <c r="D632" s="839"/>
      <c r="E632" s="713" t="s">
        <v>3212</v>
      </c>
      <c r="F632">
        <v>1301017</v>
      </c>
      <c r="G632">
        <v>1301017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 s="302"/>
    </row>
    <row r="633" spans="1:15" x14ac:dyDescent="0.2">
      <c r="A633" s="302"/>
      <c r="B633" s="887"/>
      <c r="C633" s="838" t="s">
        <v>2611</v>
      </c>
      <c r="D633" s="838" t="s">
        <v>2608</v>
      </c>
      <c r="E633" s="713" t="s">
        <v>26</v>
      </c>
      <c r="F633">
        <v>101498650</v>
      </c>
      <c r="G633">
        <v>101498650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 s="302"/>
    </row>
    <row r="634" spans="1:15" x14ac:dyDescent="0.2">
      <c r="A634" s="302"/>
      <c r="B634" s="887"/>
      <c r="C634" s="839"/>
      <c r="D634" s="839"/>
      <c r="E634" s="713" t="s">
        <v>1557</v>
      </c>
      <c r="F634">
        <v>281672420</v>
      </c>
      <c r="G634">
        <v>281672420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 s="302"/>
    </row>
    <row r="635" spans="1:15" x14ac:dyDescent="0.2">
      <c r="A635" s="302"/>
      <c r="B635" s="887"/>
      <c r="C635" s="839"/>
      <c r="D635" s="839"/>
      <c r="E635" s="713" t="s">
        <v>3212</v>
      </c>
      <c r="F635">
        <v>1298367</v>
      </c>
      <c r="G635">
        <v>0</v>
      </c>
      <c r="H635">
        <v>1298367</v>
      </c>
      <c r="I635">
        <v>0</v>
      </c>
      <c r="J635">
        <v>1298367</v>
      </c>
      <c r="K635">
        <v>0</v>
      </c>
      <c r="L635">
        <v>0</v>
      </c>
      <c r="M635">
        <v>0</v>
      </c>
      <c r="N635">
        <v>1298367</v>
      </c>
      <c r="O635" s="302"/>
    </row>
    <row r="636" spans="1:15" x14ac:dyDescent="0.2">
      <c r="A636" s="302"/>
      <c r="B636" s="887"/>
      <c r="C636" s="839"/>
      <c r="D636" s="839"/>
      <c r="E636" s="713" t="s">
        <v>2676</v>
      </c>
      <c r="F636">
        <v>733867</v>
      </c>
      <c r="G636">
        <v>0</v>
      </c>
      <c r="H636">
        <v>733867</v>
      </c>
      <c r="I636">
        <v>0</v>
      </c>
      <c r="J636">
        <v>733867</v>
      </c>
      <c r="K636">
        <v>0</v>
      </c>
      <c r="L636">
        <v>733867</v>
      </c>
      <c r="M636">
        <v>0</v>
      </c>
      <c r="N636">
        <v>0</v>
      </c>
      <c r="O636" s="302"/>
    </row>
    <row r="637" spans="1:15" x14ac:dyDescent="0.2">
      <c r="A637" s="302"/>
      <c r="B637" s="887"/>
      <c r="C637" s="839"/>
      <c r="D637" s="839"/>
      <c r="E637" s="713" t="s">
        <v>1221</v>
      </c>
      <c r="F637">
        <v>1931850</v>
      </c>
      <c r="G637">
        <v>1931850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 s="302"/>
    </row>
    <row r="638" spans="1:15" x14ac:dyDescent="0.2">
      <c r="A638" s="302"/>
      <c r="B638" s="887"/>
      <c r="C638" s="838" t="s">
        <v>1930</v>
      </c>
      <c r="D638" s="838" t="s">
        <v>1654</v>
      </c>
      <c r="E638" s="713" t="s">
        <v>26</v>
      </c>
      <c r="F638">
        <v>103884145</v>
      </c>
      <c r="G638">
        <v>103884145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 s="302"/>
    </row>
    <row r="639" spans="1:15" x14ac:dyDescent="0.2">
      <c r="A639" s="302"/>
      <c r="B639" s="887"/>
      <c r="C639" s="839"/>
      <c r="D639" s="839"/>
      <c r="E639" s="713" t="s">
        <v>1557</v>
      </c>
      <c r="F639">
        <v>242383255</v>
      </c>
      <c r="G639">
        <v>242383255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 s="302"/>
    </row>
    <row r="640" spans="1:15" x14ac:dyDescent="0.2">
      <c r="A640" s="302"/>
      <c r="B640" s="887"/>
      <c r="C640" s="839"/>
      <c r="D640" s="839"/>
      <c r="E640" s="713" t="s">
        <v>822</v>
      </c>
      <c r="F640">
        <v>513000</v>
      </c>
      <c r="G640">
        <v>513000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 s="302"/>
    </row>
    <row r="641" spans="1:15" x14ac:dyDescent="0.2">
      <c r="A641" s="302"/>
      <c r="B641" s="887"/>
      <c r="C641" s="839"/>
      <c r="D641" s="839"/>
      <c r="E641" s="713" t="s">
        <v>1221</v>
      </c>
      <c r="F641">
        <v>12975565</v>
      </c>
      <c r="G641">
        <v>12975565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 s="302"/>
    </row>
    <row r="642" spans="1:15" x14ac:dyDescent="0.2">
      <c r="A642" s="302"/>
      <c r="B642" s="887"/>
      <c r="C642" s="838" t="s">
        <v>1931</v>
      </c>
      <c r="D642" s="838" t="s">
        <v>3260</v>
      </c>
      <c r="E642" s="713" t="s">
        <v>26</v>
      </c>
      <c r="F642">
        <v>88500000</v>
      </c>
      <c r="G642">
        <v>88500000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 s="302"/>
    </row>
    <row r="643" spans="1:15" x14ac:dyDescent="0.2">
      <c r="A643" s="302"/>
      <c r="B643" s="887"/>
      <c r="C643" s="839"/>
      <c r="D643" s="839"/>
      <c r="E643" s="713" t="s">
        <v>1557</v>
      </c>
      <c r="F643">
        <v>206500000</v>
      </c>
      <c r="G643">
        <v>0</v>
      </c>
      <c r="H643">
        <v>206500000</v>
      </c>
      <c r="I643">
        <v>0</v>
      </c>
      <c r="J643">
        <v>206500000</v>
      </c>
      <c r="K643">
        <v>0</v>
      </c>
      <c r="L643">
        <v>0</v>
      </c>
      <c r="M643">
        <v>0</v>
      </c>
      <c r="N643">
        <v>206500000</v>
      </c>
      <c r="O643" s="302"/>
    </row>
    <row r="644" spans="1:15" x14ac:dyDescent="0.2">
      <c r="A644" s="302"/>
      <c r="B644" s="887"/>
      <c r="C644" s="839"/>
      <c r="D644" s="839"/>
      <c r="E644" s="713" t="s">
        <v>3212</v>
      </c>
      <c r="F644">
        <v>707490</v>
      </c>
      <c r="G644">
        <v>0</v>
      </c>
      <c r="H644">
        <v>707490</v>
      </c>
      <c r="I644">
        <v>0</v>
      </c>
      <c r="J644">
        <v>707490</v>
      </c>
      <c r="K644">
        <v>0</v>
      </c>
      <c r="L644">
        <v>707490</v>
      </c>
      <c r="M644">
        <v>0</v>
      </c>
      <c r="N644">
        <v>0</v>
      </c>
      <c r="O644" s="302"/>
    </row>
    <row r="645" spans="1:15" x14ac:dyDescent="0.2">
      <c r="A645" s="302"/>
      <c r="B645" s="887"/>
      <c r="C645" s="839"/>
      <c r="D645" s="839"/>
      <c r="E645" s="713" t="s">
        <v>195</v>
      </c>
      <c r="F645">
        <v>1162175</v>
      </c>
      <c r="G645">
        <v>1162175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 s="302"/>
    </row>
    <row r="646" spans="1:15" x14ac:dyDescent="0.2">
      <c r="A646" s="302"/>
      <c r="B646" s="887"/>
      <c r="C646" s="839"/>
      <c r="D646" s="839"/>
      <c r="E646" s="713" t="s">
        <v>2676</v>
      </c>
      <c r="F646">
        <v>3469200</v>
      </c>
      <c r="G646">
        <v>3469200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 s="302"/>
    </row>
    <row r="647" spans="1:15" x14ac:dyDescent="0.2">
      <c r="A647" s="302"/>
      <c r="B647" s="887"/>
      <c r="C647" s="838" t="s">
        <v>1932</v>
      </c>
      <c r="D647" s="838" t="s">
        <v>1656</v>
      </c>
      <c r="E647" s="713" t="s">
        <v>26</v>
      </c>
      <c r="F647">
        <v>162169704</v>
      </c>
      <c r="G647">
        <v>162169704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 s="302"/>
    </row>
    <row r="648" spans="1:15" x14ac:dyDescent="0.2">
      <c r="A648" s="302"/>
      <c r="B648" s="887"/>
      <c r="C648" s="839"/>
      <c r="D648" s="839"/>
      <c r="E648" s="713" t="s">
        <v>1557</v>
      </c>
      <c r="F648">
        <v>181000000</v>
      </c>
      <c r="G648">
        <v>181000000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 s="302"/>
    </row>
    <row r="649" spans="1:15" x14ac:dyDescent="0.2">
      <c r="A649" s="302"/>
      <c r="B649" s="887"/>
      <c r="C649" s="839"/>
      <c r="D649" s="839"/>
      <c r="E649" s="713" t="s">
        <v>822</v>
      </c>
      <c r="F649">
        <v>492197</v>
      </c>
      <c r="G649">
        <v>492197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 s="302"/>
    </row>
    <row r="650" spans="1:15" x14ac:dyDescent="0.2">
      <c r="A650" s="302"/>
      <c r="B650" s="887"/>
      <c r="C650" s="839"/>
      <c r="D650" s="839"/>
      <c r="E650" s="713" t="s">
        <v>2676</v>
      </c>
      <c r="F650">
        <v>241333</v>
      </c>
      <c r="G650">
        <v>241333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 s="302"/>
    </row>
    <row r="651" spans="1:15" x14ac:dyDescent="0.2">
      <c r="A651" s="302"/>
      <c r="B651" s="887"/>
      <c r="C651" s="838" t="s">
        <v>1933</v>
      </c>
      <c r="D651" s="838" t="s">
        <v>3261</v>
      </c>
      <c r="E651" s="713" t="s">
        <v>26</v>
      </c>
      <c r="F651">
        <v>313538386</v>
      </c>
      <c r="G651">
        <v>313538386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 s="302"/>
    </row>
    <row r="652" spans="1:15" x14ac:dyDescent="0.2">
      <c r="A652" s="302"/>
      <c r="B652" s="887"/>
      <c r="C652" s="839"/>
      <c r="D652" s="839"/>
      <c r="E652" s="713" t="s">
        <v>3212</v>
      </c>
      <c r="F652">
        <v>58313</v>
      </c>
      <c r="G652">
        <v>0</v>
      </c>
      <c r="H652">
        <v>58313</v>
      </c>
      <c r="I652">
        <v>0</v>
      </c>
      <c r="J652">
        <v>58313</v>
      </c>
      <c r="K652">
        <v>0</v>
      </c>
      <c r="L652">
        <v>0</v>
      </c>
      <c r="M652">
        <v>0</v>
      </c>
      <c r="N652">
        <v>58313</v>
      </c>
      <c r="O652" s="302"/>
    </row>
    <row r="653" spans="1:15" x14ac:dyDescent="0.2">
      <c r="A653" s="302"/>
      <c r="B653" s="887"/>
      <c r="C653" s="838" t="s">
        <v>1934</v>
      </c>
      <c r="D653" s="838" t="s">
        <v>1512</v>
      </c>
      <c r="E653" s="713" t="s">
        <v>26</v>
      </c>
      <c r="F653">
        <v>342710032</v>
      </c>
      <c r="G653">
        <v>342710032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 s="302"/>
    </row>
    <row r="654" spans="1:15" x14ac:dyDescent="0.2">
      <c r="A654" s="302"/>
      <c r="B654" s="887"/>
      <c r="C654" s="839"/>
      <c r="D654" s="839"/>
      <c r="E654" s="713" t="s">
        <v>3212</v>
      </c>
      <c r="F654">
        <v>90327</v>
      </c>
      <c r="G654">
        <v>90327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 s="302"/>
    </row>
    <row r="655" spans="1:15" x14ac:dyDescent="0.2">
      <c r="A655" s="302"/>
      <c r="B655" s="887"/>
      <c r="C655" s="839"/>
      <c r="D655" s="839"/>
      <c r="E655" s="713" t="s">
        <v>195</v>
      </c>
      <c r="F655">
        <v>847339</v>
      </c>
      <c r="G655">
        <v>847339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 s="302"/>
    </row>
    <row r="656" spans="1:15" x14ac:dyDescent="0.2">
      <c r="A656" s="302"/>
      <c r="B656" s="887"/>
      <c r="C656" s="838" t="s">
        <v>1935</v>
      </c>
      <c r="D656" s="838" t="s">
        <v>1075</v>
      </c>
      <c r="E656" s="713" t="s">
        <v>26</v>
      </c>
      <c r="F656">
        <v>292955042</v>
      </c>
      <c r="G656">
        <v>292955042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 s="302"/>
    </row>
    <row r="657" spans="1:15" x14ac:dyDescent="0.2">
      <c r="A657" s="302"/>
      <c r="B657" s="887"/>
      <c r="C657" s="839"/>
      <c r="D657" s="839"/>
      <c r="E657" s="713" t="s">
        <v>1221</v>
      </c>
      <c r="F657">
        <v>68406567</v>
      </c>
      <c r="G657">
        <v>68406567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 s="302"/>
    </row>
    <row r="658" spans="1:15" x14ac:dyDescent="0.2">
      <c r="A658" s="302"/>
      <c r="B658" s="887"/>
      <c r="C658" s="838" t="s">
        <v>1936</v>
      </c>
      <c r="D658" s="838" t="s">
        <v>3262</v>
      </c>
      <c r="E658" s="713" t="s">
        <v>26</v>
      </c>
      <c r="F658">
        <v>103733461</v>
      </c>
      <c r="G658">
        <v>103733461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 s="302"/>
    </row>
    <row r="659" spans="1:15" x14ac:dyDescent="0.2">
      <c r="A659" s="302"/>
      <c r="B659" s="887"/>
      <c r="C659" s="839"/>
      <c r="D659" s="839"/>
      <c r="E659" s="713" t="s">
        <v>1557</v>
      </c>
      <c r="F659">
        <v>239349560</v>
      </c>
      <c r="G659">
        <v>239349560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 s="302"/>
    </row>
    <row r="660" spans="1:15" x14ac:dyDescent="0.2">
      <c r="A660" s="302"/>
      <c r="B660" s="887"/>
      <c r="C660" s="838" t="s">
        <v>1937</v>
      </c>
      <c r="D660" s="838" t="s">
        <v>1089</v>
      </c>
      <c r="E660" s="713" t="s">
        <v>26</v>
      </c>
      <c r="F660">
        <v>105791100</v>
      </c>
      <c r="G660">
        <v>105791100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 s="302"/>
    </row>
    <row r="661" spans="1:15" x14ac:dyDescent="0.2">
      <c r="A661" s="302"/>
      <c r="B661" s="887"/>
      <c r="C661" s="839"/>
      <c r="D661" s="839"/>
      <c r="E661" s="713" t="s">
        <v>1557</v>
      </c>
      <c r="F661">
        <v>246845900</v>
      </c>
      <c r="G661">
        <v>246845900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 s="302"/>
    </row>
    <row r="662" spans="1:15" x14ac:dyDescent="0.2">
      <c r="A662" s="302"/>
      <c r="B662" s="887"/>
      <c r="C662" s="839"/>
      <c r="D662" s="839"/>
      <c r="E662" s="713" t="s">
        <v>3212</v>
      </c>
      <c r="F662">
        <v>1253277</v>
      </c>
      <c r="G662">
        <v>1253277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 s="302"/>
    </row>
    <row r="663" spans="1:15" x14ac:dyDescent="0.2">
      <c r="A663" s="302"/>
      <c r="B663" s="887"/>
      <c r="C663" s="839"/>
      <c r="D663" s="839"/>
      <c r="E663" s="713" t="s">
        <v>2676</v>
      </c>
      <c r="F663">
        <v>460779</v>
      </c>
      <c r="G663">
        <v>0</v>
      </c>
      <c r="H663">
        <v>460779</v>
      </c>
      <c r="I663">
        <v>0</v>
      </c>
      <c r="J663">
        <v>460779</v>
      </c>
      <c r="K663">
        <v>0</v>
      </c>
      <c r="L663">
        <v>460779</v>
      </c>
      <c r="M663">
        <v>0</v>
      </c>
      <c r="N663">
        <v>0</v>
      </c>
      <c r="O663" s="302"/>
    </row>
    <row r="664" spans="1:15" x14ac:dyDescent="0.2">
      <c r="A664" s="302"/>
      <c r="B664" s="887"/>
      <c r="C664" s="838" t="s">
        <v>1938</v>
      </c>
      <c r="D664" s="838" t="s">
        <v>1005</v>
      </c>
      <c r="E664" s="713" t="s">
        <v>26</v>
      </c>
      <c r="F664">
        <v>159357780</v>
      </c>
      <c r="G664">
        <v>159357780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 s="302"/>
    </row>
    <row r="665" spans="1:15" x14ac:dyDescent="0.2">
      <c r="A665" s="302"/>
      <c r="B665" s="887"/>
      <c r="C665" s="839"/>
      <c r="D665" s="839"/>
      <c r="E665" s="713" t="s">
        <v>1557</v>
      </c>
      <c r="F665">
        <v>183600000</v>
      </c>
      <c r="G665">
        <v>183600000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 s="302"/>
    </row>
    <row r="666" spans="1:15" x14ac:dyDescent="0.2">
      <c r="A666" s="302"/>
      <c r="B666" s="887"/>
      <c r="C666" s="839"/>
      <c r="D666" s="839"/>
      <c r="E666" s="713" t="s">
        <v>3212</v>
      </c>
      <c r="F666">
        <v>1282607</v>
      </c>
      <c r="G666">
        <v>1282607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 s="302"/>
    </row>
    <row r="667" spans="1:15" x14ac:dyDescent="0.2">
      <c r="A667" s="302"/>
      <c r="B667" s="887"/>
      <c r="C667" s="839"/>
      <c r="D667" s="839"/>
      <c r="E667" s="713" t="s">
        <v>195</v>
      </c>
      <c r="F667">
        <v>1472185</v>
      </c>
      <c r="G667">
        <v>1472185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 s="302"/>
    </row>
    <row r="668" spans="1:15" x14ac:dyDescent="0.2">
      <c r="A668" s="302"/>
      <c r="B668" s="887"/>
      <c r="C668" s="838" t="s">
        <v>1939</v>
      </c>
      <c r="D668" s="838" t="s">
        <v>4438</v>
      </c>
      <c r="E668" s="713" t="s">
        <v>26</v>
      </c>
      <c r="F668">
        <v>94845335</v>
      </c>
      <c r="G668">
        <v>94845335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 s="302"/>
    </row>
    <row r="669" spans="1:15" x14ac:dyDescent="0.2">
      <c r="A669" s="302"/>
      <c r="B669" s="887"/>
      <c r="C669" s="839"/>
      <c r="D669" s="839"/>
      <c r="E669" s="713" t="s">
        <v>1557</v>
      </c>
      <c r="F669">
        <v>200000000</v>
      </c>
      <c r="G669">
        <v>80580000</v>
      </c>
      <c r="H669">
        <v>119420000</v>
      </c>
      <c r="I669">
        <v>0</v>
      </c>
      <c r="J669">
        <v>119420000</v>
      </c>
      <c r="K669">
        <v>0</v>
      </c>
      <c r="L669">
        <v>0</v>
      </c>
      <c r="M669">
        <v>0</v>
      </c>
      <c r="N669">
        <v>119420000</v>
      </c>
      <c r="O669" s="302"/>
    </row>
    <row r="670" spans="1:15" x14ac:dyDescent="0.2">
      <c r="A670" s="302"/>
      <c r="B670" s="887"/>
      <c r="C670" s="839"/>
      <c r="D670" s="839"/>
      <c r="E670" s="713" t="s">
        <v>1221</v>
      </c>
      <c r="F670">
        <v>1512675</v>
      </c>
      <c r="G670">
        <v>1512675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 s="302"/>
    </row>
    <row r="671" spans="1:15" x14ac:dyDescent="0.2">
      <c r="A671" s="302"/>
      <c r="B671" s="887"/>
      <c r="C671" s="838" t="s">
        <v>1940</v>
      </c>
      <c r="D671" s="838" t="s">
        <v>1658</v>
      </c>
      <c r="E671" s="713" t="s">
        <v>26</v>
      </c>
      <c r="F671">
        <v>116346000</v>
      </c>
      <c r="G671">
        <v>116346000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 s="302"/>
    </row>
    <row r="672" spans="1:15" x14ac:dyDescent="0.2">
      <c r="A672" s="302"/>
      <c r="B672" s="887"/>
      <c r="C672" s="839"/>
      <c r="D672" s="839"/>
      <c r="E672" s="713" t="s">
        <v>1557</v>
      </c>
      <c r="F672">
        <v>271266500</v>
      </c>
      <c r="G672">
        <v>271266500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 s="302"/>
    </row>
    <row r="673" spans="1:15" x14ac:dyDescent="0.2">
      <c r="A673" s="302"/>
      <c r="B673" s="887"/>
      <c r="C673" s="839"/>
      <c r="D673" s="839"/>
      <c r="E673" s="713" t="s">
        <v>3212</v>
      </c>
      <c r="F673">
        <v>1305528</v>
      </c>
      <c r="G673">
        <v>0</v>
      </c>
      <c r="H673">
        <v>1305528</v>
      </c>
      <c r="I673">
        <v>0</v>
      </c>
      <c r="J673">
        <v>1305528</v>
      </c>
      <c r="K673">
        <v>0</v>
      </c>
      <c r="L673">
        <v>0</v>
      </c>
      <c r="M673">
        <v>0</v>
      </c>
      <c r="N673">
        <v>1305528</v>
      </c>
      <c r="O673" s="302"/>
    </row>
    <row r="674" spans="1:15" x14ac:dyDescent="0.2">
      <c r="A674" s="302"/>
      <c r="B674" s="887"/>
      <c r="C674" s="838" t="s">
        <v>1941</v>
      </c>
      <c r="D674" s="838" t="s">
        <v>994</v>
      </c>
      <c r="E674" s="713" t="s">
        <v>26</v>
      </c>
      <c r="F674">
        <v>337931017</v>
      </c>
      <c r="G674">
        <v>337931017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 s="302"/>
    </row>
    <row r="675" spans="1:15" x14ac:dyDescent="0.2">
      <c r="A675" s="302"/>
      <c r="B675" s="887"/>
      <c r="C675" s="839"/>
      <c r="D675" s="839"/>
      <c r="E675" s="713" t="s">
        <v>3212</v>
      </c>
      <c r="F675">
        <v>74946</v>
      </c>
      <c r="G675">
        <v>74946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 s="302"/>
    </row>
    <row r="676" spans="1:15" x14ac:dyDescent="0.2">
      <c r="A676" s="302"/>
      <c r="B676" s="887"/>
      <c r="C676" s="839"/>
      <c r="D676" s="839"/>
      <c r="E676" s="713" t="s">
        <v>1221</v>
      </c>
      <c r="F676">
        <v>1931850</v>
      </c>
      <c r="G676">
        <v>1931850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 s="302"/>
    </row>
    <row r="677" spans="1:15" x14ac:dyDescent="0.2">
      <c r="A677" s="302"/>
      <c r="B677" s="887"/>
      <c r="C677" s="838" t="s">
        <v>1942</v>
      </c>
      <c r="D677" s="838" t="s">
        <v>1657</v>
      </c>
      <c r="E677" s="713" t="s">
        <v>26</v>
      </c>
      <c r="F677">
        <v>120262362</v>
      </c>
      <c r="G677">
        <v>120262362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 s="302"/>
    </row>
    <row r="678" spans="1:15" x14ac:dyDescent="0.2">
      <c r="A678" s="302"/>
      <c r="B678" s="887"/>
      <c r="C678" s="839"/>
      <c r="D678" s="839"/>
      <c r="E678" s="713" t="s">
        <v>1557</v>
      </c>
      <c r="F678">
        <v>225386838</v>
      </c>
      <c r="G678">
        <v>225386838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 s="302"/>
    </row>
    <row r="679" spans="1:15" x14ac:dyDescent="0.2">
      <c r="A679" s="302"/>
      <c r="B679" s="887"/>
      <c r="C679" s="839"/>
      <c r="D679" s="839"/>
      <c r="E679" s="713" t="s">
        <v>822</v>
      </c>
      <c r="F679">
        <v>496346</v>
      </c>
      <c r="G679">
        <v>0</v>
      </c>
      <c r="H679">
        <v>496346</v>
      </c>
      <c r="I679">
        <v>0</v>
      </c>
      <c r="J679">
        <v>496346</v>
      </c>
      <c r="K679">
        <v>0</v>
      </c>
      <c r="L679">
        <v>0</v>
      </c>
      <c r="M679">
        <v>0</v>
      </c>
      <c r="N679">
        <v>496346</v>
      </c>
      <c r="O679" s="302"/>
    </row>
    <row r="680" spans="1:15" x14ac:dyDescent="0.2">
      <c r="A680" s="302"/>
      <c r="B680" s="887"/>
      <c r="C680" s="839"/>
      <c r="D680" s="839"/>
      <c r="E680" s="713" t="s">
        <v>2676</v>
      </c>
      <c r="F680">
        <v>781341</v>
      </c>
      <c r="G680">
        <v>0</v>
      </c>
      <c r="H680">
        <v>781341</v>
      </c>
      <c r="I680">
        <v>0</v>
      </c>
      <c r="J680">
        <v>781341</v>
      </c>
      <c r="K680">
        <v>0</v>
      </c>
      <c r="L680">
        <v>0</v>
      </c>
      <c r="M680">
        <v>0</v>
      </c>
      <c r="N680">
        <v>781341</v>
      </c>
      <c r="O680" s="302"/>
    </row>
    <row r="681" spans="1:15" x14ac:dyDescent="0.2">
      <c r="A681" s="302"/>
      <c r="B681" s="887"/>
      <c r="C681" s="839"/>
      <c r="D681" s="839"/>
      <c r="E681" s="713" t="s">
        <v>1221</v>
      </c>
      <c r="F681">
        <v>1931850</v>
      </c>
      <c r="G681">
        <v>1931850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 s="302"/>
    </row>
    <row r="682" spans="1:15" x14ac:dyDescent="0.2">
      <c r="A682" s="302"/>
      <c r="B682" s="887"/>
      <c r="C682" s="838" t="s">
        <v>1943</v>
      </c>
      <c r="D682" s="838" t="s">
        <v>1176</v>
      </c>
      <c r="E682" s="713" t="s">
        <v>26</v>
      </c>
      <c r="F682">
        <v>114767918</v>
      </c>
      <c r="G682">
        <v>114767918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 s="302"/>
    </row>
    <row r="683" spans="1:15" x14ac:dyDescent="0.2">
      <c r="A683" s="302"/>
      <c r="B683" s="887"/>
      <c r="C683" s="839"/>
      <c r="D683" s="839"/>
      <c r="E683" s="713" t="s">
        <v>1557</v>
      </c>
      <c r="F683">
        <v>181081000</v>
      </c>
      <c r="G683">
        <v>181081000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 s="302"/>
    </row>
    <row r="684" spans="1:15" x14ac:dyDescent="0.2">
      <c r="A684" s="302"/>
      <c r="B684" s="887"/>
      <c r="C684" s="839"/>
      <c r="D684" s="839"/>
      <c r="E684" s="713" t="s">
        <v>2676</v>
      </c>
      <c r="F684">
        <v>1062342</v>
      </c>
      <c r="G684">
        <v>1062342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 s="302"/>
    </row>
    <row r="685" spans="1:15" x14ac:dyDescent="0.2">
      <c r="A685" s="302"/>
      <c r="B685" s="887"/>
      <c r="C685" s="838" t="s">
        <v>1944</v>
      </c>
      <c r="D685" s="838" t="s">
        <v>1595</v>
      </c>
      <c r="E685" s="713" t="s">
        <v>26</v>
      </c>
      <c r="F685">
        <v>128433319</v>
      </c>
      <c r="G685">
        <v>128433319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 s="302"/>
    </row>
    <row r="686" spans="1:15" x14ac:dyDescent="0.2">
      <c r="A686" s="302"/>
      <c r="B686" s="887"/>
      <c r="C686" s="839"/>
      <c r="D686" s="839"/>
      <c r="E686" s="713" t="s">
        <v>1557</v>
      </c>
      <c r="F686">
        <v>250516000</v>
      </c>
      <c r="G686">
        <v>250516000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 s="302"/>
    </row>
    <row r="687" spans="1:15" x14ac:dyDescent="0.2">
      <c r="A687" s="302"/>
      <c r="B687" s="887"/>
      <c r="C687" s="839"/>
      <c r="D687" s="839"/>
      <c r="E687" s="713" t="s">
        <v>822</v>
      </c>
      <c r="F687">
        <v>543897</v>
      </c>
      <c r="G687">
        <v>543897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 s="302"/>
    </row>
    <row r="688" spans="1:15" x14ac:dyDescent="0.2">
      <c r="A688" s="302"/>
      <c r="B688" s="887"/>
      <c r="C688" s="839"/>
      <c r="D688" s="839"/>
      <c r="E688" s="713" t="s">
        <v>3212</v>
      </c>
      <c r="F688">
        <v>1358242</v>
      </c>
      <c r="G688">
        <v>1358242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 s="302"/>
    </row>
    <row r="689" spans="1:15" x14ac:dyDescent="0.2">
      <c r="A689" s="302"/>
      <c r="B689" s="887"/>
      <c r="C689" s="839"/>
      <c r="D689" s="839"/>
      <c r="E689" s="713" t="s">
        <v>2676</v>
      </c>
      <c r="F689">
        <v>556868</v>
      </c>
      <c r="G689">
        <v>0</v>
      </c>
      <c r="H689">
        <v>556868</v>
      </c>
      <c r="I689">
        <v>0</v>
      </c>
      <c r="J689">
        <v>556868</v>
      </c>
      <c r="K689">
        <v>0</v>
      </c>
      <c r="L689">
        <v>556868</v>
      </c>
      <c r="M689">
        <v>0</v>
      </c>
      <c r="N689">
        <v>0</v>
      </c>
      <c r="O689" s="302"/>
    </row>
    <row r="690" spans="1:15" x14ac:dyDescent="0.2">
      <c r="A690" s="302"/>
      <c r="B690" s="887"/>
      <c r="C690" s="839"/>
      <c r="D690" s="839"/>
      <c r="E690" s="713" t="s">
        <v>1221</v>
      </c>
      <c r="F690">
        <v>1931850</v>
      </c>
      <c r="G690">
        <v>1931850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 s="302"/>
    </row>
    <row r="691" spans="1:15" x14ac:dyDescent="0.2">
      <c r="A691" s="302"/>
      <c r="B691" s="887"/>
      <c r="C691" s="838" t="s">
        <v>1945</v>
      </c>
      <c r="D691" s="838" t="s">
        <v>1659</v>
      </c>
      <c r="E691" s="713" t="s">
        <v>26</v>
      </c>
      <c r="F691">
        <v>201994795</v>
      </c>
      <c r="G691">
        <v>201994795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 s="302"/>
    </row>
    <row r="692" spans="1:15" x14ac:dyDescent="0.2">
      <c r="A692" s="302"/>
      <c r="B692" s="887"/>
      <c r="C692" s="839"/>
      <c r="D692" s="839"/>
      <c r="E692" s="713" t="s">
        <v>1557</v>
      </c>
      <c r="F692">
        <v>140000000</v>
      </c>
      <c r="G692">
        <v>140000000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 s="302"/>
    </row>
    <row r="693" spans="1:15" x14ac:dyDescent="0.2">
      <c r="A693" s="302"/>
      <c r="B693" s="887"/>
      <c r="C693" s="839"/>
      <c r="D693" s="839"/>
      <c r="E693" s="713" t="s">
        <v>822</v>
      </c>
      <c r="F693">
        <v>543898</v>
      </c>
      <c r="G693">
        <v>0</v>
      </c>
      <c r="H693">
        <v>543898</v>
      </c>
      <c r="I693">
        <v>0</v>
      </c>
      <c r="J693">
        <v>543898</v>
      </c>
      <c r="K693">
        <v>0</v>
      </c>
      <c r="L693">
        <v>0</v>
      </c>
      <c r="M693">
        <v>543898</v>
      </c>
      <c r="N693">
        <v>0</v>
      </c>
      <c r="O693" s="302"/>
    </row>
    <row r="694" spans="1:15" x14ac:dyDescent="0.2">
      <c r="A694" s="302"/>
      <c r="B694" s="887"/>
      <c r="C694" s="839"/>
      <c r="D694" s="839"/>
      <c r="E694" s="713" t="s">
        <v>3212</v>
      </c>
      <c r="F694">
        <v>1318193</v>
      </c>
      <c r="G694">
        <v>1318193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 s="302"/>
    </row>
    <row r="695" spans="1:15" x14ac:dyDescent="0.2">
      <c r="A695" s="302"/>
      <c r="B695" s="887"/>
      <c r="C695" s="838" t="s">
        <v>1946</v>
      </c>
      <c r="D695" s="838" t="s">
        <v>1712</v>
      </c>
      <c r="E695" s="713" t="s">
        <v>26</v>
      </c>
      <c r="F695">
        <v>104240220</v>
      </c>
      <c r="G695">
        <v>104240220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 s="302"/>
    </row>
    <row r="696" spans="1:15" x14ac:dyDescent="0.2">
      <c r="A696" s="302"/>
      <c r="B696" s="887"/>
      <c r="C696" s="839"/>
      <c r="D696" s="839"/>
      <c r="E696" s="713" t="s">
        <v>1557</v>
      </c>
      <c r="F696">
        <v>243227180</v>
      </c>
      <c r="G696">
        <v>243227180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 s="302"/>
    </row>
    <row r="697" spans="1:15" x14ac:dyDescent="0.2">
      <c r="A697" s="302"/>
      <c r="B697" s="887"/>
      <c r="C697" s="839"/>
      <c r="D697" s="839"/>
      <c r="E697" s="713" t="s">
        <v>195</v>
      </c>
      <c r="F697">
        <v>229890</v>
      </c>
      <c r="G697">
        <v>229890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 s="302"/>
    </row>
    <row r="698" spans="1:15" x14ac:dyDescent="0.2">
      <c r="A698" s="302"/>
      <c r="B698" s="887"/>
      <c r="C698" s="839"/>
      <c r="D698" s="839"/>
      <c r="E698" s="713" t="s">
        <v>1221</v>
      </c>
      <c r="F698">
        <v>1931850</v>
      </c>
      <c r="G698">
        <v>1931850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 s="302"/>
    </row>
    <row r="699" spans="1:15" x14ac:dyDescent="0.2">
      <c r="A699" s="302"/>
      <c r="B699" s="887"/>
      <c r="C699" s="838" t="s">
        <v>1947</v>
      </c>
      <c r="D699" s="838" t="s">
        <v>3214</v>
      </c>
      <c r="E699" s="713" t="s">
        <v>22</v>
      </c>
      <c r="F699">
        <v>10080975</v>
      </c>
      <c r="G699">
        <v>10080975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 s="302"/>
    </row>
    <row r="700" spans="1:15" x14ac:dyDescent="0.2">
      <c r="A700" s="302"/>
      <c r="B700" s="887"/>
      <c r="C700" s="839"/>
      <c r="D700" s="839"/>
      <c r="E700" s="713" t="s">
        <v>26</v>
      </c>
      <c r="F700">
        <v>206375704</v>
      </c>
      <c r="G700">
        <v>206375704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 s="302"/>
    </row>
    <row r="701" spans="1:15" x14ac:dyDescent="0.2">
      <c r="A701" s="302"/>
      <c r="B701" s="887"/>
      <c r="C701" s="839"/>
      <c r="D701" s="839"/>
      <c r="E701" s="713" t="s">
        <v>1557</v>
      </c>
      <c r="F701">
        <v>82443333</v>
      </c>
      <c r="G701">
        <v>82443333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 s="302"/>
    </row>
    <row r="702" spans="1:15" x14ac:dyDescent="0.2">
      <c r="A702" s="302"/>
      <c r="B702" s="887"/>
      <c r="C702" s="839"/>
      <c r="D702" s="839"/>
      <c r="E702" s="713" t="s">
        <v>2676</v>
      </c>
      <c r="F702">
        <v>596667</v>
      </c>
      <c r="G702">
        <v>596667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 s="302"/>
    </row>
    <row r="703" spans="1:15" x14ac:dyDescent="0.2">
      <c r="A703" s="302"/>
      <c r="B703" s="887"/>
      <c r="C703" s="838" t="s">
        <v>1948</v>
      </c>
      <c r="D703" s="838" t="s">
        <v>3487</v>
      </c>
      <c r="E703" s="713" t="s">
        <v>26</v>
      </c>
      <c r="F703">
        <v>346246000</v>
      </c>
      <c r="G703">
        <v>346246000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 s="302"/>
    </row>
    <row r="704" spans="1:15" x14ac:dyDescent="0.2">
      <c r="A704" s="302"/>
      <c r="B704" s="887"/>
      <c r="C704" s="839"/>
      <c r="D704" s="839"/>
      <c r="E704" s="713" t="s">
        <v>3212</v>
      </c>
      <c r="F704">
        <v>1815998</v>
      </c>
      <c r="G704">
        <v>1815998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 s="302"/>
    </row>
    <row r="705" spans="1:15" x14ac:dyDescent="0.2">
      <c r="A705" s="302"/>
      <c r="B705" s="887"/>
      <c r="C705" s="839"/>
      <c r="D705" s="839"/>
      <c r="E705" s="713" t="s">
        <v>195</v>
      </c>
      <c r="F705">
        <v>1143324</v>
      </c>
      <c r="G705">
        <v>1143324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 s="302"/>
    </row>
    <row r="706" spans="1:15" x14ac:dyDescent="0.2">
      <c r="A706" s="302"/>
      <c r="B706" s="887"/>
      <c r="C706" s="838" t="s">
        <v>1949</v>
      </c>
      <c r="D706" s="838" t="s">
        <v>3488</v>
      </c>
      <c r="E706" s="713" t="s">
        <v>26</v>
      </c>
      <c r="F706">
        <v>347518220</v>
      </c>
      <c r="G706">
        <v>347518220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 s="302"/>
    </row>
    <row r="707" spans="1:15" x14ac:dyDescent="0.2">
      <c r="A707" s="302"/>
      <c r="B707" s="887"/>
      <c r="C707" s="839"/>
      <c r="D707" s="839"/>
      <c r="E707" s="713" t="s">
        <v>195</v>
      </c>
      <c r="F707">
        <v>255260</v>
      </c>
      <c r="G707">
        <v>255260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 s="302"/>
    </row>
    <row r="708" spans="1:15" x14ac:dyDescent="0.2">
      <c r="A708" s="302"/>
      <c r="B708" s="887"/>
      <c r="C708" s="839"/>
      <c r="D708" s="839"/>
      <c r="E708" s="713" t="s">
        <v>2676</v>
      </c>
      <c r="F708">
        <v>14529623</v>
      </c>
      <c r="G708">
        <v>14529623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 s="302"/>
    </row>
    <row r="709" spans="1:15" x14ac:dyDescent="0.2">
      <c r="A709" s="302"/>
      <c r="B709" s="887"/>
      <c r="C709" s="838" t="s">
        <v>1950</v>
      </c>
      <c r="D709" s="838" t="s">
        <v>1713</v>
      </c>
      <c r="E709" s="713" t="s">
        <v>198</v>
      </c>
      <c r="F709">
        <v>160000000</v>
      </c>
      <c r="G709">
        <v>160000000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 s="302"/>
    </row>
    <row r="710" spans="1:15" x14ac:dyDescent="0.2">
      <c r="A710" s="302"/>
      <c r="B710" s="887"/>
      <c r="C710" s="839"/>
      <c r="D710" s="839"/>
      <c r="E710" s="713" t="s">
        <v>26</v>
      </c>
      <c r="F710">
        <v>149152411</v>
      </c>
      <c r="G710">
        <v>149152411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 s="302"/>
    </row>
    <row r="711" spans="1:15" x14ac:dyDescent="0.2">
      <c r="A711" s="302"/>
      <c r="B711" s="887"/>
      <c r="C711" s="839"/>
      <c r="D711" s="839"/>
      <c r="E711" s="713" t="s">
        <v>195</v>
      </c>
      <c r="F711">
        <v>686871</v>
      </c>
      <c r="G711">
        <v>686871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 s="302"/>
    </row>
    <row r="712" spans="1:15" x14ac:dyDescent="0.2">
      <c r="A712" s="302"/>
      <c r="B712" s="887"/>
      <c r="C712" s="838" t="s">
        <v>1951</v>
      </c>
      <c r="D712" s="838" t="s">
        <v>980</v>
      </c>
      <c r="E712" s="713" t="s">
        <v>26</v>
      </c>
      <c r="F712">
        <v>289870177</v>
      </c>
      <c r="G712">
        <v>119890596</v>
      </c>
      <c r="H712">
        <v>169979581</v>
      </c>
      <c r="I712">
        <v>94529581</v>
      </c>
      <c r="J712">
        <v>75450000</v>
      </c>
      <c r="K712">
        <v>35000000</v>
      </c>
      <c r="L712">
        <v>0</v>
      </c>
      <c r="M712">
        <v>0</v>
      </c>
      <c r="N712">
        <v>40450000</v>
      </c>
      <c r="O712" s="302"/>
    </row>
    <row r="713" spans="1:15" x14ac:dyDescent="0.2">
      <c r="A713" s="302"/>
      <c r="B713" s="887"/>
      <c r="C713" s="839"/>
      <c r="D713" s="839"/>
      <c r="E713" s="713" t="s">
        <v>195</v>
      </c>
      <c r="F713">
        <v>9367935</v>
      </c>
      <c r="G713">
        <v>3268114</v>
      </c>
      <c r="H713">
        <v>6099821</v>
      </c>
      <c r="I713">
        <v>3049913</v>
      </c>
      <c r="J713">
        <v>3049908</v>
      </c>
      <c r="K713">
        <v>1016636</v>
      </c>
      <c r="L713">
        <v>0</v>
      </c>
      <c r="M713">
        <v>0</v>
      </c>
      <c r="N713">
        <v>2033272</v>
      </c>
      <c r="O713" s="302"/>
    </row>
    <row r="714" spans="1:15" x14ac:dyDescent="0.2">
      <c r="A714" s="302"/>
      <c r="B714" s="887"/>
      <c r="C714" s="838" t="s">
        <v>2240</v>
      </c>
      <c r="D714" s="838" t="s">
        <v>2241</v>
      </c>
      <c r="E714" s="713" t="s">
        <v>26</v>
      </c>
      <c r="F714">
        <v>106129690</v>
      </c>
      <c r="G714">
        <v>106129690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 s="302"/>
    </row>
    <row r="715" spans="1:15" x14ac:dyDescent="0.2">
      <c r="A715" s="302"/>
      <c r="B715" s="887"/>
      <c r="C715" s="839"/>
      <c r="D715" s="839"/>
      <c r="E715" s="713" t="s">
        <v>1557</v>
      </c>
      <c r="F715">
        <v>273130480</v>
      </c>
      <c r="G715">
        <v>273130480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 s="302"/>
    </row>
    <row r="716" spans="1:15" x14ac:dyDescent="0.2">
      <c r="A716" s="302"/>
      <c r="B716" s="887"/>
      <c r="C716" s="839"/>
      <c r="D716" s="839"/>
      <c r="E716" s="713" t="s">
        <v>822</v>
      </c>
      <c r="F716">
        <v>558128</v>
      </c>
      <c r="G716">
        <v>558128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 s="302"/>
    </row>
    <row r="717" spans="1:15" x14ac:dyDescent="0.2">
      <c r="A717" s="302"/>
      <c r="B717" s="887"/>
      <c r="C717" s="839"/>
      <c r="D717" s="839"/>
      <c r="E717" s="713" t="s">
        <v>1221</v>
      </c>
      <c r="F717">
        <v>11584872</v>
      </c>
      <c r="G717">
        <v>11584872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 s="302"/>
    </row>
    <row r="718" spans="1:15" x14ac:dyDescent="0.2">
      <c r="A718" s="302"/>
      <c r="B718" s="887"/>
      <c r="C718" s="838" t="s">
        <v>1952</v>
      </c>
      <c r="D718" s="838" t="s">
        <v>1660</v>
      </c>
      <c r="E718" s="713" t="s">
        <v>900</v>
      </c>
      <c r="F718">
        <v>24000000</v>
      </c>
      <c r="G718">
        <v>24000000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 s="302"/>
    </row>
    <row r="719" spans="1:15" x14ac:dyDescent="0.2">
      <c r="A719" s="302"/>
      <c r="B719" s="887"/>
      <c r="C719" s="839"/>
      <c r="D719" s="839"/>
      <c r="E719" s="713" t="s">
        <v>26</v>
      </c>
      <c r="F719">
        <v>201277450</v>
      </c>
      <c r="G719">
        <v>201277450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 s="302"/>
    </row>
    <row r="720" spans="1:15" x14ac:dyDescent="0.2">
      <c r="A720" s="302"/>
      <c r="B720" s="887"/>
      <c r="C720" s="839"/>
      <c r="D720" s="839"/>
      <c r="E720" s="713" t="s">
        <v>1557</v>
      </c>
      <c r="F720">
        <v>111702801</v>
      </c>
      <c r="G720">
        <v>111702801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 s="302"/>
    </row>
    <row r="721" spans="1:15" x14ac:dyDescent="0.2">
      <c r="A721" s="302"/>
      <c r="B721" s="887"/>
      <c r="C721" s="839"/>
      <c r="D721" s="839"/>
      <c r="E721" s="713" t="s">
        <v>2676</v>
      </c>
      <c r="F721">
        <v>1578733</v>
      </c>
      <c r="G721">
        <v>1578733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 s="302"/>
    </row>
    <row r="722" spans="1:15" x14ac:dyDescent="0.2">
      <c r="A722" s="302"/>
      <c r="B722" s="887"/>
      <c r="C722" s="838" t="s">
        <v>1953</v>
      </c>
      <c r="D722" s="838" t="s">
        <v>2242</v>
      </c>
      <c r="E722" s="713" t="s">
        <v>26</v>
      </c>
      <c r="F722">
        <v>104728738</v>
      </c>
      <c r="G722">
        <v>104728738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 s="302"/>
    </row>
    <row r="723" spans="1:15" x14ac:dyDescent="0.2">
      <c r="A723" s="302"/>
      <c r="B723" s="887"/>
      <c r="C723" s="839"/>
      <c r="D723" s="839"/>
      <c r="E723" s="713" t="s">
        <v>1557</v>
      </c>
      <c r="F723">
        <v>244367042</v>
      </c>
      <c r="G723">
        <v>244367042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 s="302"/>
    </row>
    <row r="724" spans="1:15" x14ac:dyDescent="0.2">
      <c r="A724" s="302"/>
      <c r="B724" s="887"/>
      <c r="C724" s="839"/>
      <c r="D724" s="839"/>
      <c r="E724" s="713" t="s">
        <v>2676</v>
      </c>
      <c r="F724">
        <v>2671746</v>
      </c>
      <c r="G724">
        <v>2671746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 s="302"/>
    </row>
    <row r="725" spans="1:15" x14ac:dyDescent="0.2">
      <c r="A725" s="302"/>
      <c r="B725" s="887"/>
      <c r="C725" s="838" t="s">
        <v>1954</v>
      </c>
      <c r="D725" s="838" t="s">
        <v>990</v>
      </c>
      <c r="E725" s="713" t="s">
        <v>22</v>
      </c>
      <c r="F725">
        <v>68406567</v>
      </c>
      <c r="G725">
        <v>68406567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 s="302"/>
    </row>
    <row r="726" spans="1:15" x14ac:dyDescent="0.2">
      <c r="A726" s="302"/>
      <c r="B726" s="887"/>
      <c r="C726" s="839"/>
      <c r="D726" s="839"/>
      <c r="E726" s="713" t="s">
        <v>26</v>
      </c>
      <c r="F726">
        <v>123288120</v>
      </c>
      <c r="G726">
        <v>123288120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 s="302"/>
    </row>
    <row r="727" spans="1:15" x14ac:dyDescent="0.2">
      <c r="A727" s="302"/>
      <c r="B727" s="887"/>
      <c r="C727" s="839"/>
      <c r="D727" s="839"/>
      <c r="E727" s="713" t="s">
        <v>1557</v>
      </c>
      <c r="F727">
        <v>172115403</v>
      </c>
      <c r="G727">
        <v>172115403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 s="302"/>
    </row>
    <row r="728" spans="1:15" x14ac:dyDescent="0.2">
      <c r="A728" s="302"/>
      <c r="B728" s="887"/>
      <c r="C728" s="839"/>
      <c r="D728" s="839"/>
      <c r="E728" s="713" t="s">
        <v>3212</v>
      </c>
      <c r="F728">
        <v>1031648</v>
      </c>
      <c r="G728">
        <v>1031648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 s="302"/>
    </row>
    <row r="729" spans="1:15" x14ac:dyDescent="0.2">
      <c r="A729" s="302"/>
      <c r="B729" s="887"/>
      <c r="C729" s="839"/>
      <c r="D729" s="839"/>
      <c r="E729" s="713" t="s">
        <v>1221</v>
      </c>
      <c r="F729">
        <v>1512675</v>
      </c>
      <c r="G729">
        <v>1512675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 s="302"/>
    </row>
    <row r="730" spans="1:15" x14ac:dyDescent="0.2">
      <c r="A730" s="302"/>
      <c r="B730" s="887"/>
      <c r="C730" s="838" t="s">
        <v>1955</v>
      </c>
      <c r="D730" s="838" t="s">
        <v>1007</v>
      </c>
      <c r="E730" s="713" t="s">
        <v>26</v>
      </c>
      <c r="F730">
        <v>112288439</v>
      </c>
      <c r="G730">
        <v>112288439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 s="302"/>
    </row>
    <row r="731" spans="1:15" x14ac:dyDescent="0.2">
      <c r="A731" s="302"/>
      <c r="B731" s="887"/>
      <c r="C731" s="839"/>
      <c r="D731" s="839"/>
      <c r="E731" s="713" t="s">
        <v>1557</v>
      </c>
      <c r="F731">
        <v>228000000</v>
      </c>
      <c r="G731">
        <v>228000000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 s="302"/>
    </row>
    <row r="732" spans="1:15" x14ac:dyDescent="0.2">
      <c r="A732" s="302"/>
      <c r="B732" s="887"/>
      <c r="C732" s="839"/>
      <c r="D732" s="839"/>
      <c r="E732" s="713" t="s">
        <v>822</v>
      </c>
      <c r="F732">
        <v>485932</v>
      </c>
      <c r="G732">
        <v>0</v>
      </c>
      <c r="H732">
        <v>485932</v>
      </c>
      <c r="I732">
        <v>0</v>
      </c>
      <c r="J732">
        <v>485932</v>
      </c>
      <c r="K732">
        <v>0</v>
      </c>
      <c r="L732">
        <v>0</v>
      </c>
      <c r="M732">
        <v>0</v>
      </c>
      <c r="N732">
        <v>485932</v>
      </c>
      <c r="O732" s="302"/>
    </row>
    <row r="733" spans="1:15" x14ac:dyDescent="0.2">
      <c r="A733" s="302"/>
      <c r="B733" s="887"/>
      <c r="C733" s="839"/>
      <c r="D733" s="839"/>
      <c r="E733" s="713" t="s">
        <v>2676</v>
      </c>
      <c r="F733">
        <v>1155200</v>
      </c>
      <c r="G733">
        <v>0</v>
      </c>
      <c r="H733">
        <v>1155200</v>
      </c>
      <c r="I733">
        <v>0</v>
      </c>
      <c r="J733">
        <v>1155200</v>
      </c>
      <c r="K733">
        <v>0</v>
      </c>
      <c r="L733">
        <v>0</v>
      </c>
      <c r="M733">
        <v>0</v>
      </c>
      <c r="N733">
        <v>1155200</v>
      </c>
      <c r="O733" s="302"/>
    </row>
    <row r="734" spans="1:15" x14ac:dyDescent="0.2">
      <c r="A734" s="302"/>
      <c r="B734" s="887"/>
      <c r="C734" s="838" t="s">
        <v>1956</v>
      </c>
      <c r="D734" s="838" t="s">
        <v>1661</v>
      </c>
      <c r="E734" s="713" t="s">
        <v>26</v>
      </c>
      <c r="F734">
        <v>104566320</v>
      </c>
      <c r="G734">
        <v>104566320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 s="302"/>
    </row>
    <row r="735" spans="1:15" x14ac:dyDescent="0.2">
      <c r="A735" s="302"/>
      <c r="B735" s="887"/>
      <c r="C735" s="839"/>
      <c r="D735" s="839"/>
      <c r="E735" s="713" t="s">
        <v>1557</v>
      </c>
      <c r="F735">
        <v>243988080</v>
      </c>
      <c r="G735">
        <v>243988080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 s="302"/>
    </row>
    <row r="736" spans="1:15" x14ac:dyDescent="0.2">
      <c r="A736" s="302"/>
      <c r="B736" s="887"/>
      <c r="C736" s="838" t="s">
        <v>1957</v>
      </c>
      <c r="D736" s="838" t="s">
        <v>1006</v>
      </c>
      <c r="E736" s="713" t="s">
        <v>26</v>
      </c>
      <c r="F736">
        <v>140363254</v>
      </c>
      <c r="G736">
        <v>140363254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 s="302"/>
    </row>
    <row r="737" spans="1:15" x14ac:dyDescent="0.2">
      <c r="A737" s="302"/>
      <c r="B737" s="887"/>
      <c r="C737" s="839"/>
      <c r="D737" s="839"/>
      <c r="E737" s="713" t="s">
        <v>1557</v>
      </c>
      <c r="F737">
        <v>207500000</v>
      </c>
      <c r="G737">
        <v>207500000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 s="302"/>
    </row>
    <row r="738" spans="1:15" x14ac:dyDescent="0.2">
      <c r="A738" s="302"/>
      <c r="B738" s="887"/>
      <c r="C738" s="839"/>
      <c r="D738" s="839"/>
      <c r="E738" s="713" t="s">
        <v>822</v>
      </c>
      <c r="F738">
        <v>499506</v>
      </c>
      <c r="G738">
        <v>499506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 s="302"/>
    </row>
    <row r="739" spans="1:15" x14ac:dyDescent="0.2">
      <c r="A739" s="302"/>
      <c r="B739" s="887"/>
      <c r="C739" s="839"/>
      <c r="D739" s="839"/>
      <c r="E739" s="713" t="s">
        <v>1221</v>
      </c>
      <c r="F739">
        <v>1931850</v>
      </c>
      <c r="G739">
        <v>1931850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 s="302"/>
    </row>
    <row r="740" spans="1:15" x14ac:dyDescent="0.2">
      <c r="A740" s="302"/>
      <c r="B740" s="887"/>
      <c r="C740" s="838" t="s">
        <v>1958</v>
      </c>
      <c r="D740" s="838" t="s">
        <v>3334</v>
      </c>
      <c r="E740" s="713" t="s">
        <v>26</v>
      </c>
      <c r="F740">
        <v>89306231</v>
      </c>
      <c r="G740">
        <v>89306231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 s="302"/>
    </row>
    <row r="741" spans="1:15" x14ac:dyDescent="0.2">
      <c r="A741" s="302"/>
      <c r="B741" s="887"/>
      <c r="C741" s="839"/>
      <c r="D741" s="839"/>
      <c r="E741" s="713" t="s">
        <v>1557</v>
      </c>
      <c r="F741">
        <v>208381169</v>
      </c>
      <c r="G741">
        <v>0</v>
      </c>
      <c r="H741">
        <v>208381169</v>
      </c>
      <c r="I741">
        <v>0</v>
      </c>
      <c r="J741">
        <v>208381169</v>
      </c>
      <c r="K741">
        <v>0</v>
      </c>
      <c r="L741">
        <v>0</v>
      </c>
      <c r="M741">
        <v>0</v>
      </c>
      <c r="N741">
        <v>208381169</v>
      </c>
      <c r="O741" s="302"/>
    </row>
    <row r="742" spans="1:15" x14ac:dyDescent="0.2">
      <c r="A742" s="302"/>
      <c r="B742" s="887"/>
      <c r="C742" s="839"/>
      <c r="D742" s="839"/>
      <c r="E742" s="713" t="s">
        <v>3212</v>
      </c>
      <c r="F742">
        <v>653732</v>
      </c>
      <c r="G742">
        <v>653732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 s="302"/>
    </row>
    <row r="743" spans="1:15" x14ac:dyDescent="0.2">
      <c r="A743" s="302"/>
      <c r="B743" s="887"/>
      <c r="C743" s="838" t="s">
        <v>2243</v>
      </c>
      <c r="D743" s="838" t="s">
        <v>2244</v>
      </c>
      <c r="E743" s="713" t="s">
        <v>26</v>
      </c>
      <c r="F743">
        <v>375449883</v>
      </c>
      <c r="G743">
        <v>375449883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 s="302"/>
    </row>
    <row r="744" spans="1:15" x14ac:dyDescent="0.2">
      <c r="A744" s="302"/>
      <c r="B744" s="887"/>
      <c r="C744" s="839"/>
      <c r="D744" s="839"/>
      <c r="E744" s="713" t="s">
        <v>1221</v>
      </c>
      <c r="F744">
        <v>11584872</v>
      </c>
      <c r="G744">
        <v>11584872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 s="302"/>
    </row>
    <row r="745" spans="1:15" x14ac:dyDescent="0.2">
      <c r="A745" s="302"/>
      <c r="B745" s="887"/>
      <c r="C745" s="838" t="s">
        <v>1959</v>
      </c>
      <c r="D745" s="838" t="s">
        <v>1663</v>
      </c>
      <c r="E745" s="713" t="s">
        <v>26</v>
      </c>
      <c r="F745">
        <v>104202780</v>
      </c>
      <c r="G745">
        <v>104202780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 s="302"/>
    </row>
    <row r="746" spans="1:15" x14ac:dyDescent="0.2">
      <c r="A746" s="302"/>
      <c r="B746" s="887"/>
      <c r="C746" s="839"/>
      <c r="D746" s="839"/>
      <c r="E746" s="713" t="s">
        <v>1557</v>
      </c>
      <c r="F746">
        <v>243139820</v>
      </c>
      <c r="G746">
        <v>243139820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 s="302"/>
    </row>
    <row r="747" spans="1:15" x14ac:dyDescent="0.2">
      <c r="A747" s="302"/>
      <c r="B747" s="887"/>
      <c r="C747" s="839"/>
      <c r="D747" s="839"/>
      <c r="E747" s="713" t="s">
        <v>3212</v>
      </c>
      <c r="F747">
        <v>1379784</v>
      </c>
      <c r="G747">
        <v>0</v>
      </c>
      <c r="H747">
        <v>1379784</v>
      </c>
      <c r="I747">
        <v>0</v>
      </c>
      <c r="J747">
        <v>1379784</v>
      </c>
      <c r="K747">
        <v>0</v>
      </c>
      <c r="L747">
        <v>0</v>
      </c>
      <c r="M747">
        <v>0</v>
      </c>
      <c r="N747">
        <v>1379784</v>
      </c>
      <c r="O747" s="302"/>
    </row>
    <row r="748" spans="1:15" x14ac:dyDescent="0.2">
      <c r="A748" s="302"/>
      <c r="B748" s="887"/>
      <c r="C748" s="839"/>
      <c r="D748" s="839"/>
      <c r="E748" s="713" t="s">
        <v>195</v>
      </c>
      <c r="F748">
        <v>643100</v>
      </c>
      <c r="G748">
        <v>643100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 s="302"/>
    </row>
    <row r="749" spans="1:15" x14ac:dyDescent="0.2">
      <c r="A749" s="302"/>
      <c r="B749" s="887"/>
      <c r="C749" s="839"/>
      <c r="D749" s="839"/>
      <c r="E749" s="713" t="s">
        <v>2676</v>
      </c>
      <c r="F749">
        <v>1296746</v>
      </c>
      <c r="G749">
        <v>0</v>
      </c>
      <c r="H749">
        <v>1296746</v>
      </c>
      <c r="I749">
        <v>0</v>
      </c>
      <c r="J749">
        <v>1296746</v>
      </c>
      <c r="K749">
        <v>0</v>
      </c>
      <c r="L749">
        <v>1296746</v>
      </c>
      <c r="M749">
        <v>0</v>
      </c>
      <c r="N749">
        <v>0</v>
      </c>
      <c r="O749" s="302"/>
    </row>
    <row r="750" spans="1:15" x14ac:dyDescent="0.2">
      <c r="A750" s="302"/>
      <c r="B750" s="887"/>
      <c r="C750" s="838" t="s">
        <v>1960</v>
      </c>
      <c r="D750" s="838" t="s">
        <v>1662</v>
      </c>
      <c r="E750" s="713" t="s">
        <v>26</v>
      </c>
      <c r="F750">
        <v>176667400</v>
      </c>
      <c r="G750">
        <v>176667400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 s="302"/>
    </row>
    <row r="751" spans="1:15" x14ac:dyDescent="0.2">
      <c r="A751" s="302"/>
      <c r="B751" s="887"/>
      <c r="C751" s="839"/>
      <c r="D751" s="839"/>
      <c r="E751" s="713" t="s">
        <v>1557</v>
      </c>
      <c r="F751">
        <v>172000000</v>
      </c>
      <c r="G751">
        <v>172000000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 s="302"/>
    </row>
    <row r="752" spans="1:15" x14ac:dyDescent="0.2">
      <c r="A752" s="302"/>
      <c r="B752" s="887"/>
      <c r="C752" s="839"/>
      <c r="D752" s="839"/>
      <c r="E752" s="713" t="s">
        <v>3212</v>
      </c>
      <c r="F752">
        <v>1316035</v>
      </c>
      <c r="G752">
        <v>0</v>
      </c>
      <c r="H752">
        <v>1316035</v>
      </c>
      <c r="I752">
        <v>0</v>
      </c>
      <c r="J752">
        <v>1316035</v>
      </c>
      <c r="K752">
        <v>0</v>
      </c>
      <c r="L752">
        <v>0</v>
      </c>
      <c r="M752">
        <v>0</v>
      </c>
      <c r="N752">
        <v>1316035</v>
      </c>
      <c r="O752" s="302"/>
    </row>
    <row r="753" spans="1:15" ht="25.5" x14ac:dyDescent="0.2">
      <c r="A753" s="302"/>
      <c r="B753" s="887"/>
      <c r="C753" s="713" t="s">
        <v>1961</v>
      </c>
      <c r="D753" s="713" t="s">
        <v>997</v>
      </c>
      <c r="E753" s="713" t="s">
        <v>26</v>
      </c>
      <c r="F753">
        <v>276950688</v>
      </c>
      <c r="G753">
        <v>276950688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 s="302"/>
    </row>
    <row r="754" spans="1:15" x14ac:dyDescent="0.2">
      <c r="A754" s="302"/>
      <c r="B754" s="887"/>
      <c r="C754" s="838" t="s">
        <v>2539</v>
      </c>
      <c r="D754" s="838" t="s">
        <v>2540</v>
      </c>
      <c r="E754" s="713" t="s">
        <v>26</v>
      </c>
      <c r="F754">
        <v>109952160</v>
      </c>
      <c r="G754">
        <v>109952160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 s="302"/>
    </row>
    <row r="755" spans="1:15" x14ac:dyDescent="0.2">
      <c r="A755" s="302"/>
      <c r="B755" s="887"/>
      <c r="C755" s="839"/>
      <c r="D755" s="839"/>
      <c r="E755" s="713" t="s">
        <v>1557</v>
      </c>
      <c r="F755">
        <v>281462540</v>
      </c>
      <c r="G755">
        <v>281462540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 s="302"/>
    </row>
    <row r="756" spans="1:15" x14ac:dyDescent="0.2">
      <c r="A756" s="302"/>
      <c r="B756" s="887"/>
      <c r="C756" s="839"/>
      <c r="D756" s="839"/>
      <c r="E756" s="713" t="s">
        <v>195</v>
      </c>
      <c r="F756">
        <v>3714755</v>
      </c>
      <c r="G756">
        <v>3714755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 s="302"/>
    </row>
    <row r="757" spans="1:15" x14ac:dyDescent="0.2">
      <c r="A757" s="302"/>
      <c r="B757" s="887"/>
      <c r="C757" s="839"/>
      <c r="D757" s="839"/>
      <c r="E757" s="713" t="s">
        <v>1221</v>
      </c>
      <c r="F757">
        <v>11584872</v>
      </c>
      <c r="G757">
        <v>11584872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 s="302"/>
    </row>
    <row r="758" spans="1:15" x14ac:dyDescent="0.2">
      <c r="A758" s="302"/>
      <c r="B758" s="887"/>
      <c r="C758" s="838" t="s">
        <v>1962</v>
      </c>
      <c r="D758" s="838" t="s">
        <v>1305</v>
      </c>
      <c r="E758" s="713" t="s">
        <v>26</v>
      </c>
      <c r="F758">
        <v>117492000</v>
      </c>
      <c r="G758">
        <v>117492000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 s="302"/>
    </row>
    <row r="759" spans="1:15" x14ac:dyDescent="0.2">
      <c r="A759" s="302"/>
      <c r="B759" s="887"/>
      <c r="C759" s="839"/>
      <c r="D759" s="839"/>
      <c r="E759" s="713" t="s">
        <v>1557</v>
      </c>
      <c r="F759">
        <v>271887214</v>
      </c>
      <c r="G759">
        <v>271887214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 s="302"/>
    </row>
    <row r="760" spans="1:15" x14ac:dyDescent="0.2">
      <c r="A760" s="302"/>
      <c r="B760" s="887"/>
      <c r="C760" s="839"/>
      <c r="D760" s="839"/>
      <c r="E760" s="713" t="s">
        <v>822</v>
      </c>
      <c r="F760">
        <v>556294</v>
      </c>
      <c r="G760">
        <v>556294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 s="302"/>
    </row>
    <row r="761" spans="1:15" x14ac:dyDescent="0.2">
      <c r="A761" s="302"/>
      <c r="B761" s="887"/>
      <c r="C761" s="839"/>
      <c r="D761" s="839"/>
      <c r="E761" s="713" t="s">
        <v>3212</v>
      </c>
      <c r="F761">
        <v>1366706</v>
      </c>
      <c r="G761">
        <v>1366706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 s="302"/>
    </row>
    <row r="762" spans="1:15" x14ac:dyDescent="0.2">
      <c r="A762" s="302"/>
      <c r="B762" s="887"/>
      <c r="C762" s="838" t="s">
        <v>1963</v>
      </c>
      <c r="D762" s="838" t="s">
        <v>1665</v>
      </c>
      <c r="E762" s="713" t="s">
        <v>26</v>
      </c>
      <c r="F762">
        <v>123084621</v>
      </c>
      <c r="G762">
        <v>123084621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 s="302"/>
    </row>
    <row r="763" spans="1:15" x14ac:dyDescent="0.2">
      <c r="A763" s="302"/>
      <c r="B763" s="887"/>
      <c r="C763" s="839"/>
      <c r="D763" s="839"/>
      <c r="E763" s="713" t="s">
        <v>1557</v>
      </c>
      <c r="F763">
        <v>200000000</v>
      </c>
      <c r="G763">
        <v>200000000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 s="302"/>
    </row>
    <row r="764" spans="1:15" x14ac:dyDescent="0.2">
      <c r="A764" s="302"/>
      <c r="B764" s="887"/>
      <c r="C764" s="839"/>
      <c r="D764" s="839"/>
      <c r="E764" s="713" t="s">
        <v>822</v>
      </c>
      <c r="F764">
        <v>464124</v>
      </c>
      <c r="G764">
        <v>464124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 s="302"/>
    </row>
    <row r="765" spans="1:15" x14ac:dyDescent="0.2">
      <c r="A765" s="302"/>
      <c r="B765" s="887"/>
      <c r="C765" s="839"/>
      <c r="D765" s="839"/>
      <c r="E765" s="713" t="s">
        <v>1221</v>
      </c>
      <c r="F765">
        <v>1931850</v>
      </c>
      <c r="G765">
        <v>1931850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 s="302"/>
    </row>
    <row r="766" spans="1:15" x14ac:dyDescent="0.2">
      <c r="A766" s="302"/>
      <c r="B766" s="887"/>
      <c r="C766" s="838" t="s">
        <v>1964</v>
      </c>
      <c r="D766" s="838" t="s">
        <v>1664</v>
      </c>
      <c r="E766" s="713" t="s">
        <v>26</v>
      </c>
      <c r="F766">
        <v>92262677</v>
      </c>
      <c r="G766">
        <v>92262677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 s="302"/>
    </row>
    <row r="767" spans="1:15" x14ac:dyDescent="0.2">
      <c r="A767" s="302"/>
      <c r="B767" s="887"/>
      <c r="C767" s="839"/>
      <c r="D767" s="839"/>
      <c r="E767" s="713" t="s">
        <v>1557</v>
      </c>
      <c r="F767">
        <v>207066193</v>
      </c>
      <c r="G767">
        <v>207066193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 s="302"/>
    </row>
    <row r="768" spans="1:15" x14ac:dyDescent="0.2">
      <c r="A768" s="302"/>
      <c r="B768" s="887"/>
      <c r="C768" s="839"/>
      <c r="D768" s="839"/>
      <c r="E768" s="713" t="s">
        <v>822</v>
      </c>
      <c r="F768">
        <v>427442</v>
      </c>
      <c r="G768">
        <v>427442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 s="302"/>
    </row>
    <row r="769" spans="1:15" x14ac:dyDescent="0.2">
      <c r="A769" s="302"/>
      <c r="B769" s="887"/>
      <c r="C769" s="838" t="s">
        <v>4278</v>
      </c>
      <c r="D769" s="838" t="s">
        <v>4279</v>
      </c>
      <c r="E769" s="713" t="s">
        <v>22</v>
      </c>
      <c r="F769">
        <v>15674347</v>
      </c>
      <c r="G769">
        <v>3918587</v>
      </c>
      <c r="H769">
        <v>11755760</v>
      </c>
      <c r="I769">
        <v>3918586</v>
      </c>
      <c r="J769">
        <v>7837174</v>
      </c>
      <c r="K769">
        <v>3918587</v>
      </c>
      <c r="L769">
        <v>3918587</v>
      </c>
      <c r="M769">
        <v>0</v>
      </c>
      <c r="N769">
        <v>0</v>
      </c>
      <c r="O769" s="302"/>
    </row>
    <row r="770" spans="1:15" x14ac:dyDescent="0.2">
      <c r="A770" s="302"/>
      <c r="B770" s="887"/>
      <c r="C770" s="839"/>
      <c r="D770" s="839"/>
      <c r="E770" s="713" t="s">
        <v>26</v>
      </c>
      <c r="F770">
        <v>138980000</v>
      </c>
      <c r="G770">
        <v>37745000</v>
      </c>
      <c r="H770">
        <v>101235000</v>
      </c>
      <c r="I770">
        <v>33745000</v>
      </c>
      <c r="J770">
        <v>67490000</v>
      </c>
      <c r="K770">
        <v>33745000</v>
      </c>
      <c r="L770">
        <v>33745000</v>
      </c>
      <c r="M770">
        <v>0</v>
      </c>
      <c r="N770">
        <v>0</v>
      </c>
      <c r="O770" s="302"/>
    </row>
    <row r="771" spans="1:15" x14ac:dyDescent="0.2">
      <c r="A771" s="302"/>
      <c r="B771" s="887"/>
      <c r="C771" s="839"/>
      <c r="D771" s="839"/>
      <c r="E771" s="713" t="s">
        <v>1557</v>
      </c>
      <c r="F771">
        <v>280000000</v>
      </c>
      <c r="G771">
        <v>0</v>
      </c>
      <c r="H771">
        <v>280000000</v>
      </c>
      <c r="I771">
        <v>280000000</v>
      </c>
      <c r="J771">
        <v>0</v>
      </c>
      <c r="K771">
        <v>0</v>
      </c>
      <c r="L771">
        <v>0</v>
      </c>
      <c r="M771">
        <v>0</v>
      </c>
      <c r="N771">
        <v>0</v>
      </c>
      <c r="O771" s="302"/>
    </row>
    <row r="772" spans="1:15" x14ac:dyDescent="0.2">
      <c r="A772" s="302"/>
      <c r="B772" s="887"/>
      <c r="C772" s="838" t="s">
        <v>1965</v>
      </c>
      <c r="D772" s="838" t="s">
        <v>3335</v>
      </c>
      <c r="E772" s="713" t="s">
        <v>26</v>
      </c>
      <c r="F772">
        <v>345430800</v>
      </c>
      <c r="G772">
        <v>345430800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 s="302"/>
    </row>
    <row r="773" spans="1:15" x14ac:dyDescent="0.2">
      <c r="A773" s="302"/>
      <c r="B773" s="887"/>
      <c r="C773" s="839"/>
      <c r="D773" s="839"/>
      <c r="E773" s="713" t="s">
        <v>3212</v>
      </c>
      <c r="F773">
        <v>1285740</v>
      </c>
      <c r="G773">
        <v>1285740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 s="302"/>
    </row>
    <row r="774" spans="1:15" x14ac:dyDescent="0.2">
      <c r="A774" s="302"/>
      <c r="B774" s="887"/>
      <c r="C774" s="839"/>
      <c r="D774" s="839"/>
      <c r="E774" s="713" t="s">
        <v>195</v>
      </c>
      <c r="F774">
        <v>703914</v>
      </c>
      <c r="G774">
        <v>703914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 s="302"/>
    </row>
    <row r="775" spans="1:15" x14ac:dyDescent="0.2">
      <c r="A775" s="302"/>
      <c r="B775" s="887"/>
      <c r="C775" s="839"/>
      <c r="D775" s="839"/>
      <c r="E775" s="713" t="s">
        <v>2676</v>
      </c>
      <c r="F775">
        <v>4062260</v>
      </c>
      <c r="G775">
        <v>4062260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 s="302"/>
    </row>
    <row r="776" spans="1:15" x14ac:dyDescent="0.2">
      <c r="A776" s="302"/>
      <c r="B776" s="887"/>
      <c r="C776" s="838" t="s">
        <v>1966</v>
      </c>
      <c r="D776" s="838" t="s">
        <v>998</v>
      </c>
      <c r="E776" s="713" t="s">
        <v>22</v>
      </c>
      <c r="F776">
        <v>12975565</v>
      </c>
      <c r="G776">
        <v>12975565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 s="302"/>
    </row>
    <row r="777" spans="1:15" x14ac:dyDescent="0.2">
      <c r="A777" s="302"/>
      <c r="B777" s="887"/>
      <c r="C777" s="839"/>
      <c r="D777" s="839"/>
      <c r="E777" s="713" t="s">
        <v>26</v>
      </c>
      <c r="F777">
        <v>105235680</v>
      </c>
      <c r="G777">
        <v>105235680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 s="302"/>
    </row>
    <row r="778" spans="1:15" x14ac:dyDescent="0.2">
      <c r="A778" s="302"/>
      <c r="B778" s="887"/>
      <c r="C778" s="839"/>
      <c r="D778" s="839"/>
      <c r="E778" s="713" t="s">
        <v>1557</v>
      </c>
      <c r="F778">
        <v>245549920</v>
      </c>
      <c r="G778">
        <v>245549920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 s="302"/>
    </row>
    <row r="779" spans="1:15" x14ac:dyDescent="0.2">
      <c r="A779" s="302"/>
      <c r="B779" s="887"/>
      <c r="C779" s="839"/>
      <c r="D779" s="839"/>
      <c r="E779" s="713" t="s">
        <v>3212</v>
      </c>
      <c r="F779">
        <v>79683</v>
      </c>
      <c r="G779">
        <v>0</v>
      </c>
      <c r="H779">
        <v>79683</v>
      </c>
      <c r="I779">
        <v>0</v>
      </c>
      <c r="J779">
        <v>79683</v>
      </c>
      <c r="K779">
        <v>0</v>
      </c>
      <c r="L779">
        <v>0</v>
      </c>
      <c r="M779">
        <v>0</v>
      </c>
      <c r="N779">
        <v>79683</v>
      </c>
      <c r="O779" s="302"/>
    </row>
    <row r="780" spans="1:15" x14ac:dyDescent="0.2">
      <c r="A780" s="302"/>
      <c r="B780" s="887"/>
      <c r="C780" s="838" t="s">
        <v>1967</v>
      </c>
      <c r="D780" s="838" t="s">
        <v>1714</v>
      </c>
      <c r="E780" s="713" t="s">
        <v>22</v>
      </c>
      <c r="F780">
        <v>10080975</v>
      </c>
      <c r="G780">
        <v>10080975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 s="302"/>
    </row>
    <row r="781" spans="1:15" x14ac:dyDescent="0.2">
      <c r="A781" s="302"/>
      <c r="B781" s="887"/>
      <c r="C781" s="839"/>
      <c r="D781" s="839"/>
      <c r="E781" s="713" t="s">
        <v>26</v>
      </c>
      <c r="F781">
        <v>89876220</v>
      </c>
      <c r="G781">
        <v>89876220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 s="302"/>
    </row>
    <row r="782" spans="1:15" x14ac:dyDescent="0.2">
      <c r="A782" s="302"/>
      <c r="B782" s="887"/>
      <c r="C782" s="839"/>
      <c r="D782" s="839"/>
      <c r="E782" s="713" t="s">
        <v>1557</v>
      </c>
      <c r="F782">
        <v>209711180</v>
      </c>
      <c r="G782">
        <v>209711180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 s="302"/>
    </row>
    <row r="783" spans="1:15" x14ac:dyDescent="0.2">
      <c r="A783" s="302"/>
      <c r="B783" s="887"/>
      <c r="C783" s="839"/>
      <c r="D783" s="839"/>
      <c r="E783" s="713" t="s">
        <v>3212</v>
      </c>
      <c r="F783">
        <v>68142</v>
      </c>
      <c r="G783">
        <v>68142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 s="302"/>
    </row>
    <row r="784" spans="1:15" x14ac:dyDescent="0.2">
      <c r="A784" s="302"/>
      <c r="B784" s="887"/>
      <c r="C784" s="838" t="s">
        <v>1968</v>
      </c>
      <c r="D784" s="838" t="s">
        <v>1008</v>
      </c>
      <c r="E784" s="713" t="s">
        <v>26</v>
      </c>
      <c r="F784">
        <v>186335500</v>
      </c>
      <c r="G784">
        <v>186335500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 s="302"/>
    </row>
    <row r="785" spans="1:15" x14ac:dyDescent="0.2">
      <c r="A785" s="302"/>
      <c r="B785" s="887"/>
      <c r="C785" s="839"/>
      <c r="D785" s="839"/>
      <c r="E785" s="713" t="s">
        <v>1557</v>
      </c>
      <c r="F785">
        <v>157646918</v>
      </c>
      <c r="G785">
        <v>157646918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 s="302"/>
    </row>
    <row r="786" spans="1:15" x14ac:dyDescent="0.2">
      <c r="A786" s="302"/>
      <c r="B786" s="887"/>
      <c r="C786" s="839"/>
      <c r="D786" s="839"/>
      <c r="E786" s="713" t="s">
        <v>822</v>
      </c>
      <c r="F786">
        <v>491206</v>
      </c>
      <c r="G786">
        <v>491206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 s="302"/>
    </row>
    <row r="787" spans="1:15" x14ac:dyDescent="0.2">
      <c r="A787" s="302"/>
      <c r="B787" s="887"/>
      <c r="C787" s="838" t="s">
        <v>1969</v>
      </c>
      <c r="D787" s="838" t="s">
        <v>1970</v>
      </c>
      <c r="E787" s="713" t="s">
        <v>26</v>
      </c>
      <c r="F787">
        <v>105000000</v>
      </c>
      <c r="G787">
        <v>105000000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 s="302"/>
    </row>
    <row r="788" spans="1:15" x14ac:dyDescent="0.2">
      <c r="A788" s="302"/>
      <c r="B788" s="887"/>
      <c r="C788" s="839"/>
      <c r="D788" s="839"/>
      <c r="E788" s="713" t="s">
        <v>1557</v>
      </c>
      <c r="F788">
        <v>245000000</v>
      </c>
      <c r="G788">
        <v>245000000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 s="302"/>
    </row>
    <row r="789" spans="1:15" x14ac:dyDescent="0.2">
      <c r="A789" s="302"/>
      <c r="B789" s="887"/>
      <c r="C789" s="839"/>
      <c r="D789" s="839"/>
      <c r="E789" s="713" t="s">
        <v>822</v>
      </c>
      <c r="F789">
        <v>453600</v>
      </c>
      <c r="G789">
        <v>453600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 s="302"/>
    </row>
    <row r="790" spans="1:15" x14ac:dyDescent="0.2">
      <c r="A790" s="302"/>
      <c r="B790" s="887"/>
      <c r="C790" s="839"/>
      <c r="D790" s="839"/>
      <c r="E790" s="713" t="s">
        <v>195</v>
      </c>
      <c r="F790">
        <v>119000</v>
      </c>
      <c r="G790">
        <v>119000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 s="302"/>
    </row>
    <row r="791" spans="1:15" x14ac:dyDescent="0.2">
      <c r="A791" s="302"/>
      <c r="B791" s="887"/>
      <c r="C791" s="839"/>
      <c r="D791" s="839"/>
      <c r="E791" s="713" t="s">
        <v>2676</v>
      </c>
      <c r="F791">
        <v>134000</v>
      </c>
      <c r="G791">
        <v>134000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 s="302"/>
    </row>
    <row r="792" spans="1:15" x14ac:dyDescent="0.2">
      <c r="A792" s="302"/>
      <c r="B792" s="887"/>
      <c r="C792" s="838" t="s">
        <v>1971</v>
      </c>
      <c r="D792" s="838" t="s">
        <v>999</v>
      </c>
      <c r="E792" s="713" t="s">
        <v>22</v>
      </c>
      <c r="F792">
        <v>10080975</v>
      </c>
      <c r="G792">
        <v>10080975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 s="302"/>
    </row>
    <row r="793" spans="1:15" x14ac:dyDescent="0.2">
      <c r="A793" s="302"/>
      <c r="B793" s="887"/>
      <c r="C793" s="839"/>
      <c r="D793" s="839"/>
      <c r="E793" s="713" t="s">
        <v>26</v>
      </c>
      <c r="F793">
        <v>89446183</v>
      </c>
      <c r="G793">
        <v>89446183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 s="302"/>
    </row>
    <row r="794" spans="1:15" x14ac:dyDescent="0.2">
      <c r="A794" s="302"/>
      <c r="B794" s="887"/>
      <c r="C794" s="839"/>
      <c r="D794" s="839"/>
      <c r="E794" s="713" t="s">
        <v>1557</v>
      </c>
      <c r="F794">
        <v>208707761</v>
      </c>
      <c r="G794">
        <v>208707761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 s="302"/>
    </row>
    <row r="795" spans="1:15" x14ac:dyDescent="0.2">
      <c r="A795" s="302"/>
      <c r="B795" s="887"/>
      <c r="C795" s="839"/>
      <c r="D795" s="839"/>
      <c r="E795" s="713" t="s">
        <v>3212</v>
      </c>
      <c r="F795">
        <v>1491160</v>
      </c>
      <c r="G795">
        <v>0</v>
      </c>
      <c r="H795">
        <v>1491160</v>
      </c>
      <c r="I795">
        <v>0</v>
      </c>
      <c r="J795">
        <v>1491160</v>
      </c>
      <c r="K795">
        <v>0</v>
      </c>
      <c r="L795">
        <v>0</v>
      </c>
      <c r="M795">
        <v>0</v>
      </c>
      <c r="N795">
        <v>1491160</v>
      </c>
      <c r="O795" s="302"/>
    </row>
    <row r="796" spans="1:15" x14ac:dyDescent="0.2">
      <c r="A796" s="302"/>
      <c r="B796" s="887"/>
      <c r="C796" s="839"/>
      <c r="D796" s="839"/>
      <c r="E796" s="713" t="s">
        <v>1221</v>
      </c>
      <c r="F796">
        <v>1512675</v>
      </c>
      <c r="G796">
        <v>1512675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 s="302"/>
    </row>
    <row r="797" spans="1:15" x14ac:dyDescent="0.2">
      <c r="A797" s="302"/>
      <c r="B797" s="887"/>
      <c r="C797" s="838" t="s">
        <v>2612</v>
      </c>
      <c r="D797" s="838" t="s">
        <v>2613</v>
      </c>
      <c r="E797" s="713" t="s">
        <v>26</v>
      </c>
      <c r="F797">
        <v>381985931</v>
      </c>
      <c r="G797">
        <v>381985931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 s="302"/>
    </row>
    <row r="798" spans="1:15" x14ac:dyDescent="0.2">
      <c r="A798" s="302"/>
      <c r="B798" s="887"/>
      <c r="C798" s="839"/>
      <c r="D798" s="839"/>
      <c r="E798" s="713" t="s">
        <v>822</v>
      </c>
      <c r="F798">
        <v>492197</v>
      </c>
      <c r="G798">
        <v>0</v>
      </c>
      <c r="H798">
        <v>492197</v>
      </c>
      <c r="I798">
        <v>0</v>
      </c>
      <c r="J798">
        <v>492197</v>
      </c>
      <c r="K798">
        <v>0</v>
      </c>
      <c r="L798">
        <v>0</v>
      </c>
      <c r="M798">
        <v>492197</v>
      </c>
      <c r="N798">
        <v>0</v>
      </c>
      <c r="O798" s="302"/>
    </row>
    <row r="799" spans="1:15" x14ac:dyDescent="0.2">
      <c r="A799" s="302"/>
      <c r="B799" s="887"/>
      <c r="C799" s="839"/>
      <c r="D799" s="839"/>
      <c r="E799" s="713" t="s">
        <v>1221</v>
      </c>
      <c r="F799">
        <v>11584872</v>
      </c>
      <c r="G799">
        <v>11584872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 s="302"/>
    </row>
    <row r="800" spans="1:15" x14ac:dyDescent="0.2">
      <c r="A800" s="302"/>
      <c r="B800" s="887"/>
      <c r="C800" s="838" t="s">
        <v>1972</v>
      </c>
      <c r="D800" s="838" t="s">
        <v>991</v>
      </c>
      <c r="E800" s="713" t="s">
        <v>26</v>
      </c>
      <c r="F800">
        <v>104465094</v>
      </c>
      <c r="G800">
        <v>104465094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 s="302"/>
    </row>
    <row r="801" spans="1:15" x14ac:dyDescent="0.2">
      <c r="A801" s="302"/>
      <c r="B801" s="887"/>
      <c r="C801" s="839"/>
      <c r="D801" s="839"/>
      <c r="E801" s="713" t="s">
        <v>1557</v>
      </c>
      <c r="F801">
        <v>241540021</v>
      </c>
      <c r="G801">
        <v>241540021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 s="302"/>
    </row>
    <row r="802" spans="1:15" x14ac:dyDescent="0.2">
      <c r="A802" s="302"/>
      <c r="B802" s="887"/>
      <c r="C802" s="839"/>
      <c r="D802" s="839"/>
      <c r="E802" s="713" t="s">
        <v>195</v>
      </c>
      <c r="F802">
        <v>2873739</v>
      </c>
      <c r="G802">
        <v>2873739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 s="302"/>
    </row>
    <row r="803" spans="1:15" ht="25.5" x14ac:dyDescent="0.2">
      <c r="A803" s="302"/>
      <c r="B803" s="887"/>
      <c r="C803" s="713" t="s">
        <v>1973</v>
      </c>
      <c r="D803" s="713" t="s">
        <v>1667</v>
      </c>
      <c r="E803" s="713" t="s">
        <v>26</v>
      </c>
      <c r="F803">
        <v>351385600</v>
      </c>
      <c r="G803">
        <v>351385600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 s="302"/>
    </row>
    <row r="804" spans="1:15" x14ac:dyDescent="0.2">
      <c r="A804" s="302"/>
      <c r="B804" s="887"/>
      <c r="C804" s="838" t="s">
        <v>1974</v>
      </c>
      <c r="D804" s="838" t="s">
        <v>1666</v>
      </c>
      <c r="E804" s="713" t="s">
        <v>26</v>
      </c>
      <c r="F804">
        <v>302562856</v>
      </c>
      <c r="G804">
        <v>302562856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 s="302"/>
    </row>
    <row r="805" spans="1:15" x14ac:dyDescent="0.2">
      <c r="A805" s="302"/>
      <c r="B805" s="887"/>
      <c r="C805" s="839"/>
      <c r="D805" s="839"/>
      <c r="E805" s="713" t="s">
        <v>3212</v>
      </c>
      <c r="F805">
        <v>585812</v>
      </c>
      <c r="G805">
        <v>0</v>
      </c>
      <c r="H805">
        <v>585812</v>
      </c>
      <c r="I805">
        <v>0</v>
      </c>
      <c r="J805">
        <v>585812</v>
      </c>
      <c r="K805">
        <v>585812</v>
      </c>
      <c r="L805">
        <v>0</v>
      </c>
      <c r="M805">
        <v>0</v>
      </c>
      <c r="N805">
        <v>0</v>
      </c>
      <c r="O805" s="302"/>
    </row>
    <row r="806" spans="1:15" x14ac:dyDescent="0.2">
      <c r="A806" s="302"/>
      <c r="B806" s="887"/>
      <c r="C806" s="839"/>
      <c r="D806" s="839"/>
      <c r="E806" s="713" t="s">
        <v>2676</v>
      </c>
      <c r="F806">
        <v>6325144</v>
      </c>
      <c r="G806">
        <v>6325144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 s="302"/>
    </row>
    <row r="807" spans="1:15" x14ac:dyDescent="0.2">
      <c r="A807" s="302"/>
      <c r="B807" s="887"/>
      <c r="C807" s="838" t="s">
        <v>2953</v>
      </c>
      <c r="D807" s="838" t="s">
        <v>3132</v>
      </c>
      <c r="E807" s="713" t="s">
        <v>26</v>
      </c>
      <c r="F807">
        <v>156704500</v>
      </c>
      <c r="G807">
        <v>156704500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 s="302"/>
    </row>
    <row r="808" spans="1:15" x14ac:dyDescent="0.2">
      <c r="A808" s="302"/>
      <c r="B808" s="887"/>
      <c r="C808" s="839"/>
      <c r="D808" s="839"/>
      <c r="E808" s="713" t="s">
        <v>1557</v>
      </c>
      <c r="F808">
        <v>240000000</v>
      </c>
      <c r="G808">
        <v>240000000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 s="302"/>
    </row>
    <row r="809" spans="1:15" x14ac:dyDescent="0.2">
      <c r="A809" s="302"/>
      <c r="B809" s="887"/>
      <c r="C809" s="839"/>
      <c r="D809" s="839"/>
      <c r="E809" s="713" t="s">
        <v>3212</v>
      </c>
      <c r="F809">
        <v>1337697</v>
      </c>
      <c r="G809">
        <v>1337697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 s="302"/>
    </row>
    <row r="810" spans="1:15" x14ac:dyDescent="0.2">
      <c r="A810" s="302"/>
      <c r="B810" s="887"/>
      <c r="C810" s="839"/>
      <c r="D810" s="839"/>
      <c r="E810" s="713" t="s">
        <v>2676</v>
      </c>
      <c r="F810">
        <v>1152000</v>
      </c>
      <c r="G810">
        <v>1152000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 s="302"/>
    </row>
    <row r="811" spans="1:15" x14ac:dyDescent="0.2">
      <c r="A811" s="302"/>
      <c r="B811" s="887"/>
      <c r="C811" s="839"/>
      <c r="D811" s="839"/>
      <c r="E811" s="713" t="s">
        <v>1221</v>
      </c>
      <c r="F811">
        <v>11584872</v>
      </c>
      <c r="G811">
        <v>11584872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 s="302"/>
    </row>
    <row r="812" spans="1:15" x14ac:dyDescent="0.2">
      <c r="A812" s="302"/>
      <c r="B812" s="887"/>
      <c r="C812" s="838" t="s">
        <v>1975</v>
      </c>
      <c r="D812" s="838" t="s">
        <v>2954</v>
      </c>
      <c r="E812" s="713" t="s">
        <v>26</v>
      </c>
      <c r="F812">
        <v>325341427</v>
      </c>
      <c r="G812">
        <v>325341427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 s="302"/>
    </row>
    <row r="813" spans="1:15" x14ac:dyDescent="0.2">
      <c r="A813" s="302"/>
      <c r="B813" s="887"/>
      <c r="C813" s="839"/>
      <c r="D813" s="839"/>
      <c r="E813" s="713" t="s">
        <v>3212</v>
      </c>
      <c r="F813">
        <v>45474</v>
      </c>
      <c r="G813">
        <v>45474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 s="302"/>
    </row>
    <row r="814" spans="1:15" x14ac:dyDescent="0.2">
      <c r="A814" s="302"/>
      <c r="B814" s="887"/>
      <c r="C814" s="838" t="s">
        <v>3263</v>
      </c>
      <c r="D814" s="838" t="s">
        <v>3264</v>
      </c>
      <c r="E814" s="713" t="s">
        <v>900</v>
      </c>
      <c r="F814">
        <v>20000000</v>
      </c>
      <c r="G814">
        <v>0</v>
      </c>
      <c r="H814">
        <v>20000000</v>
      </c>
      <c r="I814">
        <v>0</v>
      </c>
      <c r="J814">
        <v>20000000</v>
      </c>
      <c r="K814">
        <v>0</v>
      </c>
      <c r="L814">
        <v>20000000</v>
      </c>
      <c r="M814">
        <v>0</v>
      </c>
      <c r="N814">
        <v>0</v>
      </c>
      <c r="O814" s="302"/>
    </row>
    <row r="815" spans="1:15" x14ac:dyDescent="0.2">
      <c r="A815" s="302"/>
      <c r="B815" s="887"/>
      <c r="C815" s="839"/>
      <c r="D815" s="839"/>
      <c r="E815" s="713" t="s">
        <v>26</v>
      </c>
      <c r="F815">
        <v>109798000</v>
      </c>
      <c r="G815">
        <v>109798000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 s="302"/>
    </row>
    <row r="816" spans="1:15" x14ac:dyDescent="0.2">
      <c r="A816" s="302"/>
      <c r="B816" s="887"/>
      <c r="C816" s="839"/>
      <c r="D816" s="839"/>
      <c r="E816" s="713" t="s">
        <v>1557</v>
      </c>
      <c r="F816">
        <v>302862000</v>
      </c>
      <c r="G816">
        <v>0</v>
      </c>
      <c r="H816">
        <v>302862000</v>
      </c>
      <c r="I816">
        <v>0</v>
      </c>
      <c r="J816">
        <v>302862000</v>
      </c>
      <c r="K816">
        <v>302862000</v>
      </c>
      <c r="L816">
        <v>0</v>
      </c>
      <c r="M816">
        <v>0</v>
      </c>
      <c r="N816">
        <v>0</v>
      </c>
      <c r="O816" s="302"/>
    </row>
    <row r="817" spans="1:15" x14ac:dyDescent="0.2">
      <c r="A817" s="302"/>
      <c r="B817" s="887"/>
      <c r="C817" s="838" t="s">
        <v>1976</v>
      </c>
      <c r="D817" s="838" t="s">
        <v>1715</v>
      </c>
      <c r="E817" s="713" t="s">
        <v>26</v>
      </c>
      <c r="F817">
        <v>90535657</v>
      </c>
      <c r="G817">
        <v>90535657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 s="302"/>
    </row>
    <row r="818" spans="1:15" x14ac:dyDescent="0.2">
      <c r="A818" s="302"/>
      <c r="B818" s="887"/>
      <c r="C818" s="839"/>
      <c r="D818" s="839"/>
      <c r="E818" s="713" t="s">
        <v>1557</v>
      </c>
      <c r="F818">
        <v>211133061</v>
      </c>
      <c r="G818">
        <v>211133061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 s="302"/>
    </row>
    <row r="819" spans="1:15" x14ac:dyDescent="0.2">
      <c r="A819" s="302"/>
      <c r="B819" s="887"/>
      <c r="C819" s="838" t="s">
        <v>3336</v>
      </c>
      <c r="D819" s="838" t="s">
        <v>3337</v>
      </c>
      <c r="E819" s="713" t="s">
        <v>22</v>
      </c>
      <c r="F819">
        <v>79633589</v>
      </c>
      <c r="G819">
        <v>23890078</v>
      </c>
      <c r="H819">
        <v>55743511</v>
      </c>
      <c r="I819">
        <v>0</v>
      </c>
      <c r="J819">
        <v>55743511</v>
      </c>
      <c r="K819">
        <v>0</v>
      </c>
      <c r="L819">
        <v>0</v>
      </c>
      <c r="M819">
        <v>55743511</v>
      </c>
      <c r="N819">
        <v>0</v>
      </c>
      <c r="O819" s="302"/>
    </row>
    <row r="820" spans="1:15" x14ac:dyDescent="0.2">
      <c r="A820" s="302"/>
      <c r="B820" s="887"/>
      <c r="C820" s="839"/>
      <c r="D820" s="839"/>
      <c r="E820" s="713" t="s">
        <v>26</v>
      </c>
      <c r="F820">
        <v>103563320</v>
      </c>
      <c r="G820">
        <v>103563320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 s="302"/>
    </row>
    <row r="821" spans="1:15" x14ac:dyDescent="0.2">
      <c r="A821" s="302"/>
      <c r="B821" s="887"/>
      <c r="C821" s="839"/>
      <c r="D821" s="839"/>
      <c r="E821" s="713" t="s">
        <v>1557</v>
      </c>
      <c r="F821">
        <v>301126001</v>
      </c>
      <c r="G821">
        <v>0</v>
      </c>
      <c r="H821">
        <v>301126001</v>
      </c>
      <c r="I821">
        <v>0</v>
      </c>
      <c r="J821">
        <v>301126001</v>
      </c>
      <c r="K821">
        <v>0</v>
      </c>
      <c r="L821">
        <v>0</v>
      </c>
      <c r="M821">
        <v>301126001</v>
      </c>
      <c r="N821">
        <v>0</v>
      </c>
      <c r="O821" s="302"/>
    </row>
    <row r="822" spans="1:15" x14ac:dyDescent="0.2">
      <c r="A822" s="302"/>
      <c r="B822" s="887"/>
      <c r="C822" s="838" t="s">
        <v>1977</v>
      </c>
      <c r="D822" s="838" t="s">
        <v>2955</v>
      </c>
      <c r="E822" s="713" t="s">
        <v>26</v>
      </c>
      <c r="F822">
        <v>104289240</v>
      </c>
      <c r="G822">
        <v>104289240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 s="302"/>
    </row>
    <row r="823" spans="1:15" x14ac:dyDescent="0.2">
      <c r="A823" s="302"/>
      <c r="B823" s="887"/>
      <c r="C823" s="839"/>
      <c r="D823" s="839"/>
      <c r="E823" s="713" t="s">
        <v>1557</v>
      </c>
      <c r="F823">
        <v>243341560</v>
      </c>
      <c r="G823">
        <v>243341560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 s="302"/>
    </row>
    <row r="824" spans="1:15" x14ac:dyDescent="0.2">
      <c r="A824" s="302"/>
      <c r="B824" s="887"/>
      <c r="C824" s="839"/>
      <c r="D824" s="839"/>
      <c r="E824" s="713" t="s">
        <v>822</v>
      </c>
      <c r="F824">
        <v>496417</v>
      </c>
      <c r="G824">
        <v>496417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 s="302"/>
    </row>
    <row r="825" spans="1:15" x14ac:dyDescent="0.2">
      <c r="A825" s="302"/>
      <c r="B825" s="887"/>
      <c r="C825" s="838" t="s">
        <v>1978</v>
      </c>
      <c r="D825" s="838" t="s">
        <v>1668</v>
      </c>
      <c r="E825" s="713" t="s">
        <v>26</v>
      </c>
      <c r="F825">
        <v>105141030</v>
      </c>
      <c r="G825">
        <v>105141030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 s="302"/>
    </row>
    <row r="826" spans="1:15" x14ac:dyDescent="0.2">
      <c r="A826" s="302"/>
      <c r="B826" s="887"/>
      <c r="C826" s="839"/>
      <c r="D826" s="839"/>
      <c r="E826" s="713" t="s">
        <v>1557</v>
      </c>
      <c r="F826">
        <v>244639182</v>
      </c>
      <c r="G826">
        <v>244639182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 s="302"/>
    </row>
    <row r="827" spans="1:15" x14ac:dyDescent="0.2">
      <c r="A827" s="302"/>
      <c r="B827" s="887"/>
      <c r="C827" s="839"/>
      <c r="D827" s="839"/>
      <c r="E827" s="713" t="s">
        <v>822</v>
      </c>
      <c r="F827">
        <v>488369</v>
      </c>
      <c r="G827">
        <v>488369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 s="302"/>
    </row>
    <row r="828" spans="1:15" x14ac:dyDescent="0.2">
      <c r="A828" s="302"/>
      <c r="B828" s="887"/>
      <c r="C828" s="839"/>
      <c r="D828" s="839"/>
      <c r="E828" s="713" t="s">
        <v>3212</v>
      </c>
      <c r="F828">
        <v>1297156</v>
      </c>
      <c r="G828">
        <v>1297156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 s="302"/>
    </row>
    <row r="829" spans="1:15" x14ac:dyDescent="0.2">
      <c r="A829" s="302"/>
      <c r="B829" s="887"/>
      <c r="C829" s="839"/>
      <c r="D829" s="839"/>
      <c r="E829" s="713" t="s">
        <v>195</v>
      </c>
      <c r="F829">
        <v>197314</v>
      </c>
      <c r="G829">
        <v>197314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 s="302"/>
    </row>
    <row r="830" spans="1:15" x14ac:dyDescent="0.2">
      <c r="A830" s="302"/>
      <c r="B830" s="887"/>
      <c r="C830" s="838" t="s">
        <v>1979</v>
      </c>
      <c r="D830" s="838" t="s">
        <v>3489</v>
      </c>
      <c r="E830" s="713" t="s">
        <v>26</v>
      </c>
      <c r="F830">
        <v>90044944</v>
      </c>
      <c r="G830">
        <v>90044944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 s="302"/>
    </row>
    <row r="831" spans="1:15" x14ac:dyDescent="0.2">
      <c r="A831" s="302"/>
      <c r="B831" s="887"/>
      <c r="C831" s="839"/>
      <c r="D831" s="839"/>
      <c r="E831" s="713" t="s">
        <v>1557</v>
      </c>
      <c r="F831">
        <v>209000000</v>
      </c>
      <c r="G831">
        <v>209000000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 s="302"/>
    </row>
    <row r="832" spans="1:15" x14ac:dyDescent="0.2">
      <c r="A832" s="302"/>
      <c r="B832" s="887"/>
      <c r="C832" s="838" t="s">
        <v>1980</v>
      </c>
      <c r="D832" s="838" t="s">
        <v>3490</v>
      </c>
      <c r="E832" s="713" t="s">
        <v>26</v>
      </c>
      <c r="F832">
        <v>133151502</v>
      </c>
      <c r="G832">
        <v>133151502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 s="302"/>
    </row>
    <row r="833" spans="1:15" x14ac:dyDescent="0.2">
      <c r="A833" s="302"/>
      <c r="B833" s="887"/>
      <c r="C833" s="839"/>
      <c r="D833" s="839"/>
      <c r="E833" s="713" t="s">
        <v>1557</v>
      </c>
      <c r="F833">
        <v>215774249</v>
      </c>
      <c r="G833">
        <v>0</v>
      </c>
      <c r="H833">
        <v>215774249</v>
      </c>
      <c r="I833">
        <v>0</v>
      </c>
      <c r="J833">
        <v>215774249</v>
      </c>
      <c r="K833">
        <v>0</v>
      </c>
      <c r="L833">
        <v>0</v>
      </c>
      <c r="M833">
        <v>0</v>
      </c>
      <c r="N833">
        <v>215774249</v>
      </c>
      <c r="O833" s="302"/>
    </row>
    <row r="834" spans="1:15" x14ac:dyDescent="0.2">
      <c r="A834" s="302"/>
      <c r="B834" s="887"/>
      <c r="C834" s="839"/>
      <c r="D834" s="839"/>
      <c r="E834" s="713" t="s">
        <v>3212</v>
      </c>
      <c r="F834">
        <v>814387</v>
      </c>
      <c r="G834">
        <v>814387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 s="302"/>
    </row>
    <row r="835" spans="1:15" x14ac:dyDescent="0.2">
      <c r="A835" s="302"/>
      <c r="B835" s="887"/>
      <c r="C835" s="839"/>
      <c r="D835" s="839"/>
      <c r="E835" s="713" t="s">
        <v>195</v>
      </c>
      <c r="F835">
        <v>2961977</v>
      </c>
      <c r="G835">
        <v>2961977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 s="302"/>
    </row>
    <row r="836" spans="1:15" x14ac:dyDescent="0.2">
      <c r="A836" s="302"/>
      <c r="B836" s="887"/>
      <c r="C836" s="839"/>
      <c r="D836" s="839"/>
      <c r="E836" s="713" t="s">
        <v>2676</v>
      </c>
      <c r="F836">
        <v>4096416</v>
      </c>
      <c r="G836">
        <v>4096416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 s="302"/>
    </row>
    <row r="837" spans="1:15" x14ac:dyDescent="0.2">
      <c r="A837" s="302"/>
      <c r="B837" s="887"/>
      <c r="C837" s="838" t="s">
        <v>1981</v>
      </c>
      <c r="D837" s="838" t="s">
        <v>4280</v>
      </c>
      <c r="E837" s="713" t="s">
        <v>198</v>
      </c>
      <c r="F837">
        <v>8526792</v>
      </c>
      <c r="G837">
        <v>8526792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 s="302"/>
    </row>
    <row r="838" spans="1:15" x14ac:dyDescent="0.2">
      <c r="A838" s="302"/>
      <c r="B838" s="887"/>
      <c r="C838" s="839"/>
      <c r="D838" s="839"/>
      <c r="E838" s="713" t="s">
        <v>26</v>
      </c>
      <c r="F838">
        <v>123180679</v>
      </c>
      <c r="G838">
        <v>111252448</v>
      </c>
      <c r="H838">
        <v>11928231</v>
      </c>
      <c r="I838">
        <v>0</v>
      </c>
      <c r="J838">
        <v>11928231</v>
      </c>
      <c r="K838">
        <v>0</v>
      </c>
      <c r="L838">
        <v>11928231</v>
      </c>
      <c r="M838">
        <v>0</v>
      </c>
      <c r="N838">
        <v>0</v>
      </c>
      <c r="O838" s="302"/>
    </row>
    <row r="839" spans="1:15" x14ac:dyDescent="0.2">
      <c r="A839" s="302"/>
      <c r="B839" s="887"/>
      <c r="C839" s="839"/>
      <c r="D839" s="839"/>
      <c r="E839" s="713" t="s">
        <v>1557</v>
      </c>
      <c r="F839">
        <v>212143379</v>
      </c>
      <c r="G839">
        <v>0</v>
      </c>
      <c r="H839">
        <v>212143379</v>
      </c>
      <c r="I839">
        <v>0</v>
      </c>
      <c r="J839">
        <v>212143379</v>
      </c>
      <c r="K839">
        <v>0</v>
      </c>
      <c r="L839">
        <v>212143379</v>
      </c>
      <c r="M839">
        <v>0</v>
      </c>
      <c r="N839">
        <v>0</v>
      </c>
      <c r="O839" s="302"/>
    </row>
    <row r="840" spans="1:15" x14ac:dyDescent="0.2">
      <c r="A840" s="302"/>
      <c r="B840" s="887"/>
      <c r="C840" s="839"/>
      <c r="D840" s="839"/>
      <c r="E840" s="713" t="s">
        <v>195</v>
      </c>
      <c r="F840">
        <v>592191</v>
      </c>
      <c r="G840">
        <v>592191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 s="302"/>
    </row>
    <row r="841" spans="1:15" x14ac:dyDescent="0.2">
      <c r="A841" s="302"/>
      <c r="B841" s="887"/>
      <c r="C841" s="839"/>
      <c r="D841" s="839"/>
      <c r="E841" s="713" t="s">
        <v>2676</v>
      </c>
      <c r="F841">
        <v>5038243</v>
      </c>
      <c r="G841">
        <v>5038243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 s="302"/>
    </row>
    <row r="842" spans="1:15" x14ac:dyDescent="0.2">
      <c r="A842" s="302"/>
      <c r="B842" s="887"/>
      <c r="C842" s="838" t="s">
        <v>1982</v>
      </c>
      <c r="D842" s="838" t="s">
        <v>1717</v>
      </c>
      <c r="E842" s="713" t="s">
        <v>26</v>
      </c>
      <c r="F842">
        <v>110617513</v>
      </c>
      <c r="G842">
        <v>110617513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 s="302"/>
    </row>
    <row r="843" spans="1:15" x14ac:dyDescent="0.2">
      <c r="A843" s="302"/>
      <c r="B843" s="887"/>
      <c r="C843" s="839"/>
      <c r="D843" s="839"/>
      <c r="E843" s="713" t="s">
        <v>1557</v>
      </c>
      <c r="F843">
        <v>240000000</v>
      </c>
      <c r="G843">
        <v>240000000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 s="302"/>
    </row>
    <row r="844" spans="1:15" x14ac:dyDescent="0.2">
      <c r="A844" s="302"/>
      <c r="B844" s="887"/>
      <c r="C844" s="838" t="s">
        <v>1983</v>
      </c>
      <c r="D844" s="838" t="s">
        <v>1716</v>
      </c>
      <c r="E844" s="713" t="s">
        <v>26</v>
      </c>
      <c r="F844">
        <v>101470817</v>
      </c>
      <c r="G844">
        <v>101470817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 s="302"/>
    </row>
    <row r="845" spans="1:15" x14ac:dyDescent="0.2">
      <c r="A845" s="302"/>
      <c r="B845" s="887"/>
      <c r="C845" s="839"/>
      <c r="D845" s="839"/>
      <c r="E845" s="713" t="s">
        <v>1557</v>
      </c>
      <c r="F845">
        <v>236765241</v>
      </c>
      <c r="G845">
        <v>236765241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 s="302"/>
    </row>
    <row r="846" spans="1:15" x14ac:dyDescent="0.2">
      <c r="A846" s="302"/>
      <c r="B846" s="887"/>
      <c r="C846" s="839"/>
      <c r="D846" s="839"/>
      <c r="E846" s="713" t="s">
        <v>3212</v>
      </c>
      <c r="F846">
        <v>1041502</v>
      </c>
      <c r="G846">
        <v>0</v>
      </c>
      <c r="H846">
        <v>1041502</v>
      </c>
      <c r="I846">
        <v>0</v>
      </c>
      <c r="J846">
        <v>1041502</v>
      </c>
      <c r="K846">
        <v>0</v>
      </c>
      <c r="L846">
        <v>0</v>
      </c>
      <c r="M846">
        <v>0</v>
      </c>
      <c r="N846">
        <v>1041502</v>
      </c>
      <c r="O846" s="302"/>
    </row>
    <row r="847" spans="1:15" ht="25.5" x14ac:dyDescent="0.2">
      <c r="A847" s="302"/>
      <c r="B847" s="887"/>
      <c r="C847" s="713" t="s">
        <v>4431</v>
      </c>
      <c r="D847" s="713" t="s">
        <v>1709</v>
      </c>
      <c r="E847" s="713"/>
      <c r="F847"/>
      <c r="G847"/>
      <c r="H847"/>
      <c r="I847"/>
      <c r="J847"/>
      <c r="K847"/>
      <c r="L847"/>
      <c r="M847"/>
      <c r="N847"/>
      <c r="O847" s="302"/>
    </row>
    <row r="848" spans="1:15" ht="25.5" x14ac:dyDescent="0.2">
      <c r="A848" s="302"/>
      <c r="B848" s="887"/>
      <c r="C848" s="713" t="s">
        <v>3429</v>
      </c>
      <c r="D848" s="713" t="s">
        <v>1717</v>
      </c>
      <c r="E848" s="713" t="s">
        <v>26</v>
      </c>
      <c r="F848">
        <v>10000000</v>
      </c>
      <c r="G848">
        <v>10000000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 s="302"/>
    </row>
    <row r="849" spans="1:15" x14ac:dyDescent="0.2">
      <c r="A849" s="302"/>
      <c r="B849" s="887"/>
      <c r="C849" s="713" t="s">
        <v>3133</v>
      </c>
      <c r="D849" s="713" t="s">
        <v>3134</v>
      </c>
      <c r="E849" s="713" t="s">
        <v>26</v>
      </c>
      <c r="F849">
        <v>5000000</v>
      </c>
      <c r="G849">
        <v>5000000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 s="302"/>
    </row>
    <row r="850" spans="1:15" ht="25.5" x14ac:dyDescent="0.2">
      <c r="A850" s="302"/>
      <c r="B850" s="887"/>
      <c r="C850" s="713" t="s">
        <v>3430</v>
      </c>
      <c r="D850" s="713" t="s">
        <v>1008</v>
      </c>
      <c r="E850" s="713" t="s">
        <v>26</v>
      </c>
      <c r="F850">
        <v>5000000</v>
      </c>
      <c r="G850">
        <v>5000000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 s="302"/>
    </row>
    <row r="851" spans="1:15" ht="25.5" x14ac:dyDescent="0.2">
      <c r="A851" s="302"/>
      <c r="B851" s="887"/>
      <c r="C851" s="713" t="s">
        <v>3215</v>
      </c>
      <c r="D851" s="713" t="s">
        <v>1304</v>
      </c>
      <c r="E851" s="713" t="s">
        <v>26</v>
      </c>
      <c r="F851">
        <v>10000000</v>
      </c>
      <c r="G851">
        <v>10000000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 s="302"/>
    </row>
    <row r="852" spans="1:15" ht="25.5" x14ac:dyDescent="0.2">
      <c r="A852" s="302"/>
      <c r="B852" s="887"/>
      <c r="C852" s="713" t="s">
        <v>3135</v>
      </c>
      <c r="D852" s="713" t="s">
        <v>3261</v>
      </c>
      <c r="E852" s="713" t="s">
        <v>26</v>
      </c>
      <c r="F852">
        <v>5000000</v>
      </c>
      <c r="G852">
        <v>5000000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 s="302"/>
    </row>
    <row r="853" spans="1:15" ht="25.5" x14ac:dyDescent="0.2">
      <c r="A853" s="302"/>
      <c r="B853" s="887"/>
      <c r="C853" s="713" t="s">
        <v>3216</v>
      </c>
      <c r="D853" s="713" t="s">
        <v>2576</v>
      </c>
      <c r="E853" s="713" t="s">
        <v>26</v>
      </c>
      <c r="F853">
        <v>5000000</v>
      </c>
      <c r="G853">
        <v>5000000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 s="302"/>
    </row>
    <row r="854" spans="1:15" ht="25.5" x14ac:dyDescent="0.2">
      <c r="A854" s="302"/>
      <c r="B854" s="887"/>
      <c r="C854" s="713" t="s">
        <v>3338</v>
      </c>
      <c r="D854" s="713" t="s">
        <v>3339</v>
      </c>
      <c r="E854" s="713" t="s">
        <v>26</v>
      </c>
      <c r="F854">
        <v>5000000</v>
      </c>
      <c r="G854">
        <v>5000000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 s="302"/>
    </row>
    <row r="855" spans="1:15" s="302" customFormat="1" x14ac:dyDescent="0.2">
      <c r="B855" s="838">
        <v>3</v>
      </c>
      <c r="C855" s="838" t="s">
        <v>3431</v>
      </c>
      <c r="D855" s="838" t="s">
        <v>3432</v>
      </c>
      <c r="E855" s="713" t="s">
        <v>26</v>
      </c>
      <c r="F855">
        <v>165073500</v>
      </c>
      <c r="G855">
        <v>32000000</v>
      </c>
      <c r="H855">
        <v>133073500</v>
      </c>
      <c r="I855">
        <v>128058802</v>
      </c>
      <c r="J855">
        <v>5014698</v>
      </c>
      <c r="K855">
        <v>5014698</v>
      </c>
      <c r="L855">
        <v>0</v>
      </c>
      <c r="M855">
        <v>0</v>
      </c>
      <c r="N855">
        <v>0</v>
      </c>
    </row>
    <row r="856" spans="1:15" x14ac:dyDescent="0.2">
      <c r="A856" s="302"/>
      <c r="B856" s="887"/>
      <c r="C856" s="839"/>
      <c r="D856" s="839"/>
      <c r="E856" s="713" t="s">
        <v>1557</v>
      </c>
      <c r="F856">
        <v>385171500</v>
      </c>
      <c r="G856">
        <v>0</v>
      </c>
      <c r="H856">
        <v>385171500</v>
      </c>
      <c r="I856">
        <v>385171500</v>
      </c>
      <c r="J856">
        <v>0</v>
      </c>
      <c r="K856">
        <v>0</v>
      </c>
      <c r="L856">
        <v>0</v>
      </c>
      <c r="M856">
        <v>0</v>
      </c>
      <c r="N856">
        <v>0</v>
      </c>
      <c r="O856" s="302"/>
    </row>
    <row r="857" spans="1:15" x14ac:dyDescent="0.2">
      <c r="A857" s="302"/>
      <c r="B857" s="887"/>
      <c r="C857" s="838" t="s">
        <v>3491</v>
      </c>
      <c r="D857" s="838" t="s">
        <v>3492</v>
      </c>
      <c r="E857" s="713" t="s">
        <v>26</v>
      </c>
      <c r="F857">
        <v>131475000</v>
      </c>
      <c r="G857">
        <v>13181000</v>
      </c>
      <c r="H857">
        <v>118294000</v>
      </c>
      <c r="I857">
        <v>104668965</v>
      </c>
      <c r="J857">
        <v>13625035</v>
      </c>
      <c r="K857">
        <v>4361207</v>
      </c>
      <c r="L857">
        <v>4361207</v>
      </c>
      <c r="M857">
        <v>4361207</v>
      </c>
      <c r="N857">
        <v>541414</v>
      </c>
      <c r="O857" s="302"/>
    </row>
    <row r="858" spans="1:15" x14ac:dyDescent="0.2">
      <c r="A858" s="302"/>
      <c r="B858" s="887"/>
      <c r="C858" s="839"/>
      <c r="D858" s="839"/>
      <c r="E858" s="713" t="s">
        <v>1557</v>
      </c>
      <c r="F858">
        <v>306775000</v>
      </c>
      <c r="G858">
        <v>0</v>
      </c>
      <c r="H858">
        <v>306775000</v>
      </c>
      <c r="I858">
        <v>306775000</v>
      </c>
      <c r="J858">
        <v>0</v>
      </c>
      <c r="K858">
        <v>0</v>
      </c>
      <c r="L858">
        <v>0</v>
      </c>
      <c r="M858">
        <v>0</v>
      </c>
      <c r="N858">
        <v>0</v>
      </c>
      <c r="O858" s="302"/>
    </row>
    <row r="859" spans="1:15" x14ac:dyDescent="0.2">
      <c r="A859" s="302"/>
      <c r="B859" s="887"/>
      <c r="C859" s="838" t="s">
        <v>3340</v>
      </c>
      <c r="D859" s="838" t="s">
        <v>2724</v>
      </c>
      <c r="E859" s="713" t="s">
        <v>26</v>
      </c>
      <c r="F859">
        <v>162276000</v>
      </c>
      <c r="G859">
        <v>42455823</v>
      </c>
      <c r="H859">
        <v>119820177</v>
      </c>
      <c r="I859">
        <v>110603240</v>
      </c>
      <c r="J859">
        <v>9216937</v>
      </c>
      <c r="K859">
        <v>4608468</v>
      </c>
      <c r="L859">
        <v>4608468</v>
      </c>
      <c r="M859">
        <v>1</v>
      </c>
      <c r="N859">
        <v>0</v>
      </c>
      <c r="O859" s="302"/>
    </row>
    <row r="860" spans="1:15" x14ac:dyDescent="0.2">
      <c r="A860" s="302"/>
      <c r="B860" s="887"/>
      <c r="C860" s="839"/>
      <c r="D860" s="839"/>
      <c r="E860" s="713" t="s">
        <v>1557</v>
      </c>
      <c r="F860">
        <v>378644000</v>
      </c>
      <c r="G860">
        <v>0</v>
      </c>
      <c r="H860">
        <v>378644000</v>
      </c>
      <c r="I860">
        <v>378644000</v>
      </c>
      <c r="J860">
        <v>0</v>
      </c>
      <c r="K860">
        <v>0</v>
      </c>
      <c r="L860">
        <v>0</v>
      </c>
      <c r="M860">
        <v>0</v>
      </c>
      <c r="N860">
        <v>0</v>
      </c>
      <c r="O860" s="302"/>
    </row>
    <row r="861" spans="1:15" x14ac:dyDescent="0.2">
      <c r="A861" s="302"/>
      <c r="B861" s="887"/>
      <c r="C861" s="838" t="s">
        <v>4281</v>
      </c>
      <c r="D861" s="838" t="s">
        <v>4282</v>
      </c>
      <c r="E861" s="713" t="s">
        <v>26</v>
      </c>
      <c r="F861">
        <v>136867500</v>
      </c>
      <c r="G861">
        <v>3000000</v>
      </c>
      <c r="H861">
        <v>133867500</v>
      </c>
      <c r="I861">
        <v>132867500</v>
      </c>
      <c r="J861">
        <v>1000000</v>
      </c>
      <c r="K861">
        <v>1000000</v>
      </c>
      <c r="L861">
        <v>0</v>
      </c>
      <c r="M861">
        <v>0</v>
      </c>
      <c r="N861">
        <v>0</v>
      </c>
      <c r="O861" s="302"/>
    </row>
    <row r="862" spans="1:15" x14ac:dyDescent="0.2">
      <c r="A862" s="302"/>
      <c r="B862" s="887"/>
      <c r="C862" s="839"/>
      <c r="D862" s="839"/>
      <c r="E862" s="713" t="s">
        <v>1557</v>
      </c>
      <c r="F862">
        <v>319357500</v>
      </c>
      <c r="G862">
        <v>0</v>
      </c>
      <c r="H862">
        <v>319357500</v>
      </c>
      <c r="I862">
        <v>319357500</v>
      </c>
      <c r="J862">
        <v>0</v>
      </c>
      <c r="K862">
        <v>0</v>
      </c>
      <c r="L862">
        <v>0</v>
      </c>
      <c r="M862">
        <v>0</v>
      </c>
      <c r="N862">
        <v>0</v>
      </c>
      <c r="O862" s="302"/>
    </row>
    <row r="863" spans="1:15" x14ac:dyDescent="0.2">
      <c r="A863" s="302"/>
      <c r="B863" s="887"/>
      <c r="C863" s="838" t="s">
        <v>3341</v>
      </c>
      <c r="D863" s="838" t="s">
        <v>3342</v>
      </c>
      <c r="E863" s="713" t="s">
        <v>26</v>
      </c>
      <c r="F863">
        <v>178905000</v>
      </c>
      <c r="G863">
        <v>44690500</v>
      </c>
      <c r="H863">
        <v>134214500</v>
      </c>
      <c r="I863">
        <v>131524004</v>
      </c>
      <c r="J863">
        <v>2690496</v>
      </c>
      <c r="K863">
        <v>1345249</v>
      </c>
      <c r="L863">
        <v>1345247</v>
      </c>
      <c r="M863">
        <v>0</v>
      </c>
      <c r="N863">
        <v>0</v>
      </c>
      <c r="O863" s="302"/>
    </row>
    <row r="864" spans="1:15" x14ac:dyDescent="0.2">
      <c r="A864" s="302"/>
      <c r="B864" s="887"/>
      <c r="C864" s="839"/>
      <c r="D864" s="839"/>
      <c r="E864" s="713" t="s">
        <v>1557</v>
      </c>
      <c r="F864">
        <v>417445000</v>
      </c>
      <c r="G864">
        <v>0</v>
      </c>
      <c r="H864">
        <v>417445000</v>
      </c>
      <c r="I864">
        <v>417445000</v>
      </c>
      <c r="J864">
        <v>0</v>
      </c>
      <c r="K864">
        <v>0</v>
      </c>
      <c r="L864">
        <v>0</v>
      </c>
      <c r="M864">
        <v>0</v>
      </c>
      <c r="N864">
        <v>0</v>
      </c>
      <c r="O864" s="302"/>
    </row>
    <row r="865" spans="1:15" x14ac:dyDescent="0.2">
      <c r="A865" s="302"/>
      <c r="B865" s="887"/>
      <c r="C865" s="838" t="s">
        <v>2680</v>
      </c>
      <c r="D865" s="838" t="s">
        <v>2681</v>
      </c>
      <c r="E865" s="713" t="s">
        <v>26</v>
      </c>
      <c r="F865">
        <v>156390000</v>
      </c>
      <c r="G865">
        <v>56905146</v>
      </c>
      <c r="H865">
        <v>99484854</v>
      </c>
      <c r="I865">
        <v>99484854</v>
      </c>
      <c r="J865">
        <v>0</v>
      </c>
      <c r="K865">
        <v>0</v>
      </c>
      <c r="L865">
        <v>0</v>
      </c>
      <c r="M865">
        <v>0</v>
      </c>
      <c r="N865">
        <v>0</v>
      </c>
      <c r="O865" s="302"/>
    </row>
    <row r="866" spans="1:15" x14ac:dyDescent="0.2">
      <c r="A866" s="302"/>
      <c r="B866" s="887"/>
      <c r="C866" s="839"/>
      <c r="D866" s="839"/>
      <c r="E866" s="713" t="s">
        <v>1557</v>
      </c>
      <c r="F866">
        <v>364910000</v>
      </c>
      <c r="G866">
        <v>0</v>
      </c>
      <c r="H866">
        <v>364910000</v>
      </c>
      <c r="I866">
        <v>364910000</v>
      </c>
      <c r="J866">
        <v>0</v>
      </c>
      <c r="K866">
        <v>0</v>
      </c>
      <c r="L866">
        <v>0</v>
      </c>
      <c r="M866">
        <v>0</v>
      </c>
      <c r="N866">
        <v>0</v>
      </c>
      <c r="O866" s="302"/>
    </row>
    <row r="867" spans="1:15" x14ac:dyDescent="0.2">
      <c r="A867" s="302"/>
      <c r="B867" s="887"/>
      <c r="C867" s="838" t="s">
        <v>3343</v>
      </c>
      <c r="D867" s="838" t="s">
        <v>3344</v>
      </c>
      <c r="E867" s="713" t="s">
        <v>26</v>
      </c>
      <c r="F867">
        <v>126367500</v>
      </c>
      <c r="G867">
        <v>25227917</v>
      </c>
      <c r="H867">
        <v>101139583</v>
      </c>
      <c r="I867">
        <v>97094002</v>
      </c>
      <c r="J867">
        <v>4045581</v>
      </c>
      <c r="K867">
        <v>4045581</v>
      </c>
      <c r="L867">
        <v>0</v>
      </c>
      <c r="M867">
        <v>0</v>
      </c>
      <c r="N867">
        <v>0</v>
      </c>
      <c r="O867" s="302"/>
    </row>
    <row r="868" spans="1:15" x14ac:dyDescent="0.2">
      <c r="A868" s="302"/>
      <c r="B868" s="887"/>
      <c r="C868" s="839"/>
      <c r="D868" s="839"/>
      <c r="E868" s="713" t="s">
        <v>1557</v>
      </c>
      <c r="F868">
        <v>294857500</v>
      </c>
      <c r="G868">
        <v>0</v>
      </c>
      <c r="H868">
        <v>294857500</v>
      </c>
      <c r="I868">
        <v>294857500</v>
      </c>
      <c r="J868">
        <v>0</v>
      </c>
      <c r="K868">
        <v>0</v>
      </c>
      <c r="L868">
        <v>0</v>
      </c>
      <c r="M868">
        <v>0</v>
      </c>
      <c r="N868">
        <v>0</v>
      </c>
      <c r="O868" s="302"/>
    </row>
    <row r="869" spans="1:15" x14ac:dyDescent="0.2">
      <c r="A869" s="302"/>
      <c r="B869" s="887"/>
      <c r="C869" s="838" t="s">
        <v>4227</v>
      </c>
      <c r="D869" s="838" t="s">
        <v>4228</v>
      </c>
      <c r="E869" s="713" t="s">
        <v>26</v>
      </c>
      <c r="F869">
        <v>131154000</v>
      </c>
      <c r="G869">
        <v>14344740</v>
      </c>
      <c r="H869">
        <v>116809260</v>
      </c>
      <c r="I869">
        <v>112136890</v>
      </c>
      <c r="J869">
        <v>4672370</v>
      </c>
      <c r="K869">
        <v>4672370</v>
      </c>
      <c r="L869">
        <v>0</v>
      </c>
      <c r="M869">
        <v>0</v>
      </c>
      <c r="N869">
        <v>0</v>
      </c>
      <c r="O869" s="302"/>
    </row>
    <row r="870" spans="1:15" x14ac:dyDescent="0.2">
      <c r="A870" s="302"/>
      <c r="B870" s="887"/>
      <c r="C870" s="839"/>
      <c r="D870" s="839"/>
      <c r="E870" s="713" t="s">
        <v>1557</v>
      </c>
      <c r="F870">
        <v>306026000</v>
      </c>
      <c r="G870">
        <v>0</v>
      </c>
      <c r="H870">
        <v>306026000</v>
      </c>
      <c r="I870">
        <v>306026000</v>
      </c>
      <c r="J870">
        <v>0</v>
      </c>
      <c r="K870">
        <v>0</v>
      </c>
      <c r="L870">
        <v>0</v>
      </c>
      <c r="M870">
        <v>0</v>
      </c>
      <c r="N870">
        <v>0</v>
      </c>
      <c r="O870" s="302"/>
    </row>
    <row r="871" spans="1:15" x14ac:dyDescent="0.2">
      <c r="A871" s="302"/>
      <c r="B871" s="887"/>
      <c r="C871" s="838" t="s">
        <v>2956</v>
      </c>
      <c r="D871" s="838" t="s">
        <v>2957</v>
      </c>
      <c r="E871" s="713" t="s">
        <v>26</v>
      </c>
      <c r="F871">
        <v>158257600</v>
      </c>
      <c r="G871">
        <v>33258482</v>
      </c>
      <c r="H871">
        <v>124999118</v>
      </c>
      <c r="I871">
        <v>110732797</v>
      </c>
      <c r="J871">
        <v>14266321</v>
      </c>
      <c r="K871">
        <v>4613867</v>
      </c>
      <c r="L871">
        <v>4613867</v>
      </c>
      <c r="M871">
        <v>4613867</v>
      </c>
      <c r="N871">
        <v>424720</v>
      </c>
      <c r="O871" s="302"/>
    </row>
    <row r="872" spans="1:15" x14ac:dyDescent="0.2">
      <c r="A872" s="302"/>
      <c r="B872" s="887"/>
      <c r="C872" s="839"/>
      <c r="D872" s="839"/>
      <c r="E872" s="713" t="s">
        <v>1557</v>
      </c>
      <c r="F872">
        <v>365260000</v>
      </c>
      <c r="G872">
        <v>0</v>
      </c>
      <c r="H872">
        <v>365260000</v>
      </c>
      <c r="I872">
        <v>365260000</v>
      </c>
      <c r="J872">
        <v>0</v>
      </c>
      <c r="K872">
        <v>0</v>
      </c>
      <c r="L872">
        <v>0</v>
      </c>
      <c r="M872">
        <v>0</v>
      </c>
      <c r="N872">
        <v>0</v>
      </c>
      <c r="O872" s="302"/>
    </row>
    <row r="873" spans="1:15" x14ac:dyDescent="0.2">
      <c r="A873" s="302"/>
      <c r="B873" s="887"/>
      <c r="C873" s="839"/>
      <c r="D873" s="839"/>
      <c r="E873" s="713" t="s">
        <v>195</v>
      </c>
      <c r="F873">
        <v>1288518</v>
      </c>
      <c r="G873">
        <v>1288518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 s="302"/>
    </row>
    <row r="874" spans="1:15" x14ac:dyDescent="0.2">
      <c r="A874" s="302"/>
      <c r="B874" s="887"/>
      <c r="C874" s="838" t="s">
        <v>3265</v>
      </c>
      <c r="D874" s="838" t="s">
        <v>3266</v>
      </c>
      <c r="E874" s="713" t="s">
        <v>26</v>
      </c>
      <c r="F874">
        <v>126517500</v>
      </c>
      <c r="G874">
        <v>28519538</v>
      </c>
      <c r="H874">
        <v>97997962</v>
      </c>
      <c r="I874">
        <v>94078067</v>
      </c>
      <c r="J874">
        <v>3919895</v>
      </c>
      <c r="K874">
        <v>3919895</v>
      </c>
      <c r="L874">
        <v>0</v>
      </c>
      <c r="M874">
        <v>0</v>
      </c>
      <c r="N874">
        <v>0</v>
      </c>
      <c r="O874" s="302"/>
    </row>
    <row r="875" spans="1:15" x14ac:dyDescent="0.2">
      <c r="A875" s="302"/>
      <c r="B875" s="887"/>
      <c r="C875" s="839"/>
      <c r="D875" s="839"/>
      <c r="E875" s="713" t="s">
        <v>1557</v>
      </c>
      <c r="F875">
        <v>295207500</v>
      </c>
      <c r="G875">
        <v>0</v>
      </c>
      <c r="H875">
        <v>295207500</v>
      </c>
      <c r="I875">
        <v>295207500</v>
      </c>
      <c r="J875">
        <v>0</v>
      </c>
      <c r="K875">
        <v>0</v>
      </c>
      <c r="L875">
        <v>0</v>
      </c>
      <c r="M875">
        <v>0</v>
      </c>
      <c r="N875">
        <v>0</v>
      </c>
      <c r="O875" s="302"/>
    </row>
    <row r="876" spans="1:15" x14ac:dyDescent="0.2">
      <c r="A876" s="302"/>
      <c r="B876" s="887"/>
      <c r="C876" s="838" t="s">
        <v>3493</v>
      </c>
      <c r="D876" s="838" t="s">
        <v>3494</v>
      </c>
      <c r="E876" s="713" t="s">
        <v>26</v>
      </c>
      <c r="F876">
        <v>169599750</v>
      </c>
      <c r="G876">
        <v>22635689</v>
      </c>
      <c r="H876">
        <v>146964061</v>
      </c>
      <c r="I876">
        <v>141085498</v>
      </c>
      <c r="J876">
        <v>5878563</v>
      </c>
      <c r="K876">
        <v>5878563</v>
      </c>
      <c r="L876">
        <v>0</v>
      </c>
      <c r="M876">
        <v>0</v>
      </c>
      <c r="N876">
        <v>0</v>
      </c>
      <c r="O876" s="302"/>
    </row>
    <row r="877" spans="1:15" x14ac:dyDescent="0.2">
      <c r="A877" s="302"/>
      <c r="B877" s="887"/>
      <c r="C877" s="839"/>
      <c r="D877" s="839"/>
      <c r="E877" s="713" t="s">
        <v>1557</v>
      </c>
      <c r="F877">
        <v>395732750</v>
      </c>
      <c r="G877">
        <v>0</v>
      </c>
      <c r="H877">
        <v>395732750</v>
      </c>
      <c r="I877">
        <v>395732750</v>
      </c>
      <c r="J877">
        <v>0</v>
      </c>
      <c r="K877">
        <v>0</v>
      </c>
      <c r="L877">
        <v>0</v>
      </c>
      <c r="M877">
        <v>0</v>
      </c>
      <c r="N877">
        <v>0</v>
      </c>
      <c r="O877" s="302"/>
    </row>
    <row r="878" spans="1:15" x14ac:dyDescent="0.2">
      <c r="A878" s="302"/>
      <c r="B878" s="887"/>
      <c r="C878" s="838" t="s">
        <v>3345</v>
      </c>
      <c r="D878" s="838" t="s">
        <v>3346</v>
      </c>
      <c r="E878" s="713" t="s">
        <v>26</v>
      </c>
      <c r="F878">
        <v>127680000</v>
      </c>
      <c r="G878">
        <v>32829677</v>
      </c>
      <c r="H878">
        <v>94850323</v>
      </c>
      <c r="I878">
        <v>94850323</v>
      </c>
      <c r="J878">
        <v>0</v>
      </c>
      <c r="K878">
        <v>0</v>
      </c>
      <c r="L878">
        <v>0</v>
      </c>
      <c r="M878">
        <v>0</v>
      </c>
      <c r="N878">
        <v>0</v>
      </c>
      <c r="O878" s="302"/>
    </row>
    <row r="879" spans="1:15" x14ac:dyDescent="0.2">
      <c r="A879" s="302"/>
      <c r="B879" s="887"/>
      <c r="C879" s="839"/>
      <c r="D879" s="839"/>
      <c r="E879" s="713" t="s">
        <v>1557</v>
      </c>
      <c r="F879">
        <v>297920000</v>
      </c>
      <c r="G879">
        <v>0</v>
      </c>
      <c r="H879">
        <v>297920000</v>
      </c>
      <c r="I879">
        <v>297920000</v>
      </c>
      <c r="J879">
        <v>0</v>
      </c>
      <c r="K879">
        <v>0</v>
      </c>
      <c r="L879">
        <v>0</v>
      </c>
      <c r="M879">
        <v>0</v>
      </c>
      <c r="N879">
        <v>0</v>
      </c>
      <c r="O879" s="302"/>
    </row>
    <row r="880" spans="1:15" x14ac:dyDescent="0.2">
      <c r="A880" s="302"/>
      <c r="B880" s="887"/>
      <c r="C880" s="838" t="s">
        <v>2682</v>
      </c>
      <c r="D880" s="838" t="s">
        <v>2683</v>
      </c>
      <c r="E880" s="713" t="s">
        <v>26</v>
      </c>
      <c r="F880">
        <v>157950000</v>
      </c>
      <c r="G880">
        <v>44330000</v>
      </c>
      <c r="H880">
        <v>113620000</v>
      </c>
      <c r="I880">
        <v>104880000</v>
      </c>
      <c r="J880">
        <v>8740000</v>
      </c>
      <c r="K880">
        <v>4370000</v>
      </c>
      <c r="L880">
        <v>4370000</v>
      </c>
      <c r="M880">
        <v>0</v>
      </c>
      <c r="N880">
        <v>0</v>
      </c>
      <c r="O880" s="302"/>
    </row>
    <row r="881" spans="1:15" x14ac:dyDescent="0.2">
      <c r="A881" s="302"/>
      <c r="B881" s="887"/>
      <c r="C881" s="839"/>
      <c r="D881" s="839"/>
      <c r="E881" s="713" t="s">
        <v>1557</v>
      </c>
      <c r="F881">
        <v>368550000</v>
      </c>
      <c r="G881">
        <v>0</v>
      </c>
      <c r="H881">
        <v>368550000</v>
      </c>
      <c r="I881">
        <v>368550000</v>
      </c>
      <c r="J881">
        <v>0</v>
      </c>
      <c r="K881">
        <v>0</v>
      </c>
      <c r="L881">
        <v>0</v>
      </c>
      <c r="M881">
        <v>0</v>
      </c>
      <c r="N881">
        <v>0</v>
      </c>
      <c r="O881" s="302"/>
    </row>
    <row r="882" spans="1:15" x14ac:dyDescent="0.2">
      <c r="A882" s="302"/>
      <c r="B882" s="887"/>
      <c r="C882" s="838" t="s">
        <v>3267</v>
      </c>
      <c r="D882" s="838" t="s">
        <v>3268</v>
      </c>
      <c r="E882" s="713" t="s">
        <v>26</v>
      </c>
      <c r="F882">
        <v>169432500</v>
      </c>
      <c r="G882">
        <v>40969612</v>
      </c>
      <c r="H882">
        <v>128462888</v>
      </c>
      <c r="I882">
        <v>123324372</v>
      </c>
      <c r="J882">
        <v>5138516</v>
      </c>
      <c r="K882">
        <v>5138516</v>
      </c>
      <c r="L882">
        <v>0</v>
      </c>
      <c r="M882">
        <v>0</v>
      </c>
      <c r="N882">
        <v>0</v>
      </c>
      <c r="O882" s="302"/>
    </row>
    <row r="883" spans="1:15" x14ac:dyDescent="0.2">
      <c r="A883" s="302"/>
      <c r="B883" s="887"/>
      <c r="C883" s="839"/>
      <c r="D883" s="839"/>
      <c r="E883" s="713" t="s">
        <v>1557</v>
      </c>
      <c r="F883">
        <v>395342500</v>
      </c>
      <c r="G883">
        <v>0</v>
      </c>
      <c r="H883">
        <v>395342500</v>
      </c>
      <c r="I883">
        <v>395342500</v>
      </c>
      <c r="J883">
        <v>0</v>
      </c>
      <c r="K883">
        <v>0</v>
      </c>
      <c r="L883">
        <v>0</v>
      </c>
      <c r="M883">
        <v>0</v>
      </c>
      <c r="N883">
        <v>0</v>
      </c>
      <c r="O883" s="302"/>
    </row>
    <row r="884" spans="1:15" x14ac:dyDescent="0.2">
      <c r="A884" s="302"/>
      <c r="B884" s="887"/>
      <c r="C884" s="838" t="s">
        <v>3136</v>
      </c>
      <c r="D884" s="838" t="s">
        <v>3137</v>
      </c>
      <c r="E884" s="713" t="s">
        <v>26</v>
      </c>
      <c r="F884">
        <v>116250000</v>
      </c>
      <c r="G884">
        <v>36785710</v>
      </c>
      <c r="H884">
        <v>79464290</v>
      </c>
      <c r="I884">
        <v>76285719</v>
      </c>
      <c r="J884">
        <v>3178571</v>
      </c>
      <c r="K884">
        <v>3178571</v>
      </c>
      <c r="L884">
        <v>0</v>
      </c>
      <c r="M884">
        <v>0</v>
      </c>
      <c r="N884">
        <v>0</v>
      </c>
      <c r="O884" s="302"/>
    </row>
    <row r="885" spans="1:15" x14ac:dyDescent="0.2">
      <c r="A885" s="302"/>
      <c r="B885" s="887"/>
      <c r="C885" s="839"/>
      <c r="D885" s="839"/>
      <c r="E885" s="713" t="s">
        <v>1557</v>
      </c>
      <c r="F885">
        <v>271250000</v>
      </c>
      <c r="G885">
        <v>0</v>
      </c>
      <c r="H885">
        <v>271250000</v>
      </c>
      <c r="I885">
        <v>271250000</v>
      </c>
      <c r="J885">
        <v>0</v>
      </c>
      <c r="K885">
        <v>0</v>
      </c>
      <c r="L885">
        <v>0</v>
      </c>
      <c r="M885">
        <v>0</v>
      </c>
      <c r="N885">
        <v>0</v>
      </c>
      <c r="O885" s="302"/>
    </row>
    <row r="886" spans="1:15" x14ac:dyDescent="0.2">
      <c r="A886" s="302"/>
      <c r="B886" s="887"/>
      <c r="C886" s="838" t="s">
        <v>2958</v>
      </c>
      <c r="D886" s="838" t="s">
        <v>2959</v>
      </c>
      <c r="E886" s="713" t="s">
        <v>26</v>
      </c>
      <c r="F886">
        <v>151198000</v>
      </c>
      <c r="G886">
        <v>44641000</v>
      </c>
      <c r="H886">
        <v>106557000</v>
      </c>
      <c r="I886">
        <v>102305000</v>
      </c>
      <c r="J886">
        <v>4252000</v>
      </c>
      <c r="K886">
        <v>4252000</v>
      </c>
      <c r="L886">
        <v>0</v>
      </c>
      <c r="M886">
        <v>0</v>
      </c>
      <c r="N886">
        <v>0</v>
      </c>
      <c r="O886" s="302"/>
    </row>
    <row r="887" spans="1:15" x14ac:dyDescent="0.2">
      <c r="A887" s="302"/>
      <c r="B887" s="887"/>
      <c r="C887" s="839"/>
      <c r="D887" s="839"/>
      <c r="E887" s="713" t="s">
        <v>1557</v>
      </c>
      <c r="F887">
        <v>352862000</v>
      </c>
      <c r="G887">
        <v>0</v>
      </c>
      <c r="H887">
        <v>352862000</v>
      </c>
      <c r="I887">
        <v>352862000</v>
      </c>
      <c r="J887">
        <v>0</v>
      </c>
      <c r="K887">
        <v>0</v>
      </c>
      <c r="L887">
        <v>0</v>
      </c>
      <c r="M887">
        <v>0</v>
      </c>
      <c r="N887">
        <v>0</v>
      </c>
      <c r="O887" s="302"/>
    </row>
    <row r="888" spans="1:15" x14ac:dyDescent="0.2">
      <c r="A888" s="302"/>
      <c r="B888" s="887"/>
      <c r="C888" s="838" t="s">
        <v>2960</v>
      </c>
      <c r="D888" s="838" t="s">
        <v>2961</v>
      </c>
      <c r="E888" s="713" t="s">
        <v>26</v>
      </c>
      <c r="F888">
        <v>117270000</v>
      </c>
      <c r="G888">
        <v>37077141</v>
      </c>
      <c r="H888">
        <v>80192859</v>
      </c>
      <c r="I888">
        <v>76985146</v>
      </c>
      <c r="J888">
        <v>3207713</v>
      </c>
      <c r="K888">
        <v>3207713</v>
      </c>
      <c r="L888">
        <v>0</v>
      </c>
      <c r="M888">
        <v>0</v>
      </c>
      <c r="N888">
        <v>0</v>
      </c>
      <c r="O888" s="302"/>
    </row>
    <row r="889" spans="1:15" x14ac:dyDescent="0.2">
      <c r="A889" s="302"/>
      <c r="B889" s="887"/>
      <c r="C889" s="839"/>
      <c r="D889" s="839"/>
      <c r="E889" s="713" t="s">
        <v>1557</v>
      </c>
      <c r="F889">
        <v>273630000</v>
      </c>
      <c r="G889">
        <v>0</v>
      </c>
      <c r="H889">
        <v>273630000</v>
      </c>
      <c r="I889">
        <v>273630000</v>
      </c>
      <c r="J889">
        <v>0</v>
      </c>
      <c r="K889">
        <v>0</v>
      </c>
      <c r="L889">
        <v>0</v>
      </c>
      <c r="M889">
        <v>0</v>
      </c>
      <c r="N889">
        <v>0</v>
      </c>
      <c r="O889" s="302"/>
    </row>
    <row r="890" spans="1:15" x14ac:dyDescent="0.2">
      <c r="A890" s="302"/>
      <c r="B890" s="887"/>
      <c r="C890" s="838" t="s">
        <v>3138</v>
      </c>
      <c r="D890" s="838" t="s">
        <v>3139</v>
      </c>
      <c r="E890" s="713" t="s">
        <v>26</v>
      </c>
      <c r="F890">
        <v>160878812</v>
      </c>
      <c r="G890">
        <v>39050000</v>
      </c>
      <c r="H890">
        <v>121828812</v>
      </c>
      <c r="I890">
        <v>117828812</v>
      </c>
      <c r="J890">
        <v>4000000</v>
      </c>
      <c r="K890">
        <v>4000000</v>
      </c>
      <c r="L890">
        <v>0</v>
      </c>
      <c r="M890">
        <v>0</v>
      </c>
      <c r="N890">
        <v>0</v>
      </c>
      <c r="O890" s="302"/>
    </row>
    <row r="891" spans="1:15" x14ac:dyDescent="0.2">
      <c r="A891" s="302"/>
      <c r="B891" s="887"/>
      <c r="C891" s="839"/>
      <c r="D891" s="839"/>
      <c r="E891" s="713" t="s">
        <v>1557</v>
      </c>
      <c r="F891">
        <v>368978750</v>
      </c>
      <c r="G891">
        <v>0</v>
      </c>
      <c r="H891">
        <v>368978750</v>
      </c>
      <c r="I891">
        <v>368978750</v>
      </c>
      <c r="J891">
        <v>0</v>
      </c>
      <c r="K891">
        <v>0</v>
      </c>
      <c r="L891">
        <v>0</v>
      </c>
      <c r="M891">
        <v>0</v>
      </c>
      <c r="N891">
        <v>0</v>
      </c>
      <c r="O891" s="302"/>
    </row>
    <row r="892" spans="1:15" x14ac:dyDescent="0.2">
      <c r="A892" s="302"/>
      <c r="B892" s="887"/>
      <c r="C892" s="838" t="s">
        <v>2962</v>
      </c>
      <c r="D892" s="838" t="s">
        <v>2684</v>
      </c>
      <c r="E892" s="713" t="s">
        <v>26</v>
      </c>
      <c r="F892">
        <v>131000000</v>
      </c>
      <c r="G892">
        <v>33500000</v>
      </c>
      <c r="H892">
        <v>97500000</v>
      </c>
      <c r="I892">
        <v>95500000</v>
      </c>
      <c r="J892">
        <v>2000000</v>
      </c>
      <c r="K892">
        <v>2000000</v>
      </c>
      <c r="L892">
        <v>0</v>
      </c>
      <c r="M892">
        <v>0</v>
      </c>
      <c r="N892">
        <v>0</v>
      </c>
      <c r="O892" s="302"/>
    </row>
    <row r="893" spans="1:15" x14ac:dyDescent="0.2">
      <c r="A893" s="302"/>
      <c r="B893" s="887"/>
      <c r="C893" s="839"/>
      <c r="D893" s="839"/>
      <c r="E893" s="713" t="s">
        <v>1557</v>
      </c>
      <c r="F893">
        <v>256105000</v>
      </c>
      <c r="G893">
        <v>0</v>
      </c>
      <c r="H893">
        <v>256105000</v>
      </c>
      <c r="I893">
        <v>256105000</v>
      </c>
      <c r="J893">
        <v>0</v>
      </c>
      <c r="K893">
        <v>0</v>
      </c>
      <c r="L893">
        <v>0</v>
      </c>
      <c r="M893">
        <v>0</v>
      </c>
      <c r="N893">
        <v>0</v>
      </c>
      <c r="O893" s="302"/>
    </row>
    <row r="894" spans="1:15" x14ac:dyDescent="0.2">
      <c r="A894" s="302"/>
      <c r="B894" s="887"/>
      <c r="C894" s="838" t="s">
        <v>2685</v>
      </c>
      <c r="D894" s="838" t="s">
        <v>2686</v>
      </c>
      <c r="E894" s="713" t="s">
        <v>26</v>
      </c>
      <c r="F894">
        <v>151368000</v>
      </c>
      <c r="G894">
        <v>51000000</v>
      </c>
      <c r="H894">
        <v>100368000</v>
      </c>
      <c r="I894">
        <v>97368000</v>
      </c>
      <c r="J894">
        <v>3000000</v>
      </c>
      <c r="K894">
        <v>3000000</v>
      </c>
      <c r="L894">
        <v>0</v>
      </c>
      <c r="M894">
        <v>0</v>
      </c>
      <c r="N894">
        <v>0</v>
      </c>
      <c r="O894" s="302"/>
    </row>
    <row r="895" spans="1:15" x14ac:dyDescent="0.2">
      <c r="A895" s="302"/>
      <c r="B895" s="887"/>
      <c r="C895" s="839"/>
      <c r="D895" s="839"/>
      <c r="E895" s="713" t="s">
        <v>1557</v>
      </c>
      <c r="F895">
        <v>353192000</v>
      </c>
      <c r="G895">
        <v>0</v>
      </c>
      <c r="H895">
        <v>353192000</v>
      </c>
      <c r="I895">
        <v>353192000</v>
      </c>
      <c r="J895">
        <v>0</v>
      </c>
      <c r="K895">
        <v>0</v>
      </c>
      <c r="L895">
        <v>0</v>
      </c>
      <c r="M895">
        <v>0</v>
      </c>
      <c r="N895">
        <v>0</v>
      </c>
      <c r="O895" s="302"/>
    </row>
    <row r="896" spans="1:15" x14ac:dyDescent="0.2">
      <c r="A896" s="302"/>
      <c r="B896" s="887"/>
      <c r="C896" s="838" t="s">
        <v>2963</v>
      </c>
      <c r="D896" s="838" t="s">
        <v>2964</v>
      </c>
      <c r="E896" s="713" t="s">
        <v>26</v>
      </c>
      <c r="F896">
        <v>117420000</v>
      </c>
      <c r="G896">
        <v>33908000</v>
      </c>
      <c r="H896">
        <v>83512000</v>
      </c>
      <c r="I896">
        <v>77088000</v>
      </c>
      <c r="J896">
        <v>6424000</v>
      </c>
      <c r="K896">
        <v>3212000</v>
      </c>
      <c r="L896">
        <v>3212000</v>
      </c>
      <c r="M896">
        <v>0</v>
      </c>
      <c r="N896">
        <v>0</v>
      </c>
      <c r="O896" s="302"/>
    </row>
    <row r="897" spans="1:15" x14ac:dyDescent="0.2">
      <c r="A897" s="302"/>
      <c r="B897" s="887"/>
      <c r="C897" s="839"/>
      <c r="D897" s="839"/>
      <c r="E897" s="713" t="s">
        <v>1557</v>
      </c>
      <c r="F897">
        <v>273980000</v>
      </c>
      <c r="G897">
        <v>0</v>
      </c>
      <c r="H897">
        <v>273980000</v>
      </c>
      <c r="I897">
        <v>273980000</v>
      </c>
      <c r="J897">
        <v>0</v>
      </c>
      <c r="K897">
        <v>0</v>
      </c>
      <c r="L897">
        <v>0</v>
      </c>
      <c r="M897">
        <v>0</v>
      </c>
      <c r="N897">
        <v>0</v>
      </c>
      <c r="O897" s="302"/>
    </row>
    <row r="898" spans="1:15" x14ac:dyDescent="0.2">
      <c r="A898" s="302"/>
      <c r="B898" s="887"/>
      <c r="C898" s="838" t="s">
        <v>3347</v>
      </c>
      <c r="D898" s="838" t="s">
        <v>3348</v>
      </c>
      <c r="E898" s="713" t="s">
        <v>26</v>
      </c>
      <c r="F898">
        <v>170685000</v>
      </c>
      <c r="G898">
        <v>32619191</v>
      </c>
      <c r="H898">
        <v>138065809</v>
      </c>
      <c r="I898">
        <v>132548002</v>
      </c>
      <c r="J898">
        <v>5517807</v>
      </c>
      <c r="K898">
        <v>5517807</v>
      </c>
      <c r="L898">
        <v>0</v>
      </c>
      <c r="M898">
        <v>0</v>
      </c>
      <c r="N898">
        <v>0</v>
      </c>
      <c r="O898" s="302"/>
    </row>
    <row r="899" spans="1:15" x14ac:dyDescent="0.2">
      <c r="A899" s="302"/>
      <c r="B899" s="887"/>
      <c r="C899" s="839"/>
      <c r="D899" s="839"/>
      <c r="E899" s="713" t="s">
        <v>1557</v>
      </c>
      <c r="F899">
        <v>398265000</v>
      </c>
      <c r="G899">
        <v>0</v>
      </c>
      <c r="H899">
        <v>398265000</v>
      </c>
      <c r="I899">
        <v>398265000</v>
      </c>
      <c r="J899">
        <v>0</v>
      </c>
      <c r="K899">
        <v>0</v>
      </c>
      <c r="L899">
        <v>0</v>
      </c>
      <c r="M899">
        <v>0</v>
      </c>
      <c r="N899">
        <v>0</v>
      </c>
      <c r="O899" s="302"/>
    </row>
    <row r="900" spans="1:15" x14ac:dyDescent="0.2">
      <c r="A900" s="302"/>
      <c r="B900" s="887"/>
      <c r="C900" s="838" t="s">
        <v>2965</v>
      </c>
      <c r="D900" s="838" t="s">
        <v>2966</v>
      </c>
      <c r="E900" s="713" t="s">
        <v>26</v>
      </c>
      <c r="F900">
        <v>117241674</v>
      </c>
      <c r="G900">
        <v>31509074</v>
      </c>
      <c r="H900">
        <v>85732600</v>
      </c>
      <c r="I900">
        <v>79022865</v>
      </c>
      <c r="J900">
        <v>6709735</v>
      </c>
      <c r="K900">
        <v>3292619</v>
      </c>
      <c r="L900">
        <v>3292619</v>
      </c>
      <c r="M900">
        <v>124497</v>
      </c>
      <c r="N900">
        <v>0</v>
      </c>
      <c r="O900" s="302"/>
    </row>
    <row r="901" spans="1:15" x14ac:dyDescent="0.2">
      <c r="A901" s="302"/>
      <c r="B901" s="887"/>
      <c r="C901" s="839"/>
      <c r="D901" s="839"/>
      <c r="E901" s="713" t="s">
        <v>1557</v>
      </c>
      <c r="F901">
        <v>271950000</v>
      </c>
      <c r="G901">
        <v>0</v>
      </c>
      <c r="H901">
        <v>271950000</v>
      </c>
      <c r="I901">
        <v>271950000</v>
      </c>
      <c r="J901">
        <v>0</v>
      </c>
      <c r="K901">
        <v>0</v>
      </c>
      <c r="L901">
        <v>0</v>
      </c>
      <c r="M901">
        <v>0</v>
      </c>
      <c r="N901">
        <v>0</v>
      </c>
      <c r="O901" s="302"/>
    </row>
    <row r="902" spans="1:15" x14ac:dyDescent="0.2">
      <c r="A902" s="302"/>
      <c r="B902" s="887"/>
      <c r="C902" s="838" t="s">
        <v>3433</v>
      </c>
      <c r="D902" s="838" t="s">
        <v>3434</v>
      </c>
      <c r="E902" s="713" t="s">
        <v>26</v>
      </c>
      <c r="F902">
        <v>168849000</v>
      </c>
      <c r="G902">
        <v>27600000</v>
      </c>
      <c r="H902">
        <v>141249000</v>
      </c>
      <c r="I902">
        <v>135599175</v>
      </c>
      <c r="J902">
        <v>5649825</v>
      </c>
      <c r="K902">
        <v>5649825</v>
      </c>
      <c r="L902">
        <v>0</v>
      </c>
      <c r="M902">
        <v>0</v>
      </c>
      <c r="N902">
        <v>0</v>
      </c>
      <c r="O902" s="302"/>
    </row>
    <row r="903" spans="1:15" x14ac:dyDescent="0.2">
      <c r="A903" s="302"/>
      <c r="B903" s="887"/>
      <c r="C903" s="839"/>
      <c r="D903" s="839"/>
      <c r="E903" s="713" t="s">
        <v>1557</v>
      </c>
      <c r="F903">
        <v>393981000</v>
      </c>
      <c r="G903">
        <v>0</v>
      </c>
      <c r="H903">
        <v>393981000</v>
      </c>
      <c r="I903">
        <v>393981000</v>
      </c>
      <c r="J903">
        <v>0</v>
      </c>
      <c r="K903">
        <v>0</v>
      </c>
      <c r="L903">
        <v>0</v>
      </c>
      <c r="M903">
        <v>0</v>
      </c>
      <c r="N903">
        <v>0</v>
      </c>
      <c r="O903" s="302"/>
    </row>
    <row r="904" spans="1:15" x14ac:dyDescent="0.2">
      <c r="A904" s="302"/>
      <c r="B904" s="887"/>
      <c r="C904" s="838" t="s">
        <v>3349</v>
      </c>
      <c r="D904" s="838" t="s">
        <v>3350</v>
      </c>
      <c r="E904" s="713" t="s">
        <v>26</v>
      </c>
      <c r="F904">
        <v>128130000</v>
      </c>
      <c r="G904">
        <v>28831610</v>
      </c>
      <c r="H904">
        <v>99298390</v>
      </c>
      <c r="I904">
        <v>95326455</v>
      </c>
      <c r="J904">
        <v>3971935</v>
      </c>
      <c r="K904">
        <v>3971935</v>
      </c>
      <c r="L904">
        <v>0</v>
      </c>
      <c r="M904">
        <v>0</v>
      </c>
      <c r="N904">
        <v>0</v>
      </c>
      <c r="O904" s="302"/>
    </row>
    <row r="905" spans="1:15" x14ac:dyDescent="0.2">
      <c r="A905" s="302"/>
      <c r="B905" s="887"/>
      <c r="C905" s="839"/>
      <c r="D905" s="839"/>
      <c r="E905" s="713" t="s">
        <v>1557</v>
      </c>
      <c r="F905">
        <v>298970000</v>
      </c>
      <c r="G905">
        <v>0</v>
      </c>
      <c r="H905">
        <v>298970000</v>
      </c>
      <c r="I905">
        <v>298970000</v>
      </c>
      <c r="J905">
        <v>0</v>
      </c>
      <c r="K905">
        <v>0</v>
      </c>
      <c r="L905">
        <v>0</v>
      </c>
      <c r="M905">
        <v>0</v>
      </c>
      <c r="N905">
        <v>0</v>
      </c>
      <c r="O905" s="302"/>
    </row>
    <row r="906" spans="1:15" x14ac:dyDescent="0.2">
      <c r="A906" s="302"/>
      <c r="B906" s="887"/>
      <c r="C906" s="838" t="s">
        <v>2687</v>
      </c>
      <c r="D906" s="838" t="s">
        <v>2688</v>
      </c>
      <c r="E906" s="713" t="s">
        <v>26</v>
      </c>
      <c r="F906">
        <v>156900000</v>
      </c>
      <c r="G906">
        <v>52740000</v>
      </c>
      <c r="H906">
        <v>104160000</v>
      </c>
      <c r="I906">
        <v>104160000</v>
      </c>
      <c r="J906">
        <v>0</v>
      </c>
      <c r="K906">
        <v>0</v>
      </c>
      <c r="L906">
        <v>0</v>
      </c>
      <c r="M906">
        <v>0</v>
      </c>
      <c r="N906">
        <v>0</v>
      </c>
      <c r="O906" s="302"/>
    </row>
    <row r="907" spans="1:15" x14ac:dyDescent="0.2">
      <c r="A907" s="302"/>
      <c r="B907" s="887"/>
      <c r="C907" s="839"/>
      <c r="D907" s="839"/>
      <c r="E907" s="713" t="s">
        <v>1557</v>
      </c>
      <c r="F907">
        <v>366100000</v>
      </c>
      <c r="G907">
        <v>0</v>
      </c>
      <c r="H907">
        <v>366100000</v>
      </c>
      <c r="I907">
        <v>366100000</v>
      </c>
      <c r="J907">
        <v>0</v>
      </c>
      <c r="K907">
        <v>0</v>
      </c>
      <c r="L907">
        <v>0</v>
      </c>
      <c r="M907">
        <v>0</v>
      </c>
      <c r="N907">
        <v>0</v>
      </c>
      <c r="O907" s="302"/>
    </row>
    <row r="908" spans="1:15" x14ac:dyDescent="0.2">
      <c r="A908" s="302"/>
      <c r="B908" s="887"/>
      <c r="C908" s="838" t="s">
        <v>2967</v>
      </c>
      <c r="D908" s="838" t="s">
        <v>2968</v>
      </c>
      <c r="E908" s="713" t="s">
        <v>26</v>
      </c>
      <c r="F908">
        <v>165894327</v>
      </c>
      <c r="G908">
        <v>5000000</v>
      </c>
      <c r="H908">
        <v>160894327</v>
      </c>
      <c r="I908">
        <v>144894327</v>
      </c>
      <c r="J908">
        <v>16000000</v>
      </c>
      <c r="K908">
        <v>4000000</v>
      </c>
      <c r="L908">
        <v>4000000</v>
      </c>
      <c r="M908">
        <v>4000000</v>
      </c>
      <c r="N908">
        <v>4000000</v>
      </c>
      <c r="O908" s="302"/>
    </row>
    <row r="909" spans="1:15" x14ac:dyDescent="0.2">
      <c r="A909" s="302"/>
      <c r="B909" s="887"/>
      <c r="C909" s="839"/>
      <c r="D909" s="839"/>
      <c r="E909" s="713" t="s">
        <v>1557</v>
      </c>
      <c r="F909">
        <v>368060000</v>
      </c>
      <c r="G909">
        <v>0</v>
      </c>
      <c r="H909">
        <v>368060000</v>
      </c>
      <c r="I909">
        <v>368060000</v>
      </c>
      <c r="J909">
        <v>0</v>
      </c>
      <c r="K909">
        <v>0</v>
      </c>
      <c r="L909">
        <v>0</v>
      </c>
      <c r="M909">
        <v>0</v>
      </c>
      <c r="N909">
        <v>0</v>
      </c>
      <c r="O909" s="302"/>
    </row>
    <row r="910" spans="1:15" x14ac:dyDescent="0.2">
      <c r="A910" s="302"/>
      <c r="B910" s="887"/>
      <c r="C910" s="838" t="s">
        <v>3351</v>
      </c>
      <c r="D910" s="838" t="s">
        <v>3352</v>
      </c>
      <c r="E910" s="713" t="s">
        <v>26</v>
      </c>
      <c r="F910">
        <v>129681917</v>
      </c>
      <c r="G910">
        <v>19000000</v>
      </c>
      <c r="H910">
        <v>110681917</v>
      </c>
      <c r="I910">
        <v>108681917</v>
      </c>
      <c r="J910">
        <v>2000000</v>
      </c>
      <c r="K910">
        <v>2000000</v>
      </c>
      <c r="L910">
        <v>0</v>
      </c>
      <c r="M910">
        <v>0</v>
      </c>
      <c r="N910">
        <v>0</v>
      </c>
      <c r="O910" s="302"/>
    </row>
    <row r="911" spans="1:15" x14ac:dyDescent="0.2">
      <c r="A911" s="302"/>
      <c r="B911" s="887"/>
      <c r="C911" s="839"/>
      <c r="D911" s="839"/>
      <c r="E911" s="713" t="s">
        <v>1557</v>
      </c>
      <c r="F911">
        <v>294490000</v>
      </c>
      <c r="G911">
        <v>0</v>
      </c>
      <c r="H911">
        <v>294490000</v>
      </c>
      <c r="I911">
        <v>294490000</v>
      </c>
      <c r="J911">
        <v>0</v>
      </c>
      <c r="K911">
        <v>0</v>
      </c>
      <c r="L911">
        <v>0</v>
      </c>
      <c r="M911">
        <v>0</v>
      </c>
      <c r="N911">
        <v>0</v>
      </c>
      <c r="O911" s="302"/>
    </row>
    <row r="912" spans="1:15" x14ac:dyDescent="0.2">
      <c r="A912" s="302"/>
      <c r="B912" s="887"/>
      <c r="C912" s="838" t="s">
        <v>3353</v>
      </c>
      <c r="D912" s="838" t="s">
        <v>3354</v>
      </c>
      <c r="E912" s="713" t="s">
        <v>26</v>
      </c>
      <c r="F912">
        <v>166597500</v>
      </c>
      <c r="G912">
        <v>36912823</v>
      </c>
      <c r="H912">
        <v>129684677</v>
      </c>
      <c r="I912">
        <v>125107739</v>
      </c>
      <c r="J912">
        <v>4576938</v>
      </c>
      <c r="K912">
        <v>4576938</v>
      </c>
      <c r="L912">
        <v>0</v>
      </c>
      <c r="M912">
        <v>0</v>
      </c>
      <c r="N912">
        <v>0</v>
      </c>
      <c r="O912" s="302"/>
    </row>
    <row r="913" spans="1:15" x14ac:dyDescent="0.2">
      <c r="A913" s="302"/>
      <c r="B913" s="887"/>
      <c r="C913" s="839"/>
      <c r="D913" s="839"/>
      <c r="E913" s="713" t="s">
        <v>1557</v>
      </c>
      <c r="F913">
        <v>388727500</v>
      </c>
      <c r="G913">
        <v>0</v>
      </c>
      <c r="H913">
        <v>388727500</v>
      </c>
      <c r="I913">
        <v>388727500</v>
      </c>
      <c r="J913">
        <v>0</v>
      </c>
      <c r="K913">
        <v>0</v>
      </c>
      <c r="L913">
        <v>0</v>
      </c>
      <c r="M913">
        <v>0</v>
      </c>
      <c r="N913">
        <v>0</v>
      </c>
      <c r="O913" s="302"/>
    </row>
    <row r="914" spans="1:15" x14ac:dyDescent="0.2">
      <c r="A914" s="302"/>
      <c r="B914" s="887"/>
      <c r="C914" s="838" t="s">
        <v>3269</v>
      </c>
      <c r="D914" s="838" t="s">
        <v>3270</v>
      </c>
      <c r="E914" s="713" t="s">
        <v>26</v>
      </c>
      <c r="F914">
        <v>128280000</v>
      </c>
      <c r="G914">
        <v>28860644</v>
      </c>
      <c r="H914">
        <v>99419356</v>
      </c>
      <c r="I914">
        <v>95442582</v>
      </c>
      <c r="J914">
        <v>3976774</v>
      </c>
      <c r="K914">
        <v>3976774</v>
      </c>
      <c r="L914">
        <v>0</v>
      </c>
      <c r="M914">
        <v>0</v>
      </c>
      <c r="N914">
        <v>0</v>
      </c>
      <c r="O914" s="302"/>
    </row>
    <row r="915" spans="1:15" x14ac:dyDescent="0.2">
      <c r="A915" s="302"/>
      <c r="B915" s="887"/>
      <c r="C915" s="839"/>
      <c r="D915" s="839"/>
      <c r="E915" s="713" t="s">
        <v>1557</v>
      </c>
      <c r="F915">
        <v>299320000</v>
      </c>
      <c r="G915">
        <v>0</v>
      </c>
      <c r="H915">
        <v>299320000</v>
      </c>
      <c r="I915">
        <v>299320000</v>
      </c>
      <c r="J915">
        <v>0</v>
      </c>
      <c r="K915">
        <v>0</v>
      </c>
      <c r="L915">
        <v>0</v>
      </c>
      <c r="M915">
        <v>0</v>
      </c>
      <c r="N915">
        <v>0</v>
      </c>
      <c r="O915" s="302"/>
    </row>
    <row r="916" spans="1:15" x14ac:dyDescent="0.2">
      <c r="A916" s="302"/>
      <c r="B916" s="887"/>
      <c r="C916" s="838" t="s">
        <v>2969</v>
      </c>
      <c r="D916" s="838" t="s">
        <v>2970</v>
      </c>
      <c r="E916" s="713" t="s">
        <v>26</v>
      </c>
      <c r="F916">
        <v>158883750</v>
      </c>
      <c r="G916">
        <v>46985000</v>
      </c>
      <c r="H916">
        <v>111898750</v>
      </c>
      <c r="I916">
        <v>107252310</v>
      </c>
      <c r="J916">
        <v>4646440</v>
      </c>
      <c r="K916">
        <v>4646440</v>
      </c>
      <c r="L916">
        <v>0</v>
      </c>
      <c r="M916">
        <v>0</v>
      </c>
      <c r="N916">
        <v>0</v>
      </c>
      <c r="O916" s="302"/>
    </row>
    <row r="917" spans="1:15" x14ac:dyDescent="0.2">
      <c r="A917" s="302"/>
      <c r="B917" s="887"/>
      <c r="C917" s="839"/>
      <c r="D917" s="839"/>
      <c r="E917" s="713" t="s">
        <v>1557</v>
      </c>
      <c r="F917">
        <v>370728750</v>
      </c>
      <c r="G917">
        <v>0</v>
      </c>
      <c r="H917">
        <v>370728750</v>
      </c>
      <c r="I917">
        <v>370728750</v>
      </c>
      <c r="J917">
        <v>0</v>
      </c>
      <c r="K917">
        <v>0</v>
      </c>
      <c r="L917">
        <v>0</v>
      </c>
      <c r="M917">
        <v>0</v>
      </c>
      <c r="N917">
        <v>0</v>
      </c>
      <c r="O917" s="302"/>
    </row>
    <row r="918" spans="1:15" x14ac:dyDescent="0.2">
      <c r="A918" s="302"/>
      <c r="B918" s="887"/>
      <c r="C918" s="838" t="s">
        <v>4362</v>
      </c>
      <c r="D918" s="838" t="s">
        <v>3502</v>
      </c>
      <c r="E918" s="713" t="s">
        <v>26</v>
      </c>
      <c r="F918">
        <v>174548250</v>
      </c>
      <c r="G918">
        <v>23225424</v>
      </c>
      <c r="H918">
        <v>151322826</v>
      </c>
      <c r="I918">
        <v>145269931</v>
      </c>
      <c r="J918">
        <v>6052895</v>
      </c>
      <c r="K918">
        <v>6052895</v>
      </c>
      <c r="L918">
        <v>0</v>
      </c>
      <c r="M918">
        <v>0</v>
      </c>
      <c r="N918">
        <v>0</v>
      </c>
      <c r="O918" s="302"/>
    </row>
    <row r="919" spans="1:15" x14ac:dyDescent="0.2">
      <c r="A919" s="302"/>
      <c r="B919" s="887"/>
      <c r="C919" s="839"/>
      <c r="D919" s="839"/>
      <c r="E919" s="713" t="s">
        <v>1557</v>
      </c>
      <c r="F919">
        <v>407279250</v>
      </c>
      <c r="G919">
        <v>0</v>
      </c>
      <c r="H919">
        <v>407279250</v>
      </c>
      <c r="I919">
        <v>407279250</v>
      </c>
      <c r="J919">
        <v>0</v>
      </c>
      <c r="K919">
        <v>0</v>
      </c>
      <c r="L919">
        <v>0</v>
      </c>
      <c r="M919">
        <v>0</v>
      </c>
      <c r="N919">
        <v>0</v>
      </c>
      <c r="O919" s="302"/>
    </row>
    <row r="920" spans="1:15" x14ac:dyDescent="0.2">
      <c r="A920" s="302"/>
      <c r="B920" s="887"/>
      <c r="C920" s="838" t="s">
        <v>2971</v>
      </c>
      <c r="D920" s="838" t="s">
        <v>2972</v>
      </c>
      <c r="E920" s="713" t="s">
        <v>26</v>
      </c>
      <c r="F920">
        <v>119212500</v>
      </c>
      <c r="G920">
        <v>35232719</v>
      </c>
      <c r="H920">
        <v>83979781</v>
      </c>
      <c r="I920">
        <v>80620590</v>
      </c>
      <c r="J920">
        <v>3359191</v>
      </c>
      <c r="K920">
        <v>3359191</v>
      </c>
      <c r="L920">
        <v>0</v>
      </c>
      <c r="M920">
        <v>0</v>
      </c>
      <c r="N920">
        <v>0</v>
      </c>
      <c r="O920" s="302"/>
    </row>
    <row r="921" spans="1:15" x14ac:dyDescent="0.2">
      <c r="A921" s="302"/>
      <c r="B921" s="887"/>
      <c r="C921" s="839"/>
      <c r="D921" s="839"/>
      <c r="E921" s="713" t="s">
        <v>1557</v>
      </c>
      <c r="F921">
        <v>278162500</v>
      </c>
      <c r="G921">
        <v>0</v>
      </c>
      <c r="H921">
        <v>278162500</v>
      </c>
      <c r="I921">
        <v>278162500</v>
      </c>
      <c r="J921">
        <v>0</v>
      </c>
      <c r="K921">
        <v>0</v>
      </c>
      <c r="L921">
        <v>0</v>
      </c>
      <c r="M921">
        <v>0</v>
      </c>
      <c r="N921">
        <v>0</v>
      </c>
      <c r="O921" s="302"/>
    </row>
    <row r="922" spans="1:15" x14ac:dyDescent="0.2">
      <c r="A922" s="302"/>
      <c r="B922" s="887"/>
      <c r="C922" s="838" t="s">
        <v>3495</v>
      </c>
      <c r="D922" s="838" t="s">
        <v>3496</v>
      </c>
      <c r="E922" s="713" t="s">
        <v>26</v>
      </c>
      <c r="F922">
        <v>170049750</v>
      </c>
      <c r="G922">
        <v>30980000</v>
      </c>
      <c r="H922">
        <v>139069750</v>
      </c>
      <c r="I922">
        <v>139069750</v>
      </c>
      <c r="J922">
        <v>0</v>
      </c>
      <c r="K922">
        <v>0</v>
      </c>
      <c r="L922">
        <v>0</v>
      </c>
      <c r="M922">
        <v>0</v>
      </c>
      <c r="N922">
        <v>0</v>
      </c>
      <c r="O922" s="302"/>
    </row>
    <row r="923" spans="1:15" x14ac:dyDescent="0.2">
      <c r="A923" s="302"/>
      <c r="B923" s="887"/>
      <c r="C923" s="839"/>
      <c r="D923" s="839"/>
      <c r="E923" s="713" t="s">
        <v>1557</v>
      </c>
      <c r="F923">
        <v>396782750</v>
      </c>
      <c r="G923">
        <v>0</v>
      </c>
      <c r="H923">
        <v>396782750</v>
      </c>
      <c r="I923">
        <v>396782750</v>
      </c>
      <c r="J923">
        <v>0</v>
      </c>
      <c r="K923">
        <v>0</v>
      </c>
      <c r="L923">
        <v>0</v>
      </c>
      <c r="M923">
        <v>0</v>
      </c>
      <c r="N923">
        <v>0</v>
      </c>
      <c r="O923" s="302"/>
    </row>
    <row r="924" spans="1:15" x14ac:dyDescent="0.2">
      <c r="A924" s="302"/>
      <c r="B924" s="887"/>
      <c r="C924" s="838" t="s">
        <v>3435</v>
      </c>
      <c r="D924" s="838" t="s">
        <v>3436</v>
      </c>
      <c r="E924" s="713" t="s">
        <v>26</v>
      </c>
      <c r="F924">
        <v>130242000</v>
      </c>
      <c r="G924">
        <v>17956069</v>
      </c>
      <c r="H924">
        <v>112285931</v>
      </c>
      <c r="I924">
        <v>103648550</v>
      </c>
      <c r="J924">
        <v>8637381</v>
      </c>
      <c r="K924">
        <v>4318690</v>
      </c>
      <c r="L924">
        <v>4318690</v>
      </c>
      <c r="M924">
        <v>1</v>
      </c>
      <c r="N924">
        <v>0</v>
      </c>
      <c r="O924" s="302"/>
    </row>
    <row r="925" spans="1:15" x14ac:dyDescent="0.2">
      <c r="A925" s="302"/>
      <c r="B925" s="887"/>
      <c r="C925" s="839"/>
      <c r="D925" s="839"/>
      <c r="E925" s="713" t="s">
        <v>1557</v>
      </c>
      <c r="F925">
        <v>303898000</v>
      </c>
      <c r="G925">
        <v>0</v>
      </c>
      <c r="H925">
        <v>303898000</v>
      </c>
      <c r="I925">
        <v>303898000</v>
      </c>
      <c r="J925">
        <v>0</v>
      </c>
      <c r="K925">
        <v>0</v>
      </c>
      <c r="L925">
        <v>0</v>
      </c>
      <c r="M925">
        <v>0</v>
      </c>
      <c r="N925">
        <v>0</v>
      </c>
      <c r="O925" s="302"/>
    </row>
    <row r="926" spans="1:15" x14ac:dyDescent="0.2">
      <c r="A926" s="302"/>
      <c r="B926" s="887"/>
      <c r="C926" s="838" t="s">
        <v>4283</v>
      </c>
      <c r="D926" s="838" t="s">
        <v>4284</v>
      </c>
      <c r="E926" s="713" t="s">
        <v>26</v>
      </c>
      <c r="F926">
        <v>177569110</v>
      </c>
      <c r="G926">
        <v>9000000</v>
      </c>
      <c r="H926">
        <v>168569110</v>
      </c>
      <c r="I926">
        <v>164569110</v>
      </c>
      <c r="J926">
        <v>4000000</v>
      </c>
      <c r="K926">
        <v>4000000</v>
      </c>
      <c r="L926">
        <v>0</v>
      </c>
      <c r="M926">
        <v>0</v>
      </c>
      <c r="N926">
        <v>0</v>
      </c>
      <c r="O926" s="302"/>
    </row>
    <row r="927" spans="1:15" x14ac:dyDescent="0.2">
      <c r="A927" s="302"/>
      <c r="B927" s="887"/>
      <c r="C927" s="839"/>
      <c r="D927" s="839"/>
      <c r="E927" s="713" t="s">
        <v>1557</v>
      </c>
      <c r="F927">
        <v>410837000</v>
      </c>
      <c r="G927">
        <v>0</v>
      </c>
      <c r="H927">
        <v>410837000</v>
      </c>
      <c r="I927">
        <v>410837000</v>
      </c>
      <c r="J927">
        <v>0</v>
      </c>
      <c r="K927">
        <v>0</v>
      </c>
      <c r="L927">
        <v>0</v>
      </c>
      <c r="M927">
        <v>0</v>
      </c>
      <c r="N927">
        <v>0</v>
      </c>
      <c r="O927" s="302"/>
    </row>
    <row r="928" spans="1:15" x14ac:dyDescent="0.2">
      <c r="A928" s="302"/>
      <c r="B928" s="887"/>
      <c r="C928" s="838" t="s">
        <v>4363</v>
      </c>
      <c r="D928" s="838" t="s">
        <v>4364</v>
      </c>
      <c r="E928" s="713" t="s">
        <v>26</v>
      </c>
      <c r="F928">
        <v>175903500</v>
      </c>
      <c r="G928">
        <v>5000000</v>
      </c>
      <c r="H928">
        <v>170903500</v>
      </c>
      <c r="I928">
        <v>164067360</v>
      </c>
      <c r="J928">
        <v>6836140</v>
      </c>
      <c r="K928">
        <v>6836140</v>
      </c>
      <c r="L928">
        <v>0</v>
      </c>
      <c r="M928">
        <v>0</v>
      </c>
      <c r="N928">
        <v>0</v>
      </c>
      <c r="O928" s="302"/>
    </row>
    <row r="929" spans="1:15" x14ac:dyDescent="0.2">
      <c r="A929" s="302"/>
      <c r="B929" s="887"/>
      <c r="C929" s="839"/>
      <c r="D929" s="839"/>
      <c r="E929" s="713" t="s">
        <v>1557</v>
      </c>
      <c r="F929">
        <v>410441500</v>
      </c>
      <c r="G929">
        <v>0</v>
      </c>
      <c r="H929">
        <v>410441500</v>
      </c>
      <c r="I929">
        <v>410441500</v>
      </c>
      <c r="J929">
        <v>0</v>
      </c>
      <c r="K929">
        <v>0</v>
      </c>
      <c r="L929">
        <v>0</v>
      </c>
      <c r="M929">
        <v>0</v>
      </c>
      <c r="N929">
        <v>0</v>
      </c>
      <c r="O929" s="302"/>
    </row>
    <row r="930" spans="1:15" x14ac:dyDescent="0.2">
      <c r="A930" s="302"/>
      <c r="B930" s="887"/>
      <c r="C930" s="838" t="s">
        <v>2689</v>
      </c>
      <c r="D930" s="838" t="s">
        <v>862</v>
      </c>
      <c r="E930" s="713" t="s">
        <v>26</v>
      </c>
      <c r="F930">
        <v>117000000</v>
      </c>
      <c r="G930">
        <v>42200000</v>
      </c>
      <c r="H930">
        <v>74800000</v>
      </c>
      <c r="I930">
        <v>74800000</v>
      </c>
      <c r="J930">
        <v>0</v>
      </c>
      <c r="K930">
        <v>0</v>
      </c>
      <c r="L930">
        <v>0</v>
      </c>
      <c r="M930">
        <v>0</v>
      </c>
      <c r="N930">
        <v>0</v>
      </c>
      <c r="O930" s="302"/>
    </row>
    <row r="931" spans="1:15" x14ac:dyDescent="0.2">
      <c r="A931" s="302"/>
      <c r="B931" s="887"/>
      <c r="C931" s="839"/>
      <c r="D931" s="839"/>
      <c r="E931" s="713" t="s">
        <v>1557</v>
      </c>
      <c r="F931">
        <v>273000000</v>
      </c>
      <c r="G931">
        <v>0</v>
      </c>
      <c r="H931">
        <v>273000000</v>
      </c>
      <c r="I931">
        <v>273000000</v>
      </c>
      <c r="J931">
        <v>0</v>
      </c>
      <c r="K931">
        <v>0</v>
      </c>
      <c r="L931">
        <v>0</v>
      </c>
      <c r="M931">
        <v>0</v>
      </c>
      <c r="N931">
        <v>0</v>
      </c>
      <c r="O931" s="302"/>
    </row>
    <row r="932" spans="1:15" x14ac:dyDescent="0.2">
      <c r="A932" s="302"/>
      <c r="B932" s="887"/>
      <c r="C932" s="838" t="s">
        <v>3497</v>
      </c>
      <c r="D932" s="838" t="s">
        <v>3498</v>
      </c>
      <c r="E932" s="713" t="s">
        <v>26</v>
      </c>
      <c r="F932">
        <v>169299000</v>
      </c>
      <c r="G932">
        <v>39944892</v>
      </c>
      <c r="H932">
        <v>129354108</v>
      </c>
      <c r="I932">
        <v>119399144</v>
      </c>
      <c r="J932">
        <v>9954964</v>
      </c>
      <c r="K932">
        <v>4974964</v>
      </c>
      <c r="L932">
        <v>4974964</v>
      </c>
      <c r="M932">
        <v>5036</v>
      </c>
      <c r="N932">
        <v>0</v>
      </c>
      <c r="O932" s="302"/>
    </row>
    <row r="933" spans="1:15" x14ac:dyDescent="0.2">
      <c r="A933" s="302"/>
      <c r="B933" s="887"/>
      <c r="C933" s="839"/>
      <c r="D933" s="839"/>
      <c r="E933" s="713" t="s">
        <v>1557</v>
      </c>
      <c r="F933">
        <v>395031000</v>
      </c>
      <c r="G933">
        <v>0</v>
      </c>
      <c r="H933">
        <v>395031000</v>
      </c>
      <c r="I933">
        <v>395031000</v>
      </c>
      <c r="J933">
        <v>0</v>
      </c>
      <c r="K933">
        <v>0</v>
      </c>
      <c r="L933">
        <v>0</v>
      </c>
      <c r="M933">
        <v>0</v>
      </c>
      <c r="N933">
        <v>0</v>
      </c>
      <c r="O933" s="302"/>
    </row>
    <row r="934" spans="1:15" x14ac:dyDescent="0.2">
      <c r="A934" s="302"/>
      <c r="B934" s="887"/>
      <c r="C934" s="838" t="s">
        <v>2690</v>
      </c>
      <c r="D934" s="838" t="s">
        <v>2691</v>
      </c>
      <c r="E934" s="713" t="s">
        <v>26</v>
      </c>
      <c r="F934">
        <v>116760000</v>
      </c>
      <c r="G934">
        <v>32102191</v>
      </c>
      <c r="H934">
        <v>84657809</v>
      </c>
      <c r="I934">
        <v>84657809</v>
      </c>
      <c r="J934">
        <v>0</v>
      </c>
      <c r="K934">
        <v>0</v>
      </c>
      <c r="L934">
        <v>0</v>
      </c>
      <c r="M934">
        <v>0</v>
      </c>
      <c r="N934">
        <v>0</v>
      </c>
      <c r="O934" s="302"/>
    </row>
    <row r="935" spans="1:15" x14ac:dyDescent="0.2">
      <c r="A935" s="302"/>
      <c r="B935" s="887"/>
      <c r="C935" s="839"/>
      <c r="D935" s="839"/>
      <c r="E935" s="713" t="s">
        <v>1557</v>
      </c>
      <c r="F935">
        <v>272440000</v>
      </c>
      <c r="G935">
        <v>0</v>
      </c>
      <c r="H935">
        <v>272440000</v>
      </c>
      <c r="I935">
        <v>272440000</v>
      </c>
      <c r="J935">
        <v>0</v>
      </c>
      <c r="K935">
        <v>0</v>
      </c>
      <c r="L935">
        <v>0</v>
      </c>
      <c r="M935">
        <v>0</v>
      </c>
      <c r="N935">
        <v>0</v>
      </c>
      <c r="O935" s="302"/>
    </row>
    <row r="936" spans="1:15" x14ac:dyDescent="0.2">
      <c r="A936" s="302"/>
      <c r="B936" s="887"/>
      <c r="C936" s="838" t="s">
        <v>2973</v>
      </c>
      <c r="D936" s="838" t="s">
        <v>2974</v>
      </c>
      <c r="E936" s="713" t="s">
        <v>26</v>
      </c>
      <c r="F936">
        <v>159090000</v>
      </c>
      <c r="G936">
        <v>49025772</v>
      </c>
      <c r="H936">
        <v>110064228</v>
      </c>
      <c r="I936">
        <v>105661719</v>
      </c>
      <c r="J936">
        <v>4402509</v>
      </c>
      <c r="K936">
        <v>4402509</v>
      </c>
      <c r="L936">
        <v>0</v>
      </c>
      <c r="M936">
        <v>0</v>
      </c>
      <c r="N936">
        <v>0</v>
      </c>
      <c r="O936" s="302"/>
    </row>
    <row r="937" spans="1:15" x14ac:dyDescent="0.2">
      <c r="A937" s="302"/>
      <c r="B937" s="887"/>
      <c r="C937" s="839"/>
      <c r="D937" s="839"/>
      <c r="E937" s="713" t="s">
        <v>1557</v>
      </c>
      <c r="F937">
        <v>371210000</v>
      </c>
      <c r="G937">
        <v>0</v>
      </c>
      <c r="H937">
        <v>371210000</v>
      </c>
      <c r="I937">
        <v>371210000</v>
      </c>
      <c r="J937">
        <v>0</v>
      </c>
      <c r="K937">
        <v>0</v>
      </c>
      <c r="L937">
        <v>0</v>
      </c>
      <c r="M937">
        <v>0</v>
      </c>
      <c r="N937">
        <v>0</v>
      </c>
      <c r="O937" s="302"/>
    </row>
    <row r="938" spans="1:15" x14ac:dyDescent="0.2">
      <c r="A938" s="302"/>
      <c r="B938" s="887"/>
      <c r="C938" s="838" t="s">
        <v>2975</v>
      </c>
      <c r="D938" s="838" t="s">
        <v>2976</v>
      </c>
      <c r="E938" s="713" t="s">
        <v>26</v>
      </c>
      <c r="F938">
        <v>117150000</v>
      </c>
      <c r="G938">
        <v>34900000</v>
      </c>
      <c r="H938">
        <v>82250000</v>
      </c>
      <c r="I938">
        <v>78960000</v>
      </c>
      <c r="J938">
        <v>3290000</v>
      </c>
      <c r="K938">
        <v>3290000</v>
      </c>
      <c r="L938">
        <v>0</v>
      </c>
      <c r="M938">
        <v>0</v>
      </c>
      <c r="N938">
        <v>0</v>
      </c>
      <c r="O938" s="302"/>
    </row>
    <row r="939" spans="1:15" x14ac:dyDescent="0.2">
      <c r="A939" s="302"/>
      <c r="B939" s="887"/>
      <c r="C939" s="839"/>
      <c r="D939" s="839"/>
      <c r="E939" s="713" t="s">
        <v>1557</v>
      </c>
      <c r="F939">
        <v>273350000</v>
      </c>
      <c r="G939">
        <v>0</v>
      </c>
      <c r="H939">
        <v>273350000</v>
      </c>
      <c r="I939">
        <v>273350000</v>
      </c>
      <c r="J939">
        <v>0</v>
      </c>
      <c r="K939">
        <v>0</v>
      </c>
      <c r="L939">
        <v>0</v>
      </c>
      <c r="M939">
        <v>0</v>
      </c>
      <c r="N939">
        <v>0</v>
      </c>
      <c r="O939" s="302"/>
    </row>
    <row r="940" spans="1:15" x14ac:dyDescent="0.2">
      <c r="A940" s="302"/>
      <c r="B940" s="887"/>
      <c r="C940" s="838" t="s">
        <v>2692</v>
      </c>
      <c r="D940" s="838" t="s">
        <v>2693</v>
      </c>
      <c r="E940" s="713" t="s">
        <v>26</v>
      </c>
      <c r="F940">
        <v>152118000</v>
      </c>
      <c r="G940">
        <v>56462288</v>
      </c>
      <c r="H940">
        <v>95655712</v>
      </c>
      <c r="I940">
        <v>93722926</v>
      </c>
      <c r="J940">
        <v>1932786</v>
      </c>
      <c r="K940">
        <v>1932786</v>
      </c>
      <c r="L940">
        <v>0</v>
      </c>
      <c r="M940">
        <v>0</v>
      </c>
      <c r="N940">
        <v>0</v>
      </c>
      <c r="O940" s="302"/>
    </row>
    <row r="941" spans="1:15" x14ac:dyDescent="0.2">
      <c r="A941" s="302"/>
      <c r="B941" s="887"/>
      <c r="C941" s="839"/>
      <c r="D941" s="839"/>
      <c r="E941" s="713" t="s">
        <v>1557</v>
      </c>
      <c r="F941">
        <v>354942000</v>
      </c>
      <c r="G941">
        <v>0</v>
      </c>
      <c r="H941">
        <v>354942000</v>
      </c>
      <c r="I941">
        <v>354942000</v>
      </c>
      <c r="J941">
        <v>0</v>
      </c>
      <c r="K941">
        <v>0</v>
      </c>
      <c r="L941">
        <v>0</v>
      </c>
      <c r="M941">
        <v>0</v>
      </c>
      <c r="N941">
        <v>0</v>
      </c>
      <c r="O941" s="302"/>
    </row>
    <row r="942" spans="1:15" x14ac:dyDescent="0.2">
      <c r="A942" s="302"/>
      <c r="B942" s="887"/>
      <c r="C942" s="838" t="s">
        <v>2694</v>
      </c>
      <c r="D942" s="838" t="s">
        <v>2695</v>
      </c>
      <c r="E942" s="713" t="s">
        <v>26</v>
      </c>
      <c r="F942">
        <v>148880457</v>
      </c>
      <c r="G942">
        <v>68041576</v>
      </c>
      <c r="H942">
        <v>80838881</v>
      </c>
      <c r="I942">
        <v>77760000</v>
      </c>
      <c r="J942">
        <v>3078881</v>
      </c>
      <c r="K942">
        <v>3078881</v>
      </c>
      <c r="L942">
        <v>0</v>
      </c>
      <c r="M942">
        <v>0</v>
      </c>
      <c r="N942">
        <v>0</v>
      </c>
      <c r="O942" s="302"/>
    </row>
    <row r="943" spans="1:15" x14ac:dyDescent="0.2">
      <c r="A943" s="302"/>
      <c r="B943" s="887"/>
      <c r="C943" s="839"/>
      <c r="D943" s="839"/>
      <c r="E943" s="713" t="s">
        <v>1557</v>
      </c>
      <c r="F943">
        <v>240819543</v>
      </c>
      <c r="G943">
        <v>0</v>
      </c>
      <c r="H943">
        <v>240819543</v>
      </c>
      <c r="I943">
        <v>240819543</v>
      </c>
      <c r="J943">
        <v>0</v>
      </c>
      <c r="K943">
        <v>0</v>
      </c>
      <c r="L943">
        <v>0</v>
      </c>
      <c r="M943">
        <v>0</v>
      </c>
      <c r="N943">
        <v>0</v>
      </c>
      <c r="O943" s="302"/>
    </row>
    <row r="944" spans="1:15" x14ac:dyDescent="0.2">
      <c r="A944" s="302"/>
      <c r="B944" s="887"/>
      <c r="C944" s="838" t="s">
        <v>3140</v>
      </c>
      <c r="D944" s="838" t="s">
        <v>3141</v>
      </c>
      <c r="E944" s="713" t="s">
        <v>26</v>
      </c>
      <c r="F944">
        <v>159240000</v>
      </c>
      <c r="G944">
        <v>31426671</v>
      </c>
      <c r="H944">
        <v>127813329</v>
      </c>
      <c r="I944">
        <v>105764573</v>
      </c>
      <c r="J944">
        <v>22048756</v>
      </c>
      <c r="K944">
        <v>4406857</v>
      </c>
      <c r="L944">
        <v>4406857</v>
      </c>
      <c r="M944">
        <v>4406857</v>
      </c>
      <c r="N944">
        <v>8828185</v>
      </c>
      <c r="O944" s="302"/>
    </row>
    <row r="945" spans="1:15" x14ac:dyDescent="0.2">
      <c r="A945" s="302"/>
      <c r="B945" s="887"/>
      <c r="C945" s="839"/>
      <c r="D945" s="839"/>
      <c r="E945" s="713" t="s">
        <v>1557</v>
      </c>
      <c r="F945">
        <v>371560000</v>
      </c>
      <c r="G945">
        <v>0</v>
      </c>
      <c r="H945">
        <v>371560000</v>
      </c>
      <c r="I945">
        <v>371560000</v>
      </c>
      <c r="J945">
        <v>0</v>
      </c>
      <c r="K945">
        <v>0</v>
      </c>
      <c r="L945">
        <v>0</v>
      </c>
      <c r="M945">
        <v>0</v>
      </c>
      <c r="N945">
        <v>0</v>
      </c>
      <c r="O945" s="302"/>
    </row>
    <row r="946" spans="1:15" x14ac:dyDescent="0.2">
      <c r="A946" s="302"/>
      <c r="B946" s="887"/>
      <c r="C946" s="839"/>
      <c r="D946" s="839"/>
      <c r="E946" s="713" t="s">
        <v>195</v>
      </c>
      <c r="F946">
        <v>1073329</v>
      </c>
      <c r="G946">
        <v>1073329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 s="302"/>
    </row>
    <row r="947" spans="1:15" x14ac:dyDescent="0.2">
      <c r="A947" s="302"/>
      <c r="B947" s="887"/>
      <c r="C947" s="838" t="s">
        <v>2977</v>
      </c>
      <c r="D947" s="838" t="s">
        <v>2978</v>
      </c>
      <c r="E947" s="713" t="s">
        <v>26</v>
      </c>
      <c r="F947">
        <v>117300000</v>
      </c>
      <c r="G947">
        <v>37085710</v>
      </c>
      <c r="H947">
        <v>80214290</v>
      </c>
      <c r="I947">
        <v>77005719</v>
      </c>
      <c r="J947">
        <v>3208571</v>
      </c>
      <c r="K947">
        <v>3208571</v>
      </c>
      <c r="L947">
        <v>0</v>
      </c>
      <c r="M947">
        <v>0</v>
      </c>
      <c r="N947">
        <v>0</v>
      </c>
      <c r="O947" s="302"/>
    </row>
    <row r="948" spans="1:15" x14ac:dyDescent="0.2">
      <c r="A948" s="302"/>
      <c r="B948" s="887"/>
      <c r="C948" s="839"/>
      <c r="D948" s="839"/>
      <c r="E948" s="713" t="s">
        <v>1557</v>
      </c>
      <c r="F948">
        <v>273700000</v>
      </c>
      <c r="G948">
        <v>0</v>
      </c>
      <c r="H948">
        <v>273700000</v>
      </c>
      <c r="I948">
        <v>273700000</v>
      </c>
      <c r="J948">
        <v>0</v>
      </c>
      <c r="K948">
        <v>0</v>
      </c>
      <c r="L948">
        <v>0</v>
      </c>
      <c r="M948">
        <v>0</v>
      </c>
      <c r="N948">
        <v>0</v>
      </c>
      <c r="O948" s="302"/>
    </row>
    <row r="949" spans="1:15" x14ac:dyDescent="0.2">
      <c r="A949" s="302"/>
      <c r="B949" s="887"/>
      <c r="C949" s="838" t="s">
        <v>3142</v>
      </c>
      <c r="D949" s="838" t="s">
        <v>3143</v>
      </c>
      <c r="E949" s="713" t="s">
        <v>26</v>
      </c>
      <c r="F949">
        <v>156390750</v>
      </c>
      <c r="G949">
        <v>51302500</v>
      </c>
      <c r="H949">
        <v>105088250</v>
      </c>
      <c r="I949">
        <v>105088250</v>
      </c>
      <c r="J949">
        <v>0</v>
      </c>
      <c r="K949">
        <v>0</v>
      </c>
      <c r="L949">
        <v>0</v>
      </c>
      <c r="M949">
        <v>0</v>
      </c>
      <c r="N949">
        <v>0</v>
      </c>
      <c r="O949" s="302"/>
    </row>
    <row r="950" spans="1:15" x14ac:dyDescent="0.2">
      <c r="A950" s="302"/>
      <c r="B950" s="887"/>
      <c r="C950" s="839"/>
      <c r="D950" s="839"/>
      <c r="E950" s="713" t="s">
        <v>1557</v>
      </c>
      <c r="F950">
        <v>364911750</v>
      </c>
      <c r="G950">
        <v>0</v>
      </c>
      <c r="H950">
        <v>364911750</v>
      </c>
      <c r="I950">
        <v>364911750</v>
      </c>
      <c r="J950">
        <v>0</v>
      </c>
      <c r="K950">
        <v>0</v>
      </c>
      <c r="L950">
        <v>0</v>
      </c>
      <c r="M950">
        <v>0</v>
      </c>
      <c r="N950">
        <v>0</v>
      </c>
      <c r="O950" s="302"/>
    </row>
    <row r="951" spans="1:15" x14ac:dyDescent="0.2">
      <c r="A951" s="302"/>
      <c r="B951" s="887"/>
      <c r="C951" s="838" t="s">
        <v>3217</v>
      </c>
      <c r="D951" s="838" t="s">
        <v>3355</v>
      </c>
      <c r="E951" s="713" t="s">
        <v>26</v>
      </c>
      <c r="F951">
        <v>134478000</v>
      </c>
      <c r="G951">
        <v>31918000</v>
      </c>
      <c r="H951">
        <v>102560000</v>
      </c>
      <c r="I951">
        <v>101407000</v>
      </c>
      <c r="J951">
        <v>1153000</v>
      </c>
      <c r="K951">
        <v>1153000</v>
      </c>
      <c r="L951">
        <v>0</v>
      </c>
      <c r="M951">
        <v>0</v>
      </c>
      <c r="N951">
        <v>0</v>
      </c>
      <c r="O951" s="302"/>
    </row>
    <row r="952" spans="1:15" x14ac:dyDescent="0.2">
      <c r="A952" s="302"/>
      <c r="B952" s="887"/>
      <c r="C952" s="839"/>
      <c r="D952" s="839"/>
      <c r="E952" s="713" t="s">
        <v>1557</v>
      </c>
      <c r="F952">
        <v>295122000</v>
      </c>
      <c r="G952">
        <v>0</v>
      </c>
      <c r="H952">
        <v>295122000</v>
      </c>
      <c r="I952">
        <v>295122000</v>
      </c>
      <c r="J952">
        <v>0</v>
      </c>
      <c r="K952">
        <v>0</v>
      </c>
      <c r="L952">
        <v>0</v>
      </c>
      <c r="M952">
        <v>0</v>
      </c>
      <c r="N952">
        <v>0</v>
      </c>
      <c r="O952" s="302"/>
    </row>
    <row r="953" spans="1:15" x14ac:dyDescent="0.2">
      <c r="A953" s="302"/>
      <c r="B953" s="887"/>
      <c r="C953" s="838" t="s">
        <v>4229</v>
      </c>
      <c r="D953" s="838" t="s">
        <v>4230</v>
      </c>
      <c r="E953" s="713" t="s">
        <v>26</v>
      </c>
      <c r="F953">
        <v>176523000</v>
      </c>
      <c r="G953">
        <v>17705408</v>
      </c>
      <c r="H953">
        <v>158817592</v>
      </c>
      <c r="I953">
        <v>152464888</v>
      </c>
      <c r="J953">
        <v>6352704</v>
      </c>
      <c r="K953">
        <v>6352704</v>
      </c>
      <c r="L953">
        <v>0</v>
      </c>
      <c r="M953">
        <v>0</v>
      </c>
      <c r="N953">
        <v>0</v>
      </c>
      <c r="O953" s="302"/>
    </row>
    <row r="954" spans="1:15" x14ac:dyDescent="0.2">
      <c r="A954" s="302"/>
      <c r="B954" s="887"/>
      <c r="C954" s="839"/>
      <c r="D954" s="839"/>
      <c r="E954" s="713" t="s">
        <v>1557</v>
      </c>
      <c r="F954">
        <v>411887000</v>
      </c>
      <c r="G954">
        <v>0</v>
      </c>
      <c r="H954">
        <v>411887000</v>
      </c>
      <c r="I954">
        <v>411887000</v>
      </c>
      <c r="J954">
        <v>0</v>
      </c>
      <c r="K954">
        <v>0</v>
      </c>
      <c r="L954">
        <v>0</v>
      </c>
      <c r="M954">
        <v>0</v>
      </c>
      <c r="N954">
        <v>0</v>
      </c>
      <c r="O954" s="302"/>
    </row>
    <row r="955" spans="1:15" x14ac:dyDescent="0.2">
      <c r="A955" s="302"/>
      <c r="B955" s="887"/>
      <c r="C955" s="838" t="s">
        <v>2696</v>
      </c>
      <c r="D955" s="838" t="s">
        <v>2697</v>
      </c>
      <c r="E955" s="713" t="s">
        <v>26</v>
      </c>
      <c r="F955">
        <v>117450000</v>
      </c>
      <c r="G955">
        <v>37128570</v>
      </c>
      <c r="H955">
        <v>80321430</v>
      </c>
      <c r="I955">
        <v>77108573</v>
      </c>
      <c r="J955">
        <v>3212857</v>
      </c>
      <c r="K955">
        <v>3212857</v>
      </c>
      <c r="L955">
        <v>0</v>
      </c>
      <c r="M955">
        <v>0</v>
      </c>
      <c r="N955">
        <v>0</v>
      </c>
      <c r="O955" s="302"/>
    </row>
    <row r="956" spans="1:15" x14ac:dyDescent="0.2">
      <c r="A956" s="302"/>
      <c r="B956" s="887"/>
      <c r="C956" s="839"/>
      <c r="D956" s="839"/>
      <c r="E956" s="713" t="s">
        <v>1557</v>
      </c>
      <c r="F956">
        <v>274050000</v>
      </c>
      <c r="G956">
        <v>0</v>
      </c>
      <c r="H956">
        <v>274050000</v>
      </c>
      <c r="I956">
        <v>274050000</v>
      </c>
      <c r="J956">
        <v>0</v>
      </c>
      <c r="K956">
        <v>0</v>
      </c>
      <c r="L956">
        <v>0</v>
      </c>
      <c r="M956">
        <v>0</v>
      </c>
      <c r="N956">
        <v>0</v>
      </c>
      <c r="O956" s="302"/>
    </row>
    <row r="957" spans="1:15" x14ac:dyDescent="0.2">
      <c r="A957" s="302"/>
      <c r="B957" s="887"/>
      <c r="C957" s="838" t="s">
        <v>3271</v>
      </c>
      <c r="D957" s="838" t="s">
        <v>3272</v>
      </c>
      <c r="E957" s="713" t="s">
        <v>900</v>
      </c>
      <c r="F957">
        <v>390477500</v>
      </c>
      <c r="G957">
        <v>0</v>
      </c>
      <c r="H957">
        <v>390477500</v>
      </c>
      <c r="I957">
        <v>390477500</v>
      </c>
      <c r="J957">
        <v>0</v>
      </c>
      <c r="K957">
        <v>0</v>
      </c>
      <c r="L957">
        <v>0</v>
      </c>
      <c r="M957">
        <v>0</v>
      </c>
      <c r="N957">
        <v>0</v>
      </c>
      <c r="O957" s="302"/>
    </row>
    <row r="958" spans="1:15" x14ac:dyDescent="0.2">
      <c r="A958" s="302"/>
      <c r="B958" s="887"/>
      <c r="C958" s="839"/>
      <c r="D958" s="839"/>
      <c r="E958" s="713" t="s">
        <v>26</v>
      </c>
      <c r="F958">
        <v>167347500</v>
      </c>
      <c r="G958">
        <v>37365403</v>
      </c>
      <c r="H958">
        <v>129982097</v>
      </c>
      <c r="I958">
        <v>121760628</v>
      </c>
      <c r="J958">
        <v>8221469</v>
      </c>
      <c r="K958">
        <v>5073359</v>
      </c>
      <c r="L958">
        <v>3148110</v>
      </c>
      <c r="M958">
        <v>0</v>
      </c>
      <c r="N958">
        <v>0</v>
      </c>
      <c r="O958" s="302"/>
    </row>
    <row r="959" spans="1:15" x14ac:dyDescent="0.2">
      <c r="A959" s="302"/>
      <c r="B959" s="887"/>
      <c r="C959" s="838" t="s">
        <v>3273</v>
      </c>
      <c r="D959" s="838" t="s">
        <v>3274</v>
      </c>
      <c r="E959" s="713" t="s">
        <v>26</v>
      </c>
      <c r="F959">
        <v>129030000</v>
      </c>
      <c r="G959">
        <v>29005808</v>
      </c>
      <c r="H959">
        <v>100024192</v>
      </c>
      <c r="I959">
        <v>96023224</v>
      </c>
      <c r="J959">
        <v>4000968</v>
      </c>
      <c r="K959">
        <v>4000968</v>
      </c>
      <c r="L959">
        <v>0</v>
      </c>
      <c r="M959">
        <v>0</v>
      </c>
      <c r="N959">
        <v>0</v>
      </c>
      <c r="O959" s="302"/>
    </row>
    <row r="960" spans="1:15" x14ac:dyDescent="0.2">
      <c r="A960" s="302"/>
      <c r="B960" s="887"/>
      <c r="C960" s="839"/>
      <c r="D960" s="839"/>
      <c r="E960" s="713" t="s">
        <v>1557</v>
      </c>
      <c r="F960">
        <v>301070000</v>
      </c>
      <c r="G960">
        <v>0</v>
      </c>
      <c r="H960">
        <v>301070000</v>
      </c>
      <c r="I960">
        <v>301070000</v>
      </c>
      <c r="J960">
        <v>0</v>
      </c>
      <c r="K960">
        <v>0</v>
      </c>
      <c r="L960">
        <v>0</v>
      </c>
      <c r="M960">
        <v>0</v>
      </c>
      <c r="N960">
        <v>0</v>
      </c>
      <c r="O960" s="302"/>
    </row>
    <row r="961" spans="1:15" x14ac:dyDescent="0.2">
      <c r="A961" s="302"/>
      <c r="B961" s="887"/>
      <c r="C961" s="838" t="s">
        <v>4231</v>
      </c>
      <c r="D961" s="838" t="s">
        <v>4232</v>
      </c>
      <c r="E961" s="713" t="s">
        <v>26</v>
      </c>
      <c r="F961">
        <v>176673000</v>
      </c>
      <c r="G961">
        <v>19000000</v>
      </c>
      <c r="H961">
        <v>157673000</v>
      </c>
      <c r="I961">
        <v>152598223</v>
      </c>
      <c r="J961">
        <v>5074777</v>
      </c>
      <c r="K961">
        <v>5074777</v>
      </c>
      <c r="L961">
        <v>0</v>
      </c>
      <c r="M961">
        <v>0</v>
      </c>
      <c r="N961">
        <v>0</v>
      </c>
      <c r="O961" s="302"/>
    </row>
    <row r="962" spans="1:15" x14ac:dyDescent="0.2">
      <c r="A962" s="302"/>
      <c r="B962" s="887"/>
      <c r="C962" s="839"/>
      <c r="D962" s="839"/>
      <c r="E962" s="713" t="s">
        <v>1557</v>
      </c>
      <c r="F962">
        <v>412237000</v>
      </c>
      <c r="G962">
        <v>0</v>
      </c>
      <c r="H962">
        <v>412237000</v>
      </c>
      <c r="I962">
        <v>412237000</v>
      </c>
      <c r="J962">
        <v>0</v>
      </c>
      <c r="K962">
        <v>0</v>
      </c>
      <c r="L962">
        <v>0</v>
      </c>
      <c r="M962">
        <v>0</v>
      </c>
      <c r="N962">
        <v>0</v>
      </c>
      <c r="O962" s="302"/>
    </row>
    <row r="963" spans="1:15" x14ac:dyDescent="0.2">
      <c r="A963" s="302"/>
      <c r="B963" s="887"/>
      <c r="C963" s="838" t="s">
        <v>3144</v>
      </c>
      <c r="D963" s="838" t="s">
        <v>3145</v>
      </c>
      <c r="E963" s="713" t="s">
        <v>900</v>
      </c>
      <c r="F963">
        <v>375282250</v>
      </c>
      <c r="G963">
        <v>0</v>
      </c>
      <c r="H963">
        <v>375282250</v>
      </c>
      <c r="I963">
        <v>375282250</v>
      </c>
      <c r="J963">
        <v>0</v>
      </c>
      <c r="K963">
        <v>0</v>
      </c>
      <c r="L963">
        <v>0</v>
      </c>
      <c r="M963">
        <v>0</v>
      </c>
      <c r="N963">
        <v>0</v>
      </c>
      <c r="O963" s="302"/>
    </row>
    <row r="964" spans="1:15" x14ac:dyDescent="0.2">
      <c r="A964" s="302"/>
      <c r="B964" s="887"/>
      <c r="C964" s="839"/>
      <c r="D964" s="839"/>
      <c r="E964" s="713" t="s">
        <v>26</v>
      </c>
      <c r="F964">
        <v>160835250</v>
      </c>
      <c r="G964">
        <v>46250510</v>
      </c>
      <c r="H964">
        <v>114584740</v>
      </c>
      <c r="I964">
        <v>110001350</v>
      </c>
      <c r="J964">
        <v>4583390</v>
      </c>
      <c r="K964">
        <v>4583390</v>
      </c>
      <c r="L964">
        <v>0</v>
      </c>
      <c r="M964">
        <v>0</v>
      </c>
      <c r="N964">
        <v>0</v>
      </c>
      <c r="O964" s="302"/>
    </row>
    <row r="965" spans="1:15" x14ac:dyDescent="0.2">
      <c r="A965" s="302"/>
      <c r="B965" s="887"/>
      <c r="C965" s="838" t="s">
        <v>2979</v>
      </c>
      <c r="D965" s="838" t="s">
        <v>2980</v>
      </c>
      <c r="E965" s="713" t="s">
        <v>26</v>
      </c>
      <c r="F965">
        <v>117870000</v>
      </c>
      <c r="G965">
        <v>40473427</v>
      </c>
      <c r="H965">
        <v>77396573</v>
      </c>
      <c r="I965">
        <v>77396573</v>
      </c>
      <c r="J965">
        <v>0</v>
      </c>
      <c r="K965">
        <v>0</v>
      </c>
      <c r="L965">
        <v>0</v>
      </c>
      <c r="M965">
        <v>0</v>
      </c>
      <c r="N965">
        <v>0</v>
      </c>
      <c r="O965" s="302"/>
    </row>
    <row r="966" spans="1:15" x14ac:dyDescent="0.2">
      <c r="A966" s="302"/>
      <c r="B966" s="887"/>
      <c r="C966" s="839"/>
      <c r="D966" s="839"/>
      <c r="E966" s="713" t="s">
        <v>1557</v>
      </c>
      <c r="F966">
        <v>275030000</v>
      </c>
      <c r="G966">
        <v>0</v>
      </c>
      <c r="H966">
        <v>275030000</v>
      </c>
      <c r="I966">
        <v>275030000</v>
      </c>
      <c r="J966">
        <v>0</v>
      </c>
      <c r="K966">
        <v>0</v>
      </c>
      <c r="L966">
        <v>0</v>
      </c>
      <c r="M966">
        <v>0</v>
      </c>
      <c r="N966">
        <v>0</v>
      </c>
      <c r="O966" s="302"/>
    </row>
    <row r="967" spans="1:15" x14ac:dyDescent="0.2">
      <c r="A967" s="302"/>
      <c r="B967" s="887"/>
      <c r="C967" s="838" t="s">
        <v>2981</v>
      </c>
      <c r="D967" s="838" t="s">
        <v>2982</v>
      </c>
      <c r="E967" s="713" t="s">
        <v>26</v>
      </c>
      <c r="F967">
        <v>155490000</v>
      </c>
      <c r="G967">
        <v>47997140</v>
      </c>
      <c r="H967">
        <v>107492860</v>
      </c>
      <c r="I967">
        <v>103193146</v>
      </c>
      <c r="J967">
        <v>4299714</v>
      </c>
      <c r="K967">
        <v>4299714</v>
      </c>
      <c r="L967">
        <v>0</v>
      </c>
      <c r="M967">
        <v>0</v>
      </c>
      <c r="N967">
        <v>0</v>
      </c>
      <c r="O967" s="302"/>
    </row>
    <row r="968" spans="1:15" x14ac:dyDescent="0.2">
      <c r="A968" s="302"/>
      <c r="B968" s="887"/>
      <c r="C968" s="839"/>
      <c r="D968" s="839"/>
      <c r="E968" s="713" t="s">
        <v>1557</v>
      </c>
      <c r="F968">
        <v>362810000</v>
      </c>
      <c r="G968">
        <v>0</v>
      </c>
      <c r="H968">
        <v>362810000</v>
      </c>
      <c r="I968">
        <v>362810000</v>
      </c>
      <c r="J968">
        <v>0</v>
      </c>
      <c r="K968">
        <v>0</v>
      </c>
      <c r="L968">
        <v>0</v>
      </c>
      <c r="M968">
        <v>0</v>
      </c>
      <c r="N968">
        <v>0</v>
      </c>
      <c r="O968" s="302"/>
    </row>
    <row r="969" spans="1:15" x14ac:dyDescent="0.2">
      <c r="A969" s="302"/>
      <c r="B969" s="887"/>
      <c r="C969" s="838" t="s">
        <v>4233</v>
      </c>
      <c r="D969" s="838" t="s">
        <v>4234</v>
      </c>
      <c r="E969" s="713" t="s">
        <v>26</v>
      </c>
      <c r="F969">
        <v>132300000</v>
      </c>
      <c r="G969">
        <v>45500000</v>
      </c>
      <c r="H969">
        <v>86800000</v>
      </c>
      <c r="I969">
        <v>86800000</v>
      </c>
      <c r="J969">
        <v>0</v>
      </c>
      <c r="K969">
        <v>0</v>
      </c>
      <c r="L969">
        <v>0</v>
      </c>
      <c r="M969">
        <v>0</v>
      </c>
      <c r="N969">
        <v>0</v>
      </c>
      <c r="O969" s="302"/>
    </row>
    <row r="970" spans="1:15" x14ac:dyDescent="0.2">
      <c r="A970" s="302"/>
      <c r="B970" s="887"/>
      <c r="C970" s="839"/>
      <c r="D970" s="839"/>
      <c r="E970" s="713" t="s">
        <v>1557</v>
      </c>
      <c r="F970">
        <v>308700000</v>
      </c>
      <c r="G970">
        <v>0</v>
      </c>
      <c r="H970">
        <v>308700000</v>
      </c>
      <c r="I970">
        <v>308700000</v>
      </c>
      <c r="J970">
        <v>0</v>
      </c>
      <c r="K970">
        <v>0</v>
      </c>
      <c r="L970">
        <v>0</v>
      </c>
      <c r="M970">
        <v>0</v>
      </c>
      <c r="N970">
        <v>0</v>
      </c>
      <c r="O970" s="302"/>
    </row>
    <row r="971" spans="1:15" x14ac:dyDescent="0.2">
      <c r="A971" s="302"/>
      <c r="B971" s="887"/>
      <c r="C971" s="838" t="s">
        <v>4235</v>
      </c>
      <c r="D971" s="838" t="s">
        <v>4236</v>
      </c>
      <c r="E971" s="713" t="s">
        <v>26</v>
      </c>
      <c r="F971">
        <v>173693767</v>
      </c>
      <c r="G971">
        <v>17495834</v>
      </c>
      <c r="H971">
        <v>156197933</v>
      </c>
      <c r="I971">
        <v>149950016</v>
      </c>
      <c r="J971">
        <v>6247917</v>
      </c>
      <c r="K971">
        <v>6247917</v>
      </c>
      <c r="L971">
        <v>0</v>
      </c>
      <c r="M971">
        <v>0</v>
      </c>
      <c r="N971">
        <v>0</v>
      </c>
      <c r="O971" s="302"/>
    </row>
    <row r="972" spans="1:15" x14ac:dyDescent="0.2">
      <c r="A972" s="302"/>
      <c r="B972" s="887"/>
      <c r="C972" s="839"/>
      <c r="D972" s="839"/>
      <c r="E972" s="713" t="s">
        <v>1557</v>
      </c>
      <c r="F972">
        <v>405285458</v>
      </c>
      <c r="G972">
        <v>0</v>
      </c>
      <c r="H972">
        <v>405285458</v>
      </c>
      <c r="I972">
        <v>405285458</v>
      </c>
      <c r="J972">
        <v>0</v>
      </c>
      <c r="K972">
        <v>0</v>
      </c>
      <c r="L972">
        <v>0</v>
      </c>
      <c r="M972">
        <v>0</v>
      </c>
      <c r="N972">
        <v>0</v>
      </c>
      <c r="O972" s="302"/>
    </row>
    <row r="973" spans="1:15" x14ac:dyDescent="0.2">
      <c r="A973" s="302"/>
      <c r="B973" s="887"/>
      <c r="C973" s="838" t="s">
        <v>2983</v>
      </c>
      <c r="D973" s="838" t="s">
        <v>2984</v>
      </c>
      <c r="E973" s="713" t="s">
        <v>26</v>
      </c>
      <c r="F973">
        <v>126564608</v>
      </c>
      <c r="G973">
        <v>19000000</v>
      </c>
      <c r="H973">
        <v>107564608</v>
      </c>
      <c r="I973">
        <v>106564608</v>
      </c>
      <c r="J973">
        <v>1000000</v>
      </c>
      <c r="K973">
        <v>1000000</v>
      </c>
      <c r="L973">
        <v>0</v>
      </c>
      <c r="M973">
        <v>0</v>
      </c>
      <c r="N973">
        <v>0</v>
      </c>
      <c r="O973" s="302"/>
    </row>
    <row r="974" spans="1:15" x14ac:dyDescent="0.2">
      <c r="A974" s="302"/>
      <c r="B974" s="887"/>
      <c r="C974" s="839"/>
      <c r="D974" s="839"/>
      <c r="E974" s="713" t="s">
        <v>1557</v>
      </c>
      <c r="F974">
        <v>274750000</v>
      </c>
      <c r="G974">
        <v>0</v>
      </c>
      <c r="H974">
        <v>274750000</v>
      </c>
      <c r="I974">
        <v>274750000</v>
      </c>
      <c r="J974">
        <v>0</v>
      </c>
      <c r="K974">
        <v>0</v>
      </c>
      <c r="L974">
        <v>0</v>
      </c>
      <c r="M974">
        <v>0</v>
      </c>
      <c r="N974">
        <v>0</v>
      </c>
      <c r="O974" s="302"/>
    </row>
    <row r="975" spans="1:15" x14ac:dyDescent="0.2">
      <c r="A975" s="302"/>
      <c r="B975" s="887"/>
      <c r="C975" s="838" t="s">
        <v>3146</v>
      </c>
      <c r="D975" s="838" t="s">
        <v>3147</v>
      </c>
      <c r="E975" s="713" t="s">
        <v>26</v>
      </c>
      <c r="F975">
        <v>156840750</v>
      </c>
      <c r="G975">
        <v>45193138</v>
      </c>
      <c r="H975">
        <v>111647612</v>
      </c>
      <c r="I975">
        <v>107181710</v>
      </c>
      <c r="J975">
        <v>4465902</v>
      </c>
      <c r="K975">
        <v>4465902</v>
      </c>
      <c r="L975">
        <v>0</v>
      </c>
      <c r="M975">
        <v>0</v>
      </c>
      <c r="N975">
        <v>0</v>
      </c>
      <c r="O975" s="302"/>
    </row>
    <row r="976" spans="1:15" x14ac:dyDescent="0.2">
      <c r="A976" s="302"/>
      <c r="B976" s="887"/>
      <c r="C976" s="839"/>
      <c r="D976" s="839"/>
      <c r="E976" s="713" t="s">
        <v>1557</v>
      </c>
      <c r="F976">
        <v>365961750</v>
      </c>
      <c r="G976">
        <v>0</v>
      </c>
      <c r="H976">
        <v>365961750</v>
      </c>
      <c r="I976">
        <v>365961750</v>
      </c>
      <c r="J976">
        <v>0</v>
      </c>
      <c r="K976">
        <v>0</v>
      </c>
      <c r="L976">
        <v>0</v>
      </c>
      <c r="M976">
        <v>0</v>
      </c>
      <c r="N976">
        <v>0</v>
      </c>
      <c r="O976" s="302"/>
    </row>
    <row r="977" spans="1:15" x14ac:dyDescent="0.2">
      <c r="A977" s="302"/>
      <c r="B977" s="887"/>
      <c r="C977" s="838" t="s">
        <v>3437</v>
      </c>
      <c r="D977" s="838" t="s">
        <v>1186</v>
      </c>
      <c r="E977" s="713" t="s">
        <v>26</v>
      </c>
      <c r="F977">
        <v>130242000</v>
      </c>
      <c r="G977">
        <v>25000000</v>
      </c>
      <c r="H977">
        <v>105242000</v>
      </c>
      <c r="I977">
        <v>103648550</v>
      </c>
      <c r="J977">
        <v>1593450</v>
      </c>
      <c r="K977">
        <v>1593450</v>
      </c>
      <c r="L977">
        <v>0</v>
      </c>
      <c r="M977">
        <v>0</v>
      </c>
      <c r="N977">
        <v>0</v>
      </c>
      <c r="O977" s="302"/>
    </row>
    <row r="978" spans="1:15" x14ac:dyDescent="0.2">
      <c r="A978" s="302"/>
      <c r="B978" s="887"/>
      <c r="C978" s="839"/>
      <c r="D978" s="839"/>
      <c r="E978" s="713" t="s">
        <v>1557</v>
      </c>
      <c r="F978">
        <v>303898000</v>
      </c>
      <c r="G978">
        <v>0</v>
      </c>
      <c r="H978">
        <v>303898000</v>
      </c>
      <c r="I978">
        <v>303898000</v>
      </c>
      <c r="J978">
        <v>0</v>
      </c>
      <c r="K978">
        <v>0</v>
      </c>
      <c r="L978">
        <v>0</v>
      </c>
      <c r="M978">
        <v>0</v>
      </c>
      <c r="N978">
        <v>0</v>
      </c>
      <c r="O978" s="302"/>
    </row>
    <row r="979" spans="1:15" x14ac:dyDescent="0.2">
      <c r="A979" s="302"/>
      <c r="B979" s="887"/>
      <c r="C979" s="838" t="s">
        <v>3218</v>
      </c>
      <c r="D979" s="838" t="s">
        <v>3219</v>
      </c>
      <c r="E979" s="713" t="s">
        <v>26</v>
      </c>
      <c r="F979">
        <v>172035000</v>
      </c>
      <c r="G979">
        <v>40434478</v>
      </c>
      <c r="H979">
        <v>131600522</v>
      </c>
      <c r="I979">
        <v>126541664</v>
      </c>
      <c r="J979">
        <v>5058858</v>
      </c>
      <c r="K979">
        <v>5058858</v>
      </c>
      <c r="L979">
        <v>0</v>
      </c>
      <c r="M979">
        <v>0</v>
      </c>
      <c r="N979">
        <v>0</v>
      </c>
      <c r="O979" s="302"/>
    </row>
    <row r="980" spans="1:15" x14ac:dyDescent="0.2">
      <c r="A980" s="302"/>
      <c r="B980" s="887"/>
      <c r="C980" s="839"/>
      <c r="D980" s="839"/>
      <c r="E980" s="713" t="s">
        <v>1557</v>
      </c>
      <c r="F980">
        <v>401415000</v>
      </c>
      <c r="G980">
        <v>0</v>
      </c>
      <c r="H980">
        <v>401415000</v>
      </c>
      <c r="I980">
        <v>401415000</v>
      </c>
      <c r="J980">
        <v>0</v>
      </c>
      <c r="K980">
        <v>0</v>
      </c>
      <c r="L980">
        <v>0</v>
      </c>
      <c r="M980">
        <v>0</v>
      </c>
      <c r="N980">
        <v>0</v>
      </c>
      <c r="O980" s="302"/>
    </row>
    <row r="981" spans="1:15" x14ac:dyDescent="0.2">
      <c r="A981" s="302"/>
      <c r="B981" s="887"/>
      <c r="C981" s="839"/>
      <c r="D981" s="839"/>
      <c r="E981" s="713" t="s">
        <v>195</v>
      </c>
      <c r="F981">
        <v>377524</v>
      </c>
      <c r="G981">
        <v>377524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 s="302"/>
    </row>
    <row r="982" spans="1:15" x14ac:dyDescent="0.2">
      <c r="A982" s="302"/>
      <c r="B982" s="887"/>
      <c r="C982" s="838" t="s">
        <v>2698</v>
      </c>
      <c r="D982" s="838" t="s">
        <v>2699</v>
      </c>
      <c r="E982" s="713" t="s">
        <v>26</v>
      </c>
      <c r="F982">
        <v>158350000</v>
      </c>
      <c r="G982">
        <v>48811430</v>
      </c>
      <c r="H982">
        <v>109538570</v>
      </c>
      <c r="I982">
        <v>105157427</v>
      </c>
      <c r="J982">
        <v>4381143</v>
      </c>
      <c r="K982">
        <v>4381143</v>
      </c>
      <c r="L982">
        <v>0</v>
      </c>
      <c r="M982">
        <v>0</v>
      </c>
      <c r="N982">
        <v>0</v>
      </c>
      <c r="O982" s="302"/>
    </row>
    <row r="983" spans="1:15" x14ac:dyDescent="0.2">
      <c r="A983" s="302"/>
      <c r="B983" s="887"/>
      <c r="C983" s="839"/>
      <c r="D983" s="839"/>
      <c r="E983" s="713" t="s">
        <v>1557</v>
      </c>
      <c r="F983">
        <v>369450000</v>
      </c>
      <c r="G983">
        <v>0</v>
      </c>
      <c r="H983">
        <v>369450000</v>
      </c>
      <c r="I983">
        <v>369450000</v>
      </c>
      <c r="J983">
        <v>0</v>
      </c>
      <c r="K983">
        <v>0</v>
      </c>
      <c r="L983">
        <v>0</v>
      </c>
      <c r="M983">
        <v>0</v>
      </c>
      <c r="N983">
        <v>0</v>
      </c>
      <c r="O983" s="302"/>
    </row>
    <row r="984" spans="1:15" x14ac:dyDescent="0.2">
      <c r="A984" s="302"/>
      <c r="B984" s="887"/>
      <c r="C984" s="838" t="s">
        <v>2985</v>
      </c>
      <c r="D984" s="838" t="s">
        <v>2986</v>
      </c>
      <c r="E984" s="713" t="s">
        <v>26</v>
      </c>
      <c r="F984">
        <v>119400000</v>
      </c>
      <c r="G984">
        <v>39000000</v>
      </c>
      <c r="H984">
        <v>80400000</v>
      </c>
      <c r="I984">
        <v>78445719</v>
      </c>
      <c r="J984">
        <v>1954281</v>
      </c>
      <c r="K984">
        <v>1954281</v>
      </c>
      <c r="L984">
        <v>0</v>
      </c>
      <c r="M984">
        <v>0</v>
      </c>
      <c r="N984">
        <v>0</v>
      </c>
      <c r="O984" s="302"/>
    </row>
    <row r="985" spans="1:15" x14ac:dyDescent="0.2">
      <c r="A985" s="302"/>
      <c r="B985" s="887"/>
      <c r="C985" s="839"/>
      <c r="D985" s="839"/>
      <c r="E985" s="713" t="s">
        <v>1557</v>
      </c>
      <c r="F985">
        <v>278600000</v>
      </c>
      <c r="G985">
        <v>0</v>
      </c>
      <c r="H985">
        <v>278600000</v>
      </c>
      <c r="I985">
        <v>278600000</v>
      </c>
      <c r="J985">
        <v>0</v>
      </c>
      <c r="K985">
        <v>0</v>
      </c>
      <c r="L985">
        <v>0</v>
      </c>
      <c r="M985">
        <v>0</v>
      </c>
      <c r="N985">
        <v>0</v>
      </c>
      <c r="O985" s="302"/>
    </row>
    <row r="986" spans="1:15" x14ac:dyDescent="0.2">
      <c r="A986" s="302"/>
      <c r="B986" s="887"/>
      <c r="C986" s="838" t="s">
        <v>2700</v>
      </c>
      <c r="D986" s="838" t="s">
        <v>2701</v>
      </c>
      <c r="E986" s="713" t="s">
        <v>26</v>
      </c>
      <c r="F986">
        <v>152868000</v>
      </c>
      <c r="G986">
        <v>96041718</v>
      </c>
      <c r="H986">
        <v>56826282</v>
      </c>
      <c r="I986">
        <v>56826282</v>
      </c>
      <c r="J986">
        <v>0</v>
      </c>
      <c r="K986">
        <v>0</v>
      </c>
      <c r="L986">
        <v>0</v>
      </c>
      <c r="M986">
        <v>0</v>
      </c>
      <c r="N986">
        <v>0</v>
      </c>
      <c r="O986" s="302"/>
    </row>
    <row r="987" spans="1:15" x14ac:dyDescent="0.2">
      <c r="A987" s="302"/>
      <c r="B987" s="887"/>
      <c r="C987" s="839"/>
      <c r="D987" s="839"/>
      <c r="E987" s="713" t="s">
        <v>1557</v>
      </c>
      <c r="F987">
        <v>356692000</v>
      </c>
      <c r="G987">
        <v>0</v>
      </c>
      <c r="H987">
        <v>356692000</v>
      </c>
      <c r="I987">
        <v>356692000</v>
      </c>
      <c r="J987">
        <v>0</v>
      </c>
      <c r="K987">
        <v>0</v>
      </c>
      <c r="L987">
        <v>0</v>
      </c>
      <c r="M987">
        <v>0</v>
      </c>
      <c r="N987">
        <v>0</v>
      </c>
      <c r="O987" s="302"/>
    </row>
    <row r="988" spans="1:15" x14ac:dyDescent="0.2">
      <c r="A988" s="302"/>
      <c r="B988" s="887"/>
      <c r="C988" s="838" t="s">
        <v>3356</v>
      </c>
      <c r="D988" s="838" t="s">
        <v>3357</v>
      </c>
      <c r="E988" s="713" t="s">
        <v>26</v>
      </c>
      <c r="F988">
        <v>129480000</v>
      </c>
      <c r="G988">
        <v>50800000</v>
      </c>
      <c r="H988">
        <v>78680000</v>
      </c>
      <c r="I988">
        <v>78680000</v>
      </c>
      <c r="J988">
        <v>0</v>
      </c>
      <c r="K988">
        <v>0</v>
      </c>
      <c r="L988">
        <v>0</v>
      </c>
      <c r="M988">
        <v>0</v>
      </c>
      <c r="N988">
        <v>0</v>
      </c>
      <c r="O988" s="302"/>
    </row>
    <row r="989" spans="1:15" x14ac:dyDescent="0.2">
      <c r="A989" s="302"/>
      <c r="B989" s="887"/>
      <c r="C989" s="839"/>
      <c r="D989" s="839"/>
      <c r="E989" s="713" t="s">
        <v>1557</v>
      </c>
      <c r="F989">
        <v>302120000</v>
      </c>
      <c r="G989">
        <v>0</v>
      </c>
      <c r="H989">
        <v>302120000</v>
      </c>
      <c r="I989">
        <v>302120000</v>
      </c>
      <c r="J989">
        <v>0</v>
      </c>
      <c r="K989">
        <v>0</v>
      </c>
      <c r="L989">
        <v>0</v>
      </c>
      <c r="M989">
        <v>0</v>
      </c>
      <c r="N989">
        <v>0</v>
      </c>
      <c r="O989" s="302"/>
    </row>
    <row r="990" spans="1:15" x14ac:dyDescent="0.2">
      <c r="A990" s="302"/>
      <c r="B990" s="887"/>
      <c r="C990" s="838" t="s">
        <v>3220</v>
      </c>
      <c r="D990" s="838" t="s">
        <v>3221</v>
      </c>
      <c r="E990" s="713" t="s">
        <v>26</v>
      </c>
      <c r="F990">
        <v>172185000</v>
      </c>
      <c r="G990">
        <v>45529697</v>
      </c>
      <c r="H990">
        <v>126655303</v>
      </c>
      <c r="I990">
        <v>121589092</v>
      </c>
      <c r="J990">
        <v>5066211</v>
      </c>
      <c r="K990">
        <v>5066211</v>
      </c>
      <c r="L990">
        <v>0</v>
      </c>
      <c r="M990">
        <v>0</v>
      </c>
      <c r="N990">
        <v>0</v>
      </c>
      <c r="O990" s="302"/>
    </row>
    <row r="991" spans="1:15" x14ac:dyDescent="0.2">
      <c r="A991" s="302"/>
      <c r="B991" s="887"/>
      <c r="C991" s="839"/>
      <c r="D991" s="839"/>
      <c r="E991" s="713" t="s">
        <v>1557</v>
      </c>
      <c r="F991">
        <v>401765000</v>
      </c>
      <c r="G991">
        <v>0</v>
      </c>
      <c r="H991">
        <v>401765000</v>
      </c>
      <c r="I991">
        <v>401765000</v>
      </c>
      <c r="J991">
        <v>0</v>
      </c>
      <c r="K991">
        <v>0</v>
      </c>
      <c r="L991">
        <v>0</v>
      </c>
      <c r="M991">
        <v>0</v>
      </c>
      <c r="N991">
        <v>0</v>
      </c>
      <c r="O991" s="302"/>
    </row>
    <row r="992" spans="1:15" x14ac:dyDescent="0.2">
      <c r="A992" s="302"/>
      <c r="B992" s="887"/>
      <c r="C992" s="838" t="s">
        <v>3499</v>
      </c>
      <c r="D992" s="838" t="s">
        <v>3500</v>
      </c>
      <c r="E992" s="713" t="s">
        <v>26</v>
      </c>
      <c r="F992">
        <v>175748250</v>
      </c>
      <c r="G992">
        <v>55592073</v>
      </c>
      <c r="H992">
        <v>120156177</v>
      </c>
      <c r="I992">
        <v>120156177</v>
      </c>
      <c r="J992">
        <v>0</v>
      </c>
      <c r="K992">
        <v>0</v>
      </c>
      <c r="L992">
        <v>0</v>
      </c>
      <c r="M992">
        <v>0</v>
      </c>
      <c r="N992">
        <v>0</v>
      </c>
      <c r="O992" s="302"/>
    </row>
    <row r="993" spans="1:15" x14ac:dyDescent="0.2">
      <c r="A993" s="302"/>
      <c r="B993" s="887"/>
      <c r="C993" s="839"/>
      <c r="D993" s="839"/>
      <c r="E993" s="713" t="s">
        <v>1557</v>
      </c>
      <c r="F993">
        <v>410079250</v>
      </c>
      <c r="G993">
        <v>0</v>
      </c>
      <c r="H993">
        <v>410079250</v>
      </c>
      <c r="I993">
        <v>410079250</v>
      </c>
      <c r="J993">
        <v>0</v>
      </c>
      <c r="K993">
        <v>0</v>
      </c>
      <c r="L993">
        <v>0</v>
      </c>
      <c r="M993">
        <v>0</v>
      </c>
      <c r="N993">
        <v>0</v>
      </c>
      <c r="O993" s="302"/>
    </row>
    <row r="994" spans="1:15" x14ac:dyDescent="0.2">
      <c r="A994" s="302"/>
      <c r="B994" s="887"/>
      <c r="C994" s="838" t="s">
        <v>2702</v>
      </c>
      <c r="D994" s="838" t="s">
        <v>2703</v>
      </c>
      <c r="E994" s="713" t="s">
        <v>26</v>
      </c>
      <c r="F994">
        <v>118050000</v>
      </c>
      <c r="G994">
        <v>37001300</v>
      </c>
      <c r="H994">
        <v>81048700</v>
      </c>
      <c r="I994">
        <v>77520000</v>
      </c>
      <c r="J994">
        <v>3528700</v>
      </c>
      <c r="K994">
        <v>3230000</v>
      </c>
      <c r="L994">
        <v>298700</v>
      </c>
      <c r="M994">
        <v>0</v>
      </c>
      <c r="N994">
        <v>0</v>
      </c>
      <c r="O994" s="302"/>
    </row>
    <row r="995" spans="1:15" x14ac:dyDescent="0.2">
      <c r="A995" s="302"/>
      <c r="B995" s="887"/>
      <c r="C995" s="839"/>
      <c r="D995" s="839"/>
      <c r="E995" s="713" t="s">
        <v>1557</v>
      </c>
      <c r="F995">
        <v>275450000</v>
      </c>
      <c r="G995">
        <v>0</v>
      </c>
      <c r="H995">
        <v>275450000</v>
      </c>
      <c r="I995">
        <v>275450000</v>
      </c>
      <c r="J995">
        <v>0</v>
      </c>
      <c r="K995">
        <v>0</v>
      </c>
      <c r="L995">
        <v>0</v>
      </c>
      <c r="M995">
        <v>0</v>
      </c>
      <c r="N995">
        <v>0</v>
      </c>
      <c r="O995" s="302"/>
    </row>
    <row r="996" spans="1:15" x14ac:dyDescent="0.2">
      <c r="A996" s="302"/>
      <c r="B996" s="887"/>
      <c r="C996" s="839"/>
      <c r="D996" s="839"/>
      <c r="E996" s="713" t="s">
        <v>195</v>
      </c>
      <c r="F996">
        <v>298700</v>
      </c>
      <c r="G996">
        <v>298700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 s="302"/>
    </row>
    <row r="997" spans="1:15" x14ac:dyDescent="0.2">
      <c r="A997" s="302"/>
      <c r="B997" s="887"/>
      <c r="C997" s="838" t="s">
        <v>3148</v>
      </c>
      <c r="D997" s="838" t="s">
        <v>3149</v>
      </c>
      <c r="E997" s="713" t="s">
        <v>26</v>
      </c>
      <c r="F997">
        <v>157140000</v>
      </c>
      <c r="G997">
        <v>45275000</v>
      </c>
      <c r="H997">
        <v>111865000</v>
      </c>
      <c r="I997">
        <v>107392940</v>
      </c>
      <c r="J997">
        <v>4472060</v>
      </c>
      <c r="K997">
        <v>4472060</v>
      </c>
      <c r="L997">
        <v>0</v>
      </c>
      <c r="M997">
        <v>0</v>
      </c>
      <c r="N997">
        <v>0</v>
      </c>
      <c r="O997" s="302"/>
    </row>
    <row r="998" spans="1:15" x14ac:dyDescent="0.2">
      <c r="A998" s="302"/>
      <c r="B998" s="887"/>
      <c r="C998" s="839"/>
      <c r="D998" s="839"/>
      <c r="E998" s="713" t="s">
        <v>1557</v>
      </c>
      <c r="F998">
        <v>366660000</v>
      </c>
      <c r="G998">
        <v>0</v>
      </c>
      <c r="H998">
        <v>366660000</v>
      </c>
      <c r="I998">
        <v>366660000</v>
      </c>
      <c r="J998">
        <v>0</v>
      </c>
      <c r="K998">
        <v>0</v>
      </c>
      <c r="L998">
        <v>0</v>
      </c>
      <c r="M998">
        <v>0</v>
      </c>
      <c r="N998">
        <v>0</v>
      </c>
      <c r="O998" s="302"/>
    </row>
    <row r="999" spans="1:15" x14ac:dyDescent="0.2">
      <c r="A999" s="302"/>
      <c r="B999" s="887"/>
      <c r="C999" s="838" t="s">
        <v>3150</v>
      </c>
      <c r="D999" s="838" t="s">
        <v>3151</v>
      </c>
      <c r="E999" s="713" t="s">
        <v>26</v>
      </c>
      <c r="F999">
        <v>124194000</v>
      </c>
      <c r="G999">
        <v>100038945</v>
      </c>
      <c r="H999">
        <v>24155055</v>
      </c>
      <c r="I999">
        <v>24155055</v>
      </c>
      <c r="J999">
        <v>0</v>
      </c>
      <c r="K999">
        <v>0</v>
      </c>
      <c r="L999">
        <v>0</v>
      </c>
      <c r="M999">
        <v>0</v>
      </c>
      <c r="N999">
        <v>0</v>
      </c>
      <c r="O999" s="302"/>
    </row>
    <row r="1000" spans="1:15" x14ac:dyDescent="0.2">
      <c r="A1000" s="302"/>
      <c r="B1000" s="887"/>
      <c r="C1000" s="839"/>
      <c r="D1000" s="839"/>
      <c r="E1000" s="713" t="s">
        <v>1557</v>
      </c>
      <c r="F1000">
        <v>289786000</v>
      </c>
      <c r="G1000">
        <v>0</v>
      </c>
      <c r="H1000">
        <v>289786000</v>
      </c>
      <c r="I1000">
        <v>289786000</v>
      </c>
      <c r="J1000">
        <v>0</v>
      </c>
      <c r="K1000">
        <v>0</v>
      </c>
      <c r="L1000">
        <v>0</v>
      </c>
      <c r="M1000">
        <v>0</v>
      </c>
      <c r="N1000">
        <v>0</v>
      </c>
      <c r="O1000" s="302"/>
    </row>
    <row r="1001" spans="1:15" x14ac:dyDescent="0.2">
      <c r="A1001" s="302"/>
      <c r="B1001" s="887"/>
      <c r="C1001" s="838" t="s">
        <v>3358</v>
      </c>
      <c r="D1001" s="838" t="s">
        <v>1473</v>
      </c>
      <c r="E1001" s="713" t="s">
        <v>26</v>
      </c>
      <c r="F1001">
        <v>172335000</v>
      </c>
      <c r="G1001">
        <v>46771250</v>
      </c>
      <c r="H1001">
        <v>125563750</v>
      </c>
      <c r="I1001">
        <v>125563750</v>
      </c>
      <c r="J1001">
        <v>0</v>
      </c>
      <c r="K1001">
        <v>0</v>
      </c>
      <c r="L1001">
        <v>0</v>
      </c>
      <c r="M1001">
        <v>0</v>
      </c>
      <c r="N1001">
        <v>0</v>
      </c>
      <c r="O1001" s="302"/>
    </row>
    <row r="1002" spans="1:15" x14ac:dyDescent="0.2">
      <c r="A1002" s="302"/>
      <c r="B1002" s="887"/>
      <c r="C1002" s="839"/>
      <c r="D1002" s="839"/>
      <c r="E1002" s="713" t="s">
        <v>1557</v>
      </c>
      <c r="F1002">
        <v>402115000</v>
      </c>
      <c r="G1002">
        <v>0</v>
      </c>
      <c r="H1002">
        <v>402115000</v>
      </c>
      <c r="I1002">
        <v>402115000</v>
      </c>
      <c r="J1002">
        <v>0</v>
      </c>
      <c r="K1002">
        <v>0</v>
      </c>
      <c r="L1002">
        <v>0</v>
      </c>
      <c r="M1002">
        <v>0</v>
      </c>
      <c r="N1002">
        <v>0</v>
      </c>
      <c r="O1002" s="302"/>
    </row>
    <row r="1003" spans="1:15" x14ac:dyDescent="0.2">
      <c r="A1003" s="302"/>
      <c r="B1003" s="887"/>
      <c r="C1003" s="838" t="s">
        <v>3275</v>
      </c>
      <c r="D1003" s="838" t="s">
        <v>3276</v>
      </c>
      <c r="E1003" s="713" t="s">
        <v>26</v>
      </c>
      <c r="F1003">
        <v>172282500</v>
      </c>
      <c r="G1003">
        <v>36270057</v>
      </c>
      <c r="H1003">
        <v>136012443</v>
      </c>
      <c r="I1003">
        <v>125461876</v>
      </c>
      <c r="J1003">
        <v>10550567</v>
      </c>
      <c r="K1003">
        <v>5227578</v>
      </c>
      <c r="L1003">
        <v>5227578</v>
      </c>
      <c r="M1003">
        <v>95411</v>
      </c>
      <c r="N1003">
        <v>0</v>
      </c>
      <c r="O1003" s="302"/>
    </row>
    <row r="1004" spans="1:15" x14ac:dyDescent="0.2">
      <c r="A1004" s="302"/>
      <c r="B1004" s="887"/>
      <c r="C1004" s="839"/>
      <c r="D1004" s="839"/>
      <c r="E1004" s="713" t="s">
        <v>1557</v>
      </c>
      <c r="F1004">
        <v>401992500</v>
      </c>
      <c r="G1004">
        <v>0</v>
      </c>
      <c r="H1004">
        <v>401992500</v>
      </c>
      <c r="I1004">
        <v>401992500</v>
      </c>
      <c r="J1004">
        <v>0</v>
      </c>
      <c r="K1004">
        <v>0</v>
      </c>
      <c r="L1004">
        <v>0</v>
      </c>
      <c r="M1004">
        <v>0</v>
      </c>
      <c r="N1004">
        <v>0</v>
      </c>
      <c r="O1004" s="302"/>
    </row>
    <row r="1005" spans="1:15" x14ac:dyDescent="0.2">
      <c r="A1005" s="302"/>
      <c r="B1005" s="887"/>
      <c r="C1005" s="839"/>
      <c r="D1005" s="839"/>
      <c r="E1005" s="713" t="s">
        <v>195</v>
      </c>
      <c r="F1005">
        <v>329943</v>
      </c>
      <c r="G1005">
        <v>329943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 s="302"/>
    </row>
    <row r="1006" spans="1:15" x14ac:dyDescent="0.2">
      <c r="A1006" s="302"/>
      <c r="B1006" s="887"/>
      <c r="C1006" s="838" t="s">
        <v>2704</v>
      </c>
      <c r="D1006" s="838" t="s">
        <v>2705</v>
      </c>
      <c r="E1006" s="713" t="s">
        <v>26</v>
      </c>
      <c r="F1006">
        <v>122412269</v>
      </c>
      <c r="G1006">
        <v>26800000</v>
      </c>
      <c r="H1006">
        <v>95612269</v>
      </c>
      <c r="I1006">
        <v>88606135</v>
      </c>
      <c r="J1006">
        <v>7006134</v>
      </c>
      <c r="K1006">
        <v>7006134</v>
      </c>
      <c r="L1006">
        <v>0</v>
      </c>
      <c r="M1006">
        <v>0</v>
      </c>
      <c r="N1006">
        <v>0</v>
      </c>
      <c r="O1006" s="302"/>
    </row>
    <row r="1007" spans="1:15" x14ac:dyDescent="0.2">
      <c r="A1007" s="302"/>
      <c r="B1007" s="887"/>
      <c r="C1007" s="839"/>
      <c r="D1007" s="839"/>
      <c r="E1007" s="713" t="s">
        <v>1557</v>
      </c>
      <c r="F1007">
        <v>275800000</v>
      </c>
      <c r="G1007">
        <v>0</v>
      </c>
      <c r="H1007">
        <v>275800000</v>
      </c>
      <c r="I1007">
        <v>275800000</v>
      </c>
      <c r="J1007">
        <v>0</v>
      </c>
      <c r="K1007">
        <v>0</v>
      </c>
      <c r="L1007">
        <v>0</v>
      </c>
      <c r="M1007">
        <v>0</v>
      </c>
      <c r="N1007">
        <v>0</v>
      </c>
      <c r="O1007" s="302"/>
    </row>
    <row r="1008" spans="1:15" x14ac:dyDescent="0.2">
      <c r="A1008" s="302"/>
      <c r="B1008" s="887"/>
      <c r="C1008" s="838" t="s">
        <v>3359</v>
      </c>
      <c r="D1008" s="838" t="s">
        <v>3360</v>
      </c>
      <c r="E1008" s="713" t="s">
        <v>26</v>
      </c>
      <c r="F1008">
        <v>168097500</v>
      </c>
      <c r="G1008">
        <v>35050000</v>
      </c>
      <c r="H1008">
        <v>133047500</v>
      </c>
      <c r="I1008">
        <v>122323124</v>
      </c>
      <c r="J1008">
        <v>10724376</v>
      </c>
      <c r="K1008">
        <v>5096797</v>
      </c>
      <c r="L1008">
        <v>5096797</v>
      </c>
      <c r="M1008">
        <v>530782</v>
      </c>
      <c r="N1008">
        <v>0</v>
      </c>
      <c r="O1008" s="302"/>
    </row>
    <row r="1009" spans="1:15" x14ac:dyDescent="0.2">
      <c r="A1009" s="302"/>
      <c r="B1009" s="887"/>
      <c r="C1009" s="839"/>
      <c r="D1009" s="839"/>
      <c r="E1009" s="713" t="s">
        <v>1557</v>
      </c>
      <c r="F1009">
        <v>392227500</v>
      </c>
      <c r="G1009">
        <v>0</v>
      </c>
      <c r="H1009">
        <v>392227500</v>
      </c>
      <c r="I1009">
        <v>392227500</v>
      </c>
      <c r="J1009">
        <v>0</v>
      </c>
      <c r="K1009">
        <v>0</v>
      </c>
      <c r="L1009">
        <v>0</v>
      </c>
      <c r="M1009">
        <v>0</v>
      </c>
      <c r="N1009">
        <v>0</v>
      </c>
      <c r="O1009" s="302"/>
    </row>
    <row r="1010" spans="1:15" x14ac:dyDescent="0.2">
      <c r="A1010" s="302"/>
      <c r="B1010" s="887"/>
      <c r="C1010" s="838" t="s">
        <v>3152</v>
      </c>
      <c r="D1010" s="838" t="s">
        <v>1573</v>
      </c>
      <c r="E1010" s="713" t="s">
        <v>26</v>
      </c>
      <c r="F1010">
        <v>117668100</v>
      </c>
      <c r="G1010">
        <v>37000000</v>
      </c>
      <c r="H1010">
        <v>80668100</v>
      </c>
      <c r="I1010">
        <v>77468100</v>
      </c>
      <c r="J1010">
        <v>3200000</v>
      </c>
      <c r="K1010">
        <v>3200000</v>
      </c>
      <c r="L1010">
        <v>0</v>
      </c>
      <c r="M1010">
        <v>0</v>
      </c>
      <c r="N1010">
        <v>0</v>
      </c>
      <c r="O1010" s="302"/>
    </row>
    <row r="1011" spans="1:15" x14ac:dyDescent="0.2">
      <c r="A1011" s="302"/>
      <c r="B1011" s="887"/>
      <c r="C1011" s="839"/>
      <c r="D1011" s="839"/>
      <c r="E1011" s="713" t="s">
        <v>1557</v>
      </c>
      <c r="F1011">
        <v>274558900</v>
      </c>
      <c r="G1011">
        <v>0</v>
      </c>
      <c r="H1011">
        <v>274558900</v>
      </c>
      <c r="I1011">
        <v>274558900</v>
      </c>
      <c r="J1011">
        <v>0</v>
      </c>
      <c r="K1011">
        <v>0</v>
      </c>
      <c r="L1011">
        <v>0</v>
      </c>
      <c r="M1011">
        <v>0</v>
      </c>
      <c r="N1011">
        <v>0</v>
      </c>
      <c r="O1011" s="302"/>
    </row>
    <row r="1012" spans="1:15" x14ac:dyDescent="0.2">
      <c r="A1012" s="302"/>
      <c r="B1012" s="887"/>
      <c r="C1012" s="838" t="s">
        <v>2987</v>
      </c>
      <c r="D1012" s="839" t="s">
        <v>1573</v>
      </c>
      <c r="E1012" s="713" t="s">
        <v>26</v>
      </c>
      <c r="F1012">
        <v>157649250</v>
      </c>
      <c r="G1012">
        <v>48000000</v>
      </c>
      <c r="H1012">
        <v>109649250</v>
      </c>
      <c r="I1012">
        <v>105349250</v>
      </c>
      <c r="J1012">
        <v>4300000</v>
      </c>
      <c r="K1012">
        <v>4300000</v>
      </c>
      <c r="L1012">
        <v>0</v>
      </c>
      <c r="M1012">
        <v>0</v>
      </c>
      <c r="N1012">
        <v>0</v>
      </c>
      <c r="O1012" s="302"/>
    </row>
    <row r="1013" spans="1:15" x14ac:dyDescent="0.2">
      <c r="A1013" s="302"/>
      <c r="B1013" s="887"/>
      <c r="C1013" s="839"/>
      <c r="D1013" s="839"/>
      <c r="E1013" s="713" t="s">
        <v>1557</v>
      </c>
      <c r="F1013">
        <v>367848250</v>
      </c>
      <c r="G1013">
        <v>0</v>
      </c>
      <c r="H1013">
        <v>367848250</v>
      </c>
      <c r="I1013">
        <v>367848250</v>
      </c>
      <c r="J1013">
        <v>0</v>
      </c>
      <c r="K1013">
        <v>0</v>
      </c>
      <c r="L1013">
        <v>0</v>
      </c>
      <c r="M1013">
        <v>0</v>
      </c>
      <c r="N1013">
        <v>0</v>
      </c>
      <c r="O1013" s="302"/>
    </row>
    <row r="1014" spans="1:15" x14ac:dyDescent="0.2">
      <c r="A1014" s="302"/>
      <c r="B1014" s="887"/>
      <c r="C1014" s="838" t="s">
        <v>3361</v>
      </c>
      <c r="D1014" s="838" t="s">
        <v>3362</v>
      </c>
      <c r="E1014" s="713" t="s">
        <v>26</v>
      </c>
      <c r="F1014">
        <v>160685250</v>
      </c>
      <c r="G1014">
        <v>47473879</v>
      </c>
      <c r="H1014">
        <v>113211371</v>
      </c>
      <c r="I1014">
        <v>113211371</v>
      </c>
      <c r="J1014">
        <v>0</v>
      </c>
      <c r="K1014">
        <v>0</v>
      </c>
      <c r="L1014">
        <v>0</v>
      </c>
      <c r="M1014">
        <v>0</v>
      </c>
      <c r="N1014">
        <v>0</v>
      </c>
      <c r="O1014" s="302"/>
    </row>
    <row r="1015" spans="1:15" x14ac:dyDescent="0.2">
      <c r="A1015" s="302"/>
      <c r="B1015" s="887"/>
      <c r="C1015" s="839"/>
      <c r="D1015" s="839"/>
      <c r="E1015" s="713" t="s">
        <v>1557</v>
      </c>
      <c r="F1015">
        <v>374932250</v>
      </c>
      <c r="G1015">
        <v>0</v>
      </c>
      <c r="H1015">
        <v>374932250</v>
      </c>
      <c r="I1015">
        <v>374932250</v>
      </c>
      <c r="J1015">
        <v>0</v>
      </c>
      <c r="K1015">
        <v>0</v>
      </c>
      <c r="L1015">
        <v>0</v>
      </c>
      <c r="M1015">
        <v>0</v>
      </c>
      <c r="N1015">
        <v>0</v>
      </c>
      <c r="O1015" s="302"/>
    </row>
    <row r="1016" spans="1:15" x14ac:dyDescent="0.2">
      <c r="A1016" s="302"/>
      <c r="B1016" s="887"/>
      <c r="C1016" s="838" t="s">
        <v>3363</v>
      </c>
      <c r="D1016" s="838" t="s">
        <v>3364</v>
      </c>
      <c r="E1016" s="713" t="s">
        <v>26</v>
      </c>
      <c r="F1016">
        <v>128767500</v>
      </c>
      <c r="G1016">
        <v>75955000</v>
      </c>
      <c r="H1016">
        <v>52812500</v>
      </c>
      <c r="I1016">
        <v>52812500</v>
      </c>
      <c r="J1016">
        <v>0</v>
      </c>
      <c r="K1016">
        <v>0</v>
      </c>
      <c r="L1016">
        <v>0</v>
      </c>
      <c r="M1016">
        <v>0</v>
      </c>
      <c r="N1016">
        <v>0</v>
      </c>
      <c r="O1016" s="302"/>
    </row>
    <row r="1017" spans="1:15" x14ac:dyDescent="0.2">
      <c r="A1017" s="302"/>
      <c r="B1017" s="887"/>
      <c r="C1017" s="839"/>
      <c r="D1017" s="839"/>
      <c r="E1017" s="713" t="s">
        <v>1557</v>
      </c>
      <c r="F1017">
        <v>300457500</v>
      </c>
      <c r="G1017">
        <v>0</v>
      </c>
      <c r="H1017">
        <v>300457500</v>
      </c>
      <c r="I1017">
        <v>300457500</v>
      </c>
      <c r="J1017">
        <v>0</v>
      </c>
      <c r="K1017">
        <v>0</v>
      </c>
      <c r="L1017">
        <v>0</v>
      </c>
      <c r="M1017">
        <v>0</v>
      </c>
      <c r="N1017">
        <v>0</v>
      </c>
      <c r="O1017" s="302"/>
    </row>
    <row r="1018" spans="1:15" x14ac:dyDescent="0.2">
      <c r="A1018" s="302"/>
      <c r="B1018" s="887"/>
      <c r="C1018" s="838" t="s">
        <v>2988</v>
      </c>
      <c r="D1018" s="838" t="s">
        <v>2989</v>
      </c>
      <c r="E1018" s="713" t="s">
        <v>900</v>
      </c>
      <c r="F1018">
        <v>361060000</v>
      </c>
      <c r="G1018">
        <v>0</v>
      </c>
      <c r="H1018">
        <v>361060000</v>
      </c>
      <c r="I1018">
        <v>361060000</v>
      </c>
      <c r="J1018">
        <v>0</v>
      </c>
      <c r="K1018">
        <v>0</v>
      </c>
      <c r="L1018">
        <v>0</v>
      </c>
      <c r="M1018">
        <v>0</v>
      </c>
      <c r="N1018">
        <v>0</v>
      </c>
      <c r="O1018" s="302"/>
    </row>
    <row r="1019" spans="1:15" x14ac:dyDescent="0.2">
      <c r="A1019" s="302"/>
      <c r="B1019" s="887"/>
      <c r="C1019" s="839"/>
      <c r="D1019" s="839"/>
      <c r="E1019" s="713" t="s">
        <v>26</v>
      </c>
      <c r="F1019">
        <v>154740000</v>
      </c>
      <c r="G1019">
        <v>47782860</v>
      </c>
      <c r="H1019">
        <v>106957140</v>
      </c>
      <c r="I1019">
        <v>102678854</v>
      </c>
      <c r="J1019">
        <v>4278286</v>
      </c>
      <c r="K1019">
        <v>4278286</v>
      </c>
      <c r="L1019">
        <v>0</v>
      </c>
      <c r="M1019">
        <v>0</v>
      </c>
      <c r="N1019">
        <v>0</v>
      </c>
      <c r="O1019" s="302"/>
    </row>
    <row r="1020" spans="1:15" x14ac:dyDescent="0.2">
      <c r="A1020" s="302"/>
      <c r="B1020" s="887"/>
      <c r="C1020" s="838" t="s">
        <v>3153</v>
      </c>
      <c r="D1020" s="838" t="s">
        <v>3154</v>
      </c>
      <c r="E1020" s="713" t="s">
        <v>26</v>
      </c>
      <c r="F1020">
        <v>132237345</v>
      </c>
      <c r="G1020">
        <v>33310669</v>
      </c>
      <c r="H1020">
        <v>98926676</v>
      </c>
      <c r="I1020">
        <v>95389342</v>
      </c>
      <c r="J1020">
        <v>3537334</v>
      </c>
      <c r="K1020">
        <v>3537334</v>
      </c>
      <c r="L1020">
        <v>0</v>
      </c>
      <c r="M1020">
        <v>0</v>
      </c>
      <c r="N1020">
        <v>0</v>
      </c>
      <c r="O1020" s="302"/>
    </row>
    <row r="1021" spans="1:15" x14ac:dyDescent="0.2">
      <c r="A1021" s="302"/>
      <c r="B1021" s="887"/>
      <c r="C1021" s="839"/>
      <c r="D1021" s="839"/>
      <c r="E1021" s="713" t="s">
        <v>1557</v>
      </c>
      <c r="F1021">
        <v>273682655</v>
      </c>
      <c r="G1021">
        <v>0</v>
      </c>
      <c r="H1021">
        <v>273682655</v>
      </c>
      <c r="I1021">
        <v>273682655</v>
      </c>
      <c r="J1021">
        <v>0</v>
      </c>
      <c r="K1021">
        <v>0</v>
      </c>
      <c r="L1021">
        <v>0</v>
      </c>
      <c r="M1021">
        <v>0</v>
      </c>
      <c r="N1021">
        <v>0</v>
      </c>
      <c r="O1021" s="302"/>
    </row>
    <row r="1022" spans="1:15" x14ac:dyDescent="0.2">
      <c r="A1022" s="302"/>
      <c r="B1022" s="887"/>
      <c r="C1022" s="838" t="s">
        <v>2706</v>
      </c>
      <c r="D1022" s="838" t="s">
        <v>2707</v>
      </c>
      <c r="E1022" s="713" t="s">
        <v>26</v>
      </c>
      <c r="F1022">
        <v>157797000</v>
      </c>
      <c r="G1022">
        <v>39701425</v>
      </c>
      <c r="H1022">
        <v>118095575</v>
      </c>
      <c r="I1022">
        <v>114297000</v>
      </c>
      <c r="J1022">
        <v>3798575</v>
      </c>
      <c r="K1022">
        <v>3500000</v>
      </c>
      <c r="L1022">
        <v>298575</v>
      </c>
      <c r="M1022">
        <v>0</v>
      </c>
      <c r="N1022">
        <v>0</v>
      </c>
      <c r="O1022" s="302"/>
    </row>
    <row r="1023" spans="1:15" x14ac:dyDescent="0.2">
      <c r="A1023" s="302"/>
      <c r="B1023" s="887"/>
      <c r="C1023" s="839"/>
      <c r="D1023" s="839"/>
      <c r="E1023" s="713" t="s">
        <v>1557</v>
      </c>
      <c r="F1023">
        <v>368193000</v>
      </c>
      <c r="G1023">
        <v>0</v>
      </c>
      <c r="H1023">
        <v>368193000</v>
      </c>
      <c r="I1023">
        <v>368193000</v>
      </c>
      <c r="J1023">
        <v>0</v>
      </c>
      <c r="K1023">
        <v>0</v>
      </c>
      <c r="L1023">
        <v>0</v>
      </c>
      <c r="M1023">
        <v>0</v>
      </c>
      <c r="N1023">
        <v>0</v>
      </c>
      <c r="O1023" s="302"/>
    </row>
    <row r="1024" spans="1:15" x14ac:dyDescent="0.2">
      <c r="A1024" s="302"/>
      <c r="B1024" s="887"/>
      <c r="C1024" s="838" t="s">
        <v>2708</v>
      </c>
      <c r="D1024" s="838" t="s">
        <v>2990</v>
      </c>
      <c r="E1024" s="713" t="s">
        <v>26</v>
      </c>
      <c r="F1024">
        <v>158940000</v>
      </c>
      <c r="G1024">
        <v>44586286</v>
      </c>
      <c r="H1024">
        <v>114353714</v>
      </c>
      <c r="I1024">
        <v>105558854</v>
      </c>
      <c r="J1024">
        <v>8794860</v>
      </c>
      <c r="K1024">
        <v>4398286</v>
      </c>
      <c r="L1024">
        <v>4396574</v>
      </c>
      <c r="M1024">
        <v>0</v>
      </c>
      <c r="N1024">
        <v>0</v>
      </c>
      <c r="O1024" s="302"/>
    </row>
    <row r="1025" spans="1:15" x14ac:dyDescent="0.2">
      <c r="A1025" s="302"/>
      <c r="B1025" s="887"/>
      <c r="C1025" s="839"/>
      <c r="D1025" s="839"/>
      <c r="E1025" s="713" t="s">
        <v>1557</v>
      </c>
      <c r="F1025">
        <v>370860000</v>
      </c>
      <c r="G1025">
        <v>0</v>
      </c>
      <c r="H1025">
        <v>370860000</v>
      </c>
      <c r="I1025">
        <v>370860000</v>
      </c>
      <c r="J1025">
        <v>0</v>
      </c>
      <c r="K1025">
        <v>0</v>
      </c>
      <c r="L1025">
        <v>0</v>
      </c>
      <c r="M1025">
        <v>0</v>
      </c>
      <c r="N1025">
        <v>0</v>
      </c>
      <c r="O1025" s="302"/>
    </row>
    <row r="1026" spans="1:15" x14ac:dyDescent="0.2">
      <c r="A1026" s="302"/>
      <c r="B1026" s="887"/>
      <c r="C1026" s="838" t="s">
        <v>2991</v>
      </c>
      <c r="D1026" s="838" t="s">
        <v>1719</v>
      </c>
      <c r="E1026" s="713" t="s">
        <v>26</v>
      </c>
      <c r="F1026">
        <v>135833000</v>
      </c>
      <c r="G1026">
        <v>135833000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 s="302"/>
    </row>
    <row r="1027" spans="1:15" x14ac:dyDescent="0.2">
      <c r="A1027" s="302"/>
      <c r="B1027" s="887"/>
      <c r="C1027" s="839"/>
      <c r="D1027" s="839"/>
      <c r="E1027" s="713" t="s">
        <v>1557</v>
      </c>
      <c r="F1027">
        <v>264167000</v>
      </c>
      <c r="G1027">
        <v>67437000</v>
      </c>
      <c r="H1027">
        <v>196730000</v>
      </c>
      <c r="I1027">
        <v>196730000</v>
      </c>
      <c r="J1027">
        <v>0</v>
      </c>
      <c r="K1027">
        <v>0</v>
      </c>
      <c r="L1027">
        <v>0</v>
      </c>
      <c r="M1027">
        <v>0</v>
      </c>
      <c r="N1027">
        <v>0</v>
      </c>
      <c r="O1027" s="302"/>
    </row>
    <row r="1028" spans="1:15" x14ac:dyDescent="0.2">
      <c r="A1028" s="302"/>
      <c r="B1028" s="887"/>
      <c r="C1028" s="838" t="s">
        <v>2992</v>
      </c>
      <c r="D1028" s="838" t="s">
        <v>2993</v>
      </c>
      <c r="E1028" s="713" t="s">
        <v>26</v>
      </c>
      <c r="F1028">
        <v>157590750</v>
      </c>
      <c r="G1028">
        <v>45391668</v>
      </c>
      <c r="H1028">
        <v>112199082</v>
      </c>
      <c r="I1028">
        <v>107711120</v>
      </c>
      <c r="J1028">
        <v>4487962</v>
      </c>
      <c r="K1028">
        <v>4487962</v>
      </c>
      <c r="L1028">
        <v>0</v>
      </c>
      <c r="M1028">
        <v>0</v>
      </c>
      <c r="N1028">
        <v>0</v>
      </c>
      <c r="O1028" s="302"/>
    </row>
    <row r="1029" spans="1:15" x14ac:dyDescent="0.2">
      <c r="A1029" s="302"/>
      <c r="B1029" s="887"/>
      <c r="C1029" s="839"/>
      <c r="D1029" s="839"/>
      <c r="E1029" s="713" t="s">
        <v>1557</v>
      </c>
      <c r="F1029">
        <v>367711750</v>
      </c>
      <c r="G1029">
        <v>0</v>
      </c>
      <c r="H1029">
        <v>367711750</v>
      </c>
      <c r="I1029">
        <v>367711750</v>
      </c>
      <c r="J1029">
        <v>0</v>
      </c>
      <c r="K1029">
        <v>0</v>
      </c>
      <c r="L1029">
        <v>0</v>
      </c>
      <c r="M1029">
        <v>0</v>
      </c>
      <c r="N1029">
        <v>0</v>
      </c>
      <c r="O1029" s="302"/>
    </row>
    <row r="1030" spans="1:15" x14ac:dyDescent="0.2">
      <c r="A1030" s="302"/>
      <c r="B1030" s="887"/>
      <c r="C1030" s="838" t="s">
        <v>2709</v>
      </c>
      <c r="D1030" s="838" t="s">
        <v>2710</v>
      </c>
      <c r="E1030" s="713" t="s">
        <v>26</v>
      </c>
      <c r="F1030">
        <v>118260000</v>
      </c>
      <c r="G1030">
        <v>31895426</v>
      </c>
      <c r="H1030">
        <v>86364574</v>
      </c>
      <c r="I1030">
        <v>79721146</v>
      </c>
      <c r="J1030">
        <v>6643428</v>
      </c>
      <c r="K1030">
        <v>3321714</v>
      </c>
      <c r="L1030">
        <v>3321714</v>
      </c>
      <c r="M1030">
        <v>0</v>
      </c>
      <c r="N1030">
        <v>0</v>
      </c>
      <c r="O1030" s="302"/>
    </row>
    <row r="1031" spans="1:15" x14ac:dyDescent="0.2">
      <c r="A1031" s="302"/>
      <c r="B1031" s="887"/>
      <c r="C1031" s="839"/>
      <c r="D1031" s="839"/>
      <c r="E1031" s="713" t="s">
        <v>1557</v>
      </c>
      <c r="F1031">
        <v>275940000</v>
      </c>
      <c r="G1031">
        <v>0</v>
      </c>
      <c r="H1031">
        <v>275940000</v>
      </c>
      <c r="I1031">
        <v>275940000</v>
      </c>
      <c r="J1031">
        <v>0</v>
      </c>
      <c r="K1031">
        <v>0</v>
      </c>
      <c r="L1031">
        <v>0</v>
      </c>
      <c r="M1031">
        <v>0</v>
      </c>
      <c r="N1031">
        <v>0</v>
      </c>
      <c r="O1031" s="302"/>
    </row>
    <row r="1032" spans="1:15" x14ac:dyDescent="0.2">
      <c r="A1032" s="302"/>
      <c r="B1032" s="887"/>
      <c r="C1032" s="838" t="s">
        <v>4365</v>
      </c>
      <c r="D1032" s="838" t="s">
        <v>4366</v>
      </c>
      <c r="E1032" s="713" t="s">
        <v>26</v>
      </c>
      <c r="F1032">
        <v>177723000</v>
      </c>
      <c r="G1032">
        <v>5000000</v>
      </c>
      <c r="H1032">
        <v>172723000</v>
      </c>
      <c r="I1032">
        <v>166079808</v>
      </c>
      <c r="J1032">
        <v>6643192</v>
      </c>
      <c r="K1032">
        <v>6643192</v>
      </c>
      <c r="L1032">
        <v>0</v>
      </c>
      <c r="M1032">
        <v>0</v>
      </c>
      <c r="N1032">
        <v>0</v>
      </c>
      <c r="O1032" s="302"/>
    </row>
    <row r="1033" spans="1:15" x14ac:dyDescent="0.2">
      <c r="A1033" s="302"/>
      <c r="B1033" s="887"/>
      <c r="C1033" s="839"/>
      <c r="D1033" s="839"/>
      <c r="E1033" s="713" t="s">
        <v>1557</v>
      </c>
      <c r="F1033">
        <v>414687000</v>
      </c>
      <c r="G1033">
        <v>0</v>
      </c>
      <c r="H1033">
        <v>414687000</v>
      </c>
      <c r="I1033">
        <v>414687000</v>
      </c>
      <c r="J1033">
        <v>0</v>
      </c>
      <c r="K1033">
        <v>0</v>
      </c>
      <c r="L1033">
        <v>0</v>
      </c>
      <c r="M1033">
        <v>0</v>
      </c>
      <c r="N1033">
        <v>0</v>
      </c>
      <c r="O1033" s="302"/>
    </row>
    <row r="1034" spans="1:15" x14ac:dyDescent="0.2">
      <c r="A1034" s="302"/>
      <c r="B1034" s="887"/>
      <c r="C1034" s="838" t="s">
        <v>3501</v>
      </c>
      <c r="D1034" s="838" t="s">
        <v>4367</v>
      </c>
      <c r="E1034" s="713" t="s">
        <v>26</v>
      </c>
      <c r="F1034">
        <v>177553500</v>
      </c>
      <c r="G1034">
        <v>5000000</v>
      </c>
      <c r="H1034">
        <v>172553500</v>
      </c>
      <c r="I1034">
        <v>165916827</v>
      </c>
      <c r="J1034">
        <v>6636673</v>
      </c>
      <c r="K1034">
        <v>6636673</v>
      </c>
      <c r="L1034">
        <v>0</v>
      </c>
      <c r="M1034">
        <v>0</v>
      </c>
      <c r="N1034">
        <v>0</v>
      </c>
      <c r="O1034" s="302"/>
    </row>
    <row r="1035" spans="1:15" x14ac:dyDescent="0.2">
      <c r="A1035" s="302"/>
      <c r="B1035" s="887"/>
      <c r="C1035" s="839"/>
      <c r="D1035" s="839"/>
      <c r="E1035" s="713" t="s">
        <v>1557</v>
      </c>
      <c r="F1035">
        <v>414291500</v>
      </c>
      <c r="G1035">
        <v>0</v>
      </c>
      <c r="H1035">
        <v>414291500</v>
      </c>
      <c r="I1035">
        <v>414291500</v>
      </c>
      <c r="J1035">
        <v>0</v>
      </c>
      <c r="K1035">
        <v>0</v>
      </c>
      <c r="L1035">
        <v>0</v>
      </c>
      <c r="M1035">
        <v>0</v>
      </c>
      <c r="N1035">
        <v>0</v>
      </c>
      <c r="O1035" s="302"/>
    </row>
    <row r="1036" spans="1:15" x14ac:dyDescent="0.2">
      <c r="A1036" s="302"/>
      <c r="B1036" s="887"/>
      <c r="C1036" s="838" t="s">
        <v>2711</v>
      </c>
      <c r="D1036" s="838" t="s">
        <v>2712</v>
      </c>
      <c r="E1036" s="713" t="s">
        <v>26</v>
      </c>
      <c r="F1036">
        <v>118650000</v>
      </c>
      <c r="G1036">
        <v>35328570</v>
      </c>
      <c r="H1036">
        <v>83321430</v>
      </c>
      <c r="I1036">
        <v>79988573</v>
      </c>
      <c r="J1036">
        <v>3332857</v>
      </c>
      <c r="K1036">
        <v>3332857</v>
      </c>
      <c r="L1036">
        <v>0</v>
      </c>
      <c r="M1036">
        <v>0</v>
      </c>
      <c r="N1036">
        <v>0</v>
      </c>
      <c r="O1036" s="302"/>
    </row>
    <row r="1037" spans="1:15" x14ac:dyDescent="0.2">
      <c r="A1037" s="302"/>
      <c r="B1037" s="887"/>
      <c r="C1037" s="839"/>
      <c r="D1037" s="839"/>
      <c r="E1037" s="713" t="s">
        <v>1557</v>
      </c>
      <c r="F1037">
        <v>276850000</v>
      </c>
      <c r="G1037">
        <v>0</v>
      </c>
      <c r="H1037">
        <v>276850000</v>
      </c>
      <c r="I1037">
        <v>276850000</v>
      </c>
      <c r="J1037">
        <v>0</v>
      </c>
      <c r="K1037">
        <v>0</v>
      </c>
      <c r="L1037">
        <v>0</v>
      </c>
      <c r="M1037">
        <v>0</v>
      </c>
      <c r="N1037">
        <v>0</v>
      </c>
      <c r="O1037" s="302"/>
    </row>
    <row r="1038" spans="1:15" x14ac:dyDescent="0.2">
      <c r="A1038" s="302"/>
      <c r="B1038" s="887"/>
      <c r="C1038" s="838" t="s">
        <v>3277</v>
      </c>
      <c r="D1038" s="838" t="s">
        <v>3278</v>
      </c>
      <c r="E1038" s="713" t="s">
        <v>26</v>
      </c>
      <c r="F1038">
        <v>168547500</v>
      </c>
      <c r="G1038">
        <v>40777000</v>
      </c>
      <c r="H1038">
        <v>127770500</v>
      </c>
      <c r="I1038">
        <v>127770500</v>
      </c>
      <c r="J1038">
        <v>0</v>
      </c>
      <c r="K1038">
        <v>0</v>
      </c>
      <c r="L1038">
        <v>0</v>
      </c>
      <c r="M1038">
        <v>0</v>
      </c>
      <c r="N1038">
        <v>0</v>
      </c>
      <c r="O1038" s="302"/>
    </row>
    <row r="1039" spans="1:15" x14ac:dyDescent="0.2">
      <c r="A1039" s="302"/>
      <c r="B1039" s="887"/>
      <c r="C1039" s="839"/>
      <c r="D1039" s="839"/>
      <c r="E1039" s="713" t="s">
        <v>1557</v>
      </c>
      <c r="F1039">
        <v>393277500</v>
      </c>
      <c r="G1039">
        <v>0</v>
      </c>
      <c r="H1039">
        <v>393277500</v>
      </c>
      <c r="I1039">
        <v>393277500</v>
      </c>
      <c r="J1039">
        <v>0</v>
      </c>
      <c r="K1039">
        <v>0</v>
      </c>
      <c r="L1039">
        <v>0</v>
      </c>
      <c r="M1039">
        <v>0</v>
      </c>
      <c r="N1039">
        <v>0</v>
      </c>
      <c r="O1039" s="302"/>
    </row>
    <row r="1040" spans="1:15" x14ac:dyDescent="0.2">
      <c r="A1040" s="302"/>
      <c r="B1040" s="887"/>
      <c r="C1040" s="838" t="s">
        <v>2994</v>
      </c>
      <c r="D1040" s="838" t="s">
        <v>2995</v>
      </c>
      <c r="E1040" s="713" t="s">
        <v>26</v>
      </c>
      <c r="F1040">
        <v>118410000</v>
      </c>
      <c r="G1040">
        <v>35260001</v>
      </c>
      <c r="H1040">
        <v>83149999</v>
      </c>
      <c r="I1040">
        <v>79824000</v>
      </c>
      <c r="J1040">
        <v>3325999</v>
      </c>
      <c r="K1040">
        <v>3325999</v>
      </c>
      <c r="L1040">
        <v>0</v>
      </c>
      <c r="M1040">
        <v>0</v>
      </c>
      <c r="N1040">
        <v>0</v>
      </c>
      <c r="O1040" s="302"/>
    </row>
    <row r="1041" spans="1:15" x14ac:dyDescent="0.2">
      <c r="A1041" s="302"/>
      <c r="B1041" s="887"/>
      <c r="C1041" s="839"/>
      <c r="D1041" s="839"/>
      <c r="E1041" s="713" t="s">
        <v>1557</v>
      </c>
      <c r="F1041">
        <v>276290000</v>
      </c>
      <c r="G1041">
        <v>0</v>
      </c>
      <c r="H1041">
        <v>276290000</v>
      </c>
      <c r="I1041">
        <v>276290000</v>
      </c>
      <c r="J1041">
        <v>0</v>
      </c>
      <c r="K1041">
        <v>0</v>
      </c>
      <c r="L1041">
        <v>0</v>
      </c>
      <c r="M1041">
        <v>0</v>
      </c>
      <c r="N1041">
        <v>0</v>
      </c>
      <c r="O1041" s="302"/>
    </row>
    <row r="1042" spans="1:15" x14ac:dyDescent="0.2">
      <c r="A1042" s="302"/>
      <c r="B1042" s="887"/>
      <c r="C1042" s="838" t="s">
        <v>2996</v>
      </c>
      <c r="D1042" s="838" t="s">
        <v>2997</v>
      </c>
      <c r="E1042" s="713" t="s">
        <v>26</v>
      </c>
      <c r="F1042">
        <v>159000000</v>
      </c>
      <c r="G1042">
        <v>49000000</v>
      </c>
      <c r="H1042">
        <v>110000000</v>
      </c>
      <c r="I1042">
        <v>105600000</v>
      </c>
      <c r="J1042">
        <v>4400000</v>
      </c>
      <c r="K1042">
        <v>4400000</v>
      </c>
      <c r="L1042">
        <v>0</v>
      </c>
      <c r="M1042">
        <v>0</v>
      </c>
      <c r="N1042">
        <v>0</v>
      </c>
      <c r="O1042" s="302"/>
    </row>
    <row r="1043" spans="1:15" x14ac:dyDescent="0.2">
      <c r="A1043" s="302"/>
      <c r="B1043" s="887"/>
      <c r="C1043" s="839"/>
      <c r="D1043" s="839"/>
      <c r="E1043" s="713" t="s">
        <v>1557</v>
      </c>
      <c r="F1043">
        <v>371000000</v>
      </c>
      <c r="G1043">
        <v>0</v>
      </c>
      <c r="H1043">
        <v>371000000</v>
      </c>
      <c r="I1043">
        <v>371000000</v>
      </c>
      <c r="J1043">
        <v>0</v>
      </c>
      <c r="K1043">
        <v>0</v>
      </c>
      <c r="L1043">
        <v>0</v>
      </c>
      <c r="M1043">
        <v>0</v>
      </c>
      <c r="N1043">
        <v>0</v>
      </c>
      <c r="O1043" s="302"/>
    </row>
    <row r="1044" spans="1:15" x14ac:dyDescent="0.2">
      <c r="A1044" s="302"/>
      <c r="B1044" s="887"/>
      <c r="C1044" s="838" t="s">
        <v>3222</v>
      </c>
      <c r="D1044" s="838" t="s">
        <v>3223</v>
      </c>
      <c r="E1044" s="713" t="s">
        <v>26</v>
      </c>
      <c r="F1044">
        <v>172882500</v>
      </c>
      <c r="G1044">
        <v>45698836</v>
      </c>
      <c r="H1044">
        <v>127183664</v>
      </c>
      <c r="I1044">
        <v>122096368</v>
      </c>
      <c r="J1044">
        <v>5087296</v>
      </c>
      <c r="K1044">
        <v>5087296</v>
      </c>
      <c r="L1044">
        <v>0</v>
      </c>
      <c r="M1044">
        <v>0</v>
      </c>
      <c r="N1044">
        <v>0</v>
      </c>
      <c r="O1044" s="302"/>
    </row>
    <row r="1045" spans="1:15" x14ac:dyDescent="0.2">
      <c r="A1045" s="302"/>
      <c r="B1045" s="887"/>
      <c r="C1045" s="839"/>
      <c r="D1045" s="839"/>
      <c r="E1045" s="713" t="s">
        <v>1557</v>
      </c>
      <c r="F1045">
        <v>403392500</v>
      </c>
      <c r="G1045">
        <v>0</v>
      </c>
      <c r="H1045">
        <v>403392500</v>
      </c>
      <c r="I1045">
        <v>403392500</v>
      </c>
      <c r="J1045">
        <v>0</v>
      </c>
      <c r="K1045">
        <v>0</v>
      </c>
      <c r="L1045">
        <v>0</v>
      </c>
      <c r="M1045">
        <v>0</v>
      </c>
      <c r="N1045">
        <v>0</v>
      </c>
      <c r="O1045" s="302"/>
    </row>
    <row r="1046" spans="1:15" x14ac:dyDescent="0.2">
      <c r="A1046" s="302"/>
      <c r="B1046" s="887"/>
      <c r="C1046" s="838" t="s">
        <v>4285</v>
      </c>
      <c r="D1046" s="838" t="s">
        <v>4286</v>
      </c>
      <c r="E1046" s="713" t="s">
        <v>26</v>
      </c>
      <c r="F1046">
        <v>132676500</v>
      </c>
      <c r="G1046">
        <v>19181500</v>
      </c>
      <c r="H1046">
        <v>113495000</v>
      </c>
      <c r="I1046">
        <v>113491000</v>
      </c>
      <c r="J1046">
        <v>4000</v>
      </c>
      <c r="K1046">
        <v>4000</v>
      </c>
      <c r="L1046">
        <v>0</v>
      </c>
      <c r="M1046">
        <v>0</v>
      </c>
      <c r="N1046">
        <v>0</v>
      </c>
      <c r="O1046" s="302"/>
    </row>
    <row r="1047" spans="1:15" x14ac:dyDescent="0.2">
      <c r="A1047" s="302"/>
      <c r="B1047" s="887"/>
      <c r="C1047" s="839"/>
      <c r="D1047" s="839"/>
      <c r="E1047" s="713" t="s">
        <v>1557</v>
      </c>
      <c r="F1047">
        <v>309578500</v>
      </c>
      <c r="G1047">
        <v>0</v>
      </c>
      <c r="H1047">
        <v>309578500</v>
      </c>
      <c r="I1047">
        <v>309578500</v>
      </c>
      <c r="J1047">
        <v>0</v>
      </c>
      <c r="K1047">
        <v>0</v>
      </c>
      <c r="L1047">
        <v>0</v>
      </c>
      <c r="M1047">
        <v>0</v>
      </c>
      <c r="N1047">
        <v>0</v>
      </c>
      <c r="O1047" s="302"/>
    </row>
    <row r="1048" spans="1:15" x14ac:dyDescent="0.2">
      <c r="A1048" s="302"/>
      <c r="B1048" s="887"/>
      <c r="C1048" s="838" t="s">
        <v>3155</v>
      </c>
      <c r="D1048" s="838" t="s">
        <v>3156</v>
      </c>
      <c r="E1048" s="713" t="s">
        <v>26</v>
      </c>
      <c r="F1048">
        <v>158793000</v>
      </c>
      <c r="G1048">
        <v>45000000</v>
      </c>
      <c r="H1048">
        <v>113793000</v>
      </c>
      <c r="I1048">
        <v>111849454</v>
      </c>
      <c r="J1048">
        <v>1943546</v>
      </c>
      <c r="K1048">
        <v>1943546</v>
      </c>
      <c r="L1048">
        <v>0</v>
      </c>
      <c r="M1048">
        <v>0</v>
      </c>
      <c r="N1048">
        <v>0</v>
      </c>
      <c r="O1048" s="302"/>
    </row>
    <row r="1049" spans="1:15" x14ac:dyDescent="0.2">
      <c r="A1049" s="302"/>
      <c r="B1049" s="887"/>
      <c r="C1049" s="839"/>
      <c r="D1049" s="839"/>
      <c r="E1049" s="713" t="s">
        <v>1557</v>
      </c>
      <c r="F1049">
        <v>370517000</v>
      </c>
      <c r="G1049">
        <v>0</v>
      </c>
      <c r="H1049">
        <v>370517000</v>
      </c>
      <c r="I1049">
        <v>370517000</v>
      </c>
      <c r="J1049">
        <v>0</v>
      </c>
      <c r="K1049">
        <v>0</v>
      </c>
      <c r="L1049">
        <v>0</v>
      </c>
      <c r="M1049">
        <v>0</v>
      </c>
      <c r="N1049">
        <v>0</v>
      </c>
      <c r="O1049" s="302"/>
    </row>
    <row r="1050" spans="1:15" x14ac:dyDescent="0.2">
      <c r="A1050" s="302"/>
      <c r="B1050" s="887"/>
      <c r="C1050" s="838" t="s">
        <v>2998</v>
      </c>
      <c r="D1050" s="838" t="s">
        <v>2999</v>
      </c>
      <c r="E1050" s="713" t="s">
        <v>26</v>
      </c>
      <c r="F1050">
        <v>148000000</v>
      </c>
      <c r="G1050">
        <v>49650000</v>
      </c>
      <c r="H1050">
        <v>98350000</v>
      </c>
      <c r="I1050">
        <v>98350000</v>
      </c>
      <c r="J1050">
        <v>0</v>
      </c>
      <c r="K1050">
        <v>0</v>
      </c>
      <c r="L1050">
        <v>0</v>
      </c>
      <c r="M1050">
        <v>0</v>
      </c>
      <c r="N1050">
        <v>0</v>
      </c>
      <c r="O1050" s="302"/>
    </row>
    <row r="1051" spans="1:15" x14ac:dyDescent="0.2">
      <c r="A1051" s="302"/>
      <c r="B1051" s="887"/>
      <c r="C1051" s="839"/>
      <c r="D1051" s="839"/>
      <c r="E1051" s="713" t="s">
        <v>1557</v>
      </c>
      <c r="F1051">
        <v>259420000</v>
      </c>
      <c r="G1051">
        <v>0</v>
      </c>
      <c r="H1051">
        <v>259420000</v>
      </c>
      <c r="I1051">
        <v>259420000</v>
      </c>
      <c r="J1051">
        <v>0</v>
      </c>
      <c r="K1051">
        <v>0</v>
      </c>
      <c r="L1051">
        <v>0</v>
      </c>
      <c r="M1051">
        <v>0</v>
      </c>
      <c r="N1051">
        <v>0</v>
      </c>
      <c r="O1051" s="302"/>
    </row>
    <row r="1052" spans="1:15" x14ac:dyDescent="0.2">
      <c r="A1052" s="302"/>
      <c r="B1052" s="887"/>
      <c r="C1052" s="838" t="s">
        <v>3000</v>
      </c>
      <c r="D1052" s="838" t="s">
        <v>3001</v>
      </c>
      <c r="E1052" s="713" t="s">
        <v>26</v>
      </c>
      <c r="F1052">
        <v>159240000</v>
      </c>
      <c r="G1052">
        <v>56555008</v>
      </c>
      <c r="H1052">
        <v>102684992</v>
      </c>
      <c r="I1052">
        <v>102684992</v>
      </c>
      <c r="J1052">
        <v>0</v>
      </c>
      <c r="K1052">
        <v>0</v>
      </c>
      <c r="L1052">
        <v>0</v>
      </c>
      <c r="M1052">
        <v>0</v>
      </c>
      <c r="N1052">
        <v>0</v>
      </c>
      <c r="O1052" s="302"/>
    </row>
    <row r="1053" spans="1:15" x14ac:dyDescent="0.2">
      <c r="A1053" s="302"/>
      <c r="B1053" s="887"/>
      <c r="C1053" s="839"/>
      <c r="D1053" s="839"/>
      <c r="E1053" s="713" t="s">
        <v>1557</v>
      </c>
      <c r="F1053">
        <v>371560000</v>
      </c>
      <c r="G1053">
        <v>0</v>
      </c>
      <c r="H1053">
        <v>371560000</v>
      </c>
      <c r="I1053">
        <v>371560000</v>
      </c>
      <c r="J1053">
        <v>0</v>
      </c>
      <c r="K1053">
        <v>0</v>
      </c>
      <c r="L1053">
        <v>0</v>
      </c>
      <c r="M1053">
        <v>0</v>
      </c>
      <c r="N1053">
        <v>0</v>
      </c>
      <c r="O1053" s="302"/>
    </row>
    <row r="1054" spans="1:15" x14ac:dyDescent="0.2">
      <c r="A1054" s="302"/>
      <c r="B1054" s="887"/>
      <c r="C1054" s="839"/>
      <c r="D1054" s="839"/>
      <c r="E1054" s="713" t="s">
        <v>195</v>
      </c>
      <c r="F1054">
        <v>444992</v>
      </c>
      <c r="G1054">
        <v>444992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 s="302"/>
    </row>
    <row r="1055" spans="1:15" x14ac:dyDescent="0.2">
      <c r="A1055" s="302"/>
      <c r="B1055" s="887"/>
      <c r="C1055" s="838" t="s">
        <v>3157</v>
      </c>
      <c r="D1055" s="838" t="s">
        <v>3158</v>
      </c>
      <c r="E1055" s="713" t="s">
        <v>26</v>
      </c>
      <c r="F1055">
        <v>162185250</v>
      </c>
      <c r="G1055">
        <v>46607864</v>
      </c>
      <c r="H1055">
        <v>115577386</v>
      </c>
      <c r="I1055">
        <v>110954290</v>
      </c>
      <c r="J1055">
        <v>4623096</v>
      </c>
      <c r="K1055">
        <v>4623096</v>
      </c>
      <c r="L1055">
        <v>0</v>
      </c>
      <c r="M1055">
        <v>0</v>
      </c>
      <c r="N1055">
        <v>0</v>
      </c>
      <c r="O1055" s="302"/>
    </row>
    <row r="1056" spans="1:15" x14ac:dyDescent="0.2">
      <c r="A1056" s="302"/>
      <c r="B1056" s="887"/>
      <c r="C1056" s="839"/>
      <c r="D1056" s="839"/>
      <c r="E1056" s="713" t="s">
        <v>1557</v>
      </c>
      <c r="F1056">
        <v>378432250</v>
      </c>
      <c r="G1056">
        <v>0</v>
      </c>
      <c r="H1056">
        <v>378432250</v>
      </c>
      <c r="I1056">
        <v>378432250</v>
      </c>
      <c r="J1056">
        <v>0</v>
      </c>
      <c r="K1056">
        <v>0</v>
      </c>
      <c r="L1056">
        <v>0</v>
      </c>
      <c r="M1056">
        <v>0</v>
      </c>
      <c r="N1056">
        <v>0</v>
      </c>
      <c r="O1056" s="302"/>
    </row>
    <row r="1057" spans="1:15" x14ac:dyDescent="0.2">
      <c r="A1057" s="302"/>
      <c r="B1057" s="887"/>
      <c r="C1057" s="838" t="s">
        <v>3224</v>
      </c>
      <c r="D1057" s="838" t="s">
        <v>3225</v>
      </c>
      <c r="E1057" s="713" t="s">
        <v>26</v>
      </c>
      <c r="F1057">
        <v>129367500</v>
      </c>
      <c r="G1057">
        <v>36100000</v>
      </c>
      <c r="H1057">
        <v>93267500</v>
      </c>
      <c r="I1057">
        <v>90429924</v>
      </c>
      <c r="J1057">
        <v>2837576</v>
      </c>
      <c r="K1057">
        <v>2837576</v>
      </c>
      <c r="L1057">
        <v>0</v>
      </c>
      <c r="M1057">
        <v>0</v>
      </c>
      <c r="N1057">
        <v>0</v>
      </c>
      <c r="O1057" s="302"/>
    </row>
    <row r="1058" spans="1:15" x14ac:dyDescent="0.2">
      <c r="A1058" s="302"/>
      <c r="B1058" s="887"/>
      <c r="C1058" s="839"/>
      <c r="D1058" s="839"/>
      <c r="E1058" s="713" t="s">
        <v>1557</v>
      </c>
      <c r="F1058">
        <v>301857500</v>
      </c>
      <c r="G1058">
        <v>0</v>
      </c>
      <c r="H1058">
        <v>301857500</v>
      </c>
      <c r="I1058">
        <v>301857500</v>
      </c>
      <c r="J1058">
        <v>0</v>
      </c>
      <c r="K1058">
        <v>0</v>
      </c>
      <c r="L1058">
        <v>0</v>
      </c>
      <c r="M1058">
        <v>0</v>
      </c>
      <c r="N1058">
        <v>0</v>
      </c>
      <c r="O1058" s="302"/>
    </row>
    <row r="1059" spans="1:15" x14ac:dyDescent="0.2">
      <c r="A1059" s="302"/>
      <c r="B1059" s="887"/>
      <c r="C1059" s="838" t="s">
        <v>3002</v>
      </c>
      <c r="D1059" s="838" t="s">
        <v>3003</v>
      </c>
      <c r="E1059" s="713" t="s">
        <v>26</v>
      </c>
      <c r="F1059">
        <v>155340000</v>
      </c>
      <c r="G1059">
        <v>43659634</v>
      </c>
      <c r="H1059">
        <v>111680366</v>
      </c>
      <c r="I1059">
        <v>103090281</v>
      </c>
      <c r="J1059">
        <v>8590085</v>
      </c>
      <c r="K1059">
        <v>4295429</v>
      </c>
      <c r="L1059">
        <v>4294656</v>
      </c>
      <c r="M1059">
        <v>0</v>
      </c>
      <c r="N1059">
        <v>0</v>
      </c>
      <c r="O1059" s="302"/>
    </row>
    <row r="1060" spans="1:15" x14ac:dyDescent="0.2">
      <c r="A1060" s="302"/>
      <c r="B1060" s="887"/>
      <c r="C1060" s="839"/>
      <c r="D1060" s="839"/>
      <c r="E1060" s="713" t="s">
        <v>1557</v>
      </c>
      <c r="F1060">
        <v>362460000</v>
      </c>
      <c r="G1060">
        <v>0</v>
      </c>
      <c r="H1060">
        <v>362460000</v>
      </c>
      <c r="I1060">
        <v>362460000</v>
      </c>
      <c r="J1060">
        <v>0</v>
      </c>
      <c r="K1060">
        <v>0</v>
      </c>
      <c r="L1060">
        <v>0</v>
      </c>
      <c r="M1060">
        <v>0</v>
      </c>
      <c r="N1060">
        <v>0</v>
      </c>
      <c r="O1060" s="302"/>
    </row>
    <row r="1061" spans="1:15" x14ac:dyDescent="0.2">
      <c r="A1061" s="302"/>
      <c r="B1061" s="887"/>
      <c r="C1061" s="839"/>
      <c r="D1061" s="839"/>
      <c r="E1061" s="713" t="s">
        <v>195</v>
      </c>
      <c r="F1061">
        <v>313366</v>
      </c>
      <c r="G1061">
        <v>313366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 s="302"/>
    </row>
    <row r="1062" spans="1:15" x14ac:dyDescent="0.2">
      <c r="A1062" s="302"/>
      <c r="B1062" s="887"/>
      <c r="C1062" s="838" t="s">
        <v>3159</v>
      </c>
      <c r="D1062" s="838" t="s">
        <v>3160</v>
      </c>
      <c r="E1062" s="713" t="s">
        <v>26</v>
      </c>
      <c r="F1062">
        <v>122226000</v>
      </c>
      <c r="G1062">
        <v>33800000</v>
      </c>
      <c r="H1062">
        <v>88426000</v>
      </c>
      <c r="I1062">
        <v>85255273</v>
      </c>
      <c r="J1062">
        <v>3170727</v>
      </c>
      <c r="K1062">
        <v>3170727</v>
      </c>
      <c r="L1062">
        <v>0</v>
      </c>
      <c r="M1062">
        <v>0</v>
      </c>
      <c r="N1062">
        <v>0</v>
      </c>
      <c r="O1062" s="302"/>
    </row>
    <row r="1063" spans="1:15" x14ac:dyDescent="0.2">
      <c r="A1063" s="302"/>
      <c r="B1063" s="887"/>
      <c r="C1063" s="839"/>
      <c r="D1063" s="839"/>
      <c r="E1063" s="713" t="s">
        <v>1557</v>
      </c>
      <c r="F1063">
        <v>285194000</v>
      </c>
      <c r="G1063">
        <v>0</v>
      </c>
      <c r="H1063">
        <v>285194000</v>
      </c>
      <c r="I1063">
        <v>285194000</v>
      </c>
      <c r="J1063">
        <v>0</v>
      </c>
      <c r="K1063">
        <v>0</v>
      </c>
      <c r="L1063">
        <v>0</v>
      </c>
      <c r="M1063">
        <v>0</v>
      </c>
      <c r="N1063">
        <v>0</v>
      </c>
      <c r="O1063" s="302"/>
    </row>
    <row r="1064" spans="1:15" x14ac:dyDescent="0.2">
      <c r="A1064" s="302"/>
      <c r="B1064" s="887"/>
      <c r="C1064" s="838" t="s">
        <v>2713</v>
      </c>
      <c r="D1064" s="838" t="s">
        <v>2714</v>
      </c>
      <c r="E1064" s="713" t="s">
        <v>26</v>
      </c>
      <c r="F1064">
        <v>158388000</v>
      </c>
      <c r="G1064">
        <v>37350000</v>
      </c>
      <c r="H1064">
        <v>121038000</v>
      </c>
      <c r="I1064">
        <v>104238000</v>
      </c>
      <c r="J1064">
        <v>16800000</v>
      </c>
      <c r="K1064">
        <v>16800000</v>
      </c>
      <c r="L1064">
        <v>0</v>
      </c>
      <c r="M1064">
        <v>0</v>
      </c>
      <c r="N1064">
        <v>0</v>
      </c>
      <c r="O1064" s="302"/>
    </row>
    <row r="1065" spans="1:15" x14ac:dyDescent="0.2">
      <c r="A1065" s="302"/>
      <c r="B1065" s="887"/>
      <c r="C1065" s="839"/>
      <c r="D1065" s="839"/>
      <c r="E1065" s="713" t="s">
        <v>1557</v>
      </c>
      <c r="F1065">
        <v>369572000</v>
      </c>
      <c r="G1065">
        <v>0</v>
      </c>
      <c r="H1065">
        <v>369572000</v>
      </c>
      <c r="I1065">
        <v>369572000</v>
      </c>
      <c r="J1065">
        <v>0</v>
      </c>
      <c r="K1065">
        <v>0</v>
      </c>
      <c r="L1065">
        <v>0</v>
      </c>
      <c r="M1065">
        <v>0</v>
      </c>
      <c r="N1065">
        <v>0</v>
      </c>
      <c r="O1065" s="302"/>
    </row>
    <row r="1066" spans="1:15" x14ac:dyDescent="0.2">
      <c r="A1066" s="302"/>
      <c r="B1066" s="887"/>
      <c r="C1066" s="838" t="s">
        <v>2715</v>
      </c>
      <c r="D1066" s="838" t="s">
        <v>2716</v>
      </c>
      <c r="E1066" s="713" t="s">
        <v>26</v>
      </c>
      <c r="F1066">
        <v>163959901</v>
      </c>
      <c r="G1066">
        <v>33576650</v>
      </c>
      <c r="H1066">
        <v>130383251</v>
      </c>
      <c r="I1066">
        <v>125167921</v>
      </c>
      <c r="J1066">
        <v>5215330</v>
      </c>
      <c r="K1066">
        <v>5215330</v>
      </c>
      <c r="L1066">
        <v>0</v>
      </c>
      <c r="M1066">
        <v>0</v>
      </c>
      <c r="N1066">
        <v>0</v>
      </c>
      <c r="O1066" s="302"/>
    </row>
    <row r="1067" spans="1:15" x14ac:dyDescent="0.2">
      <c r="A1067" s="302"/>
      <c r="B1067" s="887"/>
      <c r="C1067" s="839"/>
      <c r="D1067" s="839"/>
      <c r="E1067" s="713" t="s">
        <v>1557</v>
      </c>
      <c r="F1067">
        <v>372260000</v>
      </c>
      <c r="G1067">
        <v>0</v>
      </c>
      <c r="H1067">
        <v>372260000</v>
      </c>
      <c r="I1067">
        <v>372260000</v>
      </c>
      <c r="J1067">
        <v>0</v>
      </c>
      <c r="K1067">
        <v>0</v>
      </c>
      <c r="L1067">
        <v>0</v>
      </c>
      <c r="M1067">
        <v>0</v>
      </c>
      <c r="N1067">
        <v>0</v>
      </c>
      <c r="O1067" s="302"/>
    </row>
    <row r="1068" spans="1:15" x14ac:dyDescent="0.2">
      <c r="A1068" s="302"/>
      <c r="B1068" s="887"/>
      <c r="C1068" s="838" t="s">
        <v>4368</v>
      </c>
      <c r="D1068" s="838" t="s">
        <v>2543</v>
      </c>
      <c r="E1068" s="713" t="s">
        <v>26</v>
      </c>
      <c r="F1068">
        <v>132976500</v>
      </c>
      <c r="G1068">
        <v>9000000</v>
      </c>
      <c r="H1068">
        <v>123976500</v>
      </c>
      <c r="I1068">
        <v>47809833</v>
      </c>
      <c r="J1068">
        <v>76166667</v>
      </c>
      <c r="K1068">
        <v>0</v>
      </c>
      <c r="L1068">
        <v>76166667</v>
      </c>
      <c r="M1068">
        <v>0</v>
      </c>
      <c r="N1068">
        <v>0</v>
      </c>
      <c r="O1068" s="302"/>
    </row>
    <row r="1069" spans="1:15" x14ac:dyDescent="0.2">
      <c r="A1069" s="302"/>
      <c r="B1069" s="887"/>
      <c r="C1069" s="839"/>
      <c r="D1069" s="839"/>
      <c r="E1069" s="713" t="s">
        <v>1557</v>
      </c>
      <c r="F1069">
        <v>310278500</v>
      </c>
      <c r="G1069">
        <v>0</v>
      </c>
      <c r="H1069">
        <v>310278500</v>
      </c>
      <c r="I1069">
        <v>310278500</v>
      </c>
      <c r="J1069">
        <v>0</v>
      </c>
      <c r="K1069">
        <v>0</v>
      </c>
      <c r="L1069">
        <v>0</v>
      </c>
      <c r="M1069">
        <v>0</v>
      </c>
      <c r="N1069">
        <v>0</v>
      </c>
      <c r="O1069" s="302"/>
    </row>
    <row r="1070" spans="1:15" x14ac:dyDescent="0.2">
      <c r="A1070" s="302"/>
      <c r="B1070" s="887"/>
      <c r="C1070" s="838" t="s">
        <v>3004</v>
      </c>
      <c r="D1070" s="838" t="s">
        <v>3005</v>
      </c>
      <c r="E1070" s="713" t="s">
        <v>26</v>
      </c>
      <c r="F1070">
        <v>118554600</v>
      </c>
      <c r="G1070">
        <v>18332594</v>
      </c>
      <c r="H1070">
        <v>100222006</v>
      </c>
      <c r="I1070">
        <v>95354600</v>
      </c>
      <c r="J1070">
        <v>4867406</v>
      </c>
      <c r="K1070">
        <v>1300000</v>
      </c>
      <c r="L1070">
        <v>1300000</v>
      </c>
      <c r="M1070">
        <v>1300000</v>
      </c>
      <c r="N1070">
        <v>967406</v>
      </c>
      <c r="O1070" s="302"/>
    </row>
    <row r="1071" spans="1:15" x14ac:dyDescent="0.2">
      <c r="A1071" s="302"/>
      <c r="B1071" s="887"/>
      <c r="C1071" s="839"/>
      <c r="D1071" s="839"/>
      <c r="E1071" s="713" t="s">
        <v>1557</v>
      </c>
      <c r="F1071">
        <v>276627400</v>
      </c>
      <c r="G1071">
        <v>0</v>
      </c>
      <c r="H1071">
        <v>276627400</v>
      </c>
      <c r="I1071">
        <v>276627400</v>
      </c>
      <c r="J1071">
        <v>0</v>
      </c>
      <c r="K1071">
        <v>0</v>
      </c>
      <c r="L1071">
        <v>0</v>
      </c>
      <c r="M1071">
        <v>0</v>
      </c>
      <c r="N1071">
        <v>0</v>
      </c>
      <c r="O1071" s="302"/>
    </row>
    <row r="1072" spans="1:15" x14ac:dyDescent="0.2">
      <c r="A1072" s="302"/>
      <c r="B1072" s="887"/>
      <c r="C1072" s="839"/>
      <c r="D1072" s="839"/>
      <c r="E1072" s="713" t="s">
        <v>195</v>
      </c>
      <c r="F1072">
        <v>67406</v>
      </c>
      <c r="G1072">
        <v>67406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 s="302"/>
    </row>
    <row r="1073" spans="1:15" x14ac:dyDescent="0.2">
      <c r="A1073" s="302"/>
      <c r="B1073" s="887"/>
      <c r="C1073" s="838" t="s">
        <v>2717</v>
      </c>
      <c r="D1073" s="838" t="s">
        <v>2718</v>
      </c>
      <c r="E1073" s="713" t="s">
        <v>26</v>
      </c>
      <c r="F1073">
        <v>160950000</v>
      </c>
      <c r="G1073">
        <v>54012855</v>
      </c>
      <c r="H1073">
        <v>106937145</v>
      </c>
      <c r="I1073">
        <v>106937145</v>
      </c>
      <c r="J1073">
        <v>0</v>
      </c>
      <c r="K1073">
        <v>0</v>
      </c>
      <c r="L1073">
        <v>0</v>
      </c>
      <c r="M1073">
        <v>0</v>
      </c>
      <c r="N1073">
        <v>0</v>
      </c>
      <c r="O1073" s="302"/>
    </row>
    <row r="1074" spans="1:15" x14ac:dyDescent="0.2">
      <c r="A1074" s="302"/>
      <c r="B1074" s="887"/>
      <c r="C1074" s="839"/>
      <c r="D1074" s="839"/>
      <c r="E1074" s="713" t="s">
        <v>1557</v>
      </c>
      <c r="F1074">
        <v>375550000</v>
      </c>
      <c r="G1074">
        <v>0</v>
      </c>
      <c r="H1074">
        <v>375550000</v>
      </c>
      <c r="I1074">
        <v>375550000</v>
      </c>
      <c r="J1074">
        <v>0</v>
      </c>
      <c r="K1074">
        <v>0</v>
      </c>
      <c r="L1074">
        <v>0</v>
      </c>
      <c r="M1074">
        <v>0</v>
      </c>
      <c r="N1074">
        <v>0</v>
      </c>
      <c r="O1074" s="302"/>
    </row>
    <row r="1075" spans="1:15" x14ac:dyDescent="0.2">
      <c r="A1075" s="302"/>
      <c r="B1075" s="887"/>
      <c r="C1075" s="838" t="s">
        <v>2719</v>
      </c>
      <c r="D1075" s="838" t="s">
        <v>2720</v>
      </c>
      <c r="E1075" s="713" t="s">
        <v>26</v>
      </c>
      <c r="F1075">
        <v>159690000</v>
      </c>
      <c r="G1075">
        <v>47005429</v>
      </c>
      <c r="H1075">
        <v>112684571</v>
      </c>
      <c r="I1075">
        <v>108130281</v>
      </c>
      <c r="J1075">
        <v>4554290</v>
      </c>
      <c r="K1075">
        <v>4505429</v>
      </c>
      <c r="L1075">
        <v>48861</v>
      </c>
      <c r="M1075">
        <v>0</v>
      </c>
      <c r="N1075">
        <v>0</v>
      </c>
      <c r="O1075" s="302"/>
    </row>
    <row r="1076" spans="1:15" x14ac:dyDescent="0.2">
      <c r="A1076" s="302"/>
      <c r="B1076" s="887"/>
      <c r="C1076" s="839"/>
      <c r="D1076" s="839"/>
      <c r="E1076" s="713" t="s">
        <v>1557</v>
      </c>
      <c r="F1076">
        <v>372610000</v>
      </c>
      <c r="G1076">
        <v>0</v>
      </c>
      <c r="H1076">
        <v>372610000</v>
      </c>
      <c r="I1076">
        <v>372610000</v>
      </c>
      <c r="J1076">
        <v>0</v>
      </c>
      <c r="K1076">
        <v>0</v>
      </c>
      <c r="L1076">
        <v>0</v>
      </c>
      <c r="M1076">
        <v>0</v>
      </c>
      <c r="N1076">
        <v>0</v>
      </c>
      <c r="O1076" s="302"/>
    </row>
    <row r="1077" spans="1:15" x14ac:dyDescent="0.2">
      <c r="A1077" s="302"/>
      <c r="B1077" s="887"/>
      <c r="C1077" s="838" t="s">
        <v>2721</v>
      </c>
      <c r="D1077" s="838" t="s">
        <v>2722</v>
      </c>
      <c r="E1077" s="713" t="s">
        <v>26</v>
      </c>
      <c r="F1077">
        <v>119250000</v>
      </c>
      <c r="G1077">
        <v>36500000</v>
      </c>
      <c r="H1077">
        <v>82750000</v>
      </c>
      <c r="I1077">
        <v>78342854</v>
      </c>
      <c r="J1077">
        <v>4407146</v>
      </c>
      <c r="K1077">
        <v>3264286</v>
      </c>
      <c r="L1077">
        <v>1142860</v>
      </c>
      <c r="M1077">
        <v>0</v>
      </c>
      <c r="N1077">
        <v>0</v>
      </c>
      <c r="O1077" s="302"/>
    </row>
    <row r="1078" spans="1:15" x14ac:dyDescent="0.2">
      <c r="A1078" s="302"/>
      <c r="B1078" s="887"/>
      <c r="C1078" s="839"/>
      <c r="D1078" s="839"/>
      <c r="E1078" s="713" t="s">
        <v>1557</v>
      </c>
      <c r="F1078">
        <v>278250000</v>
      </c>
      <c r="G1078">
        <v>0</v>
      </c>
      <c r="H1078">
        <v>278250000</v>
      </c>
      <c r="I1078">
        <v>278250000</v>
      </c>
      <c r="J1078">
        <v>0</v>
      </c>
      <c r="K1078">
        <v>0</v>
      </c>
      <c r="L1078">
        <v>0</v>
      </c>
      <c r="M1078">
        <v>0</v>
      </c>
      <c r="N1078">
        <v>0</v>
      </c>
      <c r="O1078" s="302"/>
    </row>
    <row r="1079" spans="1:15" x14ac:dyDescent="0.2">
      <c r="A1079" s="302"/>
      <c r="B1079" s="887"/>
      <c r="C1079" s="838" t="s">
        <v>3006</v>
      </c>
      <c r="D1079" s="838" t="s">
        <v>3007</v>
      </c>
      <c r="E1079" s="713" t="s">
        <v>26</v>
      </c>
      <c r="F1079">
        <v>154218000</v>
      </c>
      <c r="G1079">
        <v>46500000</v>
      </c>
      <c r="H1079">
        <v>107718000</v>
      </c>
      <c r="I1079">
        <v>104378054</v>
      </c>
      <c r="J1079">
        <v>3339946</v>
      </c>
      <c r="K1079">
        <v>3339946</v>
      </c>
      <c r="L1079">
        <v>0</v>
      </c>
      <c r="M1079">
        <v>0</v>
      </c>
      <c r="N1079">
        <v>0</v>
      </c>
      <c r="O1079" s="302"/>
    </row>
    <row r="1080" spans="1:15" x14ac:dyDescent="0.2">
      <c r="A1080" s="302"/>
      <c r="B1080" s="887"/>
      <c r="C1080" s="839"/>
      <c r="D1080" s="839"/>
      <c r="E1080" s="713" t="s">
        <v>1557</v>
      </c>
      <c r="F1080">
        <v>359842000</v>
      </c>
      <c r="G1080">
        <v>0</v>
      </c>
      <c r="H1080">
        <v>359842000</v>
      </c>
      <c r="I1080">
        <v>359842000</v>
      </c>
      <c r="J1080">
        <v>0</v>
      </c>
      <c r="K1080">
        <v>0</v>
      </c>
      <c r="L1080">
        <v>0</v>
      </c>
      <c r="M1080">
        <v>0</v>
      </c>
      <c r="N1080">
        <v>0</v>
      </c>
      <c r="O1080" s="302"/>
    </row>
    <row r="1081" spans="1:15" x14ac:dyDescent="0.2">
      <c r="A1081" s="302"/>
      <c r="B1081" s="887"/>
      <c r="C1081" s="838" t="s">
        <v>4369</v>
      </c>
      <c r="D1081" s="838" t="s">
        <v>2723</v>
      </c>
      <c r="E1081" s="713" t="s">
        <v>26</v>
      </c>
      <c r="F1081">
        <v>259000000</v>
      </c>
      <c r="G1081">
        <v>15000000</v>
      </c>
      <c r="H1081">
        <v>244000000</v>
      </c>
      <c r="I1081">
        <v>243000000</v>
      </c>
      <c r="J1081">
        <v>1000000</v>
      </c>
      <c r="K1081">
        <v>1000000</v>
      </c>
      <c r="L1081">
        <v>0</v>
      </c>
      <c r="M1081">
        <v>0</v>
      </c>
      <c r="N1081">
        <v>0</v>
      </c>
      <c r="O1081" s="302"/>
    </row>
    <row r="1082" spans="1:15" x14ac:dyDescent="0.2">
      <c r="A1082" s="302"/>
      <c r="B1082" s="887"/>
      <c r="C1082" s="839"/>
      <c r="D1082" s="839"/>
      <c r="E1082" s="713" t="s">
        <v>1557</v>
      </c>
      <c r="F1082">
        <v>136674500</v>
      </c>
      <c r="G1082">
        <v>0</v>
      </c>
      <c r="H1082">
        <v>136674500</v>
      </c>
      <c r="I1082">
        <v>136674500</v>
      </c>
      <c r="J1082">
        <v>0</v>
      </c>
      <c r="K1082">
        <v>0</v>
      </c>
      <c r="L1082">
        <v>0</v>
      </c>
      <c r="M1082">
        <v>0</v>
      </c>
      <c r="N1082">
        <v>0</v>
      </c>
      <c r="O1082" s="302"/>
    </row>
    <row r="1083" spans="1:15" x14ac:dyDescent="0.2">
      <c r="A1083" s="302"/>
      <c r="B1083" s="887"/>
      <c r="C1083" s="838" t="s">
        <v>3008</v>
      </c>
      <c r="D1083" s="838" t="s">
        <v>3009</v>
      </c>
      <c r="E1083" s="713" t="s">
        <v>26</v>
      </c>
      <c r="F1083">
        <v>162333750</v>
      </c>
      <c r="G1083">
        <v>26619288</v>
      </c>
      <c r="H1083">
        <v>135714462</v>
      </c>
      <c r="I1083">
        <v>111059120</v>
      </c>
      <c r="J1083">
        <v>24655342</v>
      </c>
      <c r="K1083">
        <v>4627463</v>
      </c>
      <c r="L1083">
        <v>4627463</v>
      </c>
      <c r="M1083">
        <v>4627463</v>
      </c>
      <c r="N1083">
        <v>10772953</v>
      </c>
      <c r="O1083" s="302"/>
    </row>
    <row r="1084" spans="1:15" x14ac:dyDescent="0.2">
      <c r="A1084" s="302"/>
      <c r="B1084" s="887"/>
      <c r="C1084" s="839"/>
      <c r="D1084" s="839"/>
      <c r="E1084" s="713" t="s">
        <v>1557</v>
      </c>
      <c r="F1084">
        <v>378778750</v>
      </c>
      <c r="G1084">
        <v>0</v>
      </c>
      <c r="H1084">
        <v>378778750</v>
      </c>
      <c r="I1084">
        <v>378778750</v>
      </c>
      <c r="J1084">
        <v>0</v>
      </c>
      <c r="K1084">
        <v>0</v>
      </c>
      <c r="L1084">
        <v>0</v>
      </c>
      <c r="M1084">
        <v>0</v>
      </c>
      <c r="N1084">
        <v>0</v>
      </c>
      <c r="O1084" s="302"/>
    </row>
    <row r="1085" spans="1:15" x14ac:dyDescent="0.2">
      <c r="A1085" s="302"/>
      <c r="B1085" s="887"/>
      <c r="C1085" s="839"/>
      <c r="D1085" s="839"/>
      <c r="E1085" s="713" t="s">
        <v>195</v>
      </c>
      <c r="F1085">
        <v>1518027</v>
      </c>
      <c r="G1085">
        <v>1518027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 s="302"/>
    </row>
    <row r="1086" spans="1:15" x14ac:dyDescent="0.2">
      <c r="A1086" s="302"/>
      <c r="B1086" s="887"/>
      <c r="C1086" s="838" t="s">
        <v>4370</v>
      </c>
      <c r="D1086" s="838" t="s">
        <v>1629</v>
      </c>
      <c r="E1086" s="713" t="s">
        <v>198</v>
      </c>
      <c r="F1086">
        <v>108100000</v>
      </c>
      <c r="G1086">
        <v>0</v>
      </c>
      <c r="H1086">
        <v>108100000</v>
      </c>
      <c r="I1086">
        <v>108100000</v>
      </c>
      <c r="J1086">
        <v>0</v>
      </c>
      <c r="K1086">
        <v>0</v>
      </c>
      <c r="L1086">
        <v>0</v>
      </c>
      <c r="M1086">
        <v>0</v>
      </c>
      <c r="N1086">
        <v>0</v>
      </c>
      <c r="O1086" s="302"/>
    </row>
    <row r="1087" spans="1:15" x14ac:dyDescent="0.2">
      <c r="A1087" s="302"/>
      <c r="B1087" s="887"/>
      <c r="C1087" s="839"/>
      <c r="D1087" s="839"/>
      <c r="E1087" s="713" t="s">
        <v>26</v>
      </c>
      <c r="F1087">
        <v>70203500</v>
      </c>
      <c r="G1087">
        <v>5000000</v>
      </c>
      <c r="H1087">
        <v>65203500</v>
      </c>
      <c r="I1087">
        <v>62595360</v>
      </c>
      <c r="J1087">
        <v>2608140</v>
      </c>
      <c r="K1087">
        <v>2608140</v>
      </c>
      <c r="L1087">
        <v>0</v>
      </c>
      <c r="M1087">
        <v>0</v>
      </c>
      <c r="N1087">
        <v>0</v>
      </c>
      <c r="O1087" s="302"/>
    </row>
    <row r="1088" spans="1:15" x14ac:dyDescent="0.2">
      <c r="A1088" s="302"/>
      <c r="B1088" s="887"/>
      <c r="C1088" s="839"/>
      <c r="D1088" s="839"/>
      <c r="E1088" s="713" t="s">
        <v>1557</v>
      </c>
      <c r="F1088">
        <v>416041500</v>
      </c>
      <c r="G1088">
        <v>0</v>
      </c>
      <c r="H1088">
        <v>416041500</v>
      </c>
      <c r="I1088">
        <v>416041500</v>
      </c>
      <c r="J1088">
        <v>0</v>
      </c>
      <c r="K1088">
        <v>0</v>
      </c>
      <c r="L1088">
        <v>0</v>
      </c>
      <c r="M1088">
        <v>0</v>
      </c>
      <c r="N1088">
        <v>0</v>
      </c>
      <c r="O1088" s="302"/>
    </row>
    <row r="1089" spans="1:15" x14ac:dyDescent="0.2">
      <c r="A1089" s="302"/>
      <c r="B1089" s="887"/>
      <c r="C1089" s="838" t="s">
        <v>3365</v>
      </c>
      <c r="D1089" s="838" t="s">
        <v>3366</v>
      </c>
      <c r="E1089" s="713" t="s">
        <v>26</v>
      </c>
      <c r="F1089">
        <v>129817500</v>
      </c>
      <c r="G1089">
        <v>35000000</v>
      </c>
      <c r="H1089">
        <v>94817500</v>
      </c>
      <c r="I1089">
        <v>94817500</v>
      </c>
      <c r="J1089">
        <v>0</v>
      </c>
      <c r="K1089">
        <v>0</v>
      </c>
      <c r="L1089">
        <v>0</v>
      </c>
      <c r="M1089">
        <v>0</v>
      </c>
      <c r="N1089">
        <v>0</v>
      </c>
      <c r="O1089" s="302"/>
    </row>
    <row r="1090" spans="1:15" x14ac:dyDescent="0.2">
      <c r="A1090" s="302"/>
      <c r="B1090" s="887"/>
      <c r="C1090" s="839"/>
      <c r="D1090" s="839"/>
      <c r="E1090" s="713" t="s">
        <v>1557</v>
      </c>
      <c r="F1090">
        <v>302907500</v>
      </c>
      <c r="G1090">
        <v>0</v>
      </c>
      <c r="H1090">
        <v>302907500</v>
      </c>
      <c r="I1090">
        <v>302907500</v>
      </c>
      <c r="J1090">
        <v>0</v>
      </c>
      <c r="K1090">
        <v>0</v>
      </c>
      <c r="L1090">
        <v>0</v>
      </c>
      <c r="M1090">
        <v>0</v>
      </c>
      <c r="N1090">
        <v>0</v>
      </c>
      <c r="O1090" s="302"/>
    </row>
    <row r="1091" spans="1:15" x14ac:dyDescent="0.2">
      <c r="A1091" s="302"/>
      <c r="B1091" s="887"/>
      <c r="C1091" s="838" t="s">
        <v>4237</v>
      </c>
      <c r="D1091" s="838" t="s">
        <v>4238</v>
      </c>
      <c r="E1091" s="713" t="s">
        <v>26</v>
      </c>
      <c r="F1091">
        <v>171177053</v>
      </c>
      <c r="G1091">
        <v>25300000</v>
      </c>
      <c r="H1091">
        <v>145877053</v>
      </c>
      <c r="I1091">
        <v>145877053</v>
      </c>
      <c r="J1091">
        <v>0</v>
      </c>
      <c r="K1091">
        <v>0</v>
      </c>
      <c r="L1091">
        <v>0</v>
      </c>
      <c r="M1091">
        <v>0</v>
      </c>
      <c r="N1091">
        <v>0</v>
      </c>
      <c r="O1091" s="302"/>
    </row>
    <row r="1092" spans="1:15" x14ac:dyDescent="0.2">
      <c r="A1092" s="302"/>
      <c r="B1092" s="887"/>
      <c r="C1092" s="839"/>
      <c r="D1092" s="839"/>
      <c r="E1092" s="713" t="s">
        <v>1557</v>
      </c>
      <c r="F1092">
        <v>399392122</v>
      </c>
      <c r="G1092">
        <v>0</v>
      </c>
      <c r="H1092">
        <v>399392122</v>
      </c>
      <c r="I1092">
        <v>399392122</v>
      </c>
      <c r="J1092">
        <v>0</v>
      </c>
      <c r="K1092">
        <v>0</v>
      </c>
      <c r="L1092">
        <v>0</v>
      </c>
      <c r="M1092">
        <v>0</v>
      </c>
      <c r="N1092">
        <v>0</v>
      </c>
      <c r="O1092" s="302"/>
    </row>
    <row r="1093" spans="1:15" x14ac:dyDescent="0.2">
      <c r="A1093" s="302"/>
      <c r="B1093" s="887"/>
      <c r="C1093" s="838" t="s">
        <v>3161</v>
      </c>
      <c r="D1093" s="838" t="s">
        <v>3162</v>
      </c>
      <c r="E1093" s="713" t="s">
        <v>26</v>
      </c>
      <c r="F1093">
        <v>122826000</v>
      </c>
      <c r="G1093">
        <v>33563880</v>
      </c>
      <c r="H1093">
        <v>89262120</v>
      </c>
      <c r="I1093">
        <v>85691640</v>
      </c>
      <c r="J1093">
        <v>3570480</v>
      </c>
      <c r="K1093">
        <v>3570480</v>
      </c>
      <c r="L1093">
        <v>0</v>
      </c>
      <c r="M1093">
        <v>0</v>
      </c>
      <c r="N1093">
        <v>0</v>
      </c>
      <c r="O1093" s="302"/>
    </row>
    <row r="1094" spans="1:15" x14ac:dyDescent="0.2">
      <c r="A1094" s="302"/>
      <c r="B1094" s="887"/>
      <c r="C1094" s="839"/>
      <c r="D1094" s="839"/>
      <c r="E1094" s="713" t="s">
        <v>1557</v>
      </c>
      <c r="F1094">
        <v>286594000</v>
      </c>
      <c r="G1094">
        <v>0</v>
      </c>
      <c r="H1094">
        <v>286594000</v>
      </c>
      <c r="I1094">
        <v>286594000</v>
      </c>
      <c r="J1094">
        <v>0</v>
      </c>
      <c r="K1094">
        <v>0</v>
      </c>
      <c r="L1094">
        <v>0</v>
      </c>
      <c r="M1094">
        <v>0</v>
      </c>
      <c r="N1094">
        <v>0</v>
      </c>
      <c r="O1094" s="302"/>
    </row>
    <row r="1095" spans="1:15" x14ac:dyDescent="0.2">
      <c r="A1095" s="302"/>
      <c r="B1095" s="887"/>
      <c r="C1095" s="838" t="s">
        <v>2725</v>
      </c>
      <c r="D1095" s="838" t="s">
        <v>2726</v>
      </c>
      <c r="E1095" s="713" t="s">
        <v>26</v>
      </c>
      <c r="F1095">
        <v>159750000</v>
      </c>
      <c r="G1095">
        <v>49214287</v>
      </c>
      <c r="H1095">
        <v>110535713</v>
      </c>
      <c r="I1095">
        <v>106114281</v>
      </c>
      <c r="J1095">
        <v>4421432</v>
      </c>
      <c r="K1095">
        <v>4421429</v>
      </c>
      <c r="L1095">
        <v>3</v>
      </c>
      <c r="M1095">
        <v>0</v>
      </c>
      <c r="N1095">
        <v>0</v>
      </c>
      <c r="O1095" s="302"/>
    </row>
    <row r="1096" spans="1:15" x14ac:dyDescent="0.2">
      <c r="A1096" s="302"/>
      <c r="B1096" s="887"/>
      <c r="C1096" s="839"/>
      <c r="D1096" s="839"/>
      <c r="E1096" s="713" t="s">
        <v>1557</v>
      </c>
      <c r="F1096">
        <v>372750000</v>
      </c>
      <c r="G1096">
        <v>0</v>
      </c>
      <c r="H1096">
        <v>372750000</v>
      </c>
      <c r="I1096">
        <v>372750000</v>
      </c>
      <c r="J1096">
        <v>0</v>
      </c>
      <c r="K1096">
        <v>0</v>
      </c>
      <c r="L1096">
        <v>0</v>
      </c>
      <c r="M1096">
        <v>0</v>
      </c>
      <c r="N1096">
        <v>0</v>
      </c>
      <c r="O1096" s="302"/>
    </row>
    <row r="1097" spans="1:15" ht="25.5" x14ac:dyDescent="0.2">
      <c r="A1097" s="302"/>
      <c r="B1097" s="887"/>
      <c r="C1097" s="713" t="s">
        <v>4432</v>
      </c>
      <c r="D1097" s="713" t="s">
        <v>3339</v>
      </c>
      <c r="E1097" s="713"/>
      <c r="F1097"/>
      <c r="G1097"/>
      <c r="H1097"/>
      <c r="I1097"/>
      <c r="J1097"/>
      <c r="K1097"/>
      <c r="L1097"/>
      <c r="M1097"/>
      <c r="N1097"/>
      <c r="O1097" s="302"/>
    </row>
    <row r="1098" spans="1:15" s="302" customFormat="1" x14ac:dyDescent="0.2">
      <c r="B1098" s="838">
        <v>4</v>
      </c>
      <c r="C1098" s="838" t="s">
        <v>3503</v>
      </c>
      <c r="D1098" s="838" t="s">
        <v>1669</v>
      </c>
      <c r="E1098" s="713" t="s">
        <v>26</v>
      </c>
      <c r="F1098">
        <v>183277995</v>
      </c>
      <c r="G1098">
        <v>183277995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</row>
    <row r="1099" spans="1:15" x14ac:dyDescent="0.2">
      <c r="A1099" s="302"/>
      <c r="B1099" s="887"/>
      <c r="C1099" s="839"/>
      <c r="D1099" s="839"/>
      <c r="E1099" s="713" t="s">
        <v>1557</v>
      </c>
      <c r="F1099">
        <v>273600000</v>
      </c>
      <c r="G1099">
        <v>0</v>
      </c>
      <c r="H1099">
        <v>273600000</v>
      </c>
      <c r="I1099">
        <v>0</v>
      </c>
      <c r="J1099">
        <v>273600000</v>
      </c>
      <c r="K1099">
        <v>0</v>
      </c>
      <c r="L1099">
        <v>273600000</v>
      </c>
      <c r="M1099">
        <v>0</v>
      </c>
      <c r="N1099">
        <v>0</v>
      </c>
      <c r="O1099" s="302"/>
    </row>
    <row r="1100" spans="1:15" x14ac:dyDescent="0.2">
      <c r="A1100" s="302"/>
      <c r="B1100" s="887"/>
      <c r="C1100" s="838" t="s">
        <v>3504</v>
      </c>
      <c r="D1100" s="838" t="s">
        <v>1528</v>
      </c>
      <c r="E1100" s="713" t="s">
        <v>26</v>
      </c>
      <c r="F1100">
        <v>115177800</v>
      </c>
      <c r="G1100">
        <v>115177800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 s="302"/>
    </row>
    <row r="1101" spans="1:15" x14ac:dyDescent="0.2">
      <c r="A1101" s="302"/>
      <c r="B1101" s="887"/>
      <c r="C1101" s="839"/>
      <c r="D1101" s="839"/>
      <c r="E1101" s="713" t="s">
        <v>1557</v>
      </c>
      <c r="F1101">
        <v>268748200</v>
      </c>
      <c r="G1101">
        <v>6427325</v>
      </c>
      <c r="H1101">
        <v>262320875</v>
      </c>
      <c r="I1101">
        <v>0</v>
      </c>
      <c r="J1101">
        <v>262320875</v>
      </c>
      <c r="K1101">
        <v>0</v>
      </c>
      <c r="L1101">
        <v>0</v>
      </c>
      <c r="M1101">
        <v>0</v>
      </c>
      <c r="N1101">
        <v>262320875</v>
      </c>
      <c r="O1101" s="302"/>
    </row>
    <row r="1102" spans="1:15" x14ac:dyDescent="0.2">
      <c r="A1102" s="302"/>
      <c r="B1102" s="887"/>
      <c r="C1102" s="839"/>
      <c r="D1102" s="839"/>
      <c r="E1102" s="713" t="s">
        <v>1221</v>
      </c>
      <c r="F1102">
        <v>1512675</v>
      </c>
      <c r="G1102">
        <v>1512675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 s="302"/>
    </row>
    <row r="1103" spans="1:15" x14ac:dyDescent="0.2">
      <c r="A1103" s="302"/>
      <c r="B1103" s="887"/>
      <c r="C1103" s="838" t="s">
        <v>3505</v>
      </c>
      <c r="D1103" s="838" t="s">
        <v>2245</v>
      </c>
      <c r="E1103" s="713" t="s">
        <v>26</v>
      </c>
      <c r="F1103">
        <v>143589405</v>
      </c>
      <c r="G1103">
        <v>131462631</v>
      </c>
      <c r="H1103">
        <v>12126774</v>
      </c>
      <c r="I1103">
        <v>0</v>
      </c>
      <c r="J1103">
        <v>12126774</v>
      </c>
      <c r="K1103">
        <v>0</v>
      </c>
      <c r="L1103">
        <v>0</v>
      </c>
      <c r="M1103">
        <v>0</v>
      </c>
      <c r="N1103">
        <v>12126774</v>
      </c>
      <c r="O1103" s="302"/>
    </row>
    <row r="1104" spans="1:15" x14ac:dyDescent="0.2">
      <c r="A1104" s="302"/>
      <c r="B1104" s="887"/>
      <c r="C1104" s="839"/>
      <c r="D1104" s="839"/>
      <c r="E1104" s="713" t="s">
        <v>1557</v>
      </c>
      <c r="F1104">
        <v>339549595</v>
      </c>
      <c r="G1104">
        <v>0</v>
      </c>
      <c r="H1104">
        <v>339549595</v>
      </c>
      <c r="I1104">
        <v>0</v>
      </c>
      <c r="J1104">
        <v>339549595</v>
      </c>
      <c r="K1104">
        <v>0</v>
      </c>
      <c r="L1104">
        <v>0</v>
      </c>
      <c r="M1104">
        <v>0</v>
      </c>
      <c r="N1104">
        <v>339549595</v>
      </c>
      <c r="O1104" s="302"/>
    </row>
    <row r="1105" spans="1:15" x14ac:dyDescent="0.2">
      <c r="A1105" s="302"/>
      <c r="B1105" s="887"/>
      <c r="C1105" s="839"/>
      <c r="D1105" s="839"/>
      <c r="E1105" s="713" t="s">
        <v>1221</v>
      </c>
      <c r="F1105">
        <v>1931850</v>
      </c>
      <c r="G1105">
        <v>1931850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 s="302"/>
    </row>
    <row r="1106" spans="1:15" x14ac:dyDescent="0.2">
      <c r="A1106" s="302"/>
      <c r="B1106" s="887"/>
      <c r="C1106" s="838" t="s">
        <v>3506</v>
      </c>
      <c r="D1106" s="838" t="s">
        <v>2578</v>
      </c>
      <c r="E1106" s="713" t="s">
        <v>26</v>
      </c>
      <c r="F1106">
        <v>147549437</v>
      </c>
      <c r="G1106">
        <v>147549437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 s="302"/>
    </row>
    <row r="1107" spans="1:15" x14ac:dyDescent="0.2">
      <c r="A1107" s="302"/>
      <c r="B1107" s="887"/>
      <c r="C1107" s="839"/>
      <c r="D1107" s="839"/>
      <c r="E1107" s="713" t="s">
        <v>1557</v>
      </c>
      <c r="F1107">
        <v>343000000</v>
      </c>
      <c r="G1107">
        <v>0</v>
      </c>
      <c r="H1107">
        <v>343000000</v>
      </c>
      <c r="I1107">
        <v>0</v>
      </c>
      <c r="J1107">
        <v>343000000</v>
      </c>
      <c r="K1107">
        <v>0</v>
      </c>
      <c r="L1107">
        <v>343000000</v>
      </c>
      <c r="M1107">
        <v>0</v>
      </c>
      <c r="N1107">
        <v>0</v>
      </c>
      <c r="O1107" s="302"/>
    </row>
    <row r="1108" spans="1:15" x14ac:dyDescent="0.2">
      <c r="A1108" s="302"/>
      <c r="B1108" s="887"/>
      <c r="C1108" s="838" t="s">
        <v>3507</v>
      </c>
      <c r="D1108" s="838" t="s">
        <v>3279</v>
      </c>
      <c r="E1108" s="713" t="s">
        <v>26</v>
      </c>
      <c r="F1108">
        <v>319630490</v>
      </c>
      <c r="G1108">
        <v>319630490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 s="302"/>
    </row>
    <row r="1109" spans="1:15" x14ac:dyDescent="0.2">
      <c r="A1109" s="302"/>
      <c r="B1109" s="887"/>
      <c r="C1109" s="839"/>
      <c r="D1109" s="839"/>
      <c r="E1109" s="713" t="s">
        <v>3212</v>
      </c>
      <c r="F1109">
        <v>75526</v>
      </c>
      <c r="G1109">
        <v>75526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 s="302"/>
    </row>
    <row r="1110" spans="1:15" x14ac:dyDescent="0.2">
      <c r="A1110" s="302"/>
      <c r="B1110" s="887"/>
      <c r="C1110" s="838" t="s">
        <v>3508</v>
      </c>
      <c r="D1110" s="838" t="s">
        <v>3438</v>
      </c>
      <c r="E1110" s="713" t="s">
        <v>22</v>
      </c>
      <c r="F1110">
        <v>38636392</v>
      </c>
      <c r="G1110">
        <v>6623380</v>
      </c>
      <c r="H1110">
        <v>32013012</v>
      </c>
      <c r="I1110">
        <v>30357167</v>
      </c>
      <c r="J1110">
        <v>1655845</v>
      </c>
      <c r="K1110">
        <v>1655845</v>
      </c>
      <c r="L1110">
        <v>0</v>
      </c>
      <c r="M1110">
        <v>0</v>
      </c>
      <c r="N1110">
        <v>0</v>
      </c>
      <c r="O1110" s="302"/>
    </row>
    <row r="1111" spans="1:15" x14ac:dyDescent="0.2">
      <c r="A1111" s="302"/>
      <c r="B1111" s="887"/>
      <c r="C1111" s="839"/>
      <c r="D1111" s="839"/>
      <c r="E1111" s="713" t="s">
        <v>26</v>
      </c>
      <c r="F1111">
        <v>142606500</v>
      </c>
      <c r="G1111">
        <v>57625545</v>
      </c>
      <c r="H1111">
        <v>84980955</v>
      </c>
      <c r="I1111">
        <v>73787015</v>
      </c>
      <c r="J1111">
        <v>11193940</v>
      </c>
      <c r="K1111">
        <v>11193940</v>
      </c>
      <c r="L1111">
        <v>0</v>
      </c>
      <c r="M1111">
        <v>0</v>
      </c>
      <c r="N1111">
        <v>0</v>
      </c>
      <c r="O1111" s="302"/>
    </row>
    <row r="1112" spans="1:15" x14ac:dyDescent="0.2">
      <c r="A1112" s="302"/>
      <c r="B1112" s="887"/>
      <c r="C1112" s="839"/>
      <c r="D1112" s="839"/>
      <c r="E1112" s="713" t="s">
        <v>1557</v>
      </c>
      <c r="F1112">
        <v>332748500</v>
      </c>
      <c r="G1112">
        <v>0</v>
      </c>
      <c r="H1112">
        <v>332748500</v>
      </c>
      <c r="I1112">
        <v>332748500</v>
      </c>
      <c r="J1112">
        <v>0</v>
      </c>
      <c r="K1112">
        <v>0</v>
      </c>
      <c r="L1112">
        <v>0</v>
      </c>
      <c r="M1112">
        <v>0</v>
      </c>
      <c r="N1112">
        <v>0</v>
      </c>
      <c r="O1112" s="302"/>
    </row>
    <row r="1113" spans="1:15" x14ac:dyDescent="0.2">
      <c r="A1113" s="302"/>
      <c r="B1113" s="887"/>
      <c r="C1113" s="838" t="s">
        <v>3509</v>
      </c>
      <c r="D1113" s="838" t="s">
        <v>1116</v>
      </c>
      <c r="E1113" s="713" t="s">
        <v>26</v>
      </c>
      <c r="F1113">
        <v>117594501</v>
      </c>
      <c r="G1113">
        <v>117594501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 s="302"/>
    </row>
    <row r="1114" spans="1:15" x14ac:dyDescent="0.2">
      <c r="A1114" s="302"/>
      <c r="B1114" s="887"/>
      <c r="C1114" s="839"/>
      <c r="D1114" s="839"/>
      <c r="E1114" s="713" t="s">
        <v>1557</v>
      </c>
      <c r="F1114">
        <v>246557412</v>
      </c>
      <c r="G1114">
        <v>0</v>
      </c>
      <c r="H1114">
        <v>246557412</v>
      </c>
      <c r="I1114">
        <v>0</v>
      </c>
      <c r="J1114">
        <v>246557412</v>
      </c>
      <c r="K1114">
        <v>0</v>
      </c>
      <c r="L1114">
        <v>246557412</v>
      </c>
      <c r="M1114">
        <v>0</v>
      </c>
      <c r="N1114">
        <v>0</v>
      </c>
      <c r="O1114" s="302"/>
    </row>
    <row r="1115" spans="1:15" x14ac:dyDescent="0.2">
      <c r="A1115" s="302"/>
      <c r="B1115" s="887"/>
      <c r="C1115" s="838" t="s">
        <v>3510</v>
      </c>
      <c r="D1115" s="838" t="s">
        <v>1146</v>
      </c>
      <c r="E1115" s="713" t="s">
        <v>26</v>
      </c>
      <c r="F1115">
        <v>98228000</v>
      </c>
      <c r="G1115">
        <v>98228000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 s="302"/>
    </row>
    <row r="1116" spans="1:15" x14ac:dyDescent="0.2">
      <c r="A1116" s="302"/>
      <c r="B1116" s="887"/>
      <c r="C1116" s="839"/>
      <c r="D1116" s="839"/>
      <c r="E1116" s="713" t="s">
        <v>1557</v>
      </c>
      <c r="F1116">
        <v>220123042</v>
      </c>
      <c r="G1116">
        <v>0</v>
      </c>
      <c r="H1116">
        <v>220123042</v>
      </c>
      <c r="I1116">
        <v>0</v>
      </c>
      <c r="J1116">
        <v>220123042</v>
      </c>
      <c r="K1116">
        <v>0</v>
      </c>
      <c r="L1116">
        <v>220123042</v>
      </c>
      <c r="M1116">
        <v>0</v>
      </c>
      <c r="N1116">
        <v>0</v>
      </c>
      <c r="O1116" s="302"/>
    </row>
    <row r="1117" spans="1:15" ht="25.5" x14ac:dyDescent="0.2">
      <c r="A1117" s="302"/>
      <c r="B1117" s="887"/>
      <c r="C1117" s="713" t="s">
        <v>3511</v>
      </c>
      <c r="D1117" s="713" t="s">
        <v>1170</v>
      </c>
      <c r="E1117" s="713" t="s">
        <v>26</v>
      </c>
      <c r="F1117">
        <v>369935319</v>
      </c>
      <c r="G1117">
        <v>369935319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 s="302"/>
    </row>
    <row r="1118" spans="1:15" x14ac:dyDescent="0.2">
      <c r="A1118" s="302"/>
      <c r="B1118" s="887"/>
      <c r="C1118" s="838" t="s">
        <v>3512</v>
      </c>
      <c r="D1118" s="838" t="s">
        <v>4287</v>
      </c>
      <c r="E1118" s="713" t="s">
        <v>26</v>
      </c>
      <c r="F1118">
        <v>121375836</v>
      </c>
      <c r="G1118">
        <v>121345836</v>
      </c>
      <c r="H1118">
        <v>30000</v>
      </c>
      <c r="I1118">
        <v>0</v>
      </c>
      <c r="J1118">
        <v>30000</v>
      </c>
      <c r="K1118">
        <v>0</v>
      </c>
      <c r="L1118">
        <v>30000</v>
      </c>
      <c r="M1118">
        <v>0</v>
      </c>
      <c r="N1118">
        <v>0</v>
      </c>
      <c r="O1118" s="302"/>
    </row>
    <row r="1119" spans="1:15" x14ac:dyDescent="0.2">
      <c r="A1119" s="302"/>
      <c r="B1119" s="887"/>
      <c r="C1119" s="839"/>
      <c r="D1119" s="839"/>
      <c r="E1119" s="713" t="s">
        <v>1557</v>
      </c>
      <c r="F1119">
        <v>282000000</v>
      </c>
      <c r="G1119">
        <v>0</v>
      </c>
      <c r="H1119">
        <v>282000000</v>
      </c>
      <c r="I1119">
        <v>0</v>
      </c>
      <c r="J1119">
        <v>282000000</v>
      </c>
      <c r="K1119">
        <v>0</v>
      </c>
      <c r="L1119">
        <v>282000000</v>
      </c>
      <c r="M1119">
        <v>0</v>
      </c>
      <c r="N1119">
        <v>0</v>
      </c>
      <c r="O1119" s="302"/>
    </row>
    <row r="1120" spans="1:15" x14ac:dyDescent="0.2">
      <c r="A1120" s="302"/>
      <c r="B1120" s="887"/>
      <c r="C1120" s="838" t="s">
        <v>3513</v>
      </c>
      <c r="D1120" s="838" t="s">
        <v>3514</v>
      </c>
      <c r="E1120" s="713" t="s">
        <v>22</v>
      </c>
      <c r="F1120">
        <v>12438713</v>
      </c>
      <c r="G1120">
        <v>1492644</v>
      </c>
      <c r="H1120">
        <v>10946069</v>
      </c>
      <c r="I1120">
        <v>10946069</v>
      </c>
      <c r="J1120">
        <v>0</v>
      </c>
      <c r="K1120">
        <v>0</v>
      </c>
      <c r="L1120">
        <v>0</v>
      </c>
      <c r="M1120">
        <v>0</v>
      </c>
      <c r="N1120">
        <v>0</v>
      </c>
      <c r="O1120" s="302"/>
    </row>
    <row r="1121" spans="1:15" x14ac:dyDescent="0.2">
      <c r="A1121" s="302"/>
      <c r="B1121" s="887"/>
      <c r="C1121" s="839"/>
      <c r="D1121" s="839"/>
      <c r="E1121" s="713" t="s">
        <v>26</v>
      </c>
      <c r="F1121">
        <v>81453130</v>
      </c>
      <c r="G1121">
        <v>11007356</v>
      </c>
      <c r="H1121">
        <v>70445774</v>
      </c>
      <c r="I1121">
        <v>70445774</v>
      </c>
      <c r="J1121">
        <v>0</v>
      </c>
      <c r="K1121">
        <v>0</v>
      </c>
      <c r="L1121">
        <v>0</v>
      </c>
      <c r="M1121">
        <v>0</v>
      </c>
      <c r="N1121">
        <v>0</v>
      </c>
      <c r="O1121" s="302"/>
    </row>
    <row r="1122" spans="1:15" x14ac:dyDescent="0.2">
      <c r="A1122" s="302"/>
      <c r="B1122" s="887"/>
      <c r="C1122" s="839"/>
      <c r="D1122" s="839"/>
      <c r="E1122" s="713" t="s">
        <v>1557</v>
      </c>
      <c r="F1122">
        <v>332031870</v>
      </c>
      <c r="G1122">
        <v>0</v>
      </c>
      <c r="H1122">
        <v>332031870</v>
      </c>
      <c r="I1122">
        <v>332031870</v>
      </c>
      <c r="J1122">
        <v>0</v>
      </c>
      <c r="K1122">
        <v>0</v>
      </c>
      <c r="L1122">
        <v>0</v>
      </c>
      <c r="M1122">
        <v>0</v>
      </c>
      <c r="N1122">
        <v>0</v>
      </c>
      <c r="O1122" s="302"/>
    </row>
    <row r="1123" spans="1:15" x14ac:dyDescent="0.2">
      <c r="A1123" s="302"/>
      <c r="B1123" s="887"/>
      <c r="C1123" s="838" t="s">
        <v>3515</v>
      </c>
      <c r="D1123" s="838" t="s">
        <v>3516</v>
      </c>
      <c r="E1123" s="713" t="s">
        <v>26</v>
      </c>
      <c r="F1123">
        <v>95499100</v>
      </c>
      <c r="G1123">
        <v>85328141</v>
      </c>
      <c r="H1123">
        <v>10170959</v>
      </c>
      <c r="I1123">
        <v>10170959</v>
      </c>
      <c r="J1123">
        <v>0</v>
      </c>
      <c r="K1123">
        <v>0</v>
      </c>
      <c r="L1123">
        <v>0</v>
      </c>
      <c r="M1123">
        <v>0</v>
      </c>
      <c r="N1123">
        <v>0</v>
      </c>
      <c r="O1123" s="302"/>
    </row>
    <row r="1124" spans="1:15" x14ac:dyDescent="0.2">
      <c r="A1124" s="302"/>
      <c r="B1124" s="887"/>
      <c r="C1124" s="839"/>
      <c r="D1124" s="839"/>
      <c r="E1124" s="713" t="s">
        <v>1557</v>
      </c>
      <c r="F1124">
        <v>389785900</v>
      </c>
      <c r="G1124">
        <v>4431290</v>
      </c>
      <c r="H1124">
        <v>385354610</v>
      </c>
      <c r="I1124">
        <v>385354610</v>
      </c>
      <c r="J1124">
        <v>0</v>
      </c>
      <c r="K1124">
        <v>0</v>
      </c>
      <c r="L1124">
        <v>0</v>
      </c>
      <c r="M1124">
        <v>0</v>
      </c>
      <c r="N1124">
        <v>0</v>
      </c>
      <c r="O1124" s="302"/>
    </row>
    <row r="1125" spans="1:15" x14ac:dyDescent="0.2">
      <c r="A1125" s="302"/>
      <c r="B1125" s="887"/>
      <c r="C1125" s="839"/>
      <c r="D1125" s="839"/>
      <c r="E1125" s="713" t="s">
        <v>1221</v>
      </c>
      <c r="F1125">
        <v>15572863</v>
      </c>
      <c r="G1125">
        <v>4671859</v>
      </c>
      <c r="H1125">
        <v>10901004</v>
      </c>
      <c r="I1125">
        <v>10901004</v>
      </c>
      <c r="J1125">
        <v>0</v>
      </c>
      <c r="K1125">
        <v>0</v>
      </c>
      <c r="L1125">
        <v>0</v>
      </c>
      <c r="M1125">
        <v>0</v>
      </c>
      <c r="N1125">
        <v>0</v>
      </c>
      <c r="O1125" s="302"/>
    </row>
    <row r="1126" spans="1:15" x14ac:dyDescent="0.2">
      <c r="A1126" s="302"/>
      <c r="B1126" s="887"/>
      <c r="C1126" s="838" t="s">
        <v>3517</v>
      </c>
      <c r="D1126" s="838" t="s">
        <v>1147</v>
      </c>
      <c r="E1126" s="713" t="s">
        <v>26</v>
      </c>
      <c r="F1126">
        <v>98278486</v>
      </c>
      <c r="G1126">
        <v>98278486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 s="302"/>
    </row>
    <row r="1127" spans="1:15" x14ac:dyDescent="0.2">
      <c r="A1127" s="302"/>
      <c r="B1127" s="887"/>
      <c r="C1127" s="839"/>
      <c r="D1127" s="839"/>
      <c r="E1127" s="713" t="s">
        <v>1557</v>
      </c>
      <c r="F1127">
        <v>224062443</v>
      </c>
      <c r="G1127">
        <v>0</v>
      </c>
      <c r="H1127">
        <v>224062443</v>
      </c>
      <c r="I1127">
        <v>0</v>
      </c>
      <c r="J1127">
        <v>224062443</v>
      </c>
      <c r="K1127">
        <v>0</v>
      </c>
      <c r="L1127">
        <v>224062443</v>
      </c>
      <c r="M1127">
        <v>0</v>
      </c>
      <c r="N1127">
        <v>0</v>
      </c>
      <c r="O1127" s="302"/>
    </row>
    <row r="1128" spans="1:15" x14ac:dyDescent="0.2">
      <c r="A1128" s="302"/>
      <c r="B1128" s="887"/>
      <c r="C1128" s="839"/>
      <c r="D1128" s="839"/>
      <c r="E1128" s="713" t="s">
        <v>195</v>
      </c>
      <c r="F1128">
        <v>3475859</v>
      </c>
      <c r="G1128">
        <v>3475859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 s="302"/>
    </row>
    <row r="1129" spans="1:15" x14ac:dyDescent="0.2">
      <c r="A1129" s="302"/>
      <c r="B1129" s="887"/>
      <c r="C1129" s="838" t="s">
        <v>3518</v>
      </c>
      <c r="D1129" s="838" t="s">
        <v>1171</v>
      </c>
      <c r="E1129" s="713" t="s">
        <v>26</v>
      </c>
      <c r="F1129">
        <v>123144750</v>
      </c>
      <c r="G1129">
        <v>123144750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 s="302"/>
    </row>
    <row r="1130" spans="1:15" x14ac:dyDescent="0.2">
      <c r="A1130" s="302"/>
      <c r="B1130" s="887"/>
      <c r="C1130" s="839"/>
      <c r="D1130" s="839"/>
      <c r="E1130" s="713" t="s">
        <v>1557</v>
      </c>
      <c r="F1130">
        <v>287337750</v>
      </c>
      <c r="G1130">
        <v>110676987</v>
      </c>
      <c r="H1130">
        <v>176660763</v>
      </c>
      <c r="I1130">
        <v>0</v>
      </c>
      <c r="J1130">
        <v>176660763</v>
      </c>
      <c r="K1130">
        <v>0</v>
      </c>
      <c r="L1130">
        <v>0</v>
      </c>
      <c r="M1130">
        <v>0</v>
      </c>
      <c r="N1130">
        <v>176660763</v>
      </c>
      <c r="O1130" s="302"/>
    </row>
    <row r="1131" spans="1:15" x14ac:dyDescent="0.2">
      <c r="A1131" s="302"/>
      <c r="B1131" s="887"/>
      <c r="C1131" s="838" t="s">
        <v>3519</v>
      </c>
      <c r="D1131" s="838" t="s">
        <v>1194</v>
      </c>
      <c r="E1131" s="713" t="s">
        <v>26</v>
      </c>
      <c r="F1131">
        <v>124077600</v>
      </c>
      <c r="G1131">
        <v>124077600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 s="302"/>
    </row>
    <row r="1132" spans="1:15" x14ac:dyDescent="0.2">
      <c r="A1132" s="302"/>
      <c r="B1132" s="887"/>
      <c r="C1132" s="839"/>
      <c r="D1132" s="839"/>
      <c r="E1132" s="713" t="s">
        <v>1557</v>
      </c>
      <c r="F1132">
        <v>289514400</v>
      </c>
      <c r="G1132">
        <v>226829361</v>
      </c>
      <c r="H1132">
        <v>62685039</v>
      </c>
      <c r="I1132">
        <v>0</v>
      </c>
      <c r="J1132">
        <v>62685039</v>
      </c>
      <c r="K1132">
        <v>0</v>
      </c>
      <c r="L1132">
        <v>0</v>
      </c>
      <c r="M1132">
        <v>0</v>
      </c>
      <c r="N1132">
        <v>62685039</v>
      </c>
      <c r="O1132" s="302"/>
    </row>
    <row r="1133" spans="1:15" x14ac:dyDescent="0.2">
      <c r="A1133" s="302"/>
      <c r="B1133" s="887"/>
      <c r="C1133" s="838" t="s">
        <v>3520</v>
      </c>
      <c r="D1133" s="838" t="s">
        <v>1090</v>
      </c>
      <c r="E1133" s="713" t="s">
        <v>26</v>
      </c>
      <c r="F1133">
        <v>150311800</v>
      </c>
      <c r="G1133">
        <v>150311800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 s="302"/>
    </row>
    <row r="1134" spans="1:15" x14ac:dyDescent="0.2">
      <c r="A1134" s="302"/>
      <c r="B1134" s="887"/>
      <c r="C1134" s="839"/>
      <c r="D1134" s="839"/>
      <c r="E1134" s="713" t="s">
        <v>1557</v>
      </c>
      <c r="F1134">
        <v>160000000</v>
      </c>
      <c r="G1134">
        <v>0</v>
      </c>
      <c r="H1134">
        <v>160000000</v>
      </c>
      <c r="I1134">
        <v>0</v>
      </c>
      <c r="J1134">
        <v>160000000</v>
      </c>
      <c r="K1134">
        <v>0</v>
      </c>
      <c r="L1134">
        <v>160000000</v>
      </c>
      <c r="M1134">
        <v>0</v>
      </c>
      <c r="N1134">
        <v>0</v>
      </c>
      <c r="O1134" s="302"/>
    </row>
    <row r="1135" spans="1:15" x14ac:dyDescent="0.2">
      <c r="A1135" s="302"/>
      <c r="B1135" s="887"/>
      <c r="C1135" s="839"/>
      <c r="D1135" s="839"/>
      <c r="E1135" s="713" t="s">
        <v>195</v>
      </c>
      <c r="F1135">
        <v>490947</v>
      </c>
      <c r="G1135">
        <v>490947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 s="302"/>
    </row>
    <row r="1136" spans="1:15" ht="25.5" x14ac:dyDescent="0.2">
      <c r="A1136" s="302"/>
      <c r="B1136" s="887"/>
      <c r="C1136" s="713" t="s">
        <v>3521</v>
      </c>
      <c r="D1136" s="713" t="s">
        <v>1193</v>
      </c>
      <c r="E1136" s="713" t="s">
        <v>26</v>
      </c>
      <c r="F1136">
        <v>375884059</v>
      </c>
      <c r="G1136">
        <v>375884059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 s="302"/>
    </row>
    <row r="1137" spans="1:15" x14ac:dyDescent="0.2">
      <c r="A1137" s="302"/>
      <c r="B1137" s="887"/>
      <c r="C1137" s="838" t="s">
        <v>4240</v>
      </c>
      <c r="D1137" s="838" t="s">
        <v>4241</v>
      </c>
      <c r="E1137" s="713" t="s">
        <v>22</v>
      </c>
      <c r="F1137">
        <v>15572863</v>
      </c>
      <c r="G1137">
        <v>778643</v>
      </c>
      <c r="H1137">
        <v>14794220</v>
      </c>
      <c r="I1137">
        <v>14015577</v>
      </c>
      <c r="J1137">
        <v>778643</v>
      </c>
      <c r="K1137">
        <v>778643</v>
      </c>
      <c r="L1137">
        <v>0</v>
      </c>
      <c r="M1137">
        <v>0</v>
      </c>
      <c r="N1137">
        <v>0</v>
      </c>
      <c r="O1137" s="302"/>
    </row>
    <row r="1138" spans="1:15" x14ac:dyDescent="0.2">
      <c r="A1138" s="302"/>
      <c r="B1138" s="887"/>
      <c r="C1138" s="839"/>
      <c r="D1138" s="839"/>
      <c r="E1138" s="713" t="s">
        <v>900</v>
      </c>
      <c r="F1138">
        <v>87000000</v>
      </c>
      <c r="G1138">
        <v>0</v>
      </c>
      <c r="H1138">
        <v>87000000</v>
      </c>
      <c r="I1138">
        <v>87000000</v>
      </c>
      <c r="J1138">
        <v>0</v>
      </c>
      <c r="K1138">
        <v>0</v>
      </c>
      <c r="L1138">
        <v>0</v>
      </c>
      <c r="M1138">
        <v>0</v>
      </c>
      <c r="N1138">
        <v>0</v>
      </c>
      <c r="O1138" s="302"/>
    </row>
    <row r="1139" spans="1:15" x14ac:dyDescent="0.2">
      <c r="A1139" s="302"/>
      <c r="B1139" s="887"/>
      <c r="C1139" s="839"/>
      <c r="D1139" s="839"/>
      <c r="E1139" s="713" t="s">
        <v>26</v>
      </c>
      <c r="F1139">
        <v>77564652</v>
      </c>
      <c r="G1139">
        <v>8221357</v>
      </c>
      <c r="H1139">
        <v>69343295</v>
      </c>
      <c r="I1139">
        <v>66121938</v>
      </c>
      <c r="J1139">
        <v>3221357</v>
      </c>
      <c r="K1139">
        <v>3221357</v>
      </c>
      <c r="L1139">
        <v>0</v>
      </c>
      <c r="M1139">
        <v>0</v>
      </c>
      <c r="N1139">
        <v>0</v>
      </c>
      <c r="O1139" s="302"/>
    </row>
    <row r="1140" spans="1:15" x14ac:dyDescent="0.2">
      <c r="A1140" s="302"/>
      <c r="B1140" s="887"/>
      <c r="C1140" s="839"/>
      <c r="D1140" s="839"/>
      <c r="E1140" s="713" t="s">
        <v>1557</v>
      </c>
      <c r="F1140">
        <v>289098995</v>
      </c>
      <c r="G1140">
        <v>0</v>
      </c>
      <c r="H1140">
        <v>289098995</v>
      </c>
      <c r="I1140">
        <v>289098995</v>
      </c>
      <c r="J1140">
        <v>0</v>
      </c>
      <c r="K1140">
        <v>0</v>
      </c>
      <c r="L1140">
        <v>0</v>
      </c>
      <c r="M1140">
        <v>0</v>
      </c>
      <c r="N1140">
        <v>0</v>
      </c>
      <c r="O1140" s="302"/>
    </row>
    <row r="1141" spans="1:15" x14ac:dyDescent="0.2">
      <c r="A1141" s="302"/>
      <c r="B1141" s="887"/>
      <c r="C1141" s="839"/>
      <c r="D1141" s="839"/>
      <c r="E1141" s="713" t="s">
        <v>4239</v>
      </c>
      <c r="F1141">
        <v>35718853</v>
      </c>
      <c r="G1141">
        <v>35600000</v>
      </c>
      <c r="H1141">
        <v>118853</v>
      </c>
      <c r="I1141">
        <v>0</v>
      </c>
      <c r="J1141">
        <v>118853</v>
      </c>
      <c r="K1141">
        <v>0</v>
      </c>
      <c r="L1141">
        <v>0</v>
      </c>
      <c r="M1141">
        <v>118853</v>
      </c>
      <c r="N1141">
        <v>0</v>
      </c>
      <c r="O1141" s="302"/>
    </row>
    <row r="1142" spans="1:15" x14ac:dyDescent="0.2">
      <c r="A1142" s="302"/>
      <c r="B1142" s="887"/>
      <c r="C1142" s="838" t="s">
        <v>3522</v>
      </c>
      <c r="D1142" s="838" t="s">
        <v>1117</v>
      </c>
      <c r="E1142" s="713" t="s">
        <v>26</v>
      </c>
      <c r="F1142">
        <v>95032715</v>
      </c>
      <c r="G1142">
        <v>95032715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 s="302"/>
    </row>
    <row r="1143" spans="1:15" x14ac:dyDescent="0.2">
      <c r="A1143" s="302"/>
      <c r="B1143" s="887"/>
      <c r="C1143" s="839"/>
      <c r="D1143" s="839"/>
      <c r="E1143" s="713" t="s">
        <v>1557</v>
      </c>
      <c r="F1143">
        <v>220219461</v>
      </c>
      <c r="G1143">
        <v>0</v>
      </c>
      <c r="H1143">
        <v>220219461</v>
      </c>
      <c r="I1143">
        <v>0</v>
      </c>
      <c r="J1143">
        <v>220219461</v>
      </c>
      <c r="K1143">
        <v>0</v>
      </c>
      <c r="L1143">
        <v>220219461</v>
      </c>
      <c r="M1143">
        <v>0</v>
      </c>
      <c r="N1143">
        <v>0</v>
      </c>
      <c r="O1143" s="302"/>
    </row>
    <row r="1144" spans="1:15" x14ac:dyDescent="0.2">
      <c r="A1144" s="302"/>
      <c r="B1144" s="887"/>
      <c r="C1144" s="839"/>
      <c r="D1144" s="839"/>
      <c r="E1144" s="713" t="s">
        <v>1221</v>
      </c>
      <c r="F1144">
        <v>1512675</v>
      </c>
      <c r="G1144">
        <v>1512675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 s="302"/>
    </row>
    <row r="1145" spans="1:15" x14ac:dyDescent="0.2">
      <c r="A1145" s="302"/>
      <c r="B1145" s="887"/>
      <c r="C1145" s="838" t="s">
        <v>3523</v>
      </c>
      <c r="D1145" s="838" t="s">
        <v>1224</v>
      </c>
      <c r="E1145" s="713" t="s">
        <v>26</v>
      </c>
      <c r="F1145">
        <v>144183891</v>
      </c>
      <c r="G1145">
        <v>144183891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 s="302"/>
    </row>
    <row r="1146" spans="1:15" x14ac:dyDescent="0.2">
      <c r="A1146" s="302"/>
      <c r="B1146" s="887"/>
      <c r="C1146" s="839"/>
      <c r="D1146" s="839"/>
      <c r="E1146" s="713" t="s">
        <v>1557</v>
      </c>
      <c r="F1146">
        <v>294773136</v>
      </c>
      <c r="G1146">
        <v>294773136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 s="302"/>
    </row>
    <row r="1147" spans="1:15" x14ac:dyDescent="0.2">
      <c r="A1147" s="302"/>
      <c r="B1147" s="887"/>
      <c r="C1147" s="839"/>
      <c r="D1147" s="839"/>
      <c r="E1147" s="713" t="s">
        <v>195</v>
      </c>
      <c r="F1147">
        <v>1539667</v>
      </c>
      <c r="G1147">
        <v>1539667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 s="302"/>
    </row>
    <row r="1148" spans="1:15" x14ac:dyDescent="0.2">
      <c r="A1148" s="302"/>
      <c r="B1148" s="887"/>
      <c r="C1148" s="838" t="s">
        <v>3524</v>
      </c>
      <c r="D1148" s="838" t="s">
        <v>1225</v>
      </c>
      <c r="E1148" s="713" t="s">
        <v>26</v>
      </c>
      <c r="F1148">
        <v>123928000</v>
      </c>
      <c r="G1148">
        <v>123928000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 s="302"/>
    </row>
    <row r="1149" spans="1:15" x14ac:dyDescent="0.2">
      <c r="A1149" s="302"/>
      <c r="B1149" s="887"/>
      <c r="C1149" s="839"/>
      <c r="D1149" s="839"/>
      <c r="E1149" s="713" t="s">
        <v>1557</v>
      </c>
      <c r="F1149">
        <v>289164000</v>
      </c>
      <c r="G1149">
        <v>246027185</v>
      </c>
      <c r="H1149">
        <v>43136815</v>
      </c>
      <c r="I1149">
        <v>0</v>
      </c>
      <c r="J1149">
        <v>43136815</v>
      </c>
      <c r="K1149">
        <v>0</v>
      </c>
      <c r="L1149">
        <v>0</v>
      </c>
      <c r="M1149">
        <v>0</v>
      </c>
      <c r="N1149">
        <v>43136815</v>
      </c>
      <c r="O1149" s="302"/>
    </row>
    <row r="1150" spans="1:15" x14ac:dyDescent="0.2">
      <c r="A1150" s="302"/>
      <c r="B1150" s="887"/>
      <c r="C1150" s="839"/>
      <c r="D1150" s="839"/>
      <c r="E1150" s="713" t="s">
        <v>195</v>
      </c>
      <c r="F1150">
        <v>631639</v>
      </c>
      <c r="G1150">
        <v>631639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 s="302"/>
    </row>
    <row r="1151" spans="1:15" x14ac:dyDescent="0.2">
      <c r="A1151" s="302"/>
      <c r="B1151" s="887"/>
      <c r="C1151" s="838" t="s">
        <v>3525</v>
      </c>
      <c r="D1151" s="838" t="s">
        <v>1718</v>
      </c>
      <c r="E1151" s="713" t="s">
        <v>26</v>
      </c>
      <c r="F1151">
        <v>324663237</v>
      </c>
      <c r="G1151">
        <v>324663237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 s="302"/>
    </row>
    <row r="1152" spans="1:15" x14ac:dyDescent="0.2">
      <c r="A1152" s="302"/>
      <c r="B1152" s="887"/>
      <c r="C1152" s="839"/>
      <c r="D1152" s="839"/>
      <c r="E1152" s="713" t="s">
        <v>3212</v>
      </c>
      <c r="F1152">
        <v>61667</v>
      </c>
      <c r="G1152">
        <v>61667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 s="302"/>
    </row>
    <row r="1153" spans="1:15" x14ac:dyDescent="0.2">
      <c r="A1153" s="302"/>
      <c r="B1153" s="887"/>
      <c r="C1153" s="839"/>
      <c r="D1153" s="839"/>
      <c r="E1153" s="713" t="s">
        <v>195</v>
      </c>
      <c r="F1153">
        <v>160357</v>
      </c>
      <c r="G1153">
        <v>160357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 s="302"/>
    </row>
    <row r="1154" spans="1:15" ht="25.5" x14ac:dyDescent="0.2">
      <c r="A1154" s="302"/>
      <c r="B1154" s="887"/>
      <c r="C1154" s="713" t="s">
        <v>3526</v>
      </c>
      <c r="D1154" s="713" t="s">
        <v>1076</v>
      </c>
      <c r="E1154" s="713" t="s">
        <v>26</v>
      </c>
      <c r="F1154">
        <v>351949273</v>
      </c>
      <c r="G1154">
        <v>351949269</v>
      </c>
      <c r="H1154">
        <v>4</v>
      </c>
      <c r="I1154">
        <v>0</v>
      </c>
      <c r="J1154">
        <v>4</v>
      </c>
      <c r="K1154">
        <v>0</v>
      </c>
      <c r="L1154">
        <v>4</v>
      </c>
      <c r="M1154">
        <v>0</v>
      </c>
      <c r="N1154">
        <v>0</v>
      </c>
      <c r="O1154" s="302"/>
    </row>
    <row r="1155" spans="1:15" x14ac:dyDescent="0.2">
      <c r="A1155" s="302"/>
      <c r="B1155" s="887"/>
      <c r="C1155" s="838" t="s">
        <v>4288</v>
      </c>
      <c r="D1155" s="838" t="s">
        <v>4371</v>
      </c>
      <c r="E1155" s="713" t="s">
        <v>22</v>
      </c>
      <c r="F1155">
        <v>82007888</v>
      </c>
      <c r="G1155">
        <v>17221659</v>
      </c>
      <c r="H1155">
        <v>64786229</v>
      </c>
      <c r="I1155">
        <v>64786229</v>
      </c>
      <c r="J1155">
        <v>0</v>
      </c>
      <c r="K1155">
        <v>0</v>
      </c>
      <c r="L1155">
        <v>0</v>
      </c>
      <c r="M1155">
        <v>0</v>
      </c>
      <c r="N1155">
        <v>0</v>
      </c>
      <c r="O1155" s="302"/>
    </row>
    <row r="1156" spans="1:15" x14ac:dyDescent="0.2">
      <c r="A1156" s="302"/>
      <c r="B1156" s="887"/>
      <c r="C1156" s="839"/>
      <c r="D1156" s="839"/>
      <c r="E1156" s="713" t="s">
        <v>26</v>
      </c>
      <c r="F1156">
        <v>91934212</v>
      </c>
      <c r="G1156">
        <v>25155277</v>
      </c>
      <c r="H1156">
        <v>66778935</v>
      </c>
      <c r="I1156">
        <v>66778935</v>
      </c>
      <c r="J1156">
        <v>0</v>
      </c>
      <c r="K1156">
        <v>0</v>
      </c>
      <c r="L1156">
        <v>0</v>
      </c>
      <c r="M1156">
        <v>0</v>
      </c>
      <c r="N1156">
        <v>0</v>
      </c>
      <c r="O1156" s="302"/>
    </row>
    <row r="1157" spans="1:15" x14ac:dyDescent="0.2">
      <c r="A1157" s="302"/>
      <c r="B1157" s="887"/>
      <c r="C1157" s="839"/>
      <c r="D1157" s="839"/>
      <c r="E1157" s="713" t="s">
        <v>1557</v>
      </c>
      <c r="F1157">
        <v>408740788</v>
      </c>
      <c r="G1157">
        <v>191711208</v>
      </c>
      <c r="H1157">
        <v>217029580</v>
      </c>
      <c r="I1157">
        <v>217029580</v>
      </c>
      <c r="J1157">
        <v>0</v>
      </c>
      <c r="K1157">
        <v>0</v>
      </c>
      <c r="L1157">
        <v>0</v>
      </c>
      <c r="M1157">
        <v>0</v>
      </c>
      <c r="N1157">
        <v>0</v>
      </c>
      <c r="O1157" s="302"/>
    </row>
    <row r="1158" spans="1:15" x14ac:dyDescent="0.2">
      <c r="A1158" s="302"/>
      <c r="B1158" s="887"/>
      <c r="C1158" s="838" t="s">
        <v>3527</v>
      </c>
      <c r="D1158" s="838" t="s">
        <v>890</v>
      </c>
      <c r="E1158" s="713" t="s">
        <v>26</v>
      </c>
      <c r="F1158">
        <v>314029672</v>
      </c>
      <c r="G1158">
        <v>314029672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 s="302"/>
    </row>
    <row r="1159" spans="1:15" x14ac:dyDescent="0.2">
      <c r="A1159" s="302"/>
      <c r="B1159" s="887"/>
      <c r="C1159" s="839"/>
      <c r="D1159" s="839"/>
      <c r="E1159" s="713" t="s">
        <v>3212</v>
      </c>
      <c r="F1159">
        <v>74113</v>
      </c>
      <c r="G1159">
        <v>74113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 s="302"/>
    </row>
    <row r="1160" spans="1:15" x14ac:dyDescent="0.2">
      <c r="A1160" s="302"/>
      <c r="B1160" s="887"/>
      <c r="C1160" s="839"/>
      <c r="D1160" s="839"/>
      <c r="E1160" s="713" t="s">
        <v>1221</v>
      </c>
      <c r="F1160">
        <v>1512675</v>
      </c>
      <c r="G1160">
        <v>1512675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 s="302"/>
    </row>
    <row r="1161" spans="1:15" x14ac:dyDescent="0.2">
      <c r="A1161" s="302"/>
      <c r="B1161" s="887"/>
      <c r="C1161" s="838" t="s">
        <v>3528</v>
      </c>
      <c r="D1161" s="838" t="s">
        <v>1235</v>
      </c>
      <c r="E1161" s="713" t="s">
        <v>26</v>
      </c>
      <c r="F1161">
        <v>152000000</v>
      </c>
      <c r="G1161">
        <v>145518228</v>
      </c>
      <c r="H1161">
        <v>6481772</v>
      </c>
      <c r="I1161">
        <v>0</v>
      </c>
      <c r="J1161">
        <v>6481772</v>
      </c>
      <c r="K1161">
        <v>0</v>
      </c>
      <c r="L1161">
        <v>6481772</v>
      </c>
      <c r="M1161">
        <v>0</v>
      </c>
      <c r="N1161">
        <v>0</v>
      </c>
      <c r="O1161" s="302"/>
    </row>
    <row r="1162" spans="1:15" x14ac:dyDescent="0.2">
      <c r="A1162" s="302"/>
      <c r="B1162" s="887"/>
      <c r="C1162" s="839"/>
      <c r="D1162" s="839"/>
      <c r="E1162" s="713" t="s">
        <v>1557</v>
      </c>
      <c r="F1162">
        <v>277095000</v>
      </c>
      <c r="G1162">
        <v>0</v>
      </c>
      <c r="H1162">
        <v>277095000</v>
      </c>
      <c r="I1162">
        <v>0</v>
      </c>
      <c r="J1162">
        <v>277095000</v>
      </c>
      <c r="K1162">
        <v>0</v>
      </c>
      <c r="L1162">
        <v>277095000</v>
      </c>
      <c r="M1162">
        <v>0</v>
      </c>
      <c r="N1162">
        <v>0</v>
      </c>
      <c r="O1162" s="302"/>
    </row>
    <row r="1163" spans="1:15" x14ac:dyDescent="0.2">
      <c r="A1163" s="302"/>
      <c r="B1163" s="887"/>
      <c r="C1163" s="839"/>
      <c r="D1163" s="839"/>
      <c r="E1163" s="713" t="s">
        <v>1221</v>
      </c>
      <c r="F1163">
        <v>1931850</v>
      </c>
      <c r="G1163">
        <v>1931850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 s="302"/>
    </row>
    <row r="1164" spans="1:15" x14ac:dyDescent="0.2">
      <c r="A1164" s="302"/>
      <c r="B1164" s="887"/>
      <c r="C1164" s="838" t="s">
        <v>3529</v>
      </c>
      <c r="D1164" s="838" t="s">
        <v>1236</v>
      </c>
      <c r="E1164" s="713" t="s">
        <v>26</v>
      </c>
      <c r="F1164">
        <v>402542265</v>
      </c>
      <c r="G1164">
        <v>402542265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 s="302"/>
    </row>
    <row r="1165" spans="1:15" x14ac:dyDescent="0.2">
      <c r="A1165" s="302"/>
      <c r="B1165" s="887"/>
      <c r="C1165" s="839"/>
      <c r="D1165" s="839"/>
      <c r="E1165" s="713" t="s">
        <v>3212</v>
      </c>
      <c r="F1165">
        <v>91527</v>
      </c>
      <c r="G1165">
        <v>91527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 s="302"/>
    </row>
    <row r="1166" spans="1:15" x14ac:dyDescent="0.2">
      <c r="A1166" s="302"/>
      <c r="B1166" s="887"/>
      <c r="C1166" s="839"/>
      <c r="D1166" s="839"/>
      <c r="E1166" s="713" t="s">
        <v>1221</v>
      </c>
      <c r="F1166">
        <v>1931850</v>
      </c>
      <c r="G1166">
        <v>1931850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 s="302"/>
    </row>
    <row r="1167" spans="1:15" x14ac:dyDescent="0.2">
      <c r="A1167" s="302"/>
      <c r="B1167" s="887"/>
      <c r="C1167" s="838" t="s">
        <v>3530</v>
      </c>
      <c r="D1167" s="838" t="s">
        <v>1119</v>
      </c>
      <c r="E1167" s="713" t="s">
        <v>26</v>
      </c>
      <c r="F1167">
        <v>94939500</v>
      </c>
      <c r="G1167">
        <v>94939500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 s="302"/>
    </row>
    <row r="1168" spans="1:15" x14ac:dyDescent="0.2">
      <c r="A1168" s="302"/>
      <c r="B1168" s="887"/>
      <c r="C1168" s="839"/>
      <c r="D1168" s="839"/>
      <c r="E1168" s="713" t="s">
        <v>1557</v>
      </c>
      <c r="F1168">
        <v>221525500</v>
      </c>
      <c r="G1168">
        <v>0</v>
      </c>
      <c r="H1168">
        <v>221525500</v>
      </c>
      <c r="I1168">
        <v>0</v>
      </c>
      <c r="J1168">
        <v>221525500</v>
      </c>
      <c r="K1168">
        <v>0</v>
      </c>
      <c r="L1168">
        <v>221525500</v>
      </c>
      <c r="M1168">
        <v>0</v>
      </c>
      <c r="N1168">
        <v>0</v>
      </c>
      <c r="O1168" s="302"/>
    </row>
    <row r="1169" spans="1:15" x14ac:dyDescent="0.2">
      <c r="A1169" s="302"/>
      <c r="B1169" s="887"/>
      <c r="C1169" s="838" t="s">
        <v>3531</v>
      </c>
      <c r="D1169" s="838" t="s">
        <v>1118</v>
      </c>
      <c r="E1169" s="713" t="s">
        <v>26</v>
      </c>
      <c r="F1169">
        <v>113351519</v>
      </c>
      <c r="G1169">
        <v>113195319</v>
      </c>
      <c r="H1169">
        <v>156200</v>
      </c>
      <c r="I1169">
        <v>0</v>
      </c>
      <c r="J1169">
        <v>156200</v>
      </c>
      <c r="K1169">
        <v>0</v>
      </c>
      <c r="L1169">
        <v>156200</v>
      </c>
      <c r="M1169">
        <v>0</v>
      </c>
      <c r="N1169">
        <v>0</v>
      </c>
      <c r="O1169" s="302"/>
    </row>
    <row r="1170" spans="1:15" x14ac:dyDescent="0.2">
      <c r="A1170" s="302"/>
      <c r="B1170" s="887"/>
      <c r="C1170" s="839"/>
      <c r="D1170" s="839"/>
      <c r="E1170" s="713" t="s">
        <v>1557</v>
      </c>
      <c r="F1170">
        <v>257000000</v>
      </c>
      <c r="G1170">
        <v>0</v>
      </c>
      <c r="H1170">
        <v>257000000</v>
      </c>
      <c r="I1170">
        <v>0</v>
      </c>
      <c r="J1170">
        <v>257000000</v>
      </c>
      <c r="K1170">
        <v>0</v>
      </c>
      <c r="L1170">
        <v>257000000</v>
      </c>
      <c r="M1170">
        <v>0</v>
      </c>
      <c r="N1170">
        <v>0</v>
      </c>
      <c r="O1170" s="302"/>
    </row>
    <row r="1171" spans="1:15" x14ac:dyDescent="0.2">
      <c r="A1171" s="302"/>
      <c r="B1171" s="887"/>
      <c r="C1171" s="838" t="s">
        <v>4372</v>
      </c>
      <c r="D1171" s="838" t="s">
        <v>4373</v>
      </c>
      <c r="E1171" s="713" t="s">
        <v>22</v>
      </c>
      <c r="F1171">
        <v>82007888</v>
      </c>
      <c r="G1171">
        <v>0</v>
      </c>
      <c r="H1171">
        <v>82007888</v>
      </c>
      <c r="I1171">
        <v>79274292</v>
      </c>
      <c r="J1171">
        <v>2733596</v>
      </c>
      <c r="K1171">
        <v>2733596</v>
      </c>
      <c r="L1171">
        <v>0</v>
      </c>
      <c r="M1171">
        <v>0</v>
      </c>
      <c r="N1171">
        <v>0</v>
      </c>
      <c r="O1171" s="302"/>
    </row>
    <row r="1172" spans="1:15" x14ac:dyDescent="0.2">
      <c r="A1172" s="302"/>
      <c r="B1172" s="887"/>
      <c r="C1172" s="839"/>
      <c r="D1172" s="839"/>
      <c r="E1172" s="713" t="s">
        <v>26</v>
      </c>
      <c r="F1172">
        <v>92034212</v>
      </c>
      <c r="G1172">
        <v>5832000</v>
      </c>
      <c r="H1172">
        <v>86202212</v>
      </c>
      <c r="I1172">
        <v>83103999</v>
      </c>
      <c r="J1172">
        <v>3098213</v>
      </c>
      <c r="K1172">
        <v>3098213</v>
      </c>
      <c r="L1172">
        <v>0</v>
      </c>
      <c r="M1172">
        <v>0</v>
      </c>
      <c r="N1172">
        <v>0</v>
      </c>
      <c r="O1172" s="302"/>
    </row>
    <row r="1173" spans="1:15" x14ac:dyDescent="0.2">
      <c r="A1173" s="302"/>
      <c r="B1173" s="887"/>
      <c r="C1173" s="839"/>
      <c r="D1173" s="839"/>
      <c r="E1173" s="713" t="s">
        <v>1557</v>
      </c>
      <c r="F1173">
        <v>409140788</v>
      </c>
      <c r="G1173">
        <v>0</v>
      </c>
      <c r="H1173">
        <v>409140788</v>
      </c>
      <c r="I1173">
        <v>409140788</v>
      </c>
      <c r="J1173">
        <v>0</v>
      </c>
      <c r="K1173">
        <v>0</v>
      </c>
      <c r="L1173">
        <v>0</v>
      </c>
      <c r="M1173">
        <v>0</v>
      </c>
      <c r="N1173">
        <v>0</v>
      </c>
      <c r="O1173" s="302"/>
    </row>
    <row r="1174" spans="1:15" x14ac:dyDescent="0.2">
      <c r="A1174" s="302"/>
      <c r="B1174" s="887"/>
      <c r="C1174" s="838" t="s">
        <v>3532</v>
      </c>
      <c r="D1174" s="838" t="s">
        <v>1120</v>
      </c>
      <c r="E1174" s="713" t="s">
        <v>26</v>
      </c>
      <c r="F1174">
        <v>149225350</v>
      </c>
      <c r="G1174">
        <v>149225350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 s="302"/>
    </row>
    <row r="1175" spans="1:15" x14ac:dyDescent="0.2">
      <c r="A1175" s="302"/>
      <c r="B1175" s="887"/>
      <c r="C1175" s="839"/>
      <c r="D1175" s="839"/>
      <c r="E1175" s="713" t="s">
        <v>1557</v>
      </c>
      <c r="F1175">
        <v>170215625</v>
      </c>
      <c r="G1175">
        <v>0</v>
      </c>
      <c r="H1175">
        <v>170215625</v>
      </c>
      <c r="I1175">
        <v>0</v>
      </c>
      <c r="J1175">
        <v>170215625</v>
      </c>
      <c r="K1175">
        <v>0</v>
      </c>
      <c r="L1175">
        <v>170215625</v>
      </c>
      <c r="M1175">
        <v>0</v>
      </c>
      <c r="N1175">
        <v>0</v>
      </c>
      <c r="O1175" s="302"/>
    </row>
    <row r="1176" spans="1:15" x14ac:dyDescent="0.2">
      <c r="A1176" s="302"/>
      <c r="B1176" s="887"/>
      <c r="C1176" s="838" t="s">
        <v>3533</v>
      </c>
      <c r="D1176" s="838" t="s">
        <v>1148</v>
      </c>
      <c r="E1176" s="713" t="s">
        <v>26</v>
      </c>
      <c r="F1176">
        <v>120041250</v>
      </c>
      <c r="G1176">
        <v>120041250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 s="302"/>
    </row>
    <row r="1177" spans="1:15" x14ac:dyDescent="0.2">
      <c r="A1177" s="302"/>
      <c r="B1177" s="887"/>
      <c r="C1177" s="839"/>
      <c r="D1177" s="839"/>
      <c r="E1177" s="713" t="s">
        <v>1557</v>
      </c>
      <c r="F1177">
        <v>280096250</v>
      </c>
      <c r="G1177">
        <v>0</v>
      </c>
      <c r="H1177">
        <v>280096250</v>
      </c>
      <c r="I1177">
        <v>0</v>
      </c>
      <c r="J1177">
        <v>280096250</v>
      </c>
      <c r="K1177">
        <v>0</v>
      </c>
      <c r="L1177">
        <v>0</v>
      </c>
      <c r="M1177">
        <v>0</v>
      </c>
      <c r="N1177">
        <v>280096250</v>
      </c>
      <c r="O1177" s="302"/>
    </row>
    <row r="1178" spans="1:15" x14ac:dyDescent="0.2">
      <c r="A1178" s="302"/>
      <c r="B1178" s="887"/>
      <c r="C1178" s="838" t="s">
        <v>3534</v>
      </c>
      <c r="D1178" s="838" t="s">
        <v>1091</v>
      </c>
      <c r="E1178" s="713" t="s">
        <v>26</v>
      </c>
      <c r="F1178">
        <v>251584831</v>
      </c>
      <c r="G1178">
        <v>163776514</v>
      </c>
      <c r="H1178">
        <v>87808317</v>
      </c>
      <c r="I1178">
        <v>0</v>
      </c>
      <c r="J1178">
        <v>87808317</v>
      </c>
      <c r="K1178">
        <v>0</v>
      </c>
      <c r="L1178">
        <v>87808317</v>
      </c>
      <c r="M1178">
        <v>0</v>
      </c>
      <c r="N1178">
        <v>0</v>
      </c>
      <c r="O1178" s="302"/>
    </row>
    <row r="1179" spans="1:15" x14ac:dyDescent="0.2">
      <c r="A1179" s="302"/>
      <c r="B1179" s="887"/>
      <c r="C1179" s="839"/>
      <c r="D1179" s="839"/>
      <c r="E1179" s="713" t="s">
        <v>1557</v>
      </c>
      <c r="F1179">
        <v>140125991</v>
      </c>
      <c r="G1179">
        <v>0</v>
      </c>
      <c r="H1179">
        <v>140125991</v>
      </c>
      <c r="I1179">
        <v>0</v>
      </c>
      <c r="J1179">
        <v>140125991</v>
      </c>
      <c r="K1179">
        <v>0</v>
      </c>
      <c r="L1179">
        <v>140125991</v>
      </c>
      <c r="M1179">
        <v>0</v>
      </c>
      <c r="N1179">
        <v>0</v>
      </c>
      <c r="O1179" s="302"/>
    </row>
    <row r="1180" spans="1:15" x14ac:dyDescent="0.2">
      <c r="A1180" s="302"/>
      <c r="B1180" s="887"/>
      <c r="C1180" s="839"/>
      <c r="D1180" s="839"/>
      <c r="E1180" s="713" t="s">
        <v>195</v>
      </c>
      <c r="F1180">
        <v>1069140</v>
      </c>
      <c r="G1180">
        <v>1069140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 s="302"/>
    </row>
    <row r="1181" spans="1:15" x14ac:dyDescent="0.2">
      <c r="A1181" s="302"/>
      <c r="B1181" s="887"/>
      <c r="C1181" s="839"/>
      <c r="D1181" s="839"/>
      <c r="E1181" s="713" t="s">
        <v>1221</v>
      </c>
      <c r="F1181">
        <v>1931850</v>
      </c>
      <c r="G1181">
        <v>1931850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 s="302"/>
    </row>
    <row r="1182" spans="1:15" x14ac:dyDescent="0.2">
      <c r="A1182" s="302"/>
      <c r="B1182" s="887"/>
      <c r="C1182" s="838" t="s">
        <v>3535</v>
      </c>
      <c r="D1182" s="838" t="s">
        <v>1237</v>
      </c>
      <c r="E1182" s="713" t="s">
        <v>26</v>
      </c>
      <c r="F1182">
        <v>102859704</v>
      </c>
      <c r="G1182">
        <v>102859704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 s="302"/>
    </row>
    <row r="1183" spans="1:15" x14ac:dyDescent="0.2">
      <c r="A1183" s="302"/>
      <c r="B1183" s="887"/>
      <c r="C1183" s="839"/>
      <c r="D1183" s="839"/>
      <c r="E1183" s="713" t="s">
        <v>1557</v>
      </c>
      <c r="F1183">
        <v>238941500</v>
      </c>
      <c r="G1183">
        <v>205634</v>
      </c>
      <c r="H1183">
        <v>238735866</v>
      </c>
      <c r="I1183">
        <v>0</v>
      </c>
      <c r="J1183">
        <v>238735866</v>
      </c>
      <c r="K1183">
        <v>0</v>
      </c>
      <c r="L1183">
        <v>0</v>
      </c>
      <c r="M1183">
        <v>0</v>
      </c>
      <c r="N1183">
        <v>238735866</v>
      </c>
      <c r="O1183" s="302"/>
    </row>
    <row r="1184" spans="1:15" x14ac:dyDescent="0.2">
      <c r="A1184" s="302"/>
      <c r="B1184" s="887"/>
      <c r="C1184" s="839"/>
      <c r="D1184" s="839"/>
      <c r="E1184" s="713" t="s">
        <v>195</v>
      </c>
      <c r="F1184">
        <v>139271</v>
      </c>
      <c r="G1184">
        <v>139271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 s="302"/>
    </row>
    <row r="1185" spans="1:15" x14ac:dyDescent="0.2">
      <c r="A1185" s="302"/>
      <c r="B1185" s="887"/>
      <c r="C1185" s="838" t="s">
        <v>3536</v>
      </c>
      <c r="D1185" s="838" t="s">
        <v>1529</v>
      </c>
      <c r="E1185" s="713" t="s">
        <v>26</v>
      </c>
      <c r="F1185">
        <v>134691005</v>
      </c>
      <c r="G1185">
        <v>134691005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 s="302"/>
    </row>
    <row r="1186" spans="1:15" x14ac:dyDescent="0.2">
      <c r="A1186" s="302"/>
      <c r="B1186" s="887"/>
      <c r="C1186" s="839"/>
      <c r="D1186" s="839"/>
      <c r="E1186" s="713" t="s">
        <v>1557</v>
      </c>
      <c r="F1186">
        <v>305777241</v>
      </c>
      <c r="G1186">
        <v>0</v>
      </c>
      <c r="H1186">
        <v>305777241</v>
      </c>
      <c r="I1186">
        <v>0</v>
      </c>
      <c r="J1186">
        <v>305777241</v>
      </c>
      <c r="K1186">
        <v>0</v>
      </c>
      <c r="L1186">
        <v>305777241</v>
      </c>
      <c r="M1186">
        <v>0</v>
      </c>
      <c r="N1186">
        <v>0</v>
      </c>
      <c r="O1186" s="302"/>
    </row>
    <row r="1187" spans="1:15" x14ac:dyDescent="0.2">
      <c r="A1187" s="302"/>
      <c r="B1187" s="887"/>
      <c r="C1187" s="838" t="s">
        <v>3537</v>
      </c>
      <c r="D1187" s="838" t="s">
        <v>4374</v>
      </c>
      <c r="E1187" s="713" t="s">
        <v>26</v>
      </c>
      <c r="F1187">
        <v>84759863</v>
      </c>
      <c r="G1187">
        <v>45923596</v>
      </c>
      <c r="H1187">
        <v>38836267</v>
      </c>
      <c r="I1187">
        <v>38836267</v>
      </c>
      <c r="J1187">
        <v>0</v>
      </c>
      <c r="K1187">
        <v>0</v>
      </c>
      <c r="L1187">
        <v>0</v>
      </c>
      <c r="M1187">
        <v>0</v>
      </c>
      <c r="N1187">
        <v>0</v>
      </c>
      <c r="O1187" s="302"/>
    </row>
    <row r="1188" spans="1:15" x14ac:dyDescent="0.2">
      <c r="A1188" s="302"/>
      <c r="B1188" s="887"/>
      <c r="C1188" s="839"/>
      <c r="D1188" s="839"/>
      <c r="E1188" s="713" t="s">
        <v>1557</v>
      </c>
      <c r="F1188">
        <v>345090137</v>
      </c>
      <c r="G1188">
        <v>263958</v>
      </c>
      <c r="H1188">
        <v>344826179</v>
      </c>
      <c r="I1188">
        <v>344826179</v>
      </c>
      <c r="J1188">
        <v>0</v>
      </c>
      <c r="K1188">
        <v>0</v>
      </c>
      <c r="L1188">
        <v>0</v>
      </c>
      <c r="M1188">
        <v>0</v>
      </c>
      <c r="N1188">
        <v>0</v>
      </c>
      <c r="O1188" s="302"/>
    </row>
    <row r="1189" spans="1:15" x14ac:dyDescent="0.2">
      <c r="A1189" s="302"/>
      <c r="B1189" s="887"/>
      <c r="C1189" s="839"/>
      <c r="D1189" s="839"/>
      <c r="E1189" s="713" t="s">
        <v>1221</v>
      </c>
      <c r="F1189">
        <v>1512671</v>
      </c>
      <c r="G1189">
        <v>1512671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 s="302"/>
    </row>
    <row r="1190" spans="1:15" x14ac:dyDescent="0.2">
      <c r="A1190" s="302"/>
      <c r="B1190" s="887"/>
      <c r="C1190" s="838" t="s">
        <v>3538</v>
      </c>
      <c r="D1190" s="838" t="s">
        <v>4375</v>
      </c>
      <c r="E1190" s="713" t="s">
        <v>26</v>
      </c>
      <c r="F1190">
        <v>121691250</v>
      </c>
      <c r="G1190">
        <v>121691250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 s="302"/>
    </row>
    <row r="1191" spans="1:15" x14ac:dyDescent="0.2">
      <c r="A1191" s="302"/>
      <c r="B1191" s="887"/>
      <c r="C1191" s="839"/>
      <c r="D1191" s="839"/>
      <c r="E1191" s="713" t="s">
        <v>1557</v>
      </c>
      <c r="F1191">
        <v>283946250</v>
      </c>
      <c r="G1191">
        <v>2759711</v>
      </c>
      <c r="H1191">
        <v>281186539</v>
      </c>
      <c r="I1191">
        <v>0</v>
      </c>
      <c r="J1191">
        <v>281186539</v>
      </c>
      <c r="K1191">
        <v>0</v>
      </c>
      <c r="L1191">
        <v>0</v>
      </c>
      <c r="M1191">
        <v>0</v>
      </c>
      <c r="N1191">
        <v>281186539</v>
      </c>
      <c r="O1191" s="302"/>
    </row>
    <row r="1192" spans="1:15" x14ac:dyDescent="0.2">
      <c r="A1192" s="302"/>
      <c r="B1192" s="887"/>
      <c r="C1192" s="839"/>
      <c r="D1192" s="839"/>
      <c r="E1192" s="713" t="s">
        <v>195</v>
      </c>
      <c r="F1192">
        <v>159643</v>
      </c>
      <c r="G1192">
        <v>159643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 s="302"/>
    </row>
    <row r="1193" spans="1:15" x14ac:dyDescent="0.2">
      <c r="A1193" s="302"/>
      <c r="B1193" s="887"/>
      <c r="C1193" s="838" t="s">
        <v>3539</v>
      </c>
      <c r="D1193" s="838" t="s">
        <v>1596</v>
      </c>
      <c r="E1193" s="713" t="s">
        <v>26</v>
      </c>
      <c r="F1193">
        <v>401252145</v>
      </c>
      <c r="G1193">
        <v>401252145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 s="302"/>
    </row>
    <row r="1194" spans="1:15" x14ac:dyDescent="0.2">
      <c r="A1194" s="302"/>
      <c r="B1194" s="887"/>
      <c r="C1194" s="839"/>
      <c r="D1194" s="839"/>
      <c r="E1194" s="713" t="s">
        <v>3212</v>
      </c>
      <c r="F1194">
        <v>98372</v>
      </c>
      <c r="G1194">
        <v>98372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 s="302"/>
    </row>
    <row r="1195" spans="1:15" x14ac:dyDescent="0.2">
      <c r="A1195" s="302"/>
      <c r="B1195" s="887"/>
      <c r="C1195" s="838" t="s">
        <v>3540</v>
      </c>
      <c r="D1195" s="838" t="s">
        <v>1348</v>
      </c>
      <c r="E1195" s="713" t="s">
        <v>26</v>
      </c>
      <c r="F1195">
        <v>105296250</v>
      </c>
      <c r="G1195">
        <v>105296250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 s="302"/>
    </row>
    <row r="1196" spans="1:15" x14ac:dyDescent="0.2">
      <c r="A1196" s="302"/>
      <c r="B1196" s="887"/>
      <c r="C1196" s="839"/>
      <c r="D1196" s="839"/>
      <c r="E1196" s="713" t="s">
        <v>1557</v>
      </c>
      <c r="F1196">
        <v>245691250</v>
      </c>
      <c r="G1196">
        <v>2670679</v>
      </c>
      <c r="H1196">
        <v>243020571</v>
      </c>
      <c r="I1196">
        <v>0</v>
      </c>
      <c r="J1196">
        <v>243020571</v>
      </c>
      <c r="K1196">
        <v>0</v>
      </c>
      <c r="L1196">
        <v>0</v>
      </c>
      <c r="M1196">
        <v>0</v>
      </c>
      <c r="N1196">
        <v>243020571</v>
      </c>
      <c r="O1196" s="302"/>
    </row>
    <row r="1197" spans="1:15" x14ac:dyDescent="0.2">
      <c r="A1197" s="302"/>
      <c r="B1197" s="887"/>
      <c r="C1197" s="839"/>
      <c r="D1197" s="839"/>
      <c r="E1197" s="713" t="s">
        <v>195</v>
      </c>
      <c r="F1197">
        <v>816646</v>
      </c>
      <c r="G1197">
        <v>816646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 s="302"/>
    </row>
    <row r="1198" spans="1:15" x14ac:dyDescent="0.2">
      <c r="A1198" s="302"/>
      <c r="B1198" s="887"/>
      <c r="C1198" s="839"/>
      <c r="D1198" s="839"/>
      <c r="E1198" s="713" t="s">
        <v>1221</v>
      </c>
      <c r="F1198">
        <v>1512675</v>
      </c>
      <c r="G1198">
        <v>1512675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 s="302"/>
    </row>
    <row r="1199" spans="1:15" x14ac:dyDescent="0.2">
      <c r="A1199" s="302"/>
      <c r="B1199" s="887"/>
      <c r="C1199" s="838" t="s">
        <v>3541</v>
      </c>
      <c r="D1199" s="838" t="s">
        <v>1184</v>
      </c>
      <c r="E1199" s="713" t="s">
        <v>26</v>
      </c>
      <c r="F1199">
        <v>114509335</v>
      </c>
      <c r="G1199">
        <v>114509335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 s="302"/>
    </row>
    <row r="1200" spans="1:15" x14ac:dyDescent="0.2">
      <c r="A1200" s="302"/>
      <c r="B1200" s="887"/>
      <c r="C1200" s="839"/>
      <c r="D1200" s="839"/>
      <c r="E1200" s="713" t="s">
        <v>1557</v>
      </c>
      <c r="F1200">
        <v>263302827</v>
      </c>
      <c r="G1200">
        <v>0</v>
      </c>
      <c r="H1200">
        <v>263302827</v>
      </c>
      <c r="I1200">
        <v>0</v>
      </c>
      <c r="J1200">
        <v>263302827</v>
      </c>
      <c r="K1200">
        <v>0</v>
      </c>
      <c r="L1200">
        <v>263302827</v>
      </c>
      <c r="M1200">
        <v>0</v>
      </c>
      <c r="N1200">
        <v>0</v>
      </c>
      <c r="O1200" s="302"/>
    </row>
    <row r="1201" spans="1:15" x14ac:dyDescent="0.2">
      <c r="A1201" s="302"/>
      <c r="B1201" s="887"/>
      <c r="C1201" s="839"/>
      <c r="D1201" s="839"/>
      <c r="E1201" s="713" t="s">
        <v>1221</v>
      </c>
      <c r="F1201">
        <v>1931850</v>
      </c>
      <c r="G1201">
        <v>1931850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 s="302"/>
    </row>
    <row r="1202" spans="1:15" x14ac:dyDescent="0.2">
      <c r="A1202" s="302"/>
      <c r="B1202" s="887"/>
      <c r="C1202" s="838" t="s">
        <v>3542</v>
      </c>
      <c r="D1202" s="838" t="s">
        <v>3543</v>
      </c>
      <c r="E1202" s="713" t="s">
        <v>22</v>
      </c>
      <c r="F1202">
        <v>13641013</v>
      </c>
      <c r="G1202">
        <v>4092303</v>
      </c>
      <c r="H1202">
        <v>9548710</v>
      </c>
      <c r="I1202">
        <v>6820508</v>
      </c>
      <c r="J1202">
        <v>2728202</v>
      </c>
      <c r="K1202">
        <v>1364101</v>
      </c>
      <c r="L1202">
        <v>1364101</v>
      </c>
      <c r="M1202">
        <v>0</v>
      </c>
      <c r="N1202">
        <v>0</v>
      </c>
      <c r="O1202" s="302"/>
    </row>
    <row r="1203" spans="1:15" x14ac:dyDescent="0.2">
      <c r="A1203" s="302"/>
      <c r="B1203" s="887"/>
      <c r="C1203" s="839"/>
      <c r="D1203" s="839"/>
      <c r="E1203" s="713" t="s">
        <v>26</v>
      </c>
      <c r="F1203">
        <v>86644190</v>
      </c>
      <c r="G1203">
        <v>15666115</v>
      </c>
      <c r="H1203">
        <v>70978075</v>
      </c>
      <c r="I1203">
        <v>66114187</v>
      </c>
      <c r="J1203">
        <v>4863888</v>
      </c>
      <c r="K1203">
        <v>3194317</v>
      </c>
      <c r="L1203">
        <v>1669571</v>
      </c>
      <c r="M1203">
        <v>0</v>
      </c>
      <c r="N1203">
        <v>0</v>
      </c>
      <c r="O1203" s="302"/>
    </row>
    <row r="1204" spans="1:15" x14ac:dyDescent="0.2">
      <c r="A1204" s="302"/>
      <c r="B1204" s="887"/>
      <c r="C1204" s="839"/>
      <c r="D1204" s="839"/>
      <c r="E1204" s="713" t="s">
        <v>1557</v>
      </c>
      <c r="F1204">
        <v>401140810</v>
      </c>
      <c r="G1204">
        <v>0</v>
      </c>
      <c r="H1204">
        <v>401140810</v>
      </c>
      <c r="I1204">
        <v>401140810</v>
      </c>
      <c r="J1204">
        <v>0</v>
      </c>
      <c r="K1204">
        <v>0</v>
      </c>
      <c r="L1204">
        <v>0</v>
      </c>
      <c r="M1204">
        <v>0</v>
      </c>
      <c r="N1204">
        <v>0</v>
      </c>
      <c r="O1204" s="302"/>
    </row>
    <row r="1205" spans="1:15" x14ac:dyDescent="0.2">
      <c r="A1205" s="302"/>
      <c r="B1205" s="887"/>
      <c r="C1205" s="838" t="s">
        <v>3544</v>
      </c>
      <c r="D1205" s="838" t="s">
        <v>1092</v>
      </c>
      <c r="E1205" s="713" t="s">
        <v>22</v>
      </c>
      <c r="F1205">
        <v>76584524</v>
      </c>
      <c r="G1205">
        <v>76584524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 s="302"/>
    </row>
    <row r="1206" spans="1:15" x14ac:dyDescent="0.2">
      <c r="A1206" s="302"/>
      <c r="B1206" s="887"/>
      <c r="C1206" s="839"/>
      <c r="D1206" s="839"/>
      <c r="E1206" s="713" t="s">
        <v>26</v>
      </c>
      <c r="F1206">
        <v>94836720</v>
      </c>
      <c r="G1206">
        <v>94836720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 s="302"/>
    </row>
    <row r="1207" spans="1:15" x14ac:dyDescent="0.2">
      <c r="A1207" s="302"/>
      <c r="B1207" s="887"/>
      <c r="C1207" s="839"/>
      <c r="D1207" s="839"/>
      <c r="E1207" s="713" t="s">
        <v>1557</v>
      </c>
      <c r="F1207">
        <v>221285680</v>
      </c>
      <c r="G1207">
        <v>221285680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 s="302"/>
    </row>
    <row r="1208" spans="1:15" x14ac:dyDescent="0.2">
      <c r="A1208" s="302"/>
      <c r="B1208" s="887"/>
      <c r="C1208" s="839"/>
      <c r="D1208" s="839"/>
      <c r="E1208" s="713" t="s">
        <v>1221</v>
      </c>
      <c r="F1208">
        <v>1512675</v>
      </c>
      <c r="G1208">
        <v>1512675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 s="302"/>
    </row>
    <row r="1209" spans="1:15" x14ac:dyDescent="0.2">
      <c r="A1209" s="302"/>
      <c r="B1209" s="887"/>
      <c r="C1209" s="838" t="s">
        <v>3545</v>
      </c>
      <c r="D1209" s="838" t="s">
        <v>1172</v>
      </c>
      <c r="E1209" s="713" t="s">
        <v>900</v>
      </c>
      <c r="F1209">
        <v>285362272</v>
      </c>
      <c r="G1209">
        <v>285362272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 s="302"/>
    </row>
    <row r="1210" spans="1:15" x14ac:dyDescent="0.2">
      <c r="A1210" s="302"/>
      <c r="B1210" s="887"/>
      <c r="C1210" s="839"/>
      <c r="D1210" s="839"/>
      <c r="E1210" s="713" t="s">
        <v>26</v>
      </c>
      <c r="F1210">
        <v>124194750</v>
      </c>
      <c r="G1210">
        <v>124194750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 s="302"/>
    </row>
    <row r="1211" spans="1:15" x14ac:dyDescent="0.2">
      <c r="A1211" s="302"/>
      <c r="B1211" s="887"/>
      <c r="C1211" s="839"/>
      <c r="D1211" s="839"/>
      <c r="E1211" s="713" t="s">
        <v>3212</v>
      </c>
      <c r="F1211">
        <v>90180</v>
      </c>
      <c r="G1211">
        <v>90180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 s="302"/>
    </row>
    <row r="1212" spans="1:15" x14ac:dyDescent="0.2">
      <c r="A1212" s="302"/>
      <c r="B1212" s="887"/>
      <c r="C1212" s="838" t="s">
        <v>3546</v>
      </c>
      <c r="D1212" s="838" t="s">
        <v>1377</v>
      </c>
      <c r="E1212" s="713" t="s">
        <v>26</v>
      </c>
      <c r="F1212">
        <v>468290260</v>
      </c>
      <c r="G1212">
        <v>468290260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 s="302"/>
    </row>
    <row r="1213" spans="1:15" x14ac:dyDescent="0.2">
      <c r="A1213" s="302"/>
      <c r="B1213" s="887"/>
      <c r="C1213" s="839"/>
      <c r="D1213" s="839"/>
      <c r="E1213" s="713" t="s">
        <v>3212</v>
      </c>
      <c r="F1213">
        <v>109740</v>
      </c>
      <c r="G1213">
        <v>109740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 s="302"/>
    </row>
    <row r="1214" spans="1:15" x14ac:dyDescent="0.2">
      <c r="A1214" s="302"/>
      <c r="B1214" s="887"/>
      <c r="C1214" s="838" t="s">
        <v>3547</v>
      </c>
      <c r="D1214" s="838" t="s">
        <v>4439</v>
      </c>
      <c r="E1214" s="713" t="s">
        <v>26</v>
      </c>
      <c r="F1214">
        <v>73830760</v>
      </c>
      <c r="G1214">
        <v>56556074</v>
      </c>
      <c r="H1214">
        <v>17274686</v>
      </c>
      <c r="I1214">
        <v>8320248</v>
      </c>
      <c r="J1214">
        <v>8954438</v>
      </c>
      <c r="K1214">
        <v>5125876</v>
      </c>
      <c r="L1214">
        <v>3828562</v>
      </c>
      <c r="M1214">
        <v>0</v>
      </c>
      <c r="N1214">
        <v>0</v>
      </c>
      <c r="O1214" s="302"/>
    </row>
    <row r="1215" spans="1:15" x14ac:dyDescent="0.2">
      <c r="A1215" s="302"/>
      <c r="B1215" s="887"/>
      <c r="C1215" s="839"/>
      <c r="D1215" s="839"/>
      <c r="E1215" s="713" t="s">
        <v>1557</v>
      </c>
      <c r="F1215">
        <v>303049040</v>
      </c>
      <c r="G1215">
        <v>0</v>
      </c>
      <c r="H1215">
        <v>303049040</v>
      </c>
      <c r="I1215">
        <v>303049040</v>
      </c>
      <c r="J1215">
        <v>0</v>
      </c>
      <c r="K1215">
        <v>0</v>
      </c>
      <c r="L1215">
        <v>0</v>
      </c>
      <c r="M1215">
        <v>0</v>
      </c>
      <c r="N1215">
        <v>0</v>
      </c>
      <c r="O1215" s="302"/>
    </row>
    <row r="1216" spans="1:15" x14ac:dyDescent="0.2">
      <c r="A1216" s="302"/>
      <c r="B1216" s="887"/>
      <c r="C1216" s="839"/>
      <c r="D1216" s="839"/>
      <c r="E1216" s="713" t="s">
        <v>195</v>
      </c>
      <c r="F1216">
        <v>943926</v>
      </c>
      <c r="G1216">
        <v>943926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 s="302"/>
    </row>
    <row r="1217" spans="1:15" x14ac:dyDescent="0.2">
      <c r="A1217" s="302"/>
      <c r="B1217" s="887"/>
      <c r="C1217" s="839"/>
      <c r="D1217" s="839"/>
      <c r="E1217" s="713" t="s">
        <v>1221</v>
      </c>
      <c r="F1217">
        <v>1931500</v>
      </c>
      <c r="G1217">
        <v>0</v>
      </c>
      <c r="H1217">
        <v>1931500</v>
      </c>
      <c r="I1217">
        <v>1931500</v>
      </c>
      <c r="J1217">
        <v>0</v>
      </c>
      <c r="K1217">
        <v>0</v>
      </c>
      <c r="L1217">
        <v>0</v>
      </c>
      <c r="M1217">
        <v>0</v>
      </c>
      <c r="N1217">
        <v>0</v>
      </c>
      <c r="O1217" s="302"/>
    </row>
    <row r="1218" spans="1:15" x14ac:dyDescent="0.2">
      <c r="A1218" s="302"/>
      <c r="B1218" s="887"/>
      <c r="C1218" s="838" t="s">
        <v>3548</v>
      </c>
      <c r="D1218" s="838" t="s">
        <v>1195</v>
      </c>
      <c r="E1218" s="713" t="s">
        <v>26</v>
      </c>
      <c r="F1218">
        <v>208730557</v>
      </c>
      <c r="G1218">
        <v>208730557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 s="302"/>
    </row>
    <row r="1219" spans="1:15" x14ac:dyDescent="0.2">
      <c r="A1219" s="302"/>
      <c r="B1219" s="887"/>
      <c r="C1219" s="839"/>
      <c r="D1219" s="839"/>
      <c r="E1219" s="713" t="s">
        <v>1557</v>
      </c>
      <c r="F1219">
        <v>170000000</v>
      </c>
      <c r="G1219">
        <v>0</v>
      </c>
      <c r="H1219">
        <v>170000000</v>
      </c>
      <c r="I1219">
        <v>0</v>
      </c>
      <c r="J1219">
        <v>170000000</v>
      </c>
      <c r="K1219">
        <v>0</v>
      </c>
      <c r="L1219">
        <v>170000000</v>
      </c>
      <c r="M1219">
        <v>0</v>
      </c>
      <c r="N1219">
        <v>0</v>
      </c>
      <c r="O1219" s="302"/>
    </row>
    <row r="1220" spans="1:15" x14ac:dyDescent="0.2">
      <c r="A1220" s="302"/>
      <c r="B1220" s="887"/>
      <c r="C1220" s="838" t="s">
        <v>3549</v>
      </c>
      <c r="D1220" s="838" t="s">
        <v>1077</v>
      </c>
      <c r="E1220" s="713" t="s">
        <v>26</v>
      </c>
      <c r="F1220">
        <v>110189231</v>
      </c>
      <c r="G1220">
        <v>110189231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 s="302"/>
    </row>
    <row r="1221" spans="1:15" x14ac:dyDescent="0.2">
      <c r="A1221" s="302"/>
      <c r="B1221" s="887"/>
      <c r="C1221" s="839"/>
      <c r="D1221" s="839"/>
      <c r="E1221" s="713" t="s">
        <v>1557</v>
      </c>
      <c r="F1221">
        <v>253632400</v>
      </c>
      <c r="G1221">
        <v>0</v>
      </c>
      <c r="H1221">
        <v>253632400</v>
      </c>
      <c r="I1221">
        <v>0</v>
      </c>
      <c r="J1221">
        <v>253632400</v>
      </c>
      <c r="K1221">
        <v>0</v>
      </c>
      <c r="L1221">
        <v>253632400</v>
      </c>
      <c r="M1221">
        <v>0</v>
      </c>
      <c r="N1221">
        <v>0</v>
      </c>
      <c r="O1221" s="302"/>
    </row>
    <row r="1222" spans="1:15" x14ac:dyDescent="0.2">
      <c r="A1222" s="302"/>
      <c r="B1222" s="887"/>
      <c r="C1222" s="839"/>
      <c r="D1222" s="839"/>
      <c r="E1222" s="713" t="s">
        <v>195</v>
      </c>
      <c r="F1222">
        <v>9551465</v>
      </c>
      <c r="G1222">
        <v>9551465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 s="302"/>
    </row>
    <row r="1223" spans="1:15" x14ac:dyDescent="0.2">
      <c r="A1223" s="302"/>
      <c r="B1223" s="887"/>
      <c r="C1223" s="838" t="s">
        <v>3550</v>
      </c>
      <c r="D1223" s="838" t="s">
        <v>1226</v>
      </c>
      <c r="E1223" s="713" t="s">
        <v>26</v>
      </c>
      <c r="F1223">
        <v>99357600</v>
      </c>
      <c r="G1223">
        <v>99357600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 s="302"/>
    </row>
    <row r="1224" spans="1:15" x14ac:dyDescent="0.2">
      <c r="A1224" s="302"/>
      <c r="B1224" s="887"/>
      <c r="C1224" s="839"/>
      <c r="D1224" s="839"/>
      <c r="E1224" s="713" t="s">
        <v>1557</v>
      </c>
      <c r="F1224">
        <v>231834400</v>
      </c>
      <c r="G1224">
        <v>0</v>
      </c>
      <c r="H1224">
        <v>231834400</v>
      </c>
      <c r="I1224">
        <v>0</v>
      </c>
      <c r="J1224">
        <v>231834400</v>
      </c>
      <c r="K1224">
        <v>0</v>
      </c>
      <c r="L1224">
        <v>231834400</v>
      </c>
      <c r="M1224">
        <v>0</v>
      </c>
      <c r="N1224">
        <v>0</v>
      </c>
      <c r="O1224" s="302"/>
    </row>
    <row r="1225" spans="1:15" x14ac:dyDescent="0.2">
      <c r="A1225" s="302"/>
      <c r="B1225" s="887"/>
      <c r="C1225" s="838" t="s">
        <v>3551</v>
      </c>
      <c r="D1225" s="838" t="s">
        <v>1121</v>
      </c>
      <c r="E1225" s="713" t="s">
        <v>26</v>
      </c>
      <c r="F1225">
        <v>120139618</v>
      </c>
      <c r="G1225">
        <v>120139618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 s="302"/>
    </row>
    <row r="1226" spans="1:15" x14ac:dyDescent="0.2">
      <c r="A1226" s="302"/>
      <c r="B1226" s="887"/>
      <c r="C1226" s="839"/>
      <c r="D1226" s="839"/>
      <c r="E1226" s="713" t="s">
        <v>1557</v>
      </c>
      <c r="F1226">
        <v>278512248</v>
      </c>
      <c r="G1226">
        <v>0</v>
      </c>
      <c r="H1226">
        <v>278512248</v>
      </c>
      <c r="I1226">
        <v>0</v>
      </c>
      <c r="J1226">
        <v>278512248</v>
      </c>
      <c r="K1226">
        <v>0</v>
      </c>
      <c r="L1226">
        <v>278512248</v>
      </c>
      <c r="M1226">
        <v>0</v>
      </c>
      <c r="N1226">
        <v>0</v>
      </c>
      <c r="O1226" s="302"/>
    </row>
    <row r="1227" spans="1:15" x14ac:dyDescent="0.2">
      <c r="A1227" s="302"/>
      <c r="B1227" s="887"/>
      <c r="C1227" s="839"/>
      <c r="D1227" s="839"/>
      <c r="E1227" s="713" t="s">
        <v>195</v>
      </c>
      <c r="F1227">
        <v>434703</v>
      </c>
      <c r="G1227">
        <v>434703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 s="302"/>
    </row>
    <row r="1228" spans="1:15" x14ac:dyDescent="0.2">
      <c r="A1228" s="302"/>
      <c r="B1228" s="887"/>
      <c r="C1228" s="839"/>
      <c r="D1228" s="839"/>
      <c r="E1228" s="713" t="s">
        <v>1221</v>
      </c>
      <c r="F1228">
        <v>1931850</v>
      </c>
      <c r="G1228">
        <v>1931850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 s="302"/>
    </row>
    <row r="1229" spans="1:15" x14ac:dyDescent="0.2">
      <c r="A1229" s="302"/>
      <c r="B1229" s="887"/>
      <c r="C1229" s="838" t="s">
        <v>3552</v>
      </c>
      <c r="D1229" s="838" t="s">
        <v>3553</v>
      </c>
      <c r="E1229" s="713" t="s">
        <v>26</v>
      </c>
      <c r="F1229">
        <v>158676000</v>
      </c>
      <c r="G1229">
        <v>49792889</v>
      </c>
      <c r="H1229">
        <v>108883111</v>
      </c>
      <c r="I1229">
        <v>108883111</v>
      </c>
      <c r="J1229">
        <v>0</v>
      </c>
      <c r="K1229">
        <v>0</v>
      </c>
      <c r="L1229">
        <v>0</v>
      </c>
      <c r="M1229">
        <v>0</v>
      </c>
      <c r="N1229">
        <v>0</v>
      </c>
      <c r="O1229" s="302"/>
    </row>
    <row r="1230" spans="1:15" x14ac:dyDescent="0.2">
      <c r="A1230" s="302"/>
      <c r="B1230" s="887"/>
      <c r="C1230" s="839"/>
      <c r="D1230" s="839"/>
      <c r="E1230" s="713" t="s">
        <v>1557</v>
      </c>
      <c r="F1230">
        <v>370244000</v>
      </c>
      <c r="G1230">
        <v>0</v>
      </c>
      <c r="H1230">
        <v>370244000</v>
      </c>
      <c r="I1230">
        <v>370244000</v>
      </c>
      <c r="J1230">
        <v>0</v>
      </c>
      <c r="K1230">
        <v>0</v>
      </c>
      <c r="L1230">
        <v>0</v>
      </c>
      <c r="M1230">
        <v>0</v>
      </c>
      <c r="N1230">
        <v>0</v>
      </c>
      <c r="O1230" s="302"/>
    </row>
    <row r="1231" spans="1:15" x14ac:dyDescent="0.2">
      <c r="A1231" s="302"/>
      <c r="B1231" s="887"/>
      <c r="C1231" s="838" t="s">
        <v>3554</v>
      </c>
      <c r="D1231" s="838" t="s">
        <v>1473</v>
      </c>
      <c r="E1231" s="713" t="s">
        <v>26</v>
      </c>
      <c r="F1231">
        <v>83397000</v>
      </c>
      <c r="G1231">
        <v>34273875</v>
      </c>
      <c r="H1231">
        <v>49123125</v>
      </c>
      <c r="I1231">
        <v>48213894</v>
      </c>
      <c r="J1231">
        <v>909231</v>
      </c>
      <c r="K1231">
        <v>909231</v>
      </c>
      <c r="L1231">
        <v>0</v>
      </c>
      <c r="M1231">
        <v>0</v>
      </c>
      <c r="N1231">
        <v>0</v>
      </c>
      <c r="O1231" s="302"/>
    </row>
    <row r="1232" spans="1:15" x14ac:dyDescent="0.2">
      <c r="A1232" s="302"/>
      <c r="B1232" s="887"/>
      <c r="C1232" s="839"/>
      <c r="D1232" s="839"/>
      <c r="E1232" s="713" t="s">
        <v>1557</v>
      </c>
      <c r="F1232">
        <v>333588000</v>
      </c>
      <c r="G1232">
        <v>1083449</v>
      </c>
      <c r="H1232">
        <v>332504551</v>
      </c>
      <c r="I1232">
        <v>332504551</v>
      </c>
      <c r="J1232">
        <v>0</v>
      </c>
      <c r="K1232">
        <v>0</v>
      </c>
      <c r="L1232">
        <v>0</v>
      </c>
      <c r="M1232">
        <v>0</v>
      </c>
      <c r="N1232">
        <v>0</v>
      </c>
      <c r="O1232" s="302"/>
    </row>
    <row r="1233" spans="1:15" x14ac:dyDescent="0.2">
      <c r="A1233" s="302"/>
      <c r="B1233" s="887"/>
      <c r="C1233" s="838" t="s">
        <v>3555</v>
      </c>
      <c r="D1233" s="838" t="s">
        <v>3439</v>
      </c>
      <c r="E1233" s="713" t="s">
        <v>26</v>
      </c>
      <c r="F1233">
        <v>97773483</v>
      </c>
      <c r="G1233">
        <v>26222240</v>
      </c>
      <c r="H1233">
        <v>71551243</v>
      </c>
      <c r="I1233">
        <v>69051243</v>
      </c>
      <c r="J1233">
        <v>2500000</v>
      </c>
      <c r="K1233">
        <v>2500000</v>
      </c>
      <c r="L1233">
        <v>0</v>
      </c>
      <c r="M1233">
        <v>0</v>
      </c>
      <c r="N1233">
        <v>0</v>
      </c>
      <c r="O1233" s="302"/>
    </row>
    <row r="1234" spans="1:15" x14ac:dyDescent="0.2">
      <c r="A1234" s="302"/>
      <c r="B1234" s="887"/>
      <c r="C1234" s="839"/>
      <c r="D1234" s="839"/>
      <c r="E1234" s="713" t="s">
        <v>1557</v>
      </c>
      <c r="F1234">
        <v>388389630</v>
      </c>
      <c r="G1234">
        <v>0</v>
      </c>
      <c r="H1234">
        <v>388389630</v>
      </c>
      <c r="I1234">
        <v>388389630</v>
      </c>
      <c r="J1234">
        <v>0</v>
      </c>
      <c r="K1234">
        <v>0</v>
      </c>
      <c r="L1234">
        <v>0</v>
      </c>
      <c r="M1234">
        <v>0</v>
      </c>
      <c r="N1234">
        <v>0</v>
      </c>
      <c r="O1234" s="302"/>
    </row>
    <row r="1235" spans="1:15" x14ac:dyDescent="0.2">
      <c r="A1235" s="302"/>
      <c r="B1235" s="887"/>
      <c r="C1235" s="839"/>
      <c r="D1235" s="839"/>
      <c r="E1235" s="713" t="s">
        <v>1221</v>
      </c>
      <c r="F1235">
        <v>1931850</v>
      </c>
      <c r="G1235">
        <v>0</v>
      </c>
      <c r="H1235">
        <v>1931850</v>
      </c>
      <c r="I1235">
        <v>1931850</v>
      </c>
      <c r="J1235">
        <v>0</v>
      </c>
      <c r="K1235">
        <v>0</v>
      </c>
      <c r="L1235">
        <v>0</v>
      </c>
      <c r="M1235">
        <v>0</v>
      </c>
      <c r="N1235">
        <v>0</v>
      </c>
      <c r="O1235" s="302"/>
    </row>
    <row r="1236" spans="1:15" x14ac:dyDescent="0.2">
      <c r="A1236" s="302"/>
      <c r="B1236" s="887"/>
      <c r="C1236" s="838" t="s">
        <v>3556</v>
      </c>
      <c r="D1236" s="838" t="s">
        <v>1093</v>
      </c>
      <c r="E1236" s="713" t="s">
        <v>22</v>
      </c>
      <c r="F1236">
        <v>90520738</v>
      </c>
      <c r="G1236">
        <v>27156221</v>
      </c>
      <c r="H1236">
        <v>63364517</v>
      </c>
      <c r="I1236">
        <v>0</v>
      </c>
      <c r="J1236">
        <v>63364517</v>
      </c>
      <c r="K1236">
        <v>0</v>
      </c>
      <c r="L1236">
        <v>63364517</v>
      </c>
      <c r="M1236">
        <v>0</v>
      </c>
      <c r="N1236">
        <v>0</v>
      </c>
      <c r="O1236" s="302"/>
    </row>
    <row r="1237" spans="1:15" x14ac:dyDescent="0.2">
      <c r="A1237" s="302"/>
      <c r="B1237" s="887"/>
      <c r="C1237" s="839"/>
      <c r="D1237" s="839"/>
      <c r="E1237" s="713" t="s">
        <v>26</v>
      </c>
      <c r="F1237">
        <v>110462640</v>
      </c>
      <c r="G1237">
        <v>110462640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 s="302"/>
    </row>
    <row r="1238" spans="1:15" x14ac:dyDescent="0.2">
      <c r="A1238" s="302"/>
      <c r="B1238" s="887"/>
      <c r="C1238" s="839"/>
      <c r="D1238" s="839"/>
      <c r="E1238" s="713" t="s">
        <v>1557</v>
      </c>
      <c r="F1238">
        <v>257746160</v>
      </c>
      <c r="G1238">
        <v>0</v>
      </c>
      <c r="H1238">
        <v>257746160</v>
      </c>
      <c r="I1238">
        <v>0</v>
      </c>
      <c r="J1238">
        <v>257746160</v>
      </c>
      <c r="K1238">
        <v>0</v>
      </c>
      <c r="L1238">
        <v>257746160</v>
      </c>
      <c r="M1238">
        <v>0</v>
      </c>
      <c r="N1238">
        <v>0</v>
      </c>
      <c r="O1238" s="302"/>
    </row>
    <row r="1239" spans="1:15" x14ac:dyDescent="0.2">
      <c r="A1239" s="302"/>
      <c r="B1239" s="887"/>
      <c r="C1239" s="838" t="s">
        <v>3557</v>
      </c>
      <c r="D1239" s="838" t="s">
        <v>1078</v>
      </c>
      <c r="E1239" s="713" t="s">
        <v>22</v>
      </c>
      <c r="F1239">
        <v>76584524</v>
      </c>
      <c r="G1239">
        <v>22945357</v>
      </c>
      <c r="H1239">
        <v>53639167</v>
      </c>
      <c r="I1239">
        <v>0</v>
      </c>
      <c r="J1239">
        <v>53639167</v>
      </c>
      <c r="K1239">
        <v>0</v>
      </c>
      <c r="L1239">
        <v>0</v>
      </c>
      <c r="M1239">
        <v>0</v>
      </c>
      <c r="N1239">
        <v>53639167</v>
      </c>
      <c r="O1239" s="302"/>
    </row>
    <row r="1240" spans="1:15" x14ac:dyDescent="0.2">
      <c r="A1240" s="302"/>
      <c r="B1240" s="887"/>
      <c r="C1240" s="839"/>
      <c r="D1240" s="839"/>
      <c r="E1240" s="713" t="s">
        <v>26</v>
      </c>
      <c r="F1240">
        <v>94021260</v>
      </c>
      <c r="G1240">
        <v>94021260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 s="302"/>
    </row>
    <row r="1241" spans="1:15" x14ac:dyDescent="0.2">
      <c r="A1241" s="302"/>
      <c r="B1241" s="887"/>
      <c r="C1241" s="839"/>
      <c r="D1241" s="839"/>
      <c r="E1241" s="713" t="s">
        <v>1557</v>
      </c>
      <c r="F1241">
        <v>219382940</v>
      </c>
      <c r="G1241">
        <v>5</v>
      </c>
      <c r="H1241">
        <v>219382935</v>
      </c>
      <c r="I1241">
        <v>0</v>
      </c>
      <c r="J1241">
        <v>219382935</v>
      </c>
      <c r="K1241">
        <v>0</v>
      </c>
      <c r="L1241">
        <v>0</v>
      </c>
      <c r="M1241">
        <v>0</v>
      </c>
      <c r="N1241">
        <v>219382935</v>
      </c>
      <c r="O1241" s="302"/>
    </row>
    <row r="1242" spans="1:15" x14ac:dyDescent="0.2">
      <c r="A1242" s="302"/>
      <c r="B1242" s="887"/>
      <c r="C1242" s="838" t="s">
        <v>3558</v>
      </c>
      <c r="D1242" s="838" t="s">
        <v>2291</v>
      </c>
      <c r="E1242" s="713" t="s">
        <v>26</v>
      </c>
      <c r="F1242">
        <v>388699265</v>
      </c>
      <c r="G1242">
        <v>388699265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 s="302"/>
    </row>
    <row r="1243" spans="1:15" x14ac:dyDescent="0.2">
      <c r="A1243" s="302"/>
      <c r="B1243" s="887"/>
      <c r="C1243" s="839"/>
      <c r="D1243" s="839"/>
      <c r="E1243" s="713" t="s">
        <v>3212</v>
      </c>
      <c r="F1243">
        <v>99794</v>
      </c>
      <c r="G1243">
        <v>0</v>
      </c>
      <c r="H1243">
        <v>99794</v>
      </c>
      <c r="I1243">
        <v>0</v>
      </c>
      <c r="J1243">
        <v>99794</v>
      </c>
      <c r="K1243">
        <v>0</v>
      </c>
      <c r="L1243">
        <v>0</v>
      </c>
      <c r="M1243">
        <v>99794</v>
      </c>
      <c r="N1243">
        <v>0</v>
      </c>
      <c r="O1243" s="302"/>
    </row>
    <row r="1244" spans="1:15" x14ac:dyDescent="0.2">
      <c r="A1244" s="302"/>
      <c r="B1244" s="887"/>
      <c r="C1244" s="839"/>
      <c r="D1244" s="839"/>
      <c r="E1244" s="713" t="s">
        <v>195</v>
      </c>
      <c r="F1244">
        <v>974856</v>
      </c>
      <c r="G1244">
        <v>974856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 s="302"/>
    </row>
    <row r="1245" spans="1:15" x14ac:dyDescent="0.2">
      <c r="A1245" s="302"/>
      <c r="B1245" s="887"/>
      <c r="C1245" s="838" t="s">
        <v>3559</v>
      </c>
      <c r="D1245" s="838" t="s">
        <v>1612</v>
      </c>
      <c r="E1245" s="713" t="s">
        <v>26</v>
      </c>
      <c r="F1245">
        <v>118319400</v>
      </c>
      <c r="G1245">
        <v>118319400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 s="302"/>
    </row>
    <row r="1246" spans="1:15" x14ac:dyDescent="0.2">
      <c r="A1246" s="302"/>
      <c r="B1246" s="887"/>
      <c r="C1246" s="839"/>
      <c r="D1246" s="839"/>
      <c r="E1246" s="713" t="s">
        <v>1557</v>
      </c>
      <c r="F1246">
        <v>276078600</v>
      </c>
      <c r="G1246">
        <v>276078600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 s="302"/>
    </row>
    <row r="1247" spans="1:15" x14ac:dyDescent="0.2">
      <c r="A1247" s="302"/>
      <c r="B1247" s="887"/>
      <c r="C1247" s="839"/>
      <c r="D1247" s="839"/>
      <c r="E1247" s="713" t="s">
        <v>3212</v>
      </c>
      <c r="F1247">
        <v>99367</v>
      </c>
      <c r="G1247">
        <v>99367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 s="302"/>
    </row>
    <row r="1248" spans="1:15" x14ac:dyDescent="0.2">
      <c r="A1248" s="302"/>
      <c r="B1248" s="887"/>
      <c r="C1248" s="839"/>
      <c r="D1248" s="839"/>
      <c r="E1248" s="713" t="s">
        <v>195</v>
      </c>
      <c r="F1248">
        <v>716248</v>
      </c>
      <c r="G1248">
        <v>716248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 s="302"/>
    </row>
    <row r="1249" spans="1:15" x14ac:dyDescent="0.2">
      <c r="A1249" s="302"/>
      <c r="B1249" s="887"/>
      <c r="C1249" s="838" t="s">
        <v>3560</v>
      </c>
      <c r="D1249" s="838" t="s">
        <v>1079</v>
      </c>
      <c r="E1249" s="713" t="s">
        <v>22</v>
      </c>
      <c r="F1249">
        <v>79052085</v>
      </c>
      <c r="G1249">
        <v>23715625</v>
      </c>
      <c r="H1249">
        <v>55336460</v>
      </c>
      <c r="I1249">
        <v>0</v>
      </c>
      <c r="J1249">
        <v>55336460</v>
      </c>
      <c r="K1249">
        <v>0</v>
      </c>
      <c r="L1249">
        <v>0</v>
      </c>
      <c r="M1249">
        <v>0</v>
      </c>
      <c r="N1249">
        <v>55336460</v>
      </c>
      <c r="O1249" s="302"/>
    </row>
    <row r="1250" spans="1:15" x14ac:dyDescent="0.2">
      <c r="A1250" s="302"/>
      <c r="B1250" s="887"/>
      <c r="C1250" s="839"/>
      <c r="D1250" s="839"/>
      <c r="E1250" s="713" t="s">
        <v>26</v>
      </c>
      <c r="F1250">
        <v>93543540</v>
      </c>
      <c r="G1250">
        <v>93543540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 s="302"/>
    </row>
    <row r="1251" spans="1:15" x14ac:dyDescent="0.2">
      <c r="A1251" s="302"/>
      <c r="B1251" s="887"/>
      <c r="C1251" s="839"/>
      <c r="D1251" s="839"/>
      <c r="E1251" s="713" t="s">
        <v>1557</v>
      </c>
      <c r="F1251">
        <v>218268260</v>
      </c>
      <c r="G1251">
        <v>12284385</v>
      </c>
      <c r="H1251">
        <v>205983875</v>
      </c>
      <c r="I1251">
        <v>0</v>
      </c>
      <c r="J1251">
        <v>205983875</v>
      </c>
      <c r="K1251">
        <v>0</v>
      </c>
      <c r="L1251">
        <v>0</v>
      </c>
      <c r="M1251">
        <v>0</v>
      </c>
      <c r="N1251">
        <v>205983875</v>
      </c>
      <c r="O1251" s="302"/>
    </row>
    <row r="1252" spans="1:15" x14ac:dyDescent="0.2">
      <c r="A1252" s="302"/>
      <c r="B1252" s="887"/>
      <c r="C1252" s="838" t="s">
        <v>3561</v>
      </c>
      <c r="D1252" s="838" t="s">
        <v>1185</v>
      </c>
      <c r="E1252" s="713" t="s">
        <v>26</v>
      </c>
      <c r="F1252">
        <v>115143600</v>
      </c>
      <c r="G1252">
        <v>115143600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 s="302"/>
    </row>
    <row r="1253" spans="1:15" x14ac:dyDescent="0.2">
      <c r="A1253" s="302"/>
      <c r="B1253" s="887"/>
      <c r="C1253" s="839"/>
      <c r="D1253" s="839"/>
      <c r="E1253" s="713" t="s">
        <v>1557</v>
      </c>
      <c r="F1253">
        <v>268668400</v>
      </c>
      <c r="G1253">
        <v>268668400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 s="302"/>
    </row>
    <row r="1254" spans="1:15" x14ac:dyDescent="0.2">
      <c r="A1254" s="302"/>
      <c r="B1254" s="887"/>
      <c r="C1254" s="839"/>
      <c r="D1254" s="839"/>
      <c r="E1254" s="713" t="s">
        <v>3212</v>
      </c>
      <c r="F1254">
        <v>64777</v>
      </c>
      <c r="G1254">
        <v>64777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 s="302"/>
    </row>
    <row r="1255" spans="1:15" x14ac:dyDescent="0.2">
      <c r="A1255" s="302"/>
      <c r="B1255" s="887"/>
      <c r="C1255" s="838" t="s">
        <v>3562</v>
      </c>
      <c r="D1255" s="838" t="s">
        <v>1173</v>
      </c>
      <c r="E1255" s="713" t="s">
        <v>26</v>
      </c>
      <c r="F1255">
        <v>147749485</v>
      </c>
      <c r="G1255">
        <v>95413815</v>
      </c>
      <c r="H1255">
        <v>52335670</v>
      </c>
      <c r="I1255">
        <v>0</v>
      </c>
      <c r="J1255">
        <v>52335670</v>
      </c>
      <c r="K1255">
        <v>0</v>
      </c>
      <c r="L1255">
        <v>52335670</v>
      </c>
      <c r="M1255">
        <v>0</v>
      </c>
      <c r="N1255">
        <v>0</v>
      </c>
      <c r="O1255" s="302"/>
    </row>
    <row r="1256" spans="1:15" x14ac:dyDescent="0.2">
      <c r="A1256" s="302"/>
      <c r="B1256" s="887"/>
      <c r="C1256" s="839"/>
      <c r="D1256" s="839"/>
      <c r="E1256" s="713" t="s">
        <v>1557</v>
      </c>
      <c r="F1256">
        <v>170000000</v>
      </c>
      <c r="G1256">
        <v>0</v>
      </c>
      <c r="H1256">
        <v>170000000</v>
      </c>
      <c r="I1256">
        <v>0</v>
      </c>
      <c r="J1256">
        <v>170000000</v>
      </c>
      <c r="K1256">
        <v>0</v>
      </c>
      <c r="L1256">
        <v>170000000</v>
      </c>
      <c r="M1256">
        <v>0</v>
      </c>
      <c r="N1256">
        <v>0</v>
      </c>
      <c r="O1256" s="302"/>
    </row>
    <row r="1257" spans="1:15" x14ac:dyDescent="0.2">
      <c r="A1257" s="302"/>
      <c r="B1257" s="887"/>
      <c r="C1257" s="838" t="s">
        <v>3563</v>
      </c>
      <c r="D1257" s="838" t="s">
        <v>1122</v>
      </c>
      <c r="E1257" s="713" t="s">
        <v>26</v>
      </c>
      <c r="F1257">
        <v>122200000</v>
      </c>
      <c r="G1257">
        <v>122200000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 s="302"/>
    </row>
    <row r="1258" spans="1:15" x14ac:dyDescent="0.2">
      <c r="A1258" s="302"/>
      <c r="B1258" s="887"/>
      <c r="C1258" s="839"/>
      <c r="D1258" s="839"/>
      <c r="E1258" s="713" t="s">
        <v>1557</v>
      </c>
      <c r="F1258">
        <v>281996619</v>
      </c>
      <c r="G1258">
        <v>0</v>
      </c>
      <c r="H1258">
        <v>281996619</v>
      </c>
      <c r="I1258">
        <v>0</v>
      </c>
      <c r="J1258">
        <v>281996619</v>
      </c>
      <c r="K1258">
        <v>0</v>
      </c>
      <c r="L1258">
        <v>281996619</v>
      </c>
      <c r="M1258">
        <v>0</v>
      </c>
      <c r="N1258">
        <v>0</v>
      </c>
      <c r="O1258" s="302"/>
    </row>
    <row r="1259" spans="1:15" x14ac:dyDescent="0.2">
      <c r="A1259" s="302"/>
      <c r="B1259" s="887"/>
      <c r="C1259" s="838" t="s">
        <v>3564</v>
      </c>
      <c r="D1259" s="838" t="s">
        <v>1574</v>
      </c>
      <c r="E1259" s="713" t="s">
        <v>26</v>
      </c>
      <c r="F1259">
        <v>400020962</v>
      </c>
      <c r="G1259">
        <v>400020962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 s="302"/>
    </row>
    <row r="1260" spans="1:15" x14ac:dyDescent="0.2">
      <c r="A1260" s="302"/>
      <c r="B1260" s="887"/>
      <c r="C1260" s="839"/>
      <c r="D1260" s="839"/>
      <c r="E1260" s="713" t="s">
        <v>3212</v>
      </c>
      <c r="F1260">
        <v>100000</v>
      </c>
      <c r="G1260">
        <v>100000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 s="302"/>
    </row>
    <row r="1261" spans="1:15" x14ac:dyDescent="0.2">
      <c r="A1261" s="302"/>
      <c r="B1261" s="887"/>
      <c r="C1261" s="838" t="s">
        <v>3565</v>
      </c>
      <c r="D1261" s="838" t="s">
        <v>4440</v>
      </c>
      <c r="E1261" s="713" t="s">
        <v>22</v>
      </c>
      <c r="F1261">
        <v>79052085</v>
      </c>
      <c r="G1261">
        <v>23715625</v>
      </c>
      <c r="H1261">
        <v>55336460</v>
      </c>
      <c r="I1261">
        <v>0</v>
      </c>
      <c r="J1261">
        <v>55336460</v>
      </c>
      <c r="K1261">
        <v>0</v>
      </c>
      <c r="L1261">
        <v>0</v>
      </c>
      <c r="M1261">
        <v>0</v>
      </c>
      <c r="N1261">
        <v>55336460</v>
      </c>
      <c r="O1261" s="302"/>
    </row>
    <row r="1262" spans="1:15" x14ac:dyDescent="0.2">
      <c r="A1262" s="302"/>
      <c r="B1262" s="887"/>
      <c r="C1262" s="839"/>
      <c r="D1262" s="839"/>
      <c r="E1262" s="713" t="s">
        <v>26</v>
      </c>
      <c r="F1262">
        <v>94658880</v>
      </c>
      <c r="G1262">
        <v>94658880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 s="302"/>
    </row>
    <row r="1263" spans="1:15" x14ac:dyDescent="0.2">
      <c r="A1263" s="302"/>
      <c r="B1263" s="887"/>
      <c r="C1263" s="839"/>
      <c r="D1263" s="839"/>
      <c r="E1263" s="713" t="s">
        <v>1557</v>
      </c>
      <c r="F1263">
        <v>220870720</v>
      </c>
      <c r="G1263">
        <v>622</v>
      </c>
      <c r="H1263">
        <v>220870098</v>
      </c>
      <c r="I1263">
        <v>0</v>
      </c>
      <c r="J1263">
        <v>220870098</v>
      </c>
      <c r="K1263">
        <v>0</v>
      </c>
      <c r="L1263">
        <v>0</v>
      </c>
      <c r="M1263">
        <v>0</v>
      </c>
      <c r="N1263">
        <v>220870098</v>
      </c>
      <c r="O1263" s="302"/>
    </row>
    <row r="1264" spans="1:15" x14ac:dyDescent="0.2">
      <c r="A1264" s="302"/>
      <c r="B1264" s="887"/>
      <c r="C1264" s="839"/>
      <c r="D1264" s="839"/>
      <c r="E1264" s="713" t="s">
        <v>1221</v>
      </c>
      <c r="F1264">
        <v>1512675</v>
      </c>
      <c r="G1264">
        <v>1512675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 s="302"/>
    </row>
    <row r="1265" spans="1:15" x14ac:dyDescent="0.2">
      <c r="A1265" s="302"/>
      <c r="B1265" s="887"/>
      <c r="C1265" s="838" t="s">
        <v>3566</v>
      </c>
      <c r="D1265" s="838" t="s">
        <v>3440</v>
      </c>
      <c r="E1265" s="713" t="s">
        <v>26</v>
      </c>
      <c r="F1265">
        <v>97763815</v>
      </c>
      <c r="G1265">
        <v>27812210</v>
      </c>
      <c r="H1265">
        <v>69951605</v>
      </c>
      <c r="I1265">
        <v>66472744</v>
      </c>
      <c r="J1265">
        <v>3478861</v>
      </c>
      <c r="K1265">
        <v>3478861</v>
      </c>
      <c r="L1265">
        <v>0</v>
      </c>
      <c r="M1265">
        <v>0</v>
      </c>
      <c r="N1265">
        <v>0</v>
      </c>
      <c r="O1265" s="302"/>
    </row>
    <row r="1266" spans="1:15" x14ac:dyDescent="0.2">
      <c r="A1266" s="302"/>
      <c r="B1266" s="887"/>
      <c r="C1266" s="839"/>
      <c r="D1266" s="839"/>
      <c r="E1266" s="713" t="s">
        <v>1557</v>
      </c>
      <c r="F1266">
        <v>392021185</v>
      </c>
      <c r="G1266">
        <v>0</v>
      </c>
      <c r="H1266">
        <v>392021185</v>
      </c>
      <c r="I1266">
        <v>392021185</v>
      </c>
      <c r="J1266">
        <v>0</v>
      </c>
      <c r="K1266">
        <v>0</v>
      </c>
      <c r="L1266">
        <v>0</v>
      </c>
      <c r="M1266">
        <v>0</v>
      </c>
      <c r="N1266">
        <v>0</v>
      </c>
      <c r="O1266" s="302"/>
    </row>
    <row r="1267" spans="1:15" x14ac:dyDescent="0.2">
      <c r="A1267" s="302"/>
      <c r="B1267" s="887"/>
      <c r="C1267" s="839"/>
      <c r="D1267" s="839"/>
      <c r="E1267" s="713" t="s">
        <v>1221</v>
      </c>
      <c r="F1267">
        <v>1931850</v>
      </c>
      <c r="G1267">
        <v>0</v>
      </c>
      <c r="H1267">
        <v>1931850</v>
      </c>
      <c r="I1267">
        <v>1931850</v>
      </c>
      <c r="J1267">
        <v>0</v>
      </c>
      <c r="K1267">
        <v>0</v>
      </c>
      <c r="L1267">
        <v>0</v>
      </c>
      <c r="M1267">
        <v>0</v>
      </c>
      <c r="N1267">
        <v>0</v>
      </c>
      <c r="O1267" s="302"/>
    </row>
    <row r="1268" spans="1:15" x14ac:dyDescent="0.2">
      <c r="A1268" s="302"/>
      <c r="B1268" s="887"/>
      <c r="C1268" s="838" t="s">
        <v>3567</v>
      </c>
      <c r="D1268" s="838" t="s">
        <v>1080</v>
      </c>
      <c r="E1268" s="713" t="s">
        <v>22</v>
      </c>
      <c r="F1268">
        <v>76584524</v>
      </c>
      <c r="G1268">
        <v>22975357</v>
      </c>
      <c r="H1268">
        <v>53609167</v>
      </c>
      <c r="I1268">
        <v>0</v>
      </c>
      <c r="J1268">
        <v>53609167</v>
      </c>
      <c r="K1268">
        <v>0</v>
      </c>
      <c r="L1268">
        <v>0</v>
      </c>
      <c r="M1268">
        <v>0</v>
      </c>
      <c r="N1268">
        <v>53609167</v>
      </c>
      <c r="O1268" s="302"/>
    </row>
    <row r="1269" spans="1:15" x14ac:dyDescent="0.2">
      <c r="A1269" s="302"/>
      <c r="B1269" s="887"/>
      <c r="C1269" s="839"/>
      <c r="D1269" s="839"/>
      <c r="E1269" s="713" t="s">
        <v>26</v>
      </c>
      <c r="F1269">
        <v>95884364</v>
      </c>
      <c r="G1269">
        <v>95884364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 s="302"/>
    </row>
    <row r="1270" spans="1:15" x14ac:dyDescent="0.2">
      <c r="A1270" s="302"/>
      <c r="B1270" s="887"/>
      <c r="C1270" s="839"/>
      <c r="D1270" s="839"/>
      <c r="E1270" s="713" t="s">
        <v>1557</v>
      </c>
      <c r="F1270">
        <v>221832940</v>
      </c>
      <c r="G1270">
        <v>92183</v>
      </c>
      <c r="H1270">
        <v>221740757</v>
      </c>
      <c r="I1270">
        <v>0</v>
      </c>
      <c r="J1270">
        <v>221740757</v>
      </c>
      <c r="K1270">
        <v>0</v>
      </c>
      <c r="L1270">
        <v>0</v>
      </c>
      <c r="M1270">
        <v>0</v>
      </c>
      <c r="N1270">
        <v>221740757</v>
      </c>
      <c r="O1270" s="302"/>
    </row>
    <row r="1271" spans="1:15" x14ac:dyDescent="0.2">
      <c r="A1271" s="302"/>
      <c r="B1271" s="887"/>
      <c r="C1271" s="839"/>
      <c r="D1271" s="839"/>
      <c r="E1271" s="713" t="s">
        <v>1221</v>
      </c>
      <c r="F1271">
        <v>1512675</v>
      </c>
      <c r="G1271">
        <v>1512675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 s="302"/>
    </row>
    <row r="1272" spans="1:15" x14ac:dyDescent="0.2">
      <c r="A1272" s="302"/>
      <c r="B1272" s="887"/>
      <c r="C1272" s="838" t="s">
        <v>3568</v>
      </c>
      <c r="D1272" s="838" t="s">
        <v>1559</v>
      </c>
      <c r="E1272" s="713" t="s">
        <v>26</v>
      </c>
      <c r="F1272">
        <v>120941250</v>
      </c>
      <c r="G1272">
        <v>120941250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 s="302"/>
    </row>
    <row r="1273" spans="1:15" x14ac:dyDescent="0.2">
      <c r="A1273" s="302"/>
      <c r="B1273" s="887"/>
      <c r="C1273" s="839"/>
      <c r="D1273" s="839"/>
      <c r="E1273" s="713" t="s">
        <v>1557</v>
      </c>
      <c r="F1273">
        <v>282196250</v>
      </c>
      <c r="G1273">
        <v>6896903</v>
      </c>
      <c r="H1273">
        <v>275299347</v>
      </c>
      <c r="I1273">
        <v>0</v>
      </c>
      <c r="J1273">
        <v>275299347</v>
      </c>
      <c r="K1273">
        <v>0</v>
      </c>
      <c r="L1273">
        <v>0</v>
      </c>
      <c r="M1273">
        <v>0</v>
      </c>
      <c r="N1273">
        <v>275299347</v>
      </c>
      <c r="O1273" s="302"/>
    </row>
    <row r="1274" spans="1:15" x14ac:dyDescent="0.2">
      <c r="A1274" s="302"/>
      <c r="B1274" s="887"/>
      <c r="C1274" s="839"/>
      <c r="D1274" s="839"/>
      <c r="E1274" s="713" t="s">
        <v>195</v>
      </c>
      <c r="F1274">
        <v>385630</v>
      </c>
      <c r="G1274">
        <v>385630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 s="302"/>
    </row>
    <row r="1275" spans="1:15" x14ac:dyDescent="0.2">
      <c r="A1275" s="302"/>
      <c r="B1275" s="887"/>
      <c r="C1275" s="838" t="s">
        <v>3569</v>
      </c>
      <c r="D1275" s="838" t="s">
        <v>2614</v>
      </c>
      <c r="E1275" s="713" t="s">
        <v>26</v>
      </c>
      <c r="F1275">
        <v>94610500</v>
      </c>
      <c r="G1275">
        <v>74779820</v>
      </c>
      <c r="H1275">
        <v>19830680</v>
      </c>
      <c r="I1275">
        <v>13220302</v>
      </c>
      <c r="J1275">
        <v>6610378</v>
      </c>
      <c r="K1275">
        <v>6610153</v>
      </c>
      <c r="L1275">
        <v>225</v>
      </c>
      <c r="M1275">
        <v>0</v>
      </c>
      <c r="N1275">
        <v>0</v>
      </c>
      <c r="O1275" s="302"/>
    </row>
    <row r="1276" spans="1:15" x14ac:dyDescent="0.2">
      <c r="A1276" s="302"/>
      <c r="B1276" s="887"/>
      <c r="C1276" s="839"/>
      <c r="D1276" s="839"/>
      <c r="E1276" s="713" t="s">
        <v>1557</v>
      </c>
      <c r="F1276">
        <v>384029548</v>
      </c>
      <c r="G1276">
        <v>0</v>
      </c>
      <c r="H1276">
        <v>384029548</v>
      </c>
      <c r="I1276">
        <v>384029548</v>
      </c>
      <c r="J1276">
        <v>0</v>
      </c>
      <c r="K1276">
        <v>0</v>
      </c>
      <c r="L1276">
        <v>0</v>
      </c>
      <c r="M1276">
        <v>0</v>
      </c>
      <c r="N1276">
        <v>0</v>
      </c>
      <c r="O1276" s="302"/>
    </row>
    <row r="1277" spans="1:15" x14ac:dyDescent="0.2">
      <c r="A1277" s="302"/>
      <c r="B1277" s="887"/>
      <c r="C1277" s="839"/>
      <c r="D1277" s="839"/>
      <c r="E1277" s="713" t="s">
        <v>1221</v>
      </c>
      <c r="F1277">
        <v>1931500</v>
      </c>
      <c r="G1277">
        <v>1931500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 s="302"/>
    </row>
    <row r="1278" spans="1:15" x14ac:dyDescent="0.2">
      <c r="A1278" s="302"/>
      <c r="B1278" s="887"/>
      <c r="C1278" s="838" t="s">
        <v>3570</v>
      </c>
      <c r="D1278" s="838" t="s">
        <v>1096</v>
      </c>
      <c r="E1278" s="713" t="s">
        <v>900</v>
      </c>
      <c r="F1278">
        <v>20320595</v>
      </c>
      <c r="G1278">
        <v>20320595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 s="302"/>
    </row>
    <row r="1279" spans="1:15" x14ac:dyDescent="0.2">
      <c r="A1279" s="302"/>
      <c r="B1279" s="887"/>
      <c r="C1279" s="839"/>
      <c r="D1279" s="839"/>
      <c r="E1279" s="713" t="s">
        <v>26</v>
      </c>
      <c r="F1279">
        <v>165033025</v>
      </c>
      <c r="G1279">
        <v>165033025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 s="302"/>
    </row>
    <row r="1280" spans="1:15" x14ac:dyDescent="0.2">
      <c r="A1280" s="302"/>
      <c r="B1280" s="887"/>
      <c r="C1280" s="839"/>
      <c r="D1280" s="839"/>
      <c r="E1280" s="713" t="s">
        <v>1557</v>
      </c>
      <c r="F1280">
        <v>130000000</v>
      </c>
      <c r="G1280">
        <v>0</v>
      </c>
      <c r="H1280">
        <v>130000000</v>
      </c>
      <c r="I1280">
        <v>0</v>
      </c>
      <c r="J1280">
        <v>130000000</v>
      </c>
      <c r="K1280">
        <v>0</v>
      </c>
      <c r="L1280">
        <v>130000000</v>
      </c>
      <c r="M1280">
        <v>0</v>
      </c>
      <c r="N1280">
        <v>0</v>
      </c>
      <c r="O1280" s="302"/>
    </row>
    <row r="1281" spans="1:15" x14ac:dyDescent="0.2">
      <c r="A1281" s="302"/>
      <c r="B1281" s="887"/>
      <c r="C1281" s="838" t="s">
        <v>3571</v>
      </c>
      <c r="D1281" s="838" t="s">
        <v>1095</v>
      </c>
      <c r="E1281" s="713" t="s">
        <v>22</v>
      </c>
      <c r="F1281">
        <v>91410412</v>
      </c>
      <c r="G1281">
        <v>19796823</v>
      </c>
      <c r="H1281">
        <v>71613589</v>
      </c>
      <c r="I1281">
        <v>0</v>
      </c>
      <c r="J1281">
        <v>71613589</v>
      </c>
      <c r="K1281">
        <v>0</v>
      </c>
      <c r="L1281">
        <v>0</v>
      </c>
      <c r="M1281">
        <v>0</v>
      </c>
      <c r="N1281">
        <v>71613589</v>
      </c>
      <c r="O1281" s="302"/>
    </row>
    <row r="1282" spans="1:15" x14ac:dyDescent="0.2">
      <c r="A1282" s="302"/>
      <c r="B1282" s="887"/>
      <c r="C1282" s="839"/>
      <c r="D1282" s="839"/>
      <c r="E1282" s="713" t="s">
        <v>26</v>
      </c>
      <c r="F1282">
        <v>109967760</v>
      </c>
      <c r="G1282">
        <v>109967760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 s="302"/>
    </row>
    <row r="1283" spans="1:15" x14ac:dyDescent="0.2">
      <c r="A1283" s="302"/>
      <c r="B1283" s="887"/>
      <c r="C1283" s="839"/>
      <c r="D1283" s="839"/>
      <c r="E1283" s="713" t="s">
        <v>1557</v>
      </c>
      <c r="F1283">
        <v>256591440</v>
      </c>
      <c r="G1283">
        <v>0</v>
      </c>
      <c r="H1283">
        <v>256591440</v>
      </c>
      <c r="I1283">
        <v>0</v>
      </c>
      <c r="J1283">
        <v>256591440</v>
      </c>
      <c r="K1283">
        <v>0</v>
      </c>
      <c r="L1283">
        <v>0</v>
      </c>
      <c r="M1283">
        <v>0</v>
      </c>
      <c r="N1283">
        <v>256591440</v>
      </c>
      <c r="O1283" s="302"/>
    </row>
    <row r="1284" spans="1:15" x14ac:dyDescent="0.2">
      <c r="A1284" s="302"/>
      <c r="B1284" s="887"/>
      <c r="C1284" s="839"/>
      <c r="D1284" s="839"/>
      <c r="E1284" s="713" t="s">
        <v>195</v>
      </c>
      <c r="F1284">
        <v>8563587</v>
      </c>
      <c r="G1284">
        <v>8563587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 s="302"/>
    </row>
    <row r="1285" spans="1:15" x14ac:dyDescent="0.2">
      <c r="A1285" s="302"/>
      <c r="B1285" s="887"/>
      <c r="C1285" s="838" t="s">
        <v>3572</v>
      </c>
      <c r="D1285" s="838" t="s">
        <v>3367</v>
      </c>
      <c r="E1285" s="713" t="s">
        <v>26</v>
      </c>
      <c r="F1285">
        <v>96511520</v>
      </c>
      <c r="G1285">
        <v>38283533</v>
      </c>
      <c r="H1285">
        <v>58227987</v>
      </c>
      <c r="I1285">
        <v>52758912</v>
      </c>
      <c r="J1285">
        <v>5469075</v>
      </c>
      <c r="K1285">
        <v>5469075</v>
      </c>
      <c r="L1285">
        <v>0</v>
      </c>
      <c r="M1285">
        <v>0</v>
      </c>
      <c r="N1285">
        <v>0</v>
      </c>
      <c r="O1285" s="302"/>
    </row>
    <row r="1286" spans="1:15" x14ac:dyDescent="0.2">
      <c r="A1286" s="302"/>
      <c r="B1286" s="887"/>
      <c r="C1286" s="839"/>
      <c r="D1286" s="839"/>
      <c r="E1286" s="713" t="s">
        <v>1557</v>
      </c>
      <c r="F1286">
        <v>393773480</v>
      </c>
      <c r="G1286">
        <v>0</v>
      </c>
      <c r="H1286">
        <v>393773480</v>
      </c>
      <c r="I1286">
        <v>393773480</v>
      </c>
      <c r="J1286">
        <v>0</v>
      </c>
      <c r="K1286">
        <v>0</v>
      </c>
      <c r="L1286">
        <v>0</v>
      </c>
      <c r="M1286">
        <v>0</v>
      </c>
      <c r="N1286">
        <v>0</v>
      </c>
      <c r="O1286" s="302"/>
    </row>
    <row r="1287" spans="1:15" x14ac:dyDescent="0.2">
      <c r="A1287" s="302"/>
      <c r="B1287" s="887"/>
      <c r="C1287" s="839"/>
      <c r="D1287" s="839"/>
      <c r="E1287" s="713" t="s">
        <v>1221</v>
      </c>
      <c r="F1287">
        <v>1931850</v>
      </c>
      <c r="G1287">
        <v>0</v>
      </c>
      <c r="H1287">
        <v>1931850</v>
      </c>
      <c r="I1287">
        <v>1931850</v>
      </c>
      <c r="J1287">
        <v>0</v>
      </c>
      <c r="K1287">
        <v>0</v>
      </c>
      <c r="L1287">
        <v>0</v>
      </c>
      <c r="M1287">
        <v>0</v>
      </c>
      <c r="N1287">
        <v>0</v>
      </c>
      <c r="O1287" s="302"/>
    </row>
    <row r="1288" spans="1:15" x14ac:dyDescent="0.2">
      <c r="A1288" s="302"/>
      <c r="B1288" s="887"/>
      <c r="C1288" s="838" t="s">
        <v>3573</v>
      </c>
      <c r="D1288" s="838" t="s">
        <v>1081</v>
      </c>
      <c r="E1288" s="713" t="s">
        <v>26</v>
      </c>
      <c r="F1288">
        <v>94405800</v>
      </c>
      <c r="G1288">
        <v>94405800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 s="302"/>
    </row>
    <row r="1289" spans="1:15" x14ac:dyDescent="0.2">
      <c r="A1289" s="302"/>
      <c r="B1289" s="887"/>
      <c r="C1289" s="839"/>
      <c r="D1289" s="839"/>
      <c r="E1289" s="713" t="s">
        <v>1557</v>
      </c>
      <c r="F1289">
        <v>220280200</v>
      </c>
      <c r="G1289">
        <v>19346</v>
      </c>
      <c r="H1289">
        <v>220260854</v>
      </c>
      <c r="I1289">
        <v>0</v>
      </c>
      <c r="J1289">
        <v>220260854</v>
      </c>
      <c r="K1289">
        <v>0</v>
      </c>
      <c r="L1289">
        <v>0</v>
      </c>
      <c r="M1289">
        <v>0</v>
      </c>
      <c r="N1289">
        <v>220260854</v>
      </c>
      <c r="O1289" s="302"/>
    </row>
    <row r="1290" spans="1:15" x14ac:dyDescent="0.2">
      <c r="A1290" s="302"/>
      <c r="B1290" s="887"/>
      <c r="C1290" s="838" t="s">
        <v>3574</v>
      </c>
      <c r="D1290" s="838" t="s">
        <v>1123</v>
      </c>
      <c r="E1290" s="713" t="s">
        <v>26</v>
      </c>
      <c r="F1290">
        <v>121114500</v>
      </c>
      <c r="G1290">
        <v>121114500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 s="302"/>
    </row>
    <row r="1291" spans="1:15" x14ac:dyDescent="0.2">
      <c r="A1291" s="302"/>
      <c r="B1291" s="887"/>
      <c r="C1291" s="839"/>
      <c r="D1291" s="839"/>
      <c r="E1291" s="713" t="s">
        <v>1557</v>
      </c>
      <c r="F1291">
        <v>282600500</v>
      </c>
      <c r="G1291">
        <v>282600500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 s="302"/>
    </row>
    <row r="1292" spans="1:15" x14ac:dyDescent="0.2">
      <c r="A1292" s="302"/>
      <c r="B1292" s="887"/>
      <c r="C1292" s="838" t="s">
        <v>3575</v>
      </c>
      <c r="D1292" s="838" t="s">
        <v>1238</v>
      </c>
      <c r="E1292" s="713" t="s">
        <v>26</v>
      </c>
      <c r="F1292">
        <v>131052010</v>
      </c>
      <c r="G1292">
        <v>131052010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 s="302"/>
    </row>
    <row r="1293" spans="1:15" x14ac:dyDescent="0.2">
      <c r="A1293" s="302"/>
      <c r="B1293" s="887"/>
      <c r="C1293" s="839"/>
      <c r="D1293" s="839"/>
      <c r="E1293" s="713" t="s">
        <v>1557</v>
      </c>
      <c r="F1293">
        <v>305787990</v>
      </c>
      <c r="G1293">
        <v>0</v>
      </c>
      <c r="H1293">
        <v>305787990</v>
      </c>
      <c r="I1293">
        <v>0</v>
      </c>
      <c r="J1293">
        <v>305787990</v>
      </c>
      <c r="K1293">
        <v>0</v>
      </c>
      <c r="L1293">
        <v>305787990</v>
      </c>
      <c r="M1293">
        <v>0</v>
      </c>
      <c r="N1293">
        <v>0</v>
      </c>
      <c r="O1293" s="302"/>
    </row>
    <row r="1294" spans="1:15" x14ac:dyDescent="0.2">
      <c r="A1294" s="302"/>
      <c r="B1294" s="887"/>
      <c r="C1294" s="838" t="s">
        <v>3576</v>
      </c>
      <c r="D1294" s="838" t="s">
        <v>1149</v>
      </c>
      <c r="E1294" s="713" t="s">
        <v>26</v>
      </c>
      <c r="F1294">
        <v>97053750</v>
      </c>
      <c r="G1294">
        <v>97053750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 s="302"/>
    </row>
    <row r="1295" spans="1:15" x14ac:dyDescent="0.2">
      <c r="A1295" s="302"/>
      <c r="B1295" s="887"/>
      <c r="C1295" s="839"/>
      <c r="D1295" s="839"/>
      <c r="E1295" s="713" t="s">
        <v>1557</v>
      </c>
      <c r="F1295">
        <v>226458750</v>
      </c>
      <c r="G1295">
        <v>142201</v>
      </c>
      <c r="H1295">
        <v>226316549</v>
      </c>
      <c r="I1295">
        <v>0</v>
      </c>
      <c r="J1295">
        <v>226316549</v>
      </c>
      <c r="K1295">
        <v>0</v>
      </c>
      <c r="L1295">
        <v>0</v>
      </c>
      <c r="M1295">
        <v>0</v>
      </c>
      <c r="N1295">
        <v>226316549</v>
      </c>
      <c r="O1295" s="302"/>
    </row>
    <row r="1296" spans="1:15" x14ac:dyDescent="0.2">
      <c r="A1296" s="302"/>
      <c r="B1296" s="887"/>
      <c r="C1296" s="839"/>
      <c r="D1296" s="839"/>
      <c r="E1296" s="713" t="s">
        <v>195</v>
      </c>
      <c r="F1296">
        <v>1871830</v>
      </c>
      <c r="G1296">
        <v>1871830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 s="302"/>
    </row>
    <row r="1297" spans="1:15" x14ac:dyDescent="0.2">
      <c r="A1297" s="302"/>
      <c r="B1297" s="887"/>
      <c r="C1297" s="838" t="s">
        <v>3577</v>
      </c>
      <c r="D1297" s="838" t="s">
        <v>1466</v>
      </c>
      <c r="E1297" s="713" t="s">
        <v>26</v>
      </c>
      <c r="F1297">
        <v>130412476</v>
      </c>
      <c r="G1297">
        <v>130412476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 s="302"/>
    </row>
    <row r="1298" spans="1:15" x14ac:dyDescent="0.2">
      <c r="A1298" s="302"/>
      <c r="B1298" s="887"/>
      <c r="C1298" s="839"/>
      <c r="D1298" s="839"/>
      <c r="E1298" s="713" t="s">
        <v>1557</v>
      </c>
      <c r="F1298">
        <v>304274744</v>
      </c>
      <c r="G1298">
        <v>0</v>
      </c>
      <c r="H1298">
        <v>304274744</v>
      </c>
      <c r="I1298">
        <v>0</v>
      </c>
      <c r="J1298">
        <v>304274744</v>
      </c>
      <c r="K1298">
        <v>0</v>
      </c>
      <c r="L1298">
        <v>304274744</v>
      </c>
      <c r="M1298">
        <v>0</v>
      </c>
      <c r="N1298">
        <v>0</v>
      </c>
      <c r="O1298" s="302"/>
    </row>
    <row r="1299" spans="1:15" x14ac:dyDescent="0.2">
      <c r="A1299" s="302"/>
      <c r="B1299" s="887"/>
      <c r="C1299" s="839"/>
      <c r="D1299" s="839"/>
      <c r="E1299" s="713" t="s">
        <v>195</v>
      </c>
      <c r="F1299">
        <v>849580</v>
      </c>
      <c r="G1299">
        <v>849580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 s="302"/>
    </row>
    <row r="1300" spans="1:15" x14ac:dyDescent="0.2">
      <c r="A1300" s="302"/>
      <c r="B1300" s="887"/>
      <c r="C1300" s="838" t="s">
        <v>3578</v>
      </c>
      <c r="D1300" s="838" t="s">
        <v>1306</v>
      </c>
      <c r="E1300" s="713" t="s">
        <v>26</v>
      </c>
      <c r="F1300">
        <v>130824653</v>
      </c>
      <c r="G1300">
        <v>129571250</v>
      </c>
      <c r="H1300">
        <v>1253403</v>
      </c>
      <c r="I1300">
        <v>0</v>
      </c>
      <c r="J1300">
        <v>1253403</v>
      </c>
      <c r="K1300">
        <v>0</v>
      </c>
      <c r="L1300">
        <v>1253403</v>
      </c>
      <c r="M1300">
        <v>0</v>
      </c>
      <c r="N1300">
        <v>0</v>
      </c>
      <c r="O1300" s="302"/>
    </row>
    <row r="1301" spans="1:15" x14ac:dyDescent="0.2">
      <c r="A1301" s="302"/>
      <c r="B1301" s="887"/>
      <c r="C1301" s="839"/>
      <c r="D1301" s="839"/>
      <c r="E1301" s="713" t="s">
        <v>1557</v>
      </c>
      <c r="F1301">
        <v>289000000</v>
      </c>
      <c r="G1301">
        <v>0</v>
      </c>
      <c r="H1301">
        <v>289000000</v>
      </c>
      <c r="I1301">
        <v>0</v>
      </c>
      <c r="J1301">
        <v>289000000</v>
      </c>
      <c r="K1301">
        <v>0</v>
      </c>
      <c r="L1301">
        <v>289000000</v>
      </c>
      <c r="M1301">
        <v>0</v>
      </c>
      <c r="N1301">
        <v>0</v>
      </c>
      <c r="O1301" s="302"/>
    </row>
    <row r="1302" spans="1:15" x14ac:dyDescent="0.2">
      <c r="A1302" s="302"/>
      <c r="B1302" s="887"/>
      <c r="C1302" s="838" t="s">
        <v>3579</v>
      </c>
      <c r="D1302" s="838" t="s">
        <v>1560</v>
      </c>
      <c r="E1302" s="713" t="s">
        <v>22</v>
      </c>
      <c r="F1302">
        <v>76584524</v>
      </c>
      <c r="G1302">
        <v>22975357</v>
      </c>
      <c r="H1302">
        <v>53609167</v>
      </c>
      <c r="I1302">
        <v>0</v>
      </c>
      <c r="J1302">
        <v>53609167</v>
      </c>
      <c r="K1302">
        <v>0</v>
      </c>
      <c r="L1302">
        <v>0</v>
      </c>
      <c r="M1302">
        <v>0</v>
      </c>
      <c r="N1302">
        <v>53609167</v>
      </c>
      <c r="O1302" s="302"/>
    </row>
    <row r="1303" spans="1:15" x14ac:dyDescent="0.2">
      <c r="A1303" s="302"/>
      <c r="B1303" s="887"/>
      <c r="C1303" s="839"/>
      <c r="D1303" s="839"/>
      <c r="E1303" s="713" t="s">
        <v>26</v>
      </c>
      <c r="F1303">
        <v>112969452</v>
      </c>
      <c r="G1303">
        <v>112969452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 s="302"/>
    </row>
    <row r="1304" spans="1:15" x14ac:dyDescent="0.2">
      <c r="A1304" s="302"/>
      <c r="B1304" s="887"/>
      <c r="C1304" s="839"/>
      <c r="D1304" s="839"/>
      <c r="E1304" s="713" t="s">
        <v>1557</v>
      </c>
      <c r="F1304">
        <v>265862100</v>
      </c>
      <c r="G1304">
        <v>92000643</v>
      </c>
      <c r="H1304">
        <v>173861457</v>
      </c>
      <c r="I1304">
        <v>0</v>
      </c>
      <c r="J1304">
        <v>173861457</v>
      </c>
      <c r="K1304">
        <v>0</v>
      </c>
      <c r="L1304">
        <v>0</v>
      </c>
      <c r="M1304">
        <v>0</v>
      </c>
      <c r="N1304">
        <v>173861457</v>
      </c>
      <c r="O1304" s="302"/>
    </row>
    <row r="1305" spans="1:15" x14ac:dyDescent="0.2">
      <c r="A1305" s="302"/>
      <c r="B1305" s="887"/>
      <c r="C1305" s="838" t="s">
        <v>3580</v>
      </c>
      <c r="D1305" s="838" t="s">
        <v>1630</v>
      </c>
      <c r="E1305" s="713" t="s">
        <v>26</v>
      </c>
      <c r="F1305">
        <v>122741250</v>
      </c>
      <c r="G1305">
        <v>122741250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 s="302"/>
    </row>
    <row r="1306" spans="1:15" x14ac:dyDescent="0.2">
      <c r="A1306" s="302"/>
      <c r="B1306" s="887"/>
      <c r="C1306" s="839"/>
      <c r="D1306" s="839"/>
      <c r="E1306" s="713" t="s">
        <v>1557</v>
      </c>
      <c r="F1306">
        <v>286396250</v>
      </c>
      <c r="G1306">
        <v>14250</v>
      </c>
      <c r="H1306">
        <v>286382000</v>
      </c>
      <c r="I1306">
        <v>0</v>
      </c>
      <c r="J1306">
        <v>286382000</v>
      </c>
      <c r="K1306">
        <v>0</v>
      </c>
      <c r="L1306">
        <v>0</v>
      </c>
      <c r="M1306">
        <v>0</v>
      </c>
      <c r="N1306">
        <v>286382000</v>
      </c>
      <c r="O1306" s="302"/>
    </row>
    <row r="1307" spans="1:15" x14ac:dyDescent="0.2">
      <c r="A1307" s="302"/>
      <c r="B1307" s="887"/>
      <c r="C1307" s="839"/>
      <c r="D1307" s="839"/>
      <c r="E1307" s="713" t="s">
        <v>195</v>
      </c>
      <c r="F1307">
        <v>2126835</v>
      </c>
      <c r="G1307">
        <v>2126835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 s="302"/>
    </row>
    <row r="1308" spans="1:15" x14ac:dyDescent="0.2">
      <c r="A1308" s="302"/>
      <c r="B1308" s="887"/>
      <c r="C1308" s="838" t="s">
        <v>3581</v>
      </c>
      <c r="D1308" s="838" t="s">
        <v>1239</v>
      </c>
      <c r="E1308" s="713" t="s">
        <v>26</v>
      </c>
      <c r="F1308">
        <v>336550000</v>
      </c>
      <c r="G1308">
        <v>336550000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 s="302"/>
    </row>
    <row r="1309" spans="1:15" x14ac:dyDescent="0.2">
      <c r="A1309" s="302"/>
      <c r="B1309" s="887"/>
      <c r="C1309" s="839"/>
      <c r="D1309" s="839"/>
      <c r="E1309" s="713" t="s">
        <v>1557</v>
      </c>
      <c r="F1309">
        <v>99999196</v>
      </c>
      <c r="G1309">
        <v>0</v>
      </c>
      <c r="H1309">
        <v>99999196</v>
      </c>
      <c r="I1309">
        <v>0</v>
      </c>
      <c r="J1309">
        <v>99999196</v>
      </c>
      <c r="K1309">
        <v>0</v>
      </c>
      <c r="L1309">
        <v>99999196</v>
      </c>
      <c r="M1309">
        <v>0</v>
      </c>
      <c r="N1309">
        <v>0</v>
      </c>
      <c r="O1309" s="302"/>
    </row>
    <row r="1310" spans="1:15" x14ac:dyDescent="0.2">
      <c r="A1310" s="302"/>
      <c r="B1310" s="887"/>
      <c r="C1310" s="838" t="s">
        <v>3582</v>
      </c>
      <c r="D1310" s="838" t="s">
        <v>1151</v>
      </c>
      <c r="E1310" s="713" t="s">
        <v>26</v>
      </c>
      <c r="F1310">
        <v>97975610</v>
      </c>
      <c r="G1310">
        <v>97975610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 s="302"/>
    </row>
    <row r="1311" spans="1:15" x14ac:dyDescent="0.2">
      <c r="A1311" s="302"/>
      <c r="B1311" s="887"/>
      <c r="C1311" s="839"/>
      <c r="D1311" s="839"/>
      <c r="E1311" s="713" t="s">
        <v>1557</v>
      </c>
      <c r="F1311">
        <v>225000000</v>
      </c>
      <c r="G1311">
        <v>678435</v>
      </c>
      <c r="H1311">
        <v>224321565</v>
      </c>
      <c r="I1311">
        <v>0</v>
      </c>
      <c r="J1311">
        <v>224321565</v>
      </c>
      <c r="K1311">
        <v>0</v>
      </c>
      <c r="L1311">
        <v>0</v>
      </c>
      <c r="M1311">
        <v>0</v>
      </c>
      <c r="N1311">
        <v>224321565</v>
      </c>
      <c r="O1311" s="302"/>
    </row>
    <row r="1312" spans="1:15" x14ac:dyDescent="0.2">
      <c r="A1312" s="302"/>
      <c r="B1312" s="887"/>
      <c r="C1312" s="839"/>
      <c r="D1312" s="839"/>
      <c r="E1312" s="713" t="s">
        <v>195</v>
      </c>
      <c r="F1312">
        <v>675000</v>
      </c>
      <c r="G1312">
        <v>675000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 s="302"/>
    </row>
    <row r="1313" spans="1:15" x14ac:dyDescent="0.2">
      <c r="A1313" s="302"/>
      <c r="B1313" s="887"/>
      <c r="C1313" s="838" t="s">
        <v>3583</v>
      </c>
      <c r="D1313" s="838" t="s">
        <v>1467</v>
      </c>
      <c r="E1313" s="713" t="s">
        <v>26</v>
      </c>
      <c r="F1313">
        <v>130554666</v>
      </c>
      <c r="G1313">
        <v>130554666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 s="302"/>
    </row>
    <row r="1314" spans="1:15" x14ac:dyDescent="0.2">
      <c r="A1314" s="302"/>
      <c r="B1314" s="887"/>
      <c r="C1314" s="839"/>
      <c r="D1314" s="839"/>
      <c r="E1314" s="713" t="s">
        <v>1557</v>
      </c>
      <c r="F1314">
        <v>304627554</v>
      </c>
      <c r="G1314">
        <v>0</v>
      </c>
      <c r="H1314">
        <v>304627554</v>
      </c>
      <c r="I1314">
        <v>0</v>
      </c>
      <c r="J1314">
        <v>304627554</v>
      </c>
      <c r="K1314">
        <v>0</v>
      </c>
      <c r="L1314">
        <v>304627554</v>
      </c>
      <c r="M1314">
        <v>0</v>
      </c>
      <c r="N1314">
        <v>0</v>
      </c>
      <c r="O1314" s="302"/>
    </row>
    <row r="1315" spans="1:15" x14ac:dyDescent="0.2">
      <c r="A1315" s="302"/>
      <c r="B1315" s="887"/>
      <c r="C1315" s="839"/>
      <c r="D1315" s="839"/>
      <c r="E1315" s="713" t="s">
        <v>195</v>
      </c>
      <c r="F1315">
        <v>217964</v>
      </c>
      <c r="G1315">
        <v>217964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 s="302"/>
    </row>
    <row r="1316" spans="1:15" x14ac:dyDescent="0.2">
      <c r="A1316" s="302"/>
      <c r="B1316" s="887"/>
      <c r="C1316" s="838" t="s">
        <v>3584</v>
      </c>
      <c r="D1316" s="838" t="s">
        <v>1468</v>
      </c>
      <c r="E1316" s="713" t="s">
        <v>26</v>
      </c>
      <c r="F1316">
        <v>131380623</v>
      </c>
      <c r="G1316">
        <v>131380623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 s="302"/>
    </row>
    <row r="1317" spans="1:15" x14ac:dyDescent="0.2">
      <c r="A1317" s="302"/>
      <c r="B1317" s="887"/>
      <c r="C1317" s="839"/>
      <c r="D1317" s="839"/>
      <c r="E1317" s="713" t="s">
        <v>1557</v>
      </c>
      <c r="F1317">
        <v>306554787</v>
      </c>
      <c r="G1317">
        <v>52988986</v>
      </c>
      <c r="H1317">
        <v>253565801</v>
      </c>
      <c r="I1317">
        <v>0</v>
      </c>
      <c r="J1317">
        <v>253565801</v>
      </c>
      <c r="K1317">
        <v>0</v>
      </c>
      <c r="L1317">
        <v>0</v>
      </c>
      <c r="M1317">
        <v>0</v>
      </c>
      <c r="N1317">
        <v>253565801</v>
      </c>
      <c r="O1317" s="302"/>
    </row>
    <row r="1318" spans="1:15" x14ac:dyDescent="0.2">
      <c r="A1318" s="302"/>
      <c r="B1318" s="887"/>
      <c r="C1318" s="839"/>
      <c r="D1318" s="839"/>
      <c r="E1318" s="713" t="s">
        <v>195</v>
      </c>
      <c r="F1318">
        <v>273819</v>
      </c>
      <c r="G1318">
        <v>273819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 s="302"/>
    </row>
    <row r="1319" spans="1:15" x14ac:dyDescent="0.2">
      <c r="A1319" s="302"/>
      <c r="B1319" s="887"/>
      <c r="C1319" s="838" t="s">
        <v>3585</v>
      </c>
      <c r="D1319" s="838" t="s">
        <v>1082</v>
      </c>
      <c r="E1319" s="713" t="s">
        <v>26</v>
      </c>
      <c r="F1319">
        <v>309426002</v>
      </c>
      <c r="G1319">
        <v>309426002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 s="302"/>
    </row>
    <row r="1320" spans="1:15" x14ac:dyDescent="0.2">
      <c r="A1320" s="302"/>
      <c r="B1320" s="887"/>
      <c r="C1320" s="839"/>
      <c r="D1320" s="839"/>
      <c r="E1320" s="713" t="s">
        <v>3212</v>
      </c>
      <c r="F1320">
        <v>70418</v>
      </c>
      <c r="G1320">
        <v>70418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 s="302"/>
    </row>
    <row r="1321" spans="1:15" x14ac:dyDescent="0.2">
      <c r="A1321" s="302"/>
      <c r="B1321" s="887"/>
      <c r="C1321" s="839"/>
      <c r="D1321" s="839"/>
      <c r="E1321" s="713" t="s">
        <v>195</v>
      </c>
      <c r="F1321">
        <v>594782</v>
      </c>
      <c r="G1321">
        <v>594782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 s="302"/>
    </row>
    <row r="1322" spans="1:15" x14ac:dyDescent="0.2">
      <c r="A1322" s="302"/>
      <c r="B1322" s="887"/>
      <c r="C1322" s="838" t="s">
        <v>3586</v>
      </c>
      <c r="D1322" s="838" t="s">
        <v>1097</v>
      </c>
      <c r="E1322" s="713" t="s">
        <v>26</v>
      </c>
      <c r="F1322">
        <v>119495040</v>
      </c>
      <c r="G1322">
        <v>119495040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 s="302"/>
    </row>
    <row r="1323" spans="1:15" x14ac:dyDescent="0.2">
      <c r="A1323" s="302"/>
      <c r="B1323" s="887"/>
      <c r="C1323" s="839"/>
      <c r="D1323" s="839"/>
      <c r="E1323" s="713" t="s">
        <v>1557</v>
      </c>
      <c r="F1323">
        <v>278821760</v>
      </c>
      <c r="G1323">
        <v>81502665</v>
      </c>
      <c r="H1323">
        <v>197319095</v>
      </c>
      <c r="I1323">
        <v>0</v>
      </c>
      <c r="J1323">
        <v>197319095</v>
      </c>
      <c r="K1323">
        <v>0</v>
      </c>
      <c r="L1323">
        <v>0</v>
      </c>
      <c r="M1323">
        <v>0</v>
      </c>
      <c r="N1323">
        <v>197319095</v>
      </c>
      <c r="O1323" s="302"/>
    </row>
    <row r="1324" spans="1:15" x14ac:dyDescent="0.2">
      <c r="A1324" s="302"/>
      <c r="B1324" s="887"/>
      <c r="C1324" s="838" t="s">
        <v>3587</v>
      </c>
      <c r="D1324" s="838" t="s">
        <v>1613</v>
      </c>
      <c r="E1324" s="713" t="s">
        <v>26</v>
      </c>
      <c r="F1324">
        <v>214136881</v>
      </c>
      <c r="G1324">
        <v>214136881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 s="302"/>
    </row>
    <row r="1325" spans="1:15" x14ac:dyDescent="0.2">
      <c r="A1325" s="302"/>
      <c r="B1325" s="887"/>
      <c r="C1325" s="839"/>
      <c r="D1325" s="839"/>
      <c r="E1325" s="713" t="s">
        <v>1557</v>
      </c>
      <c r="F1325">
        <v>200000000</v>
      </c>
      <c r="G1325">
        <v>0</v>
      </c>
      <c r="H1325">
        <v>200000000</v>
      </c>
      <c r="I1325">
        <v>0</v>
      </c>
      <c r="J1325">
        <v>200000000</v>
      </c>
      <c r="K1325">
        <v>0</v>
      </c>
      <c r="L1325">
        <v>200000000</v>
      </c>
      <c r="M1325">
        <v>0</v>
      </c>
      <c r="N1325">
        <v>0</v>
      </c>
      <c r="O1325" s="302"/>
    </row>
    <row r="1326" spans="1:15" x14ac:dyDescent="0.2">
      <c r="A1326" s="302"/>
      <c r="B1326" s="887"/>
      <c r="C1326" s="838" t="s">
        <v>3588</v>
      </c>
      <c r="D1326" s="838" t="s">
        <v>1098</v>
      </c>
      <c r="E1326" s="713" t="s">
        <v>26</v>
      </c>
      <c r="F1326">
        <v>95259244</v>
      </c>
      <c r="G1326">
        <v>95259244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 s="302"/>
    </row>
    <row r="1327" spans="1:15" x14ac:dyDescent="0.2">
      <c r="A1327" s="302"/>
      <c r="B1327" s="887"/>
      <c r="C1327" s="839"/>
      <c r="D1327" s="839"/>
      <c r="E1327" s="713" t="s">
        <v>1557</v>
      </c>
      <c r="F1327">
        <v>222270356</v>
      </c>
      <c r="G1327">
        <v>0</v>
      </c>
      <c r="H1327">
        <v>222270356</v>
      </c>
      <c r="I1327">
        <v>0</v>
      </c>
      <c r="J1327">
        <v>222270356</v>
      </c>
      <c r="K1327">
        <v>0</v>
      </c>
      <c r="L1327">
        <v>222270356</v>
      </c>
      <c r="M1327">
        <v>0</v>
      </c>
      <c r="N1327">
        <v>0</v>
      </c>
      <c r="O1327" s="302"/>
    </row>
    <row r="1328" spans="1:15" x14ac:dyDescent="0.2">
      <c r="A1328" s="302"/>
      <c r="B1328" s="887"/>
      <c r="C1328" s="839"/>
      <c r="D1328" s="839"/>
      <c r="E1328" s="713" t="s">
        <v>195</v>
      </c>
      <c r="F1328">
        <v>3184756</v>
      </c>
      <c r="G1328">
        <v>3184756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 s="302"/>
    </row>
    <row r="1329" spans="1:15" x14ac:dyDescent="0.2">
      <c r="A1329" s="302"/>
      <c r="B1329" s="887"/>
      <c r="C1329" s="838" t="s">
        <v>3589</v>
      </c>
      <c r="D1329" s="838" t="s">
        <v>3368</v>
      </c>
      <c r="E1329" s="713" t="s">
        <v>26</v>
      </c>
      <c r="F1329">
        <v>147785000</v>
      </c>
      <c r="G1329">
        <v>96847562</v>
      </c>
      <c r="H1329">
        <v>50937438</v>
      </c>
      <c r="I1329">
        <v>50937438</v>
      </c>
      <c r="J1329">
        <v>0</v>
      </c>
      <c r="K1329">
        <v>0</v>
      </c>
      <c r="L1329">
        <v>0</v>
      </c>
      <c r="M1329">
        <v>0</v>
      </c>
      <c r="N1329">
        <v>0</v>
      </c>
      <c r="O1329" s="302"/>
    </row>
    <row r="1330" spans="1:15" x14ac:dyDescent="0.2">
      <c r="A1330" s="302"/>
      <c r="B1330" s="887"/>
      <c r="C1330" s="839"/>
      <c r="D1330" s="839"/>
      <c r="E1330" s="713" t="s">
        <v>1557</v>
      </c>
      <c r="F1330">
        <v>344000000</v>
      </c>
      <c r="G1330">
        <v>2825647</v>
      </c>
      <c r="H1330">
        <v>341174353</v>
      </c>
      <c r="I1330">
        <v>341174353</v>
      </c>
      <c r="J1330">
        <v>0</v>
      </c>
      <c r="K1330">
        <v>0</v>
      </c>
      <c r="L1330">
        <v>0</v>
      </c>
      <c r="M1330">
        <v>0</v>
      </c>
      <c r="N1330">
        <v>0</v>
      </c>
      <c r="O1330" s="302"/>
    </row>
    <row r="1331" spans="1:15" x14ac:dyDescent="0.2">
      <c r="A1331" s="302"/>
      <c r="B1331" s="887"/>
      <c r="C1331" s="839"/>
      <c r="D1331" s="839"/>
      <c r="E1331" s="713" t="s">
        <v>1221</v>
      </c>
      <c r="F1331">
        <v>1931850</v>
      </c>
      <c r="G1331">
        <v>1931850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 s="302"/>
    </row>
    <row r="1332" spans="1:15" x14ac:dyDescent="0.2">
      <c r="A1332" s="302"/>
      <c r="B1332" s="887"/>
      <c r="C1332" s="838" t="s">
        <v>3590</v>
      </c>
      <c r="D1332" s="838" t="s">
        <v>2246</v>
      </c>
      <c r="E1332" s="713" t="s">
        <v>26</v>
      </c>
      <c r="F1332">
        <v>97971813</v>
      </c>
      <c r="G1332">
        <v>97971813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 s="302"/>
    </row>
    <row r="1333" spans="1:15" x14ac:dyDescent="0.2">
      <c r="A1333" s="302"/>
      <c r="B1333" s="887"/>
      <c r="C1333" s="839"/>
      <c r="D1333" s="839"/>
      <c r="E1333" s="713" t="s">
        <v>1557</v>
      </c>
      <c r="F1333">
        <v>219622085</v>
      </c>
      <c r="G1333">
        <v>0</v>
      </c>
      <c r="H1333">
        <v>219622085</v>
      </c>
      <c r="I1333">
        <v>0</v>
      </c>
      <c r="J1333">
        <v>219622085</v>
      </c>
      <c r="K1333">
        <v>0</v>
      </c>
      <c r="L1333">
        <v>219622085</v>
      </c>
      <c r="M1333">
        <v>0</v>
      </c>
      <c r="N1333">
        <v>0</v>
      </c>
      <c r="O1333" s="302"/>
    </row>
    <row r="1334" spans="1:15" x14ac:dyDescent="0.2">
      <c r="A1334" s="302"/>
      <c r="B1334" s="887"/>
      <c r="C1334" s="839"/>
      <c r="D1334" s="839"/>
      <c r="E1334" s="713" t="s">
        <v>195</v>
      </c>
      <c r="F1334">
        <v>366562</v>
      </c>
      <c r="G1334">
        <v>366562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 s="302"/>
    </row>
    <row r="1335" spans="1:15" x14ac:dyDescent="0.2">
      <c r="A1335" s="302"/>
      <c r="B1335" s="887"/>
      <c r="C1335" s="839"/>
      <c r="D1335" s="839"/>
      <c r="E1335" s="713" t="s">
        <v>1221</v>
      </c>
      <c r="F1335">
        <v>1512675</v>
      </c>
      <c r="G1335">
        <v>1512675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 s="302"/>
    </row>
    <row r="1336" spans="1:15" x14ac:dyDescent="0.2">
      <c r="A1336" s="302"/>
      <c r="B1336" s="887"/>
      <c r="C1336" s="838" t="s">
        <v>3591</v>
      </c>
      <c r="D1336" s="838" t="s">
        <v>1240</v>
      </c>
      <c r="E1336" s="713" t="s">
        <v>26</v>
      </c>
      <c r="F1336">
        <v>133085090</v>
      </c>
      <c r="G1336">
        <v>126316545</v>
      </c>
      <c r="H1336">
        <v>6768545</v>
      </c>
      <c r="I1336">
        <v>0</v>
      </c>
      <c r="J1336">
        <v>6768545</v>
      </c>
      <c r="K1336">
        <v>0</v>
      </c>
      <c r="L1336">
        <v>0</v>
      </c>
      <c r="M1336">
        <v>0</v>
      </c>
      <c r="N1336">
        <v>6768545</v>
      </c>
      <c r="O1336" s="302"/>
    </row>
    <row r="1337" spans="1:15" x14ac:dyDescent="0.2">
      <c r="A1337" s="302"/>
      <c r="B1337" s="887"/>
      <c r="C1337" s="839"/>
      <c r="D1337" s="839"/>
      <c r="E1337" s="713" t="s">
        <v>1557</v>
      </c>
      <c r="F1337">
        <v>302816500</v>
      </c>
      <c r="G1337">
        <v>0</v>
      </c>
      <c r="H1337">
        <v>302816500</v>
      </c>
      <c r="I1337">
        <v>0</v>
      </c>
      <c r="J1337">
        <v>302816500</v>
      </c>
      <c r="K1337">
        <v>0</v>
      </c>
      <c r="L1337">
        <v>0</v>
      </c>
      <c r="M1337">
        <v>0</v>
      </c>
      <c r="N1337">
        <v>302816500</v>
      </c>
      <c r="O1337" s="302"/>
    </row>
    <row r="1338" spans="1:15" x14ac:dyDescent="0.2">
      <c r="A1338" s="302"/>
      <c r="B1338" s="887"/>
      <c r="C1338" s="839"/>
      <c r="D1338" s="839"/>
      <c r="E1338" s="713" t="s">
        <v>195</v>
      </c>
      <c r="F1338">
        <v>6768543</v>
      </c>
      <c r="G1338">
        <v>6768543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 s="302"/>
    </row>
    <row r="1339" spans="1:15" x14ac:dyDescent="0.2">
      <c r="A1339" s="302"/>
      <c r="B1339" s="887"/>
      <c r="C1339" s="838" t="s">
        <v>3592</v>
      </c>
      <c r="D1339" s="838" t="s">
        <v>1196</v>
      </c>
      <c r="E1339" s="713" t="s">
        <v>26</v>
      </c>
      <c r="F1339">
        <v>125792400</v>
      </c>
      <c r="G1339">
        <v>125792400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 s="302"/>
    </row>
    <row r="1340" spans="1:15" x14ac:dyDescent="0.2">
      <c r="A1340" s="302"/>
      <c r="B1340" s="887"/>
      <c r="C1340" s="839"/>
      <c r="D1340" s="839"/>
      <c r="E1340" s="713" t="s">
        <v>1557</v>
      </c>
      <c r="F1340">
        <v>293515600</v>
      </c>
      <c r="G1340">
        <v>11182863</v>
      </c>
      <c r="H1340">
        <v>282332737</v>
      </c>
      <c r="I1340">
        <v>0</v>
      </c>
      <c r="J1340">
        <v>282332737</v>
      </c>
      <c r="K1340">
        <v>0</v>
      </c>
      <c r="L1340">
        <v>0</v>
      </c>
      <c r="M1340">
        <v>0</v>
      </c>
      <c r="N1340">
        <v>282332737</v>
      </c>
      <c r="O1340" s="302"/>
    </row>
    <row r="1341" spans="1:15" x14ac:dyDescent="0.2">
      <c r="A1341" s="302"/>
      <c r="B1341" s="887"/>
      <c r="C1341" s="839"/>
      <c r="D1341" s="839"/>
      <c r="E1341" s="713" t="s">
        <v>195</v>
      </c>
      <c r="F1341">
        <v>1478178</v>
      </c>
      <c r="G1341">
        <v>1478178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 s="302"/>
    </row>
    <row r="1342" spans="1:15" x14ac:dyDescent="0.2">
      <c r="A1342" s="302"/>
      <c r="B1342" s="887"/>
      <c r="C1342" s="838" t="s">
        <v>3593</v>
      </c>
      <c r="D1342" s="838" t="s">
        <v>1098</v>
      </c>
      <c r="E1342" s="713" t="s">
        <v>26</v>
      </c>
      <c r="F1342">
        <v>95108880</v>
      </c>
      <c r="G1342">
        <v>95108880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 s="302"/>
    </row>
    <row r="1343" spans="1:15" x14ac:dyDescent="0.2">
      <c r="A1343" s="302"/>
      <c r="B1343" s="887"/>
      <c r="C1343" s="839"/>
      <c r="D1343" s="839"/>
      <c r="E1343" s="713" t="s">
        <v>1557</v>
      </c>
      <c r="F1343">
        <v>221920720</v>
      </c>
      <c r="G1343">
        <v>75225333</v>
      </c>
      <c r="H1343">
        <v>146695387</v>
      </c>
      <c r="I1343">
        <v>0</v>
      </c>
      <c r="J1343">
        <v>146695387</v>
      </c>
      <c r="K1343">
        <v>0</v>
      </c>
      <c r="L1343">
        <v>0</v>
      </c>
      <c r="M1343">
        <v>0</v>
      </c>
      <c r="N1343">
        <v>146695387</v>
      </c>
      <c r="O1343" s="302"/>
    </row>
    <row r="1344" spans="1:15" x14ac:dyDescent="0.2">
      <c r="A1344" s="302"/>
      <c r="B1344" s="887"/>
      <c r="C1344" s="839"/>
      <c r="D1344" s="839"/>
      <c r="E1344" s="713" t="s">
        <v>195</v>
      </c>
      <c r="F1344">
        <v>795141</v>
      </c>
      <c r="G1344">
        <v>795141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 s="302"/>
    </row>
    <row r="1345" spans="1:15" x14ac:dyDescent="0.2">
      <c r="A1345" s="302"/>
      <c r="B1345" s="887"/>
      <c r="C1345" s="838" t="s">
        <v>3594</v>
      </c>
      <c r="D1345" s="838" t="s">
        <v>3280</v>
      </c>
      <c r="E1345" s="713" t="s">
        <v>26</v>
      </c>
      <c r="F1345">
        <v>96911520</v>
      </c>
      <c r="G1345">
        <v>47489835</v>
      </c>
      <c r="H1345">
        <v>49421685</v>
      </c>
      <c r="I1345">
        <v>49421685</v>
      </c>
      <c r="J1345">
        <v>0</v>
      </c>
      <c r="K1345">
        <v>0</v>
      </c>
      <c r="L1345">
        <v>0</v>
      </c>
      <c r="M1345">
        <v>0</v>
      </c>
      <c r="N1345">
        <v>0</v>
      </c>
      <c r="O1345" s="302"/>
    </row>
    <row r="1346" spans="1:15" x14ac:dyDescent="0.2">
      <c r="A1346" s="302"/>
      <c r="B1346" s="887"/>
      <c r="C1346" s="839"/>
      <c r="D1346" s="839"/>
      <c r="E1346" s="713" t="s">
        <v>1557</v>
      </c>
      <c r="F1346">
        <v>395373480</v>
      </c>
      <c r="G1346">
        <v>1229971</v>
      </c>
      <c r="H1346">
        <v>394143509</v>
      </c>
      <c r="I1346">
        <v>394143509</v>
      </c>
      <c r="J1346">
        <v>0</v>
      </c>
      <c r="K1346">
        <v>0</v>
      </c>
      <c r="L1346">
        <v>0</v>
      </c>
      <c r="M1346">
        <v>0</v>
      </c>
      <c r="N1346">
        <v>0</v>
      </c>
      <c r="O1346" s="302"/>
    </row>
    <row r="1347" spans="1:15" x14ac:dyDescent="0.2">
      <c r="A1347" s="302"/>
      <c r="B1347" s="887"/>
      <c r="C1347" s="839"/>
      <c r="D1347" s="839"/>
      <c r="E1347" s="713" t="s">
        <v>1221</v>
      </c>
      <c r="F1347">
        <v>1931850</v>
      </c>
      <c r="G1347">
        <v>1931848</v>
      </c>
      <c r="H1347">
        <v>2</v>
      </c>
      <c r="I1347">
        <v>2</v>
      </c>
      <c r="J1347">
        <v>0</v>
      </c>
      <c r="K1347">
        <v>0</v>
      </c>
      <c r="L1347">
        <v>0</v>
      </c>
      <c r="M1347">
        <v>0</v>
      </c>
      <c r="N1347">
        <v>0</v>
      </c>
      <c r="O1347" s="302"/>
    </row>
    <row r="1348" spans="1:15" x14ac:dyDescent="0.2">
      <c r="A1348" s="302"/>
      <c r="B1348" s="887"/>
      <c r="C1348" s="838" t="s">
        <v>3595</v>
      </c>
      <c r="D1348" s="838" t="s">
        <v>2247</v>
      </c>
      <c r="E1348" s="713" t="s">
        <v>26</v>
      </c>
      <c r="F1348">
        <v>195455800</v>
      </c>
      <c r="G1348">
        <v>195455800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 s="302"/>
    </row>
    <row r="1349" spans="1:15" x14ac:dyDescent="0.2">
      <c r="A1349" s="302"/>
      <c r="B1349" s="887"/>
      <c r="C1349" s="839"/>
      <c r="D1349" s="839"/>
      <c r="E1349" s="713" t="s">
        <v>1557</v>
      </c>
      <c r="F1349">
        <v>116209323</v>
      </c>
      <c r="G1349">
        <v>0</v>
      </c>
      <c r="H1349">
        <v>116209323</v>
      </c>
      <c r="I1349">
        <v>0</v>
      </c>
      <c r="J1349">
        <v>116209323</v>
      </c>
      <c r="K1349">
        <v>0</v>
      </c>
      <c r="L1349">
        <v>116209323</v>
      </c>
      <c r="M1349">
        <v>0</v>
      </c>
      <c r="N1349">
        <v>0</v>
      </c>
      <c r="O1349" s="302"/>
    </row>
    <row r="1350" spans="1:15" x14ac:dyDescent="0.2">
      <c r="A1350" s="302"/>
      <c r="B1350" s="887"/>
      <c r="C1350" s="839"/>
      <c r="D1350" s="839"/>
      <c r="E1350" s="713" t="s">
        <v>195</v>
      </c>
      <c r="F1350">
        <v>259095</v>
      </c>
      <c r="G1350">
        <v>259095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 s="302"/>
    </row>
    <row r="1351" spans="1:15" x14ac:dyDescent="0.2">
      <c r="A1351" s="302"/>
      <c r="B1351" s="887"/>
      <c r="C1351" s="839"/>
      <c r="D1351" s="839"/>
      <c r="E1351" s="713" t="s">
        <v>1221</v>
      </c>
      <c r="F1351">
        <v>1512675</v>
      </c>
      <c r="G1351">
        <v>1512675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 s="302"/>
    </row>
    <row r="1352" spans="1:15" x14ac:dyDescent="0.2">
      <c r="A1352" s="302"/>
      <c r="B1352" s="887"/>
      <c r="C1352" s="838" t="s">
        <v>3596</v>
      </c>
      <c r="D1352" s="838" t="s">
        <v>1083</v>
      </c>
      <c r="E1352" s="713" t="s">
        <v>26</v>
      </c>
      <c r="F1352">
        <v>118727820</v>
      </c>
      <c r="G1352">
        <v>118727820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 s="302"/>
    </row>
    <row r="1353" spans="1:15" x14ac:dyDescent="0.2">
      <c r="A1353" s="302"/>
      <c r="B1353" s="887"/>
      <c r="C1353" s="839"/>
      <c r="D1353" s="839"/>
      <c r="E1353" s="713" t="s">
        <v>1557</v>
      </c>
      <c r="F1353">
        <v>277031580</v>
      </c>
      <c r="G1353">
        <v>277031580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 s="302"/>
    </row>
    <row r="1354" spans="1:15" x14ac:dyDescent="0.2">
      <c r="A1354" s="302"/>
      <c r="B1354" s="887"/>
      <c r="C1354" s="839"/>
      <c r="D1354" s="839"/>
      <c r="E1354" s="713" t="s">
        <v>3212</v>
      </c>
      <c r="F1354">
        <v>92441</v>
      </c>
      <c r="G1354">
        <v>0</v>
      </c>
      <c r="H1354">
        <v>92441</v>
      </c>
      <c r="I1354">
        <v>0</v>
      </c>
      <c r="J1354">
        <v>92441</v>
      </c>
      <c r="K1354">
        <v>0</v>
      </c>
      <c r="L1354">
        <v>0</v>
      </c>
      <c r="M1354">
        <v>92441</v>
      </c>
      <c r="N1354">
        <v>0</v>
      </c>
      <c r="O1354" s="302"/>
    </row>
    <row r="1355" spans="1:15" x14ac:dyDescent="0.2">
      <c r="A1355" s="302"/>
      <c r="B1355" s="887"/>
      <c r="C1355" s="838" t="s">
        <v>3597</v>
      </c>
      <c r="D1355" s="838" t="s">
        <v>1186</v>
      </c>
      <c r="E1355" s="713" t="s">
        <v>26</v>
      </c>
      <c r="F1355">
        <v>414269670</v>
      </c>
      <c r="G1355">
        <v>414269670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 s="302"/>
    </row>
    <row r="1356" spans="1:15" x14ac:dyDescent="0.2">
      <c r="A1356" s="302"/>
      <c r="B1356" s="887"/>
      <c r="C1356" s="839"/>
      <c r="D1356" s="839"/>
      <c r="E1356" s="713" t="s">
        <v>3212</v>
      </c>
      <c r="F1356">
        <v>100000</v>
      </c>
      <c r="G1356">
        <v>100000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 s="302"/>
    </row>
    <row r="1357" spans="1:15" x14ac:dyDescent="0.2">
      <c r="A1357" s="302"/>
      <c r="B1357" s="887"/>
      <c r="C1357" s="838" t="s">
        <v>3598</v>
      </c>
      <c r="D1357" s="838" t="s">
        <v>3599</v>
      </c>
      <c r="E1357" s="713" t="s">
        <v>22</v>
      </c>
      <c r="F1357">
        <v>12438713</v>
      </c>
      <c r="G1357">
        <v>1398546</v>
      </c>
      <c r="H1357">
        <v>11040167</v>
      </c>
      <c r="I1357">
        <v>10572905</v>
      </c>
      <c r="J1357">
        <v>467262</v>
      </c>
      <c r="K1357">
        <v>466452</v>
      </c>
      <c r="L1357">
        <v>810</v>
      </c>
      <c r="M1357">
        <v>0</v>
      </c>
      <c r="N1357">
        <v>0</v>
      </c>
      <c r="O1357" s="302"/>
    </row>
    <row r="1358" spans="1:15" x14ac:dyDescent="0.2">
      <c r="A1358" s="302"/>
      <c r="B1358" s="887"/>
      <c r="C1358" s="839"/>
      <c r="D1358" s="839"/>
      <c r="E1358" s="713" t="s">
        <v>26</v>
      </c>
      <c r="F1358">
        <v>82953130</v>
      </c>
      <c r="G1358">
        <v>17864730</v>
      </c>
      <c r="H1358">
        <v>65088400</v>
      </c>
      <c r="I1358">
        <v>60738763</v>
      </c>
      <c r="J1358">
        <v>4349637</v>
      </c>
      <c r="K1358">
        <v>4349637</v>
      </c>
      <c r="L1358">
        <v>0</v>
      </c>
      <c r="M1358">
        <v>0</v>
      </c>
      <c r="N1358">
        <v>0</v>
      </c>
      <c r="O1358" s="302"/>
    </row>
    <row r="1359" spans="1:15" x14ac:dyDescent="0.2">
      <c r="A1359" s="302"/>
      <c r="B1359" s="887"/>
      <c r="C1359" s="839"/>
      <c r="D1359" s="839"/>
      <c r="E1359" s="713" t="s">
        <v>1557</v>
      </c>
      <c r="F1359">
        <v>338031870</v>
      </c>
      <c r="G1359">
        <v>0</v>
      </c>
      <c r="H1359">
        <v>338031870</v>
      </c>
      <c r="I1359">
        <v>338031870</v>
      </c>
      <c r="J1359">
        <v>0</v>
      </c>
      <c r="K1359">
        <v>0</v>
      </c>
      <c r="L1359">
        <v>0</v>
      </c>
      <c r="M1359">
        <v>0</v>
      </c>
      <c r="N1359">
        <v>0</v>
      </c>
      <c r="O1359" s="302"/>
    </row>
    <row r="1360" spans="1:15" x14ac:dyDescent="0.2">
      <c r="A1360" s="302"/>
      <c r="B1360" s="887"/>
      <c r="C1360" s="838" t="s">
        <v>3600</v>
      </c>
      <c r="D1360" s="838" t="s">
        <v>3369</v>
      </c>
      <c r="E1360" s="713" t="s">
        <v>26</v>
      </c>
      <c r="F1360">
        <v>97011520</v>
      </c>
      <c r="G1360">
        <v>24122640</v>
      </c>
      <c r="H1360">
        <v>72888880</v>
      </c>
      <c r="I1360">
        <v>68153040</v>
      </c>
      <c r="J1360">
        <v>4735840</v>
      </c>
      <c r="K1360">
        <v>4122640</v>
      </c>
      <c r="L1360">
        <v>613200</v>
      </c>
      <c r="M1360">
        <v>0</v>
      </c>
      <c r="N1360">
        <v>0</v>
      </c>
      <c r="O1360" s="302"/>
    </row>
    <row r="1361" spans="1:15" x14ac:dyDescent="0.2">
      <c r="A1361" s="302"/>
      <c r="B1361" s="887"/>
      <c r="C1361" s="839"/>
      <c r="D1361" s="839"/>
      <c r="E1361" s="713" t="s">
        <v>1557</v>
      </c>
      <c r="F1361">
        <v>395773480</v>
      </c>
      <c r="G1361">
        <v>217628</v>
      </c>
      <c r="H1361">
        <v>395555852</v>
      </c>
      <c r="I1361">
        <v>395555852</v>
      </c>
      <c r="J1361">
        <v>0</v>
      </c>
      <c r="K1361">
        <v>0</v>
      </c>
      <c r="L1361">
        <v>0</v>
      </c>
      <c r="M1361">
        <v>0</v>
      </c>
      <c r="N1361">
        <v>0</v>
      </c>
      <c r="O1361" s="302"/>
    </row>
    <row r="1362" spans="1:15" x14ac:dyDescent="0.2">
      <c r="A1362" s="302"/>
      <c r="B1362" s="887"/>
      <c r="C1362" s="839"/>
      <c r="D1362" s="839"/>
      <c r="E1362" s="713" t="s">
        <v>1221</v>
      </c>
      <c r="F1362">
        <v>1931850</v>
      </c>
      <c r="G1362">
        <v>0</v>
      </c>
      <c r="H1362">
        <v>1931850</v>
      </c>
      <c r="I1362">
        <v>1931850</v>
      </c>
      <c r="J1362">
        <v>0</v>
      </c>
      <c r="K1362">
        <v>0</v>
      </c>
      <c r="L1362">
        <v>0</v>
      </c>
      <c r="M1362">
        <v>0</v>
      </c>
      <c r="N1362">
        <v>0</v>
      </c>
      <c r="O1362" s="302"/>
    </row>
    <row r="1363" spans="1:15" x14ac:dyDescent="0.2">
      <c r="A1363" s="302"/>
      <c r="B1363" s="887"/>
      <c r="C1363" s="838" t="s">
        <v>3601</v>
      </c>
      <c r="D1363" s="838" t="s">
        <v>1125</v>
      </c>
      <c r="E1363" s="713" t="s">
        <v>26</v>
      </c>
      <c r="F1363">
        <v>96458769</v>
      </c>
      <c r="G1363">
        <v>96458769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 s="302"/>
    </row>
    <row r="1364" spans="1:15" x14ac:dyDescent="0.2">
      <c r="A1364" s="302"/>
      <c r="B1364" s="887"/>
      <c r="C1364" s="839"/>
      <c r="D1364" s="839"/>
      <c r="E1364" s="713" t="s">
        <v>1557</v>
      </c>
      <c r="F1364">
        <v>225070461</v>
      </c>
      <c r="G1364">
        <v>0</v>
      </c>
      <c r="H1364">
        <v>225070461</v>
      </c>
      <c r="I1364">
        <v>0</v>
      </c>
      <c r="J1364">
        <v>225070461</v>
      </c>
      <c r="K1364">
        <v>0</v>
      </c>
      <c r="L1364">
        <v>225070461</v>
      </c>
      <c r="M1364">
        <v>0</v>
      </c>
      <c r="N1364">
        <v>0</v>
      </c>
      <c r="O1364" s="302"/>
    </row>
    <row r="1365" spans="1:15" x14ac:dyDescent="0.2">
      <c r="A1365" s="302"/>
      <c r="B1365" s="887"/>
      <c r="C1365" s="838" t="s">
        <v>3602</v>
      </c>
      <c r="D1365" s="838" t="s">
        <v>1124</v>
      </c>
      <c r="E1365" s="713" t="s">
        <v>26</v>
      </c>
      <c r="F1365">
        <v>123341250</v>
      </c>
      <c r="G1365">
        <v>123341250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 s="302"/>
    </row>
    <row r="1366" spans="1:15" x14ac:dyDescent="0.2">
      <c r="A1366" s="302"/>
      <c r="B1366" s="887"/>
      <c r="C1366" s="839"/>
      <c r="D1366" s="839"/>
      <c r="E1366" s="713" t="s">
        <v>1557</v>
      </c>
      <c r="F1366">
        <v>287796250</v>
      </c>
      <c r="G1366">
        <v>86178883</v>
      </c>
      <c r="H1366">
        <v>201617367</v>
      </c>
      <c r="I1366">
        <v>0</v>
      </c>
      <c r="J1366">
        <v>201617367</v>
      </c>
      <c r="K1366">
        <v>0</v>
      </c>
      <c r="L1366">
        <v>0</v>
      </c>
      <c r="M1366">
        <v>0</v>
      </c>
      <c r="N1366">
        <v>201617367</v>
      </c>
      <c r="O1366" s="302"/>
    </row>
    <row r="1367" spans="1:15" x14ac:dyDescent="0.2">
      <c r="A1367" s="302"/>
      <c r="B1367" s="887"/>
      <c r="C1367" s="839"/>
      <c r="D1367" s="839"/>
      <c r="E1367" s="713" t="s">
        <v>1221</v>
      </c>
      <c r="F1367">
        <v>1931850</v>
      </c>
      <c r="G1367">
        <v>1931850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 s="302"/>
    </row>
    <row r="1368" spans="1:15" x14ac:dyDescent="0.2">
      <c r="A1368" s="302"/>
      <c r="B1368" s="887"/>
      <c r="C1368" s="838" t="s">
        <v>3603</v>
      </c>
      <c r="D1368" s="838" t="s">
        <v>1241</v>
      </c>
      <c r="E1368" s="713" t="s">
        <v>26</v>
      </c>
      <c r="F1368">
        <v>131802000</v>
      </c>
      <c r="G1368">
        <v>131802000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 s="302"/>
    </row>
    <row r="1369" spans="1:15" x14ac:dyDescent="0.2">
      <c r="A1369" s="302"/>
      <c r="B1369" s="887"/>
      <c r="C1369" s="839"/>
      <c r="D1369" s="839"/>
      <c r="E1369" s="713" t="s">
        <v>1557</v>
      </c>
      <c r="F1369">
        <v>307538000</v>
      </c>
      <c r="G1369">
        <v>462322</v>
      </c>
      <c r="H1369">
        <v>307075678</v>
      </c>
      <c r="I1369">
        <v>0</v>
      </c>
      <c r="J1369">
        <v>307075678</v>
      </c>
      <c r="K1369">
        <v>0</v>
      </c>
      <c r="L1369">
        <v>0</v>
      </c>
      <c r="M1369">
        <v>0</v>
      </c>
      <c r="N1369">
        <v>307075678</v>
      </c>
      <c r="O1369" s="302"/>
    </row>
    <row r="1370" spans="1:15" x14ac:dyDescent="0.2">
      <c r="A1370" s="302"/>
      <c r="B1370" s="887"/>
      <c r="C1370" s="839"/>
      <c r="D1370" s="839"/>
      <c r="E1370" s="713" t="s">
        <v>195</v>
      </c>
      <c r="F1370">
        <v>599564</v>
      </c>
      <c r="G1370">
        <v>599564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 s="302"/>
    </row>
    <row r="1371" spans="1:15" x14ac:dyDescent="0.2">
      <c r="A1371" s="302"/>
      <c r="B1371" s="887"/>
      <c r="C1371" s="838" t="s">
        <v>3604</v>
      </c>
      <c r="D1371" s="838" t="s">
        <v>3370</v>
      </c>
      <c r="E1371" s="713" t="s">
        <v>26</v>
      </c>
      <c r="F1371">
        <v>83086859</v>
      </c>
      <c r="G1371">
        <v>23072866</v>
      </c>
      <c r="H1371">
        <v>60013993</v>
      </c>
      <c r="I1371">
        <v>56168828</v>
      </c>
      <c r="J1371">
        <v>3845165</v>
      </c>
      <c r="K1371">
        <v>3845165</v>
      </c>
      <c r="L1371">
        <v>0</v>
      </c>
      <c r="M1371">
        <v>0</v>
      </c>
      <c r="N1371">
        <v>0</v>
      </c>
      <c r="O1371" s="302"/>
    </row>
    <row r="1372" spans="1:15" x14ac:dyDescent="0.2">
      <c r="A1372" s="302"/>
      <c r="B1372" s="887"/>
      <c r="C1372" s="839"/>
      <c r="D1372" s="839"/>
      <c r="E1372" s="713" t="s">
        <v>1557</v>
      </c>
      <c r="F1372">
        <v>338020141</v>
      </c>
      <c r="G1372">
        <v>0</v>
      </c>
      <c r="H1372">
        <v>338020141</v>
      </c>
      <c r="I1372">
        <v>338020141</v>
      </c>
      <c r="J1372">
        <v>0</v>
      </c>
      <c r="K1372">
        <v>0</v>
      </c>
      <c r="L1372">
        <v>0</v>
      </c>
      <c r="M1372">
        <v>0</v>
      </c>
      <c r="N1372">
        <v>0</v>
      </c>
      <c r="O1372" s="302"/>
    </row>
    <row r="1373" spans="1:15" x14ac:dyDescent="0.2">
      <c r="A1373" s="302"/>
      <c r="B1373" s="887"/>
      <c r="C1373" s="839"/>
      <c r="D1373" s="839"/>
      <c r="E1373" s="713" t="s">
        <v>1221</v>
      </c>
      <c r="F1373">
        <v>1512675</v>
      </c>
      <c r="G1373">
        <v>0</v>
      </c>
      <c r="H1373">
        <v>1512675</v>
      </c>
      <c r="I1373">
        <v>1512675</v>
      </c>
      <c r="J1373">
        <v>0</v>
      </c>
      <c r="K1373">
        <v>0</v>
      </c>
      <c r="L1373">
        <v>0</v>
      </c>
      <c r="M1373">
        <v>0</v>
      </c>
      <c r="N1373">
        <v>0</v>
      </c>
      <c r="O1373" s="302"/>
    </row>
    <row r="1374" spans="1:15" x14ac:dyDescent="0.2">
      <c r="A1374" s="302"/>
      <c r="B1374" s="887"/>
      <c r="C1374" s="838" t="s">
        <v>3605</v>
      </c>
      <c r="D1374" s="838" t="s">
        <v>1099</v>
      </c>
      <c r="E1374" s="713" t="s">
        <v>26</v>
      </c>
      <c r="F1374">
        <v>317904190</v>
      </c>
      <c r="G1374">
        <v>317904190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 s="302"/>
    </row>
    <row r="1375" spans="1:15" x14ac:dyDescent="0.2">
      <c r="A1375" s="302"/>
      <c r="B1375" s="887"/>
      <c r="C1375" s="839"/>
      <c r="D1375" s="839"/>
      <c r="E1375" s="713" t="s">
        <v>3212</v>
      </c>
      <c r="F1375">
        <v>70402</v>
      </c>
      <c r="G1375">
        <v>0</v>
      </c>
      <c r="H1375">
        <v>70402</v>
      </c>
      <c r="I1375">
        <v>0</v>
      </c>
      <c r="J1375">
        <v>70402</v>
      </c>
      <c r="K1375">
        <v>0</v>
      </c>
      <c r="L1375">
        <v>0</v>
      </c>
      <c r="M1375">
        <v>70402</v>
      </c>
      <c r="N1375">
        <v>0</v>
      </c>
      <c r="O1375" s="302"/>
    </row>
    <row r="1376" spans="1:15" ht="25.5" x14ac:dyDescent="0.2">
      <c r="A1376" s="302"/>
      <c r="B1376" s="887"/>
      <c r="C1376" s="713" t="s">
        <v>3606</v>
      </c>
      <c r="D1376" s="713" t="s">
        <v>1152</v>
      </c>
      <c r="E1376" s="713" t="s">
        <v>26</v>
      </c>
      <c r="F1376">
        <v>411637500</v>
      </c>
      <c r="G1376">
        <v>411637500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 s="302"/>
    </row>
    <row r="1377" spans="1:15" x14ac:dyDescent="0.2">
      <c r="A1377" s="302"/>
      <c r="B1377" s="887"/>
      <c r="C1377" s="838" t="s">
        <v>3607</v>
      </c>
      <c r="D1377" s="838" t="s">
        <v>1748</v>
      </c>
      <c r="E1377" s="713" t="s">
        <v>26</v>
      </c>
      <c r="F1377">
        <v>120323610</v>
      </c>
      <c r="G1377">
        <v>120323610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 s="302"/>
    </row>
    <row r="1378" spans="1:15" x14ac:dyDescent="0.2">
      <c r="A1378" s="302"/>
      <c r="B1378" s="887"/>
      <c r="C1378" s="839"/>
      <c r="D1378" s="839"/>
      <c r="E1378" s="713" t="s">
        <v>1557</v>
      </c>
      <c r="F1378">
        <v>280755090</v>
      </c>
      <c r="G1378">
        <v>280755090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 s="302"/>
    </row>
    <row r="1379" spans="1:15" x14ac:dyDescent="0.2">
      <c r="A1379" s="302"/>
      <c r="B1379" s="887"/>
      <c r="C1379" s="839"/>
      <c r="D1379" s="839"/>
      <c r="E1379" s="713" t="s">
        <v>3212</v>
      </c>
      <c r="F1379">
        <v>90768</v>
      </c>
      <c r="G1379">
        <v>0</v>
      </c>
      <c r="H1379">
        <v>90768</v>
      </c>
      <c r="I1379">
        <v>0</v>
      </c>
      <c r="J1379">
        <v>90768</v>
      </c>
      <c r="K1379">
        <v>0</v>
      </c>
      <c r="L1379">
        <v>0</v>
      </c>
      <c r="M1379">
        <v>90768</v>
      </c>
      <c r="N1379">
        <v>0</v>
      </c>
      <c r="O1379" s="302"/>
    </row>
    <row r="1380" spans="1:15" x14ac:dyDescent="0.2">
      <c r="A1380" s="302"/>
      <c r="B1380" s="887"/>
      <c r="C1380" s="839"/>
      <c r="D1380" s="839"/>
      <c r="E1380" s="713" t="s">
        <v>1221</v>
      </c>
      <c r="F1380">
        <v>1931850</v>
      </c>
      <c r="G1380">
        <v>1931850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 s="302"/>
    </row>
    <row r="1381" spans="1:15" x14ac:dyDescent="0.2">
      <c r="A1381" s="302"/>
      <c r="B1381" s="887"/>
      <c r="C1381" s="838" t="s">
        <v>3608</v>
      </c>
      <c r="D1381" s="838" t="s">
        <v>1242</v>
      </c>
      <c r="E1381" s="713" t="s">
        <v>26</v>
      </c>
      <c r="F1381">
        <v>106482198</v>
      </c>
      <c r="G1381">
        <v>106482198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 s="302"/>
    </row>
    <row r="1382" spans="1:15" x14ac:dyDescent="0.2">
      <c r="A1382" s="302"/>
      <c r="B1382" s="887"/>
      <c r="C1382" s="839"/>
      <c r="D1382" s="839"/>
      <c r="E1382" s="713" t="s">
        <v>1557</v>
      </c>
      <c r="F1382">
        <v>244191500</v>
      </c>
      <c r="G1382">
        <v>0</v>
      </c>
      <c r="H1382">
        <v>244191500</v>
      </c>
      <c r="I1382">
        <v>0</v>
      </c>
      <c r="J1382">
        <v>244191500</v>
      </c>
      <c r="K1382">
        <v>0</v>
      </c>
      <c r="L1382">
        <v>0</v>
      </c>
      <c r="M1382">
        <v>0</v>
      </c>
      <c r="N1382">
        <v>244191500</v>
      </c>
      <c r="O1382" s="302"/>
    </row>
    <row r="1383" spans="1:15" x14ac:dyDescent="0.2">
      <c r="A1383" s="302"/>
      <c r="B1383" s="887"/>
      <c r="C1383" s="838" t="s">
        <v>3609</v>
      </c>
      <c r="D1383" s="838" t="s">
        <v>1187</v>
      </c>
      <c r="E1383" s="713" t="s">
        <v>26</v>
      </c>
      <c r="F1383">
        <v>148921485</v>
      </c>
      <c r="G1383">
        <v>148921485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 s="302"/>
    </row>
    <row r="1384" spans="1:15" x14ac:dyDescent="0.2">
      <c r="A1384" s="302"/>
      <c r="B1384" s="887"/>
      <c r="C1384" s="839"/>
      <c r="D1384" s="839"/>
      <c r="E1384" s="713" t="s">
        <v>1557</v>
      </c>
      <c r="F1384">
        <v>249999361</v>
      </c>
      <c r="G1384">
        <v>0</v>
      </c>
      <c r="H1384">
        <v>249999361</v>
      </c>
      <c r="I1384">
        <v>0</v>
      </c>
      <c r="J1384">
        <v>249999361</v>
      </c>
      <c r="K1384">
        <v>0</v>
      </c>
      <c r="L1384">
        <v>249999361</v>
      </c>
      <c r="M1384">
        <v>0</v>
      </c>
      <c r="N1384">
        <v>0</v>
      </c>
      <c r="O1384" s="302"/>
    </row>
    <row r="1385" spans="1:15" x14ac:dyDescent="0.2">
      <c r="A1385" s="302"/>
      <c r="B1385" s="887"/>
      <c r="C1385" s="838" t="s">
        <v>3610</v>
      </c>
      <c r="D1385" s="838" t="s">
        <v>1084</v>
      </c>
      <c r="E1385" s="713" t="s">
        <v>26</v>
      </c>
      <c r="F1385">
        <v>313384644</v>
      </c>
      <c r="G1385">
        <v>313384644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 s="302"/>
    </row>
    <row r="1386" spans="1:15" x14ac:dyDescent="0.2">
      <c r="A1386" s="302"/>
      <c r="B1386" s="887"/>
      <c r="C1386" s="839"/>
      <c r="D1386" s="839"/>
      <c r="E1386" s="713" t="s">
        <v>3212</v>
      </c>
      <c r="F1386">
        <v>76967</v>
      </c>
      <c r="G1386">
        <v>76967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 s="302"/>
    </row>
    <row r="1387" spans="1:15" x14ac:dyDescent="0.2">
      <c r="A1387" s="302"/>
      <c r="B1387" s="887"/>
      <c r="C1387" s="839"/>
      <c r="D1387" s="839"/>
      <c r="E1387" s="713" t="s">
        <v>1221</v>
      </c>
      <c r="F1387">
        <v>1512675</v>
      </c>
      <c r="G1387">
        <v>1512675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 s="302"/>
    </row>
    <row r="1388" spans="1:15" x14ac:dyDescent="0.2">
      <c r="A1388" s="302"/>
      <c r="B1388" s="887"/>
      <c r="C1388" s="838" t="s">
        <v>3611</v>
      </c>
      <c r="D1388" s="838" t="s">
        <v>1153</v>
      </c>
      <c r="E1388" s="713" t="s">
        <v>26</v>
      </c>
      <c r="F1388">
        <v>125000000</v>
      </c>
      <c r="G1388">
        <v>125000000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 s="302"/>
    </row>
    <row r="1389" spans="1:15" x14ac:dyDescent="0.2">
      <c r="A1389" s="302"/>
      <c r="B1389" s="887"/>
      <c r="C1389" s="839"/>
      <c r="D1389" s="839"/>
      <c r="E1389" s="713" t="s">
        <v>1557</v>
      </c>
      <c r="F1389">
        <v>282465915</v>
      </c>
      <c r="G1389">
        <v>0</v>
      </c>
      <c r="H1389">
        <v>282465915</v>
      </c>
      <c r="I1389">
        <v>0</v>
      </c>
      <c r="J1389">
        <v>282465915</v>
      </c>
      <c r="K1389">
        <v>0</v>
      </c>
      <c r="L1389">
        <v>0</v>
      </c>
      <c r="M1389">
        <v>0</v>
      </c>
      <c r="N1389">
        <v>282465915</v>
      </c>
      <c r="O1389" s="302"/>
    </row>
    <row r="1390" spans="1:15" x14ac:dyDescent="0.2">
      <c r="A1390" s="302"/>
      <c r="B1390" s="887"/>
      <c r="C1390" s="839"/>
      <c r="D1390" s="839"/>
      <c r="E1390" s="713" t="s">
        <v>195</v>
      </c>
      <c r="F1390">
        <v>6988740</v>
      </c>
      <c r="G1390">
        <v>6988740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 s="302"/>
    </row>
    <row r="1391" spans="1:15" x14ac:dyDescent="0.2">
      <c r="A1391" s="302"/>
      <c r="B1391" s="887"/>
      <c r="C1391" s="838" t="s">
        <v>3612</v>
      </c>
      <c r="D1391" s="838" t="s">
        <v>1197</v>
      </c>
      <c r="E1391" s="713" t="s">
        <v>26</v>
      </c>
      <c r="F1391">
        <v>126627600</v>
      </c>
      <c r="G1391">
        <v>126627600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 s="302"/>
    </row>
    <row r="1392" spans="1:15" x14ac:dyDescent="0.2">
      <c r="A1392" s="302"/>
      <c r="B1392" s="887"/>
      <c r="C1392" s="839"/>
      <c r="D1392" s="839"/>
      <c r="E1392" s="713" t="s">
        <v>1557</v>
      </c>
      <c r="F1392">
        <v>292838148</v>
      </c>
      <c r="G1392">
        <v>0</v>
      </c>
      <c r="H1392">
        <v>292838148</v>
      </c>
      <c r="I1392">
        <v>0</v>
      </c>
      <c r="J1392">
        <v>292838148</v>
      </c>
      <c r="K1392">
        <v>0</v>
      </c>
      <c r="L1392">
        <v>292838148</v>
      </c>
      <c r="M1392">
        <v>0</v>
      </c>
      <c r="N1392">
        <v>0</v>
      </c>
      <c r="O1392" s="302"/>
    </row>
    <row r="1393" spans="1:15" x14ac:dyDescent="0.2">
      <c r="A1393" s="302"/>
      <c r="B1393" s="887"/>
      <c r="C1393" s="839"/>
      <c r="D1393" s="839"/>
      <c r="E1393" s="713" t="s">
        <v>195</v>
      </c>
      <c r="F1393">
        <v>483053</v>
      </c>
      <c r="G1393">
        <v>483053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 s="302"/>
    </row>
    <row r="1394" spans="1:15" x14ac:dyDescent="0.2">
      <c r="A1394" s="302"/>
      <c r="B1394" s="887"/>
      <c r="C1394" s="838" t="s">
        <v>3613</v>
      </c>
      <c r="D1394" s="838" t="s">
        <v>890</v>
      </c>
      <c r="E1394" s="713" t="s">
        <v>26</v>
      </c>
      <c r="F1394">
        <v>319349355</v>
      </c>
      <c r="G1394">
        <v>319349355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 s="302"/>
    </row>
    <row r="1395" spans="1:15" x14ac:dyDescent="0.2">
      <c r="A1395" s="302"/>
      <c r="B1395" s="887"/>
      <c r="C1395" s="839"/>
      <c r="D1395" s="839"/>
      <c r="E1395" s="713" t="s">
        <v>3212</v>
      </c>
      <c r="F1395">
        <v>74634</v>
      </c>
      <c r="G1395">
        <v>74634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 s="302"/>
    </row>
    <row r="1396" spans="1:15" x14ac:dyDescent="0.2">
      <c r="A1396" s="302"/>
      <c r="B1396" s="887"/>
      <c r="C1396" s="838" t="s">
        <v>3614</v>
      </c>
      <c r="D1396" s="838" t="s">
        <v>1561</v>
      </c>
      <c r="E1396" s="713" t="s">
        <v>26</v>
      </c>
      <c r="F1396">
        <v>137915150</v>
      </c>
      <c r="G1396">
        <v>137915150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 s="302"/>
    </row>
    <row r="1397" spans="1:15" x14ac:dyDescent="0.2">
      <c r="A1397" s="302"/>
      <c r="B1397" s="887"/>
      <c r="C1397" s="839"/>
      <c r="D1397" s="839"/>
      <c r="E1397" s="713" t="s">
        <v>1557</v>
      </c>
      <c r="F1397">
        <v>311515294</v>
      </c>
      <c r="G1397">
        <v>0</v>
      </c>
      <c r="H1397">
        <v>311515294</v>
      </c>
      <c r="I1397">
        <v>0</v>
      </c>
      <c r="J1397">
        <v>311515294</v>
      </c>
      <c r="K1397">
        <v>0</v>
      </c>
      <c r="L1397">
        <v>311515294</v>
      </c>
      <c r="M1397">
        <v>0</v>
      </c>
      <c r="N1397">
        <v>0</v>
      </c>
      <c r="O1397" s="302"/>
    </row>
    <row r="1398" spans="1:15" x14ac:dyDescent="0.2">
      <c r="A1398" s="302"/>
      <c r="B1398" s="887"/>
      <c r="C1398" s="839"/>
      <c r="D1398" s="839"/>
      <c r="E1398" s="713" t="s">
        <v>1221</v>
      </c>
      <c r="F1398">
        <v>1931850</v>
      </c>
      <c r="G1398">
        <v>1931850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 s="302"/>
    </row>
    <row r="1399" spans="1:15" x14ac:dyDescent="0.2">
      <c r="A1399" s="302"/>
      <c r="B1399" s="887"/>
      <c r="C1399" s="838" t="s">
        <v>3615</v>
      </c>
      <c r="D1399" s="838" t="s">
        <v>1100</v>
      </c>
      <c r="E1399" s="713" t="s">
        <v>26</v>
      </c>
      <c r="F1399">
        <v>313381512</v>
      </c>
      <c r="G1399">
        <v>313381512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 s="302"/>
    </row>
    <row r="1400" spans="1:15" x14ac:dyDescent="0.2">
      <c r="A1400" s="302"/>
      <c r="B1400" s="887"/>
      <c r="C1400" s="839"/>
      <c r="D1400" s="839"/>
      <c r="E1400" s="713" t="s">
        <v>3212</v>
      </c>
      <c r="F1400">
        <v>78310</v>
      </c>
      <c r="G1400">
        <v>78310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 s="302"/>
    </row>
    <row r="1401" spans="1:15" x14ac:dyDescent="0.2">
      <c r="A1401" s="302"/>
      <c r="B1401" s="887"/>
      <c r="C1401" s="839"/>
      <c r="D1401" s="839"/>
      <c r="E1401" s="713" t="s">
        <v>1221</v>
      </c>
      <c r="F1401">
        <v>1512675</v>
      </c>
      <c r="G1401">
        <v>1512675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 s="302"/>
    </row>
    <row r="1402" spans="1:15" x14ac:dyDescent="0.2">
      <c r="A1402" s="302"/>
      <c r="B1402" s="887"/>
      <c r="C1402" s="838" t="s">
        <v>3616</v>
      </c>
      <c r="D1402" s="838" t="s">
        <v>1150</v>
      </c>
      <c r="E1402" s="713" t="s">
        <v>26</v>
      </c>
      <c r="F1402">
        <v>132309451</v>
      </c>
      <c r="G1402">
        <v>132309451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 s="302"/>
    </row>
    <row r="1403" spans="1:15" x14ac:dyDescent="0.2">
      <c r="A1403" s="302"/>
      <c r="B1403" s="887"/>
      <c r="C1403" s="839"/>
      <c r="D1403" s="839"/>
      <c r="E1403" s="713" t="s">
        <v>1557</v>
      </c>
      <c r="F1403">
        <v>288923353</v>
      </c>
      <c r="G1403">
        <v>288923353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 s="302"/>
    </row>
    <row r="1404" spans="1:15" x14ac:dyDescent="0.2">
      <c r="A1404" s="302"/>
      <c r="B1404" s="887"/>
      <c r="C1404" s="839"/>
      <c r="D1404" s="839"/>
      <c r="E1404" s="713" t="s">
        <v>3212</v>
      </c>
      <c r="F1404">
        <v>96573</v>
      </c>
      <c r="G1404">
        <v>0</v>
      </c>
      <c r="H1404">
        <v>96573</v>
      </c>
      <c r="I1404">
        <v>0</v>
      </c>
      <c r="J1404">
        <v>96573</v>
      </c>
      <c r="K1404">
        <v>0</v>
      </c>
      <c r="L1404">
        <v>0</v>
      </c>
      <c r="M1404">
        <v>96573</v>
      </c>
      <c r="N1404">
        <v>0</v>
      </c>
      <c r="O1404" s="302"/>
    </row>
    <row r="1405" spans="1:15" x14ac:dyDescent="0.2">
      <c r="A1405" s="302"/>
      <c r="B1405" s="887"/>
      <c r="C1405" s="838" t="s">
        <v>3617</v>
      </c>
      <c r="D1405" s="838" t="s">
        <v>1378</v>
      </c>
      <c r="E1405" s="713" t="s">
        <v>26</v>
      </c>
      <c r="F1405">
        <v>481715827</v>
      </c>
      <c r="G1405">
        <v>481715827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 s="302"/>
    </row>
    <row r="1406" spans="1:15" x14ac:dyDescent="0.2">
      <c r="A1406" s="302"/>
      <c r="B1406" s="887"/>
      <c r="C1406" s="839"/>
      <c r="D1406" s="839"/>
      <c r="E1406" s="713" t="s">
        <v>3212</v>
      </c>
      <c r="F1406">
        <v>99977</v>
      </c>
      <c r="G1406">
        <v>0</v>
      </c>
      <c r="H1406">
        <v>99977</v>
      </c>
      <c r="I1406">
        <v>0</v>
      </c>
      <c r="J1406">
        <v>99977</v>
      </c>
      <c r="K1406">
        <v>0</v>
      </c>
      <c r="L1406">
        <v>0</v>
      </c>
      <c r="M1406">
        <v>99977</v>
      </c>
      <c r="N1406">
        <v>0</v>
      </c>
      <c r="O1406" s="302"/>
    </row>
    <row r="1407" spans="1:15" x14ac:dyDescent="0.2">
      <c r="A1407" s="302"/>
      <c r="B1407" s="887"/>
      <c r="C1407" s="838" t="s">
        <v>4242</v>
      </c>
      <c r="D1407" s="838" t="s">
        <v>4243</v>
      </c>
      <c r="E1407" s="713" t="s">
        <v>22</v>
      </c>
      <c r="F1407">
        <v>12438713</v>
      </c>
      <c r="G1407">
        <v>1399358</v>
      </c>
      <c r="H1407">
        <v>11039355</v>
      </c>
      <c r="I1407">
        <v>11039355</v>
      </c>
      <c r="J1407">
        <v>0</v>
      </c>
      <c r="K1407">
        <v>0</v>
      </c>
      <c r="L1407">
        <v>0</v>
      </c>
      <c r="M1407">
        <v>0</v>
      </c>
      <c r="N1407">
        <v>0</v>
      </c>
      <c r="O1407" s="302"/>
    </row>
    <row r="1408" spans="1:15" x14ac:dyDescent="0.2">
      <c r="A1408" s="302"/>
      <c r="B1408" s="887"/>
      <c r="C1408" s="839"/>
      <c r="D1408" s="839"/>
      <c r="E1408" s="713" t="s">
        <v>26</v>
      </c>
      <c r="F1408">
        <v>83353129</v>
      </c>
      <c r="G1408">
        <v>26114766</v>
      </c>
      <c r="H1408">
        <v>57238363</v>
      </c>
      <c r="I1408">
        <v>57238363</v>
      </c>
      <c r="J1408">
        <v>0</v>
      </c>
      <c r="K1408">
        <v>0</v>
      </c>
      <c r="L1408">
        <v>0</v>
      </c>
      <c r="M1408">
        <v>0</v>
      </c>
      <c r="N1408">
        <v>0</v>
      </c>
      <c r="O1408" s="302"/>
    </row>
    <row r="1409" spans="1:15" x14ac:dyDescent="0.2">
      <c r="A1409" s="302"/>
      <c r="B1409" s="887"/>
      <c r="C1409" s="839"/>
      <c r="D1409" s="839"/>
      <c r="E1409" s="713" t="s">
        <v>1557</v>
      </c>
      <c r="F1409">
        <v>339631871</v>
      </c>
      <c r="G1409">
        <v>0</v>
      </c>
      <c r="H1409">
        <v>339631871</v>
      </c>
      <c r="I1409">
        <v>339631871</v>
      </c>
      <c r="J1409">
        <v>0</v>
      </c>
      <c r="K1409">
        <v>0</v>
      </c>
      <c r="L1409">
        <v>0</v>
      </c>
      <c r="M1409">
        <v>0</v>
      </c>
      <c r="N1409">
        <v>0</v>
      </c>
      <c r="O1409" s="302"/>
    </row>
    <row r="1410" spans="1:15" x14ac:dyDescent="0.2">
      <c r="A1410" s="302"/>
      <c r="B1410" s="887"/>
      <c r="C1410" s="838" t="s">
        <v>3618</v>
      </c>
      <c r="D1410" s="838" t="s">
        <v>1432</v>
      </c>
      <c r="E1410" s="713" t="s">
        <v>26</v>
      </c>
      <c r="F1410">
        <v>121179142</v>
      </c>
      <c r="G1410">
        <v>121179142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 s="302"/>
    </row>
    <row r="1411" spans="1:15" x14ac:dyDescent="0.2">
      <c r="A1411" s="302"/>
      <c r="B1411" s="887"/>
      <c r="C1411" s="839"/>
      <c r="D1411" s="839"/>
      <c r="E1411" s="713" t="s">
        <v>1557</v>
      </c>
      <c r="F1411">
        <v>269957100</v>
      </c>
      <c r="G1411">
        <v>15548192</v>
      </c>
      <c r="H1411">
        <v>254408908</v>
      </c>
      <c r="I1411">
        <v>0</v>
      </c>
      <c r="J1411">
        <v>254408908</v>
      </c>
      <c r="K1411">
        <v>0</v>
      </c>
      <c r="L1411">
        <v>0</v>
      </c>
      <c r="M1411">
        <v>0</v>
      </c>
      <c r="N1411">
        <v>254408908</v>
      </c>
      <c r="O1411" s="302"/>
    </row>
    <row r="1412" spans="1:15" x14ac:dyDescent="0.2">
      <c r="A1412" s="302"/>
      <c r="B1412" s="887"/>
      <c r="C1412" s="839"/>
      <c r="D1412" s="839"/>
      <c r="E1412" s="713" t="s">
        <v>195</v>
      </c>
      <c r="F1412">
        <v>1008523</v>
      </c>
      <c r="G1412">
        <v>1008523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 s="302"/>
    </row>
    <row r="1413" spans="1:15" x14ac:dyDescent="0.2">
      <c r="A1413" s="302"/>
      <c r="B1413" s="887"/>
      <c r="C1413" s="838" t="s">
        <v>3619</v>
      </c>
      <c r="D1413" s="838" t="s">
        <v>1126</v>
      </c>
      <c r="E1413" s="713" t="s">
        <v>26</v>
      </c>
      <c r="F1413">
        <v>97733100</v>
      </c>
      <c r="G1413">
        <v>97733100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 s="302"/>
    </row>
    <row r="1414" spans="1:15" x14ac:dyDescent="0.2">
      <c r="A1414" s="302"/>
      <c r="B1414" s="887"/>
      <c r="C1414" s="839"/>
      <c r="D1414" s="839"/>
      <c r="E1414" s="713" t="s">
        <v>1557</v>
      </c>
      <c r="F1414">
        <v>228043900</v>
      </c>
      <c r="G1414">
        <v>4</v>
      </c>
      <c r="H1414">
        <v>228043896</v>
      </c>
      <c r="I1414">
        <v>0</v>
      </c>
      <c r="J1414">
        <v>228043896</v>
      </c>
      <c r="K1414">
        <v>0</v>
      </c>
      <c r="L1414">
        <v>0</v>
      </c>
      <c r="M1414">
        <v>0</v>
      </c>
      <c r="N1414">
        <v>228043896</v>
      </c>
      <c r="O1414" s="302"/>
    </row>
    <row r="1415" spans="1:15" x14ac:dyDescent="0.2">
      <c r="A1415" s="302"/>
      <c r="B1415" s="887"/>
      <c r="C1415" s="839"/>
      <c r="D1415" s="839"/>
      <c r="E1415" s="713" t="s">
        <v>1221</v>
      </c>
      <c r="F1415">
        <v>1512675</v>
      </c>
      <c r="G1415">
        <v>1512675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 s="302"/>
    </row>
    <row r="1416" spans="1:15" x14ac:dyDescent="0.2">
      <c r="A1416" s="302"/>
      <c r="B1416" s="887"/>
      <c r="C1416" s="838" t="s">
        <v>3620</v>
      </c>
      <c r="D1416" s="838" t="s">
        <v>1243</v>
      </c>
      <c r="E1416" s="713" t="s">
        <v>26</v>
      </c>
      <c r="F1416">
        <v>133000000</v>
      </c>
      <c r="G1416">
        <v>133000000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 s="302"/>
    </row>
    <row r="1417" spans="1:15" x14ac:dyDescent="0.2">
      <c r="A1417" s="302"/>
      <c r="B1417" s="887"/>
      <c r="C1417" s="839"/>
      <c r="D1417" s="839"/>
      <c r="E1417" s="713" t="s">
        <v>1557</v>
      </c>
      <c r="F1417">
        <v>307726844</v>
      </c>
      <c r="G1417">
        <v>25675972</v>
      </c>
      <c r="H1417">
        <v>282050872</v>
      </c>
      <c r="I1417">
        <v>0</v>
      </c>
      <c r="J1417">
        <v>282050872</v>
      </c>
      <c r="K1417">
        <v>0</v>
      </c>
      <c r="L1417">
        <v>0</v>
      </c>
      <c r="M1417">
        <v>0</v>
      </c>
      <c r="N1417">
        <v>282050872</v>
      </c>
      <c r="O1417" s="302"/>
    </row>
    <row r="1418" spans="1:15" x14ac:dyDescent="0.2">
      <c r="A1418" s="302"/>
      <c r="B1418" s="887"/>
      <c r="C1418" s="839"/>
      <c r="D1418" s="839"/>
      <c r="E1418" s="713" t="s">
        <v>195</v>
      </c>
      <c r="F1418">
        <v>927770</v>
      </c>
      <c r="G1418">
        <v>927770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 s="302"/>
    </row>
    <row r="1419" spans="1:15" x14ac:dyDescent="0.2">
      <c r="A1419" s="302"/>
      <c r="B1419" s="887"/>
      <c r="C1419" s="838" t="s">
        <v>3621</v>
      </c>
      <c r="D1419" s="838" t="s">
        <v>1379</v>
      </c>
      <c r="E1419" s="713" t="s">
        <v>26</v>
      </c>
      <c r="F1419">
        <v>126692408</v>
      </c>
      <c r="G1419">
        <v>126692408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 s="302"/>
    </row>
    <row r="1420" spans="1:15" x14ac:dyDescent="0.2">
      <c r="A1420" s="302"/>
      <c r="B1420" s="887"/>
      <c r="C1420" s="839"/>
      <c r="D1420" s="839"/>
      <c r="E1420" s="713" t="s">
        <v>1557</v>
      </c>
      <c r="F1420">
        <v>295615592</v>
      </c>
      <c r="G1420">
        <v>168557</v>
      </c>
      <c r="H1420">
        <v>295447035</v>
      </c>
      <c r="I1420">
        <v>0</v>
      </c>
      <c r="J1420">
        <v>295447035</v>
      </c>
      <c r="K1420">
        <v>0</v>
      </c>
      <c r="L1420">
        <v>0</v>
      </c>
      <c r="M1420">
        <v>0</v>
      </c>
      <c r="N1420">
        <v>295447035</v>
      </c>
      <c r="O1420" s="302"/>
    </row>
    <row r="1421" spans="1:15" x14ac:dyDescent="0.2">
      <c r="A1421" s="302"/>
      <c r="B1421" s="887"/>
      <c r="C1421" s="839"/>
      <c r="D1421" s="839"/>
      <c r="E1421" s="713" t="s">
        <v>195</v>
      </c>
      <c r="F1421">
        <v>3509859</v>
      </c>
      <c r="G1421">
        <v>0</v>
      </c>
      <c r="H1421">
        <v>3509859</v>
      </c>
      <c r="I1421">
        <v>0</v>
      </c>
      <c r="J1421">
        <v>3509859</v>
      </c>
      <c r="K1421">
        <v>0</v>
      </c>
      <c r="L1421">
        <v>0</v>
      </c>
      <c r="M1421">
        <v>0</v>
      </c>
      <c r="N1421">
        <v>3509859</v>
      </c>
      <c r="O1421" s="302"/>
    </row>
    <row r="1422" spans="1:15" x14ac:dyDescent="0.2">
      <c r="A1422" s="302"/>
      <c r="B1422" s="887"/>
      <c r="C1422" s="839"/>
      <c r="D1422" s="839"/>
      <c r="E1422" s="713" t="s">
        <v>1221</v>
      </c>
      <c r="F1422">
        <v>1931850</v>
      </c>
      <c r="G1422">
        <v>641007</v>
      </c>
      <c r="H1422">
        <v>1290843</v>
      </c>
      <c r="I1422">
        <v>0</v>
      </c>
      <c r="J1422">
        <v>1290843</v>
      </c>
      <c r="K1422">
        <v>0</v>
      </c>
      <c r="L1422">
        <v>0</v>
      </c>
      <c r="M1422">
        <v>0</v>
      </c>
      <c r="N1422">
        <v>1290843</v>
      </c>
      <c r="O1422" s="302"/>
    </row>
    <row r="1423" spans="1:15" x14ac:dyDescent="0.2">
      <c r="A1423" s="302"/>
      <c r="B1423" s="887"/>
      <c r="C1423" s="838" t="s">
        <v>3622</v>
      </c>
      <c r="D1423" s="838" t="s">
        <v>3441</v>
      </c>
      <c r="E1423" s="713" t="s">
        <v>26</v>
      </c>
      <c r="F1423">
        <v>132192100</v>
      </c>
      <c r="G1423">
        <v>9668387</v>
      </c>
      <c r="H1423">
        <v>122523713</v>
      </c>
      <c r="I1423">
        <v>43423713</v>
      </c>
      <c r="J1423">
        <v>79100000</v>
      </c>
      <c r="K1423">
        <v>0</v>
      </c>
      <c r="L1423">
        <v>0</v>
      </c>
      <c r="M1423">
        <v>79100000</v>
      </c>
      <c r="N1423">
        <v>0</v>
      </c>
      <c r="O1423" s="302"/>
    </row>
    <row r="1424" spans="1:15" x14ac:dyDescent="0.2">
      <c r="A1424" s="302"/>
      <c r="B1424" s="887"/>
      <c r="C1424" s="839"/>
      <c r="D1424" s="839"/>
      <c r="E1424" s="713" t="s">
        <v>1557</v>
      </c>
      <c r="F1424">
        <v>291292900</v>
      </c>
      <c r="G1424">
        <v>0</v>
      </c>
      <c r="H1424">
        <v>291292900</v>
      </c>
      <c r="I1424">
        <v>291292900</v>
      </c>
      <c r="J1424">
        <v>0</v>
      </c>
      <c r="K1424">
        <v>0</v>
      </c>
      <c r="L1424">
        <v>0</v>
      </c>
      <c r="M1424">
        <v>0</v>
      </c>
      <c r="N1424">
        <v>0</v>
      </c>
      <c r="O1424" s="302"/>
    </row>
    <row r="1425" spans="1:15" x14ac:dyDescent="0.2">
      <c r="A1425" s="302"/>
      <c r="B1425" s="887"/>
      <c r="C1425" s="839"/>
      <c r="D1425" s="839"/>
      <c r="E1425" s="713" t="s">
        <v>1221</v>
      </c>
      <c r="F1425">
        <v>12438713</v>
      </c>
      <c r="G1425">
        <v>3731613</v>
      </c>
      <c r="H1425">
        <v>8707100</v>
      </c>
      <c r="I1425">
        <v>8707100</v>
      </c>
      <c r="J1425">
        <v>0</v>
      </c>
      <c r="K1425">
        <v>0</v>
      </c>
      <c r="L1425">
        <v>0</v>
      </c>
      <c r="M1425">
        <v>0</v>
      </c>
      <c r="N1425">
        <v>0</v>
      </c>
      <c r="O1425" s="302"/>
    </row>
    <row r="1426" spans="1:15" x14ac:dyDescent="0.2">
      <c r="A1426" s="302"/>
      <c r="B1426" s="887"/>
      <c r="C1426" s="838" t="s">
        <v>3623</v>
      </c>
      <c r="D1426" s="838" t="s">
        <v>3010</v>
      </c>
      <c r="E1426" s="713" t="s">
        <v>26</v>
      </c>
      <c r="F1426">
        <v>134997900</v>
      </c>
      <c r="G1426">
        <v>134997900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 s="302"/>
    </row>
    <row r="1427" spans="1:15" x14ac:dyDescent="0.2">
      <c r="A1427" s="302"/>
      <c r="B1427" s="887"/>
      <c r="C1427" s="839"/>
      <c r="D1427" s="839"/>
      <c r="E1427" s="713" t="s">
        <v>1557</v>
      </c>
      <c r="F1427">
        <v>314995100</v>
      </c>
      <c r="G1427">
        <v>13522</v>
      </c>
      <c r="H1427">
        <v>314981578</v>
      </c>
      <c r="I1427">
        <v>0</v>
      </c>
      <c r="J1427">
        <v>314981578</v>
      </c>
      <c r="K1427">
        <v>0</v>
      </c>
      <c r="L1427">
        <v>0</v>
      </c>
      <c r="M1427">
        <v>0</v>
      </c>
      <c r="N1427">
        <v>314981578</v>
      </c>
      <c r="O1427" s="302"/>
    </row>
    <row r="1428" spans="1:15" x14ac:dyDescent="0.2">
      <c r="A1428" s="302"/>
      <c r="B1428" s="887"/>
      <c r="C1428" s="839"/>
      <c r="D1428" s="839"/>
      <c r="E1428" s="713" t="s">
        <v>195</v>
      </c>
      <c r="F1428">
        <v>1988478</v>
      </c>
      <c r="G1428">
        <v>1988478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 s="302"/>
    </row>
    <row r="1429" spans="1:15" x14ac:dyDescent="0.2">
      <c r="A1429" s="302"/>
      <c r="B1429" s="887"/>
      <c r="C1429" s="838" t="s">
        <v>3624</v>
      </c>
      <c r="D1429" s="838" t="s">
        <v>1625</v>
      </c>
      <c r="E1429" s="713" t="s">
        <v>26</v>
      </c>
      <c r="F1429">
        <v>163338462</v>
      </c>
      <c r="G1429">
        <v>162500000</v>
      </c>
      <c r="H1429">
        <v>838462</v>
      </c>
      <c r="I1429">
        <v>0</v>
      </c>
      <c r="J1429">
        <v>838462</v>
      </c>
      <c r="K1429">
        <v>0</v>
      </c>
      <c r="L1429">
        <v>838462</v>
      </c>
      <c r="M1429">
        <v>0</v>
      </c>
      <c r="N1429">
        <v>0</v>
      </c>
      <c r="O1429" s="302"/>
    </row>
    <row r="1430" spans="1:15" x14ac:dyDescent="0.2">
      <c r="A1430" s="302"/>
      <c r="B1430" s="887"/>
      <c r="C1430" s="839"/>
      <c r="D1430" s="839"/>
      <c r="E1430" s="713" t="s">
        <v>1557</v>
      </c>
      <c r="F1430">
        <v>216000000</v>
      </c>
      <c r="G1430">
        <v>0</v>
      </c>
      <c r="H1430">
        <v>216000000</v>
      </c>
      <c r="I1430">
        <v>0</v>
      </c>
      <c r="J1430">
        <v>216000000</v>
      </c>
      <c r="K1430">
        <v>0</v>
      </c>
      <c r="L1430">
        <v>216000000</v>
      </c>
      <c r="M1430">
        <v>0</v>
      </c>
      <c r="N1430">
        <v>0</v>
      </c>
      <c r="O1430" s="302"/>
    </row>
    <row r="1431" spans="1:15" x14ac:dyDescent="0.2">
      <c r="A1431" s="302"/>
      <c r="B1431" s="887"/>
      <c r="C1431" s="838" t="s">
        <v>3625</v>
      </c>
      <c r="D1431" s="838" t="s">
        <v>1087</v>
      </c>
      <c r="E1431" s="713" t="s">
        <v>26</v>
      </c>
      <c r="F1431">
        <v>122616300</v>
      </c>
      <c r="G1431">
        <v>122616300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 s="302"/>
    </row>
    <row r="1432" spans="1:15" x14ac:dyDescent="0.2">
      <c r="A1432" s="302"/>
      <c r="B1432" s="887"/>
      <c r="C1432" s="839"/>
      <c r="D1432" s="839"/>
      <c r="E1432" s="713" t="s">
        <v>1557</v>
      </c>
      <c r="F1432">
        <v>284466993</v>
      </c>
      <c r="G1432">
        <v>0</v>
      </c>
      <c r="H1432">
        <v>284466993</v>
      </c>
      <c r="I1432">
        <v>0</v>
      </c>
      <c r="J1432">
        <v>284466993</v>
      </c>
      <c r="K1432">
        <v>0</v>
      </c>
      <c r="L1432">
        <v>284466993</v>
      </c>
      <c r="M1432">
        <v>0</v>
      </c>
      <c r="N1432">
        <v>0</v>
      </c>
      <c r="O1432" s="302"/>
    </row>
    <row r="1433" spans="1:15" x14ac:dyDescent="0.2">
      <c r="A1433" s="302"/>
      <c r="B1433" s="887"/>
      <c r="C1433" s="839"/>
      <c r="D1433" s="839"/>
      <c r="E1433" s="713" t="s">
        <v>1221</v>
      </c>
      <c r="F1433">
        <v>1931850</v>
      </c>
      <c r="G1433">
        <v>1931850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 s="302"/>
    </row>
    <row r="1434" spans="1:15" x14ac:dyDescent="0.2">
      <c r="A1434" s="302"/>
      <c r="B1434" s="887"/>
      <c r="C1434" s="838" t="s">
        <v>3626</v>
      </c>
      <c r="D1434" s="838" t="s">
        <v>3226</v>
      </c>
      <c r="E1434" s="713" t="s">
        <v>26</v>
      </c>
      <c r="F1434">
        <v>140504732</v>
      </c>
      <c r="G1434">
        <v>140504732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 s="302"/>
    </row>
    <row r="1435" spans="1:15" x14ac:dyDescent="0.2">
      <c r="A1435" s="302"/>
      <c r="B1435" s="887"/>
      <c r="C1435" s="839"/>
      <c r="D1435" s="839"/>
      <c r="E1435" s="713" t="s">
        <v>1557</v>
      </c>
      <c r="F1435">
        <v>332935200</v>
      </c>
      <c r="G1435">
        <v>0</v>
      </c>
      <c r="H1435">
        <v>332935200</v>
      </c>
      <c r="I1435">
        <v>0</v>
      </c>
      <c r="J1435">
        <v>332935200</v>
      </c>
      <c r="K1435">
        <v>0</v>
      </c>
      <c r="L1435">
        <v>332935200</v>
      </c>
      <c r="M1435">
        <v>0</v>
      </c>
      <c r="N1435">
        <v>0</v>
      </c>
      <c r="O1435" s="302"/>
    </row>
    <row r="1436" spans="1:15" x14ac:dyDescent="0.2">
      <c r="A1436" s="302"/>
      <c r="B1436" s="887"/>
      <c r="C1436" s="838" t="s">
        <v>3627</v>
      </c>
      <c r="D1436" s="838" t="s">
        <v>1174</v>
      </c>
      <c r="E1436" s="713" t="s">
        <v>22</v>
      </c>
      <c r="F1436">
        <v>79052085</v>
      </c>
      <c r="G1436">
        <v>24000000</v>
      </c>
      <c r="H1436">
        <v>55052085</v>
      </c>
      <c r="I1436">
        <v>0</v>
      </c>
      <c r="J1436">
        <v>55052085</v>
      </c>
      <c r="K1436">
        <v>0</v>
      </c>
      <c r="L1436">
        <v>0</v>
      </c>
      <c r="M1436">
        <v>0</v>
      </c>
      <c r="N1436">
        <v>55052085</v>
      </c>
      <c r="O1436" s="302"/>
    </row>
    <row r="1437" spans="1:15" x14ac:dyDescent="0.2">
      <c r="A1437" s="302"/>
      <c r="B1437" s="887"/>
      <c r="C1437" s="839"/>
      <c r="D1437" s="839"/>
      <c r="E1437" s="713" t="s">
        <v>26</v>
      </c>
      <c r="F1437">
        <v>98882250</v>
      </c>
      <c r="G1437">
        <v>98882250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 s="302"/>
    </row>
    <row r="1438" spans="1:15" x14ac:dyDescent="0.2">
      <c r="A1438" s="302"/>
      <c r="B1438" s="887"/>
      <c r="C1438" s="839"/>
      <c r="D1438" s="839"/>
      <c r="E1438" s="713" t="s">
        <v>1557</v>
      </c>
      <c r="F1438">
        <v>230725250</v>
      </c>
      <c r="G1438">
        <v>2144570</v>
      </c>
      <c r="H1438">
        <v>228580680</v>
      </c>
      <c r="I1438">
        <v>0</v>
      </c>
      <c r="J1438">
        <v>228580680</v>
      </c>
      <c r="K1438">
        <v>0</v>
      </c>
      <c r="L1438">
        <v>0</v>
      </c>
      <c r="M1438">
        <v>0</v>
      </c>
      <c r="N1438">
        <v>228580680</v>
      </c>
      <c r="O1438" s="302"/>
    </row>
    <row r="1439" spans="1:15" x14ac:dyDescent="0.2">
      <c r="A1439" s="302"/>
      <c r="B1439" s="887"/>
      <c r="C1439" s="838" t="s">
        <v>3628</v>
      </c>
      <c r="D1439" s="838" t="s">
        <v>1227</v>
      </c>
      <c r="E1439" s="713" t="s">
        <v>26</v>
      </c>
      <c r="F1439">
        <v>124172787</v>
      </c>
      <c r="G1439">
        <v>124172787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 s="302"/>
    </row>
    <row r="1440" spans="1:15" x14ac:dyDescent="0.2">
      <c r="A1440" s="302"/>
      <c r="B1440" s="887"/>
      <c r="C1440" s="839"/>
      <c r="D1440" s="839"/>
      <c r="E1440" s="713" t="s">
        <v>1557</v>
      </c>
      <c r="F1440">
        <v>280487200</v>
      </c>
      <c r="G1440">
        <v>280310</v>
      </c>
      <c r="H1440">
        <v>280206890</v>
      </c>
      <c r="I1440">
        <v>0</v>
      </c>
      <c r="J1440">
        <v>280206890</v>
      </c>
      <c r="K1440">
        <v>0</v>
      </c>
      <c r="L1440">
        <v>0</v>
      </c>
      <c r="M1440">
        <v>0</v>
      </c>
      <c r="N1440">
        <v>280206890</v>
      </c>
      <c r="O1440" s="302"/>
    </row>
    <row r="1441" spans="1:15" x14ac:dyDescent="0.2">
      <c r="A1441" s="302"/>
      <c r="B1441" s="887"/>
      <c r="C1441" s="839"/>
      <c r="D1441" s="839"/>
      <c r="E1441" s="713" t="s">
        <v>195</v>
      </c>
      <c r="F1441">
        <v>220694</v>
      </c>
      <c r="G1441">
        <v>220694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 s="302"/>
    </row>
    <row r="1442" spans="1:15" x14ac:dyDescent="0.2">
      <c r="A1442" s="302"/>
      <c r="B1442" s="887"/>
      <c r="C1442" s="838" t="s">
        <v>3629</v>
      </c>
      <c r="D1442" s="838" t="s">
        <v>1086</v>
      </c>
      <c r="E1442" s="713" t="s">
        <v>26</v>
      </c>
      <c r="F1442">
        <v>219759190</v>
      </c>
      <c r="G1442">
        <v>219759190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 s="302"/>
    </row>
    <row r="1443" spans="1:15" x14ac:dyDescent="0.2">
      <c r="A1443" s="302"/>
      <c r="B1443" s="887"/>
      <c r="C1443" s="839"/>
      <c r="D1443" s="839"/>
      <c r="E1443" s="713" t="s">
        <v>1557</v>
      </c>
      <c r="F1443">
        <v>100000000</v>
      </c>
      <c r="G1443">
        <v>0</v>
      </c>
      <c r="H1443">
        <v>100000000</v>
      </c>
      <c r="I1443">
        <v>0</v>
      </c>
      <c r="J1443">
        <v>100000000</v>
      </c>
      <c r="K1443">
        <v>0</v>
      </c>
      <c r="L1443">
        <v>100000000</v>
      </c>
      <c r="M1443">
        <v>0</v>
      </c>
      <c r="N1443">
        <v>0</v>
      </c>
      <c r="O1443" s="302"/>
    </row>
    <row r="1444" spans="1:15" x14ac:dyDescent="0.2">
      <c r="A1444" s="302"/>
      <c r="B1444" s="887"/>
      <c r="C1444" s="838" t="s">
        <v>3630</v>
      </c>
      <c r="D1444" s="838" t="s">
        <v>1085</v>
      </c>
      <c r="E1444" s="713" t="s">
        <v>26</v>
      </c>
      <c r="F1444">
        <v>400259400</v>
      </c>
      <c r="G1444">
        <v>312878724</v>
      </c>
      <c r="H1444">
        <v>87380676</v>
      </c>
      <c r="I1444">
        <v>59971463</v>
      </c>
      <c r="J1444">
        <v>27409213</v>
      </c>
      <c r="K1444">
        <v>27409213</v>
      </c>
      <c r="L1444">
        <v>0</v>
      </c>
      <c r="M1444">
        <v>0</v>
      </c>
      <c r="N1444">
        <v>0</v>
      </c>
      <c r="O1444" s="302"/>
    </row>
    <row r="1445" spans="1:15" x14ac:dyDescent="0.2">
      <c r="A1445" s="302"/>
      <c r="B1445" s="887"/>
      <c r="C1445" s="839"/>
      <c r="D1445" s="839"/>
      <c r="E1445" s="713" t="s">
        <v>195</v>
      </c>
      <c r="F1445">
        <v>21319771</v>
      </c>
      <c r="G1445">
        <v>0</v>
      </c>
      <c r="H1445">
        <v>21319771</v>
      </c>
      <c r="I1445">
        <v>21319771</v>
      </c>
      <c r="J1445">
        <v>0</v>
      </c>
      <c r="K1445">
        <v>0</v>
      </c>
      <c r="L1445">
        <v>0</v>
      </c>
      <c r="M1445">
        <v>0</v>
      </c>
      <c r="N1445">
        <v>0</v>
      </c>
      <c r="O1445" s="302"/>
    </row>
    <row r="1446" spans="1:15" x14ac:dyDescent="0.2">
      <c r="A1446" s="302"/>
      <c r="B1446" s="887"/>
      <c r="C1446" s="838" t="s">
        <v>3631</v>
      </c>
      <c r="D1446" s="838" t="s">
        <v>1101</v>
      </c>
      <c r="E1446" s="713" t="s">
        <v>26</v>
      </c>
      <c r="F1446">
        <v>123752584</v>
      </c>
      <c r="G1446">
        <v>123752584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 s="302"/>
    </row>
    <row r="1447" spans="1:15" x14ac:dyDescent="0.2">
      <c r="A1447" s="302"/>
      <c r="B1447" s="887"/>
      <c r="C1447" s="839"/>
      <c r="D1447" s="839"/>
      <c r="E1447" s="713" t="s">
        <v>1557</v>
      </c>
      <c r="F1447">
        <v>275000000</v>
      </c>
      <c r="G1447">
        <v>0</v>
      </c>
      <c r="H1447">
        <v>275000000</v>
      </c>
      <c r="I1447">
        <v>0</v>
      </c>
      <c r="J1447">
        <v>275000000</v>
      </c>
      <c r="K1447">
        <v>0</v>
      </c>
      <c r="L1447">
        <v>275000000</v>
      </c>
      <c r="M1447">
        <v>0</v>
      </c>
      <c r="N1447">
        <v>0</v>
      </c>
      <c r="O1447" s="302"/>
    </row>
    <row r="1448" spans="1:15" x14ac:dyDescent="0.2">
      <c r="A1448" s="302"/>
      <c r="B1448" s="887"/>
      <c r="C1448" s="838" t="s">
        <v>3632</v>
      </c>
      <c r="D1448" s="838" t="s">
        <v>3633</v>
      </c>
      <c r="E1448" s="713" t="s">
        <v>26</v>
      </c>
      <c r="F1448">
        <v>345701319</v>
      </c>
      <c r="G1448">
        <v>345701319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 s="302"/>
    </row>
    <row r="1449" spans="1:15" x14ac:dyDescent="0.2">
      <c r="A1449" s="302"/>
      <c r="B1449" s="887"/>
      <c r="C1449" s="839"/>
      <c r="D1449" s="839"/>
      <c r="E1449" s="713" t="s">
        <v>3212</v>
      </c>
      <c r="F1449">
        <v>71369</v>
      </c>
      <c r="G1449">
        <v>71369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 s="302"/>
    </row>
    <row r="1450" spans="1:15" x14ac:dyDescent="0.2">
      <c r="A1450" s="302"/>
      <c r="B1450" s="887"/>
      <c r="C1450" s="838" t="s">
        <v>3634</v>
      </c>
      <c r="D1450" s="838" t="s">
        <v>3011</v>
      </c>
      <c r="E1450" s="713" t="s">
        <v>22</v>
      </c>
      <c r="F1450">
        <v>15420275</v>
      </c>
      <c r="G1450">
        <v>15420275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 s="302"/>
    </row>
    <row r="1451" spans="1:15" x14ac:dyDescent="0.2">
      <c r="A1451" s="302"/>
      <c r="B1451" s="887"/>
      <c r="C1451" s="839"/>
      <c r="D1451" s="839"/>
      <c r="E1451" s="713" t="s">
        <v>26</v>
      </c>
      <c r="F1451">
        <v>140068150</v>
      </c>
      <c r="G1451">
        <v>140068150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 s="302"/>
    </row>
    <row r="1452" spans="1:15" x14ac:dyDescent="0.2">
      <c r="A1452" s="302"/>
      <c r="B1452" s="887"/>
      <c r="C1452" s="839"/>
      <c r="D1452" s="839"/>
      <c r="E1452" s="713" t="s">
        <v>1557</v>
      </c>
      <c r="F1452">
        <v>308000000</v>
      </c>
      <c r="G1452">
        <v>34396396</v>
      </c>
      <c r="H1452">
        <v>273603604</v>
      </c>
      <c r="I1452">
        <v>273603604</v>
      </c>
      <c r="J1452">
        <v>0</v>
      </c>
      <c r="K1452">
        <v>0</v>
      </c>
      <c r="L1452">
        <v>0</v>
      </c>
      <c r="M1452">
        <v>0</v>
      </c>
      <c r="N1452">
        <v>0</v>
      </c>
      <c r="O1452" s="302"/>
    </row>
    <row r="1453" spans="1:15" x14ac:dyDescent="0.2">
      <c r="A1453" s="302"/>
      <c r="B1453" s="887"/>
      <c r="C1453" s="839"/>
      <c r="D1453" s="839"/>
      <c r="E1453" s="713" t="s">
        <v>1221</v>
      </c>
      <c r="F1453">
        <v>1931850</v>
      </c>
      <c r="G1453">
        <v>1931850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 s="302"/>
    </row>
    <row r="1454" spans="1:15" x14ac:dyDescent="0.2">
      <c r="A1454" s="302"/>
      <c r="B1454" s="887"/>
      <c r="C1454" s="838" t="s">
        <v>3635</v>
      </c>
      <c r="D1454" s="838" t="s">
        <v>1127</v>
      </c>
      <c r="E1454" s="713" t="s">
        <v>26</v>
      </c>
      <c r="F1454">
        <v>98169000</v>
      </c>
      <c r="G1454">
        <v>98169000</v>
      </c>
      <c r="H1454">
        <v>0</v>
      </c>
      <c r="I1454">
        <v>0</v>
      </c>
      <c r="J1454">
        <v>0</v>
      </c>
      <c r="K1454">
        <v>0</v>
      </c>
      <c r="L1454">
        <v>0</v>
      </c>
      <c r="M1454">
        <v>0</v>
      </c>
      <c r="N1454">
        <v>0</v>
      </c>
      <c r="O1454" s="302"/>
    </row>
    <row r="1455" spans="1:15" x14ac:dyDescent="0.2">
      <c r="A1455" s="302"/>
      <c r="B1455" s="887"/>
      <c r="C1455" s="839"/>
      <c r="D1455" s="839"/>
      <c r="E1455" s="713" t="s">
        <v>1557</v>
      </c>
      <c r="F1455">
        <v>229061000</v>
      </c>
      <c r="G1455">
        <v>187506970</v>
      </c>
      <c r="H1455">
        <v>41554030</v>
      </c>
      <c r="I1455">
        <v>0</v>
      </c>
      <c r="J1455">
        <v>41554030</v>
      </c>
      <c r="K1455">
        <v>0</v>
      </c>
      <c r="L1455">
        <v>0</v>
      </c>
      <c r="M1455">
        <v>0</v>
      </c>
      <c r="N1455">
        <v>41554030</v>
      </c>
      <c r="O1455" s="302"/>
    </row>
    <row r="1456" spans="1:15" x14ac:dyDescent="0.2">
      <c r="A1456" s="302"/>
      <c r="B1456" s="887"/>
      <c r="C1456" s="838" t="s">
        <v>3636</v>
      </c>
      <c r="D1456" s="838" t="s">
        <v>1087</v>
      </c>
      <c r="E1456" s="713" t="s">
        <v>26</v>
      </c>
      <c r="F1456">
        <v>119610600</v>
      </c>
      <c r="G1456">
        <v>119610600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 s="302"/>
    </row>
    <row r="1457" spans="1:15" x14ac:dyDescent="0.2">
      <c r="A1457" s="302"/>
      <c r="B1457" s="887"/>
      <c r="C1457" s="839"/>
      <c r="D1457" s="839"/>
      <c r="E1457" s="713" t="s">
        <v>1557</v>
      </c>
      <c r="F1457">
        <v>278331098</v>
      </c>
      <c r="G1457">
        <v>0</v>
      </c>
      <c r="H1457">
        <v>278331098</v>
      </c>
      <c r="I1457">
        <v>0</v>
      </c>
      <c r="J1457">
        <v>278331098</v>
      </c>
      <c r="K1457">
        <v>0</v>
      </c>
      <c r="L1457">
        <v>278331098</v>
      </c>
      <c r="M1457">
        <v>0</v>
      </c>
      <c r="N1457">
        <v>0</v>
      </c>
      <c r="O1457" s="302"/>
    </row>
    <row r="1458" spans="1:15" x14ac:dyDescent="0.2">
      <c r="A1458" s="302"/>
      <c r="B1458" s="887"/>
      <c r="C1458" s="839"/>
      <c r="D1458" s="839"/>
      <c r="E1458" s="713" t="s">
        <v>1221</v>
      </c>
      <c r="F1458">
        <v>1931850</v>
      </c>
      <c r="G1458">
        <v>1931850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0</v>
      </c>
      <c r="N1458">
        <v>0</v>
      </c>
      <c r="O1458" s="302"/>
    </row>
    <row r="1459" spans="1:15" x14ac:dyDescent="0.2">
      <c r="A1459" s="302"/>
      <c r="B1459" s="887"/>
      <c r="C1459" s="838" t="s">
        <v>3637</v>
      </c>
      <c r="D1459" s="838" t="s">
        <v>1088</v>
      </c>
      <c r="E1459" s="713" t="s">
        <v>22</v>
      </c>
      <c r="F1459">
        <v>92988932</v>
      </c>
      <c r="G1459">
        <v>27896680</v>
      </c>
      <c r="H1459">
        <v>65092252</v>
      </c>
      <c r="I1459">
        <v>0</v>
      </c>
      <c r="J1459">
        <v>65092252</v>
      </c>
      <c r="K1459">
        <v>0</v>
      </c>
      <c r="L1459">
        <v>0</v>
      </c>
      <c r="M1459">
        <v>0</v>
      </c>
      <c r="N1459">
        <v>65092252</v>
      </c>
      <c r="O1459" s="302"/>
    </row>
    <row r="1460" spans="1:15" x14ac:dyDescent="0.2">
      <c r="A1460" s="302"/>
      <c r="B1460" s="887"/>
      <c r="C1460" s="839"/>
      <c r="D1460" s="839"/>
      <c r="E1460" s="713" t="s">
        <v>26</v>
      </c>
      <c r="F1460">
        <v>119819400</v>
      </c>
      <c r="G1460">
        <v>119819400</v>
      </c>
      <c r="H1460">
        <v>0</v>
      </c>
      <c r="I1460">
        <v>0</v>
      </c>
      <c r="J1460">
        <v>0</v>
      </c>
      <c r="K1460">
        <v>0</v>
      </c>
      <c r="L1460">
        <v>0</v>
      </c>
      <c r="M1460">
        <v>0</v>
      </c>
      <c r="N1460">
        <v>0</v>
      </c>
      <c r="O1460" s="302"/>
    </row>
    <row r="1461" spans="1:15" x14ac:dyDescent="0.2">
      <c r="A1461" s="302"/>
      <c r="B1461" s="887"/>
      <c r="C1461" s="839"/>
      <c r="D1461" s="839"/>
      <c r="E1461" s="713" t="s">
        <v>1557</v>
      </c>
      <c r="F1461">
        <v>279578600</v>
      </c>
      <c r="G1461">
        <v>5051660</v>
      </c>
      <c r="H1461">
        <v>274526940</v>
      </c>
      <c r="I1461">
        <v>0</v>
      </c>
      <c r="J1461">
        <v>274526940</v>
      </c>
      <c r="K1461">
        <v>0</v>
      </c>
      <c r="L1461">
        <v>0</v>
      </c>
      <c r="M1461">
        <v>0</v>
      </c>
      <c r="N1461">
        <v>274526940</v>
      </c>
      <c r="O1461" s="302"/>
    </row>
    <row r="1462" spans="1:15" x14ac:dyDescent="0.2">
      <c r="A1462" s="302"/>
      <c r="B1462" s="887"/>
      <c r="C1462" s="839"/>
      <c r="D1462" s="839"/>
      <c r="E1462" s="713" t="s">
        <v>1221</v>
      </c>
      <c r="F1462">
        <v>1931850</v>
      </c>
      <c r="G1462">
        <v>1931850</v>
      </c>
      <c r="H1462">
        <v>0</v>
      </c>
      <c r="I1462">
        <v>0</v>
      </c>
      <c r="J1462">
        <v>0</v>
      </c>
      <c r="K1462">
        <v>0</v>
      </c>
      <c r="L1462">
        <v>0</v>
      </c>
      <c r="M1462">
        <v>0</v>
      </c>
      <c r="N1462">
        <v>0</v>
      </c>
      <c r="O1462" s="302"/>
    </row>
    <row r="1463" spans="1:15" ht="25.5" x14ac:dyDescent="0.2">
      <c r="A1463" s="302"/>
      <c r="B1463" s="887"/>
      <c r="C1463" s="713" t="s">
        <v>4433</v>
      </c>
      <c r="D1463" s="713" t="s">
        <v>2726</v>
      </c>
      <c r="E1463" s="713"/>
      <c r="F1463"/>
      <c r="G1463"/>
      <c r="H1463"/>
      <c r="I1463"/>
      <c r="J1463"/>
      <c r="K1463"/>
      <c r="L1463"/>
      <c r="M1463"/>
      <c r="N1463"/>
      <c r="O1463" s="302"/>
    </row>
    <row r="1464" spans="1:15" ht="25.5" x14ac:dyDescent="0.2">
      <c r="A1464" s="302"/>
      <c r="B1464" s="887"/>
      <c r="C1464" s="713" t="s">
        <v>3638</v>
      </c>
      <c r="D1464" s="713" t="s">
        <v>1717</v>
      </c>
      <c r="E1464" s="713" t="s">
        <v>26</v>
      </c>
      <c r="F1464">
        <v>12000000</v>
      </c>
      <c r="G1464">
        <v>12000000</v>
      </c>
      <c r="H1464">
        <v>0</v>
      </c>
      <c r="I1464">
        <v>0</v>
      </c>
      <c r="J1464">
        <v>0</v>
      </c>
      <c r="K1464">
        <v>0</v>
      </c>
      <c r="L1464">
        <v>0</v>
      </c>
      <c r="M1464">
        <v>0</v>
      </c>
      <c r="N1464">
        <v>0</v>
      </c>
      <c r="O1464" s="302"/>
    </row>
    <row r="1465" spans="1:15" ht="25.5" x14ac:dyDescent="0.2">
      <c r="A1465" s="302"/>
      <c r="B1465" s="887"/>
      <c r="C1465" s="713" t="s">
        <v>3639</v>
      </c>
      <c r="D1465" s="713" t="s">
        <v>1008</v>
      </c>
      <c r="E1465" s="713" t="s">
        <v>26</v>
      </c>
      <c r="F1465">
        <v>12000000</v>
      </c>
      <c r="G1465">
        <v>12000000</v>
      </c>
      <c r="H1465">
        <v>0</v>
      </c>
      <c r="I1465">
        <v>0</v>
      </c>
      <c r="J1465">
        <v>0</v>
      </c>
      <c r="K1465">
        <v>0</v>
      </c>
      <c r="L1465">
        <v>0</v>
      </c>
      <c r="M1465">
        <v>0</v>
      </c>
      <c r="N1465">
        <v>0</v>
      </c>
      <c r="O1465" s="302"/>
    </row>
    <row r="1466" spans="1:15" ht="25.5" x14ac:dyDescent="0.2">
      <c r="A1466" s="302"/>
      <c r="B1466" s="887"/>
      <c r="C1466" s="713" t="s">
        <v>4244</v>
      </c>
      <c r="D1466" s="713" t="s">
        <v>1082</v>
      </c>
      <c r="E1466" s="713" t="s">
        <v>26</v>
      </c>
      <c r="F1466">
        <v>12000000</v>
      </c>
      <c r="G1466">
        <v>3000000</v>
      </c>
      <c r="H1466">
        <v>9000000</v>
      </c>
      <c r="I1466">
        <v>3000000</v>
      </c>
      <c r="J1466">
        <v>6000000</v>
      </c>
      <c r="K1466">
        <v>3000000</v>
      </c>
      <c r="L1466">
        <v>3000000</v>
      </c>
      <c r="M1466">
        <v>0</v>
      </c>
      <c r="N1466">
        <v>0</v>
      </c>
      <c r="O1466" s="302"/>
    </row>
    <row r="1467" spans="1:15" x14ac:dyDescent="0.2">
      <c r="A1467" s="302"/>
      <c r="B1467" s="887"/>
      <c r="C1467" s="713" t="s">
        <v>4245</v>
      </c>
      <c r="D1467" s="713" t="s">
        <v>1594</v>
      </c>
      <c r="E1467" s="713" t="s">
        <v>26</v>
      </c>
      <c r="F1467">
        <v>12000000</v>
      </c>
      <c r="G1467">
        <v>5000000</v>
      </c>
      <c r="H1467">
        <v>7000000</v>
      </c>
      <c r="I1467">
        <v>0</v>
      </c>
      <c r="J1467">
        <v>7000000</v>
      </c>
      <c r="K1467">
        <v>0</v>
      </c>
      <c r="L1467">
        <v>0</v>
      </c>
      <c r="M1467">
        <v>7000000</v>
      </c>
      <c r="N1467">
        <v>0</v>
      </c>
      <c r="O1467" s="302"/>
    </row>
    <row r="1468" spans="1:15" ht="25.5" x14ac:dyDescent="0.2">
      <c r="A1468" s="302"/>
      <c r="B1468" s="887"/>
      <c r="C1468" s="713" t="s">
        <v>4289</v>
      </c>
      <c r="D1468" s="713" t="s">
        <v>3335</v>
      </c>
      <c r="E1468" s="713" t="s">
        <v>26</v>
      </c>
      <c r="F1468">
        <v>12000000</v>
      </c>
      <c r="G1468">
        <v>12000000</v>
      </c>
      <c r="H1468">
        <v>0</v>
      </c>
      <c r="I1468">
        <v>0</v>
      </c>
      <c r="J1468">
        <v>0</v>
      </c>
      <c r="K1468">
        <v>0</v>
      </c>
      <c r="L1468">
        <v>0</v>
      </c>
      <c r="M1468">
        <v>0</v>
      </c>
      <c r="N1468">
        <v>0</v>
      </c>
      <c r="O1468" s="302"/>
    </row>
    <row r="1469" spans="1:15" s="302" customFormat="1" x14ac:dyDescent="0.2">
      <c r="B1469" s="838">
        <v>5</v>
      </c>
      <c r="C1469" s="838" t="s">
        <v>3640</v>
      </c>
      <c r="D1469" s="838" t="s">
        <v>4290</v>
      </c>
      <c r="E1469" s="713" t="s">
        <v>26</v>
      </c>
      <c r="F1469">
        <v>147859500</v>
      </c>
      <c r="G1469">
        <v>147859500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0</v>
      </c>
      <c r="N1469">
        <v>0</v>
      </c>
    </row>
    <row r="1470" spans="1:15" x14ac:dyDescent="0.2">
      <c r="A1470" s="302"/>
      <c r="B1470" s="887"/>
      <c r="C1470" s="839"/>
      <c r="D1470" s="839"/>
      <c r="E1470" s="713" t="s">
        <v>1557</v>
      </c>
      <c r="F1470">
        <v>345005500</v>
      </c>
      <c r="G1470">
        <v>0</v>
      </c>
      <c r="H1470">
        <v>345005500</v>
      </c>
      <c r="I1470">
        <v>345005500</v>
      </c>
      <c r="J1470">
        <v>0</v>
      </c>
      <c r="K1470">
        <v>0</v>
      </c>
      <c r="L1470">
        <v>0</v>
      </c>
      <c r="M1470">
        <v>0</v>
      </c>
      <c r="N1470">
        <v>0</v>
      </c>
      <c r="O1470" s="302"/>
    </row>
    <row r="1471" spans="1:15" x14ac:dyDescent="0.2">
      <c r="A1471" s="302"/>
      <c r="B1471" s="887"/>
      <c r="C1471" s="839"/>
      <c r="D1471" s="839"/>
      <c r="E1471" s="713" t="s">
        <v>195</v>
      </c>
      <c r="F1471">
        <v>6747982</v>
      </c>
      <c r="G1471">
        <v>2640500</v>
      </c>
      <c r="H1471">
        <v>4107482</v>
      </c>
      <c r="I1471">
        <v>0</v>
      </c>
      <c r="J1471">
        <v>4107482</v>
      </c>
      <c r="K1471">
        <v>4107482</v>
      </c>
      <c r="L1471">
        <v>0</v>
      </c>
      <c r="M1471">
        <v>0</v>
      </c>
      <c r="N1471">
        <v>0</v>
      </c>
      <c r="O1471" s="302"/>
    </row>
    <row r="1472" spans="1:15" x14ac:dyDescent="0.2">
      <c r="A1472" s="302"/>
      <c r="B1472" s="887"/>
      <c r="C1472" s="838" t="s">
        <v>3641</v>
      </c>
      <c r="D1472" s="838" t="s">
        <v>3281</v>
      </c>
      <c r="E1472" s="713" t="s">
        <v>26</v>
      </c>
      <c r="F1472">
        <v>143062500</v>
      </c>
      <c r="G1472">
        <v>143000000</v>
      </c>
      <c r="H1472">
        <v>62500</v>
      </c>
      <c r="I1472">
        <v>0</v>
      </c>
      <c r="J1472">
        <v>62500</v>
      </c>
      <c r="K1472">
        <v>62500</v>
      </c>
      <c r="L1472">
        <v>0</v>
      </c>
      <c r="M1472">
        <v>0</v>
      </c>
      <c r="N1472">
        <v>0</v>
      </c>
      <c r="O1472" s="302"/>
    </row>
    <row r="1473" spans="1:15" x14ac:dyDescent="0.2">
      <c r="A1473" s="302"/>
      <c r="B1473" s="887"/>
      <c r="C1473" s="839"/>
      <c r="D1473" s="839"/>
      <c r="E1473" s="713" t="s">
        <v>1557</v>
      </c>
      <c r="F1473">
        <v>333812500</v>
      </c>
      <c r="G1473">
        <v>103688647</v>
      </c>
      <c r="H1473">
        <v>230123853</v>
      </c>
      <c r="I1473">
        <v>230123853</v>
      </c>
      <c r="J1473">
        <v>0</v>
      </c>
      <c r="K1473">
        <v>0</v>
      </c>
      <c r="L1473">
        <v>0</v>
      </c>
      <c r="M1473">
        <v>0</v>
      </c>
      <c r="N1473">
        <v>0</v>
      </c>
      <c r="O1473" s="302"/>
    </row>
    <row r="1474" spans="1:15" x14ac:dyDescent="0.2">
      <c r="A1474" s="302"/>
      <c r="B1474" s="887"/>
      <c r="C1474" s="839"/>
      <c r="D1474" s="839"/>
      <c r="E1474" s="713" t="s">
        <v>195</v>
      </c>
      <c r="F1474">
        <v>1027222</v>
      </c>
      <c r="G1474">
        <v>1027222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 s="302"/>
    </row>
    <row r="1475" spans="1:15" x14ac:dyDescent="0.2">
      <c r="A1475" s="302"/>
      <c r="B1475" s="887"/>
      <c r="C1475" s="838" t="s">
        <v>3642</v>
      </c>
      <c r="D1475" s="838" t="s">
        <v>1469</v>
      </c>
      <c r="E1475" s="713" t="s">
        <v>26</v>
      </c>
      <c r="F1475">
        <v>130400000</v>
      </c>
      <c r="G1475">
        <v>124800000</v>
      </c>
      <c r="H1475">
        <v>5600000</v>
      </c>
      <c r="I1475">
        <v>2800000</v>
      </c>
      <c r="J1475">
        <v>2800000</v>
      </c>
      <c r="K1475">
        <v>2800000</v>
      </c>
      <c r="L1475">
        <v>0</v>
      </c>
      <c r="M1475">
        <v>0</v>
      </c>
      <c r="N1475">
        <v>0</v>
      </c>
      <c r="O1475" s="302"/>
    </row>
    <row r="1476" spans="1:15" x14ac:dyDescent="0.2">
      <c r="A1476" s="302"/>
      <c r="B1476" s="887"/>
      <c r="C1476" s="839"/>
      <c r="D1476" s="839"/>
      <c r="E1476" s="713" t="s">
        <v>1557</v>
      </c>
      <c r="F1476">
        <v>265298050</v>
      </c>
      <c r="G1476">
        <v>0</v>
      </c>
      <c r="H1476">
        <v>265298050</v>
      </c>
      <c r="I1476">
        <v>265298050</v>
      </c>
      <c r="J1476">
        <v>0</v>
      </c>
      <c r="K1476">
        <v>0</v>
      </c>
      <c r="L1476">
        <v>0</v>
      </c>
      <c r="M1476">
        <v>0</v>
      </c>
      <c r="N1476">
        <v>0</v>
      </c>
      <c r="O1476" s="302"/>
    </row>
    <row r="1477" spans="1:15" x14ac:dyDescent="0.2">
      <c r="A1477" s="302"/>
      <c r="B1477" s="887"/>
      <c r="C1477" s="838" t="s">
        <v>3643</v>
      </c>
      <c r="D1477" s="838" t="s">
        <v>2292</v>
      </c>
      <c r="E1477" s="713" t="s">
        <v>26</v>
      </c>
      <c r="F1477">
        <v>136463355</v>
      </c>
      <c r="G1477">
        <v>110483645</v>
      </c>
      <c r="H1477">
        <v>25979710</v>
      </c>
      <c r="I1477">
        <v>21046910</v>
      </c>
      <c r="J1477">
        <v>4932800</v>
      </c>
      <c r="K1477">
        <v>4932800</v>
      </c>
      <c r="L1477">
        <v>0</v>
      </c>
      <c r="M1477">
        <v>0</v>
      </c>
      <c r="N1477">
        <v>0</v>
      </c>
      <c r="O1477" s="302"/>
    </row>
    <row r="1478" spans="1:15" x14ac:dyDescent="0.2">
      <c r="A1478" s="302"/>
      <c r="B1478" s="887"/>
      <c r="C1478" s="839"/>
      <c r="D1478" s="839"/>
      <c r="E1478" s="713" t="s">
        <v>1557</v>
      </c>
      <c r="F1478">
        <v>322922145</v>
      </c>
      <c r="G1478">
        <v>0</v>
      </c>
      <c r="H1478">
        <v>322922145</v>
      </c>
      <c r="I1478">
        <v>322922145</v>
      </c>
      <c r="J1478">
        <v>0</v>
      </c>
      <c r="K1478">
        <v>0</v>
      </c>
      <c r="L1478">
        <v>0</v>
      </c>
      <c r="M1478">
        <v>0</v>
      </c>
      <c r="N1478">
        <v>0</v>
      </c>
      <c r="O1478" s="302"/>
    </row>
    <row r="1479" spans="1:15" x14ac:dyDescent="0.2">
      <c r="A1479" s="302"/>
      <c r="B1479" s="887"/>
      <c r="C1479" s="839"/>
      <c r="D1479" s="839"/>
      <c r="E1479" s="713" t="s">
        <v>1221</v>
      </c>
      <c r="F1479">
        <v>1931850</v>
      </c>
      <c r="G1479">
        <v>579555</v>
      </c>
      <c r="H1479">
        <v>1352295</v>
      </c>
      <c r="I1479">
        <v>1352295</v>
      </c>
      <c r="J1479">
        <v>0</v>
      </c>
      <c r="K1479">
        <v>0</v>
      </c>
      <c r="L1479">
        <v>0</v>
      </c>
      <c r="M1479">
        <v>0</v>
      </c>
      <c r="N1479">
        <v>0</v>
      </c>
      <c r="O1479" s="302"/>
    </row>
    <row r="1480" spans="1:15" x14ac:dyDescent="0.2">
      <c r="A1480" s="302"/>
      <c r="B1480" s="887"/>
      <c r="C1480" s="838" t="s">
        <v>3644</v>
      </c>
      <c r="D1480" s="838" t="s">
        <v>1984</v>
      </c>
      <c r="E1480" s="713" t="s">
        <v>26</v>
      </c>
      <c r="F1480">
        <v>140793555</v>
      </c>
      <c r="G1480">
        <v>113444846</v>
      </c>
      <c r="H1480">
        <v>27348709</v>
      </c>
      <c r="I1480">
        <v>13679351</v>
      </c>
      <c r="J1480">
        <v>13669358</v>
      </c>
      <c r="K1480">
        <v>6839678</v>
      </c>
      <c r="L1480">
        <v>6829680</v>
      </c>
      <c r="M1480">
        <v>0</v>
      </c>
      <c r="N1480">
        <v>0</v>
      </c>
      <c r="O1480" s="302"/>
    </row>
    <row r="1481" spans="1:15" x14ac:dyDescent="0.2">
      <c r="A1481" s="302"/>
      <c r="B1481" s="887"/>
      <c r="C1481" s="839"/>
      <c r="D1481" s="839"/>
      <c r="E1481" s="713" t="s">
        <v>1557</v>
      </c>
      <c r="F1481">
        <v>326586445</v>
      </c>
      <c r="G1481">
        <v>0</v>
      </c>
      <c r="H1481">
        <v>326586445</v>
      </c>
      <c r="I1481">
        <v>326586445</v>
      </c>
      <c r="J1481">
        <v>0</v>
      </c>
      <c r="K1481">
        <v>0</v>
      </c>
      <c r="L1481">
        <v>0</v>
      </c>
      <c r="M1481">
        <v>0</v>
      </c>
      <c r="N1481">
        <v>0</v>
      </c>
      <c r="O1481" s="302"/>
    </row>
    <row r="1482" spans="1:15" x14ac:dyDescent="0.2">
      <c r="A1482" s="302"/>
      <c r="B1482" s="887"/>
      <c r="C1482" s="839"/>
      <c r="D1482" s="839"/>
      <c r="E1482" s="713" t="s">
        <v>1221</v>
      </c>
      <c r="F1482">
        <v>1931850</v>
      </c>
      <c r="G1482">
        <v>0</v>
      </c>
      <c r="H1482">
        <v>1931850</v>
      </c>
      <c r="I1482">
        <v>1931850</v>
      </c>
      <c r="J1482">
        <v>0</v>
      </c>
      <c r="K1482">
        <v>0</v>
      </c>
      <c r="L1482">
        <v>0</v>
      </c>
      <c r="M1482">
        <v>0</v>
      </c>
      <c r="N1482">
        <v>0</v>
      </c>
      <c r="O1482" s="302"/>
    </row>
    <row r="1483" spans="1:15" x14ac:dyDescent="0.2">
      <c r="A1483" s="302"/>
      <c r="B1483" s="887"/>
      <c r="C1483" s="838" t="s">
        <v>3645</v>
      </c>
      <c r="D1483" s="838" t="s">
        <v>3012</v>
      </c>
      <c r="E1483" s="713" t="s">
        <v>26</v>
      </c>
      <c r="F1483">
        <v>164699395</v>
      </c>
      <c r="G1483">
        <v>164699395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  <c r="O1483" s="302"/>
    </row>
    <row r="1484" spans="1:15" x14ac:dyDescent="0.2">
      <c r="A1484" s="302"/>
      <c r="B1484" s="887"/>
      <c r="C1484" s="839"/>
      <c r="D1484" s="839"/>
      <c r="E1484" s="713" t="s">
        <v>1557</v>
      </c>
      <c r="F1484">
        <v>302057387</v>
      </c>
      <c r="G1484">
        <v>22900446</v>
      </c>
      <c r="H1484">
        <v>279156941</v>
      </c>
      <c r="I1484">
        <v>279156941</v>
      </c>
      <c r="J1484">
        <v>0</v>
      </c>
      <c r="K1484">
        <v>0</v>
      </c>
      <c r="L1484">
        <v>0</v>
      </c>
      <c r="M1484">
        <v>0</v>
      </c>
      <c r="N1484">
        <v>0</v>
      </c>
      <c r="O1484" s="302"/>
    </row>
    <row r="1485" spans="1:15" x14ac:dyDescent="0.2">
      <c r="A1485" s="302"/>
      <c r="B1485" s="887"/>
      <c r="C1485" s="839"/>
      <c r="D1485" s="839"/>
      <c r="E1485" s="713" t="s">
        <v>1221</v>
      </c>
      <c r="F1485">
        <v>1931850</v>
      </c>
      <c r="G1485">
        <v>1931850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 s="302"/>
    </row>
    <row r="1486" spans="1:15" x14ac:dyDescent="0.2">
      <c r="A1486" s="302"/>
      <c r="B1486" s="887"/>
      <c r="C1486" s="838" t="s">
        <v>3646</v>
      </c>
      <c r="D1486" s="838" t="s">
        <v>1749</v>
      </c>
      <c r="E1486" s="713" t="s">
        <v>26</v>
      </c>
      <c r="F1486">
        <v>139387200</v>
      </c>
      <c r="G1486">
        <v>139387200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 s="302"/>
    </row>
    <row r="1487" spans="1:15" x14ac:dyDescent="0.2">
      <c r="A1487" s="302"/>
      <c r="B1487" s="887"/>
      <c r="C1487" s="839"/>
      <c r="D1487" s="839"/>
      <c r="E1487" s="713" t="s">
        <v>1557</v>
      </c>
      <c r="F1487">
        <v>312546595</v>
      </c>
      <c r="G1487">
        <v>0</v>
      </c>
      <c r="H1487">
        <v>312546595</v>
      </c>
      <c r="I1487">
        <v>312546595</v>
      </c>
      <c r="J1487">
        <v>0</v>
      </c>
      <c r="K1487">
        <v>0</v>
      </c>
      <c r="L1487">
        <v>0</v>
      </c>
      <c r="M1487">
        <v>0</v>
      </c>
      <c r="N1487">
        <v>0</v>
      </c>
      <c r="O1487" s="302"/>
    </row>
    <row r="1488" spans="1:15" x14ac:dyDescent="0.2">
      <c r="A1488" s="302"/>
      <c r="B1488" s="887"/>
      <c r="C1488" s="838" t="s">
        <v>3647</v>
      </c>
      <c r="D1488" s="839" t="s">
        <v>1749</v>
      </c>
      <c r="E1488" s="713" t="s">
        <v>26</v>
      </c>
      <c r="F1488">
        <v>144860000</v>
      </c>
      <c r="G1488">
        <v>131374000</v>
      </c>
      <c r="H1488">
        <v>13486000</v>
      </c>
      <c r="I1488">
        <v>13486000</v>
      </c>
      <c r="J1488">
        <v>0</v>
      </c>
      <c r="K1488">
        <v>0</v>
      </c>
      <c r="L1488">
        <v>0</v>
      </c>
      <c r="M1488">
        <v>0</v>
      </c>
      <c r="N1488">
        <v>0</v>
      </c>
      <c r="O1488" s="302"/>
    </row>
    <row r="1489" spans="1:15" x14ac:dyDescent="0.2">
      <c r="A1489" s="302"/>
      <c r="B1489" s="887"/>
      <c r="C1489" s="839"/>
      <c r="D1489" s="839"/>
      <c r="E1489" s="713" t="s">
        <v>1557</v>
      </c>
      <c r="F1489">
        <v>316927477</v>
      </c>
      <c r="G1489">
        <v>0</v>
      </c>
      <c r="H1489">
        <v>316927477</v>
      </c>
      <c r="I1489">
        <v>316927477</v>
      </c>
      <c r="J1489">
        <v>0</v>
      </c>
      <c r="K1489">
        <v>0</v>
      </c>
      <c r="L1489">
        <v>0</v>
      </c>
      <c r="M1489">
        <v>0</v>
      </c>
      <c r="N1489">
        <v>0</v>
      </c>
      <c r="O1489" s="302"/>
    </row>
    <row r="1490" spans="1:15" x14ac:dyDescent="0.2">
      <c r="A1490" s="302"/>
      <c r="B1490" s="887"/>
      <c r="C1490" s="838" t="s">
        <v>3648</v>
      </c>
      <c r="D1490" s="838" t="s">
        <v>3227</v>
      </c>
      <c r="E1490" s="713" t="s">
        <v>26</v>
      </c>
      <c r="F1490">
        <v>117336000</v>
      </c>
      <c r="G1490">
        <v>92150223</v>
      </c>
      <c r="H1490">
        <v>25185777</v>
      </c>
      <c r="I1490">
        <v>12592888</v>
      </c>
      <c r="J1490">
        <v>12592889</v>
      </c>
      <c r="K1490">
        <v>12592889</v>
      </c>
      <c r="L1490">
        <v>0</v>
      </c>
      <c r="M1490">
        <v>0</v>
      </c>
      <c r="N1490">
        <v>0</v>
      </c>
      <c r="O1490" s="302"/>
    </row>
    <row r="1491" spans="1:15" x14ac:dyDescent="0.2">
      <c r="A1491" s="302"/>
      <c r="B1491" s="887"/>
      <c r="C1491" s="839"/>
      <c r="D1491" s="839"/>
      <c r="E1491" s="713" t="s">
        <v>1557</v>
      </c>
      <c r="F1491">
        <v>273784000</v>
      </c>
      <c r="G1491">
        <v>0</v>
      </c>
      <c r="H1491">
        <v>273784000</v>
      </c>
      <c r="I1491">
        <v>273784000</v>
      </c>
      <c r="J1491">
        <v>0</v>
      </c>
      <c r="K1491">
        <v>0</v>
      </c>
      <c r="L1491">
        <v>0</v>
      </c>
      <c r="M1491">
        <v>0</v>
      </c>
      <c r="N1491">
        <v>0</v>
      </c>
      <c r="O1491" s="302"/>
    </row>
    <row r="1492" spans="1:15" x14ac:dyDescent="0.2">
      <c r="A1492" s="302"/>
      <c r="B1492" s="887"/>
      <c r="C1492" s="838" t="s">
        <v>3649</v>
      </c>
      <c r="D1492" s="838" t="s">
        <v>1562</v>
      </c>
      <c r="E1492" s="713" t="s">
        <v>26</v>
      </c>
      <c r="F1492">
        <v>138081150</v>
      </c>
      <c r="G1492">
        <v>123715325</v>
      </c>
      <c r="H1492">
        <v>14365825</v>
      </c>
      <c r="I1492">
        <v>9577212</v>
      </c>
      <c r="J1492">
        <v>4788613</v>
      </c>
      <c r="K1492">
        <v>4788613</v>
      </c>
      <c r="L1492">
        <v>0</v>
      </c>
      <c r="M1492">
        <v>0</v>
      </c>
      <c r="N1492">
        <v>0</v>
      </c>
      <c r="O1492" s="302"/>
    </row>
    <row r="1493" spans="1:15" x14ac:dyDescent="0.2">
      <c r="A1493" s="302"/>
      <c r="B1493" s="887"/>
      <c r="C1493" s="839"/>
      <c r="D1493" s="839"/>
      <c r="E1493" s="713" t="s">
        <v>1557</v>
      </c>
      <c r="F1493">
        <v>322189350</v>
      </c>
      <c r="G1493">
        <v>0</v>
      </c>
      <c r="H1493">
        <v>322189350</v>
      </c>
      <c r="I1493">
        <v>322189350</v>
      </c>
      <c r="J1493">
        <v>0</v>
      </c>
      <c r="K1493">
        <v>0</v>
      </c>
      <c r="L1493">
        <v>0</v>
      </c>
      <c r="M1493">
        <v>0</v>
      </c>
      <c r="N1493">
        <v>0</v>
      </c>
      <c r="O1493" s="302"/>
    </row>
    <row r="1494" spans="1:15" x14ac:dyDescent="0.2">
      <c r="A1494" s="302"/>
      <c r="B1494" s="887"/>
      <c r="C1494" s="838" t="s">
        <v>3650</v>
      </c>
      <c r="D1494" s="838" t="s">
        <v>3651</v>
      </c>
      <c r="E1494" s="713" t="s">
        <v>22</v>
      </c>
      <c r="F1494">
        <v>80931364</v>
      </c>
      <c r="G1494">
        <v>4020020</v>
      </c>
      <c r="H1494">
        <v>76911344</v>
      </c>
      <c r="I1494">
        <v>71826586</v>
      </c>
      <c r="J1494">
        <v>5084758</v>
      </c>
      <c r="K1494">
        <v>1517463</v>
      </c>
      <c r="L1494">
        <v>1517463</v>
      </c>
      <c r="M1494">
        <v>1517463</v>
      </c>
      <c r="N1494">
        <v>532369</v>
      </c>
      <c r="O1494" s="302"/>
    </row>
    <row r="1495" spans="1:15" x14ac:dyDescent="0.2">
      <c r="A1495" s="302"/>
      <c r="B1495" s="887"/>
      <c r="C1495" s="839"/>
      <c r="D1495" s="839"/>
      <c r="E1495" s="713" t="s">
        <v>26</v>
      </c>
      <c r="F1495">
        <v>93736864</v>
      </c>
      <c r="G1495">
        <v>11717108</v>
      </c>
      <c r="H1495">
        <v>82019756</v>
      </c>
      <c r="I1495">
        <v>58585540</v>
      </c>
      <c r="J1495">
        <v>23434216</v>
      </c>
      <c r="K1495">
        <v>5858554</v>
      </c>
      <c r="L1495">
        <v>5858554</v>
      </c>
      <c r="M1495">
        <v>5858554</v>
      </c>
      <c r="N1495">
        <v>5858554</v>
      </c>
      <c r="O1495" s="302"/>
    </row>
    <row r="1496" spans="1:15" x14ac:dyDescent="0.2">
      <c r="A1496" s="302"/>
      <c r="B1496" s="887"/>
      <c r="C1496" s="839"/>
      <c r="D1496" s="839"/>
      <c r="E1496" s="713" t="s">
        <v>1557</v>
      </c>
      <c r="F1496">
        <v>415413136</v>
      </c>
      <c r="G1496">
        <v>0</v>
      </c>
      <c r="H1496">
        <v>415413136</v>
      </c>
      <c r="I1496">
        <v>415413136</v>
      </c>
      <c r="J1496">
        <v>0</v>
      </c>
      <c r="K1496">
        <v>0</v>
      </c>
      <c r="L1496">
        <v>0</v>
      </c>
      <c r="M1496">
        <v>0</v>
      </c>
      <c r="N1496">
        <v>0</v>
      </c>
      <c r="O1496" s="302"/>
    </row>
    <row r="1497" spans="1:15" x14ac:dyDescent="0.2">
      <c r="A1497" s="302"/>
      <c r="B1497" s="887"/>
      <c r="C1497" s="838" t="s">
        <v>3652</v>
      </c>
      <c r="D1497" s="838" t="s">
        <v>1433</v>
      </c>
      <c r="E1497" s="713" t="s">
        <v>26</v>
      </c>
      <c r="F1497">
        <v>136860600</v>
      </c>
      <c r="G1497">
        <v>128756291</v>
      </c>
      <c r="H1497">
        <v>8104309</v>
      </c>
      <c r="I1497">
        <v>4026072</v>
      </c>
      <c r="J1497">
        <v>4078237</v>
      </c>
      <c r="K1497">
        <v>4026079</v>
      </c>
      <c r="L1497">
        <v>52158</v>
      </c>
      <c r="M1497">
        <v>0</v>
      </c>
      <c r="N1497">
        <v>0</v>
      </c>
      <c r="O1497" s="302"/>
    </row>
    <row r="1498" spans="1:15" x14ac:dyDescent="0.2">
      <c r="A1498" s="302"/>
      <c r="B1498" s="887"/>
      <c r="C1498" s="839"/>
      <c r="D1498" s="839"/>
      <c r="E1498" s="713" t="s">
        <v>1557</v>
      </c>
      <c r="F1498">
        <v>319341400</v>
      </c>
      <c r="G1498">
        <v>0</v>
      </c>
      <c r="H1498">
        <v>319341400</v>
      </c>
      <c r="I1498">
        <v>319341400</v>
      </c>
      <c r="J1498">
        <v>0</v>
      </c>
      <c r="K1498">
        <v>0</v>
      </c>
      <c r="L1498">
        <v>0</v>
      </c>
      <c r="M1498">
        <v>0</v>
      </c>
      <c r="N1498">
        <v>0</v>
      </c>
      <c r="O1498" s="302"/>
    </row>
    <row r="1499" spans="1:15" x14ac:dyDescent="0.2">
      <c r="A1499" s="302"/>
      <c r="B1499" s="887"/>
      <c r="C1499" s="838" t="s">
        <v>3653</v>
      </c>
      <c r="D1499" s="838" t="s">
        <v>1307</v>
      </c>
      <c r="E1499" s="713" t="s">
        <v>22</v>
      </c>
      <c r="F1499">
        <v>80949512</v>
      </c>
      <c r="G1499">
        <v>12142428</v>
      </c>
      <c r="H1499">
        <v>68807084</v>
      </c>
      <c r="I1499">
        <v>58688394</v>
      </c>
      <c r="J1499">
        <v>10118690</v>
      </c>
      <c r="K1499">
        <v>2023738</v>
      </c>
      <c r="L1499">
        <v>2023738</v>
      </c>
      <c r="M1499">
        <v>2023738</v>
      </c>
      <c r="N1499">
        <v>4047476</v>
      </c>
      <c r="O1499" s="302"/>
    </row>
    <row r="1500" spans="1:15" x14ac:dyDescent="0.2">
      <c r="A1500" s="302"/>
      <c r="B1500" s="887"/>
      <c r="C1500" s="839"/>
      <c r="D1500" s="839"/>
      <c r="E1500" s="713" t="s">
        <v>26</v>
      </c>
      <c r="F1500">
        <v>116418000</v>
      </c>
      <c r="G1500">
        <v>94771865</v>
      </c>
      <c r="H1500">
        <v>21646135</v>
      </c>
      <c r="I1500">
        <v>3211938</v>
      </c>
      <c r="J1500">
        <v>18434197</v>
      </c>
      <c r="K1500">
        <v>3211943</v>
      </c>
      <c r="L1500">
        <v>3211943</v>
      </c>
      <c r="M1500">
        <v>3211943</v>
      </c>
      <c r="N1500">
        <v>8798368</v>
      </c>
      <c r="O1500" s="302"/>
    </row>
    <row r="1501" spans="1:15" x14ac:dyDescent="0.2">
      <c r="A1501" s="302"/>
      <c r="B1501" s="887"/>
      <c r="C1501" s="839"/>
      <c r="D1501" s="839"/>
      <c r="E1501" s="713" t="s">
        <v>1557</v>
      </c>
      <c r="F1501">
        <v>271642000</v>
      </c>
      <c r="G1501">
        <v>0</v>
      </c>
      <c r="H1501">
        <v>271642000</v>
      </c>
      <c r="I1501">
        <v>271642000</v>
      </c>
      <c r="J1501">
        <v>0</v>
      </c>
      <c r="K1501">
        <v>0</v>
      </c>
      <c r="L1501">
        <v>0</v>
      </c>
      <c r="M1501">
        <v>0</v>
      </c>
      <c r="N1501">
        <v>0</v>
      </c>
      <c r="O1501" s="302"/>
    </row>
    <row r="1502" spans="1:15" x14ac:dyDescent="0.2">
      <c r="A1502" s="302"/>
      <c r="B1502" s="887"/>
      <c r="C1502" s="839"/>
      <c r="D1502" s="839"/>
      <c r="E1502" s="713" t="s">
        <v>195</v>
      </c>
      <c r="F1502">
        <v>3167882</v>
      </c>
      <c r="G1502">
        <v>3167882</v>
      </c>
      <c r="H1502">
        <v>0</v>
      </c>
      <c r="I1502">
        <v>0</v>
      </c>
      <c r="J1502">
        <v>0</v>
      </c>
      <c r="K1502">
        <v>0</v>
      </c>
      <c r="L1502">
        <v>0</v>
      </c>
      <c r="M1502">
        <v>0</v>
      </c>
      <c r="N1502">
        <v>0</v>
      </c>
      <c r="O1502" s="302"/>
    </row>
    <row r="1503" spans="1:15" x14ac:dyDescent="0.2">
      <c r="A1503" s="302"/>
      <c r="B1503" s="887"/>
      <c r="C1503" s="838" t="s">
        <v>3654</v>
      </c>
      <c r="D1503" s="838" t="s">
        <v>1244</v>
      </c>
      <c r="E1503" s="713" t="s">
        <v>26</v>
      </c>
      <c r="F1503">
        <v>139775751</v>
      </c>
      <c r="G1503">
        <v>137957544</v>
      </c>
      <c r="H1503">
        <v>1818207</v>
      </c>
      <c r="I1503">
        <v>0</v>
      </c>
      <c r="J1503">
        <v>1818207</v>
      </c>
      <c r="K1503">
        <v>1818207</v>
      </c>
      <c r="L1503">
        <v>0</v>
      </c>
      <c r="M1503">
        <v>0</v>
      </c>
      <c r="N1503">
        <v>0</v>
      </c>
      <c r="O1503" s="302"/>
    </row>
    <row r="1504" spans="1:15" x14ac:dyDescent="0.2">
      <c r="A1504" s="302"/>
      <c r="B1504" s="887"/>
      <c r="C1504" s="839"/>
      <c r="D1504" s="839"/>
      <c r="E1504" s="713" t="s">
        <v>1557</v>
      </c>
      <c r="F1504">
        <v>311021725</v>
      </c>
      <c r="G1504">
        <v>0</v>
      </c>
      <c r="H1504">
        <v>311021725</v>
      </c>
      <c r="I1504">
        <v>311021725</v>
      </c>
      <c r="J1504">
        <v>0</v>
      </c>
      <c r="K1504">
        <v>0</v>
      </c>
      <c r="L1504">
        <v>0</v>
      </c>
      <c r="M1504">
        <v>0</v>
      </c>
      <c r="N1504">
        <v>0</v>
      </c>
      <c r="O1504" s="302"/>
    </row>
    <row r="1505" spans="1:15" x14ac:dyDescent="0.2">
      <c r="A1505" s="302"/>
      <c r="B1505" s="887"/>
      <c r="C1505" s="839"/>
      <c r="D1505" s="839"/>
      <c r="E1505" s="713" t="s">
        <v>1221</v>
      </c>
      <c r="F1505">
        <v>1931850</v>
      </c>
      <c r="G1505">
        <v>1818208</v>
      </c>
      <c r="H1505">
        <v>113642</v>
      </c>
      <c r="I1505">
        <v>0</v>
      </c>
      <c r="J1505">
        <v>113642</v>
      </c>
      <c r="K1505">
        <v>113642</v>
      </c>
      <c r="L1505">
        <v>0</v>
      </c>
      <c r="M1505">
        <v>0</v>
      </c>
      <c r="N1505">
        <v>0</v>
      </c>
      <c r="O1505" s="302"/>
    </row>
    <row r="1506" spans="1:15" x14ac:dyDescent="0.2">
      <c r="A1506" s="302"/>
      <c r="B1506" s="887"/>
      <c r="C1506" s="838" t="s">
        <v>4291</v>
      </c>
      <c r="D1506" s="838" t="s">
        <v>4292</v>
      </c>
      <c r="E1506" s="713" t="s">
        <v>22</v>
      </c>
      <c r="F1506">
        <v>80931364</v>
      </c>
      <c r="G1506">
        <v>8093136</v>
      </c>
      <c r="H1506">
        <v>72838228</v>
      </c>
      <c r="I1506">
        <v>70140516</v>
      </c>
      <c r="J1506">
        <v>2697712</v>
      </c>
      <c r="K1506">
        <v>2697712</v>
      </c>
      <c r="L1506">
        <v>0</v>
      </c>
      <c r="M1506">
        <v>0</v>
      </c>
      <c r="N1506">
        <v>0</v>
      </c>
      <c r="O1506" s="302"/>
    </row>
    <row r="1507" spans="1:15" x14ac:dyDescent="0.2">
      <c r="A1507" s="302"/>
      <c r="B1507" s="887"/>
      <c r="C1507" s="839"/>
      <c r="D1507" s="839"/>
      <c r="E1507" s="713" t="s">
        <v>26</v>
      </c>
      <c r="F1507">
        <v>96856864</v>
      </c>
      <c r="G1507">
        <v>12096450</v>
      </c>
      <c r="H1507">
        <v>84760414</v>
      </c>
      <c r="I1507">
        <v>80728540</v>
      </c>
      <c r="J1507">
        <v>4031874</v>
      </c>
      <c r="K1507">
        <v>4031874</v>
      </c>
      <c r="L1507">
        <v>0</v>
      </c>
      <c r="M1507">
        <v>0</v>
      </c>
      <c r="N1507">
        <v>0</v>
      </c>
      <c r="O1507" s="302"/>
    </row>
    <row r="1508" spans="1:15" x14ac:dyDescent="0.2">
      <c r="A1508" s="302"/>
      <c r="B1508" s="887"/>
      <c r="C1508" s="839"/>
      <c r="D1508" s="839"/>
      <c r="E1508" s="713" t="s">
        <v>1557</v>
      </c>
      <c r="F1508">
        <v>427893136</v>
      </c>
      <c r="G1508">
        <v>0</v>
      </c>
      <c r="H1508">
        <v>427893136</v>
      </c>
      <c r="I1508">
        <v>427893136</v>
      </c>
      <c r="J1508">
        <v>0</v>
      </c>
      <c r="K1508">
        <v>0</v>
      </c>
      <c r="L1508">
        <v>0</v>
      </c>
      <c r="M1508">
        <v>0</v>
      </c>
      <c r="N1508">
        <v>0</v>
      </c>
      <c r="O1508" s="302"/>
    </row>
    <row r="1509" spans="1:15" x14ac:dyDescent="0.2">
      <c r="A1509" s="302"/>
      <c r="B1509" s="887"/>
      <c r="C1509" s="838" t="s">
        <v>3655</v>
      </c>
      <c r="D1509" s="838" t="s">
        <v>1530</v>
      </c>
      <c r="E1509" s="713" t="s">
        <v>26</v>
      </c>
      <c r="F1509">
        <v>117003120</v>
      </c>
      <c r="G1509">
        <v>117003120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0</v>
      </c>
      <c r="N1509">
        <v>0</v>
      </c>
      <c r="O1509" s="302"/>
    </row>
    <row r="1510" spans="1:15" x14ac:dyDescent="0.2">
      <c r="A1510" s="302"/>
      <c r="B1510" s="887"/>
      <c r="C1510" s="839"/>
      <c r="D1510" s="839"/>
      <c r="E1510" s="713" t="s">
        <v>1557</v>
      </c>
      <c r="F1510">
        <v>273007280</v>
      </c>
      <c r="G1510">
        <v>113646001</v>
      </c>
      <c r="H1510">
        <v>159361279</v>
      </c>
      <c r="I1510">
        <v>159361279</v>
      </c>
      <c r="J1510">
        <v>0</v>
      </c>
      <c r="K1510">
        <v>0</v>
      </c>
      <c r="L1510">
        <v>0</v>
      </c>
      <c r="M1510">
        <v>0</v>
      </c>
      <c r="N1510">
        <v>0</v>
      </c>
      <c r="O1510" s="302"/>
    </row>
    <row r="1511" spans="1:15" x14ac:dyDescent="0.2">
      <c r="A1511" s="302"/>
      <c r="B1511" s="887"/>
      <c r="C1511" s="839"/>
      <c r="D1511" s="839"/>
      <c r="E1511" s="713" t="s">
        <v>195</v>
      </c>
      <c r="F1511">
        <v>1905256</v>
      </c>
      <c r="G1511">
        <v>1905256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 s="302"/>
    </row>
    <row r="1512" spans="1:15" x14ac:dyDescent="0.2">
      <c r="A1512" s="302"/>
      <c r="B1512" s="887"/>
      <c r="C1512" s="838" t="s">
        <v>3656</v>
      </c>
      <c r="D1512" s="838" t="s">
        <v>1670</v>
      </c>
      <c r="E1512" s="713" t="s">
        <v>26</v>
      </c>
      <c r="F1512">
        <v>135250456</v>
      </c>
      <c r="G1512">
        <v>107546496</v>
      </c>
      <c r="H1512">
        <v>27703960</v>
      </c>
      <c r="I1512">
        <v>21927172</v>
      </c>
      <c r="J1512">
        <v>5776788</v>
      </c>
      <c r="K1512">
        <v>4385436</v>
      </c>
      <c r="L1512">
        <v>1391352</v>
      </c>
      <c r="M1512">
        <v>0</v>
      </c>
      <c r="N1512">
        <v>0</v>
      </c>
      <c r="O1512" s="302"/>
    </row>
    <row r="1513" spans="1:15" x14ac:dyDescent="0.2">
      <c r="A1513" s="302"/>
      <c r="B1513" s="887"/>
      <c r="C1513" s="839"/>
      <c r="D1513" s="839"/>
      <c r="E1513" s="713" t="s">
        <v>1557</v>
      </c>
      <c r="F1513">
        <v>318220700</v>
      </c>
      <c r="G1513">
        <v>161226</v>
      </c>
      <c r="H1513">
        <v>318059474</v>
      </c>
      <c r="I1513">
        <v>318059474</v>
      </c>
      <c r="J1513">
        <v>0</v>
      </c>
      <c r="K1513">
        <v>0</v>
      </c>
      <c r="L1513">
        <v>0</v>
      </c>
      <c r="M1513">
        <v>0</v>
      </c>
      <c r="N1513">
        <v>0</v>
      </c>
      <c r="O1513" s="302"/>
    </row>
    <row r="1514" spans="1:15" x14ac:dyDescent="0.2">
      <c r="A1514" s="302"/>
      <c r="B1514" s="887"/>
      <c r="C1514" s="839"/>
      <c r="D1514" s="839"/>
      <c r="E1514" s="713" t="s">
        <v>195</v>
      </c>
      <c r="F1514">
        <v>511654</v>
      </c>
      <c r="G1514">
        <v>511654</v>
      </c>
      <c r="H1514">
        <v>0</v>
      </c>
      <c r="I1514">
        <v>0</v>
      </c>
      <c r="J1514">
        <v>0</v>
      </c>
      <c r="K1514">
        <v>0</v>
      </c>
      <c r="L1514">
        <v>0</v>
      </c>
      <c r="M1514">
        <v>0</v>
      </c>
      <c r="N1514">
        <v>0</v>
      </c>
      <c r="O1514" s="302"/>
    </row>
    <row r="1515" spans="1:15" x14ac:dyDescent="0.2">
      <c r="A1515" s="302"/>
      <c r="B1515" s="887"/>
      <c r="C1515" s="839"/>
      <c r="D1515" s="839"/>
      <c r="E1515" s="713" t="s">
        <v>1221</v>
      </c>
      <c r="F1515">
        <v>1931850</v>
      </c>
      <c r="G1515">
        <v>1931850</v>
      </c>
      <c r="H1515">
        <v>0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 s="302"/>
    </row>
    <row r="1516" spans="1:15" x14ac:dyDescent="0.2">
      <c r="A1516" s="302"/>
      <c r="B1516" s="887"/>
      <c r="C1516" s="838" t="s">
        <v>3657</v>
      </c>
      <c r="D1516" s="838" t="s">
        <v>3658</v>
      </c>
      <c r="E1516" s="713" t="s">
        <v>22</v>
      </c>
      <c r="F1516">
        <v>80698355</v>
      </c>
      <c r="G1516">
        <v>5906364</v>
      </c>
      <c r="H1516">
        <v>74791991</v>
      </c>
      <c r="I1516">
        <v>74645980</v>
      </c>
      <c r="J1516">
        <v>146011</v>
      </c>
      <c r="K1516">
        <v>146011</v>
      </c>
      <c r="L1516">
        <v>0</v>
      </c>
      <c r="M1516">
        <v>0</v>
      </c>
      <c r="N1516">
        <v>0</v>
      </c>
      <c r="O1516" s="302"/>
    </row>
    <row r="1517" spans="1:15" x14ac:dyDescent="0.2">
      <c r="A1517" s="302"/>
      <c r="B1517" s="887"/>
      <c r="C1517" s="839"/>
      <c r="D1517" s="839"/>
      <c r="E1517" s="713" t="s">
        <v>26</v>
      </c>
      <c r="F1517">
        <v>94968164</v>
      </c>
      <c r="G1517">
        <v>18993636</v>
      </c>
      <c r="H1517">
        <v>75974528</v>
      </c>
      <c r="I1517">
        <v>71226119</v>
      </c>
      <c r="J1517">
        <v>4748409</v>
      </c>
      <c r="K1517">
        <v>4748409</v>
      </c>
      <c r="L1517">
        <v>0</v>
      </c>
      <c r="M1517">
        <v>0</v>
      </c>
      <c r="N1517">
        <v>0</v>
      </c>
      <c r="O1517" s="302"/>
    </row>
    <row r="1518" spans="1:15" x14ac:dyDescent="0.2">
      <c r="A1518" s="302"/>
      <c r="B1518" s="887"/>
      <c r="C1518" s="839"/>
      <c r="D1518" s="839"/>
      <c r="E1518" s="713" t="s">
        <v>1557</v>
      </c>
      <c r="F1518">
        <v>420221836</v>
      </c>
      <c r="G1518">
        <v>0</v>
      </c>
      <c r="H1518">
        <v>420221836</v>
      </c>
      <c r="I1518">
        <v>420221836</v>
      </c>
      <c r="J1518">
        <v>0</v>
      </c>
      <c r="K1518">
        <v>0</v>
      </c>
      <c r="L1518">
        <v>0</v>
      </c>
      <c r="M1518">
        <v>0</v>
      </c>
      <c r="N1518">
        <v>0</v>
      </c>
      <c r="O1518" s="302"/>
    </row>
    <row r="1519" spans="1:15" x14ac:dyDescent="0.2">
      <c r="A1519" s="302"/>
      <c r="B1519" s="887"/>
      <c r="C1519" s="838" t="s">
        <v>3659</v>
      </c>
      <c r="D1519" s="838" t="s">
        <v>1531</v>
      </c>
      <c r="E1519" s="713" t="s">
        <v>26</v>
      </c>
      <c r="F1519">
        <v>117426934</v>
      </c>
      <c r="G1519">
        <v>106800000</v>
      </c>
      <c r="H1519">
        <v>10626934</v>
      </c>
      <c r="I1519">
        <v>6073990</v>
      </c>
      <c r="J1519">
        <v>4552944</v>
      </c>
      <c r="K1519">
        <v>2647059</v>
      </c>
      <c r="L1519">
        <v>1905885</v>
      </c>
      <c r="M1519">
        <v>0</v>
      </c>
      <c r="N1519">
        <v>0</v>
      </c>
      <c r="O1519" s="302"/>
    </row>
    <row r="1520" spans="1:15" x14ac:dyDescent="0.2">
      <c r="A1520" s="302"/>
      <c r="B1520" s="887"/>
      <c r="C1520" s="839"/>
      <c r="D1520" s="839"/>
      <c r="E1520" s="713" t="s">
        <v>1557</v>
      </c>
      <c r="F1520">
        <v>273134850</v>
      </c>
      <c r="G1520">
        <v>0</v>
      </c>
      <c r="H1520">
        <v>273134850</v>
      </c>
      <c r="I1520">
        <v>273134850</v>
      </c>
      <c r="J1520">
        <v>0</v>
      </c>
      <c r="K1520">
        <v>0</v>
      </c>
      <c r="L1520">
        <v>0</v>
      </c>
      <c r="M1520">
        <v>0</v>
      </c>
      <c r="N1520">
        <v>0</v>
      </c>
      <c r="O1520" s="302"/>
    </row>
    <row r="1521" spans="1:15" x14ac:dyDescent="0.2">
      <c r="A1521" s="302"/>
      <c r="B1521" s="887"/>
      <c r="C1521" s="838" t="s">
        <v>3660</v>
      </c>
      <c r="D1521" s="838" t="s">
        <v>1576</v>
      </c>
      <c r="E1521" s="713" t="s">
        <v>26</v>
      </c>
      <c r="F1521">
        <v>139431150</v>
      </c>
      <c r="G1521">
        <v>124383256</v>
      </c>
      <c r="H1521">
        <v>15047894</v>
      </c>
      <c r="I1521">
        <v>10031925</v>
      </c>
      <c r="J1521">
        <v>5015969</v>
      </c>
      <c r="K1521">
        <v>5015969</v>
      </c>
      <c r="L1521">
        <v>0</v>
      </c>
      <c r="M1521">
        <v>0</v>
      </c>
      <c r="N1521">
        <v>0</v>
      </c>
      <c r="O1521" s="302"/>
    </row>
    <row r="1522" spans="1:15" x14ac:dyDescent="0.2">
      <c r="A1522" s="302"/>
      <c r="B1522" s="887"/>
      <c r="C1522" s="839"/>
      <c r="D1522" s="839"/>
      <c r="E1522" s="713" t="s">
        <v>1557</v>
      </c>
      <c r="F1522">
        <v>325339350</v>
      </c>
      <c r="G1522">
        <v>0</v>
      </c>
      <c r="H1522">
        <v>325339350</v>
      </c>
      <c r="I1522">
        <v>325339350</v>
      </c>
      <c r="J1522">
        <v>0</v>
      </c>
      <c r="K1522">
        <v>0</v>
      </c>
      <c r="L1522">
        <v>0</v>
      </c>
      <c r="M1522">
        <v>0</v>
      </c>
      <c r="N1522">
        <v>0</v>
      </c>
      <c r="O1522" s="302"/>
    </row>
    <row r="1523" spans="1:15" x14ac:dyDescent="0.2">
      <c r="A1523" s="302"/>
      <c r="B1523" s="887"/>
      <c r="C1523" s="838" t="s">
        <v>3661</v>
      </c>
      <c r="D1523" s="838" t="s">
        <v>1575</v>
      </c>
      <c r="E1523" s="713" t="s">
        <v>26</v>
      </c>
      <c r="F1523">
        <v>139944489</v>
      </c>
      <c r="G1523">
        <v>139944489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 s="302"/>
    </row>
    <row r="1524" spans="1:15" x14ac:dyDescent="0.2">
      <c r="A1524" s="302"/>
      <c r="B1524" s="887"/>
      <c r="C1524" s="839"/>
      <c r="D1524" s="839"/>
      <c r="E1524" s="713" t="s">
        <v>1557</v>
      </c>
      <c r="F1524">
        <v>327334700</v>
      </c>
      <c r="G1524">
        <v>94889994</v>
      </c>
      <c r="H1524">
        <v>232444706</v>
      </c>
      <c r="I1524">
        <v>232444706</v>
      </c>
      <c r="J1524">
        <v>0</v>
      </c>
      <c r="K1524">
        <v>0</v>
      </c>
      <c r="L1524">
        <v>0</v>
      </c>
      <c r="M1524">
        <v>0</v>
      </c>
      <c r="N1524">
        <v>0</v>
      </c>
      <c r="O1524" s="302"/>
    </row>
    <row r="1525" spans="1:15" x14ac:dyDescent="0.2">
      <c r="A1525" s="302"/>
      <c r="B1525" s="887"/>
      <c r="C1525" s="838" t="s">
        <v>3662</v>
      </c>
      <c r="D1525" s="838" t="s">
        <v>1614</v>
      </c>
      <c r="E1525" s="713" t="s">
        <v>26</v>
      </c>
      <c r="F1525">
        <v>118764000</v>
      </c>
      <c r="G1525">
        <v>109582880</v>
      </c>
      <c r="H1525">
        <v>9181120</v>
      </c>
      <c r="I1525">
        <v>4590560</v>
      </c>
      <c r="J1525">
        <v>4590560</v>
      </c>
      <c r="K1525">
        <v>4590560</v>
      </c>
      <c r="L1525">
        <v>0</v>
      </c>
      <c r="M1525">
        <v>0</v>
      </c>
      <c r="N1525">
        <v>0</v>
      </c>
      <c r="O1525" s="302"/>
    </row>
    <row r="1526" spans="1:15" x14ac:dyDescent="0.2">
      <c r="A1526" s="302"/>
      <c r="B1526" s="887"/>
      <c r="C1526" s="839"/>
      <c r="D1526" s="839"/>
      <c r="E1526" s="713" t="s">
        <v>1557</v>
      </c>
      <c r="F1526">
        <v>277116000</v>
      </c>
      <c r="G1526">
        <v>0</v>
      </c>
      <c r="H1526">
        <v>277116000</v>
      </c>
      <c r="I1526">
        <v>277116000</v>
      </c>
      <c r="J1526">
        <v>0</v>
      </c>
      <c r="K1526">
        <v>0</v>
      </c>
      <c r="L1526">
        <v>0</v>
      </c>
      <c r="M1526">
        <v>0</v>
      </c>
      <c r="N1526">
        <v>0</v>
      </c>
      <c r="O1526" s="302"/>
    </row>
    <row r="1527" spans="1:15" x14ac:dyDescent="0.2">
      <c r="A1527" s="302"/>
      <c r="B1527" s="887"/>
      <c r="C1527" s="838" t="s">
        <v>3663</v>
      </c>
      <c r="D1527" s="838" t="s">
        <v>1720</v>
      </c>
      <c r="E1527" s="713" t="s">
        <v>26</v>
      </c>
      <c r="F1527">
        <v>140140546</v>
      </c>
      <c r="G1527">
        <v>94718150</v>
      </c>
      <c r="H1527">
        <v>45422396</v>
      </c>
      <c r="I1527">
        <v>40140546</v>
      </c>
      <c r="J1527">
        <v>5281850</v>
      </c>
      <c r="K1527">
        <v>5281850</v>
      </c>
      <c r="L1527">
        <v>0</v>
      </c>
      <c r="M1527">
        <v>0</v>
      </c>
      <c r="N1527">
        <v>0</v>
      </c>
      <c r="O1527" s="302"/>
    </row>
    <row r="1528" spans="1:15" x14ac:dyDescent="0.2">
      <c r="A1528" s="302"/>
      <c r="B1528" s="887"/>
      <c r="C1528" s="839"/>
      <c r="D1528" s="839"/>
      <c r="E1528" s="713" t="s">
        <v>1557</v>
      </c>
      <c r="F1528">
        <v>318920700</v>
      </c>
      <c r="G1528">
        <v>0</v>
      </c>
      <c r="H1528">
        <v>318920700</v>
      </c>
      <c r="I1528">
        <v>318920700</v>
      </c>
      <c r="J1528">
        <v>0</v>
      </c>
      <c r="K1528">
        <v>0</v>
      </c>
      <c r="L1528">
        <v>0</v>
      </c>
      <c r="M1528">
        <v>0</v>
      </c>
      <c r="N1528">
        <v>0</v>
      </c>
      <c r="O1528" s="302"/>
    </row>
    <row r="1529" spans="1:15" x14ac:dyDescent="0.2">
      <c r="A1529" s="302"/>
      <c r="B1529" s="887"/>
      <c r="C1529" s="839"/>
      <c r="D1529" s="839"/>
      <c r="E1529" s="713" t="s">
        <v>1221</v>
      </c>
      <c r="F1529">
        <v>1931850</v>
      </c>
      <c r="G1529">
        <v>1931850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 s="302"/>
    </row>
    <row r="1530" spans="1:15" x14ac:dyDescent="0.2">
      <c r="A1530" s="302"/>
      <c r="B1530" s="887"/>
      <c r="C1530" s="838" t="s">
        <v>3664</v>
      </c>
      <c r="D1530" s="838" t="s">
        <v>2579</v>
      </c>
      <c r="E1530" s="713" t="s">
        <v>26</v>
      </c>
      <c r="F1530">
        <v>92367720</v>
      </c>
      <c r="G1530">
        <v>81615673</v>
      </c>
      <c r="H1530">
        <v>10752047</v>
      </c>
      <c r="I1530">
        <v>4732076</v>
      </c>
      <c r="J1530">
        <v>6019971</v>
      </c>
      <c r="K1530">
        <v>6019971</v>
      </c>
      <c r="L1530">
        <v>0</v>
      </c>
      <c r="M1530">
        <v>0</v>
      </c>
      <c r="N1530">
        <v>0</v>
      </c>
      <c r="O1530" s="302"/>
    </row>
    <row r="1531" spans="1:15" x14ac:dyDescent="0.2">
      <c r="A1531" s="302"/>
      <c r="B1531" s="887"/>
      <c r="C1531" s="839"/>
      <c r="D1531" s="839"/>
      <c r="E1531" s="713" t="s">
        <v>1557</v>
      </c>
      <c r="F1531">
        <v>377198280</v>
      </c>
      <c r="G1531">
        <v>0</v>
      </c>
      <c r="H1531">
        <v>377198280</v>
      </c>
      <c r="I1531">
        <v>377198280</v>
      </c>
      <c r="J1531">
        <v>0</v>
      </c>
      <c r="K1531">
        <v>0</v>
      </c>
      <c r="L1531">
        <v>0</v>
      </c>
      <c r="M1531">
        <v>0</v>
      </c>
      <c r="N1531">
        <v>0</v>
      </c>
      <c r="O1531" s="302"/>
    </row>
    <row r="1532" spans="1:15" x14ac:dyDescent="0.2">
      <c r="A1532" s="302"/>
      <c r="B1532" s="887"/>
      <c r="C1532" s="839"/>
      <c r="D1532" s="839"/>
      <c r="E1532" s="713" t="s">
        <v>1221</v>
      </c>
      <c r="F1532">
        <v>1931850</v>
      </c>
      <c r="G1532">
        <v>643950</v>
      </c>
      <c r="H1532">
        <v>1287900</v>
      </c>
      <c r="I1532">
        <v>1287900</v>
      </c>
      <c r="J1532">
        <v>0</v>
      </c>
      <c r="K1532">
        <v>0</v>
      </c>
      <c r="L1532">
        <v>0</v>
      </c>
      <c r="M1532">
        <v>0</v>
      </c>
      <c r="N1532">
        <v>0</v>
      </c>
      <c r="O1532" s="302"/>
    </row>
    <row r="1533" spans="1:15" x14ac:dyDescent="0.2">
      <c r="A1533" s="302"/>
      <c r="B1533" s="887"/>
      <c r="C1533" s="838" t="s">
        <v>3665</v>
      </c>
      <c r="D1533" s="838" t="s">
        <v>1380</v>
      </c>
      <c r="E1533" s="713" t="s">
        <v>26</v>
      </c>
      <c r="F1533">
        <v>117018000</v>
      </c>
      <c r="G1533">
        <v>117018000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</v>
      </c>
      <c r="O1533" s="302"/>
    </row>
    <row r="1534" spans="1:15" x14ac:dyDescent="0.2">
      <c r="A1534" s="302"/>
      <c r="B1534" s="887"/>
      <c r="C1534" s="839"/>
      <c r="D1534" s="839"/>
      <c r="E1534" s="713" t="s">
        <v>1557</v>
      </c>
      <c r="F1534">
        <v>273042000</v>
      </c>
      <c r="G1534">
        <v>31484419</v>
      </c>
      <c r="H1534">
        <v>241557581</v>
      </c>
      <c r="I1534">
        <v>241557581</v>
      </c>
      <c r="J1534">
        <v>0</v>
      </c>
      <c r="K1534">
        <v>0</v>
      </c>
      <c r="L1534">
        <v>0</v>
      </c>
      <c r="M1534">
        <v>0</v>
      </c>
      <c r="N1534">
        <v>0</v>
      </c>
      <c r="O1534" s="302"/>
    </row>
    <row r="1535" spans="1:15" x14ac:dyDescent="0.2">
      <c r="A1535" s="302"/>
      <c r="B1535" s="887"/>
      <c r="C1535" s="838" t="s">
        <v>3666</v>
      </c>
      <c r="D1535" s="838" t="s">
        <v>1629</v>
      </c>
      <c r="E1535" s="713" t="s">
        <v>26</v>
      </c>
      <c r="F1535">
        <v>145972825</v>
      </c>
      <c r="G1535">
        <v>103869534</v>
      </c>
      <c r="H1535">
        <v>42103291</v>
      </c>
      <c r="I1535">
        <v>18522331</v>
      </c>
      <c r="J1535">
        <v>23580960</v>
      </c>
      <c r="K1535">
        <v>9261166</v>
      </c>
      <c r="L1535">
        <v>9261166</v>
      </c>
      <c r="M1535">
        <v>5058628</v>
      </c>
      <c r="N1535">
        <v>0</v>
      </c>
      <c r="O1535" s="302"/>
    </row>
    <row r="1536" spans="1:15" x14ac:dyDescent="0.2">
      <c r="A1536" s="302"/>
      <c r="B1536" s="887"/>
      <c r="C1536" s="839"/>
      <c r="D1536" s="839"/>
      <c r="E1536" s="713" t="s">
        <v>1557</v>
      </c>
      <c r="F1536">
        <v>330788895</v>
      </c>
      <c r="G1536">
        <v>0</v>
      </c>
      <c r="H1536">
        <v>330788895</v>
      </c>
      <c r="I1536">
        <v>330788895</v>
      </c>
      <c r="J1536">
        <v>0</v>
      </c>
      <c r="K1536">
        <v>0</v>
      </c>
      <c r="L1536">
        <v>0</v>
      </c>
      <c r="M1536">
        <v>0</v>
      </c>
      <c r="N1536">
        <v>0</v>
      </c>
      <c r="O1536" s="302"/>
    </row>
    <row r="1537" spans="1:15" x14ac:dyDescent="0.2">
      <c r="A1537" s="302"/>
      <c r="B1537" s="887"/>
      <c r="C1537" s="839"/>
      <c r="D1537" s="839"/>
      <c r="E1537" s="713" t="s">
        <v>195</v>
      </c>
      <c r="F1537">
        <v>4230466</v>
      </c>
      <c r="G1537">
        <v>4230466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 s="302"/>
    </row>
    <row r="1538" spans="1:15" x14ac:dyDescent="0.2">
      <c r="A1538" s="302"/>
      <c r="B1538" s="887"/>
      <c r="C1538" s="839"/>
      <c r="D1538" s="839"/>
      <c r="E1538" s="713" t="s">
        <v>1221</v>
      </c>
      <c r="F1538">
        <v>1931850</v>
      </c>
      <c r="G1538">
        <v>0</v>
      </c>
      <c r="H1538">
        <v>1931850</v>
      </c>
      <c r="I1538">
        <v>1931850</v>
      </c>
      <c r="J1538">
        <v>0</v>
      </c>
      <c r="K1538">
        <v>0</v>
      </c>
      <c r="L1538">
        <v>0</v>
      </c>
      <c r="M1538">
        <v>0</v>
      </c>
      <c r="N1538">
        <v>0</v>
      </c>
      <c r="O1538" s="302"/>
    </row>
    <row r="1539" spans="1:15" x14ac:dyDescent="0.2">
      <c r="A1539" s="302"/>
      <c r="B1539" s="887"/>
      <c r="C1539" s="838" t="s">
        <v>3667</v>
      </c>
      <c r="D1539" s="838" t="s">
        <v>1470</v>
      </c>
      <c r="E1539" s="713" t="s">
        <v>26</v>
      </c>
      <c r="F1539">
        <v>136712070</v>
      </c>
      <c r="G1539">
        <v>123868980</v>
      </c>
      <c r="H1539">
        <v>12843090</v>
      </c>
      <c r="I1539">
        <v>4281020</v>
      </c>
      <c r="J1539">
        <v>8562070</v>
      </c>
      <c r="K1539">
        <v>4281035</v>
      </c>
      <c r="L1539">
        <v>4281035</v>
      </c>
      <c r="M1539">
        <v>0</v>
      </c>
      <c r="N1539">
        <v>0</v>
      </c>
      <c r="O1539" s="302"/>
    </row>
    <row r="1540" spans="1:15" x14ac:dyDescent="0.2">
      <c r="A1540" s="302"/>
      <c r="B1540" s="887"/>
      <c r="C1540" s="839"/>
      <c r="D1540" s="839"/>
      <c r="E1540" s="713" t="s">
        <v>1557</v>
      </c>
      <c r="F1540">
        <v>318994830</v>
      </c>
      <c r="G1540">
        <v>0</v>
      </c>
      <c r="H1540">
        <v>318994830</v>
      </c>
      <c r="I1540">
        <v>318994830</v>
      </c>
      <c r="J1540">
        <v>0</v>
      </c>
      <c r="K1540">
        <v>0</v>
      </c>
      <c r="L1540">
        <v>0</v>
      </c>
      <c r="M1540">
        <v>0</v>
      </c>
      <c r="N1540">
        <v>0</v>
      </c>
      <c r="O1540" s="302"/>
    </row>
    <row r="1541" spans="1:15" x14ac:dyDescent="0.2">
      <c r="A1541" s="302"/>
      <c r="B1541" s="887"/>
      <c r="C1541" s="839"/>
      <c r="D1541" s="839"/>
      <c r="E1541" s="713" t="s">
        <v>1221</v>
      </c>
      <c r="F1541">
        <v>1931850</v>
      </c>
      <c r="G1541">
        <v>1931850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 s="302"/>
    </row>
    <row r="1542" spans="1:15" x14ac:dyDescent="0.2">
      <c r="A1542" s="302"/>
      <c r="B1542" s="887"/>
      <c r="C1542" s="838" t="s">
        <v>3668</v>
      </c>
      <c r="D1542" s="838" t="s">
        <v>1434</v>
      </c>
      <c r="E1542" s="713" t="s">
        <v>26</v>
      </c>
      <c r="F1542">
        <v>137610600</v>
      </c>
      <c r="G1542">
        <v>131500000</v>
      </c>
      <c r="H1542">
        <v>6110600</v>
      </c>
      <c r="I1542">
        <v>4048808</v>
      </c>
      <c r="J1542">
        <v>2061792</v>
      </c>
      <c r="K1542">
        <v>2061792</v>
      </c>
      <c r="L1542">
        <v>0</v>
      </c>
      <c r="M1542">
        <v>0</v>
      </c>
      <c r="N1542">
        <v>0</v>
      </c>
      <c r="O1542" s="302"/>
    </row>
    <row r="1543" spans="1:15" x14ac:dyDescent="0.2">
      <c r="A1543" s="302"/>
      <c r="B1543" s="887"/>
      <c r="C1543" s="839"/>
      <c r="D1543" s="839"/>
      <c r="E1543" s="713" t="s">
        <v>1557</v>
      </c>
      <c r="F1543">
        <v>321091400</v>
      </c>
      <c r="G1543">
        <v>0</v>
      </c>
      <c r="H1543">
        <v>321091400</v>
      </c>
      <c r="I1543">
        <v>321091400</v>
      </c>
      <c r="J1543">
        <v>0</v>
      </c>
      <c r="K1543">
        <v>0</v>
      </c>
      <c r="L1543">
        <v>0</v>
      </c>
      <c r="M1543">
        <v>0</v>
      </c>
      <c r="N1543">
        <v>0</v>
      </c>
      <c r="O1543" s="302"/>
    </row>
    <row r="1544" spans="1:15" x14ac:dyDescent="0.2">
      <c r="A1544" s="302"/>
      <c r="B1544" s="887"/>
      <c r="C1544" s="838" t="s">
        <v>3669</v>
      </c>
      <c r="D1544" s="838" t="s">
        <v>1245</v>
      </c>
      <c r="E1544" s="713" t="s">
        <v>22</v>
      </c>
      <c r="F1544">
        <v>80949512</v>
      </c>
      <c r="G1544">
        <v>23601717</v>
      </c>
      <c r="H1544">
        <v>57347795</v>
      </c>
      <c r="I1544">
        <v>56664658</v>
      </c>
      <c r="J1544">
        <v>683137</v>
      </c>
      <c r="K1544">
        <v>683137</v>
      </c>
      <c r="L1544">
        <v>0</v>
      </c>
      <c r="M1544">
        <v>0</v>
      </c>
      <c r="N1544">
        <v>0</v>
      </c>
      <c r="O1544" s="302"/>
    </row>
    <row r="1545" spans="1:15" x14ac:dyDescent="0.2">
      <c r="A1545" s="302"/>
      <c r="B1545" s="887"/>
      <c r="C1545" s="839"/>
      <c r="D1545" s="839"/>
      <c r="E1545" s="713" t="s">
        <v>26</v>
      </c>
      <c r="F1545">
        <v>116100000</v>
      </c>
      <c r="G1545">
        <v>112897140</v>
      </c>
      <c r="H1545">
        <v>3202860</v>
      </c>
      <c r="I1545">
        <v>0</v>
      </c>
      <c r="J1545">
        <v>3202860</v>
      </c>
      <c r="K1545">
        <v>3202860</v>
      </c>
      <c r="L1545">
        <v>0</v>
      </c>
      <c r="M1545">
        <v>0</v>
      </c>
      <c r="N1545">
        <v>0</v>
      </c>
      <c r="O1545" s="302"/>
    </row>
    <row r="1546" spans="1:15" x14ac:dyDescent="0.2">
      <c r="A1546" s="302"/>
      <c r="B1546" s="887"/>
      <c r="C1546" s="839"/>
      <c r="D1546" s="839"/>
      <c r="E1546" s="713" t="s">
        <v>1557</v>
      </c>
      <c r="F1546">
        <v>270900000</v>
      </c>
      <c r="G1546">
        <v>227625</v>
      </c>
      <c r="H1546">
        <v>270672375</v>
      </c>
      <c r="I1546">
        <v>270672375</v>
      </c>
      <c r="J1546">
        <v>0</v>
      </c>
      <c r="K1546">
        <v>0</v>
      </c>
      <c r="L1546">
        <v>0</v>
      </c>
      <c r="M1546">
        <v>0</v>
      </c>
      <c r="N1546">
        <v>0</v>
      </c>
      <c r="O1546" s="302"/>
    </row>
    <row r="1547" spans="1:15" x14ac:dyDescent="0.2">
      <c r="A1547" s="302"/>
      <c r="B1547" s="887"/>
      <c r="C1547" s="838" t="s">
        <v>3670</v>
      </c>
      <c r="D1547" s="838" t="s">
        <v>1577</v>
      </c>
      <c r="E1547" s="713" t="s">
        <v>26</v>
      </c>
      <c r="F1547">
        <v>139881150</v>
      </c>
      <c r="G1547">
        <v>124783240</v>
      </c>
      <c r="H1547">
        <v>15097910</v>
      </c>
      <c r="I1547">
        <v>10065275</v>
      </c>
      <c r="J1547">
        <v>5032635</v>
      </c>
      <c r="K1547">
        <v>5032635</v>
      </c>
      <c r="L1547">
        <v>0</v>
      </c>
      <c r="M1547">
        <v>0</v>
      </c>
      <c r="N1547">
        <v>0</v>
      </c>
      <c r="O1547" s="302"/>
    </row>
    <row r="1548" spans="1:15" x14ac:dyDescent="0.2">
      <c r="A1548" s="302"/>
      <c r="B1548" s="887"/>
      <c r="C1548" s="839"/>
      <c r="D1548" s="839"/>
      <c r="E1548" s="713" t="s">
        <v>1557</v>
      </c>
      <c r="F1548">
        <v>326389350</v>
      </c>
      <c r="G1548">
        <v>0</v>
      </c>
      <c r="H1548">
        <v>326389350</v>
      </c>
      <c r="I1548">
        <v>326389350</v>
      </c>
      <c r="J1548">
        <v>0</v>
      </c>
      <c r="K1548">
        <v>0</v>
      </c>
      <c r="L1548">
        <v>0</v>
      </c>
      <c r="M1548">
        <v>0</v>
      </c>
      <c r="N1548">
        <v>0</v>
      </c>
      <c r="O1548" s="302"/>
    </row>
    <row r="1549" spans="1:15" x14ac:dyDescent="0.2">
      <c r="A1549" s="302"/>
      <c r="B1549" s="887"/>
      <c r="C1549" s="838" t="s">
        <v>4246</v>
      </c>
      <c r="D1549" s="838" t="s">
        <v>4247</v>
      </c>
      <c r="E1549" s="713" t="s">
        <v>22</v>
      </c>
      <c r="F1549">
        <v>80931364</v>
      </c>
      <c r="G1549">
        <v>8093136</v>
      </c>
      <c r="H1549">
        <v>72838228</v>
      </c>
      <c r="I1549">
        <v>72838228</v>
      </c>
      <c r="J1549">
        <v>0</v>
      </c>
      <c r="K1549">
        <v>0</v>
      </c>
      <c r="L1549">
        <v>0</v>
      </c>
      <c r="M1549">
        <v>0</v>
      </c>
      <c r="N1549">
        <v>0</v>
      </c>
      <c r="O1549" s="302"/>
    </row>
    <row r="1550" spans="1:15" x14ac:dyDescent="0.2">
      <c r="A1550" s="302"/>
      <c r="B1550" s="887"/>
      <c r="C1550" s="839"/>
      <c r="D1550" s="839"/>
      <c r="E1550" s="713" t="s">
        <v>26</v>
      </c>
      <c r="F1550">
        <v>95091864</v>
      </c>
      <c r="G1550">
        <v>31906864</v>
      </c>
      <c r="H1550">
        <v>63185000</v>
      </c>
      <c r="I1550">
        <v>63185000</v>
      </c>
      <c r="J1550">
        <v>0</v>
      </c>
      <c r="K1550">
        <v>0</v>
      </c>
      <c r="L1550">
        <v>0</v>
      </c>
      <c r="M1550">
        <v>0</v>
      </c>
      <c r="N1550">
        <v>0</v>
      </c>
      <c r="O1550" s="302"/>
    </row>
    <row r="1551" spans="1:15" x14ac:dyDescent="0.2">
      <c r="A1551" s="302"/>
      <c r="B1551" s="887"/>
      <c r="C1551" s="839"/>
      <c r="D1551" s="839"/>
      <c r="E1551" s="713" t="s">
        <v>1557</v>
      </c>
      <c r="F1551">
        <v>420833136</v>
      </c>
      <c r="G1551">
        <v>257667</v>
      </c>
      <c r="H1551">
        <v>420575469</v>
      </c>
      <c r="I1551">
        <v>420575469</v>
      </c>
      <c r="J1551">
        <v>0</v>
      </c>
      <c r="K1551">
        <v>0</v>
      </c>
      <c r="L1551">
        <v>0</v>
      </c>
      <c r="M1551">
        <v>0</v>
      </c>
      <c r="N1551">
        <v>0</v>
      </c>
      <c r="O1551" s="302"/>
    </row>
    <row r="1552" spans="1:15" x14ac:dyDescent="0.2">
      <c r="A1552" s="302"/>
      <c r="B1552" s="887"/>
      <c r="C1552" s="838" t="s">
        <v>3671</v>
      </c>
      <c r="D1552" s="838" t="s">
        <v>1615</v>
      </c>
      <c r="E1552" s="713" t="s">
        <v>26</v>
      </c>
      <c r="F1552">
        <v>119814000</v>
      </c>
      <c r="G1552">
        <v>110162826</v>
      </c>
      <c r="H1552">
        <v>9651174</v>
      </c>
      <c r="I1552">
        <v>4825591</v>
      </c>
      <c r="J1552">
        <v>4825583</v>
      </c>
      <c r="K1552">
        <v>4825583</v>
      </c>
      <c r="L1552">
        <v>0</v>
      </c>
      <c r="M1552">
        <v>0</v>
      </c>
      <c r="N1552">
        <v>0</v>
      </c>
      <c r="O1552" s="302"/>
    </row>
    <row r="1553" spans="1:15" x14ac:dyDescent="0.2">
      <c r="A1553" s="302"/>
      <c r="B1553" s="887"/>
      <c r="C1553" s="839"/>
      <c r="D1553" s="839"/>
      <c r="E1553" s="713" t="s">
        <v>1557</v>
      </c>
      <c r="F1553">
        <v>279566000</v>
      </c>
      <c r="G1553">
        <v>0</v>
      </c>
      <c r="H1553">
        <v>279566000</v>
      </c>
      <c r="I1553">
        <v>279566000</v>
      </c>
      <c r="J1553">
        <v>0</v>
      </c>
      <c r="K1553">
        <v>0</v>
      </c>
      <c r="L1553">
        <v>0</v>
      </c>
      <c r="M1553">
        <v>0</v>
      </c>
      <c r="N1553">
        <v>0</v>
      </c>
      <c r="O1553" s="302"/>
    </row>
    <row r="1554" spans="1:15" x14ac:dyDescent="0.2">
      <c r="A1554" s="302"/>
      <c r="B1554" s="887"/>
      <c r="C1554" s="838" t="s">
        <v>3672</v>
      </c>
      <c r="D1554" s="838" t="s">
        <v>1721</v>
      </c>
      <c r="E1554" s="713" t="s">
        <v>26</v>
      </c>
      <c r="F1554">
        <v>141630300</v>
      </c>
      <c r="G1554">
        <v>102644137</v>
      </c>
      <c r="H1554">
        <v>38986163</v>
      </c>
      <c r="I1554">
        <v>31760840</v>
      </c>
      <c r="J1554">
        <v>7225323</v>
      </c>
      <c r="K1554">
        <v>5293473</v>
      </c>
      <c r="L1554">
        <v>1931850</v>
      </c>
      <c r="M1554">
        <v>0</v>
      </c>
      <c r="N1554">
        <v>0</v>
      </c>
      <c r="O1554" s="302"/>
    </row>
    <row r="1555" spans="1:15" x14ac:dyDescent="0.2">
      <c r="A1555" s="302"/>
      <c r="B1555" s="887"/>
      <c r="C1555" s="839"/>
      <c r="D1555" s="839"/>
      <c r="E1555" s="713" t="s">
        <v>1557</v>
      </c>
      <c r="F1555">
        <v>330470700</v>
      </c>
      <c r="G1555">
        <v>0</v>
      </c>
      <c r="H1555">
        <v>330470700</v>
      </c>
      <c r="I1555">
        <v>330470700</v>
      </c>
      <c r="J1555">
        <v>0</v>
      </c>
      <c r="K1555">
        <v>0</v>
      </c>
      <c r="L1555">
        <v>0</v>
      </c>
      <c r="M1555">
        <v>0</v>
      </c>
      <c r="N1555">
        <v>0</v>
      </c>
      <c r="O1555" s="302"/>
    </row>
    <row r="1556" spans="1:15" x14ac:dyDescent="0.2">
      <c r="A1556" s="302"/>
      <c r="B1556" s="887"/>
      <c r="C1556" s="839"/>
      <c r="D1556" s="839"/>
      <c r="E1556" s="713" t="s">
        <v>1221</v>
      </c>
      <c r="F1556">
        <v>1931850</v>
      </c>
      <c r="G1556">
        <v>1931850</v>
      </c>
      <c r="H1556">
        <v>0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  <c r="O1556" s="302"/>
    </row>
    <row r="1557" spans="1:15" x14ac:dyDescent="0.2">
      <c r="A1557" s="302"/>
      <c r="B1557" s="887"/>
      <c r="C1557" s="838" t="s">
        <v>3673</v>
      </c>
      <c r="D1557" s="838" t="s">
        <v>1381</v>
      </c>
      <c r="E1557" s="713" t="s">
        <v>26</v>
      </c>
      <c r="F1557">
        <v>137910600</v>
      </c>
      <c r="G1557">
        <v>130980000</v>
      </c>
      <c r="H1557">
        <v>6930600</v>
      </c>
      <c r="I1557">
        <v>4057896</v>
      </c>
      <c r="J1557">
        <v>2872704</v>
      </c>
      <c r="K1557">
        <v>2872704</v>
      </c>
      <c r="L1557">
        <v>0</v>
      </c>
      <c r="M1557">
        <v>0</v>
      </c>
      <c r="N1557">
        <v>0</v>
      </c>
      <c r="O1557" s="302"/>
    </row>
    <row r="1558" spans="1:15" x14ac:dyDescent="0.2">
      <c r="A1558" s="302"/>
      <c r="B1558" s="887"/>
      <c r="C1558" s="839"/>
      <c r="D1558" s="839"/>
      <c r="E1558" s="713" t="s">
        <v>1557</v>
      </c>
      <c r="F1558">
        <v>321791400</v>
      </c>
      <c r="G1558">
        <v>0</v>
      </c>
      <c r="H1558">
        <v>321791400</v>
      </c>
      <c r="I1558">
        <v>321791400</v>
      </c>
      <c r="J1558">
        <v>0</v>
      </c>
      <c r="K1558">
        <v>0</v>
      </c>
      <c r="L1558">
        <v>0</v>
      </c>
      <c r="M1558">
        <v>0</v>
      </c>
      <c r="N1558">
        <v>0</v>
      </c>
      <c r="O1558" s="302"/>
    </row>
    <row r="1559" spans="1:15" x14ac:dyDescent="0.2">
      <c r="A1559" s="302"/>
      <c r="B1559" s="887"/>
      <c r="C1559" s="838" t="s">
        <v>3674</v>
      </c>
      <c r="D1559" s="838" t="s">
        <v>1471</v>
      </c>
      <c r="E1559" s="713" t="s">
        <v>26</v>
      </c>
      <c r="F1559">
        <v>117813960</v>
      </c>
      <c r="G1559">
        <v>106799704</v>
      </c>
      <c r="H1559">
        <v>11014256</v>
      </c>
      <c r="I1559">
        <v>3671420</v>
      </c>
      <c r="J1559">
        <v>7342836</v>
      </c>
      <c r="K1559">
        <v>3671418</v>
      </c>
      <c r="L1559">
        <v>3671418</v>
      </c>
      <c r="M1559">
        <v>0</v>
      </c>
      <c r="N1559">
        <v>0</v>
      </c>
      <c r="O1559" s="302"/>
    </row>
    <row r="1560" spans="1:15" x14ac:dyDescent="0.2">
      <c r="A1560" s="302"/>
      <c r="B1560" s="887"/>
      <c r="C1560" s="839"/>
      <c r="D1560" s="839"/>
      <c r="E1560" s="713" t="s">
        <v>1557</v>
      </c>
      <c r="F1560">
        <v>274899240</v>
      </c>
      <c r="G1560">
        <v>0</v>
      </c>
      <c r="H1560">
        <v>274899240</v>
      </c>
      <c r="I1560">
        <v>274899240</v>
      </c>
      <c r="J1560">
        <v>0</v>
      </c>
      <c r="K1560">
        <v>0</v>
      </c>
      <c r="L1560">
        <v>0</v>
      </c>
      <c r="M1560">
        <v>0</v>
      </c>
      <c r="N1560">
        <v>0</v>
      </c>
      <c r="O1560" s="302"/>
    </row>
    <row r="1561" spans="1:15" x14ac:dyDescent="0.2">
      <c r="A1561" s="302"/>
      <c r="B1561" s="887"/>
      <c r="C1561" s="838" t="s">
        <v>3675</v>
      </c>
      <c r="D1561" s="838" t="s">
        <v>1671</v>
      </c>
      <c r="E1561" s="713" t="s">
        <v>26</v>
      </c>
      <c r="F1561">
        <v>137280300</v>
      </c>
      <c r="G1561">
        <v>101424000</v>
      </c>
      <c r="H1561">
        <v>35856300</v>
      </c>
      <c r="I1561">
        <v>30760300</v>
      </c>
      <c r="J1561">
        <v>5096000</v>
      </c>
      <c r="K1561">
        <v>5096000</v>
      </c>
      <c r="L1561">
        <v>0</v>
      </c>
      <c r="M1561">
        <v>0</v>
      </c>
      <c r="N1561">
        <v>0</v>
      </c>
      <c r="O1561" s="302"/>
    </row>
    <row r="1562" spans="1:15" x14ac:dyDescent="0.2">
      <c r="A1562" s="302"/>
      <c r="B1562" s="887"/>
      <c r="C1562" s="839"/>
      <c r="D1562" s="839"/>
      <c r="E1562" s="713" t="s">
        <v>1557</v>
      </c>
      <c r="F1562">
        <v>320320700</v>
      </c>
      <c r="G1562">
        <v>0</v>
      </c>
      <c r="H1562">
        <v>320320700</v>
      </c>
      <c r="I1562">
        <v>320320700</v>
      </c>
      <c r="J1562">
        <v>0</v>
      </c>
      <c r="K1562">
        <v>0</v>
      </c>
      <c r="L1562">
        <v>0</v>
      </c>
      <c r="M1562">
        <v>0</v>
      </c>
      <c r="N1562">
        <v>0</v>
      </c>
      <c r="O1562" s="302"/>
    </row>
    <row r="1563" spans="1:15" x14ac:dyDescent="0.2">
      <c r="A1563" s="302"/>
      <c r="B1563" s="887"/>
      <c r="C1563" s="838" t="s">
        <v>3676</v>
      </c>
      <c r="D1563" s="838" t="s">
        <v>2541</v>
      </c>
      <c r="E1563" s="713" t="s">
        <v>22</v>
      </c>
      <c r="F1563">
        <v>91224227</v>
      </c>
      <c r="G1563">
        <v>63155232</v>
      </c>
      <c r="H1563">
        <v>28068995</v>
      </c>
      <c r="I1563">
        <v>14034499</v>
      </c>
      <c r="J1563">
        <v>14034496</v>
      </c>
      <c r="K1563">
        <v>7017248</v>
      </c>
      <c r="L1563">
        <v>7017248</v>
      </c>
      <c r="M1563">
        <v>0</v>
      </c>
      <c r="N1563">
        <v>0</v>
      </c>
      <c r="O1563" s="302"/>
    </row>
    <row r="1564" spans="1:15" x14ac:dyDescent="0.2">
      <c r="A1564" s="302"/>
      <c r="B1564" s="887"/>
      <c r="C1564" s="839"/>
      <c r="D1564" s="839"/>
      <c r="E1564" s="713" t="s">
        <v>26</v>
      </c>
      <c r="F1564">
        <v>92767720</v>
      </c>
      <c r="G1564">
        <v>79904686</v>
      </c>
      <c r="H1564">
        <v>12863034</v>
      </c>
      <c r="I1564">
        <v>4114788</v>
      </c>
      <c r="J1564">
        <v>8748246</v>
      </c>
      <c r="K1564">
        <v>6046638</v>
      </c>
      <c r="L1564">
        <v>2701608</v>
      </c>
      <c r="M1564">
        <v>0</v>
      </c>
      <c r="N1564">
        <v>0</v>
      </c>
      <c r="O1564" s="302"/>
    </row>
    <row r="1565" spans="1:15" x14ac:dyDescent="0.2">
      <c r="A1565" s="302"/>
      <c r="B1565" s="887"/>
      <c r="C1565" s="839"/>
      <c r="D1565" s="839"/>
      <c r="E1565" s="713" t="s">
        <v>1557</v>
      </c>
      <c r="F1565">
        <v>378798280</v>
      </c>
      <c r="G1565">
        <v>0</v>
      </c>
      <c r="H1565">
        <v>378798280</v>
      </c>
      <c r="I1565">
        <v>378798280</v>
      </c>
      <c r="J1565">
        <v>0</v>
      </c>
      <c r="K1565">
        <v>0</v>
      </c>
      <c r="L1565">
        <v>0</v>
      </c>
      <c r="M1565">
        <v>0</v>
      </c>
      <c r="N1565">
        <v>0</v>
      </c>
      <c r="O1565" s="302"/>
    </row>
    <row r="1566" spans="1:15" x14ac:dyDescent="0.2">
      <c r="A1566" s="302"/>
      <c r="B1566" s="887"/>
      <c r="C1566" s="839"/>
      <c r="D1566" s="839"/>
      <c r="E1566" s="713" t="s">
        <v>195</v>
      </c>
      <c r="F1566">
        <v>396720</v>
      </c>
      <c r="G1566">
        <v>396720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0</v>
      </c>
      <c r="N1566">
        <v>0</v>
      </c>
      <c r="O1566" s="302"/>
    </row>
    <row r="1567" spans="1:15" x14ac:dyDescent="0.2">
      <c r="A1567" s="302"/>
      <c r="B1567" s="887"/>
      <c r="C1567" s="839"/>
      <c r="D1567" s="839"/>
      <c r="E1567" s="713" t="s">
        <v>1221</v>
      </c>
      <c r="F1567">
        <v>1931850</v>
      </c>
      <c r="G1567">
        <v>0</v>
      </c>
      <c r="H1567">
        <v>1931850</v>
      </c>
      <c r="I1567">
        <v>1931850</v>
      </c>
      <c r="J1567">
        <v>0</v>
      </c>
      <c r="K1567">
        <v>0</v>
      </c>
      <c r="L1567">
        <v>0</v>
      </c>
      <c r="M1567">
        <v>0</v>
      </c>
      <c r="N1567">
        <v>0</v>
      </c>
      <c r="O1567" s="302"/>
    </row>
    <row r="1568" spans="1:15" x14ac:dyDescent="0.2">
      <c r="A1568" s="302"/>
      <c r="B1568" s="887"/>
      <c r="C1568" s="838" t="s">
        <v>3677</v>
      </c>
      <c r="D1568" s="838" t="s">
        <v>1246</v>
      </c>
      <c r="E1568" s="713" t="s">
        <v>26</v>
      </c>
      <c r="F1568">
        <v>116850000</v>
      </c>
      <c r="G1568">
        <v>107177152</v>
      </c>
      <c r="H1568">
        <v>9672848</v>
      </c>
      <c r="I1568">
        <v>0</v>
      </c>
      <c r="J1568">
        <v>9672848</v>
      </c>
      <c r="K1568">
        <v>3224276</v>
      </c>
      <c r="L1568">
        <v>3224286</v>
      </c>
      <c r="M1568">
        <v>3224286</v>
      </c>
      <c r="N1568">
        <v>0</v>
      </c>
      <c r="O1568" s="302"/>
    </row>
    <row r="1569" spans="1:15" x14ac:dyDescent="0.2">
      <c r="A1569" s="302"/>
      <c r="B1569" s="887"/>
      <c r="C1569" s="839"/>
      <c r="D1569" s="839"/>
      <c r="E1569" s="713" t="s">
        <v>1557</v>
      </c>
      <c r="F1569">
        <v>272650000</v>
      </c>
      <c r="G1569">
        <v>0</v>
      </c>
      <c r="H1569">
        <v>272650000</v>
      </c>
      <c r="I1569">
        <v>272650000</v>
      </c>
      <c r="J1569">
        <v>0</v>
      </c>
      <c r="K1569">
        <v>0</v>
      </c>
      <c r="L1569">
        <v>0</v>
      </c>
      <c r="M1569">
        <v>0</v>
      </c>
      <c r="N1569">
        <v>0</v>
      </c>
      <c r="O1569" s="302"/>
    </row>
    <row r="1570" spans="1:15" x14ac:dyDescent="0.2">
      <c r="A1570" s="302"/>
      <c r="B1570" s="887"/>
      <c r="C1570" s="838" t="s">
        <v>3678</v>
      </c>
      <c r="D1570" s="838" t="s">
        <v>1472</v>
      </c>
      <c r="E1570" s="713" t="s">
        <v>26</v>
      </c>
      <c r="F1570">
        <v>137797011</v>
      </c>
      <c r="G1570">
        <v>130000000</v>
      </c>
      <c r="H1570">
        <v>7797011</v>
      </c>
      <c r="I1570">
        <v>1797011</v>
      </c>
      <c r="J1570">
        <v>6000000</v>
      </c>
      <c r="K1570">
        <v>3000000</v>
      </c>
      <c r="L1570">
        <v>3000000</v>
      </c>
      <c r="M1570">
        <v>0</v>
      </c>
      <c r="N1570">
        <v>0</v>
      </c>
      <c r="O1570" s="302"/>
    </row>
    <row r="1571" spans="1:15" x14ac:dyDescent="0.2">
      <c r="A1571" s="302"/>
      <c r="B1571" s="887"/>
      <c r="C1571" s="839"/>
      <c r="D1571" s="839"/>
      <c r="E1571" s="713" t="s">
        <v>1557</v>
      </c>
      <c r="F1571">
        <v>321526359</v>
      </c>
      <c r="G1571">
        <v>0</v>
      </c>
      <c r="H1571">
        <v>321526359</v>
      </c>
      <c r="I1571">
        <v>321526359</v>
      </c>
      <c r="J1571">
        <v>0</v>
      </c>
      <c r="K1571">
        <v>0</v>
      </c>
      <c r="L1571">
        <v>0</v>
      </c>
      <c r="M1571">
        <v>0</v>
      </c>
      <c r="N1571">
        <v>0</v>
      </c>
      <c r="O1571" s="302"/>
    </row>
    <row r="1572" spans="1:15" x14ac:dyDescent="0.2">
      <c r="A1572" s="302"/>
      <c r="B1572" s="887"/>
      <c r="C1572" s="838" t="s">
        <v>3679</v>
      </c>
      <c r="D1572" s="838" t="s">
        <v>3680</v>
      </c>
      <c r="E1572" s="713" t="s">
        <v>22</v>
      </c>
      <c r="F1572">
        <v>80931364</v>
      </c>
      <c r="G1572">
        <v>4855884</v>
      </c>
      <c r="H1572">
        <v>76075480</v>
      </c>
      <c r="I1572">
        <v>74861509</v>
      </c>
      <c r="J1572">
        <v>1213971</v>
      </c>
      <c r="K1572">
        <v>1213971</v>
      </c>
      <c r="L1572">
        <v>0</v>
      </c>
      <c r="M1572">
        <v>0</v>
      </c>
      <c r="N1572">
        <v>0</v>
      </c>
      <c r="O1572" s="302"/>
    </row>
    <row r="1573" spans="1:15" x14ac:dyDescent="0.2">
      <c r="A1573" s="302"/>
      <c r="B1573" s="887"/>
      <c r="C1573" s="839"/>
      <c r="D1573" s="839"/>
      <c r="E1573" s="713" t="s">
        <v>26</v>
      </c>
      <c r="F1573">
        <v>94636864</v>
      </c>
      <c r="G1573">
        <v>19150116</v>
      </c>
      <c r="H1573">
        <v>75486748</v>
      </c>
      <c r="I1573">
        <v>70977649</v>
      </c>
      <c r="J1573">
        <v>4509099</v>
      </c>
      <c r="K1573">
        <v>4509099</v>
      </c>
      <c r="L1573">
        <v>0</v>
      </c>
      <c r="M1573">
        <v>0</v>
      </c>
      <c r="N1573">
        <v>0</v>
      </c>
      <c r="O1573" s="302"/>
    </row>
    <row r="1574" spans="1:15" x14ac:dyDescent="0.2">
      <c r="A1574" s="302"/>
      <c r="B1574" s="887"/>
      <c r="C1574" s="839"/>
      <c r="D1574" s="839"/>
      <c r="E1574" s="713" t="s">
        <v>1557</v>
      </c>
      <c r="F1574">
        <v>419013136</v>
      </c>
      <c r="G1574">
        <v>0</v>
      </c>
      <c r="H1574">
        <v>419013136</v>
      </c>
      <c r="I1574">
        <v>419013136</v>
      </c>
      <c r="J1574">
        <v>0</v>
      </c>
      <c r="K1574">
        <v>0</v>
      </c>
      <c r="L1574">
        <v>0</v>
      </c>
      <c r="M1574">
        <v>0</v>
      </c>
      <c r="N1574">
        <v>0</v>
      </c>
      <c r="O1574" s="302"/>
    </row>
    <row r="1575" spans="1:15" x14ac:dyDescent="0.2">
      <c r="A1575" s="302"/>
      <c r="B1575" s="887"/>
      <c r="C1575" s="838" t="s">
        <v>3681</v>
      </c>
      <c r="D1575" s="838" t="s">
        <v>2580</v>
      </c>
      <c r="E1575" s="713" t="s">
        <v>26</v>
      </c>
      <c r="F1575">
        <v>139741800</v>
      </c>
      <c r="G1575">
        <v>121912315</v>
      </c>
      <c r="H1575">
        <v>17829485</v>
      </c>
      <c r="I1575">
        <v>8757528</v>
      </c>
      <c r="J1575">
        <v>9071957</v>
      </c>
      <c r="K1575">
        <v>4378768</v>
      </c>
      <c r="L1575">
        <v>4378768</v>
      </c>
      <c r="M1575">
        <v>314421</v>
      </c>
      <c r="N1575">
        <v>0</v>
      </c>
      <c r="O1575" s="302"/>
    </row>
    <row r="1576" spans="1:15" x14ac:dyDescent="0.2">
      <c r="A1576" s="302"/>
      <c r="B1576" s="887"/>
      <c r="C1576" s="839"/>
      <c r="D1576" s="839"/>
      <c r="E1576" s="713" t="s">
        <v>1557</v>
      </c>
      <c r="F1576">
        <v>326064200</v>
      </c>
      <c r="G1576">
        <v>0</v>
      </c>
      <c r="H1576">
        <v>326064200</v>
      </c>
      <c r="I1576">
        <v>326064200</v>
      </c>
      <c r="J1576">
        <v>0</v>
      </c>
      <c r="K1576">
        <v>0</v>
      </c>
      <c r="L1576">
        <v>0</v>
      </c>
      <c r="M1576">
        <v>0</v>
      </c>
      <c r="N1576">
        <v>0</v>
      </c>
      <c r="O1576" s="302"/>
    </row>
    <row r="1577" spans="1:15" x14ac:dyDescent="0.2">
      <c r="A1577" s="302"/>
      <c r="B1577" s="887"/>
      <c r="C1577" s="839"/>
      <c r="D1577" s="839"/>
      <c r="E1577" s="713" t="s">
        <v>195</v>
      </c>
      <c r="F1577">
        <v>1623989</v>
      </c>
      <c r="G1577">
        <v>1623989</v>
      </c>
      <c r="H1577">
        <v>0</v>
      </c>
      <c r="I1577">
        <v>0</v>
      </c>
      <c r="J1577">
        <v>0</v>
      </c>
      <c r="K1577">
        <v>0</v>
      </c>
      <c r="L1577">
        <v>0</v>
      </c>
      <c r="M1577">
        <v>0</v>
      </c>
      <c r="N1577">
        <v>0</v>
      </c>
      <c r="O1577" s="302"/>
    </row>
    <row r="1578" spans="1:15" x14ac:dyDescent="0.2">
      <c r="A1578" s="302"/>
      <c r="B1578" s="887"/>
      <c r="C1578" s="838" t="s">
        <v>3682</v>
      </c>
      <c r="D1578" s="838" t="s">
        <v>1247</v>
      </c>
      <c r="E1578" s="713" t="s">
        <v>26</v>
      </c>
      <c r="F1578">
        <v>117468000</v>
      </c>
      <c r="G1578">
        <v>117468000</v>
      </c>
      <c r="H1578">
        <v>0</v>
      </c>
      <c r="I1578">
        <v>0</v>
      </c>
      <c r="J1578">
        <v>0</v>
      </c>
      <c r="K1578">
        <v>0</v>
      </c>
      <c r="L1578">
        <v>0</v>
      </c>
      <c r="M1578">
        <v>0</v>
      </c>
      <c r="N1578">
        <v>0</v>
      </c>
      <c r="O1578" s="302"/>
    </row>
    <row r="1579" spans="1:15" x14ac:dyDescent="0.2">
      <c r="A1579" s="302"/>
      <c r="B1579" s="887"/>
      <c r="C1579" s="839"/>
      <c r="D1579" s="839"/>
      <c r="E1579" s="713" t="s">
        <v>1557</v>
      </c>
      <c r="F1579">
        <v>274092000</v>
      </c>
      <c r="G1579">
        <v>27453268</v>
      </c>
      <c r="H1579">
        <v>246638732</v>
      </c>
      <c r="I1579">
        <v>246638732</v>
      </c>
      <c r="J1579">
        <v>0</v>
      </c>
      <c r="K1579">
        <v>0</v>
      </c>
      <c r="L1579">
        <v>0</v>
      </c>
      <c r="M1579">
        <v>0</v>
      </c>
      <c r="N1579">
        <v>0</v>
      </c>
      <c r="O1579" s="302"/>
    </row>
    <row r="1580" spans="1:15" x14ac:dyDescent="0.2">
      <c r="A1580" s="302"/>
      <c r="B1580" s="887"/>
      <c r="C1580" s="838" t="s">
        <v>3683</v>
      </c>
      <c r="D1580" s="838" t="s">
        <v>1722</v>
      </c>
      <c r="E1580" s="713" t="s">
        <v>26</v>
      </c>
      <c r="F1580">
        <v>139339058</v>
      </c>
      <c r="G1580">
        <v>133714332</v>
      </c>
      <c r="H1580">
        <v>5624726</v>
      </c>
      <c r="I1580">
        <v>5624726</v>
      </c>
      <c r="J1580">
        <v>0</v>
      </c>
      <c r="K1580">
        <v>0</v>
      </c>
      <c r="L1580">
        <v>0</v>
      </c>
      <c r="M1580">
        <v>0</v>
      </c>
      <c r="N1580">
        <v>0</v>
      </c>
      <c r="O1580" s="302"/>
    </row>
    <row r="1581" spans="1:15" x14ac:dyDescent="0.2">
      <c r="A1581" s="302"/>
      <c r="B1581" s="887"/>
      <c r="C1581" s="839"/>
      <c r="D1581" s="839"/>
      <c r="E1581" s="713" t="s">
        <v>1557</v>
      </c>
      <c r="F1581">
        <v>328553750</v>
      </c>
      <c r="G1581">
        <v>219396</v>
      </c>
      <c r="H1581">
        <v>328334354</v>
      </c>
      <c r="I1581">
        <v>328334354</v>
      </c>
      <c r="J1581">
        <v>0</v>
      </c>
      <c r="K1581">
        <v>0</v>
      </c>
      <c r="L1581">
        <v>0</v>
      </c>
      <c r="M1581">
        <v>0</v>
      </c>
      <c r="N1581">
        <v>0</v>
      </c>
      <c r="O1581" s="302"/>
    </row>
    <row r="1582" spans="1:15" x14ac:dyDescent="0.2">
      <c r="A1582" s="302"/>
      <c r="B1582" s="887"/>
      <c r="C1582" s="839"/>
      <c r="D1582" s="839"/>
      <c r="E1582" s="713" t="s">
        <v>195</v>
      </c>
      <c r="F1582">
        <v>1290668</v>
      </c>
      <c r="G1582">
        <v>1290668</v>
      </c>
      <c r="H1582">
        <v>0</v>
      </c>
      <c r="I1582">
        <v>0</v>
      </c>
      <c r="J1582">
        <v>0</v>
      </c>
      <c r="K1582">
        <v>0</v>
      </c>
      <c r="L1582">
        <v>0</v>
      </c>
      <c r="M1582">
        <v>0</v>
      </c>
      <c r="N1582">
        <v>0</v>
      </c>
      <c r="O1582" s="302"/>
    </row>
    <row r="1583" spans="1:15" x14ac:dyDescent="0.2">
      <c r="A1583" s="302"/>
      <c r="B1583" s="887"/>
      <c r="C1583" s="838" t="s">
        <v>3684</v>
      </c>
      <c r="D1583" s="838" t="s">
        <v>3685</v>
      </c>
      <c r="E1583" s="713" t="s">
        <v>26</v>
      </c>
      <c r="F1583">
        <v>103662565</v>
      </c>
      <c r="G1583">
        <v>21810088</v>
      </c>
      <c r="H1583">
        <v>81852477</v>
      </c>
      <c r="I1583">
        <v>78079505</v>
      </c>
      <c r="J1583">
        <v>3772972</v>
      </c>
      <c r="K1583">
        <v>3772972</v>
      </c>
      <c r="L1583">
        <v>0</v>
      </c>
      <c r="M1583">
        <v>0</v>
      </c>
      <c r="N1583">
        <v>0</v>
      </c>
      <c r="O1583" s="302"/>
    </row>
    <row r="1584" spans="1:15" x14ac:dyDescent="0.2">
      <c r="A1584" s="302"/>
      <c r="B1584" s="887"/>
      <c r="C1584" s="839"/>
      <c r="D1584" s="839"/>
      <c r="E1584" s="713" t="s">
        <v>1557</v>
      </c>
      <c r="F1584">
        <v>422487435</v>
      </c>
      <c r="G1584">
        <v>0</v>
      </c>
      <c r="H1584">
        <v>422487435</v>
      </c>
      <c r="I1584">
        <v>422487435</v>
      </c>
      <c r="J1584">
        <v>0</v>
      </c>
      <c r="K1584">
        <v>0</v>
      </c>
      <c r="L1584">
        <v>0</v>
      </c>
      <c r="M1584">
        <v>0</v>
      </c>
      <c r="N1584">
        <v>0</v>
      </c>
      <c r="O1584" s="302"/>
    </row>
    <row r="1585" spans="1:15" x14ac:dyDescent="0.2">
      <c r="A1585" s="302"/>
      <c r="B1585" s="887"/>
      <c r="C1585" s="839"/>
      <c r="D1585" s="839"/>
      <c r="E1585" s="713" t="s">
        <v>1221</v>
      </c>
      <c r="F1585">
        <v>15674347</v>
      </c>
      <c r="G1585">
        <v>2089912</v>
      </c>
      <c r="H1585">
        <v>13584435</v>
      </c>
      <c r="I1585">
        <v>13584435</v>
      </c>
      <c r="J1585">
        <v>0</v>
      </c>
      <c r="K1585">
        <v>0</v>
      </c>
      <c r="L1585">
        <v>0</v>
      </c>
      <c r="M1585">
        <v>0</v>
      </c>
      <c r="N1585">
        <v>0</v>
      </c>
      <c r="O1585" s="302"/>
    </row>
    <row r="1586" spans="1:15" x14ac:dyDescent="0.2">
      <c r="A1586" s="302"/>
      <c r="B1586" s="887"/>
      <c r="C1586" s="838" t="s">
        <v>3686</v>
      </c>
      <c r="D1586" s="838" t="s">
        <v>1435</v>
      </c>
      <c r="E1586" s="713" t="s">
        <v>26</v>
      </c>
      <c r="F1586">
        <v>143462700</v>
      </c>
      <c r="G1586">
        <v>124625652</v>
      </c>
      <c r="H1586">
        <v>18837048</v>
      </c>
      <c r="I1586">
        <v>6295055</v>
      </c>
      <c r="J1586">
        <v>12541993</v>
      </c>
      <c r="K1586">
        <v>4200000</v>
      </c>
      <c r="L1586">
        <v>4200000</v>
      </c>
      <c r="M1586">
        <v>4141993</v>
      </c>
      <c r="N1586">
        <v>0</v>
      </c>
      <c r="O1586" s="302"/>
    </row>
    <row r="1587" spans="1:15" x14ac:dyDescent="0.2">
      <c r="A1587" s="302"/>
      <c r="B1587" s="887"/>
      <c r="C1587" s="839"/>
      <c r="D1587" s="839"/>
      <c r="E1587" s="713" t="s">
        <v>1557</v>
      </c>
      <c r="F1587">
        <v>322841400</v>
      </c>
      <c r="G1587">
        <v>0</v>
      </c>
      <c r="H1587">
        <v>322841400</v>
      </c>
      <c r="I1587">
        <v>322841400</v>
      </c>
      <c r="J1587">
        <v>0</v>
      </c>
      <c r="K1587">
        <v>0</v>
      </c>
      <c r="L1587">
        <v>0</v>
      </c>
      <c r="M1587">
        <v>0</v>
      </c>
      <c r="N1587">
        <v>0</v>
      </c>
      <c r="O1587" s="302"/>
    </row>
    <row r="1588" spans="1:15" x14ac:dyDescent="0.2">
      <c r="A1588" s="302"/>
      <c r="B1588" s="887"/>
      <c r="C1588" s="839"/>
      <c r="D1588" s="839"/>
      <c r="E1588" s="713" t="s">
        <v>195</v>
      </c>
      <c r="F1588">
        <v>1210143</v>
      </c>
      <c r="G1588">
        <v>1210143</v>
      </c>
      <c r="H1588">
        <v>0</v>
      </c>
      <c r="I1588">
        <v>0</v>
      </c>
      <c r="J1588">
        <v>0</v>
      </c>
      <c r="K1588">
        <v>0</v>
      </c>
      <c r="L1588">
        <v>0</v>
      </c>
      <c r="M1588">
        <v>0</v>
      </c>
      <c r="N1588">
        <v>0</v>
      </c>
      <c r="O1588" s="302"/>
    </row>
    <row r="1589" spans="1:15" x14ac:dyDescent="0.2">
      <c r="A1589" s="302"/>
      <c r="B1589" s="887"/>
      <c r="C1589" s="839"/>
      <c r="D1589" s="839"/>
      <c r="E1589" s="713" t="s">
        <v>1221</v>
      </c>
      <c r="F1589">
        <v>1931850</v>
      </c>
      <c r="G1589">
        <v>1931850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0</v>
      </c>
      <c r="N1589">
        <v>0</v>
      </c>
      <c r="O1589" s="302"/>
    </row>
    <row r="1590" spans="1:15" x14ac:dyDescent="0.2">
      <c r="A1590" s="302"/>
      <c r="B1590" s="887"/>
      <c r="C1590" s="838" t="s">
        <v>3687</v>
      </c>
      <c r="D1590" s="838" t="s">
        <v>1532</v>
      </c>
      <c r="E1590" s="713" t="s">
        <v>22</v>
      </c>
      <c r="F1590">
        <v>80949512</v>
      </c>
      <c r="G1590">
        <v>56000000</v>
      </c>
      <c r="H1590">
        <v>24949512</v>
      </c>
      <c r="I1590">
        <v>11000000</v>
      </c>
      <c r="J1590">
        <v>13949512</v>
      </c>
      <c r="K1590">
        <v>7000000</v>
      </c>
      <c r="L1590">
        <v>6949512</v>
      </c>
      <c r="M1590">
        <v>0</v>
      </c>
      <c r="N1590">
        <v>0</v>
      </c>
      <c r="O1590" s="302"/>
    </row>
    <row r="1591" spans="1:15" x14ac:dyDescent="0.2">
      <c r="A1591" s="302"/>
      <c r="B1591" s="887"/>
      <c r="C1591" s="839"/>
      <c r="D1591" s="839"/>
      <c r="E1591" s="713" t="s">
        <v>26</v>
      </c>
      <c r="F1591">
        <v>118639620</v>
      </c>
      <c r="G1591">
        <v>116761715</v>
      </c>
      <c r="H1591">
        <v>1877905</v>
      </c>
      <c r="I1591">
        <v>1877905</v>
      </c>
      <c r="J1591">
        <v>0</v>
      </c>
      <c r="K1591">
        <v>0</v>
      </c>
      <c r="L1591">
        <v>0</v>
      </c>
      <c r="M1591">
        <v>0</v>
      </c>
      <c r="N1591">
        <v>0</v>
      </c>
      <c r="O1591" s="302"/>
    </row>
    <row r="1592" spans="1:15" x14ac:dyDescent="0.2">
      <c r="A1592" s="302"/>
      <c r="B1592" s="887"/>
      <c r="C1592" s="839"/>
      <c r="D1592" s="839"/>
      <c r="E1592" s="713" t="s">
        <v>1557</v>
      </c>
      <c r="F1592">
        <v>276825780</v>
      </c>
      <c r="G1592">
        <v>1659189</v>
      </c>
      <c r="H1592">
        <v>275166591</v>
      </c>
      <c r="I1592">
        <v>275166591</v>
      </c>
      <c r="J1592">
        <v>0</v>
      </c>
      <c r="K1592">
        <v>0</v>
      </c>
      <c r="L1592">
        <v>0</v>
      </c>
      <c r="M1592">
        <v>0</v>
      </c>
      <c r="N1592">
        <v>0</v>
      </c>
      <c r="O1592" s="302"/>
    </row>
    <row r="1593" spans="1:15" x14ac:dyDescent="0.2">
      <c r="A1593" s="302"/>
      <c r="B1593" s="887"/>
      <c r="C1593" s="839"/>
      <c r="D1593" s="839"/>
      <c r="E1593" s="713" t="s">
        <v>195</v>
      </c>
      <c r="F1593">
        <v>275610</v>
      </c>
      <c r="G1593">
        <v>275610</v>
      </c>
      <c r="H1593">
        <v>0</v>
      </c>
      <c r="I1593">
        <v>0</v>
      </c>
      <c r="J1593">
        <v>0</v>
      </c>
      <c r="K1593">
        <v>0</v>
      </c>
      <c r="L1593">
        <v>0</v>
      </c>
      <c r="M1593">
        <v>0</v>
      </c>
      <c r="N1593">
        <v>0</v>
      </c>
      <c r="O1593" s="302"/>
    </row>
    <row r="1594" spans="1:15" x14ac:dyDescent="0.2">
      <c r="A1594" s="302"/>
      <c r="B1594" s="887"/>
      <c r="C1594" s="839"/>
      <c r="D1594" s="839"/>
      <c r="E1594" s="713" t="s">
        <v>1221</v>
      </c>
      <c r="F1594">
        <v>1512675</v>
      </c>
      <c r="G1594">
        <v>1512675</v>
      </c>
      <c r="H1594">
        <v>0</v>
      </c>
      <c r="I1594">
        <v>0</v>
      </c>
      <c r="J1594">
        <v>0</v>
      </c>
      <c r="K1594">
        <v>0</v>
      </c>
      <c r="L1594">
        <v>0</v>
      </c>
      <c r="M1594">
        <v>0</v>
      </c>
      <c r="N1594">
        <v>0</v>
      </c>
      <c r="O1594" s="302"/>
    </row>
    <row r="1595" spans="1:15" x14ac:dyDescent="0.2">
      <c r="A1595" s="302"/>
      <c r="B1595" s="887"/>
      <c r="C1595" s="838" t="s">
        <v>3688</v>
      </c>
      <c r="D1595" s="838" t="s">
        <v>3013</v>
      </c>
      <c r="E1595" s="713" t="s">
        <v>26</v>
      </c>
      <c r="F1595">
        <v>166000000</v>
      </c>
      <c r="G1595">
        <v>160000000</v>
      </c>
      <c r="H1595">
        <v>6000000</v>
      </c>
      <c r="I1595">
        <v>6000000</v>
      </c>
      <c r="J1595">
        <v>0</v>
      </c>
      <c r="K1595">
        <v>0</v>
      </c>
      <c r="L1595">
        <v>0</v>
      </c>
      <c r="M1595">
        <v>0</v>
      </c>
      <c r="N1595">
        <v>0</v>
      </c>
      <c r="O1595" s="302"/>
    </row>
    <row r="1596" spans="1:15" x14ac:dyDescent="0.2">
      <c r="A1596" s="302"/>
      <c r="B1596" s="887"/>
      <c r="C1596" s="839"/>
      <c r="D1596" s="839"/>
      <c r="E1596" s="713" t="s">
        <v>1557</v>
      </c>
      <c r="F1596">
        <v>298085000</v>
      </c>
      <c r="G1596">
        <v>51210521</v>
      </c>
      <c r="H1596">
        <v>246874479</v>
      </c>
      <c r="I1596">
        <v>246874479</v>
      </c>
      <c r="J1596">
        <v>0</v>
      </c>
      <c r="K1596">
        <v>0</v>
      </c>
      <c r="L1596">
        <v>0</v>
      </c>
      <c r="M1596">
        <v>0</v>
      </c>
      <c r="N1596">
        <v>0</v>
      </c>
      <c r="O1596" s="302"/>
    </row>
    <row r="1597" spans="1:15" x14ac:dyDescent="0.2">
      <c r="A1597" s="302"/>
      <c r="B1597" s="887"/>
      <c r="C1597" s="838" t="s">
        <v>3689</v>
      </c>
      <c r="D1597" s="838" t="s">
        <v>1553</v>
      </c>
      <c r="E1597" s="713" t="s">
        <v>26</v>
      </c>
      <c r="F1597">
        <v>144924245</v>
      </c>
      <c r="G1597">
        <v>133710440</v>
      </c>
      <c r="H1597">
        <v>11213805</v>
      </c>
      <c r="I1597">
        <v>7475870</v>
      </c>
      <c r="J1597">
        <v>3737935</v>
      </c>
      <c r="K1597">
        <v>3737935</v>
      </c>
      <c r="L1597">
        <v>0</v>
      </c>
      <c r="M1597">
        <v>0</v>
      </c>
      <c r="N1597">
        <v>0</v>
      </c>
      <c r="O1597" s="302"/>
    </row>
    <row r="1598" spans="1:15" x14ac:dyDescent="0.2">
      <c r="A1598" s="302"/>
      <c r="B1598" s="887"/>
      <c r="C1598" s="839"/>
      <c r="D1598" s="839"/>
      <c r="E1598" s="713" t="s">
        <v>1557</v>
      </c>
      <c r="F1598">
        <v>325036411</v>
      </c>
      <c r="G1598">
        <v>0</v>
      </c>
      <c r="H1598">
        <v>325036411</v>
      </c>
      <c r="I1598">
        <v>325036411</v>
      </c>
      <c r="J1598">
        <v>0</v>
      </c>
      <c r="K1598">
        <v>0</v>
      </c>
      <c r="L1598">
        <v>0</v>
      </c>
      <c r="M1598">
        <v>0</v>
      </c>
      <c r="N1598">
        <v>0</v>
      </c>
      <c r="O1598" s="302"/>
    </row>
    <row r="1599" spans="1:15" x14ac:dyDescent="0.2">
      <c r="A1599" s="302"/>
      <c r="B1599" s="887"/>
      <c r="C1599" s="839"/>
      <c r="D1599" s="839"/>
      <c r="E1599" s="713" t="s">
        <v>1221</v>
      </c>
      <c r="F1599">
        <v>1000000</v>
      </c>
      <c r="G1599">
        <v>1000000</v>
      </c>
      <c r="H1599">
        <v>0</v>
      </c>
      <c r="I1599">
        <v>0</v>
      </c>
      <c r="J1599">
        <v>0</v>
      </c>
      <c r="K1599">
        <v>0</v>
      </c>
      <c r="L1599">
        <v>0</v>
      </c>
      <c r="M1599">
        <v>0</v>
      </c>
      <c r="N1599">
        <v>0</v>
      </c>
      <c r="O1599" s="302"/>
    </row>
    <row r="1600" spans="1:15" x14ac:dyDescent="0.2">
      <c r="A1600" s="302"/>
      <c r="B1600" s="887"/>
      <c r="C1600" s="838" t="s">
        <v>3690</v>
      </c>
      <c r="D1600" s="838" t="s">
        <v>1347</v>
      </c>
      <c r="E1600" s="713" t="s">
        <v>26</v>
      </c>
      <c r="F1600">
        <v>118711851</v>
      </c>
      <c r="G1600">
        <v>114000000</v>
      </c>
      <c r="H1600">
        <v>4711851</v>
      </c>
      <c r="I1600">
        <v>4711851</v>
      </c>
      <c r="J1600">
        <v>0</v>
      </c>
      <c r="K1600">
        <v>0</v>
      </c>
      <c r="L1600">
        <v>0</v>
      </c>
      <c r="M1600">
        <v>0</v>
      </c>
      <c r="N1600">
        <v>0</v>
      </c>
      <c r="O1600" s="302"/>
    </row>
    <row r="1601" spans="1:15" x14ac:dyDescent="0.2">
      <c r="A1601" s="302"/>
      <c r="B1601" s="887"/>
      <c r="C1601" s="839"/>
      <c r="D1601" s="839"/>
      <c r="E1601" s="713" t="s">
        <v>1557</v>
      </c>
      <c r="F1601">
        <v>274792000</v>
      </c>
      <c r="G1601">
        <v>1674609</v>
      </c>
      <c r="H1601">
        <v>273117391</v>
      </c>
      <c r="I1601">
        <v>273117391</v>
      </c>
      <c r="J1601">
        <v>0</v>
      </c>
      <c r="K1601">
        <v>0</v>
      </c>
      <c r="L1601">
        <v>0</v>
      </c>
      <c r="M1601">
        <v>0</v>
      </c>
      <c r="N1601">
        <v>0</v>
      </c>
      <c r="O1601" s="302"/>
    </row>
    <row r="1602" spans="1:15" x14ac:dyDescent="0.2">
      <c r="A1602" s="302"/>
      <c r="B1602" s="887"/>
      <c r="C1602" s="838" t="s">
        <v>3691</v>
      </c>
      <c r="D1602" s="838" t="s">
        <v>2581</v>
      </c>
      <c r="E1602" s="713" t="s">
        <v>26</v>
      </c>
      <c r="F1602">
        <v>92593120</v>
      </c>
      <c r="G1602">
        <v>68026050</v>
      </c>
      <c r="H1602">
        <v>24567070</v>
      </c>
      <c r="I1602">
        <v>5178173</v>
      </c>
      <c r="J1602">
        <v>19388897</v>
      </c>
      <c r="K1602">
        <v>6466069</v>
      </c>
      <c r="L1602">
        <v>6466069</v>
      </c>
      <c r="M1602">
        <v>6456759</v>
      </c>
      <c r="N1602">
        <v>0</v>
      </c>
      <c r="O1602" s="302"/>
    </row>
    <row r="1603" spans="1:15" x14ac:dyDescent="0.2">
      <c r="A1603" s="302"/>
      <c r="B1603" s="887"/>
      <c r="C1603" s="839"/>
      <c r="D1603" s="839"/>
      <c r="E1603" s="713" t="s">
        <v>1557</v>
      </c>
      <c r="F1603">
        <v>378099880</v>
      </c>
      <c r="G1603">
        <v>0</v>
      </c>
      <c r="H1603">
        <v>378099880</v>
      </c>
      <c r="I1603">
        <v>378099880</v>
      </c>
      <c r="J1603">
        <v>0</v>
      </c>
      <c r="K1603">
        <v>0</v>
      </c>
      <c r="L1603">
        <v>0</v>
      </c>
      <c r="M1603">
        <v>0</v>
      </c>
      <c r="N1603">
        <v>0</v>
      </c>
      <c r="O1603" s="302"/>
    </row>
    <row r="1604" spans="1:15" x14ac:dyDescent="0.2">
      <c r="A1604" s="302"/>
      <c r="B1604" s="887"/>
      <c r="C1604" s="839"/>
      <c r="D1604" s="839"/>
      <c r="E1604" s="713" t="s">
        <v>1221</v>
      </c>
      <c r="F1604">
        <v>1931850</v>
      </c>
      <c r="G1604">
        <v>643950</v>
      </c>
      <c r="H1604">
        <v>1287900</v>
      </c>
      <c r="I1604">
        <v>1287900</v>
      </c>
      <c r="J1604">
        <v>0</v>
      </c>
      <c r="K1604">
        <v>0</v>
      </c>
      <c r="L1604">
        <v>0</v>
      </c>
      <c r="M1604">
        <v>0</v>
      </c>
      <c r="N1604">
        <v>0</v>
      </c>
      <c r="O1604" s="302"/>
    </row>
    <row r="1605" spans="1:15" x14ac:dyDescent="0.2">
      <c r="A1605" s="302"/>
      <c r="B1605" s="887"/>
      <c r="C1605" s="838" t="s">
        <v>3692</v>
      </c>
      <c r="D1605" s="838" t="s">
        <v>3282</v>
      </c>
      <c r="E1605" s="713" t="s">
        <v>26</v>
      </c>
      <c r="F1605">
        <v>103030000</v>
      </c>
      <c r="G1605">
        <v>51515000</v>
      </c>
      <c r="H1605">
        <v>51515000</v>
      </c>
      <c r="I1605">
        <v>51515000</v>
      </c>
      <c r="J1605">
        <v>0</v>
      </c>
      <c r="K1605">
        <v>0</v>
      </c>
      <c r="L1605">
        <v>0</v>
      </c>
      <c r="M1605">
        <v>0</v>
      </c>
      <c r="N1605">
        <v>0</v>
      </c>
      <c r="O1605" s="302"/>
    </row>
    <row r="1606" spans="1:15" x14ac:dyDescent="0.2">
      <c r="A1606" s="302"/>
      <c r="B1606" s="887"/>
      <c r="C1606" s="839"/>
      <c r="D1606" s="839"/>
      <c r="E1606" s="713" t="s">
        <v>1557</v>
      </c>
      <c r="F1606">
        <v>412120000</v>
      </c>
      <c r="G1606">
        <v>87311956</v>
      </c>
      <c r="H1606">
        <v>324808044</v>
      </c>
      <c r="I1606">
        <v>324808044</v>
      </c>
      <c r="J1606">
        <v>0</v>
      </c>
      <c r="K1606">
        <v>0</v>
      </c>
      <c r="L1606">
        <v>0</v>
      </c>
      <c r="M1606">
        <v>0</v>
      </c>
      <c r="N1606">
        <v>0</v>
      </c>
      <c r="O1606" s="302"/>
    </row>
    <row r="1607" spans="1:15" x14ac:dyDescent="0.2">
      <c r="A1607" s="302"/>
      <c r="B1607" s="887"/>
      <c r="C1607" s="838" t="s">
        <v>3693</v>
      </c>
      <c r="D1607" s="838" t="s">
        <v>2293</v>
      </c>
      <c r="E1607" s="713" t="s">
        <v>26</v>
      </c>
      <c r="F1607">
        <v>99654579</v>
      </c>
      <c r="G1607">
        <v>55461057</v>
      </c>
      <c r="H1607">
        <v>44193522</v>
      </c>
      <c r="I1607">
        <v>17677410</v>
      </c>
      <c r="J1607">
        <v>26516112</v>
      </c>
      <c r="K1607">
        <v>8838704</v>
      </c>
      <c r="L1607">
        <v>8838704</v>
      </c>
      <c r="M1607">
        <v>8838704</v>
      </c>
      <c r="N1607">
        <v>0</v>
      </c>
      <c r="O1607" s="302"/>
    </row>
    <row r="1608" spans="1:15" x14ac:dyDescent="0.2">
      <c r="A1608" s="302"/>
      <c r="B1608" s="887"/>
      <c r="C1608" s="839"/>
      <c r="D1608" s="839"/>
      <c r="E1608" s="713" t="s">
        <v>1557</v>
      </c>
      <c r="F1608">
        <v>385346216</v>
      </c>
      <c r="G1608">
        <v>0</v>
      </c>
      <c r="H1608">
        <v>385346216</v>
      </c>
      <c r="I1608">
        <v>385346216</v>
      </c>
      <c r="J1608">
        <v>0</v>
      </c>
      <c r="K1608">
        <v>0</v>
      </c>
      <c r="L1608">
        <v>0</v>
      </c>
      <c r="M1608">
        <v>0</v>
      </c>
      <c r="N1608">
        <v>0</v>
      </c>
      <c r="O1608" s="302"/>
    </row>
    <row r="1609" spans="1:15" x14ac:dyDescent="0.2">
      <c r="A1609" s="302"/>
      <c r="B1609" s="887"/>
      <c r="C1609" s="838" t="s">
        <v>3694</v>
      </c>
      <c r="D1609" s="838" t="s">
        <v>3228</v>
      </c>
      <c r="E1609" s="713" t="s">
        <v>26</v>
      </c>
      <c r="F1609">
        <v>87329860</v>
      </c>
      <c r="G1609">
        <v>33315952</v>
      </c>
      <c r="H1609">
        <v>54013908</v>
      </c>
      <c r="I1609">
        <v>49849414</v>
      </c>
      <c r="J1609">
        <v>4164494</v>
      </c>
      <c r="K1609">
        <v>4164494</v>
      </c>
      <c r="L1609">
        <v>0</v>
      </c>
      <c r="M1609">
        <v>0</v>
      </c>
      <c r="N1609">
        <v>0</v>
      </c>
      <c r="O1609" s="302"/>
    </row>
    <row r="1610" spans="1:15" x14ac:dyDescent="0.2">
      <c r="A1610" s="302"/>
      <c r="B1610" s="887"/>
      <c r="C1610" s="839"/>
      <c r="D1610" s="839"/>
      <c r="E1610" s="713" t="s">
        <v>1557</v>
      </c>
      <c r="F1610">
        <v>355370140</v>
      </c>
      <c r="G1610">
        <v>0</v>
      </c>
      <c r="H1610">
        <v>355370140</v>
      </c>
      <c r="I1610">
        <v>355370140</v>
      </c>
      <c r="J1610">
        <v>0</v>
      </c>
      <c r="K1610">
        <v>0</v>
      </c>
      <c r="L1610">
        <v>0</v>
      </c>
      <c r="M1610">
        <v>0</v>
      </c>
      <c r="N1610">
        <v>0</v>
      </c>
      <c r="O1610" s="302"/>
    </row>
    <row r="1611" spans="1:15" x14ac:dyDescent="0.2">
      <c r="A1611" s="302"/>
      <c r="B1611" s="887"/>
      <c r="C1611" s="839"/>
      <c r="D1611" s="839"/>
      <c r="E1611" s="713" t="s">
        <v>1221</v>
      </c>
      <c r="F1611">
        <v>1512675</v>
      </c>
      <c r="G1611">
        <v>0</v>
      </c>
      <c r="H1611">
        <v>1512675</v>
      </c>
      <c r="I1611">
        <v>1512675</v>
      </c>
      <c r="J1611">
        <v>0</v>
      </c>
      <c r="K1611">
        <v>0</v>
      </c>
      <c r="L1611">
        <v>0</v>
      </c>
      <c r="M1611">
        <v>0</v>
      </c>
      <c r="N1611">
        <v>0</v>
      </c>
      <c r="O1611" s="302"/>
    </row>
    <row r="1612" spans="1:15" x14ac:dyDescent="0.2">
      <c r="A1612" s="302"/>
      <c r="B1612" s="887"/>
      <c r="C1612" s="838" t="s">
        <v>3695</v>
      </c>
      <c r="D1612" s="838" t="s">
        <v>1672</v>
      </c>
      <c r="E1612" s="713" t="s">
        <v>26</v>
      </c>
      <c r="F1612">
        <v>138630300</v>
      </c>
      <c r="G1612">
        <v>99000000</v>
      </c>
      <c r="H1612">
        <v>39630300</v>
      </c>
      <c r="I1612">
        <v>31068540</v>
      </c>
      <c r="J1612">
        <v>8561760</v>
      </c>
      <c r="K1612">
        <v>5178088</v>
      </c>
      <c r="L1612">
        <v>3383672</v>
      </c>
      <c r="M1612">
        <v>0</v>
      </c>
      <c r="N1612">
        <v>0</v>
      </c>
      <c r="O1612" s="302"/>
    </row>
    <row r="1613" spans="1:15" x14ac:dyDescent="0.2">
      <c r="A1613" s="302"/>
      <c r="B1613" s="887"/>
      <c r="C1613" s="839"/>
      <c r="D1613" s="839"/>
      <c r="E1613" s="713" t="s">
        <v>1557</v>
      </c>
      <c r="F1613">
        <v>323470700</v>
      </c>
      <c r="G1613">
        <v>254109</v>
      </c>
      <c r="H1613">
        <v>323216591</v>
      </c>
      <c r="I1613">
        <v>323216591</v>
      </c>
      <c r="J1613">
        <v>0</v>
      </c>
      <c r="K1613">
        <v>0</v>
      </c>
      <c r="L1613">
        <v>0</v>
      </c>
      <c r="M1613">
        <v>0</v>
      </c>
      <c r="N1613">
        <v>0</v>
      </c>
      <c r="O1613" s="302"/>
    </row>
    <row r="1614" spans="1:15" x14ac:dyDescent="0.2">
      <c r="A1614" s="302"/>
      <c r="B1614" s="887"/>
      <c r="C1614" s="838" t="s">
        <v>3696</v>
      </c>
      <c r="D1614" s="838" t="s">
        <v>3283</v>
      </c>
      <c r="E1614" s="713" t="s">
        <v>26</v>
      </c>
      <c r="F1614">
        <v>101584520</v>
      </c>
      <c r="G1614">
        <v>40256365</v>
      </c>
      <c r="H1614">
        <v>61328155</v>
      </c>
      <c r="I1614">
        <v>55577245</v>
      </c>
      <c r="J1614">
        <v>5750910</v>
      </c>
      <c r="K1614">
        <v>5750910</v>
      </c>
      <c r="L1614">
        <v>0</v>
      </c>
      <c r="M1614">
        <v>0</v>
      </c>
      <c r="N1614">
        <v>0</v>
      </c>
      <c r="O1614" s="302"/>
    </row>
    <row r="1615" spans="1:15" x14ac:dyDescent="0.2">
      <c r="A1615" s="302"/>
      <c r="B1615" s="887"/>
      <c r="C1615" s="839"/>
      <c r="D1615" s="839"/>
      <c r="E1615" s="713" t="s">
        <v>1557</v>
      </c>
      <c r="F1615">
        <v>414065480</v>
      </c>
      <c r="G1615">
        <v>0</v>
      </c>
      <c r="H1615">
        <v>414065480</v>
      </c>
      <c r="I1615">
        <v>414065480</v>
      </c>
      <c r="J1615">
        <v>0</v>
      </c>
      <c r="K1615">
        <v>0</v>
      </c>
      <c r="L1615">
        <v>0</v>
      </c>
      <c r="M1615">
        <v>0</v>
      </c>
      <c r="N1615">
        <v>0</v>
      </c>
      <c r="O1615" s="302"/>
    </row>
    <row r="1616" spans="1:15" x14ac:dyDescent="0.2">
      <c r="A1616" s="302"/>
      <c r="B1616" s="887"/>
      <c r="C1616" s="839"/>
      <c r="D1616" s="839"/>
      <c r="E1616" s="713" t="s">
        <v>1221</v>
      </c>
      <c r="F1616">
        <v>1931850</v>
      </c>
      <c r="G1616">
        <v>0</v>
      </c>
      <c r="H1616">
        <v>1931850</v>
      </c>
      <c r="I1616">
        <v>1931850</v>
      </c>
      <c r="J1616">
        <v>0</v>
      </c>
      <c r="K1616">
        <v>0</v>
      </c>
      <c r="L1616">
        <v>0</v>
      </c>
      <c r="M1616">
        <v>0</v>
      </c>
      <c r="N1616">
        <v>0</v>
      </c>
      <c r="O1616" s="302"/>
    </row>
    <row r="1617" spans="1:15" x14ac:dyDescent="0.2">
      <c r="A1617" s="302"/>
      <c r="B1617" s="887"/>
      <c r="C1617" s="838" t="s">
        <v>3697</v>
      </c>
      <c r="D1617" s="838" t="s">
        <v>2542</v>
      </c>
      <c r="E1617" s="713" t="s">
        <v>22</v>
      </c>
      <c r="F1617">
        <v>80698359</v>
      </c>
      <c r="G1617">
        <v>9683804</v>
      </c>
      <c r="H1617">
        <v>71014555</v>
      </c>
      <c r="I1617">
        <v>66172653</v>
      </c>
      <c r="J1617">
        <v>4841902</v>
      </c>
      <c r="K1617">
        <v>4841902</v>
      </c>
      <c r="L1617">
        <v>0</v>
      </c>
      <c r="M1617">
        <v>0</v>
      </c>
      <c r="N1617">
        <v>0</v>
      </c>
      <c r="O1617" s="302"/>
    </row>
    <row r="1618" spans="1:15" x14ac:dyDescent="0.2">
      <c r="A1618" s="302"/>
      <c r="B1618" s="887"/>
      <c r="C1618" s="839"/>
      <c r="D1618" s="839"/>
      <c r="E1618" s="713" t="s">
        <v>26</v>
      </c>
      <c r="F1618">
        <v>139723005</v>
      </c>
      <c r="G1618">
        <v>116718866</v>
      </c>
      <c r="H1618">
        <v>23004139</v>
      </c>
      <c r="I1618">
        <v>14906795</v>
      </c>
      <c r="J1618">
        <v>8097344</v>
      </c>
      <c r="K1618">
        <v>8097344</v>
      </c>
      <c r="L1618">
        <v>0</v>
      </c>
      <c r="M1618">
        <v>0</v>
      </c>
      <c r="N1618">
        <v>0</v>
      </c>
      <c r="O1618" s="302"/>
    </row>
    <row r="1619" spans="1:15" x14ac:dyDescent="0.2">
      <c r="A1619" s="302"/>
      <c r="B1619" s="887"/>
      <c r="C1619" s="839"/>
      <c r="D1619" s="839"/>
      <c r="E1619" s="713" t="s">
        <v>1557</v>
      </c>
      <c r="F1619">
        <v>330527995</v>
      </c>
      <c r="G1619">
        <v>0</v>
      </c>
      <c r="H1619">
        <v>330527995</v>
      </c>
      <c r="I1619">
        <v>330527995</v>
      </c>
      <c r="J1619">
        <v>0</v>
      </c>
      <c r="K1619">
        <v>0</v>
      </c>
      <c r="L1619">
        <v>0</v>
      </c>
      <c r="M1619">
        <v>0</v>
      </c>
      <c r="N1619">
        <v>0</v>
      </c>
      <c r="O1619" s="302"/>
    </row>
    <row r="1620" spans="1:15" x14ac:dyDescent="0.2">
      <c r="A1620" s="302"/>
      <c r="B1620" s="887"/>
      <c r="C1620" s="839"/>
      <c r="D1620" s="839"/>
      <c r="E1620" s="713" t="s">
        <v>1221</v>
      </c>
      <c r="F1620">
        <v>1931850</v>
      </c>
      <c r="G1620">
        <v>643950</v>
      </c>
      <c r="H1620">
        <v>1287900</v>
      </c>
      <c r="I1620">
        <v>1287900</v>
      </c>
      <c r="J1620">
        <v>0</v>
      </c>
      <c r="K1620">
        <v>0</v>
      </c>
      <c r="L1620">
        <v>0</v>
      </c>
      <c r="M1620">
        <v>0</v>
      </c>
      <c r="N1620">
        <v>0</v>
      </c>
      <c r="O1620" s="302"/>
    </row>
    <row r="1621" spans="1:15" x14ac:dyDescent="0.2">
      <c r="A1621" s="302"/>
      <c r="B1621" s="887"/>
      <c r="C1621" s="838" t="s">
        <v>3698</v>
      </c>
      <c r="D1621" s="838" t="s">
        <v>1473</v>
      </c>
      <c r="E1621" s="713" t="s">
        <v>26</v>
      </c>
      <c r="F1621">
        <v>119904000</v>
      </c>
      <c r="G1621">
        <v>109038000</v>
      </c>
      <c r="H1621">
        <v>10866000</v>
      </c>
      <c r="I1621">
        <v>7244000</v>
      </c>
      <c r="J1621">
        <v>3622000</v>
      </c>
      <c r="K1621">
        <v>3622000</v>
      </c>
      <c r="L1621">
        <v>0</v>
      </c>
      <c r="M1621">
        <v>0</v>
      </c>
      <c r="N1621">
        <v>0</v>
      </c>
      <c r="O1621" s="302"/>
    </row>
    <row r="1622" spans="1:15" x14ac:dyDescent="0.2">
      <c r="A1622" s="302"/>
      <c r="B1622" s="887"/>
      <c r="C1622" s="839"/>
      <c r="D1622" s="839"/>
      <c r="E1622" s="713" t="s">
        <v>1557</v>
      </c>
      <c r="F1622">
        <v>279776000</v>
      </c>
      <c r="G1622">
        <v>0</v>
      </c>
      <c r="H1622">
        <v>279776000</v>
      </c>
      <c r="I1622">
        <v>279776000</v>
      </c>
      <c r="J1622">
        <v>0</v>
      </c>
      <c r="K1622">
        <v>0</v>
      </c>
      <c r="L1622">
        <v>0</v>
      </c>
      <c r="M1622">
        <v>0</v>
      </c>
      <c r="N1622">
        <v>0</v>
      </c>
      <c r="O1622" s="302"/>
    </row>
    <row r="1623" spans="1:15" x14ac:dyDescent="0.2">
      <c r="A1623" s="302"/>
      <c r="B1623" s="887"/>
      <c r="C1623" s="838" t="s">
        <v>3699</v>
      </c>
      <c r="D1623" s="838" t="s">
        <v>1474</v>
      </c>
      <c r="E1623" s="713" t="s">
        <v>26</v>
      </c>
      <c r="F1623">
        <v>137420743</v>
      </c>
      <c r="G1623">
        <v>127110634</v>
      </c>
      <c r="H1623">
        <v>10310109</v>
      </c>
      <c r="I1623">
        <v>4169405</v>
      </c>
      <c r="J1623">
        <v>6140704</v>
      </c>
      <c r="K1623">
        <v>4169398</v>
      </c>
      <c r="L1623">
        <v>1971306</v>
      </c>
      <c r="M1623">
        <v>0</v>
      </c>
      <c r="N1623">
        <v>0</v>
      </c>
      <c r="O1623" s="302"/>
    </row>
    <row r="1624" spans="1:15" x14ac:dyDescent="0.2">
      <c r="A1624" s="302"/>
      <c r="B1624" s="887"/>
      <c r="C1624" s="839"/>
      <c r="D1624" s="839"/>
      <c r="E1624" s="713" t="s">
        <v>1557</v>
      </c>
      <c r="F1624">
        <v>320648402</v>
      </c>
      <c r="G1624">
        <v>0</v>
      </c>
      <c r="H1624">
        <v>320648402</v>
      </c>
      <c r="I1624">
        <v>320648402</v>
      </c>
      <c r="J1624">
        <v>0</v>
      </c>
      <c r="K1624">
        <v>0</v>
      </c>
      <c r="L1624">
        <v>0</v>
      </c>
      <c r="M1624">
        <v>0</v>
      </c>
      <c r="N1624">
        <v>0</v>
      </c>
      <c r="O1624" s="302"/>
    </row>
    <row r="1625" spans="1:15" x14ac:dyDescent="0.2">
      <c r="A1625" s="302"/>
      <c r="B1625" s="887"/>
      <c r="C1625" s="839"/>
      <c r="D1625" s="839"/>
      <c r="E1625" s="713" t="s">
        <v>195</v>
      </c>
      <c r="F1625">
        <v>39456</v>
      </c>
      <c r="G1625">
        <v>39456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0</v>
      </c>
      <c r="N1625">
        <v>0</v>
      </c>
      <c r="O1625" s="302"/>
    </row>
    <row r="1626" spans="1:15" x14ac:dyDescent="0.2">
      <c r="A1626" s="302"/>
      <c r="B1626" s="887"/>
      <c r="C1626" s="839"/>
      <c r="D1626" s="839"/>
      <c r="E1626" s="713" t="s">
        <v>1221</v>
      </c>
      <c r="F1626">
        <v>1931850</v>
      </c>
      <c r="G1626">
        <v>1931850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 s="302"/>
    </row>
    <row r="1627" spans="1:15" x14ac:dyDescent="0.2">
      <c r="A1627" s="302"/>
      <c r="B1627" s="887"/>
      <c r="C1627" s="838" t="s">
        <v>3701</v>
      </c>
      <c r="D1627" s="838" t="s">
        <v>2248</v>
      </c>
      <c r="E1627" s="713" t="s">
        <v>26</v>
      </c>
      <c r="F1627">
        <v>129000000</v>
      </c>
      <c r="G1627">
        <v>119000767</v>
      </c>
      <c r="H1627">
        <v>9999233</v>
      </c>
      <c r="I1627">
        <v>5000000</v>
      </c>
      <c r="J1627">
        <v>4999233</v>
      </c>
      <c r="K1627">
        <v>4999233</v>
      </c>
      <c r="L1627">
        <v>0</v>
      </c>
      <c r="M1627">
        <v>0</v>
      </c>
      <c r="N1627">
        <v>0</v>
      </c>
      <c r="O1627" s="302"/>
    </row>
    <row r="1628" spans="1:15" x14ac:dyDescent="0.2">
      <c r="A1628" s="302"/>
      <c r="B1628" s="887"/>
      <c r="C1628" s="839"/>
      <c r="D1628" s="839"/>
      <c r="E1628" s="713" t="s">
        <v>1557</v>
      </c>
      <c r="F1628">
        <v>273951128</v>
      </c>
      <c r="G1628">
        <v>0</v>
      </c>
      <c r="H1628">
        <v>273951128</v>
      </c>
      <c r="I1628">
        <v>273951128</v>
      </c>
      <c r="J1628">
        <v>0</v>
      </c>
      <c r="K1628">
        <v>0</v>
      </c>
      <c r="L1628">
        <v>0</v>
      </c>
      <c r="M1628">
        <v>0</v>
      </c>
      <c r="N1628">
        <v>0</v>
      </c>
      <c r="O1628" s="302"/>
    </row>
    <row r="1629" spans="1:15" x14ac:dyDescent="0.2">
      <c r="A1629" s="302"/>
      <c r="B1629" s="887"/>
      <c r="C1629" s="839"/>
      <c r="D1629" s="839"/>
      <c r="E1629" s="713" t="s">
        <v>195</v>
      </c>
      <c r="F1629">
        <v>813233</v>
      </c>
      <c r="G1629">
        <v>813233</v>
      </c>
      <c r="H1629">
        <v>0</v>
      </c>
      <c r="I1629">
        <v>0</v>
      </c>
      <c r="J1629">
        <v>0</v>
      </c>
      <c r="K1629">
        <v>0</v>
      </c>
      <c r="L1629">
        <v>0</v>
      </c>
      <c r="M1629">
        <v>0</v>
      </c>
      <c r="N1629">
        <v>0</v>
      </c>
      <c r="O1629" s="302"/>
    </row>
    <row r="1630" spans="1:15" x14ac:dyDescent="0.2">
      <c r="A1630" s="302"/>
      <c r="B1630" s="887"/>
      <c r="C1630" s="838" t="s">
        <v>3702</v>
      </c>
      <c r="D1630" s="838" t="s">
        <v>1616</v>
      </c>
      <c r="E1630" s="713" t="s">
        <v>22</v>
      </c>
      <c r="F1630">
        <v>15426429</v>
      </c>
      <c r="G1630">
        <v>12858300</v>
      </c>
      <c r="H1630">
        <v>2568129</v>
      </c>
      <c r="I1630">
        <v>0</v>
      </c>
      <c r="J1630">
        <v>2568129</v>
      </c>
      <c r="K1630">
        <v>1282299</v>
      </c>
      <c r="L1630">
        <v>1285830</v>
      </c>
      <c r="M1630">
        <v>0</v>
      </c>
      <c r="N1630">
        <v>0</v>
      </c>
      <c r="O1630" s="302"/>
    </row>
    <row r="1631" spans="1:15" x14ac:dyDescent="0.2">
      <c r="A1631" s="302"/>
      <c r="B1631" s="887"/>
      <c r="C1631" s="839"/>
      <c r="D1631" s="839"/>
      <c r="E1631" s="713" t="s">
        <v>26</v>
      </c>
      <c r="F1631">
        <v>141918943</v>
      </c>
      <c r="G1631">
        <v>123709850</v>
      </c>
      <c r="H1631">
        <v>18209093</v>
      </c>
      <c r="I1631">
        <v>12118943</v>
      </c>
      <c r="J1631">
        <v>6090150</v>
      </c>
      <c r="K1631">
        <v>4500000</v>
      </c>
      <c r="L1631">
        <v>1590150</v>
      </c>
      <c r="M1631">
        <v>0</v>
      </c>
      <c r="N1631">
        <v>0</v>
      </c>
      <c r="O1631" s="302"/>
    </row>
    <row r="1632" spans="1:15" x14ac:dyDescent="0.2">
      <c r="A1632" s="302"/>
      <c r="B1632" s="887"/>
      <c r="C1632" s="839"/>
      <c r="D1632" s="839"/>
      <c r="E1632" s="713" t="s">
        <v>1557</v>
      </c>
      <c r="F1632">
        <v>329539350</v>
      </c>
      <c r="G1632">
        <v>0</v>
      </c>
      <c r="H1632">
        <v>329539350</v>
      </c>
      <c r="I1632">
        <v>329539350</v>
      </c>
      <c r="J1632">
        <v>0</v>
      </c>
      <c r="K1632">
        <v>0</v>
      </c>
      <c r="L1632">
        <v>0</v>
      </c>
      <c r="M1632">
        <v>0</v>
      </c>
      <c r="N1632">
        <v>0</v>
      </c>
      <c r="O1632" s="302"/>
    </row>
    <row r="1633" spans="1:15" x14ac:dyDescent="0.2">
      <c r="A1633" s="302"/>
      <c r="B1633" s="887"/>
      <c r="C1633" s="839"/>
      <c r="D1633" s="839"/>
      <c r="E1633" s="713" t="s">
        <v>1221</v>
      </c>
      <c r="F1633">
        <v>1931850</v>
      </c>
      <c r="G1633">
        <v>1931850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0</v>
      </c>
      <c r="N1633">
        <v>0</v>
      </c>
      <c r="O1633" s="302"/>
    </row>
    <row r="1634" spans="1:15" x14ac:dyDescent="0.2">
      <c r="A1634" s="302"/>
      <c r="B1634" s="887"/>
      <c r="C1634" s="838" t="s">
        <v>3703</v>
      </c>
      <c r="D1634" s="838" t="s">
        <v>1533</v>
      </c>
      <c r="E1634" s="713" t="s">
        <v>26</v>
      </c>
      <c r="F1634">
        <v>123232860</v>
      </c>
      <c r="G1634">
        <v>108941386</v>
      </c>
      <c r="H1634">
        <v>14291474</v>
      </c>
      <c r="I1634">
        <v>3432860</v>
      </c>
      <c r="J1634">
        <v>10858614</v>
      </c>
      <c r="K1634">
        <v>10858614</v>
      </c>
      <c r="L1634">
        <v>0</v>
      </c>
      <c r="M1634">
        <v>0</v>
      </c>
      <c r="N1634">
        <v>0</v>
      </c>
      <c r="O1634" s="302"/>
    </row>
    <row r="1635" spans="1:15" x14ac:dyDescent="0.2">
      <c r="A1635" s="302"/>
      <c r="B1635" s="887"/>
      <c r="C1635" s="839"/>
      <c r="D1635" s="839"/>
      <c r="E1635" s="713" t="s">
        <v>1557</v>
      </c>
      <c r="F1635">
        <v>281568000</v>
      </c>
      <c r="G1635">
        <v>47772</v>
      </c>
      <c r="H1635">
        <v>281520228</v>
      </c>
      <c r="I1635">
        <v>281520228</v>
      </c>
      <c r="J1635">
        <v>0</v>
      </c>
      <c r="K1635">
        <v>0</v>
      </c>
      <c r="L1635">
        <v>0</v>
      </c>
      <c r="M1635">
        <v>0</v>
      </c>
      <c r="N1635">
        <v>0</v>
      </c>
      <c r="O1635" s="302"/>
    </row>
    <row r="1636" spans="1:15" x14ac:dyDescent="0.2">
      <c r="A1636" s="302"/>
      <c r="B1636" s="887"/>
      <c r="C1636" s="839"/>
      <c r="D1636" s="839"/>
      <c r="E1636" s="713" t="s">
        <v>195</v>
      </c>
      <c r="F1636">
        <v>129650</v>
      </c>
      <c r="G1636">
        <v>129650</v>
      </c>
      <c r="H1636">
        <v>0</v>
      </c>
      <c r="I1636">
        <v>0</v>
      </c>
      <c r="J1636">
        <v>0</v>
      </c>
      <c r="K1636">
        <v>0</v>
      </c>
      <c r="L1636">
        <v>0</v>
      </c>
      <c r="M1636">
        <v>0</v>
      </c>
      <c r="N1636">
        <v>0</v>
      </c>
      <c r="O1636" s="302"/>
    </row>
    <row r="1637" spans="1:15" x14ac:dyDescent="0.2">
      <c r="A1637" s="302"/>
      <c r="B1637" s="887"/>
      <c r="C1637" s="838" t="s">
        <v>3704</v>
      </c>
      <c r="D1637" s="838" t="s">
        <v>3705</v>
      </c>
      <c r="E1637" s="713" t="s">
        <v>26</v>
      </c>
      <c r="F1637">
        <v>92931834</v>
      </c>
      <c r="G1637">
        <v>16757078</v>
      </c>
      <c r="H1637">
        <v>76174756</v>
      </c>
      <c r="I1637">
        <v>73110484</v>
      </c>
      <c r="J1637">
        <v>3064272</v>
      </c>
      <c r="K1637">
        <v>3064272</v>
      </c>
      <c r="L1637">
        <v>0</v>
      </c>
      <c r="M1637">
        <v>0</v>
      </c>
      <c r="N1637">
        <v>0</v>
      </c>
      <c r="O1637" s="302"/>
    </row>
    <row r="1638" spans="1:15" x14ac:dyDescent="0.2">
      <c r="A1638" s="302"/>
      <c r="B1638" s="887"/>
      <c r="C1638" s="839"/>
      <c r="D1638" s="839"/>
      <c r="E1638" s="713" t="s">
        <v>1557</v>
      </c>
      <c r="F1638">
        <v>426313166</v>
      </c>
      <c r="G1638">
        <v>0</v>
      </c>
      <c r="H1638">
        <v>426313166</v>
      </c>
      <c r="I1638">
        <v>426313166</v>
      </c>
      <c r="J1638">
        <v>0</v>
      </c>
      <c r="K1638">
        <v>0</v>
      </c>
      <c r="L1638">
        <v>0</v>
      </c>
      <c r="M1638">
        <v>0</v>
      </c>
      <c r="N1638">
        <v>0</v>
      </c>
      <c r="O1638" s="302"/>
    </row>
    <row r="1639" spans="1:15" x14ac:dyDescent="0.2">
      <c r="A1639" s="302"/>
      <c r="B1639" s="887"/>
      <c r="C1639" s="839"/>
      <c r="D1639" s="839"/>
      <c r="E1639" s="713" t="s">
        <v>1221</v>
      </c>
      <c r="F1639">
        <v>13646457</v>
      </c>
      <c r="G1639">
        <v>5458580</v>
      </c>
      <c r="H1639">
        <v>8187877</v>
      </c>
      <c r="I1639">
        <v>6823232</v>
      </c>
      <c r="J1639">
        <v>1364645</v>
      </c>
      <c r="K1639">
        <v>1364645</v>
      </c>
      <c r="L1639">
        <v>0</v>
      </c>
      <c r="M1639">
        <v>0</v>
      </c>
      <c r="N1639">
        <v>0</v>
      </c>
      <c r="O1639" s="302"/>
    </row>
    <row r="1640" spans="1:15" x14ac:dyDescent="0.2">
      <c r="A1640" s="302"/>
      <c r="B1640" s="887"/>
      <c r="C1640" s="838" t="s">
        <v>3706</v>
      </c>
      <c r="D1640" s="838" t="s">
        <v>2615</v>
      </c>
      <c r="E1640" s="713" t="s">
        <v>26</v>
      </c>
      <c r="F1640">
        <v>95369896</v>
      </c>
      <c r="G1640">
        <v>50000000</v>
      </c>
      <c r="H1640">
        <v>45369896</v>
      </c>
      <c r="I1640">
        <v>4000000</v>
      </c>
      <c r="J1640">
        <v>41369896</v>
      </c>
      <c r="K1640">
        <v>4000000</v>
      </c>
      <c r="L1640">
        <v>37369896</v>
      </c>
      <c r="M1640">
        <v>0</v>
      </c>
      <c r="N1640">
        <v>0</v>
      </c>
      <c r="O1640" s="302"/>
    </row>
    <row r="1641" spans="1:15" x14ac:dyDescent="0.2">
      <c r="A1641" s="302"/>
      <c r="B1641" s="887"/>
      <c r="C1641" s="839"/>
      <c r="D1641" s="839"/>
      <c r="E1641" s="713" t="s">
        <v>1557</v>
      </c>
      <c r="F1641">
        <v>381998280</v>
      </c>
      <c r="G1641">
        <v>0</v>
      </c>
      <c r="H1641">
        <v>381998280</v>
      </c>
      <c r="I1641">
        <v>381998280</v>
      </c>
      <c r="J1641">
        <v>0</v>
      </c>
      <c r="K1641">
        <v>0</v>
      </c>
      <c r="L1641">
        <v>0</v>
      </c>
      <c r="M1641">
        <v>0</v>
      </c>
      <c r="N1641">
        <v>0</v>
      </c>
      <c r="O1641" s="302"/>
    </row>
    <row r="1642" spans="1:15" x14ac:dyDescent="0.2">
      <c r="A1642" s="302"/>
      <c r="B1642" s="887"/>
      <c r="C1642" s="839"/>
      <c r="D1642" s="839"/>
      <c r="E1642" s="713" t="s">
        <v>1221</v>
      </c>
      <c r="F1642">
        <v>1931850</v>
      </c>
      <c r="G1642">
        <v>0</v>
      </c>
      <c r="H1642">
        <v>1931850</v>
      </c>
      <c r="I1642">
        <v>0</v>
      </c>
      <c r="J1642">
        <v>1931850</v>
      </c>
      <c r="K1642">
        <v>0</v>
      </c>
      <c r="L1642">
        <v>1931850</v>
      </c>
      <c r="M1642">
        <v>0</v>
      </c>
      <c r="N1642">
        <v>0</v>
      </c>
      <c r="O1642" s="302"/>
    </row>
    <row r="1643" spans="1:15" x14ac:dyDescent="0.2">
      <c r="A1643" s="302"/>
      <c r="B1643" s="887"/>
      <c r="C1643" s="838" t="s">
        <v>3707</v>
      </c>
      <c r="D1643" s="838" t="s">
        <v>1514</v>
      </c>
      <c r="E1643" s="713" t="s">
        <v>26</v>
      </c>
      <c r="F1643">
        <v>118223910</v>
      </c>
      <c r="G1643">
        <v>106795746</v>
      </c>
      <c r="H1643">
        <v>11428164</v>
      </c>
      <c r="I1643">
        <v>3569503</v>
      </c>
      <c r="J1643">
        <v>7858661</v>
      </c>
      <c r="K1643">
        <v>3569497</v>
      </c>
      <c r="L1643">
        <v>3569497</v>
      </c>
      <c r="M1643">
        <v>719667</v>
      </c>
      <c r="N1643">
        <v>0</v>
      </c>
      <c r="O1643" s="302"/>
    </row>
    <row r="1644" spans="1:15" x14ac:dyDescent="0.2">
      <c r="A1644" s="302"/>
      <c r="B1644" s="887"/>
      <c r="C1644" s="839"/>
      <c r="D1644" s="839"/>
      <c r="E1644" s="713" t="s">
        <v>1557</v>
      </c>
      <c r="F1644">
        <v>275855790</v>
      </c>
      <c r="G1644">
        <v>0</v>
      </c>
      <c r="H1644">
        <v>275855790</v>
      </c>
      <c r="I1644">
        <v>275855790</v>
      </c>
      <c r="J1644">
        <v>0</v>
      </c>
      <c r="K1644">
        <v>0</v>
      </c>
      <c r="L1644">
        <v>0</v>
      </c>
      <c r="M1644">
        <v>0</v>
      </c>
      <c r="N1644">
        <v>0</v>
      </c>
      <c r="O1644" s="302"/>
    </row>
    <row r="1645" spans="1:15" x14ac:dyDescent="0.2">
      <c r="A1645" s="302"/>
      <c r="B1645" s="887"/>
      <c r="C1645" s="839"/>
      <c r="D1645" s="839"/>
      <c r="E1645" s="713" t="s">
        <v>195</v>
      </c>
      <c r="F1645">
        <v>4289165</v>
      </c>
      <c r="G1645">
        <v>4289165</v>
      </c>
      <c r="H1645">
        <v>0</v>
      </c>
      <c r="I1645">
        <v>0</v>
      </c>
      <c r="J1645">
        <v>0</v>
      </c>
      <c r="K1645">
        <v>0</v>
      </c>
      <c r="L1645">
        <v>0</v>
      </c>
      <c r="M1645">
        <v>0</v>
      </c>
      <c r="N1645">
        <v>0</v>
      </c>
      <c r="O1645" s="302"/>
    </row>
    <row r="1646" spans="1:15" x14ac:dyDescent="0.2">
      <c r="A1646" s="302"/>
      <c r="B1646" s="887"/>
      <c r="C1646" s="838" t="s">
        <v>3708</v>
      </c>
      <c r="D1646" s="838" t="s">
        <v>1724</v>
      </c>
      <c r="E1646" s="713" t="s">
        <v>26</v>
      </c>
      <c r="F1646">
        <v>138180300</v>
      </c>
      <c r="G1646">
        <v>113200000</v>
      </c>
      <c r="H1646">
        <v>24980300</v>
      </c>
      <c r="I1646">
        <v>24980300</v>
      </c>
      <c r="J1646">
        <v>0</v>
      </c>
      <c r="K1646">
        <v>0</v>
      </c>
      <c r="L1646">
        <v>0</v>
      </c>
      <c r="M1646">
        <v>0</v>
      </c>
      <c r="N1646">
        <v>0</v>
      </c>
      <c r="O1646" s="302"/>
    </row>
    <row r="1647" spans="1:15" x14ac:dyDescent="0.2">
      <c r="A1647" s="302"/>
      <c r="B1647" s="887"/>
      <c r="C1647" s="839"/>
      <c r="D1647" s="839"/>
      <c r="E1647" s="713" t="s">
        <v>1557</v>
      </c>
      <c r="F1647">
        <v>322420700</v>
      </c>
      <c r="G1647">
        <v>449366</v>
      </c>
      <c r="H1647">
        <v>321971334</v>
      </c>
      <c r="I1647">
        <v>321971334</v>
      </c>
      <c r="J1647">
        <v>0</v>
      </c>
      <c r="K1647">
        <v>0</v>
      </c>
      <c r="L1647">
        <v>0</v>
      </c>
      <c r="M1647">
        <v>0</v>
      </c>
      <c r="N1647">
        <v>0</v>
      </c>
      <c r="O1647" s="302"/>
    </row>
    <row r="1648" spans="1:15" x14ac:dyDescent="0.2">
      <c r="A1648" s="302"/>
      <c r="B1648" s="887"/>
      <c r="C1648" s="838" t="s">
        <v>4293</v>
      </c>
      <c r="D1648" s="838" t="s">
        <v>4294</v>
      </c>
      <c r="E1648" s="713" t="s">
        <v>22</v>
      </c>
      <c r="F1648">
        <v>15944436</v>
      </c>
      <c r="G1648">
        <v>478333</v>
      </c>
      <c r="H1648">
        <v>15466103</v>
      </c>
      <c r="I1648">
        <v>14987770</v>
      </c>
      <c r="J1648">
        <v>478333</v>
      </c>
      <c r="K1648">
        <v>478333</v>
      </c>
      <c r="L1648">
        <v>0</v>
      </c>
      <c r="M1648">
        <v>0</v>
      </c>
      <c r="N1648">
        <v>0</v>
      </c>
      <c r="O1648" s="302"/>
    </row>
    <row r="1649" spans="1:15" x14ac:dyDescent="0.2">
      <c r="A1649" s="302"/>
      <c r="B1649" s="887"/>
      <c r="C1649" s="839"/>
      <c r="D1649" s="839"/>
      <c r="E1649" s="713" t="s">
        <v>26</v>
      </c>
      <c r="F1649">
        <v>105184053</v>
      </c>
      <c r="G1649">
        <v>7521667</v>
      </c>
      <c r="H1649">
        <v>97662386</v>
      </c>
      <c r="I1649">
        <v>94140719</v>
      </c>
      <c r="J1649">
        <v>3521667</v>
      </c>
      <c r="K1649">
        <v>3521667</v>
      </c>
      <c r="L1649">
        <v>0</v>
      </c>
      <c r="M1649">
        <v>0</v>
      </c>
      <c r="N1649">
        <v>0</v>
      </c>
      <c r="O1649" s="302"/>
    </row>
    <row r="1650" spans="1:15" x14ac:dyDescent="0.2">
      <c r="A1650" s="302"/>
      <c r="B1650" s="887"/>
      <c r="C1650" s="839"/>
      <c r="D1650" s="839"/>
      <c r="E1650" s="713" t="s">
        <v>1557</v>
      </c>
      <c r="F1650">
        <v>427794443</v>
      </c>
      <c r="G1650">
        <v>0</v>
      </c>
      <c r="H1650">
        <v>427794443</v>
      </c>
      <c r="I1650">
        <v>427794443</v>
      </c>
      <c r="J1650">
        <v>0</v>
      </c>
      <c r="K1650">
        <v>0</v>
      </c>
      <c r="L1650">
        <v>0</v>
      </c>
      <c r="M1650">
        <v>0</v>
      </c>
      <c r="N1650">
        <v>0</v>
      </c>
      <c r="O1650" s="302"/>
    </row>
    <row r="1651" spans="1:15" x14ac:dyDescent="0.2">
      <c r="A1651" s="302"/>
      <c r="B1651" s="887"/>
      <c r="C1651" s="838" t="s">
        <v>3709</v>
      </c>
      <c r="D1651" s="838" t="s">
        <v>1723</v>
      </c>
      <c r="E1651" s="713" t="s">
        <v>26</v>
      </c>
      <c r="F1651">
        <v>139488600</v>
      </c>
      <c r="G1651">
        <v>108222000</v>
      </c>
      <c r="H1651">
        <v>31266600</v>
      </c>
      <c r="I1651">
        <v>31266600</v>
      </c>
      <c r="J1651">
        <v>0</v>
      </c>
      <c r="K1651">
        <v>0</v>
      </c>
      <c r="L1651">
        <v>0</v>
      </c>
      <c r="M1651">
        <v>0</v>
      </c>
      <c r="N1651">
        <v>0</v>
      </c>
      <c r="O1651" s="302"/>
    </row>
    <row r="1652" spans="1:15" x14ac:dyDescent="0.2">
      <c r="A1652" s="302"/>
      <c r="B1652" s="887"/>
      <c r="C1652" s="839"/>
      <c r="D1652" s="839"/>
      <c r="E1652" s="713" t="s">
        <v>1557</v>
      </c>
      <c r="F1652">
        <v>325473400</v>
      </c>
      <c r="G1652">
        <v>4654757</v>
      </c>
      <c r="H1652">
        <v>320818643</v>
      </c>
      <c r="I1652">
        <v>320818643</v>
      </c>
      <c r="J1652">
        <v>0</v>
      </c>
      <c r="K1652">
        <v>0</v>
      </c>
      <c r="L1652">
        <v>0</v>
      </c>
      <c r="M1652">
        <v>0</v>
      </c>
      <c r="N1652">
        <v>0</v>
      </c>
      <c r="O1652" s="302"/>
    </row>
    <row r="1653" spans="1:15" x14ac:dyDescent="0.2">
      <c r="A1653" s="302"/>
      <c r="B1653" s="887"/>
      <c r="C1653" s="838" t="s">
        <v>3710</v>
      </c>
      <c r="D1653" s="838" t="s">
        <v>1515</v>
      </c>
      <c r="E1653" s="713" t="s">
        <v>26</v>
      </c>
      <c r="F1653">
        <v>119298960</v>
      </c>
      <c r="G1653">
        <v>103947675</v>
      </c>
      <c r="H1653">
        <v>15351285</v>
      </c>
      <c r="I1653">
        <v>3719330</v>
      </c>
      <c r="J1653">
        <v>11631955</v>
      </c>
      <c r="K1653">
        <v>3719321</v>
      </c>
      <c r="L1653">
        <v>3719321</v>
      </c>
      <c r="M1653">
        <v>3719321</v>
      </c>
      <c r="N1653">
        <v>473992</v>
      </c>
      <c r="O1653" s="302"/>
    </row>
    <row r="1654" spans="1:15" x14ac:dyDescent="0.2">
      <c r="A1654" s="302"/>
      <c r="B1654" s="887"/>
      <c r="C1654" s="839"/>
      <c r="D1654" s="839"/>
      <c r="E1654" s="713" t="s">
        <v>1557</v>
      </c>
      <c r="F1654">
        <v>278364240</v>
      </c>
      <c r="G1654">
        <v>0</v>
      </c>
      <c r="H1654">
        <v>278364240</v>
      </c>
      <c r="I1654">
        <v>278364240</v>
      </c>
      <c r="J1654">
        <v>0</v>
      </c>
      <c r="K1654">
        <v>0</v>
      </c>
      <c r="L1654">
        <v>0</v>
      </c>
      <c r="M1654">
        <v>0</v>
      </c>
      <c r="N1654">
        <v>0</v>
      </c>
      <c r="O1654" s="302"/>
    </row>
    <row r="1655" spans="1:15" x14ac:dyDescent="0.2">
      <c r="A1655" s="302"/>
      <c r="B1655" s="887"/>
      <c r="C1655" s="839"/>
      <c r="D1655" s="839"/>
      <c r="E1655" s="713" t="s">
        <v>195</v>
      </c>
      <c r="F1655">
        <v>2642325</v>
      </c>
      <c r="G1655">
        <v>2642325</v>
      </c>
      <c r="H1655">
        <v>0</v>
      </c>
      <c r="I1655">
        <v>0</v>
      </c>
      <c r="J1655">
        <v>0</v>
      </c>
      <c r="K1655">
        <v>0</v>
      </c>
      <c r="L1655">
        <v>0</v>
      </c>
      <c r="M1655">
        <v>0</v>
      </c>
      <c r="N1655">
        <v>0</v>
      </c>
      <c r="O1655" s="302"/>
    </row>
    <row r="1656" spans="1:15" x14ac:dyDescent="0.2">
      <c r="A1656" s="302"/>
      <c r="B1656" s="887"/>
      <c r="C1656" s="838" t="s">
        <v>3711</v>
      </c>
      <c r="D1656" s="838" t="s">
        <v>1673</v>
      </c>
      <c r="E1656" s="713" t="s">
        <v>26</v>
      </c>
      <c r="F1656">
        <v>138330300</v>
      </c>
      <c r="G1656">
        <v>102800000</v>
      </c>
      <c r="H1656">
        <v>35530300</v>
      </c>
      <c r="I1656">
        <v>30999300</v>
      </c>
      <c r="J1656">
        <v>4531000</v>
      </c>
      <c r="K1656">
        <v>4531000</v>
      </c>
      <c r="L1656">
        <v>0</v>
      </c>
      <c r="M1656">
        <v>0</v>
      </c>
      <c r="N1656">
        <v>0</v>
      </c>
      <c r="O1656" s="302"/>
    </row>
    <row r="1657" spans="1:15" x14ac:dyDescent="0.2">
      <c r="A1657" s="302"/>
      <c r="B1657" s="887"/>
      <c r="C1657" s="839"/>
      <c r="D1657" s="839"/>
      <c r="E1657" s="713" t="s">
        <v>1557</v>
      </c>
      <c r="F1657">
        <v>322770700</v>
      </c>
      <c r="G1657">
        <v>0</v>
      </c>
      <c r="H1657">
        <v>322770700</v>
      </c>
      <c r="I1657">
        <v>322770700</v>
      </c>
      <c r="J1657">
        <v>0</v>
      </c>
      <c r="K1657">
        <v>0</v>
      </c>
      <c r="L1657">
        <v>0</v>
      </c>
      <c r="M1657">
        <v>0</v>
      </c>
      <c r="N1657">
        <v>0</v>
      </c>
      <c r="O1657" s="302"/>
    </row>
    <row r="1658" spans="1:15" x14ac:dyDescent="0.2">
      <c r="A1658" s="302"/>
      <c r="B1658" s="887"/>
      <c r="C1658" s="838" t="s">
        <v>3712</v>
      </c>
      <c r="D1658" s="838" t="s">
        <v>3284</v>
      </c>
      <c r="E1658" s="713" t="s">
        <v>26</v>
      </c>
      <c r="F1658">
        <v>102084520</v>
      </c>
      <c r="G1658">
        <v>102084520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N1658">
        <v>0</v>
      </c>
      <c r="O1658" s="302"/>
    </row>
    <row r="1659" spans="1:15" x14ac:dyDescent="0.2">
      <c r="A1659" s="302"/>
      <c r="B1659" s="887"/>
      <c r="C1659" s="839"/>
      <c r="D1659" s="839"/>
      <c r="E1659" s="713" t="s">
        <v>1557</v>
      </c>
      <c r="F1659">
        <v>416065480</v>
      </c>
      <c r="G1659">
        <v>104376156</v>
      </c>
      <c r="H1659">
        <v>311689324</v>
      </c>
      <c r="I1659">
        <v>311689324</v>
      </c>
      <c r="J1659">
        <v>0</v>
      </c>
      <c r="K1659">
        <v>0</v>
      </c>
      <c r="L1659">
        <v>0</v>
      </c>
      <c r="M1659">
        <v>0</v>
      </c>
      <c r="N1659">
        <v>0</v>
      </c>
      <c r="O1659" s="302"/>
    </row>
    <row r="1660" spans="1:15" x14ac:dyDescent="0.2">
      <c r="A1660" s="302"/>
      <c r="B1660" s="887"/>
      <c r="C1660" s="839"/>
      <c r="D1660" s="839"/>
      <c r="E1660" s="713" t="s">
        <v>1221</v>
      </c>
      <c r="F1660">
        <v>1931850</v>
      </c>
      <c r="G1660">
        <v>1931850</v>
      </c>
      <c r="H1660">
        <v>0</v>
      </c>
      <c r="I1660">
        <v>0</v>
      </c>
      <c r="J1660">
        <v>0</v>
      </c>
      <c r="K1660">
        <v>0</v>
      </c>
      <c r="L1660">
        <v>0</v>
      </c>
      <c r="M1660">
        <v>0</v>
      </c>
      <c r="N1660">
        <v>0</v>
      </c>
      <c r="O1660" s="302"/>
    </row>
    <row r="1661" spans="1:15" x14ac:dyDescent="0.2">
      <c r="A1661" s="302"/>
      <c r="B1661" s="887"/>
      <c r="C1661" s="838" t="s">
        <v>3713</v>
      </c>
      <c r="D1661" s="838" t="s">
        <v>2249</v>
      </c>
      <c r="E1661" s="713" t="s">
        <v>26</v>
      </c>
      <c r="F1661">
        <v>122475127</v>
      </c>
      <c r="G1661">
        <v>104156496</v>
      </c>
      <c r="H1661">
        <v>18318631</v>
      </c>
      <c r="I1661">
        <v>11819303</v>
      </c>
      <c r="J1661">
        <v>6499328</v>
      </c>
      <c r="K1661">
        <v>6499328</v>
      </c>
      <c r="L1661">
        <v>0</v>
      </c>
      <c r="M1661">
        <v>0</v>
      </c>
      <c r="N1661">
        <v>0</v>
      </c>
      <c r="O1661" s="302"/>
    </row>
    <row r="1662" spans="1:15" x14ac:dyDescent="0.2">
      <c r="A1662" s="302"/>
      <c r="B1662" s="887"/>
      <c r="C1662" s="839"/>
      <c r="D1662" s="839"/>
      <c r="E1662" s="713" t="s">
        <v>1557</v>
      </c>
      <c r="F1662">
        <v>289304873</v>
      </c>
      <c r="G1662">
        <v>0</v>
      </c>
      <c r="H1662">
        <v>289304873</v>
      </c>
      <c r="I1662">
        <v>289304873</v>
      </c>
      <c r="J1662">
        <v>0</v>
      </c>
      <c r="K1662">
        <v>0</v>
      </c>
      <c r="L1662">
        <v>0</v>
      </c>
      <c r="M1662">
        <v>0</v>
      </c>
      <c r="N1662">
        <v>0</v>
      </c>
      <c r="O1662" s="302"/>
    </row>
    <row r="1663" spans="1:15" x14ac:dyDescent="0.2">
      <c r="A1663" s="302"/>
      <c r="B1663" s="887"/>
      <c r="C1663" s="839"/>
      <c r="D1663" s="839"/>
      <c r="E1663" s="713" t="s">
        <v>1221</v>
      </c>
      <c r="F1663">
        <v>1512675</v>
      </c>
      <c r="G1663">
        <v>0</v>
      </c>
      <c r="H1663">
        <v>1512675</v>
      </c>
      <c r="I1663">
        <v>1512675</v>
      </c>
      <c r="J1663">
        <v>0</v>
      </c>
      <c r="K1663">
        <v>0</v>
      </c>
      <c r="L1663">
        <v>0</v>
      </c>
      <c r="M1663">
        <v>0</v>
      </c>
      <c r="N1663">
        <v>0</v>
      </c>
      <c r="O1663" s="302"/>
    </row>
    <row r="1664" spans="1:15" x14ac:dyDescent="0.2">
      <c r="A1664" s="302"/>
      <c r="B1664" s="887"/>
      <c r="C1664" s="838" t="s">
        <v>3714</v>
      </c>
      <c r="D1664" s="838" t="s">
        <v>1750</v>
      </c>
      <c r="E1664" s="713" t="s">
        <v>26</v>
      </c>
      <c r="F1664">
        <v>139962439</v>
      </c>
      <c r="G1664">
        <v>129705216</v>
      </c>
      <c r="H1664">
        <v>10257223</v>
      </c>
      <c r="I1664">
        <v>6838148</v>
      </c>
      <c r="J1664">
        <v>3419075</v>
      </c>
      <c r="K1664">
        <v>3419075</v>
      </c>
      <c r="L1664">
        <v>0</v>
      </c>
      <c r="M1664">
        <v>0</v>
      </c>
      <c r="N1664">
        <v>0</v>
      </c>
      <c r="O1664" s="302"/>
    </row>
    <row r="1665" spans="1:15" x14ac:dyDescent="0.2">
      <c r="A1665" s="302"/>
      <c r="B1665" s="887"/>
      <c r="C1665" s="839"/>
      <c r="D1665" s="839"/>
      <c r="E1665" s="713" t="s">
        <v>1557</v>
      </c>
      <c r="F1665">
        <v>331703750</v>
      </c>
      <c r="G1665">
        <v>0</v>
      </c>
      <c r="H1665">
        <v>331703750</v>
      </c>
      <c r="I1665">
        <v>331703750</v>
      </c>
      <c r="J1665">
        <v>0</v>
      </c>
      <c r="K1665">
        <v>0</v>
      </c>
      <c r="L1665">
        <v>0</v>
      </c>
      <c r="M1665">
        <v>0</v>
      </c>
      <c r="N1665">
        <v>0</v>
      </c>
      <c r="O1665" s="302"/>
    </row>
    <row r="1666" spans="1:15" x14ac:dyDescent="0.2">
      <c r="A1666" s="302"/>
      <c r="B1666" s="887"/>
      <c r="C1666" s="838" t="s">
        <v>3715</v>
      </c>
      <c r="D1666" s="838" t="s">
        <v>2582</v>
      </c>
      <c r="E1666" s="713" t="s">
        <v>26</v>
      </c>
      <c r="F1666">
        <v>95838150</v>
      </c>
      <c r="G1666">
        <v>95838150</v>
      </c>
      <c r="H1666">
        <v>0</v>
      </c>
      <c r="I1666">
        <v>0</v>
      </c>
      <c r="J1666">
        <v>0</v>
      </c>
      <c r="K1666">
        <v>0</v>
      </c>
      <c r="L1666">
        <v>0</v>
      </c>
      <c r="M1666">
        <v>0</v>
      </c>
      <c r="N1666">
        <v>0</v>
      </c>
      <c r="O1666" s="302"/>
    </row>
    <row r="1667" spans="1:15" x14ac:dyDescent="0.2">
      <c r="A1667" s="302"/>
      <c r="B1667" s="887"/>
      <c r="C1667" s="839"/>
      <c r="D1667" s="839"/>
      <c r="E1667" s="713" t="s">
        <v>1557</v>
      </c>
      <c r="F1667">
        <v>386571850</v>
      </c>
      <c r="G1667">
        <v>0</v>
      </c>
      <c r="H1667">
        <v>386571850</v>
      </c>
      <c r="I1667">
        <v>386571850</v>
      </c>
      <c r="J1667">
        <v>0</v>
      </c>
      <c r="K1667">
        <v>0</v>
      </c>
      <c r="L1667">
        <v>0</v>
      </c>
      <c r="M1667">
        <v>0</v>
      </c>
      <c r="N1667">
        <v>0</v>
      </c>
      <c r="O1667" s="302"/>
    </row>
    <row r="1668" spans="1:15" x14ac:dyDescent="0.2">
      <c r="A1668" s="302"/>
      <c r="B1668" s="887"/>
      <c r="C1668" s="839"/>
      <c r="D1668" s="839"/>
      <c r="E1668" s="713" t="s">
        <v>1221</v>
      </c>
      <c r="F1668">
        <v>1931850</v>
      </c>
      <c r="G1668">
        <v>1931850</v>
      </c>
      <c r="H1668">
        <v>0</v>
      </c>
      <c r="I1668">
        <v>0</v>
      </c>
      <c r="J1668">
        <v>0</v>
      </c>
      <c r="K1668">
        <v>0</v>
      </c>
      <c r="L1668">
        <v>0</v>
      </c>
      <c r="M1668">
        <v>0</v>
      </c>
      <c r="N1668">
        <v>0</v>
      </c>
      <c r="O1668" s="302"/>
    </row>
    <row r="1669" spans="1:15" x14ac:dyDescent="0.2">
      <c r="A1669" s="302"/>
      <c r="B1669" s="887"/>
      <c r="C1669" s="838" t="s">
        <v>3716</v>
      </c>
      <c r="D1669" s="838" t="s">
        <v>1436</v>
      </c>
      <c r="E1669" s="713" t="s">
        <v>26</v>
      </c>
      <c r="F1669">
        <v>139012047</v>
      </c>
      <c r="G1669">
        <v>126424506</v>
      </c>
      <c r="H1669">
        <v>12587541</v>
      </c>
      <c r="I1669">
        <v>4219141</v>
      </c>
      <c r="J1669">
        <v>8368400</v>
      </c>
      <c r="K1669">
        <v>4219126</v>
      </c>
      <c r="L1669">
        <v>4149274</v>
      </c>
      <c r="M1669">
        <v>0</v>
      </c>
      <c r="N1669">
        <v>0</v>
      </c>
      <c r="O1669" s="302"/>
    </row>
    <row r="1670" spans="1:15" x14ac:dyDescent="0.2">
      <c r="A1670" s="302"/>
      <c r="B1670" s="887"/>
      <c r="C1670" s="839"/>
      <c r="D1670" s="839"/>
      <c r="E1670" s="713" t="s">
        <v>1557</v>
      </c>
      <c r="F1670">
        <v>324361443</v>
      </c>
      <c r="G1670">
        <v>0</v>
      </c>
      <c r="H1670">
        <v>324361443</v>
      </c>
      <c r="I1670">
        <v>324361443</v>
      </c>
      <c r="J1670">
        <v>0</v>
      </c>
      <c r="K1670">
        <v>0</v>
      </c>
      <c r="L1670">
        <v>0</v>
      </c>
      <c r="M1670">
        <v>0</v>
      </c>
      <c r="N1670">
        <v>0</v>
      </c>
      <c r="O1670" s="302"/>
    </row>
    <row r="1671" spans="1:15" x14ac:dyDescent="0.2">
      <c r="A1671" s="302"/>
      <c r="B1671" s="887"/>
      <c r="C1671" s="839"/>
      <c r="D1671" s="839"/>
      <c r="E1671" s="713" t="s">
        <v>195</v>
      </c>
      <c r="F1671">
        <v>2145494</v>
      </c>
      <c r="G1671">
        <v>2145494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0</v>
      </c>
      <c r="N1671">
        <v>0</v>
      </c>
      <c r="O1671" s="302"/>
    </row>
    <row r="1672" spans="1:15" x14ac:dyDescent="0.2">
      <c r="A1672" s="302"/>
      <c r="B1672" s="887"/>
      <c r="C1672" s="838" t="s">
        <v>3717</v>
      </c>
      <c r="D1672" s="838" t="s">
        <v>1578</v>
      </c>
      <c r="E1672" s="713" t="s">
        <v>26</v>
      </c>
      <c r="F1672">
        <v>120864000</v>
      </c>
      <c r="G1672">
        <v>96276518</v>
      </c>
      <c r="H1672">
        <v>24587482</v>
      </c>
      <c r="I1672">
        <v>8347436</v>
      </c>
      <c r="J1672">
        <v>16240046</v>
      </c>
      <c r="K1672">
        <v>4173714</v>
      </c>
      <c r="L1672">
        <v>4173714</v>
      </c>
      <c r="M1672">
        <v>4173714</v>
      </c>
      <c r="N1672">
        <v>3718904</v>
      </c>
      <c r="O1672" s="302"/>
    </row>
    <row r="1673" spans="1:15" x14ac:dyDescent="0.2">
      <c r="A1673" s="302"/>
      <c r="B1673" s="887"/>
      <c r="C1673" s="839"/>
      <c r="D1673" s="839"/>
      <c r="E1673" s="713" t="s">
        <v>1557</v>
      </c>
      <c r="F1673">
        <v>282016000</v>
      </c>
      <c r="G1673">
        <v>0</v>
      </c>
      <c r="H1673">
        <v>282016000</v>
      </c>
      <c r="I1673">
        <v>282016000</v>
      </c>
      <c r="J1673">
        <v>0</v>
      </c>
      <c r="K1673">
        <v>0</v>
      </c>
      <c r="L1673">
        <v>0</v>
      </c>
      <c r="M1673">
        <v>0</v>
      </c>
      <c r="N1673">
        <v>0</v>
      </c>
      <c r="O1673" s="302"/>
    </row>
    <row r="1674" spans="1:15" x14ac:dyDescent="0.2">
      <c r="A1674" s="302"/>
      <c r="B1674" s="887"/>
      <c r="C1674" s="839"/>
      <c r="D1674" s="839"/>
      <c r="E1674" s="713" t="s">
        <v>195</v>
      </c>
      <c r="F1674">
        <v>1665021</v>
      </c>
      <c r="G1674">
        <v>1665021</v>
      </c>
      <c r="H1674">
        <v>0</v>
      </c>
      <c r="I1674">
        <v>0</v>
      </c>
      <c r="J1674">
        <v>0</v>
      </c>
      <c r="K1674">
        <v>0</v>
      </c>
      <c r="L1674">
        <v>0</v>
      </c>
      <c r="M1674">
        <v>0</v>
      </c>
      <c r="N1674">
        <v>0</v>
      </c>
      <c r="O1674" s="302"/>
    </row>
    <row r="1675" spans="1:15" x14ac:dyDescent="0.2">
      <c r="A1675" s="302"/>
      <c r="B1675" s="887"/>
      <c r="C1675" s="838" t="s">
        <v>3718</v>
      </c>
      <c r="D1675" s="838" t="s">
        <v>1985</v>
      </c>
      <c r="E1675" s="713" t="s">
        <v>26</v>
      </c>
      <c r="F1675">
        <v>136578973</v>
      </c>
      <c r="G1675">
        <v>121608656</v>
      </c>
      <c r="H1675">
        <v>14970317</v>
      </c>
      <c r="I1675">
        <v>10744776</v>
      </c>
      <c r="J1675">
        <v>4225541</v>
      </c>
      <c r="K1675">
        <v>4225541</v>
      </c>
      <c r="L1675">
        <v>0</v>
      </c>
      <c r="M1675">
        <v>0</v>
      </c>
      <c r="N1675">
        <v>0</v>
      </c>
      <c r="O1675" s="302"/>
    </row>
    <row r="1676" spans="1:15" x14ac:dyDescent="0.2">
      <c r="A1676" s="302"/>
      <c r="B1676" s="887"/>
      <c r="C1676" s="839"/>
      <c r="D1676" s="839"/>
      <c r="E1676" s="713" t="s">
        <v>1557</v>
      </c>
      <c r="F1676">
        <v>333239095</v>
      </c>
      <c r="G1676">
        <v>0</v>
      </c>
      <c r="H1676">
        <v>333239095</v>
      </c>
      <c r="I1676">
        <v>333239095</v>
      </c>
      <c r="J1676">
        <v>0</v>
      </c>
      <c r="K1676">
        <v>0</v>
      </c>
      <c r="L1676">
        <v>0</v>
      </c>
      <c r="M1676">
        <v>0</v>
      </c>
      <c r="N1676">
        <v>0</v>
      </c>
      <c r="O1676" s="302"/>
    </row>
    <row r="1677" spans="1:15" x14ac:dyDescent="0.2">
      <c r="A1677" s="302"/>
      <c r="B1677" s="887"/>
      <c r="C1677" s="839"/>
      <c r="D1677" s="839"/>
      <c r="E1677" s="713" t="s">
        <v>1221</v>
      </c>
      <c r="F1677">
        <v>1931850</v>
      </c>
      <c r="G1677">
        <v>0</v>
      </c>
      <c r="H1677">
        <v>1931850</v>
      </c>
      <c r="I1677">
        <v>1931850</v>
      </c>
      <c r="J1677">
        <v>0</v>
      </c>
      <c r="K1677">
        <v>0</v>
      </c>
      <c r="L1677">
        <v>0</v>
      </c>
      <c r="M1677">
        <v>0</v>
      </c>
      <c r="N1677">
        <v>0</v>
      </c>
      <c r="O1677" s="302"/>
    </row>
    <row r="1678" spans="1:15" x14ac:dyDescent="0.2">
      <c r="A1678" s="302"/>
      <c r="B1678" s="887"/>
      <c r="C1678" s="838" t="s">
        <v>3719</v>
      </c>
      <c r="D1678" s="838" t="s">
        <v>1725</v>
      </c>
      <c r="E1678" s="713" t="s">
        <v>26</v>
      </c>
      <c r="F1678">
        <v>138561000</v>
      </c>
      <c r="G1678">
        <v>123034729</v>
      </c>
      <c r="H1678">
        <v>15526271</v>
      </c>
      <c r="I1678">
        <v>15526271</v>
      </c>
      <c r="J1678">
        <v>0</v>
      </c>
      <c r="K1678">
        <v>0</v>
      </c>
      <c r="L1678">
        <v>0</v>
      </c>
      <c r="M1678">
        <v>0</v>
      </c>
      <c r="N1678">
        <v>0</v>
      </c>
      <c r="O1678" s="302"/>
    </row>
    <row r="1679" spans="1:15" x14ac:dyDescent="0.2">
      <c r="A1679" s="302"/>
      <c r="B1679" s="887"/>
      <c r="C1679" s="839"/>
      <c r="D1679" s="839"/>
      <c r="E1679" s="713" t="s">
        <v>1557</v>
      </c>
      <c r="F1679">
        <v>323309000</v>
      </c>
      <c r="G1679">
        <v>936750</v>
      </c>
      <c r="H1679">
        <v>322372250</v>
      </c>
      <c r="I1679">
        <v>322372250</v>
      </c>
      <c r="J1679">
        <v>0</v>
      </c>
      <c r="K1679">
        <v>0</v>
      </c>
      <c r="L1679">
        <v>0</v>
      </c>
      <c r="M1679">
        <v>0</v>
      </c>
      <c r="N1679">
        <v>0</v>
      </c>
      <c r="O1679" s="302"/>
    </row>
    <row r="1680" spans="1:15" x14ac:dyDescent="0.2">
      <c r="A1680" s="302"/>
      <c r="B1680" s="887"/>
      <c r="C1680" s="838" t="s">
        <v>3720</v>
      </c>
      <c r="D1680" s="838" t="s">
        <v>1248</v>
      </c>
      <c r="E1680" s="713" t="s">
        <v>26</v>
      </c>
      <c r="F1680">
        <v>123766656</v>
      </c>
      <c r="G1680">
        <v>103347945</v>
      </c>
      <c r="H1680">
        <v>20418711</v>
      </c>
      <c r="I1680">
        <v>0</v>
      </c>
      <c r="J1680">
        <v>20418711</v>
      </c>
      <c r="K1680">
        <v>3672746</v>
      </c>
      <c r="L1680">
        <v>3850000</v>
      </c>
      <c r="M1680">
        <v>3850000</v>
      </c>
      <c r="N1680">
        <v>9045965</v>
      </c>
      <c r="O1680" s="302"/>
    </row>
    <row r="1681" spans="1:15" x14ac:dyDescent="0.2">
      <c r="A1681" s="302"/>
      <c r="B1681" s="887"/>
      <c r="C1681" s="839"/>
      <c r="D1681" s="839"/>
      <c r="E1681" s="713" t="s">
        <v>1557</v>
      </c>
      <c r="F1681">
        <v>278587236</v>
      </c>
      <c r="G1681">
        <v>0</v>
      </c>
      <c r="H1681">
        <v>278587236</v>
      </c>
      <c r="I1681">
        <v>278587236</v>
      </c>
      <c r="J1681">
        <v>0</v>
      </c>
      <c r="K1681">
        <v>0</v>
      </c>
      <c r="L1681">
        <v>0</v>
      </c>
      <c r="M1681">
        <v>0</v>
      </c>
      <c r="N1681">
        <v>0</v>
      </c>
      <c r="O1681" s="302"/>
    </row>
    <row r="1682" spans="1:15" x14ac:dyDescent="0.2">
      <c r="A1682" s="302"/>
      <c r="B1682" s="887"/>
      <c r="C1682" s="839"/>
      <c r="D1682" s="839"/>
      <c r="E1682" s="713" t="s">
        <v>195</v>
      </c>
      <c r="F1682">
        <v>5195965</v>
      </c>
      <c r="G1682">
        <v>5195965</v>
      </c>
      <c r="H1682">
        <v>0</v>
      </c>
      <c r="I1682">
        <v>0</v>
      </c>
      <c r="J1682">
        <v>0</v>
      </c>
      <c r="K1682">
        <v>0</v>
      </c>
      <c r="L1682">
        <v>0</v>
      </c>
      <c r="M1682">
        <v>0</v>
      </c>
      <c r="N1682">
        <v>0</v>
      </c>
      <c r="O1682" s="302"/>
    </row>
    <row r="1683" spans="1:15" x14ac:dyDescent="0.2">
      <c r="A1683" s="302"/>
      <c r="B1683" s="887"/>
      <c r="C1683" s="838" t="s">
        <v>3721</v>
      </c>
      <c r="D1683" s="838" t="s">
        <v>2583</v>
      </c>
      <c r="E1683" s="713" t="s">
        <v>26</v>
      </c>
      <c r="F1683">
        <v>141531150</v>
      </c>
      <c r="G1683">
        <v>117000000</v>
      </c>
      <c r="H1683">
        <v>24531150</v>
      </c>
      <c r="I1683">
        <v>9823648</v>
      </c>
      <c r="J1683">
        <v>14707502</v>
      </c>
      <c r="K1683">
        <v>4911827</v>
      </c>
      <c r="L1683">
        <v>4911827</v>
      </c>
      <c r="M1683">
        <v>4883848</v>
      </c>
      <c r="N1683">
        <v>0</v>
      </c>
      <c r="O1683" s="302"/>
    </row>
    <row r="1684" spans="1:15" x14ac:dyDescent="0.2">
      <c r="A1684" s="302"/>
      <c r="B1684" s="887"/>
      <c r="C1684" s="839"/>
      <c r="D1684" s="839"/>
      <c r="E1684" s="713" t="s">
        <v>1557</v>
      </c>
      <c r="F1684">
        <v>330239350</v>
      </c>
      <c r="G1684">
        <v>358024</v>
      </c>
      <c r="H1684">
        <v>329881326</v>
      </c>
      <c r="I1684">
        <v>329881326</v>
      </c>
      <c r="J1684">
        <v>0</v>
      </c>
      <c r="K1684">
        <v>0</v>
      </c>
      <c r="L1684">
        <v>0</v>
      </c>
      <c r="M1684">
        <v>0</v>
      </c>
      <c r="N1684">
        <v>0</v>
      </c>
      <c r="O1684" s="302"/>
    </row>
    <row r="1685" spans="1:15" x14ac:dyDescent="0.2">
      <c r="A1685" s="302"/>
      <c r="B1685" s="887"/>
      <c r="C1685" s="838" t="s">
        <v>3722</v>
      </c>
      <c r="D1685" s="838" t="s">
        <v>2544</v>
      </c>
      <c r="E1685" s="713" t="s">
        <v>26</v>
      </c>
      <c r="F1685">
        <v>106231989</v>
      </c>
      <c r="G1685">
        <v>56176177</v>
      </c>
      <c r="H1685">
        <v>50055812</v>
      </c>
      <c r="I1685">
        <v>14298028</v>
      </c>
      <c r="J1685">
        <v>35757784</v>
      </c>
      <c r="K1685">
        <v>15585928</v>
      </c>
      <c r="L1685">
        <v>15585928</v>
      </c>
      <c r="M1685">
        <v>4585928</v>
      </c>
      <c r="N1685">
        <v>0</v>
      </c>
      <c r="O1685" s="302"/>
    </row>
    <row r="1686" spans="1:15" x14ac:dyDescent="0.2">
      <c r="A1686" s="302"/>
      <c r="B1686" s="887"/>
      <c r="C1686" s="839"/>
      <c r="D1686" s="839"/>
      <c r="E1686" s="713" t="s">
        <v>1557</v>
      </c>
      <c r="F1686">
        <v>380877480</v>
      </c>
      <c r="G1686">
        <v>0</v>
      </c>
      <c r="H1686">
        <v>380877480</v>
      </c>
      <c r="I1686">
        <v>380877480</v>
      </c>
      <c r="J1686">
        <v>0</v>
      </c>
      <c r="K1686">
        <v>0</v>
      </c>
      <c r="L1686">
        <v>0</v>
      </c>
      <c r="M1686">
        <v>0</v>
      </c>
      <c r="N1686">
        <v>0</v>
      </c>
      <c r="O1686" s="302"/>
    </row>
    <row r="1687" spans="1:15" x14ac:dyDescent="0.2">
      <c r="A1687" s="302"/>
      <c r="B1687" s="887"/>
      <c r="C1687" s="839"/>
      <c r="D1687" s="839"/>
      <c r="E1687" s="713" t="s">
        <v>1221</v>
      </c>
      <c r="F1687">
        <v>1931850</v>
      </c>
      <c r="G1687">
        <v>643950</v>
      </c>
      <c r="H1687">
        <v>1287900</v>
      </c>
      <c r="I1687">
        <v>1287900</v>
      </c>
      <c r="J1687">
        <v>0</v>
      </c>
      <c r="K1687">
        <v>0</v>
      </c>
      <c r="L1687">
        <v>0</v>
      </c>
      <c r="M1687">
        <v>0</v>
      </c>
      <c r="N1687">
        <v>0</v>
      </c>
      <c r="O1687" s="302"/>
    </row>
    <row r="1688" spans="1:15" x14ac:dyDescent="0.2">
      <c r="A1688" s="302"/>
      <c r="B1688" s="887"/>
      <c r="C1688" s="838" t="s">
        <v>3723</v>
      </c>
      <c r="D1688" s="838" t="s">
        <v>1475</v>
      </c>
      <c r="E1688" s="713" t="s">
        <v>26</v>
      </c>
      <c r="F1688">
        <v>147124609</v>
      </c>
      <c r="G1688">
        <v>44650135</v>
      </c>
      <c r="H1688">
        <v>102474474</v>
      </c>
      <c r="I1688">
        <v>10191167</v>
      </c>
      <c r="J1688">
        <v>92283307</v>
      </c>
      <c r="K1688">
        <v>10191167</v>
      </c>
      <c r="L1688">
        <v>8000000</v>
      </c>
      <c r="M1688">
        <v>8000000</v>
      </c>
      <c r="N1688">
        <v>66092140</v>
      </c>
      <c r="O1688" s="302"/>
    </row>
    <row r="1689" spans="1:15" x14ac:dyDescent="0.2">
      <c r="A1689" s="302"/>
      <c r="B1689" s="887"/>
      <c r="C1689" s="839"/>
      <c r="D1689" s="839"/>
      <c r="E1689" s="713" t="s">
        <v>1557</v>
      </c>
      <c r="F1689">
        <v>325057943</v>
      </c>
      <c r="G1689">
        <v>0</v>
      </c>
      <c r="H1689">
        <v>325057943</v>
      </c>
      <c r="I1689">
        <v>325057943</v>
      </c>
      <c r="J1689">
        <v>0</v>
      </c>
      <c r="K1689">
        <v>0</v>
      </c>
      <c r="L1689">
        <v>0</v>
      </c>
      <c r="M1689">
        <v>0</v>
      </c>
      <c r="N1689">
        <v>0</v>
      </c>
      <c r="O1689" s="302"/>
    </row>
    <row r="1690" spans="1:15" x14ac:dyDescent="0.2">
      <c r="A1690" s="302"/>
      <c r="B1690" s="887"/>
      <c r="C1690" s="839"/>
      <c r="D1690" s="839"/>
      <c r="E1690" s="713" t="s">
        <v>195</v>
      </c>
      <c r="F1690">
        <v>9464113</v>
      </c>
      <c r="G1690">
        <v>5692140</v>
      </c>
      <c r="H1690">
        <v>3771973</v>
      </c>
      <c r="I1690">
        <v>0</v>
      </c>
      <c r="J1690">
        <v>3771973</v>
      </c>
      <c r="K1690">
        <v>0</v>
      </c>
      <c r="L1690">
        <v>0</v>
      </c>
      <c r="M1690">
        <v>3771973</v>
      </c>
      <c r="N1690">
        <v>0</v>
      </c>
      <c r="O1690" s="302"/>
    </row>
    <row r="1691" spans="1:15" x14ac:dyDescent="0.2">
      <c r="A1691" s="302"/>
      <c r="B1691" s="887"/>
      <c r="C1691" s="838" t="s">
        <v>3724</v>
      </c>
      <c r="D1691" s="838" t="s">
        <v>1986</v>
      </c>
      <c r="E1691" s="713" t="s">
        <v>26</v>
      </c>
      <c r="F1691">
        <v>126875050</v>
      </c>
      <c r="G1691">
        <v>98000000</v>
      </c>
      <c r="H1691">
        <v>28875050</v>
      </c>
      <c r="I1691">
        <v>0</v>
      </c>
      <c r="J1691">
        <v>28875050</v>
      </c>
      <c r="K1691">
        <v>28875050</v>
      </c>
      <c r="L1691">
        <v>0</v>
      </c>
      <c r="M1691">
        <v>0</v>
      </c>
      <c r="N1691">
        <v>0</v>
      </c>
      <c r="O1691" s="302"/>
    </row>
    <row r="1692" spans="1:15" x14ac:dyDescent="0.2">
      <c r="A1692" s="302"/>
      <c r="B1692" s="887"/>
      <c r="C1692" s="839"/>
      <c r="D1692" s="839"/>
      <c r="E1692" s="713" t="s">
        <v>1557</v>
      </c>
      <c r="F1692">
        <v>273000000</v>
      </c>
      <c r="G1692">
        <v>1117403</v>
      </c>
      <c r="H1692">
        <v>271882597</v>
      </c>
      <c r="I1692">
        <v>271882597</v>
      </c>
      <c r="J1692">
        <v>0</v>
      </c>
      <c r="K1692">
        <v>0</v>
      </c>
      <c r="L1692">
        <v>0</v>
      </c>
      <c r="M1692">
        <v>0</v>
      </c>
      <c r="N1692">
        <v>0</v>
      </c>
      <c r="O1692" s="302"/>
    </row>
    <row r="1693" spans="1:15" ht="25.5" x14ac:dyDescent="0.2">
      <c r="A1693" s="302"/>
      <c r="B1693" s="887"/>
      <c r="C1693" s="713" t="s">
        <v>4434</v>
      </c>
      <c r="D1693" s="713" t="s">
        <v>3335</v>
      </c>
      <c r="E1693" s="713"/>
      <c r="F1693"/>
      <c r="G1693"/>
      <c r="H1693"/>
      <c r="I1693"/>
      <c r="J1693"/>
      <c r="K1693"/>
      <c r="L1693"/>
      <c r="M1693"/>
      <c r="N1693"/>
      <c r="O1693" s="302"/>
    </row>
    <row r="1694" spans="1:15" ht="38.25" x14ac:dyDescent="0.2">
      <c r="A1694" s="302"/>
      <c r="B1694" s="887"/>
      <c r="C1694" s="713" t="s">
        <v>4435</v>
      </c>
      <c r="D1694" s="713" t="s">
        <v>1986</v>
      </c>
      <c r="E1694" s="713"/>
      <c r="F1694">
        <v>229685564829</v>
      </c>
      <c r="G1694">
        <v>114949307249</v>
      </c>
      <c r="H1694">
        <v>114736257580</v>
      </c>
      <c r="I1694">
        <v>90312813207</v>
      </c>
      <c r="J1694">
        <v>24423444373</v>
      </c>
      <c r="K1694">
        <v>1242103563</v>
      </c>
      <c r="L1694">
        <v>10857718803</v>
      </c>
      <c r="M1694">
        <v>543664749</v>
      </c>
      <c r="N1694">
        <v>11779957258</v>
      </c>
      <c r="O1694" s="302"/>
    </row>
    <row r="1695" spans="1:15" x14ac:dyDescent="0.2">
      <c r="A1695" s="302"/>
      <c r="B1695" s="838" t="s">
        <v>4436</v>
      </c>
      <c r="C1695" s="887"/>
      <c r="D1695" s="887"/>
      <c r="E1695" s="887"/>
      <c r="F1695">
        <v>459371129658</v>
      </c>
      <c r="G1695">
        <v>229898614498</v>
      </c>
      <c r="H1695">
        <v>229472515160</v>
      </c>
      <c r="I1695">
        <v>180625626414</v>
      </c>
      <c r="J1695">
        <v>48846888746</v>
      </c>
      <c r="K1695">
        <v>2484207126</v>
      </c>
      <c r="L1695">
        <v>21715437606</v>
      </c>
      <c r="M1695">
        <v>1087329498</v>
      </c>
      <c r="N1695">
        <v>23559914516</v>
      </c>
      <c r="O1695" s="302"/>
    </row>
    <row r="1696" spans="1:15" s="302" customFormat="1" x14ac:dyDescent="0.2">
      <c r="B1696" s="720"/>
      <c r="C1696"/>
      <c r="D1696"/>
      <c r="E1696"/>
    </row>
    <row r="1697" spans="1:15" x14ac:dyDescent="0.2">
      <c r="A1697" s="302"/>
      <c r="B1697" s="720"/>
      <c r="C1697"/>
      <c r="D1697"/>
      <c r="E1697"/>
      <c r="F1697" s="302"/>
      <c r="G1697" s="302"/>
      <c r="H1697" s="302"/>
      <c r="I1697" s="302"/>
      <c r="J1697" s="302"/>
      <c r="K1697" s="302"/>
      <c r="L1697" s="302"/>
      <c r="M1697" s="302"/>
      <c r="N1697" s="302"/>
      <c r="O1697" s="302"/>
    </row>
    <row r="1698" spans="1:15" x14ac:dyDescent="0.2">
      <c r="B1698" s="720"/>
      <c r="C1698"/>
      <c r="D1698"/>
      <c r="E1698"/>
    </row>
    <row r="1699" spans="1:15" x14ac:dyDescent="0.2">
      <c r="B1699" s="720"/>
      <c r="C1699"/>
      <c r="D1699"/>
      <c r="E1699"/>
    </row>
    <row r="1700" spans="1:15" x14ac:dyDescent="0.2">
      <c r="B1700" s="720"/>
      <c r="C1700"/>
      <c r="D1700"/>
      <c r="E1700"/>
    </row>
    <row r="1701" spans="1:15" x14ac:dyDescent="0.2">
      <c r="B1701" s="720"/>
      <c r="C1701"/>
      <c r="D1701"/>
      <c r="E1701"/>
    </row>
    <row r="1702" spans="1:15" x14ac:dyDescent="0.2">
      <c r="B1702" s="720"/>
      <c r="C1702"/>
      <c r="D1702"/>
      <c r="E1702"/>
    </row>
    <row r="1703" spans="1:15" x14ac:dyDescent="0.2">
      <c r="B1703" s="720"/>
      <c r="C1703"/>
      <c r="D1703"/>
      <c r="E1703"/>
    </row>
    <row r="1704" spans="1:15" x14ac:dyDescent="0.2">
      <c r="B1704" s="720"/>
      <c r="C1704"/>
      <c r="D1704"/>
      <c r="E1704"/>
    </row>
    <row r="1705" spans="1:15" x14ac:dyDescent="0.2">
      <c r="B1705" s="720"/>
      <c r="C1705"/>
      <c r="D1705"/>
      <c r="E1705"/>
    </row>
    <row r="1706" spans="1:15" x14ac:dyDescent="0.2">
      <c r="B1706" s="720"/>
      <c r="C1706"/>
      <c r="D1706"/>
      <c r="E1706"/>
    </row>
    <row r="1707" spans="1:15" x14ac:dyDescent="0.2">
      <c r="B1707" s="720"/>
      <c r="C1707"/>
      <c r="D1707"/>
      <c r="E1707"/>
    </row>
    <row r="1708" spans="1:15" x14ac:dyDescent="0.2">
      <c r="B1708" s="720"/>
      <c r="C1708"/>
      <c r="D1708"/>
      <c r="E1708"/>
    </row>
    <row r="1709" spans="1:15" x14ac:dyDescent="0.2">
      <c r="B1709" s="720"/>
      <c r="C1709"/>
      <c r="D1709"/>
      <c r="E1709"/>
    </row>
    <row r="1710" spans="1:15" x14ac:dyDescent="0.2">
      <c r="B1710" s="720"/>
      <c r="C1710"/>
      <c r="D1710"/>
      <c r="E1710"/>
    </row>
    <row r="1711" spans="1:15" x14ac:dyDescent="0.2">
      <c r="B1711" s="720"/>
      <c r="C1711"/>
      <c r="D1711"/>
      <c r="E1711"/>
    </row>
    <row r="1712" spans="1:15" x14ac:dyDescent="0.2">
      <c r="B1712" s="720"/>
      <c r="C1712"/>
      <c r="D1712"/>
      <c r="E1712"/>
    </row>
    <row r="1713" spans="2:5" x14ac:dyDescent="0.2">
      <c r="B1713" s="720"/>
      <c r="C1713"/>
      <c r="D1713"/>
      <c r="E1713"/>
    </row>
    <row r="1714" spans="2:5" x14ac:dyDescent="0.2">
      <c r="B1714" s="720"/>
      <c r="C1714"/>
      <c r="D1714"/>
      <c r="E1714"/>
    </row>
    <row r="1715" spans="2:5" x14ac:dyDescent="0.2">
      <c r="B1715" s="720"/>
      <c r="C1715"/>
      <c r="D1715"/>
      <c r="E1715"/>
    </row>
    <row r="1716" spans="2:5" x14ac:dyDescent="0.2">
      <c r="B1716" s="720"/>
      <c r="C1716"/>
      <c r="D1716"/>
      <c r="E1716"/>
    </row>
    <row r="1717" spans="2:5" x14ac:dyDescent="0.2">
      <c r="B1717" s="720"/>
      <c r="C1717"/>
      <c r="D1717"/>
      <c r="E1717"/>
    </row>
    <row r="1718" spans="2:5" x14ac:dyDescent="0.2">
      <c r="B1718" s="720"/>
      <c r="C1718"/>
      <c r="D1718"/>
      <c r="E1718"/>
    </row>
    <row r="1719" spans="2:5" x14ac:dyDescent="0.2">
      <c r="B1719" s="720"/>
      <c r="C1719"/>
      <c r="D1719"/>
      <c r="E1719"/>
    </row>
    <row r="1720" spans="2:5" x14ac:dyDescent="0.2">
      <c r="B1720" s="720"/>
      <c r="C1720"/>
      <c r="D1720"/>
      <c r="E1720"/>
    </row>
    <row r="1721" spans="2:5" x14ac:dyDescent="0.2">
      <c r="B1721" s="720"/>
      <c r="C1721"/>
      <c r="D1721"/>
      <c r="E1721"/>
    </row>
    <row r="1722" spans="2:5" x14ac:dyDescent="0.2">
      <c r="B1722" s="720"/>
      <c r="C1722"/>
      <c r="D1722"/>
      <c r="E1722"/>
    </row>
    <row r="1723" spans="2:5" x14ac:dyDescent="0.2">
      <c r="B1723" s="720"/>
      <c r="C1723"/>
      <c r="D1723"/>
      <c r="E1723"/>
    </row>
    <row r="1724" spans="2:5" x14ac:dyDescent="0.2">
      <c r="B1724" s="720"/>
      <c r="C1724"/>
      <c r="D1724"/>
      <c r="E1724"/>
    </row>
    <row r="1725" spans="2:5" x14ac:dyDescent="0.2">
      <c r="B1725" s="720"/>
      <c r="C1725"/>
      <c r="D1725"/>
      <c r="E1725"/>
    </row>
    <row r="1726" spans="2:5" x14ac:dyDescent="0.2">
      <c r="B1726" s="720"/>
      <c r="C1726"/>
      <c r="D1726"/>
      <c r="E1726"/>
    </row>
    <row r="1727" spans="2:5" x14ac:dyDescent="0.2">
      <c r="B1727" s="720"/>
      <c r="C1727"/>
      <c r="D1727"/>
      <c r="E1727"/>
    </row>
    <row r="1728" spans="2:5" x14ac:dyDescent="0.2">
      <c r="B1728" s="720"/>
      <c r="C1728"/>
      <c r="D1728"/>
      <c r="E1728"/>
    </row>
    <row r="1729" spans="2:5" x14ac:dyDescent="0.2">
      <c r="B1729" s="720"/>
      <c r="C1729"/>
      <c r="D1729"/>
      <c r="E1729"/>
    </row>
    <row r="1730" spans="2:5" x14ac:dyDescent="0.2">
      <c r="B1730" s="720"/>
      <c r="C1730"/>
      <c r="D1730"/>
      <c r="E1730"/>
    </row>
    <row r="1731" spans="2:5" x14ac:dyDescent="0.2">
      <c r="B1731" s="720"/>
      <c r="C1731"/>
      <c r="D1731"/>
      <c r="E1731"/>
    </row>
    <row r="1732" spans="2:5" x14ac:dyDescent="0.2">
      <c r="B1732" s="720"/>
      <c r="C1732"/>
      <c r="D1732"/>
      <c r="E1732"/>
    </row>
    <row r="1733" spans="2:5" x14ac:dyDescent="0.2">
      <c r="B1733" s="720"/>
      <c r="C1733"/>
      <c r="D1733"/>
      <c r="E1733"/>
    </row>
    <row r="1734" spans="2:5" x14ac:dyDescent="0.2">
      <c r="B1734" s="720"/>
      <c r="C1734"/>
      <c r="D1734"/>
      <c r="E1734"/>
    </row>
    <row r="1735" spans="2:5" x14ac:dyDescent="0.2">
      <c r="B1735" s="720"/>
      <c r="C1735"/>
      <c r="D1735"/>
      <c r="E1735"/>
    </row>
    <row r="1736" spans="2:5" x14ac:dyDescent="0.2">
      <c r="B1736" s="720"/>
      <c r="C1736"/>
      <c r="D1736"/>
      <c r="E1736"/>
    </row>
    <row r="1737" spans="2:5" x14ac:dyDescent="0.2">
      <c r="B1737" s="720"/>
      <c r="C1737"/>
      <c r="D1737"/>
      <c r="E1737"/>
    </row>
    <row r="1738" spans="2:5" x14ac:dyDescent="0.2">
      <c r="B1738" s="720"/>
      <c r="C1738"/>
      <c r="D1738"/>
      <c r="E1738"/>
    </row>
    <row r="1739" spans="2:5" x14ac:dyDescent="0.2">
      <c r="B1739" s="720"/>
      <c r="C1739"/>
      <c r="D1739"/>
      <c r="E1739"/>
    </row>
    <row r="1740" spans="2:5" x14ac:dyDescent="0.2">
      <c r="B1740" s="720"/>
      <c r="C1740"/>
      <c r="D1740"/>
      <c r="E1740"/>
    </row>
    <row r="1741" spans="2:5" x14ac:dyDescent="0.2">
      <c r="B1741" s="720"/>
      <c r="C1741"/>
      <c r="D1741"/>
      <c r="E1741"/>
    </row>
    <row r="1742" spans="2:5" x14ac:dyDescent="0.2">
      <c r="B1742" s="720"/>
      <c r="C1742"/>
      <c r="D1742"/>
      <c r="E1742"/>
    </row>
    <row r="1743" spans="2:5" x14ac:dyDescent="0.2">
      <c r="B1743" s="720"/>
      <c r="C1743"/>
      <c r="D1743"/>
      <c r="E1743"/>
    </row>
    <row r="1744" spans="2:5" x14ac:dyDescent="0.2">
      <c r="B1744" s="720"/>
      <c r="C1744"/>
      <c r="D1744"/>
      <c r="E1744"/>
    </row>
    <row r="1745" spans="2:5" x14ac:dyDescent="0.2">
      <c r="B1745" s="720"/>
      <c r="C1745"/>
      <c r="D1745"/>
      <c r="E1745"/>
    </row>
    <row r="1746" spans="2:5" x14ac:dyDescent="0.2">
      <c r="B1746" s="720"/>
      <c r="C1746"/>
      <c r="D1746"/>
      <c r="E1746"/>
    </row>
    <row r="1747" spans="2:5" x14ac:dyDescent="0.2">
      <c r="B1747" s="720"/>
      <c r="C1747"/>
      <c r="D1747"/>
      <c r="E1747"/>
    </row>
    <row r="1748" spans="2:5" x14ac:dyDescent="0.2">
      <c r="B1748" s="720"/>
      <c r="C1748"/>
      <c r="D1748"/>
      <c r="E1748"/>
    </row>
    <row r="1749" spans="2:5" x14ac:dyDescent="0.2">
      <c r="B1749" s="720"/>
      <c r="C1749"/>
      <c r="D1749"/>
      <c r="E1749"/>
    </row>
    <row r="1750" spans="2:5" x14ac:dyDescent="0.2">
      <c r="B1750" s="720"/>
      <c r="C1750"/>
      <c r="D1750"/>
      <c r="E1750"/>
    </row>
    <row r="1751" spans="2:5" x14ac:dyDescent="0.2">
      <c r="B1751" s="720"/>
      <c r="C1751"/>
      <c r="D1751"/>
      <c r="E1751"/>
    </row>
    <row r="1752" spans="2:5" x14ac:dyDescent="0.2">
      <c r="B1752" s="720"/>
      <c r="C1752"/>
      <c r="D1752"/>
      <c r="E1752"/>
    </row>
    <row r="1753" spans="2:5" x14ac:dyDescent="0.2">
      <c r="B1753" s="720"/>
      <c r="C1753"/>
      <c r="D1753"/>
      <c r="E1753"/>
    </row>
    <row r="1754" spans="2:5" x14ac:dyDescent="0.2">
      <c r="B1754" s="720"/>
      <c r="C1754"/>
      <c r="D1754"/>
      <c r="E1754"/>
    </row>
    <row r="1755" spans="2:5" x14ac:dyDescent="0.2">
      <c r="B1755" s="720"/>
      <c r="C1755"/>
      <c r="D1755"/>
      <c r="E1755"/>
    </row>
    <row r="1756" spans="2:5" x14ac:dyDescent="0.2">
      <c r="B1756" s="720"/>
      <c r="C1756"/>
      <c r="D1756"/>
      <c r="E1756"/>
    </row>
    <row r="1757" spans="2:5" x14ac:dyDescent="0.2">
      <c r="B1757" s="720"/>
      <c r="C1757"/>
      <c r="D1757"/>
      <c r="E1757"/>
    </row>
    <row r="1758" spans="2:5" x14ac:dyDescent="0.2">
      <c r="B1758" s="720"/>
      <c r="C1758"/>
      <c r="D1758"/>
      <c r="E1758"/>
    </row>
    <row r="1759" spans="2:5" x14ac:dyDescent="0.2">
      <c r="B1759" s="720"/>
      <c r="C1759"/>
      <c r="D1759"/>
      <c r="E1759"/>
    </row>
    <row r="1760" spans="2:5" x14ac:dyDescent="0.2">
      <c r="B1760" s="720"/>
      <c r="C1760"/>
      <c r="D1760"/>
      <c r="E1760"/>
    </row>
    <row r="1761" spans="2:5" x14ac:dyDescent="0.2">
      <c r="B1761" s="720"/>
      <c r="C1761"/>
      <c r="D1761"/>
      <c r="E1761"/>
    </row>
    <row r="1762" spans="2:5" x14ac:dyDescent="0.2">
      <c r="B1762" s="720"/>
      <c r="C1762"/>
      <c r="D1762"/>
      <c r="E1762"/>
    </row>
    <row r="1763" spans="2:5" x14ac:dyDescent="0.2">
      <c r="B1763" s="720"/>
      <c r="C1763"/>
      <c r="D1763"/>
      <c r="E1763"/>
    </row>
    <row r="1764" spans="2:5" x14ac:dyDescent="0.2">
      <c r="B1764" s="720"/>
      <c r="C1764"/>
      <c r="D1764"/>
      <c r="E1764"/>
    </row>
    <row r="1765" spans="2:5" x14ac:dyDescent="0.2">
      <c r="B1765" s="720"/>
      <c r="C1765"/>
      <c r="D1765"/>
      <c r="E1765"/>
    </row>
    <row r="1766" spans="2:5" x14ac:dyDescent="0.2">
      <c r="B1766" s="720"/>
      <c r="C1766"/>
      <c r="D1766"/>
      <c r="E1766"/>
    </row>
    <row r="1767" spans="2:5" x14ac:dyDescent="0.2">
      <c r="B1767" s="720"/>
      <c r="C1767"/>
      <c r="D1767"/>
      <c r="E1767"/>
    </row>
    <row r="1768" spans="2:5" x14ac:dyDescent="0.2">
      <c r="B1768" s="720"/>
      <c r="C1768"/>
      <c r="D1768"/>
      <c r="E1768"/>
    </row>
    <row r="1769" spans="2:5" x14ac:dyDescent="0.2">
      <c r="B1769" s="720"/>
      <c r="C1769"/>
      <c r="D1769"/>
      <c r="E1769"/>
    </row>
    <row r="1770" spans="2:5" x14ac:dyDescent="0.2">
      <c r="B1770" s="720"/>
      <c r="C1770"/>
      <c r="D1770"/>
      <c r="E1770"/>
    </row>
    <row r="1771" spans="2:5" x14ac:dyDescent="0.2">
      <c r="B1771" s="720"/>
      <c r="C1771"/>
      <c r="D1771"/>
      <c r="E1771"/>
    </row>
    <row r="1772" spans="2:5" x14ac:dyDescent="0.2">
      <c r="B1772" s="720"/>
      <c r="C1772"/>
      <c r="D1772"/>
      <c r="E1772"/>
    </row>
    <row r="1773" spans="2:5" x14ac:dyDescent="0.2">
      <c r="B1773" s="720"/>
      <c r="C1773"/>
      <c r="D1773"/>
      <c r="E1773"/>
    </row>
    <row r="1774" spans="2:5" x14ac:dyDescent="0.2">
      <c r="B1774" s="720"/>
      <c r="C1774"/>
      <c r="D1774"/>
      <c r="E1774"/>
    </row>
    <row r="1775" spans="2:5" x14ac:dyDescent="0.2">
      <c r="B1775" s="720"/>
      <c r="C1775"/>
      <c r="D1775"/>
      <c r="E1775"/>
    </row>
    <row r="1776" spans="2:5" x14ac:dyDescent="0.2">
      <c r="B1776" s="720"/>
      <c r="C1776"/>
      <c r="D1776"/>
      <c r="E1776"/>
    </row>
    <row r="1777" spans="2:5" x14ac:dyDescent="0.2">
      <c r="B1777" s="720"/>
      <c r="C1777"/>
      <c r="D1777"/>
      <c r="E1777"/>
    </row>
    <row r="1778" spans="2:5" x14ac:dyDescent="0.2">
      <c r="B1778" s="720"/>
      <c r="C1778"/>
      <c r="D1778"/>
      <c r="E1778"/>
    </row>
    <row r="1779" spans="2:5" x14ac:dyDescent="0.2">
      <c r="B1779" s="720"/>
      <c r="C1779"/>
      <c r="D1779"/>
      <c r="E1779"/>
    </row>
    <row r="1780" spans="2:5" x14ac:dyDescent="0.2">
      <c r="B1780" s="720"/>
      <c r="C1780"/>
      <c r="D1780"/>
      <c r="E1780"/>
    </row>
    <row r="1781" spans="2:5" x14ac:dyDescent="0.2">
      <c r="B1781" s="720"/>
      <c r="C1781"/>
      <c r="D1781"/>
      <c r="E1781"/>
    </row>
    <row r="1782" spans="2:5" x14ac:dyDescent="0.2">
      <c r="B1782" s="720"/>
      <c r="C1782"/>
      <c r="D1782"/>
      <c r="E1782"/>
    </row>
    <row r="1783" spans="2:5" x14ac:dyDescent="0.2">
      <c r="B1783" s="720"/>
      <c r="C1783"/>
      <c r="D1783"/>
      <c r="E1783"/>
    </row>
    <row r="1784" spans="2:5" x14ac:dyDescent="0.2">
      <c r="B1784" s="720"/>
      <c r="C1784"/>
      <c r="D1784"/>
      <c r="E1784"/>
    </row>
    <row r="1785" spans="2:5" x14ac:dyDescent="0.2">
      <c r="B1785" s="720"/>
      <c r="C1785"/>
      <c r="D1785"/>
      <c r="E1785"/>
    </row>
    <row r="1786" spans="2:5" x14ac:dyDescent="0.2">
      <c r="B1786" s="720"/>
      <c r="C1786"/>
      <c r="D1786"/>
      <c r="E1786"/>
    </row>
    <row r="1787" spans="2:5" x14ac:dyDescent="0.2">
      <c r="B1787" s="720"/>
      <c r="C1787"/>
      <c r="D1787"/>
      <c r="E1787"/>
    </row>
    <row r="1788" spans="2:5" x14ac:dyDescent="0.2">
      <c r="B1788" s="720"/>
      <c r="C1788"/>
      <c r="D1788"/>
      <c r="E1788"/>
    </row>
    <row r="1789" spans="2:5" x14ac:dyDescent="0.2">
      <c r="B1789" s="720"/>
      <c r="C1789"/>
      <c r="D1789"/>
      <c r="E1789"/>
    </row>
    <row r="1790" spans="2:5" x14ac:dyDescent="0.2">
      <c r="B1790" s="720"/>
      <c r="C1790"/>
      <c r="D1790"/>
      <c r="E1790"/>
    </row>
    <row r="1791" spans="2:5" x14ac:dyDescent="0.2">
      <c r="B1791" s="720"/>
      <c r="C1791"/>
      <c r="D1791"/>
      <c r="E1791"/>
    </row>
    <row r="1792" spans="2:5" x14ac:dyDescent="0.2">
      <c r="B1792" s="720"/>
      <c r="C1792"/>
      <c r="D1792"/>
      <c r="E1792"/>
    </row>
    <row r="1793" spans="2:5" x14ac:dyDescent="0.2">
      <c r="B1793" s="720"/>
      <c r="C1793"/>
      <c r="D1793"/>
      <c r="E1793"/>
    </row>
    <row r="1794" spans="2:5" x14ac:dyDescent="0.2">
      <c r="B1794" s="720"/>
      <c r="C1794"/>
      <c r="D1794"/>
      <c r="E1794"/>
    </row>
    <row r="1795" spans="2:5" x14ac:dyDescent="0.2">
      <c r="B1795" s="720"/>
      <c r="C1795"/>
      <c r="D1795"/>
      <c r="E1795"/>
    </row>
    <row r="1796" spans="2:5" x14ac:dyDescent="0.2">
      <c r="B1796" s="720"/>
      <c r="C1796"/>
      <c r="D1796"/>
      <c r="E1796"/>
    </row>
    <row r="1797" spans="2:5" x14ac:dyDescent="0.2">
      <c r="B1797" s="720"/>
      <c r="C1797"/>
      <c r="D1797"/>
      <c r="E1797"/>
    </row>
    <row r="1798" spans="2:5" x14ac:dyDescent="0.2">
      <c r="B1798" s="720"/>
      <c r="C1798"/>
      <c r="D1798"/>
      <c r="E1798"/>
    </row>
    <row r="1799" spans="2:5" x14ac:dyDescent="0.2">
      <c r="B1799" s="720"/>
      <c r="C1799"/>
      <c r="D1799"/>
      <c r="E1799"/>
    </row>
    <row r="1800" spans="2:5" x14ac:dyDescent="0.2">
      <c r="B1800" s="720"/>
      <c r="C1800"/>
      <c r="D1800"/>
      <c r="E1800"/>
    </row>
    <row r="1801" spans="2:5" x14ac:dyDescent="0.2">
      <c r="B1801" s="720"/>
      <c r="C1801"/>
      <c r="D1801"/>
      <c r="E1801"/>
    </row>
    <row r="1802" spans="2:5" x14ac:dyDescent="0.2">
      <c r="B1802" s="720"/>
      <c r="C1802"/>
      <c r="D1802"/>
      <c r="E1802"/>
    </row>
    <row r="1803" spans="2:5" x14ac:dyDescent="0.2">
      <c r="B1803" s="720"/>
      <c r="C1803"/>
      <c r="D1803"/>
      <c r="E1803"/>
    </row>
    <row r="1804" spans="2:5" x14ac:dyDescent="0.2">
      <c r="B1804" s="720"/>
      <c r="C1804"/>
      <c r="D1804"/>
      <c r="E1804"/>
    </row>
    <row r="1805" spans="2:5" x14ac:dyDescent="0.2">
      <c r="B1805" s="720"/>
      <c r="C1805"/>
      <c r="D1805"/>
      <c r="E1805"/>
    </row>
    <row r="1806" spans="2:5" x14ac:dyDescent="0.2">
      <c r="B1806" s="720"/>
      <c r="C1806"/>
      <c r="D1806"/>
      <c r="E1806"/>
    </row>
    <row r="1807" spans="2:5" x14ac:dyDescent="0.2">
      <c r="B1807" s="720"/>
      <c r="C1807"/>
      <c r="D1807"/>
      <c r="E1807"/>
    </row>
    <row r="1808" spans="2:5" x14ac:dyDescent="0.2">
      <c r="B1808" s="720"/>
      <c r="C1808"/>
      <c r="D1808"/>
      <c r="E1808"/>
    </row>
    <row r="1809" spans="2:5" x14ac:dyDescent="0.2">
      <c r="B1809" s="720"/>
      <c r="C1809"/>
      <c r="D1809"/>
      <c r="E1809"/>
    </row>
    <row r="1810" spans="2:5" x14ac:dyDescent="0.2">
      <c r="B1810" s="720"/>
      <c r="C1810"/>
      <c r="D1810"/>
      <c r="E1810"/>
    </row>
    <row r="1811" spans="2:5" x14ac:dyDescent="0.2">
      <c r="B1811" s="720"/>
      <c r="C1811"/>
      <c r="D1811"/>
      <c r="E1811"/>
    </row>
    <row r="1812" spans="2:5" x14ac:dyDescent="0.2">
      <c r="B1812" s="720"/>
      <c r="C1812"/>
      <c r="D1812"/>
      <c r="E1812"/>
    </row>
    <row r="1813" spans="2:5" x14ac:dyDescent="0.2">
      <c r="B1813" s="720"/>
      <c r="C1813"/>
      <c r="D1813"/>
      <c r="E1813"/>
    </row>
    <row r="1814" spans="2:5" x14ac:dyDescent="0.2">
      <c r="B1814" s="720"/>
      <c r="C1814"/>
      <c r="D1814"/>
      <c r="E1814"/>
    </row>
    <row r="1815" spans="2:5" x14ac:dyDescent="0.2">
      <c r="B1815" s="720"/>
      <c r="C1815"/>
      <c r="D1815"/>
      <c r="E1815"/>
    </row>
    <row r="1816" spans="2:5" x14ac:dyDescent="0.2">
      <c r="B1816" s="720"/>
      <c r="C1816"/>
      <c r="D1816"/>
      <c r="E1816"/>
    </row>
    <row r="1817" spans="2:5" x14ac:dyDescent="0.2">
      <c r="B1817" s="720"/>
      <c r="C1817"/>
      <c r="D1817"/>
      <c r="E1817"/>
    </row>
    <row r="1818" spans="2:5" x14ac:dyDescent="0.2">
      <c r="B1818" s="720"/>
      <c r="C1818"/>
      <c r="D1818"/>
      <c r="E1818"/>
    </row>
    <row r="1819" spans="2:5" x14ac:dyDescent="0.2">
      <c r="B1819" s="720"/>
      <c r="C1819"/>
      <c r="D1819"/>
      <c r="E1819"/>
    </row>
    <row r="1820" spans="2:5" x14ac:dyDescent="0.2">
      <c r="B1820" s="720"/>
      <c r="C1820"/>
      <c r="D1820"/>
      <c r="E1820"/>
    </row>
    <row r="1821" spans="2:5" x14ac:dyDescent="0.2">
      <c r="B1821" s="720"/>
      <c r="C1821"/>
      <c r="D1821"/>
      <c r="E1821"/>
    </row>
    <row r="1822" spans="2:5" x14ac:dyDescent="0.2">
      <c r="B1822" s="720"/>
      <c r="C1822"/>
      <c r="D1822"/>
      <c r="E1822"/>
    </row>
    <row r="1823" spans="2:5" x14ac:dyDescent="0.2">
      <c r="B1823" s="720"/>
      <c r="C1823"/>
      <c r="D1823"/>
      <c r="E1823"/>
    </row>
    <row r="1824" spans="2:5" x14ac:dyDescent="0.2">
      <c r="B1824" s="720"/>
      <c r="C1824"/>
      <c r="D1824"/>
      <c r="E1824"/>
    </row>
    <row r="1825" spans="2:5" x14ac:dyDescent="0.2">
      <c r="B1825" s="720"/>
      <c r="C1825"/>
      <c r="D1825"/>
      <c r="E1825"/>
    </row>
    <row r="1826" spans="2:5" x14ac:dyDescent="0.2">
      <c r="B1826" s="720"/>
      <c r="C1826"/>
      <c r="D1826"/>
      <c r="E1826"/>
    </row>
    <row r="1827" spans="2:5" x14ac:dyDescent="0.2">
      <c r="B1827" s="720"/>
      <c r="C1827"/>
      <c r="D1827"/>
      <c r="E1827"/>
    </row>
    <row r="1828" spans="2:5" x14ac:dyDescent="0.2">
      <c r="B1828" s="720"/>
      <c r="C1828"/>
      <c r="D1828"/>
      <c r="E1828"/>
    </row>
    <row r="1829" spans="2:5" x14ac:dyDescent="0.2">
      <c r="B1829" s="720"/>
      <c r="C1829"/>
      <c r="D1829"/>
      <c r="E1829"/>
    </row>
    <row r="1830" spans="2:5" x14ac:dyDescent="0.2">
      <c r="B1830" s="720"/>
      <c r="C1830"/>
      <c r="D1830"/>
      <c r="E1830"/>
    </row>
    <row r="1831" spans="2:5" x14ac:dyDescent="0.2">
      <c r="B1831" s="720"/>
      <c r="C1831"/>
      <c r="D1831"/>
      <c r="E1831"/>
    </row>
    <row r="1832" spans="2:5" x14ac:dyDescent="0.2">
      <c r="B1832" s="720"/>
      <c r="C1832"/>
      <c r="D1832"/>
      <c r="E1832"/>
    </row>
    <row r="1833" spans="2:5" x14ac:dyDescent="0.2">
      <c r="B1833" s="720"/>
      <c r="C1833"/>
      <c r="D1833"/>
      <c r="E1833"/>
    </row>
    <row r="1834" spans="2:5" x14ac:dyDescent="0.2">
      <c r="B1834" s="720"/>
      <c r="C1834"/>
      <c r="D1834"/>
      <c r="E1834"/>
    </row>
    <row r="1835" spans="2:5" x14ac:dyDescent="0.2">
      <c r="B1835" s="720"/>
      <c r="C1835"/>
      <c r="D1835"/>
      <c r="E1835"/>
    </row>
    <row r="1836" spans="2:5" x14ac:dyDescent="0.2">
      <c r="B1836" s="720"/>
      <c r="C1836"/>
      <c r="D1836"/>
      <c r="E1836"/>
    </row>
    <row r="1837" spans="2:5" x14ac:dyDescent="0.2">
      <c r="B1837" s="720"/>
      <c r="C1837"/>
      <c r="D1837"/>
      <c r="E1837"/>
    </row>
    <row r="1838" spans="2:5" x14ac:dyDescent="0.2">
      <c r="B1838" s="720"/>
      <c r="C1838"/>
      <c r="D1838"/>
      <c r="E1838"/>
    </row>
    <row r="1839" spans="2:5" x14ac:dyDescent="0.2">
      <c r="B1839" s="720"/>
      <c r="C1839"/>
      <c r="D1839"/>
      <c r="E1839"/>
    </row>
    <row r="1840" spans="2:5" x14ac:dyDescent="0.2">
      <c r="B1840" s="720"/>
      <c r="C1840"/>
      <c r="D1840"/>
      <c r="E1840"/>
    </row>
    <row r="1841" spans="2:5" x14ac:dyDescent="0.2">
      <c r="B1841" s="720"/>
      <c r="C1841"/>
      <c r="D1841"/>
      <c r="E1841"/>
    </row>
    <row r="1842" spans="2:5" x14ac:dyDescent="0.2">
      <c r="B1842" s="720"/>
      <c r="C1842"/>
      <c r="D1842"/>
      <c r="E1842"/>
    </row>
    <row r="1843" spans="2:5" x14ac:dyDescent="0.2">
      <c r="B1843" s="720"/>
      <c r="C1843"/>
      <c r="D1843"/>
      <c r="E1843"/>
    </row>
    <row r="1844" spans="2:5" x14ac:dyDescent="0.2">
      <c r="B1844" s="720"/>
      <c r="C1844"/>
      <c r="D1844"/>
      <c r="E1844"/>
    </row>
    <row r="1845" spans="2:5" x14ac:dyDescent="0.2">
      <c r="B1845" s="720"/>
      <c r="C1845"/>
      <c r="D1845"/>
      <c r="E1845"/>
    </row>
    <row r="1846" spans="2:5" x14ac:dyDescent="0.2">
      <c r="B1846" s="720"/>
      <c r="C1846"/>
      <c r="D1846"/>
      <c r="E1846"/>
    </row>
    <row r="1847" spans="2:5" x14ac:dyDescent="0.2">
      <c r="B1847" s="720"/>
      <c r="C1847"/>
      <c r="D1847"/>
      <c r="E1847"/>
    </row>
    <row r="1848" spans="2:5" x14ac:dyDescent="0.2">
      <c r="B1848" s="720"/>
      <c r="C1848"/>
      <c r="D1848"/>
      <c r="E1848"/>
    </row>
    <row r="1849" spans="2:5" x14ac:dyDescent="0.2">
      <c r="B1849" s="720"/>
      <c r="C1849"/>
      <c r="D1849"/>
      <c r="E1849"/>
    </row>
    <row r="1850" spans="2:5" x14ac:dyDescent="0.2">
      <c r="B1850" s="720"/>
      <c r="C1850"/>
      <c r="D1850"/>
      <c r="E1850"/>
    </row>
    <row r="1851" spans="2:5" x14ac:dyDescent="0.2">
      <c r="B1851" s="720"/>
      <c r="C1851"/>
      <c r="D1851"/>
      <c r="E1851"/>
    </row>
    <row r="1852" spans="2:5" x14ac:dyDescent="0.2">
      <c r="B1852" s="720"/>
      <c r="C1852"/>
      <c r="D1852"/>
      <c r="E1852"/>
    </row>
    <row r="1853" spans="2:5" x14ac:dyDescent="0.2">
      <c r="B1853" s="720"/>
      <c r="C1853"/>
      <c r="D1853"/>
      <c r="E1853"/>
    </row>
    <row r="1854" spans="2:5" x14ac:dyDescent="0.2">
      <c r="B1854" s="720"/>
      <c r="C1854"/>
      <c r="D1854"/>
      <c r="E1854"/>
    </row>
    <row r="1855" spans="2:5" x14ac:dyDescent="0.2">
      <c r="B1855" s="720"/>
      <c r="C1855"/>
      <c r="D1855"/>
      <c r="E1855"/>
    </row>
    <row r="1856" spans="2:5" x14ac:dyDescent="0.2">
      <c r="B1856" s="720"/>
      <c r="C1856"/>
      <c r="D1856"/>
      <c r="E1856"/>
    </row>
    <row r="1857" spans="2:5" x14ac:dyDescent="0.2">
      <c r="B1857" s="720"/>
      <c r="C1857"/>
      <c r="D1857"/>
      <c r="E1857"/>
    </row>
    <row r="1858" spans="2:5" x14ac:dyDescent="0.2">
      <c r="B1858" s="720"/>
      <c r="C1858"/>
      <c r="D1858"/>
      <c r="E1858"/>
    </row>
    <row r="1859" spans="2:5" x14ac:dyDescent="0.2">
      <c r="B1859" s="720"/>
      <c r="C1859"/>
      <c r="D1859"/>
      <c r="E1859"/>
    </row>
    <row r="1860" spans="2:5" x14ac:dyDescent="0.2">
      <c r="B1860" s="720"/>
      <c r="C1860"/>
      <c r="D1860"/>
      <c r="E1860"/>
    </row>
    <row r="1861" spans="2:5" x14ac:dyDescent="0.2">
      <c r="B1861" s="720"/>
      <c r="C1861"/>
      <c r="D1861"/>
      <c r="E1861"/>
    </row>
    <row r="1862" spans="2:5" x14ac:dyDescent="0.2">
      <c r="B1862" s="720"/>
      <c r="C1862"/>
      <c r="D1862"/>
      <c r="E1862"/>
    </row>
    <row r="1863" spans="2:5" x14ac:dyDescent="0.2">
      <c r="B1863" s="720"/>
      <c r="C1863"/>
      <c r="D1863"/>
      <c r="E1863"/>
    </row>
    <row r="1864" spans="2:5" x14ac:dyDescent="0.2">
      <c r="B1864" s="720"/>
      <c r="C1864"/>
      <c r="D1864"/>
      <c r="E1864"/>
    </row>
    <row r="1865" spans="2:5" x14ac:dyDescent="0.2">
      <c r="B1865" s="720"/>
      <c r="C1865"/>
      <c r="D1865"/>
      <c r="E1865"/>
    </row>
    <row r="1866" spans="2:5" x14ac:dyDescent="0.2">
      <c r="B1866" s="720"/>
      <c r="C1866"/>
      <c r="D1866"/>
      <c r="E1866"/>
    </row>
    <row r="1867" spans="2:5" x14ac:dyDescent="0.2">
      <c r="B1867" s="720"/>
      <c r="C1867"/>
      <c r="D1867"/>
      <c r="E1867"/>
    </row>
    <row r="1868" spans="2:5" x14ac:dyDescent="0.2">
      <c r="B1868" s="720"/>
      <c r="C1868"/>
      <c r="D1868"/>
      <c r="E1868"/>
    </row>
    <row r="1869" spans="2:5" x14ac:dyDescent="0.2">
      <c r="B1869" s="720"/>
      <c r="C1869"/>
      <c r="D1869"/>
      <c r="E1869"/>
    </row>
    <row r="1870" spans="2:5" x14ac:dyDescent="0.2">
      <c r="B1870" s="720"/>
      <c r="C1870"/>
      <c r="D1870"/>
      <c r="E1870"/>
    </row>
    <row r="1871" spans="2:5" x14ac:dyDescent="0.2">
      <c r="B1871" s="720"/>
      <c r="C1871"/>
      <c r="D1871"/>
      <c r="E1871"/>
    </row>
    <row r="1872" spans="2:5" x14ac:dyDescent="0.2">
      <c r="B1872" s="720"/>
      <c r="C1872"/>
      <c r="D1872"/>
      <c r="E1872"/>
    </row>
    <row r="1873" spans="2:5" x14ac:dyDescent="0.2">
      <c r="B1873" s="720"/>
      <c r="C1873"/>
      <c r="D1873"/>
      <c r="E1873"/>
    </row>
    <row r="1874" spans="2:5" x14ac:dyDescent="0.2">
      <c r="B1874" s="720"/>
      <c r="C1874"/>
      <c r="D1874"/>
      <c r="E1874"/>
    </row>
    <row r="1875" spans="2:5" x14ac:dyDescent="0.2">
      <c r="B1875" s="720"/>
      <c r="C1875"/>
      <c r="D1875"/>
      <c r="E1875"/>
    </row>
    <row r="1876" spans="2:5" x14ac:dyDescent="0.2">
      <c r="B1876" s="720"/>
      <c r="C1876"/>
      <c r="D1876"/>
      <c r="E1876"/>
    </row>
    <row r="1877" spans="2:5" x14ac:dyDescent="0.2">
      <c r="B1877" s="720"/>
      <c r="C1877"/>
      <c r="D1877"/>
      <c r="E1877"/>
    </row>
    <row r="1878" spans="2:5" x14ac:dyDescent="0.2">
      <c r="B1878" s="720"/>
      <c r="C1878"/>
      <c r="D1878"/>
      <c r="E1878"/>
    </row>
    <row r="1879" spans="2:5" x14ac:dyDescent="0.2">
      <c r="B1879" s="720"/>
      <c r="C1879"/>
      <c r="D1879"/>
      <c r="E1879"/>
    </row>
    <row r="1880" spans="2:5" x14ac:dyDescent="0.2">
      <c r="B1880" s="720"/>
      <c r="C1880"/>
      <c r="D1880"/>
      <c r="E1880"/>
    </row>
    <row r="1881" spans="2:5" x14ac:dyDescent="0.2">
      <c r="B1881" s="720"/>
      <c r="C1881"/>
      <c r="D1881"/>
      <c r="E1881"/>
    </row>
    <row r="1882" spans="2:5" x14ac:dyDescent="0.2">
      <c r="B1882" s="720"/>
      <c r="C1882"/>
      <c r="D1882"/>
      <c r="E1882"/>
    </row>
    <row r="1883" spans="2:5" x14ac:dyDescent="0.2">
      <c r="B1883" s="720"/>
      <c r="C1883"/>
      <c r="D1883"/>
      <c r="E1883"/>
    </row>
    <row r="1884" spans="2:5" x14ac:dyDescent="0.2">
      <c r="B1884" s="720"/>
      <c r="C1884"/>
      <c r="D1884"/>
      <c r="E1884"/>
    </row>
    <row r="1885" spans="2:5" x14ac:dyDescent="0.2">
      <c r="B1885" s="720"/>
      <c r="C1885"/>
      <c r="D1885"/>
      <c r="E1885"/>
    </row>
    <row r="1886" spans="2:5" x14ac:dyDescent="0.2">
      <c r="B1886" s="720"/>
      <c r="C1886"/>
      <c r="D1886"/>
      <c r="E1886"/>
    </row>
    <row r="1887" spans="2:5" x14ac:dyDescent="0.2">
      <c r="B1887" s="720"/>
      <c r="C1887"/>
      <c r="D1887"/>
      <c r="E1887"/>
    </row>
    <row r="1888" spans="2:5" x14ac:dyDescent="0.2">
      <c r="B1888" s="720"/>
      <c r="C1888"/>
      <c r="D1888"/>
      <c r="E1888"/>
    </row>
    <row r="1889" spans="2:5" x14ac:dyDescent="0.2">
      <c r="B1889" s="720"/>
      <c r="C1889"/>
      <c r="D1889"/>
      <c r="E1889"/>
    </row>
    <row r="1890" spans="2:5" x14ac:dyDescent="0.2">
      <c r="B1890" s="720"/>
      <c r="C1890"/>
      <c r="D1890"/>
      <c r="E1890"/>
    </row>
    <row r="1891" spans="2:5" x14ac:dyDescent="0.2">
      <c r="B1891" s="720"/>
      <c r="C1891"/>
      <c r="D1891"/>
      <c r="E1891"/>
    </row>
    <row r="1892" spans="2:5" x14ac:dyDescent="0.2">
      <c r="B1892" s="720"/>
      <c r="C1892"/>
      <c r="D1892"/>
      <c r="E1892"/>
    </row>
    <row r="1893" spans="2:5" x14ac:dyDescent="0.2">
      <c r="B1893" s="720"/>
      <c r="C1893"/>
      <c r="D1893"/>
      <c r="E1893"/>
    </row>
    <row r="1894" spans="2:5" x14ac:dyDescent="0.2">
      <c r="B1894" s="720"/>
      <c r="C1894"/>
      <c r="D1894"/>
      <c r="E1894"/>
    </row>
    <row r="1895" spans="2:5" x14ac:dyDescent="0.2">
      <c r="B1895" s="720"/>
      <c r="C1895"/>
      <c r="D1895"/>
      <c r="E1895"/>
    </row>
    <row r="1896" spans="2:5" x14ac:dyDescent="0.2">
      <c r="B1896" s="720"/>
      <c r="C1896"/>
      <c r="D1896"/>
      <c r="E1896"/>
    </row>
    <row r="1897" spans="2:5" x14ac:dyDescent="0.2">
      <c r="B1897" s="720"/>
      <c r="C1897"/>
      <c r="D1897"/>
      <c r="E1897"/>
    </row>
    <row r="1898" spans="2:5" x14ac:dyDescent="0.2">
      <c r="B1898" s="720"/>
      <c r="C1898"/>
      <c r="D1898"/>
      <c r="E1898"/>
    </row>
    <row r="1899" spans="2:5" x14ac:dyDescent="0.2">
      <c r="B1899" s="720"/>
      <c r="C1899"/>
      <c r="D1899"/>
      <c r="E1899"/>
    </row>
    <row r="1900" spans="2:5" x14ac:dyDescent="0.2">
      <c r="B1900" s="720"/>
      <c r="C1900"/>
      <c r="D1900"/>
      <c r="E1900"/>
    </row>
    <row r="1901" spans="2:5" x14ac:dyDescent="0.2">
      <c r="B1901" s="720"/>
      <c r="C1901"/>
      <c r="D1901"/>
      <c r="E1901"/>
    </row>
    <row r="1902" spans="2:5" x14ac:dyDescent="0.2">
      <c r="B1902" s="720"/>
      <c r="C1902"/>
      <c r="D1902"/>
      <c r="E1902"/>
    </row>
    <row r="1903" spans="2:5" x14ac:dyDescent="0.2">
      <c r="B1903" s="720"/>
      <c r="C1903"/>
      <c r="D1903"/>
      <c r="E1903"/>
    </row>
    <row r="1904" spans="2:5" x14ac:dyDescent="0.2">
      <c r="B1904" s="720"/>
      <c r="C1904"/>
      <c r="D1904"/>
      <c r="E1904"/>
    </row>
    <row r="1905" spans="2:5" x14ac:dyDescent="0.2">
      <c r="B1905" s="720"/>
      <c r="C1905"/>
      <c r="D1905"/>
      <c r="E1905"/>
    </row>
    <row r="1906" spans="2:5" x14ac:dyDescent="0.2">
      <c r="B1906" s="720"/>
      <c r="C1906"/>
      <c r="D1906"/>
      <c r="E1906"/>
    </row>
    <row r="1907" spans="2:5" x14ac:dyDescent="0.2">
      <c r="B1907" s="720"/>
      <c r="C1907"/>
      <c r="D1907"/>
      <c r="E1907"/>
    </row>
    <row r="1908" spans="2:5" x14ac:dyDescent="0.2">
      <c r="B1908" s="720"/>
      <c r="C1908"/>
      <c r="D1908"/>
      <c r="E1908"/>
    </row>
    <row r="1909" spans="2:5" x14ac:dyDescent="0.2">
      <c r="B1909" s="720"/>
      <c r="C1909"/>
      <c r="D1909"/>
      <c r="E1909"/>
    </row>
    <row r="1910" spans="2:5" x14ac:dyDescent="0.2">
      <c r="B1910" s="720"/>
      <c r="C1910"/>
      <c r="D1910"/>
      <c r="E1910"/>
    </row>
    <row r="1911" spans="2:5" x14ac:dyDescent="0.2">
      <c r="B1911" s="720"/>
      <c r="C1911"/>
      <c r="D1911"/>
      <c r="E1911"/>
    </row>
    <row r="1912" spans="2:5" x14ac:dyDescent="0.2">
      <c r="B1912" s="720"/>
      <c r="C1912"/>
      <c r="D1912"/>
      <c r="E1912"/>
    </row>
    <row r="1913" spans="2:5" x14ac:dyDescent="0.2">
      <c r="B1913" s="720"/>
      <c r="C1913"/>
      <c r="D1913"/>
      <c r="E1913"/>
    </row>
    <row r="1914" spans="2:5" x14ac:dyDescent="0.2">
      <c r="B1914" s="720"/>
      <c r="C1914"/>
      <c r="D1914"/>
      <c r="E1914"/>
    </row>
    <row r="1915" spans="2:5" x14ac:dyDescent="0.2">
      <c r="B1915" s="720"/>
      <c r="C1915"/>
      <c r="D1915"/>
      <c r="E1915"/>
    </row>
    <row r="1916" spans="2:5" x14ac:dyDescent="0.2">
      <c r="B1916" s="720"/>
      <c r="C1916"/>
      <c r="D1916"/>
      <c r="E1916"/>
    </row>
    <row r="1917" spans="2:5" x14ac:dyDescent="0.2">
      <c r="B1917" s="720"/>
      <c r="C1917"/>
      <c r="D1917"/>
      <c r="E1917"/>
    </row>
    <row r="1918" spans="2:5" x14ac:dyDescent="0.2">
      <c r="B1918" s="720"/>
      <c r="C1918"/>
      <c r="D1918"/>
      <c r="E1918"/>
    </row>
    <row r="1919" spans="2:5" x14ac:dyDescent="0.2">
      <c r="B1919" s="720"/>
      <c r="C1919"/>
      <c r="D1919"/>
      <c r="E1919"/>
    </row>
    <row r="1920" spans="2:5" x14ac:dyDescent="0.2">
      <c r="B1920" s="720"/>
      <c r="C1920"/>
      <c r="D1920"/>
      <c r="E1920"/>
    </row>
    <row r="1921" spans="2:5" x14ac:dyDescent="0.2">
      <c r="B1921" s="720"/>
      <c r="C1921"/>
      <c r="D1921"/>
      <c r="E1921"/>
    </row>
    <row r="1922" spans="2:5" x14ac:dyDescent="0.2">
      <c r="B1922" s="720"/>
      <c r="C1922"/>
      <c r="D1922"/>
      <c r="E1922"/>
    </row>
    <row r="1923" spans="2:5" x14ac:dyDescent="0.2">
      <c r="B1923" s="720"/>
      <c r="C1923"/>
      <c r="D1923"/>
      <c r="E1923"/>
    </row>
    <row r="1924" spans="2:5" x14ac:dyDescent="0.2">
      <c r="B1924" s="720"/>
      <c r="C1924"/>
      <c r="D1924"/>
      <c r="E1924"/>
    </row>
    <row r="1925" spans="2:5" x14ac:dyDescent="0.2">
      <c r="B1925" s="720"/>
      <c r="C1925"/>
      <c r="D1925"/>
      <c r="E1925"/>
    </row>
    <row r="1926" spans="2:5" x14ac:dyDescent="0.2">
      <c r="B1926" s="720"/>
      <c r="C1926"/>
      <c r="D1926"/>
      <c r="E1926"/>
    </row>
    <row r="1927" spans="2:5" x14ac:dyDescent="0.2">
      <c r="B1927" s="720"/>
      <c r="C1927"/>
      <c r="D1927"/>
      <c r="E1927"/>
    </row>
    <row r="1928" spans="2:5" x14ac:dyDescent="0.2">
      <c r="B1928" s="720"/>
      <c r="C1928"/>
      <c r="D1928"/>
      <c r="E1928"/>
    </row>
    <row r="1929" spans="2:5" x14ac:dyDescent="0.2">
      <c r="B1929" s="720"/>
      <c r="C1929"/>
      <c r="D1929"/>
      <c r="E1929"/>
    </row>
    <row r="1930" spans="2:5" x14ac:dyDescent="0.2">
      <c r="B1930" s="720"/>
      <c r="C1930"/>
      <c r="D1930"/>
      <c r="E1930"/>
    </row>
    <row r="1931" spans="2:5" x14ac:dyDescent="0.2">
      <c r="B1931" s="720"/>
      <c r="C1931"/>
      <c r="D1931"/>
      <c r="E1931"/>
    </row>
    <row r="1932" spans="2:5" x14ac:dyDescent="0.2">
      <c r="B1932" s="720"/>
      <c r="C1932"/>
      <c r="D1932"/>
      <c r="E1932"/>
    </row>
    <row r="1933" spans="2:5" x14ac:dyDescent="0.2">
      <c r="B1933" s="720"/>
      <c r="C1933"/>
      <c r="D1933"/>
      <c r="E1933"/>
    </row>
    <row r="1934" spans="2:5" x14ac:dyDescent="0.2">
      <c r="B1934" s="720"/>
      <c r="C1934"/>
      <c r="D1934"/>
      <c r="E1934"/>
    </row>
    <row r="1935" spans="2:5" x14ac:dyDescent="0.2">
      <c r="B1935" s="720"/>
      <c r="C1935"/>
      <c r="D1935"/>
      <c r="E1935"/>
    </row>
    <row r="1936" spans="2:5" x14ac:dyDescent="0.2">
      <c r="B1936" s="720"/>
      <c r="C1936"/>
      <c r="D1936"/>
      <c r="E1936"/>
    </row>
    <row r="1937" spans="2:5" x14ac:dyDescent="0.2">
      <c r="B1937" s="720"/>
      <c r="C1937"/>
      <c r="D1937"/>
      <c r="E1937"/>
    </row>
    <row r="1938" spans="2:5" x14ac:dyDescent="0.2">
      <c r="B1938" s="720"/>
      <c r="C1938"/>
      <c r="D1938"/>
      <c r="E1938"/>
    </row>
    <row r="1939" spans="2:5" x14ac:dyDescent="0.2">
      <c r="B1939" s="720"/>
      <c r="C1939"/>
      <c r="D1939"/>
      <c r="E1939"/>
    </row>
    <row r="1940" spans="2:5" x14ac:dyDescent="0.2">
      <c r="B1940" s="720"/>
      <c r="C1940"/>
      <c r="D1940"/>
      <c r="E1940"/>
    </row>
    <row r="1941" spans="2:5" x14ac:dyDescent="0.2">
      <c r="B1941" s="720"/>
      <c r="C1941"/>
      <c r="D1941"/>
      <c r="E1941"/>
    </row>
    <row r="1942" spans="2:5" x14ac:dyDescent="0.2">
      <c r="B1942" s="720"/>
      <c r="C1942"/>
      <c r="D1942"/>
      <c r="E1942"/>
    </row>
    <row r="1943" spans="2:5" x14ac:dyDescent="0.2">
      <c r="B1943" s="720"/>
      <c r="C1943"/>
      <c r="D1943"/>
      <c r="E1943"/>
    </row>
    <row r="1944" spans="2:5" x14ac:dyDescent="0.2">
      <c r="B1944" s="720"/>
      <c r="C1944"/>
      <c r="D1944"/>
      <c r="E1944"/>
    </row>
    <row r="1945" spans="2:5" x14ac:dyDescent="0.2">
      <c r="B1945" s="720"/>
      <c r="C1945"/>
      <c r="D1945"/>
      <c r="E1945"/>
    </row>
    <row r="1946" spans="2:5" x14ac:dyDescent="0.2">
      <c r="B1946" s="720"/>
      <c r="C1946"/>
      <c r="D1946"/>
      <c r="E1946"/>
    </row>
    <row r="1947" spans="2:5" x14ac:dyDescent="0.2">
      <c r="B1947" s="720"/>
      <c r="C1947"/>
      <c r="D1947"/>
      <c r="E1947"/>
    </row>
    <row r="1948" spans="2:5" x14ac:dyDescent="0.2">
      <c r="B1948" s="720"/>
      <c r="C1948"/>
      <c r="D1948"/>
      <c r="E1948"/>
    </row>
    <row r="1949" spans="2:5" x14ac:dyDescent="0.2">
      <c r="B1949" s="720"/>
      <c r="C1949"/>
      <c r="D1949"/>
      <c r="E1949"/>
    </row>
    <row r="1950" spans="2:5" x14ac:dyDescent="0.2">
      <c r="B1950" s="720"/>
      <c r="C1950"/>
      <c r="D1950"/>
      <c r="E1950"/>
    </row>
    <row r="1951" spans="2:5" x14ac:dyDescent="0.2">
      <c r="B1951" s="720"/>
      <c r="C1951"/>
      <c r="D1951"/>
      <c r="E1951"/>
    </row>
    <row r="1952" spans="2:5" x14ac:dyDescent="0.2">
      <c r="B1952" s="720"/>
      <c r="C1952"/>
      <c r="D1952"/>
      <c r="E1952"/>
    </row>
    <row r="1953" spans="2:5" x14ac:dyDescent="0.2">
      <c r="B1953" s="720"/>
      <c r="C1953"/>
      <c r="D1953"/>
      <c r="E1953"/>
    </row>
    <row r="1954" spans="2:5" x14ac:dyDescent="0.2">
      <c r="B1954" s="720"/>
      <c r="C1954"/>
      <c r="D1954"/>
      <c r="E1954"/>
    </row>
    <row r="1955" spans="2:5" x14ac:dyDescent="0.2">
      <c r="B1955" s="720"/>
      <c r="C1955"/>
      <c r="D1955"/>
      <c r="E1955"/>
    </row>
    <row r="1956" spans="2:5" x14ac:dyDescent="0.2">
      <c r="B1956" s="720"/>
      <c r="C1956"/>
      <c r="D1956"/>
      <c r="E1956"/>
    </row>
    <row r="1957" spans="2:5" x14ac:dyDescent="0.2">
      <c r="B1957" s="720"/>
      <c r="C1957"/>
      <c r="D1957"/>
      <c r="E1957"/>
    </row>
    <row r="1958" spans="2:5" x14ac:dyDescent="0.2">
      <c r="B1958" s="720"/>
      <c r="C1958"/>
      <c r="D1958"/>
      <c r="E1958"/>
    </row>
    <row r="1959" spans="2:5" x14ac:dyDescent="0.2">
      <c r="B1959" s="720"/>
      <c r="C1959"/>
      <c r="D1959"/>
      <c r="E1959"/>
    </row>
    <row r="1960" spans="2:5" x14ac:dyDescent="0.2">
      <c r="B1960" s="720"/>
      <c r="C1960"/>
      <c r="D1960"/>
      <c r="E1960"/>
    </row>
    <row r="1961" spans="2:5" x14ac:dyDescent="0.2">
      <c r="B1961" s="720"/>
      <c r="C1961"/>
      <c r="D1961"/>
      <c r="E1961"/>
    </row>
    <row r="1962" spans="2:5" x14ac:dyDescent="0.2">
      <c r="B1962" s="720"/>
      <c r="C1962"/>
      <c r="D1962"/>
      <c r="E1962"/>
    </row>
    <row r="1963" spans="2:5" x14ac:dyDescent="0.2">
      <c r="B1963" s="720"/>
      <c r="C1963"/>
      <c r="D1963"/>
      <c r="E1963"/>
    </row>
    <row r="1964" spans="2:5" x14ac:dyDescent="0.2">
      <c r="B1964" s="720"/>
      <c r="C1964"/>
      <c r="D1964"/>
      <c r="E1964"/>
    </row>
    <row r="1965" spans="2:5" x14ac:dyDescent="0.2">
      <c r="B1965" s="720"/>
      <c r="C1965"/>
      <c r="D1965"/>
      <c r="E1965"/>
    </row>
    <row r="1966" spans="2:5" x14ac:dyDescent="0.2">
      <c r="B1966" s="720"/>
      <c r="C1966"/>
      <c r="D1966"/>
      <c r="E1966"/>
    </row>
    <row r="1967" spans="2:5" x14ac:dyDescent="0.2">
      <c r="B1967" s="720"/>
      <c r="C1967"/>
      <c r="D1967"/>
      <c r="E1967"/>
    </row>
    <row r="1968" spans="2:5" x14ac:dyDescent="0.2">
      <c r="B1968" s="720"/>
      <c r="C1968"/>
      <c r="D1968"/>
      <c r="E1968"/>
    </row>
    <row r="1969" spans="2:5" x14ac:dyDescent="0.2">
      <c r="B1969" s="720"/>
      <c r="C1969"/>
      <c r="D1969"/>
      <c r="E1969"/>
    </row>
    <row r="1970" spans="2:5" x14ac:dyDescent="0.2">
      <c r="B1970" s="720"/>
      <c r="C1970"/>
      <c r="D1970"/>
      <c r="E1970"/>
    </row>
    <row r="1971" spans="2:5" x14ac:dyDescent="0.2">
      <c r="B1971" s="720"/>
      <c r="C1971"/>
      <c r="D1971"/>
      <c r="E1971"/>
    </row>
    <row r="1972" spans="2:5" x14ac:dyDescent="0.2">
      <c r="B1972" s="720"/>
      <c r="C1972"/>
      <c r="D1972"/>
      <c r="E1972"/>
    </row>
    <row r="1973" spans="2:5" x14ac:dyDescent="0.2">
      <c r="B1973" s="720"/>
      <c r="C1973"/>
      <c r="D1973"/>
      <c r="E1973"/>
    </row>
    <row r="1974" spans="2:5" x14ac:dyDescent="0.2">
      <c r="B1974" s="720"/>
      <c r="C1974"/>
      <c r="D1974"/>
      <c r="E1974"/>
    </row>
    <row r="1975" spans="2:5" x14ac:dyDescent="0.2">
      <c r="B1975" s="720"/>
      <c r="C1975"/>
      <c r="D1975"/>
      <c r="E1975"/>
    </row>
    <row r="1976" spans="2:5" x14ac:dyDescent="0.2">
      <c r="B1976" s="720"/>
      <c r="C1976"/>
      <c r="D1976"/>
      <c r="E1976"/>
    </row>
    <row r="1977" spans="2:5" x14ac:dyDescent="0.2">
      <c r="B1977" s="720"/>
      <c r="C1977"/>
      <c r="D1977"/>
      <c r="E1977"/>
    </row>
    <row r="1978" spans="2:5" x14ac:dyDescent="0.2">
      <c r="B1978" s="720"/>
      <c r="C1978"/>
      <c r="D1978"/>
      <c r="E1978"/>
    </row>
    <row r="1979" spans="2:5" x14ac:dyDescent="0.2">
      <c r="B1979" s="720"/>
      <c r="C1979"/>
      <c r="D1979"/>
      <c r="E1979"/>
    </row>
    <row r="1980" spans="2:5" x14ac:dyDescent="0.2">
      <c r="B1980" s="720"/>
      <c r="C1980"/>
      <c r="D1980"/>
      <c r="E1980"/>
    </row>
    <row r="1981" spans="2:5" x14ac:dyDescent="0.2">
      <c r="B1981" s="720"/>
      <c r="C1981"/>
      <c r="D1981"/>
      <c r="E1981"/>
    </row>
    <row r="1982" spans="2:5" x14ac:dyDescent="0.2">
      <c r="B1982" s="720"/>
      <c r="C1982"/>
      <c r="D1982"/>
      <c r="E1982"/>
    </row>
    <row r="1983" spans="2:5" x14ac:dyDescent="0.2">
      <c r="B1983" s="720"/>
      <c r="C1983"/>
      <c r="D1983"/>
      <c r="E1983"/>
    </row>
    <row r="1984" spans="2:5" x14ac:dyDescent="0.2">
      <c r="B1984" s="720"/>
      <c r="C1984"/>
      <c r="D1984"/>
      <c r="E1984"/>
    </row>
    <row r="1985" spans="2:5" x14ac:dyDescent="0.2">
      <c r="B1985" s="720"/>
      <c r="C1985"/>
      <c r="D1985"/>
      <c r="E1985"/>
    </row>
    <row r="1986" spans="2:5" x14ac:dyDescent="0.2">
      <c r="B1986" s="720"/>
      <c r="C1986"/>
      <c r="D1986"/>
      <c r="E1986"/>
    </row>
    <row r="1987" spans="2:5" x14ac:dyDescent="0.2">
      <c r="B1987" s="720"/>
      <c r="C1987"/>
      <c r="D1987"/>
      <c r="E1987"/>
    </row>
    <row r="1988" spans="2:5" x14ac:dyDescent="0.2">
      <c r="B1988" s="720"/>
      <c r="C1988"/>
      <c r="D1988"/>
      <c r="E1988"/>
    </row>
    <row r="1989" spans="2:5" x14ac:dyDescent="0.2">
      <c r="B1989" s="720"/>
      <c r="C1989"/>
      <c r="D1989"/>
      <c r="E1989"/>
    </row>
    <row r="1990" spans="2:5" x14ac:dyDescent="0.2">
      <c r="B1990" s="720"/>
      <c r="C1990"/>
      <c r="D1990"/>
      <c r="E1990"/>
    </row>
    <row r="1991" spans="2:5" x14ac:dyDescent="0.2">
      <c r="B1991" s="720"/>
      <c r="C1991"/>
      <c r="D1991"/>
      <c r="E1991"/>
    </row>
    <row r="1992" spans="2:5" x14ac:dyDescent="0.2">
      <c r="B1992" s="720"/>
      <c r="C1992"/>
      <c r="D1992"/>
      <c r="E1992"/>
    </row>
    <row r="1993" spans="2:5" x14ac:dyDescent="0.2">
      <c r="B1993" s="720"/>
      <c r="C1993"/>
      <c r="D1993"/>
      <c r="E1993"/>
    </row>
    <row r="1994" spans="2:5" x14ac:dyDescent="0.2">
      <c r="B1994" s="720"/>
      <c r="C1994"/>
      <c r="D1994"/>
      <c r="E1994"/>
    </row>
    <row r="1995" spans="2:5" x14ac:dyDescent="0.2">
      <c r="B1995" s="720"/>
      <c r="C1995"/>
      <c r="D1995"/>
      <c r="E1995"/>
    </row>
    <row r="1996" spans="2:5" x14ac:dyDescent="0.2">
      <c r="B1996" s="720"/>
      <c r="C1996"/>
      <c r="D1996"/>
      <c r="E1996"/>
    </row>
    <row r="1997" spans="2:5" x14ac:dyDescent="0.2">
      <c r="B1997" s="720"/>
      <c r="C1997"/>
      <c r="D1997"/>
      <c r="E1997"/>
    </row>
    <row r="1998" spans="2:5" x14ac:dyDescent="0.2">
      <c r="B1998" s="720"/>
      <c r="C1998"/>
      <c r="D1998"/>
      <c r="E1998"/>
    </row>
    <row r="1999" spans="2:5" x14ac:dyDescent="0.2">
      <c r="B1999" s="720"/>
      <c r="C1999"/>
      <c r="D1999"/>
      <c r="E1999"/>
    </row>
    <row r="2000" spans="2:5" x14ac:dyDescent="0.2">
      <c r="B2000" s="720"/>
      <c r="C2000"/>
      <c r="D2000"/>
      <c r="E2000"/>
    </row>
    <row r="2001" spans="2:5" x14ac:dyDescent="0.2">
      <c r="B2001" s="720"/>
      <c r="C2001"/>
      <c r="D2001"/>
      <c r="E2001"/>
    </row>
    <row r="2002" spans="2:5" x14ac:dyDescent="0.2">
      <c r="B2002" s="720"/>
      <c r="C2002"/>
      <c r="D2002"/>
      <c r="E2002"/>
    </row>
    <row r="2003" spans="2:5" x14ac:dyDescent="0.2">
      <c r="B2003" s="720"/>
      <c r="C2003"/>
      <c r="D2003"/>
      <c r="E2003"/>
    </row>
    <row r="2004" spans="2:5" x14ac:dyDescent="0.2">
      <c r="B2004" s="720"/>
      <c r="C2004"/>
      <c r="D2004"/>
      <c r="E2004"/>
    </row>
    <row r="2005" spans="2:5" x14ac:dyDescent="0.2">
      <c r="B2005" s="720"/>
      <c r="C2005"/>
      <c r="D2005"/>
      <c r="E2005"/>
    </row>
    <row r="2006" spans="2:5" x14ac:dyDescent="0.2">
      <c r="B2006" s="720"/>
      <c r="C2006"/>
      <c r="D2006"/>
      <c r="E2006"/>
    </row>
    <row r="2007" spans="2:5" x14ac:dyDescent="0.2">
      <c r="B2007" s="720"/>
      <c r="C2007"/>
      <c r="D2007"/>
      <c r="E2007"/>
    </row>
    <row r="2008" spans="2:5" x14ac:dyDescent="0.2">
      <c r="B2008" s="720"/>
      <c r="C2008"/>
      <c r="D2008"/>
      <c r="E2008"/>
    </row>
    <row r="2009" spans="2:5" x14ac:dyDescent="0.2">
      <c r="B2009" s="720"/>
      <c r="C2009"/>
      <c r="D2009"/>
      <c r="E2009"/>
    </row>
    <row r="2010" spans="2:5" x14ac:dyDescent="0.2">
      <c r="B2010" s="720"/>
      <c r="C2010"/>
      <c r="D2010"/>
      <c r="E2010"/>
    </row>
    <row r="2011" spans="2:5" x14ac:dyDescent="0.2">
      <c r="B2011" s="720"/>
      <c r="C2011"/>
      <c r="D2011"/>
      <c r="E2011"/>
    </row>
    <row r="2012" spans="2:5" x14ac:dyDescent="0.2">
      <c r="B2012" s="720"/>
      <c r="C2012"/>
      <c r="D2012"/>
      <c r="E2012"/>
    </row>
    <row r="2013" spans="2:5" x14ac:dyDescent="0.2">
      <c r="B2013" s="720"/>
      <c r="C2013"/>
      <c r="D2013"/>
      <c r="E2013"/>
    </row>
    <row r="2014" spans="2:5" x14ac:dyDescent="0.2">
      <c r="B2014" s="720"/>
      <c r="C2014"/>
      <c r="D2014"/>
      <c r="E2014"/>
    </row>
    <row r="2015" spans="2:5" x14ac:dyDescent="0.2">
      <c r="B2015" s="720"/>
      <c r="C2015"/>
      <c r="D2015"/>
      <c r="E2015"/>
    </row>
    <row r="2016" spans="2:5" x14ac:dyDescent="0.2">
      <c r="B2016" s="720"/>
      <c r="C2016"/>
      <c r="D2016"/>
      <c r="E2016"/>
    </row>
    <row r="2017" spans="2:5" x14ac:dyDescent="0.2">
      <c r="B2017" s="720"/>
      <c r="C2017"/>
      <c r="D2017"/>
      <c r="E2017"/>
    </row>
    <row r="2018" spans="2:5" x14ac:dyDescent="0.2">
      <c r="B2018" s="720"/>
      <c r="C2018"/>
      <c r="D2018"/>
      <c r="E2018"/>
    </row>
    <row r="2019" spans="2:5" x14ac:dyDescent="0.2">
      <c r="B2019" s="720"/>
      <c r="C2019"/>
      <c r="D2019"/>
      <c r="E2019"/>
    </row>
    <row r="2020" spans="2:5" x14ac:dyDescent="0.2">
      <c r="B2020" s="720"/>
      <c r="C2020"/>
      <c r="D2020"/>
      <c r="E2020"/>
    </row>
    <row r="2021" spans="2:5" x14ac:dyDescent="0.2">
      <c r="B2021" s="720"/>
      <c r="C2021"/>
      <c r="D2021"/>
      <c r="E2021"/>
    </row>
    <row r="2022" spans="2:5" x14ac:dyDescent="0.2">
      <c r="B2022" s="720"/>
      <c r="C2022"/>
      <c r="D2022"/>
      <c r="E2022"/>
    </row>
    <row r="2023" spans="2:5" x14ac:dyDescent="0.2">
      <c r="B2023" s="720"/>
      <c r="C2023"/>
      <c r="D2023"/>
      <c r="E2023"/>
    </row>
    <row r="2024" spans="2:5" x14ac:dyDescent="0.2">
      <c r="B2024" s="720"/>
      <c r="C2024"/>
      <c r="D2024"/>
      <c r="E2024"/>
    </row>
    <row r="2025" spans="2:5" x14ac:dyDescent="0.2">
      <c r="B2025" s="720"/>
      <c r="C2025"/>
      <c r="D2025"/>
      <c r="E2025"/>
    </row>
    <row r="2026" spans="2:5" x14ac:dyDescent="0.2">
      <c r="B2026" s="720"/>
      <c r="C2026"/>
      <c r="D2026"/>
      <c r="E2026"/>
    </row>
    <row r="2027" spans="2:5" x14ac:dyDescent="0.2">
      <c r="B2027" s="720"/>
      <c r="C2027"/>
      <c r="D2027"/>
      <c r="E2027"/>
    </row>
    <row r="2028" spans="2:5" x14ac:dyDescent="0.2">
      <c r="B2028" s="720"/>
      <c r="C2028"/>
      <c r="D2028"/>
      <c r="E2028"/>
    </row>
    <row r="2029" spans="2:5" x14ac:dyDescent="0.2">
      <c r="B2029" s="720"/>
      <c r="C2029"/>
      <c r="D2029"/>
      <c r="E2029"/>
    </row>
    <row r="2030" spans="2:5" x14ac:dyDescent="0.2">
      <c r="B2030" s="720"/>
      <c r="C2030"/>
      <c r="D2030"/>
      <c r="E2030"/>
    </row>
    <row r="2031" spans="2:5" x14ac:dyDescent="0.2">
      <c r="B2031" s="720"/>
      <c r="C2031"/>
      <c r="D2031"/>
      <c r="E2031"/>
    </row>
    <row r="2032" spans="2:5" x14ac:dyDescent="0.2">
      <c r="B2032" s="720"/>
      <c r="C2032"/>
      <c r="D2032"/>
      <c r="E2032"/>
    </row>
    <row r="2033" spans="2:5" x14ac:dyDescent="0.2">
      <c r="B2033" s="720"/>
      <c r="C2033"/>
      <c r="D2033"/>
      <c r="E2033"/>
    </row>
    <row r="2034" spans="2:5" x14ac:dyDescent="0.2">
      <c r="B2034" s="720"/>
      <c r="C2034"/>
      <c r="D2034"/>
      <c r="E2034"/>
    </row>
    <row r="2035" spans="2:5" x14ac:dyDescent="0.2">
      <c r="B2035" s="720"/>
      <c r="C2035"/>
      <c r="D2035"/>
      <c r="E2035"/>
    </row>
    <row r="2036" spans="2:5" x14ac:dyDescent="0.2">
      <c r="B2036" s="720"/>
      <c r="C2036"/>
      <c r="D2036"/>
      <c r="E2036"/>
    </row>
    <row r="2037" spans="2:5" x14ac:dyDescent="0.2">
      <c r="B2037" s="720"/>
      <c r="C2037"/>
      <c r="D2037"/>
      <c r="E2037"/>
    </row>
    <row r="2038" spans="2:5" x14ac:dyDescent="0.2">
      <c r="B2038" s="720"/>
      <c r="C2038"/>
      <c r="D2038"/>
      <c r="E2038"/>
    </row>
    <row r="2039" spans="2:5" x14ac:dyDescent="0.2">
      <c r="B2039" s="720"/>
      <c r="C2039"/>
      <c r="D2039"/>
      <c r="E2039"/>
    </row>
    <row r="2040" spans="2:5" x14ac:dyDescent="0.2">
      <c r="B2040" s="720"/>
      <c r="C2040"/>
      <c r="D2040"/>
      <c r="E2040"/>
    </row>
    <row r="2041" spans="2:5" x14ac:dyDescent="0.2">
      <c r="B2041" s="720"/>
      <c r="C2041"/>
      <c r="D2041"/>
      <c r="E2041"/>
    </row>
    <row r="2042" spans="2:5" x14ac:dyDescent="0.2">
      <c r="B2042" s="720"/>
      <c r="C2042"/>
      <c r="D2042"/>
      <c r="E2042"/>
    </row>
    <row r="2043" spans="2:5" x14ac:dyDescent="0.2">
      <c r="B2043" s="720"/>
      <c r="C2043"/>
      <c r="D2043"/>
      <c r="E2043"/>
    </row>
    <row r="2044" spans="2:5" x14ac:dyDescent="0.2">
      <c r="B2044" s="720"/>
      <c r="C2044"/>
      <c r="D2044"/>
      <c r="E2044"/>
    </row>
    <row r="2045" spans="2:5" x14ac:dyDescent="0.2">
      <c r="B2045" s="720"/>
      <c r="C2045"/>
      <c r="D2045"/>
      <c r="E2045"/>
    </row>
    <row r="2046" spans="2:5" x14ac:dyDescent="0.2">
      <c r="B2046" s="720"/>
      <c r="C2046"/>
      <c r="D2046"/>
      <c r="E2046"/>
    </row>
    <row r="2047" spans="2:5" x14ac:dyDescent="0.2">
      <c r="B2047" s="720"/>
      <c r="C2047"/>
      <c r="D2047"/>
      <c r="E2047"/>
    </row>
    <row r="2048" spans="2:5" x14ac:dyDescent="0.2">
      <c r="B2048" s="720"/>
      <c r="C2048"/>
      <c r="D2048"/>
      <c r="E2048"/>
    </row>
    <row r="2049" spans="2:5" x14ac:dyDescent="0.2">
      <c r="B2049" s="720"/>
      <c r="C2049"/>
      <c r="D2049"/>
      <c r="E2049"/>
    </row>
    <row r="2050" spans="2:5" x14ac:dyDescent="0.2">
      <c r="B2050" s="720"/>
      <c r="C2050"/>
      <c r="D2050"/>
      <c r="E2050"/>
    </row>
    <row r="2051" spans="2:5" x14ac:dyDescent="0.2">
      <c r="B2051" s="720"/>
      <c r="C2051"/>
      <c r="D2051"/>
      <c r="E2051"/>
    </row>
    <row r="2052" spans="2:5" x14ac:dyDescent="0.2">
      <c r="B2052" s="720"/>
      <c r="C2052"/>
      <c r="D2052"/>
      <c r="E2052"/>
    </row>
    <row r="2053" spans="2:5" x14ac:dyDescent="0.2">
      <c r="B2053" s="720"/>
      <c r="C2053"/>
      <c r="D2053"/>
      <c r="E2053"/>
    </row>
    <row r="2054" spans="2:5" x14ac:dyDescent="0.2">
      <c r="B2054" s="720"/>
      <c r="C2054"/>
      <c r="D2054"/>
      <c r="E2054"/>
    </row>
    <row r="2055" spans="2:5" x14ac:dyDescent="0.2">
      <c r="B2055" s="720"/>
      <c r="C2055"/>
      <c r="D2055"/>
      <c r="E2055"/>
    </row>
    <row r="2056" spans="2:5" x14ac:dyDescent="0.2">
      <c r="B2056" s="720"/>
      <c r="C2056"/>
      <c r="D2056"/>
      <c r="E2056"/>
    </row>
    <row r="2057" spans="2:5" x14ac:dyDescent="0.2">
      <c r="B2057" s="720"/>
      <c r="C2057"/>
      <c r="D2057"/>
      <c r="E2057"/>
    </row>
    <row r="2058" spans="2:5" x14ac:dyDescent="0.2">
      <c r="B2058" s="720"/>
      <c r="C2058"/>
      <c r="D2058"/>
      <c r="E2058"/>
    </row>
    <row r="2059" spans="2:5" x14ac:dyDescent="0.2">
      <c r="B2059" s="720"/>
      <c r="C2059"/>
      <c r="D2059"/>
      <c r="E2059"/>
    </row>
    <row r="2060" spans="2:5" x14ac:dyDescent="0.2">
      <c r="B2060" s="720"/>
      <c r="C2060"/>
      <c r="D2060"/>
      <c r="E2060"/>
    </row>
    <row r="2061" spans="2:5" x14ac:dyDescent="0.2">
      <c r="B2061" s="720"/>
      <c r="C2061"/>
      <c r="D2061"/>
      <c r="E2061"/>
    </row>
    <row r="2062" spans="2:5" x14ac:dyDescent="0.2">
      <c r="B2062" s="720"/>
      <c r="C2062"/>
      <c r="D2062"/>
      <c r="E2062"/>
    </row>
    <row r="2063" spans="2:5" x14ac:dyDescent="0.2">
      <c r="B2063" s="720"/>
      <c r="C2063"/>
      <c r="D2063"/>
      <c r="E2063"/>
    </row>
    <row r="2064" spans="2:5" x14ac:dyDescent="0.2">
      <c r="B2064" s="720"/>
      <c r="C2064"/>
      <c r="D2064"/>
      <c r="E2064"/>
    </row>
    <row r="2065" spans="2:5" x14ac:dyDescent="0.2">
      <c r="B2065" s="720"/>
      <c r="C2065"/>
      <c r="D2065"/>
      <c r="E2065"/>
    </row>
    <row r="2066" spans="2:5" x14ac:dyDescent="0.2">
      <c r="B2066" s="720"/>
      <c r="C2066"/>
      <c r="D2066"/>
      <c r="E2066"/>
    </row>
    <row r="2067" spans="2:5" x14ac:dyDescent="0.2">
      <c r="B2067" s="720"/>
      <c r="C2067"/>
      <c r="D2067"/>
      <c r="E2067"/>
    </row>
    <row r="2068" spans="2:5" x14ac:dyDescent="0.2">
      <c r="B2068" s="720"/>
      <c r="C2068"/>
      <c r="D2068"/>
      <c r="E2068"/>
    </row>
    <row r="2069" spans="2:5" x14ac:dyDescent="0.2">
      <c r="B2069" s="720"/>
      <c r="C2069"/>
      <c r="D2069"/>
      <c r="E2069"/>
    </row>
    <row r="2070" spans="2:5" x14ac:dyDescent="0.2">
      <c r="B2070" s="720"/>
      <c r="C2070"/>
      <c r="D2070"/>
      <c r="E2070"/>
    </row>
    <row r="2071" spans="2:5" x14ac:dyDescent="0.2">
      <c r="B2071" s="720"/>
      <c r="C2071"/>
      <c r="D2071"/>
      <c r="E2071"/>
    </row>
    <row r="2072" spans="2:5" x14ac:dyDescent="0.2">
      <c r="B2072" s="720"/>
      <c r="C2072"/>
      <c r="D2072"/>
      <c r="E2072"/>
    </row>
    <row r="2073" spans="2:5" x14ac:dyDescent="0.2">
      <c r="B2073" s="720"/>
      <c r="C2073"/>
      <c r="D2073"/>
      <c r="E2073"/>
    </row>
    <row r="2074" spans="2:5" x14ac:dyDescent="0.2">
      <c r="B2074" s="720"/>
      <c r="C2074"/>
      <c r="D2074"/>
      <c r="E2074"/>
    </row>
    <row r="2075" spans="2:5" x14ac:dyDescent="0.2">
      <c r="B2075" s="720"/>
      <c r="C2075"/>
      <c r="D2075"/>
      <c r="E2075"/>
    </row>
    <row r="2076" spans="2:5" x14ac:dyDescent="0.2">
      <c r="B2076" s="720"/>
      <c r="C2076"/>
      <c r="D2076"/>
      <c r="E2076"/>
    </row>
    <row r="2077" spans="2:5" x14ac:dyDescent="0.2">
      <c r="B2077" s="720"/>
      <c r="C2077"/>
      <c r="D2077"/>
      <c r="E2077"/>
    </row>
    <row r="2078" spans="2:5" x14ac:dyDescent="0.2">
      <c r="B2078" s="720"/>
      <c r="C2078"/>
      <c r="D2078"/>
      <c r="E2078"/>
    </row>
    <row r="2079" spans="2:5" x14ac:dyDescent="0.2">
      <c r="B2079" s="720"/>
      <c r="C2079"/>
      <c r="D2079"/>
      <c r="E2079"/>
    </row>
    <row r="2080" spans="2:5" x14ac:dyDescent="0.2">
      <c r="B2080" s="720"/>
      <c r="C2080"/>
      <c r="D2080"/>
      <c r="E2080"/>
    </row>
    <row r="2081" spans="2:5" x14ac:dyDescent="0.2">
      <c r="B2081" s="720"/>
      <c r="C2081"/>
      <c r="D2081"/>
      <c r="E2081"/>
    </row>
    <row r="2082" spans="2:5" x14ac:dyDescent="0.2">
      <c r="B2082" s="720"/>
      <c r="C2082"/>
      <c r="D2082"/>
      <c r="E2082"/>
    </row>
    <row r="2083" spans="2:5" x14ac:dyDescent="0.2">
      <c r="B2083" s="720"/>
      <c r="C2083"/>
      <c r="D2083"/>
      <c r="E2083"/>
    </row>
    <row r="2084" spans="2:5" x14ac:dyDescent="0.2">
      <c r="B2084" s="720"/>
      <c r="C2084"/>
      <c r="D2084"/>
      <c r="E2084"/>
    </row>
    <row r="2085" spans="2:5" x14ac:dyDescent="0.2">
      <c r="B2085" s="720"/>
      <c r="C2085"/>
      <c r="D2085"/>
      <c r="E2085"/>
    </row>
    <row r="2086" spans="2:5" x14ac:dyDescent="0.2">
      <c r="B2086" s="720"/>
      <c r="C2086"/>
      <c r="D2086"/>
      <c r="E2086"/>
    </row>
    <row r="2087" spans="2:5" x14ac:dyDescent="0.2">
      <c r="B2087" s="720"/>
      <c r="C2087"/>
      <c r="D2087"/>
      <c r="E2087"/>
    </row>
    <row r="2088" spans="2:5" x14ac:dyDescent="0.2">
      <c r="B2088" s="720"/>
      <c r="C2088"/>
      <c r="D2088"/>
      <c r="E2088"/>
    </row>
    <row r="2089" spans="2:5" x14ac:dyDescent="0.2">
      <c r="B2089" s="720"/>
      <c r="C2089"/>
      <c r="D2089"/>
      <c r="E2089"/>
    </row>
    <row r="2090" spans="2:5" x14ac:dyDescent="0.2">
      <c r="B2090" s="720"/>
      <c r="C2090"/>
      <c r="D2090"/>
      <c r="E2090"/>
    </row>
    <row r="2091" spans="2:5" x14ac:dyDescent="0.2">
      <c r="B2091" s="720"/>
      <c r="C2091"/>
      <c r="D2091"/>
      <c r="E2091"/>
    </row>
    <row r="2092" spans="2:5" x14ac:dyDescent="0.2">
      <c r="B2092" s="720"/>
      <c r="C2092"/>
      <c r="D2092"/>
      <c r="E2092"/>
    </row>
    <row r="2093" spans="2:5" x14ac:dyDescent="0.2">
      <c r="B2093" s="720"/>
      <c r="C2093"/>
      <c r="D2093"/>
      <c r="E2093"/>
    </row>
    <row r="2094" spans="2:5" x14ac:dyDescent="0.2">
      <c r="B2094" s="720"/>
      <c r="C2094"/>
      <c r="D2094"/>
      <c r="E2094"/>
    </row>
    <row r="2095" spans="2:5" x14ac:dyDescent="0.2">
      <c r="B2095" s="720"/>
      <c r="C2095"/>
      <c r="D2095"/>
      <c r="E2095"/>
    </row>
    <row r="2096" spans="2:5" x14ac:dyDescent="0.2">
      <c r="B2096" s="720"/>
      <c r="C2096"/>
      <c r="D2096"/>
      <c r="E2096"/>
    </row>
    <row r="2097" spans="2:5" x14ac:dyDescent="0.2">
      <c r="B2097" s="720"/>
      <c r="C2097"/>
      <c r="D2097"/>
      <c r="E2097"/>
    </row>
    <row r="2098" spans="2:5" x14ac:dyDescent="0.2">
      <c r="B2098" s="720"/>
      <c r="C2098"/>
      <c r="D2098"/>
      <c r="E2098"/>
    </row>
    <row r="2099" spans="2:5" x14ac:dyDescent="0.2">
      <c r="B2099" s="720"/>
      <c r="C2099"/>
      <c r="D2099"/>
      <c r="E2099"/>
    </row>
    <row r="2100" spans="2:5" x14ac:dyDescent="0.2">
      <c r="B2100" s="720"/>
      <c r="C2100"/>
      <c r="D2100"/>
      <c r="E2100"/>
    </row>
    <row r="2101" spans="2:5" x14ac:dyDescent="0.2">
      <c r="B2101" s="720"/>
      <c r="C2101"/>
      <c r="D2101"/>
      <c r="E2101"/>
    </row>
    <row r="2102" spans="2:5" x14ac:dyDescent="0.2">
      <c r="B2102" s="720"/>
      <c r="C2102"/>
      <c r="D2102"/>
      <c r="E2102"/>
    </row>
    <row r="2103" spans="2:5" x14ac:dyDescent="0.2">
      <c r="B2103" s="720"/>
      <c r="C2103"/>
      <c r="D2103"/>
      <c r="E2103"/>
    </row>
    <row r="2104" spans="2:5" x14ac:dyDescent="0.2">
      <c r="B2104" s="720"/>
      <c r="C2104"/>
      <c r="D2104"/>
      <c r="E2104"/>
    </row>
    <row r="2105" spans="2:5" x14ac:dyDescent="0.2">
      <c r="B2105" s="720"/>
      <c r="C2105"/>
      <c r="D2105"/>
      <c r="E2105"/>
    </row>
    <row r="2106" spans="2:5" x14ac:dyDescent="0.2">
      <c r="B2106" s="720"/>
      <c r="C2106"/>
      <c r="D2106"/>
      <c r="E2106"/>
    </row>
    <row r="2107" spans="2:5" x14ac:dyDescent="0.2">
      <c r="B2107" s="720"/>
      <c r="C2107"/>
      <c r="D2107"/>
      <c r="E2107"/>
    </row>
    <row r="2108" spans="2:5" x14ac:dyDescent="0.2">
      <c r="B2108" s="720"/>
      <c r="C2108"/>
      <c r="D2108"/>
      <c r="E2108"/>
    </row>
    <row r="2109" spans="2:5" x14ac:dyDescent="0.2">
      <c r="B2109" s="720"/>
      <c r="C2109"/>
      <c r="D2109"/>
      <c r="E2109"/>
    </row>
    <row r="2110" spans="2:5" x14ac:dyDescent="0.2">
      <c r="B2110" s="720"/>
      <c r="C2110"/>
      <c r="D2110"/>
      <c r="E2110"/>
    </row>
    <row r="2111" spans="2:5" x14ac:dyDescent="0.2">
      <c r="B2111" s="720"/>
      <c r="C2111"/>
      <c r="D2111"/>
      <c r="E2111"/>
    </row>
    <row r="2112" spans="2:5" x14ac:dyDescent="0.2">
      <c r="B2112" s="720"/>
      <c r="C2112"/>
      <c r="D2112"/>
      <c r="E2112"/>
    </row>
    <row r="2113" spans="2:5" x14ac:dyDescent="0.2">
      <c r="B2113" s="720"/>
      <c r="C2113"/>
      <c r="D2113"/>
      <c r="E2113"/>
    </row>
    <row r="2114" spans="2:5" x14ac:dyDescent="0.2">
      <c r="B2114" s="720"/>
      <c r="C2114"/>
      <c r="D2114"/>
      <c r="E2114"/>
    </row>
    <row r="2115" spans="2:5" x14ac:dyDescent="0.2">
      <c r="B2115" s="720"/>
      <c r="C2115"/>
      <c r="D2115"/>
      <c r="E2115"/>
    </row>
    <row r="2116" spans="2:5" x14ac:dyDescent="0.2">
      <c r="B2116" s="720"/>
      <c r="C2116"/>
      <c r="D2116"/>
      <c r="E2116"/>
    </row>
    <row r="2117" spans="2:5" x14ac:dyDescent="0.2">
      <c r="B2117" s="720"/>
      <c r="C2117"/>
      <c r="D2117"/>
      <c r="E2117"/>
    </row>
    <row r="2118" spans="2:5" x14ac:dyDescent="0.2">
      <c r="B2118" s="720"/>
      <c r="C2118"/>
      <c r="D2118"/>
      <c r="E2118"/>
    </row>
    <row r="2119" spans="2:5" x14ac:dyDescent="0.2">
      <c r="B2119" s="720"/>
      <c r="C2119"/>
      <c r="D2119"/>
      <c r="E2119"/>
    </row>
    <row r="2120" spans="2:5" x14ac:dyDescent="0.2">
      <c r="B2120" s="720"/>
      <c r="C2120"/>
      <c r="D2120"/>
      <c r="E2120"/>
    </row>
    <row r="2121" spans="2:5" x14ac:dyDescent="0.2">
      <c r="B2121" s="720"/>
      <c r="C2121"/>
      <c r="D2121"/>
      <c r="E2121"/>
    </row>
    <row r="2122" spans="2:5" x14ac:dyDescent="0.2">
      <c r="B2122" s="720"/>
      <c r="C2122"/>
      <c r="D2122"/>
      <c r="E2122"/>
    </row>
    <row r="2123" spans="2:5" x14ac:dyDescent="0.2">
      <c r="B2123" s="720"/>
      <c r="C2123"/>
      <c r="D2123"/>
      <c r="E2123"/>
    </row>
    <row r="2124" spans="2:5" x14ac:dyDescent="0.2">
      <c r="B2124" s="720"/>
      <c r="C2124"/>
      <c r="D2124"/>
      <c r="E2124"/>
    </row>
    <row r="2125" spans="2:5" x14ac:dyDescent="0.2">
      <c r="B2125" s="720"/>
      <c r="C2125"/>
      <c r="D2125"/>
      <c r="E2125"/>
    </row>
    <row r="2126" spans="2:5" x14ac:dyDescent="0.2">
      <c r="B2126" s="720"/>
      <c r="C2126"/>
      <c r="D2126"/>
      <c r="E2126"/>
    </row>
    <row r="2127" spans="2:5" x14ac:dyDescent="0.2">
      <c r="B2127" s="720"/>
      <c r="C2127"/>
      <c r="D2127"/>
      <c r="E2127"/>
    </row>
    <row r="2128" spans="2:5" x14ac:dyDescent="0.2">
      <c r="B2128" s="720"/>
      <c r="C2128"/>
      <c r="D2128"/>
      <c r="E2128"/>
    </row>
    <row r="2129" spans="2:5" x14ac:dyDescent="0.2">
      <c r="B2129" s="720"/>
      <c r="C2129"/>
      <c r="D2129"/>
      <c r="E2129"/>
    </row>
    <row r="2130" spans="2:5" x14ac:dyDescent="0.2">
      <c r="B2130" s="720"/>
      <c r="C2130"/>
      <c r="D2130"/>
      <c r="E2130"/>
    </row>
    <row r="2131" spans="2:5" x14ac:dyDescent="0.2">
      <c r="B2131" s="720"/>
      <c r="C2131"/>
      <c r="D2131"/>
      <c r="E2131"/>
    </row>
    <row r="2132" spans="2:5" x14ac:dyDescent="0.2">
      <c r="B2132" s="720"/>
      <c r="C2132"/>
      <c r="D2132"/>
      <c r="E2132"/>
    </row>
    <row r="2133" spans="2:5" x14ac:dyDescent="0.2">
      <c r="B2133" s="720"/>
      <c r="C2133"/>
      <c r="D2133"/>
      <c r="E2133"/>
    </row>
    <row r="2134" spans="2:5" x14ac:dyDescent="0.2">
      <c r="B2134" s="720"/>
      <c r="C2134"/>
      <c r="D2134"/>
      <c r="E2134"/>
    </row>
    <row r="2135" spans="2:5" x14ac:dyDescent="0.2">
      <c r="B2135" s="720"/>
      <c r="C2135"/>
      <c r="D2135"/>
      <c r="E2135"/>
    </row>
    <row r="2136" spans="2:5" x14ac:dyDescent="0.2">
      <c r="B2136" s="720"/>
      <c r="C2136"/>
      <c r="D2136"/>
      <c r="E2136"/>
    </row>
    <row r="2137" spans="2:5" x14ac:dyDescent="0.2">
      <c r="B2137" s="720"/>
      <c r="C2137"/>
      <c r="D2137"/>
      <c r="E2137"/>
    </row>
    <row r="2138" spans="2:5" x14ac:dyDescent="0.2">
      <c r="B2138" s="720"/>
      <c r="C2138"/>
      <c r="D2138"/>
      <c r="E2138"/>
    </row>
    <row r="2139" spans="2:5" x14ac:dyDescent="0.2">
      <c r="B2139" s="720"/>
      <c r="C2139"/>
      <c r="D2139"/>
      <c r="E2139"/>
    </row>
    <row r="2140" spans="2:5" x14ac:dyDescent="0.2">
      <c r="B2140" s="720"/>
      <c r="C2140"/>
      <c r="D2140"/>
      <c r="E2140"/>
    </row>
    <row r="2141" spans="2:5" x14ac:dyDescent="0.2">
      <c r="B2141" s="720"/>
      <c r="C2141"/>
      <c r="D2141"/>
      <c r="E2141"/>
    </row>
    <row r="2142" spans="2:5" x14ac:dyDescent="0.2">
      <c r="B2142" s="720"/>
      <c r="C2142"/>
      <c r="D2142"/>
      <c r="E2142"/>
    </row>
    <row r="2143" spans="2:5" x14ac:dyDescent="0.2">
      <c r="B2143" s="720"/>
      <c r="C2143"/>
      <c r="D2143"/>
      <c r="E2143"/>
    </row>
    <row r="2144" spans="2:5" x14ac:dyDescent="0.2">
      <c r="B2144" s="720"/>
      <c r="C2144"/>
      <c r="D2144"/>
      <c r="E2144"/>
    </row>
    <row r="2145" spans="2:5" x14ac:dyDescent="0.2">
      <c r="B2145" s="720"/>
      <c r="C2145"/>
      <c r="D2145"/>
      <c r="E2145"/>
    </row>
    <row r="2146" spans="2:5" x14ac:dyDescent="0.2">
      <c r="B2146" s="720"/>
      <c r="C2146"/>
      <c r="D2146"/>
      <c r="E2146"/>
    </row>
    <row r="2147" spans="2:5" x14ac:dyDescent="0.2">
      <c r="B2147" s="720"/>
      <c r="C2147"/>
      <c r="D2147"/>
      <c r="E2147"/>
    </row>
    <row r="2148" spans="2:5" x14ac:dyDescent="0.2">
      <c r="B2148" s="720"/>
      <c r="C2148"/>
      <c r="D2148"/>
      <c r="E2148"/>
    </row>
    <row r="2149" spans="2:5" x14ac:dyDescent="0.2">
      <c r="B2149" s="720"/>
      <c r="C2149"/>
      <c r="D2149"/>
      <c r="E2149"/>
    </row>
    <row r="2150" spans="2:5" x14ac:dyDescent="0.2">
      <c r="B2150" s="720"/>
      <c r="C2150"/>
      <c r="D2150"/>
      <c r="E2150"/>
    </row>
    <row r="2151" spans="2:5" x14ac:dyDescent="0.2">
      <c r="B2151" s="720"/>
      <c r="C2151"/>
      <c r="D2151"/>
      <c r="E2151"/>
    </row>
    <row r="2152" spans="2:5" x14ac:dyDescent="0.2">
      <c r="B2152" s="720"/>
      <c r="C2152"/>
      <c r="D2152"/>
      <c r="E2152"/>
    </row>
    <row r="2153" spans="2:5" x14ac:dyDescent="0.2">
      <c r="B2153" s="720"/>
      <c r="C2153"/>
      <c r="D2153"/>
      <c r="E2153"/>
    </row>
    <row r="2154" spans="2:5" x14ac:dyDescent="0.2">
      <c r="B2154" s="720"/>
      <c r="C2154"/>
      <c r="D2154"/>
      <c r="E2154"/>
    </row>
    <row r="2155" spans="2:5" x14ac:dyDescent="0.2">
      <c r="B2155" s="720"/>
      <c r="C2155"/>
      <c r="D2155"/>
      <c r="E2155"/>
    </row>
    <row r="2156" spans="2:5" x14ac:dyDescent="0.2">
      <c r="B2156" s="720"/>
      <c r="C2156"/>
      <c r="D2156"/>
      <c r="E2156"/>
    </row>
    <row r="2157" spans="2:5" x14ac:dyDescent="0.2">
      <c r="B2157" s="720"/>
      <c r="C2157"/>
      <c r="D2157"/>
      <c r="E2157"/>
    </row>
    <row r="2158" spans="2:5" x14ac:dyDescent="0.2">
      <c r="B2158" s="720"/>
      <c r="C2158"/>
      <c r="D2158"/>
      <c r="E2158"/>
    </row>
    <row r="2159" spans="2:5" x14ac:dyDescent="0.2">
      <c r="B2159" s="720"/>
      <c r="C2159"/>
      <c r="D2159"/>
      <c r="E2159"/>
    </row>
    <row r="2160" spans="2:5" x14ac:dyDescent="0.2">
      <c r="B2160" s="720"/>
      <c r="C2160"/>
      <c r="D2160"/>
      <c r="E2160"/>
    </row>
    <row r="2161" spans="2:5" x14ac:dyDescent="0.2">
      <c r="B2161" s="720"/>
      <c r="C2161"/>
      <c r="D2161"/>
      <c r="E2161"/>
    </row>
    <row r="2162" spans="2:5" x14ac:dyDescent="0.2">
      <c r="B2162" s="720"/>
      <c r="C2162"/>
      <c r="D2162"/>
      <c r="E2162"/>
    </row>
    <row r="2163" spans="2:5" x14ac:dyDescent="0.2">
      <c r="B2163" s="720"/>
      <c r="C2163"/>
      <c r="D2163"/>
      <c r="E2163"/>
    </row>
    <row r="2164" spans="2:5" x14ac:dyDescent="0.2">
      <c r="B2164" s="720"/>
      <c r="C2164"/>
      <c r="D2164"/>
      <c r="E2164"/>
    </row>
    <row r="2165" spans="2:5" x14ac:dyDescent="0.2">
      <c r="B2165" s="720"/>
      <c r="C2165"/>
      <c r="D2165"/>
      <c r="E2165"/>
    </row>
    <row r="2166" spans="2:5" x14ac:dyDescent="0.2">
      <c r="B2166" s="720"/>
      <c r="C2166"/>
      <c r="D2166"/>
      <c r="E2166"/>
    </row>
    <row r="2167" spans="2:5" x14ac:dyDescent="0.2">
      <c r="B2167" s="720"/>
      <c r="C2167"/>
      <c r="D2167"/>
      <c r="E2167"/>
    </row>
    <row r="2168" spans="2:5" x14ac:dyDescent="0.2">
      <c r="B2168" s="720"/>
      <c r="C2168"/>
      <c r="D2168"/>
      <c r="E2168"/>
    </row>
    <row r="2169" spans="2:5" x14ac:dyDescent="0.2">
      <c r="B2169" s="720"/>
      <c r="C2169"/>
      <c r="D2169"/>
      <c r="E2169"/>
    </row>
    <row r="2170" spans="2:5" x14ac:dyDescent="0.2">
      <c r="B2170" s="720"/>
      <c r="C2170"/>
      <c r="D2170"/>
      <c r="E2170"/>
    </row>
    <row r="2171" spans="2:5" x14ac:dyDescent="0.2">
      <c r="B2171" s="720"/>
      <c r="C2171"/>
      <c r="D2171"/>
      <c r="E2171"/>
    </row>
    <row r="2172" spans="2:5" x14ac:dyDescent="0.2">
      <c r="B2172" s="720"/>
      <c r="C2172"/>
      <c r="D2172"/>
      <c r="E2172"/>
    </row>
    <row r="2173" spans="2:5" x14ac:dyDescent="0.2">
      <c r="B2173" s="720"/>
      <c r="C2173"/>
      <c r="D2173"/>
      <c r="E2173"/>
    </row>
    <row r="2174" spans="2:5" x14ac:dyDescent="0.2">
      <c r="B2174" s="720"/>
      <c r="C2174"/>
      <c r="D2174"/>
      <c r="E2174"/>
    </row>
    <row r="2175" spans="2:5" x14ac:dyDescent="0.2">
      <c r="B2175" s="720"/>
      <c r="C2175"/>
      <c r="D2175"/>
      <c r="E2175"/>
    </row>
    <row r="2176" spans="2:5" x14ac:dyDescent="0.2">
      <c r="B2176" s="720"/>
      <c r="C2176"/>
      <c r="D2176"/>
      <c r="E2176"/>
    </row>
    <row r="2177" spans="2:5" x14ac:dyDescent="0.2">
      <c r="B2177" s="720"/>
      <c r="C2177"/>
      <c r="D2177"/>
      <c r="E2177"/>
    </row>
    <row r="2178" spans="2:5" x14ac:dyDescent="0.2">
      <c r="B2178" s="720"/>
      <c r="C2178"/>
      <c r="D2178"/>
      <c r="E2178"/>
    </row>
    <row r="2179" spans="2:5" x14ac:dyDescent="0.2">
      <c r="B2179" s="720"/>
      <c r="C2179"/>
      <c r="D2179"/>
      <c r="E2179"/>
    </row>
    <row r="2180" spans="2:5" x14ac:dyDescent="0.2">
      <c r="B2180" s="720"/>
      <c r="C2180"/>
      <c r="D2180"/>
      <c r="E2180"/>
    </row>
    <row r="2181" spans="2:5" x14ac:dyDescent="0.2">
      <c r="B2181" s="720"/>
      <c r="C2181"/>
      <c r="D2181"/>
      <c r="E2181"/>
    </row>
    <row r="2182" spans="2:5" x14ac:dyDescent="0.2">
      <c r="B2182" s="720"/>
      <c r="C2182"/>
      <c r="D2182"/>
      <c r="E2182"/>
    </row>
    <row r="2183" spans="2:5" x14ac:dyDescent="0.2">
      <c r="B2183" s="720"/>
      <c r="C2183"/>
      <c r="D2183"/>
      <c r="E2183"/>
    </row>
    <row r="2184" spans="2:5" x14ac:dyDescent="0.2">
      <c r="B2184" s="720"/>
      <c r="C2184"/>
      <c r="D2184"/>
      <c r="E2184"/>
    </row>
    <row r="2185" spans="2:5" x14ac:dyDescent="0.2">
      <c r="B2185" s="720"/>
      <c r="C2185"/>
      <c r="D2185"/>
      <c r="E2185"/>
    </row>
    <row r="2186" spans="2:5" x14ac:dyDescent="0.2">
      <c r="B2186" s="720"/>
      <c r="C2186"/>
      <c r="D2186"/>
      <c r="E2186"/>
    </row>
    <row r="2187" spans="2:5" x14ac:dyDescent="0.2">
      <c r="B2187" s="720"/>
      <c r="C2187"/>
      <c r="D2187"/>
      <c r="E2187"/>
    </row>
    <row r="2188" spans="2:5" x14ac:dyDescent="0.2">
      <c r="B2188" s="720"/>
      <c r="C2188"/>
      <c r="D2188"/>
      <c r="E2188"/>
    </row>
    <row r="2189" spans="2:5" x14ac:dyDescent="0.2">
      <c r="B2189" s="720"/>
      <c r="C2189"/>
      <c r="D2189"/>
      <c r="E2189"/>
    </row>
    <row r="2190" spans="2:5" x14ac:dyDescent="0.2">
      <c r="B2190" s="720"/>
      <c r="C2190"/>
      <c r="D2190"/>
      <c r="E2190"/>
    </row>
    <row r="2191" spans="2:5" x14ac:dyDescent="0.2">
      <c r="B2191" s="720"/>
      <c r="C2191"/>
      <c r="D2191"/>
      <c r="E2191"/>
    </row>
    <row r="2192" spans="2:5" x14ac:dyDescent="0.2">
      <c r="B2192" s="720"/>
      <c r="C2192"/>
      <c r="D2192"/>
      <c r="E2192"/>
    </row>
    <row r="2193" spans="2:5" x14ac:dyDescent="0.2">
      <c r="B2193" s="720"/>
      <c r="C2193"/>
      <c r="D2193"/>
      <c r="E2193"/>
    </row>
    <row r="2194" spans="2:5" x14ac:dyDescent="0.2">
      <c r="B2194" s="720"/>
      <c r="C2194"/>
      <c r="D2194"/>
      <c r="E2194"/>
    </row>
    <row r="2195" spans="2:5" x14ac:dyDescent="0.2">
      <c r="B2195" s="720"/>
      <c r="C2195"/>
      <c r="D2195"/>
      <c r="E2195"/>
    </row>
    <row r="2196" spans="2:5" x14ac:dyDescent="0.2">
      <c r="B2196" s="720"/>
      <c r="C2196"/>
      <c r="D2196"/>
      <c r="E2196"/>
    </row>
    <row r="2197" spans="2:5" x14ac:dyDescent="0.2">
      <c r="B2197" s="720"/>
      <c r="C2197"/>
      <c r="D2197"/>
      <c r="E2197"/>
    </row>
    <row r="2198" spans="2:5" x14ac:dyDescent="0.2">
      <c r="B2198" s="720"/>
      <c r="C2198"/>
      <c r="D2198"/>
      <c r="E2198"/>
    </row>
    <row r="2199" spans="2:5" x14ac:dyDescent="0.2">
      <c r="B2199" s="720"/>
      <c r="C2199"/>
      <c r="D2199"/>
      <c r="E2199"/>
    </row>
    <row r="2200" spans="2:5" x14ac:dyDescent="0.2">
      <c r="B2200" s="720"/>
      <c r="C2200"/>
      <c r="D2200"/>
      <c r="E2200"/>
    </row>
    <row r="2201" spans="2:5" x14ac:dyDescent="0.2">
      <c r="B2201" s="720"/>
      <c r="C2201"/>
      <c r="D2201"/>
      <c r="E2201"/>
    </row>
    <row r="2202" spans="2:5" x14ac:dyDescent="0.2">
      <c r="B2202" s="720"/>
      <c r="C2202"/>
      <c r="D2202"/>
      <c r="E2202"/>
    </row>
    <row r="2203" spans="2:5" x14ac:dyDescent="0.2">
      <c r="B2203" s="720"/>
      <c r="C2203"/>
      <c r="D2203"/>
      <c r="E2203"/>
    </row>
    <row r="2204" spans="2:5" x14ac:dyDescent="0.2">
      <c r="B2204" s="720"/>
      <c r="C2204"/>
      <c r="D2204"/>
      <c r="E2204"/>
    </row>
    <row r="2205" spans="2:5" x14ac:dyDescent="0.2">
      <c r="B2205" s="720"/>
      <c r="C2205"/>
      <c r="D2205"/>
      <c r="E2205"/>
    </row>
    <row r="2206" spans="2:5" x14ac:dyDescent="0.2">
      <c r="B2206" s="720"/>
      <c r="C2206"/>
      <c r="D2206"/>
      <c r="E2206"/>
    </row>
    <row r="2207" spans="2:5" x14ac:dyDescent="0.2">
      <c r="B2207" s="720"/>
      <c r="C2207"/>
      <c r="D2207"/>
      <c r="E2207"/>
    </row>
    <row r="2208" spans="2:5" x14ac:dyDescent="0.2">
      <c r="B2208" s="720"/>
      <c r="C2208"/>
      <c r="D2208"/>
      <c r="E2208"/>
    </row>
    <row r="2209" spans="2:5" x14ac:dyDescent="0.2">
      <c r="B2209" s="720"/>
      <c r="C2209"/>
      <c r="D2209"/>
      <c r="E2209"/>
    </row>
    <row r="2210" spans="2:5" x14ac:dyDescent="0.2">
      <c r="B2210" s="720"/>
      <c r="C2210"/>
      <c r="D2210"/>
      <c r="E2210"/>
    </row>
    <row r="2211" spans="2:5" x14ac:dyDescent="0.2">
      <c r="B2211" s="720"/>
      <c r="C2211"/>
      <c r="D2211"/>
      <c r="E2211"/>
    </row>
    <row r="2212" spans="2:5" x14ac:dyDescent="0.2">
      <c r="B2212" s="720"/>
      <c r="C2212"/>
      <c r="D2212"/>
      <c r="E2212"/>
    </row>
    <row r="2213" spans="2:5" x14ac:dyDescent="0.2">
      <c r="B2213" s="720"/>
      <c r="C2213"/>
      <c r="D2213"/>
      <c r="E2213"/>
    </row>
    <row r="2214" spans="2:5" x14ac:dyDescent="0.2">
      <c r="B2214" s="720"/>
      <c r="C2214"/>
      <c r="D2214"/>
      <c r="E2214"/>
    </row>
    <row r="2215" spans="2:5" x14ac:dyDescent="0.2">
      <c r="B2215" s="720"/>
      <c r="C2215"/>
      <c r="D2215"/>
      <c r="E2215"/>
    </row>
    <row r="2216" spans="2:5" x14ac:dyDescent="0.2">
      <c r="B2216" s="720"/>
      <c r="C2216"/>
      <c r="D2216"/>
      <c r="E2216"/>
    </row>
    <row r="2217" spans="2:5" x14ac:dyDescent="0.2">
      <c r="B2217" s="720"/>
      <c r="C2217"/>
      <c r="D2217"/>
      <c r="E2217"/>
    </row>
    <row r="2218" spans="2:5" x14ac:dyDescent="0.2">
      <c r="B2218" s="720"/>
      <c r="C2218"/>
      <c r="D2218"/>
      <c r="E2218"/>
    </row>
    <row r="2219" spans="2:5" x14ac:dyDescent="0.2">
      <c r="B2219" s="720"/>
      <c r="C2219"/>
      <c r="D2219"/>
      <c r="E2219"/>
    </row>
    <row r="2220" spans="2:5" x14ac:dyDescent="0.2">
      <c r="B2220" s="720"/>
      <c r="C2220"/>
      <c r="D2220"/>
      <c r="E2220"/>
    </row>
    <row r="2221" spans="2:5" x14ac:dyDescent="0.2">
      <c r="B2221" s="720"/>
      <c r="C2221"/>
      <c r="D2221"/>
      <c r="E2221"/>
    </row>
    <row r="2222" spans="2:5" x14ac:dyDescent="0.2">
      <c r="B2222" s="720"/>
      <c r="C2222"/>
      <c r="D2222"/>
      <c r="E2222"/>
    </row>
    <row r="2223" spans="2:5" x14ac:dyDescent="0.2">
      <c r="B2223" s="720"/>
      <c r="C2223"/>
      <c r="D2223"/>
      <c r="E2223"/>
    </row>
    <row r="2224" spans="2:5" x14ac:dyDescent="0.2">
      <c r="B2224" s="720"/>
      <c r="C2224"/>
      <c r="D2224"/>
      <c r="E2224"/>
    </row>
    <row r="2225" spans="2:5" x14ac:dyDescent="0.2">
      <c r="B2225" s="720"/>
      <c r="C2225"/>
      <c r="D2225"/>
      <c r="E2225"/>
    </row>
    <row r="2226" spans="2:5" x14ac:dyDescent="0.2">
      <c r="B2226" s="720"/>
      <c r="C2226"/>
      <c r="D2226"/>
      <c r="E2226"/>
    </row>
    <row r="2227" spans="2:5" x14ac:dyDescent="0.2">
      <c r="B2227" s="720"/>
      <c r="C2227"/>
      <c r="D2227"/>
      <c r="E2227"/>
    </row>
    <row r="2228" spans="2:5" x14ac:dyDescent="0.2">
      <c r="B2228" s="720"/>
      <c r="C2228"/>
      <c r="D2228"/>
      <c r="E2228"/>
    </row>
    <row r="2229" spans="2:5" x14ac:dyDescent="0.2">
      <c r="B2229" s="720"/>
      <c r="C2229"/>
      <c r="D2229"/>
      <c r="E2229"/>
    </row>
    <row r="2230" spans="2:5" x14ac:dyDescent="0.2">
      <c r="B2230" s="720"/>
      <c r="C2230"/>
      <c r="D2230"/>
      <c r="E2230"/>
    </row>
    <row r="2231" spans="2:5" x14ac:dyDescent="0.2">
      <c r="B2231" s="720"/>
      <c r="C2231"/>
      <c r="D2231"/>
      <c r="E2231"/>
    </row>
    <row r="2232" spans="2:5" x14ac:dyDescent="0.2">
      <c r="B2232" s="720"/>
      <c r="C2232"/>
      <c r="D2232"/>
      <c r="E2232"/>
    </row>
    <row r="2233" spans="2:5" x14ac:dyDescent="0.2">
      <c r="B2233" s="720"/>
      <c r="C2233"/>
      <c r="D2233"/>
      <c r="E2233"/>
    </row>
    <row r="2234" spans="2:5" x14ac:dyDescent="0.2">
      <c r="B2234" s="720"/>
      <c r="C2234"/>
      <c r="D2234"/>
      <c r="E2234"/>
    </row>
    <row r="2235" spans="2:5" x14ac:dyDescent="0.2">
      <c r="B2235" s="720"/>
      <c r="C2235"/>
      <c r="D2235"/>
      <c r="E2235"/>
    </row>
    <row r="2236" spans="2:5" x14ac:dyDescent="0.2">
      <c r="B2236" s="720"/>
      <c r="C2236"/>
      <c r="D2236"/>
      <c r="E2236"/>
    </row>
    <row r="2237" spans="2:5" x14ac:dyDescent="0.2">
      <c r="B2237" s="720"/>
      <c r="C2237"/>
      <c r="D2237"/>
      <c r="E2237"/>
    </row>
    <row r="2238" spans="2:5" x14ac:dyDescent="0.2">
      <c r="B2238" s="720"/>
      <c r="C2238"/>
      <c r="D2238"/>
      <c r="E2238"/>
    </row>
    <row r="2239" spans="2:5" x14ac:dyDescent="0.2">
      <c r="B2239" s="720"/>
      <c r="C2239"/>
      <c r="D2239"/>
      <c r="E2239"/>
    </row>
    <row r="2240" spans="2:5" x14ac:dyDescent="0.2">
      <c r="B2240" s="720"/>
      <c r="C2240"/>
      <c r="D2240"/>
      <c r="E2240"/>
    </row>
    <row r="2241" spans="2:5" x14ac:dyDescent="0.2">
      <c r="B2241" s="720"/>
      <c r="C2241"/>
      <c r="D2241"/>
      <c r="E2241"/>
    </row>
    <row r="2242" spans="2:5" x14ac:dyDescent="0.2">
      <c r="B2242" s="720"/>
      <c r="C2242"/>
      <c r="D2242"/>
      <c r="E2242"/>
    </row>
    <row r="2243" spans="2:5" x14ac:dyDescent="0.2">
      <c r="B2243" s="720"/>
      <c r="C2243"/>
      <c r="D2243"/>
      <c r="E2243"/>
    </row>
    <row r="2244" spans="2:5" x14ac:dyDescent="0.2">
      <c r="B2244" s="720"/>
      <c r="C2244"/>
      <c r="D2244"/>
      <c r="E2244"/>
    </row>
    <row r="2245" spans="2:5" x14ac:dyDescent="0.2">
      <c r="B2245" s="720"/>
      <c r="C2245"/>
      <c r="D2245"/>
      <c r="E2245"/>
    </row>
    <row r="2246" spans="2:5" x14ac:dyDescent="0.2">
      <c r="B2246" s="720"/>
      <c r="C2246"/>
      <c r="D2246"/>
      <c r="E2246"/>
    </row>
    <row r="2247" spans="2:5" x14ac:dyDescent="0.2">
      <c r="B2247" s="720"/>
      <c r="C2247"/>
      <c r="D2247"/>
      <c r="E2247"/>
    </row>
    <row r="2248" spans="2:5" x14ac:dyDescent="0.2">
      <c r="B2248" s="720"/>
      <c r="C2248"/>
      <c r="D2248"/>
      <c r="E2248"/>
    </row>
    <row r="2249" spans="2:5" x14ac:dyDescent="0.2">
      <c r="B2249" s="720"/>
      <c r="C2249"/>
      <c r="D2249"/>
      <c r="E2249"/>
    </row>
    <row r="2250" spans="2:5" x14ac:dyDescent="0.2">
      <c r="B2250" s="720"/>
      <c r="C2250"/>
      <c r="D2250"/>
      <c r="E2250"/>
    </row>
    <row r="2251" spans="2:5" x14ac:dyDescent="0.2">
      <c r="B2251" s="720"/>
      <c r="C2251"/>
      <c r="D2251"/>
      <c r="E2251"/>
    </row>
    <row r="2252" spans="2:5" x14ac:dyDescent="0.2">
      <c r="B2252" s="720"/>
      <c r="C2252"/>
      <c r="D2252"/>
      <c r="E2252"/>
    </row>
    <row r="2253" spans="2:5" x14ac:dyDescent="0.2">
      <c r="B2253" s="720"/>
      <c r="C2253"/>
      <c r="D2253"/>
      <c r="E2253"/>
    </row>
    <row r="2254" spans="2:5" x14ac:dyDescent="0.2">
      <c r="B2254" s="720"/>
      <c r="C2254"/>
      <c r="D2254"/>
      <c r="E2254"/>
    </row>
    <row r="2255" spans="2:5" x14ac:dyDescent="0.2">
      <c r="B2255" s="720"/>
      <c r="C2255"/>
      <c r="D2255"/>
      <c r="E2255"/>
    </row>
    <row r="2256" spans="2:5" x14ac:dyDescent="0.2">
      <c r="B2256" s="720"/>
      <c r="C2256"/>
      <c r="D2256"/>
      <c r="E2256"/>
    </row>
    <row r="2257" spans="2:5" x14ac:dyDescent="0.2">
      <c r="B2257" s="720"/>
      <c r="C2257"/>
      <c r="D2257"/>
      <c r="E2257"/>
    </row>
    <row r="2258" spans="2:5" x14ac:dyDescent="0.2">
      <c r="B2258" s="720"/>
      <c r="C2258"/>
      <c r="D2258"/>
      <c r="E2258"/>
    </row>
    <row r="2259" spans="2:5" x14ac:dyDescent="0.2">
      <c r="B2259" s="720"/>
      <c r="C2259"/>
      <c r="D2259"/>
      <c r="E2259"/>
    </row>
    <row r="2260" spans="2:5" x14ac:dyDescent="0.2">
      <c r="B2260" s="720"/>
      <c r="C2260"/>
      <c r="D2260"/>
      <c r="E2260"/>
    </row>
    <row r="2261" spans="2:5" x14ac:dyDescent="0.2">
      <c r="B2261" s="720"/>
      <c r="C2261"/>
      <c r="D2261"/>
      <c r="E2261"/>
    </row>
    <row r="2262" spans="2:5" x14ac:dyDescent="0.2">
      <c r="B2262" s="720"/>
      <c r="C2262"/>
      <c r="D2262"/>
      <c r="E2262"/>
    </row>
    <row r="2263" spans="2:5" x14ac:dyDescent="0.2">
      <c r="B2263" s="720"/>
      <c r="C2263"/>
      <c r="D2263"/>
      <c r="E2263"/>
    </row>
    <row r="2264" spans="2:5" x14ac:dyDescent="0.2">
      <c r="B2264" s="720"/>
      <c r="C2264"/>
      <c r="D2264"/>
      <c r="E2264"/>
    </row>
    <row r="2265" spans="2:5" x14ac:dyDescent="0.2">
      <c r="B2265" s="720"/>
      <c r="C2265"/>
      <c r="D2265"/>
      <c r="E2265"/>
    </row>
    <row r="2266" spans="2:5" x14ac:dyDescent="0.2">
      <c r="B2266" s="720"/>
      <c r="C2266"/>
      <c r="D2266"/>
      <c r="E2266"/>
    </row>
    <row r="2267" spans="2:5" x14ac:dyDescent="0.2">
      <c r="B2267" s="720"/>
      <c r="C2267"/>
      <c r="D2267"/>
      <c r="E2267"/>
    </row>
    <row r="2268" spans="2:5" x14ac:dyDescent="0.2">
      <c r="B2268" s="720"/>
      <c r="C2268"/>
      <c r="D2268"/>
      <c r="E2268"/>
    </row>
    <row r="2269" spans="2:5" x14ac:dyDescent="0.2">
      <c r="B2269" s="720"/>
      <c r="C2269"/>
      <c r="D2269"/>
      <c r="E2269"/>
    </row>
    <row r="2270" spans="2:5" x14ac:dyDescent="0.2">
      <c r="B2270" s="720"/>
      <c r="C2270"/>
      <c r="D2270"/>
      <c r="E2270"/>
    </row>
    <row r="2271" spans="2:5" x14ac:dyDescent="0.2">
      <c r="B2271" s="720"/>
      <c r="C2271"/>
      <c r="D2271"/>
      <c r="E2271"/>
    </row>
    <row r="2272" spans="2:5" x14ac:dyDescent="0.2">
      <c r="B2272" s="720"/>
      <c r="C2272"/>
      <c r="D2272"/>
      <c r="E2272"/>
    </row>
    <row r="2273" spans="2:5" x14ac:dyDescent="0.2">
      <c r="B2273" s="720"/>
      <c r="C2273"/>
      <c r="D2273"/>
      <c r="E2273"/>
    </row>
    <row r="2274" spans="2:5" x14ac:dyDescent="0.2">
      <c r="B2274" s="720"/>
      <c r="C2274"/>
      <c r="D2274"/>
      <c r="E2274"/>
    </row>
    <row r="2275" spans="2:5" x14ac:dyDescent="0.2">
      <c r="B2275" s="720"/>
      <c r="C2275"/>
      <c r="D2275"/>
      <c r="E2275"/>
    </row>
    <row r="2276" spans="2:5" x14ac:dyDescent="0.2">
      <c r="B2276" s="720"/>
      <c r="C2276"/>
      <c r="D2276"/>
      <c r="E2276"/>
    </row>
    <row r="2277" spans="2:5" x14ac:dyDescent="0.2">
      <c r="B2277" s="720"/>
      <c r="C2277"/>
      <c r="D2277"/>
      <c r="E2277"/>
    </row>
    <row r="2278" spans="2:5" x14ac:dyDescent="0.2">
      <c r="B2278" s="720"/>
      <c r="C2278"/>
      <c r="D2278"/>
      <c r="E2278"/>
    </row>
    <row r="2279" spans="2:5" x14ac:dyDescent="0.2">
      <c r="B2279" s="720"/>
      <c r="C2279"/>
      <c r="D2279"/>
      <c r="E2279"/>
    </row>
    <row r="2280" spans="2:5" x14ac:dyDescent="0.2">
      <c r="B2280" s="720"/>
      <c r="C2280"/>
      <c r="D2280"/>
      <c r="E2280"/>
    </row>
    <row r="2281" spans="2:5" x14ac:dyDescent="0.2">
      <c r="B2281" s="720"/>
      <c r="C2281"/>
      <c r="D2281"/>
      <c r="E2281"/>
    </row>
    <row r="2282" spans="2:5" x14ac:dyDescent="0.2">
      <c r="B2282" s="720"/>
      <c r="C2282"/>
      <c r="D2282"/>
      <c r="E2282"/>
    </row>
    <row r="2283" spans="2:5" x14ac:dyDescent="0.2">
      <c r="B2283" s="720"/>
      <c r="C2283"/>
      <c r="D2283"/>
      <c r="E2283"/>
    </row>
    <row r="2284" spans="2:5" x14ac:dyDescent="0.2">
      <c r="B2284" s="720"/>
      <c r="C2284"/>
      <c r="D2284"/>
      <c r="E2284"/>
    </row>
    <row r="2285" spans="2:5" x14ac:dyDescent="0.2">
      <c r="B2285" s="720"/>
      <c r="C2285"/>
      <c r="D2285"/>
      <c r="E2285"/>
    </row>
    <row r="2286" spans="2:5" x14ac:dyDescent="0.2">
      <c r="B2286" s="720"/>
      <c r="C2286"/>
      <c r="D2286"/>
      <c r="E2286"/>
    </row>
    <row r="2287" spans="2:5" x14ac:dyDescent="0.2">
      <c r="B2287" s="720"/>
      <c r="C2287"/>
      <c r="D2287"/>
      <c r="E2287"/>
    </row>
    <row r="2288" spans="2:5" x14ac:dyDescent="0.2">
      <c r="B2288" s="720"/>
      <c r="C2288"/>
      <c r="D2288"/>
      <c r="E2288"/>
    </row>
    <row r="2289" spans="2:5" x14ac:dyDescent="0.2">
      <c r="B2289" s="720"/>
      <c r="C2289"/>
      <c r="D2289"/>
      <c r="E2289"/>
    </row>
    <row r="2290" spans="2:5" x14ac:dyDescent="0.2">
      <c r="B2290" s="720"/>
      <c r="C2290"/>
      <c r="D2290"/>
      <c r="E2290"/>
    </row>
    <row r="2291" spans="2:5" x14ac:dyDescent="0.2">
      <c r="B2291" s="720"/>
      <c r="C2291"/>
      <c r="D2291"/>
      <c r="E2291"/>
    </row>
    <row r="2292" spans="2:5" x14ac:dyDescent="0.2">
      <c r="B2292" s="720"/>
      <c r="C2292"/>
      <c r="D2292"/>
      <c r="E2292"/>
    </row>
    <row r="2293" spans="2:5" x14ac:dyDescent="0.2">
      <c r="B2293" s="720"/>
      <c r="C2293"/>
      <c r="D2293"/>
      <c r="E2293"/>
    </row>
    <row r="2294" spans="2:5" x14ac:dyDescent="0.2">
      <c r="B2294" s="720"/>
      <c r="C2294"/>
      <c r="D2294"/>
      <c r="E2294"/>
    </row>
    <row r="2295" spans="2:5" x14ac:dyDescent="0.2">
      <c r="B2295" s="720"/>
      <c r="C2295"/>
      <c r="D2295"/>
      <c r="E2295"/>
    </row>
    <row r="2296" spans="2:5" x14ac:dyDescent="0.2">
      <c r="B2296" s="720"/>
      <c r="C2296"/>
      <c r="D2296"/>
      <c r="E2296"/>
    </row>
    <row r="2297" spans="2:5" x14ac:dyDescent="0.2">
      <c r="B2297" s="720"/>
      <c r="C2297"/>
      <c r="D2297"/>
      <c r="E2297"/>
    </row>
    <row r="2298" spans="2:5" x14ac:dyDescent="0.2">
      <c r="B2298" s="720"/>
      <c r="C2298"/>
      <c r="D2298"/>
      <c r="E2298"/>
    </row>
    <row r="2299" spans="2:5" x14ac:dyDescent="0.2">
      <c r="B2299" s="720"/>
      <c r="C2299"/>
      <c r="D2299"/>
      <c r="E2299"/>
    </row>
    <row r="2300" spans="2:5" x14ac:dyDescent="0.2">
      <c r="B2300" s="720"/>
      <c r="C2300"/>
      <c r="D2300"/>
      <c r="E2300"/>
    </row>
    <row r="2301" spans="2:5" x14ac:dyDescent="0.2">
      <c r="B2301" s="720"/>
      <c r="C2301"/>
      <c r="D2301"/>
      <c r="E2301"/>
    </row>
    <row r="2302" spans="2:5" x14ac:dyDescent="0.2">
      <c r="B2302" s="720"/>
      <c r="C2302"/>
      <c r="D2302"/>
      <c r="E2302"/>
    </row>
    <row r="2303" spans="2:5" x14ac:dyDescent="0.2">
      <c r="B2303" s="720"/>
      <c r="C2303"/>
      <c r="D2303"/>
      <c r="E2303"/>
    </row>
    <row r="2304" spans="2:5" x14ac:dyDescent="0.2">
      <c r="B2304" s="720"/>
      <c r="C2304"/>
      <c r="D2304"/>
      <c r="E2304"/>
    </row>
    <row r="2305" spans="2:5" x14ac:dyDescent="0.2">
      <c r="B2305" s="720"/>
      <c r="C2305"/>
      <c r="D2305"/>
      <c r="E2305"/>
    </row>
    <row r="2306" spans="2:5" x14ac:dyDescent="0.2">
      <c r="B2306" s="720"/>
      <c r="C2306"/>
      <c r="D2306"/>
      <c r="E2306"/>
    </row>
    <row r="2307" spans="2:5" x14ac:dyDescent="0.2">
      <c r="B2307" s="720"/>
      <c r="C2307"/>
      <c r="D2307"/>
      <c r="E2307"/>
    </row>
    <row r="2308" spans="2:5" x14ac:dyDescent="0.2">
      <c r="B2308" s="720"/>
      <c r="C2308"/>
      <c r="D2308"/>
      <c r="E2308"/>
    </row>
    <row r="2309" spans="2:5" x14ac:dyDescent="0.2">
      <c r="B2309" s="720"/>
      <c r="C2309"/>
      <c r="D2309"/>
      <c r="E2309"/>
    </row>
    <row r="2310" spans="2:5" x14ac:dyDescent="0.2">
      <c r="B2310" s="720"/>
      <c r="C2310"/>
      <c r="D2310"/>
      <c r="E2310"/>
    </row>
    <row r="2311" spans="2:5" x14ac:dyDescent="0.2">
      <c r="B2311" s="720"/>
      <c r="C2311"/>
      <c r="D2311"/>
      <c r="E2311"/>
    </row>
    <row r="2312" spans="2:5" x14ac:dyDescent="0.2">
      <c r="B2312" s="720"/>
      <c r="C2312"/>
      <c r="D2312"/>
      <c r="E2312"/>
    </row>
    <row r="2313" spans="2:5" x14ac:dyDescent="0.2">
      <c r="B2313" s="720"/>
      <c r="C2313"/>
      <c r="D2313"/>
      <c r="E2313"/>
    </row>
    <row r="2314" spans="2:5" x14ac:dyDescent="0.2">
      <c r="B2314" s="720"/>
      <c r="C2314"/>
      <c r="D2314"/>
      <c r="E2314"/>
    </row>
    <row r="2315" spans="2:5" x14ac:dyDescent="0.2">
      <c r="B2315" s="720"/>
      <c r="C2315"/>
      <c r="D2315"/>
      <c r="E2315"/>
    </row>
    <row r="2316" spans="2:5" x14ac:dyDescent="0.2">
      <c r="B2316" s="720"/>
      <c r="C2316"/>
      <c r="D2316"/>
      <c r="E2316"/>
    </row>
    <row r="2317" spans="2:5" x14ac:dyDescent="0.2">
      <c r="B2317" s="720"/>
      <c r="C2317"/>
      <c r="D2317"/>
      <c r="E2317"/>
    </row>
    <row r="2318" spans="2:5" x14ac:dyDescent="0.2">
      <c r="B2318" s="720"/>
      <c r="C2318"/>
      <c r="D2318"/>
      <c r="E2318"/>
    </row>
    <row r="2319" spans="2:5" x14ac:dyDescent="0.2">
      <c r="B2319" s="720"/>
      <c r="C2319"/>
      <c r="D2319"/>
      <c r="E2319"/>
    </row>
    <row r="2320" spans="2:5" x14ac:dyDescent="0.2">
      <c r="B2320" s="720"/>
      <c r="C2320"/>
      <c r="D2320"/>
      <c r="E2320"/>
    </row>
    <row r="2321" spans="2:5" x14ac:dyDescent="0.2">
      <c r="B2321" s="720"/>
      <c r="C2321"/>
      <c r="D2321"/>
      <c r="E2321"/>
    </row>
    <row r="2322" spans="2:5" x14ac:dyDescent="0.2">
      <c r="B2322" s="720"/>
      <c r="C2322"/>
      <c r="D2322"/>
      <c r="E2322"/>
    </row>
    <row r="2323" spans="2:5" x14ac:dyDescent="0.2">
      <c r="B2323" s="720"/>
      <c r="C2323"/>
      <c r="D2323"/>
      <c r="E2323"/>
    </row>
    <row r="2324" spans="2:5" x14ac:dyDescent="0.2">
      <c r="B2324" s="720"/>
      <c r="C2324"/>
      <c r="D2324"/>
      <c r="E2324"/>
    </row>
    <row r="2325" spans="2:5" x14ac:dyDescent="0.2">
      <c r="B2325" s="720"/>
      <c r="C2325"/>
      <c r="D2325"/>
      <c r="E2325"/>
    </row>
    <row r="2326" spans="2:5" x14ac:dyDescent="0.2">
      <c r="B2326" s="720"/>
      <c r="C2326"/>
      <c r="D2326"/>
      <c r="E2326"/>
    </row>
    <row r="2327" spans="2:5" x14ac:dyDescent="0.2">
      <c r="B2327" s="720"/>
      <c r="C2327"/>
      <c r="D2327"/>
      <c r="E2327"/>
    </row>
    <row r="2328" spans="2:5" x14ac:dyDescent="0.2">
      <c r="B2328" s="720"/>
      <c r="C2328"/>
      <c r="D2328"/>
      <c r="E2328"/>
    </row>
    <row r="2329" spans="2:5" x14ac:dyDescent="0.2">
      <c r="B2329" s="720"/>
      <c r="C2329"/>
      <c r="D2329"/>
      <c r="E2329"/>
    </row>
    <row r="2330" spans="2:5" x14ac:dyDescent="0.2">
      <c r="B2330" s="720"/>
      <c r="C2330"/>
      <c r="D2330"/>
      <c r="E2330"/>
    </row>
    <row r="2331" spans="2:5" x14ac:dyDescent="0.2">
      <c r="B2331" s="720"/>
      <c r="C2331"/>
      <c r="D2331"/>
      <c r="E2331"/>
    </row>
    <row r="2332" spans="2:5" x14ac:dyDescent="0.2">
      <c r="B2332" s="720"/>
      <c r="C2332"/>
      <c r="D2332"/>
      <c r="E2332"/>
    </row>
    <row r="2333" spans="2:5" x14ac:dyDescent="0.2">
      <c r="B2333" s="720"/>
      <c r="C2333"/>
      <c r="D2333"/>
      <c r="E2333"/>
    </row>
    <row r="2334" spans="2:5" x14ac:dyDescent="0.2">
      <c r="B2334" s="720"/>
      <c r="C2334"/>
      <c r="D2334"/>
      <c r="E2334"/>
    </row>
    <row r="2335" spans="2:5" x14ac:dyDescent="0.2">
      <c r="B2335" s="720"/>
      <c r="C2335"/>
      <c r="D2335"/>
      <c r="E2335"/>
    </row>
    <row r="2336" spans="2:5" x14ac:dyDescent="0.2">
      <c r="B2336" s="720"/>
      <c r="C2336"/>
      <c r="D2336"/>
      <c r="E2336"/>
    </row>
    <row r="2337" spans="2:5" x14ac:dyDescent="0.2">
      <c r="B2337" s="720"/>
      <c r="C2337"/>
      <c r="D2337"/>
      <c r="E2337"/>
    </row>
    <row r="2338" spans="2:5" x14ac:dyDescent="0.2">
      <c r="B2338" s="720"/>
      <c r="C2338"/>
      <c r="D2338"/>
      <c r="E2338"/>
    </row>
    <row r="2339" spans="2:5" x14ac:dyDescent="0.2">
      <c r="B2339" s="720"/>
      <c r="C2339"/>
      <c r="D2339"/>
      <c r="E2339"/>
    </row>
    <row r="2340" spans="2:5" x14ac:dyDescent="0.2">
      <c r="B2340" s="720"/>
      <c r="C2340"/>
      <c r="D2340"/>
      <c r="E2340"/>
    </row>
    <row r="2341" spans="2:5" x14ac:dyDescent="0.2">
      <c r="B2341" s="720"/>
      <c r="C2341"/>
      <c r="D2341"/>
      <c r="E2341"/>
    </row>
    <row r="2342" spans="2:5" x14ac:dyDescent="0.2">
      <c r="B2342" s="720"/>
      <c r="C2342"/>
      <c r="D2342"/>
      <c r="E2342"/>
    </row>
    <row r="2343" spans="2:5" x14ac:dyDescent="0.2">
      <c r="B2343" s="720"/>
      <c r="C2343"/>
      <c r="D2343"/>
      <c r="E2343"/>
    </row>
    <row r="2344" spans="2:5" x14ac:dyDescent="0.2">
      <c r="B2344" s="720"/>
      <c r="C2344"/>
      <c r="D2344"/>
      <c r="E2344"/>
    </row>
    <row r="2345" spans="2:5" x14ac:dyDescent="0.2">
      <c r="B2345" s="720"/>
      <c r="C2345"/>
      <c r="D2345"/>
      <c r="E2345"/>
    </row>
    <row r="2346" spans="2:5" x14ac:dyDescent="0.2">
      <c r="B2346" s="720"/>
      <c r="C2346"/>
      <c r="D2346"/>
      <c r="E2346"/>
    </row>
    <row r="2347" spans="2:5" x14ac:dyDescent="0.2">
      <c r="B2347" s="720"/>
      <c r="C2347"/>
      <c r="D2347"/>
      <c r="E2347"/>
    </row>
    <row r="2348" spans="2:5" x14ac:dyDescent="0.2">
      <c r="B2348" s="720"/>
      <c r="C2348"/>
      <c r="D2348"/>
      <c r="E2348"/>
    </row>
    <row r="2349" spans="2:5" x14ac:dyDescent="0.2">
      <c r="B2349" s="720"/>
      <c r="C2349"/>
      <c r="D2349"/>
      <c r="E2349"/>
    </row>
    <row r="2350" spans="2:5" x14ac:dyDescent="0.2">
      <c r="B2350" s="720"/>
      <c r="C2350"/>
      <c r="D2350"/>
      <c r="E2350"/>
    </row>
    <row r="2351" spans="2:5" x14ac:dyDescent="0.2">
      <c r="B2351" s="720"/>
      <c r="C2351"/>
      <c r="D2351"/>
      <c r="E2351"/>
    </row>
    <row r="2352" spans="2:5" x14ac:dyDescent="0.2">
      <c r="B2352" s="720"/>
      <c r="C2352"/>
      <c r="D2352"/>
      <c r="E2352"/>
    </row>
    <row r="2353" spans="2:5" x14ac:dyDescent="0.2">
      <c r="B2353" s="720"/>
      <c r="C2353"/>
      <c r="D2353"/>
      <c r="E2353"/>
    </row>
    <row r="2354" spans="2:5" x14ac:dyDescent="0.2">
      <c r="B2354" s="720"/>
      <c r="C2354"/>
      <c r="D2354"/>
      <c r="E2354"/>
    </row>
    <row r="2355" spans="2:5" x14ac:dyDescent="0.2">
      <c r="B2355" s="720"/>
      <c r="C2355"/>
      <c r="D2355"/>
      <c r="E2355"/>
    </row>
    <row r="2356" spans="2:5" x14ac:dyDescent="0.2">
      <c r="B2356" s="720"/>
      <c r="C2356"/>
      <c r="D2356"/>
      <c r="E2356"/>
    </row>
    <row r="2357" spans="2:5" x14ac:dyDescent="0.2">
      <c r="B2357" s="720"/>
      <c r="C2357"/>
      <c r="D2357"/>
      <c r="E2357"/>
    </row>
    <row r="2358" spans="2:5" x14ac:dyDescent="0.2">
      <c r="B2358" s="720"/>
      <c r="C2358"/>
      <c r="D2358"/>
      <c r="E2358"/>
    </row>
    <row r="2359" spans="2:5" x14ac:dyDescent="0.2">
      <c r="B2359" s="720"/>
      <c r="C2359"/>
      <c r="D2359"/>
      <c r="E2359"/>
    </row>
    <row r="2360" spans="2:5" x14ac:dyDescent="0.2">
      <c r="B2360" s="720"/>
      <c r="C2360"/>
      <c r="D2360"/>
      <c r="E2360"/>
    </row>
    <row r="2361" spans="2:5" x14ac:dyDescent="0.2">
      <c r="B2361" s="720"/>
      <c r="C2361"/>
      <c r="D2361"/>
      <c r="E2361"/>
    </row>
    <row r="2362" spans="2:5" x14ac:dyDescent="0.2">
      <c r="B2362" s="720"/>
      <c r="C2362"/>
      <c r="D2362"/>
      <c r="E2362"/>
    </row>
    <row r="2363" spans="2:5" x14ac:dyDescent="0.2">
      <c r="B2363" s="720"/>
      <c r="C2363"/>
      <c r="D2363"/>
      <c r="E2363"/>
    </row>
    <row r="2364" spans="2:5" x14ac:dyDescent="0.2">
      <c r="B2364" s="720"/>
      <c r="C2364"/>
      <c r="D2364"/>
      <c r="E2364"/>
    </row>
    <row r="2365" spans="2:5" x14ac:dyDescent="0.2">
      <c r="B2365" s="720"/>
      <c r="C2365"/>
      <c r="D2365"/>
      <c r="E2365"/>
    </row>
    <row r="2366" spans="2:5" x14ac:dyDescent="0.2">
      <c r="B2366" s="720"/>
      <c r="C2366"/>
      <c r="D2366"/>
      <c r="E2366"/>
    </row>
    <row r="2367" spans="2:5" x14ac:dyDescent="0.2">
      <c r="B2367" s="720"/>
      <c r="C2367"/>
      <c r="D2367"/>
      <c r="E2367"/>
    </row>
    <row r="2368" spans="2:5" x14ac:dyDescent="0.2">
      <c r="B2368" s="720"/>
      <c r="C2368"/>
      <c r="D2368"/>
      <c r="E2368"/>
    </row>
    <row r="2369" spans="2:5" x14ac:dyDescent="0.2">
      <c r="B2369" s="720"/>
      <c r="C2369"/>
      <c r="D2369"/>
      <c r="E2369"/>
    </row>
    <row r="2370" spans="2:5" x14ac:dyDescent="0.2">
      <c r="B2370" s="720"/>
      <c r="C2370"/>
      <c r="D2370"/>
      <c r="E2370"/>
    </row>
    <row r="2371" spans="2:5" x14ac:dyDescent="0.2">
      <c r="B2371" s="720"/>
      <c r="C2371"/>
      <c r="D2371"/>
      <c r="E2371"/>
    </row>
    <row r="2372" spans="2:5" x14ac:dyDescent="0.2">
      <c r="B2372" s="720"/>
      <c r="C2372"/>
      <c r="D2372"/>
      <c r="E2372"/>
    </row>
    <row r="2373" spans="2:5" x14ac:dyDescent="0.2">
      <c r="B2373" s="720"/>
      <c r="C2373"/>
      <c r="D2373"/>
      <c r="E2373"/>
    </row>
    <row r="2374" spans="2:5" x14ac:dyDescent="0.2">
      <c r="B2374" s="720"/>
      <c r="C2374"/>
      <c r="D2374"/>
      <c r="E2374"/>
    </row>
    <row r="2375" spans="2:5" x14ac:dyDescent="0.2">
      <c r="B2375" s="720"/>
      <c r="C2375"/>
      <c r="D2375"/>
      <c r="E2375"/>
    </row>
    <row r="2376" spans="2:5" x14ac:dyDescent="0.2">
      <c r="B2376" s="720"/>
      <c r="C2376"/>
      <c r="D2376"/>
      <c r="E2376"/>
    </row>
    <row r="2377" spans="2:5" x14ac:dyDescent="0.2">
      <c r="B2377" s="720"/>
      <c r="C2377"/>
      <c r="D2377"/>
      <c r="E2377"/>
    </row>
    <row r="2378" spans="2:5" x14ac:dyDescent="0.2">
      <c r="B2378" s="720"/>
      <c r="C2378"/>
      <c r="D2378"/>
      <c r="E2378"/>
    </row>
    <row r="2379" spans="2:5" x14ac:dyDescent="0.2">
      <c r="B2379" s="720"/>
      <c r="C2379"/>
      <c r="D2379"/>
      <c r="E2379"/>
    </row>
    <row r="2380" spans="2:5" x14ac:dyDescent="0.2">
      <c r="B2380" s="720"/>
      <c r="C2380"/>
      <c r="D2380"/>
      <c r="E2380"/>
    </row>
    <row r="2381" spans="2:5" x14ac:dyDescent="0.2">
      <c r="B2381" s="720"/>
      <c r="C2381"/>
      <c r="D2381"/>
      <c r="E2381"/>
    </row>
    <row r="2382" spans="2:5" x14ac:dyDescent="0.2">
      <c r="B2382" s="720"/>
      <c r="C2382"/>
      <c r="D2382"/>
      <c r="E2382"/>
    </row>
    <row r="2383" spans="2:5" x14ac:dyDescent="0.2">
      <c r="B2383" s="720"/>
      <c r="C2383"/>
      <c r="D2383"/>
      <c r="E2383"/>
    </row>
    <row r="2384" spans="2:5" x14ac:dyDescent="0.2">
      <c r="B2384" s="720"/>
      <c r="C2384"/>
      <c r="D2384"/>
      <c r="E2384"/>
    </row>
    <row r="2385" spans="2:5" x14ac:dyDescent="0.2">
      <c r="B2385" s="720"/>
      <c r="C2385"/>
      <c r="D2385"/>
      <c r="E2385"/>
    </row>
    <row r="2386" spans="2:5" x14ac:dyDescent="0.2">
      <c r="B2386" s="720"/>
      <c r="C2386"/>
      <c r="D2386"/>
      <c r="E2386"/>
    </row>
    <row r="2387" spans="2:5" x14ac:dyDescent="0.2">
      <c r="B2387" s="720"/>
      <c r="C2387"/>
      <c r="D2387"/>
      <c r="E2387"/>
    </row>
    <row r="2388" spans="2:5" x14ac:dyDescent="0.2">
      <c r="B2388" s="720"/>
      <c r="C2388"/>
      <c r="D2388"/>
      <c r="E2388"/>
    </row>
    <row r="2389" spans="2:5" x14ac:dyDescent="0.2">
      <c r="B2389" s="720"/>
      <c r="C2389"/>
      <c r="D2389"/>
      <c r="E2389"/>
    </row>
    <row r="2390" spans="2:5" x14ac:dyDescent="0.2">
      <c r="B2390" s="720"/>
      <c r="C2390"/>
      <c r="D2390"/>
      <c r="E2390"/>
    </row>
    <row r="2391" spans="2:5" x14ac:dyDescent="0.2">
      <c r="B2391" s="720"/>
      <c r="C2391"/>
      <c r="D2391"/>
      <c r="E2391"/>
    </row>
    <row r="2392" spans="2:5" x14ac:dyDescent="0.2">
      <c r="B2392" s="720"/>
      <c r="C2392"/>
      <c r="D2392"/>
      <c r="E2392"/>
    </row>
    <row r="2393" spans="2:5" x14ac:dyDescent="0.2">
      <c r="B2393" s="720"/>
      <c r="C2393"/>
      <c r="D2393"/>
      <c r="E2393"/>
    </row>
    <row r="2394" spans="2:5" x14ac:dyDescent="0.2">
      <c r="B2394" s="720"/>
      <c r="C2394"/>
      <c r="D2394"/>
      <c r="E2394"/>
    </row>
    <row r="2395" spans="2:5" x14ac:dyDescent="0.2">
      <c r="B2395" s="720"/>
      <c r="C2395"/>
      <c r="D2395"/>
      <c r="E2395"/>
    </row>
    <row r="2396" spans="2:5" x14ac:dyDescent="0.2">
      <c r="B2396" s="720"/>
      <c r="C2396"/>
      <c r="D2396"/>
      <c r="E2396"/>
    </row>
    <row r="2397" spans="2:5" x14ac:dyDescent="0.2">
      <c r="B2397" s="720"/>
      <c r="C2397"/>
      <c r="D2397"/>
      <c r="E2397"/>
    </row>
    <row r="2398" spans="2:5" x14ac:dyDescent="0.2">
      <c r="B2398" s="720"/>
      <c r="C2398"/>
      <c r="D2398"/>
      <c r="E2398"/>
    </row>
    <row r="2399" spans="2:5" x14ac:dyDescent="0.2">
      <c r="B2399" s="720"/>
      <c r="C2399"/>
      <c r="D2399"/>
      <c r="E2399"/>
    </row>
    <row r="2400" spans="2:5" x14ac:dyDescent="0.2">
      <c r="B2400" s="720"/>
      <c r="C2400"/>
      <c r="D2400"/>
      <c r="E2400"/>
    </row>
    <row r="2401" spans="2:5" x14ac:dyDescent="0.2">
      <c r="B2401" s="720"/>
      <c r="C2401"/>
      <c r="D2401"/>
      <c r="E2401"/>
    </row>
    <row r="2402" spans="2:5" x14ac:dyDescent="0.2">
      <c r="B2402" s="720"/>
      <c r="C2402"/>
      <c r="D2402"/>
      <c r="E2402"/>
    </row>
    <row r="2403" spans="2:5" x14ac:dyDescent="0.2">
      <c r="B2403" s="720"/>
      <c r="C2403"/>
      <c r="D2403"/>
      <c r="E2403"/>
    </row>
    <row r="2404" spans="2:5" x14ac:dyDescent="0.2">
      <c r="B2404" s="720"/>
      <c r="C2404"/>
      <c r="D2404"/>
      <c r="E2404"/>
    </row>
    <row r="2405" spans="2:5" x14ac:dyDescent="0.2">
      <c r="B2405" s="720"/>
      <c r="C2405"/>
      <c r="D2405"/>
      <c r="E2405"/>
    </row>
    <row r="2406" spans="2:5" x14ac:dyDescent="0.2">
      <c r="B2406" s="720"/>
      <c r="C2406"/>
      <c r="D2406"/>
      <c r="E2406"/>
    </row>
    <row r="2407" spans="2:5" x14ac:dyDescent="0.2">
      <c r="B2407" s="720"/>
      <c r="C2407"/>
      <c r="D2407"/>
      <c r="E2407"/>
    </row>
    <row r="2408" spans="2:5" x14ac:dyDescent="0.2">
      <c r="B2408" s="720"/>
      <c r="C2408"/>
      <c r="D2408"/>
      <c r="E2408"/>
    </row>
    <row r="2409" spans="2:5" x14ac:dyDescent="0.2">
      <c r="B2409" s="720"/>
      <c r="C2409"/>
      <c r="D2409"/>
      <c r="E2409"/>
    </row>
    <row r="2410" spans="2:5" x14ac:dyDescent="0.2">
      <c r="B2410" s="720"/>
      <c r="C2410"/>
      <c r="D2410"/>
      <c r="E2410"/>
    </row>
    <row r="2411" spans="2:5" x14ac:dyDescent="0.2">
      <c r="B2411" s="720"/>
      <c r="C2411"/>
      <c r="D2411"/>
      <c r="E2411"/>
    </row>
    <row r="2412" spans="2:5" x14ac:dyDescent="0.2">
      <c r="B2412" s="720"/>
      <c r="C2412"/>
      <c r="D2412"/>
      <c r="E2412"/>
    </row>
    <row r="2413" spans="2:5" x14ac:dyDescent="0.2">
      <c r="B2413" s="720"/>
      <c r="C2413"/>
      <c r="D2413"/>
      <c r="E2413"/>
    </row>
    <row r="2414" spans="2:5" x14ac:dyDescent="0.2">
      <c r="B2414" s="720"/>
      <c r="C2414"/>
      <c r="D2414"/>
      <c r="E2414"/>
    </row>
    <row r="2415" spans="2:5" x14ac:dyDescent="0.2">
      <c r="B2415" s="720"/>
      <c r="C2415"/>
      <c r="D2415"/>
      <c r="E2415"/>
    </row>
    <row r="2416" spans="2:5" x14ac:dyDescent="0.2">
      <c r="B2416" s="720"/>
      <c r="C2416"/>
      <c r="D2416"/>
      <c r="E2416"/>
    </row>
    <row r="2417" spans="2:5" x14ac:dyDescent="0.2">
      <c r="B2417" s="720"/>
      <c r="C2417"/>
      <c r="D2417"/>
      <c r="E2417"/>
    </row>
    <row r="2418" spans="2:5" x14ac:dyDescent="0.2">
      <c r="B2418" s="720"/>
      <c r="C2418"/>
      <c r="D2418"/>
      <c r="E2418"/>
    </row>
    <row r="2419" spans="2:5" x14ac:dyDescent="0.2">
      <c r="B2419" s="720"/>
      <c r="C2419"/>
      <c r="D2419"/>
      <c r="E2419"/>
    </row>
    <row r="2420" spans="2:5" x14ac:dyDescent="0.2">
      <c r="B2420" s="720"/>
      <c r="C2420"/>
      <c r="D2420"/>
      <c r="E2420"/>
    </row>
    <row r="2421" spans="2:5" x14ac:dyDescent="0.2">
      <c r="B2421" s="720"/>
      <c r="C2421"/>
      <c r="D2421"/>
      <c r="E2421"/>
    </row>
    <row r="2422" spans="2:5" x14ac:dyDescent="0.2">
      <c r="B2422" s="720"/>
      <c r="C2422"/>
      <c r="D2422"/>
      <c r="E2422"/>
    </row>
    <row r="2423" spans="2:5" x14ac:dyDescent="0.2">
      <c r="B2423" s="720"/>
      <c r="C2423"/>
      <c r="D2423"/>
      <c r="E2423"/>
    </row>
    <row r="2424" spans="2:5" x14ac:dyDescent="0.2">
      <c r="B2424" s="720"/>
      <c r="C2424"/>
      <c r="D2424"/>
      <c r="E2424"/>
    </row>
    <row r="2425" spans="2:5" x14ac:dyDescent="0.2">
      <c r="B2425" s="720"/>
      <c r="C2425"/>
      <c r="D2425"/>
      <c r="E2425"/>
    </row>
    <row r="2426" spans="2:5" x14ac:dyDescent="0.2">
      <c r="B2426" s="720"/>
      <c r="C2426"/>
      <c r="D2426"/>
      <c r="E2426"/>
    </row>
    <row r="2427" spans="2:5" x14ac:dyDescent="0.2">
      <c r="B2427" s="720"/>
      <c r="C2427"/>
      <c r="D2427"/>
      <c r="E2427"/>
    </row>
    <row r="2428" spans="2:5" x14ac:dyDescent="0.2">
      <c r="B2428" s="720"/>
      <c r="C2428"/>
      <c r="D2428"/>
      <c r="E2428"/>
    </row>
    <row r="2429" spans="2:5" x14ac:dyDescent="0.2">
      <c r="B2429" s="720"/>
      <c r="C2429"/>
      <c r="D2429"/>
      <c r="E2429"/>
    </row>
    <row r="2430" spans="2:5" x14ac:dyDescent="0.2">
      <c r="B2430" s="720"/>
      <c r="C2430"/>
      <c r="D2430"/>
      <c r="E2430"/>
    </row>
    <row r="2431" spans="2:5" x14ac:dyDescent="0.2">
      <c r="B2431" s="720"/>
      <c r="C2431"/>
      <c r="D2431"/>
      <c r="E2431"/>
    </row>
    <row r="2432" spans="2:5" x14ac:dyDescent="0.2">
      <c r="B2432" s="720"/>
      <c r="C2432"/>
      <c r="D2432"/>
      <c r="E2432"/>
    </row>
    <row r="2433" spans="2:5" x14ac:dyDescent="0.2">
      <c r="B2433" s="720"/>
      <c r="C2433"/>
      <c r="D2433"/>
      <c r="E2433"/>
    </row>
    <row r="2434" spans="2:5" x14ac:dyDescent="0.2">
      <c r="B2434" s="720"/>
      <c r="C2434"/>
      <c r="D2434"/>
      <c r="E2434"/>
    </row>
    <row r="2435" spans="2:5" x14ac:dyDescent="0.2">
      <c r="B2435" s="720"/>
      <c r="C2435"/>
      <c r="D2435"/>
      <c r="E2435"/>
    </row>
    <row r="2436" spans="2:5" x14ac:dyDescent="0.2">
      <c r="B2436" s="720"/>
      <c r="C2436"/>
      <c r="D2436"/>
      <c r="E2436"/>
    </row>
    <row r="2437" spans="2:5" x14ac:dyDescent="0.2">
      <c r="B2437" s="720"/>
      <c r="C2437"/>
      <c r="D2437"/>
      <c r="E2437"/>
    </row>
    <row r="2438" spans="2:5" x14ac:dyDescent="0.2">
      <c r="B2438" s="720"/>
      <c r="C2438"/>
      <c r="D2438"/>
      <c r="E2438"/>
    </row>
    <row r="2439" spans="2:5" x14ac:dyDescent="0.2">
      <c r="B2439" s="720"/>
      <c r="C2439"/>
      <c r="D2439"/>
      <c r="E2439"/>
    </row>
    <row r="2440" spans="2:5" x14ac:dyDescent="0.2">
      <c r="B2440" s="720"/>
      <c r="C2440"/>
      <c r="D2440"/>
      <c r="E2440"/>
    </row>
    <row r="2441" spans="2:5" x14ac:dyDescent="0.2">
      <c r="B2441" s="720"/>
      <c r="C2441"/>
      <c r="D2441"/>
      <c r="E2441"/>
    </row>
    <row r="2442" spans="2:5" x14ac:dyDescent="0.2">
      <c r="B2442" s="720"/>
      <c r="C2442"/>
      <c r="D2442"/>
      <c r="E2442"/>
    </row>
    <row r="2443" spans="2:5" x14ac:dyDescent="0.2">
      <c r="B2443" s="720"/>
      <c r="C2443"/>
      <c r="D2443"/>
      <c r="E2443"/>
    </row>
    <row r="2444" spans="2:5" x14ac:dyDescent="0.2">
      <c r="B2444" s="720"/>
      <c r="C2444"/>
      <c r="D2444"/>
      <c r="E2444"/>
    </row>
    <row r="2445" spans="2:5" x14ac:dyDescent="0.2">
      <c r="B2445" s="720"/>
      <c r="C2445"/>
      <c r="D2445"/>
      <c r="E2445"/>
    </row>
    <row r="2446" spans="2:5" x14ac:dyDescent="0.2">
      <c r="B2446" s="720"/>
      <c r="C2446"/>
      <c r="D2446"/>
      <c r="E2446"/>
    </row>
    <row r="2447" spans="2:5" x14ac:dyDescent="0.2">
      <c r="B2447" s="720"/>
      <c r="C2447"/>
      <c r="D2447"/>
      <c r="E2447"/>
    </row>
    <row r="2448" spans="2:5" x14ac:dyDescent="0.2">
      <c r="B2448" s="720"/>
      <c r="C2448"/>
      <c r="D2448"/>
      <c r="E2448"/>
    </row>
    <row r="2449" spans="2:5" x14ac:dyDescent="0.2">
      <c r="B2449" s="720"/>
      <c r="C2449"/>
      <c r="D2449"/>
      <c r="E2449"/>
    </row>
    <row r="2450" spans="2:5" x14ac:dyDescent="0.2">
      <c r="B2450" s="720"/>
      <c r="C2450"/>
      <c r="D2450"/>
      <c r="E2450"/>
    </row>
    <row r="2451" spans="2:5" x14ac:dyDescent="0.2">
      <c r="B2451" s="720"/>
      <c r="C2451"/>
      <c r="D2451"/>
      <c r="E2451"/>
    </row>
    <row r="2452" spans="2:5" x14ac:dyDescent="0.2">
      <c r="B2452" s="720"/>
      <c r="C2452"/>
      <c r="D2452"/>
      <c r="E2452"/>
    </row>
    <row r="2453" spans="2:5" x14ac:dyDescent="0.2">
      <c r="B2453" s="720"/>
      <c r="C2453"/>
      <c r="D2453"/>
      <c r="E2453"/>
    </row>
    <row r="2454" spans="2:5" x14ac:dyDescent="0.2">
      <c r="B2454" s="720"/>
      <c r="C2454"/>
      <c r="D2454"/>
      <c r="E2454"/>
    </row>
    <row r="2455" spans="2:5" x14ac:dyDescent="0.2">
      <c r="B2455" s="720"/>
      <c r="C2455"/>
      <c r="D2455"/>
      <c r="E2455"/>
    </row>
    <row r="2456" spans="2:5" x14ac:dyDescent="0.2">
      <c r="B2456" s="720"/>
      <c r="C2456"/>
      <c r="D2456"/>
      <c r="E2456"/>
    </row>
    <row r="2457" spans="2:5" x14ac:dyDescent="0.2">
      <c r="B2457" s="720"/>
      <c r="C2457"/>
      <c r="D2457"/>
      <c r="E2457"/>
    </row>
    <row r="2458" spans="2:5" x14ac:dyDescent="0.2">
      <c r="B2458" s="720"/>
      <c r="C2458"/>
      <c r="D2458"/>
      <c r="E2458"/>
    </row>
    <row r="2459" spans="2:5" x14ac:dyDescent="0.2">
      <c r="B2459" s="720"/>
      <c r="C2459"/>
      <c r="D2459"/>
      <c r="E2459"/>
    </row>
    <row r="2460" spans="2:5" x14ac:dyDescent="0.2">
      <c r="B2460" s="720"/>
      <c r="C2460"/>
      <c r="D2460"/>
      <c r="E2460"/>
    </row>
    <row r="2461" spans="2:5" x14ac:dyDescent="0.2">
      <c r="B2461" s="720"/>
      <c r="C2461"/>
      <c r="D2461"/>
      <c r="E2461"/>
    </row>
    <row r="2462" spans="2:5" x14ac:dyDescent="0.2">
      <c r="B2462" s="720"/>
      <c r="C2462"/>
      <c r="D2462"/>
      <c r="E2462"/>
    </row>
    <row r="2463" spans="2:5" x14ac:dyDescent="0.2">
      <c r="B2463" s="720"/>
      <c r="C2463"/>
      <c r="D2463"/>
      <c r="E2463"/>
    </row>
    <row r="2464" spans="2:5" x14ac:dyDescent="0.2">
      <c r="B2464" s="720"/>
      <c r="C2464"/>
      <c r="D2464"/>
      <c r="E2464"/>
    </row>
    <row r="2465" spans="2:5" x14ac:dyDescent="0.2">
      <c r="B2465" s="720"/>
      <c r="C2465"/>
      <c r="D2465"/>
      <c r="E2465"/>
    </row>
    <row r="2466" spans="2:5" x14ac:dyDescent="0.2">
      <c r="B2466" s="720"/>
      <c r="C2466"/>
      <c r="D2466"/>
      <c r="E2466"/>
    </row>
    <row r="2467" spans="2:5" x14ac:dyDescent="0.2">
      <c r="B2467" s="720"/>
      <c r="C2467"/>
      <c r="D2467"/>
      <c r="E2467"/>
    </row>
    <row r="2468" spans="2:5" x14ac:dyDescent="0.2">
      <c r="B2468" s="720"/>
      <c r="C2468"/>
      <c r="D2468"/>
      <c r="E2468"/>
    </row>
    <row r="2469" spans="2:5" x14ac:dyDescent="0.2">
      <c r="B2469" s="720"/>
      <c r="C2469"/>
      <c r="D2469"/>
      <c r="E2469"/>
    </row>
    <row r="2470" spans="2:5" x14ac:dyDescent="0.2">
      <c r="B2470" s="720"/>
      <c r="C2470"/>
      <c r="D2470"/>
      <c r="E2470"/>
    </row>
    <row r="2471" spans="2:5" x14ac:dyDescent="0.2">
      <c r="B2471" s="720"/>
      <c r="C2471"/>
      <c r="D2471"/>
      <c r="E2471"/>
    </row>
    <row r="2472" spans="2:5" x14ac:dyDescent="0.2">
      <c r="B2472" s="720"/>
      <c r="C2472"/>
      <c r="D2472"/>
      <c r="E2472"/>
    </row>
    <row r="2473" spans="2:5" x14ac:dyDescent="0.2">
      <c r="B2473" s="720"/>
      <c r="C2473"/>
      <c r="D2473"/>
      <c r="E2473"/>
    </row>
    <row r="2474" spans="2:5" x14ac:dyDescent="0.2">
      <c r="B2474" s="720"/>
      <c r="C2474"/>
      <c r="D2474"/>
      <c r="E2474"/>
    </row>
    <row r="2475" spans="2:5" x14ac:dyDescent="0.2">
      <c r="B2475" s="720"/>
      <c r="C2475"/>
      <c r="D2475"/>
      <c r="E2475"/>
    </row>
    <row r="2476" spans="2:5" x14ac:dyDescent="0.2">
      <c r="B2476" s="720"/>
      <c r="C2476"/>
      <c r="D2476"/>
      <c r="E2476"/>
    </row>
    <row r="2477" spans="2:5" x14ac:dyDescent="0.2">
      <c r="B2477" s="720"/>
      <c r="C2477"/>
      <c r="D2477"/>
      <c r="E2477"/>
    </row>
    <row r="2478" spans="2:5" x14ac:dyDescent="0.2">
      <c r="B2478" s="720"/>
      <c r="C2478"/>
      <c r="D2478"/>
      <c r="E2478"/>
    </row>
    <row r="2479" spans="2:5" x14ac:dyDescent="0.2">
      <c r="B2479" s="720"/>
      <c r="C2479"/>
      <c r="D2479"/>
      <c r="E2479"/>
    </row>
    <row r="2480" spans="2:5" x14ac:dyDescent="0.2">
      <c r="B2480" s="720"/>
      <c r="C2480"/>
      <c r="D2480"/>
      <c r="E2480"/>
    </row>
    <row r="2481" spans="2:5" x14ac:dyDescent="0.2">
      <c r="B2481" s="720"/>
      <c r="C2481"/>
      <c r="D2481"/>
      <c r="E2481"/>
    </row>
    <row r="2482" spans="2:5" x14ac:dyDescent="0.2">
      <c r="B2482" s="720"/>
      <c r="C2482"/>
      <c r="D2482"/>
      <c r="E2482"/>
    </row>
    <row r="2483" spans="2:5" x14ac:dyDescent="0.2">
      <c r="B2483" s="720"/>
      <c r="C2483"/>
      <c r="D2483"/>
      <c r="E2483"/>
    </row>
    <row r="2484" spans="2:5" x14ac:dyDescent="0.2">
      <c r="B2484" s="720"/>
      <c r="C2484"/>
      <c r="D2484"/>
      <c r="E2484"/>
    </row>
    <row r="2485" spans="2:5" x14ac:dyDescent="0.2">
      <c r="B2485" s="720"/>
      <c r="C2485"/>
      <c r="D2485"/>
      <c r="E2485"/>
    </row>
    <row r="2486" spans="2:5" x14ac:dyDescent="0.2">
      <c r="B2486" s="720"/>
      <c r="C2486"/>
      <c r="D2486"/>
      <c r="E2486"/>
    </row>
    <row r="2487" spans="2:5" x14ac:dyDescent="0.2">
      <c r="B2487" s="720"/>
      <c r="C2487"/>
      <c r="D2487"/>
      <c r="E2487"/>
    </row>
    <row r="2488" spans="2:5" x14ac:dyDescent="0.2">
      <c r="B2488" s="720"/>
      <c r="C2488"/>
      <c r="D2488"/>
      <c r="E2488"/>
    </row>
    <row r="2489" spans="2:5" x14ac:dyDescent="0.2">
      <c r="B2489" s="720"/>
      <c r="C2489"/>
      <c r="D2489"/>
      <c r="E2489"/>
    </row>
    <row r="2490" spans="2:5" x14ac:dyDescent="0.2">
      <c r="B2490" s="720"/>
      <c r="C2490"/>
      <c r="D2490"/>
      <c r="E2490"/>
    </row>
    <row r="2491" spans="2:5" x14ac:dyDescent="0.2">
      <c r="B2491" s="720"/>
      <c r="C2491"/>
      <c r="D2491"/>
      <c r="E2491"/>
    </row>
    <row r="2492" spans="2:5" x14ac:dyDescent="0.2">
      <c r="B2492" s="720"/>
      <c r="C2492"/>
      <c r="D2492"/>
      <c r="E2492"/>
    </row>
    <row r="2493" spans="2:5" x14ac:dyDescent="0.2">
      <c r="B2493" s="720"/>
      <c r="C2493"/>
      <c r="D2493"/>
      <c r="E2493"/>
    </row>
    <row r="2494" spans="2:5" x14ac:dyDescent="0.2">
      <c r="B2494" s="720"/>
      <c r="C2494"/>
      <c r="D2494"/>
      <c r="E2494"/>
    </row>
    <row r="2495" spans="2:5" x14ac:dyDescent="0.2">
      <c r="B2495" s="720"/>
      <c r="C2495"/>
      <c r="D2495"/>
      <c r="E2495"/>
    </row>
    <row r="2496" spans="2:5" x14ac:dyDescent="0.2">
      <c r="B2496" s="720"/>
      <c r="C2496"/>
      <c r="D2496"/>
      <c r="E2496"/>
    </row>
    <row r="2497" spans="2:5" x14ac:dyDescent="0.2">
      <c r="B2497" s="720"/>
      <c r="C2497"/>
      <c r="D2497"/>
      <c r="E2497"/>
    </row>
    <row r="2498" spans="2:5" x14ac:dyDescent="0.2">
      <c r="B2498" s="720"/>
      <c r="C2498"/>
      <c r="D2498"/>
      <c r="E2498"/>
    </row>
    <row r="2499" spans="2:5" x14ac:dyDescent="0.2">
      <c r="B2499" s="720"/>
      <c r="C2499"/>
      <c r="D2499"/>
      <c r="E2499"/>
    </row>
    <row r="2500" spans="2:5" x14ac:dyDescent="0.2">
      <c r="B2500" s="720"/>
      <c r="C2500"/>
      <c r="D2500"/>
      <c r="E2500"/>
    </row>
    <row r="2501" spans="2:5" x14ac:dyDescent="0.2">
      <c r="B2501" s="720"/>
      <c r="C2501"/>
      <c r="D2501"/>
      <c r="E2501"/>
    </row>
    <row r="2502" spans="2:5" x14ac:dyDescent="0.2">
      <c r="B2502" s="720"/>
      <c r="C2502"/>
      <c r="D2502"/>
      <c r="E2502"/>
    </row>
    <row r="2503" spans="2:5" x14ac:dyDescent="0.2">
      <c r="B2503" s="720"/>
      <c r="C2503"/>
      <c r="D2503"/>
      <c r="E2503"/>
    </row>
    <row r="2504" spans="2:5" x14ac:dyDescent="0.2">
      <c r="B2504" s="720"/>
      <c r="C2504"/>
      <c r="D2504"/>
      <c r="E2504"/>
    </row>
    <row r="2505" spans="2:5" x14ac:dyDescent="0.2">
      <c r="B2505" s="720"/>
      <c r="C2505"/>
      <c r="D2505"/>
      <c r="E2505"/>
    </row>
    <row r="2506" spans="2:5" x14ac:dyDescent="0.2">
      <c r="B2506" s="720"/>
      <c r="C2506"/>
      <c r="D2506"/>
      <c r="E2506"/>
    </row>
    <row r="2507" spans="2:5" x14ac:dyDescent="0.2">
      <c r="B2507" s="720"/>
      <c r="C2507"/>
      <c r="D2507"/>
      <c r="E2507"/>
    </row>
    <row r="2508" spans="2:5" x14ac:dyDescent="0.2">
      <c r="B2508" s="720"/>
      <c r="C2508"/>
      <c r="D2508"/>
      <c r="E2508"/>
    </row>
    <row r="2509" spans="2:5" x14ac:dyDescent="0.2">
      <c r="B2509" s="720"/>
      <c r="C2509"/>
      <c r="D2509"/>
      <c r="E2509"/>
    </row>
    <row r="2510" spans="2:5" x14ac:dyDescent="0.2">
      <c r="B2510" s="720"/>
      <c r="C2510"/>
      <c r="D2510"/>
      <c r="E2510"/>
    </row>
    <row r="2511" spans="2:5" x14ac:dyDescent="0.2">
      <c r="B2511" s="720"/>
      <c r="C2511"/>
      <c r="D2511"/>
      <c r="E2511"/>
    </row>
    <row r="2512" spans="2:5" x14ac:dyDescent="0.2">
      <c r="B2512" s="720"/>
      <c r="C2512"/>
      <c r="D2512"/>
      <c r="E2512"/>
    </row>
    <row r="2513" spans="2:5" x14ac:dyDescent="0.2">
      <c r="B2513" s="720"/>
      <c r="C2513"/>
      <c r="D2513"/>
      <c r="E2513"/>
    </row>
    <row r="2514" spans="2:5" x14ac:dyDescent="0.2">
      <c r="B2514" s="720"/>
      <c r="C2514"/>
      <c r="D2514"/>
      <c r="E2514"/>
    </row>
    <row r="2515" spans="2:5" x14ac:dyDescent="0.2">
      <c r="B2515" s="720"/>
      <c r="C2515"/>
      <c r="D2515"/>
      <c r="E2515"/>
    </row>
    <row r="2516" spans="2:5" x14ac:dyDescent="0.2">
      <c r="B2516" s="720"/>
      <c r="C2516"/>
      <c r="D2516"/>
      <c r="E2516"/>
    </row>
    <row r="2517" spans="2:5" x14ac:dyDescent="0.2">
      <c r="B2517" s="720"/>
      <c r="C2517"/>
      <c r="D2517"/>
      <c r="E2517"/>
    </row>
    <row r="2518" spans="2:5" x14ac:dyDescent="0.2">
      <c r="B2518" s="720"/>
      <c r="C2518"/>
      <c r="D2518"/>
      <c r="E2518"/>
    </row>
    <row r="2519" spans="2:5" x14ac:dyDescent="0.2">
      <c r="B2519" s="720"/>
      <c r="C2519"/>
      <c r="D2519"/>
      <c r="E2519"/>
    </row>
    <row r="2520" spans="2:5" x14ac:dyDescent="0.2">
      <c r="B2520" s="720"/>
      <c r="C2520"/>
      <c r="D2520"/>
      <c r="E2520"/>
    </row>
    <row r="2521" spans="2:5" x14ac:dyDescent="0.2">
      <c r="B2521" s="720"/>
      <c r="C2521"/>
      <c r="D2521"/>
      <c r="E2521"/>
    </row>
    <row r="2522" spans="2:5" x14ac:dyDescent="0.2">
      <c r="B2522" s="720"/>
      <c r="C2522"/>
      <c r="D2522"/>
      <c r="E2522"/>
    </row>
    <row r="2523" spans="2:5" x14ac:dyDescent="0.2">
      <c r="B2523" s="720"/>
      <c r="C2523"/>
      <c r="D2523"/>
      <c r="E2523"/>
    </row>
    <row r="2524" spans="2:5" x14ac:dyDescent="0.2">
      <c r="B2524" s="720"/>
      <c r="C2524"/>
      <c r="D2524"/>
      <c r="E2524"/>
    </row>
    <row r="2525" spans="2:5" x14ac:dyDescent="0.2">
      <c r="B2525" s="720"/>
      <c r="C2525"/>
      <c r="D2525"/>
      <c r="E2525"/>
    </row>
    <row r="2526" spans="2:5" x14ac:dyDescent="0.2">
      <c r="B2526" s="720"/>
      <c r="C2526"/>
      <c r="D2526"/>
      <c r="E2526"/>
    </row>
    <row r="2527" spans="2:5" x14ac:dyDescent="0.2">
      <c r="B2527" s="720"/>
      <c r="C2527"/>
      <c r="D2527"/>
      <c r="E2527"/>
    </row>
    <row r="2528" spans="2:5" x14ac:dyDescent="0.2">
      <c r="B2528" s="720"/>
      <c r="C2528"/>
      <c r="D2528"/>
      <c r="E2528"/>
    </row>
    <row r="2529" spans="2:5" x14ac:dyDescent="0.2">
      <c r="B2529" s="720"/>
      <c r="C2529"/>
      <c r="D2529"/>
      <c r="E2529"/>
    </row>
    <row r="2530" spans="2:5" x14ac:dyDescent="0.2">
      <c r="B2530" s="720"/>
      <c r="C2530"/>
      <c r="D2530"/>
      <c r="E2530"/>
    </row>
    <row r="2531" spans="2:5" x14ac:dyDescent="0.2">
      <c r="B2531" s="720"/>
      <c r="C2531"/>
      <c r="D2531"/>
      <c r="E2531"/>
    </row>
    <row r="2532" spans="2:5" x14ac:dyDescent="0.2">
      <c r="B2532" s="720"/>
      <c r="C2532"/>
      <c r="D2532"/>
      <c r="E2532"/>
    </row>
    <row r="2533" spans="2:5" x14ac:dyDescent="0.2">
      <c r="B2533" s="720"/>
      <c r="C2533"/>
      <c r="D2533"/>
      <c r="E2533"/>
    </row>
    <row r="2534" spans="2:5" x14ac:dyDescent="0.2">
      <c r="B2534" s="720"/>
      <c r="C2534"/>
      <c r="D2534"/>
      <c r="E2534"/>
    </row>
    <row r="2535" spans="2:5" x14ac:dyDescent="0.2">
      <c r="B2535" s="720"/>
      <c r="C2535"/>
      <c r="D2535"/>
      <c r="E2535"/>
    </row>
    <row r="2536" spans="2:5" x14ac:dyDescent="0.2">
      <c r="B2536" s="720"/>
      <c r="C2536"/>
      <c r="D2536"/>
      <c r="E2536"/>
    </row>
    <row r="2537" spans="2:5" x14ac:dyDescent="0.2">
      <c r="B2537" s="720"/>
      <c r="C2537"/>
      <c r="D2537"/>
      <c r="E2537"/>
    </row>
    <row r="2538" spans="2:5" x14ac:dyDescent="0.2">
      <c r="B2538" s="720"/>
      <c r="C2538"/>
      <c r="D2538"/>
      <c r="E2538"/>
    </row>
    <row r="2539" spans="2:5" x14ac:dyDescent="0.2">
      <c r="B2539" s="720"/>
      <c r="C2539"/>
      <c r="D2539"/>
      <c r="E2539"/>
    </row>
    <row r="2540" spans="2:5" x14ac:dyDescent="0.2">
      <c r="B2540" s="720"/>
      <c r="C2540"/>
      <c r="D2540"/>
      <c r="E2540"/>
    </row>
    <row r="2541" spans="2:5" x14ac:dyDescent="0.2">
      <c r="B2541" s="720"/>
      <c r="C2541"/>
      <c r="D2541"/>
      <c r="E2541"/>
    </row>
    <row r="2542" spans="2:5" x14ac:dyDescent="0.2">
      <c r="B2542" s="720"/>
      <c r="C2542"/>
      <c r="D2542"/>
      <c r="E2542"/>
    </row>
    <row r="2543" spans="2:5" x14ac:dyDescent="0.2">
      <c r="B2543" s="720"/>
      <c r="C2543"/>
      <c r="D2543"/>
      <c r="E2543"/>
    </row>
    <row r="2544" spans="2:5" x14ac:dyDescent="0.2">
      <c r="B2544" s="720"/>
      <c r="C2544"/>
      <c r="D2544"/>
      <c r="E2544"/>
    </row>
    <row r="2545" spans="2:5" x14ac:dyDescent="0.2">
      <c r="B2545" s="720"/>
      <c r="C2545"/>
      <c r="D2545"/>
      <c r="E2545"/>
    </row>
    <row r="2546" spans="2:5" x14ac:dyDescent="0.2">
      <c r="B2546" s="720"/>
      <c r="C2546"/>
      <c r="D2546"/>
      <c r="E2546"/>
    </row>
    <row r="2547" spans="2:5" x14ac:dyDescent="0.2">
      <c r="B2547" s="720"/>
      <c r="C2547"/>
      <c r="D2547"/>
      <c r="E2547"/>
    </row>
    <row r="2548" spans="2:5" x14ac:dyDescent="0.2">
      <c r="B2548" s="720"/>
      <c r="C2548"/>
      <c r="D2548"/>
      <c r="E2548"/>
    </row>
    <row r="2549" spans="2:5" x14ac:dyDescent="0.2">
      <c r="B2549" s="720"/>
      <c r="C2549"/>
      <c r="D2549"/>
      <c r="E2549"/>
    </row>
    <row r="2550" spans="2:5" x14ac:dyDescent="0.2">
      <c r="B2550" s="720"/>
      <c r="C2550"/>
      <c r="D2550"/>
      <c r="E2550"/>
    </row>
    <row r="2551" spans="2:5" x14ac:dyDescent="0.2">
      <c r="B2551" s="720"/>
      <c r="C2551"/>
      <c r="D2551"/>
      <c r="E2551"/>
    </row>
    <row r="2552" spans="2:5" x14ac:dyDescent="0.2">
      <c r="B2552" s="720"/>
      <c r="C2552"/>
      <c r="D2552"/>
      <c r="E2552"/>
    </row>
    <row r="2553" spans="2:5" x14ac:dyDescent="0.2">
      <c r="B2553" s="720"/>
      <c r="C2553"/>
      <c r="D2553"/>
      <c r="E2553"/>
    </row>
    <row r="2554" spans="2:5" x14ac:dyDescent="0.2">
      <c r="B2554" s="720"/>
      <c r="C2554"/>
      <c r="D2554"/>
      <c r="E2554"/>
    </row>
    <row r="2555" spans="2:5" x14ac:dyDescent="0.2">
      <c r="B2555" s="720"/>
      <c r="C2555"/>
      <c r="D2555"/>
      <c r="E2555"/>
    </row>
    <row r="2556" spans="2:5" x14ac:dyDescent="0.2">
      <c r="B2556" s="720"/>
      <c r="C2556"/>
      <c r="D2556"/>
      <c r="E2556"/>
    </row>
    <row r="2557" spans="2:5" x14ac:dyDescent="0.2">
      <c r="B2557" s="720"/>
      <c r="C2557"/>
      <c r="D2557"/>
      <c r="E2557"/>
    </row>
    <row r="2558" spans="2:5" x14ac:dyDescent="0.2">
      <c r="B2558" s="720"/>
      <c r="C2558"/>
      <c r="D2558"/>
      <c r="E2558"/>
    </row>
    <row r="2559" spans="2:5" x14ac:dyDescent="0.2">
      <c r="B2559" s="720"/>
      <c r="C2559"/>
      <c r="D2559"/>
      <c r="E2559"/>
    </row>
    <row r="2560" spans="2:5" x14ac:dyDescent="0.2">
      <c r="B2560" s="720"/>
      <c r="C2560"/>
      <c r="D2560"/>
      <c r="E2560"/>
    </row>
    <row r="2561" spans="2:5" x14ac:dyDescent="0.2">
      <c r="B2561" s="720"/>
      <c r="C2561"/>
      <c r="D2561"/>
      <c r="E2561"/>
    </row>
    <row r="2562" spans="2:5" x14ac:dyDescent="0.2">
      <c r="B2562" s="720"/>
      <c r="C2562"/>
      <c r="D2562"/>
      <c r="E2562"/>
    </row>
    <row r="2563" spans="2:5" x14ac:dyDescent="0.2">
      <c r="B2563" s="720"/>
      <c r="C2563"/>
      <c r="D2563"/>
      <c r="E2563"/>
    </row>
    <row r="2564" spans="2:5" x14ac:dyDescent="0.2">
      <c r="B2564" s="720"/>
      <c r="C2564"/>
      <c r="D2564"/>
      <c r="E2564"/>
    </row>
    <row r="2565" spans="2:5" x14ac:dyDescent="0.2">
      <c r="B2565" s="720"/>
      <c r="C2565"/>
      <c r="D2565"/>
      <c r="E2565"/>
    </row>
    <row r="2566" spans="2:5" x14ac:dyDescent="0.2">
      <c r="B2566" s="720"/>
      <c r="C2566"/>
      <c r="D2566"/>
      <c r="E2566"/>
    </row>
    <row r="2567" spans="2:5" x14ac:dyDescent="0.2">
      <c r="B2567" s="720"/>
      <c r="C2567"/>
      <c r="D2567"/>
      <c r="E2567"/>
    </row>
    <row r="2568" spans="2:5" x14ac:dyDescent="0.2">
      <c r="B2568" s="720"/>
      <c r="C2568"/>
      <c r="D2568"/>
      <c r="E2568"/>
    </row>
    <row r="2569" spans="2:5" x14ac:dyDescent="0.2">
      <c r="B2569" s="720"/>
      <c r="C2569"/>
      <c r="D2569"/>
      <c r="E2569"/>
    </row>
    <row r="2570" spans="2:5" x14ac:dyDescent="0.2">
      <c r="B2570" s="720"/>
      <c r="C2570"/>
      <c r="D2570"/>
      <c r="E2570"/>
    </row>
    <row r="2571" spans="2:5" x14ac:dyDescent="0.2">
      <c r="B2571" s="720"/>
      <c r="C2571"/>
      <c r="D2571"/>
      <c r="E2571"/>
    </row>
    <row r="2572" spans="2:5" x14ac:dyDescent="0.2">
      <c r="B2572" s="720"/>
      <c r="C2572"/>
      <c r="D2572"/>
      <c r="E2572"/>
    </row>
    <row r="2573" spans="2:5" x14ac:dyDescent="0.2">
      <c r="B2573" s="720"/>
      <c r="C2573"/>
      <c r="D2573"/>
      <c r="E2573"/>
    </row>
    <row r="2574" spans="2:5" x14ac:dyDescent="0.2">
      <c r="B2574" s="720"/>
      <c r="C2574"/>
      <c r="D2574"/>
      <c r="E2574"/>
    </row>
    <row r="2575" spans="2:5" x14ac:dyDescent="0.2">
      <c r="B2575" s="720"/>
      <c r="C2575"/>
      <c r="D2575"/>
      <c r="E2575"/>
    </row>
    <row r="2576" spans="2:5" x14ac:dyDescent="0.2">
      <c r="B2576" s="720"/>
      <c r="C2576"/>
      <c r="D2576"/>
      <c r="E2576"/>
    </row>
    <row r="2577" spans="2:5" x14ac:dyDescent="0.2">
      <c r="B2577" s="720"/>
      <c r="C2577"/>
      <c r="D2577"/>
      <c r="E2577"/>
    </row>
    <row r="2578" spans="2:5" x14ac:dyDescent="0.2">
      <c r="B2578" s="720"/>
      <c r="C2578"/>
      <c r="D2578"/>
      <c r="E2578"/>
    </row>
    <row r="2579" spans="2:5" x14ac:dyDescent="0.2">
      <c r="B2579" s="720"/>
      <c r="C2579"/>
      <c r="D2579"/>
      <c r="E2579"/>
    </row>
    <row r="2580" spans="2:5" x14ac:dyDescent="0.2">
      <c r="B2580" s="720"/>
      <c r="C2580"/>
      <c r="D2580"/>
      <c r="E2580"/>
    </row>
    <row r="2581" spans="2:5" x14ac:dyDescent="0.2">
      <c r="B2581" s="720"/>
      <c r="C2581"/>
      <c r="D2581"/>
      <c r="E2581"/>
    </row>
    <row r="2582" spans="2:5" x14ac:dyDescent="0.2">
      <c r="B2582" s="720"/>
      <c r="C2582"/>
      <c r="D2582"/>
      <c r="E2582"/>
    </row>
    <row r="2583" spans="2:5" x14ac:dyDescent="0.2">
      <c r="B2583" s="720"/>
      <c r="C2583"/>
      <c r="D2583"/>
      <c r="E2583"/>
    </row>
    <row r="2584" spans="2:5" x14ac:dyDescent="0.2">
      <c r="B2584" s="720"/>
      <c r="C2584"/>
      <c r="D2584"/>
      <c r="E2584"/>
    </row>
    <row r="2585" spans="2:5" x14ac:dyDescent="0.2">
      <c r="B2585" s="720"/>
      <c r="C2585"/>
      <c r="D2585"/>
      <c r="E2585"/>
    </row>
    <row r="2586" spans="2:5" x14ac:dyDescent="0.2">
      <c r="B2586" s="720"/>
      <c r="C2586"/>
      <c r="D2586"/>
      <c r="E2586"/>
    </row>
    <row r="2587" spans="2:5" x14ac:dyDescent="0.2">
      <c r="B2587" s="720"/>
      <c r="C2587"/>
      <c r="D2587"/>
      <c r="E2587"/>
    </row>
    <row r="2588" spans="2:5" x14ac:dyDescent="0.2">
      <c r="B2588" s="720"/>
      <c r="C2588"/>
      <c r="D2588"/>
      <c r="E2588"/>
    </row>
    <row r="2589" spans="2:5" x14ac:dyDescent="0.2">
      <c r="B2589" s="720"/>
      <c r="C2589"/>
      <c r="D2589"/>
      <c r="E2589"/>
    </row>
    <row r="2590" spans="2:5" x14ac:dyDescent="0.2">
      <c r="B2590" s="720"/>
      <c r="C2590"/>
      <c r="D2590"/>
      <c r="E2590"/>
    </row>
    <row r="2591" spans="2:5" x14ac:dyDescent="0.2">
      <c r="B2591" s="720"/>
      <c r="C2591"/>
      <c r="D2591"/>
      <c r="E2591"/>
    </row>
    <row r="2592" spans="2:5" x14ac:dyDescent="0.2">
      <c r="B2592" s="720"/>
      <c r="C2592"/>
      <c r="D2592"/>
      <c r="E2592"/>
    </row>
    <row r="2593" spans="2:5" x14ac:dyDescent="0.2">
      <c r="B2593" s="720"/>
      <c r="C2593"/>
      <c r="D2593"/>
      <c r="E2593"/>
    </row>
    <row r="2594" spans="2:5" x14ac:dyDescent="0.2">
      <c r="B2594" s="720"/>
      <c r="C2594"/>
      <c r="D2594"/>
      <c r="E2594"/>
    </row>
    <row r="2595" spans="2:5" x14ac:dyDescent="0.2">
      <c r="B2595" s="720"/>
      <c r="C2595"/>
      <c r="D2595"/>
      <c r="E2595"/>
    </row>
    <row r="2596" spans="2:5" x14ac:dyDescent="0.2">
      <c r="B2596" s="720"/>
      <c r="C2596"/>
      <c r="D2596"/>
      <c r="E2596"/>
    </row>
    <row r="2597" spans="2:5" x14ac:dyDescent="0.2">
      <c r="B2597" s="720"/>
      <c r="C2597"/>
      <c r="D2597"/>
      <c r="E2597"/>
    </row>
    <row r="2598" spans="2:5" x14ac:dyDescent="0.2">
      <c r="B2598" s="720"/>
      <c r="C2598"/>
      <c r="D2598"/>
      <c r="E2598"/>
    </row>
    <row r="2599" spans="2:5" x14ac:dyDescent="0.2">
      <c r="B2599" s="720"/>
      <c r="C2599"/>
      <c r="D2599"/>
      <c r="E2599"/>
    </row>
    <row r="2600" spans="2:5" x14ac:dyDescent="0.2">
      <c r="B2600" s="720"/>
      <c r="C2600"/>
      <c r="D2600"/>
      <c r="E2600"/>
    </row>
    <row r="2601" spans="2:5" x14ac:dyDescent="0.2">
      <c r="B2601" s="720"/>
      <c r="C2601"/>
      <c r="D2601"/>
      <c r="E2601"/>
    </row>
    <row r="2602" spans="2:5" x14ac:dyDescent="0.2">
      <c r="B2602" s="720"/>
      <c r="C2602"/>
      <c r="D2602"/>
      <c r="E2602"/>
    </row>
    <row r="2603" spans="2:5" x14ac:dyDescent="0.2">
      <c r="B2603" s="720"/>
      <c r="C2603"/>
      <c r="D2603"/>
      <c r="E2603"/>
    </row>
    <row r="2604" spans="2:5" x14ac:dyDescent="0.2">
      <c r="B2604" s="720"/>
      <c r="C2604"/>
      <c r="D2604"/>
      <c r="E2604"/>
    </row>
    <row r="2605" spans="2:5" x14ac:dyDescent="0.2">
      <c r="B2605" s="720"/>
      <c r="C2605"/>
      <c r="D2605"/>
      <c r="E2605"/>
    </row>
    <row r="2606" spans="2:5" x14ac:dyDescent="0.2">
      <c r="B2606" s="720"/>
      <c r="C2606"/>
      <c r="D2606"/>
      <c r="E2606"/>
    </row>
    <row r="2607" spans="2:5" x14ac:dyDescent="0.2">
      <c r="B2607" s="720"/>
      <c r="C2607"/>
      <c r="D2607"/>
      <c r="E2607"/>
    </row>
    <row r="2608" spans="2:5" x14ac:dyDescent="0.2">
      <c r="B2608" s="720"/>
      <c r="C2608"/>
      <c r="D2608"/>
      <c r="E2608"/>
    </row>
    <row r="2609" spans="2:5" x14ac:dyDescent="0.2">
      <c r="B2609" s="720"/>
      <c r="C2609"/>
      <c r="D2609"/>
      <c r="E2609"/>
    </row>
    <row r="2610" spans="2:5" x14ac:dyDescent="0.2">
      <c r="B2610" s="720"/>
      <c r="C2610"/>
      <c r="D2610"/>
      <c r="E2610"/>
    </row>
    <row r="2611" spans="2:5" x14ac:dyDescent="0.2">
      <c r="B2611" s="720"/>
      <c r="C2611"/>
      <c r="D2611"/>
      <c r="E2611"/>
    </row>
    <row r="2612" spans="2:5" x14ac:dyDescent="0.2">
      <c r="B2612" s="720"/>
      <c r="C2612"/>
      <c r="D2612"/>
      <c r="E2612"/>
    </row>
    <row r="2613" spans="2:5" x14ac:dyDescent="0.2">
      <c r="B2613" s="720"/>
      <c r="C2613"/>
      <c r="D2613"/>
      <c r="E2613"/>
    </row>
    <row r="2614" spans="2:5" x14ac:dyDescent="0.2">
      <c r="B2614" s="720"/>
      <c r="C2614"/>
      <c r="D2614"/>
      <c r="E2614"/>
    </row>
    <row r="2615" spans="2:5" x14ac:dyDescent="0.2">
      <c r="B2615" s="720"/>
      <c r="C2615"/>
      <c r="D2615"/>
      <c r="E2615"/>
    </row>
    <row r="2616" spans="2:5" x14ac:dyDescent="0.2">
      <c r="B2616" s="720"/>
      <c r="C2616"/>
      <c r="D2616"/>
      <c r="E2616"/>
    </row>
    <row r="2617" spans="2:5" x14ac:dyDescent="0.2">
      <c r="B2617" s="720"/>
      <c r="C2617"/>
      <c r="D2617"/>
      <c r="E2617"/>
    </row>
    <row r="2618" spans="2:5" x14ac:dyDescent="0.2">
      <c r="B2618" s="720"/>
      <c r="C2618"/>
      <c r="D2618"/>
      <c r="E2618"/>
    </row>
    <row r="2619" spans="2:5" x14ac:dyDescent="0.2">
      <c r="B2619" s="720"/>
      <c r="C2619"/>
      <c r="D2619"/>
      <c r="E2619"/>
    </row>
    <row r="2620" spans="2:5" x14ac:dyDescent="0.2">
      <c r="B2620" s="720"/>
      <c r="C2620"/>
      <c r="D2620"/>
      <c r="E2620"/>
    </row>
    <row r="2621" spans="2:5" x14ac:dyDescent="0.2">
      <c r="B2621" s="720"/>
      <c r="C2621"/>
      <c r="D2621"/>
      <c r="E2621"/>
    </row>
    <row r="2622" spans="2:5" x14ac:dyDescent="0.2">
      <c r="B2622" s="720"/>
      <c r="C2622"/>
      <c r="D2622"/>
      <c r="E2622"/>
    </row>
    <row r="2623" spans="2:5" x14ac:dyDescent="0.2">
      <c r="B2623" s="720"/>
      <c r="C2623"/>
      <c r="D2623"/>
      <c r="E2623"/>
    </row>
    <row r="2624" spans="2:5" x14ac:dyDescent="0.2">
      <c r="B2624" s="720"/>
      <c r="C2624"/>
      <c r="D2624"/>
      <c r="E2624"/>
    </row>
    <row r="2625" spans="2:5" x14ac:dyDescent="0.2">
      <c r="B2625" s="720"/>
      <c r="C2625"/>
      <c r="D2625"/>
      <c r="E2625"/>
    </row>
    <row r="2626" spans="2:5" x14ac:dyDescent="0.2">
      <c r="B2626" s="720"/>
      <c r="C2626"/>
      <c r="D2626"/>
      <c r="E2626"/>
    </row>
    <row r="2627" spans="2:5" x14ac:dyDescent="0.2">
      <c r="B2627" s="720"/>
      <c r="C2627"/>
      <c r="D2627"/>
      <c r="E2627"/>
    </row>
    <row r="2628" spans="2:5" x14ac:dyDescent="0.2">
      <c r="B2628" s="720"/>
      <c r="C2628"/>
      <c r="D2628"/>
      <c r="E2628"/>
    </row>
    <row r="2629" spans="2:5" x14ac:dyDescent="0.2">
      <c r="B2629" s="720"/>
      <c r="C2629"/>
      <c r="D2629"/>
      <c r="E2629"/>
    </row>
    <row r="2630" spans="2:5" x14ac:dyDescent="0.2">
      <c r="B2630" s="720"/>
      <c r="C2630"/>
      <c r="D2630"/>
      <c r="E2630"/>
    </row>
    <row r="2631" spans="2:5" x14ac:dyDescent="0.2">
      <c r="B2631" s="720"/>
      <c r="C2631"/>
      <c r="D2631"/>
      <c r="E2631"/>
    </row>
    <row r="2632" spans="2:5" x14ac:dyDescent="0.2">
      <c r="B2632" s="720"/>
      <c r="C2632"/>
      <c r="D2632"/>
      <c r="E2632"/>
    </row>
    <row r="2633" spans="2:5" x14ac:dyDescent="0.2">
      <c r="B2633" s="720"/>
      <c r="C2633"/>
      <c r="D2633"/>
      <c r="E2633"/>
    </row>
    <row r="2634" spans="2:5" x14ac:dyDescent="0.2">
      <c r="B2634" s="720"/>
      <c r="C2634"/>
      <c r="D2634"/>
      <c r="E2634"/>
    </row>
    <row r="2635" spans="2:5" x14ac:dyDescent="0.2">
      <c r="B2635" s="720"/>
      <c r="C2635"/>
      <c r="D2635"/>
      <c r="E2635"/>
    </row>
    <row r="2636" spans="2:5" x14ac:dyDescent="0.2">
      <c r="B2636" s="720"/>
      <c r="C2636"/>
      <c r="D2636"/>
      <c r="E2636"/>
    </row>
    <row r="2637" spans="2:5" x14ac:dyDescent="0.2">
      <c r="B2637" s="720"/>
      <c r="C2637"/>
      <c r="D2637"/>
      <c r="E2637"/>
    </row>
    <row r="2638" spans="2:5" x14ac:dyDescent="0.2">
      <c r="B2638" s="720"/>
      <c r="C2638"/>
      <c r="D2638"/>
      <c r="E2638"/>
    </row>
    <row r="2639" spans="2:5" x14ac:dyDescent="0.2">
      <c r="B2639" s="720"/>
      <c r="C2639"/>
      <c r="D2639"/>
      <c r="E2639"/>
    </row>
    <row r="2640" spans="2:5" x14ac:dyDescent="0.2">
      <c r="B2640" s="720"/>
      <c r="C2640"/>
      <c r="D2640"/>
      <c r="E2640"/>
    </row>
    <row r="2641" spans="2:5" x14ac:dyDescent="0.2">
      <c r="B2641" s="720"/>
      <c r="C2641"/>
      <c r="D2641"/>
      <c r="E2641"/>
    </row>
    <row r="2642" spans="2:5" x14ac:dyDescent="0.2">
      <c r="B2642" s="720"/>
      <c r="C2642"/>
      <c r="D2642"/>
      <c r="E2642"/>
    </row>
    <row r="2643" spans="2:5" x14ac:dyDescent="0.2">
      <c r="B2643" s="720"/>
      <c r="C2643"/>
      <c r="D2643"/>
      <c r="E2643"/>
    </row>
    <row r="2644" spans="2:5" x14ac:dyDescent="0.2">
      <c r="B2644" s="720"/>
      <c r="C2644"/>
      <c r="D2644"/>
      <c r="E2644"/>
    </row>
    <row r="2645" spans="2:5" x14ac:dyDescent="0.2">
      <c r="B2645" s="720"/>
      <c r="C2645"/>
      <c r="D2645"/>
      <c r="E2645"/>
    </row>
    <row r="2646" spans="2:5" x14ac:dyDescent="0.2">
      <c r="B2646" s="720"/>
      <c r="C2646"/>
      <c r="D2646"/>
      <c r="E2646"/>
    </row>
    <row r="2647" spans="2:5" x14ac:dyDescent="0.2">
      <c r="B2647" s="720"/>
      <c r="C2647"/>
      <c r="D2647"/>
      <c r="E2647"/>
    </row>
    <row r="2648" spans="2:5" x14ac:dyDescent="0.2">
      <c r="B2648" s="720"/>
      <c r="C2648"/>
      <c r="D2648"/>
      <c r="E2648"/>
    </row>
    <row r="2649" spans="2:5" x14ac:dyDescent="0.2">
      <c r="B2649" s="720"/>
      <c r="C2649"/>
      <c r="D2649"/>
      <c r="E2649"/>
    </row>
    <row r="2650" spans="2:5" x14ac:dyDescent="0.2">
      <c r="B2650" s="720"/>
      <c r="C2650"/>
      <c r="D2650"/>
      <c r="E2650"/>
    </row>
    <row r="2651" spans="2:5" x14ac:dyDescent="0.2">
      <c r="B2651" s="720"/>
      <c r="C2651"/>
      <c r="D2651"/>
      <c r="E2651"/>
    </row>
    <row r="2652" spans="2:5" x14ac:dyDescent="0.2">
      <c r="B2652" s="720"/>
      <c r="C2652"/>
      <c r="D2652"/>
      <c r="E2652"/>
    </row>
    <row r="2653" spans="2:5" x14ac:dyDescent="0.2">
      <c r="B2653" s="720"/>
      <c r="C2653"/>
      <c r="D2653"/>
      <c r="E2653"/>
    </row>
    <row r="2654" spans="2:5" x14ac:dyDescent="0.2">
      <c r="B2654" s="720"/>
      <c r="C2654"/>
      <c r="D2654"/>
      <c r="E2654"/>
    </row>
    <row r="2655" spans="2:5" x14ac:dyDescent="0.2">
      <c r="B2655" s="720"/>
      <c r="C2655"/>
      <c r="D2655"/>
      <c r="E2655"/>
    </row>
    <row r="2656" spans="2:5" x14ac:dyDescent="0.2">
      <c r="B2656" s="720"/>
      <c r="C2656"/>
      <c r="D2656"/>
      <c r="E2656"/>
    </row>
    <row r="2657" spans="2:5" x14ac:dyDescent="0.2">
      <c r="B2657" s="720"/>
      <c r="C2657"/>
      <c r="D2657"/>
      <c r="E2657"/>
    </row>
    <row r="2658" spans="2:5" x14ac:dyDescent="0.2">
      <c r="B2658" s="720"/>
      <c r="C2658"/>
      <c r="D2658"/>
      <c r="E2658"/>
    </row>
    <row r="2659" spans="2:5" x14ac:dyDescent="0.2">
      <c r="B2659" s="720"/>
      <c r="C2659"/>
      <c r="D2659"/>
      <c r="E2659"/>
    </row>
    <row r="2660" spans="2:5" x14ac:dyDescent="0.2">
      <c r="B2660" s="720"/>
      <c r="C2660"/>
      <c r="D2660"/>
      <c r="E2660"/>
    </row>
    <row r="2661" spans="2:5" x14ac:dyDescent="0.2">
      <c r="B2661" s="720"/>
      <c r="C2661"/>
      <c r="D2661"/>
      <c r="E2661"/>
    </row>
    <row r="2662" spans="2:5" x14ac:dyDescent="0.2">
      <c r="B2662" s="720"/>
      <c r="C2662"/>
      <c r="D2662"/>
      <c r="E2662"/>
    </row>
    <row r="2663" spans="2:5" x14ac:dyDescent="0.2">
      <c r="B2663" s="720"/>
      <c r="C2663"/>
      <c r="D2663"/>
      <c r="E2663"/>
    </row>
    <row r="2664" spans="2:5" x14ac:dyDescent="0.2">
      <c r="B2664" s="720"/>
      <c r="C2664"/>
      <c r="D2664"/>
      <c r="E2664"/>
    </row>
    <row r="2665" spans="2:5" x14ac:dyDescent="0.2">
      <c r="B2665" s="720"/>
      <c r="C2665"/>
      <c r="D2665"/>
      <c r="E2665"/>
    </row>
    <row r="2666" spans="2:5" x14ac:dyDescent="0.2">
      <c r="B2666" s="720"/>
      <c r="C2666"/>
      <c r="D2666"/>
      <c r="E2666"/>
    </row>
    <row r="2667" spans="2:5" x14ac:dyDescent="0.2">
      <c r="B2667" s="720"/>
      <c r="C2667"/>
      <c r="D2667"/>
      <c r="E2667"/>
    </row>
    <row r="2668" spans="2:5" x14ac:dyDescent="0.2">
      <c r="B2668" s="720"/>
      <c r="C2668"/>
      <c r="D2668"/>
      <c r="E2668"/>
    </row>
    <row r="2669" spans="2:5" x14ac:dyDescent="0.2">
      <c r="B2669" s="720"/>
      <c r="C2669"/>
      <c r="D2669"/>
      <c r="E2669"/>
    </row>
    <row r="2670" spans="2:5" x14ac:dyDescent="0.2">
      <c r="B2670" s="720"/>
      <c r="C2670"/>
      <c r="D2670"/>
      <c r="E2670"/>
    </row>
    <row r="2671" spans="2:5" x14ac:dyDescent="0.2">
      <c r="B2671" s="720"/>
      <c r="C2671"/>
      <c r="D2671"/>
      <c r="E2671"/>
    </row>
    <row r="2672" spans="2:5" x14ac:dyDescent="0.2">
      <c r="B2672" s="720"/>
      <c r="C2672"/>
      <c r="D2672"/>
      <c r="E2672"/>
    </row>
    <row r="2673" spans="2:5" x14ac:dyDescent="0.2">
      <c r="B2673" s="720"/>
      <c r="C2673"/>
      <c r="D2673"/>
      <c r="E2673"/>
    </row>
    <row r="2674" spans="2:5" x14ac:dyDescent="0.2">
      <c r="B2674" s="720"/>
      <c r="C2674"/>
      <c r="D2674"/>
      <c r="E2674"/>
    </row>
    <row r="2675" spans="2:5" x14ac:dyDescent="0.2">
      <c r="B2675" s="720"/>
      <c r="C2675"/>
      <c r="D2675"/>
      <c r="E2675"/>
    </row>
    <row r="2676" spans="2:5" x14ac:dyDescent="0.2">
      <c r="B2676" s="720"/>
      <c r="C2676"/>
      <c r="D2676"/>
      <c r="E2676"/>
    </row>
    <row r="2677" spans="2:5" x14ac:dyDescent="0.2">
      <c r="B2677" s="720"/>
      <c r="C2677"/>
      <c r="D2677"/>
      <c r="E2677"/>
    </row>
    <row r="2678" spans="2:5" x14ac:dyDescent="0.2">
      <c r="B2678" s="720"/>
      <c r="C2678"/>
      <c r="D2678"/>
      <c r="E2678"/>
    </row>
    <row r="2679" spans="2:5" x14ac:dyDescent="0.2">
      <c r="B2679" s="720"/>
      <c r="C2679"/>
      <c r="D2679"/>
      <c r="E2679"/>
    </row>
    <row r="2680" spans="2:5" x14ac:dyDescent="0.2">
      <c r="B2680" s="720"/>
      <c r="C2680"/>
      <c r="D2680"/>
      <c r="E2680"/>
    </row>
    <row r="2681" spans="2:5" x14ac:dyDescent="0.2">
      <c r="B2681" s="720"/>
      <c r="C2681"/>
      <c r="D2681"/>
      <c r="E2681"/>
    </row>
    <row r="2682" spans="2:5" x14ac:dyDescent="0.2">
      <c r="B2682" s="720"/>
      <c r="C2682"/>
      <c r="D2682"/>
      <c r="E2682"/>
    </row>
    <row r="2683" spans="2:5" x14ac:dyDescent="0.2">
      <c r="B2683" s="720"/>
      <c r="C2683"/>
      <c r="D2683"/>
      <c r="E2683"/>
    </row>
    <row r="2684" spans="2:5" x14ac:dyDescent="0.2">
      <c r="B2684" s="720"/>
      <c r="C2684"/>
      <c r="D2684"/>
      <c r="E2684"/>
    </row>
    <row r="2685" spans="2:5" x14ac:dyDescent="0.2">
      <c r="B2685" s="720"/>
      <c r="C2685"/>
      <c r="D2685"/>
      <c r="E2685"/>
    </row>
    <row r="2686" spans="2:5" x14ac:dyDescent="0.2">
      <c r="B2686" s="720"/>
      <c r="C2686"/>
      <c r="D2686"/>
      <c r="E2686"/>
    </row>
    <row r="2687" spans="2:5" x14ac:dyDescent="0.2">
      <c r="B2687" s="720"/>
      <c r="C2687"/>
      <c r="D2687"/>
      <c r="E2687"/>
    </row>
    <row r="2688" spans="2:5" x14ac:dyDescent="0.2">
      <c r="B2688" s="720"/>
      <c r="C2688"/>
      <c r="D2688"/>
      <c r="E2688"/>
    </row>
    <row r="2689" spans="2:5" x14ac:dyDescent="0.2">
      <c r="B2689" s="720"/>
      <c r="C2689"/>
      <c r="D2689"/>
      <c r="E2689"/>
    </row>
    <row r="2690" spans="2:5" x14ac:dyDescent="0.2">
      <c r="B2690" s="720"/>
      <c r="C2690"/>
      <c r="D2690"/>
      <c r="E2690"/>
    </row>
    <row r="2691" spans="2:5" x14ac:dyDescent="0.2">
      <c r="B2691" s="720"/>
      <c r="C2691"/>
      <c r="D2691"/>
      <c r="E2691"/>
    </row>
    <row r="2692" spans="2:5" x14ac:dyDescent="0.2">
      <c r="B2692" s="720"/>
      <c r="C2692"/>
      <c r="D2692"/>
      <c r="E2692"/>
    </row>
    <row r="2693" spans="2:5" x14ac:dyDescent="0.2">
      <c r="B2693" s="720"/>
      <c r="C2693"/>
      <c r="D2693"/>
      <c r="E2693"/>
    </row>
    <row r="2694" spans="2:5" x14ac:dyDescent="0.2">
      <c r="B2694" s="720"/>
      <c r="C2694"/>
      <c r="D2694"/>
      <c r="E2694"/>
    </row>
    <row r="2695" spans="2:5" x14ac:dyDescent="0.2">
      <c r="B2695" s="720"/>
      <c r="C2695"/>
      <c r="D2695"/>
      <c r="E2695"/>
    </row>
    <row r="2696" spans="2:5" x14ac:dyDescent="0.2">
      <c r="B2696" s="720"/>
      <c r="C2696"/>
      <c r="D2696"/>
      <c r="E2696"/>
    </row>
    <row r="2697" spans="2:5" x14ac:dyDescent="0.2">
      <c r="B2697" s="720"/>
      <c r="C2697"/>
      <c r="D2697"/>
      <c r="E2697"/>
    </row>
    <row r="2698" spans="2:5" x14ac:dyDescent="0.2">
      <c r="B2698" s="720"/>
      <c r="C2698"/>
      <c r="D2698"/>
      <c r="E2698"/>
    </row>
    <row r="2699" spans="2:5" x14ac:dyDescent="0.2">
      <c r="B2699" s="720"/>
      <c r="C2699"/>
      <c r="D2699"/>
      <c r="E2699"/>
    </row>
    <row r="2700" spans="2:5" x14ac:dyDescent="0.2">
      <c r="B2700" s="720"/>
      <c r="C2700"/>
      <c r="D2700"/>
      <c r="E2700"/>
    </row>
    <row r="2701" spans="2:5" x14ac:dyDescent="0.2">
      <c r="B2701" s="720"/>
      <c r="C2701"/>
      <c r="D2701"/>
      <c r="E2701"/>
    </row>
    <row r="2702" spans="2:5" x14ac:dyDescent="0.2">
      <c r="B2702" s="720"/>
      <c r="C2702"/>
      <c r="D2702"/>
      <c r="E2702"/>
    </row>
    <row r="2703" spans="2:5" x14ac:dyDescent="0.2">
      <c r="B2703" s="720"/>
      <c r="C2703"/>
      <c r="D2703"/>
      <c r="E2703"/>
    </row>
    <row r="2704" spans="2:5" x14ac:dyDescent="0.2">
      <c r="B2704" s="720"/>
      <c r="C2704"/>
      <c r="D2704"/>
      <c r="E2704"/>
    </row>
    <row r="2705" spans="2:5" x14ac:dyDescent="0.2">
      <c r="B2705" s="720"/>
      <c r="C2705"/>
      <c r="D2705"/>
      <c r="E2705"/>
    </row>
    <row r="2706" spans="2:5" x14ac:dyDescent="0.2">
      <c r="B2706" s="720"/>
      <c r="C2706"/>
      <c r="D2706"/>
      <c r="E2706"/>
    </row>
    <row r="2707" spans="2:5" x14ac:dyDescent="0.2">
      <c r="B2707" s="720"/>
      <c r="C2707"/>
      <c r="D2707"/>
      <c r="E2707"/>
    </row>
    <row r="2708" spans="2:5" x14ac:dyDescent="0.2">
      <c r="B2708" s="720"/>
      <c r="C2708"/>
      <c r="D2708"/>
      <c r="E2708"/>
    </row>
    <row r="2709" spans="2:5" x14ac:dyDescent="0.2">
      <c r="B2709" s="720"/>
      <c r="C2709"/>
      <c r="D2709"/>
      <c r="E2709"/>
    </row>
    <row r="2710" spans="2:5" x14ac:dyDescent="0.2">
      <c r="B2710" s="720"/>
      <c r="C2710"/>
      <c r="D2710"/>
      <c r="E2710"/>
    </row>
    <row r="2711" spans="2:5" x14ac:dyDescent="0.2">
      <c r="B2711" s="720"/>
      <c r="C2711"/>
      <c r="D2711"/>
      <c r="E2711"/>
    </row>
    <row r="2712" spans="2:5" x14ac:dyDescent="0.2">
      <c r="B2712" s="720"/>
      <c r="C2712"/>
      <c r="D2712"/>
      <c r="E2712"/>
    </row>
    <row r="2713" spans="2:5" x14ac:dyDescent="0.2">
      <c r="B2713" s="720"/>
      <c r="C2713"/>
      <c r="D2713"/>
      <c r="E2713"/>
    </row>
    <row r="2714" spans="2:5" x14ac:dyDescent="0.2">
      <c r="B2714" s="720"/>
      <c r="C2714"/>
      <c r="D2714"/>
      <c r="E2714"/>
    </row>
    <row r="2715" spans="2:5" x14ac:dyDescent="0.2">
      <c r="B2715" s="720"/>
      <c r="C2715"/>
      <c r="D2715"/>
      <c r="E2715"/>
    </row>
    <row r="2716" spans="2:5" x14ac:dyDescent="0.2">
      <c r="B2716" s="720"/>
      <c r="C2716"/>
      <c r="D2716"/>
      <c r="E2716"/>
    </row>
    <row r="2717" spans="2:5" x14ac:dyDescent="0.2">
      <c r="B2717" s="720"/>
      <c r="C2717"/>
      <c r="D2717"/>
      <c r="E2717"/>
    </row>
    <row r="2718" spans="2:5" x14ac:dyDescent="0.2">
      <c r="B2718" s="720"/>
      <c r="C2718"/>
      <c r="D2718"/>
      <c r="E2718"/>
    </row>
    <row r="2719" spans="2:5" x14ac:dyDescent="0.2">
      <c r="B2719" s="720"/>
      <c r="C2719"/>
      <c r="D2719"/>
      <c r="E2719"/>
    </row>
    <row r="2720" spans="2:5" x14ac:dyDescent="0.2">
      <c r="B2720" s="720"/>
      <c r="C2720"/>
      <c r="D2720"/>
      <c r="E2720"/>
    </row>
    <row r="2721" spans="2:5" x14ac:dyDescent="0.2">
      <c r="B2721" s="720"/>
      <c r="C2721"/>
      <c r="D2721"/>
      <c r="E2721"/>
    </row>
    <row r="2722" spans="2:5" x14ac:dyDescent="0.2">
      <c r="B2722" s="720"/>
      <c r="C2722"/>
      <c r="D2722"/>
      <c r="E2722"/>
    </row>
    <row r="2723" spans="2:5" x14ac:dyDescent="0.2">
      <c r="B2723" s="720"/>
      <c r="C2723"/>
      <c r="D2723"/>
      <c r="E2723"/>
    </row>
    <row r="2724" spans="2:5" x14ac:dyDescent="0.2">
      <c r="B2724" s="720"/>
      <c r="C2724"/>
      <c r="D2724"/>
      <c r="E2724"/>
    </row>
    <row r="2725" spans="2:5" x14ac:dyDescent="0.2">
      <c r="B2725" s="720"/>
      <c r="C2725"/>
      <c r="D2725"/>
      <c r="E2725"/>
    </row>
    <row r="2726" spans="2:5" x14ac:dyDescent="0.2">
      <c r="B2726" s="720"/>
      <c r="C2726"/>
      <c r="D2726"/>
      <c r="E2726"/>
    </row>
    <row r="2727" spans="2:5" x14ac:dyDescent="0.2">
      <c r="B2727" s="720"/>
      <c r="C2727"/>
      <c r="D2727"/>
      <c r="E2727"/>
    </row>
    <row r="2728" spans="2:5" x14ac:dyDescent="0.2">
      <c r="B2728" s="720"/>
      <c r="C2728"/>
      <c r="D2728"/>
      <c r="E2728"/>
    </row>
    <row r="2729" spans="2:5" x14ac:dyDescent="0.2">
      <c r="B2729" s="720"/>
      <c r="C2729"/>
      <c r="D2729"/>
      <c r="E2729"/>
    </row>
    <row r="2730" spans="2:5" x14ac:dyDescent="0.2">
      <c r="B2730" s="720"/>
      <c r="C2730"/>
      <c r="D2730"/>
      <c r="E2730"/>
    </row>
    <row r="2731" spans="2:5" x14ac:dyDescent="0.2">
      <c r="B2731" s="720"/>
      <c r="C2731"/>
      <c r="D2731"/>
      <c r="E2731"/>
    </row>
    <row r="2732" spans="2:5" x14ac:dyDescent="0.2">
      <c r="B2732" s="720"/>
      <c r="C2732"/>
      <c r="D2732"/>
      <c r="E2732"/>
    </row>
    <row r="2733" spans="2:5" x14ac:dyDescent="0.2">
      <c r="B2733" s="720"/>
      <c r="C2733"/>
      <c r="D2733"/>
      <c r="E2733"/>
    </row>
    <row r="2734" spans="2:5" x14ac:dyDescent="0.2">
      <c r="B2734" s="720"/>
      <c r="C2734"/>
      <c r="D2734"/>
      <c r="E2734"/>
    </row>
    <row r="2735" spans="2:5" x14ac:dyDescent="0.2">
      <c r="B2735" s="720"/>
      <c r="C2735"/>
      <c r="D2735"/>
      <c r="E2735"/>
    </row>
    <row r="2736" spans="2:5" x14ac:dyDescent="0.2">
      <c r="B2736" s="720"/>
      <c r="C2736"/>
      <c r="D2736"/>
      <c r="E2736"/>
    </row>
    <row r="2737" spans="2:5" x14ac:dyDescent="0.2">
      <c r="B2737" s="720"/>
      <c r="C2737"/>
      <c r="D2737"/>
      <c r="E2737"/>
    </row>
    <row r="2738" spans="2:5" x14ac:dyDescent="0.2">
      <c r="B2738" s="720"/>
      <c r="C2738"/>
      <c r="D2738"/>
      <c r="E2738"/>
    </row>
    <row r="2739" spans="2:5" x14ac:dyDescent="0.2">
      <c r="B2739" s="720"/>
      <c r="C2739"/>
      <c r="D2739"/>
      <c r="E2739"/>
    </row>
    <row r="2740" spans="2:5" x14ac:dyDescent="0.2">
      <c r="B2740" s="720"/>
      <c r="C2740"/>
      <c r="D2740"/>
      <c r="E2740"/>
    </row>
    <row r="2741" spans="2:5" x14ac:dyDescent="0.2">
      <c r="B2741" s="720"/>
      <c r="C2741"/>
      <c r="D2741"/>
      <c r="E2741"/>
    </row>
    <row r="2742" spans="2:5" x14ac:dyDescent="0.2">
      <c r="B2742" s="720"/>
      <c r="C2742"/>
      <c r="D2742"/>
      <c r="E2742"/>
    </row>
    <row r="2743" spans="2:5" x14ac:dyDescent="0.2">
      <c r="B2743" s="720"/>
      <c r="C2743"/>
      <c r="D2743"/>
      <c r="E2743"/>
    </row>
    <row r="2744" spans="2:5" x14ac:dyDescent="0.2">
      <c r="B2744" s="720"/>
      <c r="C2744"/>
      <c r="D2744"/>
      <c r="E2744"/>
    </row>
    <row r="2745" spans="2:5" x14ac:dyDescent="0.2">
      <c r="B2745" s="720"/>
      <c r="C2745"/>
      <c r="D2745"/>
      <c r="E2745"/>
    </row>
    <row r="2746" spans="2:5" x14ac:dyDescent="0.2">
      <c r="B2746" s="720"/>
      <c r="C2746"/>
      <c r="D2746"/>
      <c r="E2746"/>
    </row>
    <row r="2747" spans="2:5" x14ac:dyDescent="0.2">
      <c r="B2747" s="720"/>
      <c r="C2747"/>
      <c r="D2747"/>
      <c r="E2747"/>
    </row>
    <row r="2748" spans="2:5" x14ac:dyDescent="0.2">
      <c r="B2748" s="720"/>
      <c r="C2748"/>
      <c r="D2748"/>
      <c r="E2748"/>
    </row>
    <row r="2749" spans="2:5" x14ac:dyDescent="0.2">
      <c r="B2749" s="720"/>
      <c r="C2749"/>
      <c r="D2749"/>
      <c r="E2749"/>
    </row>
    <row r="2750" spans="2:5" x14ac:dyDescent="0.2">
      <c r="B2750" s="720"/>
      <c r="C2750"/>
      <c r="D2750"/>
      <c r="E2750"/>
    </row>
    <row r="2751" spans="2:5" x14ac:dyDescent="0.2">
      <c r="B2751" s="720"/>
      <c r="C2751"/>
      <c r="D2751"/>
      <c r="E2751"/>
    </row>
    <row r="2752" spans="2:5" x14ac:dyDescent="0.2">
      <c r="B2752" s="720"/>
      <c r="C2752"/>
      <c r="D2752"/>
      <c r="E2752"/>
    </row>
    <row r="2753" spans="2:5" x14ac:dyDescent="0.2">
      <c r="B2753" s="720"/>
      <c r="C2753"/>
      <c r="D2753"/>
      <c r="E2753"/>
    </row>
    <row r="2754" spans="2:5" x14ac:dyDescent="0.2">
      <c r="B2754" s="720"/>
      <c r="C2754"/>
      <c r="D2754"/>
      <c r="E2754"/>
    </row>
    <row r="2755" spans="2:5" x14ac:dyDescent="0.2">
      <c r="B2755" s="720"/>
      <c r="C2755"/>
      <c r="D2755"/>
      <c r="E2755"/>
    </row>
    <row r="2756" spans="2:5" x14ac:dyDescent="0.2">
      <c r="B2756" s="720"/>
      <c r="C2756"/>
      <c r="D2756"/>
      <c r="E2756"/>
    </row>
    <row r="2757" spans="2:5" x14ac:dyDescent="0.2">
      <c r="B2757" s="720"/>
      <c r="C2757"/>
      <c r="D2757"/>
      <c r="E2757"/>
    </row>
    <row r="2758" spans="2:5" x14ac:dyDescent="0.2">
      <c r="B2758" s="720"/>
      <c r="C2758"/>
      <c r="D2758"/>
      <c r="E2758"/>
    </row>
    <row r="2759" spans="2:5" x14ac:dyDescent="0.2">
      <c r="B2759" s="720"/>
      <c r="C2759"/>
      <c r="D2759"/>
      <c r="E2759"/>
    </row>
    <row r="2760" spans="2:5" x14ac:dyDescent="0.2">
      <c r="B2760" s="720"/>
      <c r="C2760"/>
      <c r="D2760"/>
      <c r="E2760"/>
    </row>
    <row r="2761" spans="2:5" x14ac:dyDescent="0.2">
      <c r="B2761" s="720"/>
      <c r="C2761"/>
      <c r="D2761"/>
      <c r="E2761"/>
    </row>
    <row r="2762" spans="2:5" x14ac:dyDescent="0.2">
      <c r="B2762" s="720"/>
      <c r="C2762"/>
      <c r="D2762"/>
      <c r="E2762"/>
    </row>
    <row r="2763" spans="2:5" x14ac:dyDescent="0.2">
      <c r="B2763" s="720"/>
      <c r="C2763"/>
      <c r="D2763"/>
      <c r="E2763"/>
    </row>
    <row r="2764" spans="2:5" x14ac:dyDescent="0.2">
      <c r="B2764" s="720"/>
      <c r="C2764"/>
      <c r="D2764"/>
      <c r="E2764"/>
    </row>
    <row r="2765" spans="2:5" x14ac:dyDescent="0.2">
      <c r="B2765" s="720"/>
      <c r="C2765"/>
      <c r="D2765"/>
      <c r="E2765"/>
    </row>
    <row r="2766" spans="2:5" x14ac:dyDescent="0.2">
      <c r="B2766" s="720"/>
      <c r="C2766"/>
      <c r="D2766"/>
      <c r="E2766"/>
    </row>
    <row r="2767" spans="2:5" x14ac:dyDescent="0.2">
      <c r="B2767" s="720"/>
      <c r="C2767"/>
      <c r="D2767"/>
      <c r="E2767"/>
    </row>
    <row r="2768" spans="2:5" x14ac:dyDescent="0.2">
      <c r="B2768" s="720"/>
      <c r="C2768"/>
      <c r="D2768"/>
      <c r="E2768"/>
    </row>
    <row r="2769" spans="2:5" x14ac:dyDescent="0.2">
      <c r="B2769" s="720"/>
      <c r="C2769"/>
      <c r="D2769"/>
      <c r="E2769"/>
    </row>
    <row r="2770" spans="2:5" x14ac:dyDescent="0.2">
      <c r="B2770" s="720"/>
      <c r="C2770"/>
      <c r="D2770"/>
      <c r="E2770"/>
    </row>
    <row r="2771" spans="2:5" x14ac:dyDescent="0.2">
      <c r="B2771" s="720"/>
      <c r="C2771"/>
      <c r="D2771"/>
      <c r="E2771"/>
    </row>
    <row r="2772" spans="2:5" x14ac:dyDescent="0.2">
      <c r="B2772" s="720"/>
      <c r="C2772"/>
      <c r="D2772"/>
      <c r="E2772"/>
    </row>
    <row r="2773" spans="2:5" x14ac:dyDescent="0.2">
      <c r="B2773" s="720"/>
      <c r="C2773"/>
      <c r="D2773"/>
      <c r="E2773"/>
    </row>
    <row r="2774" spans="2:5" x14ac:dyDescent="0.2">
      <c r="B2774" s="720"/>
      <c r="C2774"/>
      <c r="D2774"/>
      <c r="E2774"/>
    </row>
    <row r="2775" spans="2:5" x14ac:dyDescent="0.2">
      <c r="B2775" s="720"/>
      <c r="C2775"/>
      <c r="D2775"/>
      <c r="E2775"/>
    </row>
    <row r="2776" spans="2:5" x14ac:dyDescent="0.2">
      <c r="B2776" s="720"/>
      <c r="C2776"/>
      <c r="D2776"/>
      <c r="E2776"/>
    </row>
    <row r="2777" spans="2:5" x14ac:dyDescent="0.2">
      <c r="B2777" s="720"/>
      <c r="C2777"/>
      <c r="D2777"/>
      <c r="E2777"/>
    </row>
    <row r="2778" spans="2:5" x14ac:dyDescent="0.2">
      <c r="B2778" s="720"/>
      <c r="C2778"/>
      <c r="D2778"/>
      <c r="E2778"/>
    </row>
    <row r="2779" spans="2:5" x14ac:dyDescent="0.2">
      <c r="B2779" s="720"/>
      <c r="C2779"/>
      <c r="D2779"/>
      <c r="E2779"/>
    </row>
    <row r="2780" spans="2:5" x14ac:dyDescent="0.2">
      <c r="B2780" s="720"/>
      <c r="C2780"/>
      <c r="D2780"/>
      <c r="E2780"/>
    </row>
    <row r="2781" spans="2:5" x14ac:dyDescent="0.2">
      <c r="B2781" s="720"/>
      <c r="C2781"/>
      <c r="D2781"/>
      <c r="E2781"/>
    </row>
    <row r="2782" spans="2:5" x14ac:dyDescent="0.2">
      <c r="B2782" s="720"/>
      <c r="C2782"/>
      <c r="D2782"/>
      <c r="E2782"/>
    </row>
    <row r="2783" spans="2:5" x14ac:dyDescent="0.2">
      <c r="B2783" s="720"/>
      <c r="C2783"/>
      <c r="D2783"/>
      <c r="E2783"/>
    </row>
    <row r="2784" spans="2:5" x14ac:dyDescent="0.2">
      <c r="B2784" s="720"/>
      <c r="C2784"/>
      <c r="D2784"/>
      <c r="E2784"/>
    </row>
    <row r="2785" spans="2:5" x14ac:dyDescent="0.2">
      <c r="B2785" s="720"/>
      <c r="C2785"/>
      <c r="D2785"/>
      <c r="E2785"/>
    </row>
    <row r="2786" spans="2:5" x14ac:dyDescent="0.2">
      <c r="B2786" s="720"/>
      <c r="C2786"/>
      <c r="D2786"/>
      <c r="E2786"/>
    </row>
    <row r="2787" spans="2:5" x14ac:dyDescent="0.2">
      <c r="B2787" s="720"/>
      <c r="C2787"/>
      <c r="D2787"/>
      <c r="E2787"/>
    </row>
    <row r="2788" spans="2:5" x14ac:dyDescent="0.2">
      <c r="B2788" s="720"/>
      <c r="C2788"/>
      <c r="D2788"/>
      <c r="E2788"/>
    </row>
    <row r="2789" spans="2:5" x14ac:dyDescent="0.2">
      <c r="B2789" s="720"/>
      <c r="C2789"/>
      <c r="D2789"/>
      <c r="E2789"/>
    </row>
    <row r="2790" spans="2:5" x14ac:dyDescent="0.2">
      <c r="B2790" s="720"/>
      <c r="C2790"/>
      <c r="D2790"/>
      <c r="E2790"/>
    </row>
    <row r="2791" spans="2:5" x14ac:dyDescent="0.2">
      <c r="B2791" s="720"/>
      <c r="C2791"/>
      <c r="D2791"/>
      <c r="E2791"/>
    </row>
    <row r="2792" spans="2:5" x14ac:dyDescent="0.2">
      <c r="B2792" s="720"/>
      <c r="C2792"/>
      <c r="D2792"/>
      <c r="E2792"/>
    </row>
    <row r="2793" spans="2:5" x14ac:dyDescent="0.2">
      <c r="B2793" s="720"/>
      <c r="C2793"/>
      <c r="D2793"/>
      <c r="E2793"/>
    </row>
    <row r="2794" spans="2:5" x14ac:dyDescent="0.2">
      <c r="B2794" s="720"/>
      <c r="C2794"/>
      <c r="D2794"/>
      <c r="E2794"/>
    </row>
    <row r="2795" spans="2:5" x14ac:dyDescent="0.2">
      <c r="B2795" s="720"/>
      <c r="C2795"/>
      <c r="D2795"/>
      <c r="E2795"/>
    </row>
    <row r="2796" spans="2:5" x14ac:dyDescent="0.2">
      <c r="B2796" s="720"/>
      <c r="C2796"/>
      <c r="D2796"/>
      <c r="E2796"/>
    </row>
    <row r="2797" spans="2:5" x14ac:dyDescent="0.2">
      <c r="B2797" s="720"/>
      <c r="C2797"/>
      <c r="D2797"/>
      <c r="E2797"/>
    </row>
    <row r="2798" spans="2:5" x14ac:dyDescent="0.2">
      <c r="B2798" s="720"/>
      <c r="C2798"/>
      <c r="D2798"/>
      <c r="E2798"/>
    </row>
    <row r="2799" spans="2:5" x14ac:dyDescent="0.2">
      <c r="B2799" s="720"/>
      <c r="C2799"/>
      <c r="D2799"/>
      <c r="E2799"/>
    </row>
    <row r="2800" spans="2:5" x14ac:dyDescent="0.2">
      <c r="B2800" s="720"/>
      <c r="C2800"/>
      <c r="D2800"/>
      <c r="E2800"/>
    </row>
    <row r="2801" spans="2:5" x14ac:dyDescent="0.2">
      <c r="B2801" s="720"/>
      <c r="C2801"/>
      <c r="D2801"/>
      <c r="E2801"/>
    </row>
    <row r="2802" spans="2:5" x14ac:dyDescent="0.2">
      <c r="B2802" s="720"/>
      <c r="C2802"/>
      <c r="D2802"/>
      <c r="E2802"/>
    </row>
    <row r="2803" spans="2:5" x14ac:dyDescent="0.2">
      <c r="B2803" s="720"/>
      <c r="C2803"/>
      <c r="D2803"/>
      <c r="E2803"/>
    </row>
    <row r="2804" spans="2:5" x14ac:dyDescent="0.2">
      <c r="B2804" s="720"/>
      <c r="C2804"/>
      <c r="D2804"/>
      <c r="E2804"/>
    </row>
    <row r="2805" spans="2:5" x14ac:dyDescent="0.2">
      <c r="B2805" s="720"/>
      <c r="C2805"/>
      <c r="D2805"/>
      <c r="E2805"/>
    </row>
    <row r="2806" spans="2:5" x14ac:dyDescent="0.2">
      <c r="B2806" s="720"/>
      <c r="C2806"/>
      <c r="D2806"/>
      <c r="E2806"/>
    </row>
    <row r="2807" spans="2:5" x14ac:dyDescent="0.2">
      <c r="B2807" s="720"/>
      <c r="C2807"/>
      <c r="D2807"/>
      <c r="E2807"/>
    </row>
    <row r="2808" spans="2:5" x14ac:dyDescent="0.2">
      <c r="B2808" s="720"/>
      <c r="C2808"/>
      <c r="D2808"/>
      <c r="E2808"/>
    </row>
    <row r="2809" spans="2:5" x14ac:dyDescent="0.2">
      <c r="B2809" s="720"/>
      <c r="C2809"/>
      <c r="D2809"/>
      <c r="E2809"/>
    </row>
    <row r="2810" spans="2:5" x14ac:dyDescent="0.2">
      <c r="B2810" s="720"/>
      <c r="C2810"/>
      <c r="D2810"/>
      <c r="E2810"/>
    </row>
    <row r="2811" spans="2:5" x14ac:dyDescent="0.2">
      <c r="B2811" s="720"/>
      <c r="C2811"/>
      <c r="D2811"/>
      <c r="E2811"/>
    </row>
    <row r="2812" spans="2:5" x14ac:dyDescent="0.2">
      <c r="B2812" s="720"/>
      <c r="C2812"/>
      <c r="D2812"/>
      <c r="E2812"/>
    </row>
    <row r="2813" spans="2:5" x14ac:dyDescent="0.2">
      <c r="B2813" s="720"/>
      <c r="C2813"/>
      <c r="D2813"/>
      <c r="E2813"/>
    </row>
    <row r="2814" spans="2:5" x14ac:dyDescent="0.2">
      <c r="B2814" s="720"/>
      <c r="C2814"/>
      <c r="D2814"/>
      <c r="E2814"/>
    </row>
    <row r="2815" spans="2:5" x14ac:dyDescent="0.2">
      <c r="B2815" s="720"/>
      <c r="C2815"/>
      <c r="D2815"/>
      <c r="E2815"/>
    </row>
    <row r="2816" spans="2:5" x14ac:dyDescent="0.2">
      <c r="B2816" s="720"/>
      <c r="C2816"/>
      <c r="D2816"/>
      <c r="E2816"/>
    </row>
    <row r="2817" spans="2:5" x14ac:dyDescent="0.2">
      <c r="B2817" s="720"/>
      <c r="C2817"/>
      <c r="D2817"/>
      <c r="E2817"/>
    </row>
    <row r="2818" spans="2:5" x14ac:dyDescent="0.2">
      <c r="B2818" s="720"/>
      <c r="C2818"/>
      <c r="D2818"/>
      <c r="E2818"/>
    </row>
    <row r="2819" spans="2:5" x14ac:dyDescent="0.2">
      <c r="B2819" s="720"/>
      <c r="C2819"/>
      <c r="D2819"/>
      <c r="E2819"/>
    </row>
    <row r="2820" spans="2:5" x14ac:dyDescent="0.2">
      <c r="B2820" s="720"/>
      <c r="C2820"/>
      <c r="D2820"/>
      <c r="E2820"/>
    </row>
    <row r="2821" spans="2:5" x14ac:dyDescent="0.2">
      <c r="B2821" s="720"/>
      <c r="C2821"/>
      <c r="D2821"/>
      <c r="E2821"/>
    </row>
    <row r="2822" spans="2:5" x14ac:dyDescent="0.2">
      <c r="B2822" s="720"/>
      <c r="C2822"/>
      <c r="D2822"/>
      <c r="E2822"/>
    </row>
    <row r="2823" spans="2:5" x14ac:dyDescent="0.2">
      <c r="B2823" s="720"/>
      <c r="C2823"/>
      <c r="D2823"/>
      <c r="E2823"/>
    </row>
    <row r="2824" spans="2:5" x14ac:dyDescent="0.2">
      <c r="B2824" s="720"/>
      <c r="C2824"/>
      <c r="D2824"/>
      <c r="E2824"/>
    </row>
    <row r="2825" spans="2:5" x14ac:dyDescent="0.2">
      <c r="B2825" s="720"/>
      <c r="C2825"/>
      <c r="D2825"/>
      <c r="E2825"/>
    </row>
    <row r="2826" spans="2:5" x14ac:dyDescent="0.2">
      <c r="B2826" s="720"/>
      <c r="C2826"/>
      <c r="D2826"/>
      <c r="E2826"/>
    </row>
    <row r="2827" spans="2:5" x14ac:dyDescent="0.2">
      <c r="B2827" s="720"/>
      <c r="C2827"/>
      <c r="D2827"/>
      <c r="E2827"/>
    </row>
    <row r="2828" spans="2:5" x14ac:dyDescent="0.2">
      <c r="B2828" s="720"/>
      <c r="C2828"/>
      <c r="D2828"/>
      <c r="E2828"/>
    </row>
    <row r="2829" spans="2:5" x14ac:dyDescent="0.2">
      <c r="B2829" s="720"/>
      <c r="C2829"/>
      <c r="D2829"/>
      <c r="E2829"/>
    </row>
    <row r="2830" spans="2:5" x14ac:dyDescent="0.2">
      <c r="B2830" s="720"/>
      <c r="C2830"/>
      <c r="D2830"/>
      <c r="E2830"/>
    </row>
    <row r="2831" spans="2:5" x14ac:dyDescent="0.2">
      <c r="B2831" s="720"/>
      <c r="C2831"/>
      <c r="D2831"/>
      <c r="E2831"/>
    </row>
    <row r="2832" spans="2:5" x14ac:dyDescent="0.2">
      <c r="B2832" s="720"/>
      <c r="C2832"/>
      <c r="D2832"/>
      <c r="E2832"/>
    </row>
    <row r="2833" spans="2:5" x14ac:dyDescent="0.2">
      <c r="B2833" s="720"/>
      <c r="C2833"/>
      <c r="D2833"/>
      <c r="E2833"/>
    </row>
    <row r="2834" spans="2:5" x14ac:dyDescent="0.2">
      <c r="B2834" s="720"/>
      <c r="C2834"/>
      <c r="D2834"/>
      <c r="E2834"/>
    </row>
    <row r="2835" spans="2:5" x14ac:dyDescent="0.2">
      <c r="B2835" s="720"/>
      <c r="C2835"/>
      <c r="D2835"/>
      <c r="E2835"/>
    </row>
    <row r="2836" spans="2:5" x14ac:dyDescent="0.2">
      <c r="B2836" s="720"/>
      <c r="C2836"/>
      <c r="D2836"/>
      <c r="E2836"/>
    </row>
    <row r="2837" spans="2:5" x14ac:dyDescent="0.2">
      <c r="B2837" s="720"/>
      <c r="C2837"/>
      <c r="D2837"/>
      <c r="E2837"/>
    </row>
    <row r="2838" spans="2:5" x14ac:dyDescent="0.2">
      <c r="B2838" s="720"/>
      <c r="C2838"/>
      <c r="D2838"/>
      <c r="E2838"/>
    </row>
    <row r="2839" spans="2:5" x14ac:dyDescent="0.2">
      <c r="B2839" s="720"/>
      <c r="C2839"/>
      <c r="D2839"/>
      <c r="E2839"/>
    </row>
    <row r="2840" spans="2:5" x14ac:dyDescent="0.2">
      <c r="B2840" s="720"/>
      <c r="C2840"/>
      <c r="D2840"/>
      <c r="E2840"/>
    </row>
    <row r="2841" spans="2:5" x14ac:dyDescent="0.2">
      <c r="B2841" s="720"/>
      <c r="C2841"/>
      <c r="D2841"/>
      <c r="E2841"/>
    </row>
    <row r="2842" spans="2:5" x14ac:dyDescent="0.2">
      <c r="B2842" s="720"/>
      <c r="C2842"/>
      <c r="D2842"/>
      <c r="E2842"/>
    </row>
    <row r="2843" spans="2:5" x14ac:dyDescent="0.2">
      <c r="B2843" s="720"/>
      <c r="C2843"/>
      <c r="D2843"/>
      <c r="E2843"/>
    </row>
    <row r="2844" spans="2:5" x14ac:dyDescent="0.2">
      <c r="B2844" s="720"/>
      <c r="C2844"/>
      <c r="D2844"/>
      <c r="E2844"/>
    </row>
    <row r="2845" spans="2:5" x14ac:dyDescent="0.2">
      <c r="B2845" s="720"/>
      <c r="C2845"/>
      <c r="D2845"/>
      <c r="E2845"/>
    </row>
    <row r="2846" spans="2:5" x14ac:dyDescent="0.2">
      <c r="B2846" s="720"/>
      <c r="C2846"/>
      <c r="D2846"/>
      <c r="E2846"/>
    </row>
    <row r="2847" spans="2:5" x14ac:dyDescent="0.2">
      <c r="B2847" s="720"/>
      <c r="C2847"/>
      <c r="D2847"/>
      <c r="E2847"/>
    </row>
    <row r="2848" spans="2:5" x14ac:dyDescent="0.2">
      <c r="B2848" s="720"/>
      <c r="C2848"/>
      <c r="D2848"/>
      <c r="E2848"/>
    </row>
    <row r="2849" spans="2:5" x14ac:dyDescent="0.2">
      <c r="B2849" s="720"/>
      <c r="C2849"/>
      <c r="D2849"/>
      <c r="E2849"/>
    </row>
    <row r="2850" spans="2:5" x14ac:dyDescent="0.2">
      <c r="B2850" s="720"/>
      <c r="C2850"/>
      <c r="D2850"/>
      <c r="E2850"/>
    </row>
    <row r="2851" spans="2:5" x14ac:dyDescent="0.2">
      <c r="B2851" s="720"/>
      <c r="C2851"/>
      <c r="D2851"/>
      <c r="E2851"/>
    </row>
    <row r="2852" spans="2:5" x14ac:dyDescent="0.2">
      <c r="B2852" s="720"/>
      <c r="C2852"/>
      <c r="D2852"/>
      <c r="E2852"/>
    </row>
    <row r="2853" spans="2:5" x14ac:dyDescent="0.2">
      <c r="B2853" s="720"/>
      <c r="C2853"/>
      <c r="D2853"/>
      <c r="E2853"/>
    </row>
    <row r="2854" spans="2:5" x14ac:dyDescent="0.2">
      <c r="B2854" s="720"/>
      <c r="C2854"/>
      <c r="D2854"/>
      <c r="E2854"/>
    </row>
    <row r="2855" spans="2:5" x14ac:dyDescent="0.2">
      <c r="B2855" s="720"/>
      <c r="C2855"/>
      <c r="D2855"/>
      <c r="E2855"/>
    </row>
    <row r="2856" spans="2:5" x14ac:dyDescent="0.2">
      <c r="B2856" s="720"/>
      <c r="C2856"/>
      <c r="D2856"/>
      <c r="E2856"/>
    </row>
    <row r="2857" spans="2:5" x14ac:dyDescent="0.2">
      <c r="B2857" s="720"/>
      <c r="C2857"/>
      <c r="D2857"/>
      <c r="E2857"/>
    </row>
    <row r="2858" spans="2:5" x14ac:dyDescent="0.2">
      <c r="B2858" s="720"/>
      <c r="C2858"/>
      <c r="D2858"/>
      <c r="E2858"/>
    </row>
    <row r="2859" spans="2:5" x14ac:dyDescent="0.2">
      <c r="B2859" s="720"/>
      <c r="C2859"/>
      <c r="D2859"/>
      <c r="E2859"/>
    </row>
    <row r="2860" spans="2:5" x14ac:dyDescent="0.2">
      <c r="B2860" s="720"/>
      <c r="C2860"/>
      <c r="D2860"/>
      <c r="E2860"/>
    </row>
    <row r="2861" spans="2:5" x14ac:dyDescent="0.2">
      <c r="B2861" s="720"/>
      <c r="C2861"/>
      <c r="D2861"/>
      <c r="E2861"/>
    </row>
    <row r="2862" spans="2:5" x14ac:dyDescent="0.2">
      <c r="B2862" s="720"/>
      <c r="C2862"/>
      <c r="D2862"/>
      <c r="E2862"/>
    </row>
    <row r="2863" spans="2:5" x14ac:dyDescent="0.2">
      <c r="B2863" s="720"/>
      <c r="C2863"/>
      <c r="D2863"/>
      <c r="E2863"/>
    </row>
    <row r="2864" spans="2:5" x14ac:dyDescent="0.2">
      <c r="B2864" s="720"/>
      <c r="C2864"/>
      <c r="D2864"/>
      <c r="E2864"/>
    </row>
    <row r="2865" spans="2:5" x14ac:dyDescent="0.2">
      <c r="B2865" s="720"/>
      <c r="C2865"/>
      <c r="D2865"/>
      <c r="E2865"/>
    </row>
    <row r="2866" spans="2:5" x14ac:dyDescent="0.2">
      <c r="B2866" s="720"/>
      <c r="C2866"/>
      <c r="D2866"/>
      <c r="E2866"/>
    </row>
    <row r="2867" spans="2:5" x14ac:dyDescent="0.2">
      <c r="B2867" s="720"/>
      <c r="C2867"/>
      <c r="D2867"/>
      <c r="E2867"/>
    </row>
    <row r="2868" spans="2:5" x14ac:dyDescent="0.2">
      <c r="B2868" s="720"/>
      <c r="C2868"/>
      <c r="D2868"/>
      <c r="E2868"/>
    </row>
    <row r="2869" spans="2:5" x14ac:dyDescent="0.2">
      <c r="B2869" s="720"/>
      <c r="C2869"/>
      <c r="D2869"/>
      <c r="E2869"/>
    </row>
    <row r="2870" spans="2:5" x14ac:dyDescent="0.2">
      <c r="B2870" s="720"/>
      <c r="C2870"/>
      <c r="D2870"/>
      <c r="E2870"/>
    </row>
    <row r="2871" spans="2:5" x14ac:dyDescent="0.2">
      <c r="B2871" s="720"/>
      <c r="C2871"/>
      <c r="D2871"/>
      <c r="E2871"/>
    </row>
    <row r="2872" spans="2:5" x14ac:dyDescent="0.2">
      <c r="B2872" s="720"/>
      <c r="C2872"/>
      <c r="D2872"/>
      <c r="E2872"/>
    </row>
    <row r="2873" spans="2:5" x14ac:dyDescent="0.2">
      <c r="B2873" s="720"/>
      <c r="C2873"/>
      <c r="D2873"/>
      <c r="E2873"/>
    </row>
    <row r="2874" spans="2:5" x14ac:dyDescent="0.2">
      <c r="B2874" s="720"/>
      <c r="C2874"/>
      <c r="D2874"/>
      <c r="E2874"/>
    </row>
    <row r="2875" spans="2:5" x14ac:dyDescent="0.2">
      <c r="B2875" s="720"/>
      <c r="C2875"/>
      <c r="D2875"/>
      <c r="E2875"/>
    </row>
    <row r="2876" spans="2:5" x14ac:dyDescent="0.2">
      <c r="B2876" s="720"/>
      <c r="C2876"/>
      <c r="D2876"/>
      <c r="E2876"/>
    </row>
    <row r="2877" spans="2:5" x14ac:dyDescent="0.2">
      <c r="B2877" s="720"/>
      <c r="C2877"/>
      <c r="D2877"/>
      <c r="E2877"/>
    </row>
    <row r="2878" spans="2:5" x14ac:dyDescent="0.2">
      <c r="B2878" s="720"/>
      <c r="C2878"/>
      <c r="D2878"/>
      <c r="E2878"/>
    </row>
    <row r="2879" spans="2:5" x14ac:dyDescent="0.2">
      <c r="B2879" s="720"/>
      <c r="C2879"/>
      <c r="D2879"/>
      <c r="E2879"/>
    </row>
    <row r="2880" spans="2:5" x14ac:dyDescent="0.2">
      <c r="B2880" s="720"/>
      <c r="C2880"/>
      <c r="D2880"/>
      <c r="E2880"/>
    </row>
    <row r="2881" spans="2:5" x14ac:dyDescent="0.2">
      <c r="B2881" s="720"/>
      <c r="C2881"/>
      <c r="D2881"/>
      <c r="E2881"/>
    </row>
    <row r="2882" spans="2:5" x14ac:dyDescent="0.2">
      <c r="B2882" s="720"/>
      <c r="C2882"/>
      <c r="D2882"/>
      <c r="E2882"/>
    </row>
    <row r="2883" spans="2:5" x14ac:dyDescent="0.2">
      <c r="B2883" s="720"/>
      <c r="C2883"/>
      <c r="D2883"/>
      <c r="E2883"/>
    </row>
    <row r="2884" spans="2:5" x14ac:dyDescent="0.2">
      <c r="B2884" s="720"/>
      <c r="C2884"/>
      <c r="D2884"/>
      <c r="E2884"/>
    </row>
    <row r="2885" spans="2:5" x14ac:dyDescent="0.2">
      <c r="B2885" s="720"/>
      <c r="C2885"/>
      <c r="D2885"/>
      <c r="E2885"/>
    </row>
    <row r="2886" spans="2:5" x14ac:dyDescent="0.2">
      <c r="B2886" s="720"/>
      <c r="C2886"/>
      <c r="D2886"/>
      <c r="E2886"/>
    </row>
  </sheetData>
  <mergeCells count="1133">
    <mergeCell ref="D1664:D1665"/>
    <mergeCell ref="D1666:D1668"/>
    <mergeCell ref="D1669:D1671"/>
    <mergeCell ref="D1672:D1674"/>
    <mergeCell ref="D1675:D1677"/>
    <mergeCell ref="D1678:D1679"/>
    <mergeCell ref="D1680:D1682"/>
    <mergeCell ref="D1683:D1684"/>
    <mergeCell ref="D1685:D1687"/>
    <mergeCell ref="D1688:D1690"/>
    <mergeCell ref="D1691:D1692"/>
    <mergeCell ref="D1570:D1571"/>
    <mergeCell ref="D1572:D1574"/>
    <mergeCell ref="D1575:D1577"/>
    <mergeCell ref="D1578:D1579"/>
    <mergeCell ref="D1580:D1582"/>
    <mergeCell ref="D1583:D1585"/>
    <mergeCell ref="D1586:D1589"/>
    <mergeCell ref="D1590:D1594"/>
    <mergeCell ref="D1595:D1596"/>
    <mergeCell ref="D1597:D1599"/>
    <mergeCell ref="D1600:D1601"/>
    <mergeCell ref="D1602:D1604"/>
    <mergeCell ref="D1605:D1606"/>
    <mergeCell ref="D1607:D1608"/>
    <mergeCell ref="D1609:D1611"/>
    <mergeCell ref="D1612:D1613"/>
    <mergeCell ref="D1614:D1616"/>
    <mergeCell ref="D1648:D1650"/>
    <mergeCell ref="D1651:D1652"/>
    <mergeCell ref="D1653:D1655"/>
    <mergeCell ref="D1469:D1471"/>
    <mergeCell ref="D1472:D1474"/>
    <mergeCell ref="D1475:D1476"/>
    <mergeCell ref="D1477:D1479"/>
    <mergeCell ref="D1480:D1482"/>
    <mergeCell ref="D1483:D1485"/>
    <mergeCell ref="D1486:D1489"/>
    <mergeCell ref="D1490:D1491"/>
    <mergeCell ref="D1492:D1493"/>
    <mergeCell ref="D1494:D1496"/>
    <mergeCell ref="D1497:D1498"/>
    <mergeCell ref="D1499:D1502"/>
    <mergeCell ref="D1503:D1505"/>
    <mergeCell ref="D1506:D1508"/>
    <mergeCell ref="D1509:D1511"/>
    <mergeCell ref="D1512:D1515"/>
    <mergeCell ref="D1661:D1663"/>
    <mergeCell ref="D1656:D1657"/>
    <mergeCell ref="D1658:D1660"/>
    <mergeCell ref="D1530:D1532"/>
    <mergeCell ref="D1533:D1534"/>
    <mergeCell ref="D1535:D1538"/>
    <mergeCell ref="D1539:D1541"/>
    <mergeCell ref="D1542:D1543"/>
    <mergeCell ref="D1544:D1546"/>
    <mergeCell ref="D1547:D1548"/>
    <mergeCell ref="D1549:D1551"/>
    <mergeCell ref="D1552:D1553"/>
    <mergeCell ref="D1554:D1556"/>
    <mergeCell ref="D1557:D1558"/>
    <mergeCell ref="D1559:D1560"/>
    <mergeCell ref="D1561:D1562"/>
    <mergeCell ref="D1402:D1404"/>
    <mergeCell ref="D1405:D1406"/>
    <mergeCell ref="D1407:D1409"/>
    <mergeCell ref="D1410:D1412"/>
    <mergeCell ref="D1413:D1415"/>
    <mergeCell ref="D1416:D1418"/>
    <mergeCell ref="D1419:D1422"/>
    <mergeCell ref="D1423:D1425"/>
    <mergeCell ref="D1426:D1428"/>
    <mergeCell ref="D1429:D1430"/>
    <mergeCell ref="D1431:D1433"/>
    <mergeCell ref="D1434:D1435"/>
    <mergeCell ref="D1436:D1438"/>
    <mergeCell ref="D1439:D1441"/>
    <mergeCell ref="D1442:D1443"/>
    <mergeCell ref="D1444:D1445"/>
    <mergeCell ref="D1459:D1462"/>
    <mergeCell ref="D1355:D1356"/>
    <mergeCell ref="D1357:D1359"/>
    <mergeCell ref="D1360:D1362"/>
    <mergeCell ref="D1363:D1364"/>
    <mergeCell ref="D1365:D1367"/>
    <mergeCell ref="D1368:D1370"/>
    <mergeCell ref="D1371:D1373"/>
    <mergeCell ref="D1374:D1375"/>
    <mergeCell ref="D1377:D1380"/>
    <mergeCell ref="D1381:D1382"/>
    <mergeCell ref="D1383:D1384"/>
    <mergeCell ref="D1385:D1387"/>
    <mergeCell ref="D1388:D1390"/>
    <mergeCell ref="D1391:D1393"/>
    <mergeCell ref="D1394:D1395"/>
    <mergeCell ref="D1396:D1398"/>
    <mergeCell ref="D1399:D1401"/>
    <mergeCell ref="D1171:D1173"/>
    <mergeCell ref="D1174:D1175"/>
    <mergeCell ref="D1214:D1217"/>
    <mergeCell ref="D1218:D1219"/>
    <mergeCell ref="D1220:D1222"/>
    <mergeCell ref="D1223:D1224"/>
    <mergeCell ref="D1225:D1228"/>
    <mergeCell ref="D1229:D1230"/>
    <mergeCell ref="D1231:D1232"/>
    <mergeCell ref="D1233:D1235"/>
    <mergeCell ref="D1236:D1238"/>
    <mergeCell ref="D1239:D1241"/>
    <mergeCell ref="D1242:D1244"/>
    <mergeCell ref="D1245:D1248"/>
    <mergeCell ref="D1249:D1251"/>
    <mergeCell ref="D1252:D1254"/>
    <mergeCell ref="D1255:D1256"/>
    <mergeCell ref="D1103:D1105"/>
    <mergeCell ref="D1106:D1107"/>
    <mergeCell ref="D1126:D1128"/>
    <mergeCell ref="D1129:D1130"/>
    <mergeCell ref="D1131:D1132"/>
    <mergeCell ref="D1133:D1135"/>
    <mergeCell ref="D1137:D1141"/>
    <mergeCell ref="D1142:D1144"/>
    <mergeCell ref="D1145:D1147"/>
    <mergeCell ref="D1148:D1150"/>
    <mergeCell ref="D1151:D1153"/>
    <mergeCell ref="D1155:D1157"/>
    <mergeCell ref="D1158:D1160"/>
    <mergeCell ref="D1161:D1163"/>
    <mergeCell ref="D1164:D1166"/>
    <mergeCell ref="D1167:D1168"/>
    <mergeCell ref="D1169:D1170"/>
    <mergeCell ref="D1108:D1109"/>
    <mergeCell ref="D1110:D1112"/>
    <mergeCell ref="D1113:D1114"/>
    <mergeCell ref="D1115:D1116"/>
    <mergeCell ref="D1118:D1119"/>
    <mergeCell ref="D1064:D1065"/>
    <mergeCell ref="D1066:D1067"/>
    <mergeCell ref="D1068:D1069"/>
    <mergeCell ref="D1070:D1072"/>
    <mergeCell ref="D1073:D1074"/>
    <mergeCell ref="D1075:D1076"/>
    <mergeCell ref="D1077:D1078"/>
    <mergeCell ref="D1079:D1080"/>
    <mergeCell ref="D1081:D1082"/>
    <mergeCell ref="D1083:D1085"/>
    <mergeCell ref="D1086:D1088"/>
    <mergeCell ref="D1089:D1090"/>
    <mergeCell ref="D1091:D1092"/>
    <mergeCell ref="D1093:D1094"/>
    <mergeCell ref="D1095:D1096"/>
    <mergeCell ref="D1098:D1099"/>
    <mergeCell ref="D1100:D1102"/>
    <mergeCell ref="D1020:D1021"/>
    <mergeCell ref="D1022:D1023"/>
    <mergeCell ref="D1032:D1033"/>
    <mergeCell ref="D1034:D1035"/>
    <mergeCell ref="D1036:D1037"/>
    <mergeCell ref="D1038:D1039"/>
    <mergeCell ref="D1040:D1041"/>
    <mergeCell ref="D1042:D1043"/>
    <mergeCell ref="D1044:D1045"/>
    <mergeCell ref="D1046:D1047"/>
    <mergeCell ref="D1048:D1049"/>
    <mergeCell ref="D1050:D1051"/>
    <mergeCell ref="D1052:D1054"/>
    <mergeCell ref="D1055:D1056"/>
    <mergeCell ref="D1057:D1058"/>
    <mergeCell ref="D1059:D1061"/>
    <mergeCell ref="D1062:D1063"/>
    <mergeCell ref="D1024:D1025"/>
    <mergeCell ref="D1026:D1027"/>
    <mergeCell ref="D944:D946"/>
    <mergeCell ref="D947:D948"/>
    <mergeCell ref="D949:D950"/>
    <mergeCell ref="D951:D952"/>
    <mergeCell ref="D953:D954"/>
    <mergeCell ref="D986:D987"/>
    <mergeCell ref="D988:D989"/>
    <mergeCell ref="D990:D991"/>
    <mergeCell ref="D992:D993"/>
    <mergeCell ref="D994:D996"/>
    <mergeCell ref="D955:D956"/>
    <mergeCell ref="D957:D958"/>
    <mergeCell ref="D959:D960"/>
    <mergeCell ref="D961:D962"/>
    <mergeCell ref="D963:D964"/>
    <mergeCell ref="D965:D966"/>
    <mergeCell ref="D967:D968"/>
    <mergeCell ref="D969:D970"/>
    <mergeCell ref="D971:D972"/>
    <mergeCell ref="D973:D974"/>
    <mergeCell ref="D975:D976"/>
    <mergeCell ref="D977:D978"/>
    <mergeCell ref="D979:D981"/>
    <mergeCell ref="D982:D983"/>
    <mergeCell ref="D984:D985"/>
    <mergeCell ref="D865:D866"/>
    <mergeCell ref="D867:D868"/>
    <mergeCell ref="D869:D870"/>
    <mergeCell ref="D871:D873"/>
    <mergeCell ref="D874:D875"/>
    <mergeCell ref="D876:D877"/>
    <mergeCell ref="D878:D879"/>
    <mergeCell ref="D880:D881"/>
    <mergeCell ref="D882:D883"/>
    <mergeCell ref="D884:D885"/>
    <mergeCell ref="D886:D887"/>
    <mergeCell ref="D888:D889"/>
    <mergeCell ref="D920:D921"/>
    <mergeCell ref="D922:D923"/>
    <mergeCell ref="D924:D925"/>
    <mergeCell ref="D926:D927"/>
    <mergeCell ref="D928:D929"/>
    <mergeCell ref="D743:D744"/>
    <mergeCell ref="D745:D749"/>
    <mergeCell ref="D750:D752"/>
    <mergeCell ref="D754:D757"/>
    <mergeCell ref="D758:D761"/>
    <mergeCell ref="D762:D765"/>
    <mergeCell ref="D766:D768"/>
    <mergeCell ref="D769:D771"/>
    <mergeCell ref="D772:D775"/>
    <mergeCell ref="D776:D779"/>
    <mergeCell ref="D780:D783"/>
    <mergeCell ref="D784:D786"/>
    <mergeCell ref="D787:D791"/>
    <mergeCell ref="D792:D796"/>
    <mergeCell ref="D855:D856"/>
    <mergeCell ref="D857:D858"/>
    <mergeCell ref="D859:D860"/>
    <mergeCell ref="D797:D799"/>
    <mergeCell ref="D800:D802"/>
    <mergeCell ref="D804:D806"/>
    <mergeCell ref="D807:D811"/>
    <mergeCell ref="D812:D813"/>
    <mergeCell ref="D814:D816"/>
    <mergeCell ref="D817:D818"/>
    <mergeCell ref="D819:D821"/>
    <mergeCell ref="D822:D824"/>
    <mergeCell ref="D825:D829"/>
    <mergeCell ref="D830:D831"/>
    <mergeCell ref="D832:D836"/>
    <mergeCell ref="D837:D841"/>
    <mergeCell ref="D842:D843"/>
    <mergeCell ref="D844:D846"/>
    <mergeCell ref="D584:D585"/>
    <mergeCell ref="D586:D588"/>
    <mergeCell ref="D589:D591"/>
    <mergeCell ref="D592:D595"/>
    <mergeCell ref="D597:D598"/>
    <mergeCell ref="D599:D602"/>
    <mergeCell ref="D603:D606"/>
    <mergeCell ref="D607:D609"/>
    <mergeCell ref="D610:D614"/>
    <mergeCell ref="D615:D617"/>
    <mergeCell ref="D618:D619"/>
    <mergeCell ref="D620:D622"/>
    <mergeCell ref="D623:D624"/>
    <mergeCell ref="D734:D735"/>
    <mergeCell ref="D736:D739"/>
    <mergeCell ref="D740:D742"/>
    <mergeCell ref="D625:D629"/>
    <mergeCell ref="D630:D632"/>
    <mergeCell ref="D633:D637"/>
    <mergeCell ref="D638:D641"/>
    <mergeCell ref="D642:D646"/>
    <mergeCell ref="D647:D650"/>
    <mergeCell ref="D651:D652"/>
    <mergeCell ref="D653:D655"/>
    <mergeCell ref="D656:D657"/>
    <mergeCell ref="D658:D659"/>
    <mergeCell ref="D660:D663"/>
    <mergeCell ref="D664:D667"/>
    <mergeCell ref="D668:D670"/>
    <mergeCell ref="D671:D673"/>
    <mergeCell ref="D674:D676"/>
    <mergeCell ref="D523:D527"/>
    <mergeCell ref="D529:D533"/>
    <mergeCell ref="D534:D537"/>
    <mergeCell ref="D538:D542"/>
    <mergeCell ref="D543:D546"/>
    <mergeCell ref="D547:D549"/>
    <mergeCell ref="D550:D551"/>
    <mergeCell ref="D552:D553"/>
    <mergeCell ref="D554:D556"/>
    <mergeCell ref="D557:D559"/>
    <mergeCell ref="D572:D574"/>
    <mergeCell ref="D575:D577"/>
    <mergeCell ref="D578:D579"/>
    <mergeCell ref="D560:D562"/>
    <mergeCell ref="D563:D566"/>
    <mergeCell ref="D567:D571"/>
    <mergeCell ref="D581:D583"/>
    <mergeCell ref="D465:D468"/>
    <mergeCell ref="D469:D472"/>
    <mergeCell ref="D473:D474"/>
    <mergeCell ref="D475:D478"/>
    <mergeCell ref="D479:D480"/>
    <mergeCell ref="D481:D483"/>
    <mergeCell ref="D484:D486"/>
    <mergeCell ref="D487:D489"/>
    <mergeCell ref="D490:D493"/>
    <mergeCell ref="D494:D497"/>
    <mergeCell ref="D498:D501"/>
    <mergeCell ref="D502:D506"/>
    <mergeCell ref="D507:D510"/>
    <mergeCell ref="D511:D512"/>
    <mergeCell ref="D513:D515"/>
    <mergeCell ref="D516:D519"/>
    <mergeCell ref="D520:D522"/>
    <mergeCell ref="D294:D296"/>
    <mergeCell ref="D297:D298"/>
    <mergeCell ref="D299:D301"/>
    <mergeCell ref="D302:D306"/>
    <mergeCell ref="D308:D309"/>
    <mergeCell ref="D310:D312"/>
    <mergeCell ref="D313:D316"/>
    <mergeCell ref="D317:D319"/>
    <mergeCell ref="D320:D323"/>
    <mergeCell ref="D382:D386"/>
    <mergeCell ref="D387:D388"/>
    <mergeCell ref="D389:D391"/>
    <mergeCell ref="D392:D395"/>
    <mergeCell ref="D396:D399"/>
    <mergeCell ref="D400:D404"/>
    <mergeCell ref="D405:D407"/>
    <mergeCell ref="D408:D410"/>
    <mergeCell ref="D372:D373"/>
    <mergeCell ref="D374:D376"/>
    <mergeCell ref="D377:D381"/>
    <mergeCell ref="D183:D185"/>
    <mergeCell ref="D186:D190"/>
    <mergeCell ref="D191:D194"/>
    <mergeCell ref="D195:D197"/>
    <mergeCell ref="D198:D200"/>
    <mergeCell ref="D201:D204"/>
    <mergeCell ref="D205:D207"/>
    <mergeCell ref="D208:D211"/>
    <mergeCell ref="D212:D215"/>
    <mergeCell ref="D272:D273"/>
    <mergeCell ref="D274:D275"/>
    <mergeCell ref="D276:D277"/>
    <mergeCell ref="D278:D280"/>
    <mergeCell ref="D281:D283"/>
    <mergeCell ref="D284:D287"/>
    <mergeCell ref="D288:D289"/>
    <mergeCell ref="D290:D293"/>
    <mergeCell ref="D216:D219"/>
    <mergeCell ref="D220:D222"/>
    <mergeCell ref="D223:D227"/>
    <mergeCell ref="D228:D231"/>
    <mergeCell ref="D232:D234"/>
    <mergeCell ref="D235:D239"/>
    <mergeCell ref="D240:D243"/>
    <mergeCell ref="D244:D247"/>
    <mergeCell ref="D248:D251"/>
    <mergeCell ref="D252:D256"/>
    <mergeCell ref="D258:D260"/>
    <mergeCell ref="D261:D264"/>
    <mergeCell ref="D265:D266"/>
    <mergeCell ref="D267:D269"/>
    <mergeCell ref="D270:D271"/>
    <mergeCell ref="C1683:C1684"/>
    <mergeCell ref="C1685:C1687"/>
    <mergeCell ref="C1688:C1690"/>
    <mergeCell ref="C1691:C1692"/>
    <mergeCell ref="D8:D11"/>
    <mergeCell ref="D12:D16"/>
    <mergeCell ref="D17:D23"/>
    <mergeCell ref="D24:D29"/>
    <mergeCell ref="D30:D32"/>
    <mergeCell ref="D33:D34"/>
    <mergeCell ref="D35:D36"/>
    <mergeCell ref="D37:D42"/>
    <mergeCell ref="D43:D47"/>
    <mergeCell ref="D48:D50"/>
    <mergeCell ref="D51:D54"/>
    <mergeCell ref="D55:D61"/>
    <mergeCell ref="D62:D66"/>
    <mergeCell ref="D67:D69"/>
    <mergeCell ref="D70:D72"/>
    <mergeCell ref="D73:D74"/>
    <mergeCell ref="D75:D77"/>
    <mergeCell ref="D78:D80"/>
    <mergeCell ref="D81:D83"/>
    <mergeCell ref="D84:D90"/>
    <mergeCell ref="D91:D94"/>
    <mergeCell ref="D95:D97"/>
    <mergeCell ref="D153:D157"/>
    <mergeCell ref="D158:D161"/>
    <mergeCell ref="D162:D164"/>
    <mergeCell ref="D165:D169"/>
    <mergeCell ref="D170:D171"/>
    <mergeCell ref="D172:D177"/>
    <mergeCell ref="C1637:C1639"/>
    <mergeCell ref="C1640:C1642"/>
    <mergeCell ref="C1643:C1645"/>
    <mergeCell ref="C1646:C1647"/>
    <mergeCell ref="C1648:C1650"/>
    <mergeCell ref="C1651:C1652"/>
    <mergeCell ref="C1653:C1655"/>
    <mergeCell ref="C1656:C1657"/>
    <mergeCell ref="C1658:C1660"/>
    <mergeCell ref="C1661:C1663"/>
    <mergeCell ref="C1664:C1665"/>
    <mergeCell ref="C1666:C1668"/>
    <mergeCell ref="C1669:C1671"/>
    <mergeCell ref="C1672:C1674"/>
    <mergeCell ref="C1675:C1677"/>
    <mergeCell ref="C1678:C1679"/>
    <mergeCell ref="C1680:C1682"/>
    <mergeCell ref="C1547:C1548"/>
    <mergeCell ref="C1549:C1551"/>
    <mergeCell ref="C1552:C1553"/>
    <mergeCell ref="C1554:C1556"/>
    <mergeCell ref="C1557:C1558"/>
    <mergeCell ref="C1559:C1560"/>
    <mergeCell ref="C1561:C1562"/>
    <mergeCell ref="C1563:C1567"/>
    <mergeCell ref="C1568:C1569"/>
    <mergeCell ref="C1570:C1571"/>
    <mergeCell ref="C1572:C1574"/>
    <mergeCell ref="C1617:C1620"/>
    <mergeCell ref="C1621:C1622"/>
    <mergeCell ref="C1623:C1626"/>
    <mergeCell ref="C1627:C1629"/>
    <mergeCell ref="C1630:C1633"/>
    <mergeCell ref="C1634:C1636"/>
    <mergeCell ref="C1575:C1577"/>
    <mergeCell ref="C1578:C1579"/>
    <mergeCell ref="C1580:C1582"/>
    <mergeCell ref="C1583:C1585"/>
    <mergeCell ref="C1586:C1589"/>
    <mergeCell ref="C1590:C1594"/>
    <mergeCell ref="C1595:C1596"/>
    <mergeCell ref="C1597:C1599"/>
    <mergeCell ref="C1600:C1601"/>
    <mergeCell ref="C1602:C1604"/>
    <mergeCell ref="C1605:C1606"/>
    <mergeCell ref="C1607:C1608"/>
    <mergeCell ref="C1609:C1611"/>
    <mergeCell ref="C1612:C1613"/>
    <mergeCell ref="C1614:C1616"/>
    <mergeCell ref="C1535:C1538"/>
    <mergeCell ref="C1539:C1541"/>
    <mergeCell ref="C1490:C1491"/>
    <mergeCell ref="C1492:C1493"/>
    <mergeCell ref="C1494:C1496"/>
    <mergeCell ref="C1497:C1498"/>
    <mergeCell ref="C1499:C1502"/>
    <mergeCell ref="C1503:C1505"/>
    <mergeCell ref="C1506:C1508"/>
    <mergeCell ref="C1509:C1511"/>
    <mergeCell ref="C1512:C1515"/>
    <mergeCell ref="C1516:C1518"/>
    <mergeCell ref="C1519:C1520"/>
    <mergeCell ref="C1521:C1522"/>
    <mergeCell ref="C1523:C1524"/>
    <mergeCell ref="C1525:C1526"/>
    <mergeCell ref="C1527:C1529"/>
    <mergeCell ref="C1360:C1362"/>
    <mergeCell ref="C1363:C1364"/>
    <mergeCell ref="C1365:C1367"/>
    <mergeCell ref="C1368:C1370"/>
    <mergeCell ref="C1371:C1373"/>
    <mergeCell ref="C1374:C1375"/>
    <mergeCell ref="C1377:C1380"/>
    <mergeCell ref="C1381:C1382"/>
    <mergeCell ref="C1383:C1384"/>
    <mergeCell ref="C1385:C1387"/>
    <mergeCell ref="C1388:C1390"/>
    <mergeCell ref="C1391:C1393"/>
    <mergeCell ref="C1394:C1395"/>
    <mergeCell ref="C1439:C1441"/>
    <mergeCell ref="C1442:C1443"/>
    <mergeCell ref="C1444:C1445"/>
    <mergeCell ref="C1446:C1447"/>
    <mergeCell ref="C1310:C1312"/>
    <mergeCell ref="C1313:C1315"/>
    <mergeCell ref="C1316:C1318"/>
    <mergeCell ref="C1319:C1321"/>
    <mergeCell ref="C1322:C1323"/>
    <mergeCell ref="C1324:C1325"/>
    <mergeCell ref="C1326:C1328"/>
    <mergeCell ref="C1329:C1331"/>
    <mergeCell ref="C1332:C1335"/>
    <mergeCell ref="C1336:C1338"/>
    <mergeCell ref="C1339:C1341"/>
    <mergeCell ref="C1342:C1344"/>
    <mergeCell ref="C1345:C1347"/>
    <mergeCell ref="C1348:C1351"/>
    <mergeCell ref="C1352:C1354"/>
    <mergeCell ref="C1355:C1356"/>
    <mergeCell ref="C1357:C1359"/>
    <mergeCell ref="C1171:C1173"/>
    <mergeCell ref="C1174:C1175"/>
    <mergeCell ref="C1176:C1177"/>
    <mergeCell ref="C1178:C1181"/>
    <mergeCell ref="C1182:C1184"/>
    <mergeCell ref="C1185:C1186"/>
    <mergeCell ref="C1187:C1189"/>
    <mergeCell ref="C1190:C1192"/>
    <mergeCell ref="C1193:C1194"/>
    <mergeCell ref="C1195:C1198"/>
    <mergeCell ref="C1199:C1201"/>
    <mergeCell ref="C1202:C1204"/>
    <mergeCell ref="C1205:C1208"/>
    <mergeCell ref="C1209:C1211"/>
    <mergeCell ref="C1212:C1213"/>
    <mergeCell ref="C1300:C1301"/>
    <mergeCell ref="C1302:C1304"/>
    <mergeCell ref="C1257:C1258"/>
    <mergeCell ref="C1259:C1260"/>
    <mergeCell ref="C1261:C1264"/>
    <mergeCell ref="C1265:C1267"/>
    <mergeCell ref="C1268:C1271"/>
    <mergeCell ref="C1272:C1274"/>
    <mergeCell ref="C1275:C1277"/>
    <mergeCell ref="C1278:C1280"/>
    <mergeCell ref="C1281:C1284"/>
    <mergeCell ref="C1285:C1287"/>
    <mergeCell ref="C1288:C1289"/>
    <mergeCell ref="C1290:C1291"/>
    <mergeCell ref="C1292:C1293"/>
    <mergeCell ref="C1294:C1296"/>
    <mergeCell ref="C1297:C1299"/>
    <mergeCell ref="C1079:C1080"/>
    <mergeCell ref="C1081:C1082"/>
    <mergeCell ref="C1083:C1085"/>
    <mergeCell ref="C1086:C1088"/>
    <mergeCell ref="C1089:C1090"/>
    <mergeCell ref="C1091:C1092"/>
    <mergeCell ref="C1093:C1094"/>
    <mergeCell ref="C1095:C1096"/>
    <mergeCell ref="C1098:C1099"/>
    <mergeCell ref="C1100:C1102"/>
    <mergeCell ref="C1103:C1105"/>
    <mergeCell ref="C1106:C1107"/>
    <mergeCell ref="C1108:C1109"/>
    <mergeCell ref="C1110:C1112"/>
    <mergeCell ref="C1113:C1114"/>
    <mergeCell ref="C1115:C1116"/>
    <mergeCell ref="C1118:C1119"/>
    <mergeCell ref="C977:C978"/>
    <mergeCell ref="C979:C981"/>
    <mergeCell ref="C982:C983"/>
    <mergeCell ref="C984:C985"/>
    <mergeCell ref="C986:C987"/>
    <mergeCell ref="C988:C989"/>
    <mergeCell ref="C990:C991"/>
    <mergeCell ref="C992:C993"/>
    <mergeCell ref="C994:C996"/>
    <mergeCell ref="C997:C998"/>
    <mergeCell ref="C999:C1000"/>
    <mergeCell ref="C1001:C1002"/>
    <mergeCell ref="C1003:C1005"/>
    <mergeCell ref="C1006:C1007"/>
    <mergeCell ref="C1008:C1009"/>
    <mergeCell ref="C1010:C1011"/>
    <mergeCell ref="C1012:C1013"/>
    <mergeCell ref="C882:C883"/>
    <mergeCell ref="C884:C885"/>
    <mergeCell ref="C886:C887"/>
    <mergeCell ref="C888:C889"/>
    <mergeCell ref="C890:C891"/>
    <mergeCell ref="C892:C893"/>
    <mergeCell ref="C894:C895"/>
    <mergeCell ref="C896:C897"/>
    <mergeCell ref="C898:C899"/>
    <mergeCell ref="C900:C901"/>
    <mergeCell ref="C902:C903"/>
    <mergeCell ref="C904:C905"/>
    <mergeCell ref="C906:C907"/>
    <mergeCell ref="C912:C913"/>
    <mergeCell ref="C914:C915"/>
    <mergeCell ref="C916:C917"/>
    <mergeCell ref="C918:C919"/>
    <mergeCell ref="C780:C783"/>
    <mergeCell ref="C784:C786"/>
    <mergeCell ref="C787:C791"/>
    <mergeCell ref="C792:C796"/>
    <mergeCell ref="C797:C799"/>
    <mergeCell ref="C800:C802"/>
    <mergeCell ref="C804:C806"/>
    <mergeCell ref="C807:C811"/>
    <mergeCell ref="C812:C813"/>
    <mergeCell ref="C814:C816"/>
    <mergeCell ref="C817:C818"/>
    <mergeCell ref="C819:C821"/>
    <mergeCell ref="C822:C824"/>
    <mergeCell ref="C874:C875"/>
    <mergeCell ref="C876:C877"/>
    <mergeCell ref="C878:C879"/>
    <mergeCell ref="C880:C881"/>
    <mergeCell ref="C825:C829"/>
    <mergeCell ref="C830:C831"/>
    <mergeCell ref="C832:C836"/>
    <mergeCell ref="C837:C841"/>
    <mergeCell ref="C842:C843"/>
    <mergeCell ref="C844:C846"/>
    <mergeCell ref="C855:C856"/>
    <mergeCell ref="C857:C858"/>
    <mergeCell ref="C859:C860"/>
    <mergeCell ref="C861:C862"/>
    <mergeCell ref="C863:C864"/>
    <mergeCell ref="C865:C866"/>
    <mergeCell ref="C867:C868"/>
    <mergeCell ref="C869:C870"/>
    <mergeCell ref="C871:C873"/>
    <mergeCell ref="C607:C609"/>
    <mergeCell ref="C610:C614"/>
    <mergeCell ref="C615:C617"/>
    <mergeCell ref="C618:C619"/>
    <mergeCell ref="C620:C622"/>
    <mergeCell ref="C623:C624"/>
    <mergeCell ref="C625:C629"/>
    <mergeCell ref="C630:C632"/>
    <mergeCell ref="C633:C637"/>
    <mergeCell ref="C638:C641"/>
    <mergeCell ref="C642:C646"/>
    <mergeCell ref="C647:C650"/>
    <mergeCell ref="C651:C652"/>
    <mergeCell ref="C653:C655"/>
    <mergeCell ref="C656:C657"/>
    <mergeCell ref="C766:C768"/>
    <mergeCell ref="C769:C771"/>
    <mergeCell ref="C712:C713"/>
    <mergeCell ref="C714:C717"/>
    <mergeCell ref="C718:C721"/>
    <mergeCell ref="C722:C724"/>
    <mergeCell ref="C725:C729"/>
    <mergeCell ref="C730:C733"/>
    <mergeCell ref="C734:C735"/>
    <mergeCell ref="C736:C739"/>
    <mergeCell ref="C740:C742"/>
    <mergeCell ref="C743:C744"/>
    <mergeCell ref="C745:C749"/>
    <mergeCell ref="C750:C752"/>
    <mergeCell ref="C754:C757"/>
    <mergeCell ref="C758:C761"/>
    <mergeCell ref="C762:C765"/>
    <mergeCell ref="C469:C472"/>
    <mergeCell ref="C473:C474"/>
    <mergeCell ref="C475:C478"/>
    <mergeCell ref="C479:C480"/>
    <mergeCell ref="C481:C483"/>
    <mergeCell ref="C484:C486"/>
    <mergeCell ref="C487:C489"/>
    <mergeCell ref="C490:C493"/>
    <mergeCell ref="C494:C497"/>
    <mergeCell ref="C498:C501"/>
    <mergeCell ref="C502:C506"/>
    <mergeCell ref="C507:C510"/>
    <mergeCell ref="C511:C512"/>
    <mergeCell ref="C513:C515"/>
    <mergeCell ref="C516:C519"/>
    <mergeCell ref="C520:C522"/>
    <mergeCell ref="C523:C527"/>
    <mergeCell ref="C278:C280"/>
    <mergeCell ref="C281:C283"/>
    <mergeCell ref="C335:C339"/>
    <mergeCell ref="C340:C343"/>
    <mergeCell ref="C344:C347"/>
    <mergeCell ref="C348:C352"/>
    <mergeCell ref="C353:C354"/>
    <mergeCell ref="C355:C360"/>
    <mergeCell ref="C361:C362"/>
    <mergeCell ref="C363:C366"/>
    <mergeCell ref="C367:C371"/>
    <mergeCell ref="C372:C373"/>
    <mergeCell ref="C374:C376"/>
    <mergeCell ref="C377:C381"/>
    <mergeCell ref="C382:C386"/>
    <mergeCell ref="C387:C388"/>
    <mergeCell ref="C389:C391"/>
    <mergeCell ref="C73:C74"/>
    <mergeCell ref="C75:C77"/>
    <mergeCell ref="C78:C80"/>
    <mergeCell ref="C81:C83"/>
    <mergeCell ref="C84:C90"/>
    <mergeCell ref="C91:C94"/>
    <mergeCell ref="C95:C97"/>
    <mergeCell ref="C98:C99"/>
    <mergeCell ref="C100:C103"/>
    <mergeCell ref="C104:C106"/>
    <mergeCell ref="C107:C111"/>
    <mergeCell ref="C112:C113"/>
    <mergeCell ref="C114:C116"/>
    <mergeCell ref="C117:C122"/>
    <mergeCell ref="C123:C127"/>
    <mergeCell ref="C128:C131"/>
    <mergeCell ref="C132:C134"/>
    <mergeCell ref="B8:B528"/>
    <mergeCell ref="B529:B854"/>
    <mergeCell ref="B855:B1097"/>
    <mergeCell ref="B1098:B1468"/>
    <mergeCell ref="B1469:B1694"/>
    <mergeCell ref="B1695:E1695"/>
    <mergeCell ref="C8:C11"/>
    <mergeCell ref="C12:C16"/>
    <mergeCell ref="C17:C23"/>
    <mergeCell ref="C24:C29"/>
    <mergeCell ref="C30:C32"/>
    <mergeCell ref="C33:C34"/>
    <mergeCell ref="C35:C36"/>
    <mergeCell ref="C37:C42"/>
    <mergeCell ref="C43:C47"/>
    <mergeCell ref="C48:C50"/>
    <mergeCell ref="C51:C54"/>
    <mergeCell ref="C55:C58"/>
    <mergeCell ref="C59:C61"/>
    <mergeCell ref="C62:C66"/>
    <mergeCell ref="C67:C69"/>
    <mergeCell ref="C70:C72"/>
    <mergeCell ref="D1617:D1620"/>
    <mergeCell ref="D1621:D1622"/>
    <mergeCell ref="D1623:D1626"/>
    <mergeCell ref="D1627:D1629"/>
    <mergeCell ref="D1630:D1633"/>
    <mergeCell ref="D1634:D1636"/>
    <mergeCell ref="D1637:D1639"/>
    <mergeCell ref="D1640:D1642"/>
    <mergeCell ref="D1643:D1645"/>
    <mergeCell ref="D1646:D1647"/>
    <mergeCell ref="D1563:D1567"/>
    <mergeCell ref="D1568:D1569"/>
    <mergeCell ref="D1516:D1518"/>
    <mergeCell ref="D1519:D1520"/>
    <mergeCell ref="D1521:D1522"/>
    <mergeCell ref="D1523:D1524"/>
    <mergeCell ref="D1525:D1526"/>
    <mergeCell ref="D1527:D1529"/>
    <mergeCell ref="D1446:D1447"/>
    <mergeCell ref="D1448:D1449"/>
    <mergeCell ref="D1450:D1453"/>
    <mergeCell ref="D1454:D1455"/>
    <mergeCell ref="D1456:D1458"/>
    <mergeCell ref="D1294:D1296"/>
    <mergeCell ref="D1297:D1299"/>
    <mergeCell ref="D1300:D1301"/>
    <mergeCell ref="D1302:D1304"/>
    <mergeCell ref="D1305:D1307"/>
    <mergeCell ref="D1308:D1309"/>
    <mergeCell ref="D1310:D1312"/>
    <mergeCell ref="D1313:D1315"/>
    <mergeCell ref="D1316:D1318"/>
    <mergeCell ref="D1319:D1321"/>
    <mergeCell ref="D1322:D1323"/>
    <mergeCell ref="D1324:D1325"/>
    <mergeCell ref="D1326:D1328"/>
    <mergeCell ref="D1329:D1331"/>
    <mergeCell ref="D1332:D1335"/>
    <mergeCell ref="D1336:D1338"/>
    <mergeCell ref="D1339:D1341"/>
    <mergeCell ref="D1342:D1344"/>
    <mergeCell ref="D1345:D1347"/>
    <mergeCell ref="D1348:D1351"/>
    <mergeCell ref="D1352:D1354"/>
    <mergeCell ref="D1261:D1264"/>
    <mergeCell ref="D1265:D1267"/>
    <mergeCell ref="D1268:D1271"/>
    <mergeCell ref="D1272:D1274"/>
    <mergeCell ref="D1275:D1277"/>
    <mergeCell ref="D1278:D1280"/>
    <mergeCell ref="D1281:D1284"/>
    <mergeCell ref="D1285:D1287"/>
    <mergeCell ref="D1288:D1289"/>
    <mergeCell ref="D1290:D1291"/>
    <mergeCell ref="D1292:D1293"/>
    <mergeCell ref="D1176:D1177"/>
    <mergeCell ref="D1178:D1181"/>
    <mergeCell ref="D1182:D1184"/>
    <mergeCell ref="D1185:D1186"/>
    <mergeCell ref="D1187:D1189"/>
    <mergeCell ref="D1190:D1192"/>
    <mergeCell ref="D1193:D1194"/>
    <mergeCell ref="D1195:D1198"/>
    <mergeCell ref="D1199:D1201"/>
    <mergeCell ref="D1202:D1204"/>
    <mergeCell ref="D1205:D1208"/>
    <mergeCell ref="D1209:D1211"/>
    <mergeCell ref="D1212:D1213"/>
    <mergeCell ref="D1257:D1258"/>
    <mergeCell ref="D1259:D1260"/>
    <mergeCell ref="D997:D998"/>
    <mergeCell ref="D999:D1000"/>
    <mergeCell ref="D1001:D1002"/>
    <mergeCell ref="D1003:D1005"/>
    <mergeCell ref="D1006:D1007"/>
    <mergeCell ref="D1008:D1009"/>
    <mergeCell ref="D1010:D1013"/>
    <mergeCell ref="D1014:D1015"/>
    <mergeCell ref="D1016:D1017"/>
    <mergeCell ref="D1018:D1019"/>
    <mergeCell ref="D890:D891"/>
    <mergeCell ref="D892:D893"/>
    <mergeCell ref="D894:D895"/>
    <mergeCell ref="D896:D897"/>
    <mergeCell ref="D898:D899"/>
    <mergeCell ref="D900:D901"/>
    <mergeCell ref="D902:D903"/>
    <mergeCell ref="D904:D905"/>
    <mergeCell ref="D906:D907"/>
    <mergeCell ref="D908:D909"/>
    <mergeCell ref="D910:D911"/>
    <mergeCell ref="D912:D913"/>
    <mergeCell ref="D914:D915"/>
    <mergeCell ref="D916:D917"/>
    <mergeCell ref="D918:D919"/>
    <mergeCell ref="D930:D931"/>
    <mergeCell ref="D932:D933"/>
    <mergeCell ref="D934:D935"/>
    <mergeCell ref="D936:D937"/>
    <mergeCell ref="D938:D939"/>
    <mergeCell ref="D940:D941"/>
    <mergeCell ref="D942:D943"/>
    <mergeCell ref="D416:D417"/>
    <mergeCell ref="D418:D419"/>
    <mergeCell ref="D420:D423"/>
    <mergeCell ref="D424:D425"/>
    <mergeCell ref="D426:D428"/>
    <mergeCell ref="D429:D432"/>
    <mergeCell ref="D433:D434"/>
    <mergeCell ref="D435:D436"/>
    <mergeCell ref="D861:D862"/>
    <mergeCell ref="D863:D864"/>
    <mergeCell ref="D677:D681"/>
    <mergeCell ref="D682:D684"/>
    <mergeCell ref="D685:D690"/>
    <mergeCell ref="D691:D694"/>
    <mergeCell ref="D695:D698"/>
    <mergeCell ref="D699:D702"/>
    <mergeCell ref="D703:D705"/>
    <mergeCell ref="D706:D708"/>
    <mergeCell ref="D709:D711"/>
    <mergeCell ref="D712:D713"/>
    <mergeCell ref="D714:D717"/>
    <mergeCell ref="D718:D721"/>
    <mergeCell ref="D722:D724"/>
    <mergeCell ref="D725:D729"/>
    <mergeCell ref="D730:D733"/>
    <mergeCell ref="D454:D456"/>
    <mergeCell ref="D457:D459"/>
    <mergeCell ref="D460:D462"/>
    <mergeCell ref="D441:D445"/>
    <mergeCell ref="D446:D448"/>
    <mergeCell ref="D449:D452"/>
    <mergeCell ref="D463:D464"/>
    <mergeCell ref="D437:D438"/>
    <mergeCell ref="D439:D440"/>
    <mergeCell ref="D324:D327"/>
    <mergeCell ref="D328:D331"/>
    <mergeCell ref="D332:D334"/>
    <mergeCell ref="D335:D339"/>
    <mergeCell ref="D340:D343"/>
    <mergeCell ref="D344:D347"/>
    <mergeCell ref="D348:D352"/>
    <mergeCell ref="D353:D354"/>
    <mergeCell ref="D355:D360"/>
    <mergeCell ref="D361:D362"/>
    <mergeCell ref="D363:D366"/>
    <mergeCell ref="D367:D371"/>
    <mergeCell ref="D98:D99"/>
    <mergeCell ref="D100:D103"/>
    <mergeCell ref="D104:D106"/>
    <mergeCell ref="D107:D111"/>
    <mergeCell ref="D112:D113"/>
    <mergeCell ref="D114:D116"/>
    <mergeCell ref="D117:D122"/>
    <mergeCell ref="D123:D127"/>
    <mergeCell ref="D128:D131"/>
    <mergeCell ref="D132:D134"/>
    <mergeCell ref="D135:D138"/>
    <mergeCell ref="D139:D140"/>
    <mergeCell ref="D141:D144"/>
    <mergeCell ref="D145:D148"/>
    <mergeCell ref="D149:D152"/>
    <mergeCell ref="D178:D179"/>
    <mergeCell ref="D180:D182"/>
    <mergeCell ref="D411:D415"/>
    <mergeCell ref="C1542:C1543"/>
    <mergeCell ref="C1544:C1546"/>
    <mergeCell ref="C1396:C1398"/>
    <mergeCell ref="C1399:C1401"/>
    <mergeCell ref="C1402:C1404"/>
    <mergeCell ref="C1405:C1406"/>
    <mergeCell ref="C1407:C1409"/>
    <mergeCell ref="C1410:C1412"/>
    <mergeCell ref="C1413:C1415"/>
    <mergeCell ref="C1416:C1418"/>
    <mergeCell ref="C1419:C1422"/>
    <mergeCell ref="C1423:C1425"/>
    <mergeCell ref="C1426:C1428"/>
    <mergeCell ref="C1429:C1430"/>
    <mergeCell ref="C1431:C1433"/>
    <mergeCell ref="C1434:C1435"/>
    <mergeCell ref="C1436:C1438"/>
    <mergeCell ref="C1448:C1449"/>
    <mergeCell ref="C1450:C1453"/>
    <mergeCell ref="C1454:C1455"/>
    <mergeCell ref="C1456:C1458"/>
    <mergeCell ref="C1459:C1462"/>
    <mergeCell ref="C1469:C1471"/>
    <mergeCell ref="C1472:C1474"/>
    <mergeCell ref="C1475:C1476"/>
    <mergeCell ref="C1477:C1479"/>
    <mergeCell ref="C1480:C1482"/>
    <mergeCell ref="C1483:C1485"/>
    <mergeCell ref="C1486:C1487"/>
    <mergeCell ref="C1488:C1489"/>
    <mergeCell ref="C1530:C1532"/>
    <mergeCell ref="C1533:C1534"/>
    <mergeCell ref="C1305:C1307"/>
    <mergeCell ref="C1308:C1309"/>
    <mergeCell ref="C1214:C1217"/>
    <mergeCell ref="C1218:C1219"/>
    <mergeCell ref="C1220:C1222"/>
    <mergeCell ref="C1223:C1224"/>
    <mergeCell ref="C1225:C1228"/>
    <mergeCell ref="C1229:C1230"/>
    <mergeCell ref="C1231:C1232"/>
    <mergeCell ref="C1233:C1235"/>
    <mergeCell ref="C1236:C1238"/>
    <mergeCell ref="C1239:C1241"/>
    <mergeCell ref="C1242:C1244"/>
    <mergeCell ref="C1245:C1248"/>
    <mergeCell ref="C1249:C1251"/>
    <mergeCell ref="C1252:C1254"/>
    <mergeCell ref="C1255:C1256"/>
    <mergeCell ref="C1120:C1122"/>
    <mergeCell ref="C1123:C1125"/>
    <mergeCell ref="C1126:C1128"/>
    <mergeCell ref="C1129:C1130"/>
    <mergeCell ref="C1131:C1132"/>
    <mergeCell ref="C1133:C1135"/>
    <mergeCell ref="C1137:C1141"/>
    <mergeCell ref="C1142:C1144"/>
    <mergeCell ref="C1145:C1147"/>
    <mergeCell ref="C1148:C1150"/>
    <mergeCell ref="C1151:C1153"/>
    <mergeCell ref="C1155:C1157"/>
    <mergeCell ref="C1158:C1160"/>
    <mergeCell ref="C1161:C1163"/>
    <mergeCell ref="C1164:C1166"/>
    <mergeCell ref="C1167:C1168"/>
    <mergeCell ref="C1169:C1170"/>
    <mergeCell ref="C1044:C1045"/>
    <mergeCell ref="C1046:C1047"/>
    <mergeCell ref="C1048:C1049"/>
    <mergeCell ref="C1050:C1051"/>
    <mergeCell ref="C1052:C1054"/>
    <mergeCell ref="C1055:C1056"/>
    <mergeCell ref="C1057:C1058"/>
    <mergeCell ref="C1059:C1061"/>
    <mergeCell ref="C1062:C1063"/>
    <mergeCell ref="C1064:C1065"/>
    <mergeCell ref="C1066:C1067"/>
    <mergeCell ref="C1068:C1069"/>
    <mergeCell ref="C1070:C1072"/>
    <mergeCell ref="C1073:C1074"/>
    <mergeCell ref="C1075:C1076"/>
    <mergeCell ref="C1014:C1015"/>
    <mergeCell ref="C1016:C1017"/>
    <mergeCell ref="C1018:C1019"/>
    <mergeCell ref="C1020:C1021"/>
    <mergeCell ref="C1022:C1023"/>
    <mergeCell ref="C1024:C1025"/>
    <mergeCell ref="C1026:C1027"/>
    <mergeCell ref="C1028:C1029"/>
    <mergeCell ref="C1030:C1031"/>
    <mergeCell ref="C1032:C1033"/>
    <mergeCell ref="C1034:C1035"/>
    <mergeCell ref="C1036:C1037"/>
    <mergeCell ref="C1038:C1039"/>
    <mergeCell ref="C1040:C1041"/>
    <mergeCell ref="C1042:C1043"/>
    <mergeCell ref="C947:C948"/>
    <mergeCell ref="C949:C950"/>
    <mergeCell ref="C951:C952"/>
    <mergeCell ref="C953:C954"/>
    <mergeCell ref="C955:C956"/>
    <mergeCell ref="C957:C958"/>
    <mergeCell ref="C959:C960"/>
    <mergeCell ref="C961:C962"/>
    <mergeCell ref="C963:C964"/>
    <mergeCell ref="C965:C966"/>
    <mergeCell ref="C967:C968"/>
    <mergeCell ref="C969:C970"/>
    <mergeCell ref="C971:C972"/>
    <mergeCell ref="C973:C974"/>
    <mergeCell ref="C975:C976"/>
    <mergeCell ref="C908:C909"/>
    <mergeCell ref="C910:C911"/>
    <mergeCell ref="C920:C921"/>
    <mergeCell ref="C922:C923"/>
    <mergeCell ref="C924:C925"/>
    <mergeCell ref="C926:C927"/>
    <mergeCell ref="C928:C929"/>
    <mergeCell ref="C930:C931"/>
    <mergeCell ref="C932:C933"/>
    <mergeCell ref="C934:C935"/>
    <mergeCell ref="C936:C937"/>
    <mergeCell ref="C938:C939"/>
    <mergeCell ref="C940:C941"/>
    <mergeCell ref="C942:C943"/>
    <mergeCell ref="C944:C946"/>
    <mergeCell ref="C772:C775"/>
    <mergeCell ref="C776:C779"/>
    <mergeCell ref="C658:C659"/>
    <mergeCell ref="C660:C663"/>
    <mergeCell ref="C664:C667"/>
    <mergeCell ref="C668:C670"/>
    <mergeCell ref="C671:C673"/>
    <mergeCell ref="C674:C676"/>
    <mergeCell ref="C677:C681"/>
    <mergeCell ref="C682:C684"/>
    <mergeCell ref="C685:C690"/>
    <mergeCell ref="C691:C694"/>
    <mergeCell ref="C695:C698"/>
    <mergeCell ref="C699:C702"/>
    <mergeCell ref="C703:C705"/>
    <mergeCell ref="C706:C708"/>
    <mergeCell ref="C709:C711"/>
    <mergeCell ref="C529:C533"/>
    <mergeCell ref="C534:C537"/>
    <mergeCell ref="C538:C542"/>
    <mergeCell ref="C543:C546"/>
    <mergeCell ref="C547:C549"/>
    <mergeCell ref="C550:C551"/>
    <mergeCell ref="C552:C553"/>
    <mergeCell ref="C554:C556"/>
    <mergeCell ref="C557:C559"/>
    <mergeCell ref="C560:C562"/>
    <mergeCell ref="C563:C566"/>
    <mergeCell ref="C567:C571"/>
    <mergeCell ref="C572:C574"/>
    <mergeCell ref="C575:C577"/>
    <mergeCell ref="C578:C579"/>
    <mergeCell ref="C599:C602"/>
    <mergeCell ref="C603:C606"/>
    <mergeCell ref="C416:C417"/>
    <mergeCell ref="C418:C419"/>
    <mergeCell ref="C420:C423"/>
    <mergeCell ref="C424:C425"/>
    <mergeCell ref="C426:C428"/>
    <mergeCell ref="C429:C432"/>
    <mergeCell ref="C433:C434"/>
    <mergeCell ref="C435:C436"/>
    <mergeCell ref="C437:C438"/>
    <mergeCell ref="C439:C440"/>
    <mergeCell ref="C441:C445"/>
    <mergeCell ref="C284:C287"/>
    <mergeCell ref="C288:C289"/>
    <mergeCell ref="C290:C293"/>
    <mergeCell ref="C294:C296"/>
    <mergeCell ref="C297:C298"/>
    <mergeCell ref="C299:C301"/>
    <mergeCell ref="C302:C306"/>
    <mergeCell ref="C308:C309"/>
    <mergeCell ref="C310:C312"/>
    <mergeCell ref="C313:C316"/>
    <mergeCell ref="C317:C319"/>
    <mergeCell ref="C320:C323"/>
    <mergeCell ref="C324:C327"/>
    <mergeCell ref="C328:C331"/>
    <mergeCell ref="C332:C334"/>
    <mergeCell ref="C392:C395"/>
    <mergeCell ref="C396:C399"/>
    <mergeCell ref="C216:C219"/>
    <mergeCell ref="C220:C222"/>
    <mergeCell ref="C223:C227"/>
    <mergeCell ref="C135:C138"/>
    <mergeCell ref="C139:C140"/>
    <mergeCell ref="C141:C144"/>
    <mergeCell ref="C145:C148"/>
    <mergeCell ref="C149:C152"/>
    <mergeCell ref="C153:C157"/>
    <mergeCell ref="C158:C161"/>
    <mergeCell ref="C162:C164"/>
    <mergeCell ref="C165:C169"/>
    <mergeCell ref="C170:C171"/>
    <mergeCell ref="C400:C404"/>
    <mergeCell ref="C405:C407"/>
    <mergeCell ref="C408:C410"/>
    <mergeCell ref="C411:C415"/>
    <mergeCell ref="C228:C231"/>
    <mergeCell ref="C232:C234"/>
    <mergeCell ref="C235:C239"/>
    <mergeCell ref="C240:C243"/>
    <mergeCell ref="C244:C247"/>
    <mergeCell ref="C248:C251"/>
    <mergeCell ref="C252:C256"/>
    <mergeCell ref="C258:C260"/>
    <mergeCell ref="C261:C264"/>
    <mergeCell ref="C265:C266"/>
    <mergeCell ref="C267:C269"/>
    <mergeCell ref="C270:C271"/>
    <mergeCell ref="C272:C273"/>
    <mergeCell ref="C274:C275"/>
    <mergeCell ref="C276:C277"/>
    <mergeCell ref="D2:K2"/>
    <mergeCell ref="D3:J3"/>
    <mergeCell ref="D1120:D1122"/>
    <mergeCell ref="D1123:D1125"/>
    <mergeCell ref="C1077:C1078"/>
    <mergeCell ref="C446:C448"/>
    <mergeCell ref="C449:C452"/>
    <mergeCell ref="C454:C456"/>
    <mergeCell ref="C457:C459"/>
    <mergeCell ref="C460:C462"/>
    <mergeCell ref="C463:C464"/>
    <mergeCell ref="C465:C468"/>
    <mergeCell ref="D1028:D1029"/>
    <mergeCell ref="D1030:D1031"/>
    <mergeCell ref="C581:C583"/>
    <mergeCell ref="C584:C585"/>
    <mergeCell ref="C586:C588"/>
    <mergeCell ref="C589:C591"/>
    <mergeCell ref="C592:C595"/>
    <mergeCell ref="C597:C598"/>
    <mergeCell ref="C172:C177"/>
    <mergeCell ref="C178:C179"/>
    <mergeCell ref="C180:C182"/>
    <mergeCell ref="C183:C185"/>
    <mergeCell ref="C186:C190"/>
    <mergeCell ref="C191:C194"/>
    <mergeCell ref="C195:C197"/>
    <mergeCell ref="C198:C200"/>
    <mergeCell ref="C201:C204"/>
    <mergeCell ref="C205:C207"/>
    <mergeCell ref="C208:C211"/>
    <mergeCell ref="C212:C215"/>
  </mergeCells>
  <printOptions horizontalCentered="1" verticalCentered="1"/>
  <pageMargins left="0.51181102362204722" right="0.47244094488188981" top="0.35433070866141736" bottom="0.39370078740157483" header="0" footer="0"/>
  <pageSetup scale="66" fitToHeight="0" orientation="landscape" r:id="rId2"/>
  <headerFooter alignWithMargins="0">
    <oddFooter>&amp;C&amp;P&amp;RElaborado por EQUILIBRIUM Inmobiliario S.A.S</oddFooter>
  </headerFooter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8">
    <pageSetUpPr fitToPage="1"/>
  </sheetPr>
  <dimension ref="A1:N94"/>
  <sheetViews>
    <sheetView showGridLines="0" zoomScale="115" zoomScaleNormal="115" workbookViewId="0">
      <pane xSplit="1" ySplit="10" topLeftCell="D56" activePane="bottomRight" state="frozen"/>
      <selection activeCell="B9" sqref="B9:C9"/>
      <selection pane="topRight" activeCell="B9" sqref="B9:C9"/>
      <selection pane="bottomLeft" activeCell="B9" sqref="B9:C9"/>
      <selection pane="bottomRight" activeCell="G64" sqref="G64"/>
    </sheetView>
  </sheetViews>
  <sheetFormatPr baseColWidth="10" defaultColWidth="0" defaultRowHeight="12.75" x14ac:dyDescent="0.2"/>
  <cols>
    <col min="1" max="1" width="17.42578125" style="366" customWidth="1"/>
    <col min="2" max="2" width="17.42578125" style="366" bestFit="1" customWidth="1"/>
    <col min="3" max="3" width="17.5703125" style="366" bestFit="1" customWidth="1"/>
    <col min="4" max="4" width="15.5703125" style="433" bestFit="1" customWidth="1"/>
    <col min="5" max="5" width="16.140625" style="434" customWidth="1"/>
    <col min="6" max="6" width="15" style="434" bestFit="1" customWidth="1"/>
    <col min="7" max="7" width="19.42578125" style="434" bestFit="1" customWidth="1"/>
    <col min="8" max="8" width="9.42578125" style="434" bestFit="1" customWidth="1"/>
    <col min="9" max="9" width="18.28515625" style="434" customWidth="1"/>
    <col min="10" max="10" width="17.42578125" style="434" bestFit="1" customWidth="1"/>
    <col min="11" max="11" width="16.42578125" style="366" customWidth="1"/>
    <col min="12" max="14" width="2.140625" style="366" customWidth="1"/>
    <col min="15" max="16384" width="11.42578125" style="366" hidden="1"/>
  </cols>
  <sheetData>
    <row r="1" spans="1:13" ht="21" customHeight="1" x14ac:dyDescent="0.2">
      <c r="A1" s="400"/>
      <c r="B1" s="400"/>
      <c r="C1" s="400"/>
      <c r="D1" s="400"/>
      <c r="E1" s="400"/>
      <c r="F1" s="400"/>
      <c r="G1" s="400"/>
      <c r="H1" s="400"/>
      <c r="I1" s="401"/>
      <c r="J1" s="401"/>
      <c r="K1" s="400"/>
    </row>
    <row r="2" spans="1:13" ht="24" customHeight="1" x14ac:dyDescent="0.35">
      <c r="A2" s="400"/>
      <c r="B2" s="889" t="s">
        <v>67</v>
      </c>
      <c r="C2" s="889"/>
      <c r="D2" s="889"/>
      <c r="E2" s="889"/>
      <c r="F2" s="889"/>
      <c r="G2" s="889"/>
      <c r="H2" s="889"/>
      <c r="I2" s="402"/>
      <c r="J2" s="402"/>
      <c r="K2" s="400"/>
    </row>
    <row r="3" spans="1:13" s="405" customFormat="1" ht="18.75" x14ac:dyDescent="0.3">
      <c r="A3" s="403"/>
      <c r="B3" s="890">
        <f>+'Datos globales '!B10:C10</f>
        <v>45900</v>
      </c>
      <c r="C3" s="890"/>
      <c r="D3" s="890"/>
      <c r="E3" s="890"/>
      <c r="F3" s="890"/>
      <c r="G3" s="890"/>
      <c r="H3" s="890"/>
      <c r="I3" s="404"/>
      <c r="J3" s="404"/>
      <c r="K3" s="403"/>
      <c r="L3" s="366"/>
      <c r="M3" s="366"/>
    </row>
    <row r="4" spans="1:13" ht="0.75" customHeight="1" x14ac:dyDescent="0.2">
      <c r="A4" s="400"/>
      <c r="B4" s="400"/>
      <c r="C4" s="400"/>
      <c r="D4" s="400"/>
      <c r="E4" s="400"/>
      <c r="F4" s="400"/>
      <c r="G4" s="400"/>
      <c r="H4" s="400"/>
      <c r="I4" s="400"/>
      <c r="J4" s="400"/>
      <c r="K4" s="400"/>
    </row>
    <row r="5" spans="1:13" ht="20.100000000000001" customHeight="1" x14ac:dyDescent="0.2">
      <c r="A5" s="400"/>
      <c r="B5" s="400"/>
      <c r="C5" s="437" t="s">
        <v>68</v>
      </c>
      <c r="D5" s="406">
        <f>+F64</f>
        <v>576</v>
      </c>
      <c r="E5" s="407"/>
      <c r="F5" s="439" t="s">
        <v>69</v>
      </c>
      <c r="G5" s="440"/>
      <c r="H5" s="893">
        <f>D64</f>
        <v>87</v>
      </c>
      <c r="I5" s="894"/>
      <c r="J5" s="408"/>
      <c r="K5" s="400"/>
    </row>
    <row r="6" spans="1:13" x14ac:dyDescent="0.2">
      <c r="A6" s="400"/>
      <c r="B6" s="400"/>
      <c r="C6" s="438" t="s">
        <v>70</v>
      </c>
      <c r="D6" s="409">
        <f>+J64</f>
        <v>226347799819</v>
      </c>
      <c r="E6" s="407"/>
      <c r="F6" s="439" t="s">
        <v>70</v>
      </c>
      <c r="G6" s="440"/>
      <c r="H6" s="891">
        <f>+E64</f>
        <v>33782555252</v>
      </c>
      <c r="I6" s="892"/>
      <c r="J6" s="410"/>
      <c r="K6" s="400"/>
    </row>
    <row r="7" spans="1:13" x14ac:dyDescent="0.2">
      <c r="A7" s="400"/>
      <c r="B7" s="400"/>
      <c r="C7" s="438" t="s">
        <v>71</v>
      </c>
      <c r="D7" s="406">
        <f>SUM(F64)/COUNTA(A11:A62)</f>
        <v>11.076923076923077</v>
      </c>
      <c r="E7" s="400"/>
      <c r="F7" s="400"/>
      <c r="G7" s="400"/>
      <c r="H7" s="400"/>
      <c r="I7" s="411"/>
      <c r="J7" s="411"/>
      <c r="K7" s="400"/>
    </row>
    <row r="8" spans="1:13" ht="3.75" customHeight="1" x14ac:dyDescent="0.2">
      <c r="A8" s="400"/>
      <c r="B8" s="400"/>
      <c r="C8" s="400"/>
      <c r="D8" s="400"/>
      <c r="E8" s="400"/>
      <c r="F8" s="400"/>
      <c r="G8" s="400"/>
      <c r="H8" s="400"/>
      <c r="I8" s="400"/>
      <c r="J8" s="400"/>
      <c r="K8" s="400"/>
    </row>
    <row r="9" spans="1:13" ht="9.75" hidden="1" customHeight="1" x14ac:dyDescent="0.2">
      <c r="A9" s="400"/>
      <c r="B9" s="400"/>
      <c r="C9" s="400"/>
      <c r="D9" s="400"/>
      <c r="E9" s="400"/>
      <c r="F9" s="400"/>
      <c r="G9" s="400"/>
      <c r="H9" s="400"/>
      <c r="I9" s="412"/>
      <c r="J9" s="412"/>
      <c r="K9" s="400"/>
    </row>
    <row r="10" spans="1:13" s="413" customFormat="1" ht="25.5" x14ac:dyDescent="0.2">
      <c r="A10" s="767" t="s">
        <v>27</v>
      </c>
      <c r="B10" s="767" t="s">
        <v>142</v>
      </c>
      <c r="C10" s="435" t="s">
        <v>72</v>
      </c>
      <c r="D10" s="769" t="s">
        <v>73</v>
      </c>
      <c r="E10" s="769" t="s">
        <v>74</v>
      </c>
      <c r="F10" s="436" t="s">
        <v>127</v>
      </c>
      <c r="G10" s="435" t="s">
        <v>434</v>
      </c>
      <c r="H10" s="435" t="s">
        <v>433</v>
      </c>
      <c r="I10" s="435" t="s">
        <v>435</v>
      </c>
      <c r="J10" s="768" t="s">
        <v>436</v>
      </c>
      <c r="K10" s="768" t="s">
        <v>851</v>
      </c>
    </row>
    <row r="11" spans="1:13" s="418" customFormat="1" ht="15" customHeight="1" x14ac:dyDescent="0.2">
      <c r="A11" s="500">
        <v>44317</v>
      </c>
      <c r="B11" s="414">
        <v>0</v>
      </c>
      <c r="C11" s="415"/>
      <c r="D11" s="416"/>
      <c r="E11" s="417"/>
      <c r="F11" s="670">
        <f>+B11-D11</f>
        <v>0</v>
      </c>
      <c r="G11" s="671">
        <f>+C11-E11</f>
        <v>0</v>
      </c>
      <c r="H11" s="672"/>
      <c r="I11" s="671"/>
      <c r="J11" s="673">
        <f>+I11+G11</f>
        <v>0</v>
      </c>
      <c r="K11" s="672">
        <v>0</v>
      </c>
    </row>
    <row r="12" spans="1:13" s="418" customFormat="1" x14ac:dyDescent="0.2">
      <c r="A12" s="500">
        <v>44348</v>
      </c>
      <c r="B12" s="414">
        <v>117</v>
      </c>
      <c r="C12" s="415">
        <v>33324963064</v>
      </c>
      <c r="D12" s="416">
        <v>0</v>
      </c>
      <c r="E12" s="417">
        <v>0</v>
      </c>
      <c r="F12" s="670">
        <f t="shared" ref="F12:F29" si="0">+B12-D12</f>
        <v>117</v>
      </c>
      <c r="G12" s="671">
        <f>+C12-E12</f>
        <v>33324963064</v>
      </c>
      <c r="H12" s="671">
        <v>232</v>
      </c>
      <c r="I12" s="671">
        <v>3149000000</v>
      </c>
      <c r="J12" s="673">
        <f t="shared" ref="J12:J29" si="1">+I12+G12</f>
        <v>36473963064</v>
      </c>
      <c r="K12" s="672">
        <v>0</v>
      </c>
    </row>
    <row r="13" spans="1:13" s="418" customFormat="1" x14ac:dyDescent="0.2">
      <c r="A13" s="500">
        <v>44378</v>
      </c>
      <c r="B13" s="414">
        <v>32</v>
      </c>
      <c r="C13" s="415">
        <v>9377136142</v>
      </c>
      <c r="D13" s="416">
        <v>1</v>
      </c>
      <c r="E13" s="417">
        <v>277000000</v>
      </c>
      <c r="F13" s="670">
        <f t="shared" si="0"/>
        <v>31</v>
      </c>
      <c r="G13" s="671">
        <f>+C13-E13</f>
        <v>9100136142</v>
      </c>
      <c r="H13" s="671">
        <v>60</v>
      </c>
      <c r="I13" s="671">
        <v>827000000</v>
      </c>
      <c r="J13" s="673">
        <f>+I13+G13</f>
        <v>9927136142</v>
      </c>
      <c r="K13" s="672">
        <v>0</v>
      </c>
    </row>
    <row r="14" spans="1:13" s="418" customFormat="1" x14ac:dyDescent="0.2">
      <c r="A14" s="500">
        <v>44409</v>
      </c>
      <c r="B14" s="414">
        <v>5</v>
      </c>
      <c r="C14" s="415">
        <v>1606852284</v>
      </c>
      <c r="D14" s="781">
        <v>3</v>
      </c>
      <c r="E14" s="417">
        <v>990539358</v>
      </c>
      <c r="F14" s="670">
        <f t="shared" si="0"/>
        <v>2</v>
      </c>
      <c r="G14" s="671">
        <f t="shared" ref="G14:G29" si="2">+C14-E14</f>
        <v>616312926</v>
      </c>
      <c r="H14" s="671">
        <v>4</v>
      </c>
      <c r="I14" s="671">
        <v>54000000</v>
      </c>
      <c r="J14" s="673">
        <f t="shared" si="1"/>
        <v>670312926</v>
      </c>
      <c r="K14" s="672">
        <v>0</v>
      </c>
    </row>
    <row r="15" spans="1:13" s="418" customFormat="1" x14ac:dyDescent="0.2">
      <c r="A15" s="500">
        <v>44440</v>
      </c>
      <c r="B15" s="414">
        <v>18</v>
      </c>
      <c r="C15" s="415">
        <v>5412855504</v>
      </c>
      <c r="D15" s="416">
        <v>4</v>
      </c>
      <c r="E15" s="417">
        <v>1240656304</v>
      </c>
      <c r="F15" s="670">
        <f t="shared" si="0"/>
        <v>14</v>
      </c>
      <c r="G15" s="671">
        <f t="shared" si="2"/>
        <v>4172199200</v>
      </c>
      <c r="H15" s="671">
        <v>27</v>
      </c>
      <c r="I15" s="671">
        <v>373000000</v>
      </c>
      <c r="J15" s="673">
        <f t="shared" si="1"/>
        <v>4545199200</v>
      </c>
      <c r="K15" s="672">
        <v>0</v>
      </c>
    </row>
    <row r="16" spans="1:13" s="418" customFormat="1" x14ac:dyDescent="0.2">
      <c r="A16" s="500">
        <v>44470</v>
      </c>
      <c r="B16" s="414">
        <v>15</v>
      </c>
      <c r="C16" s="415">
        <v>4660996734</v>
      </c>
      <c r="D16" s="416">
        <v>3</v>
      </c>
      <c r="E16" s="417">
        <v>953802995</v>
      </c>
      <c r="F16" s="670">
        <f t="shared" si="0"/>
        <v>12</v>
      </c>
      <c r="G16" s="671">
        <f t="shared" si="2"/>
        <v>3707193739</v>
      </c>
      <c r="H16" s="671">
        <v>24</v>
      </c>
      <c r="I16" s="671">
        <v>324000000</v>
      </c>
      <c r="J16" s="673">
        <f t="shared" si="1"/>
        <v>4031193739</v>
      </c>
      <c r="K16" s="672">
        <v>0</v>
      </c>
    </row>
    <row r="17" spans="1:11" s="418" customFormat="1" x14ac:dyDescent="0.2">
      <c r="A17" s="500">
        <v>44501</v>
      </c>
      <c r="B17" s="414">
        <v>26</v>
      </c>
      <c r="C17" s="415">
        <v>7788208986</v>
      </c>
      <c r="D17" s="416">
        <v>0</v>
      </c>
      <c r="E17" s="417">
        <v>0</v>
      </c>
      <c r="F17" s="670">
        <f t="shared" si="0"/>
        <v>26</v>
      </c>
      <c r="G17" s="671">
        <f t="shared" si="2"/>
        <v>7788208986</v>
      </c>
      <c r="H17" s="671">
        <v>51</v>
      </c>
      <c r="I17" s="671">
        <v>697000000</v>
      </c>
      <c r="J17" s="673">
        <f t="shared" si="1"/>
        <v>8485208986</v>
      </c>
      <c r="K17" s="672">
        <v>0</v>
      </c>
    </row>
    <row r="18" spans="1:11" s="418" customFormat="1" x14ac:dyDescent="0.2">
      <c r="A18" s="500">
        <v>44531</v>
      </c>
      <c r="B18" s="414">
        <v>3</v>
      </c>
      <c r="C18" s="415">
        <v>960768610</v>
      </c>
      <c r="D18" s="416">
        <v>0</v>
      </c>
      <c r="E18" s="417">
        <v>0</v>
      </c>
      <c r="F18" s="670">
        <f t="shared" si="0"/>
        <v>3</v>
      </c>
      <c r="G18" s="671">
        <f t="shared" si="2"/>
        <v>960768610</v>
      </c>
      <c r="H18" s="671">
        <v>4</v>
      </c>
      <c r="I18" s="671">
        <v>71000000</v>
      </c>
      <c r="J18" s="673">
        <f t="shared" si="1"/>
        <v>1031768610</v>
      </c>
      <c r="K18" s="672">
        <v>0</v>
      </c>
    </row>
    <row r="19" spans="1:11" s="418" customFormat="1" x14ac:dyDescent="0.2">
      <c r="A19" s="500">
        <v>44562</v>
      </c>
      <c r="B19" s="414">
        <v>13</v>
      </c>
      <c r="C19" s="415">
        <v>4154744904</v>
      </c>
      <c r="D19" s="416">
        <v>2</v>
      </c>
      <c r="E19" s="417">
        <v>671268000</v>
      </c>
      <c r="F19" s="670">
        <f t="shared" si="0"/>
        <v>11</v>
      </c>
      <c r="G19" s="671">
        <f t="shared" si="2"/>
        <v>3483476904</v>
      </c>
      <c r="H19" s="671">
        <v>11</v>
      </c>
      <c r="I19" s="671">
        <v>242000000</v>
      </c>
      <c r="J19" s="673">
        <f t="shared" si="1"/>
        <v>3725476904</v>
      </c>
      <c r="K19" s="672">
        <v>0</v>
      </c>
    </row>
    <row r="20" spans="1:11" s="418" customFormat="1" x14ac:dyDescent="0.2">
      <c r="A20" s="500">
        <v>44593</v>
      </c>
      <c r="B20" s="414">
        <v>23</v>
      </c>
      <c r="C20" s="415">
        <v>7378317274</v>
      </c>
      <c r="D20" s="416">
        <v>0</v>
      </c>
      <c r="E20" s="417">
        <v>0</v>
      </c>
      <c r="F20" s="670">
        <f t="shared" si="0"/>
        <v>23</v>
      </c>
      <c r="G20" s="671">
        <f t="shared" si="2"/>
        <v>7378317274</v>
      </c>
      <c r="H20" s="671">
        <v>44</v>
      </c>
      <c r="I20" s="671">
        <v>631000000</v>
      </c>
      <c r="J20" s="673">
        <f t="shared" si="1"/>
        <v>8009317274</v>
      </c>
      <c r="K20" s="672">
        <v>0</v>
      </c>
    </row>
    <row r="21" spans="1:11" s="418" customFormat="1" x14ac:dyDescent="0.2">
      <c r="A21" s="500">
        <v>44621</v>
      </c>
      <c r="B21" s="414">
        <v>22</v>
      </c>
      <c r="C21" s="415">
        <v>7084849061</v>
      </c>
      <c r="D21" s="416">
        <v>3</v>
      </c>
      <c r="E21" s="417">
        <v>1047246463</v>
      </c>
      <c r="F21" s="670">
        <f t="shared" si="0"/>
        <v>19</v>
      </c>
      <c r="G21" s="671">
        <f t="shared" si="2"/>
        <v>6037602598</v>
      </c>
      <c r="H21" s="671">
        <v>35</v>
      </c>
      <c r="I21" s="671">
        <v>514000000</v>
      </c>
      <c r="J21" s="673">
        <f t="shared" si="1"/>
        <v>6551602598</v>
      </c>
      <c r="K21" s="672">
        <v>0</v>
      </c>
    </row>
    <row r="22" spans="1:11" s="418" customFormat="1" x14ac:dyDescent="0.2">
      <c r="A22" s="500">
        <v>44652</v>
      </c>
      <c r="B22" s="414">
        <v>24</v>
      </c>
      <c r="C22" s="415">
        <v>8151567476</v>
      </c>
      <c r="D22" s="416">
        <v>2</v>
      </c>
      <c r="E22" s="417">
        <v>725323500</v>
      </c>
      <c r="F22" s="670">
        <f t="shared" si="0"/>
        <v>22</v>
      </c>
      <c r="G22" s="671">
        <f t="shared" si="2"/>
        <v>7426243976</v>
      </c>
      <c r="H22" s="671">
        <v>43</v>
      </c>
      <c r="I22" s="671">
        <v>609000000</v>
      </c>
      <c r="J22" s="673">
        <f t="shared" si="1"/>
        <v>8035243976</v>
      </c>
      <c r="K22" s="672">
        <v>0</v>
      </c>
    </row>
    <row r="23" spans="1:11" s="418" customFormat="1" x14ac:dyDescent="0.2">
      <c r="A23" s="500">
        <v>44682</v>
      </c>
      <c r="B23" s="414">
        <v>14</v>
      </c>
      <c r="C23" s="415">
        <v>4913592141</v>
      </c>
      <c r="D23" s="416">
        <v>1</v>
      </c>
      <c r="E23" s="417">
        <v>347185600</v>
      </c>
      <c r="F23" s="670">
        <f t="shared" si="0"/>
        <v>13</v>
      </c>
      <c r="G23" s="671">
        <f>+C23-E23</f>
        <v>4566406541</v>
      </c>
      <c r="H23" s="671">
        <v>25</v>
      </c>
      <c r="I23" s="671">
        <v>360000000</v>
      </c>
      <c r="J23" s="673">
        <f t="shared" si="1"/>
        <v>4926406541</v>
      </c>
      <c r="K23" s="672">
        <v>0</v>
      </c>
    </row>
    <row r="24" spans="1:11" s="418" customFormat="1" x14ac:dyDescent="0.2">
      <c r="A24" s="500">
        <v>44713</v>
      </c>
      <c r="B24" s="414">
        <v>3</v>
      </c>
      <c r="C24" s="415">
        <v>1073449104</v>
      </c>
      <c r="D24" s="416">
        <v>0</v>
      </c>
      <c r="E24" s="417">
        <v>0</v>
      </c>
      <c r="F24" s="670">
        <f t="shared" si="0"/>
        <v>3</v>
      </c>
      <c r="G24" s="671">
        <f t="shared" si="2"/>
        <v>1073449104</v>
      </c>
      <c r="H24" s="671">
        <v>6</v>
      </c>
      <c r="I24" s="671">
        <v>84000000</v>
      </c>
      <c r="J24" s="673">
        <f t="shared" si="1"/>
        <v>1157449104</v>
      </c>
      <c r="K24" s="672">
        <v>0</v>
      </c>
    </row>
    <row r="25" spans="1:11" s="418" customFormat="1" x14ac:dyDescent="0.2">
      <c r="A25" s="500">
        <v>44743</v>
      </c>
      <c r="B25" s="414">
        <v>9</v>
      </c>
      <c r="C25" s="415">
        <v>3341328167</v>
      </c>
      <c r="D25" s="416">
        <v>2</v>
      </c>
      <c r="E25" s="417">
        <v>790134000</v>
      </c>
      <c r="F25" s="670">
        <f t="shared" si="0"/>
        <v>7</v>
      </c>
      <c r="G25" s="671">
        <f t="shared" si="2"/>
        <v>2551194167</v>
      </c>
      <c r="H25" s="671">
        <v>15</v>
      </c>
      <c r="I25" s="671">
        <v>201000000</v>
      </c>
      <c r="J25" s="673">
        <f>+I25+G25</f>
        <v>2752194167</v>
      </c>
      <c r="K25" s="672">
        <v>0</v>
      </c>
    </row>
    <row r="26" spans="1:11" s="418" customFormat="1" x14ac:dyDescent="0.2">
      <c r="A26" s="500">
        <v>44774</v>
      </c>
      <c r="B26" s="414">
        <v>8</v>
      </c>
      <c r="C26" s="415">
        <v>2875530119</v>
      </c>
      <c r="D26" s="416">
        <v>0</v>
      </c>
      <c r="E26" s="417">
        <v>0</v>
      </c>
      <c r="F26" s="670">
        <f t="shared" si="0"/>
        <v>8</v>
      </c>
      <c r="G26" s="671">
        <f t="shared" si="2"/>
        <v>2875530119</v>
      </c>
      <c r="H26" s="671">
        <v>15</v>
      </c>
      <c r="I26" s="671">
        <v>218000000</v>
      </c>
      <c r="J26" s="673">
        <f t="shared" si="1"/>
        <v>3093530119</v>
      </c>
      <c r="K26" s="672">
        <v>0</v>
      </c>
    </row>
    <row r="27" spans="1:11" s="418" customFormat="1" x14ac:dyDescent="0.2">
      <c r="A27" s="500">
        <v>44805</v>
      </c>
      <c r="B27" s="414">
        <v>7</v>
      </c>
      <c r="C27" s="415">
        <v>2565558054</v>
      </c>
      <c r="D27" s="782">
        <v>4</v>
      </c>
      <c r="E27" s="417">
        <v>1505543872</v>
      </c>
      <c r="F27" s="670">
        <f t="shared" si="0"/>
        <v>3</v>
      </c>
      <c r="G27" s="671">
        <f t="shared" si="2"/>
        <v>1060014182</v>
      </c>
      <c r="H27" s="671">
        <v>5</v>
      </c>
      <c r="I27" s="671">
        <v>86000000</v>
      </c>
      <c r="J27" s="673">
        <f t="shared" si="1"/>
        <v>1146014182</v>
      </c>
      <c r="K27" s="672">
        <v>1512675</v>
      </c>
    </row>
    <row r="28" spans="1:11" s="418" customFormat="1" x14ac:dyDescent="0.2">
      <c r="A28" s="500">
        <v>44835</v>
      </c>
      <c r="B28" s="414">
        <v>22</v>
      </c>
      <c r="C28" s="415">
        <v>8472285486</v>
      </c>
      <c r="D28" s="416">
        <v>1</v>
      </c>
      <c r="E28" s="417">
        <v>331865000</v>
      </c>
      <c r="F28" s="670">
        <f t="shared" si="0"/>
        <v>21</v>
      </c>
      <c r="G28" s="671">
        <f t="shared" si="2"/>
        <v>8140420486</v>
      </c>
      <c r="H28" s="671">
        <v>32</v>
      </c>
      <c r="I28" s="671">
        <v>611000000</v>
      </c>
      <c r="J28" s="673">
        <f t="shared" si="1"/>
        <v>8751420486</v>
      </c>
      <c r="K28" s="672">
        <v>12711610</v>
      </c>
    </row>
    <row r="29" spans="1:11" s="418" customFormat="1" x14ac:dyDescent="0.2">
      <c r="A29" s="500">
        <v>44866</v>
      </c>
      <c r="B29" s="414">
        <v>5</v>
      </c>
      <c r="C29" s="415">
        <v>1791768426</v>
      </c>
      <c r="D29" s="416">
        <v>0</v>
      </c>
      <c r="E29" s="417">
        <v>0</v>
      </c>
      <c r="F29" s="670">
        <f t="shared" si="0"/>
        <v>5</v>
      </c>
      <c r="G29" s="671">
        <f t="shared" si="2"/>
        <v>1791768426</v>
      </c>
      <c r="H29" s="671">
        <v>-20</v>
      </c>
      <c r="I29" s="671">
        <v>136000000</v>
      </c>
      <c r="J29" s="673">
        <f t="shared" si="1"/>
        <v>1927768426</v>
      </c>
      <c r="K29" s="672">
        <v>25287525</v>
      </c>
    </row>
    <row r="30" spans="1:11" s="418" customFormat="1" x14ac:dyDescent="0.2">
      <c r="A30" s="500">
        <v>44896</v>
      </c>
      <c r="B30" s="414">
        <v>6</v>
      </c>
      <c r="C30" s="415">
        <v>2289236257</v>
      </c>
      <c r="D30" s="416">
        <v>2</v>
      </c>
      <c r="E30" s="417">
        <v>717218280</v>
      </c>
      <c r="F30" s="670">
        <f>+B30-D30</f>
        <v>4</v>
      </c>
      <c r="G30" s="671">
        <f>+C30-E30</f>
        <v>1572017977</v>
      </c>
      <c r="H30" s="671">
        <v>-6</v>
      </c>
      <c r="I30" s="671">
        <v>117000000</v>
      </c>
      <c r="J30" s="673">
        <f>+I30+G30</f>
        <v>1689017977</v>
      </c>
      <c r="K30" s="672">
        <v>10779750</v>
      </c>
    </row>
    <row r="31" spans="1:11" s="418" customFormat="1" x14ac:dyDescent="0.2">
      <c r="A31" s="500">
        <v>44927</v>
      </c>
      <c r="B31" s="414">
        <v>7</v>
      </c>
      <c r="C31" s="415">
        <v>2877888359</v>
      </c>
      <c r="D31" s="416">
        <v>1</v>
      </c>
      <c r="E31" s="417">
        <v>382715000</v>
      </c>
      <c r="F31" s="670">
        <f t="shared" ref="F31:F35" si="3">+B31-D31</f>
        <v>6</v>
      </c>
      <c r="G31" s="671">
        <f t="shared" ref="G31:G32" si="4">+C31-E31</f>
        <v>2495173359</v>
      </c>
      <c r="H31" s="671">
        <v>-7</v>
      </c>
      <c r="I31" s="671">
        <v>158000000</v>
      </c>
      <c r="J31" s="673">
        <f t="shared" ref="J31:J36" si="5">+I31+G31</f>
        <v>2653173359</v>
      </c>
      <c r="K31" s="672">
        <v>8820900</v>
      </c>
    </row>
    <row r="32" spans="1:11" s="418" customFormat="1" x14ac:dyDescent="0.2">
      <c r="A32" s="500">
        <v>44958</v>
      </c>
      <c r="B32" s="414">
        <v>7</v>
      </c>
      <c r="C32" s="415">
        <v>3035303883</v>
      </c>
      <c r="D32" s="416">
        <v>1</v>
      </c>
      <c r="E32" s="417">
        <v>346454400</v>
      </c>
      <c r="F32" s="670">
        <f t="shared" si="3"/>
        <v>6</v>
      </c>
      <c r="G32" s="671">
        <f t="shared" si="4"/>
        <v>2688849483</v>
      </c>
      <c r="H32" s="671">
        <v>3</v>
      </c>
      <c r="I32" s="671">
        <v>183000000</v>
      </c>
      <c r="J32" s="673">
        <f t="shared" si="5"/>
        <v>2871849483</v>
      </c>
      <c r="K32" s="672">
        <v>8820900</v>
      </c>
    </row>
    <row r="33" spans="1:11" s="418" customFormat="1" x14ac:dyDescent="0.2">
      <c r="A33" s="500">
        <v>44986</v>
      </c>
      <c r="B33" s="414">
        <v>10</v>
      </c>
      <c r="C33" s="415">
        <v>4050268259</v>
      </c>
      <c r="D33" s="416">
        <v>0</v>
      </c>
      <c r="E33" s="417">
        <v>0</v>
      </c>
      <c r="F33" s="670">
        <f t="shared" si="3"/>
        <v>10</v>
      </c>
      <c r="G33" s="671">
        <f t="shared" ref="G33:G38" si="6">+C33-E33</f>
        <v>4050268259</v>
      </c>
      <c r="H33" s="671">
        <v>18</v>
      </c>
      <c r="I33" s="671">
        <v>292000000</v>
      </c>
      <c r="J33" s="673">
        <f t="shared" si="5"/>
        <v>4342268259</v>
      </c>
      <c r="K33" s="672">
        <v>4957200</v>
      </c>
    </row>
    <row r="34" spans="1:11" s="418" customFormat="1" x14ac:dyDescent="0.2">
      <c r="A34" s="500">
        <v>45017</v>
      </c>
      <c r="B34" s="414">
        <v>6</v>
      </c>
      <c r="C34" s="415">
        <v>2316818391</v>
      </c>
      <c r="D34" s="416">
        <v>0</v>
      </c>
      <c r="E34" s="417">
        <v>0</v>
      </c>
      <c r="F34" s="670">
        <f t="shared" si="3"/>
        <v>6</v>
      </c>
      <c r="G34" s="671">
        <f t="shared" si="6"/>
        <v>2316818391</v>
      </c>
      <c r="H34" s="671">
        <v>11</v>
      </c>
      <c r="I34" s="671">
        <v>172000000</v>
      </c>
      <c r="J34" s="673">
        <f t="shared" si="5"/>
        <v>2488818391</v>
      </c>
      <c r="K34" s="672">
        <v>1931850</v>
      </c>
    </row>
    <row r="35" spans="1:11" s="418" customFormat="1" x14ac:dyDescent="0.2">
      <c r="A35" s="500">
        <v>45047</v>
      </c>
      <c r="B35" s="414">
        <v>9</v>
      </c>
      <c r="C35" s="415">
        <v>2991918710</v>
      </c>
      <c r="D35" s="416">
        <v>1</v>
      </c>
      <c r="E35" s="417">
        <v>384615000</v>
      </c>
      <c r="F35" s="670">
        <f t="shared" si="3"/>
        <v>8</v>
      </c>
      <c r="G35" s="671">
        <f t="shared" si="6"/>
        <v>2607303710</v>
      </c>
      <c r="H35" s="671">
        <v>9</v>
      </c>
      <c r="I35" s="671">
        <v>210000000</v>
      </c>
      <c r="J35" s="673">
        <f t="shared" si="5"/>
        <v>2817303710</v>
      </c>
      <c r="K35" s="672">
        <v>7308225</v>
      </c>
    </row>
    <row r="36" spans="1:11" s="418" customFormat="1" x14ac:dyDescent="0.2">
      <c r="A36" s="500">
        <v>45078</v>
      </c>
      <c r="B36" s="414">
        <v>0</v>
      </c>
      <c r="C36" s="415">
        <v>518787409</v>
      </c>
      <c r="D36" s="416">
        <v>2</v>
      </c>
      <c r="E36" s="417">
        <v>863888650</v>
      </c>
      <c r="F36" s="670">
        <f t="shared" ref="F36:F43" si="7">+B36-D36</f>
        <v>-2</v>
      </c>
      <c r="G36" s="671">
        <f t="shared" si="6"/>
        <v>-345101241</v>
      </c>
      <c r="H36" s="671">
        <v>-2</v>
      </c>
      <c r="I36" s="671">
        <v>-22000000</v>
      </c>
      <c r="J36" s="673">
        <f t="shared" si="5"/>
        <v>-367101241</v>
      </c>
      <c r="K36" s="672">
        <v>1931850</v>
      </c>
    </row>
    <row r="37" spans="1:11" s="418" customFormat="1" x14ac:dyDescent="0.2">
      <c r="A37" s="500">
        <v>45108</v>
      </c>
      <c r="B37" s="414">
        <v>6</v>
      </c>
      <c r="C37" s="415">
        <v>2438531200</v>
      </c>
      <c r="D37" s="416">
        <v>2</v>
      </c>
      <c r="E37" s="417">
        <v>890542000</v>
      </c>
      <c r="F37" s="670">
        <f t="shared" si="7"/>
        <v>4</v>
      </c>
      <c r="G37" s="671">
        <f t="shared" si="6"/>
        <v>1547989200</v>
      </c>
      <c r="H37" s="671">
        <v>8</v>
      </c>
      <c r="I37" s="671">
        <v>116000000</v>
      </c>
      <c r="J37" s="673">
        <f t="shared" ref="J37:J42" si="8">+I37+G37</f>
        <v>1663989200</v>
      </c>
      <c r="K37" s="672">
        <v>3863700</v>
      </c>
    </row>
    <row r="38" spans="1:11" s="418" customFormat="1" x14ac:dyDescent="0.2">
      <c r="A38" s="500">
        <v>45139</v>
      </c>
      <c r="B38" s="414">
        <v>9</v>
      </c>
      <c r="C38" s="415">
        <v>3619702745</v>
      </c>
      <c r="D38" s="416">
        <v>0</v>
      </c>
      <c r="E38" s="417">
        <v>0</v>
      </c>
      <c r="F38" s="670">
        <f t="shared" si="7"/>
        <v>9</v>
      </c>
      <c r="G38" s="671">
        <f t="shared" si="6"/>
        <v>3619702745</v>
      </c>
      <c r="H38" s="671">
        <v>19</v>
      </c>
      <c r="I38" s="671">
        <v>271000000</v>
      </c>
      <c r="J38" s="673">
        <f t="shared" si="8"/>
        <v>3890702745</v>
      </c>
      <c r="K38" s="672">
        <v>1512675</v>
      </c>
    </row>
    <row r="39" spans="1:11" s="418" customFormat="1" x14ac:dyDescent="0.2">
      <c r="A39" s="500">
        <v>45170</v>
      </c>
      <c r="B39" s="414">
        <v>5</v>
      </c>
      <c r="C39" s="415">
        <v>2055485744</v>
      </c>
      <c r="D39" s="782">
        <v>3</v>
      </c>
      <c r="E39" s="417">
        <v>1136867869</v>
      </c>
      <c r="F39" s="670">
        <f t="shared" si="7"/>
        <v>2</v>
      </c>
      <c r="G39" s="671">
        <f t="shared" ref="G39:G62" si="9">+C39-E39</f>
        <v>918617875</v>
      </c>
      <c r="H39" s="671">
        <v>2</v>
      </c>
      <c r="I39" s="671">
        <v>65000000</v>
      </c>
      <c r="J39" s="673">
        <f t="shared" si="8"/>
        <v>983617875</v>
      </c>
      <c r="K39" s="672">
        <v>72270267</v>
      </c>
    </row>
    <row r="40" spans="1:11" s="418" customFormat="1" x14ac:dyDescent="0.2">
      <c r="A40" s="500">
        <v>45200</v>
      </c>
      <c r="B40" s="414">
        <v>7</v>
      </c>
      <c r="C40" s="415">
        <v>2860860707</v>
      </c>
      <c r="D40" s="416">
        <v>6</v>
      </c>
      <c r="E40" s="417">
        <v>2277264174</v>
      </c>
      <c r="F40" s="670">
        <f t="shared" si="7"/>
        <v>1</v>
      </c>
      <c r="G40" s="671">
        <f t="shared" si="9"/>
        <v>583596533</v>
      </c>
      <c r="H40" s="671">
        <v>2</v>
      </c>
      <c r="I40" s="671">
        <v>31000000</v>
      </c>
      <c r="J40" s="673">
        <f t="shared" si="8"/>
        <v>614596533</v>
      </c>
      <c r="K40" s="672">
        <v>91856107</v>
      </c>
    </row>
    <row r="41" spans="1:11" s="418" customFormat="1" x14ac:dyDescent="0.2">
      <c r="A41" s="500">
        <v>45231</v>
      </c>
      <c r="B41" s="414">
        <v>1</v>
      </c>
      <c r="C41" s="415">
        <v>391016141</v>
      </c>
      <c r="D41" s="416">
        <v>1</v>
      </c>
      <c r="E41" s="417">
        <v>461585000</v>
      </c>
      <c r="F41" s="670">
        <f t="shared" si="7"/>
        <v>0</v>
      </c>
      <c r="G41" s="671">
        <f t="shared" si="9"/>
        <v>-70568859</v>
      </c>
      <c r="H41" s="671">
        <v>0</v>
      </c>
      <c r="I41" s="671">
        <v>-1000000</v>
      </c>
      <c r="J41" s="673">
        <f t="shared" si="8"/>
        <v>-71568859</v>
      </c>
      <c r="K41" s="672">
        <v>319706963</v>
      </c>
    </row>
    <row r="42" spans="1:11" s="418" customFormat="1" x14ac:dyDescent="0.2">
      <c r="A42" s="500">
        <v>45261</v>
      </c>
      <c r="B42" s="414">
        <v>3</v>
      </c>
      <c r="C42" s="415">
        <v>1148787705</v>
      </c>
      <c r="D42" s="416">
        <v>0</v>
      </c>
      <c r="E42" s="417">
        <v>0</v>
      </c>
      <c r="F42" s="670">
        <f t="shared" si="7"/>
        <v>3</v>
      </c>
      <c r="G42" s="671">
        <f t="shared" si="9"/>
        <v>1148787705</v>
      </c>
      <c r="H42" s="671">
        <v>6</v>
      </c>
      <c r="I42" s="671">
        <v>83000000</v>
      </c>
      <c r="J42" s="673">
        <f t="shared" si="8"/>
        <v>1231787705</v>
      </c>
      <c r="K42" s="672">
        <v>234440103</v>
      </c>
    </row>
    <row r="43" spans="1:11" s="418" customFormat="1" x14ac:dyDescent="0.2">
      <c r="A43" s="500">
        <v>45292</v>
      </c>
      <c r="B43" s="414">
        <v>8</v>
      </c>
      <c r="C43" s="415">
        <v>3380677511</v>
      </c>
      <c r="D43" s="416">
        <v>0</v>
      </c>
      <c r="E43" s="417">
        <v>0</v>
      </c>
      <c r="F43" s="670">
        <f t="shared" si="7"/>
        <v>8</v>
      </c>
      <c r="G43" s="671">
        <f t="shared" si="9"/>
        <v>3380677511</v>
      </c>
      <c r="H43" s="671">
        <v>13</v>
      </c>
      <c r="I43" s="671">
        <v>240000000</v>
      </c>
      <c r="J43" s="673">
        <f t="shared" ref="J43:J62" si="10">+I43+G43</f>
        <v>3620677511</v>
      </c>
      <c r="K43" s="672">
        <v>14642625</v>
      </c>
    </row>
    <row r="44" spans="1:11" s="418" customFormat="1" x14ac:dyDescent="0.2">
      <c r="A44" s="500">
        <v>45323</v>
      </c>
      <c r="B44" s="414">
        <v>10</v>
      </c>
      <c r="C44" s="415">
        <v>4295495389</v>
      </c>
      <c r="D44" s="416">
        <v>2</v>
      </c>
      <c r="E44" s="417">
        <v>613212675</v>
      </c>
      <c r="F44" s="670">
        <f t="shared" ref="F44:F62" si="11">+B44-D44</f>
        <v>8</v>
      </c>
      <c r="G44" s="671">
        <f t="shared" si="9"/>
        <v>3682282714</v>
      </c>
      <c r="H44" s="671">
        <v>17</v>
      </c>
      <c r="I44" s="671">
        <v>242000000</v>
      </c>
      <c r="J44" s="673">
        <f t="shared" si="10"/>
        <v>3924282714</v>
      </c>
      <c r="K44" s="672">
        <v>-1512675</v>
      </c>
    </row>
    <row r="45" spans="1:11" s="418" customFormat="1" x14ac:dyDescent="0.2">
      <c r="A45" s="500">
        <v>45352</v>
      </c>
      <c r="B45" s="414">
        <v>4</v>
      </c>
      <c r="C45" s="415">
        <v>1706733607</v>
      </c>
      <c r="D45" s="416">
        <v>2</v>
      </c>
      <c r="E45" s="417">
        <v>858371000</v>
      </c>
      <c r="F45" s="670">
        <f t="shared" si="11"/>
        <v>2</v>
      </c>
      <c r="G45" s="671">
        <f t="shared" si="9"/>
        <v>848362607</v>
      </c>
      <c r="H45" s="671">
        <v>4</v>
      </c>
      <c r="I45" s="671">
        <v>57000000</v>
      </c>
      <c r="J45" s="673">
        <f t="shared" si="10"/>
        <v>905362607</v>
      </c>
      <c r="K45" s="672">
        <v>24943797</v>
      </c>
    </row>
    <row r="46" spans="1:11" s="418" customFormat="1" x14ac:dyDescent="0.2">
      <c r="A46" s="500">
        <v>45383</v>
      </c>
      <c r="B46" s="414">
        <v>1</v>
      </c>
      <c r="C46" s="415">
        <v>579168654</v>
      </c>
      <c r="D46" s="416">
        <v>1</v>
      </c>
      <c r="E46" s="417">
        <v>351017173</v>
      </c>
      <c r="F46" s="670">
        <f t="shared" si="11"/>
        <v>0</v>
      </c>
      <c r="G46" s="671">
        <f t="shared" si="9"/>
        <v>228151481</v>
      </c>
      <c r="H46" s="671">
        <v>0</v>
      </c>
      <c r="I46" s="671">
        <v>5000000</v>
      </c>
      <c r="J46" s="673">
        <f t="shared" si="10"/>
        <v>233151481</v>
      </c>
      <c r="K46" s="672">
        <v>14877828</v>
      </c>
    </row>
    <row r="47" spans="1:11" s="418" customFormat="1" x14ac:dyDescent="0.2">
      <c r="A47" s="500">
        <v>45413</v>
      </c>
      <c r="B47" s="414">
        <v>6</v>
      </c>
      <c r="C47" s="415">
        <v>2096406852</v>
      </c>
      <c r="D47" s="416">
        <v>1</v>
      </c>
      <c r="E47" s="417">
        <v>360760256</v>
      </c>
      <c r="F47" s="670">
        <f t="shared" si="11"/>
        <v>5</v>
      </c>
      <c r="G47" s="671">
        <f t="shared" si="9"/>
        <v>1735646596</v>
      </c>
      <c r="H47" s="671">
        <v>10</v>
      </c>
      <c r="I47" s="671">
        <v>155000000</v>
      </c>
      <c r="J47" s="673">
        <f t="shared" si="10"/>
        <v>1890646596</v>
      </c>
      <c r="K47" s="672">
        <v>54241800</v>
      </c>
    </row>
    <row r="48" spans="1:11" s="418" customFormat="1" x14ac:dyDescent="0.2">
      <c r="A48" s="500">
        <v>45444</v>
      </c>
      <c r="B48" s="414">
        <v>5</v>
      </c>
      <c r="C48" s="415">
        <v>2221098685</v>
      </c>
      <c r="D48" s="416">
        <v>6</v>
      </c>
      <c r="E48" s="417">
        <v>2332236315</v>
      </c>
      <c r="F48" s="670">
        <f t="shared" si="11"/>
        <v>-1</v>
      </c>
      <c r="G48" s="671">
        <f t="shared" si="9"/>
        <v>-111137630</v>
      </c>
      <c r="H48" s="671">
        <v>-3</v>
      </c>
      <c r="I48" s="671">
        <v>-23000000</v>
      </c>
      <c r="J48" s="673">
        <f t="shared" si="10"/>
        <v>-134137630</v>
      </c>
      <c r="K48" s="672">
        <v>8885190</v>
      </c>
    </row>
    <row r="49" spans="1:11" s="418" customFormat="1" x14ac:dyDescent="0.2">
      <c r="A49" s="500">
        <v>45474</v>
      </c>
      <c r="B49" s="414">
        <v>10</v>
      </c>
      <c r="C49" s="415">
        <v>3958922237</v>
      </c>
      <c r="D49" s="416">
        <v>1</v>
      </c>
      <c r="E49" s="417">
        <v>468625000</v>
      </c>
      <c r="F49" s="670">
        <f t="shared" si="11"/>
        <v>9</v>
      </c>
      <c r="G49" s="671">
        <f t="shared" si="9"/>
        <v>3490297237</v>
      </c>
      <c r="H49" s="671">
        <v>16</v>
      </c>
      <c r="I49" s="671">
        <v>260000000</v>
      </c>
      <c r="J49" s="673">
        <f t="shared" si="10"/>
        <v>3750297237</v>
      </c>
      <c r="K49" s="672">
        <v>207514447</v>
      </c>
    </row>
    <row r="50" spans="1:11" s="418" customFormat="1" x14ac:dyDescent="0.2">
      <c r="A50" s="500">
        <v>45505</v>
      </c>
      <c r="B50" s="414">
        <v>5</v>
      </c>
      <c r="C50" s="415">
        <v>2212719672</v>
      </c>
      <c r="D50" s="416">
        <v>4</v>
      </c>
      <c r="E50" s="417">
        <v>1604364487</v>
      </c>
      <c r="F50" s="670">
        <f t="shared" si="11"/>
        <v>1</v>
      </c>
      <c r="G50" s="671">
        <f t="shared" si="9"/>
        <v>608355185</v>
      </c>
      <c r="H50" s="671">
        <v>4</v>
      </c>
      <c r="I50" s="671">
        <v>50000000</v>
      </c>
      <c r="J50" s="673">
        <f t="shared" si="10"/>
        <v>658355185</v>
      </c>
      <c r="K50" s="672">
        <v>3863700</v>
      </c>
    </row>
    <row r="51" spans="1:11" s="418" customFormat="1" x14ac:dyDescent="0.2">
      <c r="A51" s="500">
        <v>45536</v>
      </c>
      <c r="B51" s="414">
        <v>6</v>
      </c>
      <c r="C51" s="415">
        <v>2194672859</v>
      </c>
      <c r="D51" s="416">
        <v>1</v>
      </c>
      <c r="E51" s="417">
        <v>390380000</v>
      </c>
      <c r="F51" s="670">
        <f t="shared" si="11"/>
        <v>5</v>
      </c>
      <c r="G51" s="671">
        <f t="shared" si="9"/>
        <v>1804292859</v>
      </c>
      <c r="H51" s="671">
        <v>7</v>
      </c>
      <c r="I51" s="671">
        <v>144000000</v>
      </c>
      <c r="J51" s="673">
        <f t="shared" si="10"/>
        <v>1948292859</v>
      </c>
      <c r="K51" s="672">
        <v>23175272</v>
      </c>
    </row>
    <row r="52" spans="1:11" s="418" customFormat="1" x14ac:dyDescent="0.2">
      <c r="A52" s="500">
        <v>45566</v>
      </c>
      <c r="B52" s="414">
        <v>26</v>
      </c>
      <c r="C52" s="415">
        <v>11591207420</v>
      </c>
      <c r="D52" s="416">
        <v>7</v>
      </c>
      <c r="E52" s="417">
        <v>2901584689</v>
      </c>
      <c r="F52" s="670">
        <f t="shared" si="11"/>
        <v>19</v>
      </c>
      <c r="G52" s="671">
        <f t="shared" si="9"/>
        <v>8689622731</v>
      </c>
      <c r="H52" s="671">
        <v>38</v>
      </c>
      <c r="I52" s="671">
        <v>634000000</v>
      </c>
      <c r="J52" s="673">
        <f t="shared" si="10"/>
        <v>9323622731</v>
      </c>
      <c r="K52" s="672">
        <v>804025421</v>
      </c>
    </row>
    <row r="53" spans="1:11" s="418" customFormat="1" x14ac:dyDescent="0.2">
      <c r="A53" s="500">
        <v>45597</v>
      </c>
      <c r="B53" s="414">
        <v>32</v>
      </c>
      <c r="C53" s="415">
        <v>13730775875</v>
      </c>
      <c r="D53" s="416">
        <v>2</v>
      </c>
      <c r="E53" s="417">
        <v>759632324</v>
      </c>
      <c r="F53" s="670">
        <f t="shared" si="11"/>
        <v>30</v>
      </c>
      <c r="G53" s="671">
        <f t="shared" si="9"/>
        <v>12971143551</v>
      </c>
      <c r="H53" s="671">
        <v>58</v>
      </c>
      <c r="I53" s="671">
        <v>962000000</v>
      </c>
      <c r="J53" s="673">
        <f t="shared" si="10"/>
        <v>13933143551</v>
      </c>
      <c r="K53" s="672">
        <v>105346309</v>
      </c>
    </row>
    <row r="54" spans="1:11" s="418" customFormat="1" x14ac:dyDescent="0.2">
      <c r="A54" s="500">
        <v>45627</v>
      </c>
      <c r="B54" s="414">
        <v>15</v>
      </c>
      <c r="C54" s="415">
        <v>6848868502</v>
      </c>
      <c r="D54" s="416">
        <v>5</v>
      </c>
      <c r="E54" s="417">
        <v>2120400167</v>
      </c>
      <c r="F54" s="670">
        <f t="shared" si="11"/>
        <v>10</v>
      </c>
      <c r="G54" s="671">
        <f t="shared" si="9"/>
        <v>4728468335</v>
      </c>
      <c r="H54" s="671">
        <v>20</v>
      </c>
      <c r="I54" s="671">
        <v>341000000</v>
      </c>
      <c r="J54" s="673">
        <f t="shared" si="10"/>
        <v>5069468335</v>
      </c>
      <c r="K54" s="672">
        <v>88706057</v>
      </c>
    </row>
    <row r="55" spans="1:11" s="418" customFormat="1" x14ac:dyDescent="0.2">
      <c r="A55" s="500">
        <v>45658</v>
      </c>
      <c r="B55" s="414">
        <v>11</v>
      </c>
      <c r="C55" s="415">
        <v>4993794063</v>
      </c>
      <c r="D55" s="416">
        <v>1</v>
      </c>
      <c r="E55" s="417">
        <v>466182850</v>
      </c>
      <c r="F55" s="670">
        <f t="shared" si="11"/>
        <v>10</v>
      </c>
      <c r="G55" s="671">
        <f t="shared" si="9"/>
        <v>4527611213</v>
      </c>
      <c r="H55" s="671">
        <v>21</v>
      </c>
      <c r="I55" s="671">
        <v>322000000</v>
      </c>
      <c r="J55" s="673">
        <f t="shared" si="10"/>
        <v>4849611213</v>
      </c>
      <c r="K55" s="672">
        <v>121232596</v>
      </c>
    </row>
    <row r="56" spans="1:11" s="418" customFormat="1" x14ac:dyDescent="0.2">
      <c r="A56" s="500">
        <v>45689</v>
      </c>
      <c r="B56" s="414">
        <v>12</v>
      </c>
      <c r="C56" s="415">
        <v>5551815097</v>
      </c>
      <c r="D56" s="781">
        <v>0</v>
      </c>
      <c r="E56" s="417">
        <v>0</v>
      </c>
      <c r="F56" s="670">
        <f t="shared" si="11"/>
        <v>12</v>
      </c>
      <c r="G56" s="671">
        <f t="shared" si="9"/>
        <v>5551815097</v>
      </c>
      <c r="H56" s="671">
        <v>23</v>
      </c>
      <c r="I56" s="671">
        <v>394000000</v>
      </c>
      <c r="J56" s="673">
        <f t="shared" si="10"/>
        <v>5945815097</v>
      </c>
      <c r="K56" s="672">
        <v>5795550</v>
      </c>
    </row>
    <row r="57" spans="1:11" s="418" customFormat="1" x14ac:dyDescent="0.2">
      <c r="A57" s="500">
        <v>45717</v>
      </c>
      <c r="B57" s="414">
        <v>19</v>
      </c>
      <c r="C57" s="415">
        <v>8667591961</v>
      </c>
      <c r="D57" s="416">
        <v>2</v>
      </c>
      <c r="E57" s="417">
        <v>1018216850</v>
      </c>
      <c r="F57" s="670">
        <f t="shared" si="11"/>
        <v>17</v>
      </c>
      <c r="G57" s="671">
        <f t="shared" si="9"/>
        <v>7649375111</v>
      </c>
      <c r="H57" s="671">
        <v>33</v>
      </c>
      <c r="I57" s="671">
        <v>527000000</v>
      </c>
      <c r="J57" s="673">
        <f t="shared" si="10"/>
        <v>8176375111</v>
      </c>
      <c r="K57" s="672">
        <v>88873664</v>
      </c>
    </row>
    <row r="58" spans="1:11" s="418" customFormat="1" x14ac:dyDescent="0.2">
      <c r="A58" s="500">
        <v>45748</v>
      </c>
      <c r="B58" s="414">
        <v>10</v>
      </c>
      <c r="C58" s="415">
        <v>4265664874</v>
      </c>
      <c r="D58" s="416">
        <v>0</v>
      </c>
      <c r="E58" s="417">
        <v>0</v>
      </c>
      <c r="F58" s="670">
        <f t="shared" si="11"/>
        <v>10</v>
      </c>
      <c r="G58" s="671">
        <f t="shared" si="9"/>
        <v>4265664874</v>
      </c>
      <c r="H58" s="671">
        <v>24</v>
      </c>
      <c r="I58" s="671">
        <v>311000000</v>
      </c>
      <c r="J58" s="673">
        <f t="shared" si="10"/>
        <v>4576664874</v>
      </c>
      <c r="K58" s="672">
        <v>53006955</v>
      </c>
    </row>
    <row r="59" spans="1:11" s="418" customFormat="1" x14ac:dyDescent="0.2">
      <c r="A59" s="500">
        <v>45778</v>
      </c>
      <c r="B59" s="414">
        <v>16</v>
      </c>
      <c r="C59" s="415">
        <v>7838043518</v>
      </c>
      <c r="D59" s="416">
        <v>3</v>
      </c>
      <c r="E59" s="417">
        <v>1179626795</v>
      </c>
      <c r="F59" s="670">
        <f t="shared" si="11"/>
        <v>13</v>
      </c>
      <c r="G59" s="671">
        <f t="shared" si="9"/>
        <v>6658416723</v>
      </c>
      <c r="H59" s="671">
        <v>27</v>
      </c>
      <c r="I59" s="671">
        <v>438000000</v>
      </c>
      <c r="J59" s="673">
        <f t="shared" si="10"/>
        <v>7096416723</v>
      </c>
      <c r="K59" s="672">
        <v>322109489</v>
      </c>
    </row>
    <row r="60" spans="1:11" s="418" customFormat="1" x14ac:dyDescent="0.2">
      <c r="A60" s="500">
        <v>45809</v>
      </c>
      <c r="B60" s="414">
        <v>9</v>
      </c>
      <c r="C60" s="415">
        <v>4449534013</v>
      </c>
      <c r="D60" s="416">
        <v>3</v>
      </c>
      <c r="E60" s="417">
        <v>1626250000</v>
      </c>
      <c r="F60" s="670">
        <f t="shared" si="11"/>
        <v>6</v>
      </c>
      <c r="G60" s="671">
        <f t="shared" si="9"/>
        <v>2823284013</v>
      </c>
      <c r="H60" s="671">
        <v>14</v>
      </c>
      <c r="I60" s="671">
        <v>215000000</v>
      </c>
      <c r="J60" s="673">
        <f t="shared" si="10"/>
        <v>3038284013</v>
      </c>
      <c r="K60" s="672">
        <v>189641299</v>
      </c>
    </row>
    <row r="61" spans="1:11" s="418" customFormat="1" x14ac:dyDescent="0.2">
      <c r="A61" s="500">
        <v>45839</v>
      </c>
      <c r="B61" s="414">
        <v>9</v>
      </c>
      <c r="C61" s="415">
        <v>3891862537</v>
      </c>
      <c r="D61" s="416">
        <v>0</v>
      </c>
      <c r="E61" s="417">
        <v>0</v>
      </c>
      <c r="F61" s="670">
        <f t="shared" si="11"/>
        <v>9</v>
      </c>
      <c r="G61" s="671">
        <f t="shared" si="9"/>
        <v>3891862537</v>
      </c>
      <c r="H61" s="671">
        <v>-2</v>
      </c>
      <c r="I61" s="671">
        <v>278000000</v>
      </c>
      <c r="J61" s="673">
        <f>+I61+G61</f>
        <v>4169862537</v>
      </c>
      <c r="K61" s="672">
        <v>290162782</v>
      </c>
    </row>
    <row r="62" spans="1:11" s="418" customFormat="1" x14ac:dyDescent="0.2">
      <c r="A62" s="500">
        <v>45870</v>
      </c>
      <c r="B62" s="414">
        <v>7</v>
      </c>
      <c r="C62" s="415">
        <v>3522924699</v>
      </c>
      <c r="D62" s="416">
        <v>1</v>
      </c>
      <c r="E62" s="417">
        <v>389979206</v>
      </c>
      <c r="F62" s="670">
        <f t="shared" si="11"/>
        <v>6</v>
      </c>
      <c r="G62" s="671">
        <f t="shared" si="9"/>
        <v>3132945493</v>
      </c>
      <c r="H62" s="671">
        <v>-12</v>
      </c>
      <c r="I62" s="671">
        <v>189000000</v>
      </c>
      <c r="J62" s="673">
        <f t="shared" si="10"/>
        <v>3321945493</v>
      </c>
      <c r="K62" s="672">
        <v>81589000</v>
      </c>
    </row>
    <row r="63" spans="1:11" s="418" customFormat="1" hidden="1" x14ac:dyDescent="0.2">
      <c r="A63" s="500">
        <v>45901</v>
      </c>
      <c r="B63" s="414"/>
      <c r="C63" s="415"/>
      <c r="D63" s="416"/>
      <c r="E63" s="417"/>
      <c r="F63" s="670"/>
      <c r="G63" s="671"/>
      <c r="H63" s="671"/>
      <c r="I63" s="671"/>
      <c r="J63" s="673"/>
      <c r="K63" s="672"/>
    </row>
    <row r="64" spans="1:11" s="669" customFormat="1" ht="18.75" x14ac:dyDescent="0.2">
      <c r="A64" s="441" t="s">
        <v>63</v>
      </c>
      <c r="B64" s="667">
        <f>SUM(B11:B63)</f>
        <v>663</v>
      </c>
      <c r="C64" s="667">
        <f t="shared" ref="C64:K64" si="12">SUM(C11:C63)</f>
        <v>243527355071</v>
      </c>
      <c r="D64" s="667">
        <f t="shared" si="12"/>
        <v>87</v>
      </c>
      <c r="E64" s="667">
        <f t="shared" si="12"/>
        <v>33782555252</v>
      </c>
      <c r="F64" s="668">
        <f t="shared" si="12"/>
        <v>576</v>
      </c>
      <c r="G64" s="667">
        <f t="shared" si="12"/>
        <v>209744799819</v>
      </c>
      <c r="H64" s="667">
        <f t="shared" si="12"/>
        <v>988</v>
      </c>
      <c r="I64" s="667">
        <f t="shared" si="12"/>
        <v>16603000000</v>
      </c>
      <c r="J64" s="667">
        <f t="shared" si="12"/>
        <v>226347799819</v>
      </c>
      <c r="K64" s="667">
        <f t="shared" si="12"/>
        <v>3308833406</v>
      </c>
    </row>
    <row r="65" spans="1:11" s="369" customFormat="1" x14ac:dyDescent="0.2">
      <c r="A65" s="419"/>
      <c r="B65" s="420"/>
      <c r="C65" s="421"/>
      <c r="D65" s="422"/>
      <c r="E65" s="422"/>
      <c r="F65" s="422">
        <f>+F64-'Detalle Inmueble'!C5-'Detalle Inmueble'!I5-'Detalle Inmueble'!U5-'Detalle Inmueble'!AA5-'Detalle Inmueble'!O5</f>
        <v>0</v>
      </c>
      <c r="G65" s="367" t="s">
        <v>196</v>
      </c>
      <c r="H65" s="422">
        <f>H64-'Detalle Inmueble'!C6-'Detalle Inmueble'!C8-'Detalle Inmueble'!I6-'Detalle Inmueble'!I8-'Detalle Inmueble'!U6-'Detalle Inmueble'!U8-'Detalle Inmueble'!AA6-'Detalle Inmueble'!AA8-'Detalle Inmueble'!U7-'Detalle Inmueble'!O6-'Detalle Inmueble'!O8</f>
        <v>0</v>
      </c>
      <c r="I65" s="423">
        <f>I64-'Detalle Inmueble'!E6-'Detalle Inmueble'!E8-'Detalle Inmueble'!K6-'Detalle Inmueble'!K8-'Detalle Inmueble'!W6-'Detalle Inmueble'!W8-'Detalle Inmueble'!AC6-'Detalle Inmueble'!AC8-'Detalle Inmueble'!W7-'Detalle Inmueble'!Q6-'Detalle Inmueble'!Q8</f>
        <v>0</v>
      </c>
      <c r="J65" s="423">
        <f>++J64-'Detalle Inmueble'!E9-'Detalle Inmueble'!K9-'Detalle Inmueble'!W9-'Detalle Inmueble'!AC9-'Detalle Inmueble'!Q9</f>
        <v>0</v>
      </c>
      <c r="K65" s="424">
        <f>(+K64/1000)-'Resumen Consolidado'!M56</f>
        <v>0.29099999973550439</v>
      </c>
    </row>
    <row r="66" spans="1:11" x14ac:dyDescent="0.2">
      <c r="A66" s="425"/>
      <c r="B66" s="426"/>
      <c r="C66" s="426"/>
      <c r="D66" s="427"/>
      <c r="E66" s="427"/>
      <c r="F66" s="427"/>
      <c r="G66" s="427"/>
      <c r="H66" s="427"/>
      <c r="I66" s="427"/>
      <c r="J66" s="674"/>
      <c r="K66" s="538"/>
    </row>
    <row r="67" spans="1:11" x14ac:dyDescent="0.2">
      <c r="A67" s="425"/>
      <c r="B67" s="425"/>
      <c r="C67" s="425"/>
      <c r="D67" s="427"/>
      <c r="E67" s="427"/>
      <c r="F67" s="427"/>
      <c r="G67" s="427"/>
      <c r="H67" s="427"/>
      <c r="I67" s="432"/>
      <c r="J67" s="674"/>
      <c r="K67" s="539">
        <f>+K65*1000</f>
        <v>290.99999973550439</v>
      </c>
    </row>
    <row r="68" spans="1:11" x14ac:dyDescent="0.2">
      <c r="A68" s="425"/>
      <c r="B68" s="425"/>
      <c r="C68" s="425"/>
      <c r="D68" s="427"/>
      <c r="E68" s="427"/>
      <c r="F68" s="427"/>
      <c r="G68" s="427"/>
      <c r="H68" s="427"/>
      <c r="I68" s="428"/>
      <c r="J68" s="428"/>
      <c r="K68" s="539"/>
    </row>
    <row r="69" spans="1:11" x14ac:dyDescent="0.2">
      <c r="A69" s="425"/>
      <c r="B69" s="425"/>
      <c r="C69" s="425"/>
      <c r="D69" s="427"/>
      <c r="E69" s="427"/>
      <c r="F69" s="427"/>
      <c r="G69" s="427"/>
      <c r="H69" s="427"/>
      <c r="I69" s="427"/>
      <c r="J69" s="432"/>
      <c r="K69" s="426"/>
    </row>
    <row r="70" spans="1:11" x14ac:dyDescent="0.2">
      <c r="A70" s="425"/>
      <c r="B70" s="425"/>
      <c r="C70" s="425"/>
      <c r="D70" s="427"/>
      <c r="E70" s="427"/>
      <c r="F70" s="427"/>
      <c r="G70" s="427"/>
      <c r="H70" s="427"/>
      <c r="I70" s="427"/>
      <c r="J70" s="432"/>
      <c r="K70" s="539"/>
    </row>
    <row r="71" spans="1:11" x14ac:dyDescent="0.2">
      <c r="A71" s="425"/>
      <c r="B71" s="425"/>
      <c r="C71" s="425"/>
      <c r="D71" s="427"/>
      <c r="E71" s="427"/>
      <c r="F71" s="427"/>
      <c r="G71" s="427"/>
      <c r="H71" s="427"/>
      <c r="I71" s="429"/>
      <c r="J71" s="429"/>
      <c r="K71" s="425"/>
    </row>
    <row r="72" spans="1:11" x14ac:dyDescent="0.2">
      <c r="A72" s="425"/>
      <c r="B72" s="425"/>
      <c r="C72" s="425"/>
      <c r="D72" s="427"/>
      <c r="E72" s="427"/>
      <c r="F72" s="427"/>
      <c r="G72" s="427"/>
      <c r="H72" s="427"/>
      <c r="I72" s="429"/>
      <c r="J72" s="429"/>
      <c r="K72" s="573"/>
    </row>
    <row r="73" spans="1:11" x14ac:dyDescent="0.2">
      <c r="A73" s="425"/>
      <c r="B73" s="425"/>
      <c r="C73" s="425"/>
      <c r="D73" s="427"/>
      <c r="E73" s="427"/>
      <c r="F73" s="427"/>
      <c r="G73" s="427"/>
      <c r="H73" s="427"/>
      <c r="I73" s="429"/>
      <c r="J73" s="429"/>
      <c r="K73" s="425"/>
    </row>
    <row r="74" spans="1:11" x14ac:dyDescent="0.2">
      <c r="A74" s="425"/>
      <c r="B74" s="425"/>
      <c r="C74" s="425"/>
      <c r="D74" s="427"/>
      <c r="E74" s="427"/>
      <c r="F74" s="427"/>
      <c r="G74" s="427"/>
      <c r="H74" s="427"/>
      <c r="I74" s="430"/>
      <c r="J74" s="430"/>
      <c r="K74" s="425"/>
    </row>
    <row r="75" spans="1:11" x14ac:dyDescent="0.2">
      <c r="A75" s="425"/>
      <c r="B75" s="425"/>
      <c r="C75" s="425"/>
      <c r="D75" s="427"/>
      <c r="E75" s="427"/>
      <c r="F75" s="427"/>
      <c r="G75" s="427"/>
      <c r="H75" s="427"/>
      <c r="I75" s="427"/>
      <c r="J75" s="427"/>
      <c r="K75" s="425"/>
    </row>
    <row r="76" spans="1:11" x14ac:dyDescent="0.2">
      <c r="A76" s="400"/>
      <c r="B76" s="425"/>
      <c r="C76" s="425"/>
      <c r="D76" s="431"/>
      <c r="E76" s="431"/>
      <c r="F76" s="431"/>
      <c r="G76" s="431"/>
      <c r="H76" s="431"/>
      <c r="I76" s="431"/>
      <c r="J76" s="431"/>
      <c r="K76" s="425"/>
    </row>
    <row r="77" spans="1:11" x14ac:dyDescent="0.2">
      <c r="A77" s="400"/>
      <c r="B77" s="425"/>
      <c r="C77" s="425"/>
      <c r="D77" s="431"/>
      <c r="E77" s="431"/>
      <c r="F77" s="431"/>
      <c r="G77" s="431"/>
      <c r="H77" s="431"/>
      <c r="I77" s="431"/>
      <c r="J77" s="431"/>
      <c r="K77" s="425"/>
    </row>
    <row r="78" spans="1:11" x14ac:dyDescent="0.2">
      <c r="A78" s="400"/>
      <c r="B78" s="425"/>
      <c r="C78" s="425"/>
      <c r="D78" s="431"/>
      <c r="E78" s="431"/>
      <c r="F78" s="431"/>
      <c r="G78" s="431"/>
      <c r="H78" s="431"/>
      <c r="I78" s="431"/>
      <c r="J78" s="431"/>
      <c r="K78" s="425"/>
    </row>
    <row r="79" spans="1:11" x14ac:dyDescent="0.2">
      <c r="A79" s="400"/>
      <c r="B79" s="425"/>
      <c r="C79" s="425"/>
      <c r="D79" s="431"/>
      <c r="E79" s="431"/>
      <c r="F79" s="431"/>
      <c r="G79" s="431"/>
      <c r="H79" s="431"/>
      <c r="I79" s="431"/>
      <c r="J79" s="431"/>
      <c r="K79" s="425"/>
    </row>
    <row r="80" spans="1:11" x14ac:dyDescent="0.2">
      <c r="A80" s="400"/>
      <c r="B80" s="425"/>
      <c r="C80" s="425"/>
      <c r="D80" s="431"/>
      <c r="E80" s="431"/>
      <c r="F80" s="431"/>
      <c r="G80" s="431"/>
      <c r="H80" s="431"/>
      <c r="I80" s="431"/>
      <c r="J80" s="431"/>
      <c r="K80" s="425"/>
    </row>
    <row r="81" spans="1:11" x14ac:dyDescent="0.2">
      <c r="A81" s="400"/>
      <c r="B81" s="425"/>
      <c r="C81" s="425"/>
      <c r="D81" s="431"/>
      <c r="E81" s="431"/>
      <c r="F81" s="431"/>
      <c r="G81" s="431"/>
      <c r="H81" s="431"/>
      <c r="I81" s="431"/>
      <c r="J81" s="431"/>
      <c r="K81" s="425"/>
    </row>
    <row r="82" spans="1:11" x14ac:dyDescent="0.2">
      <c r="A82" s="400"/>
      <c r="B82" s="425"/>
      <c r="C82" s="425"/>
      <c r="D82" s="431"/>
      <c r="E82" s="431"/>
      <c r="F82" s="431"/>
      <c r="G82" s="431"/>
      <c r="H82" s="431"/>
      <c r="I82" s="431"/>
      <c r="J82" s="431"/>
      <c r="K82" s="425"/>
    </row>
    <row r="83" spans="1:11" x14ac:dyDescent="0.2">
      <c r="A83" s="400"/>
      <c r="B83" s="425"/>
      <c r="C83" s="425"/>
      <c r="D83" s="427"/>
      <c r="E83" s="427"/>
      <c r="F83" s="427"/>
      <c r="G83" s="427"/>
      <c r="H83" s="427"/>
      <c r="I83" s="427"/>
      <c r="J83" s="427"/>
      <c r="K83" s="425"/>
    </row>
    <row r="84" spans="1:11" x14ac:dyDescent="0.2">
      <c r="A84" s="400"/>
      <c r="B84" s="400"/>
      <c r="C84" s="400"/>
      <c r="D84" s="407"/>
      <c r="E84" s="427"/>
      <c r="F84" s="427"/>
      <c r="G84" s="427"/>
      <c r="H84" s="427"/>
      <c r="I84" s="427"/>
      <c r="J84" s="427"/>
      <c r="K84" s="400"/>
    </row>
    <row r="85" spans="1:11" x14ac:dyDescent="0.2">
      <c r="A85" s="400"/>
      <c r="B85" s="400"/>
      <c r="C85" s="400"/>
      <c r="D85" s="407"/>
      <c r="E85" s="427"/>
      <c r="F85" s="427"/>
      <c r="G85" s="427"/>
      <c r="H85" s="427"/>
      <c r="I85" s="427"/>
      <c r="J85" s="427"/>
      <c r="K85" s="400"/>
    </row>
    <row r="86" spans="1:11" x14ac:dyDescent="0.2">
      <c r="A86" s="400"/>
      <c r="B86" s="400"/>
      <c r="C86" s="400"/>
      <c r="D86" s="407"/>
      <c r="E86" s="427"/>
      <c r="F86" s="427"/>
      <c r="G86" s="427"/>
      <c r="H86" s="427"/>
      <c r="I86" s="427"/>
      <c r="J86" s="427"/>
      <c r="K86" s="400"/>
    </row>
    <row r="87" spans="1:11" x14ac:dyDescent="0.2">
      <c r="A87" s="400"/>
      <c r="B87" s="400"/>
      <c r="C87" s="400"/>
      <c r="D87" s="407"/>
      <c r="E87" s="427"/>
      <c r="F87" s="427"/>
      <c r="G87" s="427"/>
      <c r="H87" s="427"/>
      <c r="I87" s="427"/>
      <c r="J87" s="427"/>
      <c r="K87" s="400"/>
    </row>
    <row r="88" spans="1:11" x14ac:dyDescent="0.2">
      <c r="A88" s="400"/>
      <c r="B88" s="400"/>
      <c r="C88" s="400"/>
      <c r="D88" s="407"/>
      <c r="E88" s="427"/>
      <c r="F88" s="427"/>
      <c r="G88" s="427"/>
      <c r="H88" s="427"/>
      <c r="I88" s="427"/>
      <c r="J88" s="427"/>
      <c r="K88" s="400"/>
    </row>
    <row r="89" spans="1:11" x14ac:dyDescent="0.2">
      <c r="A89" s="400"/>
      <c r="B89" s="400"/>
      <c r="C89" s="400"/>
      <c r="D89" s="407"/>
      <c r="E89" s="427"/>
      <c r="F89" s="427"/>
      <c r="G89" s="427"/>
      <c r="H89" s="427"/>
      <c r="I89" s="427"/>
      <c r="J89" s="427"/>
      <c r="K89" s="400"/>
    </row>
    <row r="90" spans="1:11" x14ac:dyDescent="0.2">
      <c r="A90" s="400"/>
      <c r="B90" s="400"/>
      <c r="C90" s="411" t="s">
        <v>196</v>
      </c>
      <c r="D90" s="407"/>
      <c r="E90" s="427"/>
      <c r="F90" s="432"/>
      <c r="G90" s="427"/>
      <c r="H90" s="432"/>
      <c r="I90" s="428"/>
      <c r="J90" s="427"/>
      <c r="K90" s="400" t="s">
        <v>196</v>
      </c>
    </row>
    <row r="91" spans="1:11" x14ac:dyDescent="0.2">
      <c r="A91" s="400"/>
      <c r="B91" s="400"/>
      <c r="C91" s="400"/>
      <c r="D91" s="407"/>
      <c r="E91" s="427"/>
      <c r="F91" s="427"/>
      <c r="G91" s="427"/>
      <c r="H91" s="427"/>
      <c r="I91" s="427"/>
      <c r="J91" s="427"/>
      <c r="K91" s="411" t="s">
        <v>196</v>
      </c>
    </row>
    <row r="92" spans="1:11" x14ac:dyDescent="0.2">
      <c r="A92" s="400"/>
      <c r="B92" s="400"/>
      <c r="C92" s="400"/>
      <c r="D92" s="407"/>
      <c r="E92" s="427"/>
      <c r="F92" s="427"/>
      <c r="G92" s="427"/>
      <c r="H92" s="427"/>
      <c r="I92" s="427"/>
      <c r="J92" s="427"/>
      <c r="K92" s="411" t="s">
        <v>196</v>
      </c>
    </row>
    <row r="93" spans="1:11" x14ac:dyDescent="0.2">
      <c r="A93" s="400"/>
      <c r="B93" s="400"/>
      <c r="C93" s="400"/>
      <c r="D93" s="407"/>
      <c r="E93" s="427"/>
      <c r="F93" s="427"/>
      <c r="G93" s="427"/>
      <c r="H93" s="427"/>
      <c r="I93" s="427"/>
      <c r="J93" s="427"/>
      <c r="K93" s="411" t="s">
        <v>196</v>
      </c>
    </row>
    <row r="94" spans="1:11" x14ac:dyDescent="0.2">
      <c r="K94" s="366" t="s">
        <v>196</v>
      </c>
    </row>
  </sheetData>
  <mergeCells count="4">
    <mergeCell ref="B2:H2"/>
    <mergeCell ref="B3:H3"/>
    <mergeCell ref="H6:I6"/>
    <mergeCell ref="H5:I5"/>
  </mergeCells>
  <dataValidations count="1">
    <dataValidation errorStyle="information" allowBlank="1" showInputMessage="1" showErrorMessage="1" promptTitle="Se elimina" prompt="se elimina C D E H I" sqref="E10" xr:uid="{97A73856-DCCD-41D7-A0A8-681E5A61A52E}"/>
  </dataValidations>
  <printOptions horizontalCentered="1" verticalCentered="1"/>
  <pageMargins left="0.70866141732283472" right="0.47244094488188981" top="0.55118110236220474" bottom="0.98425196850393704" header="0" footer="0"/>
  <pageSetup scale="51" orientation="landscape" r:id="rId1"/>
  <headerFooter alignWithMargins="0">
    <oddFooter>&amp;C&amp;P&amp;RElaborado por EQUILIBRIUM Inmobiliario S.A.S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88767-9D22-4396-A6A6-8B8C027F58E5}">
  <dimension ref="A1:D8"/>
  <sheetViews>
    <sheetView topLeftCell="A2" zoomScale="190" zoomScaleNormal="190" workbookViewId="0">
      <selection activeCell="F12" sqref="F12"/>
    </sheetView>
  </sheetViews>
  <sheetFormatPr baseColWidth="10" defaultRowHeight="12.75" x14ac:dyDescent="0.2"/>
  <cols>
    <col min="6" max="6" width="12.42578125" bestFit="1" customWidth="1"/>
  </cols>
  <sheetData>
    <row r="1" spans="1:4" x14ac:dyDescent="0.2">
      <c r="A1">
        <v>2025</v>
      </c>
      <c r="B1" t="s">
        <v>5122</v>
      </c>
      <c r="C1" t="s">
        <v>5123</v>
      </c>
      <c r="D1" t="s">
        <v>5124</v>
      </c>
    </row>
    <row r="2" spans="1:4" x14ac:dyDescent="0.2">
      <c r="A2" t="s">
        <v>5115</v>
      </c>
      <c r="B2" s="771">
        <v>45444</v>
      </c>
      <c r="C2" s="771">
        <v>45658</v>
      </c>
      <c r="D2">
        <v>1</v>
      </c>
    </row>
    <row r="3" spans="1:4" x14ac:dyDescent="0.2">
      <c r="A3" t="s">
        <v>5116</v>
      </c>
    </row>
    <row r="4" spans="1:4" x14ac:dyDescent="0.2">
      <c r="A4" t="s">
        <v>5117</v>
      </c>
    </row>
    <row r="5" spans="1:4" x14ac:dyDescent="0.2">
      <c r="A5" t="s">
        <v>5118</v>
      </c>
    </row>
    <row r="6" spans="1:4" x14ac:dyDescent="0.2">
      <c r="A6" t="s">
        <v>5119</v>
      </c>
    </row>
    <row r="7" spans="1:4" x14ac:dyDescent="0.2">
      <c r="A7" t="s">
        <v>5120</v>
      </c>
    </row>
    <row r="8" spans="1:4" x14ac:dyDescent="0.2">
      <c r="A8" t="s">
        <v>5121</v>
      </c>
    </row>
  </sheetData>
  <phoneticPr fontId="215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E7C47-FC5A-4C59-9AFB-C0FBEAC560C0}">
  <sheetPr>
    <pageSetUpPr fitToPage="1"/>
  </sheetPr>
  <dimension ref="A1:Q63"/>
  <sheetViews>
    <sheetView showGridLines="0" zoomScaleNormal="100" workbookViewId="0">
      <pane ySplit="11" topLeftCell="A23" activePane="bottomLeft" state="frozen"/>
      <selection pane="bottomLeft" activeCell="C16" sqref="C16"/>
    </sheetView>
  </sheetViews>
  <sheetFormatPr baseColWidth="10" defaultColWidth="0" defaultRowHeight="12.75" x14ac:dyDescent="0.2"/>
  <cols>
    <col min="1" max="1" width="25.28515625" bestFit="1" customWidth="1"/>
    <col min="2" max="2" width="26.140625" bestFit="1" customWidth="1"/>
    <col min="3" max="3" width="19.7109375" style="731" customWidth="1"/>
    <col min="4" max="4" width="26.140625" bestFit="1" customWidth="1"/>
    <col min="5" max="5" width="16.7109375" style="796" bestFit="1" customWidth="1"/>
    <col min="6" max="6" width="26.140625" bestFit="1" customWidth="1"/>
    <col min="7" max="7" width="16.7109375" style="796" bestFit="1" customWidth="1"/>
    <col min="8" max="8" width="26.140625" bestFit="1" customWidth="1"/>
    <col min="9" max="9" width="16.7109375" bestFit="1" customWidth="1"/>
    <col min="10" max="10" width="26.140625" bestFit="1" customWidth="1"/>
    <col min="11" max="11" width="21.5703125" customWidth="1"/>
    <col min="12" max="13" width="26.140625" bestFit="1" customWidth="1"/>
    <col min="14" max="14" width="21.85546875" customWidth="1"/>
    <col min="15" max="15" width="25" bestFit="1" customWidth="1"/>
    <col min="16" max="16" width="17.140625" hidden="1" customWidth="1"/>
    <col min="17" max="17" width="25" hidden="1" customWidth="1"/>
    <col min="18" max="16384" width="11.42578125" hidden="1"/>
  </cols>
  <sheetData>
    <row r="1" spans="3:7" ht="21" customHeight="1" x14ac:dyDescent="0.2"/>
    <row r="2" spans="3:7" ht="24" customHeight="1" x14ac:dyDescent="0.2">
      <c r="C2"/>
    </row>
    <row r="3" spans="3:7" ht="24.75" customHeight="1" x14ac:dyDescent="0.2">
      <c r="C3" s="772" t="s">
        <v>5112</v>
      </c>
      <c r="D3" s="774" t="s">
        <v>5113</v>
      </c>
      <c r="E3" s="797" t="s">
        <v>5114</v>
      </c>
      <c r="F3" s="792" t="s">
        <v>436</v>
      </c>
      <c r="G3" s="800" t="s">
        <v>142</v>
      </c>
    </row>
    <row r="4" spans="3:7" ht="15" customHeight="1" x14ac:dyDescent="0.2">
      <c r="C4" s="775" t="s">
        <v>4460</v>
      </c>
      <c r="D4" s="776">
        <f>+IFERROR(GETPIVOTDATA("[Measures].[Recuento de Cód]",$A$22,"[DESISTIMIENTOS].[Proyecto]","[DESISTIMIENTOS].[Proyecto].&amp;[TORRE 1A]"),0)</f>
        <v>15</v>
      </c>
      <c r="E4" s="804">
        <f>IFERROR(GETPIVOTDATA("[Measures].[Suma de Valor venta neta]",$A$22,"[DESISTIMIENTOS].[Proyecto]","[DESISTIMIENTOS].[Proyecto].&amp;[TORRE 1A]"),0)</f>
        <v>4920711914</v>
      </c>
      <c r="F4" s="794">
        <f t="shared" ref="F4" si="0">A34</f>
        <v>149</v>
      </c>
      <c r="G4" s="801">
        <f>C34</f>
        <v>407017.37599999999</v>
      </c>
    </row>
    <row r="5" spans="3:7" ht="15" customHeight="1" x14ac:dyDescent="0.2">
      <c r="C5" s="775" t="s">
        <v>4461</v>
      </c>
      <c r="D5" s="776">
        <f>+IFERROR(GETPIVOTDATA("[Measures].[Recuento de Cód]",$A$22,"[DESISTIMIENTOS].[Proyecto]","[DESISTIMIENTOS].[Proyecto].&amp;[TORRE 1B]"),0)</f>
        <v>16</v>
      </c>
      <c r="E5" s="804">
        <f>+IFERROR(GETPIVOTDATA("[Measures].[Suma de Valor venta neta]",$A$22,"[DESISTIMIENTOS].[Proyecto]","[DESISTIMIENTOS].[Proyecto].&amp;[TORRE 1B]"),0)</f>
        <v>5632262958</v>
      </c>
      <c r="F5" s="794">
        <f>D34</f>
        <v>95</v>
      </c>
      <c r="G5" s="801">
        <f>F34</f>
        <v>777252.64899999998</v>
      </c>
    </row>
    <row r="6" spans="3:7" ht="15" customHeight="1" x14ac:dyDescent="0.2">
      <c r="C6" s="775" t="s">
        <v>4462</v>
      </c>
      <c r="D6" s="776">
        <f>+IFERROR(GETPIVOTDATA("[Measures].[Recuento de Cód]",$A$22,"[DESISTIMIENTOS].[Proyecto]","[DESISTIMIENTOS].[Proyecto].&amp;[TORRE 2]"),0)</f>
        <v>7</v>
      </c>
      <c r="E6" s="804">
        <f>IFERROR(GETPIVOTDATA("[Measures].[Suma de Valor venta neta]",$A$22,"[DESISTIMIENTOS].[Proyecto]","[DESISTIMIENTOS].[Proyecto].&amp;[TORRE 2]"),0)</f>
        <v>3719575000</v>
      </c>
      <c r="F6" s="794">
        <f>G34</f>
        <v>117</v>
      </c>
      <c r="G6" s="802">
        <f>I34</f>
        <v>0</v>
      </c>
    </row>
    <row r="7" spans="3:7" ht="15" customHeight="1" x14ac:dyDescent="0.2">
      <c r="C7" s="777" t="s">
        <v>4463</v>
      </c>
      <c r="D7" s="776">
        <f>+IFERROR(GETPIVOTDATA("[Measures].[Recuento de Cód]",$A$22,"[DESISTIMIENTOS].[Proyecto]","[DESISTIMIENTOS].[Proyecto].&amp;[TORRE 3A]"),0)</f>
        <v>21</v>
      </c>
      <c r="E7" s="804">
        <f>+IFERROR(GETPIVOTDATA("[Measures].[Suma de Valor venta neta]",$A$22,"[DESISTIMIENTOS].[Proyecto]","[DESISTIMIENTOS].[Proyecto].&amp;[TORRE 3A]"),0)</f>
        <v>8251400179</v>
      </c>
      <c r="F7" s="794">
        <f>J34</f>
        <v>133</v>
      </c>
      <c r="G7" s="801">
        <f>L34</f>
        <v>1194705.9130000002</v>
      </c>
    </row>
    <row r="8" spans="3:7" ht="15" customHeight="1" x14ac:dyDescent="0.2">
      <c r="C8" s="777" t="s">
        <v>4464</v>
      </c>
      <c r="D8" s="776">
        <f>+IFERROR(GETPIVOTDATA("[Measures].[Recuento de Cód]",$A$22,"[DESISTIMIENTOS].[Proyecto]","[DESISTIMIENTOS].[Proyecto].&amp;[TORRE 3B]"),0)</f>
        <v>21</v>
      </c>
      <c r="E8" s="804">
        <f>+IFERROR(GETPIVOTDATA("[Measures].[Suma de Valor venta neta]",$A$22,"[DESISTIMIENTOS].[Proyecto]","[DESISTIMIENTOS].[Proyecto].&amp;[TORRE 3B]"),0)</f>
        <v>9349229831</v>
      </c>
      <c r="F8" s="794">
        <f>M34</f>
        <v>81</v>
      </c>
      <c r="G8" s="801">
        <f>O34</f>
        <v>929857.17699999991</v>
      </c>
    </row>
    <row r="9" spans="3:7" ht="15" customHeight="1" x14ac:dyDescent="0.25">
      <c r="C9" s="778" t="s">
        <v>63</v>
      </c>
      <c r="D9" s="779">
        <f>SUM(D4:D8)</f>
        <v>80</v>
      </c>
      <c r="E9" s="805">
        <f>SUM(E4:E8)</f>
        <v>31873179882</v>
      </c>
      <c r="F9" s="795">
        <f>SUM(F4:F8)</f>
        <v>575</v>
      </c>
      <c r="G9" s="803">
        <f>SUM(G4:G8)</f>
        <v>3308833.1150000002</v>
      </c>
    </row>
    <row r="11" spans="3:7" hidden="1" x14ac:dyDescent="0.2"/>
    <row r="13" spans="3:7" x14ac:dyDescent="0.2">
      <c r="C13"/>
    </row>
    <row r="14" spans="3:7" x14ac:dyDescent="0.2">
      <c r="C14"/>
    </row>
    <row r="16" spans="3:7" ht="9.75" customHeight="1" x14ac:dyDescent="0.2"/>
    <row r="17" spans="1:15" ht="10.5" hidden="1" customHeight="1" x14ac:dyDescent="0.2"/>
    <row r="18" spans="1:15" ht="38.25" customHeight="1" x14ac:dyDescent="0.2">
      <c r="H18" s="772" t="s">
        <v>27</v>
      </c>
      <c r="I18" s="773" t="s">
        <v>5110</v>
      </c>
      <c r="J18" s="773" t="s">
        <v>5111</v>
      </c>
    </row>
    <row r="19" spans="1:15" ht="15.75" customHeight="1" x14ac:dyDescent="0.2">
      <c r="H19" s="898">
        <f ca="1">TODAY()</f>
        <v>45941</v>
      </c>
      <c r="I19" s="899">
        <f>D42
-IFERROR(GETPIVOTDATA("[Measures].[Recuento de Cód]",$A$22,"[DESISTIMIENTOS].[Proyecto]","[DESISTIMIENTOS].[Proyecto].&amp;[TORRE 1A]"),0)
-IFERROR(GETPIVOTDATA("[Measures].[Recuento de Cód]",$A$22,"[DESISTIMIENTOS].[Proyecto]","[DESISTIMIENTOS].[Proyecto].&amp;[TORRE 1B]"),0)
-IFERROR(GETPIVOTDATA("[Measures].[Recuento de Cód]",$A$22,"[DESISTIMIENTOS].[Proyecto]","[DESISTIMIENTOS].[Proyecto].&amp;[TORRE 2]"),0)
-IFERROR(GETPIVOTDATA("[Measures].[Recuento de Cód]",$A$22,"[DESISTIMIENTOS].[Proyecto]","[DESISTIMIENTOS].[Proyecto].&amp;[TORRE 3A]"),0)
-IFERROR(GETPIVOTDATA("[Measures].[Recuento de Cód]",$A$22,"[DESISTIMIENTOS].[Proyecto]","[DESISTIMIENTOS].[Proyecto].&amp;[TORRE 3B]"),0)</f>
        <v>0</v>
      </c>
      <c r="J19" s="899">
        <f>E42-GETPIVOTDATA("[Measures].[Suma de Valor venta neta]",$A$22,"[DESISTIMIENTOS].[Proyecto]","[DESISTIMIENTOS].[Proyecto].&amp;[TORRE 1A]")-GETPIVOTDATA("[Measures].[Suma de Valor venta neta]",$A$22,"[DESISTIMIENTOS].[Proyecto]","[DESISTIMIENTOS].[Proyecto].&amp;[TORRE 1B]")-GETPIVOTDATA("[Measures].[Suma de Valor venta neta]",$A$22,"[DESISTIMIENTOS].[Proyecto]","[DESISTIMIENTOS].[Proyecto].&amp;[TORRE 2]")-GETPIVOTDATA("[Measures].[Suma de Valor venta neta]",$A$22,"[DESISTIMIENTOS].[Proyecto]","[DESISTIMIENTOS].[Proyecto].&amp;[TORRE 3A]")-GETPIVOTDATA("[Measures].[Suma de Valor venta neta]",$A$22,"[DESISTIMIENTOS].[Proyecto]","[DESISTIMIENTOS].[Proyecto].&amp;[TORRE 3B]")</f>
        <v>0</v>
      </c>
    </row>
    <row r="20" spans="1:15" ht="12" customHeight="1" x14ac:dyDescent="0.2">
      <c r="A20" s="770" t="s">
        <v>5109</v>
      </c>
      <c r="B20" t="s" vm="1">
        <v>5106</v>
      </c>
      <c r="H20" s="898"/>
      <c r="I20" s="900"/>
      <c r="J20" s="900"/>
    </row>
    <row r="21" spans="1:15" ht="15.75" hidden="1" customHeight="1" x14ac:dyDescent="0.2"/>
    <row r="22" spans="1:15" hidden="1" x14ac:dyDescent="0.2">
      <c r="A22" s="714" t="s">
        <v>4457</v>
      </c>
      <c r="B22" s="629"/>
      <c r="C22" s="629"/>
      <c r="D22" s="629"/>
      <c r="E22" s="629"/>
      <c r="F22" s="629"/>
      <c r="G22" s="629"/>
      <c r="H22" s="629"/>
      <c r="I22" s="629"/>
      <c r="J22" s="629"/>
    </row>
    <row r="23" spans="1:15" x14ac:dyDescent="0.2">
      <c r="A23" s="838" t="s">
        <v>4460</v>
      </c>
      <c r="B23" s="839"/>
      <c r="C23" s="838" t="s">
        <v>4461</v>
      </c>
      <c r="D23" s="839"/>
      <c r="E23" s="838" t="s">
        <v>4462</v>
      </c>
      <c r="F23" s="839"/>
      <c r="G23" s="838" t="s">
        <v>4463</v>
      </c>
      <c r="H23" s="839"/>
      <c r="I23" s="838" t="s">
        <v>4464</v>
      </c>
      <c r="J23" s="839"/>
    </row>
    <row r="24" spans="1:15" s="691" customFormat="1" x14ac:dyDescent="0.2">
      <c r="A24" s="713" t="s">
        <v>5107</v>
      </c>
      <c r="B24" s="780" t="s">
        <v>5108</v>
      </c>
      <c r="C24" s="713" t="s">
        <v>5107</v>
      </c>
      <c r="D24" s="780" t="s">
        <v>5108</v>
      </c>
      <c r="E24" s="713" t="s">
        <v>5107</v>
      </c>
      <c r="F24" s="780" t="s">
        <v>5108</v>
      </c>
      <c r="G24" s="713" t="s">
        <v>5107</v>
      </c>
      <c r="H24" s="780" t="s">
        <v>5108</v>
      </c>
      <c r="I24" s="713" t="s">
        <v>5107</v>
      </c>
      <c r="J24" s="780" t="s">
        <v>5108</v>
      </c>
      <c r="K24"/>
      <c r="L24"/>
      <c r="M24"/>
    </row>
    <row r="25" spans="1:15" x14ac:dyDescent="0.2">
      <c r="A25">
        <v>15</v>
      </c>
      <c r="B25" s="712">
        <v>4920711914</v>
      </c>
      <c r="C25" s="796">
        <v>16</v>
      </c>
      <c r="D25" s="712">
        <v>5632262958</v>
      </c>
      <c r="E25" s="796">
        <v>7</v>
      </c>
      <c r="F25" s="712">
        <v>3719575000</v>
      </c>
      <c r="G25">
        <v>21</v>
      </c>
      <c r="H25" s="712">
        <v>8251400179</v>
      </c>
      <c r="I25">
        <v>21</v>
      </c>
      <c r="J25" s="712">
        <v>9349229831</v>
      </c>
    </row>
    <row r="26" spans="1:15" x14ac:dyDescent="0.2">
      <c r="C26"/>
    </row>
    <row r="27" spans="1:15" x14ac:dyDescent="0.2">
      <c r="C27"/>
    </row>
    <row r="28" spans="1:15" x14ac:dyDescent="0.2">
      <c r="C28"/>
    </row>
    <row r="29" spans="1:15" ht="25.5" x14ac:dyDescent="0.2">
      <c r="C29"/>
      <c r="H29" s="772" t="s">
        <v>27</v>
      </c>
      <c r="I29" s="773" t="s">
        <v>5110</v>
      </c>
      <c r="J29" s="773" t="s">
        <v>5111</v>
      </c>
    </row>
    <row r="30" spans="1:15" ht="12.75" customHeight="1" x14ac:dyDescent="0.2">
      <c r="C30"/>
      <c r="H30" s="898">
        <f ca="1">TODAY()</f>
        <v>45941</v>
      </c>
      <c r="I30" s="899">
        <f>B42-A34-D34-G34-J34-M34</f>
        <v>0</v>
      </c>
      <c r="J30" s="899">
        <f>C42-B34-E34-H34-K34-N34</f>
        <v>0</v>
      </c>
    </row>
    <row r="31" spans="1:15" ht="12.75" customHeight="1" x14ac:dyDescent="0.2">
      <c r="C31"/>
      <c r="H31" s="898"/>
      <c r="I31" s="900"/>
      <c r="J31" s="900"/>
    </row>
    <row r="32" spans="1:15" s="783" customFormat="1" ht="29.25" customHeight="1" x14ac:dyDescent="0.2">
      <c r="A32" s="895" t="s">
        <v>4460</v>
      </c>
      <c r="B32" s="895"/>
      <c r="C32" s="896"/>
      <c r="D32" s="897" t="s">
        <v>4461</v>
      </c>
      <c r="E32" s="895"/>
      <c r="F32" s="896"/>
      <c r="G32" s="897" t="s">
        <v>4462</v>
      </c>
      <c r="H32" s="895"/>
      <c r="I32" s="896"/>
      <c r="J32" s="897" t="s">
        <v>4463</v>
      </c>
      <c r="K32" s="895"/>
      <c r="L32" s="896"/>
      <c r="M32" s="897" t="s">
        <v>4464</v>
      </c>
      <c r="N32" s="895"/>
      <c r="O32" s="896"/>
    </row>
    <row r="33" spans="1:15" ht="45" x14ac:dyDescent="0.2">
      <c r="A33" s="784" t="str">
        <f>'Ventas mes a mes'!B10</f>
        <v>Unidades Brutas Inm. Ppales.</v>
      </c>
      <c r="B33" s="784" t="str">
        <f>'Ventas mes a mes'!J10</f>
        <v>Total ventas</v>
      </c>
      <c r="C33" s="786" t="str">
        <f>'Ventas mes a mes'!K10</f>
        <v>Reformas/Acabados</v>
      </c>
      <c r="D33" s="785" t="str">
        <f t="shared" ref="D33:O33" si="1">A33</f>
        <v>Unidades Brutas Inm. Ppales.</v>
      </c>
      <c r="E33" s="798" t="str">
        <f t="shared" si="1"/>
        <v>Total ventas</v>
      </c>
      <c r="F33" s="787" t="str">
        <f t="shared" si="1"/>
        <v>Reformas/Acabados</v>
      </c>
      <c r="G33" s="798" t="str">
        <f t="shared" si="1"/>
        <v>Unidades Brutas Inm. Ppales.</v>
      </c>
      <c r="H33" s="785" t="str">
        <f t="shared" si="1"/>
        <v>Total ventas</v>
      </c>
      <c r="I33" s="787" t="str">
        <f t="shared" si="1"/>
        <v>Reformas/Acabados</v>
      </c>
      <c r="J33" s="785" t="str">
        <f t="shared" si="1"/>
        <v>Unidades Brutas Inm. Ppales.</v>
      </c>
      <c r="K33" s="785" t="str">
        <f t="shared" si="1"/>
        <v>Total ventas</v>
      </c>
      <c r="L33" s="787" t="str">
        <f t="shared" si="1"/>
        <v>Reformas/Acabados</v>
      </c>
      <c r="M33" s="785" t="str">
        <f t="shared" si="1"/>
        <v>Unidades Brutas Inm. Ppales.</v>
      </c>
      <c r="N33" s="785" t="str">
        <f t="shared" si="1"/>
        <v>Total ventas</v>
      </c>
      <c r="O33" s="787" t="str">
        <f t="shared" si="1"/>
        <v>Reformas/Acabados</v>
      </c>
    </row>
    <row r="34" spans="1:15" ht="15" x14ac:dyDescent="0.25">
      <c r="A34" s="806">
        <f>'Im Final'!C5</f>
        <v>149</v>
      </c>
      <c r="B34" s="806">
        <f>'Im Final'!E9</f>
        <v>47188619093</v>
      </c>
      <c r="C34" s="807">
        <f>'Resumen Consolidado'!M47+'Resumen Consolidado'!M46</f>
        <v>407017.37599999999</v>
      </c>
      <c r="D34" s="808">
        <f>+'Im Final'!I5</f>
        <v>95</v>
      </c>
      <c r="E34" s="809">
        <f>+'Im Final'!K9</f>
        <v>32971284564</v>
      </c>
      <c r="F34" s="807">
        <f>'Resumen Consolidado'!M48+'Resumen Consolidado'!M49</f>
        <v>777252.64899999998</v>
      </c>
      <c r="G34" s="810">
        <f>+'Im Final'!O5</f>
        <v>117</v>
      </c>
      <c r="H34" s="807">
        <f>+'Im Final'!Q9</f>
        <v>57483860676</v>
      </c>
      <c r="I34" s="808">
        <f>'Resumen Consolidado'!M50+'Resumen Consolidado'!M51</f>
        <v>0</v>
      </c>
      <c r="J34" s="808">
        <f>+'Im Final'!U5</f>
        <v>133</v>
      </c>
      <c r="K34" s="811">
        <f>+'Im Final'!W9</f>
        <v>52963885881</v>
      </c>
      <c r="L34" s="807">
        <f>'Resumen Consolidado'!M52+'Resumen Consolidado'!M53</f>
        <v>1194705.9130000002</v>
      </c>
      <c r="M34" s="808">
        <f>+'Im Final'!AA5</f>
        <v>81</v>
      </c>
      <c r="N34" s="811">
        <f>+'Im Final'!AC9</f>
        <v>37072282775</v>
      </c>
      <c r="O34" s="807">
        <f>'Resumen Consolidado'!M54+'Resumen Consolidado'!M55</f>
        <v>929857.17699999991</v>
      </c>
    </row>
    <row r="35" spans="1:15" x14ac:dyDescent="0.2">
      <c r="C35"/>
    </row>
    <row r="36" spans="1:15" x14ac:dyDescent="0.2">
      <c r="C36"/>
    </row>
    <row r="37" spans="1:15" x14ac:dyDescent="0.2">
      <c r="C37"/>
    </row>
    <row r="38" spans="1:15" x14ac:dyDescent="0.2">
      <c r="C38"/>
    </row>
    <row r="39" spans="1:15" x14ac:dyDescent="0.2">
      <c r="I39" s="731"/>
    </row>
    <row r="40" spans="1:15" ht="19.5" customHeight="1" x14ac:dyDescent="0.2">
      <c r="A40" s="772" t="s">
        <v>27</v>
      </c>
      <c r="B40" s="773" t="s">
        <v>6228</v>
      </c>
      <c r="C40" s="773" t="s">
        <v>436</v>
      </c>
      <c r="D40" s="773" t="s">
        <v>5110</v>
      </c>
      <c r="E40" s="773" t="s">
        <v>5111</v>
      </c>
      <c r="F40" s="773" t="s">
        <v>142</v>
      </c>
    </row>
    <row r="41" spans="1:15" x14ac:dyDescent="0.2">
      <c r="A41" s="812">
        <v>45931</v>
      </c>
      <c r="B41" s="789">
        <v>575</v>
      </c>
      <c r="C41" s="793">
        <v>227679932989</v>
      </c>
      <c r="D41" s="813">
        <v>80</v>
      </c>
      <c r="E41" s="814">
        <v>31873179882</v>
      </c>
      <c r="F41" s="788">
        <v>3308833115</v>
      </c>
    </row>
    <row r="42" spans="1:15" ht="15" x14ac:dyDescent="0.25">
      <c r="A42" s="790" t="s">
        <v>63</v>
      </c>
      <c r="B42" s="791">
        <v>575</v>
      </c>
      <c r="C42" s="791">
        <v>227679932989</v>
      </c>
      <c r="D42" s="791">
        <v>80</v>
      </c>
      <c r="E42" s="799">
        <v>31873179882</v>
      </c>
      <c r="F42" s="791">
        <v>3308833115</v>
      </c>
    </row>
    <row r="43" spans="1:15" x14ac:dyDescent="0.2">
      <c r="C43"/>
    </row>
    <row r="44" spans="1:15" x14ac:dyDescent="0.2">
      <c r="C44"/>
    </row>
    <row r="63" hidden="1" x14ac:dyDescent="0.2"/>
  </sheetData>
  <mergeCells count="16">
    <mergeCell ref="A23:B23"/>
    <mergeCell ref="C23:D23"/>
    <mergeCell ref="E23:F23"/>
    <mergeCell ref="G23:H23"/>
    <mergeCell ref="I23:J23"/>
    <mergeCell ref="H19:H20"/>
    <mergeCell ref="I19:I20"/>
    <mergeCell ref="J19:J20"/>
    <mergeCell ref="H30:H31"/>
    <mergeCell ref="I30:I31"/>
    <mergeCell ref="J30:J31"/>
    <mergeCell ref="A32:C32"/>
    <mergeCell ref="D32:F32"/>
    <mergeCell ref="G32:I32"/>
    <mergeCell ref="J32:L32"/>
    <mergeCell ref="M32:O32"/>
  </mergeCells>
  <dataValidations count="1">
    <dataValidation errorStyle="information" allowBlank="1" showInputMessage="1" showErrorMessage="1" promptTitle="Se elimina" prompt="se elimina C D E H I" sqref="E40:F40 E2 J18 G3 J29" xr:uid="{5A0DCBC3-09BE-4F45-8146-1C4C8B8DF1F2}"/>
  </dataValidations>
  <printOptions horizontalCentered="1" verticalCentered="1"/>
  <pageMargins left="0.70866141732283472" right="0.47244094488188981" top="0.55118110236220474" bottom="0.98425196850393704" header="0" footer="0"/>
  <pageSetup scale="51" orientation="landscape" r:id="rId2"/>
  <headerFooter alignWithMargins="0">
    <oddFooter>&amp;C&amp;P&amp;RElaborado por EQUILIBRIUM Inmobiliario S.A.S</oddFooter>
  </headerFooter>
  <drawing r:id="rId3"/>
  <tableParts count="1">
    <tablePart r:id="rId4"/>
  </tableParts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XFC599"/>
  <sheetViews>
    <sheetView zoomScale="160" zoomScaleNormal="160" workbookViewId="0">
      <pane xSplit="3" ySplit="3" topLeftCell="AN5" activePane="bottomRight" state="frozen"/>
      <selection activeCell="B9" sqref="B9:C9"/>
      <selection pane="topRight" activeCell="B9" sqref="B9:C9"/>
      <selection pane="bottomLeft" activeCell="B9" sqref="B9:C9"/>
      <selection pane="bottomRight" activeCell="AL7" sqref="AL7"/>
    </sheetView>
  </sheetViews>
  <sheetFormatPr baseColWidth="10" defaultColWidth="0" defaultRowHeight="12" x14ac:dyDescent="0.2"/>
  <cols>
    <col min="1" max="1" width="10.5703125" style="598" customWidth="1"/>
    <col min="2" max="2" width="27.85546875" style="598" bestFit="1" customWidth="1"/>
    <col min="3" max="3" width="12" style="598" bestFit="1" customWidth="1"/>
    <col min="4" max="4" width="10.140625" style="598" hidden="1" customWidth="1"/>
    <col min="5" max="5" width="10.5703125" style="598" hidden="1" customWidth="1"/>
    <col min="6" max="6" width="10.42578125" style="598" hidden="1" customWidth="1"/>
    <col min="7" max="7" width="12.5703125" style="598" hidden="1" customWidth="1"/>
    <col min="8" max="9" width="11" style="598" hidden="1" customWidth="1"/>
    <col min="10" max="11" width="12" style="598" hidden="1" customWidth="1"/>
    <col min="12" max="12" width="12.5703125" style="598" hidden="1" customWidth="1"/>
    <col min="13" max="13" width="12" style="598" hidden="1" customWidth="1"/>
    <col min="14" max="14" width="12.5703125" style="598" hidden="1" customWidth="1"/>
    <col min="15" max="15" width="12" style="598" hidden="1" customWidth="1"/>
    <col min="16" max="16" width="11.85546875" style="598" hidden="1" customWidth="1"/>
    <col min="17" max="17" width="11.5703125" style="598" hidden="1" customWidth="1"/>
    <col min="18" max="18" width="11" style="598" hidden="1" customWidth="1"/>
    <col min="19" max="19" width="11.5703125" style="598" hidden="1" customWidth="1"/>
    <col min="20" max="20" width="11.85546875" style="598" hidden="1" customWidth="1"/>
    <col min="21" max="21" width="11.5703125" style="598" hidden="1" customWidth="1"/>
    <col min="22" max="22" width="11" style="598" hidden="1" customWidth="1"/>
    <col min="23" max="23" width="11.85546875" style="598" hidden="1" customWidth="1"/>
    <col min="24" max="26" width="12" style="598" hidden="1" customWidth="1"/>
    <col min="27" max="27" width="11.5703125" style="598" hidden="1" customWidth="1"/>
    <col min="28" max="28" width="12" style="598" hidden="1" customWidth="1"/>
    <col min="29" max="31" width="11.5703125" style="598" hidden="1" customWidth="1"/>
    <col min="32" max="32" width="10.5703125" style="598" hidden="1" customWidth="1"/>
    <col min="33" max="33" width="11.5703125" style="598" hidden="1" customWidth="1"/>
    <col min="34" max="36" width="12.5703125" style="598" bestFit="1" customWidth="1"/>
    <col min="37" max="38" width="12" style="598" bestFit="1" customWidth="1"/>
    <col min="39" max="39" width="11.5703125" style="598" customWidth="1"/>
    <col min="40" max="40" width="11.5703125" style="598" bestFit="1" customWidth="1"/>
    <col min="41" max="41" width="11.85546875" style="598" customWidth="1"/>
    <col min="42" max="42" width="12.5703125" style="598" bestFit="1" customWidth="1"/>
    <col min="43" max="43" width="12" style="598" customWidth="1"/>
    <col min="44" max="44" width="10.5703125" style="598" customWidth="1"/>
    <col min="45" max="45" width="11.5703125" style="598" bestFit="1" customWidth="1"/>
    <col min="46" max="46" width="12.5703125" style="598" customWidth="1"/>
    <col min="47" max="47" width="11.140625" style="598" bestFit="1" customWidth="1"/>
    <col min="48" max="48" width="11.7109375" style="598" customWidth="1"/>
    <col min="49" max="49" width="12.42578125" style="598" customWidth="1"/>
    <col min="50" max="50" width="13.5703125" style="598" customWidth="1"/>
    <col min="51" max="51" width="12.5703125" style="598" customWidth="1"/>
    <col min="52" max="73" width="11.5703125" style="598" customWidth="1"/>
    <col min="74" max="75" width="13.5703125" style="598" customWidth="1"/>
    <col min="76" max="76" width="16.140625" style="598" customWidth="1"/>
    <col min="77" max="77" width="16.140625" style="598" hidden="1" customWidth="1"/>
    <col min="78" max="78" width="0" style="598" hidden="1" customWidth="1"/>
    <col min="79" max="16383" width="16.140625" style="598" hidden="1"/>
    <col min="16384" max="16384" width="6.140625" style="598" customWidth="1"/>
  </cols>
  <sheetData>
    <row r="1" spans="1:76" s="620" customFormat="1" ht="21" x14ac:dyDescent="0.2">
      <c r="A1" s="621" t="s">
        <v>840</v>
      </c>
      <c r="B1" s="621"/>
    </row>
    <row r="2" spans="1:76" s="620" customFormat="1" ht="18.75" x14ac:dyDescent="0.25">
      <c r="A2" s="903">
        <f>+'Datos globales '!B10</f>
        <v>45900</v>
      </c>
      <c r="B2" s="903"/>
    </row>
    <row r="3" spans="1:76" s="612" customFormat="1" ht="15" customHeight="1" x14ac:dyDescent="0.2">
      <c r="A3" s="619" t="s">
        <v>841</v>
      </c>
      <c r="B3" s="619" t="s">
        <v>33</v>
      </c>
      <c r="C3" s="618" t="s">
        <v>30</v>
      </c>
      <c r="D3" s="618">
        <v>44531</v>
      </c>
      <c r="E3" s="618">
        <v>44562</v>
      </c>
      <c r="F3" s="618">
        <v>44593</v>
      </c>
      <c r="G3" s="618">
        <v>44621</v>
      </c>
      <c r="H3" s="618">
        <v>44652</v>
      </c>
      <c r="I3" s="618">
        <v>44682</v>
      </c>
      <c r="J3" s="618">
        <v>44713</v>
      </c>
      <c r="K3" s="618">
        <v>44743</v>
      </c>
      <c r="L3" s="618">
        <v>44774</v>
      </c>
      <c r="M3" s="618">
        <v>44805</v>
      </c>
      <c r="N3" s="618">
        <v>44835</v>
      </c>
      <c r="O3" s="618">
        <v>44866</v>
      </c>
      <c r="P3" s="618">
        <v>44896</v>
      </c>
      <c r="Q3" s="618">
        <v>44927</v>
      </c>
      <c r="R3" s="618">
        <v>44958</v>
      </c>
      <c r="S3" s="618">
        <v>44986</v>
      </c>
      <c r="T3" s="618">
        <v>45017</v>
      </c>
      <c r="U3" s="618">
        <v>45047</v>
      </c>
      <c r="V3" s="618">
        <v>45078</v>
      </c>
      <c r="W3" s="618">
        <v>45108</v>
      </c>
      <c r="X3" s="618">
        <v>45139</v>
      </c>
      <c r="Y3" s="618">
        <v>45170</v>
      </c>
      <c r="Z3" s="618">
        <v>45200</v>
      </c>
      <c r="AA3" s="618">
        <v>45231</v>
      </c>
      <c r="AB3" s="618">
        <v>45261</v>
      </c>
      <c r="AC3" s="618">
        <v>45292</v>
      </c>
      <c r="AD3" s="618">
        <v>45323</v>
      </c>
      <c r="AE3" s="618">
        <v>45352</v>
      </c>
      <c r="AF3" s="618">
        <v>45383</v>
      </c>
      <c r="AG3" s="618">
        <v>45413</v>
      </c>
      <c r="AH3" s="618">
        <v>45444</v>
      </c>
      <c r="AI3" s="618">
        <v>45474</v>
      </c>
      <c r="AJ3" s="618">
        <v>45505</v>
      </c>
      <c r="AK3" s="618">
        <v>45536</v>
      </c>
      <c r="AL3" s="618">
        <v>45566</v>
      </c>
      <c r="AM3" s="618">
        <v>45597</v>
      </c>
      <c r="AN3" s="618">
        <v>45627</v>
      </c>
      <c r="AO3" s="618">
        <v>45658</v>
      </c>
      <c r="AP3" s="618">
        <v>45689</v>
      </c>
      <c r="AQ3" s="618">
        <v>45717</v>
      </c>
      <c r="AR3" s="618">
        <v>45748</v>
      </c>
      <c r="AS3" s="618">
        <v>45778</v>
      </c>
      <c r="AT3" s="618">
        <v>45809</v>
      </c>
      <c r="AU3" s="618">
        <v>45839</v>
      </c>
      <c r="AV3" s="618">
        <v>45870</v>
      </c>
      <c r="AW3" s="618">
        <v>45901</v>
      </c>
      <c r="AX3" s="618">
        <v>45931</v>
      </c>
      <c r="AY3" s="618">
        <v>45962</v>
      </c>
      <c r="AZ3" s="618">
        <v>45992</v>
      </c>
      <c r="BA3" s="618">
        <v>46023</v>
      </c>
      <c r="BB3" s="618">
        <v>46054</v>
      </c>
      <c r="BC3" s="618">
        <v>46082</v>
      </c>
      <c r="BD3" s="618">
        <v>46113</v>
      </c>
      <c r="BE3" s="618">
        <v>46143</v>
      </c>
      <c r="BF3" s="618">
        <v>46174</v>
      </c>
      <c r="BG3" s="618">
        <v>46204</v>
      </c>
      <c r="BH3" s="618">
        <v>46235</v>
      </c>
      <c r="BI3" s="618">
        <v>46266</v>
      </c>
      <c r="BJ3" s="618">
        <v>46296</v>
      </c>
      <c r="BK3" s="618">
        <v>46327</v>
      </c>
      <c r="BL3" s="618">
        <v>46357</v>
      </c>
      <c r="BM3" s="618">
        <v>46388</v>
      </c>
      <c r="BN3" s="618">
        <v>46419</v>
      </c>
      <c r="BO3" s="618">
        <v>46447</v>
      </c>
      <c r="BP3" s="618">
        <v>46478</v>
      </c>
      <c r="BQ3" s="618">
        <v>46508</v>
      </c>
      <c r="BR3" s="618">
        <v>46539</v>
      </c>
      <c r="BS3" s="618">
        <v>46569</v>
      </c>
      <c r="BT3" s="618">
        <v>46600</v>
      </c>
      <c r="BU3" s="618">
        <v>46631</v>
      </c>
      <c r="BV3" s="618">
        <v>46661</v>
      </c>
      <c r="BW3" s="618">
        <v>46692</v>
      </c>
      <c r="BX3" s="618" t="s">
        <v>24</v>
      </c>
    </row>
    <row r="4" spans="1:76" s="612" customFormat="1" ht="11.25" customHeight="1" x14ac:dyDescent="0.2">
      <c r="A4" s="904" t="s">
        <v>967</v>
      </c>
      <c r="B4" s="610" t="s">
        <v>1192</v>
      </c>
      <c r="C4" s="634" t="s">
        <v>1762</v>
      </c>
      <c r="D4" s="609">
        <v>0</v>
      </c>
      <c r="E4" s="609">
        <v>0</v>
      </c>
      <c r="F4" s="609">
        <v>0</v>
      </c>
      <c r="G4" s="609">
        <v>0</v>
      </c>
      <c r="H4" s="585">
        <v>0</v>
      </c>
      <c r="I4" s="609">
        <v>0</v>
      </c>
      <c r="J4" s="609">
        <v>0</v>
      </c>
      <c r="K4" s="609">
        <v>0</v>
      </c>
      <c r="L4" s="609">
        <v>0</v>
      </c>
      <c r="M4" s="609">
        <v>0</v>
      </c>
      <c r="N4" s="609">
        <v>0</v>
      </c>
      <c r="O4" s="609">
        <v>0</v>
      </c>
      <c r="P4" s="609">
        <v>0</v>
      </c>
      <c r="Q4" s="609">
        <v>0</v>
      </c>
      <c r="R4" s="609">
        <v>0</v>
      </c>
      <c r="S4" s="609">
        <v>0</v>
      </c>
      <c r="T4" s="609">
        <v>0</v>
      </c>
      <c r="U4" s="609">
        <v>0</v>
      </c>
      <c r="V4" s="609">
        <v>0</v>
      </c>
      <c r="W4" s="609">
        <v>0</v>
      </c>
      <c r="X4" s="609">
        <v>0</v>
      </c>
      <c r="Y4" s="609">
        <v>0</v>
      </c>
      <c r="Z4" s="609">
        <v>0</v>
      </c>
      <c r="AA4" s="609">
        <v>0</v>
      </c>
      <c r="AB4" s="609">
        <v>0</v>
      </c>
      <c r="AC4" s="609">
        <v>0</v>
      </c>
      <c r="AD4" s="609">
        <v>0</v>
      </c>
      <c r="AE4" s="609">
        <v>0</v>
      </c>
      <c r="AF4" s="609">
        <v>0</v>
      </c>
      <c r="AG4" s="609">
        <v>0</v>
      </c>
      <c r="AH4" s="609">
        <v>0</v>
      </c>
      <c r="AI4" s="609">
        <v>0</v>
      </c>
      <c r="AJ4" s="609">
        <v>0</v>
      </c>
      <c r="AK4" s="609">
        <v>0</v>
      </c>
      <c r="AL4" s="609">
        <v>0</v>
      </c>
      <c r="AM4" s="609">
        <v>0</v>
      </c>
      <c r="AN4" s="609">
        <v>0</v>
      </c>
      <c r="AO4" s="609">
        <v>1666133</v>
      </c>
      <c r="AP4" s="609">
        <v>0</v>
      </c>
      <c r="AQ4" s="609">
        <v>132437</v>
      </c>
      <c r="AR4" s="609">
        <v>0</v>
      </c>
      <c r="AS4" s="609">
        <v>0</v>
      </c>
      <c r="AT4" s="609">
        <v>0</v>
      </c>
      <c r="AU4" s="609">
        <v>0</v>
      </c>
      <c r="AV4" s="609">
        <v>0</v>
      </c>
      <c r="AW4" s="615">
        <v>0</v>
      </c>
      <c r="AX4" s="615">
        <v>0</v>
      </c>
      <c r="AY4" s="615">
        <v>0</v>
      </c>
      <c r="AZ4" s="615">
        <v>0</v>
      </c>
      <c r="BA4" s="615">
        <v>0</v>
      </c>
      <c r="BB4" s="615">
        <v>0</v>
      </c>
      <c r="BC4" s="615">
        <v>0</v>
      </c>
      <c r="BD4" s="615">
        <v>0</v>
      </c>
      <c r="BE4" s="615">
        <v>0</v>
      </c>
      <c r="BF4" s="615">
        <v>0</v>
      </c>
      <c r="BG4" s="615">
        <v>0</v>
      </c>
      <c r="BH4" s="615">
        <v>0</v>
      </c>
      <c r="BI4" s="615">
        <v>0</v>
      </c>
      <c r="BJ4" s="615">
        <v>0</v>
      </c>
      <c r="BK4" s="615">
        <v>0</v>
      </c>
      <c r="BL4" s="615">
        <v>0</v>
      </c>
      <c r="BM4" s="615">
        <v>0</v>
      </c>
      <c r="BN4" s="615">
        <v>0</v>
      </c>
      <c r="BO4" s="615">
        <v>0</v>
      </c>
      <c r="BP4" s="615">
        <v>0</v>
      </c>
      <c r="BQ4" s="615">
        <v>0</v>
      </c>
      <c r="BR4" s="615">
        <v>0</v>
      </c>
      <c r="BS4" s="615">
        <v>0</v>
      </c>
      <c r="BT4" s="615">
        <v>0</v>
      </c>
      <c r="BU4" s="615">
        <v>0</v>
      </c>
      <c r="BV4" s="615">
        <v>0</v>
      </c>
      <c r="BW4" s="615">
        <v>0</v>
      </c>
      <c r="BX4" s="607">
        <f>SUM(K4:BW4)</f>
        <v>1798570</v>
      </c>
    </row>
    <row r="5" spans="1:76" s="612" customFormat="1" ht="11.25" customHeight="1" x14ac:dyDescent="0.2">
      <c r="A5" s="905"/>
      <c r="B5" s="610" t="s">
        <v>2288</v>
      </c>
      <c r="C5" s="634" t="s">
        <v>1763</v>
      </c>
      <c r="D5" s="609">
        <v>0</v>
      </c>
      <c r="E5" s="609" t="s">
        <v>1128</v>
      </c>
      <c r="F5" s="609" t="s">
        <v>1128</v>
      </c>
      <c r="G5" s="609" t="s">
        <v>1128</v>
      </c>
      <c r="H5" s="585">
        <v>0</v>
      </c>
      <c r="I5" s="609" t="s">
        <v>1128</v>
      </c>
      <c r="J5" s="609" t="s">
        <v>1128</v>
      </c>
      <c r="K5" s="609" t="s">
        <v>1128</v>
      </c>
      <c r="L5" s="609">
        <v>0</v>
      </c>
      <c r="M5" s="609">
        <v>0</v>
      </c>
      <c r="N5" s="609">
        <v>0</v>
      </c>
      <c r="O5" s="609">
        <v>0</v>
      </c>
      <c r="P5" s="609">
        <v>0</v>
      </c>
      <c r="Q5" s="609">
        <v>0</v>
      </c>
      <c r="R5" s="609">
        <v>0</v>
      </c>
      <c r="S5" s="609">
        <v>0</v>
      </c>
      <c r="T5" s="609">
        <v>0</v>
      </c>
      <c r="U5" s="609">
        <v>0</v>
      </c>
      <c r="V5" s="609">
        <v>0</v>
      </c>
      <c r="W5" s="609">
        <v>0</v>
      </c>
      <c r="X5" s="609">
        <v>0</v>
      </c>
      <c r="Y5" s="609">
        <v>0</v>
      </c>
      <c r="Z5" s="609">
        <v>0</v>
      </c>
      <c r="AA5" s="609">
        <v>0</v>
      </c>
      <c r="AB5" s="609">
        <v>0</v>
      </c>
      <c r="AC5" s="609">
        <v>0</v>
      </c>
      <c r="AD5" s="609">
        <v>0</v>
      </c>
      <c r="AE5" s="609">
        <v>0</v>
      </c>
      <c r="AF5" s="609">
        <v>0</v>
      </c>
      <c r="AG5" s="609">
        <v>0</v>
      </c>
      <c r="AH5" s="609">
        <v>0</v>
      </c>
      <c r="AI5" s="609">
        <v>0</v>
      </c>
      <c r="AJ5" s="609">
        <v>0</v>
      </c>
      <c r="AK5" s="609">
        <v>0</v>
      </c>
      <c r="AL5" s="609">
        <v>0</v>
      </c>
      <c r="AM5" s="609">
        <v>0</v>
      </c>
      <c r="AN5" s="609">
        <v>0</v>
      </c>
      <c r="AO5" s="609">
        <v>0</v>
      </c>
      <c r="AP5" s="609">
        <v>0</v>
      </c>
      <c r="AQ5" s="609">
        <v>0</v>
      </c>
      <c r="AR5" s="609">
        <v>0</v>
      </c>
      <c r="AS5" s="609">
        <v>0</v>
      </c>
      <c r="AT5" s="609">
        <v>0</v>
      </c>
      <c r="AU5" s="609">
        <v>0</v>
      </c>
      <c r="AV5" s="609">
        <v>0</v>
      </c>
      <c r="AW5" s="615">
        <v>0</v>
      </c>
      <c r="AX5" s="615">
        <v>0</v>
      </c>
      <c r="AY5" s="615">
        <v>0</v>
      </c>
      <c r="AZ5" s="615">
        <v>0</v>
      </c>
      <c r="BA5" s="615">
        <v>0</v>
      </c>
      <c r="BB5" s="615">
        <v>0</v>
      </c>
      <c r="BC5" s="615">
        <v>0</v>
      </c>
      <c r="BD5" s="615">
        <v>0</v>
      </c>
      <c r="BE5" s="615">
        <v>0</v>
      </c>
      <c r="BF5" s="615">
        <v>0</v>
      </c>
      <c r="BG5" s="615">
        <v>0</v>
      </c>
      <c r="BH5" s="615">
        <v>0</v>
      </c>
      <c r="BI5" s="615">
        <v>0</v>
      </c>
      <c r="BJ5" s="615">
        <v>0</v>
      </c>
      <c r="BK5" s="615">
        <v>0</v>
      </c>
      <c r="BL5" s="615">
        <v>0</v>
      </c>
      <c r="BM5" s="615">
        <v>0</v>
      </c>
      <c r="BN5" s="615">
        <v>0</v>
      </c>
      <c r="BO5" s="615">
        <v>0</v>
      </c>
      <c r="BP5" s="615">
        <v>0</v>
      </c>
      <c r="BQ5" s="615">
        <v>0</v>
      </c>
      <c r="BR5" s="615">
        <v>0</v>
      </c>
      <c r="BS5" s="615">
        <v>0</v>
      </c>
      <c r="BT5" s="615">
        <v>0</v>
      </c>
      <c r="BU5" s="615">
        <v>0</v>
      </c>
      <c r="BV5" s="615">
        <v>0</v>
      </c>
      <c r="BW5" s="615">
        <v>0</v>
      </c>
      <c r="BX5" s="607">
        <f t="shared" ref="BX5:BX68" si="0">SUM(K5:BW5)</f>
        <v>0</v>
      </c>
    </row>
    <row r="6" spans="1:76" s="612" customFormat="1" ht="11.25" customHeight="1" x14ac:dyDescent="0.2">
      <c r="A6" s="905"/>
      <c r="B6" s="610" t="s">
        <v>1571</v>
      </c>
      <c r="C6" s="634" t="s">
        <v>1764</v>
      </c>
      <c r="D6" s="609">
        <v>0</v>
      </c>
      <c r="E6" s="609">
        <v>0</v>
      </c>
      <c r="F6" s="609">
        <v>0</v>
      </c>
      <c r="G6" s="609">
        <v>0</v>
      </c>
      <c r="H6" s="585">
        <v>0</v>
      </c>
      <c r="I6" s="609">
        <v>0</v>
      </c>
      <c r="J6" s="609">
        <v>0</v>
      </c>
      <c r="K6" s="609">
        <v>0</v>
      </c>
      <c r="L6" s="609">
        <v>0</v>
      </c>
      <c r="M6" s="609">
        <v>0</v>
      </c>
      <c r="N6" s="609">
        <v>0</v>
      </c>
      <c r="O6" s="609">
        <v>0</v>
      </c>
      <c r="P6" s="609">
        <v>0</v>
      </c>
      <c r="Q6" s="609">
        <v>0</v>
      </c>
      <c r="R6" s="609">
        <v>0</v>
      </c>
      <c r="S6" s="609">
        <v>0</v>
      </c>
      <c r="T6" s="609">
        <v>0</v>
      </c>
      <c r="U6" s="609">
        <v>0</v>
      </c>
      <c r="V6" s="609">
        <v>0</v>
      </c>
      <c r="W6" s="609">
        <v>0</v>
      </c>
      <c r="X6" s="609">
        <v>0</v>
      </c>
      <c r="Y6" s="609">
        <v>0</v>
      </c>
      <c r="Z6" s="609">
        <v>0</v>
      </c>
      <c r="AA6" s="609">
        <v>0</v>
      </c>
      <c r="AB6" s="609">
        <v>0</v>
      </c>
      <c r="AC6" s="609">
        <v>0</v>
      </c>
      <c r="AD6" s="609">
        <v>0</v>
      </c>
      <c r="AE6" s="609">
        <v>0</v>
      </c>
      <c r="AF6" s="609">
        <v>0</v>
      </c>
      <c r="AG6" s="609">
        <v>0</v>
      </c>
      <c r="AH6" s="609">
        <v>0</v>
      </c>
      <c r="AI6" s="609">
        <v>0</v>
      </c>
      <c r="AJ6" s="609">
        <v>0</v>
      </c>
      <c r="AK6" s="609">
        <v>0</v>
      </c>
      <c r="AL6" s="609">
        <v>0</v>
      </c>
      <c r="AM6" s="609">
        <v>0</v>
      </c>
      <c r="AN6" s="609">
        <v>0</v>
      </c>
      <c r="AO6" s="609">
        <v>0</v>
      </c>
      <c r="AP6" s="609">
        <v>0</v>
      </c>
      <c r="AQ6" s="609">
        <v>0</v>
      </c>
      <c r="AR6" s="609">
        <v>0</v>
      </c>
      <c r="AS6" s="609">
        <v>0</v>
      </c>
      <c r="AT6" s="609">
        <v>0</v>
      </c>
      <c r="AU6" s="609">
        <v>0</v>
      </c>
      <c r="AV6" s="609">
        <v>0</v>
      </c>
      <c r="AW6" s="615">
        <v>0</v>
      </c>
      <c r="AX6" s="615">
        <v>0</v>
      </c>
      <c r="AY6" s="615">
        <v>0</v>
      </c>
      <c r="AZ6" s="615">
        <v>0</v>
      </c>
      <c r="BA6" s="615">
        <v>0</v>
      </c>
      <c r="BB6" s="615">
        <v>0</v>
      </c>
      <c r="BC6" s="615">
        <v>0</v>
      </c>
      <c r="BD6" s="615">
        <v>0</v>
      </c>
      <c r="BE6" s="615">
        <v>0</v>
      </c>
      <c r="BF6" s="615">
        <v>0</v>
      </c>
      <c r="BG6" s="615">
        <v>0</v>
      </c>
      <c r="BH6" s="615">
        <v>0</v>
      </c>
      <c r="BI6" s="615">
        <v>0</v>
      </c>
      <c r="BJ6" s="615">
        <v>0</v>
      </c>
      <c r="BK6" s="615">
        <v>0</v>
      </c>
      <c r="BL6" s="615">
        <v>0</v>
      </c>
      <c r="BM6" s="615">
        <v>0</v>
      </c>
      <c r="BN6" s="615">
        <v>0</v>
      </c>
      <c r="BO6" s="615">
        <v>0</v>
      </c>
      <c r="BP6" s="615">
        <v>0</v>
      </c>
      <c r="BQ6" s="615">
        <v>0</v>
      </c>
      <c r="BR6" s="615">
        <v>0</v>
      </c>
      <c r="BS6" s="615">
        <v>0</v>
      </c>
      <c r="BT6" s="615">
        <v>0</v>
      </c>
      <c r="BU6" s="615">
        <v>0</v>
      </c>
      <c r="BV6" s="615">
        <v>0</v>
      </c>
      <c r="BW6" s="615">
        <v>0</v>
      </c>
      <c r="BX6" s="607">
        <f t="shared" si="0"/>
        <v>0</v>
      </c>
    </row>
    <row r="7" spans="1:76" s="612" customFormat="1" ht="11.25" customHeight="1" x14ac:dyDescent="0.2">
      <c r="A7" s="905"/>
      <c r="B7" s="610" t="s">
        <v>1696</v>
      </c>
      <c r="C7" s="634" t="s">
        <v>1765</v>
      </c>
      <c r="D7" s="609">
        <v>0</v>
      </c>
      <c r="E7" s="609">
        <v>0</v>
      </c>
      <c r="F7" s="609">
        <v>0</v>
      </c>
      <c r="G7" s="609">
        <v>0</v>
      </c>
      <c r="H7" s="585">
        <v>0</v>
      </c>
      <c r="I7" s="609">
        <v>0</v>
      </c>
      <c r="J7" s="609">
        <v>0</v>
      </c>
      <c r="K7" s="609">
        <v>0</v>
      </c>
      <c r="L7" s="609">
        <v>0</v>
      </c>
      <c r="M7" s="609">
        <v>0</v>
      </c>
      <c r="N7" s="609">
        <v>0</v>
      </c>
      <c r="O7" s="609">
        <v>0</v>
      </c>
      <c r="P7" s="609">
        <v>0</v>
      </c>
      <c r="Q7" s="609">
        <v>0</v>
      </c>
      <c r="R7" s="609">
        <v>0</v>
      </c>
      <c r="S7" s="609">
        <v>0</v>
      </c>
      <c r="T7" s="609">
        <v>0</v>
      </c>
      <c r="U7" s="609">
        <v>0</v>
      </c>
      <c r="V7" s="609">
        <v>0</v>
      </c>
      <c r="W7" s="609">
        <v>0</v>
      </c>
      <c r="X7" s="609">
        <v>0</v>
      </c>
      <c r="Y7" s="609">
        <v>0</v>
      </c>
      <c r="Z7" s="609">
        <v>0</v>
      </c>
      <c r="AA7" s="609">
        <v>0</v>
      </c>
      <c r="AB7" s="609">
        <v>0</v>
      </c>
      <c r="AC7" s="609">
        <v>0</v>
      </c>
      <c r="AD7" s="609">
        <v>0</v>
      </c>
      <c r="AE7" s="609">
        <v>0</v>
      </c>
      <c r="AF7" s="609">
        <v>0</v>
      </c>
      <c r="AG7" s="609">
        <v>0</v>
      </c>
      <c r="AH7" s="609">
        <v>0</v>
      </c>
      <c r="AI7" s="609">
        <v>0</v>
      </c>
      <c r="AJ7" s="609">
        <v>0</v>
      </c>
      <c r="AK7" s="609">
        <v>0</v>
      </c>
      <c r="AL7" s="609">
        <v>0</v>
      </c>
      <c r="AM7" s="609">
        <v>0</v>
      </c>
      <c r="AN7" s="609">
        <v>0</v>
      </c>
      <c r="AO7" s="609">
        <v>0</v>
      </c>
      <c r="AP7" s="609">
        <v>0</v>
      </c>
      <c r="AQ7" s="609">
        <v>0</v>
      </c>
      <c r="AR7" s="609">
        <v>0</v>
      </c>
      <c r="AS7" s="609">
        <v>0</v>
      </c>
      <c r="AT7" s="609">
        <v>0</v>
      </c>
      <c r="AU7" s="609">
        <v>0</v>
      </c>
      <c r="AV7" s="609">
        <v>0</v>
      </c>
      <c r="AW7" s="615">
        <v>0</v>
      </c>
      <c r="AX7" s="615">
        <v>0</v>
      </c>
      <c r="AY7" s="615">
        <v>0</v>
      </c>
      <c r="AZ7" s="615">
        <v>0</v>
      </c>
      <c r="BA7" s="615">
        <v>0</v>
      </c>
      <c r="BB7" s="615">
        <v>0</v>
      </c>
      <c r="BC7" s="615">
        <v>0</v>
      </c>
      <c r="BD7" s="615">
        <v>0</v>
      </c>
      <c r="BE7" s="615">
        <v>0</v>
      </c>
      <c r="BF7" s="615">
        <v>0</v>
      </c>
      <c r="BG7" s="615">
        <v>0</v>
      </c>
      <c r="BH7" s="615">
        <v>0</v>
      </c>
      <c r="BI7" s="615">
        <v>0</v>
      </c>
      <c r="BJ7" s="615">
        <v>0</v>
      </c>
      <c r="BK7" s="615">
        <v>0</v>
      </c>
      <c r="BL7" s="615">
        <v>0</v>
      </c>
      <c r="BM7" s="615">
        <v>0</v>
      </c>
      <c r="BN7" s="615">
        <v>0</v>
      </c>
      <c r="BO7" s="615">
        <v>0</v>
      </c>
      <c r="BP7" s="615">
        <v>0</v>
      </c>
      <c r="BQ7" s="615">
        <v>0</v>
      </c>
      <c r="BR7" s="615">
        <v>0</v>
      </c>
      <c r="BS7" s="615">
        <v>0</v>
      </c>
      <c r="BT7" s="615">
        <v>0</v>
      </c>
      <c r="BU7" s="615">
        <v>0</v>
      </c>
      <c r="BV7" s="615">
        <v>0</v>
      </c>
      <c r="BW7" s="615">
        <v>0</v>
      </c>
      <c r="BX7" s="607">
        <f t="shared" si="0"/>
        <v>0</v>
      </c>
    </row>
    <row r="8" spans="1:76" s="612" customFormat="1" ht="11.25" customHeight="1" x14ac:dyDescent="0.2">
      <c r="A8" s="905"/>
      <c r="B8" s="610" t="s">
        <v>1526</v>
      </c>
      <c r="C8" s="634" t="s">
        <v>1766</v>
      </c>
      <c r="D8" s="609">
        <v>0</v>
      </c>
      <c r="E8" s="609">
        <v>0</v>
      </c>
      <c r="F8" s="609">
        <v>0</v>
      </c>
      <c r="G8" s="609">
        <v>0</v>
      </c>
      <c r="H8" s="585">
        <v>0</v>
      </c>
      <c r="I8" s="609">
        <v>0</v>
      </c>
      <c r="J8" s="609">
        <v>0</v>
      </c>
      <c r="K8" s="609">
        <v>0</v>
      </c>
      <c r="L8" s="609">
        <v>0</v>
      </c>
      <c r="M8" s="609">
        <v>0</v>
      </c>
      <c r="N8" s="609">
        <v>0</v>
      </c>
      <c r="O8" s="609">
        <v>0</v>
      </c>
      <c r="P8" s="609">
        <v>0</v>
      </c>
      <c r="Q8" s="609">
        <v>0</v>
      </c>
      <c r="R8" s="609">
        <v>0</v>
      </c>
      <c r="S8" s="609">
        <v>0</v>
      </c>
      <c r="T8" s="609">
        <v>0</v>
      </c>
      <c r="U8" s="609">
        <v>0</v>
      </c>
      <c r="V8" s="609">
        <v>0</v>
      </c>
      <c r="W8" s="609">
        <v>0</v>
      </c>
      <c r="X8" s="609">
        <v>0</v>
      </c>
      <c r="Y8" s="609">
        <v>0</v>
      </c>
      <c r="Z8" s="609">
        <v>0</v>
      </c>
      <c r="AA8" s="609">
        <v>0</v>
      </c>
      <c r="AB8" s="609">
        <v>0</v>
      </c>
      <c r="AC8" s="609">
        <v>0</v>
      </c>
      <c r="AD8" s="609">
        <v>0</v>
      </c>
      <c r="AE8" s="609">
        <v>0</v>
      </c>
      <c r="AF8" s="609">
        <v>0</v>
      </c>
      <c r="AG8" s="609">
        <v>0</v>
      </c>
      <c r="AH8" s="609">
        <v>0</v>
      </c>
      <c r="AI8" s="609">
        <v>186919823</v>
      </c>
      <c r="AJ8" s="609">
        <v>0</v>
      </c>
      <c r="AK8" s="609">
        <v>0</v>
      </c>
      <c r="AL8" s="609">
        <v>0</v>
      </c>
      <c r="AM8" s="609">
        <v>0</v>
      </c>
      <c r="AN8" s="609">
        <v>0</v>
      </c>
      <c r="AO8" s="609">
        <v>0</v>
      </c>
      <c r="AP8" s="609">
        <v>0</v>
      </c>
      <c r="AQ8" s="609">
        <v>0</v>
      </c>
      <c r="AR8" s="609">
        <v>0</v>
      </c>
      <c r="AS8" s="609">
        <v>0</v>
      </c>
      <c r="AT8" s="609">
        <v>0</v>
      </c>
      <c r="AU8" s="609">
        <v>0</v>
      </c>
      <c r="AV8" s="609">
        <v>0</v>
      </c>
      <c r="AW8" s="615">
        <v>0</v>
      </c>
      <c r="AX8" s="615">
        <v>0</v>
      </c>
      <c r="AY8" s="615">
        <v>0</v>
      </c>
      <c r="AZ8" s="615">
        <v>0</v>
      </c>
      <c r="BA8" s="615">
        <v>0</v>
      </c>
      <c r="BB8" s="615">
        <v>0</v>
      </c>
      <c r="BC8" s="615">
        <v>0</v>
      </c>
      <c r="BD8" s="615">
        <v>0</v>
      </c>
      <c r="BE8" s="615">
        <v>0</v>
      </c>
      <c r="BF8" s="615">
        <v>0</v>
      </c>
      <c r="BG8" s="615">
        <v>0</v>
      </c>
      <c r="BH8" s="615">
        <v>0</v>
      </c>
      <c r="BI8" s="615">
        <v>0</v>
      </c>
      <c r="BJ8" s="615">
        <v>0</v>
      </c>
      <c r="BK8" s="615">
        <v>0</v>
      </c>
      <c r="BL8" s="615">
        <v>0</v>
      </c>
      <c r="BM8" s="615">
        <v>0</v>
      </c>
      <c r="BN8" s="615">
        <v>0</v>
      </c>
      <c r="BO8" s="615">
        <v>0</v>
      </c>
      <c r="BP8" s="615">
        <v>0</v>
      </c>
      <c r="BQ8" s="615">
        <v>0</v>
      </c>
      <c r="BR8" s="615">
        <v>0</v>
      </c>
      <c r="BS8" s="615">
        <v>0</v>
      </c>
      <c r="BT8" s="615">
        <v>0</v>
      </c>
      <c r="BU8" s="615">
        <v>0</v>
      </c>
      <c r="BV8" s="615">
        <v>0</v>
      </c>
      <c r="BW8" s="615">
        <v>0</v>
      </c>
      <c r="BX8" s="607">
        <f t="shared" si="0"/>
        <v>186919823</v>
      </c>
    </row>
    <row r="9" spans="1:76" s="612" customFormat="1" ht="11.25" customHeight="1" x14ac:dyDescent="0.2">
      <c r="A9" s="905"/>
      <c r="B9" s="610" t="s">
        <v>918</v>
      </c>
      <c r="C9" s="634" t="s">
        <v>1767</v>
      </c>
      <c r="D9" s="609">
        <v>0</v>
      </c>
      <c r="E9" s="609">
        <v>0</v>
      </c>
      <c r="F9" s="609">
        <v>0</v>
      </c>
      <c r="G9" s="609">
        <v>0</v>
      </c>
      <c r="H9" s="585">
        <v>0</v>
      </c>
      <c r="I9" s="609">
        <v>0</v>
      </c>
      <c r="J9" s="609">
        <v>0</v>
      </c>
      <c r="K9" s="609">
        <v>0</v>
      </c>
      <c r="L9" s="609">
        <v>0</v>
      </c>
      <c r="M9" s="609">
        <v>0</v>
      </c>
      <c r="N9" s="609">
        <v>0</v>
      </c>
      <c r="O9" s="609">
        <v>0</v>
      </c>
      <c r="P9" s="609">
        <v>0</v>
      </c>
      <c r="Q9" s="609">
        <v>0</v>
      </c>
      <c r="R9" s="609">
        <v>0</v>
      </c>
      <c r="S9" s="609">
        <v>0</v>
      </c>
      <c r="T9" s="609">
        <v>0</v>
      </c>
      <c r="U9" s="609">
        <v>0</v>
      </c>
      <c r="V9" s="609">
        <v>0</v>
      </c>
      <c r="W9" s="609">
        <v>0</v>
      </c>
      <c r="X9" s="609">
        <v>0</v>
      </c>
      <c r="Y9" s="609">
        <v>0</v>
      </c>
      <c r="Z9" s="609">
        <v>0</v>
      </c>
      <c r="AA9" s="609">
        <v>0</v>
      </c>
      <c r="AB9" s="609">
        <v>0</v>
      </c>
      <c r="AC9" s="609">
        <v>0</v>
      </c>
      <c r="AD9" s="609">
        <v>0</v>
      </c>
      <c r="AE9" s="609">
        <v>0</v>
      </c>
      <c r="AF9" s="609">
        <v>0</v>
      </c>
      <c r="AG9" s="609">
        <v>0</v>
      </c>
      <c r="AH9" s="609">
        <v>0</v>
      </c>
      <c r="AI9" s="609">
        <v>0</v>
      </c>
      <c r="AJ9" s="609">
        <v>0</v>
      </c>
      <c r="AK9" s="609">
        <v>0</v>
      </c>
      <c r="AL9" s="609">
        <v>0</v>
      </c>
      <c r="AM9" s="609">
        <v>0</v>
      </c>
      <c r="AN9" s="609">
        <v>0</v>
      </c>
      <c r="AO9" s="609">
        <v>0</v>
      </c>
      <c r="AP9" s="609">
        <v>162752</v>
      </c>
      <c r="AQ9" s="609">
        <v>0</v>
      </c>
      <c r="AR9" s="609">
        <v>0</v>
      </c>
      <c r="AS9" s="609">
        <v>0</v>
      </c>
      <c r="AT9" s="609">
        <v>0</v>
      </c>
      <c r="AU9" s="609">
        <v>0</v>
      </c>
      <c r="AV9" s="609">
        <v>0</v>
      </c>
      <c r="AW9" s="615">
        <v>0</v>
      </c>
      <c r="AX9" s="615">
        <v>0</v>
      </c>
      <c r="AY9" s="615">
        <v>0</v>
      </c>
      <c r="AZ9" s="615">
        <v>0</v>
      </c>
      <c r="BA9" s="615">
        <v>0</v>
      </c>
      <c r="BB9" s="615">
        <v>0</v>
      </c>
      <c r="BC9" s="615">
        <v>0</v>
      </c>
      <c r="BD9" s="615">
        <v>0</v>
      </c>
      <c r="BE9" s="615">
        <v>0</v>
      </c>
      <c r="BF9" s="615">
        <v>0</v>
      </c>
      <c r="BG9" s="615">
        <v>0</v>
      </c>
      <c r="BH9" s="615">
        <v>0</v>
      </c>
      <c r="BI9" s="615">
        <v>0</v>
      </c>
      <c r="BJ9" s="615">
        <v>0</v>
      </c>
      <c r="BK9" s="615">
        <v>0</v>
      </c>
      <c r="BL9" s="615">
        <v>0</v>
      </c>
      <c r="BM9" s="615">
        <v>0</v>
      </c>
      <c r="BN9" s="615">
        <v>0</v>
      </c>
      <c r="BO9" s="615">
        <v>0</v>
      </c>
      <c r="BP9" s="615">
        <v>0</v>
      </c>
      <c r="BQ9" s="615">
        <v>0</v>
      </c>
      <c r="BR9" s="615">
        <v>0</v>
      </c>
      <c r="BS9" s="615">
        <v>0</v>
      </c>
      <c r="BT9" s="615">
        <v>0</v>
      </c>
      <c r="BU9" s="615">
        <v>0</v>
      </c>
      <c r="BV9" s="615">
        <v>0</v>
      </c>
      <c r="BW9" s="615">
        <v>0</v>
      </c>
      <c r="BX9" s="607">
        <f t="shared" si="0"/>
        <v>162752</v>
      </c>
    </row>
    <row r="10" spans="1:76" s="612" customFormat="1" ht="11.25" customHeight="1" x14ac:dyDescent="0.2">
      <c r="A10" s="905"/>
      <c r="B10" s="610" t="s">
        <v>3484</v>
      </c>
      <c r="C10" s="634" t="s">
        <v>1768</v>
      </c>
      <c r="D10" s="609">
        <v>0</v>
      </c>
      <c r="E10" s="609">
        <v>0</v>
      </c>
      <c r="F10" s="609">
        <v>0</v>
      </c>
      <c r="G10" s="609">
        <v>0</v>
      </c>
      <c r="H10" s="585">
        <v>0</v>
      </c>
      <c r="I10" s="609">
        <v>0</v>
      </c>
      <c r="J10" s="609">
        <v>0</v>
      </c>
      <c r="K10" s="609">
        <v>0</v>
      </c>
      <c r="L10" s="609">
        <v>0</v>
      </c>
      <c r="M10" s="609">
        <v>0</v>
      </c>
      <c r="N10" s="609">
        <v>0</v>
      </c>
      <c r="O10" s="609">
        <v>0</v>
      </c>
      <c r="P10" s="609">
        <v>0</v>
      </c>
      <c r="Q10" s="609">
        <v>0</v>
      </c>
      <c r="R10" s="609">
        <v>0</v>
      </c>
      <c r="S10" s="609">
        <v>0</v>
      </c>
      <c r="T10" s="609">
        <v>0</v>
      </c>
      <c r="U10" s="609">
        <v>0</v>
      </c>
      <c r="V10" s="609">
        <v>0</v>
      </c>
      <c r="W10" s="609">
        <v>0</v>
      </c>
      <c r="X10" s="609">
        <v>0</v>
      </c>
      <c r="Y10" s="609">
        <v>0</v>
      </c>
      <c r="Z10" s="609">
        <v>0</v>
      </c>
      <c r="AA10" s="609">
        <v>0</v>
      </c>
      <c r="AB10" s="609">
        <v>0</v>
      </c>
      <c r="AC10" s="609">
        <v>0</v>
      </c>
      <c r="AD10" s="609">
        <v>0</v>
      </c>
      <c r="AE10" s="609">
        <v>0</v>
      </c>
      <c r="AF10" s="609">
        <v>0</v>
      </c>
      <c r="AG10" s="609">
        <v>0</v>
      </c>
      <c r="AH10" s="609">
        <v>0</v>
      </c>
      <c r="AI10" s="609">
        <v>0</v>
      </c>
      <c r="AJ10" s="609">
        <v>0</v>
      </c>
      <c r="AK10" s="609">
        <v>0</v>
      </c>
      <c r="AL10" s="609">
        <v>0</v>
      </c>
      <c r="AM10" s="609">
        <v>0</v>
      </c>
      <c r="AN10" s="609">
        <v>0</v>
      </c>
      <c r="AO10" s="609">
        <v>0</v>
      </c>
      <c r="AP10" s="609">
        <v>0</v>
      </c>
      <c r="AQ10" s="609">
        <v>0</v>
      </c>
      <c r="AR10" s="609">
        <v>0</v>
      </c>
      <c r="AS10" s="609">
        <v>0</v>
      </c>
      <c r="AT10" s="609">
        <v>0</v>
      </c>
      <c r="AU10" s="609">
        <v>0</v>
      </c>
      <c r="AV10" s="609">
        <v>0</v>
      </c>
      <c r="AW10" s="615">
        <v>0</v>
      </c>
      <c r="AX10" s="615">
        <v>0</v>
      </c>
      <c r="AY10" s="615">
        <v>0</v>
      </c>
      <c r="AZ10" s="615">
        <v>0</v>
      </c>
      <c r="BA10" s="615">
        <v>0</v>
      </c>
      <c r="BB10" s="615">
        <v>0</v>
      </c>
      <c r="BC10" s="615">
        <v>0</v>
      </c>
      <c r="BD10" s="615">
        <v>0</v>
      </c>
      <c r="BE10" s="615">
        <v>0</v>
      </c>
      <c r="BF10" s="615">
        <v>0</v>
      </c>
      <c r="BG10" s="615">
        <v>0</v>
      </c>
      <c r="BH10" s="615">
        <v>0</v>
      </c>
      <c r="BI10" s="615">
        <v>0</v>
      </c>
      <c r="BJ10" s="615">
        <v>0</v>
      </c>
      <c r="BK10" s="615">
        <v>0</v>
      </c>
      <c r="BL10" s="615">
        <v>0</v>
      </c>
      <c r="BM10" s="615">
        <v>0</v>
      </c>
      <c r="BN10" s="615">
        <v>0</v>
      </c>
      <c r="BO10" s="615">
        <v>0</v>
      </c>
      <c r="BP10" s="615">
        <v>0</v>
      </c>
      <c r="BQ10" s="615">
        <v>0</v>
      </c>
      <c r="BR10" s="615">
        <v>0</v>
      </c>
      <c r="BS10" s="615">
        <v>0</v>
      </c>
      <c r="BT10" s="615">
        <v>0</v>
      </c>
      <c r="BU10" s="615">
        <v>0</v>
      </c>
      <c r="BV10" s="615">
        <v>0</v>
      </c>
      <c r="BW10" s="615">
        <v>0</v>
      </c>
      <c r="BX10" s="607">
        <f t="shared" si="0"/>
        <v>0</v>
      </c>
    </row>
    <row r="11" spans="1:76" s="612" customFormat="1" ht="11.25" customHeight="1" x14ac:dyDescent="0.2">
      <c r="A11" s="905"/>
      <c r="B11" s="610" t="s">
        <v>1633</v>
      </c>
      <c r="C11" s="634" t="s">
        <v>1769</v>
      </c>
      <c r="D11" s="609">
        <v>0</v>
      </c>
      <c r="E11" s="609">
        <v>0</v>
      </c>
      <c r="F11" s="609">
        <v>0</v>
      </c>
      <c r="G11" s="609">
        <v>0</v>
      </c>
      <c r="H11" s="585">
        <v>0</v>
      </c>
      <c r="I11" s="609">
        <v>0</v>
      </c>
      <c r="J11" s="609">
        <v>0</v>
      </c>
      <c r="K11" s="609">
        <v>0</v>
      </c>
      <c r="L11" s="609">
        <v>0</v>
      </c>
      <c r="M11" s="609">
        <v>0</v>
      </c>
      <c r="N11" s="609">
        <v>0</v>
      </c>
      <c r="O11" s="609">
        <v>0</v>
      </c>
      <c r="P11" s="609">
        <v>0</v>
      </c>
      <c r="Q11" s="609">
        <v>0</v>
      </c>
      <c r="R11" s="609">
        <v>0</v>
      </c>
      <c r="S11" s="609">
        <v>0</v>
      </c>
      <c r="T11" s="609">
        <v>0</v>
      </c>
      <c r="U11" s="609">
        <v>0</v>
      </c>
      <c r="V11" s="609">
        <v>0</v>
      </c>
      <c r="W11" s="609">
        <v>0</v>
      </c>
      <c r="X11" s="609">
        <v>0</v>
      </c>
      <c r="Y11" s="609">
        <v>0</v>
      </c>
      <c r="Z11" s="609">
        <v>0</v>
      </c>
      <c r="AA11" s="609">
        <v>0</v>
      </c>
      <c r="AB11" s="609">
        <v>0</v>
      </c>
      <c r="AC11" s="609">
        <v>0</v>
      </c>
      <c r="AD11" s="609">
        <v>0</v>
      </c>
      <c r="AE11" s="609">
        <v>0</v>
      </c>
      <c r="AF11" s="609">
        <v>0</v>
      </c>
      <c r="AG11" s="609">
        <v>0</v>
      </c>
      <c r="AH11" s="609">
        <v>0</v>
      </c>
      <c r="AI11" s="609">
        <v>0</v>
      </c>
      <c r="AJ11" s="609">
        <v>0</v>
      </c>
      <c r="AK11" s="609">
        <v>0</v>
      </c>
      <c r="AL11" s="609">
        <v>0</v>
      </c>
      <c r="AM11" s="609">
        <v>0</v>
      </c>
      <c r="AN11" s="609">
        <v>0</v>
      </c>
      <c r="AO11" s="609">
        <v>0</v>
      </c>
      <c r="AP11" s="609">
        <v>0</v>
      </c>
      <c r="AQ11" s="609">
        <v>3100101</v>
      </c>
      <c r="AR11" s="609">
        <v>0</v>
      </c>
      <c r="AS11" s="609">
        <v>0</v>
      </c>
      <c r="AT11" s="609">
        <v>0</v>
      </c>
      <c r="AU11" s="609">
        <v>0</v>
      </c>
      <c r="AV11" s="609">
        <v>0</v>
      </c>
      <c r="AW11" s="615">
        <v>0</v>
      </c>
      <c r="AX11" s="615">
        <v>0</v>
      </c>
      <c r="AY11" s="615">
        <v>0</v>
      </c>
      <c r="AZ11" s="615">
        <v>0</v>
      </c>
      <c r="BA11" s="615">
        <v>0</v>
      </c>
      <c r="BB11" s="615">
        <v>0</v>
      </c>
      <c r="BC11" s="615">
        <v>0</v>
      </c>
      <c r="BD11" s="615">
        <v>0</v>
      </c>
      <c r="BE11" s="615">
        <v>0</v>
      </c>
      <c r="BF11" s="615">
        <v>0</v>
      </c>
      <c r="BG11" s="615">
        <v>0</v>
      </c>
      <c r="BH11" s="615">
        <v>0</v>
      </c>
      <c r="BI11" s="615">
        <v>0</v>
      </c>
      <c r="BJ11" s="615">
        <v>0</v>
      </c>
      <c r="BK11" s="615">
        <v>0</v>
      </c>
      <c r="BL11" s="615">
        <v>0</v>
      </c>
      <c r="BM11" s="615">
        <v>0</v>
      </c>
      <c r="BN11" s="615">
        <v>0</v>
      </c>
      <c r="BO11" s="615">
        <v>0</v>
      </c>
      <c r="BP11" s="615">
        <v>0</v>
      </c>
      <c r="BQ11" s="615">
        <v>0</v>
      </c>
      <c r="BR11" s="615">
        <v>0</v>
      </c>
      <c r="BS11" s="615">
        <v>0</v>
      </c>
      <c r="BT11" s="615">
        <v>0</v>
      </c>
      <c r="BU11" s="615">
        <v>0</v>
      </c>
      <c r="BV11" s="615">
        <v>0</v>
      </c>
      <c r="BW11" s="615">
        <v>0</v>
      </c>
      <c r="BX11" s="607">
        <f t="shared" si="0"/>
        <v>3100101</v>
      </c>
    </row>
    <row r="12" spans="1:76" s="612" customFormat="1" ht="11.25" customHeight="1" x14ac:dyDescent="0.2">
      <c r="A12" s="905"/>
      <c r="B12" s="610" t="s">
        <v>863</v>
      </c>
      <c r="C12" s="634" t="s">
        <v>1770</v>
      </c>
      <c r="D12" s="609">
        <v>0</v>
      </c>
      <c r="E12" s="609">
        <v>0</v>
      </c>
      <c r="F12" s="609">
        <v>0</v>
      </c>
      <c r="G12" s="609">
        <v>0</v>
      </c>
      <c r="H12" s="585">
        <v>0</v>
      </c>
      <c r="I12" s="609">
        <v>0</v>
      </c>
      <c r="J12" s="609">
        <v>0</v>
      </c>
      <c r="K12" s="609">
        <v>0</v>
      </c>
      <c r="L12" s="609">
        <v>0</v>
      </c>
      <c r="M12" s="609">
        <v>0</v>
      </c>
      <c r="N12" s="609">
        <v>0</v>
      </c>
      <c r="O12" s="609">
        <v>0</v>
      </c>
      <c r="P12" s="609">
        <v>0</v>
      </c>
      <c r="Q12" s="609">
        <v>0</v>
      </c>
      <c r="R12" s="609">
        <v>0</v>
      </c>
      <c r="S12" s="609">
        <v>0</v>
      </c>
      <c r="T12" s="609">
        <v>0</v>
      </c>
      <c r="U12" s="609">
        <v>0</v>
      </c>
      <c r="V12" s="609">
        <v>0</v>
      </c>
      <c r="W12" s="609">
        <v>0</v>
      </c>
      <c r="X12" s="609">
        <v>0</v>
      </c>
      <c r="Y12" s="609">
        <v>0</v>
      </c>
      <c r="Z12" s="609">
        <v>0</v>
      </c>
      <c r="AA12" s="609">
        <v>0</v>
      </c>
      <c r="AB12" s="609">
        <v>0</v>
      </c>
      <c r="AC12" s="609">
        <v>0</v>
      </c>
      <c r="AD12" s="609">
        <v>0</v>
      </c>
      <c r="AE12" s="609">
        <v>0</v>
      </c>
      <c r="AF12" s="609">
        <v>0</v>
      </c>
      <c r="AG12" s="609">
        <v>0</v>
      </c>
      <c r="AH12" s="609">
        <v>0</v>
      </c>
      <c r="AI12" s="609">
        <v>0</v>
      </c>
      <c r="AJ12" s="609">
        <v>0</v>
      </c>
      <c r="AK12" s="609">
        <v>0</v>
      </c>
      <c r="AL12" s="609">
        <v>0</v>
      </c>
      <c r="AM12" s="609">
        <v>0</v>
      </c>
      <c r="AN12" s="609">
        <v>0</v>
      </c>
      <c r="AO12" s="609">
        <v>0</v>
      </c>
      <c r="AP12" s="609">
        <v>161653</v>
      </c>
      <c r="AQ12" s="609">
        <v>0</v>
      </c>
      <c r="AR12" s="609">
        <v>0</v>
      </c>
      <c r="AS12" s="609">
        <v>0</v>
      </c>
      <c r="AT12" s="609">
        <v>0</v>
      </c>
      <c r="AU12" s="609">
        <v>0</v>
      </c>
      <c r="AV12" s="609">
        <v>1451128</v>
      </c>
      <c r="AW12" s="615">
        <v>0</v>
      </c>
      <c r="AX12" s="615">
        <v>0</v>
      </c>
      <c r="AY12" s="615">
        <v>0</v>
      </c>
      <c r="AZ12" s="615">
        <v>0</v>
      </c>
      <c r="BA12" s="615">
        <v>0</v>
      </c>
      <c r="BB12" s="615">
        <v>0</v>
      </c>
      <c r="BC12" s="615">
        <v>0</v>
      </c>
      <c r="BD12" s="615">
        <v>0</v>
      </c>
      <c r="BE12" s="615">
        <v>0</v>
      </c>
      <c r="BF12" s="615">
        <v>0</v>
      </c>
      <c r="BG12" s="615">
        <v>0</v>
      </c>
      <c r="BH12" s="615">
        <v>0</v>
      </c>
      <c r="BI12" s="615">
        <v>0</v>
      </c>
      <c r="BJ12" s="615">
        <v>0</v>
      </c>
      <c r="BK12" s="615">
        <v>0</v>
      </c>
      <c r="BL12" s="615">
        <v>0</v>
      </c>
      <c r="BM12" s="615">
        <v>0</v>
      </c>
      <c r="BN12" s="615">
        <v>0</v>
      </c>
      <c r="BO12" s="615">
        <v>0</v>
      </c>
      <c r="BP12" s="615">
        <v>0</v>
      </c>
      <c r="BQ12" s="615">
        <v>0</v>
      </c>
      <c r="BR12" s="615">
        <v>0</v>
      </c>
      <c r="BS12" s="615">
        <v>0</v>
      </c>
      <c r="BT12" s="615">
        <v>0</v>
      </c>
      <c r="BU12" s="615">
        <v>0</v>
      </c>
      <c r="BV12" s="615">
        <v>0</v>
      </c>
      <c r="BW12" s="615">
        <v>0</v>
      </c>
      <c r="BX12" s="607">
        <f t="shared" si="0"/>
        <v>1612781</v>
      </c>
    </row>
    <row r="13" spans="1:76" s="612" customFormat="1" ht="11.25" customHeight="1" x14ac:dyDescent="0.2">
      <c r="A13" s="905"/>
      <c r="B13" s="610" t="s">
        <v>862</v>
      </c>
      <c r="C13" s="634" t="s">
        <v>1771</v>
      </c>
      <c r="D13" s="609">
        <v>0</v>
      </c>
      <c r="E13" s="609">
        <v>0</v>
      </c>
      <c r="F13" s="609">
        <v>0</v>
      </c>
      <c r="G13" s="609">
        <v>0</v>
      </c>
      <c r="H13" s="585">
        <v>0</v>
      </c>
      <c r="I13" s="609">
        <v>0</v>
      </c>
      <c r="J13" s="609">
        <v>0</v>
      </c>
      <c r="K13" s="609">
        <v>0</v>
      </c>
      <c r="L13" s="609">
        <v>0</v>
      </c>
      <c r="M13" s="609">
        <v>0</v>
      </c>
      <c r="N13" s="609">
        <v>0</v>
      </c>
      <c r="O13" s="609">
        <v>0</v>
      </c>
      <c r="P13" s="609">
        <v>0</v>
      </c>
      <c r="Q13" s="609">
        <v>0</v>
      </c>
      <c r="R13" s="609">
        <v>0</v>
      </c>
      <c r="S13" s="609">
        <v>0</v>
      </c>
      <c r="T13" s="609">
        <v>0</v>
      </c>
      <c r="U13" s="609">
        <v>0</v>
      </c>
      <c r="V13" s="609">
        <v>0</v>
      </c>
      <c r="W13" s="609">
        <v>0</v>
      </c>
      <c r="X13" s="609">
        <v>0</v>
      </c>
      <c r="Y13" s="609">
        <v>0</v>
      </c>
      <c r="Z13" s="609">
        <v>0</v>
      </c>
      <c r="AA13" s="609">
        <v>0</v>
      </c>
      <c r="AB13" s="609">
        <v>0</v>
      </c>
      <c r="AC13" s="609">
        <v>0</v>
      </c>
      <c r="AD13" s="609">
        <v>0</v>
      </c>
      <c r="AE13" s="609">
        <v>0</v>
      </c>
      <c r="AF13" s="609">
        <v>0</v>
      </c>
      <c r="AG13" s="609">
        <v>0</v>
      </c>
      <c r="AH13" s="609">
        <v>0</v>
      </c>
      <c r="AI13" s="609">
        <v>0</v>
      </c>
      <c r="AJ13" s="609">
        <v>0</v>
      </c>
      <c r="AK13" s="609">
        <v>0</v>
      </c>
      <c r="AL13" s="609">
        <v>0</v>
      </c>
      <c r="AM13" s="609">
        <v>0</v>
      </c>
      <c r="AN13" s="609">
        <v>0</v>
      </c>
      <c r="AO13" s="609">
        <v>0</v>
      </c>
      <c r="AP13" s="609">
        <v>0</v>
      </c>
      <c r="AQ13" s="609">
        <v>0</v>
      </c>
      <c r="AR13" s="609">
        <v>0</v>
      </c>
      <c r="AS13" s="609">
        <v>0</v>
      </c>
      <c r="AT13" s="609">
        <v>0</v>
      </c>
      <c r="AU13" s="609">
        <v>0</v>
      </c>
      <c r="AV13" s="609">
        <v>0</v>
      </c>
      <c r="AW13" s="615">
        <v>0</v>
      </c>
      <c r="AX13" s="615">
        <v>0</v>
      </c>
      <c r="AY13" s="615">
        <v>0</v>
      </c>
      <c r="AZ13" s="615">
        <v>0</v>
      </c>
      <c r="BA13" s="615">
        <v>0</v>
      </c>
      <c r="BB13" s="615">
        <v>0</v>
      </c>
      <c r="BC13" s="615">
        <v>0</v>
      </c>
      <c r="BD13" s="615">
        <v>0</v>
      </c>
      <c r="BE13" s="615">
        <v>0</v>
      </c>
      <c r="BF13" s="615">
        <v>0</v>
      </c>
      <c r="BG13" s="615">
        <v>0</v>
      </c>
      <c r="BH13" s="615">
        <v>0</v>
      </c>
      <c r="BI13" s="615">
        <v>0</v>
      </c>
      <c r="BJ13" s="615">
        <v>0</v>
      </c>
      <c r="BK13" s="615">
        <v>0</v>
      </c>
      <c r="BL13" s="615">
        <v>0</v>
      </c>
      <c r="BM13" s="615">
        <v>0</v>
      </c>
      <c r="BN13" s="615">
        <v>0</v>
      </c>
      <c r="BO13" s="615">
        <v>0</v>
      </c>
      <c r="BP13" s="615">
        <v>0</v>
      </c>
      <c r="BQ13" s="615">
        <v>0</v>
      </c>
      <c r="BR13" s="615">
        <v>0</v>
      </c>
      <c r="BS13" s="615">
        <v>0</v>
      </c>
      <c r="BT13" s="615">
        <v>0</v>
      </c>
      <c r="BU13" s="615">
        <v>0</v>
      </c>
      <c r="BV13" s="615">
        <v>0</v>
      </c>
      <c r="BW13" s="615">
        <v>0</v>
      </c>
      <c r="BX13" s="607">
        <f t="shared" si="0"/>
        <v>0</v>
      </c>
    </row>
    <row r="14" spans="1:76" s="612" customFormat="1" ht="11.25" customHeight="1" x14ac:dyDescent="0.2">
      <c r="A14" s="905"/>
      <c r="B14" s="610" t="s">
        <v>1634</v>
      </c>
      <c r="C14" s="634" t="s">
        <v>1772</v>
      </c>
      <c r="D14" s="609">
        <v>0</v>
      </c>
      <c r="E14" s="609">
        <v>0</v>
      </c>
      <c r="F14" s="609">
        <v>0</v>
      </c>
      <c r="G14" s="609">
        <v>0</v>
      </c>
      <c r="H14" s="585">
        <v>0</v>
      </c>
      <c r="I14" s="609">
        <v>0</v>
      </c>
      <c r="J14" s="609">
        <v>0</v>
      </c>
      <c r="K14" s="609">
        <v>0</v>
      </c>
      <c r="L14" s="609">
        <v>0</v>
      </c>
      <c r="M14" s="609">
        <v>0</v>
      </c>
      <c r="N14" s="609">
        <v>0</v>
      </c>
      <c r="O14" s="609">
        <v>0</v>
      </c>
      <c r="P14" s="609">
        <v>0</v>
      </c>
      <c r="Q14" s="609">
        <v>0</v>
      </c>
      <c r="R14" s="609">
        <v>0</v>
      </c>
      <c r="S14" s="609">
        <v>0</v>
      </c>
      <c r="T14" s="609">
        <v>0</v>
      </c>
      <c r="U14" s="609">
        <v>0</v>
      </c>
      <c r="V14" s="609">
        <v>0</v>
      </c>
      <c r="W14" s="609">
        <v>0</v>
      </c>
      <c r="X14" s="609">
        <v>0</v>
      </c>
      <c r="Y14" s="609">
        <v>0</v>
      </c>
      <c r="Z14" s="609">
        <v>0</v>
      </c>
      <c r="AA14" s="609">
        <v>0</v>
      </c>
      <c r="AB14" s="609">
        <v>0</v>
      </c>
      <c r="AC14" s="609">
        <v>0</v>
      </c>
      <c r="AD14" s="609">
        <v>0</v>
      </c>
      <c r="AE14" s="609">
        <v>0</v>
      </c>
      <c r="AF14" s="609">
        <v>0</v>
      </c>
      <c r="AG14" s="609">
        <v>0</v>
      </c>
      <c r="AH14" s="609">
        <v>0</v>
      </c>
      <c r="AI14" s="609">
        <v>0</v>
      </c>
      <c r="AJ14" s="609">
        <v>0</v>
      </c>
      <c r="AK14" s="609">
        <v>0</v>
      </c>
      <c r="AL14" s="609">
        <v>0</v>
      </c>
      <c r="AM14" s="609">
        <v>0</v>
      </c>
      <c r="AN14" s="609">
        <v>0</v>
      </c>
      <c r="AO14" s="609">
        <v>0</v>
      </c>
      <c r="AP14" s="609">
        <v>0</v>
      </c>
      <c r="AQ14" s="609">
        <v>0</v>
      </c>
      <c r="AR14" s="609">
        <v>0</v>
      </c>
      <c r="AS14" s="609">
        <v>0</v>
      </c>
      <c r="AT14" s="609">
        <v>0</v>
      </c>
      <c r="AU14" s="609">
        <v>0</v>
      </c>
      <c r="AV14" s="609">
        <v>0</v>
      </c>
      <c r="AW14" s="615">
        <v>0</v>
      </c>
      <c r="AX14" s="615">
        <v>0</v>
      </c>
      <c r="AY14" s="615">
        <v>0</v>
      </c>
      <c r="AZ14" s="615">
        <v>0</v>
      </c>
      <c r="BA14" s="615">
        <v>0</v>
      </c>
      <c r="BB14" s="615">
        <v>0</v>
      </c>
      <c r="BC14" s="615">
        <v>0</v>
      </c>
      <c r="BD14" s="615">
        <v>0</v>
      </c>
      <c r="BE14" s="615">
        <v>0</v>
      </c>
      <c r="BF14" s="615">
        <v>0</v>
      </c>
      <c r="BG14" s="615">
        <v>0</v>
      </c>
      <c r="BH14" s="615">
        <v>0</v>
      </c>
      <c r="BI14" s="615">
        <v>0</v>
      </c>
      <c r="BJ14" s="615">
        <v>0</v>
      </c>
      <c r="BK14" s="615">
        <v>0</v>
      </c>
      <c r="BL14" s="615">
        <v>0</v>
      </c>
      <c r="BM14" s="615">
        <v>0</v>
      </c>
      <c r="BN14" s="615">
        <v>0</v>
      </c>
      <c r="BO14" s="615">
        <v>0</v>
      </c>
      <c r="BP14" s="615">
        <v>0</v>
      </c>
      <c r="BQ14" s="615">
        <v>0</v>
      </c>
      <c r="BR14" s="615">
        <v>0</v>
      </c>
      <c r="BS14" s="615">
        <v>0</v>
      </c>
      <c r="BT14" s="615">
        <v>0</v>
      </c>
      <c r="BU14" s="615">
        <v>0</v>
      </c>
      <c r="BV14" s="615">
        <v>0</v>
      </c>
      <c r="BW14" s="615">
        <v>0</v>
      </c>
      <c r="BX14" s="607">
        <f t="shared" si="0"/>
        <v>0</v>
      </c>
    </row>
    <row r="15" spans="1:76" s="612" customFormat="1" ht="11.25" customHeight="1" x14ac:dyDescent="0.2">
      <c r="A15" s="905"/>
      <c r="B15" s="610" t="s">
        <v>2608</v>
      </c>
      <c r="C15" s="634" t="s">
        <v>1773</v>
      </c>
      <c r="D15" s="609">
        <v>0</v>
      </c>
      <c r="E15" s="609">
        <v>0</v>
      </c>
      <c r="F15" s="609">
        <v>0</v>
      </c>
      <c r="G15" s="609">
        <v>0</v>
      </c>
      <c r="H15" s="585">
        <v>0</v>
      </c>
      <c r="I15" s="609">
        <v>0</v>
      </c>
      <c r="J15" s="609">
        <v>0</v>
      </c>
      <c r="K15" s="609">
        <v>0</v>
      </c>
      <c r="L15" s="609">
        <v>0</v>
      </c>
      <c r="M15" s="609">
        <v>0</v>
      </c>
      <c r="N15" s="609">
        <v>0</v>
      </c>
      <c r="O15" s="609">
        <v>0</v>
      </c>
      <c r="P15" s="609">
        <v>0</v>
      </c>
      <c r="Q15" s="609">
        <v>0</v>
      </c>
      <c r="R15" s="609">
        <v>0</v>
      </c>
      <c r="S15" s="609">
        <v>0</v>
      </c>
      <c r="T15" s="609">
        <v>0</v>
      </c>
      <c r="U15" s="609">
        <v>0</v>
      </c>
      <c r="V15" s="609">
        <v>0</v>
      </c>
      <c r="W15" s="609">
        <v>0</v>
      </c>
      <c r="X15" s="609">
        <v>0</v>
      </c>
      <c r="Y15" s="609">
        <v>0</v>
      </c>
      <c r="Z15" s="609">
        <v>0</v>
      </c>
      <c r="AA15" s="609">
        <v>0</v>
      </c>
      <c r="AB15" s="609">
        <v>0</v>
      </c>
      <c r="AC15" s="609">
        <v>0</v>
      </c>
      <c r="AD15" s="710"/>
      <c r="AE15" s="609">
        <v>0</v>
      </c>
      <c r="AF15" s="609">
        <v>0</v>
      </c>
      <c r="AG15" s="609">
        <v>0</v>
      </c>
      <c r="AH15" s="609">
        <v>0</v>
      </c>
      <c r="AI15" s="609">
        <v>216861292</v>
      </c>
      <c r="AJ15" s="609">
        <v>0</v>
      </c>
      <c r="AK15" s="609">
        <v>0</v>
      </c>
      <c r="AL15" s="609">
        <v>0</v>
      </c>
      <c r="AM15" s="609">
        <v>0</v>
      </c>
      <c r="AN15" s="609">
        <v>0</v>
      </c>
      <c r="AO15" s="609">
        <v>0</v>
      </c>
      <c r="AP15" s="609">
        <v>0</v>
      </c>
      <c r="AQ15" s="609">
        <v>0</v>
      </c>
      <c r="AR15" s="609">
        <v>0</v>
      </c>
      <c r="AS15" s="609">
        <v>0</v>
      </c>
      <c r="AT15" s="609">
        <v>0</v>
      </c>
      <c r="AU15" s="609">
        <v>0</v>
      </c>
      <c r="AV15" s="609">
        <v>0</v>
      </c>
      <c r="AW15" s="615">
        <v>0</v>
      </c>
      <c r="AX15" s="615">
        <v>0</v>
      </c>
      <c r="AY15" s="615">
        <v>0</v>
      </c>
      <c r="AZ15" s="615">
        <v>0</v>
      </c>
      <c r="BA15" s="615">
        <v>0</v>
      </c>
      <c r="BB15" s="615">
        <v>0</v>
      </c>
      <c r="BC15" s="615">
        <v>0</v>
      </c>
      <c r="BD15" s="615">
        <v>0</v>
      </c>
      <c r="BE15" s="615">
        <v>0</v>
      </c>
      <c r="BF15" s="615">
        <v>0</v>
      </c>
      <c r="BG15" s="615">
        <v>0</v>
      </c>
      <c r="BH15" s="615">
        <v>0</v>
      </c>
      <c r="BI15" s="615">
        <v>0</v>
      </c>
      <c r="BJ15" s="615">
        <v>0</v>
      </c>
      <c r="BK15" s="615">
        <v>0</v>
      </c>
      <c r="BL15" s="615">
        <v>0</v>
      </c>
      <c r="BM15" s="615">
        <v>0</v>
      </c>
      <c r="BN15" s="615">
        <v>0</v>
      </c>
      <c r="BO15" s="615">
        <v>0</v>
      </c>
      <c r="BP15" s="615">
        <v>0</v>
      </c>
      <c r="BQ15" s="615">
        <v>0</v>
      </c>
      <c r="BR15" s="615">
        <v>0</v>
      </c>
      <c r="BS15" s="615">
        <v>0</v>
      </c>
      <c r="BT15" s="615">
        <v>0</v>
      </c>
      <c r="BU15" s="615">
        <v>0</v>
      </c>
      <c r="BV15" s="615">
        <v>0</v>
      </c>
      <c r="BW15" s="615">
        <v>0</v>
      </c>
      <c r="BX15" s="607">
        <f t="shared" si="0"/>
        <v>216861292</v>
      </c>
    </row>
    <row r="16" spans="1:76" s="612" customFormat="1" ht="11.25" customHeight="1" x14ac:dyDescent="0.2">
      <c r="A16" s="905"/>
      <c r="B16" s="610" t="s">
        <v>2608</v>
      </c>
      <c r="C16" s="634" t="s">
        <v>1774</v>
      </c>
      <c r="D16" s="609">
        <v>0</v>
      </c>
      <c r="E16" s="609">
        <v>0</v>
      </c>
      <c r="F16" s="609">
        <v>0</v>
      </c>
      <c r="G16" s="609">
        <v>0</v>
      </c>
      <c r="H16" s="585">
        <v>0</v>
      </c>
      <c r="I16" s="609">
        <v>0</v>
      </c>
      <c r="J16" s="609">
        <v>0</v>
      </c>
      <c r="K16" s="609">
        <v>0</v>
      </c>
      <c r="L16" s="609">
        <v>0</v>
      </c>
      <c r="M16" s="609">
        <v>0</v>
      </c>
      <c r="N16" s="609">
        <v>0</v>
      </c>
      <c r="O16" s="609">
        <v>0</v>
      </c>
      <c r="P16" s="609">
        <v>0</v>
      </c>
      <c r="Q16" s="609">
        <v>0</v>
      </c>
      <c r="R16" s="609">
        <v>0</v>
      </c>
      <c r="S16" s="609">
        <v>0</v>
      </c>
      <c r="T16" s="609">
        <v>0</v>
      </c>
      <c r="U16" s="609">
        <v>0</v>
      </c>
      <c r="V16" s="609">
        <v>0</v>
      </c>
      <c r="W16" s="609">
        <v>0</v>
      </c>
      <c r="X16" s="609">
        <v>0</v>
      </c>
      <c r="Y16" s="609">
        <v>0</v>
      </c>
      <c r="Z16" s="609">
        <v>0</v>
      </c>
      <c r="AA16" s="609">
        <v>0</v>
      </c>
      <c r="AB16" s="609">
        <v>0</v>
      </c>
      <c r="AC16" s="609">
        <v>0</v>
      </c>
      <c r="AD16" s="609">
        <v>0</v>
      </c>
      <c r="AE16" s="609">
        <v>0</v>
      </c>
      <c r="AF16" s="609">
        <v>0</v>
      </c>
      <c r="AG16" s="609">
        <v>0</v>
      </c>
      <c r="AH16" s="609">
        <v>0</v>
      </c>
      <c r="AI16" s="609">
        <v>0</v>
      </c>
      <c r="AJ16" s="609">
        <v>0</v>
      </c>
      <c r="AK16" s="609">
        <v>0</v>
      </c>
      <c r="AL16" s="609">
        <v>0</v>
      </c>
      <c r="AM16" s="609">
        <v>0</v>
      </c>
      <c r="AN16" s="609">
        <v>0</v>
      </c>
      <c r="AO16" s="609">
        <v>0</v>
      </c>
      <c r="AP16" s="609">
        <v>0</v>
      </c>
      <c r="AQ16" s="609">
        <v>0</v>
      </c>
      <c r="AR16" s="609">
        <v>0</v>
      </c>
      <c r="AS16" s="609">
        <v>0</v>
      </c>
      <c r="AT16" s="609">
        <v>0</v>
      </c>
      <c r="AU16" s="609">
        <v>0</v>
      </c>
      <c r="AV16" s="609">
        <v>0</v>
      </c>
      <c r="AW16" s="615">
        <v>0</v>
      </c>
      <c r="AX16" s="615">
        <v>0</v>
      </c>
      <c r="AY16" s="615">
        <v>0</v>
      </c>
      <c r="AZ16" s="615">
        <v>0</v>
      </c>
      <c r="BA16" s="615">
        <v>0</v>
      </c>
      <c r="BB16" s="615">
        <v>0</v>
      </c>
      <c r="BC16" s="615">
        <v>0</v>
      </c>
      <c r="BD16" s="615">
        <v>0</v>
      </c>
      <c r="BE16" s="615">
        <v>0</v>
      </c>
      <c r="BF16" s="615">
        <v>0</v>
      </c>
      <c r="BG16" s="615">
        <v>0</v>
      </c>
      <c r="BH16" s="615">
        <v>0</v>
      </c>
      <c r="BI16" s="615">
        <v>0</v>
      </c>
      <c r="BJ16" s="615">
        <v>0</v>
      </c>
      <c r="BK16" s="615">
        <v>0</v>
      </c>
      <c r="BL16" s="615">
        <v>0</v>
      </c>
      <c r="BM16" s="615">
        <v>0</v>
      </c>
      <c r="BN16" s="615">
        <v>0</v>
      </c>
      <c r="BO16" s="615">
        <v>0</v>
      </c>
      <c r="BP16" s="615">
        <v>0</v>
      </c>
      <c r="BQ16" s="615">
        <v>0</v>
      </c>
      <c r="BR16" s="615">
        <v>0</v>
      </c>
      <c r="BS16" s="615">
        <v>0</v>
      </c>
      <c r="BT16" s="615">
        <v>0</v>
      </c>
      <c r="BU16" s="615">
        <v>0</v>
      </c>
      <c r="BV16" s="615">
        <v>0</v>
      </c>
      <c r="BW16" s="615">
        <v>0</v>
      </c>
      <c r="BX16" s="607">
        <f t="shared" si="0"/>
        <v>0</v>
      </c>
    </row>
    <row r="17" spans="1:76" s="612" customFormat="1" ht="11.25" customHeight="1" x14ac:dyDescent="0.2">
      <c r="A17" s="905"/>
      <c r="B17" s="610" t="s">
        <v>2602</v>
      </c>
      <c r="C17" s="634" t="s">
        <v>1775</v>
      </c>
      <c r="D17" s="609">
        <v>0</v>
      </c>
      <c r="E17" s="609">
        <v>0</v>
      </c>
      <c r="F17" s="609">
        <v>0</v>
      </c>
      <c r="G17" s="609">
        <v>0</v>
      </c>
      <c r="H17" s="585">
        <v>0</v>
      </c>
      <c r="I17" s="609">
        <v>0</v>
      </c>
      <c r="J17" s="609">
        <v>0</v>
      </c>
      <c r="K17" s="609">
        <v>0</v>
      </c>
      <c r="L17" s="609">
        <v>0</v>
      </c>
      <c r="M17" s="609">
        <v>0</v>
      </c>
      <c r="N17" s="609">
        <v>0</v>
      </c>
      <c r="O17" s="609">
        <v>0</v>
      </c>
      <c r="P17" s="609">
        <v>0</v>
      </c>
      <c r="Q17" s="609">
        <v>0</v>
      </c>
      <c r="R17" s="609">
        <v>0</v>
      </c>
      <c r="S17" s="609">
        <v>0</v>
      </c>
      <c r="T17" s="609">
        <v>0</v>
      </c>
      <c r="U17" s="609">
        <v>0</v>
      </c>
      <c r="V17" s="609">
        <v>0</v>
      </c>
      <c r="W17" s="609">
        <v>0</v>
      </c>
      <c r="X17" s="609">
        <v>0</v>
      </c>
      <c r="Y17" s="609">
        <v>0</v>
      </c>
      <c r="Z17" s="609">
        <v>0</v>
      </c>
      <c r="AA17" s="609">
        <v>0</v>
      </c>
      <c r="AB17" s="609">
        <v>0</v>
      </c>
      <c r="AC17" s="609">
        <v>0</v>
      </c>
      <c r="AD17" s="609">
        <v>0</v>
      </c>
      <c r="AE17" s="609">
        <v>0</v>
      </c>
      <c r="AF17" s="609">
        <v>0</v>
      </c>
      <c r="AG17" s="609">
        <v>0</v>
      </c>
      <c r="AH17" s="609">
        <v>0</v>
      </c>
      <c r="AI17" s="609">
        <v>0</v>
      </c>
      <c r="AJ17" s="609">
        <v>0</v>
      </c>
      <c r="AK17" s="609">
        <v>0</v>
      </c>
      <c r="AL17" s="609">
        <v>0</v>
      </c>
      <c r="AM17" s="609">
        <v>0</v>
      </c>
      <c r="AN17" s="609">
        <v>0</v>
      </c>
      <c r="AO17" s="609">
        <v>0</v>
      </c>
      <c r="AP17" s="609">
        <v>0</v>
      </c>
      <c r="AQ17" s="609">
        <v>0</v>
      </c>
      <c r="AR17" s="609">
        <v>0</v>
      </c>
      <c r="AS17" s="609">
        <v>0</v>
      </c>
      <c r="AT17" s="609">
        <v>0</v>
      </c>
      <c r="AU17" s="609">
        <v>0</v>
      </c>
      <c r="AV17" s="609">
        <v>0</v>
      </c>
      <c r="AW17" s="615">
        <v>0</v>
      </c>
      <c r="AX17" s="615">
        <v>0</v>
      </c>
      <c r="AY17" s="615">
        <v>0</v>
      </c>
      <c r="AZ17" s="615">
        <v>0</v>
      </c>
      <c r="BA17" s="615">
        <v>0</v>
      </c>
      <c r="BB17" s="615">
        <v>0</v>
      </c>
      <c r="BC17" s="615">
        <v>0</v>
      </c>
      <c r="BD17" s="615">
        <v>0</v>
      </c>
      <c r="BE17" s="615">
        <v>0</v>
      </c>
      <c r="BF17" s="615">
        <v>0</v>
      </c>
      <c r="BG17" s="615">
        <v>0</v>
      </c>
      <c r="BH17" s="615">
        <v>0</v>
      </c>
      <c r="BI17" s="615">
        <v>0</v>
      </c>
      <c r="BJ17" s="615">
        <v>0</v>
      </c>
      <c r="BK17" s="615">
        <v>0</v>
      </c>
      <c r="BL17" s="615">
        <v>0</v>
      </c>
      <c r="BM17" s="615">
        <v>0</v>
      </c>
      <c r="BN17" s="615">
        <v>0</v>
      </c>
      <c r="BO17" s="615">
        <v>0</v>
      </c>
      <c r="BP17" s="615">
        <v>0</v>
      </c>
      <c r="BQ17" s="615">
        <v>0</v>
      </c>
      <c r="BR17" s="615">
        <v>0</v>
      </c>
      <c r="BS17" s="615">
        <v>0</v>
      </c>
      <c r="BT17" s="615">
        <v>0</v>
      </c>
      <c r="BU17" s="615">
        <v>0</v>
      </c>
      <c r="BV17" s="615">
        <v>0</v>
      </c>
      <c r="BW17" s="615">
        <v>0</v>
      </c>
      <c r="BX17" s="607">
        <f t="shared" si="0"/>
        <v>0</v>
      </c>
    </row>
    <row r="18" spans="1:76" s="612" customFormat="1" ht="11.25" customHeight="1" x14ac:dyDescent="0.2">
      <c r="A18" s="905"/>
      <c r="B18" s="610" t="s">
        <v>864</v>
      </c>
      <c r="C18" s="634" t="s">
        <v>1776</v>
      </c>
      <c r="D18" s="609">
        <v>0</v>
      </c>
      <c r="E18" s="609">
        <v>0</v>
      </c>
      <c r="F18" s="609">
        <v>0</v>
      </c>
      <c r="G18" s="609">
        <v>0</v>
      </c>
      <c r="H18" s="585">
        <v>0</v>
      </c>
      <c r="I18" s="609">
        <v>0</v>
      </c>
      <c r="J18" s="609">
        <v>0</v>
      </c>
      <c r="K18" s="609">
        <v>0</v>
      </c>
      <c r="L18" s="609">
        <v>0</v>
      </c>
      <c r="M18" s="609">
        <v>0</v>
      </c>
      <c r="N18" s="609">
        <v>0</v>
      </c>
      <c r="O18" s="609">
        <v>0</v>
      </c>
      <c r="P18" s="609">
        <v>0</v>
      </c>
      <c r="Q18" s="609">
        <v>0</v>
      </c>
      <c r="R18" s="609">
        <v>0</v>
      </c>
      <c r="S18" s="609">
        <v>0</v>
      </c>
      <c r="T18" s="609">
        <v>0</v>
      </c>
      <c r="U18" s="609">
        <v>0</v>
      </c>
      <c r="V18" s="609">
        <v>0</v>
      </c>
      <c r="W18" s="609">
        <v>0</v>
      </c>
      <c r="X18" s="609">
        <v>0</v>
      </c>
      <c r="Y18" s="609">
        <v>0</v>
      </c>
      <c r="Z18" s="609">
        <v>0</v>
      </c>
      <c r="AA18" s="609">
        <v>0</v>
      </c>
      <c r="AB18" s="609">
        <v>0</v>
      </c>
      <c r="AC18" s="609">
        <v>0</v>
      </c>
      <c r="AD18" s="609">
        <v>0</v>
      </c>
      <c r="AE18" s="609">
        <v>0</v>
      </c>
      <c r="AF18" s="609">
        <v>0</v>
      </c>
      <c r="AG18" s="609">
        <v>0</v>
      </c>
      <c r="AH18" s="609">
        <v>0</v>
      </c>
      <c r="AI18" s="609">
        <v>0</v>
      </c>
      <c r="AJ18" s="609">
        <v>0</v>
      </c>
      <c r="AK18" s="609">
        <v>0</v>
      </c>
      <c r="AL18" s="609">
        <v>0</v>
      </c>
      <c r="AM18" s="609">
        <v>0</v>
      </c>
      <c r="AN18" s="609">
        <v>0</v>
      </c>
      <c r="AO18" s="609">
        <v>0</v>
      </c>
      <c r="AP18" s="609">
        <v>0</v>
      </c>
      <c r="AQ18" s="609">
        <v>0</v>
      </c>
      <c r="AR18" s="609">
        <v>0</v>
      </c>
      <c r="AS18" s="609">
        <v>0</v>
      </c>
      <c r="AT18" s="609">
        <v>0</v>
      </c>
      <c r="AU18" s="609">
        <v>0</v>
      </c>
      <c r="AV18" s="609">
        <v>0</v>
      </c>
      <c r="AW18" s="615">
        <v>0</v>
      </c>
      <c r="AX18" s="615">
        <v>0</v>
      </c>
      <c r="AY18" s="615">
        <v>0</v>
      </c>
      <c r="AZ18" s="615">
        <v>0</v>
      </c>
      <c r="BA18" s="615">
        <v>0</v>
      </c>
      <c r="BB18" s="615">
        <v>0</v>
      </c>
      <c r="BC18" s="615">
        <v>0</v>
      </c>
      <c r="BD18" s="615">
        <v>0</v>
      </c>
      <c r="BE18" s="615">
        <v>0</v>
      </c>
      <c r="BF18" s="615">
        <v>0</v>
      </c>
      <c r="BG18" s="615">
        <v>0</v>
      </c>
      <c r="BH18" s="615">
        <v>0</v>
      </c>
      <c r="BI18" s="615">
        <v>0</v>
      </c>
      <c r="BJ18" s="615">
        <v>0</v>
      </c>
      <c r="BK18" s="615">
        <v>0</v>
      </c>
      <c r="BL18" s="615">
        <v>0</v>
      </c>
      <c r="BM18" s="615">
        <v>0</v>
      </c>
      <c r="BN18" s="615">
        <v>0</v>
      </c>
      <c r="BO18" s="615">
        <v>0</v>
      </c>
      <c r="BP18" s="615">
        <v>0</v>
      </c>
      <c r="BQ18" s="615">
        <v>0</v>
      </c>
      <c r="BR18" s="615">
        <v>0</v>
      </c>
      <c r="BS18" s="615">
        <v>0</v>
      </c>
      <c r="BT18" s="615">
        <v>0</v>
      </c>
      <c r="BU18" s="615">
        <v>0</v>
      </c>
      <c r="BV18" s="615">
        <v>0</v>
      </c>
      <c r="BW18" s="615">
        <v>0</v>
      </c>
      <c r="BX18" s="607">
        <f t="shared" si="0"/>
        <v>0</v>
      </c>
    </row>
    <row r="19" spans="1:76" s="612" customFormat="1" ht="11.25" customHeight="1" x14ac:dyDescent="0.2">
      <c r="A19" s="905"/>
      <c r="B19" s="610" t="s">
        <v>1697</v>
      </c>
      <c r="C19" s="634" t="s">
        <v>1777</v>
      </c>
      <c r="D19" s="609">
        <v>0</v>
      </c>
      <c r="E19" s="609">
        <v>0</v>
      </c>
      <c r="F19" s="609">
        <v>0</v>
      </c>
      <c r="G19" s="609">
        <v>0</v>
      </c>
      <c r="H19" s="585">
        <v>0</v>
      </c>
      <c r="I19" s="609">
        <v>0</v>
      </c>
      <c r="J19" s="609">
        <v>0</v>
      </c>
      <c r="K19" s="609">
        <v>0</v>
      </c>
      <c r="L19" s="609">
        <v>0</v>
      </c>
      <c r="M19" s="609">
        <v>0</v>
      </c>
      <c r="N19" s="609">
        <v>0</v>
      </c>
      <c r="O19" s="609">
        <v>0</v>
      </c>
      <c r="P19" s="609">
        <v>0</v>
      </c>
      <c r="Q19" s="609">
        <v>0</v>
      </c>
      <c r="R19" s="609">
        <v>0</v>
      </c>
      <c r="S19" s="609">
        <v>0</v>
      </c>
      <c r="T19" s="609">
        <v>0</v>
      </c>
      <c r="U19" s="609">
        <v>0</v>
      </c>
      <c r="V19" s="609">
        <v>0</v>
      </c>
      <c r="W19" s="609">
        <v>0</v>
      </c>
      <c r="X19" s="609">
        <v>0</v>
      </c>
      <c r="Y19" s="609">
        <v>0</v>
      </c>
      <c r="Z19" s="609">
        <v>0</v>
      </c>
      <c r="AA19" s="609">
        <v>0</v>
      </c>
      <c r="AB19" s="609">
        <v>0</v>
      </c>
      <c r="AC19" s="609">
        <v>0</v>
      </c>
      <c r="AD19" s="609">
        <v>0</v>
      </c>
      <c r="AE19" s="609">
        <v>0</v>
      </c>
      <c r="AF19" s="609">
        <v>0</v>
      </c>
      <c r="AG19" s="609">
        <v>0</v>
      </c>
      <c r="AH19" s="609">
        <v>0</v>
      </c>
      <c r="AI19" s="609">
        <v>0</v>
      </c>
      <c r="AJ19" s="609">
        <v>0</v>
      </c>
      <c r="AK19" s="609">
        <v>0</v>
      </c>
      <c r="AL19" s="609">
        <v>0</v>
      </c>
      <c r="AM19" s="609">
        <v>0</v>
      </c>
      <c r="AN19" s="609">
        <v>0</v>
      </c>
      <c r="AO19" s="609">
        <v>0</v>
      </c>
      <c r="AP19" s="609">
        <v>0</v>
      </c>
      <c r="AQ19" s="609">
        <v>0</v>
      </c>
      <c r="AR19" s="609">
        <v>0</v>
      </c>
      <c r="AS19" s="609">
        <v>0</v>
      </c>
      <c r="AT19" s="609">
        <v>0</v>
      </c>
      <c r="AU19" s="609">
        <v>0</v>
      </c>
      <c r="AV19" s="609">
        <v>0</v>
      </c>
      <c r="AW19" s="615">
        <v>0</v>
      </c>
      <c r="AX19" s="615">
        <v>0</v>
      </c>
      <c r="AY19" s="615">
        <v>0</v>
      </c>
      <c r="AZ19" s="615">
        <v>0</v>
      </c>
      <c r="BA19" s="615">
        <v>0</v>
      </c>
      <c r="BB19" s="615">
        <v>0</v>
      </c>
      <c r="BC19" s="615">
        <v>0</v>
      </c>
      <c r="BD19" s="615">
        <v>0</v>
      </c>
      <c r="BE19" s="615">
        <v>0</v>
      </c>
      <c r="BF19" s="615">
        <v>0</v>
      </c>
      <c r="BG19" s="615">
        <v>0</v>
      </c>
      <c r="BH19" s="615">
        <v>0</v>
      </c>
      <c r="BI19" s="615">
        <v>0</v>
      </c>
      <c r="BJ19" s="615">
        <v>0</v>
      </c>
      <c r="BK19" s="615">
        <v>0</v>
      </c>
      <c r="BL19" s="615">
        <v>0</v>
      </c>
      <c r="BM19" s="615">
        <v>0</v>
      </c>
      <c r="BN19" s="615">
        <v>0</v>
      </c>
      <c r="BO19" s="615">
        <v>0</v>
      </c>
      <c r="BP19" s="615">
        <v>0</v>
      </c>
      <c r="BQ19" s="615">
        <v>0</v>
      </c>
      <c r="BR19" s="615">
        <v>0</v>
      </c>
      <c r="BS19" s="615">
        <v>0</v>
      </c>
      <c r="BT19" s="615">
        <v>0</v>
      </c>
      <c r="BU19" s="615">
        <v>0</v>
      </c>
      <c r="BV19" s="615">
        <v>0</v>
      </c>
      <c r="BW19" s="615">
        <v>0</v>
      </c>
      <c r="BX19" s="607">
        <f t="shared" si="0"/>
        <v>0</v>
      </c>
    </row>
    <row r="20" spans="1:76" s="612" customFormat="1" ht="11.25" customHeight="1" x14ac:dyDescent="0.2">
      <c r="A20" s="905"/>
      <c r="B20" s="610" t="s">
        <v>1114</v>
      </c>
      <c r="C20" s="634" t="s">
        <v>1778</v>
      </c>
      <c r="D20" s="609">
        <v>0</v>
      </c>
      <c r="E20" s="609">
        <v>0</v>
      </c>
      <c r="F20" s="609">
        <v>0</v>
      </c>
      <c r="G20" s="609">
        <v>0</v>
      </c>
      <c r="H20" s="585">
        <v>0</v>
      </c>
      <c r="I20" s="609">
        <v>0</v>
      </c>
      <c r="J20" s="609">
        <v>0</v>
      </c>
      <c r="K20" s="609">
        <v>0</v>
      </c>
      <c r="L20" s="609">
        <v>0</v>
      </c>
      <c r="M20" s="609">
        <v>0</v>
      </c>
      <c r="N20" s="609">
        <v>0</v>
      </c>
      <c r="O20" s="609">
        <v>0</v>
      </c>
      <c r="P20" s="609">
        <v>0</v>
      </c>
      <c r="Q20" s="609">
        <v>0</v>
      </c>
      <c r="R20" s="609">
        <v>0</v>
      </c>
      <c r="S20" s="609">
        <v>0</v>
      </c>
      <c r="T20" s="609">
        <v>0</v>
      </c>
      <c r="U20" s="609">
        <v>0</v>
      </c>
      <c r="V20" s="609">
        <v>0</v>
      </c>
      <c r="W20" s="609">
        <v>0</v>
      </c>
      <c r="X20" s="609">
        <v>0</v>
      </c>
      <c r="Y20" s="609">
        <v>0</v>
      </c>
      <c r="Z20" s="609">
        <v>0</v>
      </c>
      <c r="AA20" s="609">
        <v>0</v>
      </c>
      <c r="AB20" s="609">
        <v>0</v>
      </c>
      <c r="AC20" s="609">
        <v>0</v>
      </c>
      <c r="AD20" s="609">
        <v>0</v>
      </c>
      <c r="AE20" s="609">
        <v>0</v>
      </c>
      <c r="AF20" s="609">
        <v>0</v>
      </c>
      <c r="AG20" s="609">
        <v>0</v>
      </c>
      <c r="AH20" s="609">
        <v>0</v>
      </c>
      <c r="AI20" s="609">
        <v>0</v>
      </c>
      <c r="AJ20" s="609">
        <v>0</v>
      </c>
      <c r="AK20" s="609">
        <v>0</v>
      </c>
      <c r="AL20" s="609">
        <v>0</v>
      </c>
      <c r="AM20" s="609">
        <v>0</v>
      </c>
      <c r="AN20" s="609">
        <v>0</v>
      </c>
      <c r="AO20" s="609">
        <v>0</v>
      </c>
      <c r="AP20" s="609">
        <v>0</v>
      </c>
      <c r="AQ20" s="609">
        <v>0</v>
      </c>
      <c r="AR20" s="609">
        <v>0</v>
      </c>
      <c r="AS20" s="609">
        <v>0</v>
      </c>
      <c r="AT20" s="609">
        <v>0</v>
      </c>
      <c r="AU20" s="609">
        <v>0</v>
      </c>
      <c r="AV20" s="609">
        <v>0</v>
      </c>
      <c r="AW20" s="615">
        <v>0</v>
      </c>
      <c r="AX20" s="615">
        <v>0</v>
      </c>
      <c r="AY20" s="615">
        <v>0</v>
      </c>
      <c r="AZ20" s="615">
        <v>0</v>
      </c>
      <c r="BA20" s="615">
        <v>0</v>
      </c>
      <c r="BB20" s="615">
        <v>0</v>
      </c>
      <c r="BC20" s="615">
        <v>0</v>
      </c>
      <c r="BD20" s="615">
        <v>0</v>
      </c>
      <c r="BE20" s="615">
        <v>0</v>
      </c>
      <c r="BF20" s="615">
        <v>0</v>
      </c>
      <c r="BG20" s="615">
        <v>0</v>
      </c>
      <c r="BH20" s="615">
        <v>0</v>
      </c>
      <c r="BI20" s="615">
        <v>0</v>
      </c>
      <c r="BJ20" s="615">
        <v>0</v>
      </c>
      <c r="BK20" s="615">
        <v>0</v>
      </c>
      <c r="BL20" s="615">
        <v>0</v>
      </c>
      <c r="BM20" s="615">
        <v>0</v>
      </c>
      <c r="BN20" s="615">
        <v>0</v>
      </c>
      <c r="BO20" s="615">
        <v>0</v>
      </c>
      <c r="BP20" s="615">
        <v>0</v>
      </c>
      <c r="BQ20" s="615">
        <v>0</v>
      </c>
      <c r="BR20" s="615">
        <v>0</v>
      </c>
      <c r="BS20" s="615">
        <v>0</v>
      </c>
      <c r="BT20" s="615">
        <v>0</v>
      </c>
      <c r="BU20" s="615">
        <v>0</v>
      </c>
      <c r="BV20" s="615">
        <v>0</v>
      </c>
      <c r="BW20" s="615">
        <v>0</v>
      </c>
      <c r="BX20" s="607">
        <f t="shared" si="0"/>
        <v>0</v>
      </c>
    </row>
    <row r="21" spans="1:76" s="612" customFormat="1" ht="11.25" customHeight="1" x14ac:dyDescent="0.2">
      <c r="A21" s="905"/>
      <c r="B21" s="610" t="s">
        <v>1635</v>
      </c>
      <c r="C21" s="634" t="s">
        <v>1779</v>
      </c>
      <c r="D21" s="609">
        <v>0</v>
      </c>
      <c r="E21" s="609">
        <v>0</v>
      </c>
      <c r="F21" s="609">
        <v>0</v>
      </c>
      <c r="G21" s="609">
        <v>0</v>
      </c>
      <c r="H21" s="585">
        <v>0</v>
      </c>
      <c r="I21" s="609">
        <v>0</v>
      </c>
      <c r="J21" s="609">
        <v>0</v>
      </c>
      <c r="K21" s="609">
        <v>0</v>
      </c>
      <c r="L21" s="609">
        <v>0</v>
      </c>
      <c r="M21" s="609">
        <v>0</v>
      </c>
      <c r="N21" s="609">
        <v>0</v>
      </c>
      <c r="O21" s="609">
        <v>0</v>
      </c>
      <c r="P21" s="609">
        <v>0</v>
      </c>
      <c r="Q21" s="609">
        <v>0</v>
      </c>
      <c r="R21" s="609">
        <v>0</v>
      </c>
      <c r="S21" s="609">
        <v>0</v>
      </c>
      <c r="T21" s="609">
        <v>0</v>
      </c>
      <c r="U21" s="609">
        <v>0</v>
      </c>
      <c r="V21" s="609">
        <v>0</v>
      </c>
      <c r="W21" s="609">
        <v>0</v>
      </c>
      <c r="X21" s="609">
        <v>0</v>
      </c>
      <c r="Y21" s="609">
        <v>0</v>
      </c>
      <c r="Z21" s="609">
        <v>0</v>
      </c>
      <c r="AA21" s="609">
        <v>0</v>
      </c>
      <c r="AB21" s="609">
        <v>0</v>
      </c>
      <c r="AC21" s="609">
        <v>0</v>
      </c>
      <c r="AD21" s="609">
        <v>0</v>
      </c>
      <c r="AE21" s="609">
        <v>0</v>
      </c>
      <c r="AF21" s="609">
        <v>0</v>
      </c>
      <c r="AG21" s="609">
        <v>0</v>
      </c>
      <c r="AH21" s="609">
        <v>0</v>
      </c>
      <c r="AI21" s="609">
        <v>0</v>
      </c>
      <c r="AJ21" s="609">
        <v>0</v>
      </c>
      <c r="AK21" s="609">
        <v>0</v>
      </c>
      <c r="AL21" s="609">
        <v>0</v>
      </c>
      <c r="AM21" s="609">
        <v>0</v>
      </c>
      <c r="AN21" s="609">
        <v>0</v>
      </c>
      <c r="AO21" s="609">
        <v>0</v>
      </c>
      <c r="AP21" s="609">
        <v>0</v>
      </c>
      <c r="AQ21" s="609">
        <v>114713</v>
      </c>
      <c r="AR21" s="609">
        <v>0</v>
      </c>
      <c r="AS21" s="609">
        <v>0</v>
      </c>
      <c r="AT21" s="609">
        <v>0</v>
      </c>
      <c r="AU21" s="609">
        <v>0</v>
      </c>
      <c r="AV21" s="609">
        <v>0</v>
      </c>
      <c r="AW21" s="615">
        <v>0</v>
      </c>
      <c r="AX21" s="615">
        <v>0</v>
      </c>
      <c r="AY21" s="615">
        <v>0</v>
      </c>
      <c r="AZ21" s="615">
        <v>0</v>
      </c>
      <c r="BA21" s="615">
        <v>0</v>
      </c>
      <c r="BB21" s="615">
        <v>0</v>
      </c>
      <c r="BC21" s="615">
        <v>0</v>
      </c>
      <c r="BD21" s="615">
        <v>0</v>
      </c>
      <c r="BE21" s="615">
        <v>0</v>
      </c>
      <c r="BF21" s="615">
        <v>0</v>
      </c>
      <c r="BG21" s="615">
        <v>0</v>
      </c>
      <c r="BH21" s="615">
        <v>0</v>
      </c>
      <c r="BI21" s="615">
        <v>0</v>
      </c>
      <c r="BJ21" s="615">
        <v>0</v>
      </c>
      <c r="BK21" s="615">
        <v>0</v>
      </c>
      <c r="BL21" s="615">
        <v>0</v>
      </c>
      <c r="BM21" s="615">
        <v>0</v>
      </c>
      <c r="BN21" s="615">
        <v>0</v>
      </c>
      <c r="BO21" s="615">
        <v>0</v>
      </c>
      <c r="BP21" s="615">
        <v>0</v>
      </c>
      <c r="BQ21" s="615">
        <v>0</v>
      </c>
      <c r="BR21" s="615">
        <v>0</v>
      </c>
      <c r="BS21" s="615">
        <v>0</v>
      </c>
      <c r="BT21" s="615">
        <v>0</v>
      </c>
      <c r="BU21" s="615">
        <v>0</v>
      </c>
      <c r="BV21" s="615">
        <v>0</v>
      </c>
      <c r="BW21" s="615">
        <v>0</v>
      </c>
      <c r="BX21" s="607">
        <f t="shared" si="0"/>
        <v>114713</v>
      </c>
    </row>
    <row r="22" spans="1:76" s="612" customFormat="1" ht="11.25" customHeight="1" x14ac:dyDescent="0.2">
      <c r="A22" s="905"/>
      <c r="B22" s="610" t="s">
        <v>865</v>
      </c>
      <c r="C22" s="634" t="s">
        <v>1780</v>
      </c>
      <c r="D22" s="609">
        <v>0</v>
      </c>
      <c r="E22" s="609">
        <v>0</v>
      </c>
      <c r="F22" s="609">
        <v>0</v>
      </c>
      <c r="G22" s="609">
        <v>0</v>
      </c>
      <c r="H22" s="585">
        <v>0</v>
      </c>
      <c r="I22" s="609">
        <v>0</v>
      </c>
      <c r="J22" s="609">
        <v>0</v>
      </c>
      <c r="K22" s="609">
        <v>0</v>
      </c>
      <c r="L22" s="609">
        <v>0</v>
      </c>
      <c r="M22" s="609">
        <v>0</v>
      </c>
      <c r="N22" s="609">
        <v>0</v>
      </c>
      <c r="O22" s="609">
        <v>0</v>
      </c>
      <c r="P22" s="609">
        <v>0</v>
      </c>
      <c r="Q22" s="609">
        <v>0</v>
      </c>
      <c r="R22" s="609">
        <v>0</v>
      </c>
      <c r="S22" s="609">
        <v>0</v>
      </c>
      <c r="T22" s="609">
        <v>0</v>
      </c>
      <c r="U22" s="609">
        <v>0</v>
      </c>
      <c r="V22" s="609">
        <v>0</v>
      </c>
      <c r="W22" s="609">
        <v>0</v>
      </c>
      <c r="X22" s="609">
        <v>0</v>
      </c>
      <c r="Y22" s="609">
        <v>0</v>
      </c>
      <c r="Z22" s="609">
        <v>0</v>
      </c>
      <c r="AA22" s="609">
        <v>0</v>
      </c>
      <c r="AB22" s="609">
        <v>0</v>
      </c>
      <c r="AC22" s="609">
        <v>0</v>
      </c>
      <c r="AD22" s="609">
        <v>0</v>
      </c>
      <c r="AE22" s="609">
        <v>0</v>
      </c>
      <c r="AF22" s="609">
        <v>0</v>
      </c>
      <c r="AG22" s="609">
        <v>0</v>
      </c>
      <c r="AH22" s="609">
        <v>0</v>
      </c>
      <c r="AI22" s="609">
        <v>0</v>
      </c>
      <c r="AJ22" s="609">
        <v>0</v>
      </c>
      <c r="AK22" s="609">
        <v>0</v>
      </c>
      <c r="AL22" s="609">
        <v>0</v>
      </c>
      <c r="AM22" s="609">
        <v>0</v>
      </c>
      <c r="AN22" s="609">
        <v>0</v>
      </c>
      <c r="AO22" s="609">
        <v>0</v>
      </c>
      <c r="AP22" s="609">
        <v>0</v>
      </c>
      <c r="AQ22" s="609">
        <v>105443</v>
      </c>
      <c r="AR22" s="609">
        <v>0</v>
      </c>
      <c r="AS22" s="609">
        <v>0</v>
      </c>
      <c r="AT22" s="609">
        <v>0</v>
      </c>
      <c r="AU22" s="609">
        <v>0</v>
      </c>
      <c r="AV22" s="609">
        <v>0</v>
      </c>
      <c r="AW22" s="615">
        <v>0</v>
      </c>
      <c r="AX22" s="615">
        <v>0</v>
      </c>
      <c r="AY22" s="615">
        <v>0</v>
      </c>
      <c r="AZ22" s="615">
        <v>0</v>
      </c>
      <c r="BA22" s="615">
        <v>0</v>
      </c>
      <c r="BB22" s="615">
        <v>0</v>
      </c>
      <c r="BC22" s="615">
        <v>0</v>
      </c>
      <c r="BD22" s="615">
        <v>0</v>
      </c>
      <c r="BE22" s="615">
        <v>0</v>
      </c>
      <c r="BF22" s="615">
        <v>0</v>
      </c>
      <c r="BG22" s="615">
        <v>0</v>
      </c>
      <c r="BH22" s="615">
        <v>0</v>
      </c>
      <c r="BI22" s="615">
        <v>0</v>
      </c>
      <c r="BJ22" s="615">
        <v>0</v>
      </c>
      <c r="BK22" s="615">
        <v>0</v>
      </c>
      <c r="BL22" s="615">
        <v>0</v>
      </c>
      <c r="BM22" s="615">
        <v>0</v>
      </c>
      <c r="BN22" s="615">
        <v>0</v>
      </c>
      <c r="BO22" s="615">
        <v>0</v>
      </c>
      <c r="BP22" s="615">
        <v>0</v>
      </c>
      <c r="BQ22" s="615">
        <v>0</v>
      </c>
      <c r="BR22" s="615">
        <v>0</v>
      </c>
      <c r="BS22" s="615">
        <v>0</v>
      </c>
      <c r="BT22" s="615">
        <v>0</v>
      </c>
      <c r="BU22" s="615">
        <v>0</v>
      </c>
      <c r="BV22" s="615">
        <v>0</v>
      </c>
      <c r="BW22" s="615">
        <v>0</v>
      </c>
      <c r="BX22" s="607">
        <f t="shared" si="0"/>
        <v>105443</v>
      </c>
    </row>
    <row r="23" spans="1:76" s="612" customFormat="1" ht="11.25" customHeight="1" x14ac:dyDescent="0.2">
      <c r="A23" s="905"/>
      <c r="B23" s="610" t="s">
        <v>1698</v>
      </c>
      <c r="C23" s="634" t="s">
        <v>1781</v>
      </c>
      <c r="D23" s="609">
        <v>0</v>
      </c>
      <c r="E23" s="609">
        <v>0</v>
      </c>
      <c r="F23" s="609">
        <v>0</v>
      </c>
      <c r="G23" s="609">
        <v>0</v>
      </c>
      <c r="H23" s="585">
        <v>0</v>
      </c>
      <c r="I23" s="609">
        <v>0</v>
      </c>
      <c r="J23" s="609">
        <v>0</v>
      </c>
      <c r="K23" s="609">
        <v>0</v>
      </c>
      <c r="L23" s="609">
        <v>0</v>
      </c>
      <c r="M23" s="609">
        <v>0</v>
      </c>
      <c r="N23" s="609">
        <v>0</v>
      </c>
      <c r="O23" s="609">
        <v>0</v>
      </c>
      <c r="P23" s="609">
        <v>0</v>
      </c>
      <c r="Q23" s="609">
        <v>0</v>
      </c>
      <c r="R23" s="609">
        <v>0</v>
      </c>
      <c r="S23" s="609">
        <v>0</v>
      </c>
      <c r="T23" s="609">
        <v>0</v>
      </c>
      <c r="U23" s="609">
        <v>0</v>
      </c>
      <c r="V23" s="609">
        <v>0</v>
      </c>
      <c r="W23" s="609">
        <v>0</v>
      </c>
      <c r="X23" s="609">
        <v>0</v>
      </c>
      <c r="Y23" s="609">
        <v>0</v>
      </c>
      <c r="Z23" s="609">
        <v>0</v>
      </c>
      <c r="AA23" s="609">
        <v>0</v>
      </c>
      <c r="AB23" s="609">
        <v>0</v>
      </c>
      <c r="AC23" s="609">
        <v>0</v>
      </c>
      <c r="AD23" s="609">
        <v>0</v>
      </c>
      <c r="AE23" s="609">
        <v>0</v>
      </c>
      <c r="AF23" s="609">
        <v>0</v>
      </c>
      <c r="AG23" s="609">
        <v>0</v>
      </c>
      <c r="AH23" s="609">
        <v>0</v>
      </c>
      <c r="AI23" s="609">
        <v>0</v>
      </c>
      <c r="AJ23" s="609">
        <v>0</v>
      </c>
      <c r="AK23" s="609">
        <v>0</v>
      </c>
      <c r="AL23" s="609">
        <v>0</v>
      </c>
      <c r="AM23" s="609">
        <v>0</v>
      </c>
      <c r="AN23" s="609">
        <v>0</v>
      </c>
      <c r="AO23" s="609">
        <v>0</v>
      </c>
      <c r="AP23" s="609">
        <v>0</v>
      </c>
      <c r="AQ23" s="609">
        <v>0</v>
      </c>
      <c r="AR23" s="609">
        <v>0</v>
      </c>
      <c r="AS23" s="609">
        <v>0</v>
      </c>
      <c r="AT23" s="609">
        <v>0</v>
      </c>
      <c r="AU23" s="609">
        <v>0</v>
      </c>
      <c r="AV23" s="609">
        <v>0</v>
      </c>
      <c r="AW23" s="615">
        <v>0</v>
      </c>
      <c r="AX23" s="615">
        <v>0</v>
      </c>
      <c r="AY23" s="615">
        <v>0</v>
      </c>
      <c r="AZ23" s="615">
        <v>0</v>
      </c>
      <c r="BA23" s="615">
        <v>0</v>
      </c>
      <c r="BB23" s="615">
        <v>0</v>
      </c>
      <c r="BC23" s="615">
        <v>0</v>
      </c>
      <c r="BD23" s="615">
        <v>0</v>
      </c>
      <c r="BE23" s="615">
        <v>0</v>
      </c>
      <c r="BF23" s="615">
        <v>0</v>
      </c>
      <c r="BG23" s="615">
        <v>0</v>
      </c>
      <c r="BH23" s="615">
        <v>0</v>
      </c>
      <c r="BI23" s="615">
        <v>0</v>
      </c>
      <c r="BJ23" s="615">
        <v>0</v>
      </c>
      <c r="BK23" s="615">
        <v>0</v>
      </c>
      <c r="BL23" s="615">
        <v>0</v>
      </c>
      <c r="BM23" s="615">
        <v>0</v>
      </c>
      <c r="BN23" s="615">
        <v>0</v>
      </c>
      <c r="BO23" s="615">
        <v>0</v>
      </c>
      <c r="BP23" s="615">
        <v>0</v>
      </c>
      <c r="BQ23" s="615">
        <v>0</v>
      </c>
      <c r="BR23" s="615">
        <v>0</v>
      </c>
      <c r="BS23" s="615">
        <v>0</v>
      </c>
      <c r="BT23" s="615">
        <v>0</v>
      </c>
      <c r="BU23" s="615">
        <v>0</v>
      </c>
      <c r="BV23" s="615">
        <v>0</v>
      </c>
      <c r="BW23" s="615">
        <v>0</v>
      </c>
      <c r="BX23" s="607">
        <f t="shared" si="0"/>
        <v>0</v>
      </c>
    </row>
    <row r="24" spans="1:76" s="612" customFormat="1" ht="11.25" customHeight="1" x14ac:dyDescent="0.2">
      <c r="A24" s="905"/>
      <c r="B24" s="610" t="s">
        <v>866</v>
      </c>
      <c r="C24" s="634" t="s">
        <v>1782</v>
      </c>
      <c r="D24" s="609">
        <v>0</v>
      </c>
      <c r="E24" s="609">
        <v>0</v>
      </c>
      <c r="F24" s="609">
        <v>0</v>
      </c>
      <c r="G24" s="609">
        <v>0</v>
      </c>
      <c r="H24" s="585">
        <v>0</v>
      </c>
      <c r="I24" s="609">
        <v>0</v>
      </c>
      <c r="J24" s="609">
        <v>0</v>
      </c>
      <c r="K24" s="609">
        <v>0</v>
      </c>
      <c r="L24" s="609">
        <v>0</v>
      </c>
      <c r="M24" s="609">
        <v>0</v>
      </c>
      <c r="N24" s="609">
        <v>0</v>
      </c>
      <c r="O24" s="609">
        <v>0</v>
      </c>
      <c r="P24" s="609">
        <v>0</v>
      </c>
      <c r="Q24" s="609">
        <v>0</v>
      </c>
      <c r="R24" s="609">
        <v>0</v>
      </c>
      <c r="S24" s="609">
        <v>0</v>
      </c>
      <c r="T24" s="609">
        <v>0</v>
      </c>
      <c r="U24" s="609">
        <v>0</v>
      </c>
      <c r="V24" s="609">
        <v>0</v>
      </c>
      <c r="W24" s="609">
        <v>0</v>
      </c>
      <c r="X24" s="609">
        <v>0</v>
      </c>
      <c r="Y24" s="609">
        <v>0</v>
      </c>
      <c r="Z24" s="609">
        <v>0</v>
      </c>
      <c r="AA24" s="609">
        <v>0</v>
      </c>
      <c r="AB24" s="609">
        <v>0</v>
      </c>
      <c r="AC24" s="609">
        <v>0</v>
      </c>
      <c r="AD24" s="609">
        <v>0</v>
      </c>
      <c r="AE24" s="609">
        <v>0</v>
      </c>
      <c r="AF24" s="609">
        <v>0</v>
      </c>
      <c r="AG24" s="609">
        <v>0</v>
      </c>
      <c r="AH24" s="609">
        <v>0</v>
      </c>
      <c r="AI24" s="609">
        <v>0</v>
      </c>
      <c r="AJ24" s="609">
        <v>0</v>
      </c>
      <c r="AK24" s="609">
        <v>0</v>
      </c>
      <c r="AL24" s="609">
        <v>0</v>
      </c>
      <c r="AM24" s="609">
        <v>0</v>
      </c>
      <c r="AN24" s="609">
        <v>0</v>
      </c>
      <c r="AO24" s="609">
        <v>0</v>
      </c>
      <c r="AP24" s="609">
        <v>0</v>
      </c>
      <c r="AQ24" s="609">
        <v>0</v>
      </c>
      <c r="AR24" s="609">
        <v>0</v>
      </c>
      <c r="AS24" s="609">
        <v>0</v>
      </c>
      <c r="AT24" s="609">
        <v>0</v>
      </c>
      <c r="AU24" s="609">
        <v>0</v>
      </c>
      <c r="AV24" s="609">
        <v>0</v>
      </c>
      <c r="AW24" s="615">
        <v>0</v>
      </c>
      <c r="AX24" s="615">
        <v>0</v>
      </c>
      <c r="AY24" s="615">
        <v>0</v>
      </c>
      <c r="AZ24" s="615">
        <v>0</v>
      </c>
      <c r="BA24" s="615">
        <v>0</v>
      </c>
      <c r="BB24" s="615">
        <v>0</v>
      </c>
      <c r="BC24" s="615">
        <v>0</v>
      </c>
      <c r="BD24" s="615">
        <v>0</v>
      </c>
      <c r="BE24" s="615">
        <v>0</v>
      </c>
      <c r="BF24" s="615">
        <v>0</v>
      </c>
      <c r="BG24" s="615">
        <v>0</v>
      </c>
      <c r="BH24" s="615">
        <v>0</v>
      </c>
      <c r="BI24" s="615">
        <v>0</v>
      </c>
      <c r="BJ24" s="615">
        <v>0</v>
      </c>
      <c r="BK24" s="615">
        <v>0</v>
      </c>
      <c r="BL24" s="615">
        <v>0</v>
      </c>
      <c r="BM24" s="615">
        <v>0</v>
      </c>
      <c r="BN24" s="615">
        <v>0</v>
      </c>
      <c r="BO24" s="615">
        <v>0</v>
      </c>
      <c r="BP24" s="615">
        <v>0</v>
      </c>
      <c r="BQ24" s="615">
        <v>0</v>
      </c>
      <c r="BR24" s="615">
        <v>0</v>
      </c>
      <c r="BS24" s="615">
        <v>0</v>
      </c>
      <c r="BT24" s="615">
        <v>0</v>
      </c>
      <c r="BU24" s="615">
        <v>0</v>
      </c>
      <c r="BV24" s="615">
        <v>0</v>
      </c>
      <c r="BW24" s="615">
        <v>0</v>
      </c>
      <c r="BX24" s="607">
        <f t="shared" si="0"/>
        <v>0</v>
      </c>
    </row>
    <row r="25" spans="1:76" s="612" customFormat="1" ht="11.25" customHeight="1" x14ac:dyDescent="0.2">
      <c r="A25" s="905"/>
      <c r="B25" s="610" t="s">
        <v>2237</v>
      </c>
      <c r="C25" s="634" t="s">
        <v>2236</v>
      </c>
      <c r="D25" s="609">
        <v>0</v>
      </c>
      <c r="E25" s="609">
        <v>0</v>
      </c>
      <c r="F25" s="609">
        <v>0</v>
      </c>
      <c r="G25" s="609">
        <v>0</v>
      </c>
      <c r="H25" s="585">
        <v>0</v>
      </c>
      <c r="I25" s="609">
        <v>0</v>
      </c>
      <c r="J25" s="609">
        <v>0</v>
      </c>
      <c r="K25" s="609">
        <v>0</v>
      </c>
      <c r="L25" s="609">
        <v>0</v>
      </c>
      <c r="M25" s="609">
        <v>0</v>
      </c>
      <c r="N25" s="609">
        <v>0</v>
      </c>
      <c r="O25" s="609">
        <v>0</v>
      </c>
      <c r="P25" s="609">
        <v>0</v>
      </c>
      <c r="Q25" s="609">
        <v>0</v>
      </c>
      <c r="R25" s="609">
        <v>0</v>
      </c>
      <c r="S25" s="609">
        <v>0</v>
      </c>
      <c r="T25" s="609">
        <v>0</v>
      </c>
      <c r="U25" s="609">
        <v>0</v>
      </c>
      <c r="V25" s="609">
        <v>0</v>
      </c>
      <c r="W25" s="609">
        <v>0</v>
      </c>
      <c r="X25" s="609">
        <v>0</v>
      </c>
      <c r="Y25" s="609">
        <v>0</v>
      </c>
      <c r="Z25" s="609">
        <v>0</v>
      </c>
      <c r="AA25" s="609">
        <v>0</v>
      </c>
      <c r="AB25" s="609">
        <v>0</v>
      </c>
      <c r="AC25" s="609">
        <v>0</v>
      </c>
      <c r="AD25" s="609">
        <v>0</v>
      </c>
      <c r="AE25" s="609">
        <v>0</v>
      </c>
      <c r="AF25" s="609">
        <v>0</v>
      </c>
      <c r="AG25" s="609">
        <v>0</v>
      </c>
      <c r="AH25" s="609">
        <v>0</v>
      </c>
      <c r="AI25" s="609">
        <v>0</v>
      </c>
      <c r="AJ25" s="609">
        <v>0</v>
      </c>
      <c r="AK25" s="609">
        <v>0</v>
      </c>
      <c r="AL25" s="609">
        <v>0</v>
      </c>
      <c r="AM25" s="609">
        <v>0</v>
      </c>
      <c r="AN25" s="609">
        <v>0</v>
      </c>
      <c r="AO25" s="609">
        <v>0</v>
      </c>
      <c r="AP25" s="609">
        <v>0</v>
      </c>
      <c r="AQ25" s="609">
        <v>89981</v>
      </c>
      <c r="AR25" s="609">
        <v>0</v>
      </c>
      <c r="AS25" s="609">
        <v>0</v>
      </c>
      <c r="AT25" s="609">
        <v>0</v>
      </c>
      <c r="AU25" s="609">
        <v>0</v>
      </c>
      <c r="AV25" s="609">
        <v>0</v>
      </c>
      <c r="AW25" s="615">
        <v>0</v>
      </c>
      <c r="AX25" s="615">
        <v>0</v>
      </c>
      <c r="AY25" s="615">
        <v>0</v>
      </c>
      <c r="AZ25" s="615">
        <v>0</v>
      </c>
      <c r="BA25" s="615">
        <v>0</v>
      </c>
      <c r="BB25" s="615">
        <v>0</v>
      </c>
      <c r="BC25" s="615">
        <v>0</v>
      </c>
      <c r="BD25" s="615">
        <v>0</v>
      </c>
      <c r="BE25" s="615">
        <v>0</v>
      </c>
      <c r="BF25" s="615">
        <v>0</v>
      </c>
      <c r="BG25" s="615">
        <v>0</v>
      </c>
      <c r="BH25" s="615">
        <v>0</v>
      </c>
      <c r="BI25" s="615">
        <v>0</v>
      </c>
      <c r="BJ25" s="615">
        <v>0</v>
      </c>
      <c r="BK25" s="615">
        <v>0</v>
      </c>
      <c r="BL25" s="615">
        <v>0</v>
      </c>
      <c r="BM25" s="615">
        <v>0</v>
      </c>
      <c r="BN25" s="615">
        <v>0</v>
      </c>
      <c r="BO25" s="615">
        <v>0</v>
      </c>
      <c r="BP25" s="615">
        <v>0</v>
      </c>
      <c r="BQ25" s="615">
        <v>0</v>
      </c>
      <c r="BR25" s="615">
        <v>0</v>
      </c>
      <c r="BS25" s="615">
        <v>0</v>
      </c>
      <c r="BT25" s="615">
        <v>0</v>
      </c>
      <c r="BU25" s="615">
        <v>0</v>
      </c>
      <c r="BV25" s="615">
        <v>0</v>
      </c>
      <c r="BW25" s="615">
        <v>0</v>
      </c>
      <c r="BX25" s="607">
        <f t="shared" si="0"/>
        <v>89981</v>
      </c>
    </row>
    <row r="26" spans="1:76" s="612" customFormat="1" ht="11.25" customHeight="1" x14ac:dyDescent="0.2">
      <c r="A26" s="905"/>
      <c r="B26" s="610" t="s">
        <v>4274</v>
      </c>
      <c r="C26" s="634" t="s">
        <v>4273</v>
      </c>
      <c r="D26" s="609">
        <v>0</v>
      </c>
      <c r="E26" s="609">
        <v>0</v>
      </c>
      <c r="F26" s="609">
        <v>0</v>
      </c>
      <c r="G26" s="609">
        <v>0</v>
      </c>
      <c r="H26" s="585">
        <v>0</v>
      </c>
      <c r="I26" s="609">
        <v>0</v>
      </c>
      <c r="J26" s="609">
        <v>0</v>
      </c>
      <c r="K26" s="609">
        <v>0</v>
      </c>
      <c r="L26" s="609">
        <v>0</v>
      </c>
      <c r="M26" s="609">
        <v>0</v>
      </c>
      <c r="N26" s="609">
        <v>0</v>
      </c>
      <c r="O26" s="609">
        <v>0</v>
      </c>
      <c r="P26" s="609">
        <v>0</v>
      </c>
      <c r="Q26" s="609">
        <v>0</v>
      </c>
      <c r="R26" s="609">
        <v>0</v>
      </c>
      <c r="S26" s="609">
        <v>0</v>
      </c>
      <c r="T26" s="609">
        <v>0</v>
      </c>
      <c r="U26" s="609">
        <v>0</v>
      </c>
      <c r="V26" s="609">
        <v>0</v>
      </c>
      <c r="W26" s="609">
        <v>0</v>
      </c>
      <c r="X26" s="609">
        <v>0</v>
      </c>
      <c r="Y26" s="609">
        <v>0</v>
      </c>
      <c r="Z26" s="609">
        <v>0</v>
      </c>
      <c r="AA26" s="609">
        <v>0</v>
      </c>
      <c r="AB26" s="609">
        <v>0</v>
      </c>
      <c r="AC26" s="609">
        <v>0</v>
      </c>
      <c r="AD26" s="609">
        <v>0</v>
      </c>
      <c r="AE26" s="609">
        <v>0</v>
      </c>
      <c r="AF26" s="609">
        <v>0</v>
      </c>
      <c r="AG26" s="609">
        <v>0</v>
      </c>
      <c r="AH26" s="609">
        <v>0</v>
      </c>
      <c r="AI26" s="609">
        <v>0</v>
      </c>
      <c r="AJ26" s="609">
        <v>0</v>
      </c>
      <c r="AK26" s="609">
        <v>0</v>
      </c>
      <c r="AL26" s="609">
        <v>0</v>
      </c>
      <c r="AM26" s="609">
        <v>0</v>
      </c>
      <c r="AN26" s="609">
        <v>0</v>
      </c>
      <c r="AO26" s="609">
        <v>0</v>
      </c>
      <c r="AP26" s="609">
        <v>0</v>
      </c>
      <c r="AQ26" s="609">
        <v>0</v>
      </c>
      <c r="AR26" s="609">
        <v>0</v>
      </c>
      <c r="AS26" s="609">
        <v>0</v>
      </c>
      <c r="AT26" s="609">
        <v>0</v>
      </c>
      <c r="AU26" s="609">
        <v>0</v>
      </c>
      <c r="AV26" s="609">
        <v>0</v>
      </c>
      <c r="AW26" s="615">
        <v>22000000</v>
      </c>
      <c r="AX26" s="615">
        <v>24000000</v>
      </c>
      <c r="AY26" s="615">
        <v>317882392</v>
      </c>
      <c r="AZ26" s="615">
        <v>0</v>
      </c>
      <c r="BA26" s="615">
        <v>0</v>
      </c>
      <c r="BB26" s="615">
        <v>0</v>
      </c>
      <c r="BC26" s="615">
        <v>0</v>
      </c>
      <c r="BD26" s="615">
        <v>0</v>
      </c>
      <c r="BE26" s="615">
        <v>0</v>
      </c>
      <c r="BF26" s="615">
        <v>0</v>
      </c>
      <c r="BG26" s="615">
        <v>0</v>
      </c>
      <c r="BH26" s="615">
        <v>0</v>
      </c>
      <c r="BI26" s="615">
        <v>0</v>
      </c>
      <c r="BJ26" s="615">
        <v>0</v>
      </c>
      <c r="BK26" s="615">
        <v>0</v>
      </c>
      <c r="BL26" s="615">
        <v>0</v>
      </c>
      <c r="BM26" s="615">
        <v>0</v>
      </c>
      <c r="BN26" s="615">
        <v>0</v>
      </c>
      <c r="BO26" s="615">
        <v>0</v>
      </c>
      <c r="BP26" s="615">
        <v>0</v>
      </c>
      <c r="BQ26" s="615">
        <v>0</v>
      </c>
      <c r="BR26" s="615">
        <v>0</v>
      </c>
      <c r="BS26" s="615">
        <v>0</v>
      </c>
      <c r="BT26" s="615">
        <v>0</v>
      </c>
      <c r="BU26" s="615">
        <v>0</v>
      </c>
      <c r="BV26" s="615">
        <v>0</v>
      </c>
      <c r="BW26" s="615">
        <v>0</v>
      </c>
      <c r="BX26" s="607">
        <f t="shared" si="0"/>
        <v>363882392</v>
      </c>
    </row>
    <row r="27" spans="1:76" s="612" customFormat="1" ht="11.25" customHeight="1" x14ac:dyDescent="0.2">
      <c r="A27" s="905"/>
      <c r="B27" s="610" t="s">
        <v>868</v>
      </c>
      <c r="C27" s="634" t="s">
        <v>1783</v>
      </c>
      <c r="D27" s="609">
        <v>0</v>
      </c>
      <c r="E27" s="609">
        <v>0</v>
      </c>
      <c r="F27" s="609">
        <v>0</v>
      </c>
      <c r="G27" s="609">
        <v>0</v>
      </c>
      <c r="H27" s="585">
        <v>0</v>
      </c>
      <c r="I27" s="609">
        <v>0</v>
      </c>
      <c r="J27" s="609">
        <v>0</v>
      </c>
      <c r="K27" s="609">
        <v>0</v>
      </c>
      <c r="L27" s="609">
        <v>0</v>
      </c>
      <c r="M27" s="609">
        <v>0</v>
      </c>
      <c r="N27" s="609">
        <v>0</v>
      </c>
      <c r="O27" s="609">
        <v>0</v>
      </c>
      <c r="P27" s="609">
        <v>0</v>
      </c>
      <c r="Q27" s="609">
        <v>0</v>
      </c>
      <c r="R27" s="609">
        <v>0</v>
      </c>
      <c r="S27" s="609">
        <v>0</v>
      </c>
      <c r="T27" s="609">
        <v>0</v>
      </c>
      <c r="U27" s="609">
        <v>0</v>
      </c>
      <c r="V27" s="609">
        <v>0</v>
      </c>
      <c r="W27" s="609">
        <v>0</v>
      </c>
      <c r="X27" s="609">
        <v>0</v>
      </c>
      <c r="Y27" s="609">
        <v>0</v>
      </c>
      <c r="Z27" s="609">
        <v>0</v>
      </c>
      <c r="AA27" s="609">
        <v>0</v>
      </c>
      <c r="AB27" s="609">
        <v>0</v>
      </c>
      <c r="AC27" s="609">
        <v>0</v>
      </c>
      <c r="AD27" s="609">
        <v>0</v>
      </c>
      <c r="AE27" s="609">
        <v>0</v>
      </c>
      <c r="AF27" s="609">
        <v>0</v>
      </c>
      <c r="AG27" s="609">
        <v>0</v>
      </c>
      <c r="AH27" s="609">
        <v>0</v>
      </c>
      <c r="AI27" s="609">
        <v>0</v>
      </c>
      <c r="AJ27" s="609">
        <v>0</v>
      </c>
      <c r="AK27" s="609">
        <v>0</v>
      </c>
      <c r="AL27" s="609">
        <v>0</v>
      </c>
      <c r="AM27" s="609">
        <v>0</v>
      </c>
      <c r="AN27" s="609">
        <v>0</v>
      </c>
      <c r="AO27" s="609">
        <v>0</v>
      </c>
      <c r="AP27" s="609">
        <v>0</v>
      </c>
      <c r="AQ27" s="609">
        <v>0</v>
      </c>
      <c r="AR27" s="609">
        <v>0</v>
      </c>
      <c r="AS27" s="609">
        <v>0</v>
      </c>
      <c r="AT27" s="609">
        <v>0</v>
      </c>
      <c r="AU27" s="609">
        <v>0</v>
      </c>
      <c r="AV27" s="609">
        <v>0</v>
      </c>
      <c r="AW27" s="615">
        <v>0</v>
      </c>
      <c r="AX27" s="615">
        <v>0</v>
      </c>
      <c r="AY27" s="615">
        <v>0</v>
      </c>
      <c r="AZ27" s="615">
        <v>0</v>
      </c>
      <c r="BA27" s="615">
        <v>0</v>
      </c>
      <c r="BB27" s="615">
        <v>0</v>
      </c>
      <c r="BC27" s="615">
        <v>0</v>
      </c>
      <c r="BD27" s="615">
        <v>0</v>
      </c>
      <c r="BE27" s="615">
        <v>0</v>
      </c>
      <c r="BF27" s="615">
        <v>0</v>
      </c>
      <c r="BG27" s="615">
        <v>0</v>
      </c>
      <c r="BH27" s="615">
        <v>0</v>
      </c>
      <c r="BI27" s="615">
        <v>0</v>
      </c>
      <c r="BJ27" s="615">
        <v>0</v>
      </c>
      <c r="BK27" s="615">
        <v>0</v>
      </c>
      <c r="BL27" s="615">
        <v>0</v>
      </c>
      <c r="BM27" s="615">
        <v>0</v>
      </c>
      <c r="BN27" s="615">
        <v>0</v>
      </c>
      <c r="BO27" s="615">
        <v>0</v>
      </c>
      <c r="BP27" s="615">
        <v>0</v>
      </c>
      <c r="BQ27" s="615">
        <v>0</v>
      </c>
      <c r="BR27" s="615">
        <v>0</v>
      </c>
      <c r="BS27" s="615">
        <v>0</v>
      </c>
      <c r="BT27" s="615">
        <v>0</v>
      </c>
      <c r="BU27" s="615">
        <v>0</v>
      </c>
      <c r="BV27" s="615">
        <v>0</v>
      </c>
      <c r="BW27" s="615">
        <v>0</v>
      </c>
      <c r="BX27" s="607">
        <f t="shared" si="0"/>
        <v>0</v>
      </c>
    </row>
    <row r="28" spans="1:76" s="612" customFormat="1" ht="11.25" customHeight="1" x14ac:dyDescent="0.2">
      <c r="A28" s="905"/>
      <c r="B28" s="610" t="s">
        <v>1636</v>
      </c>
      <c r="C28" s="634" t="s">
        <v>1784</v>
      </c>
      <c r="D28" s="609">
        <v>0</v>
      </c>
      <c r="E28" s="609">
        <v>0</v>
      </c>
      <c r="F28" s="609">
        <v>0</v>
      </c>
      <c r="G28" s="609">
        <v>0</v>
      </c>
      <c r="H28" s="585">
        <v>0</v>
      </c>
      <c r="I28" s="609">
        <v>0</v>
      </c>
      <c r="J28" s="609">
        <v>0</v>
      </c>
      <c r="K28" s="609">
        <v>0</v>
      </c>
      <c r="L28" s="609">
        <v>0</v>
      </c>
      <c r="M28" s="609">
        <v>0</v>
      </c>
      <c r="N28" s="609">
        <v>0</v>
      </c>
      <c r="O28" s="609">
        <v>0</v>
      </c>
      <c r="P28" s="609">
        <v>0</v>
      </c>
      <c r="Q28" s="609">
        <v>0</v>
      </c>
      <c r="R28" s="609">
        <v>0</v>
      </c>
      <c r="S28" s="609">
        <v>0</v>
      </c>
      <c r="T28" s="609">
        <v>0</v>
      </c>
      <c r="U28" s="609">
        <v>0</v>
      </c>
      <c r="V28" s="609">
        <v>0</v>
      </c>
      <c r="W28" s="609">
        <v>0</v>
      </c>
      <c r="X28" s="609">
        <v>0</v>
      </c>
      <c r="Y28" s="609">
        <v>0</v>
      </c>
      <c r="Z28" s="609">
        <v>0</v>
      </c>
      <c r="AA28" s="609">
        <v>0</v>
      </c>
      <c r="AB28" s="609">
        <v>0</v>
      </c>
      <c r="AC28" s="609">
        <v>0</v>
      </c>
      <c r="AD28" s="609">
        <v>0</v>
      </c>
      <c r="AE28" s="609">
        <v>0</v>
      </c>
      <c r="AF28" s="609">
        <v>0</v>
      </c>
      <c r="AG28" s="609">
        <v>0</v>
      </c>
      <c r="AH28" s="609">
        <v>0</v>
      </c>
      <c r="AI28" s="609">
        <v>0</v>
      </c>
      <c r="AJ28" s="609">
        <v>0</v>
      </c>
      <c r="AK28" s="609">
        <v>0</v>
      </c>
      <c r="AL28" s="609">
        <v>0</v>
      </c>
      <c r="AM28" s="609">
        <v>0</v>
      </c>
      <c r="AN28" s="609">
        <v>0</v>
      </c>
      <c r="AO28" s="609">
        <v>0</v>
      </c>
      <c r="AP28" s="609">
        <v>0</v>
      </c>
      <c r="AQ28" s="609">
        <v>0</v>
      </c>
      <c r="AR28" s="609">
        <v>0</v>
      </c>
      <c r="AS28" s="609">
        <v>0</v>
      </c>
      <c r="AT28" s="609">
        <v>0</v>
      </c>
      <c r="AU28" s="609">
        <v>0</v>
      </c>
      <c r="AV28" s="609">
        <v>0</v>
      </c>
      <c r="AW28" s="615">
        <v>0</v>
      </c>
      <c r="AX28" s="615">
        <v>0</v>
      </c>
      <c r="AY28" s="615">
        <v>0</v>
      </c>
      <c r="AZ28" s="615">
        <v>0</v>
      </c>
      <c r="BA28" s="615">
        <v>0</v>
      </c>
      <c r="BB28" s="615">
        <v>0</v>
      </c>
      <c r="BC28" s="615">
        <v>0</v>
      </c>
      <c r="BD28" s="615">
        <v>0</v>
      </c>
      <c r="BE28" s="615">
        <v>0</v>
      </c>
      <c r="BF28" s="615">
        <v>0</v>
      </c>
      <c r="BG28" s="615">
        <v>0</v>
      </c>
      <c r="BH28" s="615">
        <v>0</v>
      </c>
      <c r="BI28" s="615">
        <v>0</v>
      </c>
      <c r="BJ28" s="615">
        <v>0</v>
      </c>
      <c r="BK28" s="615">
        <v>0</v>
      </c>
      <c r="BL28" s="615">
        <v>0</v>
      </c>
      <c r="BM28" s="615">
        <v>0</v>
      </c>
      <c r="BN28" s="615">
        <v>0</v>
      </c>
      <c r="BO28" s="615">
        <v>0</v>
      </c>
      <c r="BP28" s="615">
        <v>0</v>
      </c>
      <c r="BQ28" s="615">
        <v>0</v>
      </c>
      <c r="BR28" s="615">
        <v>0</v>
      </c>
      <c r="BS28" s="615">
        <v>0</v>
      </c>
      <c r="BT28" s="615">
        <v>0</v>
      </c>
      <c r="BU28" s="615">
        <v>0</v>
      </c>
      <c r="BV28" s="615">
        <v>0</v>
      </c>
      <c r="BW28" s="615">
        <v>0</v>
      </c>
      <c r="BX28" s="607">
        <f t="shared" si="0"/>
        <v>0</v>
      </c>
    </row>
    <row r="29" spans="1:76" s="612" customFormat="1" ht="11.25" customHeight="1" x14ac:dyDescent="0.2">
      <c r="A29" s="905"/>
      <c r="B29" s="610" t="s">
        <v>867</v>
      </c>
      <c r="C29" s="634" t="s">
        <v>1785</v>
      </c>
      <c r="D29" s="609">
        <v>0</v>
      </c>
      <c r="E29" s="609">
        <v>0</v>
      </c>
      <c r="F29" s="609">
        <v>0</v>
      </c>
      <c r="G29" s="609">
        <v>0</v>
      </c>
      <c r="H29" s="585">
        <v>0</v>
      </c>
      <c r="I29" s="609">
        <v>0</v>
      </c>
      <c r="J29" s="609">
        <v>0</v>
      </c>
      <c r="K29" s="609">
        <v>0</v>
      </c>
      <c r="L29" s="609">
        <v>0</v>
      </c>
      <c r="M29" s="609">
        <v>0</v>
      </c>
      <c r="N29" s="609">
        <v>0</v>
      </c>
      <c r="O29" s="609">
        <v>0</v>
      </c>
      <c r="P29" s="609">
        <v>0</v>
      </c>
      <c r="Q29" s="609">
        <v>0</v>
      </c>
      <c r="R29" s="609">
        <v>0</v>
      </c>
      <c r="S29" s="609">
        <v>0</v>
      </c>
      <c r="T29" s="609">
        <v>0</v>
      </c>
      <c r="U29" s="609">
        <v>0</v>
      </c>
      <c r="V29" s="609">
        <v>0</v>
      </c>
      <c r="W29" s="609">
        <v>0</v>
      </c>
      <c r="X29" s="609">
        <v>0</v>
      </c>
      <c r="Y29" s="609">
        <v>0</v>
      </c>
      <c r="Z29" s="609">
        <v>0</v>
      </c>
      <c r="AA29" s="609">
        <v>0</v>
      </c>
      <c r="AB29" s="609">
        <v>0</v>
      </c>
      <c r="AC29" s="609">
        <v>0</v>
      </c>
      <c r="AD29" s="609">
        <v>0</v>
      </c>
      <c r="AE29" s="609">
        <v>0</v>
      </c>
      <c r="AF29" s="609">
        <v>0</v>
      </c>
      <c r="AG29" s="609">
        <v>0</v>
      </c>
      <c r="AH29" s="609">
        <v>0</v>
      </c>
      <c r="AI29" s="609">
        <v>0</v>
      </c>
      <c r="AJ29" s="609">
        <v>0</v>
      </c>
      <c r="AK29" s="609">
        <v>0</v>
      </c>
      <c r="AL29" s="609">
        <v>0</v>
      </c>
      <c r="AM29" s="609">
        <v>0</v>
      </c>
      <c r="AN29" s="609">
        <v>0</v>
      </c>
      <c r="AO29" s="609">
        <v>0</v>
      </c>
      <c r="AP29" s="609">
        <v>0</v>
      </c>
      <c r="AQ29" s="609">
        <v>0</v>
      </c>
      <c r="AR29" s="609">
        <v>0</v>
      </c>
      <c r="AS29" s="609">
        <v>0</v>
      </c>
      <c r="AT29" s="609">
        <v>0</v>
      </c>
      <c r="AU29" s="609">
        <v>0</v>
      </c>
      <c r="AV29" s="609">
        <v>0</v>
      </c>
      <c r="AW29" s="615">
        <v>0</v>
      </c>
      <c r="AX29" s="615">
        <v>0</v>
      </c>
      <c r="AY29" s="615">
        <v>0</v>
      </c>
      <c r="AZ29" s="615">
        <v>0</v>
      </c>
      <c r="BA29" s="615">
        <v>0</v>
      </c>
      <c r="BB29" s="615">
        <v>0</v>
      </c>
      <c r="BC29" s="615">
        <v>0</v>
      </c>
      <c r="BD29" s="615">
        <v>0</v>
      </c>
      <c r="BE29" s="615">
        <v>0</v>
      </c>
      <c r="BF29" s="615">
        <v>0</v>
      </c>
      <c r="BG29" s="615">
        <v>0</v>
      </c>
      <c r="BH29" s="615">
        <v>0</v>
      </c>
      <c r="BI29" s="615">
        <v>0</v>
      </c>
      <c r="BJ29" s="615">
        <v>0</v>
      </c>
      <c r="BK29" s="615">
        <v>0</v>
      </c>
      <c r="BL29" s="615">
        <v>0</v>
      </c>
      <c r="BM29" s="615">
        <v>0</v>
      </c>
      <c r="BN29" s="615">
        <v>0</v>
      </c>
      <c r="BO29" s="615">
        <v>0</v>
      </c>
      <c r="BP29" s="615">
        <v>0</v>
      </c>
      <c r="BQ29" s="615">
        <v>0</v>
      </c>
      <c r="BR29" s="615">
        <v>0</v>
      </c>
      <c r="BS29" s="615">
        <v>0</v>
      </c>
      <c r="BT29" s="615">
        <v>0</v>
      </c>
      <c r="BU29" s="615">
        <v>0</v>
      </c>
      <c r="BV29" s="615">
        <v>0</v>
      </c>
      <c r="BW29" s="615">
        <v>0</v>
      </c>
      <c r="BX29" s="607">
        <f t="shared" si="0"/>
        <v>0</v>
      </c>
    </row>
    <row r="30" spans="1:76" s="612" customFormat="1" ht="11.25" customHeight="1" x14ac:dyDescent="0.2">
      <c r="A30" s="905"/>
      <c r="B30" s="610" t="s">
        <v>1072</v>
      </c>
      <c r="C30" s="634" t="s">
        <v>1786</v>
      </c>
      <c r="D30" s="609">
        <v>0</v>
      </c>
      <c r="E30" s="609">
        <v>0</v>
      </c>
      <c r="F30" s="609">
        <v>0</v>
      </c>
      <c r="G30" s="609">
        <v>0</v>
      </c>
      <c r="H30" s="585">
        <v>0</v>
      </c>
      <c r="I30" s="609">
        <v>0</v>
      </c>
      <c r="J30" s="609">
        <v>0</v>
      </c>
      <c r="K30" s="609">
        <v>0</v>
      </c>
      <c r="L30" s="609">
        <v>0</v>
      </c>
      <c r="M30" s="609">
        <v>0</v>
      </c>
      <c r="N30" s="609">
        <v>0</v>
      </c>
      <c r="O30" s="609">
        <v>0</v>
      </c>
      <c r="P30" s="609">
        <v>0</v>
      </c>
      <c r="Q30" s="609">
        <v>0</v>
      </c>
      <c r="R30" s="609">
        <v>0</v>
      </c>
      <c r="S30" s="609">
        <v>0</v>
      </c>
      <c r="T30" s="609">
        <v>0</v>
      </c>
      <c r="U30" s="609">
        <v>0</v>
      </c>
      <c r="V30" s="609">
        <v>0</v>
      </c>
      <c r="W30" s="609">
        <v>0</v>
      </c>
      <c r="X30" s="609">
        <v>0</v>
      </c>
      <c r="Y30" s="609">
        <v>0</v>
      </c>
      <c r="Z30" s="609">
        <v>0</v>
      </c>
      <c r="AA30" s="609">
        <v>0</v>
      </c>
      <c r="AB30" s="609">
        <v>0</v>
      </c>
      <c r="AC30" s="609">
        <v>0</v>
      </c>
      <c r="AD30" s="609">
        <v>0</v>
      </c>
      <c r="AE30" s="609">
        <v>0</v>
      </c>
      <c r="AF30" s="609">
        <v>0</v>
      </c>
      <c r="AG30" s="609">
        <v>0</v>
      </c>
      <c r="AH30" s="609">
        <v>0</v>
      </c>
      <c r="AI30" s="609">
        <v>0</v>
      </c>
      <c r="AJ30" s="609">
        <v>0</v>
      </c>
      <c r="AK30" s="609">
        <v>0</v>
      </c>
      <c r="AL30" s="609">
        <v>0</v>
      </c>
      <c r="AM30" s="609">
        <v>0</v>
      </c>
      <c r="AN30" s="609">
        <v>0</v>
      </c>
      <c r="AO30" s="609">
        <v>0</v>
      </c>
      <c r="AP30" s="609">
        <v>0</v>
      </c>
      <c r="AQ30" s="609">
        <v>0</v>
      </c>
      <c r="AR30" s="609">
        <v>0</v>
      </c>
      <c r="AS30" s="609">
        <v>0</v>
      </c>
      <c r="AT30" s="609">
        <v>0</v>
      </c>
      <c r="AU30" s="609">
        <v>0</v>
      </c>
      <c r="AV30" s="609">
        <v>0</v>
      </c>
      <c r="AW30" s="615">
        <v>0</v>
      </c>
      <c r="AX30" s="615">
        <v>0</v>
      </c>
      <c r="AY30" s="615">
        <v>0</v>
      </c>
      <c r="AZ30" s="615">
        <v>0</v>
      </c>
      <c r="BA30" s="615">
        <v>0</v>
      </c>
      <c r="BB30" s="615">
        <v>0</v>
      </c>
      <c r="BC30" s="615">
        <v>0</v>
      </c>
      <c r="BD30" s="615">
        <v>0</v>
      </c>
      <c r="BE30" s="615">
        <v>0</v>
      </c>
      <c r="BF30" s="615">
        <v>0</v>
      </c>
      <c r="BG30" s="615">
        <v>0</v>
      </c>
      <c r="BH30" s="615">
        <v>0</v>
      </c>
      <c r="BI30" s="615">
        <v>0</v>
      </c>
      <c r="BJ30" s="615">
        <v>0</v>
      </c>
      <c r="BK30" s="615">
        <v>0</v>
      </c>
      <c r="BL30" s="615">
        <v>0</v>
      </c>
      <c r="BM30" s="615">
        <v>0</v>
      </c>
      <c r="BN30" s="615">
        <v>0</v>
      </c>
      <c r="BO30" s="615">
        <v>0</v>
      </c>
      <c r="BP30" s="615">
        <v>0</v>
      </c>
      <c r="BQ30" s="615">
        <v>0</v>
      </c>
      <c r="BR30" s="615">
        <v>0</v>
      </c>
      <c r="BS30" s="615">
        <v>0</v>
      </c>
      <c r="BT30" s="615">
        <v>0</v>
      </c>
      <c r="BU30" s="615">
        <v>0</v>
      </c>
      <c r="BV30" s="615">
        <v>0</v>
      </c>
      <c r="BW30" s="615">
        <v>0</v>
      </c>
      <c r="BX30" s="607">
        <f t="shared" si="0"/>
        <v>0</v>
      </c>
    </row>
    <row r="31" spans="1:76" s="612" customFormat="1" ht="11.25" customHeight="1" x14ac:dyDescent="0.2">
      <c r="A31" s="905"/>
      <c r="B31" s="610" t="s">
        <v>870</v>
      </c>
      <c r="C31" s="634" t="s">
        <v>1787</v>
      </c>
      <c r="D31" s="609">
        <v>0</v>
      </c>
      <c r="E31" s="609">
        <v>0</v>
      </c>
      <c r="F31" s="609">
        <v>0</v>
      </c>
      <c r="G31" s="609">
        <v>0</v>
      </c>
      <c r="H31" s="585">
        <v>0</v>
      </c>
      <c r="I31" s="609">
        <v>0</v>
      </c>
      <c r="J31" s="609">
        <v>0</v>
      </c>
      <c r="K31" s="609">
        <v>0</v>
      </c>
      <c r="L31" s="609">
        <v>0</v>
      </c>
      <c r="M31" s="609">
        <v>0</v>
      </c>
      <c r="N31" s="609">
        <v>0</v>
      </c>
      <c r="O31" s="609">
        <v>0</v>
      </c>
      <c r="P31" s="609">
        <v>0</v>
      </c>
      <c r="Q31" s="609">
        <v>0</v>
      </c>
      <c r="R31" s="609">
        <v>0</v>
      </c>
      <c r="S31" s="609">
        <v>0</v>
      </c>
      <c r="T31" s="609">
        <v>0</v>
      </c>
      <c r="U31" s="609">
        <v>0</v>
      </c>
      <c r="V31" s="609">
        <v>0</v>
      </c>
      <c r="W31" s="609">
        <v>0</v>
      </c>
      <c r="X31" s="609">
        <v>0</v>
      </c>
      <c r="Y31" s="609">
        <v>0</v>
      </c>
      <c r="Z31" s="609">
        <v>0</v>
      </c>
      <c r="AA31" s="609">
        <v>0</v>
      </c>
      <c r="AB31" s="609">
        <v>0</v>
      </c>
      <c r="AC31" s="609">
        <v>0</v>
      </c>
      <c r="AD31" s="609">
        <v>0</v>
      </c>
      <c r="AE31" s="609">
        <v>0</v>
      </c>
      <c r="AF31" s="609">
        <v>0</v>
      </c>
      <c r="AG31" s="609">
        <v>0</v>
      </c>
      <c r="AH31" s="609">
        <v>0</v>
      </c>
      <c r="AI31" s="609">
        <v>0</v>
      </c>
      <c r="AJ31" s="609">
        <v>0</v>
      </c>
      <c r="AK31" s="609">
        <v>0</v>
      </c>
      <c r="AL31" s="609">
        <v>0</v>
      </c>
      <c r="AM31" s="609">
        <v>0</v>
      </c>
      <c r="AN31" s="609">
        <v>0</v>
      </c>
      <c r="AO31" s="609">
        <v>0</v>
      </c>
      <c r="AP31" s="609">
        <v>0</v>
      </c>
      <c r="AQ31" s="609">
        <v>0</v>
      </c>
      <c r="AR31" s="609">
        <v>0</v>
      </c>
      <c r="AS31" s="609">
        <v>0</v>
      </c>
      <c r="AT31" s="609">
        <v>0</v>
      </c>
      <c r="AU31" s="609">
        <v>0</v>
      </c>
      <c r="AV31" s="609">
        <v>0</v>
      </c>
      <c r="AW31" s="615">
        <v>0</v>
      </c>
      <c r="AX31" s="615">
        <v>0</v>
      </c>
      <c r="AY31" s="615">
        <v>0</v>
      </c>
      <c r="AZ31" s="615">
        <v>0</v>
      </c>
      <c r="BA31" s="615">
        <v>0</v>
      </c>
      <c r="BB31" s="615">
        <v>0</v>
      </c>
      <c r="BC31" s="615">
        <v>0</v>
      </c>
      <c r="BD31" s="615">
        <v>0</v>
      </c>
      <c r="BE31" s="615">
        <v>0</v>
      </c>
      <c r="BF31" s="615">
        <v>0</v>
      </c>
      <c r="BG31" s="615">
        <v>0</v>
      </c>
      <c r="BH31" s="615">
        <v>0</v>
      </c>
      <c r="BI31" s="615">
        <v>0</v>
      </c>
      <c r="BJ31" s="615">
        <v>0</v>
      </c>
      <c r="BK31" s="615">
        <v>0</v>
      </c>
      <c r="BL31" s="615">
        <v>0</v>
      </c>
      <c r="BM31" s="615">
        <v>0</v>
      </c>
      <c r="BN31" s="615">
        <v>0</v>
      </c>
      <c r="BO31" s="615">
        <v>0</v>
      </c>
      <c r="BP31" s="615">
        <v>0</v>
      </c>
      <c r="BQ31" s="615">
        <v>0</v>
      </c>
      <c r="BR31" s="615">
        <v>0</v>
      </c>
      <c r="BS31" s="615">
        <v>0</v>
      </c>
      <c r="BT31" s="615">
        <v>0</v>
      </c>
      <c r="BU31" s="615">
        <v>0</v>
      </c>
      <c r="BV31" s="615">
        <v>0</v>
      </c>
      <c r="BW31" s="615">
        <v>0</v>
      </c>
      <c r="BX31" s="607">
        <f t="shared" si="0"/>
        <v>0</v>
      </c>
    </row>
    <row r="32" spans="1:76" s="612" customFormat="1" ht="11.25" customHeight="1" x14ac:dyDescent="0.2">
      <c r="A32" s="905"/>
      <c r="B32" s="610" t="s">
        <v>869</v>
      </c>
      <c r="C32" s="634" t="s">
        <v>1788</v>
      </c>
      <c r="D32" s="609">
        <v>0</v>
      </c>
      <c r="E32" s="609">
        <v>0</v>
      </c>
      <c r="F32" s="609">
        <v>0</v>
      </c>
      <c r="G32" s="609">
        <v>0</v>
      </c>
      <c r="H32" s="585">
        <v>0</v>
      </c>
      <c r="I32" s="609">
        <v>0</v>
      </c>
      <c r="J32" s="609">
        <v>0</v>
      </c>
      <c r="K32" s="609">
        <v>0</v>
      </c>
      <c r="L32" s="609">
        <v>0</v>
      </c>
      <c r="M32" s="609">
        <v>0</v>
      </c>
      <c r="N32" s="609">
        <v>0</v>
      </c>
      <c r="O32" s="609">
        <v>0</v>
      </c>
      <c r="P32" s="609">
        <v>0</v>
      </c>
      <c r="Q32" s="609">
        <v>0</v>
      </c>
      <c r="R32" s="609">
        <v>0</v>
      </c>
      <c r="S32" s="609">
        <v>0</v>
      </c>
      <c r="T32" s="609">
        <v>0</v>
      </c>
      <c r="U32" s="609">
        <v>0</v>
      </c>
      <c r="V32" s="609">
        <v>0</v>
      </c>
      <c r="W32" s="609">
        <v>0</v>
      </c>
      <c r="X32" s="609">
        <v>0</v>
      </c>
      <c r="Y32" s="609">
        <v>0</v>
      </c>
      <c r="Z32" s="609">
        <v>0</v>
      </c>
      <c r="AA32" s="609">
        <v>0</v>
      </c>
      <c r="AB32" s="609">
        <v>0</v>
      </c>
      <c r="AC32" s="609">
        <v>0</v>
      </c>
      <c r="AD32" s="609">
        <v>0</v>
      </c>
      <c r="AE32" s="609">
        <v>0</v>
      </c>
      <c r="AF32" s="609">
        <v>0</v>
      </c>
      <c r="AG32" s="609">
        <v>0</v>
      </c>
      <c r="AH32" s="609">
        <v>0</v>
      </c>
      <c r="AI32" s="609">
        <v>0</v>
      </c>
      <c r="AJ32" s="609">
        <v>0</v>
      </c>
      <c r="AK32" s="609">
        <v>0</v>
      </c>
      <c r="AL32" s="609">
        <v>0</v>
      </c>
      <c r="AM32" s="609">
        <v>0</v>
      </c>
      <c r="AN32" s="609">
        <v>0</v>
      </c>
      <c r="AO32" s="609">
        <v>0</v>
      </c>
      <c r="AP32" s="609">
        <v>0</v>
      </c>
      <c r="AQ32" s="609">
        <v>0</v>
      </c>
      <c r="AR32" s="609">
        <v>0</v>
      </c>
      <c r="AS32" s="609">
        <v>0</v>
      </c>
      <c r="AT32" s="609">
        <v>0</v>
      </c>
      <c r="AU32" s="609">
        <v>0</v>
      </c>
      <c r="AV32" s="609">
        <v>0</v>
      </c>
      <c r="AW32" s="615">
        <v>0</v>
      </c>
      <c r="AX32" s="615">
        <v>0</v>
      </c>
      <c r="AY32" s="615">
        <v>0</v>
      </c>
      <c r="AZ32" s="615">
        <v>0</v>
      </c>
      <c r="BA32" s="615">
        <v>0</v>
      </c>
      <c r="BB32" s="615">
        <v>0</v>
      </c>
      <c r="BC32" s="615">
        <v>0</v>
      </c>
      <c r="BD32" s="615">
        <v>0</v>
      </c>
      <c r="BE32" s="615">
        <v>0</v>
      </c>
      <c r="BF32" s="615">
        <v>0</v>
      </c>
      <c r="BG32" s="615">
        <v>0</v>
      </c>
      <c r="BH32" s="615">
        <v>0</v>
      </c>
      <c r="BI32" s="615">
        <v>0</v>
      </c>
      <c r="BJ32" s="615">
        <v>0</v>
      </c>
      <c r="BK32" s="615">
        <v>0</v>
      </c>
      <c r="BL32" s="615">
        <v>0</v>
      </c>
      <c r="BM32" s="615">
        <v>0</v>
      </c>
      <c r="BN32" s="615">
        <v>0</v>
      </c>
      <c r="BO32" s="615">
        <v>0</v>
      </c>
      <c r="BP32" s="615">
        <v>0</v>
      </c>
      <c r="BQ32" s="615">
        <v>0</v>
      </c>
      <c r="BR32" s="615">
        <v>0</v>
      </c>
      <c r="BS32" s="615">
        <v>0</v>
      </c>
      <c r="BT32" s="615">
        <v>0</v>
      </c>
      <c r="BU32" s="615">
        <v>0</v>
      </c>
      <c r="BV32" s="615">
        <v>0</v>
      </c>
      <c r="BW32" s="615">
        <v>0</v>
      </c>
      <c r="BX32" s="607">
        <f t="shared" si="0"/>
        <v>0</v>
      </c>
    </row>
    <row r="33" spans="1:76" s="612" customFormat="1" ht="11.25" customHeight="1" x14ac:dyDescent="0.2">
      <c r="A33" s="905"/>
      <c r="B33" s="610" t="s">
        <v>1699</v>
      </c>
      <c r="C33" s="634" t="s">
        <v>1789</v>
      </c>
      <c r="D33" s="609">
        <v>0</v>
      </c>
      <c r="E33" s="609">
        <v>0</v>
      </c>
      <c r="F33" s="609">
        <v>0</v>
      </c>
      <c r="G33" s="609">
        <v>0</v>
      </c>
      <c r="H33" s="585">
        <v>0</v>
      </c>
      <c r="I33" s="609">
        <v>0</v>
      </c>
      <c r="J33" s="609">
        <v>0</v>
      </c>
      <c r="K33" s="609">
        <v>0</v>
      </c>
      <c r="L33" s="609">
        <v>0</v>
      </c>
      <c r="M33" s="609">
        <v>0</v>
      </c>
      <c r="N33" s="609">
        <v>0</v>
      </c>
      <c r="O33" s="609">
        <v>0</v>
      </c>
      <c r="P33" s="609">
        <v>0</v>
      </c>
      <c r="Q33" s="609">
        <v>0</v>
      </c>
      <c r="R33" s="609">
        <v>0</v>
      </c>
      <c r="S33" s="609">
        <v>0</v>
      </c>
      <c r="T33" s="609">
        <v>0</v>
      </c>
      <c r="U33" s="609">
        <v>0</v>
      </c>
      <c r="V33" s="609">
        <v>0</v>
      </c>
      <c r="W33" s="609">
        <v>0</v>
      </c>
      <c r="X33" s="609">
        <v>0</v>
      </c>
      <c r="Y33" s="609">
        <v>0</v>
      </c>
      <c r="Z33" s="609">
        <v>0</v>
      </c>
      <c r="AA33" s="609">
        <v>0</v>
      </c>
      <c r="AB33" s="609">
        <v>0</v>
      </c>
      <c r="AC33" s="609">
        <v>0</v>
      </c>
      <c r="AD33" s="609">
        <v>0</v>
      </c>
      <c r="AE33" s="609">
        <v>0</v>
      </c>
      <c r="AF33" s="609">
        <v>0</v>
      </c>
      <c r="AG33" s="609">
        <v>0</v>
      </c>
      <c r="AH33" s="609">
        <v>0</v>
      </c>
      <c r="AI33" s="609">
        <v>0</v>
      </c>
      <c r="AJ33" s="609">
        <v>0</v>
      </c>
      <c r="AK33" s="609">
        <v>0</v>
      </c>
      <c r="AL33" s="609">
        <v>0</v>
      </c>
      <c r="AM33" s="609">
        <v>0</v>
      </c>
      <c r="AN33" s="609">
        <v>0</v>
      </c>
      <c r="AO33" s="609">
        <v>0</v>
      </c>
      <c r="AP33" s="609">
        <v>0</v>
      </c>
      <c r="AQ33" s="609">
        <v>0</v>
      </c>
      <c r="AR33" s="609">
        <v>0</v>
      </c>
      <c r="AS33" s="609">
        <v>0</v>
      </c>
      <c r="AT33" s="609">
        <v>0</v>
      </c>
      <c r="AU33" s="609">
        <v>0</v>
      </c>
      <c r="AV33" s="609">
        <v>0</v>
      </c>
      <c r="AW33" s="615">
        <v>0</v>
      </c>
      <c r="AX33" s="615">
        <v>0</v>
      </c>
      <c r="AY33" s="615">
        <v>0</v>
      </c>
      <c r="AZ33" s="615">
        <v>0</v>
      </c>
      <c r="BA33" s="615">
        <v>0</v>
      </c>
      <c r="BB33" s="615">
        <v>0</v>
      </c>
      <c r="BC33" s="615">
        <v>0</v>
      </c>
      <c r="BD33" s="615">
        <v>0</v>
      </c>
      <c r="BE33" s="615">
        <v>0</v>
      </c>
      <c r="BF33" s="615">
        <v>0</v>
      </c>
      <c r="BG33" s="615">
        <v>0</v>
      </c>
      <c r="BH33" s="615">
        <v>0</v>
      </c>
      <c r="BI33" s="615">
        <v>0</v>
      </c>
      <c r="BJ33" s="615">
        <v>0</v>
      </c>
      <c r="BK33" s="615">
        <v>0</v>
      </c>
      <c r="BL33" s="615">
        <v>0</v>
      </c>
      <c r="BM33" s="615">
        <v>0</v>
      </c>
      <c r="BN33" s="615">
        <v>0</v>
      </c>
      <c r="BO33" s="615">
        <v>0</v>
      </c>
      <c r="BP33" s="615">
        <v>0</v>
      </c>
      <c r="BQ33" s="615">
        <v>0</v>
      </c>
      <c r="BR33" s="615">
        <v>0</v>
      </c>
      <c r="BS33" s="615">
        <v>0</v>
      </c>
      <c r="BT33" s="615">
        <v>0</v>
      </c>
      <c r="BU33" s="615">
        <v>0</v>
      </c>
      <c r="BV33" s="615">
        <v>0</v>
      </c>
      <c r="BW33" s="615">
        <v>0</v>
      </c>
      <c r="BX33" s="607">
        <f t="shared" si="0"/>
        <v>0</v>
      </c>
    </row>
    <row r="34" spans="1:76" s="612" customFormat="1" ht="11.25" customHeight="1" x14ac:dyDescent="0.2">
      <c r="A34" s="905"/>
      <c r="B34" s="610" t="s">
        <v>871</v>
      </c>
      <c r="C34" s="634" t="s">
        <v>1790</v>
      </c>
      <c r="D34" s="609">
        <v>0</v>
      </c>
      <c r="E34" s="609">
        <v>0</v>
      </c>
      <c r="F34" s="609">
        <v>0</v>
      </c>
      <c r="G34" s="609">
        <v>0</v>
      </c>
      <c r="H34" s="585">
        <v>0</v>
      </c>
      <c r="I34" s="609">
        <v>0</v>
      </c>
      <c r="J34" s="609">
        <v>0</v>
      </c>
      <c r="K34" s="609">
        <v>0</v>
      </c>
      <c r="L34" s="609">
        <v>0</v>
      </c>
      <c r="M34" s="609">
        <v>0</v>
      </c>
      <c r="N34" s="609">
        <v>0</v>
      </c>
      <c r="O34" s="609">
        <v>0</v>
      </c>
      <c r="P34" s="609">
        <v>0</v>
      </c>
      <c r="Q34" s="609">
        <v>0</v>
      </c>
      <c r="R34" s="609">
        <v>0</v>
      </c>
      <c r="S34" s="609">
        <v>0</v>
      </c>
      <c r="T34" s="609">
        <v>0</v>
      </c>
      <c r="U34" s="609">
        <v>0</v>
      </c>
      <c r="V34" s="609">
        <v>0</v>
      </c>
      <c r="W34" s="609">
        <v>0</v>
      </c>
      <c r="X34" s="609">
        <v>0</v>
      </c>
      <c r="Y34" s="609">
        <v>0</v>
      </c>
      <c r="Z34" s="609">
        <v>0</v>
      </c>
      <c r="AA34" s="609">
        <v>0</v>
      </c>
      <c r="AB34" s="609">
        <v>0</v>
      </c>
      <c r="AC34" s="609">
        <v>0</v>
      </c>
      <c r="AD34" s="609">
        <v>0</v>
      </c>
      <c r="AE34" s="609">
        <v>0</v>
      </c>
      <c r="AF34" s="609">
        <v>0</v>
      </c>
      <c r="AG34" s="609">
        <v>0</v>
      </c>
      <c r="AH34" s="609">
        <v>0</v>
      </c>
      <c r="AI34" s="609">
        <v>0</v>
      </c>
      <c r="AJ34" s="609">
        <v>0</v>
      </c>
      <c r="AK34" s="609">
        <v>0</v>
      </c>
      <c r="AL34" s="609">
        <v>0</v>
      </c>
      <c r="AM34" s="609">
        <v>0</v>
      </c>
      <c r="AN34" s="609">
        <v>0</v>
      </c>
      <c r="AO34" s="609">
        <v>0</v>
      </c>
      <c r="AP34" s="609">
        <v>0</v>
      </c>
      <c r="AQ34" s="609">
        <v>114043</v>
      </c>
      <c r="AR34" s="609">
        <v>0</v>
      </c>
      <c r="AS34" s="609">
        <v>0</v>
      </c>
      <c r="AT34" s="609">
        <v>0</v>
      </c>
      <c r="AU34" s="609">
        <v>0</v>
      </c>
      <c r="AV34" s="609">
        <v>0</v>
      </c>
      <c r="AW34" s="615">
        <v>0</v>
      </c>
      <c r="AX34" s="615">
        <v>0</v>
      </c>
      <c r="AY34" s="615">
        <v>0</v>
      </c>
      <c r="AZ34" s="615">
        <v>0</v>
      </c>
      <c r="BA34" s="615">
        <v>0</v>
      </c>
      <c r="BB34" s="615">
        <v>0</v>
      </c>
      <c r="BC34" s="615">
        <v>0</v>
      </c>
      <c r="BD34" s="615">
        <v>0</v>
      </c>
      <c r="BE34" s="615">
        <v>0</v>
      </c>
      <c r="BF34" s="615">
        <v>0</v>
      </c>
      <c r="BG34" s="615">
        <v>0</v>
      </c>
      <c r="BH34" s="615">
        <v>0</v>
      </c>
      <c r="BI34" s="615">
        <v>0</v>
      </c>
      <c r="BJ34" s="615">
        <v>0</v>
      </c>
      <c r="BK34" s="615">
        <v>0</v>
      </c>
      <c r="BL34" s="615">
        <v>0</v>
      </c>
      <c r="BM34" s="615">
        <v>0</v>
      </c>
      <c r="BN34" s="615">
        <v>0</v>
      </c>
      <c r="BO34" s="615">
        <v>0</v>
      </c>
      <c r="BP34" s="615">
        <v>0</v>
      </c>
      <c r="BQ34" s="615">
        <v>0</v>
      </c>
      <c r="BR34" s="615">
        <v>0</v>
      </c>
      <c r="BS34" s="615">
        <v>0</v>
      </c>
      <c r="BT34" s="615">
        <v>0</v>
      </c>
      <c r="BU34" s="615">
        <v>0</v>
      </c>
      <c r="BV34" s="615">
        <v>0</v>
      </c>
      <c r="BW34" s="615">
        <v>0</v>
      </c>
      <c r="BX34" s="607">
        <f t="shared" si="0"/>
        <v>114043</v>
      </c>
    </row>
    <row r="35" spans="1:76" s="612" customFormat="1" ht="11.25" customHeight="1" x14ac:dyDescent="0.2">
      <c r="A35" s="905"/>
      <c r="B35" s="610" t="s">
        <v>2677</v>
      </c>
      <c r="C35" s="634" t="s">
        <v>1791</v>
      </c>
      <c r="D35" s="609">
        <v>0</v>
      </c>
      <c r="E35" s="609" t="s">
        <v>1128</v>
      </c>
      <c r="F35" s="609" t="s">
        <v>1128</v>
      </c>
      <c r="G35" s="609" t="s">
        <v>1128</v>
      </c>
      <c r="H35" s="585">
        <v>0</v>
      </c>
      <c r="I35" s="609" t="s">
        <v>1128</v>
      </c>
      <c r="J35" s="609" t="s">
        <v>1128</v>
      </c>
      <c r="K35" s="609" t="s">
        <v>1128</v>
      </c>
      <c r="L35" s="609">
        <v>0</v>
      </c>
      <c r="M35" s="609">
        <v>0</v>
      </c>
      <c r="N35" s="609">
        <v>0</v>
      </c>
      <c r="O35" s="609">
        <v>0</v>
      </c>
      <c r="P35" s="609">
        <v>0</v>
      </c>
      <c r="Q35" s="609">
        <v>0</v>
      </c>
      <c r="R35" s="609">
        <v>0</v>
      </c>
      <c r="S35" s="609">
        <v>0</v>
      </c>
      <c r="T35" s="609">
        <v>0</v>
      </c>
      <c r="U35" s="609">
        <v>0</v>
      </c>
      <c r="V35" s="609">
        <v>0</v>
      </c>
      <c r="W35" s="609">
        <v>0</v>
      </c>
      <c r="X35" s="609">
        <v>0</v>
      </c>
      <c r="Y35" s="609">
        <v>0</v>
      </c>
      <c r="Z35" s="609">
        <v>0</v>
      </c>
      <c r="AA35" s="609">
        <v>0</v>
      </c>
      <c r="AB35" s="609">
        <v>0</v>
      </c>
      <c r="AC35" s="609">
        <v>0</v>
      </c>
      <c r="AD35" s="609">
        <v>0</v>
      </c>
      <c r="AE35" s="609">
        <v>0</v>
      </c>
      <c r="AF35" s="609">
        <v>0</v>
      </c>
      <c r="AG35" s="609">
        <v>0</v>
      </c>
      <c r="AH35" s="609">
        <v>0</v>
      </c>
      <c r="AI35" s="609">
        <v>0</v>
      </c>
      <c r="AJ35" s="609">
        <v>0</v>
      </c>
      <c r="AK35" s="609">
        <v>0</v>
      </c>
      <c r="AL35" s="609">
        <v>0</v>
      </c>
      <c r="AM35" s="609">
        <v>0</v>
      </c>
      <c r="AN35" s="609">
        <v>0</v>
      </c>
      <c r="AO35" s="609">
        <v>0</v>
      </c>
      <c r="AP35" s="609">
        <v>0</v>
      </c>
      <c r="AQ35" s="609">
        <v>0</v>
      </c>
      <c r="AR35" s="609">
        <v>0</v>
      </c>
      <c r="AS35" s="609">
        <v>0</v>
      </c>
      <c r="AT35" s="609">
        <v>0</v>
      </c>
      <c r="AU35" s="609">
        <v>0</v>
      </c>
      <c r="AV35" s="609">
        <v>0</v>
      </c>
      <c r="AW35" s="615">
        <v>0</v>
      </c>
      <c r="AX35" s="615">
        <v>0</v>
      </c>
      <c r="AY35" s="615">
        <v>0</v>
      </c>
      <c r="AZ35" s="615">
        <v>0</v>
      </c>
      <c r="BA35" s="615">
        <v>0</v>
      </c>
      <c r="BB35" s="615">
        <v>0</v>
      </c>
      <c r="BC35" s="615">
        <v>0</v>
      </c>
      <c r="BD35" s="615">
        <v>0</v>
      </c>
      <c r="BE35" s="615">
        <v>0</v>
      </c>
      <c r="BF35" s="615">
        <v>0</v>
      </c>
      <c r="BG35" s="615">
        <v>0</v>
      </c>
      <c r="BH35" s="615">
        <v>0</v>
      </c>
      <c r="BI35" s="615">
        <v>0</v>
      </c>
      <c r="BJ35" s="615">
        <v>0</v>
      </c>
      <c r="BK35" s="615">
        <v>0</v>
      </c>
      <c r="BL35" s="615">
        <v>0</v>
      </c>
      <c r="BM35" s="615">
        <v>0</v>
      </c>
      <c r="BN35" s="615">
        <v>0</v>
      </c>
      <c r="BO35" s="615">
        <v>0</v>
      </c>
      <c r="BP35" s="615">
        <v>0</v>
      </c>
      <c r="BQ35" s="615">
        <v>0</v>
      </c>
      <c r="BR35" s="615">
        <v>0</v>
      </c>
      <c r="BS35" s="615">
        <v>0</v>
      </c>
      <c r="BT35" s="615">
        <v>0</v>
      </c>
      <c r="BU35" s="615">
        <v>0</v>
      </c>
      <c r="BV35" s="615">
        <v>0</v>
      </c>
      <c r="BW35" s="615">
        <v>0</v>
      </c>
      <c r="BX35" s="607">
        <f t="shared" si="0"/>
        <v>0</v>
      </c>
    </row>
    <row r="36" spans="1:76" s="612" customFormat="1" ht="11.25" customHeight="1" x14ac:dyDescent="0.2">
      <c r="A36" s="905"/>
      <c r="B36" s="610" t="s">
        <v>979</v>
      </c>
      <c r="C36" s="634" t="s">
        <v>1792</v>
      </c>
      <c r="D36" s="609">
        <v>0</v>
      </c>
      <c r="E36" s="609">
        <v>0</v>
      </c>
      <c r="F36" s="609" t="s">
        <v>1128</v>
      </c>
      <c r="G36" s="609" t="s">
        <v>1128</v>
      </c>
      <c r="H36" s="585">
        <v>0</v>
      </c>
      <c r="I36" s="609" t="s">
        <v>1128</v>
      </c>
      <c r="J36" s="609" t="s">
        <v>1128</v>
      </c>
      <c r="K36" s="609">
        <v>0</v>
      </c>
      <c r="L36" s="609">
        <v>0</v>
      </c>
      <c r="M36" s="609">
        <v>0</v>
      </c>
      <c r="N36" s="609">
        <v>0</v>
      </c>
      <c r="O36" s="609">
        <v>0</v>
      </c>
      <c r="P36" s="609">
        <v>0</v>
      </c>
      <c r="Q36" s="609">
        <v>0</v>
      </c>
      <c r="R36" s="609">
        <v>0</v>
      </c>
      <c r="S36" s="609">
        <v>0</v>
      </c>
      <c r="T36" s="609">
        <v>0</v>
      </c>
      <c r="U36" s="609">
        <v>0</v>
      </c>
      <c r="V36" s="609">
        <v>0</v>
      </c>
      <c r="W36" s="609">
        <v>0</v>
      </c>
      <c r="X36" s="609">
        <v>0</v>
      </c>
      <c r="Y36" s="609">
        <v>0</v>
      </c>
      <c r="Z36" s="609">
        <v>0</v>
      </c>
      <c r="AA36" s="609">
        <v>0</v>
      </c>
      <c r="AB36" s="609">
        <v>0</v>
      </c>
      <c r="AC36" s="609">
        <v>0</v>
      </c>
      <c r="AD36" s="609">
        <v>0</v>
      </c>
      <c r="AE36" s="609">
        <v>0</v>
      </c>
      <c r="AF36" s="609">
        <v>0</v>
      </c>
      <c r="AG36" s="609">
        <v>0</v>
      </c>
      <c r="AH36" s="609">
        <v>0</v>
      </c>
      <c r="AI36" s="609">
        <v>0</v>
      </c>
      <c r="AJ36" s="609">
        <v>0</v>
      </c>
      <c r="AK36" s="609">
        <v>0</v>
      </c>
      <c r="AL36" s="609">
        <v>0</v>
      </c>
      <c r="AM36" s="609">
        <v>0</v>
      </c>
      <c r="AN36" s="609">
        <v>0</v>
      </c>
      <c r="AO36" s="609">
        <v>0</v>
      </c>
      <c r="AP36" s="609">
        <v>0</v>
      </c>
      <c r="AQ36" s="609">
        <v>0</v>
      </c>
      <c r="AR36" s="609">
        <v>0</v>
      </c>
      <c r="AS36" s="609">
        <v>0</v>
      </c>
      <c r="AT36" s="609">
        <v>0</v>
      </c>
      <c r="AU36" s="609">
        <v>0</v>
      </c>
      <c r="AV36" s="609">
        <v>0</v>
      </c>
      <c r="AW36" s="615">
        <v>0</v>
      </c>
      <c r="AX36" s="615">
        <v>0</v>
      </c>
      <c r="AY36" s="615">
        <v>0</v>
      </c>
      <c r="AZ36" s="615">
        <v>0</v>
      </c>
      <c r="BA36" s="615">
        <v>0</v>
      </c>
      <c r="BB36" s="615">
        <v>0</v>
      </c>
      <c r="BC36" s="615">
        <v>0</v>
      </c>
      <c r="BD36" s="615">
        <v>0</v>
      </c>
      <c r="BE36" s="615">
        <v>0</v>
      </c>
      <c r="BF36" s="615">
        <v>0</v>
      </c>
      <c r="BG36" s="615">
        <v>0</v>
      </c>
      <c r="BH36" s="615">
        <v>0</v>
      </c>
      <c r="BI36" s="615">
        <v>0</v>
      </c>
      <c r="BJ36" s="615">
        <v>0</v>
      </c>
      <c r="BK36" s="615">
        <v>0</v>
      </c>
      <c r="BL36" s="615">
        <v>0</v>
      </c>
      <c r="BM36" s="615">
        <v>0</v>
      </c>
      <c r="BN36" s="615">
        <v>0</v>
      </c>
      <c r="BO36" s="615">
        <v>0</v>
      </c>
      <c r="BP36" s="615">
        <v>0</v>
      </c>
      <c r="BQ36" s="615">
        <v>0</v>
      </c>
      <c r="BR36" s="615">
        <v>0</v>
      </c>
      <c r="BS36" s="615">
        <v>0</v>
      </c>
      <c r="BT36" s="615">
        <v>0</v>
      </c>
      <c r="BU36" s="615">
        <v>0</v>
      </c>
      <c r="BV36" s="615">
        <v>0</v>
      </c>
      <c r="BW36" s="615">
        <v>0</v>
      </c>
      <c r="BX36" s="607">
        <f t="shared" si="0"/>
        <v>0</v>
      </c>
    </row>
    <row r="37" spans="1:76" s="612" customFormat="1" ht="11.25" customHeight="1" x14ac:dyDescent="0.2">
      <c r="A37" s="905"/>
      <c r="B37" s="610" t="s">
        <v>2678</v>
      </c>
      <c r="C37" s="634" t="s">
        <v>1793</v>
      </c>
      <c r="D37" s="609">
        <v>0</v>
      </c>
      <c r="E37" s="609">
        <v>0</v>
      </c>
      <c r="F37" s="609">
        <v>0</v>
      </c>
      <c r="G37" s="609">
        <v>0</v>
      </c>
      <c r="H37" s="585">
        <v>0</v>
      </c>
      <c r="I37" s="609">
        <v>0</v>
      </c>
      <c r="J37" s="609">
        <v>0</v>
      </c>
      <c r="K37" s="609">
        <v>0</v>
      </c>
      <c r="L37" s="609">
        <v>0</v>
      </c>
      <c r="M37" s="609">
        <v>0</v>
      </c>
      <c r="N37" s="609">
        <v>0</v>
      </c>
      <c r="O37" s="609">
        <v>0</v>
      </c>
      <c r="P37" s="609">
        <v>0</v>
      </c>
      <c r="Q37" s="609">
        <v>0</v>
      </c>
      <c r="R37" s="609">
        <v>0</v>
      </c>
      <c r="S37" s="609">
        <v>0</v>
      </c>
      <c r="T37" s="609">
        <v>0</v>
      </c>
      <c r="U37" s="609">
        <v>0</v>
      </c>
      <c r="V37" s="609">
        <v>0</v>
      </c>
      <c r="W37" s="609">
        <v>0</v>
      </c>
      <c r="X37" s="609">
        <v>0</v>
      </c>
      <c r="Y37" s="609">
        <v>0</v>
      </c>
      <c r="Z37" s="609">
        <v>0</v>
      </c>
      <c r="AA37" s="609">
        <v>0</v>
      </c>
      <c r="AB37" s="609">
        <v>0</v>
      </c>
      <c r="AC37" s="609">
        <v>0</v>
      </c>
      <c r="AD37" s="609">
        <v>0</v>
      </c>
      <c r="AE37" s="609">
        <v>0</v>
      </c>
      <c r="AF37" s="609">
        <v>0</v>
      </c>
      <c r="AG37" s="609">
        <v>0</v>
      </c>
      <c r="AH37" s="609">
        <v>0</v>
      </c>
      <c r="AI37" s="609">
        <v>0</v>
      </c>
      <c r="AJ37" s="609">
        <v>0</v>
      </c>
      <c r="AK37" s="609">
        <v>0</v>
      </c>
      <c r="AL37" s="609">
        <v>0</v>
      </c>
      <c r="AM37" s="609">
        <v>0</v>
      </c>
      <c r="AN37" s="609">
        <v>0</v>
      </c>
      <c r="AO37" s="609">
        <v>0</v>
      </c>
      <c r="AP37" s="609">
        <v>0</v>
      </c>
      <c r="AQ37" s="609">
        <v>0</v>
      </c>
      <c r="AR37" s="609">
        <v>0</v>
      </c>
      <c r="AS37" s="609">
        <v>0</v>
      </c>
      <c r="AT37" s="609">
        <v>0</v>
      </c>
      <c r="AU37" s="609">
        <v>0</v>
      </c>
      <c r="AV37" s="609">
        <v>0</v>
      </c>
      <c r="AW37" s="615">
        <v>0</v>
      </c>
      <c r="AX37" s="615">
        <v>0</v>
      </c>
      <c r="AY37" s="615">
        <v>0</v>
      </c>
      <c r="AZ37" s="615">
        <v>0</v>
      </c>
      <c r="BA37" s="615">
        <v>0</v>
      </c>
      <c r="BB37" s="615">
        <v>0</v>
      </c>
      <c r="BC37" s="615">
        <v>0</v>
      </c>
      <c r="BD37" s="615">
        <v>0</v>
      </c>
      <c r="BE37" s="615">
        <v>0</v>
      </c>
      <c r="BF37" s="615">
        <v>0</v>
      </c>
      <c r="BG37" s="615">
        <v>0</v>
      </c>
      <c r="BH37" s="615">
        <v>0</v>
      </c>
      <c r="BI37" s="615">
        <v>0</v>
      </c>
      <c r="BJ37" s="615">
        <v>0</v>
      </c>
      <c r="BK37" s="615">
        <v>0</v>
      </c>
      <c r="BL37" s="615">
        <v>0</v>
      </c>
      <c r="BM37" s="615">
        <v>0</v>
      </c>
      <c r="BN37" s="615">
        <v>0</v>
      </c>
      <c r="BO37" s="615">
        <v>0</v>
      </c>
      <c r="BP37" s="615">
        <v>0</v>
      </c>
      <c r="BQ37" s="615">
        <v>0</v>
      </c>
      <c r="BR37" s="615">
        <v>0</v>
      </c>
      <c r="BS37" s="615">
        <v>0</v>
      </c>
      <c r="BT37" s="615">
        <v>0</v>
      </c>
      <c r="BU37" s="615">
        <v>0</v>
      </c>
      <c r="BV37" s="615">
        <v>0</v>
      </c>
      <c r="BW37" s="615">
        <v>0</v>
      </c>
      <c r="BX37" s="607">
        <f t="shared" si="0"/>
        <v>0</v>
      </c>
    </row>
    <row r="38" spans="1:76" s="612" customFormat="1" ht="11.25" customHeight="1" x14ac:dyDescent="0.2">
      <c r="A38" s="905"/>
      <c r="B38" s="610" t="s">
        <v>3425</v>
      </c>
      <c r="C38" s="634" t="s">
        <v>3424</v>
      </c>
      <c r="D38" s="609">
        <v>0</v>
      </c>
      <c r="E38" s="609">
        <v>0</v>
      </c>
      <c r="F38" s="585">
        <v>0</v>
      </c>
      <c r="G38" s="612">
        <v>0</v>
      </c>
      <c r="H38" s="609">
        <v>0</v>
      </c>
      <c r="I38" s="609">
        <v>0</v>
      </c>
      <c r="J38" s="609">
        <v>0</v>
      </c>
      <c r="K38" s="609">
        <v>0</v>
      </c>
      <c r="L38" s="609">
        <v>0</v>
      </c>
      <c r="M38" s="609">
        <v>0</v>
      </c>
      <c r="N38" s="609">
        <v>0</v>
      </c>
      <c r="O38" s="609">
        <v>0</v>
      </c>
      <c r="P38" s="609">
        <v>0</v>
      </c>
      <c r="Q38" s="609">
        <v>0</v>
      </c>
      <c r="R38" s="609">
        <v>0</v>
      </c>
      <c r="S38" s="609">
        <v>0</v>
      </c>
      <c r="T38" s="609">
        <v>0</v>
      </c>
      <c r="U38" s="609">
        <v>0</v>
      </c>
      <c r="V38" s="609">
        <v>0</v>
      </c>
      <c r="W38" s="609">
        <v>0</v>
      </c>
      <c r="X38" s="609">
        <v>0</v>
      </c>
      <c r="Y38" s="609">
        <v>0</v>
      </c>
      <c r="Z38" s="609">
        <v>0</v>
      </c>
      <c r="AA38" s="609">
        <v>0</v>
      </c>
      <c r="AB38" s="609">
        <v>0</v>
      </c>
      <c r="AC38" s="609">
        <v>0</v>
      </c>
      <c r="AD38" s="609">
        <v>0</v>
      </c>
      <c r="AE38" s="609">
        <v>0</v>
      </c>
      <c r="AF38" s="609">
        <v>0</v>
      </c>
      <c r="AG38" s="609">
        <v>0</v>
      </c>
      <c r="AH38" s="609">
        <v>0</v>
      </c>
      <c r="AI38" s="609">
        <v>0</v>
      </c>
      <c r="AJ38" s="609">
        <v>0</v>
      </c>
      <c r="AK38" s="609">
        <v>0</v>
      </c>
      <c r="AL38" s="609">
        <v>0</v>
      </c>
      <c r="AM38" s="609">
        <v>0</v>
      </c>
      <c r="AN38" s="609">
        <v>0</v>
      </c>
      <c r="AO38" s="609">
        <v>0</v>
      </c>
      <c r="AP38" s="609">
        <v>0</v>
      </c>
      <c r="AQ38" s="609">
        <v>0</v>
      </c>
      <c r="AR38" s="609">
        <v>0</v>
      </c>
      <c r="AS38" s="609">
        <v>0</v>
      </c>
      <c r="AT38" s="609">
        <v>1191026</v>
      </c>
      <c r="AU38" s="609">
        <v>0</v>
      </c>
      <c r="AV38" s="609">
        <v>0</v>
      </c>
      <c r="AW38" s="615">
        <v>0</v>
      </c>
      <c r="AX38" s="615">
        <v>0</v>
      </c>
      <c r="AY38" s="615">
        <v>0</v>
      </c>
      <c r="AZ38" s="615">
        <v>0</v>
      </c>
      <c r="BA38" s="615">
        <v>0</v>
      </c>
      <c r="BB38" s="615">
        <v>0</v>
      </c>
      <c r="BC38" s="615">
        <v>0</v>
      </c>
      <c r="BD38" s="615">
        <v>0</v>
      </c>
      <c r="BE38" s="615">
        <v>0</v>
      </c>
      <c r="BF38" s="615">
        <v>0</v>
      </c>
      <c r="BG38" s="615">
        <v>0</v>
      </c>
      <c r="BH38" s="615">
        <v>0</v>
      </c>
      <c r="BI38" s="615">
        <v>0</v>
      </c>
      <c r="BJ38" s="615">
        <v>0</v>
      </c>
      <c r="BK38" s="615">
        <v>0</v>
      </c>
      <c r="BL38" s="615">
        <v>0</v>
      </c>
      <c r="BM38" s="615">
        <v>0</v>
      </c>
      <c r="BN38" s="615">
        <v>0</v>
      </c>
      <c r="BO38" s="615">
        <v>0</v>
      </c>
      <c r="BP38" s="615">
        <v>0</v>
      </c>
      <c r="BQ38" s="615">
        <v>0</v>
      </c>
      <c r="BR38" s="615">
        <v>0</v>
      </c>
      <c r="BS38" s="615">
        <v>0</v>
      </c>
      <c r="BT38" s="615">
        <v>0</v>
      </c>
      <c r="BU38" s="615">
        <v>0</v>
      </c>
      <c r="BV38" s="615">
        <v>0</v>
      </c>
      <c r="BW38" s="615">
        <v>0</v>
      </c>
      <c r="BX38" s="607">
        <f t="shared" si="0"/>
        <v>1191026</v>
      </c>
    </row>
    <row r="39" spans="1:76" s="612" customFormat="1" ht="11.25" customHeight="1" x14ac:dyDescent="0.2">
      <c r="A39" s="905"/>
      <c r="B39" s="610" t="s">
        <v>2608</v>
      </c>
      <c r="C39" s="634" t="s">
        <v>1794</v>
      </c>
      <c r="D39" s="609">
        <v>0</v>
      </c>
      <c r="E39" s="609">
        <v>0</v>
      </c>
      <c r="F39" s="609">
        <v>0</v>
      </c>
      <c r="G39" s="609">
        <v>0</v>
      </c>
      <c r="H39" s="585">
        <v>0</v>
      </c>
      <c r="I39" s="609">
        <v>0</v>
      </c>
      <c r="J39" s="609">
        <v>0</v>
      </c>
      <c r="K39" s="609">
        <v>0</v>
      </c>
      <c r="L39" s="609">
        <v>0</v>
      </c>
      <c r="M39" s="609">
        <v>0</v>
      </c>
      <c r="N39" s="609">
        <v>0</v>
      </c>
      <c r="O39" s="609">
        <v>0</v>
      </c>
      <c r="P39" s="609">
        <v>0</v>
      </c>
      <c r="Q39" s="609">
        <v>0</v>
      </c>
      <c r="R39" s="609">
        <v>0</v>
      </c>
      <c r="S39" s="609">
        <v>0</v>
      </c>
      <c r="T39" s="609">
        <v>0</v>
      </c>
      <c r="U39" s="609">
        <v>0</v>
      </c>
      <c r="V39" s="609">
        <v>0</v>
      </c>
      <c r="W39" s="609">
        <v>0</v>
      </c>
      <c r="X39" s="609">
        <v>0</v>
      </c>
      <c r="Y39" s="609">
        <v>0</v>
      </c>
      <c r="Z39" s="609">
        <v>0</v>
      </c>
      <c r="AA39" s="609">
        <v>0</v>
      </c>
      <c r="AB39" s="609">
        <v>0</v>
      </c>
      <c r="AC39" s="609">
        <v>0</v>
      </c>
      <c r="AD39" s="609">
        <v>0</v>
      </c>
      <c r="AE39" s="609">
        <v>0</v>
      </c>
      <c r="AF39" s="609">
        <v>0</v>
      </c>
      <c r="AG39" s="609">
        <v>0</v>
      </c>
      <c r="AH39" s="609">
        <v>0</v>
      </c>
      <c r="AI39" s="609">
        <v>0</v>
      </c>
      <c r="AJ39" s="609">
        <v>0</v>
      </c>
      <c r="AK39" s="609">
        <v>0</v>
      </c>
      <c r="AL39" s="609">
        <v>0</v>
      </c>
      <c r="AM39" s="609">
        <v>0</v>
      </c>
      <c r="AN39" s="609">
        <v>0</v>
      </c>
      <c r="AO39" s="609">
        <v>0</v>
      </c>
      <c r="AP39" s="609">
        <v>0</v>
      </c>
      <c r="AQ39" s="609">
        <v>2995326</v>
      </c>
      <c r="AR39" s="609">
        <v>0</v>
      </c>
      <c r="AS39" s="609">
        <v>0</v>
      </c>
      <c r="AT39" s="609">
        <v>0</v>
      </c>
      <c r="AU39" s="609">
        <v>0</v>
      </c>
      <c r="AV39" s="609">
        <v>0</v>
      </c>
      <c r="AW39" s="615">
        <v>0</v>
      </c>
      <c r="AX39" s="615">
        <v>0</v>
      </c>
      <c r="AY39" s="615">
        <v>0</v>
      </c>
      <c r="AZ39" s="615">
        <v>0</v>
      </c>
      <c r="BA39" s="615">
        <v>0</v>
      </c>
      <c r="BB39" s="615">
        <v>0</v>
      </c>
      <c r="BC39" s="615">
        <v>0</v>
      </c>
      <c r="BD39" s="615">
        <v>0</v>
      </c>
      <c r="BE39" s="615">
        <v>0</v>
      </c>
      <c r="BF39" s="615">
        <v>0</v>
      </c>
      <c r="BG39" s="615">
        <v>0</v>
      </c>
      <c r="BH39" s="615">
        <v>0</v>
      </c>
      <c r="BI39" s="615">
        <v>0</v>
      </c>
      <c r="BJ39" s="615">
        <v>0</v>
      </c>
      <c r="BK39" s="615">
        <v>0</v>
      </c>
      <c r="BL39" s="615">
        <v>0</v>
      </c>
      <c r="BM39" s="615">
        <v>0</v>
      </c>
      <c r="BN39" s="615">
        <v>0</v>
      </c>
      <c r="BO39" s="615">
        <v>0</v>
      </c>
      <c r="BP39" s="615">
        <v>0</v>
      </c>
      <c r="BQ39" s="615">
        <v>0</v>
      </c>
      <c r="BR39" s="615">
        <v>0</v>
      </c>
      <c r="BS39" s="615">
        <v>0</v>
      </c>
      <c r="BT39" s="615">
        <v>0</v>
      </c>
      <c r="BU39" s="615">
        <v>0</v>
      </c>
      <c r="BV39" s="615">
        <v>0</v>
      </c>
      <c r="BW39" s="615">
        <v>0</v>
      </c>
      <c r="BX39" s="607">
        <f t="shared" si="0"/>
        <v>2995326</v>
      </c>
    </row>
    <row r="40" spans="1:76" s="612" customFormat="1" ht="11.25" customHeight="1" x14ac:dyDescent="0.2">
      <c r="A40" s="905"/>
      <c r="B40" s="610" t="s">
        <v>2603</v>
      </c>
      <c r="C40" s="634" t="s">
        <v>2238</v>
      </c>
      <c r="D40" s="609">
        <v>0</v>
      </c>
      <c r="E40" s="609">
        <v>0</v>
      </c>
      <c r="F40" s="609">
        <v>0</v>
      </c>
      <c r="G40" s="609">
        <v>0</v>
      </c>
      <c r="H40" s="585">
        <v>0</v>
      </c>
      <c r="I40" s="609">
        <v>0</v>
      </c>
      <c r="J40" s="609">
        <v>0</v>
      </c>
      <c r="K40" s="609">
        <v>0</v>
      </c>
      <c r="L40" s="609">
        <v>0</v>
      </c>
      <c r="M40" s="609">
        <v>0</v>
      </c>
      <c r="N40" s="609">
        <v>0</v>
      </c>
      <c r="O40" s="609">
        <v>0</v>
      </c>
      <c r="P40" s="609">
        <v>0</v>
      </c>
      <c r="Q40" s="609">
        <v>0</v>
      </c>
      <c r="R40" s="609">
        <v>0</v>
      </c>
      <c r="S40" s="609">
        <v>0</v>
      </c>
      <c r="T40" s="609">
        <v>0</v>
      </c>
      <c r="U40" s="609">
        <v>0</v>
      </c>
      <c r="V40" s="609">
        <v>0</v>
      </c>
      <c r="W40" s="609">
        <v>0</v>
      </c>
      <c r="X40" s="609">
        <v>0</v>
      </c>
      <c r="Y40" s="609">
        <v>0</v>
      </c>
      <c r="Z40" s="609">
        <v>0</v>
      </c>
      <c r="AA40" s="609">
        <v>0</v>
      </c>
      <c r="AB40" s="609">
        <v>0</v>
      </c>
      <c r="AC40" s="609">
        <v>0</v>
      </c>
      <c r="AD40" s="609">
        <v>0</v>
      </c>
      <c r="AE40" s="609">
        <v>0</v>
      </c>
      <c r="AF40" s="609">
        <v>0</v>
      </c>
      <c r="AG40" s="609">
        <v>0</v>
      </c>
      <c r="AH40" s="609">
        <v>0</v>
      </c>
      <c r="AI40" s="609">
        <v>0</v>
      </c>
      <c r="AJ40" s="609">
        <v>0</v>
      </c>
      <c r="AK40" s="609">
        <v>0</v>
      </c>
      <c r="AL40" s="609">
        <v>0</v>
      </c>
      <c r="AM40" s="609">
        <v>0</v>
      </c>
      <c r="AN40" s="609">
        <v>0</v>
      </c>
      <c r="AO40" s="609">
        <v>0</v>
      </c>
      <c r="AP40" s="609">
        <v>0</v>
      </c>
      <c r="AQ40" s="609">
        <v>81079</v>
      </c>
      <c r="AR40" s="609">
        <v>0</v>
      </c>
      <c r="AS40" s="609">
        <v>0</v>
      </c>
      <c r="AT40" s="609">
        <v>0</v>
      </c>
      <c r="AU40" s="609">
        <v>0</v>
      </c>
      <c r="AV40" s="609">
        <v>0</v>
      </c>
      <c r="AW40" s="615">
        <v>0</v>
      </c>
      <c r="AX40" s="615">
        <v>0</v>
      </c>
      <c r="AY40" s="615">
        <v>0</v>
      </c>
      <c r="AZ40" s="615">
        <v>0</v>
      </c>
      <c r="BA40" s="615">
        <v>0</v>
      </c>
      <c r="BB40" s="615">
        <v>0</v>
      </c>
      <c r="BC40" s="615">
        <v>0</v>
      </c>
      <c r="BD40" s="615">
        <v>0</v>
      </c>
      <c r="BE40" s="615">
        <v>0</v>
      </c>
      <c r="BF40" s="615">
        <v>0</v>
      </c>
      <c r="BG40" s="615">
        <v>0</v>
      </c>
      <c r="BH40" s="615">
        <v>0</v>
      </c>
      <c r="BI40" s="615">
        <v>0</v>
      </c>
      <c r="BJ40" s="615">
        <v>0</v>
      </c>
      <c r="BK40" s="615">
        <v>0</v>
      </c>
      <c r="BL40" s="615">
        <v>0</v>
      </c>
      <c r="BM40" s="615">
        <v>0</v>
      </c>
      <c r="BN40" s="615">
        <v>0</v>
      </c>
      <c r="BO40" s="615">
        <v>0</v>
      </c>
      <c r="BP40" s="615">
        <v>0</v>
      </c>
      <c r="BQ40" s="615">
        <v>0</v>
      </c>
      <c r="BR40" s="615">
        <v>0</v>
      </c>
      <c r="BS40" s="615">
        <v>0</v>
      </c>
      <c r="BT40" s="615">
        <v>0</v>
      </c>
      <c r="BU40" s="615">
        <v>0</v>
      </c>
      <c r="BV40" s="615">
        <v>0</v>
      </c>
      <c r="BW40" s="615">
        <v>0</v>
      </c>
      <c r="BX40" s="607">
        <f t="shared" si="0"/>
        <v>81079</v>
      </c>
    </row>
    <row r="41" spans="1:76" s="612" customFormat="1" ht="11.25" customHeight="1" x14ac:dyDescent="0.2">
      <c r="A41" s="905"/>
      <c r="B41" s="610" t="s">
        <v>3131</v>
      </c>
      <c r="C41" s="634" t="s">
        <v>2289</v>
      </c>
      <c r="D41" s="609">
        <v>0</v>
      </c>
      <c r="E41" s="609">
        <v>0</v>
      </c>
      <c r="F41" s="609">
        <v>0</v>
      </c>
      <c r="G41" s="609">
        <v>0</v>
      </c>
      <c r="H41" s="585">
        <v>0</v>
      </c>
      <c r="I41" s="609">
        <v>0</v>
      </c>
      <c r="J41" s="609">
        <v>0</v>
      </c>
      <c r="K41" s="609">
        <v>0</v>
      </c>
      <c r="L41" s="609">
        <v>0</v>
      </c>
      <c r="M41" s="609">
        <v>0</v>
      </c>
      <c r="N41" s="609">
        <v>0</v>
      </c>
      <c r="O41" s="609">
        <v>0</v>
      </c>
      <c r="P41" s="609">
        <v>0</v>
      </c>
      <c r="Q41" s="609">
        <v>0</v>
      </c>
      <c r="R41" s="609">
        <v>0</v>
      </c>
      <c r="S41" s="609">
        <v>0</v>
      </c>
      <c r="T41" s="609">
        <v>0</v>
      </c>
      <c r="U41" s="609">
        <v>0</v>
      </c>
      <c r="V41" s="609">
        <v>0</v>
      </c>
      <c r="W41" s="609">
        <v>0</v>
      </c>
      <c r="X41" s="609">
        <v>0</v>
      </c>
      <c r="Y41" s="609">
        <v>0</v>
      </c>
      <c r="Z41" s="609">
        <v>0</v>
      </c>
      <c r="AA41" s="609">
        <v>0</v>
      </c>
      <c r="AB41" s="609">
        <v>0</v>
      </c>
      <c r="AC41" s="609">
        <v>0</v>
      </c>
      <c r="AD41" s="609">
        <v>0</v>
      </c>
      <c r="AE41" s="609">
        <v>0</v>
      </c>
      <c r="AF41" s="609">
        <v>0</v>
      </c>
      <c r="AG41" s="609">
        <v>0</v>
      </c>
      <c r="AH41" s="609">
        <v>0</v>
      </c>
      <c r="AI41" s="609">
        <v>0</v>
      </c>
      <c r="AJ41" s="609">
        <v>0</v>
      </c>
      <c r="AK41" s="609">
        <v>0</v>
      </c>
      <c r="AL41" s="609">
        <v>0</v>
      </c>
      <c r="AM41" s="609">
        <v>0</v>
      </c>
      <c r="AN41" s="609">
        <v>0</v>
      </c>
      <c r="AO41" s="609">
        <v>0</v>
      </c>
      <c r="AP41" s="609">
        <v>0</v>
      </c>
      <c r="AQ41" s="609">
        <v>0</v>
      </c>
      <c r="AR41" s="609">
        <v>0</v>
      </c>
      <c r="AS41" s="609">
        <v>0</v>
      </c>
      <c r="AT41" s="609">
        <v>0</v>
      </c>
      <c r="AU41" s="609">
        <v>0</v>
      </c>
      <c r="AV41" s="609">
        <v>0</v>
      </c>
      <c r="AW41" s="615">
        <v>0</v>
      </c>
      <c r="AX41" s="615">
        <v>0</v>
      </c>
      <c r="AY41" s="615">
        <v>0</v>
      </c>
      <c r="AZ41" s="615">
        <v>0</v>
      </c>
      <c r="BA41" s="615">
        <v>0</v>
      </c>
      <c r="BB41" s="615">
        <v>0</v>
      </c>
      <c r="BC41" s="615">
        <v>0</v>
      </c>
      <c r="BD41" s="615">
        <v>0</v>
      </c>
      <c r="BE41" s="615">
        <v>0</v>
      </c>
      <c r="BF41" s="615">
        <v>0</v>
      </c>
      <c r="BG41" s="615">
        <v>0</v>
      </c>
      <c r="BH41" s="615">
        <v>0</v>
      </c>
      <c r="BI41" s="615">
        <v>0</v>
      </c>
      <c r="BJ41" s="615">
        <v>0</v>
      </c>
      <c r="BK41" s="615">
        <v>0</v>
      </c>
      <c r="BL41" s="615">
        <v>0</v>
      </c>
      <c r="BM41" s="615">
        <v>0</v>
      </c>
      <c r="BN41" s="615">
        <v>0</v>
      </c>
      <c r="BO41" s="615">
        <v>0</v>
      </c>
      <c r="BP41" s="615">
        <v>0</v>
      </c>
      <c r="BQ41" s="615">
        <v>0</v>
      </c>
      <c r="BR41" s="615">
        <v>0</v>
      </c>
      <c r="BS41" s="615">
        <v>0</v>
      </c>
      <c r="BT41" s="615">
        <v>0</v>
      </c>
      <c r="BU41" s="615">
        <v>0</v>
      </c>
      <c r="BV41" s="615">
        <v>0</v>
      </c>
      <c r="BW41" s="615">
        <v>0</v>
      </c>
      <c r="BX41" s="607">
        <f t="shared" si="0"/>
        <v>0</v>
      </c>
    </row>
    <row r="42" spans="1:76" s="612" customFormat="1" ht="11.25" customHeight="1" x14ac:dyDescent="0.2">
      <c r="A42" s="905"/>
      <c r="B42" s="610" t="s">
        <v>873</v>
      </c>
      <c r="C42" s="634" t="s">
        <v>1795</v>
      </c>
      <c r="D42" s="609">
        <v>0</v>
      </c>
      <c r="E42" s="609">
        <v>0</v>
      </c>
      <c r="F42" s="609">
        <v>0</v>
      </c>
      <c r="G42" s="609">
        <v>0</v>
      </c>
      <c r="H42" s="585">
        <v>0</v>
      </c>
      <c r="I42" s="609">
        <v>0</v>
      </c>
      <c r="J42" s="609">
        <v>0</v>
      </c>
      <c r="K42" s="609">
        <v>0</v>
      </c>
      <c r="L42" s="609">
        <v>0</v>
      </c>
      <c r="M42" s="609">
        <v>0</v>
      </c>
      <c r="N42" s="609">
        <v>0</v>
      </c>
      <c r="O42" s="609">
        <v>0</v>
      </c>
      <c r="P42" s="609">
        <v>0</v>
      </c>
      <c r="Q42" s="609">
        <v>0</v>
      </c>
      <c r="R42" s="609">
        <v>0</v>
      </c>
      <c r="S42" s="609">
        <v>0</v>
      </c>
      <c r="T42" s="609">
        <v>0</v>
      </c>
      <c r="U42" s="609">
        <v>0</v>
      </c>
      <c r="V42" s="609">
        <v>0</v>
      </c>
      <c r="W42" s="609">
        <v>0</v>
      </c>
      <c r="X42" s="609">
        <v>0</v>
      </c>
      <c r="Y42" s="609">
        <v>0</v>
      </c>
      <c r="Z42" s="609">
        <v>0</v>
      </c>
      <c r="AA42" s="609">
        <v>0</v>
      </c>
      <c r="AB42" s="609">
        <v>0</v>
      </c>
      <c r="AC42" s="609">
        <v>0</v>
      </c>
      <c r="AD42" s="609">
        <v>0</v>
      </c>
      <c r="AE42" s="609">
        <v>0</v>
      </c>
      <c r="AF42" s="609">
        <v>0</v>
      </c>
      <c r="AG42" s="609">
        <v>0</v>
      </c>
      <c r="AH42" s="609">
        <v>0</v>
      </c>
      <c r="AI42" s="609">
        <v>0</v>
      </c>
      <c r="AJ42" s="609">
        <v>0</v>
      </c>
      <c r="AK42" s="609">
        <v>0</v>
      </c>
      <c r="AL42" s="609">
        <v>0</v>
      </c>
      <c r="AM42" s="609">
        <v>0</v>
      </c>
      <c r="AN42" s="609">
        <v>0</v>
      </c>
      <c r="AO42" s="609">
        <v>0</v>
      </c>
      <c r="AP42" s="609">
        <v>0</v>
      </c>
      <c r="AQ42" s="609">
        <v>0</v>
      </c>
      <c r="AR42" s="609">
        <v>0</v>
      </c>
      <c r="AS42" s="609">
        <v>0</v>
      </c>
      <c r="AT42" s="609">
        <v>0</v>
      </c>
      <c r="AU42" s="609">
        <v>0</v>
      </c>
      <c r="AV42" s="609">
        <v>0</v>
      </c>
      <c r="AW42" s="615">
        <v>0</v>
      </c>
      <c r="AX42" s="615">
        <v>0</v>
      </c>
      <c r="AY42" s="615">
        <v>0</v>
      </c>
      <c r="AZ42" s="615">
        <v>0</v>
      </c>
      <c r="BA42" s="615">
        <v>0</v>
      </c>
      <c r="BB42" s="615">
        <v>0</v>
      </c>
      <c r="BC42" s="615">
        <v>0</v>
      </c>
      <c r="BD42" s="615">
        <v>0</v>
      </c>
      <c r="BE42" s="615">
        <v>0</v>
      </c>
      <c r="BF42" s="615">
        <v>0</v>
      </c>
      <c r="BG42" s="615">
        <v>0</v>
      </c>
      <c r="BH42" s="615">
        <v>0</v>
      </c>
      <c r="BI42" s="615">
        <v>0</v>
      </c>
      <c r="BJ42" s="615">
        <v>0</v>
      </c>
      <c r="BK42" s="615">
        <v>0</v>
      </c>
      <c r="BL42" s="615">
        <v>0</v>
      </c>
      <c r="BM42" s="615">
        <v>0</v>
      </c>
      <c r="BN42" s="615">
        <v>0</v>
      </c>
      <c r="BO42" s="615">
        <v>0</v>
      </c>
      <c r="BP42" s="615">
        <v>0</v>
      </c>
      <c r="BQ42" s="615">
        <v>0</v>
      </c>
      <c r="BR42" s="615">
        <v>0</v>
      </c>
      <c r="BS42" s="615">
        <v>0</v>
      </c>
      <c r="BT42" s="615">
        <v>0</v>
      </c>
      <c r="BU42" s="615">
        <v>0</v>
      </c>
      <c r="BV42" s="615">
        <v>0</v>
      </c>
      <c r="BW42" s="615">
        <v>0</v>
      </c>
      <c r="BX42" s="607">
        <f t="shared" si="0"/>
        <v>0</v>
      </c>
    </row>
    <row r="43" spans="1:76" s="612" customFormat="1" ht="11.25" customHeight="1" x14ac:dyDescent="0.2">
      <c r="A43" s="905"/>
      <c r="B43" s="610" t="s">
        <v>872</v>
      </c>
      <c r="C43" s="634" t="s">
        <v>1796</v>
      </c>
      <c r="D43" s="609">
        <v>0</v>
      </c>
      <c r="E43" s="609">
        <v>0</v>
      </c>
      <c r="F43" s="609">
        <v>0</v>
      </c>
      <c r="G43" s="609">
        <v>0</v>
      </c>
      <c r="H43" s="585">
        <v>0</v>
      </c>
      <c r="I43" s="609">
        <v>0</v>
      </c>
      <c r="J43" s="609">
        <v>0</v>
      </c>
      <c r="K43" s="609">
        <v>0</v>
      </c>
      <c r="L43" s="609">
        <v>0</v>
      </c>
      <c r="M43" s="609">
        <v>0</v>
      </c>
      <c r="N43" s="609">
        <v>0</v>
      </c>
      <c r="O43" s="609">
        <v>0</v>
      </c>
      <c r="P43" s="609">
        <v>0</v>
      </c>
      <c r="Q43" s="609">
        <v>0</v>
      </c>
      <c r="R43" s="609">
        <v>0</v>
      </c>
      <c r="S43" s="609">
        <v>0</v>
      </c>
      <c r="T43" s="609">
        <v>0</v>
      </c>
      <c r="U43" s="609">
        <v>0</v>
      </c>
      <c r="V43" s="609">
        <v>0</v>
      </c>
      <c r="W43" s="609">
        <v>0</v>
      </c>
      <c r="X43" s="609">
        <v>0</v>
      </c>
      <c r="Y43" s="609">
        <v>0</v>
      </c>
      <c r="Z43" s="609">
        <v>0</v>
      </c>
      <c r="AA43" s="609">
        <v>0</v>
      </c>
      <c r="AB43" s="609">
        <v>0</v>
      </c>
      <c r="AC43" s="609">
        <v>0</v>
      </c>
      <c r="AD43" s="609">
        <v>0</v>
      </c>
      <c r="AE43" s="609">
        <v>0</v>
      </c>
      <c r="AF43" s="609">
        <v>0</v>
      </c>
      <c r="AG43" s="609">
        <v>0</v>
      </c>
      <c r="AH43" s="609">
        <v>0</v>
      </c>
      <c r="AI43" s="609">
        <v>0</v>
      </c>
      <c r="AJ43" s="609">
        <v>0</v>
      </c>
      <c r="AK43" s="609">
        <v>0</v>
      </c>
      <c r="AL43" s="609">
        <v>0</v>
      </c>
      <c r="AM43" s="609">
        <v>0</v>
      </c>
      <c r="AN43" s="609">
        <v>0</v>
      </c>
      <c r="AO43" s="609">
        <v>0</v>
      </c>
      <c r="AP43" s="609">
        <v>0</v>
      </c>
      <c r="AQ43" s="609">
        <v>0</v>
      </c>
      <c r="AR43" s="609">
        <v>0</v>
      </c>
      <c r="AS43" s="609">
        <v>0</v>
      </c>
      <c r="AT43" s="609">
        <v>0</v>
      </c>
      <c r="AU43" s="609">
        <v>0</v>
      </c>
      <c r="AV43" s="609">
        <v>0</v>
      </c>
      <c r="AW43" s="615">
        <v>0</v>
      </c>
      <c r="AX43" s="615">
        <v>0</v>
      </c>
      <c r="AY43" s="615">
        <v>0</v>
      </c>
      <c r="AZ43" s="615">
        <v>0</v>
      </c>
      <c r="BA43" s="615">
        <v>0</v>
      </c>
      <c r="BB43" s="615">
        <v>0</v>
      </c>
      <c r="BC43" s="615">
        <v>0</v>
      </c>
      <c r="BD43" s="615">
        <v>0</v>
      </c>
      <c r="BE43" s="615">
        <v>0</v>
      </c>
      <c r="BF43" s="615">
        <v>0</v>
      </c>
      <c r="BG43" s="615">
        <v>0</v>
      </c>
      <c r="BH43" s="615">
        <v>0</v>
      </c>
      <c r="BI43" s="615">
        <v>0</v>
      </c>
      <c r="BJ43" s="615">
        <v>0</v>
      </c>
      <c r="BK43" s="615">
        <v>0</v>
      </c>
      <c r="BL43" s="615">
        <v>0</v>
      </c>
      <c r="BM43" s="615">
        <v>0</v>
      </c>
      <c r="BN43" s="615">
        <v>0</v>
      </c>
      <c r="BO43" s="615">
        <v>0</v>
      </c>
      <c r="BP43" s="615">
        <v>0</v>
      </c>
      <c r="BQ43" s="615">
        <v>0</v>
      </c>
      <c r="BR43" s="615">
        <v>0</v>
      </c>
      <c r="BS43" s="615">
        <v>0</v>
      </c>
      <c r="BT43" s="615">
        <v>0</v>
      </c>
      <c r="BU43" s="615">
        <v>0</v>
      </c>
      <c r="BV43" s="615">
        <v>0</v>
      </c>
      <c r="BW43" s="615">
        <v>0</v>
      </c>
      <c r="BX43" s="607">
        <f t="shared" si="0"/>
        <v>0</v>
      </c>
    </row>
    <row r="44" spans="1:76" s="612" customFormat="1" ht="11.25" customHeight="1" x14ac:dyDescent="0.2">
      <c r="A44" s="905"/>
      <c r="B44" s="610" t="s">
        <v>1637</v>
      </c>
      <c r="C44" s="634" t="s">
        <v>1797</v>
      </c>
      <c r="D44" s="609">
        <v>0</v>
      </c>
      <c r="E44" s="609">
        <v>0</v>
      </c>
      <c r="F44" s="609">
        <v>0</v>
      </c>
      <c r="G44" s="609">
        <v>0</v>
      </c>
      <c r="H44" s="585">
        <v>0</v>
      </c>
      <c r="I44" s="609">
        <v>0</v>
      </c>
      <c r="J44" s="609">
        <v>0</v>
      </c>
      <c r="K44" s="609">
        <v>0</v>
      </c>
      <c r="L44" s="609">
        <v>0</v>
      </c>
      <c r="M44" s="609">
        <v>0</v>
      </c>
      <c r="N44" s="609">
        <v>0</v>
      </c>
      <c r="O44" s="609">
        <v>0</v>
      </c>
      <c r="P44" s="609">
        <v>0</v>
      </c>
      <c r="Q44" s="609">
        <v>0</v>
      </c>
      <c r="R44" s="609">
        <v>0</v>
      </c>
      <c r="S44" s="609">
        <v>0</v>
      </c>
      <c r="T44" s="609">
        <v>0</v>
      </c>
      <c r="U44" s="609">
        <v>0</v>
      </c>
      <c r="V44" s="609">
        <v>0</v>
      </c>
      <c r="W44" s="609">
        <v>0</v>
      </c>
      <c r="X44" s="609">
        <v>0</v>
      </c>
      <c r="Y44" s="609">
        <v>0</v>
      </c>
      <c r="Z44" s="609">
        <v>0</v>
      </c>
      <c r="AA44" s="609">
        <v>0</v>
      </c>
      <c r="AB44" s="609">
        <v>0</v>
      </c>
      <c r="AC44" s="609">
        <v>0</v>
      </c>
      <c r="AD44" s="609">
        <v>0</v>
      </c>
      <c r="AE44" s="609">
        <v>0</v>
      </c>
      <c r="AF44" s="609">
        <v>0</v>
      </c>
      <c r="AG44" s="609">
        <v>0</v>
      </c>
      <c r="AH44" s="609">
        <v>0</v>
      </c>
      <c r="AI44" s="609">
        <v>0</v>
      </c>
      <c r="AJ44" s="609">
        <v>0</v>
      </c>
      <c r="AK44" s="609">
        <v>0</v>
      </c>
      <c r="AL44" s="609">
        <v>0</v>
      </c>
      <c r="AM44" s="609">
        <v>0</v>
      </c>
      <c r="AN44" s="609">
        <v>0</v>
      </c>
      <c r="AO44" s="609">
        <v>0</v>
      </c>
      <c r="AP44" s="609">
        <v>0</v>
      </c>
      <c r="AQ44" s="609">
        <v>88396</v>
      </c>
      <c r="AR44" s="609">
        <v>0</v>
      </c>
      <c r="AS44" s="609">
        <v>0</v>
      </c>
      <c r="AT44" s="609">
        <v>0</v>
      </c>
      <c r="AU44" s="609">
        <v>0</v>
      </c>
      <c r="AV44" s="609">
        <v>0</v>
      </c>
      <c r="AW44" s="615">
        <v>0</v>
      </c>
      <c r="AX44" s="615">
        <v>0</v>
      </c>
      <c r="AY44" s="615">
        <v>0</v>
      </c>
      <c r="AZ44" s="615">
        <v>0</v>
      </c>
      <c r="BA44" s="615">
        <v>0</v>
      </c>
      <c r="BB44" s="615">
        <v>0</v>
      </c>
      <c r="BC44" s="615">
        <v>0</v>
      </c>
      <c r="BD44" s="615">
        <v>0</v>
      </c>
      <c r="BE44" s="615">
        <v>0</v>
      </c>
      <c r="BF44" s="615">
        <v>0</v>
      </c>
      <c r="BG44" s="615">
        <v>0</v>
      </c>
      <c r="BH44" s="615">
        <v>0</v>
      </c>
      <c r="BI44" s="615">
        <v>0</v>
      </c>
      <c r="BJ44" s="615">
        <v>0</v>
      </c>
      <c r="BK44" s="615">
        <v>0</v>
      </c>
      <c r="BL44" s="615">
        <v>0</v>
      </c>
      <c r="BM44" s="615">
        <v>0</v>
      </c>
      <c r="BN44" s="615">
        <v>0</v>
      </c>
      <c r="BO44" s="615">
        <v>0</v>
      </c>
      <c r="BP44" s="615">
        <v>0</v>
      </c>
      <c r="BQ44" s="615">
        <v>0</v>
      </c>
      <c r="BR44" s="615">
        <v>0</v>
      </c>
      <c r="BS44" s="615">
        <v>0</v>
      </c>
      <c r="BT44" s="615">
        <v>0</v>
      </c>
      <c r="BU44" s="615">
        <v>0</v>
      </c>
      <c r="BV44" s="615">
        <v>0</v>
      </c>
      <c r="BW44" s="615">
        <v>0</v>
      </c>
      <c r="BX44" s="607">
        <f t="shared" si="0"/>
        <v>88396</v>
      </c>
    </row>
    <row r="45" spans="1:76" s="612" customFormat="1" ht="11.25" customHeight="1" x14ac:dyDescent="0.2">
      <c r="A45" s="905"/>
      <c r="B45" s="610" t="s">
        <v>2604</v>
      </c>
      <c r="C45" s="634" t="s">
        <v>1798</v>
      </c>
      <c r="D45" s="609">
        <v>0</v>
      </c>
      <c r="E45" s="609">
        <v>0</v>
      </c>
      <c r="F45" s="609">
        <v>0</v>
      </c>
      <c r="G45" s="609">
        <v>0</v>
      </c>
      <c r="H45" s="585">
        <v>0</v>
      </c>
      <c r="I45" s="609">
        <v>0</v>
      </c>
      <c r="J45" s="609">
        <v>0</v>
      </c>
      <c r="K45" s="609">
        <v>0</v>
      </c>
      <c r="L45" s="609">
        <v>0</v>
      </c>
      <c r="M45" s="609">
        <v>0</v>
      </c>
      <c r="N45" s="609">
        <v>0</v>
      </c>
      <c r="O45" s="609">
        <v>0</v>
      </c>
      <c r="P45" s="609">
        <v>0</v>
      </c>
      <c r="Q45" s="609">
        <v>0</v>
      </c>
      <c r="R45" s="609">
        <v>0</v>
      </c>
      <c r="S45" s="609">
        <v>0</v>
      </c>
      <c r="T45" s="609">
        <v>0</v>
      </c>
      <c r="U45" s="609">
        <v>0</v>
      </c>
      <c r="V45" s="609">
        <v>0</v>
      </c>
      <c r="W45" s="609">
        <v>0</v>
      </c>
      <c r="X45" s="609">
        <v>0</v>
      </c>
      <c r="Y45" s="609">
        <v>0</v>
      </c>
      <c r="Z45" s="609">
        <v>0</v>
      </c>
      <c r="AA45" s="609">
        <v>0</v>
      </c>
      <c r="AB45" s="609">
        <v>0</v>
      </c>
      <c r="AC45" s="609">
        <v>0</v>
      </c>
      <c r="AD45" s="609">
        <v>0</v>
      </c>
      <c r="AE45" s="609">
        <v>0</v>
      </c>
      <c r="AF45" s="609">
        <v>0</v>
      </c>
      <c r="AG45" s="609">
        <v>0</v>
      </c>
      <c r="AH45" s="609">
        <v>0</v>
      </c>
      <c r="AI45" s="609">
        <v>0</v>
      </c>
      <c r="AJ45" s="609">
        <v>0</v>
      </c>
      <c r="AK45" s="609">
        <v>0</v>
      </c>
      <c r="AL45" s="609">
        <v>0</v>
      </c>
      <c r="AM45" s="609">
        <v>0</v>
      </c>
      <c r="AN45" s="609">
        <v>0</v>
      </c>
      <c r="AO45" s="609">
        <v>0</v>
      </c>
      <c r="AP45" s="609">
        <v>0</v>
      </c>
      <c r="AQ45" s="609">
        <v>87187</v>
      </c>
      <c r="AR45" s="609">
        <v>0</v>
      </c>
      <c r="AS45" s="609">
        <v>0</v>
      </c>
      <c r="AT45" s="609">
        <v>0</v>
      </c>
      <c r="AU45" s="609">
        <v>0</v>
      </c>
      <c r="AV45" s="609">
        <v>0</v>
      </c>
      <c r="AW45" s="615">
        <v>0</v>
      </c>
      <c r="AX45" s="615">
        <v>0</v>
      </c>
      <c r="AY45" s="615">
        <v>0</v>
      </c>
      <c r="AZ45" s="615">
        <v>0</v>
      </c>
      <c r="BA45" s="615">
        <v>0</v>
      </c>
      <c r="BB45" s="615">
        <v>0</v>
      </c>
      <c r="BC45" s="615">
        <v>0</v>
      </c>
      <c r="BD45" s="615">
        <v>0</v>
      </c>
      <c r="BE45" s="615">
        <v>0</v>
      </c>
      <c r="BF45" s="615">
        <v>0</v>
      </c>
      <c r="BG45" s="615">
        <v>0</v>
      </c>
      <c r="BH45" s="615">
        <v>0</v>
      </c>
      <c r="BI45" s="615">
        <v>0</v>
      </c>
      <c r="BJ45" s="615">
        <v>0</v>
      </c>
      <c r="BK45" s="615">
        <v>0</v>
      </c>
      <c r="BL45" s="615">
        <v>0</v>
      </c>
      <c r="BM45" s="615">
        <v>0</v>
      </c>
      <c r="BN45" s="615">
        <v>0</v>
      </c>
      <c r="BO45" s="615">
        <v>0</v>
      </c>
      <c r="BP45" s="615">
        <v>0</v>
      </c>
      <c r="BQ45" s="615">
        <v>0</v>
      </c>
      <c r="BR45" s="615">
        <v>0</v>
      </c>
      <c r="BS45" s="615">
        <v>0</v>
      </c>
      <c r="BT45" s="615">
        <v>0</v>
      </c>
      <c r="BU45" s="615">
        <v>0</v>
      </c>
      <c r="BV45" s="615">
        <v>0</v>
      </c>
      <c r="BW45" s="615">
        <v>0</v>
      </c>
      <c r="BX45" s="607">
        <f t="shared" si="0"/>
        <v>87187</v>
      </c>
    </row>
    <row r="46" spans="1:76" s="612" customFormat="1" ht="11.25" customHeight="1" x14ac:dyDescent="0.2">
      <c r="A46" s="905"/>
      <c r="B46" s="610" t="s">
        <v>1700</v>
      </c>
      <c r="C46" s="634" t="s">
        <v>1799</v>
      </c>
      <c r="D46" s="609">
        <v>0</v>
      </c>
      <c r="E46" s="609">
        <v>0</v>
      </c>
      <c r="F46" s="609">
        <v>0</v>
      </c>
      <c r="G46" s="609">
        <v>0</v>
      </c>
      <c r="H46" s="585">
        <v>0</v>
      </c>
      <c r="I46" s="609">
        <v>0</v>
      </c>
      <c r="J46" s="609">
        <v>0</v>
      </c>
      <c r="K46" s="609">
        <v>0</v>
      </c>
      <c r="L46" s="609">
        <v>0</v>
      </c>
      <c r="M46" s="609">
        <v>0</v>
      </c>
      <c r="N46" s="609">
        <v>0</v>
      </c>
      <c r="O46" s="609">
        <v>0</v>
      </c>
      <c r="P46" s="609">
        <v>0</v>
      </c>
      <c r="Q46" s="609">
        <v>0</v>
      </c>
      <c r="R46" s="609">
        <v>0</v>
      </c>
      <c r="S46" s="609">
        <v>0</v>
      </c>
      <c r="T46" s="609">
        <v>0</v>
      </c>
      <c r="U46" s="609">
        <v>0</v>
      </c>
      <c r="V46" s="609">
        <v>0</v>
      </c>
      <c r="W46" s="609">
        <v>0</v>
      </c>
      <c r="X46" s="609">
        <v>0</v>
      </c>
      <c r="Y46" s="609">
        <v>0</v>
      </c>
      <c r="Z46" s="609">
        <v>0</v>
      </c>
      <c r="AA46" s="609">
        <v>0</v>
      </c>
      <c r="AB46" s="609">
        <v>0</v>
      </c>
      <c r="AC46" s="609">
        <v>0</v>
      </c>
      <c r="AD46" s="609">
        <v>0</v>
      </c>
      <c r="AE46" s="609">
        <v>0</v>
      </c>
      <c r="AF46" s="609">
        <v>0</v>
      </c>
      <c r="AG46" s="609">
        <v>0</v>
      </c>
      <c r="AH46" s="609">
        <v>0</v>
      </c>
      <c r="AI46" s="609">
        <v>0</v>
      </c>
      <c r="AJ46" s="609">
        <v>0</v>
      </c>
      <c r="AK46" s="609">
        <v>0</v>
      </c>
      <c r="AL46" s="609">
        <v>0</v>
      </c>
      <c r="AM46" s="609">
        <v>0</v>
      </c>
      <c r="AN46" s="609">
        <v>0</v>
      </c>
      <c r="AO46" s="609">
        <v>0</v>
      </c>
      <c r="AP46" s="609">
        <v>0</v>
      </c>
      <c r="AQ46" s="609">
        <v>0</v>
      </c>
      <c r="AR46" s="609">
        <v>0</v>
      </c>
      <c r="AS46" s="609">
        <v>0</v>
      </c>
      <c r="AT46" s="609">
        <v>0</v>
      </c>
      <c r="AU46" s="609">
        <v>0</v>
      </c>
      <c r="AV46" s="609">
        <v>0</v>
      </c>
      <c r="AW46" s="615">
        <v>0</v>
      </c>
      <c r="AX46" s="615">
        <v>0</v>
      </c>
      <c r="AY46" s="615">
        <v>0</v>
      </c>
      <c r="AZ46" s="615">
        <v>0</v>
      </c>
      <c r="BA46" s="615">
        <v>0</v>
      </c>
      <c r="BB46" s="615">
        <v>0</v>
      </c>
      <c r="BC46" s="615">
        <v>0</v>
      </c>
      <c r="BD46" s="615">
        <v>0</v>
      </c>
      <c r="BE46" s="615">
        <v>0</v>
      </c>
      <c r="BF46" s="615">
        <v>0</v>
      </c>
      <c r="BG46" s="615">
        <v>0</v>
      </c>
      <c r="BH46" s="615">
        <v>0</v>
      </c>
      <c r="BI46" s="615">
        <v>0</v>
      </c>
      <c r="BJ46" s="615">
        <v>0</v>
      </c>
      <c r="BK46" s="615">
        <v>0</v>
      </c>
      <c r="BL46" s="615">
        <v>0</v>
      </c>
      <c r="BM46" s="615">
        <v>0</v>
      </c>
      <c r="BN46" s="615">
        <v>0</v>
      </c>
      <c r="BO46" s="615">
        <v>0</v>
      </c>
      <c r="BP46" s="615">
        <v>0</v>
      </c>
      <c r="BQ46" s="615">
        <v>0</v>
      </c>
      <c r="BR46" s="615">
        <v>0</v>
      </c>
      <c r="BS46" s="615">
        <v>0</v>
      </c>
      <c r="BT46" s="615">
        <v>0</v>
      </c>
      <c r="BU46" s="615">
        <v>0</v>
      </c>
      <c r="BV46" s="615">
        <v>0</v>
      </c>
      <c r="BW46" s="615">
        <v>0</v>
      </c>
      <c r="BX46" s="607">
        <f t="shared" si="0"/>
        <v>0</v>
      </c>
    </row>
    <row r="47" spans="1:76" s="612" customFormat="1" ht="11.25" customHeight="1" x14ac:dyDescent="0.2">
      <c r="A47" s="905"/>
      <c r="B47" s="610" t="s">
        <v>3331</v>
      </c>
      <c r="C47" s="634" t="s">
        <v>3330</v>
      </c>
      <c r="D47" s="609">
        <v>0</v>
      </c>
      <c r="E47" s="609">
        <v>0</v>
      </c>
      <c r="F47" s="609">
        <v>0</v>
      </c>
      <c r="G47" s="609">
        <v>0</v>
      </c>
      <c r="H47" s="585">
        <v>0</v>
      </c>
      <c r="I47" s="609">
        <v>0</v>
      </c>
      <c r="J47" s="609">
        <v>0</v>
      </c>
      <c r="K47" s="609">
        <v>0</v>
      </c>
      <c r="L47" s="609">
        <v>0</v>
      </c>
      <c r="M47" s="609">
        <v>0</v>
      </c>
      <c r="N47" s="609">
        <v>0</v>
      </c>
      <c r="O47" s="609">
        <v>0</v>
      </c>
      <c r="P47" s="609">
        <v>0</v>
      </c>
      <c r="Q47" s="609">
        <v>0</v>
      </c>
      <c r="R47" s="609">
        <v>0</v>
      </c>
      <c r="S47" s="609">
        <v>0</v>
      </c>
      <c r="T47" s="609">
        <v>0</v>
      </c>
      <c r="U47" s="609">
        <v>0</v>
      </c>
      <c r="V47" s="609">
        <v>0</v>
      </c>
      <c r="W47" s="609">
        <v>0</v>
      </c>
      <c r="X47" s="609">
        <v>0</v>
      </c>
      <c r="Y47" s="609">
        <v>0</v>
      </c>
      <c r="Z47" s="609">
        <v>0</v>
      </c>
      <c r="AA47" s="609">
        <v>0</v>
      </c>
      <c r="AB47" s="609">
        <v>0</v>
      </c>
      <c r="AC47" s="609">
        <v>0</v>
      </c>
      <c r="AD47" s="609">
        <v>0</v>
      </c>
      <c r="AE47" s="609">
        <v>0</v>
      </c>
      <c r="AF47" s="609">
        <v>0</v>
      </c>
      <c r="AG47" s="609">
        <v>0</v>
      </c>
      <c r="AH47" s="609">
        <v>0</v>
      </c>
      <c r="AI47" s="609">
        <v>0</v>
      </c>
      <c r="AJ47" s="609">
        <v>0</v>
      </c>
      <c r="AK47" s="609">
        <v>0</v>
      </c>
      <c r="AL47" s="609">
        <v>0</v>
      </c>
      <c r="AM47" s="609">
        <v>0</v>
      </c>
      <c r="AN47" s="609">
        <v>0</v>
      </c>
      <c r="AO47" s="609">
        <v>0</v>
      </c>
      <c r="AP47" s="609">
        <v>0</v>
      </c>
      <c r="AQ47" s="609">
        <v>0</v>
      </c>
      <c r="AR47" s="609">
        <v>0</v>
      </c>
      <c r="AS47" s="609">
        <v>0</v>
      </c>
      <c r="AT47" s="609">
        <v>0</v>
      </c>
      <c r="AU47" s="609">
        <v>0</v>
      </c>
      <c r="AV47" s="609">
        <v>0</v>
      </c>
      <c r="AW47" s="615">
        <v>2850588</v>
      </c>
      <c r="AX47" s="615">
        <v>2817802</v>
      </c>
      <c r="AY47" s="615">
        <v>2795650</v>
      </c>
      <c r="AZ47" s="615">
        <v>2764636</v>
      </c>
      <c r="BA47" s="615">
        <v>2740712</v>
      </c>
      <c r="BB47" s="615">
        <v>2713242</v>
      </c>
      <c r="BC47" s="615">
        <v>2683126</v>
      </c>
      <c r="BD47" s="615">
        <v>0</v>
      </c>
      <c r="BE47" s="615">
        <v>0</v>
      </c>
      <c r="BF47" s="615">
        <v>0</v>
      </c>
      <c r="BG47" s="615">
        <v>0</v>
      </c>
      <c r="BH47" s="615">
        <v>0</v>
      </c>
      <c r="BI47" s="615">
        <v>0</v>
      </c>
      <c r="BJ47" s="615">
        <v>0</v>
      </c>
      <c r="BK47" s="615">
        <v>0</v>
      </c>
      <c r="BL47" s="615">
        <v>0</v>
      </c>
      <c r="BM47" s="615">
        <v>0</v>
      </c>
      <c r="BN47" s="615">
        <v>0</v>
      </c>
      <c r="BO47" s="615">
        <v>0</v>
      </c>
      <c r="BP47" s="615">
        <v>0</v>
      </c>
      <c r="BQ47" s="615">
        <v>0</v>
      </c>
      <c r="BR47" s="615">
        <v>0</v>
      </c>
      <c r="BS47" s="615">
        <v>0</v>
      </c>
      <c r="BT47" s="615">
        <v>0</v>
      </c>
      <c r="BU47" s="615">
        <v>0</v>
      </c>
      <c r="BV47" s="615">
        <v>0</v>
      </c>
      <c r="BW47" s="615">
        <v>0</v>
      </c>
      <c r="BX47" s="607">
        <f t="shared" si="0"/>
        <v>19365756</v>
      </c>
    </row>
    <row r="48" spans="1:76" s="612" customFormat="1" ht="11.25" customHeight="1" x14ac:dyDescent="0.2">
      <c r="A48" s="905"/>
      <c r="B48" s="610" t="s">
        <v>3425</v>
      </c>
      <c r="C48" s="634" t="s">
        <v>3426</v>
      </c>
      <c r="D48" s="609">
        <v>0</v>
      </c>
      <c r="E48" s="609">
        <v>0</v>
      </c>
      <c r="F48" s="609">
        <v>0</v>
      </c>
      <c r="G48" s="609">
        <v>0</v>
      </c>
      <c r="H48" s="585">
        <v>0</v>
      </c>
      <c r="I48" s="609">
        <v>0</v>
      </c>
      <c r="J48" s="609">
        <v>0</v>
      </c>
      <c r="K48" s="609">
        <v>0</v>
      </c>
      <c r="L48" s="609">
        <v>0</v>
      </c>
      <c r="M48" s="609">
        <v>0</v>
      </c>
      <c r="N48" s="609">
        <v>0</v>
      </c>
      <c r="O48" s="609">
        <v>0</v>
      </c>
      <c r="P48" s="609">
        <v>0</v>
      </c>
      <c r="Q48" s="609">
        <v>0</v>
      </c>
      <c r="R48" s="609">
        <v>0</v>
      </c>
      <c r="S48" s="609">
        <v>0</v>
      </c>
      <c r="T48" s="609">
        <v>0</v>
      </c>
      <c r="U48" s="609">
        <v>0</v>
      </c>
      <c r="V48" s="609">
        <v>0</v>
      </c>
      <c r="W48" s="609">
        <v>0</v>
      </c>
      <c r="X48" s="609">
        <v>0</v>
      </c>
      <c r="Y48" s="609">
        <v>0</v>
      </c>
      <c r="Z48" s="609">
        <v>0</v>
      </c>
      <c r="AA48" s="609">
        <v>0</v>
      </c>
      <c r="AB48" s="609">
        <v>0</v>
      </c>
      <c r="AC48" s="609">
        <v>0</v>
      </c>
      <c r="AD48" s="609">
        <v>0</v>
      </c>
      <c r="AE48" s="609">
        <v>0</v>
      </c>
      <c r="AF48" s="609">
        <v>0</v>
      </c>
      <c r="AG48" s="609">
        <v>0</v>
      </c>
      <c r="AH48" s="609">
        <v>0</v>
      </c>
      <c r="AI48" s="609">
        <v>0</v>
      </c>
      <c r="AJ48" s="609">
        <v>0</v>
      </c>
      <c r="AK48" s="609">
        <v>0</v>
      </c>
      <c r="AL48" s="609">
        <v>0</v>
      </c>
      <c r="AM48" s="609">
        <v>0</v>
      </c>
      <c r="AN48" s="609">
        <v>0</v>
      </c>
      <c r="AO48" s="609">
        <v>0</v>
      </c>
      <c r="AP48" s="609">
        <v>0</v>
      </c>
      <c r="AQ48" s="609">
        <v>0</v>
      </c>
      <c r="AR48" s="609">
        <v>0</v>
      </c>
      <c r="AS48" s="609">
        <v>0</v>
      </c>
      <c r="AT48" s="609">
        <v>1292417</v>
      </c>
      <c r="AU48" s="609">
        <v>0</v>
      </c>
      <c r="AV48" s="609">
        <v>0</v>
      </c>
      <c r="AW48" s="615">
        <v>0</v>
      </c>
      <c r="AX48" s="615">
        <v>0</v>
      </c>
      <c r="AY48" s="615">
        <v>0</v>
      </c>
      <c r="AZ48" s="615">
        <v>0</v>
      </c>
      <c r="BA48" s="615">
        <v>0</v>
      </c>
      <c r="BB48" s="615">
        <v>0</v>
      </c>
      <c r="BC48" s="615">
        <v>0</v>
      </c>
      <c r="BD48" s="615">
        <v>0</v>
      </c>
      <c r="BE48" s="615">
        <v>0</v>
      </c>
      <c r="BF48" s="615">
        <v>0</v>
      </c>
      <c r="BG48" s="615">
        <v>0</v>
      </c>
      <c r="BH48" s="615">
        <v>0</v>
      </c>
      <c r="BI48" s="615">
        <v>0</v>
      </c>
      <c r="BJ48" s="615">
        <v>0</v>
      </c>
      <c r="BK48" s="615">
        <v>0</v>
      </c>
      <c r="BL48" s="615">
        <v>0</v>
      </c>
      <c r="BM48" s="615">
        <v>0</v>
      </c>
      <c r="BN48" s="615">
        <v>0</v>
      </c>
      <c r="BO48" s="615">
        <v>0</v>
      </c>
      <c r="BP48" s="615">
        <v>0</v>
      </c>
      <c r="BQ48" s="615">
        <v>0</v>
      </c>
      <c r="BR48" s="615">
        <v>0</v>
      </c>
      <c r="BS48" s="615">
        <v>0</v>
      </c>
      <c r="BT48" s="615">
        <v>0</v>
      </c>
      <c r="BU48" s="615">
        <v>0</v>
      </c>
      <c r="BV48" s="615">
        <v>0</v>
      </c>
      <c r="BW48" s="615">
        <v>0</v>
      </c>
      <c r="BX48" s="607">
        <f t="shared" si="0"/>
        <v>1292417</v>
      </c>
    </row>
    <row r="49" spans="1:76" s="612" customFormat="1" ht="11.25" customHeight="1" x14ac:dyDescent="0.2">
      <c r="A49" s="905"/>
      <c r="B49" s="610" t="s">
        <v>874</v>
      </c>
      <c r="C49" s="634" t="s">
        <v>1800</v>
      </c>
      <c r="D49" s="609">
        <v>0</v>
      </c>
      <c r="E49" s="609">
        <v>0</v>
      </c>
      <c r="F49" s="609">
        <v>0</v>
      </c>
      <c r="G49" s="609">
        <v>0</v>
      </c>
      <c r="H49" s="585">
        <v>0</v>
      </c>
      <c r="I49" s="609">
        <v>0</v>
      </c>
      <c r="J49" s="609">
        <v>0</v>
      </c>
      <c r="K49" s="609">
        <v>0</v>
      </c>
      <c r="L49" s="609">
        <v>0</v>
      </c>
      <c r="M49" s="609">
        <v>0</v>
      </c>
      <c r="N49" s="609">
        <v>0</v>
      </c>
      <c r="O49" s="609">
        <v>0</v>
      </c>
      <c r="P49" s="609">
        <v>0</v>
      </c>
      <c r="Q49" s="609">
        <v>0</v>
      </c>
      <c r="R49" s="609">
        <v>0</v>
      </c>
      <c r="S49" s="609">
        <v>0</v>
      </c>
      <c r="T49" s="609">
        <v>0</v>
      </c>
      <c r="U49" s="609">
        <v>0</v>
      </c>
      <c r="V49" s="609">
        <v>0</v>
      </c>
      <c r="W49" s="609">
        <v>0</v>
      </c>
      <c r="X49" s="609">
        <v>0</v>
      </c>
      <c r="Y49" s="609">
        <v>0</v>
      </c>
      <c r="Z49" s="609">
        <v>0</v>
      </c>
      <c r="AA49" s="609">
        <v>0</v>
      </c>
      <c r="AB49" s="609">
        <v>0</v>
      </c>
      <c r="AC49" s="609">
        <v>0</v>
      </c>
      <c r="AD49" s="609">
        <v>0</v>
      </c>
      <c r="AE49" s="609">
        <v>0</v>
      </c>
      <c r="AF49" s="609">
        <v>0</v>
      </c>
      <c r="AG49" s="609">
        <v>0</v>
      </c>
      <c r="AH49" s="609">
        <v>0</v>
      </c>
      <c r="AI49" s="609">
        <v>0</v>
      </c>
      <c r="AJ49" s="609">
        <v>0</v>
      </c>
      <c r="AK49" s="609">
        <v>0</v>
      </c>
      <c r="AL49" s="609">
        <v>0</v>
      </c>
      <c r="AM49" s="609">
        <v>0</v>
      </c>
      <c r="AN49" s="609">
        <v>0</v>
      </c>
      <c r="AO49" s="609">
        <v>0</v>
      </c>
      <c r="AP49" s="609">
        <v>0</v>
      </c>
      <c r="AQ49" s="609">
        <v>81280</v>
      </c>
      <c r="AR49" s="609">
        <v>0</v>
      </c>
      <c r="AS49" s="609">
        <v>0</v>
      </c>
      <c r="AT49" s="609">
        <v>0</v>
      </c>
      <c r="AU49" s="609">
        <v>0</v>
      </c>
      <c r="AV49" s="609">
        <v>0</v>
      </c>
      <c r="AW49" s="615">
        <v>0</v>
      </c>
      <c r="AX49" s="615">
        <v>0</v>
      </c>
      <c r="AY49" s="615">
        <v>0</v>
      </c>
      <c r="AZ49" s="615">
        <v>0</v>
      </c>
      <c r="BA49" s="615">
        <v>0</v>
      </c>
      <c r="BB49" s="615">
        <v>0</v>
      </c>
      <c r="BC49" s="615">
        <v>0</v>
      </c>
      <c r="BD49" s="615">
        <v>0</v>
      </c>
      <c r="BE49" s="615">
        <v>0</v>
      </c>
      <c r="BF49" s="615">
        <v>0</v>
      </c>
      <c r="BG49" s="615">
        <v>0</v>
      </c>
      <c r="BH49" s="615">
        <v>0</v>
      </c>
      <c r="BI49" s="615">
        <v>0</v>
      </c>
      <c r="BJ49" s="615">
        <v>0</v>
      </c>
      <c r="BK49" s="615">
        <v>0</v>
      </c>
      <c r="BL49" s="615">
        <v>0</v>
      </c>
      <c r="BM49" s="615">
        <v>0</v>
      </c>
      <c r="BN49" s="615">
        <v>0</v>
      </c>
      <c r="BO49" s="615">
        <v>0</v>
      </c>
      <c r="BP49" s="615">
        <v>0</v>
      </c>
      <c r="BQ49" s="615">
        <v>0</v>
      </c>
      <c r="BR49" s="615">
        <v>0</v>
      </c>
      <c r="BS49" s="615">
        <v>0</v>
      </c>
      <c r="BT49" s="615">
        <v>0</v>
      </c>
      <c r="BU49" s="615">
        <v>0</v>
      </c>
      <c r="BV49" s="615">
        <v>0</v>
      </c>
      <c r="BW49" s="615">
        <v>0</v>
      </c>
      <c r="BX49" s="607">
        <f t="shared" si="0"/>
        <v>81280</v>
      </c>
    </row>
    <row r="50" spans="1:76" s="612" customFormat="1" ht="11.25" customHeight="1" x14ac:dyDescent="0.2">
      <c r="A50" s="905"/>
      <c r="B50" s="610" t="s">
        <v>1701</v>
      </c>
      <c r="C50" s="634" t="s">
        <v>1801</v>
      </c>
      <c r="D50" s="609">
        <v>0</v>
      </c>
      <c r="E50" s="609">
        <v>0</v>
      </c>
      <c r="F50" s="609">
        <v>0</v>
      </c>
      <c r="G50" s="609">
        <v>0</v>
      </c>
      <c r="H50" s="585">
        <v>0</v>
      </c>
      <c r="I50" s="609">
        <v>0</v>
      </c>
      <c r="J50" s="609">
        <v>0</v>
      </c>
      <c r="K50" s="609">
        <v>0</v>
      </c>
      <c r="L50" s="609">
        <v>0</v>
      </c>
      <c r="M50" s="609">
        <v>0</v>
      </c>
      <c r="N50" s="609">
        <v>0</v>
      </c>
      <c r="O50" s="609">
        <v>0</v>
      </c>
      <c r="P50" s="609">
        <v>0</v>
      </c>
      <c r="Q50" s="609">
        <v>0</v>
      </c>
      <c r="R50" s="609">
        <v>0</v>
      </c>
      <c r="S50" s="609">
        <v>0</v>
      </c>
      <c r="T50" s="609">
        <v>0</v>
      </c>
      <c r="U50" s="609">
        <v>0</v>
      </c>
      <c r="V50" s="609">
        <v>0</v>
      </c>
      <c r="W50" s="609">
        <v>0</v>
      </c>
      <c r="X50" s="609">
        <v>0</v>
      </c>
      <c r="Y50" s="609">
        <v>0</v>
      </c>
      <c r="Z50" s="609">
        <v>0</v>
      </c>
      <c r="AA50" s="609">
        <v>0</v>
      </c>
      <c r="AB50" s="609">
        <v>0</v>
      </c>
      <c r="AC50" s="609">
        <v>0</v>
      </c>
      <c r="AD50" s="609">
        <v>0</v>
      </c>
      <c r="AE50" s="609">
        <v>0</v>
      </c>
      <c r="AF50" s="609">
        <v>0</v>
      </c>
      <c r="AG50" s="609">
        <v>0</v>
      </c>
      <c r="AH50" s="609">
        <v>0</v>
      </c>
      <c r="AI50" s="609">
        <v>0</v>
      </c>
      <c r="AJ50" s="609">
        <v>0</v>
      </c>
      <c r="AK50" s="609">
        <v>0</v>
      </c>
      <c r="AL50" s="609">
        <v>0</v>
      </c>
      <c r="AM50" s="609">
        <v>0</v>
      </c>
      <c r="AN50" s="609">
        <v>0</v>
      </c>
      <c r="AO50" s="609">
        <v>0</v>
      </c>
      <c r="AP50" s="609">
        <v>0</v>
      </c>
      <c r="AQ50" s="609">
        <v>0</v>
      </c>
      <c r="AR50" s="609">
        <v>0</v>
      </c>
      <c r="AS50" s="609">
        <v>0</v>
      </c>
      <c r="AT50" s="609">
        <v>0</v>
      </c>
      <c r="AU50" s="609">
        <v>0</v>
      </c>
      <c r="AV50" s="609">
        <v>0</v>
      </c>
      <c r="AW50" s="615">
        <v>0</v>
      </c>
      <c r="AX50" s="615">
        <v>0</v>
      </c>
      <c r="AY50" s="615">
        <v>0</v>
      </c>
      <c r="AZ50" s="615">
        <v>0</v>
      </c>
      <c r="BA50" s="615">
        <v>0</v>
      </c>
      <c r="BB50" s="615">
        <v>0</v>
      </c>
      <c r="BC50" s="615">
        <v>0</v>
      </c>
      <c r="BD50" s="615">
        <v>0</v>
      </c>
      <c r="BE50" s="615">
        <v>0</v>
      </c>
      <c r="BF50" s="615">
        <v>0</v>
      </c>
      <c r="BG50" s="615">
        <v>0</v>
      </c>
      <c r="BH50" s="615">
        <v>0</v>
      </c>
      <c r="BI50" s="615">
        <v>0</v>
      </c>
      <c r="BJ50" s="615">
        <v>0</v>
      </c>
      <c r="BK50" s="615">
        <v>0</v>
      </c>
      <c r="BL50" s="615">
        <v>0</v>
      </c>
      <c r="BM50" s="615">
        <v>0</v>
      </c>
      <c r="BN50" s="615">
        <v>0</v>
      </c>
      <c r="BO50" s="615">
        <v>0</v>
      </c>
      <c r="BP50" s="615">
        <v>0</v>
      </c>
      <c r="BQ50" s="615">
        <v>0</v>
      </c>
      <c r="BR50" s="615">
        <v>0</v>
      </c>
      <c r="BS50" s="615">
        <v>0</v>
      </c>
      <c r="BT50" s="615">
        <v>0</v>
      </c>
      <c r="BU50" s="615">
        <v>0</v>
      </c>
      <c r="BV50" s="615">
        <v>0</v>
      </c>
      <c r="BW50" s="615">
        <v>0</v>
      </c>
      <c r="BX50" s="607">
        <f t="shared" si="0"/>
        <v>0</v>
      </c>
    </row>
    <row r="51" spans="1:76" s="612" customFormat="1" ht="11.25" customHeight="1" x14ac:dyDescent="0.2">
      <c r="A51" s="905"/>
      <c r="B51" s="610" t="s">
        <v>2290</v>
      </c>
      <c r="C51" s="634" t="s">
        <v>1802</v>
      </c>
      <c r="D51" s="609">
        <v>0</v>
      </c>
      <c r="E51" s="609">
        <v>0</v>
      </c>
      <c r="F51" s="609">
        <v>0</v>
      </c>
      <c r="G51" s="609">
        <v>0</v>
      </c>
      <c r="H51" s="585">
        <v>0</v>
      </c>
      <c r="I51" s="609">
        <v>0</v>
      </c>
      <c r="J51" s="609">
        <v>0</v>
      </c>
      <c r="K51" s="609">
        <v>0</v>
      </c>
      <c r="L51" s="609">
        <v>0</v>
      </c>
      <c r="M51" s="609">
        <v>0</v>
      </c>
      <c r="N51" s="609">
        <v>0</v>
      </c>
      <c r="O51" s="609">
        <v>0</v>
      </c>
      <c r="P51" s="609">
        <v>0</v>
      </c>
      <c r="Q51" s="609">
        <v>0</v>
      </c>
      <c r="R51" s="609">
        <v>0</v>
      </c>
      <c r="S51" s="609">
        <v>0</v>
      </c>
      <c r="T51" s="609">
        <v>0</v>
      </c>
      <c r="U51" s="609">
        <v>0</v>
      </c>
      <c r="V51" s="609">
        <v>0</v>
      </c>
      <c r="W51" s="609">
        <v>0</v>
      </c>
      <c r="X51" s="609">
        <v>0</v>
      </c>
      <c r="Y51" s="609">
        <v>0</v>
      </c>
      <c r="Z51" s="609">
        <v>0</v>
      </c>
      <c r="AA51" s="609">
        <v>0</v>
      </c>
      <c r="AB51" s="609">
        <v>0</v>
      </c>
      <c r="AC51" s="609">
        <v>0</v>
      </c>
      <c r="AD51" s="609">
        <v>0</v>
      </c>
      <c r="AE51" s="609">
        <v>0</v>
      </c>
      <c r="AF51" s="609">
        <v>0</v>
      </c>
      <c r="AG51" s="609">
        <v>0</v>
      </c>
      <c r="AH51" s="609">
        <v>0</v>
      </c>
      <c r="AI51" s="609">
        <v>0</v>
      </c>
      <c r="AJ51" s="609">
        <v>0</v>
      </c>
      <c r="AK51" s="609">
        <v>0</v>
      </c>
      <c r="AL51" s="609">
        <v>0</v>
      </c>
      <c r="AM51" s="609">
        <v>0</v>
      </c>
      <c r="AN51" s="609">
        <v>0</v>
      </c>
      <c r="AO51" s="609">
        <v>0</v>
      </c>
      <c r="AP51" s="609">
        <v>0</v>
      </c>
      <c r="AQ51" s="609">
        <v>1210167</v>
      </c>
      <c r="AR51" s="609">
        <v>0</v>
      </c>
      <c r="AS51" s="609">
        <v>0</v>
      </c>
      <c r="AT51" s="609">
        <v>0</v>
      </c>
      <c r="AU51" s="609">
        <v>0</v>
      </c>
      <c r="AV51" s="609">
        <v>0</v>
      </c>
      <c r="AW51" s="615">
        <v>0</v>
      </c>
      <c r="AX51" s="615">
        <v>0</v>
      </c>
      <c r="AY51" s="615">
        <v>0</v>
      </c>
      <c r="AZ51" s="615">
        <v>0</v>
      </c>
      <c r="BA51" s="615">
        <v>0</v>
      </c>
      <c r="BB51" s="615">
        <v>0</v>
      </c>
      <c r="BC51" s="615">
        <v>0</v>
      </c>
      <c r="BD51" s="615">
        <v>0</v>
      </c>
      <c r="BE51" s="615">
        <v>0</v>
      </c>
      <c r="BF51" s="615">
        <v>0</v>
      </c>
      <c r="BG51" s="615">
        <v>0</v>
      </c>
      <c r="BH51" s="615">
        <v>0</v>
      </c>
      <c r="BI51" s="615">
        <v>0</v>
      </c>
      <c r="BJ51" s="615">
        <v>0</v>
      </c>
      <c r="BK51" s="615">
        <v>0</v>
      </c>
      <c r="BL51" s="615">
        <v>0</v>
      </c>
      <c r="BM51" s="615">
        <v>0</v>
      </c>
      <c r="BN51" s="615">
        <v>0</v>
      </c>
      <c r="BO51" s="615">
        <v>0</v>
      </c>
      <c r="BP51" s="615">
        <v>0</v>
      </c>
      <c r="BQ51" s="615">
        <v>0</v>
      </c>
      <c r="BR51" s="615">
        <v>0</v>
      </c>
      <c r="BS51" s="615">
        <v>0</v>
      </c>
      <c r="BT51" s="615">
        <v>0</v>
      </c>
      <c r="BU51" s="615">
        <v>0</v>
      </c>
      <c r="BV51" s="615">
        <v>0</v>
      </c>
      <c r="BW51" s="615">
        <v>0</v>
      </c>
      <c r="BX51" s="607">
        <f t="shared" si="0"/>
        <v>1210167</v>
      </c>
    </row>
    <row r="52" spans="1:76" s="612" customFormat="1" ht="11.25" customHeight="1" x14ac:dyDescent="0.2">
      <c r="A52" s="905"/>
      <c r="B52" s="610" t="s">
        <v>1572</v>
      </c>
      <c r="C52" s="634" t="s">
        <v>1803</v>
      </c>
      <c r="D52" s="609">
        <v>0</v>
      </c>
      <c r="E52" s="609">
        <v>0</v>
      </c>
      <c r="F52" s="609">
        <v>0</v>
      </c>
      <c r="G52" s="609">
        <v>0</v>
      </c>
      <c r="H52" s="585">
        <v>0</v>
      </c>
      <c r="I52" s="609">
        <v>0</v>
      </c>
      <c r="J52" s="609">
        <v>0</v>
      </c>
      <c r="K52" s="609">
        <v>0</v>
      </c>
      <c r="L52" s="609">
        <v>0</v>
      </c>
      <c r="M52" s="609">
        <v>0</v>
      </c>
      <c r="N52" s="609">
        <v>0</v>
      </c>
      <c r="O52" s="609">
        <v>0</v>
      </c>
      <c r="P52" s="609">
        <v>0</v>
      </c>
      <c r="Q52" s="609">
        <v>0</v>
      </c>
      <c r="R52" s="609">
        <v>0</v>
      </c>
      <c r="S52" s="609">
        <v>0</v>
      </c>
      <c r="T52" s="609">
        <v>0</v>
      </c>
      <c r="U52" s="609">
        <v>0</v>
      </c>
      <c r="V52" s="609">
        <v>0</v>
      </c>
      <c r="W52" s="609">
        <v>0</v>
      </c>
      <c r="X52" s="609">
        <v>0</v>
      </c>
      <c r="Y52" s="609">
        <v>0</v>
      </c>
      <c r="Z52" s="609">
        <v>0</v>
      </c>
      <c r="AA52" s="609">
        <v>0</v>
      </c>
      <c r="AB52" s="609">
        <v>0</v>
      </c>
      <c r="AC52" s="609">
        <v>0</v>
      </c>
      <c r="AD52" s="609">
        <v>0</v>
      </c>
      <c r="AE52" s="609">
        <v>0</v>
      </c>
      <c r="AF52" s="609">
        <v>0</v>
      </c>
      <c r="AG52" s="609">
        <v>0</v>
      </c>
      <c r="AH52" s="609">
        <v>0</v>
      </c>
      <c r="AI52" s="609">
        <v>0</v>
      </c>
      <c r="AJ52" s="609">
        <v>0</v>
      </c>
      <c r="AK52" s="609">
        <v>0</v>
      </c>
      <c r="AL52" s="609">
        <v>0</v>
      </c>
      <c r="AM52" s="609">
        <v>0</v>
      </c>
      <c r="AN52" s="609">
        <v>0</v>
      </c>
      <c r="AO52" s="609">
        <v>0</v>
      </c>
      <c r="AP52" s="609">
        <v>870400</v>
      </c>
      <c r="AQ52" s="609">
        <v>61800</v>
      </c>
      <c r="AR52" s="609">
        <v>0</v>
      </c>
      <c r="AS52" s="609">
        <v>0</v>
      </c>
      <c r="AT52" s="609">
        <v>0</v>
      </c>
      <c r="AU52" s="609">
        <v>0</v>
      </c>
      <c r="AV52" s="609">
        <v>0</v>
      </c>
      <c r="AW52" s="615">
        <v>0</v>
      </c>
      <c r="AX52" s="615">
        <v>0</v>
      </c>
      <c r="AY52" s="615">
        <v>0</v>
      </c>
      <c r="AZ52" s="615">
        <v>0</v>
      </c>
      <c r="BA52" s="615">
        <v>0</v>
      </c>
      <c r="BB52" s="615">
        <v>0</v>
      </c>
      <c r="BC52" s="615">
        <v>0</v>
      </c>
      <c r="BD52" s="615">
        <v>0</v>
      </c>
      <c r="BE52" s="615">
        <v>0</v>
      </c>
      <c r="BF52" s="615">
        <v>0</v>
      </c>
      <c r="BG52" s="615">
        <v>0</v>
      </c>
      <c r="BH52" s="615">
        <v>0</v>
      </c>
      <c r="BI52" s="615">
        <v>0</v>
      </c>
      <c r="BJ52" s="615">
        <v>0</v>
      </c>
      <c r="BK52" s="615">
        <v>0</v>
      </c>
      <c r="BL52" s="615">
        <v>0</v>
      </c>
      <c r="BM52" s="615">
        <v>0</v>
      </c>
      <c r="BN52" s="615">
        <v>0</v>
      </c>
      <c r="BO52" s="615">
        <v>0</v>
      </c>
      <c r="BP52" s="615">
        <v>0</v>
      </c>
      <c r="BQ52" s="615">
        <v>0</v>
      </c>
      <c r="BR52" s="615">
        <v>0</v>
      </c>
      <c r="BS52" s="615">
        <v>0</v>
      </c>
      <c r="BT52" s="615">
        <v>0</v>
      </c>
      <c r="BU52" s="615">
        <v>0</v>
      </c>
      <c r="BV52" s="615">
        <v>0</v>
      </c>
      <c r="BW52" s="615">
        <v>0</v>
      </c>
      <c r="BX52" s="607">
        <f t="shared" si="0"/>
        <v>932200</v>
      </c>
    </row>
    <row r="53" spans="1:76" s="612" customFormat="1" ht="11.25" customHeight="1" x14ac:dyDescent="0.2">
      <c r="A53" s="905"/>
      <c r="B53" s="610" t="s">
        <v>1610</v>
      </c>
      <c r="C53" s="634" t="s">
        <v>1804</v>
      </c>
      <c r="D53" s="609">
        <v>0</v>
      </c>
      <c r="E53" s="609">
        <v>0</v>
      </c>
      <c r="F53" s="609">
        <v>0</v>
      </c>
      <c r="G53" s="609">
        <v>0</v>
      </c>
      <c r="H53" s="585">
        <v>0</v>
      </c>
      <c r="I53" s="609">
        <v>0</v>
      </c>
      <c r="J53" s="609">
        <v>0</v>
      </c>
      <c r="K53" s="609">
        <v>0</v>
      </c>
      <c r="L53" s="609">
        <v>0</v>
      </c>
      <c r="M53" s="609">
        <v>0</v>
      </c>
      <c r="N53" s="609">
        <v>0</v>
      </c>
      <c r="O53" s="609">
        <v>0</v>
      </c>
      <c r="P53" s="609">
        <v>0</v>
      </c>
      <c r="Q53" s="609">
        <v>0</v>
      </c>
      <c r="R53" s="609">
        <v>0</v>
      </c>
      <c r="S53" s="609">
        <v>0</v>
      </c>
      <c r="T53" s="609">
        <v>0</v>
      </c>
      <c r="U53" s="609">
        <v>0</v>
      </c>
      <c r="V53" s="609">
        <v>0</v>
      </c>
      <c r="W53" s="609">
        <v>0</v>
      </c>
      <c r="X53" s="609">
        <v>0</v>
      </c>
      <c r="Y53" s="609">
        <v>0</v>
      </c>
      <c r="Z53" s="609">
        <v>0</v>
      </c>
      <c r="AA53" s="609">
        <v>0</v>
      </c>
      <c r="AB53" s="609">
        <v>0</v>
      </c>
      <c r="AC53" s="609">
        <v>0</v>
      </c>
      <c r="AD53" s="609">
        <v>0</v>
      </c>
      <c r="AE53" s="609">
        <v>0</v>
      </c>
      <c r="AF53" s="609">
        <v>0</v>
      </c>
      <c r="AG53" s="609">
        <v>0</v>
      </c>
      <c r="AH53" s="609">
        <v>0</v>
      </c>
      <c r="AI53" s="609">
        <v>0</v>
      </c>
      <c r="AJ53" s="609">
        <v>0</v>
      </c>
      <c r="AK53" s="609">
        <v>0</v>
      </c>
      <c r="AL53" s="609">
        <v>0</v>
      </c>
      <c r="AM53" s="609">
        <v>0</v>
      </c>
      <c r="AN53" s="609">
        <v>0</v>
      </c>
      <c r="AO53" s="609">
        <v>0</v>
      </c>
      <c r="AP53" s="609">
        <v>0</v>
      </c>
      <c r="AQ53" s="609">
        <v>0</v>
      </c>
      <c r="AR53" s="609">
        <v>0</v>
      </c>
      <c r="AS53" s="609">
        <v>0</v>
      </c>
      <c r="AT53" s="609">
        <v>0</v>
      </c>
      <c r="AU53" s="609">
        <v>0</v>
      </c>
      <c r="AV53" s="609">
        <v>0</v>
      </c>
      <c r="AW53" s="615">
        <v>0</v>
      </c>
      <c r="AX53" s="615">
        <v>0</v>
      </c>
      <c r="AY53" s="615">
        <v>0</v>
      </c>
      <c r="AZ53" s="615">
        <v>0</v>
      </c>
      <c r="BA53" s="615">
        <v>0</v>
      </c>
      <c r="BB53" s="615">
        <v>0</v>
      </c>
      <c r="BC53" s="615">
        <v>0</v>
      </c>
      <c r="BD53" s="615">
        <v>0</v>
      </c>
      <c r="BE53" s="615">
        <v>0</v>
      </c>
      <c r="BF53" s="615">
        <v>0</v>
      </c>
      <c r="BG53" s="615">
        <v>0</v>
      </c>
      <c r="BH53" s="615">
        <v>0</v>
      </c>
      <c r="BI53" s="615">
        <v>0</v>
      </c>
      <c r="BJ53" s="615">
        <v>0</v>
      </c>
      <c r="BK53" s="615">
        <v>0</v>
      </c>
      <c r="BL53" s="615">
        <v>0</v>
      </c>
      <c r="BM53" s="615">
        <v>0</v>
      </c>
      <c r="BN53" s="615">
        <v>0</v>
      </c>
      <c r="BO53" s="615">
        <v>0</v>
      </c>
      <c r="BP53" s="615">
        <v>0</v>
      </c>
      <c r="BQ53" s="615">
        <v>0</v>
      </c>
      <c r="BR53" s="615">
        <v>0</v>
      </c>
      <c r="BS53" s="615">
        <v>0</v>
      </c>
      <c r="BT53" s="615">
        <v>0</v>
      </c>
      <c r="BU53" s="615">
        <v>0</v>
      </c>
      <c r="BV53" s="615">
        <v>0</v>
      </c>
      <c r="BW53" s="615">
        <v>0</v>
      </c>
      <c r="BX53" s="607">
        <f t="shared" si="0"/>
        <v>0</v>
      </c>
    </row>
    <row r="54" spans="1:76" s="612" customFormat="1" ht="11.25" customHeight="1" x14ac:dyDescent="0.2">
      <c r="A54" s="905"/>
      <c r="B54" s="610" t="s">
        <v>3485</v>
      </c>
      <c r="C54" s="634" t="s">
        <v>1805</v>
      </c>
      <c r="D54" s="609">
        <v>0</v>
      </c>
      <c r="E54" s="609">
        <v>0</v>
      </c>
      <c r="F54" s="609">
        <v>0</v>
      </c>
      <c r="G54" s="609">
        <v>0</v>
      </c>
      <c r="H54" s="585">
        <v>0</v>
      </c>
      <c r="I54" s="609">
        <v>0</v>
      </c>
      <c r="J54" s="609">
        <v>0</v>
      </c>
      <c r="K54" s="609">
        <v>0</v>
      </c>
      <c r="L54" s="609">
        <v>0</v>
      </c>
      <c r="M54" s="609">
        <v>0</v>
      </c>
      <c r="N54" s="609">
        <v>0</v>
      </c>
      <c r="O54" s="609">
        <v>0</v>
      </c>
      <c r="P54" s="609">
        <v>0</v>
      </c>
      <c r="Q54" s="609">
        <v>0</v>
      </c>
      <c r="R54" s="609">
        <v>0</v>
      </c>
      <c r="S54" s="609">
        <v>0</v>
      </c>
      <c r="T54" s="609">
        <v>0</v>
      </c>
      <c r="U54" s="609">
        <v>0</v>
      </c>
      <c r="V54" s="609">
        <v>0</v>
      </c>
      <c r="W54" s="609">
        <v>0</v>
      </c>
      <c r="X54" s="609">
        <v>0</v>
      </c>
      <c r="Y54" s="609">
        <v>0</v>
      </c>
      <c r="Z54" s="609">
        <v>0</v>
      </c>
      <c r="AA54" s="609">
        <v>0</v>
      </c>
      <c r="AB54" s="609">
        <v>0</v>
      </c>
      <c r="AC54" s="609">
        <v>0</v>
      </c>
      <c r="AD54" s="609">
        <v>0</v>
      </c>
      <c r="AE54" s="609">
        <v>0</v>
      </c>
      <c r="AF54" s="609">
        <v>0</v>
      </c>
      <c r="AG54" s="609">
        <v>0</v>
      </c>
      <c r="AH54" s="609">
        <v>0</v>
      </c>
      <c r="AI54" s="609">
        <v>0</v>
      </c>
      <c r="AJ54" s="609">
        <v>0</v>
      </c>
      <c r="AK54" s="609">
        <v>0</v>
      </c>
      <c r="AL54" s="609">
        <v>0</v>
      </c>
      <c r="AM54" s="609">
        <v>0</v>
      </c>
      <c r="AN54" s="609">
        <v>0</v>
      </c>
      <c r="AO54" s="609">
        <v>0</v>
      </c>
      <c r="AP54" s="609">
        <v>0</v>
      </c>
      <c r="AQ54" s="609">
        <v>0</v>
      </c>
      <c r="AR54" s="609">
        <v>0</v>
      </c>
      <c r="AS54" s="609">
        <v>237929928</v>
      </c>
      <c r="AT54" s="609">
        <v>0</v>
      </c>
      <c r="AU54" s="609">
        <v>0</v>
      </c>
      <c r="AV54" s="609">
        <v>925180</v>
      </c>
      <c r="AW54" s="615">
        <v>0</v>
      </c>
      <c r="AX54" s="615">
        <v>0</v>
      </c>
      <c r="AY54" s="615">
        <v>0</v>
      </c>
      <c r="AZ54" s="615">
        <v>0</v>
      </c>
      <c r="BA54" s="615">
        <v>0</v>
      </c>
      <c r="BB54" s="615">
        <v>0</v>
      </c>
      <c r="BC54" s="615">
        <v>0</v>
      </c>
      <c r="BD54" s="615">
        <v>0</v>
      </c>
      <c r="BE54" s="615">
        <v>0</v>
      </c>
      <c r="BF54" s="615">
        <v>0</v>
      </c>
      <c r="BG54" s="615">
        <v>0</v>
      </c>
      <c r="BH54" s="615">
        <v>0</v>
      </c>
      <c r="BI54" s="615">
        <v>0</v>
      </c>
      <c r="BJ54" s="615">
        <v>0</v>
      </c>
      <c r="BK54" s="615">
        <v>0</v>
      </c>
      <c r="BL54" s="615">
        <v>0</v>
      </c>
      <c r="BM54" s="615">
        <v>0</v>
      </c>
      <c r="BN54" s="615">
        <v>0</v>
      </c>
      <c r="BO54" s="615">
        <v>0</v>
      </c>
      <c r="BP54" s="615">
        <v>0</v>
      </c>
      <c r="BQ54" s="615">
        <v>0</v>
      </c>
      <c r="BR54" s="615">
        <v>0</v>
      </c>
      <c r="BS54" s="615">
        <v>0</v>
      </c>
      <c r="BT54" s="615">
        <v>0</v>
      </c>
      <c r="BU54" s="615">
        <v>0</v>
      </c>
      <c r="BV54" s="615">
        <v>0</v>
      </c>
      <c r="BW54" s="615">
        <v>0</v>
      </c>
      <c r="BX54" s="607">
        <f t="shared" si="0"/>
        <v>238855108</v>
      </c>
    </row>
    <row r="55" spans="1:76" s="612" customFormat="1" ht="11.25" customHeight="1" x14ac:dyDescent="0.2">
      <c r="A55" s="905"/>
      <c r="B55" s="610" t="s">
        <v>2575</v>
      </c>
      <c r="C55" s="634" t="s">
        <v>1806</v>
      </c>
      <c r="D55" s="609">
        <v>0</v>
      </c>
      <c r="E55" s="609">
        <v>0</v>
      </c>
      <c r="F55" s="609">
        <v>0</v>
      </c>
      <c r="G55" s="609">
        <v>0</v>
      </c>
      <c r="H55" s="585">
        <v>0</v>
      </c>
      <c r="I55" s="609">
        <v>0</v>
      </c>
      <c r="J55" s="609">
        <v>0</v>
      </c>
      <c r="K55" s="609">
        <v>0</v>
      </c>
      <c r="L55" s="609">
        <v>0</v>
      </c>
      <c r="M55" s="609">
        <v>0</v>
      </c>
      <c r="N55" s="609">
        <v>0</v>
      </c>
      <c r="O55" s="609">
        <v>0</v>
      </c>
      <c r="P55" s="609">
        <v>0</v>
      </c>
      <c r="Q55" s="609">
        <v>0</v>
      </c>
      <c r="R55" s="609">
        <v>0</v>
      </c>
      <c r="S55" s="609">
        <v>0</v>
      </c>
      <c r="T55" s="609">
        <v>0</v>
      </c>
      <c r="U55" s="609">
        <v>0</v>
      </c>
      <c r="V55" s="609">
        <v>0</v>
      </c>
      <c r="W55" s="609">
        <v>0</v>
      </c>
      <c r="X55" s="609">
        <v>0</v>
      </c>
      <c r="Y55" s="609">
        <v>0</v>
      </c>
      <c r="Z55" s="609">
        <v>0</v>
      </c>
      <c r="AA55" s="609">
        <v>0</v>
      </c>
      <c r="AB55" s="609">
        <v>0</v>
      </c>
      <c r="AC55" s="609">
        <v>0</v>
      </c>
      <c r="AD55" s="609">
        <v>0</v>
      </c>
      <c r="AE55" s="609">
        <v>0</v>
      </c>
      <c r="AF55" s="609">
        <v>0</v>
      </c>
      <c r="AG55" s="609">
        <v>0</v>
      </c>
      <c r="AH55" s="609">
        <v>0</v>
      </c>
      <c r="AI55" s="609">
        <v>0</v>
      </c>
      <c r="AJ55" s="609">
        <v>0</v>
      </c>
      <c r="AK55" s="609">
        <v>0</v>
      </c>
      <c r="AL55" s="609">
        <v>0</v>
      </c>
      <c r="AM55" s="609">
        <v>0</v>
      </c>
      <c r="AN55" s="609">
        <v>0</v>
      </c>
      <c r="AO55" s="609">
        <v>0</v>
      </c>
      <c r="AP55" s="609">
        <v>0</v>
      </c>
      <c r="AQ55" s="609">
        <v>89747</v>
      </c>
      <c r="AR55" s="609">
        <v>0</v>
      </c>
      <c r="AS55" s="609">
        <v>0</v>
      </c>
      <c r="AT55" s="609">
        <v>0</v>
      </c>
      <c r="AU55" s="609">
        <v>0</v>
      </c>
      <c r="AV55" s="609">
        <v>0</v>
      </c>
      <c r="AW55" s="615">
        <v>0</v>
      </c>
      <c r="AX55" s="615">
        <v>0</v>
      </c>
      <c r="AY55" s="615">
        <v>0</v>
      </c>
      <c r="AZ55" s="615">
        <v>0</v>
      </c>
      <c r="BA55" s="615">
        <v>0</v>
      </c>
      <c r="BB55" s="615">
        <v>0</v>
      </c>
      <c r="BC55" s="615">
        <v>0</v>
      </c>
      <c r="BD55" s="615">
        <v>0</v>
      </c>
      <c r="BE55" s="615">
        <v>0</v>
      </c>
      <c r="BF55" s="615">
        <v>0</v>
      </c>
      <c r="BG55" s="615">
        <v>0</v>
      </c>
      <c r="BH55" s="615">
        <v>0</v>
      </c>
      <c r="BI55" s="615">
        <v>0</v>
      </c>
      <c r="BJ55" s="615">
        <v>0</v>
      </c>
      <c r="BK55" s="615">
        <v>0</v>
      </c>
      <c r="BL55" s="615">
        <v>0</v>
      </c>
      <c r="BM55" s="615">
        <v>0</v>
      </c>
      <c r="BN55" s="615">
        <v>0</v>
      </c>
      <c r="BO55" s="615">
        <v>0</v>
      </c>
      <c r="BP55" s="615">
        <v>0</v>
      </c>
      <c r="BQ55" s="615">
        <v>0</v>
      </c>
      <c r="BR55" s="615">
        <v>0</v>
      </c>
      <c r="BS55" s="615">
        <v>0</v>
      </c>
      <c r="BT55" s="615">
        <v>0</v>
      </c>
      <c r="BU55" s="615">
        <v>0</v>
      </c>
      <c r="BV55" s="615">
        <v>0</v>
      </c>
      <c r="BW55" s="615">
        <v>0</v>
      </c>
      <c r="BX55" s="607">
        <f t="shared" si="0"/>
        <v>89747</v>
      </c>
    </row>
    <row r="56" spans="1:76" s="612" customFormat="1" ht="11.25" customHeight="1" x14ac:dyDescent="0.2">
      <c r="A56" s="905"/>
      <c r="B56" s="610" t="s">
        <v>1222</v>
      </c>
      <c r="C56" s="634" t="s">
        <v>1807</v>
      </c>
      <c r="D56" s="609">
        <v>0</v>
      </c>
      <c r="E56" s="609" t="s">
        <v>1128</v>
      </c>
      <c r="F56" s="609" t="s">
        <v>1128</v>
      </c>
      <c r="G56" s="609" t="s">
        <v>1128</v>
      </c>
      <c r="H56" s="585">
        <v>0</v>
      </c>
      <c r="I56" s="609">
        <v>0</v>
      </c>
      <c r="J56" s="609">
        <v>0</v>
      </c>
      <c r="K56" s="609">
        <v>0</v>
      </c>
      <c r="L56" s="609">
        <v>0</v>
      </c>
      <c r="M56" s="609">
        <v>0</v>
      </c>
      <c r="N56" s="609">
        <v>0</v>
      </c>
      <c r="O56" s="609">
        <v>0</v>
      </c>
      <c r="P56" s="609">
        <v>0</v>
      </c>
      <c r="Q56" s="609">
        <v>0</v>
      </c>
      <c r="R56" s="609">
        <v>0</v>
      </c>
      <c r="S56" s="609">
        <v>0</v>
      </c>
      <c r="T56" s="609">
        <v>0</v>
      </c>
      <c r="U56" s="609">
        <v>0</v>
      </c>
      <c r="V56" s="609">
        <v>0</v>
      </c>
      <c r="W56" s="609">
        <v>0</v>
      </c>
      <c r="X56" s="609">
        <v>0</v>
      </c>
      <c r="Y56" s="609">
        <v>0</v>
      </c>
      <c r="Z56" s="609">
        <v>0</v>
      </c>
      <c r="AA56" s="609">
        <v>0</v>
      </c>
      <c r="AB56" s="609">
        <v>0</v>
      </c>
      <c r="AC56" s="609">
        <v>0</v>
      </c>
      <c r="AD56" s="609">
        <v>0</v>
      </c>
      <c r="AE56" s="609">
        <v>0</v>
      </c>
      <c r="AF56" s="609">
        <v>0</v>
      </c>
      <c r="AG56" s="609">
        <v>0</v>
      </c>
      <c r="AH56" s="609">
        <v>0</v>
      </c>
      <c r="AI56" s="609">
        <v>0</v>
      </c>
      <c r="AJ56" s="609">
        <v>0</v>
      </c>
      <c r="AK56" s="609">
        <v>0</v>
      </c>
      <c r="AL56" s="609">
        <v>0</v>
      </c>
      <c r="AM56" s="609">
        <v>0</v>
      </c>
      <c r="AN56" s="609">
        <v>0</v>
      </c>
      <c r="AO56" s="609">
        <v>0</v>
      </c>
      <c r="AP56" s="609">
        <v>0</v>
      </c>
      <c r="AQ56" s="609">
        <v>0</v>
      </c>
      <c r="AR56" s="609">
        <v>0</v>
      </c>
      <c r="AS56" s="609">
        <v>0</v>
      </c>
      <c r="AT56" s="609">
        <v>0</v>
      </c>
      <c r="AU56" s="609">
        <v>0</v>
      </c>
      <c r="AV56" s="609">
        <v>0</v>
      </c>
      <c r="AW56" s="615">
        <v>0</v>
      </c>
      <c r="AX56" s="615">
        <v>0</v>
      </c>
      <c r="AY56" s="615">
        <v>0</v>
      </c>
      <c r="AZ56" s="615">
        <v>0</v>
      </c>
      <c r="BA56" s="615">
        <v>0</v>
      </c>
      <c r="BB56" s="615">
        <v>0</v>
      </c>
      <c r="BC56" s="615">
        <v>0</v>
      </c>
      <c r="BD56" s="615">
        <v>0</v>
      </c>
      <c r="BE56" s="615">
        <v>0</v>
      </c>
      <c r="BF56" s="615">
        <v>0</v>
      </c>
      <c r="BG56" s="615">
        <v>0</v>
      </c>
      <c r="BH56" s="615">
        <v>0</v>
      </c>
      <c r="BI56" s="615">
        <v>0</v>
      </c>
      <c r="BJ56" s="615">
        <v>0</v>
      </c>
      <c r="BK56" s="615">
        <v>0</v>
      </c>
      <c r="BL56" s="615">
        <v>0</v>
      </c>
      <c r="BM56" s="615">
        <v>0</v>
      </c>
      <c r="BN56" s="615">
        <v>0</v>
      </c>
      <c r="BO56" s="615">
        <v>0</v>
      </c>
      <c r="BP56" s="615">
        <v>0</v>
      </c>
      <c r="BQ56" s="615">
        <v>0</v>
      </c>
      <c r="BR56" s="615">
        <v>0</v>
      </c>
      <c r="BS56" s="615">
        <v>0</v>
      </c>
      <c r="BT56" s="615">
        <v>0</v>
      </c>
      <c r="BU56" s="615">
        <v>0</v>
      </c>
      <c r="BV56" s="615">
        <v>0</v>
      </c>
      <c r="BW56" s="615">
        <v>0</v>
      </c>
      <c r="BX56" s="607">
        <f t="shared" si="0"/>
        <v>0</v>
      </c>
    </row>
    <row r="57" spans="1:76" s="612" customFormat="1" ht="11.25" customHeight="1" x14ac:dyDescent="0.2">
      <c r="A57" s="905"/>
      <c r="B57" s="610" t="s">
        <v>875</v>
      </c>
      <c r="C57" s="634" t="s">
        <v>1808</v>
      </c>
      <c r="D57" s="609">
        <v>0</v>
      </c>
      <c r="E57" s="609">
        <v>0</v>
      </c>
      <c r="F57" s="609">
        <v>0</v>
      </c>
      <c r="G57" s="609">
        <v>0</v>
      </c>
      <c r="H57" s="585">
        <v>0</v>
      </c>
      <c r="I57" s="609">
        <v>0</v>
      </c>
      <c r="J57" s="609">
        <v>0</v>
      </c>
      <c r="K57" s="609">
        <v>0</v>
      </c>
      <c r="L57" s="609">
        <v>0</v>
      </c>
      <c r="M57" s="609">
        <v>0</v>
      </c>
      <c r="N57" s="609">
        <v>0</v>
      </c>
      <c r="O57" s="609">
        <v>0</v>
      </c>
      <c r="P57" s="609">
        <v>0</v>
      </c>
      <c r="Q57" s="609">
        <v>0</v>
      </c>
      <c r="R57" s="609">
        <v>0</v>
      </c>
      <c r="S57" s="609">
        <v>0</v>
      </c>
      <c r="T57" s="609">
        <v>0</v>
      </c>
      <c r="U57" s="609">
        <v>0</v>
      </c>
      <c r="V57" s="609">
        <v>0</v>
      </c>
      <c r="W57" s="609">
        <v>0</v>
      </c>
      <c r="X57" s="609">
        <v>0</v>
      </c>
      <c r="Y57" s="609">
        <v>0</v>
      </c>
      <c r="Z57" s="609">
        <v>0</v>
      </c>
      <c r="AA57" s="609">
        <v>0</v>
      </c>
      <c r="AB57" s="609">
        <v>0</v>
      </c>
      <c r="AC57" s="609">
        <v>0</v>
      </c>
      <c r="AD57" s="609">
        <v>0</v>
      </c>
      <c r="AE57" s="609">
        <v>0</v>
      </c>
      <c r="AF57" s="609">
        <v>0</v>
      </c>
      <c r="AG57" s="609">
        <v>0</v>
      </c>
      <c r="AH57" s="609">
        <v>0</v>
      </c>
      <c r="AI57" s="609">
        <v>0</v>
      </c>
      <c r="AJ57" s="609">
        <v>0</v>
      </c>
      <c r="AK57" s="609">
        <v>0</v>
      </c>
      <c r="AL57" s="609">
        <v>0</v>
      </c>
      <c r="AM57" s="609">
        <v>0</v>
      </c>
      <c r="AN57" s="609">
        <v>0</v>
      </c>
      <c r="AO57" s="609">
        <v>0</v>
      </c>
      <c r="AP57" s="609">
        <v>0</v>
      </c>
      <c r="AQ57" s="609">
        <v>82650</v>
      </c>
      <c r="AR57" s="609">
        <v>0</v>
      </c>
      <c r="AS57" s="609">
        <v>0</v>
      </c>
      <c r="AT57" s="609">
        <v>0</v>
      </c>
      <c r="AU57" s="609">
        <v>0</v>
      </c>
      <c r="AV57" s="609">
        <v>0</v>
      </c>
      <c r="AW57" s="615">
        <v>0</v>
      </c>
      <c r="AX57" s="615">
        <v>0</v>
      </c>
      <c r="AY57" s="615">
        <v>0</v>
      </c>
      <c r="AZ57" s="615">
        <v>0</v>
      </c>
      <c r="BA57" s="615">
        <v>0</v>
      </c>
      <c r="BB57" s="615">
        <v>0</v>
      </c>
      <c r="BC57" s="615">
        <v>0</v>
      </c>
      <c r="BD57" s="615">
        <v>0</v>
      </c>
      <c r="BE57" s="615">
        <v>0</v>
      </c>
      <c r="BF57" s="615">
        <v>0</v>
      </c>
      <c r="BG57" s="615">
        <v>0</v>
      </c>
      <c r="BH57" s="615">
        <v>0</v>
      </c>
      <c r="BI57" s="615">
        <v>0</v>
      </c>
      <c r="BJ57" s="615">
        <v>0</v>
      </c>
      <c r="BK57" s="615">
        <v>0</v>
      </c>
      <c r="BL57" s="615">
        <v>0</v>
      </c>
      <c r="BM57" s="615">
        <v>0</v>
      </c>
      <c r="BN57" s="615">
        <v>0</v>
      </c>
      <c r="BO57" s="615">
        <v>0</v>
      </c>
      <c r="BP57" s="615">
        <v>0</v>
      </c>
      <c r="BQ57" s="615">
        <v>0</v>
      </c>
      <c r="BR57" s="615">
        <v>0</v>
      </c>
      <c r="BS57" s="615">
        <v>0</v>
      </c>
      <c r="BT57" s="615">
        <v>0</v>
      </c>
      <c r="BU57" s="615">
        <v>0</v>
      </c>
      <c r="BV57" s="615">
        <v>0</v>
      </c>
      <c r="BW57" s="615">
        <v>0</v>
      </c>
      <c r="BX57" s="607">
        <f t="shared" si="0"/>
        <v>82650</v>
      </c>
    </row>
    <row r="58" spans="1:76" s="612" customFormat="1" ht="11.25" customHeight="1" x14ac:dyDescent="0.2">
      <c r="A58" s="905"/>
      <c r="B58" s="610" t="s">
        <v>4226</v>
      </c>
      <c r="C58" s="634" t="s">
        <v>1809</v>
      </c>
      <c r="D58" s="609">
        <v>0</v>
      </c>
      <c r="E58" s="609">
        <v>0</v>
      </c>
      <c r="F58" s="609">
        <v>0</v>
      </c>
      <c r="G58" s="609">
        <v>0</v>
      </c>
      <c r="H58" s="585">
        <v>0</v>
      </c>
      <c r="I58" s="609">
        <v>0</v>
      </c>
      <c r="J58" s="609">
        <v>0</v>
      </c>
      <c r="K58" s="609">
        <v>0</v>
      </c>
      <c r="L58" s="609">
        <v>0</v>
      </c>
      <c r="M58" s="609">
        <v>0</v>
      </c>
      <c r="N58" s="609">
        <v>0</v>
      </c>
      <c r="O58" s="609">
        <v>0</v>
      </c>
      <c r="P58" s="609">
        <v>0</v>
      </c>
      <c r="Q58" s="609">
        <v>0</v>
      </c>
      <c r="R58" s="609">
        <v>0</v>
      </c>
      <c r="S58" s="609">
        <v>0</v>
      </c>
      <c r="T58" s="609">
        <v>0</v>
      </c>
      <c r="U58" s="609">
        <v>0</v>
      </c>
      <c r="V58" s="609">
        <v>0</v>
      </c>
      <c r="W58" s="609">
        <v>0</v>
      </c>
      <c r="X58" s="609">
        <v>0</v>
      </c>
      <c r="Y58" s="609">
        <v>0</v>
      </c>
      <c r="Z58" s="609">
        <v>0</v>
      </c>
      <c r="AA58" s="609">
        <v>0</v>
      </c>
      <c r="AB58" s="609">
        <v>0</v>
      </c>
      <c r="AC58" s="609">
        <v>0</v>
      </c>
      <c r="AD58" s="609">
        <v>0</v>
      </c>
      <c r="AE58" s="609">
        <v>0</v>
      </c>
      <c r="AF58" s="609">
        <v>0</v>
      </c>
      <c r="AG58" s="609">
        <v>0</v>
      </c>
      <c r="AH58" s="609">
        <v>0</v>
      </c>
      <c r="AI58" s="609">
        <v>0</v>
      </c>
      <c r="AJ58" s="609">
        <v>0</v>
      </c>
      <c r="AK58" s="609">
        <v>0</v>
      </c>
      <c r="AL58" s="609">
        <v>0</v>
      </c>
      <c r="AM58" s="609">
        <v>0</v>
      </c>
      <c r="AN58" s="609">
        <v>0</v>
      </c>
      <c r="AO58" s="609">
        <v>0</v>
      </c>
      <c r="AP58" s="609">
        <v>0</v>
      </c>
      <c r="AQ58" s="609">
        <v>0</v>
      </c>
      <c r="AR58" s="609">
        <v>0</v>
      </c>
      <c r="AS58" s="609">
        <v>0</v>
      </c>
      <c r="AT58" s="609">
        <v>0</v>
      </c>
      <c r="AU58" s="609">
        <v>0</v>
      </c>
      <c r="AV58" s="609">
        <v>0</v>
      </c>
      <c r="AW58" s="615">
        <v>0</v>
      </c>
      <c r="AX58" s="615">
        <v>0</v>
      </c>
      <c r="AY58" s="615">
        <v>0</v>
      </c>
      <c r="AZ58" s="615">
        <v>0</v>
      </c>
      <c r="BA58" s="615">
        <v>0</v>
      </c>
      <c r="BB58" s="615">
        <v>0</v>
      </c>
      <c r="BC58" s="615">
        <v>0</v>
      </c>
      <c r="BD58" s="615">
        <v>0</v>
      </c>
      <c r="BE58" s="615">
        <v>0</v>
      </c>
      <c r="BF58" s="615">
        <v>0</v>
      </c>
      <c r="BG58" s="615">
        <v>0</v>
      </c>
      <c r="BH58" s="615">
        <v>0</v>
      </c>
      <c r="BI58" s="615">
        <v>0</v>
      </c>
      <c r="BJ58" s="615">
        <v>0</v>
      </c>
      <c r="BK58" s="615">
        <v>0</v>
      </c>
      <c r="BL58" s="615">
        <v>0</v>
      </c>
      <c r="BM58" s="615">
        <v>0</v>
      </c>
      <c r="BN58" s="615">
        <v>0</v>
      </c>
      <c r="BO58" s="615">
        <v>0</v>
      </c>
      <c r="BP58" s="615">
        <v>0</v>
      </c>
      <c r="BQ58" s="615">
        <v>0</v>
      </c>
      <c r="BR58" s="615">
        <v>0</v>
      </c>
      <c r="BS58" s="615">
        <v>0</v>
      </c>
      <c r="BT58" s="615">
        <v>0</v>
      </c>
      <c r="BU58" s="615">
        <v>0</v>
      </c>
      <c r="BV58" s="615">
        <v>0</v>
      </c>
      <c r="BW58" s="615">
        <v>0</v>
      </c>
      <c r="BX58" s="607">
        <f t="shared" si="0"/>
        <v>0</v>
      </c>
    </row>
    <row r="59" spans="1:76" s="612" customFormat="1" ht="11.25" customHeight="1" x14ac:dyDescent="0.2">
      <c r="A59" s="905"/>
      <c r="B59" s="610" t="s">
        <v>4275</v>
      </c>
      <c r="C59" s="634" t="s">
        <v>1810</v>
      </c>
      <c r="D59" s="609">
        <v>0</v>
      </c>
      <c r="E59" s="609">
        <v>0</v>
      </c>
      <c r="F59" s="609">
        <v>0</v>
      </c>
      <c r="G59" s="609">
        <v>0</v>
      </c>
      <c r="H59" s="585">
        <v>0</v>
      </c>
      <c r="I59" s="609">
        <v>0</v>
      </c>
      <c r="J59" s="609">
        <v>0</v>
      </c>
      <c r="K59" s="609">
        <v>0</v>
      </c>
      <c r="L59" s="609">
        <v>0</v>
      </c>
      <c r="M59" s="609">
        <v>0</v>
      </c>
      <c r="N59" s="609">
        <v>0</v>
      </c>
      <c r="O59" s="609">
        <v>0</v>
      </c>
      <c r="P59" s="609">
        <v>0</v>
      </c>
      <c r="Q59" s="609">
        <v>0</v>
      </c>
      <c r="R59" s="609">
        <v>0</v>
      </c>
      <c r="S59" s="609">
        <v>0</v>
      </c>
      <c r="T59" s="609">
        <v>0</v>
      </c>
      <c r="U59" s="609">
        <v>0</v>
      </c>
      <c r="V59" s="609">
        <v>0</v>
      </c>
      <c r="W59" s="609">
        <v>0</v>
      </c>
      <c r="X59" s="609">
        <v>0</v>
      </c>
      <c r="Y59" s="609">
        <v>0</v>
      </c>
      <c r="Z59" s="609">
        <v>0</v>
      </c>
      <c r="AA59" s="609">
        <v>0</v>
      </c>
      <c r="AB59" s="609">
        <v>0</v>
      </c>
      <c r="AC59" s="609">
        <v>0</v>
      </c>
      <c r="AD59" s="609">
        <v>0</v>
      </c>
      <c r="AE59" s="609">
        <v>0</v>
      </c>
      <c r="AF59" s="609">
        <v>0</v>
      </c>
      <c r="AG59" s="609">
        <v>0</v>
      </c>
      <c r="AH59" s="609">
        <v>0</v>
      </c>
      <c r="AI59" s="609">
        <v>0</v>
      </c>
      <c r="AJ59" s="609">
        <v>0</v>
      </c>
      <c r="AK59" s="609">
        <v>0</v>
      </c>
      <c r="AL59" s="609">
        <v>48317</v>
      </c>
      <c r="AM59" s="609">
        <v>0</v>
      </c>
      <c r="AN59" s="609">
        <v>0</v>
      </c>
      <c r="AO59" s="609">
        <v>0</v>
      </c>
      <c r="AP59" s="609">
        <v>0</v>
      </c>
      <c r="AQ59" s="609">
        <v>108144</v>
      </c>
      <c r="AR59" s="609">
        <v>0</v>
      </c>
      <c r="AS59" s="609">
        <v>0</v>
      </c>
      <c r="AT59" s="609">
        <v>0</v>
      </c>
      <c r="AU59" s="609">
        <v>0</v>
      </c>
      <c r="AV59" s="609">
        <v>0</v>
      </c>
      <c r="AW59" s="615">
        <v>0</v>
      </c>
      <c r="AX59" s="615">
        <v>0</v>
      </c>
      <c r="AY59" s="615">
        <v>0</v>
      </c>
      <c r="AZ59" s="615">
        <v>0</v>
      </c>
      <c r="BA59" s="615">
        <v>0</v>
      </c>
      <c r="BB59" s="615">
        <v>0</v>
      </c>
      <c r="BC59" s="615">
        <v>0</v>
      </c>
      <c r="BD59" s="615">
        <v>0</v>
      </c>
      <c r="BE59" s="615">
        <v>0</v>
      </c>
      <c r="BF59" s="615">
        <v>0</v>
      </c>
      <c r="BG59" s="615">
        <v>0</v>
      </c>
      <c r="BH59" s="615">
        <v>0</v>
      </c>
      <c r="BI59" s="615">
        <v>0</v>
      </c>
      <c r="BJ59" s="615">
        <v>0</v>
      </c>
      <c r="BK59" s="615">
        <v>0</v>
      </c>
      <c r="BL59" s="615">
        <v>0</v>
      </c>
      <c r="BM59" s="615">
        <v>0</v>
      </c>
      <c r="BN59" s="615">
        <v>0</v>
      </c>
      <c r="BO59" s="615">
        <v>0</v>
      </c>
      <c r="BP59" s="615">
        <v>0</v>
      </c>
      <c r="BQ59" s="615">
        <v>0</v>
      </c>
      <c r="BR59" s="615">
        <v>0</v>
      </c>
      <c r="BS59" s="615">
        <v>0</v>
      </c>
      <c r="BT59" s="615">
        <v>0</v>
      </c>
      <c r="BU59" s="615">
        <v>0</v>
      </c>
      <c r="BV59" s="615">
        <v>0</v>
      </c>
      <c r="BW59" s="615">
        <v>0</v>
      </c>
      <c r="BX59" s="607">
        <f t="shared" si="0"/>
        <v>156461</v>
      </c>
    </row>
    <row r="60" spans="1:76" s="612" customFormat="1" ht="11.25" customHeight="1" x14ac:dyDescent="0.2">
      <c r="A60" s="905"/>
      <c r="B60" s="610" t="s">
        <v>1183</v>
      </c>
      <c r="C60" s="634" t="s">
        <v>1811</v>
      </c>
      <c r="D60" s="609">
        <v>0</v>
      </c>
      <c r="E60" s="609">
        <v>0</v>
      </c>
      <c r="F60" s="609">
        <v>0</v>
      </c>
      <c r="G60" s="609">
        <v>0</v>
      </c>
      <c r="H60" s="585">
        <v>0</v>
      </c>
      <c r="I60" s="609">
        <v>0</v>
      </c>
      <c r="J60" s="609">
        <v>0</v>
      </c>
      <c r="K60" s="609">
        <v>0</v>
      </c>
      <c r="L60" s="609">
        <v>0</v>
      </c>
      <c r="M60" s="609">
        <v>0</v>
      </c>
      <c r="N60" s="609">
        <v>0</v>
      </c>
      <c r="O60" s="609">
        <v>0</v>
      </c>
      <c r="P60" s="609">
        <v>0</v>
      </c>
      <c r="Q60" s="609">
        <v>0</v>
      </c>
      <c r="R60" s="609">
        <v>0</v>
      </c>
      <c r="S60" s="609">
        <v>0</v>
      </c>
      <c r="T60" s="609">
        <v>0</v>
      </c>
      <c r="U60" s="609">
        <v>0</v>
      </c>
      <c r="V60" s="609">
        <v>0</v>
      </c>
      <c r="W60" s="609">
        <v>0</v>
      </c>
      <c r="X60" s="609">
        <v>0</v>
      </c>
      <c r="Y60" s="609">
        <v>0</v>
      </c>
      <c r="Z60" s="609">
        <v>0</v>
      </c>
      <c r="AA60" s="609">
        <v>0</v>
      </c>
      <c r="AB60" s="609">
        <v>0</v>
      </c>
      <c r="AC60" s="609">
        <v>0</v>
      </c>
      <c r="AD60" s="609">
        <v>0</v>
      </c>
      <c r="AE60" s="609">
        <v>0</v>
      </c>
      <c r="AF60" s="609">
        <v>0</v>
      </c>
      <c r="AG60" s="609">
        <v>0</v>
      </c>
      <c r="AH60" s="609">
        <v>0</v>
      </c>
      <c r="AI60" s="609">
        <v>0</v>
      </c>
      <c r="AJ60" s="609">
        <v>0</v>
      </c>
      <c r="AK60" s="609">
        <v>0</v>
      </c>
      <c r="AL60" s="609">
        <v>0</v>
      </c>
      <c r="AM60" s="609">
        <v>0</v>
      </c>
      <c r="AN60" s="609">
        <v>0</v>
      </c>
      <c r="AO60" s="609">
        <v>0</v>
      </c>
      <c r="AP60" s="609">
        <v>171008</v>
      </c>
      <c r="AQ60" s="609">
        <v>0</v>
      </c>
      <c r="AR60" s="609">
        <v>0</v>
      </c>
      <c r="AS60" s="609">
        <v>0</v>
      </c>
      <c r="AT60" s="609">
        <v>0</v>
      </c>
      <c r="AU60" s="609">
        <v>0</v>
      </c>
      <c r="AV60" s="609">
        <v>0</v>
      </c>
      <c r="AW60" s="615">
        <v>0</v>
      </c>
      <c r="AX60" s="615">
        <v>0</v>
      </c>
      <c r="AY60" s="615">
        <v>0</v>
      </c>
      <c r="AZ60" s="615">
        <v>0</v>
      </c>
      <c r="BA60" s="615">
        <v>0</v>
      </c>
      <c r="BB60" s="615">
        <v>0</v>
      </c>
      <c r="BC60" s="615">
        <v>0</v>
      </c>
      <c r="BD60" s="615">
        <v>0</v>
      </c>
      <c r="BE60" s="615">
        <v>0</v>
      </c>
      <c r="BF60" s="615">
        <v>0</v>
      </c>
      <c r="BG60" s="615">
        <v>0</v>
      </c>
      <c r="BH60" s="615">
        <v>0</v>
      </c>
      <c r="BI60" s="615">
        <v>0</v>
      </c>
      <c r="BJ60" s="615">
        <v>0</v>
      </c>
      <c r="BK60" s="615">
        <v>0</v>
      </c>
      <c r="BL60" s="615">
        <v>0</v>
      </c>
      <c r="BM60" s="615">
        <v>0</v>
      </c>
      <c r="BN60" s="615">
        <v>0</v>
      </c>
      <c r="BO60" s="615">
        <v>0</v>
      </c>
      <c r="BP60" s="615">
        <v>0</v>
      </c>
      <c r="BQ60" s="615">
        <v>0</v>
      </c>
      <c r="BR60" s="615">
        <v>0</v>
      </c>
      <c r="BS60" s="615">
        <v>0</v>
      </c>
      <c r="BT60" s="615">
        <v>0</v>
      </c>
      <c r="BU60" s="615">
        <v>0</v>
      </c>
      <c r="BV60" s="615">
        <v>0</v>
      </c>
      <c r="BW60" s="615">
        <v>0</v>
      </c>
      <c r="BX60" s="607">
        <f t="shared" si="0"/>
        <v>171008</v>
      </c>
    </row>
    <row r="61" spans="1:76" s="612" customFormat="1" ht="11.25" customHeight="1" x14ac:dyDescent="0.2">
      <c r="A61" s="905"/>
      <c r="B61" s="610" t="s">
        <v>2608</v>
      </c>
      <c r="C61" s="634" t="s">
        <v>2679</v>
      </c>
      <c r="D61" s="609">
        <v>0</v>
      </c>
      <c r="E61" s="609">
        <v>0</v>
      </c>
      <c r="F61" s="609">
        <v>0</v>
      </c>
      <c r="G61" s="609">
        <v>0</v>
      </c>
      <c r="H61" s="585">
        <v>0</v>
      </c>
      <c r="I61" s="609">
        <v>0</v>
      </c>
      <c r="J61" s="609">
        <v>0</v>
      </c>
      <c r="K61" s="609">
        <v>0</v>
      </c>
      <c r="L61" s="609">
        <v>0</v>
      </c>
      <c r="M61" s="609">
        <v>0</v>
      </c>
      <c r="N61" s="609">
        <v>0</v>
      </c>
      <c r="O61" s="609">
        <v>0</v>
      </c>
      <c r="P61" s="609">
        <v>0</v>
      </c>
      <c r="Q61" s="609">
        <v>0</v>
      </c>
      <c r="R61" s="609">
        <v>0</v>
      </c>
      <c r="S61" s="609">
        <v>0</v>
      </c>
      <c r="T61" s="609">
        <v>0</v>
      </c>
      <c r="U61" s="609">
        <v>0</v>
      </c>
      <c r="V61" s="609">
        <v>0</v>
      </c>
      <c r="W61" s="609">
        <v>0</v>
      </c>
      <c r="X61" s="609">
        <v>0</v>
      </c>
      <c r="Y61" s="609">
        <v>0</v>
      </c>
      <c r="Z61" s="609">
        <v>0</v>
      </c>
      <c r="AA61" s="609">
        <v>0</v>
      </c>
      <c r="AB61" s="609">
        <v>0</v>
      </c>
      <c r="AC61" s="609">
        <v>0</v>
      </c>
      <c r="AD61" s="609">
        <v>0</v>
      </c>
      <c r="AE61" s="609">
        <v>0</v>
      </c>
      <c r="AF61" s="609">
        <v>0</v>
      </c>
      <c r="AG61" s="609">
        <v>0</v>
      </c>
      <c r="AH61" s="609">
        <v>0</v>
      </c>
      <c r="AI61" s="609">
        <v>0</v>
      </c>
      <c r="AJ61" s="609">
        <v>0</v>
      </c>
      <c r="AK61" s="609">
        <v>0</v>
      </c>
      <c r="AL61" s="609">
        <v>0</v>
      </c>
      <c r="AM61" s="609">
        <v>0</v>
      </c>
      <c r="AN61" s="609">
        <v>0</v>
      </c>
      <c r="AO61" s="609">
        <v>0</v>
      </c>
      <c r="AP61" s="609">
        <v>0</v>
      </c>
      <c r="AQ61" s="609">
        <v>0</v>
      </c>
      <c r="AR61" s="609">
        <v>0</v>
      </c>
      <c r="AS61" s="609">
        <v>0</v>
      </c>
      <c r="AT61" s="609">
        <v>0</v>
      </c>
      <c r="AU61" s="609">
        <v>0</v>
      </c>
      <c r="AV61" s="609">
        <v>0</v>
      </c>
      <c r="AW61" s="615">
        <v>0</v>
      </c>
      <c r="AX61" s="615">
        <v>0</v>
      </c>
      <c r="AY61" s="615">
        <v>0</v>
      </c>
      <c r="AZ61" s="615">
        <v>0</v>
      </c>
      <c r="BA61" s="615">
        <v>0</v>
      </c>
      <c r="BB61" s="615">
        <v>0</v>
      </c>
      <c r="BC61" s="615">
        <v>0</v>
      </c>
      <c r="BD61" s="615">
        <v>0</v>
      </c>
      <c r="BE61" s="615">
        <v>0</v>
      </c>
      <c r="BF61" s="615">
        <v>0</v>
      </c>
      <c r="BG61" s="615">
        <v>0</v>
      </c>
      <c r="BH61" s="615">
        <v>0</v>
      </c>
      <c r="BI61" s="615">
        <v>0</v>
      </c>
      <c r="BJ61" s="615">
        <v>0</v>
      </c>
      <c r="BK61" s="615">
        <v>0</v>
      </c>
      <c r="BL61" s="615">
        <v>0</v>
      </c>
      <c r="BM61" s="615">
        <v>0</v>
      </c>
      <c r="BN61" s="615">
        <v>0</v>
      </c>
      <c r="BO61" s="615">
        <v>0</v>
      </c>
      <c r="BP61" s="615">
        <v>0</v>
      </c>
      <c r="BQ61" s="615">
        <v>0</v>
      </c>
      <c r="BR61" s="615">
        <v>0</v>
      </c>
      <c r="BS61" s="615">
        <v>0</v>
      </c>
      <c r="BT61" s="615">
        <v>0</v>
      </c>
      <c r="BU61" s="615">
        <v>0</v>
      </c>
      <c r="BV61" s="615">
        <v>0</v>
      </c>
      <c r="BW61" s="615">
        <v>0</v>
      </c>
      <c r="BX61" s="607">
        <f t="shared" si="0"/>
        <v>0</v>
      </c>
    </row>
    <row r="62" spans="1:76" s="612" customFormat="1" ht="11.25" customHeight="1" x14ac:dyDescent="0.2">
      <c r="A62" s="905"/>
      <c r="B62" s="610" t="s">
        <v>876</v>
      </c>
      <c r="C62" s="634" t="s">
        <v>1812</v>
      </c>
      <c r="D62" s="609">
        <v>0</v>
      </c>
      <c r="E62" s="609">
        <v>0</v>
      </c>
      <c r="F62" s="609">
        <v>0</v>
      </c>
      <c r="G62" s="609">
        <v>0</v>
      </c>
      <c r="H62" s="585">
        <v>0</v>
      </c>
      <c r="I62" s="609">
        <v>0</v>
      </c>
      <c r="J62" s="609">
        <v>0</v>
      </c>
      <c r="K62" s="609">
        <v>0</v>
      </c>
      <c r="L62" s="609">
        <v>0</v>
      </c>
      <c r="M62" s="609">
        <v>0</v>
      </c>
      <c r="N62" s="609">
        <v>0</v>
      </c>
      <c r="O62" s="609">
        <v>0</v>
      </c>
      <c r="P62" s="609">
        <v>0</v>
      </c>
      <c r="Q62" s="609">
        <v>0</v>
      </c>
      <c r="R62" s="609">
        <v>0</v>
      </c>
      <c r="S62" s="609">
        <v>0</v>
      </c>
      <c r="T62" s="609">
        <v>0</v>
      </c>
      <c r="U62" s="609">
        <v>0</v>
      </c>
      <c r="V62" s="609">
        <v>0</v>
      </c>
      <c r="W62" s="609">
        <v>0</v>
      </c>
      <c r="X62" s="609">
        <v>0</v>
      </c>
      <c r="Y62" s="609">
        <v>0</v>
      </c>
      <c r="Z62" s="609">
        <v>0</v>
      </c>
      <c r="AA62" s="609">
        <v>0</v>
      </c>
      <c r="AB62" s="609">
        <v>0</v>
      </c>
      <c r="AC62" s="609">
        <v>0</v>
      </c>
      <c r="AD62" s="609">
        <v>0</v>
      </c>
      <c r="AE62" s="609">
        <v>0</v>
      </c>
      <c r="AF62" s="609">
        <v>0</v>
      </c>
      <c r="AG62" s="609">
        <v>0</v>
      </c>
      <c r="AH62" s="609">
        <v>0</v>
      </c>
      <c r="AI62" s="609">
        <v>0</v>
      </c>
      <c r="AJ62" s="609">
        <v>0</v>
      </c>
      <c r="AK62" s="609">
        <v>0</v>
      </c>
      <c r="AL62" s="609">
        <v>0</v>
      </c>
      <c r="AM62" s="609">
        <v>0</v>
      </c>
      <c r="AN62" s="609">
        <v>0</v>
      </c>
      <c r="AO62" s="609">
        <v>0</v>
      </c>
      <c r="AP62" s="609">
        <v>0</v>
      </c>
      <c r="AQ62" s="609">
        <v>1010431</v>
      </c>
      <c r="AR62" s="609">
        <v>0</v>
      </c>
      <c r="AS62" s="609">
        <v>0</v>
      </c>
      <c r="AT62" s="609">
        <v>0</v>
      </c>
      <c r="AU62" s="609">
        <v>0</v>
      </c>
      <c r="AV62" s="609">
        <v>0</v>
      </c>
      <c r="AW62" s="615">
        <v>0</v>
      </c>
      <c r="AX62" s="615">
        <v>0</v>
      </c>
      <c r="AY62" s="615">
        <v>0</v>
      </c>
      <c r="AZ62" s="615">
        <v>0</v>
      </c>
      <c r="BA62" s="615">
        <v>0</v>
      </c>
      <c r="BB62" s="615">
        <v>0</v>
      </c>
      <c r="BC62" s="615">
        <v>0</v>
      </c>
      <c r="BD62" s="615">
        <v>0</v>
      </c>
      <c r="BE62" s="615">
        <v>0</v>
      </c>
      <c r="BF62" s="615">
        <v>0</v>
      </c>
      <c r="BG62" s="615">
        <v>0</v>
      </c>
      <c r="BH62" s="615">
        <v>0</v>
      </c>
      <c r="BI62" s="615">
        <v>0</v>
      </c>
      <c r="BJ62" s="615">
        <v>0</v>
      </c>
      <c r="BK62" s="615">
        <v>0</v>
      </c>
      <c r="BL62" s="615">
        <v>0</v>
      </c>
      <c r="BM62" s="615">
        <v>0</v>
      </c>
      <c r="BN62" s="615">
        <v>0</v>
      </c>
      <c r="BO62" s="615">
        <v>0</v>
      </c>
      <c r="BP62" s="615">
        <v>0</v>
      </c>
      <c r="BQ62" s="615">
        <v>0</v>
      </c>
      <c r="BR62" s="615">
        <v>0</v>
      </c>
      <c r="BS62" s="615">
        <v>0</v>
      </c>
      <c r="BT62" s="615">
        <v>0</v>
      </c>
      <c r="BU62" s="615">
        <v>0</v>
      </c>
      <c r="BV62" s="615">
        <v>0</v>
      </c>
      <c r="BW62" s="615">
        <v>0</v>
      </c>
      <c r="BX62" s="607">
        <f t="shared" si="0"/>
        <v>1010431</v>
      </c>
    </row>
    <row r="63" spans="1:76" s="612" customFormat="1" ht="11.25" customHeight="1" x14ac:dyDescent="0.2">
      <c r="A63" s="905"/>
      <c r="B63" s="610" t="s">
        <v>1234</v>
      </c>
      <c r="C63" s="634" t="s">
        <v>1813</v>
      </c>
      <c r="D63" s="609">
        <v>0</v>
      </c>
      <c r="E63" s="609">
        <v>0</v>
      </c>
      <c r="F63" s="609">
        <v>0</v>
      </c>
      <c r="G63" s="609">
        <v>0</v>
      </c>
      <c r="H63" s="585">
        <v>0</v>
      </c>
      <c r="I63" s="609">
        <v>0</v>
      </c>
      <c r="J63" s="609">
        <v>0</v>
      </c>
      <c r="K63" s="609">
        <v>0</v>
      </c>
      <c r="L63" s="609">
        <v>0</v>
      </c>
      <c r="M63" s="609">
        <v>0</v>
      </c>
      <c r="N63" s="609">
        <v>0</v>
      </c>
      <c r="O63" s="609">
        <v>0</v>
      </c>
      <c r="P63" s="609">
        <v>0</v>
      </c>
      <c r="Q63" s="609">
        <v>0</v>
      </c>
      <c r="R63" s="609">
        <v>0</v>
      </c>
      <c r="S63" s="609">
        <v>0</v>
      </c>
      <c r="T63" s="609">
        <v>0</v>
      </c>
      <c r="U63" s="609">
        <v>0</v>
      </c>
      <c r="V63" s="609">
        <v>0</v>
      </c>
      <c r="W63" s="609">
        <v>0</v>
      </c>
      <c r="X63" s="609">
        <v>0</v>
      </c>
      <c r="Y63" s="609">
        <v>0</v>
      </c>
      <c r="Z63" s="609">
        <v>0</v>
      </c>
      <c r="AA63" s="609">
        <v>0</v>
      </c>
      <c r="AB63" s="609">
        <v>0</v>
      </c>
      <c r="AC63" s="609">
        <v>0</v>
      </c>
      <c r="AD63" s="609">
        <v>0</v>
      </c>
      <c r="AE63" s="609">
        <v>0</v>
      </c>
      <c r="AF63" s="609">
        <v>0</v>
      </c>
      <c r="AG63" s="609">
        <v>0</v>
      </c>
      <c r="AH63" s="609">
        <v>0</v>
      </c>
      <c r="AI63" s="609">
        <v>0</v>
      </c>
      <c r="AJ63" s="609">
        <v>0</v>
      </c>
      <c r="AK63" s="609">
        <v>0</v>
      </c>
      <c r="AL63" s="609">
        <v>0</v>
      </c>
      <c r="AM63" s="609">
        <v>0</v>
      </c>
      <c r="AN63" s="609">
        <v>0</v>
      </c>
      <c r="AO63" s="609">
        <v>0</v>
      </c>
      <c r="AP63" s="609">
        <v>0</v>
      </c>
      <c r="AQ63" s="609">
        <v>0</v>
      </c>
      <c r="AR63" s="609">
        <v>0</v>
      </c>
      <c r="AS63" s="609">
        <v>0</v>
      </c>
      <c r="AT63" s="609">
        <v>0</v>
      </c>
      <c r="AU63" s="609">
        <v>0</v>
      </c>
      <c r="AV63" s="609">
        <v>0</v>
      </c>
      <c r="AW63" s="615">
        <v>0</v>
      </c>
      <c r="AX63" s="615">
        <v>0</v>
      </c>
      <c r="AY63" s="615">
        <v>0</v>
      </c>
      <c r="AZ63" s="615">
        <v>0</v>
      </c>
      <c r="BA63" s="615">
        <v>0</v>
      </c>
      <c r="BB63" s="615">
        <v>0</v>
      </c>
      <c r="BC63" s="615">
        <v>0</v>
      </c>
      <c r="BD63" s="615">
        <v>0</v>
      </c>
      <c r="BE63" s="615">
        <v>0</v>
      </c>
      <c r="BF63" s="615">
        <v>0</v>
      </c>
      <c r="BG63" s="615">
        <v>0</v>
      </c>
      <c r="BH63" s="615">
        <v>0</v>
      </c>
      <c r="BI63" s="615">
        <v>0</v>
      </c>
      <c r="BJ63" s="615">
        <v>0</v>
      </c>
      <c r="BK63" s="615">
        <v>0</v>
      </c>
      <c r="BL63" s="615">
        <v>0</v>
      </c>
      <c r="BM63" s="615">
        <v>0</v>
      </c>
      <c r="BN63" s="615">
        <v>0</v>
      </c>
      <c r="BO63" s="615">
        <v>0</v>
      </c>
      <c r="BP63" s="615">
        <v>0</v>
      </c>
      <c r="BQ63" s="615">
        <v>0</v>
      </c>
      <c r="BR63" s="615">
        <v>0</v>
      </c>
      <c r="BS63" s="615">
        <v>0</v>
      </c>
      <c r="BT63" s="615">
        <v>0</v>
      </c>
      <c r="BU63" s="615">
        <v>0</v>
      </c>
      <c r="BV63" s="615">
        <v>0</v>
      </c>
      <c r="BW63" s="615">
        <v>0</v>
      </c>
      <c r="BX63" s="607">
        <f t="shared" si="0"/>
        <v>0</v>
      </c>
    </row>
    <row r="64" spans="1:76" s="612" customFormat="1" ht="11.25" customHeight="1" x14ac:dyDescent="0.2">
      <c r="A64" s="905"/>
      <c r="B64" s="610" t="s">
        <v>877</v>
      </c>
      <c r="C64" s="634" t="s">
        <v>1814</v>
      </c>
      <c r="D64" s="609">
        <v>0</v>
      </c>
      <c r="E64" s="609">
        <v>0</v>
      </c>
      <c r="F64" s="609">
        <v>0</v>
      </c>
      <c r="G64" s="609">
        <v>0</v>
      </c>
      <c r="H64" s="585">
        <v>0</v>
      </c>
      <c r="I64" s="609" t="s">
        <v>1128</v>
      </c>
      <c r="J64" s="609" t="s">
        <v>1128</v>
      </c>
      <c r="K64" s="609" t="s">
        <v>1128</v>
      </c>
      <c r="L64" s="609">
        <v>0</v>
      </c>
      <c r="M64" s="609">
        <v>0</v>
      </c>
      <c r="N64" s="609">
        <v>0</v>
      </c>
      <c r="O64" s="609">
        <v>0</v>
      </c>
      <c r="P64" s="609">
        <v>0</v>
      </c>
      <c r="Q64" s="609">
        <v>0</v>
      </c>
      <c r="R64" s="609">
        <v>0</v>
      </c>
      <c r="S64" s="609">
        <v>0</v>
      </c>
      <c r="T64" s="609">
        <v>0</v>
      </c>
      <c r="U64" s="609">
        <v>0</v>
      </c>
      <c r="V64" s="609">
        <v>0</v>
      </c>
      <c r="W64" s="609">
        <v>0</v>
      </c>
      <c r="X64" s="609">
        <v>0</v>
      </c>
      <c r="Y64" s="609">
        <v>0</v>
      </c>
      <c r="Z64" s="609">
        <v>0</v>
      </c>
      <c r="AA64" s="609">
        <v>0</v>
      </c>
      <c r="AB64" s="609">
        <v>0</v>
      </c>
      <c r="AC64" s="609">
        <v>0</v>
      </c>
      <c r="AD64" s="609">
        <v>0</v>
      </c>
      <c r="AE64" s="609">
        <v>0</v>
      </c>
      <c r="AF64" s="609">
        <v>0</v>
      </c>
      <c r="AG64" s="609">
        <v>0</v>
      </c>
      <c r="AH64" s="609">
        <v>0</v>
      </c>
      <c r="AI64" s="609">
        <v>0</v>
      </c>
      <c r="AJ64" s="609">
        <v>0</v>
      </c>
      <c r="AK64" s="609">
        <v>0</v>
      </c>
      <c r="AL64" s="609">
        <v>0</v>
      </c>
      <c r="AM64" s="609">
        <v>0</v>
      </c>
      <c r="AN64" s="609">
        <v>0</v>
      </c>
      <c r="AO64" s="609">
        <v>767999</v>
      </c>
      <c r="AP64" s="609">
        <v>0</v>
      </c>
      <c r="AQ64" s="609">
        <v>103264</v>
      </c>
      <c r="AR64" s="609">
        <v>0</v>
      </c>
      <c r="AS64" s="609">
        <v>0</v>
      </c>
      <c r="AT64" s="609">
        <v>0</v>
      </c>
      <c r="AU64" s="609">
        <v>0</v>
      </c>
      <c r="AV64" s="609">
        <v>0</v>
      </c>
      <c r="AW64" s="615">
        <v>0</v>
      </c>
      <c r="AX64" s="615">
        <v>0</v>
      </c>
      <c r="AY64" s="615">
        <v>0</v>
      </c>
      <c r="AZ64" s="615">
        <v>0</v>
      </c>
      <c r="BA64" s="615">
        <v>0</v>
      </c>
      <c r="BB64" s="615">
        <v>0</v>
      </c>
      <c r="BC64" s="615">
        <v>0</v>
      </c>
      <c r="BD64" s="615">
        <v>0</v>
      </c>
      <c r="BE64" s="615">
        <v>0</v>
      </c>
      <c r="BF64" s="615">
        <v>0</v>
      </c>
      <c r="BG64" s="615">
        <v>0</v>
      </c>
      <c r="BH64" s="615">
        <v>0</v>
      </c>
      <c r="BI64" s="615">
        <v>0</v>
      </c>
      <c r="BJ64" s="615">
        <v>0</v>
      </c>
      <c r="BK64" s="615">
        <v>0</v>
      </c>
      <c r="BL64" s="615">
        <v>0</v>
      </c>
      <c r="BM64" s="615">
        <v>0</v>
      </c>
      <c r="BN64" s="615">
        <v>0</v>
      </c>
      <c r="BO64" s="615">
        <v>0</v>
      </c>
      <c r="BP64" s="615">
        <v>0</v>
      </c>
      <c r="BQ64" s="615">
        <v>0</v>
      </c>
      <c r="BR64" s="615">
        <v>0</v>
      </c>
      <c r="BS64" s="615">
        <v>0</v>
      </c>
      <c r="BT64" s="615">
        <v>0</v>
      </c>
      <c r="BU64" s="615">
        <v>0</v>
      </c>
      <c r="BV64" s="615">
        <v>0</v>
      </c>
      <c r="BW64" s="615">
        <v>0</v>
      </c>
      <c r="BX64" s="607">
        <f t="shared" si="0"/>
        <v>871263</v>
      </c>
    </row>
    <row r="65" spans="1:76" s="612" customFormat="1" ht="11.25" customHeight="1" x14ac:dyDescent="0.2">
      <c r="A65" s="905"/>
      <c r="B65" s="610" t="s">
        <v>919</v>
      </c>
      <c r="C65" s="634" t="s">
        <v>1815</v>
      </c>
      <c r="D65" s="609">
        <v>0</v>
      </c>
      <c r="E65" s="609">
        <v>0</v>
      </c>
      <c r="F65" s="609">
        <v>0</v>
      </c>
      <c r="G65" s="609">
        <v>0</v>
      </c>
      <c r="H65" s="585">
        <v>0</v>
      </c>
      <c r="I65" s="609">
        <v>0</v>
      </c>
      <c r="J65" s="609">
        <v>0</v>
      </c>
      <c r="K65" s="609">
        <v>0</v>
      </c>
      <c r="L65" s="609">
        <v>0</v>
      </c>
      <c r="M65" s="609">
        <v>0</v>
      </c>
      <c r="N65" s="609">
        <v>0</v>
      </c>
      <c r="O65" s="609">
        <v>0</v>
      </c>
      <c r="P65" s="609">
        <v>0</v>
      </c>
      <c r="Q65" s="609">
        <v>0</v>
      </c>
      <c r="R65" s="609">
        <v>0</v>
      </c>
      <c r="S65" s="609">
        <v>0</v>
      </c>
      <c r="T65" s="609">
        <v>0</v>
      </c>
      <c r="U65" s="609">
        <v>0</v>
      </c>
      <c r="V65" s="609">
        <v>0</v>
      </c>
      <c r="W65" s="609">
        <v>0</v>
      </c>
      <c r="X65" s="609">
        <v>0</v>
      </c>
      <c r="Y65" s="609">
        <v>0</v>
      </c>
      <c r="Z65" s="609">
        <v>0</v>
      </c>
      <c r="AA65" s="609">
        <v>0</v>
      </c>
      <c r="AB65" s="609">
        <v>0</v>
      </c>
      <c r="AC65" s="609">
        <v>0</v>
      </c>
      <c r="AD65" s="609">
        <v>0</v>
      </c>
      <c r="AE65" s="609">
        <v>0</v>
      </c>
      <c r="AF65" s="609">
        <v>0</v>
      </c>
      <c r="AG65" s="609">
        <v>0</v>
      </c>
      <c r="AH65" s="609">
        <v>0</v>
      </c>
      <c r="AI65" s="609">
        <v>0</v>
      </c>
      <c r="AJ65" s="609">
        <v>0</v>
      </c>
      <c r="AK65" s="609">
        <v>0</v>
      </c>
      <c r="AL65" s="609">
        <v>0</v>
      </c>
      <c r="AM65" s="609">
        <v>0</v>
      </c>
      <c r="AN65" s="609">
        <v>0</v>
      </c>
      <c r="AO65" s="609">
        <v>0</v>
      </c>
      <c r="AP65" s="609">
        <v>0</v>
      </c>
      <c r="AQ65" s="609">
        <v>0</v>
      </c>
      <c r="AR65" s="609">
        <v>0</v>
      </c>
      <c r="AS65" s="609">
        <v>0</v>
      </c>
      <c r="AT65" s="609">
        <v>0</v>
      </c>
      <c r="AU65" s="609">
        <v>0</v>
      </c>
      <c r="AV65" s="609">
        <v>0</v>
      </c>
      <c r="AW65" s="615">
        <v>0</v>
      </c>
      <c r="AX65" s="615">
        <v>0</v>
      </c>
      <c r="AY65" s="615">
        <v>0</v>
      </c>
      <c r="AZ65" s="615">
        <v>0</v>
      </c>
      <c r="BA65" s="615">
        <v>0</v>
      </c>
      <c r="BB65" s="615">
        <v>0</v>
      </c>
      <c r="BC65" s="615">
        <v>0</v>
      </c>
      <c r="BD65" s="615">
        <v>0</v>
      </c>
      <c r="BE65" s="615">
        <v>0</v>
      </c>
      <c r="BF65" s="615">
        <v>0</v>
      </c>
      <c r="BG65" s="615">
        <v>0</v>
      </c>
      <c r="BH65" s="615">
        <v>0</v>
      </c>
      <c r="BI65" s="615">
        <v>0</v>
      </c>
      <c r="BJ65" s="615">
        <v>0</v>
      </c>
      <c r="BK65" s="615">
        <v>0</v>
      </c>
      <c r="BL65" s="615">
        <v>0</v>
      </c>
      <c r="BM65" s="615">
        <v>0</v>
      </c>
      <c r="BN65" s="615">
        <v>0</v>
      </c>
      <c r="BO65" s="615">
        <v>0</v>
      </c>
      <c r="BP65" s="615">
        <v>0</v>
      </c>
      <c r="BQ65" s="615">
        <v>0</v>
      </c>
      <c r="BR65" s="615">
        <v>0</v>
      </c>
      <c r="BS65" s="615">
        <v>0</v>
      </c>
      <c r="BT65" s="615">
        <v>0</v>
      </c>
      <c r="BU65" s="615">
        <v>0</v>
      </c>
      <c r="BV65" s="615">
        <v>0</v>
      </c>
      <c r="BW65" s="615">
        <v>0</v>
      </c>
      <c r="BX65" s="607">
        <f t="shared" si="0"/>
        <v>0</v>
      </c>
    </row>
    <row r="66" spans="1:76" s="612" customFormat="1" ht="11.25" customHeight="1" x14ac:dyDescent="0.2">
      <c r="A66" s="905"/>
      <c r="B66" s="610" t="s">
        <v>1175</v>
      </c>
      <c r="C66" s="634" t="s">
        <v>1816</v>
      </c>
      <c r="D66" s="609">
        <v>0</v>
      </c>
      <c r="E66" s="609">
        <v>0</v>
      </c>
      <c r="F66" s="609">
        <v>0</v>
      </c>
      <c r="G66" s="609">
        <v>0</v>
      </c>
      <c r="H66" s="585">
        <v>0</v>
      </c>
      <c r="I66" s="609">
        <v>0</v>
      </c>
      <c r="J66" s="609">
        <v>0</v>
      </c>
      <c r="K66" s="609">
        <v>0</v>
      </c>
      <c r="L66" s="609">
        <v>0</v>
      </c>
      <c r="M66" s="609">
        <v>0</v>
      </c>
      <c r="N66" s="609">
        <v>0</v>
      </c>
      <c r="O66" s="609">
        <v>0</v>
      </c>
      <c r="P66" s="609">
        <v>0</v>
      </c>
      <c r="Q66" s="609">
        <v>0</v>
      </c>
      <c r="R66" s="609">
        <v>0</v>
      </c>
      <c r="S66" s="609">
        <v>0</v>
      </c>
      <c r="T66" s="609">
        <v>0</v>
      </c>
      <c r="U66" s="609">
        <v>0</v>
      </c>
      <c r="V66" s="609">
        <v>0</v>
      </c>
      <c r="W66" s="609">
        <v>0</v>
      </c>
      <c r="X66" s="609">
        <v>0</v>
      </c>
      <c r="Y66" s="609">
        <v>0</v>
      </c>
      <c r="Z66" s="609">
        <v>0</v>
      </c>
      <c r="AA66" s="609">
        <v>0</v>
      </c>
      <c r="AB66" s="609">
        <v>0</v>
      </c>
      <c r="AC66" s="609">
        <v>0</v>
      </c>
      <c r="AD66" s="609">
        <v>0</v>
      </c>
      <c r="AE66" s="609">
        <v>0</v>
      </c>
      <c r="AF66" s="609">
        <v>0</v>
      </c>
      <c r="AG66" s="609">
        <v>0</v>
      </c>
      <c r="AH66" s="609">
        <v>0</v>
      </c>
      <c r="AI66" s="609">
        <v>0</v>
      </c>
      <c r="AJ66" s="609">
        <v>0</v>
      </c>
      <c r="AK66" s="609">
        <v>0</v>
      </c>
      <c r="AL66" s="609">
        <v>0</v>
      </c>
      <c r="AM66" s="609">
        <v>0</v>
      </c>
      <c r="AN66" s="609">
        <v>0</v>
      </c>
      <c r="AO66" s="609">
        <v>0</v>
      </c>
      <c r="AP66" s="609">
        <v>0</v>
      </c>
      <c r="AQ66" s="609">
        <v>0</v>
      </c>
      <c r="AR66" s="609">
        <v>0</v>
      </c>
      <c r="AS66" s="609">
        <v>0</v>
      </c>
      <c r="AT66" s="609">
        <v>0</v>
      </c>
      <c r="AU66" s="609">
        <v>0</v>
      </c>
      <c r="AV66" s="609">
        <v>0</v>
      </c>
      <c r="AW66" s="615">
        <v>0</v>
      </c>
      <c r="AX66" s="615">
        <v>0</v>
      </c>
      <c r="AY66" s="615">
        <v>0</v>
      </c>
      <c r="AZ66" s="615">
        <v>0</v>
      </c>
      <c r="BA66" s="615">
        <v>0</v>
      </c>
      <c r="BB66" s="615">
        <v>0</v>
      </c>
      <c r="BC66" s="615">
        <v>0</v>
      </c>
      <c r="BD66" s="615">
        <v>0</v>
      </c>
      <c r="BE66" s="615">
        <v>0</v>
      </c>
      <c r="BF66" s="615">
        <v>0</v>
      </c>
      <c r="BG66" s="615">
        <v>0</v>
      </c>
      <c r="BH66" s="615">
        <v>0</v>
      </c>
      <c r="BI66" s="615">
        <v>0</v>
      </c>
      <c r="BJ66" s="615">
        <v>0</v>
      </c>
      <c r="BK66" s="615">
        <v>0</v>
      </c>
      <c r="BL66" s="615">
        <v>0</v>
      </c>
      <c r="BM66" s="615">
        <v>0</v>
      </c>
      <c r="BN66" s="615">
        <v>0</v>
      </c>
      <c r="BO66" s="615">
        <v>0</v>
      </c>
      <c r="BP66" s="615">
        <v>0</v>
      </c>
      <c r="BQ66" s="615">
        <v>0</v>
      </c>
      <c r="BR66" s="615">
        <v>0</v>
      </c>
      <c r="BS66" s="615">
        <v>0</v>
      </c>
      <c r="BT66" s="615">
        <v>0</v>
      </c>
      <c r="BU66" s="615">
        <v>0</v>
      </c>
      <c r="BV66" s="615">
        <v>0</v>
      </c>
      <c r="BW66" s="615">
        <v>0</v>
      </c>
      <c r="BX66" s="607">
        <f t="shared" si="0"/>
        <v>0</v>
      </c>
    </row>
    <row r="67" spans="1:76" s="612" customFormat="1" ht="11.25" customHeight="1" x14ac:dyDescent="0.2">
      <c r="A67" s="905"/>
      <c r="B67" s="610" t="s">
        <v>1745</v>
      </c>
      <c r="C67" s="634" t="s">
        <v>1817</v>
      </c>
      <c r="D67" s="609">
        <v>0</v>
      </c>
      <c r="E67" s="609">
        <v>0</v>
      </c>
      <c r="F67" s="609">
        <v>0</v>
      </c>
      <c r="G67" s="609">
        <v>0</v>
      </c>
      <c r="H67" s="585">
        <v>0</v>
      </c>
      <c r="I67" s="609">
        <v>0</v>
      </c>
      <c r="J67" s="609">
        <v>0</v>
      </c>
      <c r="K67" s="609">
        <v>0</v>
      </c>
      <c r="L67" s="609">
        <v>0</v>
      </c>
      <c r="M67" s="609">
        <v>0</v>
      </c>
      <c r="N67" s="609">
        <v>0</v>
      </c>
      <c r="O67" s="609">
        <v>0</v>
      </c>
      <c r="P67" s="609">
        <v>0</v>
      </c>
      <c r="Q67" s="609">
        <v>0</v>
      </c>
      <c r="R67" s="609">
        <v>0</v>
      </c>
      <c r="S67" s="609">
        <v>0</v>
      </c>
      <c r="T67" s="609">
        <v>0</v>
      </c>
      <c r="U67" s="609">
        <v>0</v>
      </c>
      <c r="V67" s="609">
        <v>0</v>
      </c>
      <c r="W67" s="609">
        <v>0</v>
      </c>
      <c r="X67" s="609">
        <v>0</v>
      </c>
      <c r="Y67" s="609">
        <v>0</v>
      </c>
      <c r="Z67" s="609">
        <v>0</v>
      </c>
      <c r="AA67" s="609">
        <v>0</v>
      </c>
      <c r="AB67" s="609">
        <v>0</v>
      </c>
      <c r="AC67" s="609">
        <v>0</v>
      </c>
      <c r="AD67" s="609">
        <v>0</v>
      </c>
      <c r="AE67" s="609">
        <v>0</v>
      </c>
      <c r="AF67" s="609">
        <v>0</v>
      </c>
      <c r="AG67" s="609">
        <v>0</v>
      </c>
      <c r="AH67" s="609">
        <v>0</v>
      </c>
      <c r="AI67" s="609">
        <v>0</v>
      </c>
      <c r="AJ67" s="609">
        <v>0</v>
      </c>
      <c r="AK67" s="609">
        <v>0</v>
      </c>
      <c r="AL67" s="609">
        <v>0</v>
      </c>
      <c r="AM67" s="609">
        <v>0</v>
      </c>
      <c r="AN67" s="609">
        <v>0</v>
      </c>
      <c r="AO67" s="609">
        <v>0</v>
      </c>
      <c r="AP67" s="609">
        <v>0</v>
      </c>
      <c r="AQ67" s="609">
        <v>0</v>
      </c>
      <c r="AR67" s="609">
        <v>0</v>
      </c>
      <c r="AS67" s="609">
        <v>0</v>
      </c>
      <c r="AT67" s="609">
        <v>0</v>
      </c>
      <c r="AU67" s="609">
        <v>0</v>
      </c>
      <c r="AV67" s="609">
        <v>0</v>
      </c>
      <c r="AW67" s="615">
        <v>0</v>
      </c>
      <c r="AX67" s="615">
        <v>0</v>
      </c>
      <c r="AY67" s="615">
        <v>0</v>
      </c>
      <c r="AZ67" s="615">
        <v>0</v>
      </c>
      <c r="BA67" s="615">
        <v>0</v>
      </c>
      <c r="BB67" s="615">
        <v>0</v>
      </c>
      <c r="BC67" s="615">
        <v>0</v>
      </c>
      <c r="BD67" s="615">
        <v>0</v>
      </c>
      <c r="BE67" s="615">
        <v>0</v>
      </c>
      <c r="BF67" s="615">
        <v>0</v>
      </c>
      <c r="BG67" s="615">
        <v>0</v>
      </c>
      <c r="BH67" s="615">
        <v>0</v>
      </c>
      <c r="BI67" s="615">
        <v>0</v>
      </c>
      <c r="BJ67" s="615">
        <v>0</v>
      </c>
      <c r="BK67" s="615">
        <v>0</v>
      </c>
      <c r="BL67" s="615">
        <v>0</v>
      </c>
      <c r="BM67" s="615">
        <v>0</v>
      </c>
      <c r="BN67" s="615">
        <v>0</v>
      </c>
      <c r="BO67" s="615">
        <v>0</v>
      </c>
      <c r="BP67" s="615">
        <v>0</v>
      </c>
      <c r="BQ67" s="615">
        <v>0</v>
      </c>
      <c r="BR67" s="615">
        <v>0</v>
      </c>
      <c r="BS67" s="615">
        <v>0</v>
      </c>
      <c r="BT67" s="615">
        <v>0</v>
      </c>
      <c r="BU67" s="615">
        <v>0</v>
      </c>
      <c r="BV67" s="615">
        <v>0</v>
      </c>
      <c r="BW67" s="615">
        <v>0</v>
      </c>
      <c r="BX67" s="607">
        <f t="shared" si="0"/>
        <v>0</v>
      </c>
    </row>
    <row r="68" spans="1:76" s="612" customFormat="1" ht="11.25" customHeight="1" x14ac:dyDescent="0.2">
      <c r="A68" s="905"/>
      <c r="B68" s="610" t="s">
        <v>1744</v>
      </c>
      <c r="C68" s="634" t="s">
        <v>1818</v>
      </c>
      <c r="D68" s="609">
        <v>0</v>
      </c>
      <c r="E68" s="609">
        <v>0</v>
      </c>
      <c r="F68" s="609">
        <v>0</v>
      </c>
      <c r="G68" s="609">
        <v>0</v>
      </c>
      <c r="H68" s="585">
        <v>0</v>
      </c>
      <c r="I68" s="609">
        <v>0</v>
      </c>
      <c r="J68" s="609">
        <v>0</v>
      </c>
      <c r="K68" s="609">
        <v>0</v>
      </c>
      <c r="L68" s="609">
        <v>0</v>
      </c>
      <c r="M68" s="609">
        <v>0</v>
      </c>
      <c r="N68" s="609">
        <v>0</v>
      </c>
      <c r="O68" s="609">
        <v>0</v>
      </c>
      <c r="P68" s="609">
        <v>0</v>
      </c>
      <c r="Q68" s="609">
        <v>0</v>
      </c>
      <c r="R68" s="609">
        <v>0</v>
      </c>
      <c r="S68" s="609">
        <v>0</v>
      </c>
      <c r="T68" s="609">
        <v>0</v>
      </c>
      <c r="U68" s="609">
        <v>0</v>
      </c>
      <c r="V68" s="609">
        <v>0</v>
      </c>
      <c r="W68" s="609">
        <v>0</v>
      </c>
      <c r="X68" s="609">
        <v>0</v>
      </c>
      <c r="Y68" s="609">
        <v>0</v>
      </c>
      <c r="Z68" s="609">
        <v>0</v>
      </c>
      <c r="AA68" s="609">
        <v>0</v>
      </c>
      <c r="AB68" s="609">
        <v>0</v>
      </c>
      <c r="AC68" s="609">
        <v>0</v>
      </c>
      <c r="AD68" s="609">
        <v>0</v>
      </c>
      <c r="AE68" s="609">
        <v>0</v>
      </c>
      <c r="AF68" s="609">
        <v>0</v>
      </c>
      <c r="AG68" s="609">
        <v>0</v>
      </c>
      <c r="AH68" s="609">
        <v>0</v>
      </c>
      <c r="AI68" s="609">
        <v>0</v>
      </c>
      <c r="AJ68" s="609">
        <v>0</v>
      </c>
      <c r="AK68" s="609">
        <v>0</v>
      </c>
      <c r="AL68" s="609">
        <v>0</v>
      </c>
      <c r="AM68" s="609">
        <v>0</v>
      </c>
      <c r="AN68" s="609">
        <v>0</v>
      </c>
      <c r="AO68" s="609">
        <v>0</v>
      </c>
      <c r="AP68" s="609">
        <v>0</v>
      </c>
      <c r="AQ68" s="609">
        <v>131332</v>
      </c>
      <c r="AR68" s="609">
        <v>0</v>
      </c>
      <c r="AS68" s="609">
        <v>0</v>
      </c>
      <c r="AT68" s="609">
        <v>0</v>
      </c>
      <c r="AU68" s="609">
        <v>0</v>
      </c>
      <c r="AV68" s="609">
        <v>0</v>
      </c>
      <c r="AW68" s="615">
        <v>0</v>
      </c>
      <c r="AX68" s="615">
        <v>0</v>
      </c>
      <c r="AY68" s="615">
        <v>0</v>
      </c>
      <c r="AZ68" s="615">
        <v>0</v>
      </c>
      <c r="BA68" s="615">
        <v>0</v>
      </c>
      <c r="BB68" s="615">
        <v>0</v>
      </c>
      <c r="BC68" s="615">
        <v>0</v>
      </c>
      <c r="BD68" s="615">
        <v>0</v>
      </c>
      <c r="BE68" s="615">
        <v>0</v>
      </c>
      <c r="BF68" s="615">
        <v>0</v>
      </c>
      <c r="BG68" s="615">
        <v>0</v>
      </c>
      <c r="BH68" s="615">
        <v>0</v>
      </c>
      <c r="BI68" s="615">
        <v>0</v>
      </c>
      <c r="BJ68" s="615">
        <v>0</v>
      </c>
      <c r="BK68" s="615">
        <v>0</v>
      </c>
      <c r="BL68" s="615">
        <v>0</v>
      </c>
      <c r="BM68" s="615">
        <v>0</v>
      </c>
      <c r="BN68" s="615">
        <v>0</v>
      </c>
      <c r="BO68" s="615">
        <v>0</v>
      </c>
      <c r="BP68" s="615">
        <v>0</v>
      </c>
      <c r="BQ68" s="615">
        <v>0</v>
      </c>
      <c r="BR68" s="615">
        <v>0</v>
      </c>
      <c r="BS68" s="615">
        <v>0</v>
      </c>
      <c r="BT68" s="615">
        <v>0</v>
      </c>
      <c r="BU68" s="615">
        <v>0</v>
      </c>
      <c r="BV68" s="615">
        <v>0</v>
      </c>
      <c r="BW68" s="615">
        <v>0</v>
      </c>
      <c r="BX68" s="607">
        <f t="shared" si="0"/>
        <v>131332</v>
      </c>
    </row>
    <row r="69" spans="1:76" s="612" customFormat="1" ht="11.25" customHeight="1" x14ac:dyDescent="0.2">
      <c r="A69" s="905"/>
      <c r="B69" s="610" t="s">
        <v>1430</v>
      </c>
      <c r="C69" s="634" t="s">
        <v>1819</v>
      </c>
      <c r="D69" s="609">
        <v>0</v>
      </c>
      <c r="E69" s="609">
        <v>0</v>
      </c>
      <c r="F69" s="609">
        <v>0</v>
      </c>
      <c r="G69" s="609">
        <v>0</v>
      </c>
      <c r="H69" s="585">
        <v>0</v>
      </c>
      <c r="I69" s="609">
        <v>0</v>
      </c>
      <c r="J69" s="609">
        <v>0</v>
      </c>
      <c r="K69" s="609">
        <v>0</v>
      </c>
      <c r="L69" s="609">
        <v>0</v>
      </c>
      <c r="M69" s="609">
        <v>0</v>
      </c>
      <c r="N69" s="609">
        <v>0</v>
      </c>
      <c r="O69" s="609">
        <v>0</v>
      </c>
      <c r="P69" s="609">
        <v>0</v>
      </c>
      <c r="Q69" s="609">
        <v>0</v>
      </c>
      <c r="R69" s="609">
        <v>0</v>
      </c>
      <c r="S69" s="609">
        <v>0</v>
      </c>
      <c r="T69" s="609">
        <v>0</v>
      </c>
      <c r="U69" s="609">
        <v>0</v>
      </c>
      <c r="V69" s="609">
        <v>0</v>
      </c>
      <c r="W69" s="609">
        <v>0</v>
      </c>
      <c r="X69" s="609">
        <v>0</v>
      </c>
      <c r="Y69" s="609">
        <v>0</v>
      </c>
      <c r="Z69" s="609">
        <v>0</v>
      </c>
      <c r="AA69" s="609">
        <v>0</v>
      </c>
      <c r="AB69" s="609">
        <v>0</v>
      </c>
      <c r="AC69" s="609">
        <v>0</v>
      </c>
      <c r="AD69" s="609">
        <v>0</v>
      </c>
      <c r="AE69" s="609">
        <v>0</v>
      </c>
      <c r="AF69" s="609">
        <v>0</v>
      </c>
      <c r="AG69" s="609">
        <v>0</v>
      </c>
      <c r="AH69" s="609">
        <v>0</v>
      </c>
      <c r="AI69" s="609">
        <v>0</v>
      </c>
      <c r="AJ69" s="609">
        <v>0</v>
      </c>
      <c r="AK69" s="609">
        <v>0</v>
      </c>
      <c r="AL69" s="609">
        <v>0</v>
      </c>
      <c r="AM69" s="609">
        <v>0</v>
      </c>
      <c r="AN69" s="609">
        <v>0</v>
      </c>
      <c r="AO69" s="609">
        <v>0</v>
      </c>
      <c r="AP69" s="609">
        <v>0</v>
      </c>
      <c r="AQ69" s="609">
        <v>0</v>
      </c>
      <c r="AR69" s="609">
        <v>0</v>
      </c>
      <c r="AS69" s="609">
        <v>0</v>
      </c>
      <c r="AT69" s="609">
        <v>0</v>
      </c>
      <c r="AU69" s="609">
        <v>0</v>
      </c>
      <c r="AV69" s="609">
        <v>0</v>
      </c>
      <c r="AW69" s="615">
        <v>0</v>
      </c>
      <c r="AX69" s="615">
        <v>0</v>
      </c>
      <c r="AY69" s="615">
        <v>0</v>
      </c>
      <c r="AZ69" s="615">
        <v>0</v>
      </c>
      <c r="BA69" s="615">
        <v>0</v>
      </c>
      <c r="BB69" s="615">
        <v>0</v>
      </c>
      <c r="BC69" s="615">
        <v>0</v>
      </c>
      <c r="BD69" s="615">
        <v>0</v>
      </c>
      <c r="BE69" s="615">
        <v>0</v>
      </c>
      <c r="BF69" s="615">
        <v>0</v>
      </c>
      <c r="BG69" s="615">
        <v>0</v>
      </c>
      <c r="BH69" s="615">
        <v>0</v>
      </c>
      <c r="BI69" s="615">
        <v>0</v>
      </c>
      <c r="BJ69" s="615">
        <v>0</v>
      </c>
      <c r="BK69" s="615">
        <v>0</v>
      </c>
      <c r="BL69" s="615">
        <v>0</v>
      </c>
      <c r="BM69" s="615">
        <v>0</v>
      </c>
      <c r="BN69" s="615">
        <v>0</v>
      </c>
      <c r="BO69" s="615">
        <v>0</v>
      </c>
      <c r="BP69" s="615">
        <v>0</v>
      </c>
      <c r="BQ69" s="615">
        <v>0</v>
      </c>
      <c r="BR69" s="615">
        <v>0</v>
      </c>
      <c r="BS69" s="615">
        <v>0</v>
      </c>
      <c r="BT69" s="615">
        <v>0</v>
      </c>
      <c r="BU69" s="615">
        <v>0</v>
      </c>
      <c r="BV69" s="615">
        <v>0</v>
      </c>
      <c r="BW69" s="615">
        <v>0</v>
      </c>
      <c r="BX69" s="607">
        <f t="shared" ref="BX69:BX132" si="1">SUM(K69:BW69)</f>
        <v>0</v>
      </c>
    </row>
    <row r="70" spans="1:76" s="612" customFormat="1" ht="11.25" customHeight="1" x14ac:dyDescent="0.2">
      <c r="A70" s="905"/>
      <c r="B70" s="610" t="s">
        <v>878</v>
      </c>
      <c r="C70" s="634" t="s">
        <v>1820</v>
      </c>
      <c r="D70" s="609">
        <v>0</v>
      </c>
      <c r="E70" s="609">
        <v>0</v>
      </c>
      <c r="F70" s="609">
        <v>0</v>
      </c>
      <c r="G70" s="609">
        <v>0</v>
      </c>
      <c r="H70" s="585">
        <v>0</v>
      </c>
      <c r="I70" s="609">
        <v>0</v>
      </c>
      <c r="J70" s="609">
        <v>0</v>
      </c>
      <c r="K70" s="609">
        <v>0</v>
      </c>
      <c r="L70" s="609">
        <v>0</v>
      </c>
      <c r="M70" s="609">
        <v>0</v>
      </c>
      <c r="N70" s="609">
        <v>0</v>
      </c>
      <c r="O70" s="609">
        <v>0</v>
      </c>
      <c r="P70" s="609">
        <v>0</v>
      </c>
      <c r="Q70" s="609">
        <v>0</v>
      </c>
      <c r="R70" s="609">
        <v>0</v>
      </c>
      <c r="S70" s="609">
        <v>0</v>
      </c>
      <c r="T70" s="609">
        <v>0</v>
      </c>
      <c r="U70" s="609">
        <v>0</v>
      </c>
      <c r="V70" s="609">
        <v>0</v>
      </c>
      <c r="W70" s="609">
        <v>0</v>
      </c>
      <c r="X70" s="609">
        <v>0</v>
      </c>
      <c r="Y70" s="609">
        <v>0</v>
      </c>
      <c r="Z70" s="609">
        <v>0</v>
      </c>
      <c r="AA70" s="609">
        <v>0</v>
      </c>
      <c r="AB70" s="609">
        <v>0</v>
      </c>
      <c r="AC70" s="609">
        <v>0</v>
      </c>
      <c r="AD70" s="609">
        <v>0</v>
      </c>
      <c r="AE70" s="609">
        <v>0</v>
      </c>
      <c r="AF70" s="609">
        <v>0</v>
      </c>
      <c r="AG70" s="609">
        <v>0</v>
      </c>
      <c r="AH70" s="609">
        <v>0</v>
      </c>
      <c r="AI70" s="609">
        <v>0</v>
      </c>
      <c r="AJ70" s="609">
        <v>0</v>
      </c>
      <c r="AK70" s="609">
        <v>0</v>
      </c>
      <c r="AL70" s="609">
        <v>0</v>
      </c>
      <c r="AM70" s="609">
        <v>0</v>
      </c>
      <c r="AN70" s="609">
        <v>0</v>
      </c>
      <c r="AO70" s="609">
        <v>0</v>
      </c>
      <c r="AP70" s="609">
        <v>0</v>
      </c>
      <c r="AQ70" s="609">
        <v>105226</v>
      </c>
      <c r="AR70" s="609">
        <v>0</v>
      </c>
      <c r="AS70" s="609">
        <v>0</v>
      </c>
      <c r="AT70" s="609">
        <v>0</v>
      </c>
      <c r="AU70" s="609">
        <v>0</v>
      </c>
      <c r="AV70" s="609">
        <v>0</v>
      </c>
      <c r="AW70" s="615">
        <v>0</v>
      </c>
      <c r="AX70" s="615">
        <v>0</v>
      </c>
      <c r="AY70" s="615">
        <v>0</v>
      </c>
      <c r="AZ70" s="615">
        <v>0</v>
      </c>
      <c r="BA70" s="615">
        <v>0</v>
      </c>
      <c r="BB70" s="615">
        <v>0</v>
      </c>
      <c r="BC70" s="615">
        <v>0</v>
      </c>
      <c r="BD70" s="615">
        <v>0</v>
      </c>
      <c r="BE70" s="615">
        <v>0</v>
      </c>
      <c r="BF70" s="615">
        <v>0</v>
      </c>
      <c r="BG70" s="615">
        <v>0</v>
      </c>
      <c r="BH70" s="615">
        <v>0</v>
      </c>
      <c r="BI70" s="615">
        <v>0</v>
      </c>
      <c r="BJ70" s="615">
        <v>0</v>
      </c>
      <c r="BK70" s="615">
        <v>0</v>
      </c>
      <c r="BL70" s="615">
        <v>0</v>
      </c>
      <c r="BM70" s="615">
        <v>0</v>
      </c>
      <c r="BN70" s="615">
        <v>0</v>
      </c>
      <c r="BO70" s="615">
        <v>0</v>
      </c>
      <c r="BP70" s="615">
        <v>0</v>
      </c>
      <c r="BQ70" s="615">
        <v>0</v>
      </c>
      <c r="BR70" s="615">
        <v>0</v>
      </c>
      <c r="BS70" s="615">
        <v>0</v>
      </c>
      <c r="BT70" s="615">
        <v>0</v>
      </c>
      <c r="BU70" s="615">
        <v>0</v>
      </c>
      <c r="BV70" s="615">
        <v>0</v>
      </c>
      <c r="BW70" s="615">
        <v>0</v>
      </c>
      <c r="BX70" s="607">
        <f t="shared" si="1"/>
        <v>105226</v>
      </c>
    </row>
    <row r="71" spans="1:76" s="612" customFormat="1" ht="11.25" customHeight="1" x14ac:dyDescent="0.2">
      <c r="A71" s="905"/>
      <c r="B71" s="610" t="s">
        <v>1702</v>
      </c>
      <c r="C71" s="634" t="s">
        <v>1821</v>
      </c>
      <c r="D71" s="609">
        <v>0</v>
      </c>
      <c r="E71" s="609">
        <v>0</v>
      </c>
      <c r="F71" s="609">
        <v>0</v>
      </c>
      <c r="G71" s="609">
        <v>0</v>
      </c>
      <c r="H71" s="585">
        <v>0</v>
      </c>
      <c r="I71" s="609">
        <v>0</v>
      </c>
      <c r="J71" s="609">
        <v>0</v>
      </c>
      <c r="K71" s="609">
        <v>0</v>
      </c>
      <c r="L71" s="609">
        <v>0</v>
      </c>
      <c r="M71" s="609">
        <v>0</v>
      </c>
      <c r="N71" s="609">
        <v>0</v>
      </c>
      <c r="O71" s="609">
        <v>0</v>
      </c>
      <c r="P71" s="609">
        <v>0</v>
      </c>
      <c r="Q71" s="609">
        <v>0</v>
      </c>
      <c r="R71" s="609">
        <v>0</v>
      </c>
      <c r="S71" s="609">
        <v>0</v>
      </c>
      <c r="T71" s="609">
        <v>0</v>
      </c>
      <c r="U71" s="609">
        <v>0</v>
      </c>
      <c r="V71" s="609">
        <v>0</v>
      </c>
      <c r="W71" s="609">
        <v>0</v>
      </c>
      <c r="X71" s="609">
        <v>0</v>
      </c>
      <c r="Y71" s="609">
        <v>0</v>
      </c>
      <c r="Z71" s="609">
        <v>0</v>
      </c>
      <c r="AA71" s="609">
        <v>0</v>
      </c>
      <c r="AB71" s="609">
        <v>0</v>
      </c>
      <c r="AC71" s="609">
        <v>0</v>
      </c>
      <c r="AD71" s="609">
        <v>0</v>
      </c>
      <c r="AE71" s="609">
        <v>0</v>
      </c>
      <c r="AF71" s="609">
        <v>0</v>
      </c>
      <c r="AG71" s="609">
        <v>0</v>
      </c>
      <c r="AH71" s="609">
        <v>0</v>
      </c>
      <c r="AI71" s="609">
        <v>0</v>
      </c>
      <c r="AJ71" s="609">
        <v>0</v>
      </c>
      <c r="AK71" s="609">
        <v>0</v>
      </c>
      <c r="AL71" s="609">
        <v>0</v>
      </c>
      <c r="AM71" s="609">
        <v>0</v>
      </c>
      <c r="AN71" s="609">
        <v>0</v>
      </c>
      <c r="AO71" s="609">
        <v>0</v>
      </c>
      <c r="AP71" s="609">
        <v>0</v>
      </c>
      <c r="AQ71" s="609">
        <v>0</v>
      </c>
      <c r="AR71" s="609">
        <v>0</v>
      </c>
      <c r="AS71" s="609">
        <v>0</v>
      </c>
      <c r="AT71" s="609">
        <v>0</v>
      </c>
      <c r="AU71" s="609">
        <v>0</v>
      </c>
      <c r="AV71" s="609">
        <v>0</v>
      </c>
      <c r="AW71" s="615">
        <v>0</v>
      </c>
      <c r="AX71" s="615">
        <v>0</v>
      </c>
      <c r="AY71" s="615">
        <v>0</v>
      </c>
      <c r="AZ71" s="615">
        <v>0</v>
      </c>
      <c r="BA71" s="615">
        <v>0</v>
      </c>
      <c r="BB71" s="615">
        <v>0</v>
      </c>
      <c r="BC71" s="615">
        <v>0</v>
      </c>
      <c r="BD71" s="615">
        <v>0</v>
      </c>
      <c r="BE71" s="615">
        <v>0</v>
      </c>
      <c r="BF71" s="615">
        <v>0</v>
      </c>
      <c r="BG71" s="615">
        <v>0</v>
      </c>
      <c r="BH71" s="615">
        <v>0</v>
      </c>
      <c r="BI71" s="615">
        <v>0</v>
      </c>
      <c r="BJ71" s="615">
        <v>0</v>
      </c>
      <c r="BK71" s="615">
        <v>0</v>
      </c>
      <c r="BL71" s="615">
        <v>0</v>
      </c>
      <c r="BM71" s="615">
        <v>0</v>
      </c>
      <c r="BN71" s="615">
        <v>0</v>
      </c>
      <c r="BO71" s="615">
        <v>0</v>
      </c>
      <c r="BP71" s="615">
        <v>0</v>
      </c>
      <c r="BQ71" s="615">
        <v>0</v>
      </c>
      <c r="BR71" s="615">
        <v>0</v>
      </c>
      <c r="BS71" s="615">
        <v>0</v>
      </c>
      <c r="BT71" s="615">
        <v>0</v>
      </c>
      <c r="BU71" s="615">
        <v>0</v>
      </c>
      <c r="BV71" s="615">
        <v>0</v>
      </c>
      <c r="BW71" s="615">
        <v>0</v>
      </c>
      <c r="BX71" s="607">
        <f t="shared" si="1"/>
        <v>0</v>
      </c>
    </row>
    <row r="72" spans="1:76" s="612" customFormat="1" ht="11.25" customHeight="1" x14ac:dyDescent="0.2">
      <c r="A72" s="905"/>
      <c r="B72" s="610" t="s">
        <v>3427</v>
      </c>
      <c r="C72" s="634" t="s">
        <v>1822</v>
      </c>
      <c r="D72" s="609">
        <v>0</v>
      </c>
      <c r="E72" s="609">
        <v>0</v>
      </c>
      <c r="F72" s="609">
        <v>0</v>
      </c>
      <c r="G72" s="609">
        <v>0</v>
      </c>
      <c r="H72" s="585">
        <v>0</v>
      </c>
      <c r="I72" s="609">
        <v>0</v>
      </c>
      <c r="J72" s="609">
        <v>0</v>
      </c>
      <c r="K72" s="609">
        <v>0</v>
      </c>
      <c r="L72" s="609">
        <v>0</v>
      </c>
      <c r="M72" s="609">
        <v>0</v>
      </c>
      <c r="N72" s="609">
        <v>0</v>
      </c>
      <c r="O72" s="609">
        <v>0</v>
      </c>
      <c r="P72" s="609">
        <v>0</v>
      </c>
      <c r="Q72" s="609">
        <v>0</v>
      </c>
      <c r="R72" s="609">
        <v>0</v>
      </c>
      <c r="S72" s="609">
        <v>0</v>
      </c>
      <c r="T72" s="609">
        <v>0</v>
      </c>
      <c r="U72" s="609">
        <v>0</v>
      </c>
      <c r="V72" s="609">
        <v>0</v>
      </c>
      <c r="W72" s="609">
        <v>0</v>
      </c>
      <c r="X72" s="609">
        <v>0</v>
      </c>
      <c r="Y72" s="609">
        <v>0</v>
      </c>
      <c r="Z72" s="609">
        <v>0</v>
      </c>
      <c r="AA72" s="609">
        <v>0</v>
      </c>
      <c r="AB72" s="609">
        <v>0</v>
      </c>
      <c r="AC72" s="609">
        <v>0</v>
      </c>
      <c r="AD72" s="609">
        <v>0</v>
      </c>
      <c r="AE72" s="609">
        <v>0</v>
      </c>
      <c r="AF72" s="609">
        <v>0</v>
      </c>
      <c r="AG72" s="609">
        <v>0</v>
      </c>
      <c r="AH72" s="609">
        <v>0</v>
      </c>
      <c r="AI72" s="609">
        <v>0</v>
      </c>
      <c r="AJ72" s="609">
        <v>0</v>
      </c>
      <c r="AK72" s="609">
        <v>0</v>
      </c>
      <c r="AL72" s="609">
        <v>0</v>
      </c>
      <c r="AM72" s="609">
        <v>0</v>
      </c>
      <c r="AN72" s="609">
        <v>0</v>
      </c>
      <c r="AO72" s="609">
        <v>0</v>
      </c>
      <c r="AP72" s="609">
        <v>0</v>
      </c>
      <c r="AQ72" s="609">
        <v>0</v>
      </c>
      <c r="AR72" s="609">
        <v>0</v>
      </c>
      <c r="AS72" s="609">
        <v>0</v>
      </c>
      <c r="AT72" s="609">
        <v>0</v>
      </c>
      <c r="AU72" s="609">
        <v>0</v>
      </c>
      <c r="AV72" s="609">
        <v>0</v>
      </c>
      <c r="AW72" s="615">
        <v>0</v>
      </c>
      <c r="AX72" s="615">
        <v>0</v>
      </c>
      <c r="AY72" s="615">
        <v>0</v>
      </c>
      <c r="AZ72" s="615">
        <v>0</v>
      </c>
      <c r="BA72" s="615">
        <v>0</v>
      </c>
      <c r="BB72" s="615">
        <v>0</v>
      </c>
      <c r="BC72" s="615">
        <v>0</v>
      </c>
      <c r="BD72" s="615">
        <v>0</v>
      </c>
      <c r="BE72" s="615">
        <v>0</v>
      </c>
      <c r="BF72" s="615">
        <v>0</v>
      </c>
      <c r="BG72" s="615">
        <v>0</v>
      </c>
      <c r="BH72" s="615">
        <v>0</v>
      </c>
      <c r="BI72" s="615">
        <v>0</v>
      </c>
      <c r="BJ72" s="615">
        <v>0</v>
      </c>
      <c r="BK72" s="615">
        <v>0</v>
      </c>
      <c r="BL72" s="615">
        <v>0</v>
      </c>
      <c r="BM72" s="615">
        <v>0</v>
      </c>
      <c r="BN72" s="615">
        <v>0</v>
      </c>
      <c r="BO72" s="615">
        <v>0</v>
      </c>
      <c r="BP72" s="615">
        <v>0</v>
      </c>
      <c r="BQ72" s="615">
        <v>0</v>
      </c>
      <c r="BR72" s="615">
        <v>0</v>
      </c>
      <c r="BS72" s="615">
        <v>0</v>
      </c>
      <c r="BT72" s="615">
        <v>0</v>
      </c>
      <c r="BU72" s="615">
        <v>0</v>
      </c>
      <c r="BV72" s="615">
        <v>0</v>
      </c>
      <c r="BW72" s="615">
        <v>0</v>
      </c>
      <c r="BX72" s="607">
        <f t="shared" si="1"/>
        <v>0</v>
      </c>
    </row>
    <row r="73" spans="1:76" s="612" customFormat="1" ht="11.25" customHeight="1" x14ac:dyDescent="0.2">
      <c r="A73" s="905"/>
      <c r="B73" s="610" t="s">
        <v>879</v>
      </c>
      <c r="C73" s="634" t="s">
        <v>1823</v>
      </c>
      <c r="D73" s="609">
        <v>0</v>
      </c>
      <c r="E73" s="609">
        <v>0</v>
      </c>
      <c r="F73" s="609">
        <v>0</v>
      </c>
      <c r="G73" s="609">
        <v>0</v>
      </c>
      <c r="H73" s="585">
        <v>0</v>
      </c>
      <c r="I73" s="609">
        <v>0</v>
      </c>
      <c r="J73" s="609">
        <v>0</v>
      </c>
      <c r="K73" s="609">
        <v>0</v>
      </c>
      <c r="L73" s="609">
        <v>0</v>
      </c>
      <c r="M73" s="609">
        <v>0</v>
      </c>
      <c r="N73" s="609">
        <v>0</v>
      </c>
      <c r="O73" s="609">
        <v>0</v>
      </c>
      <c r="P73" s="609">
        <v>0</v>
      </c>
      <c r="Q73" s="609">
        <v>0</v>
      </c>
      <c r="R73" s="609">
        <v>0</v>
      </c>
      <c r="S73" s="609">
        <v>0</v>
      </c>
      <c r="T73" s="609">
        <v>0</v>
      </c>
      <c r="U73" s="609">
        <v>0</v>
      </c>
      <c r="V73" s="609">
        <v>0</v>
      </c>
      <c r="W73" s="609">
        <v>0</v>
      </c>
      <c r="X73" s="609">
        <v>0</v>
      </c>
      <c r="Y73" s="609">
        <v>0</v>
      </c>
      <c r="Z73" s="609">
        <v>0</v>
      </c>
      <c r="AA73" s="609">
        <v>0</v>
      </c>
      <c r="AB73" s="609">
        <v>0</v>
      </c>
      <c r="AC73" s="609">
        <v>0</v>
      </c>
      <c r="AD73" s="609">
        <v>0</v>
      </c>
      <c r="AE73" s="609">
        <v>0</v>
      </c>
      <c r="AF73" s="609">
        <v>0</v>
      </c>
      <c r="AG73" s="609">
        <v>0</v>
      </c>
      <c r="AH73" s="609">
        <v>0</v>
      </c>
      <c r="AI73" s="609">
        <v>0</v>
      </c>
      <c r="AJ73" s="609">
        <v>0</v>
      </c>
      <c r="AK73" s="609">
        <v>0</v>
      </c>
      <c r="AL73" s="609">
        <v>0</v>
      </c>
      <c r="AM73" s="609">
        <v>0</v>
      </c>
      <c r="AN73" s="609">
        <v>0</v>
      </c>
      <c r="AO73" s="609">
        <v>0</v>
      </c>
      <c r="AP73" s="609">
        <v>0</v>
      </c>
      <c r="AQ73" s="609">
        <v>0</v>
      </c>
      <c r="AR73" s="609">
        <v>0</v>
      </c>
      <c r="AS73" s="609">
        <v>0</v>
      </c>
      <c r="AT73" s="609">
        <v>0</v>
      </c>
      <c r="AU73" s="609">
        <v>0</v>
      </c>
      <c r="AV73" s="609">
        <v>0</v>
      </c>
      <c r="AW73" s="615">
        <v>0</v>
      </c>
      <c r="AX73" s="615">
        <v>0</v>
      </c>
      <c r="AY73" s="615">
        <v>0</v>
      </c>
      <c r="AZ73" s="615">
        <v>0</v>
      </c>
      <c r="BA73" s="615">
        <v>0</v>
      </c>
      <c r="BB73" s="615">
        <v>0</v>
      </c>
      <c r="BC73" s="615">
        <v>0</v>
      </c>
      <c r="BD73" s="615">
        <v>0</v>
      </c>
      <c r="BE73" s="615">
        <v>0</v>
      </c>
      <c r="BF73" s="615">
        <v>0</v>
      </c>
      <c r="BG73" s="615">
        <v>0</v>
      </c>
      <c r="BH73" s="615">
        <v>0</v>
      </c>
      <c r="BI73" s="615">
        <v>0</v>
      </c>
      <c r="BJ73" s="615">
        <v>0</v>
      </c>
      <c r="BK73" s="615">
        <v>0</v>
      </c>
      <c r="BL73" s="615">
        <v>0</v>
      </c>
      <c r="BM73" s="615">
        <v>0</v>
      </c>
      <c r="BN73" s="615">
        <v>0</v>
      </c>
      <c r="BO73" s="615">
        <v>0</v>
      </c>
      <c r="BP73" s="615">
        <v>0</v>
      </c>
      <c r="BQ73" s="615">
        <v>0</v>
      </c>
      <c r="BR73" s="615">
        <v>0</v>
      </c>
      <c r="BS73" s="615">
        <v>0</v>
      </c>
      <c r="BT73" s="615">
        <v>0</v>
      </c>
      <c r="BU73" s="615">
        <v>0</v>
      </c>
      <c r="BV73" s="615">
        <v>0</v>
      </c>
      <c r="BW73" s="615">
        <v>0</v>
      </c>
      <c r="BX73" s="607">
        <f t="shared" si="1"/>
        <v>0</v>
      </c>
    </row>
    <row r="74" spans="1:76" s="612" customFormat="1" ht="11.25" customHeight="1" x14ac:dyDescent="0.2">
      <c r="A74" s="905"/>
      <c r="B74" s="610" t="s">
        <v>1745</v>
      </c>
      <c r="C74" s="634" t="s">
        <v>1824</v>
      </c>
      <c r="D74" s="609">
        <v>0</v>
      </c>
      <c r="E74" s="609">
        <v>0</v>
      </c>
      <c r="F74" s="609">
        <v>0</v>
      </c>
      <c r="G74" s="609">
        <v>0</v>
      </c>
      <c r="H74" s="585">
        <v>0</v>
      </c>
      <c r="I74" s="609">
        <v>0</v>
      </c>
      <c r="J74" s="609">
        <v>0</v>
      </c>
      <c r="K74" s="609">
        <v>0</v>
      </c>
      <c r="L74" s="609">
        <v>0</v>
      </c>
      <c r="M74" s="609">
        <v>0</v>
      </c>
      <c r="N74" s="609">
        <v>0</v>
      </c>
      <c r="O74" s="609">
        <v>0</v>
      </c>
      <c r="P74" s="609">
        <v>0</v>
      </c>
      <c r="Q74" s="609">
        <v>0</v>
      </c>
      <c r="R74" s="609">
        <v>0</v>
      </c>
      <c r="S74" s="609">
        <v>0</v>
      </c>
      <c r="T74" s="609">
        <v>0</v>
      </c>
      <c r="U74" s="609">
        <v>0</v>
      </c>
      <c r="V74" s="609">
        <v>0</v>
      </c>
      <c r="W74" s="609">
        <v>0</v>
      </c>
      <c r="X74" s="609">
        <v>0</v>
      </c>
      <c r="Y74" s="609">
        <v>0</v>
      </c>
      <c r="Z74" s="609">
        <v>0</v>
      </c>
      <c r="AA74" s="609">
        <v>0</v>
      </c>
      <c r="AB74" s="609">
        <v>0</v>
      </c>
      <c r="AC74" s="609">
        <v>0</v>
      </c>
      <c r="AD74" s="609">
        <v>0</v>
      </c>
      <c r="AE74" s="609">
        <v>0</v>
      </c>
      <c r="AF74" s="609">
        <v>0</v>
      </c>
      <c r="AG74" s="609">
        <v>0</v>
      </c>
      <c r="AH74" s="609">
        <v>0</v>
      </c>
      <c r="AI74" s="609">
        <v>0</v>
      </c>
      <c r="AJ74" s="609">
        <v>0</v>
      </c>
      <c r="AK74" s="609">
        <v>0</v>
      </c>
      <c r="AL74" s="609">
        <v>0</v>
      </c>
      <c r="AM74" s="609">
        <v>0</v>
      </c>
      <c r="AN74" s="609">
        <v>0</v>
      </c>
      <c r="AO74" s="609">
        <v>0</v>
      </c>
      <c r="AP74" s="609">
        <v>0</v>
      </c>
      <c r="AQ74" s="609">
        <v>0</v>
      </c>
      <c r="AR74" s="609">
        <v>0</v>
      </c>
      <c r="AS74" s="609">
        <v>0</v>
      </c>
      <c r="AT74" s="609">
        <v>0</v>
      </c>
      <c r="AU74" s="609">
        <v>0</v>
      </c>
      <c r="AV74" s="609">
        <v>0</v>
      </c>
      <c r="AW74" s="615">
        <v>0</v>
      </c>
      <c r="AX74" s="615">
        <v>0</v>
      </c>
      <c r="AY74" s="615">
        <v>0</v>
      </c>
      <c r="AZ74" s="615">
        <v>0</v>
      </c>
      <c r="BA74" s="615">
        <v>0</v>
      </c>
      <c r="BB74" s="615">
        <v>0</v>
      </c>
      <c r="BC74" s="615">
        <v>0</v>
      </c>
      <c r="BD74" s="615">
        <v>0</v>
      </c>
      <c r="BE74" s="615">
        <v>0</v>
      </c>
      <c r="BF74" s="615">
        <v>0</v>
      </c>
      <c r="BG74" s="615">
        <v>0</v>
      </c>
      <c r="BH74" s="615">
        <v>0</v>
      </c>
      <c r="BI74" s="615">
        <v>0</v>
      </c>
      <c r="BJ74" s="615">
        <v>0</v>
      </c>
      <c r="BK74" s="615">
        <v>0</v>
      </c>
      <c r="BL74" s="615">
        <v>0</v>
      </c>
      <c r="BM74" s="615">
        <v>0</v>
      </c>
      <c r="BN74" s="615">
        <v>0</v>
      </c>
      <c r="BO74" s="615">
        <v>0</v>
      </c>
      <c r="BP74" s="615">
        <v>0</v>
      </c>
      <c r="BQ74" s="615">
        <v>0</v>
      </c>
      <c r="BR74" s="615">
        <v>0</v>
      </c>
      <c r="BS74" s="615">
        <v>0</v>
      </c>
      <c r="BT74" s="615">
        <v>0</v>
      </c>
      <c r="BU74" s="615">
        <v>0</v>
      </c>
      <c r="BV74" s="615">
        <v>0</v>
      </c>
      <c r="BW74" s="615">
        <v>0</v>
      </c>
      <c r="BX74" s="607">
        <f t="shared" si="1"/>
        <v>0</v>
      </c>
    </row>
    <row r="75" spans="1:76" s="612" customFormat="1" ht="11.25" customHeight="1" x14ac:dyDescent="0.2">
      <c r="A75" s="905"/>
      <c r="B75" s="610" t="s">
        <v>1431</v>
      </c>
      <c r="C75" s="634" t="s">
        <v>1825</v>
      </c>
      <c r="D75" s="609">
        <v>0</v>
      </c>
      <c r="E75" s="609">
        <v>0</v>
      </c>
      <c r="F75" s="609">
        <v>0</v>
      </c>
      <c r="G75" s="609">
        <v>0</v>
      </c>
      <c r="H75" s="585">
        <v>0</v>
      </c>
      <c r="I75" s="609">
        <v>0</v>
      </c>
      <c r="J75" s="609">
        <v>0</v>
      </c>
      <c r="K75" s="609">
        <v>0</v>
      </c>
      <c r="L75" s="609">
        <v>0</v>
      </c>
      <c r="M75" s="609">
        <v>0</v>
      </c>
      <c r="N75" s="609">
        <v>0</v>
      </c>
      <c r="O75" s="609">
        <v>0</v>
      </c>
      <c r="P75" s="609">
        <v>0</v>
      </c>
      <c r="Q75" s="609">
        <v>0</v>
      </c>
      <c r="R75" s="609">
        <v>0</v>
      </c>
      <c r="S75" s="609">
        <v>0</v>
      </c>
      <c r="T75" s="609">
        <v>0</v>
      </c>
      <c r="U75" s="609">
        <v>0</v>
      </c>
      <c r="V75" s="609">
        <v>0</v>
      </c>
      <c r="W75" s="609">
        <v>0</v>
      </c>
      <c r="X75" s="609">
        <v>0</v>
      </c>
      <c r="Y75" s="609">
        <v>0</v>
      </c>
      <c r="Z75" s="609">
        <v>0</v>
      </c>
      <c r="AA75" s="609">
        <v>0</v>
      </c>
      <c r="AB75" s="609">
        <v>0</v>
      </c>
      <c r="AC75" s="609">
        <v>0</v>
      </c>
      <c r="AD75" s="609">
        <v>0</v>
      </c>
      <c r="AE75" s="609">
        <v>0</v>
      </c>
      <c r="AF75" s="609">
        <v>0</v>
      </c>
      <c r="AG75" s="609">
        <v>0</v>
      </c>
      <c r="AH75" s="609">
        <v>0</v>
      </c>
      <c r="AI75" s="609">
        <v>0</v>
      </c>
      <c r="AJ75" s="609">
        <v>0</v>
      </c>
      <c r="AK75" s="609">
        <v>0</v>
      </c>
      <c r="AL75" s="609">
        <v>0</v>
      </c>
      <c r="AM75" s="609">
        <v>0</v>
      </c>
      <c r="AN75" s="609">
        <v>0</v>
      </c>
      <c r="AO75" s="609">
        <v>0</v>
      </c>
      <c r="AP75" s="609">
        <v>0</v>
      </c>
      <c r="AQ75" s="609">
        <v>0</v>
      </c>
      <c r="AR75" s="609">
        <v>0</v>
      </c>
      <c r="AS75" s="609">
        <v>0</v>
      </c>
      <c r="AT75" s="609">
        <v>0</v>
      </c>
      <c r="AU75" s="609">
        <v>0</v>
      </c>
      <c r="AV75" s="609">
        <v>0</v>
      </c>
      <c r="AW75" s="615">
        <v>0</v>
      </c>
      <c r="AX75" s="615">
        <v>0</v>
      </c>
      <c r="AY75" s="615">
        <v>0</v>
      </c>
      <c r="AZ75" s="615">
        <v>0</v>
      </c>
      <c r="BA75" s="615">
        <v>0</v>
      </c>
      <c r="BB75" s="615">
        <v>0</v>
      </c>
      <c r="BC75" s="615">
        <v>0</v>
      </c>
      <c r="BD75" s="615">
        <v>0</v>
      </c>
      <c r="BE75" s="615">
        <v>0</v>
      </c>
      <c r="BF75" s="615">
        <v>0</v>
      </c>
      <c r="BG75" s="615">
        <v>0</v>
      </c>
      <c r="BH75" s="615">
        <v>0</v>
      </c>
      <c r="BI75" s="615">
        <v>0</v>
      </c>
      <c r="BJ75" s="615">
        <v>0</v>
      </c>
      <c r="BK75" s="615">
        <v>0</v>
      </c>
      <c r="BL75" s="615">
        <v>0</v>
      </c>
      <c r="BM75" s="615">
        <v>0</v>
      </c>
      <c r="BN75" s="615">
        <v>0</v>
      </c>
      <c r="BO75" s="615">
        <v>0</v>
      </c>
      <c r="BP75" s="615">
        <v>0</v>
      </c>
      <c r="BQ75" s="615">
        <v>0</v>
      </c>
      <c r="BR75" s="615">
        <v>0</v>
      </c>
      <c r="BS75" s="615">
        <v>0</v>
      </c>
      <c r="BT75" s="615">
        <v>0</v>
      </c>
      <c r="BU75" s="615">
        <v>0</v>
      </c>
      <c r="BV75" s="615">
        <v>0</v>
      </c>
      <c r="BW75" s="615">
        <v>0</v>
      </c>
      <c r="BX75" s="607">
        <f t="shared" si="1"/>
        <v>0</v>
      </c>
    </row>
    <row r="76" spans="1:76" s="612" customFormat="1" ht="11.25" customHeight="1" x14ac:dyDescent="0.2">
      <c r="A76" s="905"/>
      <c r="B76" s="610" t="s">
        <v>2531</v>
      </c>
      <c r="C76" s="634" t="s">
        <v>1826</v>
      </c>
      <c r="D76" s="609">
        <v>0</v>
      </c>
      <c r="E76" s="609" t="s">
        <v>1128</v>
      </c>
      <c r="F76" s="609" t="s">
        <v>1128</v>
      </c>
      <c r="G76" s="609" t="s">
        <v>1128</v>
      </c>
      <c r="H76" s="585">
        <v>0</v>
      </c>
      <c r="I76" s="609">
        <v>0</v>
      </c>
      <c r="J76" s="609">
        <v>0</v>
      </c>
      <c r="K76" s="609">
        <v>0</v>
      </c>
      <c r="L76" s="609">
        <v>0</v>
      </c>
      <c r="M76" s="609">
        <v>0</v>
      </c>
      <c r="N76" s="609">
        <v>0</v>
      </c>
      <c r="O76" s="609">
        <v>0</v>
      </c>
      <c r="P76" s="609">
        <v>0</v>
      </c>
      <c r="Q76" s="609">
        <v>0</v>
      </c>
      <c r="R76" s="609">
        <v>0</v>
      </c>
      <c r="S76" s="609">
        <v>0</v>
      </c>
      <c r="T76" s="609">
        <v>0</v>
      </c>
      <c r="U76" s="609">
        <v>0</v>
      </c>
      <c r="V76" s="609">
        <v>0</v>
      </c>
      <c r="W76" s="609">
        <v>0</v>
      </c>
      <c r="X76" s="609">
        <v>0</v>
      </c>
      <c r="Y76" s="609">
        <v>0</v>
      </c>
      <c r="Z76" s="609">
        <v>0</v>
      </c>
      <c r="AA76" s="609">
        <v>0</v>
      </c>
      <c r="AB76" s="609">
        <v>0</v>
      </c>
      <c r="AC76" s="609">
        <v>0</v>
      </c>
      <c r="AD76" s="609">
        <v>0</v>
      </c>
      <c r="AE76" s="609">
        <v>0</v>
      </c>
      <c r="AF76" s="609">
        <v>0</v>
      </c>
      <c r="AG76" s="609">
        <v>0</v>
      </c>
      <c r="AH76" s="609">
        <v>0</v>
      </c>
      <c r="AI76" s="609">
        <v>0</v>
      </c>
      <c r="AJ76" s="609">
        <v>0</v>
      </c>
      <c r="AK76" s="609">
        <v>0</v>
      </c>
      <c r="AL76" s="609">
        <v>0</v>
      </c>
      <c r="AM76" s="609">
        <v>0</v>
      </c>
      <c r="AN76" s="609">
        <v>0</v>
      </c>
      <c r="AO76" s="609">
        <v>0</v>
      </c>
      <c r="AP76" s="609">
        <v>0</v>
      </c>
      <c r="AQ76" s="609">
        <v>0</v>
      </c>
      <c r="AR76" s="609">
        <v>0</v>
      </c>
      <c r="AS76" s="609">
        <v>0</v>
      </c>
      <c r="AT76" s="609">
        <v>0</v>
      </c>
      <c r="AU76" s="609">
        <v>0</v>
      </c>
      <c r="AV76" s="609">
        <v>0</v>
      </c>
      <c r="AW76" s="615">
        <v>0</v>
      </c>
      <c r="AX76" s="615">
        <v>0</v>
      </c>
      <c r="AY76" s="615">
        <v>0</v>
      </c>
      <c r="AZ76" s="615">
        <v>0</v>
      </c>
      <c r="BA76" s="615">
        <v>0</v>
      </c>
      <c r="BB76" s="615">
        <v>0</v>
      </c>
      <c r="BC76" s="615">
        <v>0</v>
      </c>
      <c r="BD76" s="615">
        <v>0</v>
      </c>
      <c r="BE76" s="615">
        <v>0</v>
      </c>
      <c r="BF76" s="615">
        <v>0</v>
      </c>
      <c r="BG76" s="615">
        <v>0</v>
      </c>
      <c r="BH76" s="615">
        <v>0</v>
      </c>
      <c r="BI76" s="615">
        <v>0</v>
      </c>
      <c r="BJ76" s="615">
        <v>0</v>
      </c>
      <c r="BK76" s="615">
        <v>0</v>
      </c>
      <c r="BL76" s="615">
        <v>0</v>
      </c>
      <c r="BM76" s="615">
        <v>0</v>
      </c>
      <c r="BN76" s="615">
        <v>0</v>
      </c>
      <c r="BO76" s="615">
        <v>0</v>
      </c>
      <c r="BP76" s="615">
        <v>0</v>
      </c>
      <c r="BQ76" s="615">
        <v>0</v>
      </c>
      <c r="BR76" s="615">
        <v>0</v>
      </c>
      <c r="BS76" s="615">
        <v>0</v>
      </c>
      <c r="BT76" s="615">
        <v>0</v>
      </c>
      <c r="BU76" s="615">
        <v>0</v>
      </c>
      <c r="BV76" s="615">
        <v>0</v>
      </c>
      <c r="BW76" s="615">
        <v>0</v>
      </c>
      <c r="BX76" s="607">
        <f t="shared" si="1"/>
        <v>0</v>
      </c>
    </row>
    <row r="77" spans="1:76" s="612" customFormat="1" ht="11.25" customHeight="1" x14ac:dyDescent="0.2">
      <c r="A77" s="905"/>
      <c r="B77" s="610" t="s">
        <v>1430</v>
      </c>
      <c r="C77" s="634" t="s">
        <v>1827</v>
      </c>
      <c r="D77" s="609">
        <v>0</v>
      </c>
      <c r="E77" s="609">
        <v>0</v>
      </c>
      <c r="F77" s="609">
        <v>0</v>
      </c>
      <c r="G77" s="609">
        <v>0</v>
      </c>
      <c r="H77" s="585">
        <v>0</v>
      </c>
      <c r="I77" s="609" t="s">
        <v>1128</v>
      </c>
      <c r="J77" s="609" t="s">
        <v>1128</v>
      </c>
      <c r="K77" s="609" t="s">
        <v>1128</v>
      </c>
      <c r="L77" s="609">
        <v>0</v>
      </c>
      <c r="M77" s="609">
        <v>0</v>
      </c>
      <c r="N77" s="609">
        <v>0</v>
      </c>
      <c r="O77" s="609">
        <v>0</v>
      </c>
      <c r="P77" s="609">
        <v>0</v>
      </c>
      <c r="Q77" s="609">
        <v>0</v>
      </c>
      <c r="R77" s="609">
        <v>0</v>
      </c>
      <c r="S77" s="609">
        <v>0</v>
      </c>
      <c r="T77" s="609">
        <v>0</v>
      </c>
      <c r="U77" s="609">
        <v>0</v>
      </c>
      <c r="V77" s="609">
        <v>0</v>
      </c>
      <c r="W77" s="609">
        <v>0</v>
      </c>
      <c r="X77" s="609">
        <v>0</v>
      </c>
      <c r="Y77" s="609">
        <v>0</v>
      </c>
      <c r="Z77" s="609">
        <v>0</v>
      </c>
      <c r="AA77" s="609">
        <v>0</v>
      </c>
      <c r="AB77" s="609">
        <v>0</v>
      </c>
      <c r="AC77" s="609">
        <v>0</v>
      </c>
      <c r="AD77" s="609">
        <v>0</v>
      </c>
      <c r="AE77" s="609">
        <v>0</v>
      </c>
      <c r="AF77" s="609">
        <v>0</v>
      </c>
      <c r="AG77" s="609">
        <v>0</v>
      </c>
      <c r="AH77" s="609">
        <v>0</v>
      </c>
      <c r="AI77" s="609">
        <v>0</v>
      </c>
      <c r="AJ77" s="609">
        <v>0</v>
      </c>
      <c r="AK77" s="609">
        <v>0</v>
      </c>
      <c r="AL77" s="609">
        <v>0</v>
      </c>
      <c r="AM77" s="609">
        <v>0</v>
      </c>
      <c r="AN77" s="609">
        <v>0</v>
      </c>
      <c r="AO77" s="609">
        <v>0</v>
      </c>
      <c r="AP77" s="609">
        <v>0</v>
      </c>
      <c r="AQ77" s="609">
        <v>0</v>
      </c>
      <c r="AR77" s="609">
        <v>0</v>
      </c>
      <c r="AS77" s="609">
        <v>0</v>
      </c>
      <c r="AT77" s="609">
        <v>0</v>
      </c>
      <c r="AU77" s="609">
        <v>0</v>
      </c>
      <c r="AV77" s="609">
        <v>0</v>
      </c>
      <c r="AW77" s="615">
        <v>0</v>
      </c>
      <c r="AX77" s="615">
        <v>0</v>
      </c>
      <c r="AY77" s="615">
        <v>0</v>
      </c>
      <c r="AZ77" s="615">
        <v>0</v>
      </c>
      <c r="BA77" s="615">
        <v>0</v>
      </c>
      <c r="BB77" s="615">
        <v>0</v>
      </c>
      <c r="BC77" s="615">
        <v>0</v>
      </c>
      <c r="BD77" s="615">
        <v>0</v>
      </c>
      <c r="BE77" s="615">
        <v>0</v>
      </c>
      <c r="BF77" s="615">
        <v>0</v>
      </c>
      <c r="BG77" s="615">
        <v>0</v>
      </c>
      <c r="BH77" s="615">
        <v>0</v>
      </c>
      <c r="BI77" s="615">
        <v>0</v>
      </c>
      <c r="BJ77" s="615">
        <v>0</v>
      </c>
      <c r="BK77" s="615">
        <v>0</v>
      </c>
      <c r="BL77" s="615">
        <v>0</v>
      </c>
      <c r="BM77" s="615">
        <v>0</v>
      </c>
      <c r="BN77" s="615">
        <v>0</v>
      </c>
      <c r="BO77" s="615">
        <v>0</v>
      </c>
      <c r="BP77" s="615">
        <v>0</v>
      </c>
      <c r="BQ77" s="615">
        <v>0</v>
      </c>
      <c r="BR77" s="615">
        <v>0</v>
      </c>
      <c r="BS77" s="615">
        <v>0</v>
      </c>
      <c r="BT77" s="615">
        <v>0</v>
      </c>
      <c r="BU77" s="615">
        <v>0</v>
      </c>
      <c r="BV77" s="615">
        <v>0</v>
      </c>
      <c r="BW77" s="615">
        <v>0</v>
      </c>
      <c r="BX77" s="607">
        <f t="shared" si="1"/>
        <v>0</v>
      </c>
    </row>
    <row r="78" spans="1:76" s="612" customFormat="1" ht="11.25" customHeight="1" x14ac:dyDescent="0.2">
      <c r="A78" s="905"/>
      <c r="B78" s="610" t="s">
        <v>881</v>
      </c>
      <c r="C78" s="634" t="s">
        <v>1828</v>
      </c>
      <c r="D78" s="609">
        <v>0</v>
      </c>
      <c r="E78" s="609">
        <v>0</v>
      </c>
      <c r="F78" s="609">
        <v>0</v>
      </c>
      <c r="G78" s="609">
        <v>0</v>
      </c>
      <c r="H78" s="585">
        <v>0</v>
      </c>
      <c r="I78" s="609">
        <v>0</v>
      </c>
      <c r="J78" s="609">
        <v>0</v>
      </c>
      <c r="K78" s="609">
        <v>0</v>
      </c>
      <c r="L78" s="609">
        <v>0</v>
      </c>
      <c r="M78" s="609">
        <v>0</v>
      </c>
      <c r="N78" s="609">
        <v>0</v>
      </c>
      <c r="O78" s="609">
        <v>0</v>
      </c>
      <c r="P78" s="609">
        <v>0</v>
      </c>
      <c r="Q78" s="609">
        <v>0</v>
      </c>
      <c r="R78" s="609">
        <v>0</v>
      </c>
      <c r="S78" s="609">
        <v>0</v>
      </c>
      <c r="T78" s="609">
        <v>0</v>
      </c>
      <c r="U78" s="609">
        <v>0</v>
      </c>
      <c r="V78" s="609">
        <v>0</v>
      </c>
      <c r="W78" s="609">
        <v>0</v>
      </c>
      <c r="X78" s="609">
        <v>0</v>
      </c>
      <c r="Y78" s="609">
        <v>0</v>
      </c>
      <c r="Z78" s="609">
        <v>0</v>
      </c>
      <c r="AA78" s="609">
        <v>0</v>
      </c>
      <c r="AB78" s="609">
        <v>0</v>
      </c>
      <c r="AC78" s="609">
        <v>0</v>
      </c>
      <c r="AD78" s="609">
        <v>0</v>
      </c>
      <c r="AE78" s="609">
        <v>0</v>
      </c>
      <c r="AF78" s="609">
        <v>0</v>
      </c>
      <c r="AG78" s="609">
        <v>0</v>
      </c>
      <c r="AH78" s="609">
        <v>0</v>
      </c>
      <c r="AI78" s="609">
        <v>0</v>
      </c>
      <c r="AJ78" s="609">
        <v>0</v>
      </c>
      <c r="AK78" s="609">
        <v>0</v>
      </c>
      <c r="AL78" s="609">
        <v>0</v>
      </c>
      <c r="AM78" s="609">
        <v>0</v>
      </c>
      <c r="AN78" s="609">
        <v>0</v>
      </c>
      <c r="AO78" s="609">
        <v>0</v>
      </c>
      <c r="AP78" s="609">
        <v>0</v>
      </c>
      <c r="AQ78" s="609">
        <v>127280</v>
      </c>
      <c r="AR78" s="609">
        <v>0</v>
      </c>
      <c r="AS78" s="609">
        <v>0</v>
      </c>
      <c r="AT78" s="609">
        <v>0</v>
      </c>
      <c r="AU78" s="609">
        <v>0</v>
      </c>
      <c r="AV78" s="609">
        <v>0</v>
      </c>
      <c r="AW78" s="615">
        <v>0</v>
      </c>
      <c r="AX78" s="615">
        <v>0</v>
      </c>
      <c r="AY78" s="615">
        <v>0</v>
      </c>
      <c r="AZ78" s="615">
        <v>0</v>
      </c>
      <c r="BA78" s="615">
        <v>0</v>
      </c>
      <c r="BB78" s="615">
        <v>0</v>
      </c>
      <c r="BC78" s="615">
        <v>0</v>
      </c>
      <c r="BD78" s="615">
        <v>0</v>
      </c>
      <c r="BE78" s="615">
        <v>0</v>
      </c>
      <c r="BF78" s="615">
        <v>0</v>
      </c>
      <c r="BG78" s="615">
        <v>0</v>
      </c>
      <c r="BH78" s="615">
        <v>0</v>
      </c>
      <c r="BI78" s="615">
        <v>0</v>
      </c>
      <c r="BJ78" s="615">
        <v>0</v>
      </c>
      <c r="BK78" s="615">
        <v>0</v>
      </c>
      <c r="BL78" s="615">
        <v>0</v>
      </c>
      <c r="BM78" s="615">
        <v>0</v>
      </c>
      <c r="BN78" s="615">
        <v>0</v>
      </c>
      <c r="BO78" s="615">
        <v>0</v>
      </c>
      <c r="BP78" s="615">
        <v>0</v>
      </c>
      <c r="BQ78" s="615">
        <v>0</v>
      </c>
      <c r="BR78" s="615">
        <v>0</v>
      </c>
      <c r="BS78" s="615">
        <v>0</v>
      </c>
      <c r="BT78" s="615">
        <v>0</v>
      </c>
      <c r="BU78" s="615">
        <v>0</v>
      </c>
      <c r="BV78" s="615">
        <v>0</v>
      </c>
      <c r="BW78" s="615">
        <v>0</v>
      </c>
      <c r="BX78" s="607">
        <f t="shared" si="1"/>
        <v>127280</v>
      </c>
    </row>
    <row r="79" spans="1:76" s="612" customFormat="1" ht="11.25" customHeight="1" x14ac:dyDescent="0.2">
      <c r="A79" s="905"/>
      <c r="B79" s="610" t="s">
        <v>880</v>
      </c>
      <c r="C79" s="634" t="s">
        <v>1829</v>
      </c>
      <c r="D79" s="609">
        <v>0</v>
      </c>
      <c r="E79" s="609">
        <v>0</v>
      </c>
      <c r="F79" s="609">
        <v>0</v>
      </c>
      <c r="G79" s="609">
        <v>0</v>
      </c>
      <c r="H79" s="585">
        <v>0</v>
      </c>
      <c r="I79" s="609">
        <v>0</v>
      </c>
      <c r="J79" s="609">
        <v>0</v>
      </c>
      <c r="K79" s="609">
        <v>0</v>
      </c>
      <c r="L79" s="609">
        <v>0</v>
      </c>
      <c r="M79" s="609">
        <v>0</v>
      </c>
      <c r="N79" s="609">
        <v>0</v>
      </c>
      <c r="O79" s="609">
        <v>0</v>
      </c>
      <c r="P79" s="609">
        <v>0</v>
      </c>
      <c r="Q79" s="609">
        <v>0</v>
      </c>
      <c r="R79" s="609">
        <v>0</v>
      </c>
      <c r="S79" s="609">
        <v>0</v>
      </c>
      <c r="T79" s="609">
        <v>0</v>
      </c>
      <c r="U79" s="609">
        <v>0</v>
      </c>
      <c r="V79" s="609">
        <v>0</v>
      </c>
      <c r="W79" s="609">
        <v>0</v>
      </c>
      <c r="X79" s="609">
        <v>0</v>
      </c>
      <c r="Y79" s="609">
        <v>0</v>
      </c>
      <c r="Z79" s="609">
        <v>0</v>
      </c>
      <c r="AA79" s="609">
        <v>0</v>
      </c>
      <c r="AB79" s="609">
        <v>0</v>
      </c>
      <c r="AC79" s="609">
        <v>0</v>
      </c>
      <c r="AD79" s="609">
        <v>0</v>
      </c>
      <c r="AE79" s="609">
        <v>0</v>
      </c>
      <c r="AF79" s="609">
        <v>0</v>
      </c>
      <c r="AG79" s="609">
        <v>0</v>
      </c>
      <c r="AH79" s="609">
        <v>0</v>
      </c>
      <c r="AI79" s="609">
        <v>0</v>
      </c>
      <c r="AJ79" s="609">
        <v>0</v>
      </c>
      <c r="AK79" s="609">
        <v>0</v>
      </c>
      <c r="AL79" s="609">
        <v>0</v>
      </c>
      <c r="AM79" s="609">
        <v>0</v>
      </c>
      <c r="AN79" s="609">
        <v>0</v>
      </c>
      <c r="AO79" s="609">
        <v>0</v>
      </c>
      <c r="AP79" s="609">
        <v>0</v>
      </c>
      <c r="AQ79" s="609">
        <v>0</v>
      </c>
      <c r="AR79" s="609">
        <v>0</v>
      </c>
      <c r="AS79" s="609">
        <v>0</v>
      </c>
      <c r="AT79" s="609">
        <v>0</v>
      </c>
      <c r="AU79" s="609">
        <v>0</v>
      </c>
      <c r="AV79" s="609">
        <v>0</v>
      </c>
      <c r="AW79" s="615">
        <v>0</v>
      </c>
      <c r="AX79" s="615">
        <v>0</v>
      </c>
      <c r="AY79" s="615">
        <v>0</v>
      </c>
      <c r="AZ79" s="615">
        <v>0</v>
      </c>
      <c r="BA79" s="615">
        <v>0</v>
      </c>
      <c r="BB79" s="615">
        <v>0</v>
      </c>
      <c r="BC79" s="615">
        <v>0</v>
      </c>
      <c r="BD79" s="615">
        <v>0</v>
      </c>
      <c r="BE79" s="615">
        <v>0</v>
      </c>
      <c r="BF79" s="615">
        <v>0</v>
      </c>
      <c r="BG79" s="615">
        <v>0</v>
      </c>
      <c r="BH79" s="615">
        <v>0</v>
      </c>
      <c r="BI79" s="615">
        <v>0</v>
      </c>
      <c r="BJ79" s="615">
        <v>0</v>
      </c>
      <c r="BK79" s="615">
        <v>0</v>
      </c>
      <c r="BL79" s="615">
        <v>0</v>
      </c>
      <c r="BM79" s="615">
        <v>0</v>
      </c>
      <c r="BN79" s="615">
        <v>0</v>
      </c>
      <c r="BO79" s="615">
        <v>0</v>
      </c>
      <c r="BP79" s="615">
        <v>0</v>
      </c>
      <c r="BQ79" s="615">
        <v>0</v>
      </c>
      <c r="BR79" s="615">
        <v>0</v>
      </c>
      <c r="BS79" s="615">
        <v>0</v>
      </c>
      <c r="BT79" s="615">
        <v>0</v>
      </c>
      <c r="BU79" s="615">
        <v>0</v>
      </c>
      <c r="BV79" s="615">
        <v>0</v>
      </c>
      <c r="BW79" s="615">
        <v>0</v>
      </c>
      <c r="BX79" s="607">
        <f t="shared" si="1"/>
        <v>0</v>
      </c>
    </row>
    <row r="80" spans="1:76" s="612" customFormat="1" ht="11.25" customHeight="1" x14ac:dyDescent="0.2">
      <c r="A80" s="905"/>
      <c r="B80" s="610" t="s">
        <v>1223</v>
      </c>
      <c r="C80" s="634" t="s">
        <v>1830</v>
      </c>
      <c r="D80" s="609">
        <v>0</v>
      </c>
      <c r="E80" s="609">
        <v>0</v>
      </c>
      <c r="F80" s="609">
        <v>0</v>
      </c>
      <c r="G80" s="609">
        <v>0</v>
      </c>
      <c r="H80" s="585">
        <v>0</v>
      </c>
      <c r="I80" s="609">
        <v>0</v>
      </c>
      <c r="J80" s="609">
        <v>0</v>
      </c>
      <c r="K80" s="609">
        <v>0</v>
      </c>
      <c r="L80" s="609">
        <v>0</v>
      </c>
      <c r="M80" s="609">
        <v>0</v>
      </c>
      <c r="N80" s="609">
        <v>0</v>
      </c>
      <c r="O80" s="609">
        <v>0</v>
      </c>
      <c r="P80" s="609">
        <v>0</v>
      </c>
      <c r="Q80" s="609">
        <v>0</v>
      </c>
      <c r="R80" s="609">
        <v>0</v>
      </c>
      <c r="S80" s="609">
        <v>0</v>
      </c>
      <c r="T80" s="609">
        <v>0</v>
      </c>
      <c r="U80" s="609">
        <v>0</v>
      </c>
      <c r="V80" s="609">
        <v>0</v>
      </c>
      <c r="W80" s="609">
        <v>0</v>
      </c>
      <c r="X80" s="609">
        <v>0</v>
      </c>
      <c r="Y80" s="609">
        <v>0</v>
      </c>
      <c r="Z80" s="609">
        <v>0</v>
      </c>
      <c r="AA80" s="609">
        <v>0</v>
      </c>
      <c r="AB80" s="609">
        <v>0</v>
      </c>
      <c r="AC80" s="609">
        <v>0</v>
      </c>
      <c r="AD80" s="609">
        <v>0</v>
      </c>
      <c r="AE80" s="609">
        <v>0</v>
      </c>
      <c r="AF80" s="609">
        <v>0</v>
      </c>
      <c r="AG80" s="609">
        <v>0</v>
      </c>
      <c r="AH80" s="609">
        <v>0</v>
      </c>
      <c r="AI80" s="609">
        <v>0</v>
      </c>
      <c r="AJ80" s="609">
        <v>0</v>
      </c>
      <c r="AK80" s="609">
        <v>0</v>
      </c>
      <c r="AL80" s="609">
        <v>0</v>
      </c>
      <c r="AM80" s="609">
        <v>0</v>
      </c>
      <c r="AN80" s="609">
        <v>0</v>
      </c>
      <c r="AO80" s="609">
        <v>0</v>
      </c>
      <c r="AP80" s="609">
        <v>0</v>
      </c>
      <c r="AQ80" s="609">
        <v>674667</v>
      </c>
      <c r="AR80" s="609">
        <v>0</v>
      </c>
      <c r="AS80" s="609">
        <v>0</v>
      </c>
      <c r="AT80" s="609">
        <v>0</v>
      </c>
      <c r="AU80" s="609">
        <v>0</v>
      </c>
      <c r="AV80" s="609">
        <v>0</v>
      </c>
      <c r="AW80" s="615">
        <v>0</v>
      </c>
      <c r="AX80" s="615">
        <v>0</v>
      </c>
      <c r="AY80" s="615">
        <v>0</v>
      </c>
      <c r="AZ80" s="615">
        <v>0</v>
      </c>
      <c r="BA80" s="615">
        <v>0</v>
      </c>
      <c r="BB80" s="615">
        <v>0</v>
      </c>
      <c r="BC80" s="615">
        <v>0</v>
      </c>
      <c r="BD80" s="615">
        <v>0</v>
      </c>
      <c r="BE80" s="615">
        <v>0</v>
      </c>
      <c r="BF80" s="615">
        <v>0</v>
      </c>
      <c r="BG80" s="615">
        <v>0</v>
      </c>
      <c r="BH80" s="615">
        <v>0</v>
      </c>
      <c r="BI80" s="615">
        <v>0</v>
      </c>
      <c r="BJ80" s="615">
        <v>0</v>
      </c>
      <c r="BK80" s="615">
        <v>0</v>
      </c>
      <c r="BL80" s="615">
        <v>0</v>
      </c>
      <c r="BM80" s="615">
        <v>0</v>
      </c>
      <c r="BN80" s="615">
        <v>0</v>
      </c>
      <c r="BO80" s="615">
        <v>0</v>
      </c>
      <c r="BP80" s="615">
        <v>0</v>
      </c>
      <c r="BQ80" s="615">
        <v>0</v>
      </c>
      <c r="BR80" s="615">
        <v>0</v>
      </c>
      <c r="BS80" s="615">
        <v>0</v>
      </c>
      <c r="BT80" s="615">
        <v>0</v>
      </c>
      <c r="BU80" s="615">
        <v>0</v>
      </c>
      <c r="BV80" s="615">
        <v>0</v>
      </c>
      <c r="BW80" s="615">
        <v>0</v>
      </c>
      <c r="BX80" s="607">
        <f t="shared" si="1"/>
        <v>674667</v>
      </c>
    </row>
    <row r="81" spans="1:76" s="612" customFormat="1" ht="11.25" customHeight="1" x14ac:dyDescent="0.2">
      <c r="A81" s="905"/>
      <c r="B81" s="610" t="s">
        <v>2576</v>
      </c>
      <c r="C81" s="634" t="s">
        <v>1831</v>
      </c>
      <c r="D81" s="609">
        <v>0</v>
      </c>
      <c r="E81" s="609">
        <v>0</v>
      </c>
      <c r="F81" s="609">
        <v>0</v>
      </c>
      <c r="G81" s="609">
        <v>0</v>
      </c>
      <c r="H81" s="585">
        <v>0</v>
      </c>
      <c r="I81" s="609">
        <v>0</v>
      </c>
      <c r="J81" s="609" t="s">
        <v>1128</v>
      </c>
      <c r="K81" s="609">
        <v>0</v>
      </c>
      <c r="L81" s="609">
        <v>0</v>
      </c>
      <c r="M81" s="609">
        <v>0</v>
      </c>
      <c r="N81" s="609">
        <v>0</v>
      </c>
      <c r="O81" s="609">
        <v>0</v>
      </c>
      <c r="P81" s="609">
        <v>0</v>
      </c>
      <c r="Q81" s="609">
        <v>0</v>
      </c>
      <c r="R81" s="609">
        <v>0</v>
      </c>
      <c r="S81" s="609">
        <v>0</v>
      </c>
      <c r="T81" s="609">
        <v>0</v>
      </c>
      <c r="U81" s="609">
        <v>0</v>
      </c>
      <c r="V81" s="609">
        <v>0</v>
      </c>
      <c r="W81" s="609">
        <v>0</v>
      </c>
      <c r="X81" s="609">
        <v>0</v>
      </c>
      <c r="Y81" s="609">
        <v>0</v>
      </c>
      <c r="Z81" s="609">
        <v>0</v>
      </c>
      <c r="AA81" s="609">
        <v>0</v>
      </c>
      <c r="AB81" s="609">
        <v>0</v>
      </c>
      <c r="AC81" s="609">
        <v>0</v>
      </c>
      <c r="AD81" s="609">
        <v>0</v>
      </c>
      <c r="AE81" s="609">
        <v>0</v>
      </c>
      <c r="AF81" s="609">
        <v>0</v>
      </c>
      <c r="AG81" s="609">
        <v>0</v>
      </c>
      <c r="AH81" s="609">
        <v>0</v>
      </c>
      <c r="AI81" s="609">
        <v>0</v>
      </c>
      <c r="AJ81" s="609">
        <v>0</v>
      </c>
      <c r="AK81" s="609">
        <v>0</v>
      </c>
      <c r="AL81" s="609">
        <v>0</v>
      </c>
      <c r="AM81" s="609">
        <v>0</v>
      </c>
      <c r="AN81" s="609">
        <v>0</v>
      </c>
      <c r="AO81" s="609">
        <v>0</v>
      </c>
      <c r="AP81" s="609">
        <v>0</v>
      </c>
      <c r="AQ81" s="609">
        <v>0</v>
      </c>
      <c r="AR81" s="609">
        <v>0</v>
      </c>
      <c r="AS81" s="609">
        <v>0</v>
      </c>
      <c r="AT81" s="609">
        <v>0</v>
      </c>
      <c r="AU81" s="609">
        <v>0</v>
      </c>
      <c r="AV81" s="609">
        <v>0</v>
      </c>
      <c r="AW81" s="615">
        <v>0</v>
      </c>
      <c r="AX81" s="615">
        <v>0</v>
      </c>
      <c r="AY81" s="615">
        <v>0</v>
      </c>
      <c r="AZ81" s="615">
        <v>0</v>
      </c>
      <c r="BA81" s="615">
        <v>0</v>
      </c>
      <c r="BB81" s="615">
        <v>0</v>
      </c>
      <c r="BC81" s="615">
        <v>0</v>
      </c>
      <c r="BD81" s="615">
        <v>0</v>
      </c>
      <c r="BE81" s="615">
        <v>0</v>
      </c>
      <c r="BF81" s="615">
        <v>0</v>
      </c>
      <c r="BG81" s="615">
        <v>0</v>
      </c>
      <c r="BH81" s="615">
        <v>0</v>
      </c>
      <c r="BI81" s="615">
        <v>0</v>
      </c>
      <c r="BJ81" s="615">
        <v>0</v>
      </c>
      <c r="BK81" s="615">
        <v>0</v>
      </c>
      <c r="BL81" s="615">
        <v>0</v>
      </c>
      <c r="BM81" s="615">
        <v>0</v>
      </c>
      <c r="BN81" s="615">
        <v>0</v>
      </c>
      <c r="BO81" s="615">
        <v>0</v>
      </c>
      <c r="BP81" s="615">
        <v>0</v>
      </c>
      <c r="BQ81" s="615">
        <v>0</v>
      </c>
      <c r="BR81" s="615">
        <v>0</v>
      </c>
      <c r="BS81" s="615">
        <v>0</v>
      </c>
      <c r="BT81" s="615">
        <v>0</v>
      </c>
      <c r="BU81" s="615">
        <v>0</v>
      </c>
      <c r="BV81" s="615">
        <v>0</v>
      </c>
      <c r="BW81" s="615">
        <v>0</v>
      </c>
      <c r="BX81" s="607">
        <f t="shared" si="1"/>
        <v>0</v>
      </c>
    </row>
    <row r="82" spans="1:76" s="612" customFormat="1" ht="11.25" customHeight="1" x14ac:dyDescent="0.2">
      <c r="A82" s="905"/>
      <c r="B82" s="610" t="s">
        <v>2294</v>
      </c>
      <c r="C82" s="634" t="s">
        <v>1832</v>
      </c>
      <c r="D82" s="609">
        <v>0</v>
      </c>
      <c r="E82" s="609">
        <v>0</v>
      </c>
      <c r="F82" s="609">
        <v>0</v>
      </c>
      <c r="G82" s="609">
        <v>0</v>
      </c>
      <c r="H82" s="585">
        <v>0</v>
      </c>
      <c r="I82" s="609">
        <v>0</v>
      </c>
      <c r="J82" s="609">
        <v>0</v>
      </c>
      <c r="K82" s="609">
        <v>0</v>
      </c>
      <c r="L82" s="609">
        <v>0</v>
      </c>
      <c r="M82" s="609">
        <v>0</v>
      </c>
      <c r="N82" s="609">
        <v>0</v>
      </c>
      <c r="O82" s="609">
        <v>0</v>
      </c>
      <c r="P82" s="609">
        <v>0</v>
      </c>
      <c r="Q82" s="609">
        <v>0</v>
      </c>
      <c r="R82" s="609">
        <v>0</v>
      </c>
      <c r="S82" s="609">
        <v>0</v>
      </c>
      <c r="T82" s="609">
        <v>0</v>
      </c>
      <c r="U82" s="609">
        <v>0</v>
      </c>
      <c r="V82" s="609">
        <v>0</v>
      </c>
      <c r="W82" s="609">
        <v>0</v>
      </c>
      <c r="X82" s="609">
        <v>0</v>
      </c>
      <c r="Y82" s="609">
        <v>0</v>
      </c>
      <c r="Z82" s="609">
        <v>0</v>
      </c>
      <c r="AA82" s="609">
        <v>0</v>
      </c>
      <c r="AB82" s="609">
        <v>0</v>
      </c>
      <c r="AC82" s="609">
        <v>0</v>
      </c>
      <c r="AD82" s="609">
        <v>0</v>
      </c>
      <c r="AE82" s="609">
        <v>0</v>
      </c>
      <c r="AF82" s="609">
        <v>0</v>
      </c>
      <c r="AG82" s="609">
        <v>0</v>
      </c>
      <c r="AH82" s="609">
        <v>0</v>
      </c>
      <c r="AI82" s="609">
        <v>0</v>
      </c>
      <c r="AJ82" s="609">
        <v>0</v>
      </c>
      <c r="AK82" s="609">
        <v>0</v>
      </c>
      <c r="AL82" s="609">
        <v>0</v>
      </c>
      <c r="AM82" s="609">
        <v>0</v>
      </c>
      <c r="AN82" s="609">
        <v>0</v>
      </c>
      <c r="AO82" s="609">
        <v>0</v>
      </c>
      <c r="AP82" s="609">
        <v>0</v>
      </c>
      <c r="AQ82" s="609">
        <v>93919</v>
      </c>
      <c r="AR82" s="609">
        <v>0</v>
      </c>
      <c r="AS82" s="609">
        <v>0</v>
      </c>
      <c r="AT82" s="609">
        <v>0</v>
      </c>
      <c r="AU82" s="609">
        <v>0</v>
      </c>
      <c r="AV82" s="609">
        <v>0</v>
      </c>
      <c r="AW82" s="615">
        <v>0</v>
      </c>
      <c r="AX82" s="615">
        <v>0</v>
      </c>
      <c r="AY82" s="615">
        <v>0</v>
      </c>
      <c r="AZ82" s="615">
        <v>0</v>
      </c>
      <c r="BA82" s="615">
        <v>0</v>
      </c>
      <c r="BB82" s="615">
        <v>0</v>
      </c>
      <c r="BC82" s="615">
        <v>0</v>
      </c>
      <c r="BD82" s="615">
        <v>0</v>
      </c>
      <c r="BE82" s="615">
        <v>0</v>
      </c>
      <c r="BF82" s="615">
        <v>0</v>
      </c>
      <c r="BG82" s="615">
        <v>0</v>
      </c>
      <c r="BH82" s="615">
        <v>0</v>
      </c>
      <c r="BI82" s="615">
        <v>0</v>
      </c>
      <c r="BJ82" s="615">
        <v>0</v>
      </c>
      <c r="BK82" s="615">
        <v>0</v>
      </c>
      <c r="BL82" s="615">
        <v>0</v>
      </c>
      <c r="BM82" s="615">
        <v>0</v>
      </c>
      <c r="BN82" s="615">
        <v>0</v>
      </c>
      <c r="BO82" s="615">
        <v>0</v>
      </c>
      <c r="BP82" s="615">
        <v>0</v>
      </c>
      <c r="BQ82" s="615">
        <v>0</v>
      </c>
      <c r="BR82" s="615">
        <v>0</v>
      </c>
      <c r="BS82" s="615">
        <v>0</v>
      </c>
      <c r="BT82" s="615">
        <v>0</v>
      </c>
      <c r="BU82" s="615">
        <v>0</v>
      </c>
      <c r="BV82" s="615">
        <v>0</v>
      </c>
      <c r="BW82" s="615">
        <v>0</v>
      </c>
      <c r="BX82" s="607">
        <f t="shared" si="1"/>
        <v>93919</v>
      </c>
    </row>
    <row r="83" spans="1:76" s="612" customFormat="1" ht="11.25" customHeight="1" x14ac:dyDescent="0.2">
      <c r="A83" s="905"/>
      <c r="B83" s="610" t="s">
        <v>1703</v>
      </c>
      <c r="C83" s="634" t="s">
        <v>1833</v>
      </c>
      <c r="D83" s="609">
        <v>0</v>
      </c>
      <c r="E83" s="609">
        <v>0</v>
      </c>
      <c r="F83" s="609">
        <v>0</v>
      </c>
      <c r="G83" s="609">
        <v>0</v>
      </c>
      <c r="H83" s="585">
        <v>0</v>
      </c>
      <c r="I83" s="609">
        <v>0</v>
      </c>
      <c r="J83" s="609">
        <v>0</v>
      </c>
      <c r="K83" s="609">
        <v>0</v>
      </c>
      <c r="L83" s="609">
        <v>0</v>
      </c>
      <c r="M83" s="609">
        <v>0</v>
      </c>
      <c r="N83" s="609">
        <v>0</v>
      </c>
      <c r="O83" s="609">
        <v>0</v>
      </c>
      <c r="P83" s="609">
        <v>0</v>
      </c>
      <c r="Q83" s="609">
        <v>0</v>
      </c>
      <c r="R83" s="609">
        <v>0</v>
      </c>
      <c r="S83" s="609">
        <v>0</v>
      </c>
      <c r="T83" s="609">
        <v>0</v>
      </c>
      <c r="U83" s="609">
        <v>0</v>
      </c>
      <c r="V83" s="609">
        <v>0</v>
      </c>
      <c r="W83" s="609">
        <v>0</v>
      </c>
      <c r="X83" s="609">
        <v>0</v>
      </c>
      <c r="Y83" s="609">
        <v>0</v>
      </c>
      <c r="Z83" s="609">
        <v>0</v>
      </c>
      <c r="AA83" s="609">
        <v>0</v>
      </c>
      <c r="AB83" s="609">
        <v>0</v>
      </c>
      <c r="AC83" s="609">
        <v>0</v>
      </c>
      <c r="AD83" s="609">
        <v>0</v>
      </c>
      <c r="AE83" s="609">
        <v>0</v>
      </c>
      <c r="AF83" s="609">
        <v>0</v>
      </c>
      <c r="AG83" s="609">
        <v>0</v>
      </c>
      <c r="AH83" s="609">
        <v>0</v>
      </c>
      <c r="AI83" s="609">
        <v>0</v>
      </c>
      <c r="AJ83" s="609">
        <v>0</v>
      </c>
      <c r="AK83" s="609">
        <v>0</v>
      </c>
      <c r="AL83" s="609">
        <v>0</v>
      </c>
      <c r="AM83" s="609">
        <v>0</v>
      </c>
      <c r="AN83" s="609">
        <v>0</v>
      </c>
      <c r="AO83" s="609">
        <v>0</v>
      </c>
      <c r="AP83" s="609">
        <v>0</v>
      </c>
      <c r="AQ83" s="609">
        <v>58596</v>
      </c>
      <c r="AR83" s="609">
        <v>0</v>
      </c>
      <c r="AS83" s="609">
        <v>0</v>
      </c>
      <c r="AT83" s="609">
        <v>0</v>
      </c>
      <c r="AU83" s="609">
        <v>0</v>
      </c>
      <c r="AV83" s="609">
        <v>0</v>
      </c>
      <c r="AW83" s="615">
        <v>0</v>
      </c>
      <c r="AX83" s="615">
        <v>0</v>
      </c>
      <c r="AY83" s="615">
        <v>0</v>
      </c>
      <c r="AZ83" s="615">
        <v>0</v>
      </c>
      <c r="BA83" s="615">
        <v>0</v>
      </c>
      <c r="BB83" s="615">
        <v>0</v>
      </c>
      <c r="BC83" s="615">
        <v>0</v>
      </c>
      <c r="BD83" s="615">
        <v>0</v>
      </c>
      <c r="BE83" s="615">
        <v>0</v>
      </c>
      <c r="BF83" s="615">
        <v>0</v>
      </c>
      <c r="BG83" s="615">
        <v>0</v>
      </c>
      <c r="BH83" s="615">
        <v>0</v>
      </c>
      <c r="BI83" s="615">
        <v>0</v>
      </c>
      <c r="BJ83" s="615">
        <v>0</v>
      </c>
      <c r="BK83" s="615">
        <v>0</v>
      </c>
      <c r="BL83" s="615">
        <v>0</v>
      </c>
      <c r="BM83" s="615">
        <v>0</v>
      </c>
      <c r="BN83" s="615">
        <v>0</v>
      </c>
      <c r="BO83" s="615">
        <v>0</v>
      </c>
      <c r="BP83" s="615">
        <v>0</v>
      </c>
      <c r="BQ83" s="615">
        <v>0</v>
      </c>
      <c r="BR83" s="615">
        <v>0</v>
      </c>
      <c r="BS83" s="615">
        <v>0</v>
      </c>
      <c r="BT83" s="615">
        <v>0</v>
      </c>
      <c r="BU83" s="615">
        <v>0</v>
      </c>
      <c r="BV83" s="615">
        <v>0</v>
      </c>
      <c r="BW83" s="615">
        <v>0</v>
      </c>
      <c r="BX83" s="607">
        <f t="shared" si="1"/>
        <v>58596</v>
      </c>
    </row>
    <row r="84" spans="1:76" s="612" customFormat="1" ht="11.25" customHeight="1" x14ac:dyDescent="0.2">
      <c r="A84" s="905"/>
      <c r="B84" s="610" t="s">
        <v>2608</v>
      </c>
      <c r="C84" s="634" t="s">
        <v>1834</v>
      </c>
      <c r="D84" s="609">
        <v>0</v>
      </c>
      <c r="E84" s="609">
        <v>0</v>
      </c>
      <c r="F84" s="609">
        <v>0</v>
      </c>
      <c r="G84" s="609">
        <v>0</v>
      </c>
      <c r="H84" s="585">
        <v>0</v>
      </c>
      <c r="I84" s="609">
        <v>0</v>
      </c>
      <c r="J84" s="609">
        <v>0</v>
      </c>
      <c r="K84" s="609">
        <v>0</v>
      </c>
      <c r="L84" s="609">
        <v>0</v>
      </c>
      <c r="M84" s="609">
        <v>0</v>
      </c>
      <c r="N84" s="609">
        <v>0</v>
      </c>
      <c r="O84" s="609">
        <v>0</v>
      </c>
      <c r="P84" s="609">
        <v>0</v>
      </c>
      <c r="Q84" s="609">
        <v>0</v>
      </c>
      <c r="R84" s="609">
        <v>0</v>
      </c>
      <c r="S84" s="609">
        <v>0</v>
      </c>
      <c r="T84" s="609">
        <v>0</v>
      </c>
      <c r="U84" s="609">
        <v>0</v>
      </c>
      <c r="V84" s="609">
        <v>0</v>
      </c>
      <c r="W84" s="609">
        <v>0</v>
      </c>
      <c r="X84" s="609">
        <v>0</v>
      </c>
      <c r="Y84" s="609">
        <v>0</v>
      </c>
      <c r="Z84" s="609">
        <v>0</v>
      </c>
      <c r="AA84" s="609">
        <v>0</v>
      </c>
      <c r="AB84" s="609">
        <v>0</v>
      </c>
      <c r="AC84" s="609">
        <v>0</v>
      </c>
      <c r="AD84" s="609">
        <v>0</v>
      </c>
      <c r="AE84" s="609">
        <v>0</v>
      </c>
      <c r="AF84" s="609">
        <v>0</v>
      </c>
      <c r="AG84" s="609">
        <v>0</v>
      </c>
      <c r="AH84" s="609">
        <v>0</v>
      </c>
      <c r="AI84" s="609">
        <v>0</v>
      </c>
      <c r="AJ84" s="609">
        <v>0</v>
      </c>
      <c r="AK84" s="609">
        <v>0</v>
      </c>
      <c r="AL84" s="609">
        <v>0</v>
      </c>
      <c r="AM84" s="609">
        <v>0</v>
      </c>
      <c r="AN84" s="609">
        <v>0</v>
      </c>
      <c r="AO84" s="609">
        <v>0</v>
      </c>
      <c r="AP84" s="609">
        <v>0</v>
      </c>
      <c r="AQ84" s="609">
        <v>0</v>
      </c>
      <c r="AR84" s="609">
        <v>0</v>
      </c>
      <c r="AS84" s="609">
        <v>0</v>
      </c>
      <c r="AT84" s="609">
        <v>0</v>
      </c>
      <c r="AU84" s="609">
        <v>0</v>
      </c>
      <c r="AV84" s="609">
        <v>0</v>
      </c>
      <c r="AW84" s="615">
        <v>0</v>
      </c>
      <c r="AX84" s="615">
        <v>0</v>
      </c>
      <c r="AY84" s="615">
        <v>0</v>
      </c>
      <c r="AZ84" s="615">
        <v>0</v>
      </c>
      <c r="BA84" s="615">
        <v>0</v>
      </c>
      <c r="BB84" s="615">
        <v>0</v>
      </c>
      <c r="BC84" s="615">
        <v>0</v>
      </c>
      <c r="BD84" s="615">
        <v>0</v>
      </c>
      <c r="BE84" s="615">
        <v>0</v>
      </c>
      <c r="BF84" s="615">
        <v>0</v>
      </c>
      <c r="BG84" s="615">
        <v>0</v>
      </c>
      <c r="BH84" s="615">
        <v>0</v>
      </c>
      <c r="BI84" s="615">
        <v>0</v>
      </c>
      <c r="BJ84" s="615">
        <v>0</v>
      </c>
      <c r="BK84" s="615">
        <v>0</v>
      </c>
      <c r="BL84" s="615">
        <v>0</v>
      </c>
      <c r="BM84" s="615">
        <v>0</v>
      </c>
      <c r="BN84" s="615">
        <v>0</v>
      </c>
      <c r="BO84" s="615">
        <v>0</v>
      </c>
      <c r="BP84" s="615">
        <v>0</v>
      </c>
      <c r="BQ84" s="615">
        <v>0</v>
      </c>
      <c r="BR84" s="615">
        <v>0</v>
      </c>
      <c r="BS84" s="615">
        <v>0</v>
      </c>
      <c r="BT84" s="615">
        <v>0</v>
      </c>
      <c r="BU84" s="615">
        <v>0</v>
      </c>
      <c r="BV84" s="615">
        <v>0</v>
      </c>
      <c r="BW84" s="615">
        <v>0</v>
      </c>
      <c r="BX84" s="607">
        <f t="shared" si="1"/>
        <v>0</v>
      </c>
    </row>
    <row r="85" spans="1:76" s="612" customFormat="1" ht="11.25" customHeight="1" x14ac:dyDescent="0.2">
      <c r="A85" s="905"/>
      <c r="B85" s="610" t="s">
        <v>1527</v>
      </c>
      <c r="C85" s="634" t="s">
        <v>1835</v>
      </c>
      <c r="D85" s="609">
        <v>0</v>
      </c>
      <c r="E85" s="609">
        <v>0</v>
      </c>
      <c r="F85" s="609">
        <v>0</v>
      </c>
      <c r="G85" s="609">
        <v>0</v>
      </c>
      <c r="H85" s="585">
        <v>0</v>
      </c>
      <c r="I85" s="609">
        <v>0</v>
      </c>
      <c r="J85" s="609">
        <v>0</v>
      </c>
      <c r="K85" s="609">
        <v>0</v>
      </c>
      <c r="L85" s="609">
        <v>0</v>
      </c>
      <c r="M85" s="609">
        <v>0</v>
      </c>
      <c r="N85" s="609">
        <v>0</v>
      </c>
      <c r="O85" s="609">
        <v>0</v>
      </c>
      <c r="P85" s="609">
        <v>0</v>
      </c>
      <c r="Q85" s="609">
        <v>0</v>
      </c>
      <c r="R85" s="609">
        <v>0</v>
      </c>
      <c r="S85" s="609">
        <v>0</v>
      </c>
      <c r="T85" s="609">
        <v>0</v>
      </c>
      <c r="U85" s="609">
        <v>0</v>
      </c>
      <c r="V85" s="609">
        <v>0</v>
      </c>
      <c r="W85" s="609">
        <v>0</v>
      </c>
      <c r="X85" s="609">
        <v>0</v>
      </c>
      <c r="Y85" s="609">
        <v>0</v>
      </c>
      <c r="Z85" s="609">
        <v>0</v>
      </c>
      <c r="AA85" s="609">
        <v>0</v>
      </c>
      <c r="AB85" s="609">
        <v>0</v>
      </c>
      <c r="AC85" s="609">
        <v>0</v>
      </c>
      <c r="AD85" s="609">
        <v>0</v>
      </c>
      <c r="AE85" s="609">
        <v>0</v>
      </c>
      <c r="AF85" s="609">
        <v>0</v>
      </c>
      <c r="AG85" s="609">
        <v>0</v>
      </c>
      <c r="AH85" s="609">
        <v>0</v>
      </c>
      <c r="AI85" s="609">
        <v>0</v>
      </c>
      <c r="AJ85" s="609">
        <v>0</v>
      </c>
      <c r="AK85" s="609">
        <v>0</v>
      </c>
      <c r="AL85" s="609">
        <v>0</v>
      </c>
      <c r="AM85" s="609">
        <v>0</v>
      </c>
      <c r="AN85" s="609">
        <v>0</v>
      </c>
      <c r="AO85" s="609">
        <v>0</v>
      </c>
      <c r="AP85" s="609">
        <v>116363</v>
      </c>
      <c r="AQ85" s="609">
        <v>0</v>
      </c>
      <c r="AR85" s="609">
        <v>0</v>
      </c>
      <c r="AS85" s="609">
        <v>0</v>
      </c>
      <c r="AT85" s="609">
        <v>0</v>
      </c>
      <c r="AU85" s="609">
        <v>0</v>
      </c>
      <c r="AV85" s="609">
        <v>0</v>
      </c>
      <c r="AW85" s="615">
        <v>0</v>
      </c>
      <c r="AX85" s="615">
        <v>0</v>
      </c>
      <c r="AY85" s="615">
        <v>0</v>
      </c>
      <c r="AZ85" s="615">
        <v>0</v>
      </c>
      <c r="BA85" s="615">
        <v>0</v>
      </c>
      <c r="BB85" s="615">
        <v>0</v>
      </c>
      <c r="BC85" s="615">
        <v>0</v>
      </c>
      <c r="BD85" s="615">
        <v>0</v>
      </c>
      <c r="BE85" s="615">
        <v>0</v>
      </c>
      <c r="BF85" s="615">
        <v>0</v>
      </c>
      <c r="BG85" s="615">
        <v>0</v>
      </c>
      <c r="BH85" s="615">
        <v>0</v>
      </c>
      <c r="BI85" s="615">
        <v>0</v>
      </c>
      <c r="BJ85" s="615">
        <v>0</v>
      </c>
      <c r="BK85" s="615">
        <v>0</v>
      </c>
      <c r="BL85" s="615">
        <v>0</v>
      </c>
      <c r="BM85" s="615">
        <v>0</v>
      </c>
      <c r="BN85" s="615">
        <v>0</v>
      </c>
      <c r="BO85" s="615">
        <v>0</v>
      </c>
      <c r="BP85" s="615">
        <v>0</v>
      </c>
      <c r="BQ85" s="615">
        <v>0</v>
      </c>
      <c r="BR85" s="615">
        <v>0</v>
      </c>
      <c r="BS85" s="615">
        <v>0</v>
      </c>
      <c r="BT85" s="615">
        <v>0</v>
      </c>
      <c r="BU85" s="615">
        <v>0</v>
      </c>
      <c r="BV85" s="615">
        <v>0</v>
      </c>
      <c r="BW85" s="615">
        <v>0</v>
      </c>
      <c r="BX85" s="607">
        <f t="shared" si="1"/>
        <v>116363</v>
      </c>
    </row>
    <row r="86" spans="1:76" s="612" customFormat="1" ht="11.25" customHeight="1" x14ac:dyDescent="0.2">
      <c r="A86" s="905"/>
      <c r="B86" s="610" t="s">
        <v>3332</v>
      </c>
      <c r="C86" s="634" t="s">
        <v>1836</v>
      </c>
      <c r="D86" s="609">
        <v>0</v>
      </c>
      <c r="E86" s="609">
        <v>0</v>
      </c>
      <c r="F86" s="609">
        <v>0</v>
      </c>
      <c r="G86" s="609">
        <v>0</v>
      </c>
      <c r="H86" s="585">
        <v>0</v>
      </c>
      <c r="I86" s="609">
        <v>0</v>
      </c>
      <c r="J86" s="609">
        <v>0</v>
      </c>
      <c r="K86" s="609">
        <v>0</v>
      </c>
      <c r="L86" s="609">
        <v>0</v>
      </c>
      <c r="M86" s="609">
        <v>0</v>
      </c>
      <c r="N86" s="609">
        <v>0</v>
      </c>
      <c r="O86" s="609">
        <v>0</v>
      </c>
      <c r="P86" s="609">
        <v>0</v>
      </c>
      <c r="Q86" s="609">
        <v>0</v>
      </c>
      <c r="R86" s="609">
        <v>0</v>
      </c>
      <c r="S86" s="609">
        <v>0</v>
      </c>
      <c r="T86" s="609">
        <v>0</v>
      </c>
      <c r="U86" s="609">
        <v>0</v>
      </c>
      <c r="V86" s="609">
        <v>0</v>
      </c>
      <c r="W86" s="609">
        <v>0</v>
      </c>
      <c r="X86" s="609">
        <v>0</v>
      </c>
      <c r="Y86" s="609">
        <v>0</v>
      </c>
      <c r="Z86" s="609">
        <v>0</v>
      </c>
      <c r="AA86" s="609">
        <v>0</v>
      </c>
      <c r="AB86" s="609">
        <v>0</v>
      </c>
      <c r="AC86" s="609">
        <v>0</v>
      </c>
      <c r="AD86" s="609">
        <v>0</v>
      </c>
      <c r="AE86" s="609">
        <v>0</v>
      </c>
      <c r="AF86" s="609">
        <v>0</v>
      </c>
      <c r="AG86" s="609">
        <v>0</v>
      </c>
      <c r="AH86" s="609">
        <v>0</v>
      </c>
      <c r="AI86" s="609">
        <v>0</v>
      </c>
      <c r="AJ86" s="609">
        <v>0</v>
      </c>
      <c r="AK86" s="609">
        <v>0</v>
      </c>
      <c r="AL86" s="609">
        <v>0</v>
      </c>
      <c r="AM86" s="609">
        <v>0</v>
      </c>
      <c r="AN86" s="609">
        <v>0</v>
      </c>
      <c r="AO86" s="609">
        <v>0</v>
      </c>
      <c r="AP86" s="609">
        <v>0</v>
      </c>
      <c r="AQ86" s="609">
        <v>0</v>
      </c>
      <c r="AR86" s="609">
        <v>0</v>
      </c>
      <c r="AS86" s="609">
        <v>56227345</v>
      </c>
      <c r="AT86" s="609">
        <v>0</v>
      </c>
      <c r="AU86" s="609">
        <v>0</v>
      </c>
      <c r="AV86" s="609">
        <v>0</v>
      </c>
      <c r="AW86" s="615">
        <v>0</v>
      </c>
      <c r="AX86" s="615">
        <v>0</v>
      </c>
      <c r="AY86" s="615">
        <v>0</v>
      </c>
      <c r="AZ86" s="615">
        <v>0</v>
      </c>
      <c r="BA86" s="615">
        <v>0</v>
      </c>
      <c r="BB86" s="615">
        <v>0</v>
      </c>
      <c r="BC86" s="615">
        <v>0</v>
      </c>
      <c r="BD86" s="615">
        <v>0</v>
      </c>
      <c r="BE86" s="615">
        <v>0</v>
      </c>
      <c r="BF86" s="615">
        <v>0</v>
      </c>
      <c r="BG86" s="615">
        <v>0</v>
      </c>
      <c r="BH86" s="615">
        <v>0</v>
      </c>
      <c r="BI86" s="615">
        <v>0</v>
      </c>
      <c r="BJ86" s="615">
        <v>0</v>
      </c>
      <c r="BK86" s="615">
        <v>0</v>
      </c>
      <c r="BL86" s="615">
        <v>0</v>
      </c>
      <c r="BM86" s="615">
        <v>0</v>
      </c>
      <c r="BN86" s="615">
        <v>0</v>
      </c>
      <c r="BO86" s="615">
        <v>0</v>
      </c>
      <c r="BP86" s="615">
        <v>0</v>
      </c>
      <c r="BQ86" s="615">
        <v>0</v>
      </c>
      <c r="BR86" s="615">
        <v>0</v>
      </c>
      <c r="BS86" s="615">
        <v>0</v>
      </c>
      <c r="BT86" s="615">
        <v>0</v>
      </c>
      <c r="BU86" s="615">
        <v>0</v>
      </c>
      <c r="BV86" s="615">
        <v>0</v>
      </c>
      <c r="BW86" s="615">
        <v>0</v>
      </c>
      <c r="BX86" s="607">
        <f t="shared" si="1"/>
        <v>56227345</v>
      </c>
    </row>
    <row r="87" spans="1:76" s="612" customFormat="1" ht="11.25" customHeight="1" x14ac:dyDescent="0.2">
      <c r="A87" s="905"/>
      <c r="B87" s="610" t="s">
        <v>3425</v>
      </c>
      <c r="C87" s="634" t="s">
        <v>3428</v>
      </c>
      <c r="D87" s="609">
        <v>0</v>
      </c>
      <c r="E87" s="609">
        <v>0</v>
      </c>
      <c r="F87" s="609">
        <v>0</v>
      </c>
      <c r="G87" s="609">
        <v>0</v>
      </c>
      <c r="H87" s="585">
        <v>0</v>
      </c>
      <c r="I87" s="609">
        <v>0</v>
      </c>
      <c r="J87" s="609">
        <v>0</v>
      </c>
      <c r="K87" s="609">
        <v>0</v>
      </c>
      <c r="L87" s="609">
        <v>0</v>
      </c>
      <c r="M87" s="609">
        <v>0</v>
      </c>
      <c r="N87" s="609">
        <v>0</v>
      </c>
      <c r="O87" s="609">
        <v>0</v>
      </c>
      <c r="P87" s="609">
        <v>0</v>
      </c>
      <c r="Q87" s="609">
        <v>0</v>
      </c>
      <c r="R87" s="609">
        <v>0</v>
      </c>
      <c r="S87" s="609">
        <v>0</v>
      </c>
      <c r="T87" s="609">
        <v>0</v>
      </c>
      <c r="U87" s="609">
        <v>0</v>
      </c>
      <c r="V87" s="609">
        <v>0</v>
      </c>
      <c r="W87" s="609">
        <v>0</v>
      </c>
      <c r="X87" s="609">
        <v>0</v>
      </c>
      <c r="Y87" s="609">
        <v>0</v>
      </c>
      <c r="Z87" s="609">
        <v>0</v>
      </c>
      <c r="AA87" s="609">
        <v>0</v>
      </c>
      <c r="AB87" s="609">
        <v>0</v>
      </c>
      <c r="AC87" s="609">
        <v>0</v>
      </c>
      <c r="AD87" s="609">
        <v>0</v>
      </c>
      <c r="AE87" s="609">
        <v>0</v>
      </c>
      <c r="AF87" s="609">
        <v>0</v>
      </c>
      <c r="AG87" s="609">
        <v>0</v>
      </c>
      <c r="AH87" s="609">
        <v>0</v>
      </c>
      <c r="AI87" s="609">
        <v>0</v>
      </c>
      <c r="AJ87" s="609">
        <v>0</v>
      </c>
      <c r="AK87" s="609">
        <v>0</v>
      </c>
      <c r="AL87" s="609">
        <v>0</v>
      </c>
      <c r="AM87" s="609">
        <v>0</v>
      </c>
      <c r="AN87" s="609">
        <v>0</v>
      </c>
      <c r="AO87" s="609">
        <v>0</v>
      </c>
      <c r="AP87" s="609">
        <v>0</v>
      </c>
      <c r="AQ87" s="609">
        <v>0</v>
      </c>
      <c r="AR87" s="609">
        <v>0</v>
      </c>
      <c r="AS87" s="609">
        <v>0</v>
      </c>
      <c r="AT87" s="609">
        <v>0</v>
      </c>
      <c r="AU87" s="609">
        <v>0</v>
      </c>
      <c r="AV87" s="609">
        <v>0</v>
      </c>
      <c r="AW87" s="615">
        <v>0</v>
      </c>
      <c r="AX87" s="615">
        <v>0</v>
      </c>
      <c r="AY87" s="615">
        <v>0</v>
      </c>
      <c r="AZ87" s="615">
        <v>0</v>
      </c>
      <c r="BA87" s="615">
        <v>0</v>
      </c>
      <c r="BB87" s="615">
        <v>0</v>
      </c>
      <c r="BC87" s="615">
        <v>0</v>
      </c>
      <c r="BD87" s="615">
        <v>0</v>
      </c>
      <c r="BE87" s="615">
        <v>0</v>
      </c>
      <c r="BF87" s="615">
        <v>0</v>
      </c>
      <c r="BG87" s="615">
        <v>0</v>
      </c>
      <c r="BH87" s="615">
        <v>0</v>
      </c>
      <c r="BI87" s="615">
        <v>0</v>
      </c>
      <c r="BJ87" s="615">
        <v>0</v>
      </c>
      <c r="BK87" s="615">
        <v>0</v>
      </c>
      <c r="BL87" s="615">
        <v>0</v>
      </c>
      <c r="BM87" s="615">
        <v>0</v>
      </c>
      <c r="BN87" s="615">
        <v>0</v>
      </c>
      <c r="BO87" s="615">
        <v>0</v>
      </c>
      <c r="BP87" s="615">
        <v>0</v>
      </c>
      <c r="BQ87" s="615">
        <v>0</v>
      </c>
      <c r="BR87" s="615">
        <v>0</v>
      </c>
      <c r="BS87" s="615">
        <v>0</v>
      </c>
      <c r="BT87" s="615">
        <v>0</v>
      </c>
      <c r="BU87" s="615">
        <v>0</v>
      </c>
      <c r="BV87" s="615">
        <v>0</v>
      </c>
      <c r="BW87" s="615">
        <v>0</v>
      </c>
      <c r="BX87" s="607">
        <f t="shared" si="1"/>
        <v>0</v>
      </c>
    </row>
    <row r="88" spans="1:76" s="612" customFormat="1" ht="11.25" customHeight="1" x14ac:dyDescent="0.2">
      <c r="A88" s="905"/>
      <c r="B88" s="610" t="s">
        <v>882</v>
      </c>
      <c r="C88" s="634" t="s">
        <v>1837</v>
      </c>
      <c r="D88" s="609">
        <v>0</v>
      </c>
      <c r="E88" s="609">
        <v>0</v>
      </c>
      <c r="F88" s="609">
        <v>0</v>
      </c>
      <c r="G88" s="609">
        <v>0</v>
      </c>
      <c r="H88" s="585">
        <v>0</v>
      </c>
      <c r="I88" s="609">
        <v>0</v>
      </c>
      <c r="J88" s="609">
        <v>0</v>
      </c>
      <c r="K88" s="609">
        <v>0</v>
      </c>
      <c r="L88" s="609">
        <v>0</v>
      </c>
      <c r="M88" s="609">
        <v>0</v>
      </c>
      <c r="N88" s="609">
        <v>0</v>
      </c>
      <c r="O88" s="609">
        <v>0</v>
      </c>
      <c r="P88" s="609">
        <v>0</v>
      </c>
      <c r="Q88" s="609">
        <v>0</v>
      </c>
      <c r="R88" s="609">
        <v>0</v>
      </c>
      <c r="S88" s="609">
        <v>0</v>
      </c>
      <c r="T88" s="609">
        <v>0</v>
      </c>
      <c r="U88" s="609">
        <v>0</v>
      </c>
      <c r="V88" s="609">
        <v>0</v>
      </c>
      <c r="W88" s="609">
        <v>0</v>
      </c>
      <c r="X88" s="609">
        <v>0</v>
      </c>
      <c r="Y88" s="609">
        <v>0</v>
      </c>
      <c r="Z88" s="609">
        <v>0</v>
      </c>
      <c r="AA88" s="609">
        <v>0</v>
      </c>
      <c r="AB88" s="609">
        <v>0</v>
      </c>
      <c r="AC88" s="609">
        <v>0</v>
      </c>
      <c r="AD88" s="609">
        <v>0</v>
      </c>
      <c r="AE88" s="609">
        <v>0</v>
      </c>
      <c r="AF88" s="609">
        <v>0</v>
      </c>
      <c r="AG88" s="609">
        <v>0</v>
      </c>
      <c r="AH88" s="609">
        <v>0</v>
      </c>
      <c r="AI88" s="609">
        <v>0</v>
      </c>
      <c r="AJ88" s="609">
        <v>0</v>
      </c>
      <c r="AK88" s="609">
        <v>0</v>
      </c>
      <c r="AL88" s="609">
        <v>0</v>
      </c>
      <c r="AM88" s="609">
        <v>0</v>
      </c>
      <c r="AN88" s="609">
        <v>0</v>
      </c>
      <c r="AO88" s="609">
        <v>0</v>
      </c>
      <c r="AP88" s="609">
        <v>0</v>
      </c>
      <c r="AQ88" s="609">
        <v>0</v>
      </c>
      <c r="AR88" s="609">
        <v>0</v>
      </c>
      <c r="AS88" s="609">
        <v>0</v>
      </c>
      <c r="AT88" s="609">
        <v>0</v>
      </c>
      <c r="AU88" s="609">
        <v>0</v>
      </c>
      <c r="AV88" s="609">
        <v>0</v>
      </c>
      <c r="AW88" s="615">
        <v>0</v>
      </c>
      <c r="AX88" s="615">
        <v>0</v>
      </c>
      <c r="AY88" s="615">
        <v>0</v>
      </c>
      <c r="AZ88" s="615">
        <v>0</v>
      </c>
      <c r="BA88" s="615">
        <v>0</v>
      </c>
      <c r="BB88" s="615">
        <v>0</v>
      </c>
      <c r="BC88" s="615">
        <v>0</v>
      </c>
      <c r="BD88" s="615">
        <v>0</v>
      </c>
      <c r="BE88" s="615">
        <v>0</v>
      </c>
      <c r="BF88" s="615">
        <v>0</v>
      </c>
      <c r="BG88" s="615">
        <v>0</v>
      </c>
      <c r="BH88" s="615">
        <v>0</v>
      </c>
      <c r="BI88" s="615">
        <v>0</v>
      </c>
      <c r="BJ88" s="615">
        <v>0</v>
      </c>
      <c r="BK88" s="615">
        <v>0</v>
      </c>
      <c r="BL88" s="615">
        <v>0</v>
      </c>
      <c r="BM88" s="615">
        <v>0</v>
      </c>
      <c r="BN88" s="615">
        <v>0</v>
      </c>
      <c r="BO88" s="615">
        <v>0</v>
      </c>
      <c r="BP88" s="615">
        <v>0</v>
      </c>
      <c r="BQ88" s="615">
        <v>0</v>
      </c>
      <c r="BR88" s="615">
        <v>0</v>
      </c>
      <c r="BS88" s="615">
        <v>0</v>
      </c>
      <c r="BT88" s="615">
        <v>0</v>
      </c>
      <c r="BU88" s="615">
        <v>0</v>
      </c>
      <c r="BV88" s="615">
        <v>0</v>
      </c>
      <c r="BW88" s="615">
        <v>0</v>
      </c>
      <c r="BX88" s="607">
        <f t="shared" si="1"/>
        <v>0</v>
      </c>
    </row>
    <row r="89" spans="1:76" s="612" customFormat="1" ht="11.25" customHeight="1" x14ac:dyDescent="0.2">
      <c r="A89" s="905"/>
      <c r="B89" s="610" t="s">
        <v>992</v>
      </c>
      <c r="C89" s="634" t="s">
        <v>1838</v>
      </c>
      <c r="D89" s="609">
        <v>0</v>
      </c>
      <c r="E89" s="609">
        <v>0</v>
      </c>
      <c r="F89" s="609">
        <v>0</v>
      </c>
      <c r="G89" s="609">
        <v>0</v>
      </c>
      <c r="H89" s="585">
        <v>0</v>
      </c>
      <c r="I89" s="609">
        <v>0</v>
      </c>
      <c r="J89" s="609">
        <v>0</v>
      </c>
      <c r="K89" s="609">
        <v>0</v>
      </c>
      <c r="L89" s="609">
        <v>0</v>
      </c>
      <c r="M89" s="609">
        <v>0</v>
      </c>
      <c r="N89" s="609">
        <v>0</v>
      </c>
      <c r="O89" s="609">
        <v>0</v>
      </c>
      <c r="P89" s="609">
        <v>0</v>
      </c>
      <c r="Q89" s="609">
        <v>0</v>
      </c>
      <c r="R89" s="609">
        <v>0</v>
      </c>
      <c r="S89" s="609">
        <v>0</v>
      </c>
      <c r="T89" s="609">
        <v>0</v>
      </c>
      <c r="U89" s="609">
        <v>0</v>
      </c>
      <c r="V89" s="609">
        <v>0</v>
      </c>
      <c r="W89" s="609">
        <v>0</v>
      </c>
      <c r="X89" s="609">
        <v>0</v>
      </c>
      <c r="Y89" s="609">
        <v>0</v>
      </c>
      <c r="Z89" s="609">
        <v>0</v>
      </c>
      <c r="AA89" s="609">
        <v>0</v>
      </c>
      <c r="AB89" s="609">
        <v>0</v>
      </c>
      <c r="AC89" s="609">
        <v>0</v>
      </c>
      <c r="AD89" s="609">
        <v>0</v>
      </c>
      <c r="AE89" s="609">
        <v>0</v>
      </c>
      <c r="AF89" s="609">
        <v>0</v>
      </c>
      <c r="AG89" s="609">
        <v>0</v>
      </c>
      <c r="AH89" s="609">
        <v>0</v>
      </c>
      <c r="AI89" s="609">
        <v>0</v>
      </c>
      <c r="AJ89" s="609">
        <v>0</v>
      </c>
      <c r="AK89" s="609">
        <v>233516634</v>
      </c>
      <c r="AL89" s="609">
        <v>0</v>
      </c>
      <c r="AM89" s="609">
        <v>0</v>
      </c>
      <c r="AN89" s="609">
        <v>0</v>
      </c>
      <c r="AO89" s="609">
        <v>0</v>
      </c>
      <c r="AP89" s="609">
        <v>0</v>
      </c>
      <c r="AQ89" s="609">
        <v>0</v>
      </c>
      <c r="AR89" s="609">
        <v>0</v>
      </c>
      <c r="AS89" s="609">
        <v>0</v>
      </c>
      <c r="AT89" s="609">
        <v>0</v>
      </c>
      <c r="AU89" s="609">
        <v>0</v>
      </c>
      <c r="AV89" s="609">
        <v>0</v>
      </c>
      <c r="AW89" s="615">
        <v>0</v>
      </c>
      <c r="AX89" s="615">
        <v>0</v>
      </c>
      <c r="AY89" s="615">
        <v>0</v>
      </c>
      <c r="AZ89" s="615">
        <v>0</v>
      </c>
      <c r="BA89" s="615">
        <v>0</v>
      </c>
      <c r="BB89" s="615">
        <v>0</v>
      </c>
      <c r="BC89" s="615">
        <v>0</v>
      </c>
      <c r="BD89" s="615">
        <v>0</v>
      </c>
      <c r="BE89" s="615">
        <v>0</v>
      </c>
      <c r="BF89" s="615">
        <v>0</v>
      </c>
      <c r="BG89" s="615">
        <v>0</v>
      </c>
      <c r="BH89" s="615">
        <v>0</v>
      </c>
      <c r="BI89" s="615">
        <v>0</v>
      </c>
      <c r="BJ89" s="615">
        <v>0</v>
      </c>
      <c r="BK89" s="615">
        <v>0</v>
      </c>
      <c r="BL89" s="615">
        <v>0</v>
      </c>
      <c r="BM89" s="615">
        <v>0</v>
      </c>
      <c r="BN89" s="615">
        <v>0</v>
      </c>
      <c r="BO89" s="615">
        <v>0</v>
      </c>
      <c r="BP89" s="615">
        <v>0</v>
      </c>
      <c r="BQ89" s="615">
        <v>0</v>
      </c>
      <c r="BR89" s="615">
        <v>0</v>
      </c>
      <c r="BS89" s="615">
        <v>0</v>
      </c>
      <c r="BT89" s="615">
        <v>0</v>
      </c>
      <c r="BU89" s="615">
        <v>0</v>
      </c>
      <c r="BV89" s="615">
        <v>0</v>
      </c>
      <c r="BW89" s="615">
        <v>0</v>
      </c>
      <c r="BX89" s="607">
        <f t="shared" si="1"/>
        <v>233516634</v>
      </c>
    </row>
    <row r="90" spans="1:76" s="612" customFormat="1" ht="11.25" customHeight="1" x14ac:dyDescent="0.2">
      <c r="A90" s="905"/>
      <c r="B90" s="610" t="s">
        <v>1704</v>
      </c>
      <c r="C90" s="634" t="s">
        <v>1839</v>
      </c>
      <c r="D90" s="609">
        <v>0</v>
      </c>
      <c r="E90" s="609">
        <v>0</v>
      </c>
      <c r="F90" s="609">
        <v>0</v>
      </c>
      <c r="G90" s="609">
        <v>0</v>
      </c>
      <c r="H90" s="585">
        <v>0</v>
      </c>
      <c r="I90" s="609">
        <v>0</v>
      </c>
      <c r="J90" s="609">
        <v>0</v>
      </c>
      <c r="K90" s="609">
        <v>0</v>
      </c>
      <c r="L90" s="609">
        <v>0</v>
      </c>
      <c r="M90" s="609">
        <v>0</v>
      </c>
      <c r="N90" s="609">
        <v>0</v>
      </c>
      <c r="O90" s="609">
        <v>0</v>
      </c>
      <c r="P90" s="609">
        <v>0</v>
      </c>
      <c r="Q90" s="609">
        <v>0</v>
      </c>
      <c r="R90" s="609">
        <v>0</v>
      </c>
      <c r="S90" s="609">
        <v>0</v>
      </c>
      <c r="T90" s="609">
        <v>0</v>
      </c>
      <c r="U90" s="609">
        <v>0</v>
      </c>
      <c r="V90" s="609">
        <v>0</v>
      </c>
      <c r="W90" s="609">
        <v>0</v>
      </c>
      <c r="X90" s="609">
        <v>0</v>
      </c>
      <c r="Y90" s="609">
        <v>0</v>
      </c>
      <c r="Z90" s="609">
        <v>0</v>
      </c>
      <c r="AA90" s="609">
        <v>0</v>
      </c>
      <c r="AB90" s="609">
        <v>0</v>
      </c>
      <c r="AC90" s="609">
        <v>0</v>
      </c>
      <c r="AD90" s="609">
        <v>0</v>
      </c>
      <c r="AE90" s="609">
        <v>0</v>
      </c>
      <c r="AF90" s="609">
        <v>0</v>
      </c>
      <c r="AG90" s="609">
        <v>0</v>
      </c>
      <c r="AH90" s="609">
        <v>0</v>
      </c>
      <c r="AI90" s="609">
        <v>0</v>
      </c>
      <c r="AJ90" s="609">
        <v>0</v>
      </c>
      <c r="AK90" s="609">
        <v>0</v>
      </c>
      <c r="AL90" s="609">
        <v>0</v>
      </c>
      <c r="AM90" s="609">
        <v>0</v>
      </c>
      <c r="AN90" s="609">
        <v>0</v>
      </c>
      <c r="AO90" s="609">
        <v>0</v>
      </c>
      <c r="AP90" s="609">
        <v>0</v>
      </c>
      <c r="AQ90" s="609">
        <v>0</v>
      </c>
      <c r="AR90" s="609">
        <v>0</v>
      </c>
      <c r="AS90" s="609">
        <v>0</v>
      </c>
      <c r="AT90" s="609">
        <v>0</v>
      </c>
      <c r="AU90" s="609">
        <v>0</v>
      </c>
      <c r="AV90" s="609">
        <v>0</v>
      </c>
      <c r="AW90" s="615">
        <v>0</v>
      </c>
      <c r="AX90" s="615">
        <v>0</v>
      </c>
      <c r="AY90" s="615">
        <v>0</v>
      </c>
      <c r="AZ90" s="615">
        <v>0</v>
      </c>
      <c r="BA90" s="615">
        <v>0</v>
      </c>
      <c r="BB90" s="615">
        <v>0</v>
      </c>
      <c r="BC90" s="615">
        <v>0</v>
      </c>
      <c r="BD90" s="615">
        <v>0</v>
      </c>
      <c r="BE90" s="615">
        <v>0</v>
      </c>
      <c r="BF90" s="615">
        <v>0</v>
      </c>
      <c r="BG90" s="615">
        <v>0</v>
      </c>
      <c r="BH90" s="615">
        <v>0</v>
      </c>
      <c r="BI90" s="615">
        <v>0</v>
      </c>
      <c r="BJ90" s="615">
        <v>0</v>
      </c>
      <c r="BK90" s="615">
        <v>0</v>
      </c>
      <c r="BL90" s="615">
        <v>0</v>
      </c>
      <c r="BM90" s="615">
        <v>0</v>
      </c>
      <c r="BN90" s="615">
        <v>0</v>
      </c>
      <c r="BO90" s="615">
        <v>0</v>
      </c>
      <c r="BP90" s="615">
        <v>0</v>
      </c>
      <c r="BQ90" s="615">
        <v>0</v>
      </c>
      <c r="BR90" s="615">
        <v>0</v>
      </c>
      <c r="BS90" s="615">
        <v>0</v>
      </c>
      <c r="BT90" s="615">
        <v>0</v>
      </c>
      <c r="BU90" s="615">
        <v>0</v>
      </c>
      <c r="BV90" s="615">
        <v>0</v>
      </c>
      <c r="BW90" s="615">
        <v>0</v>
      </c>
      <c r="BX90" s="607">
        <f t="shared" si="1"/>
        <v>0</v>
      </c>
    </row>
    <row r="91" spans="1:76" s="612" customFormat="1" ht="11.25" customHeight="1" x14ac:dyDescent="0.2">
      <c r="A91" s="905"/>
      <c r="B91" s="610" t="s">
        <v>2608</v>
      </c>
      <c r="C91" s="634" t="s">
        <v>1840</v>
      </c>
      <c r="D91" s="609">
        <v>0</v>
      </c>
      <c r="E91" s="609">
        <v>0</v>
      </c>
      <c r="F91" s="609">
        <v>0</v>
      </c>
      <c r="G91" s="609">
        <v>0</v>
      </c>
      <c r="H91" s="585">
        <v>0</v>
      </c>
      <c r="I91" s="609">
        <v>0</v>
      </c>
      <c r="J91" s="609">
        <v>0</v>
      </c>
      <c r="K91" s="609">
        <v>0</v>
      </c>
      <c r="L91" s="609">
        <v>0</v>
      </c>
      <c r="M91" s="609">
        <v>0</v>
      </c>
      <c r="N91" s="609">
        <v>0</v>
      </c>
      <c r="O91" s="609">
        <v>0</v>
      </c>
      <c r="P91" s="609">
        <v>0</v>
      </c>
      <c r="Q91" s="609">
        <v>0</v>
      </c>
      <c r="R91" s="609">
        <v>0</v>
      </c>
      <c r="S91" s="609">
        <v>0</v>
      </c>
      <c r="T91" s="609">
        <v>0</v>
      </c>
      <c r="U91" s="609">
        <v>0</v>
      </c>
      <c r="V91" s="609">
        <v>0</v>
      </c>
      <c r="W91" s="609">
        <v>0</v>
      </c>
      <c r="X91" s="609">
        <v>0</v>
      </c>
      <c r="Y91" s="609">
        <v>0</v>
      </c>
      <c r="Z91" s="609">
        <v>0</v>
      </c>
      <c r="AA91" s="609">
        <v>0</v>
      </c>
      <c r="AB91" s="609">
        <v>0</v>
      </c>
      <c r="AC91" s="609">
        <v>0</v>
      </c>
      <c r="AD91" s="609">
        <v>0</v>
      </c>
      <c r="AE91" s="609">
        <v>0</v>
      </c>
      <c r="AF91" s="609">
        <v>0</v>
      </c>
      <c r="AG91" s="609">
        <v>0</v>
      </c>
      <c r="AH91" s="609">
        <v>0</v>
      </c>
      <c r="AI91" s="609">
        <v>0</v>
      </c>
      <c r="AJ91" s="609">
        <v>0</v>
      </c>
      <c r="AK91" s="609">
        <v>0</v>
      </c>
      <c r="AL91" s="609">
        <v>0</v>
      </c>
      <c r="AM91" s="609">
        <v>0</v>
      </c>
      <c r="AN91" s="609">
        <v>0</v>
      </c>
      <c r="AO91" s="609">
        <v>0</v>
      </c>
      <c r="AP91" s="609">
        <v>0</v>
      </c>
      <c r="AQ91" s="609">
        <v>0</v>
      </c>
      <c r="AR91" s="609">
        <v>0</v>
      </c>
      <c r="AS91" s="609">
        <v>0</v>
      </c>
      <c r="AT91" s="609">
        <v>0</v>
      </c>
      <c r="AU91" s="609">
        <v>0</v>
      </c>
      <c r="AV91" s="609">
        <v>0</v>
      </c>
      <c r="AW91" s="615">
        <v>0</v>
      </c>
      <c r="AX91" s="615">
        <v>0</v>
      </c>
      <c r="AY91" s="615">
        <v>0</v>
      </c>
      <c r="AZ91" s="615">
        <v>0</v>
      </c>
      <c r="BA91" s="615">
        <v>0</v>
      </c>
      <c r="BB91" s="615">
        <v>0</v>
      </c>
      <c r="BC91" s="615">
        <v>0</v>
      </c>
      <c r="BD91" s="615">
        <v>0</v>
      </c>
      <c r="BE91" s="615">
        <v>0</v>
      </c>
      <c r="BF91" s="615">
        <v>0</v>
      </c>
      <c r="BG91" s="615">
        <v>0</v>
      </c>
      <c r="BH91" s="615">
        <v>0</v>
      </c>
      <c r="BI91" s="615">
        <v>0</v>
      </c>
      <c r="BJ91" s="615">
        <v>0</v>
      </c>
      <c r="BK91" s="615">
        <v>0</v>
      </c>
      <c r="BL91" s="615">
        <v>0</v>
      </c>
      <c r="BM91" s="615">
        <v>0</v>
      </c>
      <c r="BN91" s="615">
        <v>0</v>
      </c>
      <c r="BO91" s="615">
        <v>0</v>
      </c>
      <c r="BP91" s="615">
        <v>0</v>
      </c>
      <c r="BQ91" s="615">
        <v>0</v>
      </c>
      <c r="BR91" s="615">
        <v>0</v>
      </c>
      <c r="BS91" s="615">
        <v>0</v>
      </c>
      <c r="BT91" s="615">
        <v>0</v>
      </c>
      <c r="BU91" s="615">
        <v>0</v>
      </c>
      <c r="BV91" s="615">
        <v>0</v>
      </c>
      <c r="BW91" s="615">
        <v>0</v>
      </c>
      <c r="BX91" s="607">
        <f t="shared" si="1"/>
        <v>0</v>
      </c>
    </row>
    <row r="92" spans="1:76" s="612" customFormat="1" ht="11.25" customHeight="1" x14ac:dyDescent="0.2">
      <c r="A92" s="905"/>
      <c r="B92" s="610" t="s">
        <v>1000</v>
      </c>
      <c r="C92" s="634" t="s">
        <v>1841</v>
      </c>
      <c r="D92" s="609">
        <v>0</v>
      </c>
      <c r="E92" s="609">
        <v>0</v>
      </c>
      <c r="F92" s="609">
        <v>0</v>
      </c>
      <c r="G92" s="609">
        <v>0</v>
      </c>
      <c r="H92" s="585">
        <v>0</v>
      </c>
      <c r="I92" s="609">
        <v>0</v>
      </c>
      <c r="J92" s="609">
        <v>0</v>
      </c>
      <c r="K92" s="609">
        <v>0</v>
      </c>
      <c r="L92" s="609">
        <v>0</v>
      </c>
      <c r="M92" s="609">
        <v>0</v>
      </c>
      <c r="N92" s="609">
        <v>0</v>
      </c>
      <c r="O92" s="609">
        <v>0</v>
      </c>
      <c r="P92" s="609">
        <v>0</v>
      </c>
      <c r="Q92" s="609">
        <v>0</v>
      </c>
      <c r="R92" s="609">
        <v>0</v>
      </c>
      <c r="S92" s="609">
        <v>0</v>
      </c>
      <c r="T92" s="609">
        <v>0</v>
      </c>
      <c r="U92" s="609">
        <v>0</v>
      </c>
      <c r="V92" s="609">
        <v>0</v>
      </c>
      <c r="W92" s="609">
        <v>0</v>
      </c>
      <c r="X92" s="609">
        <v>0</v>
      </c>
      <c r="Y92" s="609">
        <v>0</v>
      </c>
      <c r="Z92" s="609">
        <v>0</v>
      </c>
      <c r="AA92" s="609">
        <v>0</v>
      </c>
      <c r="AB92" s="609">
        <v>0</v>
      </c>
      <c r="AC92" s="609">
        <v>0</v>
      </c>
      <c r="AD92" s="609">
        <v>0</v>
      </c>
      <c r="AE92" s="609">
        <v>0</v>
      </c>
      <c r="AF92" s="609">
        <v>0</v>
      </c>
      <c r="AG92" s="609">
        <v>0</v>
      </c>
      <c r="AH92" s="609">
        <v>0</v>
      </c>
      <c r="AI92" s="609">
        <v>0</v>
      </c>
      <c r="AJ92" s="609">
        <v>0</v>
      </c>
      <c r="AK92" s="609">
        <v>0</v>
      </c>
      <c r="AL92" s="609">
        <v>0</v>
      </c>
      <c r="AM92" s="609">
        <v>0</v>
      </c>
      <c r="AN92" s="609">
        <v>0</v>
      </c>
      <c r="AO92" s="609">
        <v>0</v>
      </c>
      <c r="AP92" s="609">
        <v>0</v>
      </c>
      <c r="AQ92" s="609">
        <v>0</v>
      </c>
      <c r="AR92" s="609">
        <v>0</v>
      </c>
      <c r="AS92" s="609">
        <v>0</v>
      </c>
      <c r="AT92" s="609">
        <v>0</v>
      </c>
      <c r="AU92" s="609">
        <v>0</v>
      </c>
      <c r="AV92" s="609">
        <v>0</v>
      </c>
      <c r="AW92" s="615">
        <v>0</v>
      </c>
      <c r="AX92" s="615">
        <v>0</v>
      </c>
      <c r="AY92" s="615">
        <v>0</v>
      </c>
      <c r="AZ92" s="615">
        <v>0</v>
      </c>
      <c r="BA92" s="615">
        <v>0</v>
      </c>
      <c r="BB92" s="615">
        <v>0</v>
      </c>
      <c r="BC92" s="615">
        <v>0</v>
      </c>
      <c r="BD92" s="615">
        <v>0</v>
      </c>
      <c r="BE92" s="615">
        <v>0</v>
      </c>
      <c r="BF92" s="615">
        <v>0</v>
      </c>
      <c r="BG92" s="615">
        <v>0</v>
      </c>
      <c r="BH92" s="615">
        <v>0</v>
      </c>
      <c r="BI92" s="615">
        <v>0</v>
      </c>
      <c r="BJ92" s="615">
        <v>0</v>
      </c>
      <c r="BK92" s="615">
        <v>0</v>
      </c>
      <c r="BL92" s="615">
        <v>0</v>
      </c>
      <c r="BM92" s="615">
        <v>0</v>
      </c>
      <c r="BN92" s="615">
        <v>0</v>
      </c>
      <c r="BO92" s="615">
        <v>0</v>
      </c>
      <c r="BP92" s="615">
        <v>0</v>
      </c>
      <c r="BQ92" s="615">
        <v>0</v>
      </c>
      <c r="BR92" s="615">
        <v>0</v>
      </c>
      <c r="BS92" s="615">
        <v>0</v>
      </c>
      <c r="BT92" s="615">
        <v>0</v>
      </c>
      <c r="BU92" s="615">
        <v>0</v>
      </c>
      <c r="BV92" s="615">
        <v>0</v>
      </c>
      <c r="BW92" s="615">
        <v>0</v>
      </c>
      <c r="BX92" s="607">
        <f t="shared" si="1"/>
        <v>0</v>
      </c>
    </row>
    <row r="93" spans="1:76" s="612" customFormat="1" ht="11.25" customHeight="1" x14ac:dyDescent="0.2">
      <c r="A93" s="905"/>
      <c r="B93" s="610" t="s">
        <v>2577</v>
      </c>
      <c r="C93" s="634" t="s">
        <v>1842</v>
      </c>
      <c r="D93" s="609">
        <v>0</v>
      </c>
      <c r="E93" s="609">
        <v>0</v>
      </c>
      <c r="F93" s="609">
        <v>0</v>
      </c>
      <c r="G93" s="609">
        <v>0</v>
      </c>
      <c r="H93" s="585">
        <v>0</v>
      </c>
      <c r="I93" s="609">
        <v>0</v>
      </c>
      <c r="J93" s="609">
        <v>0</v>
      </c>
      <c r="K93" s="609">
        <v>0</v>
      </c>
      <c r="L93" s="609">
        <v>0</v>
      </c>
      <c r="M93" s="609">
        <v>0</v>
      </c>
      <c r="N93" s="609">
        <v>0</v>
      </c>
      <c r="O93" s="609">
        <v>0</v>
      </c>
      <c r="P93" s="609">
        <v>0</v>
      </c>
      <c r="Q93" s="609">
        <v>0</v>
      </c>
      <c r="R93" s="609">
        <v>0</v>
      </c>
      <c r="S93" s="609">
        <v>0</v>
      </c>
      <c r="T93" s="609">
        <v>0</v>
      </c>
      <c r="U93" s="609">
        <v>0</v>
      </c>
      <c r="V93" s="609">
        <v>0</v>
      </c>
      <c r="W93" s="609">
        <v>0</v>
      </c>
      <c r="X93" s="609">
        <v>0</v>
      </c>
      <c r="Y93" s="609">
        <v>0</v>
      </c>
      <c r="Z93" s="609">
        <v>0</v>
      </c>
      <c r="AA93" s="609">
        <v>0</v>
      </c>
      <c r="AB93" s="609">
        <v>0</v>
      </c>
      <c r="AC93" s="609">
        <v>0</v>
      </c>
      <c r="AD93" s="609">
        <v>0</v>
      </c>
      <c r="AE93" s="609">
        <v>0</v>
      </c>
      <c r="AF93" s="609">
        <v>0</v>
      </c>
      <c r="AG93" s="609">
        <v>0</v>
      </c>
      <c r="AH93" s="609">
        <v>0</v>
      </c>
      <c r="AI93" s="609">
        <v>0</v>
      </c>
      <c r="AJ93" s="609">
        <v>0</v>
      </c>
      <c r="AK93" s="609">
        <v>0</v>
      </c>
      <c r="AL93" s="609">
        <v>0</v>
      </c>
      <c r="AM93" s="609">
        <v>0</v>
      </c>
      <c r="AN93" s="609">
        <v>0</v>
      </c>
      <c r="AO93" s="609">
        <v>0</v>
      </c>
      <c r="AP93" s="609">
        <v>0</v>
      </c>
      <c r="AQ93" s="609">
        <v>120754</v>
      </c>
      <c r="AR93" s="609">
        <v>0</v>
      </c>
      <c r="AS93" s="609">
        <v>0</v>
      </c>
      <c r="AT93" s="609">
        <v>0</v>
      </c>
      <c r="AU93" s="609">
        <v>0</v>
      </c>
      <c r="AV93" s="609">
        <v>0</v>
      </c>
      <c r="AW93" s="615">
        <v>0</v>
      </c>
      <c r="AX93" s="615">
        <v>0</v>
      </c>
      <c r="AY93" s="615">
        <v>0</v>
      </c>
      <c r="AZ93" s="615">
        <v>0</v>
      </c>
      <c r="BA93" s="615">
        <v>0</v>
      </c>
      <c r="BB93" s="615">
        <v>0</v>
      </c>
      <c r="BC93" s="615">
        <v>0</v>
      </c>
      <c r="BD93" s="615">
        <v>0</v>
      </c>
      <c r="BE93" s="615">
        <v>0</v>
      </c>
      <c r="BF93" s="615">
        <v>0</v>
      </c>
      <c r="BG93" s="615">
        <v>0</v>
      </c>
      <c r="BH93" s="615">
        <v>0</v>
      </c>
      <c r="BI93" s="615">
        <v>0</v>
      </c>
      <c r="BJ93" s="615">
        <v>0</v>
      </c>
      <c r="BK93" s="615">
        <v>0</v>
      </c>
      <c r="BL93" s="615">
        <v>0</v>
      </c>
      <c r="BM93" s="615">
        <v>0</v>
      </c>
      <c r="BN93" s="615">
        <v>0</v>
      </c>
      <c r="BO93" s="615">
        <v>0</v>
      </c>
      <c r="BP93" s="615">
        <v>0</v>
      </c>
      <c r="BQ93" s="615">
        <v>0</v>
      </c>
      <c r="BR93" s="615">
        <v>0</v>
      </c>
      <c r="BS93" s="615">
        <v>0</v>
      </c>
      <c r="BT93" s="615">
        <v>0</v>
      </c>
      <c r="BU93" s="615">
        <v>0</v>
      </c>
      <c r="BV93" s="615">
        <v>0</v>
      </c>
      <c r="BW93" s="615">
        <v>0</v>
      </c>
      <c r="BX93" s="607">
        <f t="shared" si="1"/>
        <v>120754</v>
      </c>
    </row>
    <row r="94" spans="1:76" s="612" customFormat="1" ht="11.25" customHeight="1" x14ac:dyDescent="0.2">
      <c r="A94" s="905"/>
      <c r="B94" s="610" t="s">
        <v>883</v>
      </c>
      <c r="C94" s="634" t="s">
        <v>1843</v>
      </c>
      <c r="D94" s="609">
        <v>0</v>
      </c>
      <c r="E94" s="609">
        <v>0</v>
      </c>
      <c r="F94" s="609" t="s">
        <v>1128</v>
      </c>
      <c r="G94" s="609" t="s">
        <v>1128</v>
      </c>
      <c r="H94" s="585">
        <v>0</v>
      </c>
      <c r="I94" s="609">
        <v>0</v>
      </c>
      <c r="J94" s="609">
        <v>0</v>
      </c>
      <c r="K94" s="609">
        <v>0</v>
      </c>
      <c r="L94" s="609">
        <v>0</v>
      </c>
      <c r="M94" s="609">
        <v>0</v>
      </c>
      <c r="N94" s="609">
        <v>0</v>
      </c>
      <c r="O94" s="609">
        <v>0</v>
      </c>
      <c r="P94" s="609">
        <v>0</v>
      </c>
      <c r="Q94" s="609">
        <v>0</v>
      </c>
      <c r="R94" s="609">
        <v>0</v>
      </c>
      <c r="S94" s="609">
        <v>0</v>
      </c>
      <c r="T94" s="609">
        <v>0</v>
      </c>
      <c r="U94" s="609">
        <v>0</v>
      </c>
      <c r="V94" s="609">
        <v>0</v>
      </c>
      <c r="W94" s="609">
        <v>0</v>
      </c>
      <c r="X94" s="609">
        <v>0</v>
      </c>
      <c r="Y94" s="609">
        <v>0</v>
      </c>
      <c r="Z94" s="609">
        <v>0</v>
      </c>
      <c r="AA94" s="609">
        <v>0</v>
      </c>
      <c r="AB94" s="609">
        <v>0</v>
      </c>
      <c r="AC94" s="609">
        <v>0</v>
      </c>
      <c r="AD94" s="609">
        <v>0</v>
      </c>
      <c r="AE94" s="609">
        <v>0</v>
      </c>
      <c r="AF94" s="609">
        <v>0</v>
      </c>
      <c r="AG94" s="609">
        <v>0</v>
      </c>
      <c r="AH94" s="609">
        <v>0</v>
      </c>
      <c r="AI94" s="609">
        <v>0</v>
      </c>
      <c r="AJ94" s="609">
        <v>0</v>
      </c>
      <c r="AK94" s="609">
        <v>0</v>
      </c>
      <c r="AL94" s="609">
        <v>0</v>
      </c>
      <c r="AM94" s="609">
        <v>0</v>
      </c>
      <c r="AN94" s="609">
        <v>0</v>
      </c>
      <c r="AO94" s="609">
        <v>0</v>
      </c>
      <c r="AP94" s="609">
        <v>0</v>
      </c>
      <c r="AQ94" s="609">
        <v>0</v>
      </c>
      <c r="AR94" s="609">
        <v>0</v>
      </c>
      <c r="AS94" s="609">
        <v>0</v>
      </c>
      <c r="AT94" s="609">
        <v>0</v>
      </c>
      <c r="AU94" s="609">
        <v>0</v>
      </c>
      <c r="AV94" s="609">
        <v>0</v>
      </c>
      <c r="AW94" s="615">
        <v>0</v>
      </c>
      <c r="AX94" s="615">
        <v>0</v>
      </c>
      <c r="AY94" s="615">
        <v>0</v>
      </c>
      <c r="AZ94" s="615">
        <v>0</v>
      </c>
      <c r="BA94" s="615">
        <v>0</v>
      </c>
      <c r="BB94" s="615">
        <v>0</v>
      </c>
      <c r="BC94" s="615">
        <v>0</v>
      </c>
      <c r="BD94" s="615">
        <v>0</v>
      </c>
      <c r="BE94" s="615">
        <v>0</v>
      </c>
      <c r="BF94" s="615">
        <v>0</v>
      </c>
      <c r="BG94" s="615">
        <v>0</v>
      </c>
      <c r="BH94" s="615">
        <v>0</v>
      </c>
      <c r="BI94" s="615">
        <v>0</v>
      </c>
      <c r="BJ94" s="615">
        <v>0</v>
      </c>
      <c r="BK94" s="615">
        <v>0</v>
      </c>
      <c r="BL94" s="615">
        <v>0</v>
      </c>
      <c r="BM94" s="615">
        <v>0</v>
      </c>
      <c r="BN94" s="615">
        <v>0</v>
      </c>
      <c r="BO94" s="615">
        <v>0</v>
      </c>
      <c r="BP94" s="615">
        <v>0</v>
      </c>
      <c r="BQ94" s="615">
        <v>0</v>
      </c>
      <c r="BR94" s="615">
        <v>0</v>
      </c>
      <c r="BS94" s="615">
        <v>0</v>
      </c>
      <c r="BT94" s="615">
        <v>0</v>
      </c>
      <c r="BU94" s="615">
        <v>0</v>
      </c>
      <c r="BV94" s="615">
        <v>0</v>
      </c>
      <c r="BW94" s="615">
        <v>0</v>
      </c>
      <c r="BX94" s="607">
        <f t="shared" si="1"/>
        <v>0</v>
      </c>
    </row>
    <row r="95" spans="1:76" s="612" customFormat="1" ht="11.25" customHeight="1" x14ac:dyDescent="0.2">
      <c r="A95" s="905"/>
      <c r="B95" s="610" t="s">
        <v>3333</v>
      </c>
      <c r="C95" s="634" t="s">
        <v>1844</v>
      </c>
      <c r="D95" s="609">
        <v>0</v>
      </c>
      <c r="E95" s="609">
        <v>0</v>
      </c>
      <c r="F95" s="609">
        <v>0</v>
      </c>
      <c r="G95" s="609">
        <v>0</v>
      </c>
      <c r="H95" s="585">
        <v>0</v>
      </c>
      <c r="I95" s="609" t="s">
        <v>1128</v>
      </c>
      <c r="J95" s="609" t="s">
        <v>1128</v>
      </c>
      <c r="K95" s="609" t="s">
        <v>1128</v>
      </c>
      <c r="L95" s="609">
        <v>0</v>
      </c>
      <c r="M95" s="609">
        <v>0</v>
      </c>
      <c r="N95" s="609">
        <v>0</v>
      </c>
      <c r="O95" s="609">
        <v>0</v>
      </c>
      <c r="P95" s="609">
        <v>0</v>
      </c>
      <c r="Q95" s="609">
        <v>0</v>
      </c>
      <c r="R95" s="609">
        <v>0</v>
      </c>
      <c r="S95" s="609">
        <v>0</v>
      </c>
      <c r="T95" s="609">
        <v>0</v>
      </c>
      <c r="U95" s="609">
        <v>0</v>
      </c>
      <c r="V95" s="609">
        <v>0</v>
      </c>
      <c r="W95" s="609">
        <v>0</v>
      </c>
      <c r="X95" s="609">
        <v>0</v>
      </c>
      <c r="Y95" s="609">
        <v>0</v>
      </c>
      <c r="Z95" s="609">
        <v>0</v>
      </c>
      <c r="AA95" s="609">
        <v>0</v>
      </c>
      <c r="AB95" s="609">
        <v>0</v>
      </c>
      <c r="AC95" s="609">
        <v>0</v>
      </c>
      <c r="AD95" s="609">
        <v>0</v>
      </c>
      <c r="AE95" s="609">
        <v>0</v>
      </c>
      <c r="AF95" s="609">
        <v>0</v>
      </c>
      <c r="AG95" s="609">
        <v>0</v>
      </c>
      <c r="AH95" s="609">
        <v>0</v>
      </c>
      <c r="AI95" s="609">
        <v>0</v>
      </c>
      <c r="AJ95" s="609">
        <v>0</v>
      </c>
      <c r="AK95" s="609">
        <v>0</v>
      </c>
      <c r="AL95" s="609">
        <v>0</v>
      </c>
      <c r="AM95" s="609">
        <v>0</v>
      </c>
      <c r="AN95" s="609">
        <v>0</v>
      </c>
      <c r="AO95" s="609">
        <v>0</v>
      </c>
      <c r="AP95" s="609">
        <v>0</v>
      </c>
      <c r="AQ95" s="609">
        <v>0</v>
      </c>
      <c r="AR95" s="609">
        <v>0</v>
      </c>
      <c r="AS95" s="609">
        <v>0</v>
      </c>
      <c r="AT95" s="609">
        <v>0</v>
      </c>
      <c r="AU95" s="609">
        <v>0</v>
      </c>
      <c r="AV95" s="609">
        <v>0</v>
      </c>
      <c r="AW95" s="615">
        <v>0</v>
      </c>
      <c r="AX95" s="615">
        <v>0</v>
      </c>
      <c r="AY95" s="615">
        <v>0</v>
      </c>
      <c r="AZ95" s="615">
        <v>0</v>
      </c>
      <c r="BA95" s="615">
        <v>0</v>
      </c>
      <c r="BB95" s="615">
        <v>0</v>
      </c>
      <c r="BC95" s="615">
        <v>0</v>
      </c>
      <c r="BD95" s="615">
        <v>0</v>
      </c>
      <c r="BE95" s="615">
        <v>0</v>
      </c>
      <c r="BF95" s="615">
        <v>0</v>
      </c>
      <c r="BG95" s="615">
        <v>0</v>
      </c>
      <c r="BH95" s="615">
        <v>0</v>
      </c>
      <c r="BI95" s="615">
        <v>0</v>
      </c>
      <c r="BJ95" s="615">
        <v>0</v>
      </c>
      <c r="BK95" s="615">
        <v>0</v>
      </c>
      <c r="BL95" s="615">
        <v>0</v>
      </c>
      <c r="BM95" s="615">
        <v>0</v>
      </c>
      <c r="BN95" s="615">
        <v>0</v>
      </c>
      <c r="BO95" s="615">
        <v>0</v>
      </c>
      <c r="BP95" s="615">
        <v>0</v>
      </c>
      <c r="BQ95" s="615">
        <v>0</v>
      </c>
      <c r="BR95" s="615">
        <v>0</v>
      </c>
      <c r="BS95" s="615">
        <v>0</v>
      </c>
      <c r="BT95" s="615">
        <v>0</v>
      </c>
      <c r="BU95" s="615">
        <v>0</v>
      </c>
      <c r="BV95" s="615">
        <v>0</v>
      </c>
      <c r="BW95" s="615">
        <v>0</v>
      </c>
      <c r="BX95" s="607">
        <f t="shared" si="1"/>
        <v>0</v>
      </c>
    </row>
    <row r="96" spans="1:76" s="612" customFormat="1" ht="11.25" customHeight="1" x14ac:dyDescent="0.2">
      <c r="A96" s="905"/>
      <c r="B96" s="610" t="s">
        <v>1115</v>
      </c>
      <c r="C96" s="634" t="s">
        <v>1845</v>
      </c>
      <c r="D96" s="609">
        <v>0</v>
      </c>
      <c r="E96" s="609">
        <v>0</v>
      </c>
      <c r="F96" s="609">
        <v>0</v>
      </c>
      <c r="G96" s="609">
        <v>0</v>
      </c>
      <c r="H96" s="585">
        <v>0</v>
      </c>
      <c r="I96" s="609" t="s">
        <v>1128</v>
      </c>
      <c r="J96" s="609" t="s">
        <v>1128</v>
      </c>
      <c r="K96" s="609">
        <v>0</v>
      </c>
      <c r="L96" s="609">
        <v>0</v>
      </c>
      <c r="M96" s="609">
        <v>0</v>
      </c>
      <c r="N96" s="609">
        <v>0</v>
      </c>
      <c r="O96" s="609">
        <v>0</v>
      </c>
      <c r="P96" s="609">
        <v>0</v>
      </c>
      <c r="Q96" s="609">
        <v>0</v>
      </c>
      <c r="R96" s="609">
        <v>0</v>
      </c>
      <c r="S96" s="609">
        <v>0</v>
      </c>
      <c r="T96" s="609">
        <v>0</v>
      </c>
      <c r="U96" s="609">
        <v>0</v>
      </c>
      <c r="V96" s="609">
        <v>0</v>
      </c>
      <c r="W96" s="609">
        <v>0</v>
      </c>
      <c r="X96" s="609">
        <v>0</v>
      </c>
      <c r="Y96" s="609">
        <v>0</v>
      </c>
      <c r="Z96" s="609">
        <v>0</v>
      </c>
      <c r="AA96" s="609">
        <v>0</v>
      </c>
      <c r="AB96" s="609">
        <v>0</v>
      </c>
      <c r="AC96" s="609">
        <v>0</v>
      </c>
      <c r="AD96" s="609">
        <v>0</v>
      </c>
      <c r="AE96" s="609">
        <v>0</v>
      </c>
      <c r="AF96" s="609">
        <v>0</v>
      </c>
      <c r="AG96" s="609">
        <v>0</v>
      </c>
      <c r="AH96" s="609">
        <v>0</v>
      </c>
      <c r="AI96" s="609">
        <v>0</v>
      </c>
      <c r="AJ96" s="609">
        <v>0</v>
      </c>
      <c r="AK96" s="609">
        <v>0</v>
      </c>
      <c r="AL96" s="609">
        <v>0</v>
      </c>
      <c r="AM96" s="609">
        <v>0</v>
      </c>
      <c r="AN96" s="609">
        <v>0</v>
      </c>
      <c r="AO96" s="609">
        <v>293852</v>
      </c>
      <c r="AP96" s="609">
        <v>148178</v>
      </c>
      <c r="AQ96" s="609">
        <v>0</v>
      </c>
      <c r="AR96" s="609">
        <v>0</v>
      </c>
      <c r="AS96" s="609">
        <v>0</v>
      </c>
      <c r="AT96" s="609">
        <v>0</v>
      </c>
      <c r="AU96" s="609">
        <v>0</v>
      </c>
      <c r="AV96" s="609">
        <v>0</v>
      </c>
      <c r="AW96" s="615">
        <v>0</v>
      </c>
      <c r="AX96" s="615">
        <v>0</v>
      </c>
      <c r="AY96" s="615">
        <v>0</v>
      </c>
      <c r="AZ96" s="615">
        <v>0</v>
      </c>
      <c r="BA96" s="615">
        <v>0</v>
      </c>
      <c r="BB96" s="615">
        <v>0</v>
      </c>
      <c r="BC96" s="615">
        <v>0</v>
      </c>
      <c r="BD96" s="615">
        <v>0</v>
      </c>
      <c r="BE96" s="615">
        <v>0</v>
      </c>
      <c r="BF96" s="615">
        <v>0</v>
      </c>
      <c r="BG96" s="615">
        <v>0</v>
      </c>
      <c r="BH96" s="615">
        <v>0</v>
      </c>
      <c r="BI96" s="615">
        <v>0</v>
      </c>
      <c r="BJ96" s="615">
        <v>0</v>
      </c>
      <c r="BK96" s="615">
        <v>0</v>
      </c>
      <c r="BL96" s="615">
        <v>0</v>
      </c>
      <c r="BM96" s="615">
        <v>0</v>
      </c>
      <c r="BN96" s="615">
        <v>0</v>
      </c>
      <c r="BO96" s="615">
        <v>0</v>
      </c>
      <c r="BP96" s="615">
        <v>0</v>
      </c>
      <c r="BQ96" s="615">
        <v>0</v>
      </c>
      <c r="BR96" s="615">
        <v>0</v>
      </c>
      <c r="BS96" s="615">
        <v>0</v>
      </c>
      <c r="BT96" s="615">
        <v>0</v>
      </c>
      <c r="BU96" s="615">
        <v>0</v>
      </c>
      <c r="BV96" s="615">
        <v>0</v>
      </c>
      <c r="BW96" s="615">
        <v>0</v>
      </c>
      <c r="BX96" s="607">
        <f t="shared" si="1"/>
        <v>442030</v>
      </c>
    </row>
    <row r="97" spans="1:76" s="612" customFormat="1" ht="11.25" customHeight="1" x14ac:dyDescent="0.2">
      <c r="A97" s="905"/>
      <c r="B97" s="610" t="s">
        <v>1746</v>
      </c>
      <c r="C97" s="634" t="s">
        <v>1846</v>
      </c>
      <c r="D97" s="609">
        <v>0</v>
      </c>
      <c r="E97" s="609">
        <v>0</v>
      </c>
      <c r="F97" s="609">
        <v>0</v>
      </c>
      <c r="G97" s="609">
        <v>0</v>
      </c>
      <c r="H97" s="585">
        <v>0</v>
      </c>
      <c r="I97" s="609">
        <v>0</v>
      </c>
      <c r="J97" s="609">
        <v>0</v>
      </c>
      <c r="K97" s="609">
        <v>0</v>
      </c>
      <c r="L97" s="609">
        <v>0</v>
      </c>
      <c r="M97" s="609">
        <v>0</v>
      </c>
      <c r="N97" s="609">
        <v>0</v>
      </c>
      <c r="O97" s="609">
        <v>0</v>
      </c>
      <c r="P97" s="609">
        <v>0</v>
      </c>
      <c r="Q97" s="609">
        <v>0</v>
      </c>
      <c r="R97" s="609">
        <v>0</v>
      </c>
      <c r="S97" s="609">
        <v>0</v>
      </c>
      <c r="T97" s="609">
        <v>0</v>
      </c>
      <c r="U97" s="609">
        <v>0</v>
      </c>
      <c r="V97" s="609">
        <v>0</v>
      </c>
      <c r="W97" s="609">
        <v>0</v>
      </c>
      <c r="X97" s="609">
        <v>0</v>
      </c>
      <c r="Y97" s="609">
        <v>0</v>
      </c>
      <c r="Z97" s="609">
        <v>0</v>
      </c>
      <c r="AA97" s="609">
        <v>0</v>
      </c>
      <c r="AB97" s="609">
        <v>0</v>
      </c>
      <c r="AC97" s="609">
        <v>0</v>
      </c>
      <c r="AD97" s="609">
        <v>0</v>
      </c>
      <c r="AE97" s="609">
        <v>0</v>
      </c>
      <c r="AF97" s="609">
        <v>0</v>
      </c>
      <c r="AG97" s="609">
        <v>0</v>
      </c>
      <c r="AH97" s="609">
        <v>0</v>
      </c>
      <c r="AI97" s="609">
        <v>0</v>
      </c>
      <c r="AJ97" s="609">
        <v>0</v>
      </c>
      <c r="AK97" s="609">
        <v>0</v>
      </c>
      <c r="AL97" s="609">
        <v>0</v>
      </c>
      <c r="AM97" s="609">
        <v>0</v>
      </c>
      <c r="AN97" s="609">
        <v>0</v>
      </c>
      <c r="AO97" s="609">
        <v>0</v>
      </c>
      <c r="AP97" s="609">
        <v>0</v>
      </c>
      <c r="AQ97" s="609">
        <v>0</v>
      </c>
      <c r="AR97" s="609">
        <v>0</v>
      </c>
      <c r="AS97" s="609">
        <v>0</v>
      </c>
      <c r="AT97" s="609">
        <v>0</v>
      </c>
      <c r="AU97" s="609">
        <v>0</v>
      </c>
      <c r="AV97" s="609">
        <v>599076</v>
      </c>
      <c r="AW97" s="615">
        <v>0</v>
      </c>
      <c r="AX97" s="615">
        <v>0</v>
      </c>
      <c r="AY97" s="615">
        <v>0</v>
      </c>
      <c r="AZ97" s="615">
        <v>0</v>
      </c>
      <c r="BA97" s="615">
        <v>0</v>
      </c>
      <c r="BB97" s="615">
        <v>0</v>
      </c>
      <c r="BC97" s="615">
        <v>0</v>
      </c>
      <c r="BD97" s="615">
        <v>0</v>
      </c>
      <c r="BE97" s="615">
        <v>0</v>
      </c>
      <c r="BF97" s="615">
        <v>0</v>
      </c>
      <c r="BG97" s="615">
        <v>0</v>
      </c>
      <c r="BH97" s="615">
        <v>0</v>
      </c>
      <c r="BI97" s="615">
        <v>0</v>
      </c>
      <c r="BJ97" s="615">
        <v>0</v>
      </c>
      <c r="BK97" s="615">
        <v>0</v>
      </c>
      <c r="BL97" s="615">
        <v>0</v>
      </c>
      <c r="BM97" s="615">
        <v>0</v>
      </c>
      <c r="BN97" s="615">
        <v>0</v>
      </c>
      <c r="BO97" s="615">
        <v>0</v>
      </c>
      <c r="BP97" s="615">
        <v>0</v>
      </c>
      <c r="BQ97" s="615">
        <v>0</v>
      </c>
      <c r="BR97" s="615">
        <v>0</v>
      </c>
      <c r="BS97" s="615">
        <v>0</v>
      </c>
      <c r="BT97" s="615">
        <v>0</v>
      </c>
      <c r="BU97" s="615">
        <v>0</v>
      </c>
      <c r="BV97" s="615">
        <v>0</v>
      </c>
      <c r="BW97" s="615">
        <v>0</v>
      </c>
      <c r="BX97" s="607">
        <f t="shared" si="1"/>
        <v>599076</v>
      </c>
    </row>
    <row r="98" spans="1:76" s="612" customFormat="1" ht="11.25" customHeight="1" x14ac:dyDescent="0.2">
      <c r="A98" s="905"/>
      <c r="B98" s="610" t="s">
        <v>2532</v>
      </c>
      <c r="C98" s="634" t="s">
        <v>1847</v>
      </c>
      <c r="D98" s="609">
        <v>0</v>
      </c>
      <c r="E98" s="609">
        <v>0</v>
      </c>
      <c r="F98" s="609">
        <v>0</v>
      </c>
      <c r="G98" s="609">
        <v>0</v>
      </c>
      <c r="H98" s="585">
        <v>0</v>
      </c>
      <c r="I98" s="609">
        <v>0</v>
      </c>
      <c r="J98" s="609">
        <v>0</v>
      </c>
      <c r="K98" s="609">
        <v>0</v>
      </c>
      <c r="L98" s="609">
        <v>0</v>
      </c>
      <c r="M98" s="609">
        <v>0</v>
      </c>
      <c r="N98" s="609">
        <v>0</v>
      </c>
      <c r="O98" s="609">
        <v>0</v>
      </c>
      <c r="P98" s="609">
        <v>0</v>
      </c>
      <c r="Q98" s="609">
        <v>0</v>
      </c>
      <c r="R98" s="609">
        <v>0</v>
      </c>
      <c r="S98" s="609">
        <v>0</v>
      </c>
      <c r="T98" s="609">
        <v>0</v>
      </c>
      <c r="U98" s="609">
        <v>0</v>
      </c>
      <c r="V98" s="609">
        <v>0</v>
      </c>
      <c r="W98" s="609">
        <v>0</v>
      </c>
      <c r="X98" s="609">
        <v>0</v>
      </c>
      <c r="Y98" s="609">
        <v>0</v>
      </c>
      <c r="Z98" s="609">
        <v>0</v>
      </c>
      <c r="AA98" s="609">
        <v>0</v>
      </c>
      <c r="AB98" s="609">
        <v>0</v>
      </c>
      <c r="AC98" s="609">
        <v>0</v>
      </c>
      <c r="AD98" s="609">
        <v>0</v>
      </c>
      <c r="AE98" s="609">
        <v>0</v>
      </c>
      <c r="AF98" s="609">
        <v>0</v>
      </c>
      <c r="AG98" s="609">
        <v>0</v>
      </c>
      <c r="AH98" s="609">
        <v>0</v>
      </c>
      <c r="AI98" s="609">
        <v>0</v>
      </c>
      <c r="AJ98" s="609">
        <v>0</v>
      </c>
      <c r="AK98" s="609">
        <v>0</v>
      </c>
      <c r="AL98" s="609">
        <v>0</v>
      </c>
      <c r="AM98" s="609">
        <v>0</v>
      </c>
      <c r="AN98" s="609">
        <v>0</v>
      </c>
      <c r="AO98" s="609">
        <v>2141848</v>
      </c>
      <c r="AP98" s="609">
        <v>158208</v>
      </c>
      <c r="AQ98" s="609">
        <v>0</v>
      </c>
      <c r="AR98" s="609">
        <v>0</v>
      </c>
      <c r="AS98" s="609">
        <v>0</v>
      </c>
      <c r="AT98" s="609">
        <v>0</v>
      </c>
      <c r="AU98" s="609">
        <v>0</v>
      </c>
      <c r="AV98" s="609">
        <v>0</v>
      </c>
      <c r="AW98" s="615">
        <v>0</v>
      </c>
      <c r="AX98" s="615">
        <v>0</v>
      </c>
      <c r="AY98" s="615">
        <v>0</v>
      </c>
      <c r="AZ98" s="615">
        <v>0</v>
      </c>
      <c r="BA98" s="615">
        <v>0</v>
      </c>
      <c r="BB98" s="615">
        <v>0</v>
      </c>
      <c r="BC98" s="615">
        <v>0</v>
      </c>
      <c r="BD98" s="615">
        <v>0</v>
      </c>
      <c r="BE98" s="615">
        <v>0</v>
      </c>
      <c r="BF98" s="615">
        <v>0</v>
      </c>
      <c r="BG98" s="615">
        <v>0</v>
      </c>
      <c r="BH98" s="615">
        <v>0</v>
      </c>
      <c r="BI98" s="615">
        <v>0</v>
      </c>
      <c r="BJ98" s="615">
        <v>0</v>
      </c>
      <c r="BK98" s="615">
        <v>0</v>
      </c>
      <c r="BL98" s="615">
        <v>0</v>
      </c>
      <c r="BM98" s="615">
        <v>0</v>
      </c>
      <c r="BN98" s="615">
        <v>0</v>
      </c>
      <c r="BO98" s="615">
        <v>0</v>
      </c>
      <c r="BP98" s="615">
        <v>0</v>
      </c>
      <c r="BQ98" s="615">
        <v>0</v>
      </c>
      <c r="BR98" s="615">
        <v>0</v>
      </c>
      <c r="BS98" s="615">
        <v>0</v>
      </c>
      <c r="BT98" s="615">
        <v>0</v>
      </c>
      <c r="BU98" s="615">
        <v>0</v>
      </c>
      <c r="BV98" s="615">
        <v>0</v>
      </c>
      <c r="BW98" s="615">
        <v>0</v>
      </c>
      <c r="BX98" s="607">
        <f t="shared" si="1"/>
        <v>2300056</v>
      </c>
    </row>
    <row r="99" spans="1:76" s="612" customFormat="1" ht="11.25" customHeight="1" x14ac:dyDescent="0.2">
      <c r="A99" s="905"/>
      <c r="B99" s="610" t="s">
        <v>1638</v>
      </c>
      <c r="C99" s="634" t="s">
        <v>1848</v>
      </c>
      <c r="D99" s="609">
        <v>0</v>
      </c>
      <c r="E99" s="609">
        <v>0</v>
      </c>
      <c r="F99" s="609">
        <v>0</v>
      </c>
      <c r="G99" s="609">
        <v>0</v>
      </c>
      <c r="H99" s="585">
        <v>0</v>
      </c>
      <c r="I99" s="609">
        <v>0</v>
      </c>
      <c r="J99" s="609">
        <v>0</v>
      </c>
      <c r="K99" s="609">
        <v>0</v>
      </c>
      <c r="L99" s="609">
        <v>0</v>
      </c>
      <c r="M99" s="609">
        <v>0</v>
      </c>
      <c r="N99" s="609">
        <v>0</v>
      </c>
      <c r="O99" s="609">
        <v>0</v>
      </c>
      <c r="P99" s="609">
        <v>0</v>
      </c>
      <c r="Q99" s="609">
        <v>0</v>
      </c>
      <c r="R99" s="609">
        <v>0</v>
      </c>
      <c r="S99" s="609">
        <v>0</v>
      </c>
      <c r="T99" s="609">
        <v>0</v>
      </c>
      <c r="U99" s="609">
        <v>0</v>
      </c>
      <c r="V99" s="609">
        <v>0</v>
      </c>
      <c r="W99" s="609">
        <v>0</v>
      </c>
      <c r="X99" s="609">
        <v>0</v>
      </c>
      <c r="Y99" s="609">
        <v>0</v>
      </c>
      <c r="Z99" s="609">
        <v>0</v>
      </c>
      <c r="AA99" s="609">
        <v>0</v>
      </c>
      <c r="AB99" s="609">
        <v>0</v>
      </c>
      <c r="AC99" s="609">
        <v>0</v>
      </c>
      <c r="AD99" s="609">
        <v>0</v>
      </c>
      <c r="AE99" s="609">
        <v>0</v>
      </c>
      <c r="AF99" s="609">
        <v>0</v>
      </c>
      <c r="AG99" s="609">
        <v>0</v>
      </c>
      <c r="AH99" s="609">
        <v>0</v>
      </c>
      <c r="AI99" s="609">
        <v>0</v>
      </c>
      <c r="AJ99" s="609">
        <v>0</v>
      </c>
      <c r="AK99" s="609">
        <v>0</v>
      </c>
      <c r="AL99" s="609">
        <v>463557</v>
      </c>
      <c r="AM99" s="609">
        <v>0</v>
      </c>
      <c r="AN99" s="609">
        <v>0</v>
      </c>
      <c r="AO99" s="609">
        <v>0</v>
      </c>
      <c r="AP99" s="609">
        <v>0</v>
      </c>
      <c r="AQ99" s="609">
        <v>108020</v>
      </c>
      <c r="AR99" s="609">
        <v>0</v>
      </c>
      <c r="AS99" s="609">
        <v>0</v>
      </c>
      <c r="AT99" s="609">
        <v>0</v>
      </c>
      <c r="AU99" s="609">
        <v>0</v>
      </c>
      <c r="AV99" s="609">
        <v>0</v>
      </c>
      <c r="AW99" s="615">
        <v>0</v>
      </c>
      <c r="AX99" s="615">
        <v>0</v>
      </c>
      <c r="AY99" s="615">
        <v>0</v>
      </c>
      <c r="AZ99" s="615">
        <v>0</v>
      </c>
      <c r="BA99" s="615">
        <v>0</v>
      </c>
      <c r="BB99" s="615">
        <v>0</v>
      </c>
      <c r="BC99" s="615">
        <v>0</v>
      </c>
      <c r="BD99" s="615">
        <v>0</v>
      </c>
      <c r="BE99" s="615">
        <v>0</v>
      </c>
      <c r="BF99" s="615">
        <v>0</v>
      </c>
      <c r="BG99" s="615">
        <v>0</v>
      </c>
      <c r="BH99" s="615">
        <v>0</v>
      </c>
      <c r="BI99" s="615">
        <v>0</v>
      </c>
      <c r="BJ99" s="615">
        <v>0</v>
      </c>
      <c r="BK99" s="615">
        <v>0</v>
      </c>
      <c r="BL99" s="615">
        <v>0</v>
      </c>
      <c r="BM99" s="615">
        <v>0</v>
      </c>
      <c r="BN99" s="615">
        <v>0</v>
      </c>
      <c r="BO99" s="615">
        <v>0</v>
      </c>
      <c r="BP99" s="615">
        <v>0</v>
      </c>
      <c r="BQ99" s="615">
        <v>0</v>
      </c>
      <c r="BR99" s="615">
        <v>0</v>
      </c>
      <c r="BS99" s="615">
        <v>0</v>
      </c>
      <c r="BT99" s="615">
        <v>0</v>
      </c>
      <c r="BU99" s="615">
        <v>0</v>
      </c>
      <c r="BV99" s="615">
        <v>0</v>
      </c>
      <c r="BW99" s="615">
        <v>0</v>
      </c>
      <c r="BX99" s="607">
        <f t="shared" si="1"/>
        <v>571577</v>
      </c>
    </row>
    <row r="100" spans="1:76" s="612" customFormat="1" ht="11.25" customHeight="1" x14ac:dyDescent="0.2">
      <c r="A100" s="905"/>
      <c r="B100" s="610" t="s">
        <v>2605</v>
      </c>
      <c r="C100" s="634" t="s">
        <v>1849</v>
      </c>
      <c r="D100" s="609">
        <v>0</v>
      </c>
      <c r="E100" s="609">
        <v>0</v>
      </c>
      <c r="F100" s="609">
        <v>0</v>
      </c>
      <c r="G100" s="609">
        <v>0</v>
      </c>
      <c r="H100" s="585">
        <v>0</v>
      </c>
      <c r="I100" s="609">
        <v>0</v>
      </c>
      <c r="J100" s="609">
        <v>0</v>
      </c>
      <c r="K100" s="609">
        <v>0</v>
      </c>
      <c r="L100" s="609">
        <v>0</v>
      </c>
      <c r="M100" s="609">
        <v>0</v>
      </c>
      <c r="N100" s="609">
        <v>0</v>
      </c>
      <c r="O100" s="609">
        <v>0</v>
      </c>
      <c r="P100" s="609">
        <v>0</v>
      </c>
      <c r="Q100" s="609">
        <v>0</v>
      </c>
      <c r="R100" s="609">
        <v>0</v>
      </c>
      <c r="S100" s="609">
        <v>0</v>
      </c>
      <c r="T100" s="609">
        <v>0</v>
      </c>
      <c r="U100" s="609">
        <v>0</v>
      </c>
      <c r="V100" s="609">
        <v>0</v>
      </c>
      <c r="W100" s="609">
        <v>0</v>
      </c>
      <c r="X100" s="609">
        <v>0</v>
      </c>
      <c r="Y100" s="609">
        <v>0</v>
      </c>
      <c r="Z100" s="609">
        <v>0</v>
      </c>
      <c r="AA100" s="609">
        <v>0</v>
      </c>
      <c r="AB100" s="609">
        <v>0</v>
      </c>
      <c r="AC100" s="609">
        <v>0</v>
      </c>
      <c r="AD100" s="609">
        <v>0</v>
      </c>
      <c r="AE100" s="609">
        <v>0</v>
      </c>
      <c r="AF100" s="609">
        <v>0</v>
      </c>
      <c r="AG100" s="609">
        <v>0</v>
      </c>
      <c r="AH100" s="609">
        <v>0</v>
      </c>
      <c r="AI100" s="609">
        <v>0</v>
      </c>
      <c r="AJ100" s="609">
        <v>0</v>
      </c>
      <c r="AK100" s="609">
        <v>0</v>
      </c>
      <c r="AL100" s="609">
        <v>0</v>
      </c>
      <c r="AM100" s="609">
        <v>0</v>
      </c>
      <c r="AN100" s="609">
        <v>0</v>
      </c>
      <c r="AO100" s="609">
        <v>0</v>
      </c>
      <c r="AP100" s="609">
        <v>0</v>
      </c>
      <c r="AQ100" s="609">
        <v>0</v>
      </c>
      <c r="AR100" s="609">
        <v>0</v>
      </c>
      <c r="AS100" s="609">
        <v>0</v>
      </c>
      <c r="AT100" s="609">
        <v>0</v>
      </c>
      <c r="AU100" s="609">
        <v>0</v>
      </c>
      <c r="AV100" s="609">
        <v>0</v>
      </c>
      <c r="AW100" s="615">
        <v>0</v>
      </c>
      <c r="AX100" s="615">
        <v>0</v>
      </c>
      <c r="AY100" s="615">
        <v>0</v>
      </c>
      <c r="AZ100" s="615">
        <v>0</v>
      </c>
      <c r="BA100" s="615">
        <v>0</v>
      </c>
      <c r="BB100" s="615">
        <v>0</v>
      </c>
      <c r="BC100" s="615">
        <v>0</v>
      </c>
      <c r="BD100" s="615">
        <v>0</v>
      </c>
      <c r="BE100" s="615">
        <v>0</v>
      </c>
      <c r="BF100" s="615">
        <v>0</v>
      </c>
      <c r="BG100" s="615">
        <v>0</v>
      </c>
      <c r="BH100" s="615">
        <v>0</v>
      </c>
      <c r="BI100" s="615">
        <v>0</v>
      </c>
      <c r="BJ100" s="615">
        <v>0</v>
      </c>
      <c r="BK100" s="615">
        <v>0</v>
      </c>
      <c r="BL100" s="615">
        <v>0</v>
      </c>
      <c r="BM100" s="615">
        <v>0</v>
      </c>
      <c r="BN100" s="615">
        <v>0</v>
      </c>
      <c r="BO100" s="615">
        <v>0</v>
      </c>
      <c r="BP100" s="615">
        <v>0</v>
      </c>
      <c r="BQ100" s="615">
        <v>0</v>
      </c>
      <c r="BR100" s="615">
        <v>0</v>
      </c>
      <c r="BS100" s="615">
        <v>0</v>
      </c>
      <c r="BT100" s="615">
        <v>0</v>
      </c>
      <c r="BU100" s="615">
        <v>0</v>
      </c>
      <c r="BV100" s="615">
        <v>0</v>
      </c>
      <c r="BW100" s="615">
        <v>0</v>
      </c>
      <c r="BX100" s="607">
        <f t="shared" si="1"/>
        <v>0</v>
      </c>
    </row>
    <row r="101" spans="1:76" s="612" customFormat="1" ht="11.25" customHeight="1" x14ac:dyDescent="0.2">
      <c r="A101" s="905"/>
      <c r="B101" s="610" t="s">
        <v>3131</v>
      </c>
      <c r="C101" s="634" t="s">
        <v>1850</v>
      </c>
      <c r="D101" s="609">
        <v>0</v>
      </c>
      <c r="E101" s="609" t="s">
        <v>1128</v>
      </c>
      <c r="F101" s="609" t="s">
        <v>1128</v>
      </c>
      <c r="G101" s="609" t="s">
        <v>1128</v>
      </c>
      <c r="H101" s="585">
        <v>0</v>
      </c>
      <c r="I101" s="609">
        <v>0</v>
      </c>
      <c r="J101" s="609">
        <v>0</v>
      </c>
      <c r="K101" s="609">
        <v>0</v>
      </c>
      <c r="L101" s="609">
        <v>0</v>
      </c>
      <c r="M101" s="609">
        <v>0</v>
      </c>
      <c r="N101" s="609">
        <v>0</v>
      </c>
      <c r="O101" s="609">
        <v>0</v>
      </c>
      <c r="P101" s="609">
        <v>0</v>
      </c>
      <c r="Q101" s="609">
        <v>0</v>
      </c>
      <c r="R101" s="609">
        <v>0</v>
      </c>
      <c r="S101" s="609">
        <v>0</v>
      </c>
      <c r="T101" s="609">
        <v>0</v>
      </c>
      <c r="U101" s="609">
        <v>0</v>
      </c>
      <c r="V101" s="609">
        <v>0</v>
      </c>
      <c r="W101" s="609">
        <v>0</v>
      </c>
      <c r="X101" s="609">
        <v>0</v>
      </c>
      <c r="Y101" s="609">
        <v>0</v>
      </c>
      <c r="Z101" s="609">
        <v>0</v>
      </c>
      <c r="AA101" s="609">
        <v>0</v>
      </c>
      <c r="AB101" s="609">
        <v>0</v>
      </c>
      <c r="AC101" s="609">
        <v>0</v>
      </c>
      <c r="AD101" s="609">
        <v>0</v>
      </c>
      <c r="AE101" s="609">
        <v>0</v>
      </c>
      <c r="AF101" s="609">
        <v>0</v>
      </c>
      <c r="AG101" s="609">
        <v>0</v>
      </c>
      <c r="AH101" s="609">
        <v>0</v>
      </c>
      <c r="AI101" s="609">
        <v>0</v>
      </c>
      <c r="AJ101" s="609">
        <v>0</v>
      </c>
      <c r="AK101" s="609">
        <v>0</v>
      </c>
      <c r="AL101" s="609">
        <v>0</v>
      </c>
      <c r="AM101" s="609">
        <v>0</v>
      </c>
      <c r="AN101" s="609">
        <v>2000000</v>
      </c>
      <c r="AO101" s="609">
        <v>0</v>
      </c>
      <c r="AP101" s="609">
        <v>0</v>
      </c>
      <c r="AQ101" s="609">
        <v>0</v>
      </c>
      <c r="AR101" s="609">
        <v>0</v>
      </c>
      <c r="AS101" s="609">
        <v>0</v>
      </c>
      <c r="AT101" s="609">
        <v>1406367</v>
      </c>
      <c r="AU101" s="609">
        <v>0</v>
      </c>
      <c r="AV101" s="609">
        <v>1146768</v>
      </c>
      <c r="AW101" s="615">
        <v>0</v>
      </c>
      <c r="AX101" s="615">
        <v>0</v>
      </c>
      <c r="AY101" s="615">
        <v>0</v>
      </c>
      <c r="AZ101" s="615">
        <v>0</v>
      </c>
      <c r="BA101" s="615">
        <v>0</v>
      </c>
      <c r="BB101" s="615">
        <v>0</v>
      </c>
      <c r="BC101" s="615">
        <v>0</v>
      </c>
      <c r="BD101" s="615">
        <v>0</v>
      </c>
      <c r="BE101" s="615">
        <v>0</v>
      </c>
      <c r="BF101" s="615">
        <v>0</v>
      </c>
      <c r="BG101" s="615">
        <v>0</v>
      </c>
      <c r="BH101" s="615">
        <v>0</v>
      </c>
      <c r="BI101" s="615">
        <v>0</v>
      </c>
      <c r="BJ101" s="615">
        <v>0</v>
      </c>
      <c r="BK101" s="615">
        <v>0</v>
      </c>
      <c r="BL101" s="615">
        <v>0</v>
      </c>
      <c r="BM101" s="615">
        <v>0</v>
      </c>
      <c r="BN101" s="615">
        <v>0</v>
      </c>
      <c r="BO101" s="615">
        <v>0</v>
      </c>
      <c r="BP101" s="615">
        <v>0</v>
      </c>
      <c r="BQ101" s="615">
        <v>0</v>
      </c>
      <c r="BR101" s="615">
        <v>0</v>
      </c>
      <c r="BS101" s="615">
        <v>0</v>
      </c>
      <c r="BT101" s="615">
        <v>0</v>
      </c>
      <c r="BU101" s="615">
        <v>0</v>
      </c>
      <c r="BV101" s="615">
        <v>0</v>
      </c>
      <c r="BW101" s="615">
        <v>0</v>
      </c>
      <c r="BX101" s="607">
        <f t="shared" si="1"/>
        <v>4553135</v>
      </c>
    </row>
    <row r="102" spans="1:76" s="612" customFormat="1" ht="11.25" customHeight="1" x14ac:dyDescent="0.2">
      <c r="A102" s="905"/>
      <c r="B102" s="610" t="s">
        <v>1640</v>
      </c>
      <c r="C102" s="634" t="s">
        <v>1851</v>
      </c>
      <c r="D102" s="609">
        <v>0</v>
      </c>
      <c r="E102" s="609">
        <v>0</v>
      </c>
      <c r="F102" s="609">
        <v>0</v>
      </c>
      <c r="G102" s="609">
        <v>0</v>
      </c>
      <c r="H102" s="585">
        <v>0</v>
      </c>
      <c r="I102" s="609">
        <v>0</v>
      </c>
      <c r="J102" s="609">
        <v>0</v>
      </c>
      <c r="K102" s="609">
        <v>0</v>
      </c>
      <c r="L102" s="609">
        <v>0</v>
      </c>
      <c r="M102" s="609">
        <v>0</v>
      </c>
      <c r="N102" s="609">
        <v>0</v>
      </c>
      <c r="O102" s="609">
        <v>0</v>
      </c>
      <c r="P102" s="609">
        <v>0</v>
      </c>
      <c r="Q102" s="609">
        <v>0</v>
      </c>
      <c r="R102" s="609">
        <v>0</v>
      </c>
      <c r="S102" s="609">
        <v>0</v>
      </c>
      <c r="T102" s="609">
        <v>0</v>
      </c>
      <c r="U102" s="609">
        <v>0</v>
      </c>
      <c r="V102" s="609">
        <v>0</v>
      </c>
      <c r="W102" s="609">
        <v>0</v>
      </c>
      <c r="X102" s="609">
        <v>0</v>
      </c>
      <c r="Y102" s="609">
        <v>0</v>
      </c>
      <c r="Z102" s="609">
        <v>0</v>
      </c>
      <c r="AA102" s="609">
        <v>0</v>
      </c>
      <c r="AB102" s="609">
        <v>0</v>
      </c>
      <c r="AC102" s="609">
        <v>0</v>
      </c>
      <c r="AD102" s="609">
        <v>0</v>
      </c>
      <c r="AE102" s="609">
        <v>0</v>
      </c>
      <c r="AF102" s="609">
        <v>0</v>
      </c>
      <c r="AG102" s="609">
        <v>0</v>
      </c>
      <c r="AH102" s="609">
        <v>0</v>
      </c>
      <c r="AI102" s="609">
        <v>0</v>
      </c>
      <c r="AJ102" s="609">
        <v>0</v>
      </c>
      <c r="AK102" s="609">
        <v>0</v>
      </c>
      <c r="AL102" s="609">
        <v>0</v>
      </c>
      <c r="AM102" s="609">
        <v>0</v>
      </c>
      <c r="AN102" s="609">
        <v>0</v>
      </c>
      <c r="AO102" s="609">
        <v>0</v>
      </c>
      <c r="AP102" s="609">
        <v>0</v>
      </c>
      <c r="AQ102" s="609">
        <v>0</v>
      </c>
      <c r="AR102" s="609">
        <v>0</v>
      </c>
      <c r="AS102" s="609">
        <v>0</v>
      </c>
      <c r="AT102" s="609">
        <v>0</v>
      </c>
      <c r="AU102" s="609">
        <v>0</v>
      </c>
      <c r="AV102" s="609">
        <v>0</v>
      </c>
      <c r="AW102" s="615">
        <v>0</v>
      </c>
      <c r="AX102" s="615">
        <v>0</v>
      </c>
      <c r="AY102" s="615">
        <v>0</v>
      </c>
      <c r="AZ102" s="615">
        <v>0</v>
      </c>
      <c r="BA102" s="615">
        <v>0</v>
      </c>
      <c r="BB102" s="615">
        <v>0</v>
      </c>
      <c r="BC102" s="615">
        <v>0</v>
      </c>
      <c r="BD102" s="615">
        <v>0</v>
      </c>
      <c r="BE102" s="615">
        <v>0</v>
      </c>
      <c r="BF102" s="615">
        <v>0</v>
      </c>
      <c r="BG102" s="615">
        <v>0</v>
      </c>
      <c r="BH102" s="615">
        <v>0</v>
      </c>
      <c r="BI102" s="615">
        <v>0</v>
      </c>
      <c r="BJ102" s="615">
        <v>0</v>
      </c>
      <c r="BK102" s="615">
        <v>0</v>
      </c>
      <c r="BL102" s="615">
        <v>0</v>
      </c>
      <c r="BM102" s="615">
        <v>0</v>
      </c>
      <c r="BN102" s="615">
        <v>0</v>
      </c>
      <c r="BO102" s="615">
        <v>0</v>
      </c>
      <c r="BP102" s="615">
        <v>0</v>
      </c>
      <c r="BQ102" s="615">
        <v>0</v>
      </c>
      <c r="BR102" s="615">
        <v>0</v>
      </c>
      <c r="BS102" s="615">
        <v>0</v>
      </c>
      <c r="BT102" s="615">
        <v>0</v>
      </c>
      <c r="BU102" s="615">
        <v>0</v>
      </c>
      <c r="BV102" s="615">
        <v>0</v>
      </c>
      <c r="BW102" s="615">
        <v>0</v>
      </c>
      <c r="BX102" s="607">
        <f t="shared" si="1"/>
        <v>0</v>
      </c>
    </row>
    <row r="103" spans="1:76" s="612" customFormat="1" ht="11.25" customHeight="1" x14ac:dyDescent="0.2">
      <c r="A103" s="905"/>
      <c r="B103" s="610" t="s">
        <v>884</v>
      </c>
      <c r="C103" s="634" t="s">
        <v>1852</v>
      </c>
      <c r="D103" s="609">
        <v>0</v>
      </c>
      <c r="E103" s="609">
        <v>0</v>
      </c>
      <c r="F103" s="609">
        <v>0</v>
      </c>
      <c r="G103" s="609">
        <v>0</v>
      </c>
      <c r="H103" s="585">
        <v>0</v>
      </c>
      <c r="I103" s="609" t="s">
        <v>1128</v>
      </c>
      <c r="J103" s="609" t="s">
        <v>1128</v>
      </c>
      <c r="K103" s="609" t="s">
        <v>1128</v>
      </c>
      <c r="L103" s="609">
        <v>0</v>
      </c>
      <c r="M103" s="609">
        <v>0</v>
      </c>
      <c r="N103" s="609">
        <v>0</v>
      </c>
      <c r="O103" s="609">
        <v>0</v>
      </c>
      <c r="P103" s="609">
        <v>0</v>
      </c>
      <c r="Q103" s="609">
        <v>0</v>
      </c>
      <c r="R103" s="609">
        <v>0</v>
      </c>
      <c r="S103" s="609">
        <v>0</v>
      </c>
      <c r="T103" s="609">
        <v>0</v>
      </c>
      <c r="U103" s="609">
        <v>0</v>
      </c>
      <c r="V103" s="609">
        <v>0</v>
      </c>
      <c r="W103" s="609">
        <v>0</v>
      </c>
      <c r="X103" s="609">
        <v>0</v>
      </c>
      <c r="Y103" s="609">
        <v>0</v>
      </c>
      <c r="Z103" s="609">
        <v>0</v>
      </c>
      <c r="AA103" s="609">
        <v>0</v>
      </c>
      <c r="AB103" s="609">
        <v>0</v>
      </c>
      <c r="AC103" s="609">
        <v>0</v>
      </c>
      <c r="AD103" s="609">
        <v>0</v>
      </c>
      <c r="AE103" s="609">
        <v>0</v>
      </c>
      <c r="AF103" s="609">
        <v>0</v>
      </c>
      <c r="AG103" s="609">
        <v>0</v>
      </c>
      <c r="AH103" s="609">
        <v>0</v>
      </c>
      <c r="AI103" s="609">
        <v>0</v>
      </c>
      <c r="AJ103" s="609">
        <v>0</v>
      </c>
      <c r="AK103" s="609">
        <v>0</v>
      </c>
      <c r="AL103" s="609">
        <v>0</v>
      </c>
      <c r="AM103" s="609">
        <v>0</v>
      </c>
      <c r="AN103" s="609">
        <v>403704</v>
      </c>
      <c r="AO103" s="609">
        <v>0</v>
      </c>
      <c r="AP103" s="609">
        <v>0</v>
      </c>
      <c r="AQ103" s="609">
        <v>0</v>
      </c>
      <c r="AR103" s="609">
        <v>0</v>
      </c>
      <c r="AS103" s="609">
        <v>0</v>
      </c>
      <c r="AT103" s="609">
        <v>0</v>
      </c>
      <c r="AU103" s="609">
        <v>0</v>
      </c>
      <c r="AV103" s="609">
        <v>0</v>
      </c>
      <c r="AW103" s="615">
        <v>0</v>
      </c>
      <c r="AX103" s="615">
        <v>0</v>
      </c>
      <c r="AY103" s="615">
        <v>0</v>
      </c>
      <c r="AZ103" s="615">
        <v>0</v>
      </c>
      <c r="BA103" s="615">
        <v>0</v>
      </c>
      <c r="BB103" s="615">
        <v>0</v>
      </c>
      <c r="BC103" s="615">
        <v>0</v>
      </c>
      <c r="BD103" s="615">
        <v>0</v>
      </c>
      <c r="BE103" s="615">
        <v>0</v>
      </c>
      <c r="BF103" s="615">
        <v>0</v>
      </c>
      <c r="BG103" s="615">
        <v>0</v>
      </c>
      <c r="BH103" s="615">
        <v>0</v>
      </c>
      <c r="BI103" s="615">
        <v>0</v>
      </c>
      <c r="BJ103" s="615">
        <v>0</v>
      </c>
      <c r="BK103" s="615">
        <v>0</v>
      </c>
      <c r="BL103" s="615">
        <v>0</v>
      </c>
      <c r="BM103" s="615">
        <v>0</v>
      </c>
      <c r="BN103" s="615">
        <v>0</v>
      </c>
      <c r="BO103" s="615">
        <v>0</v>
      </c>
      <c r="BP103" s="615">
        <v>0</v>
      </c>
      <c r="BQ103" s="615">
        <v>0</v>
      </c>
      <c r="BR103" s="615">
        <v>0</v>
      </c>
      <c r="BS103" s="615">
        <v>0</v>
      </c>
      <c r="BT103" s="615">
        <v>0</v>
      </c>
      <c r="BU103" s="615">
        <v>0</v>
      </c>
      <c r="BV103" s="615">
        <v>0</v>
      </c>
      <c r="BW103" s="615">
        <v>0</v>
      </c>
      <c r="BX103" s="607">
        <f t="shared" si="1"/>
        <v>403704</v>
      </c>
    </row>
    <row r="104" spans="1:76" s="612" customFormat="1" ht="11.25" customHeight="1" x14ac:dyDescent="0.2">
      <c r="A104" s="905"/>
      <c r="B104" s="610" t="s">
        <v>1639</v>
      </c>
      <c r="C104" s="634" t="s">
        <v>1853</v>
      </c>
      <c r="D104" s="609">
        <v>0</v>
      </c>
      <c r="E104" s="609">
        <v>0</v>
      </c>
      <c r="F104" s="609">
        <v>0</v>
      </c>
      <c r="G104" s="609">
        <v>0</v>
      </c>
      <c r="H104" s="585">
        <v>0</v>
      </c>
      <c r="I104" s="609">
        <v>0</v>
      </c>
      <c r="J104" s="609">
        <v>0</v>
      </c>
      <c r="K104" s="609">
        <v>0</v>
      </c>
      <c r="L104" s="609">
        <v>0</v>
      </c>
      <c r="M104" s="609">
        <v>0</v>
      </c>
      <c r="N104" s="609">
        <v>0</v>
      </c>
      <c r="O104" s="609">
        <v>0</v>
      </c>
      <c r="P104" s="609">
        <v>0</v>
      </c>
      <c r="Q104" s="609">
        <v>0</v>
      </c>
      <c r="R104" s="609">
        <v>0</v>
      </c>
      <c r="S104" s="609">
        <v>0</v>
      </c>
      <c r="T104" s="609">
        <v>0</v>
      </c>
      <c r="U104" s="609">
        <v>0</v>
      </c>
      <c r="V104" s="609">
        <v>0</v>
      </c>
      <c r="W104" s="609">
        <v>0</v>
      </c>
      <c r="X104" s="609">
        <v>0</v>
      </c>
      <c r="Y104" s="609">
        <v>0</v>
      </c>
      <c r="Z104" s="609">
        <v>0</v>
      </c>
      <c r="AA104" s="609">
        <v>0</v>
      </c>
      <c r="AB104" s="609">
        <v>0</v>
      </c>
      <c r="AC104" s="609">
        <v>0</v>
      </c>
      <c r="AD104" s="609">
        <v>0</v>
      </c>
      <c r="AE104" s="609">
        <v>0</v>
      </c>
      <c r="AF104" s="609">
        <v>0</v>
      </c>
      <c r="AG104" s="609">
        <v>0</v>
      </c>
      <c r="AH104" s="609">
        <v>0</v>
      </c>
      <c r="AI104" s="609">
        <v>0</v>
      </c>
      <c r="AJ104" s="609">
        <v>0</v>
      </c>
      <c r="AK104" s="609">
        <v>0</v>
      </c>
      <c r="AL104" s="609">
        <v>0</v>
      </c>
      <c r="AM104" s="609">
        <v>0</v>
      </c>
      <c r="AN104" s="609">
        <v>0</v>
      </c>
      <c r="AO104" s="609">
        <v>2227210</v>
      </c>
      <c r="AP104" s="609">
        <v>0</v>
      </c>
      <c r="AQ104" s="609">
        <v>109173</v>
      </c>
      <c r="AR104" s="609">
        <v>0</v>
      </c>
      <c r="AS104" s="609">
        <v>0</v>
      </c>
      <c r="AT104" s="609">
        <v>0</v>
      </c>
      <c r="AU104" s="609">
        <v>0</v>
      </c>
      <c r="AV104" s="609">
        <v>0</v>
      </c>
      <c r="AW104" s="615">
        <v>0</v>
      </c>
      <c r="AX104" s="615">
        <v>0</v>
      </c>
      <c r="AY104" s="615">
        <v>0</v>
      </c>
      <c r="AZ104" s="615">
        <v>0</v>
      </c>
      <c r="BA104" s="615">
        <v>0</v>
      </c>
      <c r="BB104" s="615">
        <v>0</v>
      </c>
      <c r="BC104" s="615">
        <v>0</v>
      </c>
      <c r="BD104" s="615">
        <v>0</v>
      </c>
      <c r="BE104" s="615">
        <v>0</v>
      </c>
      <c r="BF104" s="615">
        <v>0</v>
      </c>
      <c r="BG104" s="615">
        <v>0</v>
      </c>
      <c r="BH104" s="615">
        <v>0</v>
      </c>
      <c r="BI104" s="615">
        <v>0</v>
      </c>
      <c r="BJ104" s="615">
        <v>0</v>
      </c>
      <c r="BK104" s="615">
        <v>0</v>
      </c>
      <c r="BL104" s="615">
        <v>0</v>
      </c>
      <c r="BM104" s="615">
        <v>0</v>
      </c>
      <c r="BN104" s="615">
        <v>0</v>
      </c>
      <c r="BO104" s="615">
        <v>0</v>
      </c>
      <c r="BP104" s="615">
        <v>0</v>
      </c>
      <c r="BQ104" s="615">
        <v>0</v>
      </c>
      <c r="BR104" s="615">
        <v>0</v>
      </c>
      <c r="BS104" s="615">
        <v>0</v>
      </c>
      <c r="BT104" s="615">
        <v>0</v>
      </c>
      <c r="BU104" s="615">
        <v>0</v>
      </c>
      <c r="BV104" s="615">
        <v>0</v>
      </c>
      <c r="BW104" s="615">
        <v>0</v>
      </c>
      <c r="BX104" s="607">
        <f t="shared" si="1"/>
        <v>2336383</v>
      </c>
    </row>
    <row r="105" spans="1:76" s="612" customFormat="1" ht="11.25" customHeight="1" x14ac:dyDescent="0.2">
      <c r="A105" s="905"/>
      <c r="B105" s="610" t="s">
        <v>995</v>
      </c>
      <c r="C105" s="634" t="s">
        <v>1854</v>
      </c>
      <c r="D105" s="609">
        <v>0</v>
      </c>
      <c r="E105" s="609">
        <v>0</v>
      </c>
      <c r="F105" s="609">
        <v>0</v>
      </c>
      <c r="G105" s="609">
        <v>0</v>
      </c>
      <c r="H105" s="585">
        <v>0</v>
      </c>
      <c r="I105" s="609">
        <v>0</v>
      </c>
      <c r="J105" s="609">
        <v>0</v>
      </c>
      <c r="K105" s="609">
        <v>0</v>
      </c>
      <c r="L105" s="609">
        <v>0</v>
      </c>
      <c r="M105" s="609">
        <v>0</v>
      </c>
      <c r="N105" s="609">
        <v>0</v>
      </c>
      <c r="O105" s="609">
        <v>0</v>
      </c>
      <c r="P105" s="609">
        <v>0</v>
      </c>
      <c r="Q105" s="609">
        <v>0</v>
      </c>
      <c r="R105" s="609">
        <v>0</v>
      </c>
      <c r="S105" s="609">
        <v>0</v>
      </c>
      <c r="T105" s="609">
        <v>0</v>
      </c>
      <c r="U105" s="609">
        <v>0</v>
      </c>
      <c r="V105" s="609">
        <v>0</v>
      </c>
      <c r="W105" s="609">
        <v>0</v>
      </c>
      <c r="X105" s="609">
        <v>0</v>
      </c>
      <c r="Y105" s="609">
        <v>0</v>
      </c>
      <c r="Z105" s="609">
        <v>0</v>
      </c>
      <c r="AA105" s="609">
        <v>0</v>
      </c>
      <c r="AB105" s="609">
        <v>0</v>
      </c>
      <c r="AC105" s="609">
        <v>0</v>
      </c>
      <c r="AD105" s="609">
        <v>0</v>
      </c>
      <c r="AE105" s="609">
        <v>0</v>
      </c>
      <c r="AF105" s="609">
        <v>0</v>
      </c>
      <c r="AG105" s="609">
        <v>0</v>
      </c>
      <c r="AH105" s="609">
        <v>0</v>
      </c>
      <c r="AI105" s="609">
        <v>0</v>
      </c>
      <c r="AJ105" s="609">
        <v>0</v>
      </c>
      <c r="AK105" s="609">
        <v>0</v>
      </c>
      <c r="AL105" s="609">
        <v>0</v>
      </c>
      <c r="AM105" s="609">
        <v>0</v>
      </c>
      <c r="AN105" s="609">
        <v>0</v>
      </c>
      <c r="AO105" s="609">
        <v>0</v>
      </c>
      <c r="AP105" s="609">
        <v>158993</v>
      </c>
      <c r="AQ105" s="609">
        <v>0</v>
      </c>
      <c r="AR105" s="609">
        <v>0</v>
      </c>
      <c r="AS105" s="609">
        <v>0</v>
      </c>
      <c r="AT105" s="609">
        <v>0</v>
      </c>
      <c r="AU105" s="609">
        <v>0</v>
      </c>
      <c r="AV105" s="609">
        <v>0</v>
      </c>
      <c r="AW105" s="615">
        <v>0</v>
      </c>
      <c r="AX105" s="615">
        <v>0</v>
      </c>
      <c r="AY105" s="615">
        <v>0</v>
      </c>
      <c r="AZ105" s="615">
        <v>0</v>
      </c>
      <c r="BA105" s="615">
        <v>0</v>
      </c>
      <c r="BB105" s="615">
        <v>0</v>
      </c>
      <c r="BC105" s="615">
        <v>0</v>
      </c>
      <c r="BD105" s="615">
        <v>0</v>
      </c>
      <c r="BE105" s="615">
        <v>0</v>
      </c>
      <c r="BF105" s="615">
        <v>0</v>
      </c>
      <c r="BG105" s="615">
        <v>0</v>
      </c>
      <c r="BH105" s="615">
        <v>0</v>
      </c>
      <c r="BI105" s="615">
        <v>0</v>
      </c>
      <c r="BJ105" s="615">
        <v>0</v>
      </c>
      <c r="BK105" s="615">
        <v>0</v>
      </c>
      <c r="BL105" s="615">
        <v>0</v>
      </c>
      <c r="BM105" s="615">
        <v>0</v>
      </c>
      <c r="BN105" s="615">
        <v>0</v>
      </c>
      <c r="BO105" s="615">
        <v>0</v>
      </c>
      <c r="BP105" s="615">
        <v>0</v>
      </c>
      <c r="BQ105" s="615">
        <v>0</v>
      </c>
      <c r="BR105" s="615">
        <v>0</v>
      </c>
      <c r="BS105" s="615">
        <v>0</v>
      </c>
      <c r="BT105" s="615">
        <v>0</v>
      </c>
      <c r="BU105" s="615">
        <v>0</v>
      </c>
      <c r="BV105" s="615">
        <v>0</v>
      </c>
      <c r="BW105" s="615">
        <v>0</v>
      </c>
      <c r="BX105" s="607">
        <f t="shared" si="1"/>
        <v>158993</v>
      </c>
    </row>
    <row r="106" spans="1:76" s="612" customFormat="1" ht="11.25" customHeight="1" x14ac:dyDescent="0.2">
      <c r="A106" s="905"/>
      <c r="B106" s="610" t="s">
        <v>2533</v>
      </c>
      <c r="C106" s="634" t="s">
        <v>1855</v>
      </c>
      <c r="D106" s="609">
        <v>0</v>
      </c>
      <c r="E106" s="609">
        <v>0</v>
      </c>
      <c r="F106" s="609">
        <v>0</v>
      </c>
      <c r="G106" s="609">
        <v>0</v>
      </c>
      <c r="H106" s="585">
        <v>0</v>
      </c>
      <c r="I106" s="609">
        <v>0</v>
      </c>
      <c r="J106" s="609">
        <v>0</v>
      </c>
      <c r="K106" s="609">
        <v>0</v>
      </c>
      <c r="L106" s="609">
        <v>0</v>
      </c>
      <c r="M106" s="609">
        <v>0</v>
      </c>
      <c r="N106" s="609">
        <v>0</v>
      </c>
      <c r="O106" s="609">
        <v>0</v>
      </c>
      <c r="P106" s="609">
        <v>0</v>
      </c>
      <c r="Q106" s="609">
        <v>0</v>
      </c>
      <c r="R106" s="609">
        <v>0</v>
      </c>
      <c r="S106" s="609">
        <v>0</v>
      </c>
      <c r="T106" s="609">
        <v>0</v>
      </c>
      <c r="U106" s="609">
        <v>0</v>
      </c>
      <c r="V106" s="609">
        <v>0</v>
      </c>
      <c r="W106" s="609">
        <v>0</v>
      </c>
      <c r="X106" s="609">
        <v>0</v>
      </c>
      <c r="Y106" s="609">
        <v>0</v>
      </c>
      <c r="Z106" s="609">
        <v>0</v>
      </c>
      <c r="AA106" s="609">
        <v>0</v>
      </c>
      <c r="AB106" s="609">
        <v>0</v>
      </c>
      <c r="AC106" s="609">
        <v>0</v>
      </c>
      <c r="AD106" s="609">
        <v>0</v>
      </c>
      <c r="AE106" s="609">
        <v>0</v>
      </c>
      <c r="AF106" s="609">
        <v>0</v>
      </c>
      <c r="AG106" s="609">
        <v>0</v>
      </c>
      <c r="AH106" s="609">
        <v>0</v>
      </c>
      <c r="AI106" s="609">
        <v>0</v>
      </c>
      <c r="AJ106" s="609">
        <v>0</v>
      </c>
      <c r="AK106" s="609">
        <v>0</v>
      </c>
      <c r="AL106" s="609">
        <v>0</v>
      </c>
      <c r="AM106" s="609">
        <v>0</v>
      </c>
      <c r="AN106" s="609">
        <v>0</v>
      </c>
      <c r="AO106" s="609">
        <v>0</v>
      </c>
      <c r="AP106" s="609">
        <v>0</v>
      </c>
      <c r="AQ106" s="609">
        <v>0</v>
      </c>
      <c r="AR106" s="609">
        <v>0</v>
      </c>
      <c r="AS106" s="609">
        <v>0</v>
      </c>
      <c r="AT106" s="609">
        <v>0</v>
      </c>
      <c r="AU106" s="609">
        <v>0</v>
      </c>
      <c r="AV106" s="609">
        <v>0</v>
      </c>
      <c r="AW106" s="615">
        <v>0</v>
      </c>
      <c r="AX106" s="615">
        <v>0</v>
      </c>
      <c r="AY106" s="615">
        <v>0</v>
      </c>
      <c r="AZ106" s="615">
        <v>0</v>
      </c>
      <c r="BA106" s="615">
        <v>0</v>
      </c>
      <c r="BB106" s="615">
        <v>0</v>
      </c>
      <c r="BC106" s="615">
        <v>0</v>
      </c>
      <c r="BD106" s="615">
        <v>0</v>
      </c>
      <c r="BE106" s="615">
        <v>0</v>
      </c>
      <c r="BF106" s="615">
        <v>0</v>
      </c>
      <c r="BG106" s="615">
        <v>0</v>
      </c>
      <c r="BH106" s="615">
        <v>0</v>
      </c>
      <c r="BI106" s="615">
        <v>0</v>
      </c>
      <c r="BJ106" s="615">
        <v>0</v>
      </c>
      <c r="BK106" s="615">
        <v>0</v>
      </c>
      <c r="BL106" s="615">
        <v>0</v>
      </c>
      <c r="BM106" s="615">
        <v>0</v>
      </c>
      <c r="BN106" s="615">
        <v>0</v>
      </c>
      <c r="BO106" s="615">
        <v>0</v>
      </c>
      <c r="BP106" s="615">
        <v>0</v>
      </c>
      <c r="BQ106" s="615">
        <v>0</v>
      </c>
      <c r="BR106" s="615">
        <v>0</v>
      </c>
      <c r="BS106" s="615">
        <v>0</v>
      </c>
      <c r="BT106" s="615">
        <v>0</v>
      </c>
      <c r="BU106" s="615">
        <v>0</v>
      </c>
      <c r="BV106" s="615">
        <v>0</v>
      </c>
      <c r="BW106" s="615">
        <v>0</v>
      </c>
      <c r="BX106" s="607">
        <f t="shared" si="1"/>
        <v>0</v>
      </c>
    </row>
    <row r="107" spans="1:76" s="612" customFormat="1" ht="11.25" customHeight="1" x14ac:dyDescent="0.2">
      <c r="A107" s="905"/>
      <c r="B107" s="610" t="s">
        <v>1705</v>
      </c>
      <c r="C107" s="634" t="s">
        <v>1856</v>
      </c>
      <c r="D107" s="609">
        <v>0</v>
      </c>
      <c r="E107" s="609">
        <v>0</v>
      </c>
      <c r="F107" s="609">
        <v>0</v>
      </c>
      <c r="G107" s="609">
        <v>0</v>
      </c>
      <c r="H107" s="585">
        <v>0</v>
      </c>
      <c r="I107" s="609" t="s">
        <v>1128</v>
      </c>
      <c r="J107" s="609" t="s">
        <v>1128</v>
      </c>
      <c r="K107" s="609" t="s">
        <v>1128</v>
      </c>
      <c r="L107" s="609">
        <v>0</v>
      </c>
      <c r="M107" s="609">
        <v>0</v>
      </c>
      <c r="N107" s="609">
        <v>0</v>
      </c>
      <c r="O107" s="609">
        <v>0</v>
      </c>
      <c r="P107" s="609">
        <v>0</v>
      </c>
      <c r="Q107" s="609">
        <v>0</v>
      </c>
      <c r="R107" s="609">
        <v>0</v>
      </c>
      <c r="S107" s="609">
        <v>0</v>
      </c>
      <c r="T107" s="609">
        <v>0</v>
      </c>
      <c r="U107" s="609">
        <v>0</v>
      </c>
      <c r="V107" s="609">
        <v>0</v>
      </c>
      <c r="W107" s="609">
        <v>0</v>
      </c>
      <c r="X107" s="609">
        <v>0</v>
      </c>
      <c r="Y107" s="609">
        <v>0</v>
      </c>
      <c r="Z107" s="609">
        <v>0</v>
      </c>
      <c r="AA107" s="609">
        <v>0</v>
      </c>
      <c r="AB107" s="609">
        <v>0</v>
      </c>
      <c r="AC107" s="609">
        <v>0</v>
      </c>
      <c r="AD107" s="609">
        <v>0</v>
      </c>
      <c r="AE107" s="609">
        <v>0</v>
      </c>
      <c r="AF107" s="609">
        <v>0</v>
      </c>
      <c r="AG107" s="609">
        <v>0</v>
      </c>
      <c r="AH107" s="609">
        <v>0</v>
      </c>
      <c r="AI107" s="609">
        <v>0</v>
      </c>
      <c r="AJ107" s="609">
        <v>0</v>
      </c>
      <c r="AK107" s="609">
        <v>0</v>
      </c>
      <c r="AL107" s="609">
        <v>0</v>
      </c>
      <c r="AM107" s="609">
        <v>0</v>
      </c>
      <c r="AN107" s="609">
        <v>0</v>
      </c>
      <c r="AO107" s="609">
        <v>0</v>
      </c>
      <c r="AP107" s="609">
        <v>0</v>
      </c>
      <c r="AQ107" s="609">
        <v>0</v>
      </c>
      <c r="AR107" s="609">
        <v>0</v>
      </c>
      <c r="AS107" s="609">
        <v>0</v>
      </c>
      <c r="AT107" s="609">
        <v>0</v>
      </c>
      <c r="AU107" s="609">
        <v>0</v>
      </c>
      <c r="AV107" s="609">
        <v>0</v>
      </c>
      <c r="AW107" s="615">
        <v>0</v>
      </c>
      <c r="AX107" s="615">
        <v>0</v>
      </c>
      <c r="AY107" s="615">
        <v>0</v>
      </c>
      <c r="AZ107" s="615">
        <v>0</v>
      </c>
      <c r="BA107" s="615">
        <v>0</v>
      </c>
      <c r="BB107" s="615">
        <v>0</v>
      </c>
      <c r="BC107" s="615">
        <v>0</v>
      </c>
      <c r="BD107" s="615">
        <v>0</v>
      </c>
      <c r="BE107" s="615">
        <v>0</v>
      </c>
      <c r="BF107" s="615">
        <v>0</v>
      </c>
      <c r="BG107" s="615">
        <v>0</v>
      </c>
      <c r="BH107" s="615">
        <v>0</v>
      </c>
      <c r="BI107" s="615">
        <v>0</v>
      </c>
      <c r="BJ107" s="615">
        <v>0</v>
      </c>
      <c r="BK107" s="615">
        <v>0</v>
      </c>
      <c r="BL107" s="615">
        <v>0</v>
      </c>
      <c r="BM107" s="615">
        <v>0</v>
      </c>
      <c r="BN107" s="615">
        <v>0</v>
      </c>
      <c r="BO107" s="615">
        <v>0</v>
      </c>
      <c r="BP107" s="615">
        <v>0</v>
      </c>
      <c r="BQ107" s="615">
        <v>0</v>
      </c>
      <c r="BR107" s="615">
        <v>0</v>
      </c>
      <c r="BS107" s="615">
        <v>0</v>
      </c>
      <c r="BT107" s="615">
        <v>0</v>
      </c>
      <c r="BU107" s="615">
        <v>0</v>
      </c>
      <c r="BV107" s="615">
        <v>0</v>
      </c>
      <c r="BW107" s="615">
        <v>0</v>
      </c>
      <c r="BX107" s="607">
        <f t="shared" si="1"/>
        <v>0</v>
      </c>
    </row>
    <row r="108" spans="1:76" s="612" customFormat="1" ht="11.25" customHeight="1" x14ac:dyDescent="0.2">
      <c r="A108" s="905"/>
      <c r="B108" s="610" t="s">
        <v>1611</v>
      </c>
      <c r="C108" s="634" t="s">
        <v>1857</v>
      </c>
      <c r="D108" s="609">
        <v>0</v>
      </c>
      <c r="E108" s="609">
        <v>0</v>
      </c>
      <c r="F108" s="609">
        <v>0</v>
      </c>
      <c r="G108" s="609">
        <v>0</v>
      </c>
      <c r="H108" s="585">
        <v>0</v>
      </c>
      <c r="I108" s="609">
        <v>0</v>
      </c>
      <c r="J108" s="609">
        <v>0</v>
      </c>
      <c r="K108" s="609">
        <v>0</v>
      </c>
      <c r="L108" s="609">
        <v>0</v>
      </c>
      <c r="M108" s="609">
        <v>0</v>
      </c>
      <c r="N108" s="609">
        <v>0</v>
      </c>
      <c r="O108" s="609">
        <v>0</v>
      </c>
      <c r="P108" s="609">
        <v>0</v>
      </c>
      <c r="Q108" s="609">
        <v>0</v>
      </c>
      <c r="R108" s="609">
        <v>0</v>
      </c>
      <c r="S108" s="609">
        <v>0</v>
      </c>
      <c r="T108" s="609">
        <v>0</v>
      </c>
      <c r="U108" s="609">
        <v>0</v>
      </c>
      <c r="V108" s="609">
        <v>0</v>
      </c>
      <c r="W108" s="609">
        <v>0</v>
      </c>
      <c r="X108" s="609">
        <v>0</v>
      </c>
      <c r="Y108" s="609">
        <v>0</v>
      </c>
      <c r="Z108" s="609">
        <v>0</v>
      </c>
      <c r="AA108" s="609">
        <v>0</v>
      </c>
      <c r="AB108" s="609">
        <v>0</v>
      </c>
      <c r="AC108" s="609">
        <v>0</v>
      </c>
      <c r="AD108" s="609">
        <v>0</v>
      </c>
      <c r="AE108" s="609">
        <v>0</v>
      </c>
      <c r="AF108" s="609">
        <v>0</v>
      </c>
      <c r="AG108" s="609">
        <v>0</v>
      </c>
      <c r="AH108" s="609">
        <v>0</v>
      </c>
      <c r="AI108" s="609">
        <v>0</v>
      </c>
      <c r="AJ108" s="609">
        <v>0</v>
      </c>
      <c r="AK108" s="609">
        <v>0</v>
      </c>
      <c r="AL108" s="609">
        <v>493419</v>
      </c>
      <c r="AM108" s="609">
        <v>0</v>
      </c>
      <c r="AN108" s="609">
        <v>0</v>
      </c>
      <c r="AO108" s="609">
        <v>0</v>
      </c>
      <c r="AP108" s="609">
        <v>0</v>
      </c>
      <c r="AQ108" s="609">
        <v>127338</v>
      </c>
      <c r="AR108" s="609">
        <v>0</v>
      </c>
      <c r="AS108" s="609">
        <v>0</v>
      </c>
      <c r="AT108" s="609">
        <v>0</v>
      </c>
      <c r="AU108" s="609">
        <v>0</v>
      </c>
      <c r="AV108" s="609">
        <v>0</v>
      </c>
      <c r="AW108" s="615">
        <v>0</v>
      </c>
      <c r="AX108" s="615">
        <v>0</v>
      </c>
      <c r="AY108" s="615">
        <v>0</v>
      </c>
      <c r="AZ108" s="615">
        <v>0</v>
      </c>
      <c r="BA108" s="615">
        <v>0</v>
      </c>
      <c r="BB108" s="615">
        <v>0</v>
      </c>
      <c r="BC108" s="615">
        <v>0</v>
      </c>
      <c r="BD108" s="615">
        <v>0</v>
      </c>
      <c r="BE108" s="615">
        <v>0</v>
      </c>
      <c r="BF108" s="615">
        <v>0</v>
      </c>
      <c r="BG108" s="615">
        <v>0</v>
      </c>
      <c r="BH108" s="615">
        <v>0</v>
      </c>
      <c r="BI108" s="615">
        <v>0</v>
      </c>
      <c r="BJ108" s="615">
        <v>0</v>
      </c>
      <c r="BK108" s="615">
        <v>0</v>
      </c>
      <c r="BL108" s="615">
        <v>0</v>
      </c>
      <c r="BM108" s="615">
        <v>0</v>
      </c>
      <c r="BN108" s="615">
        <v>0</v>
      </c>
      <c r="BO108" s="615">
        <v>0</v>
      </c>
      <c r="BP108" s="615">
        <v>0</v>
      </c>
      <c r="BQ108" s="615">
        <v>0</v>
      </c>
      <c r="BR108" s="615">
        <v>0</v>
      </c>
      <c r="BS108" s="615">
        <v>0</v>
      </c>
      <c r="BT108" s="615">
        <v>0</v>
      </c>
      <c r="BU108" s="615">
        <v>0</v>
      </c>
      <c r="BV108" s="615">
        <v>0</v>
      </c>
      <c r="BW108" s="615">
        <v>0</v>
      </c>
      <c r="BX108" s="607">
        <f t="shared" si="1"/>
        <v>620757</v>
      </c>
    </row>
    <row r="109" spans="1:76" s="612" customFormat="1" ht="11.25" customHeight="1" x14ac:dyDescent="0.2">
      <c r="A109" s="905"/>
      <c r="B109" s="610" t="s">
        <v>886</v>
      </c>
      <c r="C109" s="634" t="s">
        <v>1858</v>
      </c>
      <c r="D109" s="609">
        <v>0</v>
      </c>
      <c r="E109" s="609">
        <v>0</v>
      </c>
      <c r="F109" s="609">
        <v>0</v>
      </c>
      <c r="G109" s="609">
        <v>0</v>
      </c>
      <c r="H109" s="585">
        <v>0</v>
      </c>
      <c r="I109" s="609">
        <v>0</v>
      </c>
      <c r="J109" s="609">
        <v>0</v>
      </c>
      <c r="K109" s="609">
        <v>0</v>
      </c>
      <c r="L109" s="609">
        <v>0</v>
      </c>
      <c r="M109" s="609">
        <v>0</v>
      </c>
      <c r="N109" s="609">
        <v>0</v>
      </c>
      <c r="O109" s="609">
        <v>0</v>
      </c>
      <c r="P109" s="609">
        <v>0</v>
      </c>
      <c r="Q109" s="609">
        <v>0</v>
      </c>
      <c r="R109" s="609">
        <v>0</v>
      </c>
      <c r="S109" s="609">
        <v>0</v>
      </c>
      <c r="T109" s="609">
        <v>0</v>
      </c>
      <c r="U109" s="609">
        <v>0</v>
      </c>
      <c r="V109" s="609">
        <v>0</v>
      </c>
      <c r="W109" s="609">
        <v>0</v>
      </c>
      <c r="X109" s="609">
        <v>0</v>
      </c>
      <c r="Y109" s="609">
        <v>0</v>
      </c>
      <c r="Z109" s="609">
        <v>0</v>
      </c>
      <c r="AA109" s="609">
        <v>0</v>
      </c>
      <c r="AB109" s="609">
        <v>0</v>
      </c>
      <c r="AC109" s="609">
        <v>0</v>
      </c>
      <c r="AD109" s="609">
        <v>0</v>
      </c>
      <c r="AE109" s="609">
        <v>0</v>
      </c>
      <c r="AF109" s="609">
        <v>0</v>
      </c>
      <c r="AG109" s="609">
        <v>0</v>
      </c>
      <c r="AH109" s="609">
        <v>0</v>
      </c>
      <c r="AI109" s="609">
        <v>0</v>
      </c>
      <c r="AJ109" s="609">
        <v>0</v>
      </c>
      <c r="AK109" s="609">
        <v>0</v>
      </c>
      <c r="AL109" s="609">
        <v>0</v>
      </c>
      <c r="AM109" s="609">
        <v>0</v>
      </c>
      <c r="AN109" s="609">
        <v>0</v>
      </c>
      <c r="AO109" s="609">
        <v>0</v>
      </c>
      <c r="AP109" s="609">
        <v>0</v>
      </c>
      <c r="AQ109" s="609">
        <v>0</v>
      </c>
      <c r="AR109" s="609">
        <v>0</v>
      </c>
      <c r="AS109" s="609">
        <v>0</v>
      </c>
      <c r="AT109" s="609">
        <v>0</v>
      </c>
      <c r="AU109" s="609">
        <v>0</v>
      </c>
      <c r="AV109" s="609">
        <v>0</v>
      </c>
      <c r="AW109" s="615">
        <v>0</v>
      </c>
      <c r="AX109" s="615">
        <v>0</v>
      </c>
      <c r="AY109" s="615">
        <v>0</v>
      </c>
      <c r="AZ109" s="615">
        <v>0</v>
      </c>
      <c r="BA109" s="615">
        <v>0</v>
      </c>
      <c r="BB109" s="615">
        <v>0</v>
      </c>
      <c r="BC109" s="615">
        <v>0</v>
      </c>
      <c r="BD109" s="615">
        <v>0</v>
      </c>
      <c r="BE109" s="615">
        <v>0</v>
      </c>
      <c r="BF109" s="615">
        <v>0</v>
      </c>
      <c r="BG109" s="615">
        <v>0</v>
      </c>
      <c r="BH109" s="615">
        <v>0</v>
      </c>
      <c r="BI109" s="615">
        <v>0</v>
      </c>
      <c r="BJ109" s="615">
        <v>0</v>
      </c>
      <c r="BK109" s="615">
        <v>0</v>
      </c>
      <c r="BL109" s="615">
        <v>0</v>
      </c>
      <c r="BM109" s="615">
        <v>0</v>
      </c>
      <c r="BN109" s="615">
        <v>0</v>
      </c>
      <c r="BO109" s="615">
        <v>0</v>
      </c>
      <c r="BP109" s="615">
        <v>0</v>
      </c>
      <c r="BQ109" s="615">
        <v>0</v>
      </c>
      <c r="BR109" s="615">
        <v>0</v>
      </c>
      <c r="BS109" s="615">
        <v>0</v>
      </c>
      <c r="BT109" s="615">
        <v>0</v>
      </c>
      <c r="BU109" s="615">
        <v>0</v>
      </c>
      <c r="BV109" s="615">
        <v>0</v>
      </c>
      <c r="BW109" s="615">
        <v>0</v>
      </c>
      <c r="BX109" s="607">
        <f t="shared" si="1"/>
        <v>0</v>
      </c>
    </row>
    <row r="110" spans="1:76" s="612" customFormat="1" ht="11.25" customHeight="1" x14ac:dyDescent="0.2">
      <c r="A110" s="905"/>
      <c r="B110" s="610" t="s">
        <v>3486</v>
      </c>
      <c r="C110" s="634" t="s">
        <v>1859</v>
      </c>
      <c r="D110" s="609">
        <v>0</v>
      </c>
      <c r="E110" s="609">
        <v>0</v>
      </c>
      <c r="F110" s="609">
        <v>0</v>
      </c>
      <c r="G110" s="609">
        <v>0</v>
      </c>
      <c r="H110" s="585">
        <v>0</v>
      </c>
      <c r="I110" s="609">
        <v>0</v>
      </c>
      <c r="J110" s="609">
        <v>0</v>
      </c>
      <c r="K110" s="609">
        <v>0</v>
      </c>
      <c r="L110" s="609">
        <v>0</v>
      </c>
      <c r="M110" s="609">
        <v>0</v>
      </c>
      <c r="N110" s="609">
        <v>0</v>
      </c>
      <c r="O110" s="609">
        <v>0</v>
      </c>
      <c r="P110" s="609">
        <v>0</v>
      </c>
      <c r="Q110" s="609">
        <v>0</v>
      </c>
      <c r="R110" s="609">
        <v>0</v>
      </c>
      <c r="S110" s="609">
        <v>0</v>
      </c>
      <c r="T110" s="609">
        <v>0</v>
      </c>
      <c r="U110" s="609">
        <v>0</v>
      </c>
      <c r="V110" s="609">
        <v>0</v>
      </c>
      <c r="W110" s="609">
        <v>0</v>
      </c>
      <c r="X110" s="609">
        <v>0</v>
      </c>
      <c r="Y110" s="609">
        <v>0</v>
      </c>
      <c r="Z110" s="609">
        <v>0</v>
      </c>
      <c r="AA110" s="609">
        <v>0</v>
      </c>
      <c r="AB110" s="609">
        <v>0</v>
      </c>
      <c r="AC110" s="609">
        <v>0</v>
      </c>
      <c r="AD110" s="609">
        <v>0</v>
      </c>
      <c r="AE110" s="609">
        <v>0</v>
      </c>
      <c r="AF110" s="609">
        <v>0</v>
      </c>
      <c r="AG110" s="609">
        <v>0</v>
      </c>
      <c r="AH110" s="609">
        <v>0</v>
      </c>
      <c r="AI110" s="609">
        <v>0</v>
      </c>
      <c r="AJ110" s="609">
        <v>0</v>
      </c>
      <c r="AK110" s="609">
        <v>0</v>
      </c>
      <c r="AL110" s="609">
        <v>0</v>
      </c>
      <c r="AM110" s="609">
        <v>0</v>
      </c>
      <c r="AN110" s="609">
        <v>0</v>
      </c>
      <c r="AO110" s="609">
        <v>0</v>
      </c>
      <c r="AP110" s="609">
        <v>0</v>
      </c>
      <c r="AQ110" s="609">
        <v>0</v>
      </c>
      <c r="AR110" s="609">
        <v>0</v>
      </c>
      <c r="AS110" s="609">
        <v>0</v>
      </c>
      <c r="AT110" s="609">
        <v>0</v>
      </c>
      <c r="AU110" s="609">
        <v>0</v>
      </c>
      <c r="AV110" s="609">
        <v>0</v>
      </c>
      <c r="AW110" s="615">
        <v>0</v>
      </c>
      <c r="AX110" s="615">
        <v>0</v>
      </c>
      <c r="AY110" s="615">
        <v>0</v>
      </c>
      <c r="AZ110" s="615">
        <v>0</v>
      </c>
      <c r="BA110" s="615">
        <v>0</v>
      </c>
      <c r="BB110" s="615">
        <v>0</v>
      </c>
      <c r="BC110" s="615">
        <v>0</v>
      </c>
      <c r="BD110" s="615">
        <v>0</v>
      </c>
      <c r="BE110" s="615">
        <v>0</v>
      </c>
      <c r="BF110" s="615">
        <v>0</v>
      </c>
      <c r="BG110" s="615">
        <v>0</v>
      </c>
      <c r="BH110" s="615">
        <v>0</v>
      </c>
      <c r="BI110" s="615">
        <v>0</v>
      </c>
      <c r="BJ110" s="615">
        <v>0</v>
      </c>
      <c r="BK110" s="615">
        <v>0</v>
      </c>
      <c r="BL110" s="615">
        <v>0</v>
      </c>
      <c r="BM110" s="615">
        <v>0</v>
      </c>
      <c r="BN110" s="615">
        <v>0</v>
      </c>
      <c r="BO110" s="615">
        <v>0</v>
      </c>
      <c r="BP110" s="615">
        <v>0</v>
      </c>
      <c r="BQ110" s="615">
        <v>0</v>
      </c>
      <c r="BR110" s="615">
        <v>0</v>
      </c>
      <c r="BS110" s="615">
        <v>0</v>
      </c>
      <c r="BT110" s="615">
        <v>0</v>
      </c>
      <c r="BU110" s="615">
        <v>0</v>
      </c>
      <c r="BV110" s="615">
        <v>0</v>
      </c>
      <c r="BW110" s="615">
        <v>0</v>
      </c>
      <c r="BX110" s="607">
        <f t="shared" si="1"/>
        <v>0</v>
      </c>
    </row>
    <row r="111" spans="1:76" s="612" customFormat="1" ht="11.25" customHeight="1" x14ac:dyDescent="0.2">
      <c r="A111" s="905"/>
      <c r="B111" s="610" t="s">
        <v>2606</v>
      </c>
      <c r="C111" s="634" t="s">
        <v>1860</v>
      </c>
      <c r="D111" s="609">
        <v>0</v>
      </c>
      <c r="E111" s="609">
        <v>0</v>
      </c>
      <c r="F111" s="609">
        <v>0</v>
      </c>
      <c r="G111" s="609">
        <v>0</v>
      </c>
      <c r="H111" s="585">
        <v>0</v>
      </c>
      <c r="I111" s="609">
        <v>0</v>
      </c>
      <c r="J111" s="609">
        <v>0</v>
      </c>
      <c r="K111" s="609">
        <v>0</v>
      </c>
      <c r="L111" s="609">
        <v>0</v>
      </c>
      <c r="M111" s="609">
        <v>0</v>
      </c>
      <c r="N111" s="609">
        <v>0</v>
      </c>
      <c r="O111" s="609">
        <v>0</v>
      </c>
      <c r="P111" s="609">
        <v>0</v>
      </c>
      <c r="Q111" s="609">
        <v>0</v>
      </c>
      <c r="R111" s="609">
        <v>0</v>
      </c>
      <c r="S111" s="609">
        <v>0</v>
      </c>
      <c r="T111" s="609">
        <v>0</v>
      </c>
      <c r="U111" s="609">
        <v>0</v>
      </c>
      <c r="V111" s="609">
        <v>0</v>
      </c>
      <c r="W111" s="609">
        <v>0</v>
      </c>
      <c r="X111" s="609">
        <v>0</v>
      </c>
      <c r="Y111" s="609">
        <v>0</v>
      </c>
      <c r="Z111" s="609">
        <v>0</v>
      </c>
      <c r="AA111" s="609">
        <v>0</v>
      </c>
      <c r="AB111" s="609">
        <v>0</v>
      </c>
      <c r="AC111" s="609">
        <v>0</v>
      </c>
      <c r="AD111" s="609">
        <v>0</v>
      </c>
      <c r="AE111" s="609">
        <v>0</v>
      </c>
      <c r="AF111" s="609">
        <v>0</v>
      </c>
      <c r="AG111" s="609">
        <v>0</v>
      </c>
      <c r="AH111" s="609">
        <v>0</v>
      </c>
      <c r="AI111" s="609">
        <v>0</v>
      </c>
      <c r="AJ111" s="609">
        <v>0</v>
      </c>
      <c r="AK111" s="609">
        <v>0</v>
      </c>
      <c r="AL111" s="609">
        <v>0</v>
      </c>
      <c r="AM111" s="609">
        <v>0</v>
      </c>
      <c r="AN111" s="609">
        <v>0</v>
      </c>
      <c r="AO111" s="609">
        <v>0</v>
      </c>
      <c r="AP111" s="609">
        <v>0</v>
      </c>
      <c r="AQ111" s="609">
        <v>66052</v>
      </c>
      <c r="AR111" s="609">
        <v>0</v>
      </c>
      <c r="AS111" s="609">
        <v>0</v>
      </c>
      <c r="AT111" s="609">
        <v>0</v>
      </c>
      <c r="AU111" s="609">
        <v>0</v>
      </c>
      <c r="AV111" s="609">
        <v>0</v>
      </c>
      <c r="AW111" s="615">
        <v>0</v>
      </c>
      <c r="AX111" s="615">
        <v>0</v>
      </c>
      <c r="AY111" s="615">
        <v>0</v>
      </c>
      <c r="AZ111" s="615">
        <v>0</v>
      </c>
      <c r="BA111" s="615">
        <v>0</v>
      </c>
      <c r="BB111" s="615">
        <v>0</v>
      </c>
      <c r="BC111" s="615">
        <v>0</v>
      </c>
      <c r="BD111" s="615">
        <v>0</v>
      </c>
      <c r="BE111" s="615">
        <v>0</v>
      </c>
      <c r="BF111" s="615">
        <v>0</v>
      </c>
      <c r="BG111" s="615">
        <v>0</v>
      </c>
      <c r="BH111" s="615">
        <v>0</v>
      </c>
      <c r="BI111" s="615">
        <v>0</v>
      </c>
      <c r="BJ111" s="615">
        <v>0</v>
      </c>
      <c r="BK111" s="615">
        <v>0</v>
      </c>
      <c r="BL111" s="615">
        <v>0</v>
      </c>
      <c r="BM111" s="615">
        <v>0</v>
      </c>
      <c r="BN111" s="615">
        <v>0</v>
      </c>
      <c r="BO111" s="615">
        <v>0</v>
      </c>
      <c r="BP111" s="615">
        <v>0</v>
      </c>
      <c r="BQ111" s="615">
        <v>0</v>
      </c>
      <c r="BR111" s="615">
        <v>0</v>
      </c>
      <c r="BS111" s="615">
        <v>0</v>
      </c>
      <c r="BT111" s="615">
        <v>0</v>
      </c>
      <c r="BU111" s="615">
        <v>0</v>
      </c>
      <c r="BV111" s="615">
        <v>0</v>
      </c>
      <c r="BW111" s="615">
        <v>0</v>
      </c>
      <c r="BX111" s="607">
        <f t="shared" si="1"/>
        <v>66052</v>
      </c>
    </row>
    <row r="112" spans="1:76" s="612" customFormat="1" ht="11.25" customHeight="1" x14ac:dyDescent="0.2">
      <c r="A112" s="905"/>
      <c r="B112" s="610" t="s">
        <v>1001</v>
      </c>
      <c r="C112" s="634" t="s">
        <v>1861</v>
      </c>
      <c r="D112" s="609">
        <v>0</v>
      </c>
      <c r="E112" s="609">
        <v>0</v>
      </c>
      <c r="F112" s="609">
        <v>0</v>
      </c>
      <c r="G112" s="609">
        <v>0</v>
      </c>
      <c r="H112" s="585">
        <v>0</v>
      </c>
      <c r="I112" s="609">
        <v>0</v>
      </c>
      <c r="J112" s="609">
        <v>0</v>
      </c>
      <c r="K112" s="609">
        <v>0</v>
      </c>
      <c r="L112" s="609">
        <v>0</v>
      </c>
      <c r="M112" s="609">
        <v>0</v>
      </c>
      <c r="N112" s="609">
        <v>0</v>
      </c>
      <c r="O112" s="609">
        <v>0</v>
      </c>
      <c r="P112" s="609">
        <v>0</v>
      </c>
      <c r="Q112" s="609">
        <v>0</v>
      </c>
      <c r="R112" s="609">
        <v>0</v>
      </c>
      <c r="S112" s="609">
        <v>0</v>
      </c>
      <c r="T112" s="609">
        <v>0</v>
      </c>
      <c r="U112" s="609">
        <v>0</v>
      </c>
      <c r="V112" s="609">
        <v>0</v>
      </c>
      <c r="W112" s="609">
        <v>0</v>
      </c>
      <c r="X112" s="609">
        <v>0</v>
      </c>
      <c r="Y112" s="609">
        <v>0</v>
      </c>
      <c r="Z112" s="609">
        <v>0</v>
      </c>
      <c r="AA112" s="609">
        <v>0</v>
      </c>
      <c r="AB112" s="609">
        <v>0</v>
      </c>
      <c r="AC112" s="609">
        <v>0</v>
      </c>
      <c r="AD112" s="609">
        <v>0</v>
      </c>
      <c r="AE112" s="609">
        <v>0</v>
      </c>
      <c r="AF112" s="609">
        <v>0</v>
      </c>
      <c r="AG112" s="609">
        <v>0</v>
      </c>
      <c r="AH112" s="609">
        <v>0</v>
      </c>
      <c r="AI112" s="609">
        <v>0</v>
      </c>
      <c r="AJ112" s="609">
        <v>0</v>
      </c>
      <c r="AK112" s="609">
        <v>0</v>
      </c>
      <c r="AL112" s="609">
        <v>0</v>
      </c>
      <c r="AM112" s="609">
        <v>0</v>
      </c>
      <c r="AN112" s="609">
        <v>0</v>
      </c>
      <c r="AO112" s="609">
        <v>0</v>
      </c>
      <c r="AP112" s="609">
        <v>0</v>
      </c>
      <c r="AQ112" s="609">
        <v>0</v>
      </c>
      <c r="AR112" s="609">
        <v>0</v>
      </c>
      <c r="AS112" s="609">
        <v>0</v>
      </c>
      <c r="AT112" s="609">
        <v>0</v>
      </c>
      <c r="AU112" s="609">
        <v>0</v>
      </c>
      <c r="AV112" s="609">
        <v>0</v>
      </c>
      <c r="AW112" s="615">
        <v>0</v>
      </c>
      <c r="AX112" s="615">
        <v>0</v>
      </c>
      <c r="AY112" s="615">
        <v>0</v>
      </c>
      <c r="AZ112" s="615">
        <v>0</v>
      </c>
      <c r="BA112" s="615">
        <v>0</v>
      </c>
      <c r="BB112" s="615">
        <v>0</v>
      </c>
      <c r="BC112" s="615">
        <v>0</v>
      </c>
      <c r="BD112" s="615">
        <v>0</v>
      </c>
      <c r="BE112" s="615">
        <v>0</v>
      </c>
      <c r="BF112" s="615">
        <v>0</v>
      </c>
      <c r="BG112" s="615">
        <v>0</v>
      </c>
      <c r="BH112" s="615">
        <v>0</v>
      </c>
      <c r="BI112" s="615">
        <v>0</v>
      </c>
      <c r="BJ112" s="615">
        <v>0</v>
      </c>
      <c r="BK112" s="615">
        <v>0</v>
      </c>
      <c r="BL112" s="615">
        <v>0</v>
      </c>
      <c r="BM112" s="615">
        <v>0</v>
      </c>
      <c r="BN112" s="615">
        <v>0</v>
      </c>
      <c r="BO112" s="615">
        <v>0</v>
      </c>
      <c r="BP112" s="615">
        <v>0</v>
      </c>
      <c r="BQ112" s="615">
        <v>0</v>
      </c>
      <c r="BR112" s="615">
        <v>0</v>
      </c>
      <c r="BS112" s="615">
        <v>0</v>
      </c>
      <c r="BT112" s="615">
        <v>0</v>
      </c>
      <c r="BU112" s="615">
        <v>0</v>
      </c>
      <c r="BV112" s="615">
        <v>0</v>
      </c>
      <c r="BW112" s="615">
        <v>0</v>
      </c>
      <c r="BX112" s="607">
        <f t="shared" si="1"/>
        <v>0</v>
      </c>
    </row>
    <row r="113" spans="1:76" s="612" customFormat="1" ht="11.25" customHeight="1" x14ac:dyDescent="0.2">
      <c r="A113" s="905"/>
      <c r="B113" s="610" t="s">
        <v>1641</v>
      </c>
      <c r="C113" s="634" t="s">
        <v>1862</v>
      </c>
      <c r="D113" s="609">
        <v>0</v>
      </c>
      <c r="E113" s="609">
        <v>0</v>
      </c>
      <c r="F113" s="609">
        <v>0</v>
      </c>
      <c r="G113" s="609">
        <v>0</v>
      </c>
      <c r="H113" s="585">
        <v>0</v>
      </c>
      <c r="I113" s="609">
        <v>0</v>
      </c>
      <c r="J113" s="609">
        <v>0</v>
      </c>
      <c r="K113" s="609">
        <v>0</v>
      </c>
      <c r="L113" s="609">
        <v>0</v>
      </c>
      <c r="M113" s="609">
        <v>0</v>
      </c>
      <c r="N113" s="609">
        <v>0</v>
      </c>
      <c r="O113" s="609">
        <v>0</v>
      </c>
      <c r="P113" s="609">
        <v>0</v>
      </c>
      <c r="Q113" s="609">
        <v>0</v>
      </c>
      <c r="R113" s="609">
        <v>0</v>
      </c>
      <c r="S113" s="609">
        <v>0</v>
      </c>
      <c r="T113" s="609">
        <v>0</v>
      </c>
      <c r="U113" s="609">
        <v>0</v>
      </c>
      <c r="V113" s="609">
        <v>0</v>
      </c>
      <c r="W113" s="609">
        <v>0</v>
      </c>
      <c r="X113" s="609">
        <v>0</v>
      </c>
      <c r="Y113" s="609">
        <v>0</v>
      </c>
      <c r="Z113" s="609">
        <v>0</v>
      </c>
      <c r="AA113" s="609">
        <v>0</v>
      </c>
      <c r="AB113" s="609">
        <v>0</v>
      </c>
      <c r="AC113" s="609">
        <v>0</v>
      </c>
      <c r="AD113" s="609">
        <v>0</v>
      </c>
      <c r="AE113" s="609">
        <v>0</v>
      </c>
      <c r="AF113" s="609">
        <v>0</v>
      </c>
      <c r="AG113" s="609">
        <v>0</v>
      </c>
      <c r="AH113" s="609">
        <v>0</v>
      </c>
      <c r="AI113" s="609">
        <v>0</v>
      </c>
      <c r="AJ113" s="609">
        <v>0</v>
      </c>
      <c r="AK113" s="609">
        <v>0</v>
      </c>
      <c r="AL113" s="609">
        <v>0</v>
      </c>
      <c r="AM113" s="609">
        <v>0</v>
      </c>
      <c r="AN113" s="609">
        <v>504237</v>
      </c>
      <c r="AO113" s="609">
        <v>0</v>
      </c>
      <c r="AP113" s="609">
        <v>0</v>
      </c>
      <c r="AQ113" s="609">
        <v>0</v>
      </c>
      <c r="AR113" s="609">
        <v>0</v>
      </c>
      <c r="AS113" s="609">
        <v>0</v>
      </c>
      <c r="AT113" s="609">
        <v>0</v>
      </c>
      <c r="AU113" s="609">
        <v>0</v>
      </c>
      <c r="AV113" s="609">
        <v>0</v>
      </c>
      <c r="AW113" s="615">
        <v>0</v>
      </c>
      <c r="AX113" s="615">
        <v>0</v>
      </c>
      <c r="AY113" s="615">
        <v>0</v>
      </c>
      <c r="AZ113" s="615">
        <v>0</v>
      </c>
      <c r="BA113" s="615">
        <v>0</v>
      </c>
      <c r="BB113" s="615">
        <v>0</v>
      </c>
      <c r="BC113" s="615">
        <v>0</v>
      </c>
      <c r="BD113" s="615">
        <v>0</v>
      </c>
      <c r="BE113" s="615">
        <v>0</v>
      </c>
      <c r="BF113" s="615">
        <v>0</v>
      </c>
      <c r="BG113" s="615">
        <v>0</v>
      </c>
      <c r="BH113" s="615">
        <v>0</v>
      </c>
      <c r="BI113" s="615">
        <v>0</v>
      </c>
      <c r="BJ113" s="615">
        <v>0</v>
      </c>
      <c r="BK113" s="615">
        <v>0</v>
      </c>
      <c r="BL113" s="615">
        <v>0</v>
      </c>
      <c r="BM113" s="615">
        <v>0</v>
      </c>
      <c r="BN113" s="615">
        <v>0</v>
      </c>
      <c r="BO113" s="615">
        <v>0</v>
      </c>
      <c r="BP113" s="615">
        <v>0</v>
      </c>
      <c r="BQ113" s="615">
        <v>0</v>
      </c>
      <c r="BR113" s="615">
        <v>0</v>
      </c>
      <c r="BS113" s="615">
        <v>0</v>
      </c>
      <c r="BT113" s="615">
        <v>0</v>
      </c>
      <c r="BU113" s="615">
        <v>0</v>
      </c>
      <c r="BV113" s="615">
        <v>0</v>
      </c>
      <c r="BW113" s="615">
        <v>0</v>
      </c>
      <c r="BX113" s="607">
        <f t="shared" si="1"/>
        <v>504237</v>
      </c>
    </row>
    <row r="114" spans="1:76" s="612" customFormat="1" ht="11.25" customHeight="1" x14ac:dyDescent="0.2">
      <c r="A114" s="905"/>
      <c r="B114" s="610" t="s">
        <v>888</v>
      </c>
      <c r="C114" s="634" t="s">
        <v>1863</v>
      </c>
      <c r="D114" s="609">
        <v>0</v>
      </c>
      <c r="E114" s="609">
        <v>0</v>
      </c>
      <c r="F114" s="609">
        <v>0</v>
      </c>
      <c r="G114" s="609">
        <v>0</v>
      </c>
      <c r="H114" s="585">
        <v>0</v>
      </c>
      <c r="I114" s="609">
        <v>0</v>
      </c>
      <c r="J114" s="609">
        <v>0</v>
      </c>
      <c r="K114" s="609">
        <v>0</v>
      </c>
      <c r="L114" s="609">
        <v>0</v>
      </c>
      <c r="M114" s="609">
        <v>0</v>
      </c>
      <c r="N114" s="609">
        <v>0</v>
      </c>
      <c r="O114" s="609">
        <v>0</v>
      </c>
      <c r="P114" s="609">
        <v>0</v>
      </c>
      <c r="Q114" s="609">
        <v>0</v>
      </c>
      <c r="R114" s="609">
        <v>0</v>
      </c>
      <c r="S114" s="609">
        <v>0</v>
      </c>
      <c r="T114" s="609">
        <v>0</v>
      </c>
      <c r="U114" s="609">
        <v>0</v>
      </c>
      <c r="V114" s="609">
        <v>0</v>
      </c>
      <c r="W114" s="609">
        <v>0</v>
      </c>
      <c r="X114" s="609">
        <v>0</v>
      </c>
      <c r="Y114" s="609">
        <v>0</v>
      </c>
      <c r="Z114" s="609">
        <v>0</v>
      </c>
      <c r="AA114" s="609">
        <v>0</v>
      </c>
      <c r="AB114" s="609">
        <v>0</v>
      </c>
      <c r="AC114" s="609">
        <v>0</v>
      </c>
      <c r="AD114" s="609">
        <v>0</v>
      </c>
      <c r="AE114" s="609">
        <v>0</v>
      </c>
      <c r="AF114" s="609">
        <v>0</v>
      </c>
      <c r="AG114" s="609">
        <v>0</v>
      </c>
      <c r="AH114" s="609">
        <v>0</v>
      </c>
      <c r="AI114" s="609">
        <v>0</v>
      </c>
      <c r="AJ114" s="609">
        <v>0</v>
      </c>
      <c r="AK114" s="609">
        <v>0</v>
      </c>
      <c r="AL114" s="609">
        <v>0</v>
      </c>
      <c r="AM114" s="609">
        <v>0</v>
      </c>
      <c r="AN114" s="609">
        <v>0</v>
      </c>
      <c r="AO114" s="609">
        <v>0</v>
      </c>
      <c r="AP114" s="609">
        <v>0</v>
      </c>
      <c r="AQ114" s="609">
        <v>94986</v>
      </c>
      <c r="AR114" s="609">
        <v>0</v>
      </c>
      <c r="AS114" s="609">
        <v>0</v>
      </c>
      <c r="AT114" s="609">
        <v>0</v>
      </c>
      <c r="AU114" s="609">
        <v>0</v>
      </c>
      <c r="AV114" s="609">
        <v>0</v>
      </c>
      <c r="AW114" s="615">
        <v>0</v>
      </c>
      <c r="AX114" s="615">
        <v>0</v>
      </c>
      <c r="AY114" s="615">
        <v>0</v>
      </c>
      <c r="AZ114" s="615">
        <v>0</v>
      </c>
      <c r="BA114" s="615">
        <v>0</v>
      </c>
      <c r="BB114" s="615">
        <v>0</v>
      </c>
      <c r="BC114" s="615">
        <v>0</v>
      </c>
      <c r="BD114" s="615">
        <v>0</v>
      </c>
      <c r="BE114" s="615">
        <v>0</v>
      </c>
      <c r="BF114" s="615">
        <v>0</v>
      </c>
      <c r="BG114" s="615">
        <v>0</v>
      </c>
      <c r="BH114" s="615">
        <v>0</v>
      </c>
      <c r="BI114" s="615">
        <v>0</v>
      </c>
      <c r="BJ114" s="615">
        <v>0</v>
      </c>
      <c r="BK114" s="615">
        <v>0</v>
      </c>
      <c r="BL114" s="615">
        <v>0</v>
      </c>
      <c r="BM114" s="615">
        <v>0</v>
      </c>
      <c r="BN114" s="615">
        <v>0</v>
      </c>
      <c r="BO114" s="615">
        <v>0</v>
      </c>
      <c r="BP114" s="615">
        <v>0</v>
      </c>
      <c r="BQ114" s="615">
        <v>0</v>
      </c>
      <c r="BR114" s="615">
        <v>0</v>
      </c>
      <c r="BS114" s="615">
        <v>0</v>
      </c>
      <c r="BT114" s="615">
        <v>0</v>
      </c>
      <c r="BU114" s="615">
        <v>0</v>
      </c>
      <c r="BV114" s="615">
        <v>0</v>
      </c>
      <c r="BW114" s="615">
        <v>0</v>
      </c>
      <c r="BX114" s="607">
        <f t="shared" si="1"/>
        <v>94986</v>
      </c>
    </row>
    <row r="115" spans="1:76" s="612" customFormat="1" ht="11.25" customHeight="1" x14ac:dyDescent="0.2">
      <c r="A115" s="905"/>
      <c r="B115" s="610" t="s">
        <v>1706</v>
      </c>
      <c r="C115" s="634" t="s">
        <v>1864</v>
      </c>
      <c r="D115" s="609">
        <v>0</v>
      </c>
      <c r="E115" s="609">
        <v>0</v>
      </c>
      <c r="F115" s="609">
        <v>0</v>
      </c>
      <c r="G115" s="609">
        <v>0</v>
      </c>
      <c r="H115" s="585">
        <v>0</v>
      </c>
      <c r="I115" s="609">
        <v>0</v>
      </c>
      <c r="J115" s="609">
        <v>0</v>
      </c>
      <c r="K115" s="609">
        <v>0</v>
      </c>
      <c r="L115" s="609">
        <v>0</v>
      </c>
      <c r="M115" s="609">
        <v>0</v>
      </c>
      <c r="N115" s="609">
        <v>0</v>
      </c>
      <c r="O115" s="609">
        <v>0</v>
      </c>
      <c r="P115" s="609">
        <v>0</v>
      </c>
      <c r="Q115" s="609">
        <v>0</v>
      </c>
      <c r="R115" s="609">
        <v>0</v>
      </c>
      <c r="S115" s="609">
        <v>0</v>
      </c>
      <c r="T115" s="609">
        <v>0</v>
      </c>
      <c r="U115" s="609">
        <v>0</v>
      </c>
      <c r="V115" s="609">
        <v>0</v>
      </c>
      <c r="W115" s="609">
        <v>0</v>
      </c>
      <c r="X115" s="609">
        <v>0</v>
      </c>
      <c r="Y115" s="609">
        <v>0</v>
      </c>
      <c r="Z115" s="609">
        <v>0</v>
      </c>
      <c r="AA115" s="609">
        <v>0</v>
      </c>
      <c r="AB115" s="609">
        <v>0</v>
      </c>
      <c r="AC115" s="609">
        <v>0</v>
      </c>
      <c r="AD115" s="609">
        <v>0</v>
      </c>
      <c r="AE115" s="609">
        <v>0</v>
      </c>
      <c r="AF115" s="609">
        <v>0</v>
      </c>
      <c r="AG115" s="609">
        <v>0</v>
      </c>
      <c r="AH115" s="609">
        <v>0</v>
      </c>
      <c r="AI115" s="609">
        <v>0</v>
      </c>
      <c r="AJ115" s="609">
        <v>0</v>
      </c>
      <c r="AK115" s="609">
        <v>0</v>
      </c>
      <c r="AL115" s="609">
        <v>0</v>
      </c>
      <c r="AM115" s="609">
        <v>0</v>
      </c>
      <c r="AN115" s="609">
        <v>0</v>
      </c>
      <c r="AO115" s="609">
        <v>0</v>
      </c>
      <c r="AP115" s="609">
        <v>0</v>
      </c>
      <c r="AQ115" s="609">
        <v>96616</v>
      </c>
      <c r="AR115" s="609">
        <v>0</v>
      </c>
      <c r="AS115" s="609">
        <v>0</v>
      </c>
      <c r="AT115" s="609">
        <v>0</v>
      </c>
      <c r="AU115" s="609">
        <v>0</v>
      </c>
      <c r="AV115" s="609">
        <v>0</v>
      </c>
      <c r="AW115" s="615">
        <v>0</v>
      </c>
      <c r="AX115" s="615">
        <v>0</v>
      </c>
      <c r="AY115" s="615">
        <v>0</v>
      </c>
      <c r="AZ115" s="615">
        <v>0</v>
      </c>
      <c r="BA115" s="615">
        <v>0</v>
      </c>
      <c r="BB115" s="615">
        <v>0</v>
      </c>
      <c r="BC115" s="615">
        <v>0</v>
      </c>
      <c r="BD115" s="615">
        <v>0</v>
      </c>
      <c r="BE115" s="615">
        <v>0</v>
      </c>
      <c r="BF115" s="615">
        <v>0</v>
      </c>
      <c r="BG115" s="615">
        <v>0</v>
      </c>
      <c r="BH115" s="615">
        <v>0</v>
      </c>
      <c r="BI115" s="615">
        <v>0</v>
      </c>
      <c r="BJ115" s="615">
        <v>0</v>
      </c>
      <c r="BK115" s="615">
        <v>0</v>
      </c>
      <c r="BL115" s="615">
        <v>0</v>
      </c>
      <c r="BM115" s="615">
        <v>0</v>
      </c>
      <c r="BN115" s="615">
        <v>0</v>
      </c>
      <c r="BO115" s="615">
        <v>0</v>
      </c>
      <c r="BP115" s="615">
        <v>0</v>
      </c>
      <c r="BQ115" s="615">
        <v>0</v>
      </c>
      <c r="BR115" s="615">
        <v>0</v>
      </c>
      <c r="BS115" s="615">
        <v>0</v>
      </c>
      <c r="BT115" s="615">
        <v>0</v>
      </c>
      <c r="BU115" s="615">
        <v>0</v>
      </c>
      <c r="BV115" s="615">
        <v>0</v>
      </c>
      <c r="BW115" s="615">
        <v>0</v>
      </c>
      <c r="BX115" s="607">
        <f t="shared" si="1"/>
        <v>96616</v>
      </c>
    </row>
    <row r="116" spans="1:76" s="612" customFormat="1" ht="11.25" customHeight="1" x14ac:dyDescent="0.2">
      <c r="A116" s="905"/>
      <c r="B116" s="610" t="s">
        <v>887</v>
      </c>
      <c r="C116" s="634" t="s">
        <v>1865</v>
      </c>
      <c r="D116" s="609">
        <v>0</v>
      </c>
      <c r="E116" s="609">
        <v>0</v>
      </c>
      <c r="F116" s="609">
        <v>0</v>
      </c>
      <c r="G116" s="609">
        <v>0</v>
      </c>
      <c r="H116" s="585">
        <v>0</v>
      </c>
      <c r="I116" s="609">
        <v>0</v>
      </c>
      <c r="J116" s="609">
        <v>0</v>
      </c>
      <c r="K116" s="609">
        <v>0</v>
      </c>
      <c r="L116" s="609">
        <v>0</v>
      </c>
      <c r="M116" s="609">
        <v>0</v>
      </c>
      <c r="N116" s="609">
        <v>0</v>
      </c>
      <c r="O116" s="609">
        <v>0</v>
      </c>
      <c r="P116" s="609">
        <v>0</v>
      </c>
      <c r="Q116" s="609">
        <v>0</v>
      </c>
      <c r="R116" s="609">
        <v>0</v>
      </c>
      <c r="S116" s="609">
        <v>0</v>
      </c>
      <c r="T116" s="609">
        <v>0</v>
      </c>
      <c r="U116" s="609">
        <v>0</v>
      </c>
      <c r="V116" s="609">
        <v>0</v>
      </c>
      <c r="W116" s="609">
        <v>0</v>
      </c>
      <c r="X116" s="609">
        <v>0</v>
      </c>
      <c r="Y116" s="609">
        <v>0</v>
      </c>
      <c r="Z116" s="609">
        <v>0</v>
      </c>
      <c r="AA116" s="609">
        <v>0</v>
      </c>
      <c r="AB116" s="609">
        <v>0</v>
      </c>
      <c r="AC116" s="609">
        <v>0</v>
      </c>
      <c r="AD116" s="609">
        <v>0</v>
      </c>
      <c r="AE116" s="609">
        <v>0</v>
      </c>
      <c r="AF116" s="609">
        <v>0</v>
      </c>
      <c r="AG116" s="609">
        <v>0</v>
      </c>
      <c r="AH116" s="609">
        <v>0</v>
      </c>
      <c r="AI116" s="609">
        <v>0</v>
      </c>
      <c r="AJ116" s="609">
        <v>0</v>
      </c>
      <c r="AK116" s="609">
        <v>0</v>
      </c>
      <c r="AL116" s="609">
        <v>0</v>
      </c>
      <c r="AM116" s="609">
        <v>0</v>
      </c>
      <c r="AN116" s="609">
        <v>0</v>
      </c>
      <c r="AO116" s="609">
        <v>0</v>
      </c>
      <c r="AP116" s="609">
        <v>1</v>
      </c>
      <c r="AQ116" s="609">
        <v>0</v>
      </c>
      <c r="AR116" s="609">
        <v>0</v>
      </c>
      <c r="AS116" s="609">
        <v>0</v>
      </c>
      <c r="AT116" s="609">
        <v>1227080</v>
      </c>
      <c r="AU116" s="609">
        <v>0</v>
      </c>
      <c r="AV116" s="609">
        <v>0</v>
      </c>
      <c r="AW116" s="615">
        <v>0</v>
      </c>
      <c r="AX116" s="615">
        <v>0</v>
      </c>
      <c r="AY116" s="615">
        <v>0</v>
      </c>
      <c r="AZ116" s="615">
        <v>0</v>
      </c>
      <c r="BA116" s="615">
        <v>0</v>
      </c>
      <c r="BB116" s="615">
        <v>0</v>
      </c>
      <c r="BC116" s="615">
        <v>0</v>
      </c>
      <c r="BD116" s="615">
        <v>0</v>
      </c>
      <c r="BE116" s="615">
        <v>0</v>
      </c>
      <c r="BF116" s="615">
        <v>0</v>
      </c>
      <c r="BG116" s="615">
        <v>0</v>
      </c>
      <c r="BH116" s="615">
        <v>0</v>
      </c>
      <c r="BI116" s="615">
        <v>0</v>
      </c>
      <c r="BJ116" s="615">
        <v>0</v>
      </c>
      <c r="BK116" s="615">
        <v>0</v>
      </c>
      <c r="BL116" s="615">
        <v>0</v>
      </c>
      <c r="BM116" s="615">
        <v>0</v>
      </c>
      <c r="BN116" s="615">
        <v>0</v>
      </c>
      <c r="BO116" s="615">
        <v>0</v>
      </c>
      <c r="BP116" s="615">
        <v>0</v>
      </c>
      <c r="BQ116" s="615">
        <v>0</v>
      </c>
      <c r="BR116" s="615">
        <v>0</v>
      </c>
      <c r="BS116" s="615">
        <v>0</v>
      </c>
      <c r="BT116" s="615">
        <v>0</v>
      </c>
      <c r="BU116" s="615">
        <v>0</v>
      </c>
      <c r="BV116" s="615">
        <v>0</v>
      </c>
      <c r="BW116" s="615">
        <v>0</v>
      </c>
      <c r="BX116" s="607">
        <f t="shared" si="1"/>
        <v>1227081</v>
      </c>
    </row>
    <row r="117" spans="1:76" s="612" customFormat="1" ht="11.25" customHeight="1" x14ac:dyDescent="0.2">
      <c r="A117" s="905"/>
      <c r="B117" s="610" t="s">
        <v>890</v>
      </c>
      <c r="C117" s="634" t="s">
        <v>1866</v>
      </c>
      <c r="D117" s="609">
        <v>0</v>
      </c>
      <c r="E117" s="609">
        <v>0</v>
      </c>
      <c r="F117" s="609">
        <v>0</v>
      </c>
      <c r="G117" s="609">
        <v>0</v>
      </c>
      <c r="H117" s="585">
        <v>0</v>
      </c>
      <c r="I117" s="609">
        <v>0</v>
      </c>
      <c r="J117" s="609">
        <v>0</v>
      </c>
      <c r="K117" s="609">
        <v>0</v>
      </c>
      <c r="L117" s="609">
        <v>0</v>
      </c>
      <c r="M117" s="609">
        <v>0</v>
      </c>
      <c r="N117" s="609">
        <v>0</v>
      </c>
      <c r="O117" s="609">
        <v>0</v>
      </c>
      <c r="P117" s="609">
        <v>0</v>
      </c>
      <c r="Q117" s="609">
        <v>0</v>
      </c>
      <c r="R117" s="609">
        <v>0</v>
      </c>
      <c r="S117" s="609">
        <v>0</v>
      </c>
      <c r="T117" s="609">
        <v>0</v>
      </c>
      <c r="U117" s="609">
        <v>0</v>
      </c>
      <c r="V117" s="609">
        <v>0</v>
      </c>
      <c r="W117" s="609">
        <v>0</v>
      </c>
      <c r="X117" s="609">
        <v>0</v>
      </c>
      <c r="Y117" s="609">
        <v>0</v>
      </c>
      <c r="Z117" s="609">
        <v>0</v>
      </c>
      <c r="AA117" s="609">
        <v>0</v>
      </c>
      <c r="AB117" s="609">
        <v>0</v>
      </c>
      <c r="AC117" s="609">
        <v>0</v>
      </c>
      <c r="AD117" s="609">
        <v>0</v>
      </c>
      <c r="AE117" s="609">
        <v>0</v>
      </c>
      <c r="AF117" s="609">
        <v>0</v>
      </c>
      <c r="AG117" s="609">
        <v>0</v>
      </c>
      <c r="AH117" s="609">
        <v>0</v>
      </c>
      <c r="AI117" s="609">
        <v>0</v>
      </c>
      <c r="AJ117" s="609">
        <v>0</v>
      </c>
      <c r="AK117" s="609">
        <v>0</v>
      </c>
      <c r="AL117" s="609">
        <v>0</v>
      </c>
      <c r="AM117" s="609">
        <v>0</v>
      </c>
      <c r="AN117" s="609">
        <v>0</v>
      </c>
      <c r="AO117" s="609">
        <v>0</v>
      </c>
      <c r="AP117" s="609">
        <v>0</v>
      </c>
      <c r="AQ117" s="609">
        <v>0</v>
      </c>
      <c r="AR117" s="609">
        <v>0</v>
      </c>
      <c r="AS117" s="609">
        <v>0</v>
      </c>
      <c r="AT117" s="609">
        <v>0</v>
      </c>
      <c r="AU117" s="609">
        <v>0</v>
      </c>
      <c r="AV117" s="609">
        <v>0</v>
      </c>
      <c r="AW117" s="615">
        <v>0</v>
      </c>
      <c r="AX117" s="615">
        <v>0</v>
      </c>
      <c r="AY117" s="615">
        <v>0</v>
      </c>
      <c r="AZ117" s="615">
        <v>0</v>
      </c>
      <c r="BA117" s="615">
        <v>0</v>
      </c>
      <c r="BB117" s="615">
        <v>0</v>
      </c>
      <c r="BC117" s="615">
        <v>0</v>
      </c>
      <c r="BD117" s="615">
        <v>0</v>
      </c>
      <c r="BE117" s="615">
        <v>0</v>
      </c>
      <c r="BF117" s="615">
        <v>0</v>
      </c>
      <c r="BG117" s="615">
        <v>0</v>
      </c>
      <c r="BH117" s="615">
        <v>0</v>
      </c>
      <c r="BI117" s="615">
        <v>0</v>
      </c>
      <c r="BJ117" s="615">
        <v>0</v>
      </c>
      <c r="BK117" s="615">
        <v>0</v>
      </c>
      <c r="BL117" s="615">
        <v>0</v>
      </c>
      <c r="BM117" s="615">
        <v>0</v>
      </c>
      <c r="BN117" s="615">
        <v>0</v>
      </c>
      <c r="BO117" s="615">
        <v>0</v>
      </c>
      <c r="BP117" s="615">
        <v>0</v>
      </c>
      <c r="BQ117" s="615">
        <v>0</v>
      </c>
      <c r="BR117" s="615">
        <v>0</v>
      </c>
      <c r="BS117" s="615">
        <v>0</v>
      </c>
      <c r="BT117" s="615">
        <v>0</v>
      </c>
      <c r="BU117" s="615">
        <v>0</v>
      </c>
      <c r="BV117" s="615">
        <v>0</v>
      </c>
      <c r="BW117" s="615">
        <v>0</v>
      </c>
      <c r="BX117" s="607">
        <f t="shared" si="1"/>
        <v>0</v>
      </c>
    </row>
    <row r="118" spans="1:76" s="612" customFormat="1" ht="11.25" customHeight="1" x14ac:dyDescent="0.2">
      <c r="A118" s="905"/>
      <c r="B118" s="610" t="s">
        <v>1624</v>
      </c>
      <c r="C118" s="634" t="s">
        <v>1867</v>
      </c>
      <c r="D118" s="609">
        <v>0</v>
      </c>
      <c r="E118" s="609">
        <v>0</v>
      </c>
      <c r="F118" s="609">
        <v>0</v>
      </c>
      <c r="G118" s="609">
        <v>0</v>
      </c>
      <c r="H118" s="585">
        <v>0</v>
      </c>
      <c r="I118" s="609">
        <v>0</v>
      </c>
      <c r="J118" s="609">
        <v>0</v>
      </c>
      <c r="K118" s="609">
        <v>0</v>
      </c>
      <c r="L118" s="609">
        <v>0</v>
      </c>
      <c r="M118" s="609">
        <v>0</v>
      </c>
      <c r="N118" s="609">
        <v>0</v>
      </c>
      <c r="O118" s="609">
        <v>0</v>
      </c>
      <c r="P118" s="609">
        <v>0</v>
      </c>
      <c r="Q118" s="609">
        <v>0</v>
      </c>
      <c r="R118" s="609">
        <v>0</v>
      </c>
      <c r="S118" s="609">
        <v>0</v>
      </c>
      <c r="T118" s="609">
        <v>0</v>
      </c>
      <c r="U118" s="609">
        <v>0</v>
      </c>
      <c r="V118" s="609">
        <v>0</v>
      </c>
      <c r="W118" s="609">
        <v>0</v>
      </c>
      <c r="X118" s="609">
        <v>0</v>
      </c>
      <c r="Y118" s="609">
        <v>0</v>
      </c>
      <c r="Z118" s="609">
        <v>0</v>
      </c>
      <c r="AA118" s="609">
        <v>0</v>
      </c>
      <c r="AB118" s="609">
        <v>0</v>
      </c>
      <c r="AC118" s="609">
        <v>0</v>
      </c>
      <c r="AD118" s="609">
        <v>0</v>
      </c>
      <c r="AE118" s="609">
        <v>0</v>
      </c>
      <c r="AF118" s="609">
        <v>0</v>
      </c>
      <c r="AG118" s="609">
        <v>0</v>
      </c>
      <c r="AH118" s="609">
        <v>0</v>
      </c>
      <c r="AI118" s="609">
        <v>0</v>
      </c>
      <c r="AJ118" s="609">
        <v>0</v>
      </c>
      <c r="AK118" s="609">
        <v>0</v>
      </c>
      <c r="AL118" s="609">
        <v>0</v>
      </c>
      <c r="AM118" s="609">
        <v>0</v>
      </c>
      <c r="AN118" s="609">
        <v>0</v>
      </c>
      <c r="AO118" s="609">
        <v>0</v>
      </c>
      <c r="AP118" s="609">
        <v>0</v>
      </c>
      <c r="AQ118" s="609">
        <v>0</v>
      </c>
      <c r="AR118" s="609">
        <v>0</v>
      </c>
      <c r="AS118" s="609">
        <v>0</v>
      </c>
      <c r="AT118" s="609">
        <v>0</v>
      </c>
      <c r="AU118" s="609">
        <v>0</v>
      </c>
      <c r="AV118" s="609">
        <v>0</v>
      </c>
      <c r="AW118" s="615">
        <v>0</v>
      </c>
      <c r="AX118" s="615">
        <v>0</v>
      </c>
      <c r="AY118" s="615">
        <v>0</v>
      </c>
      <c r="AZ118" s="615">
        <v>0</v>
      </c>
      <c r="BA118" s="615">
        <v>0</v>
      </c>
      <c r="BB118" s="615">
        <v>0</v>
      </c>
      <c r="BC118" s="615">
        <v>0</v>
      </c>
      <c r="BD118" s="615">
        <v>0</v>
      </c>
      <c r="BE118" s="615">
        <v>0</v>
      </c>
      <c r="BF118" s="615">
        <v>0</v>
      </c>
      <c r="BG118" s="615">
        <v>0</v>
      </c>
      <c r="BH118" s="615">
        <v>0</v>
      </c>
      <c r="BI118" s="615">
        <v>0</v>
      </c>
      <c r="BJ118" s="615">
        <v>0</v>
      </c>
      <c r="BK118" s="615">
        <v>0</v>
      </c>
      <c r="BL118" s="615">
        <v>0</v>
      </c>
      <c r="BM118" s="615">
        <v>0</v>
      </c>
      <c r="BN118" s="615">
        <v>0</v>
      </c>
      <c r="BO118" s="615">
        <v>0</v>
      </c>
      <c r="BP118" s="615">
        <v>0</v>
      </c>
      <c r="BQ118" s="615">
        <v>0</v>
      </c>
      <c r="BR118" s="615">
        <v>0</v>
      </c>
      <c r="BS118" s="615">
        <v>0</v>
      </c>
      <c r="BT118" s="615">
        <v>0</v>
      </c>
      <c r="BU118" s="615">
        <v>0</v>
      </c>
      <c r="BV118" s="615">
        <v>0</v>
      </c>
      <c r="BW118" s="615">
        <v>0</v>
      </c>
      <c r="BX118" s="607">
        <f t="shared" si="1"/>
        <v>0</v>
      </c>
    </row>
    <row r="119" spans="1:76" s="612" customFormat="1" ht="11.25" customHeight="1" x14ac:dyDescent="0.2">
      <c r="A119" s="905"/>
      <c r="B119" s="610" t="s">
        <v>889</v>
      </c>
      <c r="C119" s="634" t="s">
        <v>1868</v>
      </c>
      <c r="D119" s="609">
        <v>0</v>
      </c>
      <c r="E119" s="609">
        <v>0</v>
      </c>
      <c r="F119" s="609">
        <v>0</v>
      </c>
      <c r="G119" s="609">
        <v>0</v>
      </c>
      <c r="H119" s="585">
        <v>0</v>
      </c>
      <c r="I119" s="609">
        <v>0</v>
      </c>
      <c r="J119" s="609">
        <v>0</v>
      </c>
      <c r="K119" s="609">
        <v>0</v>
      </c>
      <c r="L119" s="609">
        <v>0</v>
      </c>
      <c r="M119" s="609">
        <v>0</v>
      </c>
      <c r="N119" s="609">
        <v>0</v>
      </c>
      <c r="O119" s="609">
        <v>0</v>
      </c>
      <c r="P119" s="609">
        <v>0</v>
      </c>
      <c r="Q119" s="609">
        <v>0</v>
      </c>
      <c r="R119" s="609">
        <v>0</v>
      </c>
      <c r="S119" s="609">
        <v>0</v>
      </c>
      <c r="T119" s="609">
        <v>0</v>
      </c>
      <c r="U119" s="609">
        <v>0</v>
      </c>
      <c r="V119" s="609">
        <v>0</v>
      </c>
      <c r="W119" s="609">
        <v>0</v>
      </c>
      <c r="X119" s="609">
        <v>0</v>
      </c>
      <c r="Y119" s="609">
        <v>0</v>
      </c>
      <c r="Z119" s="609">
        <v>0</v>
      </c>
      <c r="AA119" s="609">
        <v>0</v>
      </c>
      <c r="AB119" s="609">
        <v>0</v>
      </c>
      <c r="AC119" s="609">
        <v>0</v>
      </c>
      <c r="AD119" s="609">
        <v>0</v>
      </c>
      <c r="AE119" s="609">
        <v>0</v>
      </c>
      <c r="AF119" s="609">
        <v>0</v>
      </c>
      <c r="AG119" s="609">
        <v>0</v>
      </c>
      <c r="AH119" s="609">
        <v>0</v>
      </c>
      <c r="AI119" s="609">
        <v>0</v>
      </c>
      <c r="AJ119" s="609">
        <v>0</v>
      </c>
      <c r="AK119" s="609">
        <v>0</v>
      </c>
      <c r="AL119" s="609">
        <v>0</v>
      </c>
      <c r="AM119" s="609">
        <v>0</v>
      </c>
      <c r="AN119" s="609">
        <v>0</v>
      </c>
      <c r="AO119" s="609">
        <v>0</v>
      </c>
      <c r="AP119" s="609">
        <v>0</v>
      </c>
      <c r="AQ119" s="609">
        <v>0</v>
      </c>
      <c r="AR119" s="609">
        <v>0</v>
      </c>
      <c r="AS119" s="609">
        <v>0</v>
      </c>
      <c r="AT119" s="609">
        <v>0</v>
      </c>
      <c r="AU119" s="609">
        <v>0</v>
      </c>
      <c r="AV119" s="609">
        <v>0</v>
      </c>
      <c r="AW119" s="615">
        <v>0</v>
      </c>
      <c r="AX119" s="615">
        <v>0</v>
      </c>
      <c r="AY119" s="615">
        <v>0</v>
      </c>
      <c r="AZ119" s="615">
        <v>0</v>
      </c>
      <c r="BA119" s="615">
        <v>0</v>
      </c>
      <c r="BB119" s="615">
        <v>0</v>
      </c>
      <c r="BC119" s="615">
        <v>0</v>
      </c>
      <c r="BD119" s="615">
        <v>0</v>
      </c>
      <c r="BE119" s="615">
        <v>0</v>
      </c>
      <c r="BF119" s="615">
        <v>0</v>
      </c>
      <c r="BG119" s="615">
        <v>0</v>
      </c>
      <c r="BH119" s="615">
        <v>0</v>
      </c>
      <c r="BI119" s="615">
        <v>0</v>
      </c>
      <c r="BJ119" s="615">
        <v>0</v>
      </c>
      <c r="BK119" s="615">
        <v>0</v>
      </c>
      <c r="BL119" s="615">
        <v>0</v>
      </c>
      <c r="BM119" s="615">
        <v>0</v>
      </c>
      <c r="BN119" s="615">
        <v>0</v>
      </c>
      <c r="BO119" s="615">
        <v>0</v>
      </c>
      <c r="BP119" s="615">
        <v>0</v>
      </c>
      <c r="BQ119" s="615">
        <v>0</v>
      </c>
      <c r="BR119" s="615">
        <v>0</v>
      </c>
      <c r="BS119" s="615">
        <v>0</v>
      </c>
      <c r="BT119" s="615">
        <v>0</v>
      </c>
      <c r="BU119" s="615">
        <v>0</v>
      </c>
      <c r="BV119" s="615">
        <v>0</v>
      </c>
      <c r="BW119" s="615">
        <v>0</v>
      </c>
      <c r="BX119" s="607">
        <f t="shared" si="1"/>
        <v>0</v>
      </c>
    </row>
    <row r="120" spans="1:76" s="612" customFormat="1" ht="11.25" customHeight="1" x14ac:dyDescent="0.2">
      <c r="A120" s="905"/>
      <c r="B120" s="610" t="s">
        <v>1707</v>
      </c>
      <c r="C120" s="634" t="s">
        <v>1869</v>
      </c>
      <c r="D120" s="609">
        <v>0</v>
      </c>
      <c r="E120" s="609">
        <v>0</v>
      </c>
      <c r="F120" s="609">
        <v>0</v>
      </c>
      <c r="G120" s="609">
        <v>0</v>
      </c>
      <c r="H120" s="585">
        <v>0</v>
      </c>
      <c r="I120" s="609">
        <v>0</v>
      </c>
      <c r="J120" s="609">
        <v>0</v>
      </c>
      <c r="K120" s="609">
        <v>0</v>
      </c>
      <c r="L120" s="609">
        <v>0</v>
      </c>
      <c r="M120" s="609">
        <v>0</v>
      </c>
      <c r="N120" s="609">
        <v>0</v>
      </c>
      <c r="O120" s="609">
        <v>0</v>
      </c>
      <c r="P120" s="609">
        <v>0</v>
      </c>
      <c r="Q120" s="609">
        <v>0</v>
      </c>
      <c r="R120" s="609">
        <v>0</v>
      </c>
      <c r="S120" s="609">
        <v>0</v>
      </c>
      <c r="T120" s="609">
        <v>0</v>
      </c>
      <c r="U120" s="609">
        <v>0</v>
      </c>
      <c r="V120" s="609">
        <v>0</v>
      </c>
      <c r="W120" s="609">
        <v>0</v>
      </c>
      <c r="X120" s="609">
        <v>0</v>
      </c>
      <c r="Y120" s="609">
        <v>0</v>
      </c>
      <c r="Z120" s="609">
        <v>0</v>
      </c>
      <c r="AA120" s="609">
        <v>0</v>
      </c>
      <c r="AB120" s="609">
        <v>0</v>
      </c>
      <c r="AC120" s="609">
        <v>0</v>
      </c>
      <c r="AD120" s="609">
        <v>0</v>
      </c>
      <c r="AE120" s="609">
        <v>0</v>
      </c>
      <c r="AF120" s="609">
        <v>0</v>
      </c>
      <c r="AG120" s="609">
        <v>0</v>
      </c>
      <c r="AH120" s="609">
        <v>0</v>
      </c>
      <c r="AI120" s="609">
        <v>0</v>
      </c>
      <c r="AJ120" s="609">
        <v>0</v>
      </c>
      <c r="AK120" s="609">
        <v>0</v>
      </c>
      <c r="AL120" s="609">
        <v>0</v>
      </c>
      <c r="AM120" s="609">
        <v>0</v>
      </c>
      <c r="AN120" s="609">
        <v>0</v>
      </c>
      <c r="AO120" s="609">
        <v>0</v>
      </c>
      <c r="AP120" s="609">
        <v>0</v>
      </c>
      <c r="AQ120" s="609">
        <v>0</v>
      </c>
      <c r="AR120" s="609">
        <v>0</v>
      </c>
      <c r="AS120" s="609">
        <v>0</v>
      </c>
      <c r="AT120" s="609">
        <v>0</v>
      </c>
      <c r="AU120" s="609">
        <v>0</v>
      </c>
      <c r="AV120" s="609">
        <v>0</v>
      </c>
      <c r="AW120" s="615">
        <v>0</v>
      </c>
      <c r="AX120" s="615">
        <v>0</v>
      </c>
      <c r="AY120" s="615">
        <v>0</v>
      </c>
      <c r="AZ120" s="615">
        <v>0</v>
      </c>
      <c r="BA120" s="615">
        <v>0</v>
      </c>
      <c r="BB120" s="615">
        <v>0</v>
      </c>
      <c r="BC120" s="615">
        <v>0</v>
      </c>
      <c r="BD120" s="615">
        <v>0</v>
      </c>
      <c r="BE120" s="615">
        <v>0</v>
      </c>
      <c r="BF120" s="615">
        <v>0</v>
      </c>
      <c r="BG120" s="615">
        <v>0</v>
      </c>
      <c r="BH120" s="615">
        <v>0</v>
      </c>
      <c r="BI120" s="615">
        <v>0</v>
      </c>
      <c r="BJ120" s="615">
        <v>0</v>
      </c>
      <c r="BK120" s="615">
        <v>0</v>
      </c>
      <c r="BL120" s="615">
        <v>0</v>
      </c>
      <c r="BM120" s="615">
        <v>0</v>
      </c>
      <c r="BN120" s="615">
        <v>0</v>
      </c>
      <c r="BO120" s="615">
        <v>0</v>
      </c>
      <c r="BP120" s="615">
        <v>0</v>
      </c>
      <c r="BQ120" s="615">
        <v>0</v>
      </c>
      <c r="BR120" s="615">
        <v>0</v>
      </c>
      <c r="BS120" s="615">
        <v>0</v>
      </c>
      <c r="BT120" s="615">
        <v>0</v>
      </c>
      <c r="BU120" s="615">
        <v>0</v>
      </c>
      <c r="BV120" s="615">
        <v>0</v>
      </c>
      <c r="BW120" s="615">
        <v>0</v>
      </c>
      <c r="BX120" s="607">
        <f t="shared" si="1"/>
        <v>0</v>
      </c>
    </row>
    <row r="121" spans="1:76" s="612" customFormat="1" ht="11.25" customHeight="1" x14ac:dyDescent="0.2">
      <c r="A121" s="905"/>
      <c r="B121" s="610" t="s">
        <v>891</v>
      </c>
      <c r="C121" s="634" t="s">
        <v>1870</v>
      </c>
      <c r="D121" s="609">
        <v>0</v>
      </c>
      <c r="E121" s="609">
        <v>0</v>
      </c>
      <c r="F121" s="609">
        <v>0</v>
      </c>
      <c r="G121" s="609">
        <v>0</v>
      </c>
      <c r="H121" s="585">
        <v>0</v>
      </c>
      <c r="I121" s="609">
        <v>0</v>
      </c>
      <c r="J121" s="609">
        <v>0</v>
      </c>
      <c r="K121" s="609">
        <v>0</v>
      </c>
      <c r="L121" s="609">
        <v>0</v>
      </c>
      <c r="M121" s="609">
        <v>0</v>
      </c>
      <c r="N121" s="609">
        <v>0</v>
      </c>
      <c r="O121" s="609">
        <v>0</v>
      </c>
      <c r="P121" s="609">
        <v>0</v>
      </c>
      <c r="Q121" s="609">
        <v>0</v>
      </c>
      <c r="R121" s="609">
        <v>0</v>
      </c>
      <c r="S121" s="609">
        <v>0</v>
      </c>
      <c r="T121" s="609">
        <v>0</v>
      </c>
      <c r="U121" s="609">
        <v>0</v>
      </c>
      <c r="V121" s="609">
        <v>0</v>
      </c>
      <c r="W121" s="609">
        <v>0</v>
      </c>
      <c r="X121" s="609">
        <v>0</v>
      </c>
      <c r="Y121" s="609">
        <v>0</v>
      </c>
      <c r="Z121" s="609">
        <v>0</v>
      </c>
      <c r="AA121" s="609">
        <v>0</v>
      </c>
      <c r="AB121" s="609">
        <v>0</v>
      </c>
      <c r="AC121" s="609">
        <v>0</v>
      </c>
      <c r="AD121" s="609">
        <v>0</v>
      </c>
      <c r="AE121" s="609">
        <v>0</v>
      </c>
      <c r="AF121" s="609">
        <v>0</v>
      </c>
      <c r="AG121" s="609">
        <v>0</v>
      </c>
      <c r="AH121" s="609">
        <v>0</v>
      </c>
      <c r="AI121" s="609">
        <v>0</v>
      </c>
      <c r="AJ121" s="609">
        <v>0</v>
      </c>
      <c r="AK121" s="609">
        <v>0</v>
      </c>
      <c r="AL121" s="609">
        <v>0</v>
      </c>
      <c r="AM121" s="609">
        <v>0</v>
      </c>
      <c r="AN121" s="609">
        <v>0</v>
      </c>
      <c r="AO121" s="609">
        <v>0</v>
      </c>
      <c r="AP121" s="609">
        <v>0</v>
      </c>
      <c r="AQ121" s="609">
        <v>0</v>
      </c>
      <c r="AR121" s="609">
        <v>0</v>
      </c>
      <c r="AS121" s="609">
        <v>0</v>
      </c>
      <c r="AT121" s="609">
        <v>0</v>
      </c>
      <c r="AU121" s="609">
        <v>0</v>
      </c>
      <c r="AV121" s="609">
        <v>0</v>
      </c>
      <c r="AW121" s="615">
        <v>0</v>
      </c>
      <c r="AX121" s="615">
        <v>0</v>
      </c>
      <c r="AY121" s="615">
        <v>0</v>
      </c>
      <c r="AZ121" s="615">
        <v>0</v>
      </c>
      <c r="BA121" s="615">
        <v>0</v>
      </c>
      <c r="BB121" s="615">
        <v>0</v>
      </c>
      <c r="BC121" s="615">
        <v>0</v>
      </c>
      <c r="BD121" s="615">
        <v>0</v>
      </c>
      <c r="BE121" s="615">
        <v>0</v>
      </c>
      <c r="BF121" s="615">
        <v>0</v>
      </c>
      <c r="BG121" s="615">
        <v>0</v>
      </c>
      <c r="BH121" s="615">
        <v>0</v>
      </c>
      <c r="BI121" s="615">
        <v>0</v>
      </c>
      <c r="BJ121" s="615">
        <v>0</v>
      </c>
      <c r="BK121" s="615">
        <v>0</v>
      </c>
      <c r="BL121" s="615">
        <v>0</v>
      </c>
      <c r="BM121" s="615">
        <v>0</v>
      </c>
      <c r="BN121" s="615">
        <v>0</v>
      </c>
      <c r="BO121" s="615">
        <v>0</v>
      </c>
      <c r="BP121" s="615">
        <v>0</v>
      </c>
      <c r="BQ121" s="615">
        <v>0</v>
      </c>
      <c r="BR121" s="615">
        <v>0</v>
      </c>
      <c r="BS121" s="615">
        <v>0</v>
      </c>
      <c r="BT121" s="615">
        <v>0</v>
      </c>
      <c r="BU121" s="615">
        <v>0</v>
      </c>
      <c r="BV121" s="615">
        <v>0</v>
      </c>
      <c r="BW121" s="615">
        <v>0</v>
      </c>
      <c r="BX121" s="607">
        <f t="shared" si="1"/>
        <v>0</v>
      </c>
    </row>
    <row r="122" spans="1:76" s="612" customFormat="1" ht="11.25" customHeight="1" x14ac:dyDescent="0.2">
      <c r="A122" s="905"/>
      <c r="B122" s="610" t="s">
        <v>1674</v>
      </c>
      <c r="C122" s="634" t="s">
        <v>1871</v>
      </c>
      <c r="D122" s="609">
        <v>0</v>
      </c>
      <c r="E122" s="609">
        <v>0</v>
      </c>
      <c r="F122" s="609">
        <v>0</v>
      </c>
      <c r="G122" s="609">
        <v>0</v>
      </c>
      <c r="H122" s="585">
        <v>0</v>
      </c>
      <c r="I122" s="609">
        <v>0</v>
      </c>
      <c r="J122" s="609">
        <v>0</v>
      </c>
      <c r="K122" s="609">
        <v>0</v>
      </c>
      <c r="L122" s="609">
        <v>0</v>
      </c>
      <c r="M122" s="609">
        <v>0</v>
      </c>
      <c r="N122" s="609">
        <v>0</v>
      </c>
      <c r="O122" s="609">
        <v>0</v>
      </c>
      <c r="P122" s="609">
        <v>0</v>
      </c>
      <c r="Q122" s="609">
        <v>0</v>
      </c>
      <c r="R122" s="609">
        <v>0</v>
      </c>
      <c r="S122" s="609">
        <v>0</v>
      </c>
      <c r="T122" s="609">
        <v>0</v>
      </c>
      <c r="U122" s="609">
        <v>0</v>
      </c>
      <c r="V122" s="609">
        <v>0</v>
      </c>
      <c r="W122" s="609">
        <v>0</v>
      </c>
      <c r="X122" s="609">
        <v>0</v>
      </c>
      <c r="Y122" s="609">
        <v>0</v>
      </c>
      <c r="Z122" s="609">
        <v>0</v>
      </c>
      <c r="AA122" s="609">
        <v>0</v>
      </c>
      <c r="AB122" s="609">
        <v>0</v>
      </c>
      <c r="AC122" s="609">
        <v>0</v>
      </c>
      <c r="AD122" s="609">
        <v>0</v>
      </c>
      <c r="AE122" s="609">
        <v>0</v>
      </c>
      <c r="AF122" s="609">
        <v>0</v>
      </c>
      <c r="AG122" s="609">
        <v>0</v>
      </c>
      <c r="AH122" s="609">
        <v>0</v>
      </c>
      <c r="AI122" s="609">
        <v>0</v>
      </c>
      <c r="AJ122" s="609">
        <v>0</v>
      </c>
      <c r="AK122" s="609">
        <v>0</v>
      </c>
      <c r="AL122" s="609">
        <v>0</v>
      </c>
      <c r="AM122" s="609">
        <v>0</v>
      </c>
      <c r="AN122" s="609">
        <v>0</v>
      </c>
      <c r="AO122" s="609">
        <v>0</v>
      </c>
      <c r="AP122" s="609">
        <v>0</v>
      </c>
      <c r="AQ122" s="609">
        <v>0</v>
      </c>
      <c r="AR122" s="609">
        <v>0</v>
      </c>
      <c r="AS122" s="609">
        <v>0</v>
      </c>
      <c r="AT122" s="609">
        <v>0</v>
      </c>
      <c r="AU122" s="609">
        <v>0</v>
      </c>
      <c r="AV122" s="609">
        <v>0</v>
      </c>
      <c r="AW122" s="615">
        <v>0</v>
      </c>
      <c r="AX122" s="615">
        <v>0</v>
      </c>
      <c r="AY122" s="615">
        <v>0</v>
      </c>
      <c r="AZ122" s="615">
        <v>0</v>
      </c>
      <c r="BA122" s="615">
        <v>0</v>
      </c>
      <c r="BB122" s="615">
        <v>0</v>
      </c>
      <c r="BC122" s="615">
        <v>0</v>
      </c>
      <c r="BD122" s="615">
        <v>0</v>
      </c>
      <c r="BE122" s="615">
        <v>0</v>
      </c>
      <c r="BF122" s="615">
        <v>0</v>
      </c>
      <c r="BG122" s="615">
        <v>0</v>
      </c>
      <c r="BH122" s="615">
        <v>0</v>
      </c>
      <c r="BI122" s="615">
        <v>0</v>
      </c>
      <c r="BJ122" s="615">
        <v>0</v>
      </c>
      <c r="BK122" s="615">
        <v>0</v>
      </c>
      <c r="BL122" s="615">
        <v>0</v>
      </c>
      <c r="BM122" s="615">
        <v>0</v>
      </c>
      <c r="BN122" s="615">
        <v>0</v>
      </c>
      <c r="BO122" s="615">
        <v>0</v>
      </c>
      <c r="BP122" s="615">
        <v>0</v>
      </c>
      <c r="BQ122" s="615">
        <v>0</v>
      </c>
      <c r="BR122" s="615">
        <v>0</v>
      </c>
      <c r="BS122" s="615">
        <v>0</v>
      </c>
      <c r="BT122" s="615">
        <v>0</v>
      </c>
      <c r="BU122" s="615">
        <v>0</v>
      </c>
      <c r="BV122" s="615">
        <v>0</v>
      </c>
      <c r="BW122" s="615">
        <v>0</v>
      </c>
      <c r="BX122" s="607">
        <f t="shared" si="1"/>
        <v>0</v>
      </c>
    </row>
    <row r="123" spans="1:76" s="612" customFormat="1" ht="11.25" customHeight="1" x14ac:dyDescent="0.2">
      <c r="A123" s="905"/>
      <c r="B123" s="610" t="s">
        <v>1643</v>
      </c>
      <c r="C123" s="634" t="s">
        <v>1872</v>
      </c>
      <c r="D123" s="609">
        <v>0</v>
      </c>
      <c r="E123" s="609">
        <v>0</v>
      </c>
      <c r="F123" s="609">
        <v>0</v>
      </c>
      <c r="G123" s="609">
        <v>0</v>
      </c>
      <c r="H123" s="585">
        <v>0</v>
      </c>
      <c r="I123" s="609">
        <v>0</v>
      </c>
      <c r="J123" s="609">
        <v>0</v>
      </c>
      <c r="K123" s="609">
        <v>0</v>
      </c>
      <c r="L123" s="609">
        <v>0</v>
      </c>
      <c r="M123" s="609">
        <v>0</v>
      </c>
      <c r="N123" s="609">
        <v>0</v>
      </c>
      <c r="O123" s="609">
        <v>0</v>
      </c>
      <c r="P123" s="609">
        <v>0</v>
      </c>
      <c r="Q123" s="609">
        <v>0</v>
      </c>
      <c r="R123" s="609">
        <v>0</v>
      </c>
      <c r="S123" s="609">
        <v>0</v>
      </c>
      <c r="T123" s="609">
        <v>0</v>
      </c>
      <c r="U123" s="609">
        <v>0</v>
      </c>
      <c r="V123" s="609">
        <v>0</v>
      </c>
      <c r="W123" s="609">
        <v>0</v>
      </c>
      <c r="X123" s="609">
        <v>0</v>
      </c>
      <c r="Y123" s="609">
        <v>0</v>
      </c>
      <c r="Z123" s="609">
        <v>0</v>
      </c>
      <c r="AA123" s="609">
        <v>0</v>
      </c>
      <c r="AB123" s="609">
        <v>0</v>
      </c>
      <c r="AC123" s="609">
        <v>0</v>
      </c>
      <c r="AD123" s="609">
        <v>0</v>
      </c>
      <c r="AE123" s="609">
        <v>0</v>
      </c>
      <c r="AF123" s="609">
        <v>0</v>
      </c>
      <c r="AG123" s="609">
        <v>0</v>
      </c>
      <c r="AH123" s="609">
        <v>0</v>
      </c>
      <c r="AI123" s="609">
        <v>0</v>
      </c>
      <c r="AJ123" s="609">
        <v>0</v>
      </c>
      <c r="AK123" s="609">
        <v>0</v>
      </c>
      <c r="AL123" s="609">
        <v>0</v>
      </c>
      <c r="AM123" s="609">
        <v>0</v>
      </c>
      <c r="AN123" s="609">
        <v>0</v>
      </c>
      <c r="AO123" s="609">
        <v>0</v>
      </c>
      <c r="AP123" s="609">
        <v>0</v>
      </c>
      <c r="AQ123" s="609">
        <v>0</v>
      </c>
      <c r="AR123" s="609">
        <v>0</v>
      </c>
      <c r="AS123" s="609">
        <v>0</v>
      </c>
      <c r="AT123" s="609">
        <v>0</v>
      </c>
      <c r="AU123" s="609">
        <v>0</v>
      </c>
      <c r="AV123" s="609">
        <v>0</v>
      </c>
      <c r="AW123" s="615">
        <v>0</v>
      </c>
      <c r="AX123" s="615">
        <v>0</v>
      </c>
      <c r="AY123" s="615">
        <v>0</v>
      </c>
      <c r="AZ123" s="615">
        <v>0</v>
      </c>
      <c r="BA123" s="615">
        <v>0</v>
      </c>
      <c r="BB123" s="615">
        <v>0</v>
      </c>
      <c r="BC123" s="615">
        <v>0</v>
      </c>
      <c r="BD123" s="615">
        <v>0</v>
      </c>
      <c r="BE123" s="615">
        <v>0</v>
      </c>
      <c r="BF123" s="615">
        <v>0</v>
      </c>
      <c r="BG123" s="615">
        <v>0</v>
      </c>
      <c r="BH123" s="615">
        <v>0</v>
      </c>
      <c r="BI123" s="615">
        <v>0</v>
      </c>
      <c r="BJ123" s="615">
        <v>0</v>
      </c>
      <c r="BK123" s="615">
        <v>0</v>
      </c>
      <c r="BL123" s="615">
        <v>0</v>
      </c>
      <c r="BM123" s="615">
        <v>0</v>
      </c>
      <c r="BN123" s="615">
        <v>0</v>
      </c>
      <c r="BO123" s="615">
        <v>0</v>
      </c>
      <c r="BP123" s="615">
        <v>0</v>
      </c>
      <c r="BQ123" s="615">
        <v>0</v>
      </c>
      <c r="BR123" s="615">
        <v>0</v>
      </c>
      <c r="BS123" s="615">
        <v>0</v>
      </c>
      <c r="BT123" s="615">
        <v>0</v>
      </c>
      <c r="BU123" s="615">
        <v>0</v>
      </c>
      <c r="BV123" s="615">
        <v>0</v>
      </c>
      <c r="BW123" s="615">
        <v>0</v>
      </c>
      <c r="BX123" s="607">
        <f t="shared" si="1"/>
        <v>0</v>
      </c>
    </row>
    <row r="124" spans="1:76" s="612" customFormat="1" ht="11.25" customHeight="1" x14ac:dyDescent="0.2">
      <c r="A124" s="905"/>
      <c r="B124" s="610" t="s">
        <v>892</v>
      </c>
      <c r="C124" s="634" t="s">
        <v>1873</v>
      </c>
      <c r="D124" s="609">
        <v>0</v>
      </c>
      <c r="E124" s="609">
        <v>0</v>
      </c>
      <c r="F124" s="609">
        <v>0</v>
      </c>
      <c r="G124" s="609">
        <v>0</v>
      </c>
      <c r="H124" s="585">
        <v>0</v>
      </c>
      <c r="I124" s="609">
        <v>0</v>
      </c>
      <c r="J124" s="609">
        <v>0</v>
      </c>
      <c r="K124" s="609">
        <v>0</v>
      </c>
      <c r="L124" s="609">
        <v>0</v>
      </c>
      <c r="M124" s="609">
        <v>0</v>
      </c>
      <c r="N124" s="609">
        <v>0</v>
      </c>
      <c r="O124" s="609">
        <v>0</v>
      </c>
      <c r="P124" s="609">
        <v>0</v>
      </c>
      <c r="Q124" s="609">
        <v>0</v>
      </c>
      <c r="R124" s="609">
        <v>0</v>
      </c>
      <c r="S124" s="609">
        <v>0</v>
      </c>
      <c r="T124" s="609">
        <v>0</v>
      </c>
      <c r="U124" s="609">
        <v>0</v>
      </c>
      <c r="V124" s="609">
        <v>0</v>
      </c>
      <c r="W124" s="609">
        <v>0</v>
      </c>
      <c r="X124" s="609">
        <v>0</v>
      </c>
      <c r="Y124" s="609">
        <v>0</v>
      </c>
      <c r="Z124" s="609">
        <v>0</v>
      </c>
      <c r="AA124" s="609">
        <v>0</v>
      </c>
      <c r="AB124" s="609">
        <v>0</v>
      </c>
      <c r="AC124" s="609">
        <v>0</v>
      </c>
      <c r="AD124" s="609">
        <v>0</v>
      </c>
      <c r="AE124" s="609">
        <v>0</v>
      </c>
      <c r="AF124" s="609">
        <v>0</v>
      </c>
      <c r="AG124" s="609">
        <v>0</v>
      </c>
      <c r="AH124" s="609">
        <v>0</v>
      </c>
      <c r="AI124" s="609">
        <v>188636280</v>
      </c>
      <c r="AJ124" s="609">
        <v>0</v>
      </c>
      <c r="AK124" s="609">
        <v>0</v>
      </c>
      <c r="AL124" s="609">
        <v>0</v>
      </c>
      <c r="AM124" s="609">
        <v>0</v>
      </c>
      <c r="AN124" s="609">
        <v>0</v>
      </c>
      <c r="AO124" s="609">
        <v>0</v>
      </c>
      <c r="AP124" s="609">
        <v>0</v>
      </c>
      <c r="AQ124" s="609">
        <v>0</v>
      </c>
      <c r="AR124" s="609">
        <v>0</v>
      </c>
      <c r="AS124" s="609">
        <v>0</v>
      </c>
      <c r="AT124" s="609">
        <v>0</v>
      </c>
      <c r="AU124" s="609">
        <v>0</v>
      </c>
      <c r="AV124" s="609">
        <v>0</v>
      </c>
      <c r="AW124" s="615">
        <v>0</v>
      </c>
      <c r="AX124" s="615">
        <v>0</v>
      </c>
      <c r="AY124" s="615">
        <v>0</v>
      </c>
      <c r="AZ124" s="615">
        <v>0</v>
      </c>
      <c r="BA124" s="615">
        <v>0</v>
      </c>
      <c r="BB124" s="615">
        <v>0</v>
      </c>
      <c r="BC124" s="615">
        <v>0</v>
      </c>
      <c r="BD124" s="615">
        <v>0</v>
      </c>
      <c r="BE124" s="615">
        <v>0</v>
      </c>
      <c r="BF124" s="615">
        <v>0</v>
      </c>
      <c r="BG124" s="615">
        <v>0</v>
      </c>
      <c r="BH124" s="615">
        <v>0</v>
      </c>
      <c r="BI124" s="615">
        <v>0</v>
      </c>
      <c r="BJ124" s="615">
        <v>0</v>
      </c>
      <c r="BK124" s="615">
        <v>0</v>
      </c>
      <c r="BL124" s="615">
        <v>0</v>
      </c>
      <c r="BM124" s="615">
        <v>0</v>
      </c>
      <c r="BN124" s="615">
        <v>0</v>
      </c>
      <c r="BO124" s="615">
        <v>0</v>
      </c>
      <c r="BP124" s="615">
        <v>0</v>
      </c>
      <c r="BQ124" s="615">
        <v>0</v>
      </c>
      <c r="BR124" s="615">
        <v>0</v>
      </c>
      <c r="BS124" s="615">
        <v>0</v>
      </c>
      <c r="BT124" s="615">
        <v>0</v>
      </c>
      <c r="BU124" s="615">
        <v>0</v>
      </c>
      <c r="BV124" s="615">
        <v>0</v>
      </c>
      <c r="BW124" s="615">
        <v>0</v>
      </c>
      <c r="BX124" s="607">
        <f t="shared" si="1"/>
        <v>188636280</v>
      </c>
    </row>
    <row r="125" spans="1:76" s="612" customFormat="1" ht="11.25" customHeight="1" x14ac:dyDescent="0.2">
      <c r="A125" s="905"/>
      <c r="B125" s="610" t="s">
        <v>993</v>
      </c>
      <c r="C125" s="634" t="s">
        <v>1874</v>
      </c>
      <c r="D125" s="609">
        <v>0</v>
      </c>
      <c r="E125" s="609">
        <v>0</v>
      </c>
      <c r="F125" s="609">
        <v>0</v>
      </c>
      <c r="G125" s="609">
        <v>0</v>
      </c>
      <c r="H125" s="585">
        <v>0</v>
      </c>
      <c r="I125" s="609">
        <v>0</v>
      </c>
      <c r="J125" s="609">
        <v>0</v>
      </c>
      <c r="K125" s="609">
        <v>0</v>
      </c>
      <c r="L125" s="609">
        <v>0</v>
      </c>
      <c r="M125" s="609">
        <v>0</v>
      </c>
      <c r="N125" s="609">
        <v>0</v>
      </c>
      <c r="O125" s="609">
        <v>0</v>
      </c>
      <c r="P125" s="609">
        <v>0</v>
      </c>
      <c r="Q125" s="609">
        <v>0</v>
      </c>
      <c r="R125" s="609">
        <v>0</v>
      </c>
      <c r="S125" s="609">
        <v>0</v>
      </c>
      <c r="T125" s="609">
        <v>0</v>
      </c>
      <c r="U125" s="609">
        <v>0</v>
      </c>
      <c r="V125" s="609">
        <v>0</v>
      </c>
      <c r="W125" s="609">
        <v>0</v>
      </c>
      <c r="X125" s="609">
        <v>0</v>
      </c>
      <c r="Y125" s="609">
        <v>0</v>
      </c>
      <c r="Z125" s="609">
        <v>0</v>
      </c>
      <c r="AA125" s="609">
        <v>0</v>
      </c>
      <c r="AB125" s="609">
        <v>0</v>
      </c>
      <c r="AC125" s="609">
        <v>0</v>
      </c>
      <c r="AD125" s="609">
        <v>0</v>
      </c>
      <c r="AE125" s="609">
        <v>0</v>
      </c>
      <c r="AF125" s="609">
        <v>0</v>
      </c>
      <c r="AG125" s="609">
        <v>0</v>
      </c>
      <c r="AH125" s="609">
        <v>0</v>
      </c>
      <c r="AI125" s="609">
        <v>0</v>
      </c>
      <c r="AJ125" s="609">
        <v>0</v>
      </c>
      <c r="AK125" s="609">
        <v>0</v>
      </c>
      <c r="AL125" s="609">
        <v>0</v>
      </c>
      <c r="AM125" s="609">
        <v>0</v>
      </c>
      <c r="AN125" s="609">
        <v>0</v>
      </c>
      <c r="AO125" s="609">
        <v>0</v>
      </c>
      <c r="AP125" s="609">
        <v>0</v>
      </c>
      <c r="AQ125" s="609">
        <v>143754</v>
      </c>
      <c r="AR125" s="609">
        <v>0</v>
      </c>
      <c r="AS125" s="609">
        <v>0</v>
      </c>
      <c r="AT125" s="609">
        <v>0</v>
      </c>
      <c r="AU125" s="609">
        <v>0</v>
      </c>
      <c r="AV125" s="609">
        <v>0</v>
      </c>
      <c r="AW125" s="615">
        <v>0</v>
      </c>
      <c r="AX125" s="615">
        <v>0</v>
      </c>
      <c r="AY125" s="615">
        <v>0</v>
      </c>
      <c r="AZ125" s="615">
        <v>0</v>
      </c>
      <c r="BA125" s="615">
        <v>0</v>
      </c>
      <c r="BB125" s="615">
        <v>0</v>
      </c>
      <c r="BC125" s="615">
        <v>0</v>
      </c>
      <c r="BD125" s="615">
        <v>0</v>
      </c>
      <c r="BE125" s="615">
        <v>0</v>
      </c>
      <c r="BF125" s="615">
        <v>0</v>
      </c>
      <c r="BG125" s="615">
        <v>0</v>
      </c>
      <c r="BH125" s="615">
        <v>0</v>
      </c>
      <c r="BI125" s="615">
        <v>0</v>
      </c>
      <c r="BJ125" s="615">
        <v>0</v>
      </c>
      <c r="BK125" s="615">
        <v>0</v>
      </c>
      <c r="BL125" s="615">
        <v>0</v>
      </c>
      <c r="BM125" s="615">
        <v>0</v>
      </c>
      <c r="BN125" s="615">
        <v>0</v>
      </c>
      <c r="BO125" s="615">
        <v>0</v>
      </c>
      <c r="BP125" s="615">
        <v>0</v>
      </c>
      <c r="BQ125" s="615">
        <v>0</v>
      </c>
      <c r="BR125" s="615">
        <v>0</v>
      </c>
      <c r="BS125" s="615">
        <v>0</v>
      </c>
      <c r="BT125" s="615">
        <v>0</v>
      </c>
      <c r="BU125" s="615">
        <v>0</v>
      </c>
      <c r="BV125" s="615">
        <v>0</v>
      </c>
      <c r="BW125" s="615">
        <v>0</v>
      </c>
      <c r="BX125" s="607">
        <f t="shared" si="1"/>
        <v>143754</v>
      </c>
    </row>
    <row r="126" spans="1:76" s="612" customFormat="1" ht="11.25" customHeight="1" x14ac:dyDescent="0.2">
      <c r="A126" s="905"/>
      <c r="B126" s="610" t="s">
        <v>2607</v>
      </c>
      <c r="C126" s="634" t="s">
        <v>1875</v>
      </c>
      <c r="D126" s="609">
        <v>0</v>
      </c>
      <c r="E126" s="609">
        <v>0</v>
      </c>
      <c r="F126" s="609">
        <v>0</v>
      </c>
      <c r="G126" s="609">
        <v>0</v>
      </c>
      <c r="H126" s="585">
        <v>0</v>
      </c>
      <c r="I126" s="609">
        <v>0</v>
      </c>
      <c r="J126" s="609">
        <v>0</v>
      </c>
      <c r="K126" s="609">
        <v>0</v>
      </c>
      <c r="L126" s="609">
        <v>0</v>
      </c>
      <c r="M126" s="609">
        <v>0</v>
      </c>
      <c r="N126" s="609">
        <v>0</v>
      </c>
      <c r="O126" s="609">
        <v>0</v>
      </c>
      <c r="P126" s="609">
        <v>0</v>
      </c>
      <c r="Q126" s="609">
        <v>0</v>
      </c>
      <c r="R126" s="609">
        <v>0</v>
      </c>
      <c r="S126" s="609">
        <v>0</v>
      </c>
      <c r="T126" s="609">
        <v>0</v>
      </c>
      <c r="U126" s="609">
        <v>0</v>
      </c>
      <c r="V126" s="609">
        <v>0</v>
      </c>
      <c r="W126" s="609">
        <v>0</v>
      </c>
      <c r="X126" s="609">
        <v>0</v>
      </c>
      <c r="Y126" s="609">
        <v>0</v>
      </c>
      <c r="Z126" s="609">
        <v>0</v>
      </c>
      <c r="AA126" s="609">
        <v>0</v>
      </c>
      <c r="AB126" s="609">
        <v>0</v>
      </c>
      <c r="AC126" s="609">
        <v>0</v>
      </c>
      <c r="AD126" s="609">
        <v>0</v>
      </c>
      <c r="AE126" s="609">
        <v>0</v>
      </c>
      <c r="AF126" s="609">
        <v>0</v>
      </c>
      <c r="AG126" s="609">
        <v>0</v>
      </c>
      <c r="AH126" s="609">
        <v>0</v>
      </c>
      <c r="AI126" s="609">
        <v>0</v>
      </c>
      <c r="AJ126" s="609">
        <v>0</v>
      </c>
      <c r="AK126" s="609">
        <v>0</v>
      </c>
      <c r="AL126" s="609">
        <v>0</v>
      </c>
      <c r="AM126" s="609">
        <v>0</v>
      </c>
      <c r="AN126" s="609">
        <v>0</v>
      </c>
      <c r="AO126" s="609">
        <v>0</v>
      </c>
      <c r="AP126" s="609">
        <v>0</v>
      </c>
      <c r="AQ126" s="609">
        <v>0</v>
      </c>
      <c r="AR126" s="609">
        <v>0</v>
      </c>
      <c r="AS126" s="609">
        <v>0</v>
      </c>
      <c r="AT126" s="609">
        <v>0</v>
      </c>
      <c r="AU126" s="609">
        <v>0</v>
      </c>
      <c r="AV126" s="609">
        <v>0</v>
      </c>
      <c r="AW126" s="615">
        <v>0</v>
      </c>
      <c r="AX126" s="615">
        <v>0</v>
      </c>
      <c r="AY126" s="615">
        <v>0</v>
      </c>
      <c r="AZ126" s="615">
        <v>0</v>
      </c>
      <c r="BA126" s="615">
        <v>0</v>
      </c>
      <c r="BB126" s="615">
        <v>0</v>
      </c>
      <c r="BC126" s="615">
        <v>0</v>
      </c>
      <c r="BD126" s="615">
        <v>0</v>
      </c>
      <c r="BE126" s="615">
        <v>0</v>
      </c>
      <c r="BF126" s="615">
        <v>0</v>
      </c>
      <c r="BG126" s="615">
        <v>0</v>
      </c>
      <c r="BH126" s="615">
        <v>0</v>
      </c>
      <c r="BI126" s="615">
        <v>0</v>
      </c>
      <c r="BJ126" s="615">
        <v>0</v>
      </c>
      <c r="BK126" s="615">
        <v>0</v>
      </c>
      <c r="BL126" s="615">
        <v>0</v>
      </c>
      <c r="BM126" s="615">
        <v>0</v>
      </c>
      <c r="BN126" s="615">
        <v>0</v>
      </c>
      <c r="BO126" s="615">
        <v>0</v>
      </c>
      <c r="BP126" s="615">
        <v>0</v>
      </c>
      <c r="BQ126" s="615">
        <v>0</v>
      </c>
      <c r="BR126" s="615">
        <v>0</v>
      </c>
      <c r="BS126" s="615">
        <v>0</v>
      </c>
      <c r="BT126" s="615">
        <v>0</v>
      </c>
      <c r="BU126" s="615">
        <v>0</v>
      </c>
      <c r="BV126" s="615">
        <v>0</v>
      </c>
      <c r="BW126" s="615">
        <v>0</v>
      </c>
      <c r="BX126" s="607">
        <f t="shared" si="1"/>
        <v>0</v>
      </c>
    </row>
    <row r="127" spans="1:76" s="612" customFormat="1" ht="11.25" customHeight="1" x14ac:dyDescent="0.2">
      <c r="A127" s="905"/>
      <c r="B127" s="610" t="s">
        <v>1708</v>
      </c>
      <c r="C127" s="634" t="s">
        <v>1876</v>
      </c>
      <c r="D127" s="609">
        <v>0</v>
      </c>
      <c r="E127" s="609">
        <v>0</v>
      </c>
      <c r="F127" s="609">
        <v>0</v>
      </c>
      <c r="G127" s="609">
        <v>0</v>
      </c>
      <c r="H127" s="585">
        <v>0</v>
      </c>
      <c r="I127" s="609">
        <v>0</v>
      </c>
      <c r="J127" s="609">
        <v>0</v>
      </c>
      <c r="K127" s="609">
        <v>0</v>
      </c>
      <c r="L127" s="609">
        <v>0</v>
      </c>
      <c r="M127" s="609">
        <v>0</v>
      </c>
      <c r="N127" s="609">
        <v>0</v>
      </c>
      <c r="O127" s="609">
        <v>0</v>
      </c>
      <c r="P127" s="609">
        <v>0</v>
      </c>
      <c r="Q127" s="609">
        <v>0</v>
      </c>
      <c r="R127" s="609">
        <v>0</v>
      </c>
      <c r="S127" s="609">
        <v>0</v>
      </c>
      <c r="T127" s="609">
        <v>0</v>
      </c>
      <c r="U127" s="609">
        <v>0</v>
      </c>
      <c r="V127" s="609">
        <v>0</v>
      </c>
      <c r="W127" s="609">
        <v>0</v>
      </c>
      <c r="X127" s="609">
        <v>0</v>
      </c>
      <c r="Y127" s="609">
        <v>0</v>
      </c>
      <c r="Z127" s="609">
        <v>0</v>
      </c>
      <c r="AA127" s="609">
        <v>0</v>
      </c>
      <c r="AB127" s="609">
        <v>0</v>
      </c>
      <c r="AC127" s="609">
        <v>0</v>
      </c>
      <c r="AD127" s="609">
        <v>0</v>
      </c>
      <c r="AE127" s="609">
        <v>0</v>
      </c>
      <c r="AF127" s="609">
        <v>0</v>
      </c>
      <c r="AG127" s="609">
        <v>0</v>
      </c>
      <c r="AH127" s="609">
        <v>0</v>
      </c>
      <c r="AI127" s="609">
        <v>0</v>
      </c>
      <c r="AJ127" s="609">
        <v>0</v>
      </c>
      <c r="AK127" s="609">
        <v>0</v>
      </c>
      <c r="AL127" s="609">
        <v>0</v>
      </c>
      <c r="AM127" s="609">
        <v>0</v>
      </c>
      <c r="AN127" s="609">
        <v>0</v>
      </c>
      <c r="AO127" s="609">
        <v>0</v>
      </c>
      <c r="AP127" s="609">
        <v>0</v>
      </c>
      <c r="AQ127" s="609">
        <v>0</v>
      </c>
      <c r="AR127" s="609">
        <v>0</v>
      </c>
      <c r="AS127" s="609">
        <v>0</v>
      </c>
      <c r="AT127" s="609">
        <v>0</v>
      </c>
      <c r="AU127" s="609">
        <v>0</v>
      </c>
      <c r="AV127" s="609">
        <v>0</v>
      </c>
      <c r="AW127" s="615">
        <v>0</v>
      </c>
      <c r="AX127" s="615">
        <v>0</v>
      </c>
      <c r="AY127" s="615">
        <v>0</v>
      </c>
      <c r="AZ127" s="615">
        <v>0</v>
      </c>
      <c r="BA127" s="615">
        <v>0</v>
      </c>
      <c r="BB127" s="615">
        <v>0</v>
      </c>
      <c r="BC127" s="615">
        <v>0</v>
      </c>
      <c r="BD127" s="615">
        <v>0</v>
      </c>
      <c r="BE127" s="615">
        <v>0</v>
      </c>
      <c r="BF127" s="615">
        <v>0</v>
      </c>
      <c r="BG127" s="615">
        <v>0</v>
      </c>
      <c r="BH127" s="615">
        <v>0</v>
      </c>
      <c r="BI127" s="615">
        <v>0</v>
      </c>
      <c r="BJ127" s="615">
        <v>0</v>
      </c>
      <c r="BK127" s="615">
        <v>0</v>
      </c>
      <c r="BL127" s="615">
        <v>0</v>
      </c>
      <c r="BM127" s="615">
        <v>0</v>
      </c>
      <c r="BN127" s="615">
        <v>0</v>
      </c>
      <c r="BO127" s="615">
        <v>0</v>
      </c>
      <c r="BP127" s="615">
        <v>0</v>
      </c>
      <c r="BQ127" s="615">
        <v>0</v>
      </c>
      <c r="BR127" s="615">
        <v>0</v>
      </c>
      <c r="BS127" s="615">
        <v>0</v>
      </c>
      <c r="BT127" s="615">
        <v>0</v>
      </c>
      <c r="BU127" s="615">
        <v>0</v>
      </c>
      <c r="BV127" s="615">
        <v>0</v>
      </c>
      <c r="BW127" s="615">
        <v>0</v>
      </c>
      <c r="BX127" s="607">
        <f t="shared" si="1"/>
        <v>0</v>
      </c>
    </row>
    <row r="128" spans="1:76" s="612" customFormat="1" ht="11.25" customHeight="1" x14ac:dyDescent="0.2">
      <c r="A128" s="905"/>
      <c r="B128" s="610" t="s">
        <v>2608</v>
      </c>
      <c r="C128" s="634" t="s">
        <v>2534</v>
      </c>
      <c r="D128" s="609">
        <v>0</v>
      </c>
      <c r="E128" s="609">
        <v>0</v>
      </c>
      <c r="F128" s="609">
        <v>0</v>
      </c>
      <c r="G128" s="609">
        <v>0</v>
      </c>
      <c r="H128" s="585">
        <v>0</v>
      </c>
      <c r="I128" s="609">
        <v>0</v>
      </c>
      <c r="J128" s="609">
        <v>0</v>
      </c>
      <c r="K128" s="609">
        <v>0</v>
      </c>
      <c r="L128" s="609">
        <v>0</v>
      </c>
      <c r="M128" s="609">
        <v>0</v>
      </c>
      <c r="N128" s="609">
        <v>0</v>
      </c>
      <c r="O128" s="609">
        <v>0</v>
      </c>
      <c r="P128" s="609">
        <v>0</v>
      </c>
      <c r="Q128" s="609">
        <v>0</v>
      </c>
      <c r="R128" s="609">
        <v>0</v>
      </c>
      <c r="S128" s="609">
        <v>0</v>
      </c>
      <c r="T128" s="609">
        <v>0</v>
      </c>
      <c r="U128" s="609">
        <v>0</v>
      </c>
      <c r="V128" s="609">
        <v>0</v>
      </c>
      <c r="W128" s="609">
        <v>0</v>
      </c>
      <c r="X128" s="609">
        <v>0</v>
      </c>
      <c r="Y128" s="609">
        <v>0</v>
      </c>
      <c r="Z128" s="609">
        <v>0</v>
      </c>
      <c r="AA128" s="609">
        <v>0</v>
      </c>
      <c r="AB128" s="609">
        <v>0</v>
      </c>
      <c r="AC128" s="609">
        <v>0</v>
      </c>
      <c r="AD128" s="609">
        <v>0</v>
      </c>
      <c r="AE128" s="609">
        <v>0</v>
      </c>
      <c r="AF128" s="609">
        <v>0</v>
      </c>
      <c r="AG128" s="609">
        <v>0</v>
      </c>
      <c r="AH128" s="609">
        <v>0</v>
      </c>
      <c r="AI128" s="609">
        <v>0</v>
      </c>
      <c r="AJ128" s="609">
        <v>0</v>
      </c>
      <c r="AK128" s="609">
        <v>0</v>
      </c>
      <c r="AL128" s="609">
        <v>0</v>
      </c>
      <c r="AM128" s="609">
        <v>0</v>
      </c>
      <c r="AN128" s="609">
        <v>0</v>
      </c>
      <c r="AO128" s="609">
        <v>0</v>
      </c>
      <c r="AP128" s="609">
        <v>0</v>
      </c>
      <c r="AQ128" s="609">
        <v>0</v>
      </c>
      <c r="AR128" s="609">
        <v>1434902</v>
      </c>
      <c r="AS128" s="609">
        <v>0</v>
      </c>
      <c r="AT128" s="609">
        <v>0</v>
      </c>
      <c r="AU128" s="609">
        <v>0</v>
      </c>
      <c r="AV128" s="609">
        <v>0</v>
      </c>
      <c r="AW128" s="615">
        <v>0</v>
      </c>
      <c r="AX128" s="615">
        <v>0</v>
      </c>
      <c r="AY128" s="615">
        <v>0</v>
      </c>
      <c r="AZ128" s="615">
        <v>0</v>
      </c>
      <c r="BA128" s="615">
        <v>0</v>
      </c>
      <c r="BB128" s="615">
        <v>0</v>
      </c>
      <c r="BC128" s="615">
        <v>0</v>
      </c>
      <c r="BD128" s="615">
        <v>0</v>
      </c>
      <c r="BE128" s="615">
        <v>0</v>
      </c>
      <c r="BF128" s="615">
        <v>0</v>
      </c>
      <c r="BG128" s="615">
        <v>0</v>
      </c>
      <c r="BH128" s="615">
        <v>0</v>
      </c>
      <c r="BI128" s="615">
        <v>0</v>
      </c>
      <c r="BJ128" s="615">
        <v>0</v>
      </c>
      <c r="BK128" s="615">
        <v>0</v>
      </c>
      <c r="BL128" s="615">
        <v>0</v>
      </c>
      <c r="BM128" s="615">
        <v>0</v>
      </c>
      <c r="BN128" s="615">
        <v>0</v>
      </c>
      <c r="BO128" s="615">
        <v>0</v>
      </c>
      <c r="BP128" s="615">
        <v>0</v>
      </c>
      <c r="BQ128" s="615">
        <v>0</v>
      </c>
      <c r="BR128" s="615">
        <v>0</v>
      </c>
      <c r="BS128" s="615">
        <v>0</v>
      </c>
      <c r="BT128" s="615">
        <v>0</v>
      </c>
      <c r="BU128" s="615">
        <v>0</v>
      </c>
      <c r="BV128" s="615">
        <v>0</v>
      </c>
      <c r="BW128" s="615">
        <v>0</v>
      </c>
      <c r="BX128" s="607">
        <f t="shared" si="1"/>
        <v>1434902</v>
      </c>
    </row>
    <row r="129" spans="1:76" s="612" customFormat="1" ht="11.25" customHeight="1" x14ac:dyDescent="0.2">
      <c r="A129" s="905"/>
      <c r="B129" s="610" t="s">
        <v>893</v>
      </c>
      <c r="C129" s="634" t="s">
        <v>1877</v>
      </c>
      <c r="D129" s="609">
        <v>0</v>
      </c>
      <c r="E129" s="609">
        <v>0</v>
      </c>
      <c r="F129" s="609">
        <v>0</v>
      </c>
      <c r="G129" s="609">
        <v>0</v>
      </c>
      <c r="H129" s="585">
        <v>0</v>
      </c>
      <c r="I129" s="609">
        <v>0</v>
      </c>
      <c r="J129" s="609">
        <v>0</v>
      </c>
      <c r="K129" s="609">
        <v>0</v>
      </c>
      <c r="L129" s="609">
        <v>0</v>
      </c>
      <c r="M129" s="609">
        <v>0</v>
      </c>
      <c r="N129" s="609">
        <v>0</v>
      </c>
      <c r="O129" s="609">
        <v>0</v>
      </c>
      <c r="P129" s="609">
        <v>0</v>
      </c>
      <c r="Q129" s="609">
        <v>0</v>
      </c>
      <c r="R129" s="609">
        <v>0</v>
      </c>
      <c r="S129" s="609">
        <v>0</v>
      </c>
      <c r="T129" s="609">
        <v>0</v>
      </c>
      <c r="U129" s="609">
        <v>0</v>
      </c>
      <c r="V129" s="609">
        <v>0</v>
      </c>
      <c r="W129" s="609">
        <v>0</v>
      </c>
      <c r="X129" s="609">
        <v>0</v>
      </c>
      <c r="Y129" s="609">
        <v>0</v>
      </c>
      <c r="Z129" s="609">
        <v>0</v>
      </c>
      <c r="AA129" s="609">
        <v>0</v>
      </c>
      <c r="AB129" s="609">
        <v>0</v>
      </c>
      <c r="AC129" s="609">
        <v>0</v>
      </c>
      <c r="AD129" s="609">
        <v>0</v>
      </c>
      <c r="AE129" s="609">
        <v>0</v>
      </c>
      <c r="AF129" s="609">
        <v>0</v>
      </c>
      <c r="AG129" s="609">
        <v>0</v>
      </c>
      <c r="AH129" s="609">
        <v>0</v>
      </c>
      <c r="AI129" s="609">
        <v>0</v>
      </c>
      <c r="AJ129" s="609">
        <v>0</v>
      </c>
      <c r="AK129" s="609">
        <v>0</v>
      </c>
      <c r="AL129" s="609">
        <v>0</v>
      </c>
      <c r="AM129" s="609">
        <v>0</v>
      </c>
      <c r="AN129" s="609">
        <v>0</v>
      </c>
      <c r="AO129" s="609">
        <v>0</v>
      </c>
      <c r="AP129" s="609">
        <v>0</v>
      </c>
      <c r="AQ129" s="609">
        <v>0</v>
      </c>
      <c r="AR129" s="609">
        <v>0</v>
      </c>
      <c r="AS129" s="609">
        <v>0</v>
      </c>
      <c r="AT129" s="609">
        <v>0</v>
      </c>
      <c r="AU129" s="609">
        <v>0</v>
      </c>
      <c r="AV129" s="609">
        <v>0</v>
      </c>
      <c r="AW129" s="615">
        <v>0</v>
      </c>
      <c r="AX129" s="615">
        <v>0</v>
      </c>
      <c r="AY129" s="615">
        <v>0</v>
      </c>
      <c r="AZ129" s="615">
        <v>0</v>
      </c>
      <c r="BA129" s="615">
        <v>0</v>
      </c>
      <c r="BB129" s="615">
        <v>0</v>
      </c>
      <c r="BC129" s="615">
        <v>0</v>
      </c>
      <c r="BD129" s="615">
        <v>0</v>
      </c>
      <c r="BE129" s="615">
        <v>0</v>
      </c>
      <c r="BF129" s="615">
        <v>0</v>
      </c>
      <c r="BG129" s="615">
        <v>0</v>
      </c>
      <c r="BH129" s="615">
        <v>0</v>
      </c>
      <c r="BI129" s="615">
        <v>0</v>
      </c>
      <c r="BJ129" s="615">
        <v>0</v>
      </c>
      <c r="BK129" s="615">
        <v>0</v>
      </c>
      <c r="BL129" s="615">
        <v>0</v>
      </c>
      <c r="BM129" s="615">
        <v>0</v>
      </c>
      <c r="BN129" s="615">
        <v>0</v>
      </c>
      <c r="BO129" s="615">
        <v>0</v>
      </c>
      <c r="BP129" s="615">
        <v>0</v>
      </c>
      <c r="BQ129" s="615">
        <v>0</v>
      </c>
      <c r="BR129" s="615">
        <v>0</v>
      </c>
      <c r="BS129" s="615">
        <v>0</v>
      </c>
      <c r="BT129" s="615">
        <v>0</v>
      </c>
      <c r="BU129" s="615">
        <v>0</v>
      </c>
      <c r="BV129" s="615">
        <v>0</v>
      </c>
      <c r="BW129" s="615">
        <v>0</v>
      </c>
      <c r="BX129" s="607">
        <f t="shared" si="1"/>
        <v>0</v>
      </c>
    </row>
    <row r="130" spans="1:76" s="612" customFormat="1" ht="11.25" customHeight="1" x14ac:dyDescent="0.2">
      <c r="A130" s="905"/>
      <c r="B130" s="610" t="s">
        <v>1644</v>
      </c>
      <c r="C130" s="634" t="s">
        <v>1878</v>
      </c>
      <c r="D130" s="609">
        <v>0</v>
      </c>
      <c r="E130" s="609">
        <v>0</v>
      </c>
      <c r="F130" s="609">
        <v>0</v>
      </c>
      <c r="G130" s="609">
        <v>0</v>
      </c>
      <c r="H130" s="585">
        <v>0</v>
      </c>
      <c r="I130" s="609">
        <v>0</v>
      </c>
      <c r="J130" s="609">
        <v>0</v>
      </c>
      <c r="K130" s="609">
        <v>0</v>
      </c>
      <c r="L130" s="609">
        <v>0</v>
      </c>
      <c r="M130" s="609">
        <v>0</v>
      </c>
      <c r="N130" s="609">
        <v>0</v>
      </c>
      <c r="O130" s="609">
        <v>0</v>
      </c>
      <c r="P130" s="609">
        <v>0</v>
      </c>
      <c r="Q130" s="609">
        <v>0</v>
      </c>
      <c r="R130" s="609">
        <v>0</v>
      </c>
      <c r="S130" s="609">
        <v>0</v>
      </c>
      <c r="T130" s="609">
        <v>0</v>
      </c>
      <c r="U130" s="609">
        <v>0</v>
      </c>
      <c r="V130" s="609">
        <v>0</v>
      </c>
      <c r="W130" s="609">
        <v>0</v>
      </c>
      <c r="X130" s="609">
        <v>0</v>
      </c>
      <c r="Y130" s="609">
        <v>0</v>
      </c>
      <c r="Z130" s="609">
        <v>0</v>
      </c>
      <c r="AA130" s="609">
        <v>0</v>
      </c>
      <c r="AB130" s="609">
        <v>0</v>
      </c>
      <c r="AC130" s="609">
        <v>0</v>
      </c>
      <c r="AD130" s="609">
        <v>0</v>
      </c>
      <c r="AE130" s="609">
        <v>0</v>
      </c>
      <c r="AF130" s="609">
        <v>0</v>
      </c>
      <c r="AG130" s="609">
        <v>0</v>
      </c>
      <c r="AH130" s="609">
        <v>0</v>
      </c>
      <c r="AI130" s="609">
        <v>0</v>
      </c>
      <c r="AJ130" s="609">
        <v>0</v>
      </c>
      <c r="AK130" s="609">
        <v>0</v>
      </c>
      <c r="AL130" s="609">
        <v>0</v>
      </c>
      <c r="AM130" s="609">
        <v>0</v>
      </c>
      <c r="AN130" s="609">
        <v>0</v>
      </c>
      <c r="AO130" s="609">
        <v>0</v>
      </c>
      <c r="AP130" s="609">
        <v>0</v>
      </c>
      <c r="AQ130" s="609">
        <v>0</v>
      </c>
      <c r="AR130" s="609">
        <v>0</v>
      </c>
      <c r="AS130" s="609">
        <v>0</v>
      </c>
      <c r="AT130" s="609">
        <v>0</v>
      </c>
      <c r="AU130" s="609">
        <v>0</v>
      </c>
      <c r="AV130" s="609">
        <v>0</v>
      </c>
      <c r="AW130" s="615">
        <v>0</v>
      </c>
      <c r="AX130" s="615">
        <v>0</v>
      </c>
      <c r="AY130" s="615">
        <v>0</v>
      </c>
      <c r="AZ130" s="615">
        <v>0</v>
      </c>
      <c r="BA130" s="615">
        <v>0</v>
      </c>
      <c r="BB130" s="615">
        <v>0</v>
      </c>
      <c r="BC130" s="615">
        <v>0</v>
      </c>
      <c r="BD130" s="615">
        <v>0</v>
      </c>
      <c r="BE130" s="615">
        <v>0</v>
      </c>
      <c r="BF130" s="615">
        <v>0</v>
      </c>
      <c r="BG130" s="615">
        <v>0</v>
      </c>
      <c r="BH130" s="615">
        <v>0</v>
      </c>
      <c r="BI130" s="615">
        <v>0</v>
      </c>
      <c r="BJ130" s="615">
        <v>0</v>
      </c>
      <c r="BK130" s="615">
        <v>0</v>
      </c>
      <c r="BL130" s="615">
        <v>0</v>
      </c>
      <c r="BM130" s="615">
        <v>0</v>
      </c>
      <c r="BN130" s="615">
        <v>0</v>
      </c>
      <c r="BO130" s="615">
        <v>0</v>
      </c>
      <c r="BP130" s="615">
        <v>0</v>
      </c>
      <c r="BQ130" s="615">
        <v>0</v>
      </c>
      <c r="BR130" s="615">
        <v>0</v>
      </c>
      <c r="BS130" s="615">
        <v>0</v>
      </c>
      <c r="BT130" s="615">
        <v>0</v>
      </c>
      <c r="BU130" s="615">
        <v>0</v>
      </c>
      <c r="BV130" s="615">
        <v>0</v>
      </c>
      <c r="BW130" s="615">
        <v>0</v>
      </c>
      <c r="BX130" s="607">
        <f t="shared" si="1"/>
        <v>0</v>
      </c>
    </row>
    <row r="131" spans="1:76" s="612" customFormat="1" ht="11.25" customHeight="1" x14ac:dyDescent="0.2">
      <c r="A131" s="905"/>
      <c r="B131" s="610" t="s">
        <v>2951</v>
      </c>
      <c r="C131" s="634" t="s">
        <v>1879</v>
      </c>
      <c r="D131" s="609">
        <v>0</v>
      </c>
      <c r="E131" s="609">
        <v>0</v>
      </c>
      <c r="F131" s="609">
        <v>0</v>
      </c>
      <c r="G131" s="609">
        <v>0</v>
      </c>
      <c r="H131" s="585">
        <v>0</v>
      </c>
      <c r="I131" s="609">
        <v>0</v>
      </c>
      <c r="J131" s="609">
        <v>0</v>
      </c>
      <c r="K131" s="609">
        <v>0</v>
      </c>
      <c r="L131" s="609">
        <v>0</v>
      </c>
      <c r="M131" s="609">
        <v>0</v>
      </c>
      <c r="N131" s="609">
        <v>0</v>
      </c>
      <c r="O131" s="609">
        <v>0</v>
      </c>
      <c r="P131" s="609">
        <v>0</v>
      </c>
      <c r="Q131" s="609">
        <v>0</v>
      </c>
      <c r="R131" s="609">
        <v>0</v>
      </c>
      <c r="S131" s="609">
        <v>0</v>
      </c>
      <c r="T131" s="609">
        <v>0</v>
      </c>
      <c r="U131" s="609">
        <v>0</v>
      </c>
      <c r="V131" s="609">
        <v>0</v>
      </c>
      <c r="W131" s="609">
        <v>0</v>
      </c>
      <c r="X131" s="609">
        <v>0</v>
      </c>
      <c r="Y131" s="609">
        <v>0</v>
      </c>
      <c r="Z131" s="609">
        <v>0</v>
      </c>
      <c r="AA131" s="609">
        <v>0</v>
      </c>
      <c r="AB131" s="609">
        <v>0</v>
      </c>
      <c r="AC131" s="609">
        <v>0</v>
      </c>
      <c r="AD131" s="609">
        <v>0</v>
      </c>
      <c r="AE131" s="609">
        <v>0</v>
      </c>
      <c r="AF131" s="609">
        <v>0</v>
      </c>
      <c r="AG131" s="609">
        <v>0</v>
      </c>
      <c r="AH131" s="609">
        <v>0</v>
      </c>
      <c r="AI131" s="609">
        <v>0</v>
      </c>
      <c r="AJ131" s="609">
        <v>0</v>
      </c>
      <c r="AK131" s="609">
        <v>0</v>
      </c>
      <c r="AL131" s="609">
        <v>0</v>
      </c>
      <c r="AM131" s="609">
        <v>0</v>
      </c>
      <c r="AN131" s="609">
        <v>0</v>
      </c>
      <c r="AO131" s="609">
        <v>0</v>
      </c>
      <c r="AP131" s="609">
        <v>19332</v>
      </c>
      <c r="AQ131" s="609">
        <v>0</v>
      </c>
      <c r="AR131" s="609">
        <v>0</v>
      </c>
      <c r="AS131" s="609">
        <v>0</v>
      </c>
      <c r="AT131" s="609">
        <v>0</v>
      </c>
      <c r="AU131" s="609">
        <v>0</v>
      </c>
      <c r="AV131" s="609">
        <v>0</v>
      </c>
      <c r="AW131" s="615">
        <v>0</v>
      </c>
      <c r="AX131" s="615">
        <v>0</v>
      </c>
      <c r="AY131" s="615">
        <v>0</v>
      </c>
      <c r="AZ131" s="615">
        <v>0</v>
      </c>
      <c r="BA131" s="615">
        <v>0</v>
      </c>
      <c r="BB131" s="615">
        <v>0</v>
      </c>
      <c r="BC131" s="615">
        <v>0</v>
      </c>
      <c r="BD131" s="615">
        <v>0</v>
      </c>
      <c r="BE131" s="615">
        <v>0</v>
      </c>
      <c r="BF131" s="615">
        <v>0</v>
      </c>
      <c r="BG131" s="615">
        <v>0</v>
      </c>
      <c r="BH131" s="615">
        <v>0</v>
      </c>
      <c r="BI131" s="615">
        <v>0</v>
      </c>
      <c r="BJ131" s="615">
        <v>0</v>
      </c>
      <c r="BK131" s="615">
        <v>0</v>
      </c>
      <c r="BL131" s="615">
        <v>0</v>
      </c>
      <c r="BM131" s="615">
        <v>0</v>
      </c>
      <c r="BN131" s="615">
        <v>0</v>
      </c>
      <c r="BO131" s="615">
        <v>0</v>
      </c>
      <c r="BP131" s="615">
        <v>0</v>
      </c>
      <c r="BQ131" s="615">
        <v>0</v>
      </c>
      <c r="BR131" s="615">
        <v>0</v>
      </c>
      <c r="BS131" s="615">
        <v>0</v>
      </c>
      <c r="BT131" s="615">
        <v>0</v>
      </c>
      <c r="BU131" s="615">
        <v>0</v>
      </c>
      <c r="BV131" s="615">
        <v>0</v>
      </c>
      <c r="BW131" s="615">
        <v>0</v>
      </c>
      <c r="BX131" s="607">
        <f t="shared" si="1"/>
        <v>19332</v>
      </c>
    </row>
    <row r="132" spans="1:76" s="612" customFormat="1" ht="11.25" customHeight="1" x14ac:dyDescent="0.2">
      <c r="A132" s="905"/>
      <c r="B132" s="610" t="s">
        <v>920</v>
      </c>
      <c r="C132" s="634" t="s">
        <v>1880</v>
      </c>
      <c r="D132" s="609">
        <v>0</v>
      </c>
      <c r="E132" s="609">
        <v>0</v>
      </c>
      <c r="F132" s="609">
        <v>0</v>
      </c>
      <c r="G132" s="609">
        <v>0</v>
      </c>
      <c r="H132" s="585">
        <v>0</v>
      </c>
      <c r="I132" s="609">
        <v>0</v>
      </c>
      <c r="J132" s="609">
        <v>0</v>
      </c>
      <c r="K132" s="609">
        <v>0</v>
      </c>
      <c r="L132" s="609">
        <v>0</v>
      </c>
      <c r="M132" s="609">
        <v>0</v>
      </c>
      <c r="N132" s="609">
        <v>0</v>
      </c>
      <c r="O132" s="609">
        <v>0</v>
      </c>
      <c r="P132" s="609">
        <v>0</v>
      </c>
      <c r="Q132" s="609">
        <v>0</v>
      </c>
      <c r="R132" s="609">
        <v>0</v>
      </c>
      <c r="S132" s="609">
        <v>0</v>
      </c>
      <c r="T132" s="609">
        <v>0</v>
      </c>
      <c r="U132" s="609">
        <v>0</v>
      </c>
      <c r="V132" s="609">
        <v>0</v>
      </c>
      <c r="W132" s="609">
        <v>0</v>
      </c>
      <c r="X132" s="609">
        <v>0</v>
      </c>
      <c r="Y132" s="609">
        <v>0</v>
      </c>
      <c r="Z132" s="609">
        <v>0</v>
      </c>
      <c r="AA132" s="609">
        <v>0</v>
      </c>
      <c r="AB132" s="609">
        <v>0</v>
      </c>
      <c r="AC132" s="609">
        <v>0</v>
      </c>
      <c r="AD132" s="609">
        <v>0</v>
      </c>
      <c r="AE132" s="609">
        <v>0</v>
      </c>
      <c r="AF132" s="609">
        <v>0</v>
      </c>
      <c r="AG132" s="609">
        <v>0</v>
      </c>
      <c r="AH132" s="609">
        <v>0</v>
      </c>
      <c r="AI132" s="609">
        <v>0</v>
      </c>
      <c r="AJ132" s="609">
        <v>0</v>
      </c>
      <c r="AK132" s="609">
        <v>0</v>
      </c>
      <c r="AL132" s="609">
        <v>0</v>
      </c>
      <c r="AM132" s="609">
        <v>0</v>
      </c>
      <c r="AN132" s="609">
        <v>0</v>
      </c>
      <c r="AO132" s="609">
        <v>0</v>
      </c>
      <c r="AP132" s="609">
        <v>0</v>
      </c>
      <c r="AQ132" s="609">
        <v>0</v>
      </c>
      <c r="AR132" s="609">
        <v>0</v>
      </c>
      <c r="AS132" s="609">
        <v>0</v>
      </c>
      <c r="AT132" s="609">
        <v>0</v>
      </c>
      <c r="AU132" s="609">
        <v>0</v>
      </c>
      <c r="AV132" s="609">
        <v>0</v>
      </c>
      <c r="AW132" s="615">
        <v>0</v>
      </c>
      <c r="AX132" s="615">
        <v>0</v>
      </c>
      <c r="AY132" s="615">
        <v>0</v>
      </c>
      <c r="AZ132" s="615">
        <v>0</v>
      </c>
      <c r="BA132" s="615">
        <v>0</v>
      </c>
      <c r="BB132" s="615">
        <v>0</v>
      </c>
      <c r="BC132" s="615">
        <v>0</v>
      </c>
      <c r="BD132" s="615">
        <v>0</v>
      </c>
      <c r="BE132" s="615">
        <v>0</v>
      </c>
      <c r="BF132" s="615">
        <v>0</v>
      </c>
      <c r="BG132" s="615">
        <v>0</v>
      </c>
      <c r="BH132" s="615">
        <v>0</v>
      </c>
      <c r="BI132" s="615">
        <v>0</v>
      </c>
      <c r="BJ132" s="615">
        <v>0</v>
      </c>
      <c r="BK132" s="615">
        <v>0</v>
      </c>
      <c r="BL132" s="615">
        <v>0</v>
      </c>
      <c r="BM132" s="615">
        <v>0</v>
      </c>
      <c r="BN132" s="615">
        <v>0</v>
      </c>
      <c r="BO132" s="615">
        <v>0</v>
      </c>
      <c r="BP132" s="615">
        <v>0</v>
      </c>
      <c r="BQ132" s="615">
        <v>0</v>
      </c>
      <c r="BR132" s="615">
        <v>0</v>
      </c>
      <c r="BS132" s="615">
        <v>0</v>
      </c>
      <c r="BT132" s="615">
        <v>0</v>
      </c>
      <c r="BU132" s="615">
        <v>0</v>
      </c>
      <c r="BV132" s="615">
        <v>0</v>
      </c>
      <c r="BW132" s="615">
        <v>0</v>
      </c>
      <c r="BX132" s="607">
        <f t="shared" si="1"/>
        <v>0</v>
      </c>
    </row>
    <row r="133" spans="1:76" s="612" customFormat="1" ht="11.25" customHeight="1" x14ac:dyDescent="0.2">
      <c r="A133" s="905"/>
      <c r="B133" s="610" t="s">
        <v>894</v>
      </c>
      <c r="C133" s="634" t="s">
        <v>1881</v>
      </c>
      <c r="D133" s="609">
        <v>0</v>
      </c>
      <c r="E133" s="609">
        <v>0</v>
      </c>
      <c r="F133" s="609">
        <v>0</v>
      </c>
      <c r="G133" s="609">
        <v>0</v>
      </c>
      <c r="H133" s="585">
        <v>0</v>
      </c>
      <c r="I133" s="609">
        <v>0</v>
      </c>
      <c r="J133" s="609">
        <v>0</v>
      </c>
      <c r="K133" s="609">
        <v>0</v>
      </c>
      <c r="L133" s="609">
        <v>0</v>
      </c>
      <c r="M133" s="609">
        <v>0</v>
      </c>
      <c r="N133" s="609">
        <v>0</v>
      </c>
      <c r="O133" s="609">
        <v>0</v>
      </c>
      <c r="P133" s="609">
        <v>0</v>
      </c>
      <c r="Q133" s="609">
        <v>0</v>
      </c>
      <c r="R133" s="609">
        <v>0</v>
      </c>
      <c r="S133" s="609">
        <v>0</v>
      </c>
      <c r="T133" s="609">
        <v>0</v>
      </c>
      <c r="U133" s="609">
        <v>0</v>
      </c>
      <c r="V133" s="609">
        <v>0</v>
      </c>
      <c r="W133" s="609">
        <v>0</v>
      </c>
      <c r="X133" s="609">
        <v>0</v>
      </c>
      <c r="Y133" s="609">
        <v>0</v>
      </c>
      <c r="Z133" s="609">
        <v>0</v>
      </c>
      <c r="AA133" s="609">
        <v>0</v>
      </c>
      <c r="AB133" s="609">
        <v>0</v>
      </c>
      <c r="AC133" s="609">
        <v>0</v>
      </c>
      <c r="AD133" s="609">
        <v>0</v>
      </c>
      <c r="AE133" s="609">
        <v>0</v>
      </c>
      <c r="AF133" s="609">
        <v>0</v>
      </c>
      <c r="AG133" s="609">
        <v>0</v>
      </c>
      <c r="AH133" s="609">
        <v>0</v>
      </c>
      <c r="AI133" s="609">
        <v>0</v>
      </c>
      <c r="AJ133" s="609">
        <v>0</v>
      </c>
      <c r="AK133" s="609">
        <v>0</v>
      </c>
      <c r="AL133" s="609">
        <v>0</v>
      </c>
      <c r="AM133" s="609">
        <v>0</v>
      </c>
      <c r="AN133" s="609">
        <v>0</v>
      </c>
      <c r="AO133" s="609">
        <v>0</v>
      </c>
      <c r="AP133" s="609">
        <v>134205</v>
      </c>
      <c r="AQ133" s="609">
        <v>0</v>
      </c>
      <c r="AR133" s="609">
        <v>0</v>
      </c>
      <c r="AS133" s="609">
        <v>0</v>
      </c>
      <c r="AT133" s="609">
        <v>0</v>
      </c>
      <c r="AU133" s="609">
        <v>0</v>
      </c>
      <c r="AV133" s="609">
        <v>0</v>
      </c>
      <c r="AW133" s="615">
        <v>0</v>
      </c>
      <c r="AX133" s="615">
        <v>0</v>
      </c>
      <c r="AY133" s="615">
        <v>0</v>
      </c>
      <c r="AZ133" s="615">
        <v>0</v>
      </c>
      <c r="BA133" s="615">
        <v>0</v>
      </c>
      <c r="BB133" s="615">
        <v>0</v>
      </c>
      <c r="BC133" s="615">
        <v>0</v>
      </c>
      <c r="BD133" s="615">
        <v>0</v>
      </c>
      <c r="BE133" s="615">
        <v>0</v>
      </c>
      <c r="BF133" s="615">
        <v>0</v>
      </c>
      <c r="BG133" s="615">
        <v>0</v>
      </c>
      <c r="BH133" s="615">
        <v>0</v>
      </c>
      <c r="BI133" s="615">
        <v>0</v>
      </c>
      <c r="BJ133" s="615">
        <v>0</v>
      </c>
      <c r="BK133" s="615">
        <v>0</v>
      </c>
      <c r="BL133" s="615">
        <v>0</v>
      </c>
      <c r="BM133" s="615">
        <v>0</v>
      </c>
      <c r="BN133" s="615">
        <v>0</v>
      </c>
      <c r="BO133" s="615">
        <v>0</v>
      </c>
      <c r="BP133" s="615">
        <v>0</v>
      </c>
      <c r="BQ133" s="615">
        <v>0</v>
      </c>
      <c r="BR133" s="615">
        <v>0</v>
      </c>
      <c r="BS133" s="615">
        <v>0</v>
      </c>
      <c r="BT133" s="615">
        <v>0</v>
      </c>
      <c r="BU133" s="615">
        <v>0</v>
      </c>
      <c r="BV133" s="615">
        <v>0</v>
      </c>
      <c r="BW133" s="615">
        <v>0</v>
      </c>
      <c r="BX133" s="607">
        <f t="shared" ref="BX133:BX152" si="2">SUM(K133:BW133)</f>
        <v>134205</v>
      </c>
    </row>
    <row r="134" spans="1:76" s="612" customFormat="1" ht="11.25" customHeight="1" x14ac:dyDescent="0.2">
      <c r="A134" s="905"/>
      <c r="B134" s="610" t="s">
        <v>918</v>
      </c>
      <c r="C134" s="634" t="s">
        <v>1882</v>
      </c>
      <c r="D134" s="609">
        <v>0</v>
      </c>
      <c r="E134" s="609">
        <v>0</v>
      </c>
      <c r="F134" s="609">
        <v>0</v>
      </c>
      <c r="G134" s="609">
        <v>0</v>
      </c>
      <c r="H134" s="585">
        <v>0</v>
      </c>
      <c r="I134" s="609">
        <v>0</v>
      </c>
      <c r="J134" s="609">
        <v>0</v>
      </c>
      <c r="K134" s="609">
        <v>0</v>
      </c>
      <c r="L134" s="609">
        <v>0</v>
      </c>
      <c r="M134" s="609">
        <v>0</v>
      </c>
      <c r="N134" s="609">
        <v>0</v>
      </c>
      <c r="O134" s="609">
        <v>0</v>
      </c>
      <c r="P134" s="609">
        <v>0</v>
      </c>
      <c r="Q134" s="609">
        <v>0</v>
      </c>
      <c r="R134" s="609">
        <v>0</v>
      </c>
      <c r="S134" s="609">
        <v>0</v>
      </c>
      <c r="T134" s="609">
        <v>0</v>
      </c>
      <c r="U134" s="609">
        <v>0</v>
      </c>
      <c r="V134" s="609">
        <v>0</v>
      </c>
      <c r="W134" s="609">
        <v>0</v>
      </c>
      <c r="X134" s="609">
        <v>0</v>
      </c>
      <c r="Y134" s="609">
        <v>0</v>
      </c>
      <c r="Z134" s="609">
        <v>0</v>
      </c>
      <c r="AA134" s="609">
        <v>0</v>
      </c>
      <c r="AB134" s="609">
        <v>0</v>
      </c>
      <c r="AC134" s="609">
        <v>0</v>
      </c>
      <c r="AD134" s="609">
        <v>0</v>
      </c>
      <c r="AE134" s="609">
        <v>0</v>
      </c>
      <c r="AF134" s="609">
        <v>0</v>
      </c>
      <c r="AG134" s="609">
        <v>0</v>
      </c>
      <c r="AH134" s="609">
        <v>0</v>
      </c>
      <c r="AI134" s="609">
        <v>0</v>
      </c>
      <c r="AJ134" s="609">
        <v>0</v>
      </c>
      <c r="AK134" s="609">
        <v>0</v>
      </c>
      <c r="AL134" s="609">
        <v>0</v>
      </c>
      <c r="AM134" s="609">
        <v>0</v>
      </c>
      <c r="AN134" s="609">
        <v>0</v>
      </c>
      <c r="AO134" s="609">
        <v>0</v>
      </c>
      <c r="AP134" s="609">
        <v>0</v>
      </c>
      <c r="AQ134" s="609">
        <v>0</v>
      </c>
      <c r="AR134" s="609">
        <v>0</v>
      </c>
      <c r="AS134" s="609">
        <v>0</v>
      </c>
      <c r="AT134" s="609">
        <v>0</v>
      </c>
      <c r="AU134" s="609">
        <v>0</v>
      </c>
      <c r="AV134" s="609">
        <v>0</v>
      </c>
      <c r="AW134" s="615">
        <v>0</v>
      </c>
      <c r="AX134" s="615">
        <v>0</v>
      </c>
      <c r="AY134" s="615">
        <v>0</v>
      </c>
      <c r="AZ134" s="615">
        <v>0</v>
      </c>
      <c r="BA134" s="615">
        <v>0</v>
      </c>
      <c r="BB134" s="615">
        <v>0</v>
      </c>
      <c r="BC134" s="615">
        <v>0</v>
      </c>
      <c r="BD134" s="615">
        <v>0</v>
      </c>
      <c r="BE134" s="615">
        <v>0</v>
      </c>
      <c r="BF134" s="615">
        <v>0</v>
      </c>
      <c r="BG134" s="615">
        <v>0</v>
      </c>
      <c r="BH134" s="615">
        <v>0</v>
      </c>
      <c r="BI134" s="615">
        <v>0</v>
      </c>
      <c r="BJ134" s="615">
        <v>0</v>
      </c>
      <c r="BK134" s="615">
        <v>0</v>
      </c>
      <c r="BL134" s="615">
        <v>0</v>
      </c>
      <c r="BM134" s="615">
        <v>0</v>
      </c>
      <c r="BN134" s="615">
        <v>0</v>
      </c>
      <c r="BO134" s="615">
        <v>0</v>
      </c>
      <c r="BP134" s="615">
        <v>0</v>
      </c>
      <c r="BQ134" s="615">
        <v>0</v>
      </c>
      <c r="BR134" s="615">
        <v>0</v>
      </c>
      <c r="BS134" s="615">
        <v>0</v>
      </c>
      <c r="BT134" s="615">
        <v>0</v>
      </c>
      <c r="BU134" s="615">
        <v>0</v>
      </c>
      <c r="BV134" s="615">
        <v>0</v>
      </c>
      <c r="BW134" s="615">
        <v>0</v>
      </c>
      <c r="BX134" s="607">
        <f t="shared" si="2"/>
        <v>0</v>
      </c>
    </row>
    <row r="135" spans="1:76" s="612" customFormat="1" ht="11.25" customHeight="1" x14ac:dyDescent="0.2">
      <c r="A135" s="905"/>
      <c r="B135" s="610" t="s">
        <v>1645</v>
      </c>
      <c r="C135" s="634" t="s">
        <v>1883</v>
      </c>
      <c r="D135" s="609">
        <v>0</v>
      </c>
      <c r="E135" s="609">
        <v>0</v>
      </c>
      <c r="F135" s="609">
        <v>0</v>
      </c>
      <c r="G135" s="609">
        <v>0</v>
      </c>
      <c r="H135" s="585">
        <v>0</v>
      </c>
      <c r="I135" s="609">
        <v>0</v>
      </c>
      <c r="J135" s="609">
        <v>0</v>
      </c>
      <c r="K135" s="609">
        <v>0</v>
      </c>
      <c r="L135" s="609">
        <v>0</v>
      </c>
      <c r="M135" s="609">
        <v>0</v>
      </c>
      <c r="N135" s="609">
        <v>0</v>
      </c>
      <c r="O135" s="609">
        <v>0</v>
      </c>
      <c r="P135" s="609">
        <v>0</v>
      </c>
      <c r="Q135" s="609">
        <v>0</v>
      </c>
      <c r="R135" s="609">
        <v>0</v>
      </c>
      <c r="S135" s="609">
        <v>0</v>
      </c>
      <c r="T135" s="609">
        <v>0</v>
      </c>
      <c r="U135" s="609">
        <v>0</v>
      </c>
      <c r="V135" s="609">
        <v>0</v>
      </c>
      <c r="W135" s="609">
        <v>0</v>
      </c>
      <c r="X135" s="609">
        <v>0</v>
      </c>
      <c r="Y135" s="609">
        <v>0</v>
      </c>
      <c r="Z135" s="609">
        <v>0</v>
      </c>
      <c r="AA135" s="609">
        <v>0</v>
      </c>
      <c r="AB135" s="609">
        <v>0</v>
      </c>
      <c r="AC135" s="609">
        <v>0</v>
      </c>
      <c r="AD135" s="609">
        <v>0</v>
      </c>
      <c r="AE135" s="609">
        <v>0</v>
      </c>
      <c r="AF135" s="609">
        <v>0</v>
      </c>
      <c r="AG135" s="609">
        <v>0</v>
      </c>
      <c r="AH135" s="609">
        <v>0</v>
      </c>
      <c r="AI135" s="609">
        <v>0</v>
      </c>
      <c r="AJ135" s="609">
        <v>0</v>
      </c>
      <c r="AK135" s="609">
        <v>0</v>
      </c>
      <c r="AL135" s="609">
        <v>0</v>
      </c>
      <c r="AM135" s="609">
        <v>0</v>
      </c>
      <c r="AN135" s="609">
        <v>0</v>
      </c>
      <c r="AO135" s="609">
        <v>0</v>
      </c>
      <c r="AP135" s="609">
        <v>0</v>
      </c>
      <c r="AQ135" s="609">
        <v>109783</v>
      </c>
      <c r="AR135" s="609">
        <v>0</v>
      </c>
      <c r="AS135" s="609">
        <v>0</v>
      </c>
      <c r="AT135" s="609">
        <v>0</v>
      </c>
      <c r="AU135" s="609">
        <v>0</v>
      </c>
      <c r="AV135" s="609">
        <v>0</v>
      </c>
      <c r="AW135" s="615">
        <v>0</v>
      </c>
      <c r="AX135" s="615">
        <v>0</v>
      </c>
      <c r="AY135" s="615">
        <v>0</v>
      </c>
      <c r="AZ135" s="615">
        <v>0</v>
      </c>
      <c r="BA135" s="615">
        <v>0</v>
      </c>
      <c r="BB135" s="615">
        <v>0</v>
      </c>
      <c r="BC135" s="615">
        <v>0</v>
      </c>
      <c r="BD135" s="615">
        <v>0</v>
      </c>
      <c r="BE135" s="615">
        <v>0</v>
      </c>
      <c r="BF135" s="615">
        <v>0</v>
      </c>
      <c r="BG135" s="615">
        <v>0</v>
      </c>
      <c r="BH135" s="615">
        <v>0</v>
      </c>
      <c r="BI135" s="615">
        <v>0</v>
      </c>
      <c r="BJ135" s="615">
        <v>0</v>
      </c>
      <c r="BK135" s="615">
        <v>0</v>
      </c>
      <c r="BL135" s="615">
        <v>0</v>
      </c>
      <c r="BM135" s="615">
        <v>0</v>
      </c>
      <c r="BN135" s="615">
        <v>0</v>
      </c>
      <c r="BO135" s="615">
        <v>0</v>
      </c>
      <c r="BP135" s="615">
        <v>0</v>
      </c>
      <c r="BQ135" s="615">
        <v>0</v>
      </c>
      <c r="BR135" s="615">
        <v>0</v>
      </c>
      <c r="BS135" s="615">
        <v>0</v>
      </c>
      <c r="BT135" s="615">
        <v>0</v>
      </c>
      <c r="BU135" s="615">
        <v>0</v>
      </c>
      <c r="BV135" s="615">
        <v>0</v>
      </c>
      <c r="BW135" s="615">
        <v>0</v>
      </c>
      <c r="BX135" s="607">
        <f t="shared" si="2"/>
        <v>109783</v>
      </c>
    </row>
    <row r="136" spans="1:76" s="612" customFormat="1" ht="11.25" customHeight="1" x14ac:dyDescent="0.2">
      <c r="A136" s="905"/>
      <c r="B136" s="610" t="s">
        <v>981</v>
      </c>
      <c r="C136" s="634" t="s">
        <v>1884</v>
      </c>
      <c r="D136" s="609">
        <v>0</v>
      </c>
      <c r="E136" s="609">
        <v>0</v>
      </c>
      <c r="F136" s="609">
        <v>0</v>
      </c>
      <c r="G136" s="609">
        <v>0</v>
      </c>
      <c r="H136" s="585">
        <v>0</v>
      </c>
      <c r="I136" s="609">
        <v>0</v>
      </c>
      <c r="J136" s="609">
        <v>0</v>
      </c>
      <c r="K136" s="609">
        <v>0</v>
      </c>
      <c r="L136" s="609">
        <v>0</v>
      </c>
      <c r="M136" s="609">
        <v>0</v>
      </c>
      <c r="N136" s="609">
        <v>0</v>
      </c>
      <c r="O136" s="609">
        <v>0</v>
      </c>
      <c r="P136" s="609">
        <v>0</v>
      </c>
      <c r="Q136" s="609">
        <v>0</v>
      </c>
      <c r="R136" s="609">
        <v>0</v>
      </c>
      <c r="S136" s="609">
        <v>0</v>
      </c>
      <c r="T136" s="609">
        <v>0</v>
      </c>
      <c r="U136" s="609">
        <v>0</v>
      </c>
      <c r="V136" s="609">
        <v>0</v>
      </c>
      <c r="W136" s="609">
        <v>0</v>
      </c>
      <c r="X136" s="609">
        <v>0</v>
      </c>
      <c r="Y136" s="609">
        <v>0</v>
      </c>
      <c r="Z136" s="609">
        <v>0</v>
      </c>
      <c r="AA136" s="609">
        <v>0</v>
      </c>
      <c r="AB136" s="609">
        <v>0</v>
      </c>
      <c r="AC136" s="609">
        <v>0</v>
      </c>
      <c r="AD136" s="609">
        <v>0</v>
      </c>
      <c r="AE136" s="609">
        <v>0</v>
      </c>
      <c r="AF136" s="609">
        <v>0</v>
      </c>
      <c r="AG136" s="609">
        <v>0</v>
      </c>
      <c r="AH136" s="609">
        <v>0</v>
      </c>
      <c r="AI136" s="609">
        <v>0</v>
      </c>
      <c r="AJ136" s="609">
        <v>0</v>
      </c>
      <c r="AK136" s="609">
        <v>0</v>
      </c>
      <c r="AL136" s="609">
        <v>0</v>
      </c>
      <c r="AM136" s="609">
        <v>0</v>
      </c>
      <c r="AN136" s="609">
        <v>0</v>
      </c>
      <c r="AO136" s="609">
        <v>0</v>
      </c>
      <c r="AP136" s="609">
        <v>0</v>
      </c>
      <c r="AQ136" s="609">
        <v>0</v>
      </c>
      <c r="AR136" s="609">
        <v>0</v>
      </c>
      <c r="AS136" s="609">
        <v>0</v>
      </c>
      <c r="AT136" s="609">
        <v>0</v>
      </c>
      <c r="AU136" s="609">
        <v>0</v>
      </c>
      <c r="AV136" s="609">
        <v>0</v>
      </c>
      <c r="AW136" s="615">
        <v>0</v>
      </c>
      <c r="AX136" s="615">
        <v>0</v>
      </c>
      <c r="AY136" s="615">
        <v>0</v>
      </c>
      <c r="AZ136" s="615">
        <v>0</v>
      </c>
      <c r="BA136" s="615">
        <v>0</v>
      </c>
      <c r="BB136" s="615">
        <v>0</v>
      </c>
      <c r="BC136" s="615">
        <v>0</v>
      </c>
      <c r="BD136" s="615">
        <v>0</v>
      </c>
      <c r="BE136" s="615">
        <v>0</v>
      </c>
      <c r="BF136" s="615">
        <v>0</v>
      </c>
      <c r="BG136" s="615">
        <v>0</v>
      </c>
      <c r="BH136" s="615">
        <v>0</v>
      </c>
      <c r="BI136" s="615">
        <v>0</v>
      </c>
      <c r="BJ136" s="615">
        <v>0</v>
      </c>
      <c r="BK136" s="615">
        <v>0</v>
      </c>
      <c r="BL136" s="615">
        <v>0</v>
      </c>
      <c r="BM136" s="615">
        <v>0</v>
      </c>
      <c r="BN136" s="615">
        <v>0</v>
      </c>
      <c r="BO136" s="615">
        <v>0</v>
      </c>
      <c r="BP136" s="615">
        <v>0</v>
      </c>
      <c r="BQ136" s="615">
        <v>0</v>
      </c>
      <c r="BR136" s="615">
        <v>0</v>
      </c>
      <c r="BS136" s="615">
        <v>0</v>
      </c>
      <c r="BT136" s="615">
        <v>0</v>
      </c>
      <c r="BU136" s="615">
        <v>0</v>
      </c>
      <c r="BV136" s="615">
        <v>0</v>
      </c>
      <c r="BW136" s="615">
        <v>0</v>
      </c>
      <c r="BX136" s="607">
        <f t="shared" si="2"/>
        <v>0</v>
      </c>
    </row>
    <row r="137" spans="1:76" s="612" customFormat="1" ht="11.25" customHeight="1" x14ac:dyDescent="0.2">
      <c r="A137" s="905"/>
      <c r="B137" s="610" t="s">
        <v>895</v>
      </c>
      <c r="C137" s="634" t="s">
        <v>1885</v>
      </c>
      <c r="D137" s="609">
        <v>0</v>
      </c>
      <c r="E137" s="609">
        <v>0</v>
      </c>
      <c r="F137" s="609">
        <v>0</v>
      </c>
      <c r="G137" s="609">
        <v>0</v>
      </c>
      <c r="H137" s="585">
        <v>0</v>
      </c>
      <c r="I137" s="609">
        <v>0</v>
      </c>
      <c r="J137" s="609">
        <v>0</v>
      </c>
      <c r="K137" s="609">
        <v>0</v>
      </c>
      <c r="L137" s="609">
        <v>0</v>
      </c>
      <c r="M137" s="609">
        <v>0</v>
      </c>
      <c r="N137" s="609">
        <v>0</v>
      </c>
      <c r="O137" s="609">
        <v>0</v>
      </c>
      <c r="P137" s="609">
        <v>0</v>
      </c>
      <c r="Q137" s="609">
        <v>0</v>
      </c>
      <c r="R137" s="609">
        <v>0</v>
      </c>
      <c r="S137" s="609">
        <v>0</v>
      </c>
      <c r="T137" s="609">
        <v>0</v>
      </c>
      <c r="U137" s="609">
        <v>0</v>
      </c>
      <c r="V137" s="609">
        <v>0</v>
      </c>
      <c r="W137" s="609">
        <v>0</v>
      </c>
      <c r="X137" s="609">
        <v>0</v>
      </c>
      <c r="Y137" s="609">
        <v>0</v>
      </c>
      <c r="Z137" s="609">
        <v>0</v>
      </c>
      <c r="AA137" s="609">
        <v>0</v>
      </c>
      <c r="AB137" s="609">
        <v>0</v>
      </c>
      <c r="AC137" s="609">
        <v>0</v>
      </c>
      <c r="AD137" s="609">
        <v>0</v>
      </c>
      <c r="AE137" s="609">
        <v>0</v>
      </c>
      <c r="AF137" s="609">
        <v>0</v>
      </c>
      <c r="AG137" s="609">
        <v>0</v>
      </c>
      <c r="AH137" s="609">
        <v>0</v>
      </c>
      <c r="AI137" s="609">
        <v>0</v>
      </c>
      <c r="AJ137" s="609">
        <v>0</v>
      </c>
      <c r="AK137" s="609">
        <v>0</v>
      </c>
      <c r="AL137" s="609">
        <v>0</v>
      </c>
      <c r="AM137" s="609">
        <v>0</v>
      </c>
      <c r="AN137" s="609">
        <v>0</v>
      </c>
      <c r="AO137" s="609">
        <v>0</v>
      </c>
      <c r="AP137" s="609">
        <v>0</v>
      </c>
      <c r="AQ137" s="609">
        <v>0</v>
      </c>
      <c r="AR137" s="609">
        <v>0</v>
      </c>
      <c r="AS137" s="609">
        <v>0</v>
      </c>
      <c r="AT137" s="609">
        <v>0</v>
      </c>
      <c r="AU137" s="609">
        <v>0</v>
      </c>
      <c r="AV137" s="609">
        <v>0</v>
      </c>
      <c r="AW137" s="615">
        <v>0</v>
      </c>
      <c r="AX137" s="615">
        <v>0</v>
      </c>
      <c r="AY137" s="615">
        <v>0</v>
      </c>
      <c r="AZ137" s="615">
        <v>0</v>
      </c>
      <c r="BA137" s="615">
        <v>0</v>
      </c>
      <c r="BB137" s="615">
        <v>0</v>
      </c>
      <c r="BC137" s="615">
        <v>0</v>
      </c>
      <c r="BD137" s="615">
        <v>0</v>
      </c>
      <c r="BE137" s="615">
        <v>0</v>
      </c>
      <c r="BF137" s="615">
        <v>0</v>
      </c>
      <c r="BG137" s="615">
        <v>0</v>
      </c>
      <c r="BH137" s="615">
        <v>0</v>
      </c>
      <c r="BI137" s="615">
        <v>0</v>
      </c>
      <c r="BJ137" s="615">
        <v>0</v>
      </c>
      <c r="BK137" s="615">
        <v>0</v>
      </c>
      <c r="BL137" s="615">
        <v>0</v>
      </c>
      <c r="BM137" s="615">
        <v>0</v>
      </c>
      <c r="BN137" s="615">
        <v>0</v>
      </c>
      <c r="BO137" s="615">
        <v>0</v>
      </c>
      <c r="BP137" s="615">
        <v>0</v>
      </c>
      <c r="BQ137" s="615">
        <v>0</v>
      </c>
      <c r="BR137" s="615">
        <v>0</v>
      </c>
      <c r="BS137" s="615">
        <v>0</v>
      </c>
      <c r="BT137" s="615">
        <v>0</v>
      </c>
      <c r="BU137" s="615">
        <v>0</v>
      </c>
      <c r="BV137" s="615">
        <v>0</v>
      </c>
      <c r="BW137" s="615">
        <v>0</v>
      </c>
      <c r="BX137" s="607">
        <f t="shared" si="2"/>
        <v>0</v>
      </c>
    </row>
    <row r="138" spans="1:76" s="612" customFormat="1" ht="11.25" customHeight="1" x14ac:dyDescent="0.2">
      <c r="A138" s="905"/>
      <c r="B138" s="610" t="s">
        <v>921</v>
      </c>
      <c r="C138" s="634" t="s">
        <v>1886</v>
      </c>
      <c r="D138" s="609">
        <v>0</v>
      </c>
      <c r="E138" s="609" t="s">
        <v>1128</v>
      </c>
      <c r="F138" s="609" t="s">
        <v>1128</v>
      </c>
      <c r="G138" s="609" t="s">
        <v>1128</v>
      </c>
      <c r="H138" s="585">
        <v>0</v>
      </c>
      <c r="I138" s="609">
        <v>0</v>
      </c>
      <c r="J138" s="609">
        <v>0</v>
      </c>
      <c r="K138" s="609">
        <v>0</v>
      </c>
      <c r="L138" s="609">
        <v>0</v>
      </c>
      <c r="M138" s="609">
        <v>0</v>
      </c>
      <c r="N138" s="609">
        <v>0</v>
      </c>
      <c r="O138" s="609">
        <v>0</v>
      </c>
      <c r="P138" s="609">
        <v>0</v>
      </c>
      <c r="Q138" s="609">
        <v>0</v>
      </c>
      <c r="R138" s="609">
        <v>0</v>
      </c>
      <c r="S138" s="609">
        <v>0</v>
      </c>
      <c r="T138" s="609">
        <v>0</v>
      </c>
      <c r="U138" s="609">
        <v>0</v>
      </c>
      <c r="V138" s="609">
        <v>0</v>
      </c>
      <c r="W138" s="609">
        <v>0</v>
      </c>
      <c r="X138" s="609">
        <v>0</v>
      </c>
      <c r="Y138" s="609">
        <v>0</v>
      </c>
      <c r="Z138" s="609">
        <v>0</v>
      </c>
      <c r="AA138" s="609">
        <v>0</v>
      </c>
      <c r="AB138" s="609">
        <v>0</v>
      </c>
      <c r="AC138" s="609">
        <v>0</v>
      </c>
      <c r="AD138" s="609">
        <v>0</v>
      </c>
      <c r="AE138" s="609">
        <v>0</v>
      </c>
      <c r="AF138" s="609">
        <v>0</v>
      </c>
      <c r="AG138" s="609">
        <v>0</v>
      </c>
      <c r="AH138" s="609">
        <v>0</v>
      </c>
      <c r="AI138" s="609">
        <v>0</v>
      </c>
      <c r="AJ138" s="609">
        <v>0</v>
      </c>
      <c r="AK138" s="609">
        <v>0</v>
      </c>
      <c r="AL138" s="609">
        <v>0</v>
      </c>
      <c r="AM138" s="609">
        <v>0</v>
      </c>
      <c r="AN138" s="609">
        <v>0</v>
      </c>
      <c r="AO138" s="609">
        <v>0</v>
      </c>
      <c r="AP138" s="609">
        <v>0</v>
      </c>
      <c r="AQ138" s="609">
        <v>0</v>
      </c>
      <c r="AR138" s="609">
        <v>0</v>
      </c>
      <c r="AS138" s="609">
        <v>0</v>
      </c>
      <c r="AT138" s="609">
        <v>0</v>
      </c>
      <c r="AU138" s="609">
        <v>0</v>
      </c>
      <c r="AV138" s="609">
        <v>0</v>
      </c>
      <c r="AW138" s="615">
        <v>0</v>
      </c>
      <c r="AX138" s="615">
        <v>0</v>
      </c>
      <c r="AY138" s="615">
        <v>0</v>
      </c>
      <c r="AZ138" s="615">
        <v>0</v>
      </c>
      <c r="BA138" s="615">
        <v>0</v>
      </c>
      <c r="BB138" s="615">
        <v>0</v>
      </c>
      <c r="BC138" s="615">
        <v>0</v>
      </c>
      <c r="BD138" s="615">
        <v>0</v>
      </c>
      <c r="BE138" s="615">
        <v>0</v>
      </c>
      <c r="BF138" s="615">
        <v>0</v>
      </c>
      <c r="BG138" s="615">
        <v>0</v>
      </c>
      <c r="BH138" s="615">
        <v>0</v>
      </c>
      <c r="BI138" s="615">
        <v>0</v>
      </c>
      <c r="BJ138" s="615">
        <v>0</v>
      </c>
      <c r="BK138" s="615">
        <v>0</v>
      </c>
      <c r="BL138" s="615">
        <v>0</v>
      </c>
      <c r="BM138" s="615">
        <v>0</v>
      </c>
      <c r="BN138" s="615">
        <v>0</v>
      </c>
      <c r="BO138" s="615">
        <v>0</v>
      </c>
      <c r="BP138" s="615">
        <v>0</v>
      </c>
      <c r="BQ138" s="615">
        <v>0</v>
      </c>
      <c r="BR138" s="615">
        <v>0</v>
      </c>
      <c r="BS138" s="615">
        <v>0</v>
      </c>
      <c r="BT138" s="615">
        <v>0</v>
      </c>
      <c r="BU138" s="615">
        <v>0</v>
      </c>
      <c r="BV138" s="615">
        <v>0</v>
      </c>
      <c r="BW138" s="615">
        <v>0</v>
      </c>
      <c r="BX138" s="607">
        <f t="shared" si="2"/>
        <v>0</v>
      </c>
    </row>
    <row r="139" spans="1:76" s="612" customFormat="1" ht="11.25" customHeight="1" x14ac:dyDescent="0.2">
      <c r="A139" s="905"/>
      <c r="B139" s="610" t="s">
        <v>896</v>
      </c>
      <c r="C139" s="634" t="s">
        <v>1887</v>
      </c>
      <c r="D139" s="609">
        <v>0</v>
      </c>
      <c r="E139" s="609">
        <v>0</v>
      </c>
      <c r="F139" s="609">
        <v>0</v>
      </c>
      <c r="G139" s="609">
        <v>0</v>
      </c>
      <c r="H139" s="585">
        <v>0</v>
      </c>
      <c r="I139" s="609">
        <v>0</v>
      </c>
      <c r="J139" s="609">
        <v>0</v>
      </c>
      <c r="K139" s="609">
        <v>0</v>
      </c>
      <c r="L139" s="609">
        <v>0</v>
      </c>
      <c r="M139" s="609">
        <v>0</v>
      </c>
      <c r="N139" s="609">
        <v>0</v>
      </c>
      <c r="O139" s="609">
        <v>0</v>
      </c>
      <c r="P139" s="609">
        <v>0</v>
      </c>
      <c r="Q139" s="609">
        <v>0</v>
      </c>
      <c r="R139" s="609">
        <v>0</v>
      </c>
      <c r="S139" s="609">
        <v>0</v>
      </c>
      <c r="T139" s="609">
        <v>0</v>
      </c>
      <c r="U139" s="609">
        <v>0</v>
      </c>
      <c r="V139" s="609">
        <v>0</v>
      </c>
      <c r="W139" s="609">
        <v>0</v>
      </c>
      <c r="X139" s="609">
        <v>0</v>
      </c>
      <c r="Y139" s="609">
        <v>0</v>
      </c>
      <c r="Z139" s="609">
        <v>0</v>
      </c>
      <c r="AA139" s="609">
        <v>0</v>
      </c>
      <c r="AB139" s="609">
        <v>0</v>
      </c>
      <c r="AC139" s="609">
        <v>0</v>
      </c>
      <c r="AD139" s="609">
        <v>0</v>
      </c>
      <c r="AE139" s="609">
        <v>0</v>
      </c>
      <c r="AF139" s="609">
        <v>0</v>
      </c>
      <c r="AG139" s="609">
        <v>0</v>
      </c>
      <c r="AH139" s="609">
        <v>0</v>
      </c>
      <c r="AI139" s="609">
        <v>0</v>
      </c>
      <c r="AJ139" s="609">
        <v>0</v>
      </c>
      <c r="AK139" s="609">
        <v>0</v>
      </c>
      <c r="AL139" s="609">
        <v>0</v>
      </c>
      <c r="AM139" s="609">
        <v>0</v>
      </c>
      <c r="AN139" s="609">
        <v>0</v>
      </c>
      <c r="AO139" s="609">
        <v>0</v>
      </c>
      <c r="AP139" s="609">
        <v>0</v>
      </c>
      <c r="AQ139" s="609">
        <v>0</v>
      </c>
      <c r="AR139" s="609">
        <v>0</v>
      </c>
      <c r="AS139" s="609">
        <v>0</v>
      </c>
      <c r="AT139" s="609">
        <v>0</v>
      </c>
      <c r="AU139" s="609">
        <v>0</v>
      </c>
      <c r="AV139" s="609">
        <v>0</v>
      </c>
      <c r="AW139" s="615">
        <v>0</v>
      </c>
      <c r="AX139" s="615">
        <v>0</v>
      </c>
      <c r="AY139" s="615">
        <v>0</v>
      </c>
      <c r="AZ139" s="615">
        <v>0</v>
      </c>
      <c r="BA139" s="615">
        <v>0</v>
      </c>
      <c r="BB139" s="615">
        <v>0</v>
      </c>
      <c r="BC139" s="615">
        <v>0</v>
      </c>
      <c r="BD139" s="615">
        <v>0</v>
      </c>
      <c r="BE139" s="615">
        <v>0</v>
      </c>
      <c r="BF139" s="615">
        <v>0</v>
      </c>
      <c r="BG139" s="615">
        <v>0</v>
      </c>
      <c r="BH139" s="615">
        <v>0</v>
      </c>
      <c r="BI139" s="615">
        <v>0</v>
      </c>
      <c r="BJ139" s="615">
        <v>0</v>
      </c>
      <c r="BK139" s="615">
        <v>0</v>
      </c>
      <c r="BL139" s="615">
        <v>0</v>
      </c>
      <c r="BM139" s="615">
        <v>0</v>
      </c>
      <c r="BN139" s="615">
        <v>0</v>
      </c>
      <c r="BO139" s="615">
        <v>0</v>
      </c>
      <c r="BP139" s="615">
        <v>0</v>
      </c>
      <c r="BQ139" s="615">
        <v>0</v>
      </c>
      <c r="BR139" s="615">
        <v>0</v>
      </c>
      <c r="BS139" s="615">
        <v>0</v>
      </c>
      <c r="BT139" s="615">
        <v>0</v>
      </c>
      <c r="BU139" s="615">
        <v>0</v>
      </c>
      <c r="BV139" s="615">
        <v>0</v>
      </c>
      <c r="BW139" s="615">
        <v>0</v>
      </c>
      <c r="BX139" s="607">
        <f t="shared" si="2"/>
        <v>0</v>
      </c>
    </row>
    <row r="140" spans="1:76" s="612" customFormat="1" ht="11.25" customHeight="1" x14ac:dyDescent="0.2">
      <c r="A140" s="905"/>
      <c r="B140" s="610" t="s">
        <v>1675</v>
      </c>
      <c r="C140" s="634" t="s">
        <v>1888</v>
      </c>
      <c r="D140" s="609">
        <v>0</v>
      </c>
      <c r="E140" s="609">
        <v>0</v>
      </c>
      <c r="F140" s="609">
        <v>0</v>
      </c>
      <c r="G140" s="609">
        <v>0</v>
      </c>
      <c r="H140" s="585">
        <v>0</v>
      </c>
      <c r="I140" s="609">
        <v>0</v>
      </c>
      <c r="J140" s="609">
        <v>0</v>
      </c>
      <c r="K140" s="609">
        <v>0</v>
      </c>
      <c r="L140" s="609">
        <v>0</v>
      </c>
      <c r="M140" s="609">
        <v>0</v>
      </c>
      <c r="N140" s="609">
        <v>0</v>
      </c>
      <c r="O140" s="609">
        <v>0</v>
      </c>
      <c r="P140" s="609">
        <v>0</v>
      </c>
      <c r="Q140" s="609">
        <v>0</v>
      </c>
      <c r="R140" s="609">
        <v>0</v>
      </c>
      <c r="S140" s="609">
        <v>0</v>
      </c>
      <c r="T140" s="609">
        <v>0</v>
      </c>
      <c r="U140" s="609">
        <v>0</v>
      </c>
      <c r="V140" s="609">
        <v>0</v>
      </c>
      <c r="W140" s="609">
        <v>0</v>
      </c>
      <c r="X140" s="609">
        <v>0</v>
      </c>
      <c r="Y140" s="609">
        <v>0</v>
      </c>
      <c r="Z140" s="609">
        <v>0</v>
      </c>
      <c r="AA140" s="609">
        <v>0</v>
      </c>
      <c r="AB140" s="609">
        <v>0</v>
      </c>
      <c r="AC140" s="609">
        <v>0</v>
      </c>
      <c r="AD140" s="609">
        <v>0</v>
      </c>
      <c r="AE140" s="609">
        <v>0</v>
      </c>
      <c r="AF140" s="609">
        <v>0</v>
      </c>
      <c r="AG140" s="609">
        <v>0</v>
      </c>
      <c r="AH140" s="609">
        <v>0</v>
      </c>
      <c r="AI140" s="609">
        <v>0</v>
      </c>
      <c r="AJ140" s="609">
        <v>0</v>
      </c>
      <c r="AK140" s="609">
        <v>0</v>
      </c>
      <c r="AL140" s="609">
        <v>0</v>
      </c>
      <c r="AM140" s="609">
        <v>0</v>
      </c>
      <c r="AN140" s="609">
        <v>0</v>
      </c>
      <c r="AO140" s="609">
        <v>0</v>
      </c>
      <c r="AP140" s="609">
        <v>0</v>
      </c>
      <c r="AQ140" s="609">
        <v>0</v>
      </c>
      <c r="AR140" s="609">
        <v>0</v>
      </c>
      <c r="AS140" s="609">
        <v>0</v>
      </c>
      <c r="AT140" s="609">
        <v>0</v>
      </c>
      <c r="AU140" s="609">
        <v>0</v>
      </c>
      <c r="AV140" s="609">
        <v>0</v>
      </c>
      <c r="AW140" s="615">
        <v>0</v>
      </c>
      <c r="AX140" s="615">
        <v>0</v>
      </c>
      <c r="AY140" s="615">
        <v>0</v>
      </c>
      <c r="AZ140" s="615">
        <v>0</v>
      </c>
      <c r="BA140" s="615">
        <v>0</v>
      </c>
      <c r="BB140" s="615">
        <v>0</v>
      </c>
      <c r="BC140" s="615">
        <v>0</v>
      </c>
      <c r="BD140" s="615">
        <v>0</v>
      </c>
      <c r="BE140" s="615">
        <v>0</v>
      </c>
      <c r="BF140" s="615">
        <v>0</v>
      </c>
      <c r="BG140" s="615">
        <v>0</v>
      </c>
      <c r="BH140" s="615">
        <v>0</v>
      </c>
      <c r="BI140" s="615">
        <v>0</v>
      </c>
      <c r="BJ140" s="615">
        <v>0</v>
      </c>
      <c r="BK140" s="615">
        <v>0</v>
      </c>
      <c r="BL140" s="615">
        <v>0</v>
      </c>
      <c r="BM140" s="615">
        <v>0</v>
      </c>
      <c r="BN140" s="615">
        <v>0</v>
      </c>
      <c r="BO140" s="615">
        <v>0</v>
      </c>
      <c r="BP140" s="615">
        <v>0</v>
      </c>
      <c r="BQ140" s="615">
        <v>0</v>
      </c>
      <c r="BR140" s="615">
        <v>0</v>
      </c>
      <c r="BS140" s="615">
        <v>0</v>
      </c>
      <c r="BT140" s="615">
        <v>0</v>
      </c>
      <c r="BU140" s="615">
        <v>0</v>
      </c>
      <c r="BV140" s="615">
        <v>0</v>
      </c>
      <c r="BW140" s="615">
        <v>0</v>
      </c>
      <c r="BX140" s="607">
        <f t="shared" si="2"/>
        <v>0</v>
      </c>
    </row>
    <row r="141" spans="1:76" s="612" customFormat="1" ht="11.25" customHeight="1" x14ac:dyDescent="0.2">
      <c r="A141" s="905"/>
      <c r="B141" s="610" t="s">
        <v>1573</v>
      </c>
      <c r="C141" s="634" t="s">
        <v>1889</v>
      </c>
      <c r="D141" s="609"/>
      <c r="E141" s="609">
        <v>0</v>
      </c>
      <c r="F141" s="609">
        <v>0</v>
      </c>
      <c r="G141" s="609">
        <v>0</v>
      </c>
      <c r="H141" s="585">
        <v>0</v>
      </c>
      <c r="I141" s="609" t="s">
        <v>1128</v>
      </c>
      <c r="J141" s="609" t="s">
        <v>1128</v>
      </c>
      <c r="K141" s="609" t="s">
        <v>1128</v>
      </c>
      <c r="L141" s="609">
        <v>0</v>
      </c>
      <c r="M141" s="609">
        <v>0</v>
      </c>
      <c r="N141" s="609">
        <v>0</v>
      </c>
      <c r="O141" s="609">
        <v>0</v>
      </c>
      <c r="P141" s="609">
        <v>0</v>
      </c>
      <c r="Q141" s="609">
        <v>0</v>
      </c>
      <c r="R141" s="609">
        <v>0</v>
      </c>
      <c r="S141" s="609">
        <v>0</v>
      </c>
      <c r="T141" s="609">
        <v>0</v>
      </c>
      <c r="U141" s="609">
        <v>0</v>
      </c>
      <c r="V141" s="609">
        <v>0</v>
      </c>
      <c r="W141" s="609">
        <v>0</v>
      </c>
      <c r="X141" s="609">
        <v>0</v>
      </c>
      <c r="Y141" s="609">
        <v>0</v>
      </c>
      <c r="Z141" s="609">
        <v>0</v>
      </c>
      <c r="AA141" s="609">
        <v>0</v>
      </c>
      <c r="AB141" s="609">
        <v>0</v>
      </c>
      <c r="AC141" s="609">
        <v>0</v>
      </c>
      <c r="AD141" s="609">
        <v>0</v>
      </c>
      <c r="AE141" s="609">
        <v>0</v>
      </c>
      <c r="AF141" s="609">
        <v>0</v>
      </c>
      <c r="AG141" s="609">
        <v>0</v>
      </c>
      <c r="AH141" s="609">
        <v>0</v>
      </c>
      <c r="AI141" s="609">
        <v>0</v>
      </c>
      <c r="AJ141" s="609">
        <v>0</v>
      </c>
      <c r="AK141" s="609">
        <v>0</v>
      </c>
      <c r="AL141" s="609">
        <v>0</v>
      </c>
      <c r="AM141" s="609">
        <v>0</v>
      </c>
      <c r="AN141" s="609">
        <v>0</v>
      </c>
      <c r="AO141" s="609">
        <v>0</v>
      </c>
      <c r="AP141" s="609">
        <v>0</v>
      </c>
      <c r="AQ141" s="609">
        <v>0</v>
      </c>
      <c r="AR141" s="609">
        <v>0</v>
      </c>
      <c r="AS141" s="609">
        <v>0</v>
      </c>
      <c r="AT141" s="609">
        <v>0</v>
      </c>
      <c r="AU141" s="609">
        <v>0</v>
      </c>
      <c r="AV141" s="609">
        <v>0</v>
      </c>
      <c r="AW141" s="615">
        <v>0</v>
      </c>
      <c r="AX141" s="615">
        <v>0</v>
      </c>
      <c r="AY141" s="615">
        <v>0</v>
      </c>
      <c r="AZ141" s="615">
        <v>0</v>
      </c>
      <c r="BA141" s="615">
        <v>0</v>
      </c>
      <c r="BB141" s="615">
        <v>0</v>
      </c>
      <c r="BC141" s="615">
        <v>0</v>
      </c>
      <c r="BD141" s="615">
        <v>0</v>
      </c>
      <c r="BE141" s="615">
        <v>0</v>
      </c>
      <c r="BF141" s="615">
        <v>0</v>
      </c>
      <c r="BG141" s="615">
        <v>0</v>
      </c>
      <c r="BH141" s="615">
        <v>0</v>
      </c>
      <c r="BI141" s="615">
        <v>0</v>
      </c>
      <c r="BJ141" s="615">
        <v>0</v>
      </c>
      <c r="BK141" s="615">
        <v>0</v>
      </c>
      <c r="BL141" s="615">
        <v>0</v>
      </c>
      <c r="BM141" s="615">
        <v>0</v>
      </c>
      <c r="BN141" s="615">
        <v>0</v>
      </c>
      <c r="BO141" s="615">
        <v>0</v>
      </c>
      <c r="BP141" s="615">
        <v>0</v>
      </c>
      <c r="BQ141" s="615">
        <v>0</v>
      </c>
      <c r="BR141" s="615">
        <v>0</v>
      </c>
      <c r="BS141" s="615">
        <v>0</v>
      </c>
      <c r="BT141" s="615">
        <v>0</v>
      </c>
      <c r="BU141" s="615">
        <v>0</v>
      </c>
      <c r="BV141" s="615">
        <v>0</v>
      </c>
      <c r="BW141" s="615">
        <v>0</v>
      </c>
      <c r="BX141" s="607">
        <f t="shared" si="2"/>
        <v>0</v>
      </c>
    </row>
    <row r="142" spans="1:76" s="612" customFormat="1" ht="11.25" customHeight="1" x14ac:dyDescent="0.2">
      <c r="A142" s="905"/>
      <c r="B142" s="610" t="s">
        <v>1376</v>
      </c>
      <c r="C142" s="634" t="s">
        <v>1890</v>
      </c>
      <c r="D142" s="609">
        <v>0</v>
      </c>
      <c r="E142" s="609">
        <v>0</v>
      </c>
      <c r="F142" s="609">
        <v>0</v>
      </c>
      <c r="G142" s="609">
        <v>0</v>
      </c>
      <c r="H142" s="585">
        <v>0</v>
      </c>
      <c r="I142" s="609">
        <v>0</v>
      </c>
      <c r="J142" s="609">
        <v>0</v>
      </c>
      <c r="K142" s="609">
        <v>0</v>
      </c>
      <c r="L142" s="609">
        <v>0</v>
      </c>
      <c r="M142" s="609">
        <v>0</v>
      </c>
      <c r="N142" s="609">
        <v>0</v>
      </c>
      <c r="O142" s="609">
        <v>0</v>
      </c>
      <c r="P142" s="609">
        <v>0</v>
      </c>
      <c r="Q142" s="609">
        <v>0</v>
      </c>
      <c r="R142" s="609">
        <v>0</v>
      </c>
      <c r="S142" s="609">
        <v>0</v>
      </c>
      <c r="T142" s="609">
        <v>0</v>
      </c>
      <c r="U142" s="609">
        <v>0</v>
      </c>
      <c r="V142" s="609">
        <v>0</v>
      </c>
      <c r="W142" s="609">
        <v>0</v>
      </c>
      <c r="X142" s="609">
        <v>0</v>
      </c>
      <c r="Y142" s="609">
        <v>0</v>
      </c>
      <c r="Z142" s="609">
        <v>0</v>
      </c>
      <c r="AA142" s="609">
        <v>0</v>
      </c>
      <c r="AB142" s="609">
        <v>0</v>
      </c>
      <c r="AC142" s="609">
        <v>0</v>
      </c>
      <c r="AD142" s="609">
        <v>0</v>
      </c>
      <c r="AE142" s="609">
        <v>0</v>
      </c>
      <c r="AF142" s="609">
        <v>0</v>
      </c>
      <c r="AG142" s="609">
        <v>0</v>
      </c>
      <c r="AH142" s="609">
        <v>0</v>
      </c>
      <c r="AI142" s="609">
        <v>0</v>
      </c>
      <c r="AJ142" s="609">
        <v>0</v>
      </c>
      <c r="AK142" s="609">
        <v>0</v>
      </c>
      <c r="AL142" s="609">
        <v>0</v>
      </c>
      <c r="AM142" s="609">
        <v>0</v>
      </c>
      <c r="AN142" s="609">
        <v>0</v>
      </c>
      <c r="AO142" s="609">
        <v>0</v>
      </c>
      <c r="AP142" s="609">
        <v>0</v>
      </c>
      <c r="AQ142" s="609">
        <v>93534</v>
      </c>
      <c r="AR142" s="609">
        <v>0</v>
      </c>
      <c r="AS142" s="609">
        <v>0</v>
      </c>
      <c r="AT142" s="609">
        <v>0</v>
      </c>
      <c r="AU142" s="609">
        <v>0</v>
      </c>
      <c r="AV142" s="609">
        <v>0</v>
      </c>
      <c r="AW142" s="615">
        <v>0</v>
      </c>
      <c r="AX142" s="615">
        <v>0</v>
      </c>
      <c r="AY142" s="615">
        <v>0</v>
      </c>
      <c r="AZ142" s="615">
        <v>0</v>
      </c>
      <c r="BA142" s="615">
        <v>0</v>
      </c>
      <c r="BB142" s="615">
        <v>0</v>
      </c>
      <c r="BC142" s="615">
        <v>0</v>
      </c>
      <c r="BD142" s="615">
        <v>0</v>
      </c>
      <c r="BE142" s="615">
        <v>0</v>
      </c>
      <c r="BF142" s="615">
        <v>0</v>
      </c>
      <c r="BG142" s="615">
        <v>0</v>
      </c>
      <c r="BH142" s="615">
        <v>0</v>
      </c>
      <c r="BI142" s="615">
        <v>0</v>
      </c>
      <c r="BJ142" s="615">
        <v>0</v>
      </c>
      <c r="BK142" s="615">
        <v>0</v>
      </c>
      <c r="BL142" s="615">
        <v>0</v>
      </c>
      <c r="BM142" s="615">
        <v>0</v>
      </c>
      <c r="BN142" s="615">
        <v>0</v>
      </c>
      <c r="BO142" s="615">
        <v>0</v>
      </c>
      <c r="BP142" s="615">
        <v>0</v>
      </c>
      <c r="BQ142" s="615">
        <v>0</v>
      </c>
      <c r="BR142" s="615">
        <v>0</v>
      </c>
      <c r="BS142" s="615">
        <v>0</v>
      </c>
      <c r="BT142" s="615">
        <v>0</v>
      </c>
      <c r="BU142" s="615">
        <v>0</v>
      </c>
      <c r="BV142" s="615">
        <v>0</v>
      </c>
      <c r="BW142" s="615">
        <v>0</v>
      </c>
      <c r="BX142" s="607">
        <f t="shared" si="2"/>
        <v>93534</v>
      </c>
    </row>
    <row r="143" spans="1:76" s="612" customFormat="1" ht="11.25" customHeight="1" x14ac:dyDescent="0.2">
      <c r="A143" s="905"/>
      <c r="B143" s="610" t="s">
        <v>2608</v>
      </c>
      <c r="C143" s="634" t="s">
        <v>1891</v>
      </c>
      <c r="D143" s="609"/>
      <c r="E143" s="609"/>
      <c r="F143" s="609"/>
      <c r="G143" s="609"/>
      <c r="H143" s="585"/>
      <c r="I143" s="609"/>
      <c r="J143" s="609"/>
      <c r="K143" s="609"/>
      <c r="L143" s="609"/>
      <c r="M143" s="609"/>
      <c r="N143" s="609"/>
      <c r="O143" s="609"/>
      <c r="P143" s="609"/>
      <c r="Q143" s="609"/>
      <c r="R143" s="609"/>
      <c r="S143" s="609"/>
      <c r="T143" s="609"/>
      <c r="U143" s="609"/>
      <c r="V143" s="609"/>
      <c r="W143" s="609"/>
      <c r="X143" s="609"/>
      <c r="Y143" s="609"/>
      <c r="Z143" s="609"/>
      <c r="AA143" s="609"/>
      <c r="AB143" s="609">
        <v>0</v>
      </c>
      <c r="AC143" s="609">
        <v>0</v>
      </c>
      <c r="AD143" s="609">
        <v>0</v>
      </c>
      <c r="AE143" s="609">
        <v>0</v>
      </c>
      <c r="AF143" s="609">
        <v>0</v>
      </c>
      <c r="AG143" s="609">
        <v>0</v>
      </c>
      <c r="AH143" s="609">
        <v>0</v>
      </c>
      <c r="AI143" s="609">
        <v>0</v>
      </c>
      <c r="AJ143" s="609">
        <v>0</v>
      </c>
      <c r="AK143" s="609">
        <v>0</v>
      </c>
      <c r="AL143" s="609">
        <v>0</v>
      </c>
      <c r="AM143" s="609">
        <v>0</v>
      </c>
      <c r="AN143" s="609">
        <v>0</v>
      </c>
      <c r="AO143" s="609">
        <v>0</v>
      </c>
      <c r="AP143" s="609">
        <v>0</v>
      </c>
      <c r="AQ143" s="609">
        <v>118449</v>
      </c>
      <c r="AR143" s="609">
        <v>0</v>
      </c>
      <c r="AS143" s="609">
        <v>0</v>
      </c>
      <c r="AT143" s="609">
        <v>0</v>
      </c>
      <c r="AU143" s="609">
        <v>0</v>
      </c>
      <c r="AV143" s="609">
        <v>0</v>
      </c>
      <c r="AW143" s="615">
        <v>0</v>
      </c>
      <c r="AX143" s="615">
        <v>0</v>
      </c>
      <c r="AY143" s="615">
        <v>0</v>
      </c>
      <c r="AZ143" s="615">
        <v>0</v>
      </c>
      <c r="BA143" s="615">
        <v>0</v>
      </c>
      <c r="BB143" s="615">
        <v>0</v>
      </c>
      <c r="BC143" s="615">
        <v>0</v>
      </c>
      <c r="BD143" s="615">
        <v>0</v>
      </c>
      <c r="BE143" s="615">
        <v>0</v>
      </c>
      <c r="BF143" s="615">
        <v>0</v>
      </c>
      <c r="BG143" s="615">
        <v>0</v>
      </c>
      <c r="BH143" s="615">
        <v>0</v>
      </c>
      <c r="BI143" s="615">
        <v>0</v>
      </c>
      <c r="BJ143" s="615">
        <v>0</v>
      </c>
      <c r="BK143" s="615">
        <v>0</v>
      </c>
      <c r="BL143" s="615">
        <v>0</v>
      </c>
      <c r="BM143" s="615">
        <v>0</v>
      </c>
      <c r="BN143" s="615">
        <v>0</v>
      </c>
      <c r="BO143" s="615">
        <v>0</v>
      </c>
      <c r="BP143" s="615">
        <v>0</v>
      </c>
      <c r="BQ143" s="615">
        <v>0</v>
      </c>
      <c r="BR143" s="615">
        <v>0</v>
      </c>
      <c r="BS143" s="615">
        <v>0</v>
      </c>
      <c r="BT143" s="615">
        <v>0</v>
      </c>
      <c r="BU143" s="615">
        <v>0</v>
      </c>
      <c r="BV143" s="615">
        <v>0</v>
      </c>
      <c r="BW143" s="615">
        <v>0</v>
      </c>
      <c r="BX143" s="607">
        <f t="shared" si="2"/>
        <v>118449</v>
      </c>
    </row>
    <row r="144" spans="1:76" s="612" customFormat="1" ht="11.25" customHeight="1" x14ac:dyDescent="0.2">
      <c r="A144" s="905"/>
      <c r="B144" s="610" t="s">
        <v>1594</v>
      </c>
      <c r="C144" s="634" t="s">
        <v>1892</v>
      </c>
      <c r="D144" s="609">
        <v>0</v>
      </c>
      <c r="E144" s="609">
        <v>0</v>
      </c>
      <c r="F144" s="609">
        <v>0</v>
      </c>
      <c r="G144" s="609">
        <v>0</v>
      </c>
      <c r="H144" s="585">
        <v>0</v>
      </c>
      <c r="I144" s="609">
        <v>0</v>
      </c>
      <c r="J144" s="609">
        <v>0</v>
      </c>
      <c r="K144" s="609">
        <v>0</v>
      </c>
      <c r="L144" s="609">
        <v>0</v>
      </c>
      <c r="M144" s="609">
        <v>0</v>
      </c>
      <c r="N144" s="609">
        <v>0</v>
      </c>
      <c r="O144" s="609">
        <v>0</v>
      </c>
      <c r="P144" s="609">
        <v>0</v>
      </c>
      <c r="Q144" s="609">
        <v>0</v>
      </c>
      <c r="R144" s="609">
        <v>0</v>
      </c>
      <c r="S144" s="609">
        <v>0</v>
      </c>
      <c r="T144" s="609">
        <v>0</v>
      </c>
      <c r="U144" s="609">
        <v>0</v>
      </c>
      <c r="V144" s="609">
        <v>0</v>
      </c>
      <c r="W144" s="609">
        <v>0</v>
      </c>
      <c r="X144" s="609">
        <v>0</v>
      </c>
      <c r="Y144" s="609">
        <v>0</v>
      </c>
      <c r="Z144" s="609">
        <v>0</v>
      </c>
      <c r="AA144" s="609">
        <v>0</v>
      </c>
      <c r="AB144" s="609">
        <v>0</v>
      </c>
      <c r="AC144" s="609">
        <v>0</v>
      </c>
      <c r="AD144" s="609">
        <v>0</v>
      </c>
      <c r="AE144" s="609">
        <v>0</v>
      </c>
      <c r="AF144" s="609">
        <v>0</v>
      </c>
      <c r="AG144" s="609">
        <v>0</v>
      </c>
      <c r="AH144" s="609">
        <v>0</v>
      </c>
      <c r="AI144" s="609">
        <v>0</v>
      </c>
      <c r="AJ144" s="609">
        <v>0</v>
      </c>
      <c r="AK144" s="609">
        <v>0</v>
      </c>
      <c r="AL144" s="609">
        <v>0</v>
      </c>
      <c r="AM144" s="609">
        <v>0</v>
      </c>
      <c r="AN144" s="609">
        <v>0</v>
      </c>
      <c r="AO144" s="609">
        <v>0</v>
      </c>
      <c r="AP144" s="609">
        <v>0</v>
      </c>
      <c r="AQ144" s="609">
        <v>0</v>
      </c>
      <c r="AR144" s="609">
        <v>0</v>
      </c>
      <c r="AS144" s="609">
        <v>0</v>
      </c>
      <c r="AT144" s="609">
        <v>0</v>
      </c>
      <c r="AU144" s="609">
        <v>0</v>
      </c>
      <c r="AV144" s="609">
        <v>0</v>
      </c>
      <c r="AW144" s="615">
        <v>0</v>
      </c>
      <c r="AX144" s="615">
        <v>0</v>
      </c>
      <c r="AY144" s="615">
        <v>0</v>
      </c>
      <c r="AZ144" s="615">
        <v>0</v>
      </c>
      <c r="BA144" s="615">
        <v>0</v>
      </c>
      <c r="BB144" s="615">
        <v>0</v>
      </c>
      <c r="BC144" s="615">
        <v>0</v>
      </c>
      <c r="BD144" s="615">
        <v>0</v>
      </c>
      <c r="BE144" s="615">
        <v>0</v>
      </c>
      <c r="BF144" s="615">
        <v>0</v>
      </c>
      <c r="BG144" s="615">
        <v>0</v>
      </c>
      <c r="BH144" s="615">
        <v>0</v>
      </c>
      <c r="BI144" s="615">
        <v>0</v>
      </c>
      <c r="BJ144" s="615">
        <v>0</v>
      </c>
      <c r="BK144" s="615">
        <v>0</v>
      </c>
      <c r="BL144" s="615">
        <v>0</v>
      </c>
      <c r="BM144" s="615">
        <v>0</v>
      </c>
      <c r="BN144" s="615">
        <v>0</v>
      </c>
      <c r="BO144" s="615">
        <v>0</v>
      </c>
      <c r="BP144" s="615">
        <v>0</v>
      </c>
      <c r="BQ144" s="615">
        <v>0</v>
      </c>
      <c r="BR144" s="615">
        <v>0</v>
      </c>
      <c r="BS144" s="615">
        <v>0</v>
      </c>
      <c r="BT144" s="615">
        <v>0</v>
      </c>
      <c r="BU144" s="615">
        <v>0</v>
      </c>
      <c r="BV144" s="615">
        <v>0</v>
      </c>
      <c r="BW144" s="615">
        <v>0</v>
      </c>
      <c r="BX144" s="607">
        <f t="shared" si="2"/>
        <v>0</v>
      </c>
    </row>
    <row r="145" spans="1:76" s="612" customFormat="1" ht="11.25" customHeight="1" x14ac:dyDescent="0.2">
      <c r="A145" s="905"/>
      <c r="B145" s="610" t="s">
        <v>896</v>
      </c>
      <c r="C145" s="634" t="s">
        <v>1893</v>
      </c>
      <c r="D145" s="609">
        <v>0</v>
      </c>
      <c r="E145" s="609">
        <v>0</v>
      </c>
      <c r="F145" s="609">
        <v>0</v>
      </c>
      <c r="G145" s="609">
        <v>0</v>
      </c>
      <c r="H145" s="585">
        <v>0</v>
      </c>
      <c r="I145" s="609">
        <v>0</v>
      </c>
      <c r="J145" s="609">
        <v>0</v>
      </c>
      <c r="K145" s="609">
        <v>0</v>
      </c>
      <c r="L145" s="609">
        <v>0</v>
      </c>
      <c r="M145" s="609">
        <v>0</v>
      </c>
      <c r="N145" s="609">
        <v>0</v>
      </c>
      <c r="O145" s="609">
        <v>0</v>
      </c>
      <c r="P145" s="609">
        <v>0</v>
      </c>
      <c r="Q145" s="609">
        <v>0</v>
      </c>
      <c r="R145" s="609">
        <v>0</v>
      </c>
      <c r="S145" s="609">
        <v>0</v>
      </c>
      <c r="T145" s="609">
        <v>0</v>
      </c>
      <c r="U145" s="609">
        <v>0</v>
      </c>
      <c r="V145" s="609">
        <v>0</v>
      </c>
      <c r="W145" s="609">
        <v>0</v>
      </c>
      <c r="X145" s="609">
        <v>0</v>
      </c>
      <c r="Y145" s="609">
        <v>0</v>
      </c>
      <c r="Z145" s="609">
        <v>0</v>
      </c>
      <c r="AA145" s="609">
        <v>0</v>
      </c>
      <c r="AB145" s="609">
        <v>0</v>
      </c>
      <c r="AC145" s="609">
        <v>0</v>
      </c>
      <c r="AD145" s="609">
        <v>0</v>
      </c>
      <c r="AE145" s="609">
        <v>0</v>
      </c>
      <c r="AF145" s="609">
        <v>0</v>
      </c>
      <c r="AG145" s="609">
        <v>0</v>
      </c>
      <c r="AH145" s="609">
        <v>0</v>
      </c>
      <c r="AI145" s="609">
        <v>0</v>
      </c>
      <c r="AJ145" s="609">
        <v>0</v>
      </c>
      <c r="AK145" s="609">
        <v>0</v>
      </c>
      <c r="AL145" s="609">
        <v>0</v>
      </c>
      <c r="AM145" s="609">
        <v>0</v>
      </c>
      <c r="AN145" s="609">
        <v>0</v>
      </c>
      <c r="AO145" s="609">
        <v>0</v>
      </c>
      <c r="AP145" s="609">
        <v>0</v>
      </c>
      <c r="AQ145" s="609">
        <v>521547</v>
      </c>
      <c r="AR145" s="609">
        <v>0</v>
      </c>
      <c r="AS145" s="609">
        <v>0</v>
      </c>
      <c r="AT145" s="609">
        <v>0</v>
      </c>
      <c r="AU145" s="609">
        <v>0</v>
      </c>
      <c r="AV145" s="609">
        <v>0</v>
      </c>
      <c r="AW145" s="615">
        <v>0</v>
      </c>
      <c r="AX145" s="615">
        <v>0</v>
      </c>
      <c r="AY145" s="615">
        <v>0</v>
      </c>
      <c r="AZ145" s="615">
        <v>0</v>
      </c>
      <c r="BA145" s="615">
        <v>0</v>
      </c>
      <c r="BB145" s="615">
        <v>0</v>
      </c>
      <c r="BC145" s="615">
        <v>0</v>
      </c>
      <c r="BD145" s="615">
        <v>0</v>
      </c>
      <c r="BE145" s="615">
        <v>0</v>
      </c>
      <c r="BF145" s="615">
        <v>0</v>
      </c>
      <c r="BG145" s="615">
        <v>0</v>
      </c>
      <c r="BH145" s="615">
        <v>0</v>
      </c>
      <c r="BI145" s="615">
        <v>0</v>
      </c>
      <c r="BJ145" s="615">
        <v>0</v>
      </c>
      <c r="BK145" s="615">
        <v>0</v>
      </c>
      <c r="BL145" s="615">
        <v>0</v>
      </c>
      <c r="BM145" s="615">
        <v>0</v>
      </c>
      <c r="BN145" s="615">
        <v>0</v>
      </c>
      <c r="BO145" s="615">
        <v>0</v>
      </c>
      <c r="BP145" s="615">
        <v>0</v>
      </c>
      <c r="BQ145" s="615">
        <v>0</v>
      </c>
      <c r="BR145" s="615">
        <v>0</v>
      </c>
      <c r="BS145" s="615">
        <v>0</v>
      </c>
      <c r="BT145" s="615">
        <v>0</v>
      </c>
      <c r="BU145" s="615">
        <v>0</v>
      </c>
      <c r="BV145" s="615">
        <v>0</v>
      </c>
      <c r="BW145" s="615">
        <v>0</v>
      </c>
      <c r="BX145" s="607">
        <f t="shared" si="2"/>
        <v>521547</v>
      </c>
    </row>
    <row r="146" spans="1:76" s="612" customFormat="1" ht="11.25" customHeight="1" x14ac:dyDescent="0.2">
      <c r="A146" s="905"/>
      <c r="B146" s="610" t="s">
        <v>2608</v>
      </c>
      <c r="C146" s="634" t="s">
        <v>1894</v>
      </c>
      <c r="D146" s="609"/>
      <c r="E146" s="643"/>
      <c r="F146" s="609"/>
      <c r="G146" s="609"/>
      <c r="H146" s="585"/>
      <c r="I146" s="609"/>
      <c r="J146" s="609"/>
      <c r="K146" s="609"/>
      <c r="L146" s="609"/>
      <c r="M146" s="609"/>
      <c r="N146" s="609"/>
      <c r="O146" s="609"/>
      <c r="P146" s="609"/>
      <c r="Q146" s="609"/>
      <c r="R146" s="609"/>
      <c r="S146" s="609"/>
      <c r="T146" s="609"/>
      <c r="U146" s="609"/>
      <c r="V146" s="609"/>
      <c r="W146" s="609"/>
      <c r="X146" s="609"/>
      <c r="Y146" s="609"/>
      <c r="Z146" s="609"/>
      <c r="AA146" s="609"/>
      <c r="AB146" s="609">
        <v>0</v>
      </c>
      <c r="AC146" s="609">
        <v>0</v>
      </c>
      <c r="AD146" s="609">
        <v>0</v>
      </c>
      <c r="AE146" s="609">
        <v>0</v>
      </c>
      <c r="AF146" s="609">
        <v>0</v>
      </c>
      <c r="AG146" s="609">
        <v>0</v>
      </c>
      <c r="AH146" s="609">
        <v>0</v>
      </c>
      <c r="AI146" s="609">
        <v>0</v>
      </c>
      <c r="AJ146" s="609">
        <v>0</v>
      </c>
      <c r="AK146" s="609">
        <v>0</v>
      </c>
      <c r="AL146" s="609">
        <v>0</v>
      </c>
      <c r="AM146" s="609">
        <v>0</v>
      </c>
      <c r="AN146" s="609">
        <v>0</v>
      </c>
      <c r="AO146" s="609">
        <v>0</v>
      </c>
      <c r="AP146" s="609">
        <v>0</v>
      </c>
      <c r="AQ146" s="609">
        <v>0</v>
      </c>
      <c r="AR146" s="609">
        <v>0</v>
      </c>
      <c r="AS146" s="609">
        <v>0</v>
      </c>
      <c r="AT146" s="609">
        <v>0</v>
      </c>
      <c r="AU146" s="609">
        <v>0</v>
      </c>
      <c r="AV146" s="609">
        <v>0</v>
      </c>
      <c r="AW146" s="615">
        <v>0</v>
      </c>
      <c r="AX146" s="615">
        <v>0</v>
      </c>
      <c r="AY146" s="615">
        <v>0</v>
      </c>
      <c r="AZ146" s="615">
        <v>0</v>
      </c>
      <c r="BA146" s="615">
        <v>0</v>
      </c>
      <c r="BB146" s="615">
        <v>0</v>
      </c>
      <c r="BC146" s="615">
        <v>0</v>
      </c>
      <c r="BD146" s="615">
        <v>0</v>
      </c>
      <c r="BE146" s="615">
        <v>0</v>
      </c>
      <c r="BF146" s="615">
        <v>0</v>
      </c>
      <c r="BG146" s="615">
        <v>0</v>
      </c>
      <c r="BH146" s="615">
        <v>0</v>
      </c>
      <c r="BI146" s="615">
        <v>0</v>
      </c>
      <c r="BJ146" s="615">
        <v>0</v>
      </c>
      <c r="BK146" s="615">
        <v>0</v>
      </c>
      <c r="BL146" s="615">
        <v>0</v>
      </c>
      <c r="BM146" s="615">
        <v>0</v>
      </c>
      <c r="BN146" s="615">
        <v>0</v>
      </c>
      <c r="BO146" s="615">
        <v>0</v>
      </c>
      <c r="BP146" s="615">
        <v>0</v>
      </c>
      <c r="BQ146" s="615">
        <v>0</v>
      </c>
      <c r="BR146" s="615">
        <v>0</v>
      </c>
      <c r="BS146" s="615">
        <v>0</v>
      </c>
      <c r="BT146" s="615">
        <v>0</v>
      </c>
      <c r="BU146" s="615">
        <v>0</v>
      </c>
      <c r="BV146" s="615">
        <v>0</v>
      </c>
      <c r="BW146" s="615">
        <v>0</v>
      </c>
      <c r="BX146" s="607">
        <f t="shared" si="2"/>
        <v>0</v>
      </c>
    </row>
    <row r="147" spans="1:76" s="612" customFormat="1" ht="11.25" customHeight="1" x14ac:dyDescent="0.2">
      <c r="A147" s="905"/>
      <c r="B147" s="610" t="s">
        <v>898</v>
      </c>
      <c r="C147" s="634" t="s">
        <v>1895</v>
      </c>
      <c r="D147" s="609"/>
      <c r="E147" s="643"/>
      <c r="F147" s="609"/>
      <c r="G147" s="609"/>
      <c r="H147" s="585"/>
      <c r="I147" s="609"/>
      <c r="J147" s="609"/>
      <c r="K147" s="609"/>
      <c r="L147" s="609"/>
      <c r="M147" s="609"/>
      <c r="N147" s="609"/>
      <c r="O147" s="609"/>
      <c r="P147" s="609"/>
      <c r="Q147" s="609"/>
      <c r="R147" s="609"/>
      <c r="S147" s="609"/>
      <c r="T147" s="609"/>
      <c r="U147" s="609"/>
      <c r="V147" s="609"/>
      <c r="W147" s="609"/>
      <c r="X147" s="609"/>
      <c r="Y147" s="609"/>
      <c r="Z147" s="609"/>
      <c r="AA147" s="609"/>
      <c r="AB147" s="609">
        <v>0</v>
      </c>
      <c r="AC147" s="609">
        <v>0</v>
      </c>
      <c r="AD147" s="609">
        <v>0</v>
      </c>
      <c r="AE147" s="609">
        <v>0</v>
      </c>
      <c r="AF147" s="609">
        <v>0</v>
      </c>
      <c r="AG147" s="609">
        <v>0</v>
      </c>
      <c r="AH147" s="609">
        <v>0</v>
      </c>
      <c r="AI147" s="609">
        <v>0</v>
      </c>
      <c r="AJ147" s="609">
        <v>0</v>
      </c>
      <c r="AK147" s="609">
        <v>0</v>
      </c>
      <c r="AL147" s="609">
        <v>0</v>
      </c>
      <c r="AM147" s="609">
        <v>0</v>
      </c>
      <c r="AN147" s="609">
        <v>0</v>
      </c>
      <c r="AO147" s="609">
        <v>0</v>
      </c>
      <c r="AP147" s="609">
        <v>0</v>
      </c>
      <c r="AQ147" s="609">
        <v>0</v>
      </c>
      <c r="AR147" s="609">
        <v>0</v>
      </c>
      <c r="AS147" s="609">
        <v>0</v>
      </c>
      <c r="AT147" s="609">
        <v>1247231</v>
      </c>
      <c r="AU147" s="609">
        <v>0</v>
      </c>
      <c r="AV147" s="609">
        <v>1382542</v>
      </c>
      <c r="AW147" s="615">
        <v>0</v>
      </c>
      <c r="AX147" s="615">
        <v>0</v>
      </c>
      <c r="AY147" s="615">
        <v>0</v>
      </c>
      <c r="AZ147" s="615">
        <v>0</v>
      </c>
      <c r="BA147" s="615">
        <v>0</v>
      </c>
      <c r="BB147" s="615">
        <v>0</v>
      </c>
      <c r="BC147" s="615">
        <v>0</v>
      </c>
      <c r="BD147" s="615">
        <v>0</v>
      </c>
      <c r="BE147" s="615">
        <v>0</v>
      </c>
      <c r="BF147" s="615">
        <v>0</v>
      </c>
      <c r="BG147" s="615">
        <v>0</v>
      </c>
      <c r="BH147" s="615">
        <v>0</v>
      </c>
      <c r="BI147" s="615">
        <v>0</v>
      </c>
      <c r="BJ147" s="615">
        <v>0</v>
      </c>
      <c r="BK147" s="615">
        <v>0</v>
      </c>
      <c r="BL147" s="615">
        <v>0</v>
      </c>
      <c r="BM147" s="615">
        <v>0</v>
      </c>
      <c r="BN147" s="615">
        <v>0</v>
      </c>
      <c r="BO147" s="615">
        <v>0</v>
      </c>
      <c r="BP147" s="615">
        <v>0</v>
      </c>
      <c r="BQ147" s="615">
        <v>0</v>
      </c>
      <c r="BR147" s="615">
        <v>0</v>
      </c>
      <c r="BS147" s="615">
        <v>0</v>
      </c>
      <c r="BT147" s="615">
        <v>0</v>
      </c>
      <c r="BU147" s="615">
        <v>0</v>
      </c>
      <c r="BV147" s="615">
        <v>0</v>
      </c>
      <c r="BW147" s="615">
        <v>0</v>
      </c>
      <c r="BX147" s="607">
        <f t="shared" si="2"/>
        <v>2629773</v>
      </c>
    </row>
    <row r="148" spans="1:76" s="612" customFormat="1" ht="11.25" customHeight="1" x14ac:dyDescent="0.2">
      <c r="A148" s="905"/>
      <c r="B148" s="610" t="s">
        <v>897</v>
      </c>
      <c r="C148" s="634" t="s">
        <v>1896</v>
      </c>
      <c r="D148" s="609"/>
      <c r="E148" s="643"/>
      <c r="F148" s="609"/>
      <c r="G148" s="609"/>
      <c r="H148" s="585"/>
      <c r="I148" s="609"/>
      <c r="J148" s="609"/>
      <c r="K148" s="609"/>
      <c r="L148" s="609"/>
      <c r="M148" s="609"/>
      <c r="N148" s="609"/>
      <c r="O148" s="609"/>
      <c r="P148" s="609"/>
      <c r="Q148" s="609"/>
      <c r="R148" s="609"/>
      <c r="S148" s="609"/>
      <c r="T148" s="609"/>
      <c r="U148" s="609"/>
      <c r="V148" s="609"/>
      <c r="W148" s="609"/>
      <c r="X148" s="609"/>
      <c r="Y148" s="609"/>
      <c r="Z148" s="609"/>
      <c r="AA148" s="609"/>
      <c r="AB148" s="609">
        <v>0</v>
      </c>
      <c r="AC148" s="609">
        <v>0</v>
      </c>
      <c r="AD148" s="609">
        <v>0</v>
      </c>
      <c r="AE148" s="609">
        <v>0</v>
      </c>
      <c r="AF148" s="609">
        <v>0</v>
      </c>
      <c r="AG148" s="609">
        <v>0</v>
      </c>
      <c r="AH148" s="609">
        <v>0</v>
      </c>
      <c r="AI148" s="609">
        <v>0</v>
      </c>
      <c r="AJ148" s="609">
        <v>0</v>
      </c>
      <c r="AK148" s="609">
        <v>0</v>
      </c>
      <c r="AL148" s="609">
        <v>0</v>
      </c>
      <c r="AM148" s="609">
        <v>0</v>
      </c>
      <c r="AN148" s="609">
        <v>0</v>
      </c>
      <c r="AO148" s="609">
        <v>0</v>
      </c>
      <c r="AP148" s="609">
        <v>0</v>
      </c>
      <c r="AQ148" s="609">
        <v>0</v>
      </c>
      <c r="AR148" s="609">
        <v>0</v>
      </c>
      <c r="AS148" s="609">
        <v>0</v>
      </c>
      <c r="AT148" s="609">
        <v>0</v>
      </c>
      <c r="AU148" s="609">
        <v>0</v>
      </c>
      <c r="AV148" s="609">
        <v>0</v>
      </c>
      <c r="AW148" s="615">
        <v>0</v>
      </c>
      <c r="AX148" s="615">
        <v>0</v>
      </c>
      <c r="AY148" s="615">
        <v>0</v>
      </c>
      <c r="AZ148" s="615">
        <v>0</v>
      </c>
      <c r="BA148" s="615">
        <v>0</v>
      </c>
      <c r="BB148" s="615">
        <v>0</v>
      </c>
      <c r="BC148" s="615">
        <v>0</v>
      </c>
      <c r="BD148" s="615">
        <v>0</v>
      </c>
      <c r="BE148" s="615">
        <v>0</v>
      </c>
      <c r="BF148" s="615">
        <v>0</v>
      </c>
      <c r="BG148" s="615">
        <v>0</v>
      </c>
      <c r="BH148" s="615">
        <v>0</v>
      </c>
      <c r="BI148" s="615">
        <v>0</v>
      </c>
      <c r="BJ148" s="615">
        <v>0</v>
      </c>
      <c r="BK148" s="615">
        <v>0</v>
      </c>
      <c r="BL148" s="615">
        <v>0</v>
      </c>
      <c r="BM148" s="615">
        <v>0</v>
      </c>
      <c r="BN148" s="615">
        <v>0</v>
      </c>
      <c r="BO148" s="615">
        <v>0</v>
      </c>
      <c r="BP148" s="615">
        <v>0</v>
      </c>
      <c r="BQ148" s="615">
        <v>0</v>
      </c>
      <c r="BR148" s="615">
        <v>0</v>
      </c>
      <c r="BS148" s="615">
        <v>0</v>
      </c>
      <c r="BT148" s="615">
        <v>0</v>
      </c>
      <c r="BU148" s="615">
        <v>0</v>
      </c>
      <c r="BV148" s="615">
        <v>0</v>
      </c>
      <c r="BW148" s="615">
        <v>0</v>
      </c>
      <c r="BX148" s="607">
        <f t="shared" si="2"/>
        <v>0</v>
      </c>
    </row>
    <row r="149" spans="1:76" s="612" customFormat="1" ht="11.25" customHeight="1" x14ac:dyDescent="0.2">
      <c r="A149" s="905"/>
      <c r="B149" s="610" t="s">
        <v>1647</v>
      </c>
      <c r="C149" s="634" t="s">
        <v>1897</v>
      </c>
      <c r="D149" s="609"/>
      <c r="E149" s="643">
        <v>0</v>
      </c>
      <c r="F149" s="609">
        <v>0</v>
      </c>
      <c r="G149" s="609" t="s">
        <v>1128</v>
      </c>
      <c r="H149" s="585">
        <v>0</v>
      </c>
      <c r="I149" s="609">
        <v>0</v>
      </c>
      <c r="J149" s="609">
        <v>0</v>
      </c>
      <c r="K149" s="609">
        <v>0</v>
      </c>
      <c r="L149" s="609">
        <v>0</v>
      </c>
      <c r="M149" s="609">
        <v>0</v>
      </c>
      <c r="N149" s="609">
        <v>0</v>
      </c>
      <c r="O149" s="609">
        <v>0</v>
      </c>
      <c r="P149" s="609">
        <v>0</v>
      </c>
      <c r="Q149" s="609">
        <v>0</v>
      </c>
      <c r="R149" s="609">
        <v>0</v>
      </c>
      <c r="S149" s="609">
        <v>0</v>
      </c>
      <c r="T149" s="609">
        <v>0</v>
      </c>
      <c r="U149" s="609">
        <v>0</v>
      </c>
      <c r="V149" s="609">
        <v>0</v>
      </c>
      <c r="W149" s="609">
        <v>0</v>
      </c>
      <c r="X149" s="609">
        <v>0</v>
      </c>
      <c r="Y149" s="609">
        <v>0</v>
      </c>
      <c r="Z149" s="609">
        <v>0</v>
      </c>
      <c r="AA149" s="609">
        <v>0</v>
      </c>
      <c r="AB149" s="609">
        <v>0</v>
      </c>
      <c r="AC149" s="609">
        <v>0</v>
      </c>
      <c r="AD149" s="609">
        <v>0</v>
      </c>
      <c r="AE149" s="609">
        <v>0</v>
      </c>
      <c r="AF149" s="609">
        <v>0</v>
      </c>
      <c r="AG149" s="609">
        <v>0</v>
      </c>
      <c r="AH149" s="609">
        <v>0</v>
      </c>
      <c r="AI149" s="609">
        <v>0</v>
      </c>
      <c r="AJ149" s="609">
        <v>0</v>
      </c>
      <c r="AK149" s="609">
        <v>0</v>
      </c>
      <c r="AL149" s="609">
        <v>0</v>
      </c>
      <c r="AM149" s="609">
        <v>0</v>
      </c>
      <c r="AN149" s="609">
        <v>0</v>
      </c>
      <c r="AO149" s="609">
        <v>0</v>
      </c>
      <c r="AP149" s="609">
        <v>0</v>
      </c>
      <c r="AQ149" s="609">
        <v>66952</v>
      </c>
      <c r="AR149" s="609">
        <v>0</v>
      </c>
      <c r="AS149" s="609">
        <v>0</v>
      </c>
      <c r="AT149" s="609">
        <v>0</v>
      </c>
      <c r="AU149" s="609">
        <v>0</v>
      </c>
      <c r="AV149" s="609">
        <v>0</v>
      </c>
      <c r="AW149" s="615">
        <v>0</v>
      </c>
      <c r="AX149" s="615">
        <v>0</v>
      </c>
      <c r="AY149" s="615">
        <v>0</v>
      </c>
      <c r="AZ149" s="615">
        <v>0</v>
      </c>
      <c r="BA149" s="615">
        <v>0</v>
      </c>
      <c r="BB149" s="615">
        <v>0</v>
      </c>
      <c r="BC149" s="615">
        <v>0</v>
      </c>
      <c r="BD149" s="615">
        <v>0</v>
      </c>
      <c r="BE149" s="615">
        <v>0</v>
      </c>
      <c r="BF149" s="615">
        <v>0</v>
      </c>
      <c r="BG149" s="615">
        <v>0</v>
      </c>
      <c r="BH149" s="615">
        <v>0</v>
      </c>
      <c r="BI149" s="615">
        <v>0</v>
      </c>
      <c r="BJ149" s="615">
        <v>0</v>
      </c>
      <c r="BK149" s="615">
        <v>0</v>
      </c>
      <c r="BL149" s="615">
        <v>0</v>
      </c>
      <c r="BM149" s="615">
        <v>0</v>
      </c>
      <c r="BN149" s="615">
        <v>0</v>
      </c>
      <c r="BO149" s="615">
        <v>0</v>
      </c>
      <c r="BP149" s="615">
        <v>0</v>
      </c>
      <c r="BQ149" s="615">
        <v>0</v>
      </c>
      <c r="BR149" s="615">
        <v>0</v>
      </c>
      <c r="BS149" s="615">
        <v>0</v>
      </c>
      <c r="BT149" s="615">
        <v>0</v>
      </c>
      <c r="BU149" s="615">
        <v>0</v>
      </c>
      <c r="BV149" s="615">
        <v>0</v>
      </c>
      <c r="BW149" s="615">
        <v>0</v>
      </c>
      <c r="BX149" s="607">
        <f t="shared" si="2"/>
        <v>66952</v>
      </c>
    </row>
    <row r="150" spans="1:76" s="612" customFormat="1" ht="11.25" customHeight="1" x14ac:dyDescent="0.2">
      <c r="A150" s="905"/>
      <c r="B150" s="610" t="s">
        <v>896</v>
      </c>
      <c r="C150" s="634" t="s">
        <v>1898</v>
      </c>
      <c r="D150" s="609"/>
      <c r="E150" s="642"/>
      <c r="F150" s="609"/>
      <c r="G150" s="609"/>
      <c r="H150" s="585"/>
      <c r="I150" s="609"/>
      <c r="J150" s="609"/>
      <c r="K150" s="609"/>
      <c r="L150" s="609"/>
      <c r="M150" s="609"/>
      <c r="N150" s="609"/>
      <c r="O150" s="609"/>
      <c r="P150" s="609"/>
      <c r="Q150" s="609"/>
      <c r="R150" s="609"/>
      <c r="S150" s="609"/>
      <c r="T150" s="609"/>
      <c r="U150" s="609"/>
      <c r="V150" s="609"/>
      <c r="W150" s="609"/>
      <c r="X150" s="609"/>
      <c r="Y150" s="609"/>
      <c r="Z150" s="609"/>
      <c r="AA150" s="609"/>
      <c r="AB150" s="609"/>
      <c r="AC150" s="609"/>
      <c r="AD150" s="609"/>
      <c r="AE150" s="609"/>
      <c r="AF150" s="609"/>
      <c r="AG150" s="609"/>
      <c r="AH150" s="609">
        <v>0</v>
      </c>
      <c r="AI150" s="609">
        <v>0</v>
      </c>
      <c r="AJ150" s="609">
        <v>0</v>
      </c>
      <c r="AK150" s="609">
        <v>0</v>
      </c>
      <c r="AL150" s="609">
        <v>0</v>
      </c>
      <c r="AM150" s="609">
        <v>0</v>
      </c>
      <c r="AN150" s="609">
        <v>0</v>
      </c>
      <c r="AO150" s="609">
        <v>0</v>
      </c>
      <c r="AP150" s="609">
        <v>0</v>
      </c>
      <c r="AQ150" s="609">
        <v>639707</v>
      </c>
      <c r="AR150" s="609">
        <v>0</v>
      </c>
      <c r="AS150" s="609">
        <v>0</v>
      </c>
      <c r="AT150" s="609">
        <v>0</v>
      </c>
      <c r="AU150" s="609">
        <v>0</v>
      </c>
      <c r="AV150" s="609">
        <v>0</v>
      </c>
      <c r="AW150" s="615">
        <v>0</v>
      </c>
      <c r="AX150" s="615">
        <v>0</v>
      </c>
      <c r="AY150" s="615">
        <v>0</v>
      </c>
      <c r="AZ150" s="615">
        <v>0</v>
      </c>
      <c r="BA150" s="615">
        <v>0</v>
      </c>
      <c r="BB150" s="615">
        <v>0</v>
      </c>
      <c r="BC150" s="615">
        <v>0</v>
      </c>
      <c r="BD150" s="615">
        <v>0</v>
      </c>
      <c r="BE150" s="615">
        <v>0</v>
      </c>
      <c r="BF150" s="615">
        <v>0</v>
      </c>
      <c r="BG150" s="615">
        <v>0</v>
      </c>
      <c r="BH150" s="615">
        <v>0</v>
      </c>
      <c r="BI150" s="615">
        <v>0</v>
      </c>
      <c r="BJ150" s="615">
        <v>0</v>
      </c>
      <c r="BK150" s="615">
        <v>0</v>
      </c>
      <c r="BL150" s="615">
        <v>0</v>
      </c>
      <c r="BM150" s="615">
        <v>0</v>
      </c>
      <c r="BN150" s="615">
        <v>0</v>
      </c>
      <c r="BO150" s="615">
        <v>0</v>
      </c>
      <c r="BP150" s="615">
        <v>0</v>
      </c>
      <c r="BQ150" s="615">
        <v>0</v>
      </c>
      <c r="BR150" s="615">
        <v>0</v>
      </c>
      <c r="BS150" s="615">
        <v>0</v>
      </c>
      <c r="BT150" s="615">
        <v>0</v>
      </c>
      <c r="BU150" s="615">
        <v>0</v>
      </c>
      <c r="BV150" s="615">
        <v>0</v>
      </c>
      <c r="BW150" s="615">
        <v>0</v>
      </c>
      <c r="BX150" s="607">
        <f t="shared" si="2"/>
        <v>639707</v>
      </c>
    </row>
    <row r="151" spans="1:76" s="612" customFormat="1" ht="11.25" customHeight="1" x14ac:dyDescent="0.2">
      <c r="A151" s="905"/>
      <c r="B151" s="610" t="s">
        <v>899</v>
      </c>
      <c r="C151" s="634" t="s">
        <v>1899</v>
      </c>
      <c r="D151" s="609"/>
      <c r="E151" s="642"/>
      <c r="F151" s="609"/>
      <c r="G151" s="609"/>
      <c r="H151" s="585"/>
      <c r="I151" s="609"/>
      <c r="J151" s="609"/>
      <c r="K151" s="609"/>
      <c r="L151" s="609"/>
      <c r="M151" s="609"/>
      <c r="N151" s="609"/>
      <c r="O151" s="609"/>
      <c r="P151" s="609">
        <v>0</v>
      </c>
      <c r="Q151" s="609">
        <v>0</v>
      </c>
      <c r="R151" s="609">
        <v>0</v>
      </c>
      <c r="S151" s="609">
        <v>0</v>
      </c>
      <c r="T151" s="609">
        <v>0</v>
      </c>
      <c r="U151" s="609">
        <v>0</v>
      </c>
      <c r="V151" s="609">
        <v>0</v>
      </c>
      <c r="W151" s="609">
        <v>0</v>
      </c>
      <c r="X151" s="609">
        <v>0</v>
      </c>
      <c r="Y151" s="609">
        <v>0</v>
      </c>
      <c r="Z151" s="609">
        <v>0</v>
      </c>
      <c r="AA151" s="609">
        <v>0</v>
      </c>
      <c r="AB151" s="609">
        <v>0</v>
      </c>
      <c r="AC151" s="609">
        <v>0</v>
      </c>
      <c r="AD151" s="609">
        <v>0</v>
      </c>
      <c r="AE151" s="609">
        <v>0</v>
      </c>
      <c r="AF151" s="609">
        <v>0</v>
      </c>
      <c r="AG151" s="609">
        <v>0</v>
      </c>
      <c r="AH151" s="609">
        <v>0</v>
      </c>
      <c r="AI151" s="609">
        <v>0</v>
      </c>
      <c r="AJ151" s="609">
        <v>0</v>
      </c>
      <c r="AK151" s="609">
        <v>0</v>
      </c>
      <c r="AL151" s="609">
        <v>0</v>
      </c>
      <c r="AM151" s="609">
        <v>0</v>
      </c>
      <c r="AN151" s="609">
        <v>0</v>
      </c>
      <c r="AO151" s="609">
        <v>0</v>
      </c>
      <c r="AP151" s="609">
        <v>131271</v>
      </c>
      <c r="AQ151" s="609">
        <v>0</v>
      </c>
      <c r="AR151" s="609">
        <v>0</v>
      </c>
      <c r="AS151" s="609">
        <v>0</v>
      </c>
      <c r="AT151" s="609">
        <v>0</v>
      </c>
      <c r="AU151" s="609">
        <v>0</v>
      </c>
      <c r="AV151" s="609">
        <v>0</v>
      </c>
      <c r="AW151" s="615">
        <v>0</v>
      </c>
      <c r="AX151" s="615">
        <v>0</v>
      </c>
      <c r="AY151" s="615">
        <v>0</v>
      </c>
      <c r="AZ151" s="615">
        <v>0</v>
      </c>
      <c r="BA151" s="615">
        <v>0</v>
      </c>
      <c r="BB151" s="615">
        <v>0</v>
      </c>
      <c r="BC151" s="615">
        <v>0</v>
      </c>
      <c r="BD151" s="615">
        <v>0</v>
      </c>
      <c r="BE151" s="615">
        <v>0</v>
      </c>
      <c r="BF151" s="615">
        <v>0</v>
      </c>
      <c r="BG151" s="615">
        <v>0</v>
      </c>
      <c r="BH151" s="615">
        <v>0</v>
      </c>
      <c r="BI151" s="615">
        <v>0</v>
      </c>
      <c r="BJ151" s="615">
        <v>0</v>
      </c>
      <c r="BK151" s="615">
        <v>0</v>
      </c>
      <c r="BL151" s="615">
        <v>0</v>
      </c>
      <c r="BM151" s="615">
        <v>0</v>
      </c>
      <c r="BN151" s="615">
        <v>0</v>
      </c>
      <c r="BO151" s="615">
        <v>0</v>
      </c>
      <c r="BP151" s="615">
        <v>0</v>
      </c>
      <c r="BQ151" s="615">
        <v>0</v>
      </c>
      <c r="BR151" s="615">
        <v>0</v>
      </c>
      <c r="BS151" s="615">
        <v>0</v>
      </c>
      <c r="BT151" s="615">
        <v>0</v>
      </c>
      <c r="BU151" s="615">
        <v>0</v>
      </c>
      <c r="BV151" s="615">
        <v>0</v>
      </c>
      <c r="BW151" s="615">
        <v>0</v>
      </c>
      <c r="BX151" s="607">
        <f t="shared" si="2"/>
        <v>131271</v>
      </c>
    </row>
    <row r="152" spans="1:76" s="612" customFormat="1" ht="11.25" customHeight="1" x14ac:dyDescent="0.2">
      <c r="A152" s="905"/>
      <c r="B152" s="610" t="s">
        <v>1726</v>
      </c>
      <c r="C152" s="634" t="s">
        <v>1900</v>
      </c>
      <c r="D152" s="609"/>
      <c r="E152" s="642"/>
      <c r="F152" s="609"/>
      <c r="G152" s="609"/>
      <c r="H152" s="585"/>
      <c r="I152" s="609"/>
      <c r="J152" s="609"/>
      <c r="K152" s="609"/>
      <c r="L152" s="609"/>
      <c r="M152" s="609"/>
      <c r="N152" s="609"/>
      <c r="O152" s="609"/>
      <c r="P152" s="609"/>
      <c r="Q152" s="609"/>
      <c r="R152" s="609"/>
      <c r="S152" s="609"/>
      <c r="T152" s="609"/>
      <c r="U152" s="609"/>
      <c r="V152" s="609"/>
      <c r="W152" s="609"/>
      <c r="X152" s="609"/>
      <c r="Y152" s="609">
        <v>0</v>
      </c>
      <c r="Z152" s="609">
        <v>0</v>
      </c>
      <c r="AA152" s="609">
        <v>0</v>
      </c>
      <c r="AB152" s="609">
        <v>0</v>
      </c>
      <c r="AC152" s="609">
        <v>0</v>
      </c>
      <c r="AD152" s="609">
        <v>0</v>
      </c>
      <c r="AE152" s="609">
        <v>0</v>
      </c>
      <c r="AF152" s="609">
        <v>0</v>
      </c>
      <c r="AG152" s="609">
        <v>0</v>
      </c>
      <c r="AH152" s="609">
        <v>0</v>
      </c>
      <c r="AI152" s="609">
        <v>0</v>
      </c>
      <c r="AJ152" s="609">
        <v>0</v>
      </c>
      <c r="AK152" s="609">
        <v>0</v>
      </c>
      <c r="AL152" s="609">
        <v>0</v>
      </c>
      <c r="AM152" s="609">
        <v>0</v>
      </c>
      <c r="AN152" s="609">
        <v>0</v>
      </c>
      <c r="AO152" s="609">
        <v>0</v>
      </c>
      <c r="AP152" s="609">
        <v>0</v>
      </c>
      <c r="AQ152" s="609">
        <v>0</v>
      </c>
      <c r="AR152" s="609">
        <v>0</v>
      </c>
      <c r="AS152" s="609">
        <v>0</v>
      </c>
      <c r="AT152" s="609">
        <v>0</v>
      </c>
      <c r="AU152" s="609">
        <v>0</v>
      </c>
      <c r="AV152" s="609">
        <v>0</v>
      </c>
      <c r="AW152" s="615">
        <v>0</v>
      </c>
      <c r="AX152" s="615">
        <v>0</v>
      </c>
      <c r="AY152" s="615">
        <v>0</v>
      </c>
      <c r="AZ152" s="615">
        <v>0</v>
      </c>
      <c r="BA152" s="615">
        <v>0</v>
      </c>
      <c r="BB152" s="615">
        <v>0</v>
      </c>
      <c r="BC152" s="615">
        <v>0</v>
      </c>
      <c r="BD152" s="615">
        <v>0</v>
      </c>
      <c r="BE152" s="615">
        <v>0</v>
      </c>
      <c r="BF152" s="615">
        <v>0</v>
      </c>
      <c r="BG152" s="615">
        <v>0</v>
      </c>
      <c r="BH152" s="615">
        <v>0</v>
      </c>
      <c r="BI152" s="615">
        <v>0</v>
      </c>
      <c r="BJ152" s="615">
        <v>0</v>
      </c>
      <c r="BK152" s="615">
        <v>0</v>
      </c>
      <c r="BL152" s="615">
        <v>0</v>
      </c>
      <c r="BM152" s="615">
        <v>0</v>
      </c>
      <c r="BN152" s="615">
        <v>0</v>
      </c>
      <c r="BO152" s="615">
        <v>0</v>
      </c>
      <c r="BP152" s="615">
        <v>0</v>
      </c>
      <c r="BQ152" s="615">
        <v>0</v>
      </c>
      <c r="BR152" s="615">
        <v>0</v>
      </c>
      <c r="BS152" s="615">
        <v>0</v>
      </c>
      <c r="BT152" s="615">
        <v>0</v>
      </c>
      <c r="BU152" s="615">
        <v>0</v>
      </c>
      <c r="BV152" s="615">
        <v>0</v>
      </c>
      <c r="BW152" s="615">
        <v>0</v>
      </c>
      <c r="BX152" s="607">
        <f t="shared" si="2"/>
        <v>0</v>
      </c>
    </row>
    <row r="153" spans="1:76" s="612" customFormat="1" ht="12.95" customHeight="1" x14ac:dyDescent="0.2">
      <c r="A153" s="617" t="s">
        <v>944</v>
      </c>
      <c r="B153" s="680"/>
      <c r="C153" s="681">
        <f>COUNTA(C4:C152)</f>
        <v>149</v>
      </c>
      <c r="D153" s="616">
        <f t="shared" ref="D153:AI153" si="3">SUM(D4:D152)</f>
        <v>0</v>
      </c>
      <c r="E153" s="616">
        <f t="shared" si="3"/>
        <v>0</v>
      </c>
      <c r="F153" s="616">
        <f t="shared" si="3"/>
        <v>0</v>
      </c>
      <c r="G153" s="616">
        <f t="shared" si="3"/>
        <v>0</v>
      </c>
      <c r="H153" s="616">
        <f t="shared" si="3"/>
        <v>0</v>
      </c>
      <c r="I153" s="616">
        <f t="shared" si="3"/>
        <v>0</v>
      </c>
      <c r="J153" s="616">
        <f t="shared" si="3"/>
        <v>0</v>
      </c>
      <c r="K153" s="616">
        <f t="shared" si="3"/>
        <v>0</v>
      </c>
      <c r="L153" s="616">
        <f t="shared" si="3"/>
        <v>0</v>
      </c>
      <c r="M153" s="616">
        <f t="shared" si="3"/>
        <v>0</v>
      </c>
      <c r="N153" s="616">
        <f t="shared" si="3"/>
        <v>0</v>
      </c>
      <c r="O153" s="616">
        <f t="shared" si="3"/>
        <v>0</v>
      </c>
      <c r="P153" s="616">
        <f t="shared" si="3"/>
        <v>0</v>
      </c>
      <c r="Q153" s="616">
        <f t="shared" si="3"/>
        <v>0</v>
      </c>
      <c r="R153" s="616">
        <f t="shared" si="3"/>
        <v>0</v>
      </c>
      <c r="S153" s="616">
        <f t="shared" si="3"/>
        <v>0</v>
      </c>
      <c r="T153" s="616">
        <f t="shared" si="3"/>
        <v>0</v>
      </c>
      <c r="U153" s="616">
        <f t="shared" si="3"/>
        <v>0</v>
      </c>
      <c r="V153" s="616">
        <f t="shared" si="3"/>
        <v>0</v>
      </c>
      <c r="W153" s="616">
        <f t="shared" si="3"/>
        <v>0</v>
      </c>
      <c r="X153" s="616">
        <f t="shared" si="3"/>
        <v>0</v>
      </c>
      <c r="Y153" s="616">
        <f t="shared" si="3"/>
        <v>0</v>
      </c>
      <c r="Z153" s="616">
        <f t="shared" si="3"/>
        <v>0</v>
      </c>
      <c r="AA153" s="616">
        <f t="shared" si="3"/>
        <v>0</v>
      </c>
      <c r="AB153" s="616">
        <f t="shared" si="3"/>
        <v>0</v>
      </c>
      <c r="AC153" s="616">
        <f t="shared" si="3"/>
        <v>0</v>
      </c>
      <c r="AD153" s="616">
        <f t="shared" si="3"/>
        <v>0</v>
      </c>
      <c r="AE153" s="616">
        <f t="shared" si="3"/>
        <v>0</v>
      </c>
      <c r="AF153" s="616">
        <f t="shared" si="3"/>
        <v>0</v>
      </c>
      <c r="AG153" s="616">
        <f t="shared" si="3"/>
        <v>0</v>
      </c>
      <c r="AH153" s="616">
        <f t="shared" si="3"/>
        <v>0</v>
      </c>
      <c r="AI153" s="616">
        <f t="shared" si="3"/>
        <v>592417395</v>
      </c>
      <c r="AJ153" s="616">
        <f t="shared" ref="AJ153:BO153" si="4">SUM(AJ4:AJ152)</f>
        <v>0</v>
      </c>
      <c r="AK153" s="616">
        <f t="shared" si="4"/>
        <v>233516634</v>
      </c>
      <c r="AL153" s="616">
        <f t="shared" si="4"/>
        <v>1005293</v>
      </c>
      <c r="AM153" s="616">
        <f t="shared" si="4"/>
        <v>0</v>
      </c>
      <c r="AN153" s="616">
        <f t="shared" si="4"/>
        <v>2907941</v>
      </c>
      <c r="AO153" s="616">
        <f t="shared" si="4"/>
        <v>7097042</v>
      </c>
      <c r="AP153" s="616">
        <f t="shared" si="4"/>
        <v>2232364</v>
      </c>
      <c r="AQ153" s="616">
        <f t="shared" si="4"/>
        <v>13263874</v>
      </c>
      <c r="AR153" s="616">
        <f t="shared" si="4"/>
        <v>1434902</v>
      </c>
      <c r="AS153" s="616">
        <f t="shared" si="4"/>
        <v>294157273</v>
      </c>
      <c r="AT153" s="616">
        <f t="shared" si="4"/>
        <v>6364121</v>
      </c>
      <c r="AU153" s="616">
        <f t="shared" si="4"/>
        <v>0</v>
      </c>
      <c r="AV153" s="616">
        <f t="shared" si="4"/>
        <v>5504694</v>
      </c>
      <c r="AW153" s="616">
        <f t="shared" si="4"/>
        <v>24850588</v>
      </c>
      <c r="AX153" s="616">
        <f t="shared" si="4"/>
        <v>26817802</v>
      </c>
      <c r="AY153" s="616">
        <f t="shared" si="4"/>
        <v>320678042</v>
      </c>
      <c r="AZ153" s="616">
        <f t="shared" si="4"/>
        <v>2764636</v>
      </c>
      <c r="BA153" s="616">
        <f t="shared" si="4"/>
        <v>2740712</v>
      </c>
      <c r="BB153" s="616">
        <f t="shared" si="4"/>
        <v>2713242</v>
      </c>
      <c r="BC153" s="616">
        <f t="shared" si="4"/>
        <v>2683126</v>
      </c>
      <c r="BD153" s="616">
        <f t="shared" si="4"/>
        <v>0</v>
      </c>
      <c r="BE153" s="616">
        <f t="shared" si="4"/>
        <v>0</v>
      </c>
      <c r="BF153" s="616">
        <f t="shared" si="4"/>
        <v>0</v>
      </c>
      <c r="BG153" s="616">
        <f t="shared" si="4"/>
        <v>0</v>
      </c>
      <c r="BH153" s="616">
        <f t="shared" si="4"/>
        <v>0</v>
      </c>
      <c r="BI153" s="616">
        <f t="shared" si="4"/>
        <v>0</v>
      </c>
      <c r="BJ153" s="616">
        <f t="shared" si="4"/>
        <v>0</v>
      </c>
      <c r="BK153" s="616">
        <f t="shared" si="4"/>
        <v>0</v>
      </c>
      <c r="BL153" s="616">
        <f t="shared" si="4"/>
        <v>0</v>
      </c>
      <c r="BM153" s="616">
        <f t="shared" si="4"/>
        <v>0</v>
      </c>
      <c r="BN153" s="616">
        <f t="shared" si="4"/>
        <v>0</v>
      </c>
      <c r="BO153" s="616">
        <f t="shared" si="4"/>
        <v>0</v>
      </c>
      <c r="BP153" s="616">
        <f t="shared" ref="BP153:BX153" si="5">SUM(BP4:BP152)</f>
        <v>0</v>
      </c>
      <c r="BQ153" s="616">
        <f t="shared" si="5"/>
        <v>0</v>
      </c>
      <c r="BR153" s="616">
        <f t="shared" si="5"/>
        <v>0</v>
      </c>
      <c r="BS153" s="616">
        <f t="shared" si="5"/>
        <v>0</v>
      </c>
      <c r="BT153" s="616">
        <f t="shared" si="5"/>
        <v>0</v>
      </c>
      <c r="BU153" s="616">
        <f t="shared" si="5"/>
        <v>0</v>
      </c>
      <c r="BV153" s="616">
        <f t="shared" si="5"/>
        <v>0</v>
      </c>
      <c r="BW153" s="616">
        <f t="shared" si="5"/>
        <v>0</v>
      </c>
      <c r="BX153" s="616">
        <f t="shared" si="5"/>
        <v>1543149681</v>
      </c>
    </row>
    <row r="154" spans="1:76" s="612" customFormat="1" ht="11.25" customHeight="1" x14ac:dyDescent="0.2">
      <c r="A154" s="906" t="s">
        <v>968</v>
      </c>
      <c r="B154" s="611" t="s">
        <v>1558</v>
      </c>
      <c r="C154" s="641" t="s">
        <v>1901</v>
      </c>
      <c r="D154" s="615">
        <v>0</v>
      </c>
      <c r="E154" s="615">
        <v>0</v>
      </c>
      <c r="F154" s="615">
        <v>0</v>
      </c>
      <c r="G154" s="615">
        <v>0</v>
      </c>
      <c r="H154" s="585">
        <v>0</v>
      </c>
      <c r="I154" s="615">
        <v>0</v>
      </c>
      <c r="J154" s="615">
        <v>0</v>
      </c>
      <c r="K154" s="615">
        <v>0</v>
      </c>
      <c r="L154" s="615">
        <v>0</v>
      </c>
      <c r="M154" s="615">
        <v>0</v>
      </c>
      <c r="N154" s="615">
        <v>0</v>
      </c>
      <c r="O154" s="615">
        <v>0</v>
      </c>
      <c r="P154" s="615">
        <v>0</v>
      </c>
      <c r="Q154" s="615">
        <v>0</v>
      </c>
      <c r="R154" s="615">
        <v>0</v>
      </c>
      <c r="S154" s="615">
        <v>0</v>
      </c>
      <c r="T154" s="615">
        <v>0</v>
      </c>
      <c r="U154" s="615">
        <v>0</v>
      </c>
      <c r="V154" s="615">
        <v>0</v>
      </c>
      <c r="W154" s="615">
        <v>0</v>
      </c>
      <c r="X154" s="615">
        <v>0</v>
      </c>
      <c r="Y154" s="615">
        <v>0</v>
      </c>
      <c r="Z154" s="615">
        <v>0</v>
      </c>
      <c r="AA154" s="615">
        <v>0</v>
      </c>
      <c r="AB154" s="615">
        <v>0</v>
      </c>
      <c r="AC154" s="615">
        <v>0</v>
      </c>
      <c r="AD154" s="615">
        <v>0</v>
      </c>
      <c r="AE154" s="615">
        <v>0</v>
      </c>
      <c r="AF154" s="615">
        <v>0</v>
      </c>
      <c r="AG154" s="615">
        <v>0</v>
      </c>
      <c r="AH154" s="615">
        <v>0</v>
      </c>
      <c r="AI154" s="615">
        <v>0</v>
      </c>
      <c r="AJ154" s="615">
        <v>0</v>
      </c>
      <c r="AK154" s="615">
        <v>0</v>
      </c>
      <c r="AL154" s="615">
        <v>0</v>
      </c>
      <c r="AM154" s="615">
        <v>0</v>
      </c>
      <c r="AN154" s="615">
        <v>0</v>
      </c>
      <c r="AO154" s="615">
        <v>0</v>
      </c>
      <c r="AP154" s="615">
        <v>0</v>
      </c>
      <c r="AQ154" s="615">
        <v>0</v>
      </c>
      <c r="AR154" s="615">
        <v>0</v>
      </c>
      <c r="AS154" s="615">
        <v>0</v>
      </c>
      <c r="AT154" s="615">
        <v>0</v>
      </c>
      <c r="AU154" s="615">
        <v>574272</v>
      </c>
      <c r="AV154" s="615">
        <v>0</v>
      </c>
      <c r="AW154" s="615">
        <v>0</v>
      </c>
      <c r="AX154" s="615">
        <v>0</v>
      </c>
      <c r="AY154" s="615">
        <v>0</v>
      </c>
      <c r="AZ154" s="615">
        <v>0</v>
      </c>
      <c r="BA154" s="615">
        <v>0</v>
      </c>
      <c r="BB154" s="615">
        <v>0</v>
      </c>
      <c r="BC154" s="615">
        <v>0</v>
      </c>
      <c r="BD154" s="615">
        <v>0</v>
      </c>
      <c r="BE154" s="615">
        <v>0</v>
      </c>
      <c r="BF154" s="615">
        <v>0</v>
      </c>
      <c r="BG154" s="615">
        <v>0</v>
      </c>
      <c r="BH154" s="615">
        <v>0</v>
      </c>
      <c r="BI154" s="615">
        <v>0</v>
      </c>
      <c r="BJ154" s="615">
        <v>0</v>
      </c>
      <c r="BK154" s="615">
        <v>0</v>
      </c>
      <c r="BL154" s="615">
        <v>0</v>
      </c>
      <c r="BM154" s="615">
        <v>0</v>
      </c>
      <c r="BN154" s="615">
        <v>0</v>
      </c>
      <c r="BO154" s="615">
        <v>0</v>
      </c>
      <c r="BP154" s="615">
        <v>0</v>
      </c>
      <c r="BQ154" s="615">
        <v>0</v>
      </c>
      <c r="BR154" s="615">
        <v>0</v>
      </c>
      <c r="BS154" s="615">
        <v>0</v>
      </c>
      <c r="BT154" s="615">
        <v>0</v>
      </c>
      <c r="BU154" s="615">
        <v>0</v>
      </c>
      <c r="BV154" s="615">
        <v>0</v>
      </c>
      <c r="BW154" s="615">
        <v>0</v>
      </c>
      <c r="BX154" s="607">
        <f>SUM(K154:BW154)</f>
        <v>574272</v>
      </c>
    </row>
    <row r="155" spans="1:76" s="612" customFormat="1" ht="11.25" customHeight="1" x14ac:dyDescent="0.2">
      <c r="A155" s="907"/>
      <c r="B155" s="611" t="s">
        <v>1648</v>
      </c>
      <c r="C155" s="641" t="s">
        <v>1902</v>
      </c>
      <c r="D155" s="615">
        <v>0</v>
      </c>
      <c r="E155" s="615">
        <v>0</v>
      </c>
      <c r="F155" s="615">
        <v>0</v>
      </c>
      <c r="G155" s="615">
        <v>0</v>
      </c>
      <c r="H155" s="585">
        <v>0</v>
      </c>
      <c r="I155" s="615">
        <v>0</v>
      </c>
      <c r="J155" s="615">
        <v>0</v>
      </c>
      <c r="K155" s="615" t="s">
        <v>1128</v>
      </c>
      <c r="L155" s="615">
        <v>0</v>
      </c>
      <c r="M155" s="615">
        <v>0</v>
      </c>
      <c r="N155" s="615">
        <v>0</v>
      </c>
      <c r="O155" s="615">
        <v>0</v>
      </c>
      <c r="P155" s="615">
        <v>0</v>
      </c>
      <c r="Q155" s="615">
        <v>0</v>
      </c>
      <c r="R155" s="615">
        <v>0</v>
      </c>
      <c r="S155" s="615">
        <v>0</v>
      </c>
      <c r="T155" s="615">
        <v>0</v>
      </c>
      <c r="U155" s="615">
        <v>0</v>
      </c>
      <c r="V155" s="615">
        <v>0</v>
      </c>
      <c r="W155" s="615">
        <v>0</v>
      </c>
      <c r="X155" s="615">
        <v>0</v>
      </c>
      <c r="Y155" s="615">
        <v>0</v>
      </c>
      <c r="Z155" s="615">
        <v>0</v>
      </c>
      <c r="AA155" s="615">
        <v>0</v>
      </c>
      <c r="AB155" s="615">
        <v>0</v>
      </c>
      <c r="AC155" s="615">
        <v>0</v>
      </c>
      <c r="AD155" s="615">
        <v>0</v>
      </c>
      <c r="AE155" s="615">
        <v>0</v>
      </c>
      <c r="AF155" s="615">
        <v>0</v>
      </c>
      <c r="AG155" s="615">
        <v>0</v>
      </c>
      <c r="AH155" s="615">
        <v>0</v>
      </c>
      <c r="AI155" s="615">
        <v>0</v>
      </c>
      <c r="AJ155" s="615">
        <v>0</v>
      </c>
      <c r="AK155" s="615">
        <v>0</v>
      </c>
      <c r="AL155" s="615">
        <v>0</v>
      </c>
      <c r="AM155" s="615">
        <v>0</v>
      </c>
      <c r="AN155" s="615">
        <v>0</v>
      </c>
      <c r="AO155" s="615">
        <v>0</v>
      </c>
      <c r="AP155" s="615">
        <v>0</v>
      </c>
      <c r="AQ155" s="615">
        <v>0</v>
      </c>
      <c r="AR155" s="615">
        <v>0</v>
      </c>
      <c r="AS155" s="615">
        <v>0</v>
      </c>
      <c r="AT155" s="615">
        <v>0</v>
      </c>
      <c r="AU155" s="615">
        <v>0</v>
      </c>
      <c r="AV155" s="615">
        <v>0</v>
      </c>
      <c r="AW155" s="615">
        <v>0</v>
      </c>
      <c r="AX155" s="615">
        <v>0</v>
      </c>
      <c r="AY155" s="615">
        <v>0</v>
      </c>
      <c r="AZ155" s="615">
        <v>0</v>
      </c>
      <c r="BA155" s="615">
        <v>0</v>
      </c>
      <c r="BB155" s="615">
        <v>0</v>
      </c>
      <c r="BC155" s="615">
        <v>0</v>
      </c>
      <c r="BD155" s="615">
        <v>0</v>
      </c>
      <c r="BE155" s="615">
        <v>0</v>
      </c>
      <c r="BF155" s="615">
        <v>0</v>
      </c>
      <c r="BG155" s="615">
        <v>0</v>
      </c>
      <c r="BH155" s="615">
        <v>0</v>
      </c>
      <c r="BI155" s="615">
        <v>0</v>
      </c>
      <c r="BJ155" s="615">
        <v>0</v>
      </c>
      <c r="BK155" s="615">
        <v>0</v>
      </c>
      <c r="BL155" s="615">
        <v>0</v>
      </c>
      <c r="BM155" s="615">
        <v>0</v>
      </c>
      <c r="BN155" s="615">
        <v>0</v>
      </c>
      <c r="BO155" s="615">
        <v>0</v>
      </c>
      <c r="BP155" s="615">
        <v>0</v>
      </c>
      <c r="BQ155" s="615">
        <v>0</v>
      </c>
      <c r="BR155" s="615">
        <v>0</v>
      </c>
      <c r="BS155" s="615">
        <v>0</v>
      </c>
      <c r="BT155" s="615">
        <v>0</v>
      </c>
      <c r="BU155" s="615">
        <v>0</v>
      </c>
      <c r="BV155" s="615">
        <v>0</v>
      </c>
      <c r="BW155" s="615">
        <v>0</v>
      </c>
      <c r="BX155" s="607">
        <f t="shared" ref="BX155:BX218" si="6">SUM(K155:BW155)</f>
        <v>0</v>
      </c>
    </row>
    <row r="156" spans="1:76" s="612" customFormat="1" ht="11.25" customHeight="1" x14ac:dyDescent="0.2">
      <c r="A156" s="907"/>
      <c r="B156" s="611" t="s">
        <v>1710</v>
      </c>
      <c r="C156" s="641" t="s">
        <v>1903</v>
      </c>
      <c r="D156" s="615">
        <v>0</v>
      </c>
      <c r="E156" s="615">
        <v>0</v>
      </c>
      <c r="F156" s="615">
        <v>0</v>
      </c>
      <c r="G156" s="615">
        <v>0</v>
      </c>
      <c r="H156" s="585">
        <v>0</v>
      </c>
      <c r="I156" s="615">
        <v>0</v>
      </c>
      <c r="J156" s="615">
        <v>0</v>
      </c>
      <c r="K156" s="615">
        <v>0</v>
      </c>
      <c r="L156" s="615">
        <v>0</v>
      </c>
      <c r="M156" s="615">
        <v>0</v>
      </c>
      <c r="N156" s="615">
        <v>0</v>
      </c>
      <c r="O156" s="615">
        <v>0</v>
      </c>
      <c r="P156" s="615">
        <v>0</v>
      </c>
      <c r="Q156" s="615">
        <v>0</v>
      </c>
      <c r="R156" s="615">
        <v>0</v>
      </c>
      <c r="S156" s="615">
        <v>0</v>
      </c>
      <c r="T156" s="615">
        <v>0</v>
      </c>
      <c r="U156" s="615">
        <v>0</v>
      </c>
      <c r="V156" s="615">
        <v>0</v>
      </c>
      <c r="W156" s="615">
        <v>0</v>
      </c>
      <c r="X156" s="615">
        <v>0</v>
      </c>
      <c r="Y156" s="615">
        <v>0</v>
      </c>
      <c r="Z156" s="615">
        <v>0</v>
      </c>
      <c r="AA156" s="615">
        <v>0</v>
      </c>
      <c r="AB156" s="615">
        <v>0</v>
      </c>
      <c r="AC156" s="615">
        <v>0</v>
      </c>
      <c r="AD156" s="615">
        <v>0</v>
      </c>
      <c r="AE156" s="615">
        <v>0</v>
      </c>
      <c r="AF156" s="615">
        <v>0</v>
      </c>
      <c r="AG156" s="615">
        <v>0</v>
      </c>
      <c r="AH156" s="615">
        <v>0</v>
      </c>
      <c r="AI156" s="615">
        <v>0</v>
      </c>
      <c r="AJ156" s="615">
        <v>190000000</v>
      </c>
      <c r="AK156" s="615">
        <v>0</v>
      </c>
      <c r="AL156" s="615">
        <v>0</v>
      </c>
      <c r="AM156" s="615">
        <v>0</v>
      </c>
      <c r="AN156" s="615">
        <v>0</v>
      </c>
      <c r="AO156" s="615">
        <v>0</v>
      </c>
      <c r="AP156" s="615">
        <v>0</v>
      </c>
      <c r="AQ156" s="615">
        <v>0</v>
      </c>
      <c r="AR156" s="615">
        <v>0</v>
      </c>
      <c r="AS156" s="615">
        <v>0</v>
      </c>
      <c r="AT156" s="615">
        <v>0</v>
      </c>
      <c r="AU156" s="615">
        <v>0</v>
      </c>
      <c r="AV156" s="615">
        <v>0</v>
      </c>
      <c r="AW156" s="615">
        <v>0</v>
      </c>
      <c r="AX156" s="615">
        <v>0</v>
      </c>
      <c r="AY156" s="615">
        <v>0</v>
      </c>
      <c r="AZ156" s="615">
        <v>0</v>
      </c>
      <c r="BA156" s="615">
        <v>0</v>
      </c>
      <c r="BB156" s="615">
        <v>0</v>
      </c>
      <c r="BC156" s="615">
        <v>0</v>
      </c>
      <c r="BD156" s="615">
        <v>0</v>
      </c>
      <c r="BE156" s="615">
        <v>0</v>
      </c>
      <c r="BF156" s="615">
        <v>0</v>
      </c>
      <c r="BG156" s="615">
        <v>0</v>
      </c>
      <c r="BH156" s="615">
        <v>0</v>
      </c>
      <c r="BI156" s="615">
        <v>0</v>
      </c>
      <c r="BJ156" s="615">
        <v>0</v>
      </c>
      <c r="BK156" s="615">
        <v>0</v>
      </c>
      <c r="BL156" s="615">
        <v>0</v>
      </c>
      <c r="BM156" s="615">
        <v>0</v>
      </c>
      <c r="BN156" s="615">
        <v>0</v>
      </c>
      <c r="BO156" s="615">
        <v>0</v>
      </c>
      <c r="BP156" s="615">
        <v>0</v>
      </c>
      <c r="BQ156" s="615">
        <v>0</v>
      </c>
      <c r="BR156" s="615">
        <v>0</v>
      </c>
      <c r="BS156" s="615">
        <v>0</v>
      </c>
      <c r="BT156" s="615">
        <v>0</v>
      </c>
      <c r="BU156" s="615">
        <v>0</v>
      </c>
      <c r="BV156" s="615">
        <v>0</v>
      </c>
      <c r="BW156" s="615">
        <v>0</v>
      </c>
      <c r="BX156" s="607">
        <f t="shared" si="6"/>
        <v>190000000</v>
      </c>
    </row>
    <row r="157" spans="1:76" s="612" customFormat="1" ht="11.25" customHeight="1" x14ac:dyDescent="0.2">
      <c r="A157" s="907"/>
      <c r="B157" s="611" t="s">
        <v>3134</v>
      </c>
      <c r="C157" s="641" t="s">
        <v>1904</v>
      </c>
      <c r="D157" s="615">
        <v>0</v>
      </c>
      <c r="E157" s="615">
        <v>0</v>
      </c>
      <c r="F157" s="615">
        <v>0</v>
      </c>
      <c r="G157" s="615">
        <v>0</v>
      </c>
      <c r="H157" s="585">
        <v>0</v>
      </c>
      <c r="I157" s="615">
        <v>0</v>
      </c>
      <c r="J157" s="615">
        <v>0</v>
      </c>
      <c r="K157" s="615">
        <v>0</v>
      </c>
      <c r="L157" s="615">
        <v>0</v>
      </c>
      <c r="M157" s="615">
        <v>0</v>
      </c>
      <c r="N157" s="615">
        <v>0</v>
      </c>
      <c r="O157" s="615">
        <v>0</v>
      </c>
      <c r="P157" s="615">
        <v>0</v>
      </c>
      <c r="Q157" s="615">
        <v>0</v>
      </c>
      <c r="R157" s="615">
        <v>0</v>
      </c>
      <c r="S157" s="615">
        <v>0</v>
      </c>
      <c r="T157" s="615">
        <v>0</v>
      </c>
      <c r="U157" s="615">
        <v>0</v>
      </c>
      <c r="V157" s="615">
        <v>0</v>
      </c>
      <c r="W157" s="615">
        <v>0</v>
      </c>
      <c r="X157" s="615">
        <v>0</v>
      </c>
      <c r="Y157" s="615">
        <v>0</v>
      </c>
      <c r="Z157" s="615">
        <v>0</v>
      </c>
      <c r="AA157" s="615">
        <v>0</v>
      </c>
      <c r="AB157" s="615">
        <v>0</v>
      </c>
      <c r="AC157" s="615">
        <v>0</v>
      </c>
      <c r="AD157" s="615">
        <v>0</v>
      </c>
      <c r="AE157" s="615">
        <v>0</v>
      </c>
      <c r="AF157" s="615">
        <v>0</v>
      </c>
      <c r="AG157" s="615">
        <v>0</v>
      </c>
      <c r="AH157" s="615">
        <v>0</v>
      </c>
      <c r="AI157" s="615">
        <v>0</v>
      </c>
      <c r="AJ157" s="615">
        <v>0</v>
      </c>
      <c r="AK157" s="615">
        <v>0</v>
      </c>
      <c r="AL157" s="615">
        <v>0</v>
      </c>
      <c r="AM157" s="615">
        <v>0</v>
      </c>
      <c r="AN157" s="615">
        <v>0</v>
      </c>
      <c r="AO157" s="615">
        <v>0</v>
      </c>
      <c r="AP157" s="615">
        <v>0</v>
      </c>
      <c r="AQ157" s="615">
        <v>0</v>
      </c>
      <c r="AR157" s="615">
        <v>0</v>
      </c>
      <c r="AS157" s="615">
        <v>0</v>
      </c>
      <c r="AT157" s="615">
        <v>1299233</v>
      </c>
      <c r="AU157" s="615">
        <v>0</v>
      </c>
      <c r="AV157" s="615">
        <v>0</v>
      </c>
      <c r="AW157" s="615">
        <v>0</v>
      </c>
      <c r="AX157" s="615">
        <v>0</v>
      </c>
      <c r="AY157" s="615">
        <v>0</v>
      </c>
      <c r="AZ157" s="615">
        <v>0</v>
      </c>
      <c r="BA157" s="615">
        <v>0</v>
      </c>
      <c r="BB157" s="615">
        <v>0</v>
      </c>
      <c r="BC157" s="615">
        <v>0</v>
      </c>
      <c r="BD157" s="615">
        <v>0</v>
      </c>
      <c r="BE157" s="615">
        <v>0</v>
      </c>
      <c r="BF157" s="615">
        <v>0</v>
      </c>
      <c r="BG157" s="615">
        <v>0</v>
      </c>
      <c r="BH157" s="615">
        <v>0</v>
      </c>
      <c r="BI157" s="615">
        <v>0</v>
      </c>
      <c r="BJ157" s="615">
        <v>0</v>
      </c>
      <c r="BK157" s="615">
        <v>0</v>
      </c>
      <c r="BL157" s="615">
        <v>0</v>
      </c>
      <c r="BM157" s="615">
        <v>0</v>
      </c>
      <c r="BN157" s="615">
        <v>0</v>
      </c>
      <c r="BO157" s="615">
        <v>0</v>
      </c>
      <c r="BP157" s="615">
        <v>0</v>
      </c>
      <c r="BQ157" s="615">
        <v>0</v>
      </c>
      <c r="BR157" s="615">
        <v>0</v>
      </c>
      <c r="BS157" s="615">
        <v>0</v>
      </c>
      <c r="BT157" s="615">
        <v>0</v>
      </c>
      <c r="BU157" s="615">
        <v>0</v>
      </c>
      <c r="BV157" s="615">
        <v>0</v>
      </c>
      <c r="BW157" s="615">
        <v>0</v>
      </c>
      <c r="BX157" s="607">
        <f t="shared" si="6"/>
        <v>1299233</v>
      </c>
    </row>
    <row r="158" spans="1:76" s="612" customFormat="1" ht="11.25" customHeight="1" x14ac:dyDescent="0.2">
      <c r="A158" s="907"/>
      <c r="B158" s="611" t="s">
        <v>1002</v>
      </c>
      <c r="C158" s="641" t="s">
        <v>1905</v>
      </c>
      <c r="D158" s="615">
        <v>0</v>
      </c>
      <c r="E158" s="615">
        <v>0</v>
      </c>
      <c r="F158" s="615">
        <v>0</v>
      </c>
      <c r="G158" s="615">
        <v>0</v>
      </c>
      <c r="H158" s="585">
        <v>0</v>
      </c>
      <c r="I158" s="615">
        <v>0</v>
      </c>
      <c r="J158" s="615">
        <v>0</v>
      </c>
      <c r="K158" s="615">
        <v>0</v>
      </c>
      <c r="L158" s="615">
        <v>0</v>
      </c>
      <c r="M158" s="615">
        <v>0</v>
      </c>
      <c r="N158" s="615">
        <v>0</v>
      </c>
      <c r="O158" s="615">
        <v>0</v>
      </c>
      <c r="P158" s="615">
        <v>0</v>
      </c>
      <c r="Q158" s="615">
        <v>0</v>
      </c>
      <c r="R158" s="615">
        <v>0</v>
      </c>
      <c r="S158" s="615">
        <v>0</v>
      </c>
      <c r="T158" s="615">
        <v>0</v>
      </c>
      <c r="U158" s="615">
        <v>0</v>
      </c>
      <c r="V158" s="615">
        <v>0</v>
      </c>
      <c r="W158" s="615">
        <v>0</v>
      </c>
      <c r="X158" s="615">
        <v>0</v>
      </c>
      <c r="Y158" s="615">
        <v>0</v>
      </c>
      <c r="Z158" s="615">
        <v>0</v>
      </c>
      <c r="AA158" s="615">
        <v>0</v>
      </c>
      <c r="AB158" s="615">
        <v>0</v>
      </c>
      <c r="AC158" s="615">
        <v>0</v>
      </c>
      <c r="AD158" s="615">
        <v>0</v>
      </c>
      <c r="AE158" s="615">
        <v>0</v>
      </c>
      <c r="AF158" s="615">
        <v>0</v>
      </c>
      <c r="AG158" s="615">
        <v>0</v>
      </c>
      <c r="AH158" s="615">
        <v>0</v>
      </c>
      <c r="AI158" s="615">
        <v>0</v>
      </c>
      <c r="AJ158" s="615">
        <v>0</v>
      </c>
      <c r="AK158" s="615">
        <v>0</v>
      </c>
      <c r="AL158" s="615">
        <v>0</v>
      </c>
      <c r="AM158" s="615">
        <v>0</v>
      </c>
      <c r="AN158" s="615">
        <v>0</v>
      </c>
      <c r="AO158" s="615">
        <v>0</v>
      </c>
      <c r="AP158" s="615">
        <v>0</v>
      </c>
      <c r="AQ158" s="615">
        <v>0</v>
      </c>
      <c r="AR158" s="615">
        <v>0</v>
      </c>
      <c r="AS158" s="615">
        <v>0</v>
      </c>
      <c r="AT158" s="615">
        <v>0</v>
      </c>
      <c r="AU158" s="615">
        <v>0</v>
      </c>
      <c r="AV158" s="615">
        <v>0</v>
      </c>
      <c r="AW158" s="615">
        <v>0</v>
      </c>
      <c r="AX158" s="615">
        <v>0</v>
      </c>
      <c r="AY158" s="615">
        <v>0</v>
      </c>
      <c r="AZ158" s="615">
        <v>0</v>
      </c>
      <c r="BA158" s="615">
        <v>0</v>
      </c>
      <c r="BB158" s="615">
        <v>0</v>
      </c>
      <c r="BC158" s="615">
        <v>0</v>
      </c>
      <c r="BD158" s="615">
        <v>0</v>
      </c>
      <c r="BE158" s="615">
        <v>0</v>
      </c>
      <c r="BF158" s="615">
        <v>0</v>
      </c>
      <c r="BG158" s="615">
        <v>0</v>
      </c>
      <c r="BH158" s="615">
        <v>0</v>
      </c>
      <c r="BI158" s="615">
        <v>0</v>
      </c>
      <c r="BJ158" s="615">
        <v>0</v>
      </c>
      <c r="BK158" s="615">
        <v>0</v>
      </c>
      <c r="BL158" s="615">
        <v>0</v>
      </c>
      <c r="BM158" s="615">
        <v>0</v>
      </c>
      <c r="BN158" s="615">
        <v>0</v>
      </c>
      <c r="BO158" s="615">
        <v>0</v>
      </c>
      <c r="BP158" s="615">
        <v>0</v>
      </c>
      <c r="BQ158" s="615">
        <v>0</v>
      </c>
      <c r="BR158" s="615">
        <v>0</v>
      </c>
      <c r="BS158" s="615">
        <v>0</v>
      </c>
      <c r="BT158" s="615">
        <v>0</v>
      </c>
      <c r="BU158" s="615">
        <v>0</v>
      </c>
      <c r="BV158" s="615">
        <v>0</v>
      </c>
      <c r="BW158" s="615">
        <v>0</v>
      </c>
      <c r="BX158" s="607">
        <f t="shared" si="6"/>
        <v>0</v>
      </c>
    </row>
    <row r="159" spans="1:76" s="612" customFormat="1" ht="11.25" customHeight="1" x14ac:dyDescent="0.2">
      <c r="A159" s="907"/>
      <c r="B159" s="611" t="s">
        <v>2610</v>
      </c>
      <c r="C159" s="641" t="s">
        <v>2609</v>
      </c>
      <c r="D159" s="615">
        <v>0</v>
      </c>
      <c r="E159" s="615">
        <v>0</v>
      </c>
      <c r="F159" s="615">
        <v>0</v>
      </c>
      <c r="G159" s="615">
        <v>0</v>
      </c>
      <c r="H159" s="585">
        <v>0</v>
      </c>
      <c r="I159" s="615">
        <v>0</v>
      </c>
      <c r="J159" s="615">
        <v>0</v>
      </c>
      <c r="K159" s="615">
        <v>0</v>
      </c>
      <c r="L159" s="615">
        <v>0</v>
      </c>
      <c r="M159" s="615">
        <v>0</v>
      </c>
      <c r="N159" s="615">
        <v>0</v>
      </c>
      <c r="O159" s="615">
        <v>0</v>
      </c>
      <c r="P159" s="615">
        <v>0</v>
      </c>
      <c r="Q159" s="615">
        <v>0</v>
      </c>
      <c r="R159" s="615">
        <v>0</v>
      </c>
      <c r="S159" s="615">
        <v>0</v>
      </c>
      <c r="T159" s="615">
        <v>0</v>
      </c>
      <c r="U159" s="615">
        <v>0</v>
      </c>
      <c r="V159" s="615">
        <v>0</v>
      </c>
      <c r="W159" s="615">
        <v>0</v>
      </c>
      <c r="X159" s="615">
        <v>0</v>
      </c>
      <c r="Y159" s="615">
        <v>0</v>
      </c>
      <c r="Z159" s="615">
        <v>0</v>
      </c>
      <c r="AA159" s="615">
        <v>0</v>
      </c>
      <c r="AB159" s="615">
        <v>0</v>
      </c>
      <c r="AC159" s="615">
        <v>0</v>
      </c>
      <c r="AD159" s="615">
        <v>0</v>
      </c>
      <c r="AE159" s="615">
        <v>0</v>
      </c>
      <c r="AF159" s="615">
        <v>0</v>
      </c>
      <c r="AG159" s="615">
        <v>0</v>
      </c>
      <c r="AH159" s="615">
        <v>0</v>
      </c>
      <c r="AI159" s="615">
        <v>0</v>
      </c>
      <c r="AJ159" s="615">
        <v>0</v>
      </c>
      <c r="AK159" s="615">
        <v>0</v>
      </c>
      <c r="AL159" s="615">
        <v>0</v>
      </c>
      <c r="AM159" s="615">
        <v>0</v>
      </c>
      <c r="AN159" s="615">
        <v>0</v>
      </c>
      <c r="AO159" s="615">
        <v>0</v>
      </c>
      <c r="AP159" s="615">
        <v>0</v>
      </c>
      <c r="AQ159" s="615">
        <v>0</v>
      </c>
      <c r="AR159" s="615">
        <v>0</v>
      </c>
      <c r="AS159" s="615">
        <v>0</v>
      </c>
      <c r="AT159" s="615">
        <v>0</v>
      </c>
      <c r="AU159" s="615">
        <v>0</v>
      </c>
      <c r="AV159" s="615">
        <v>0</v>
      </c>
      <c r="AW159" s="615">
        <v>0</v>
      </c>
      <c r="AX159" s="615">
        <v>0</v>
      </c>
      <c r="AY159" s="615">
        <v>0</v>
      </c>
      <c r="AZ159" s="615">
        <v>0</v>
      </c>
      <c r="BA159" s="615">
        <v>0</v>
      </c>
      <c r="BB159" s="615">
        <v>0</v>
      </c>
      <c r="BC159" s="615">
        <v>0</v>
      </c>
      <c r="BD159" s="615">
        <v>0</v>
      </c>
      <c r="BE159" s="615">
        <v>0</v>
      </c>
      <c r="BF159" s="615">
        <v>0</v>
      </c>
      <c r="BG159" s="615">
        <v>0</v>
      </c>
      <c r="BH159" s="615">
        <v>0</v>
      </c>
      <c r="BI159" s="615">
        <v>0</v>
      </c>
      <c r="BJ159" s="615">
        <v>0</v>
      </c>
      <c r="BK159" s="615">
        <v>0</v>
      </c>
      <c r="BL159" s="615">
        <v>0</v>
      </c>
      <c r="BM159" s="615">
        <v>0</v>
      </c>
      <c r="BN159" s="615">
        <v>0</v>
      </c>
      <c r="BO159" s="615">
        <v>0</v>
      </c>
      <c r="BP159" s="615">
        <v>0</v>
      </c>
      <c r="BQ159" s="615">
        <v>0</v>
      </c>
      <c r="BR159" s="615">
        <v>0</v>
      </c>
      <c r="BS159" s="615">
        <v>0</v>
      </c>
      <c r="BT159" s="615">
        <v>0</v>
      </c>
      <c r="BU159" s="615">
        <v>0</v>
      </c>
      <c r="BV159" s="615">
        <v>0</v>
      </c>
      <c r="BW159" s="615">
        <v>0</v>
      </c>
      <c r="BX159" s="607">
        <f t="shared" si="6"/>
        <v>0</v>
      </c>
    </row>
    <row r="160" spans="1:76" s="612" customFormat="1" ht="11.25" customHeight="1" x14ac:dyDescent="0.2">
      <c r="A160" s="907"/>
      <c r="B160" s="611" t="s">
        <v>1073</v>
      </c>
      <c r="C160" s="641" t="s">
        <v>1906</v>
      </c>
      <c r="D160" s="615" t="s">
        <v>1128</v>
      </c>
      <c r="E160" s="615">
        <v>0</v>
      </c>
      <c r="F160" s="615">
        <v>0</v>
      </c>
      <c r="G160" s="615">
        <v>0</v>
      </c>
      <c r="H160" s="585">
        <v>0</v>
      </c>
      <c r="I160" s="615">
        <v>0</v>
      </c>
      <c r="J160" s="615">
        <v>0</v>
      </c>
      <c r="K160" s="615">
        <v>0</v>
      </c>
      <c r="L160" s="615">
        <v>0</v>
      </c>
      <c r="M160" s="615">
        <v>0</v>
      </c>
      <c r="N160" s="615">
        <v>0</v>
      </c>
      <c r="O160" s="615">
        <v>0</v>
      </c>
      <c r="P160" s="615">
        <v>0</v>
      </c>
      <c r="Q160" s="615">
        <v>0</v>
      </c>
      <c r="R160" s="615">
        <v>0</v>
      </c>
      <c r="S160" s="615">
        <v>0</v>
      </c>
      <c r="T160" s="615">
        <v>0</v>
      </c>
      <c r="U160" s="615">
        <v>0</v>
      </c>
      <c r="V160" s="615">
        <v>0</v>
      </c>
      <c r="W160" s="615">
        <v>0</v>
      </c>
      <c r="X160" s="615">
        <v>0</v>
      </c>
      <c r="Y160" s="615">
        <v>0</v>
      </c>
      <c r="Z160" s="615">
        <v>0</v>
      </c>
      <c r="AA160" s="615">
        <v>0</v>
      </c>
      <c r="AB160" s="615">
        <v>0</v>
      </c>
      <c r="AC160" s="615">
        <v>0</v>
      </c>
      <c r="AD160" s="615">
        <v>0</v>
      </c>
      <c r="AE160" s="615">
        <v>0</v>
      </c>
      <c r="AF160" s="615">
        <v>0</v>
      </c>
      <c r="AG160" s="615">
        <v>0</v>
      </c>
      <c r="AH160" s="615">
        <v>0</v>
      </c>
      <c r="AI160" s="615">
        <v>0</v>
      </c>
      <c r="AJ160" s="615">
        <v>0</v>
      </c>
      <c r="AK160" s="615">
        <v>0</v>
      </c>
      <c r="AL160" s="615">
        <v>0</v>
      </c>
      <c r="AM160" s="615">
        <v>0</v>
      </c>
      <c r="AN160" s="615">
        <v>0</v>
      </c>
      <c r="AO160" s="615">
        <v>0</v>
      </c>
      <c r="AP160" s="615">
        <v>0</v>
      </c>
      <c r="AQ160" s="615">
        <v>0</v>
      </c>
      <c r="AR160" s="615">
        <v>0</v>
      </c>
      <c r="AS160" s="615">
        <v>0</v>
      </c>
      <c r="AT160" s="615">
        <v>0</v>
      </c>
      <c r="AU160" s="615">
        <v>0</v>
      </c>
      <c r="AV160" s="615">
        <v>0</v>
      </c>
      <c r="AW160" s="615">
        <v>0</v>
      </c>
      <c r="AX160" s="615">
        <v>0</v>
      </c>
      <c r="AY160" s="615">
        <v>0</v>
      </c>
      <c r="AZ160" s="615">
        <v>0</v>
      </c>
      <c r="BA160" s="615">
        <v>0</v>
      </c>
      <c r="BB160" s="615">
        <v>0</v>
      </c>
      <c r="BC160" s="615">
        <v>0</v>
      </c>
      <c r="BD160" s="615">
        <v>0</v>
      </c>
      <c r="BE160" s="615">
        <v>0</v>
      </c>
      <c r="BF160" s="615">
        <v>0</v>
      </c>
      <c r="BG160" s="615">
        <v>0</v>
      </c>
      <c r="BH160" s="615">
        <v>0</v>
      </c>
      <c r="BI160" s="615">
        <v>0</v>
      </c>
      <c r="BJ160" s="615">
        <v>0</v>
      </c>
      <c r="BK160" s="615">
        <v>0</v>
      </c>
      <c r="BL160" s="615">
        <v>0</v>
      </c>
      <c r="BM160" s="615">
        <v>0</v>
      </c>
      <c r="BN160" s="615">
        <v>0</v>
      </c>
      <c r="BO160" s="615">
        <v>0</v>
      </c>
      <c r="BP160" s="615">
        <v>0</v>
      </c>
      <c r="BQ160" s="615">
        <v>0</v>
      </c>
      <c r="BR160" s="615">
        <v>0</v>
      </c>
      <c r="BS160" s="615">
        <v>0</v>
      </c>
      <c r="BT160" s="615">
        <v>0</v>
      </c>
      <c r="BU160" s="615">
        <v>0</v>
      </c>
      <c r="BV160" s="615">
        <v>0</v>
      </c>
      <c r="BW160" s="615">
        <v>0</v>
      </c>
      <c r="BX160" s="607">
        <f t="shared" si="6"/>
        <v>0</v>
      </c>
    </row>
    <row r="161" spans="1:76" s="612" customFormat="1" ht="11.25" customHeight="1" x14ac:dyDescent="0.2">
      <c r="A161" s="907"/>
      <c r="B161" s="611" t="s">
        <v>1649</v>
      </c>
      <c r="C161" s="641" t="s">
        <v>1907</v>
      </c>
      <c r="D161" s="615" t="s">
        <v>1128</v>
      </c>
      <c r="E161" s="615">
        <v>0</v>
      </c>
      <c r="F161" s="615">
        <v>0</v>
      </c>
      <c r="G161" s="615">
        <v>0</v>
      </c>
      <c r="H161" s="585">
        <v>0</v>
      </c>
      <c r="I161" s="615">
        <v>0</v>
      </c>
      <c r="J161" s="615">
        <v>0</v>
      </c>
      <c r="K161" s="615">
        <v>0</v>
      </c>
      <c r="L161" s="615">
        <v>0</v>
      </c>
      <c r="M161" s="615">
        <v>0</v>
      </c>
      <c r="N161" s="615">
        <v>0</v>
      </c>
      <c r="O161" s="615">
        <v>0</v>
      </c>
      <c r="P161" s="615">
        <v>0</v>
      </c>
      <c r="Q161" s="615">
        <v>0</v>
      </c>
      <c r="R161" s="615">
        <v>0</v>
      </c>
      <c r="S161" s="615">
        <v>0</v>
      </c>
      <c r="T161" s="615">
        <v>0</v>
      </c>
      <c r="U161" s="615">
        <v>0</v>
      </c>
      <c r="V161" s="615">
        <v>0</v>
      </c>
      <c r="W161" s="615">
        <v>0</v>
      </c>
      <c r="X161" s="615">
        <v>0</v>
      </c>
      <c r="Y161" s="615">
        <v>0</v>
      </c>
      <c r="Z161" s="615">
        <v>0</v>
      </c>
      <c r="AA161" s="615">
        <v>0</v>
      </c>
      <c r="AB161" s="615">
        <v>0</v>
      </c>
      <c r="AC161" s="615">
        <v>0</v>
      </c>
      <c r="AD161" s="615">
        <v>0</v>
      </c>
      <c r="AE161" s="615">
        <v>0</v>
      </c>
      <c r="AF161" s="615">
        <v>0</v>
      </c>
      <c r="AG161" s="615">
        <v>0</v>
      </c>
      <c r="AH161" s="615">
        <v>0</v>
      </c>
      <c r="AI161" s="615">
        <v>0</v>
      </c>
      <c r="AJ161" s="615">
        <v>0</v>
      </c>
      <c r="AK161" s="615">
        <v>0</v>
      </c>
      <c r="AL161" s="615">
        <v>0</v>
      </c>
      <c r="AM161" s="615">
        <v>0</v>
      </c>
      <c r="AN161" s="615">
        <v>0</v>
      </c>
      <c r="AO161" s="615">
        <v>0</v>
      </c>
      <c r="AP161" s="615">
        <v>0</v>
      </c>
      <c r="AQ161" s="615">
        <v>0</v>
      </c>
      <c r="AR161" s="615">
        <v>0</v>
      </c>
      <c r="AS161" s="615">
        <v>0</v>
      </c>
      <c r="AT161" s="615">
        <v>0</v>
      </c>
      <c r="AU161" s="615">
        <v>0</v>
      </c>
      <c r="AV161" s="615">
        <v>0</v>
      </c>
      <c r="AW161" s="615">
        <v>0</v>
      </c>
      <c r="AX161" s="615">
        <v>0</v>
      </c>
      <c r="AY161" s="615">
        <v>0</v>
      </c>
      <c r="AZ161" s="615">
        <v>0</v>
      </c>
      <c r="BA161" s="615">
        <v>0</v>
      </c>
      <c r="BB161" s="615">
        <v>0</v>
      </c>
      <c r="BC161" s="615">
        <v>0</v>
      </c>
      <c r="BD161" s="615">
        <v>0</v>
      </c>
      <c r="BE161" s="615">
        <v>0</v>
      </c>
      <c r="BF161" s="615">
        <v>0</v>
      </c>
      <c r="BG161" s="615">
        <v>0</v>
      </c>
      <c r="BH161" s="615">
        <v>0</v>
      </c>
      <c r="BI161" s="615">
        <v>0</v>
      </c>
      <c r="BJ161" s="615">
        <v>0</v>
      </c>
      <c r="BK161" s="615">
        <v>0</v>
      </c>
      <c r="BL161" s="615">
        <v>0</v>
      </c>
      <c r="BM161" s="615">
        <v>0</v>
      </c>
      <c r="BN161" s="615">
        <v>0</v>
      </c>
      <c r="BO161" s="615">
        <v>0</v>
      </c>
      <c r="BP161" s="615">
        <v>0</v>
      </c>
      <c r="BQ161" s="615">
        <v>0</v>
      </c>
      <c r="BR161" s="615">
        <v>0</v>
      </c>
      <c r="BS161" s="615">
        <v>0</v>
      </c>
      <c r="BT161" s="615">
        <v>0</v>
      </c>
      <c r="BU161" s="615">
        <v>0</v>
      </c>
      <c r="BV161" s="615">
        <v>0</v>
      </c>
      <c r="BW161" s="615">
        <v>0</v>
      </c>
      <c r="BX161" s="607">
        <f t="shared" si="6"/>
        <v>0</v>
      </c>
    </row>
    <row r="162" spans="1:76" s="612" customFormat="1" ht="11.25" customHeight="1" x14ac:dyDescent="0.2">
      <c r="A162" s="907"/>
      <c r="B162" s="611" t="s">
        <v>1627</v>
      </c>
      <c r="C162" s="641" t="s">
        <v>1908</v>
      </c>
      <c r="D162" s="615">
        <v>0</v>
      </c>
      <c r="E162" s="615">
        <v>0</v>
      </c>
      <c r="F162" s="615">
        <v>0</v>
      </c>
      <c r="G162" s="615">
        <v>0</v>
      </c>
      <c r="H162" s="585">
        <v>0</v>
      </c>
      <c r="I162" s="615">
        <v>0</v>
      </c>
      <c r="J162" s="615">
        <v>0</v>
      </c>
      <c r="K162" s="615">
        <v>0</v>
      </c>
      <c r="L162" s="615">
        <v>0</v>
      </c>
      <c r="M162" s="615">
        <v>0</v>
      </c>
      <c r="N162" s="615">
        <v>0</v>
      </c>
      <c r="O162" s="615">
        <v>0</v>
      </c>
      <c r="P162" s="615">
        <v>0</v>
      </c>
      <c r="Q162" s="615">
        <v>0</v>
      </c>
      <c r="R162" s="615">
        <v>0</v>
      </c>
      <c r="S162" s="615">
        <v>0</v>
      </c>
      <c r="T162" s="615">
        <v>0</v>
      </c>
      <c r="U162" s="615">
        <v>0</v>
      </c>
      <c r="V162" s="615">
        <v>0</v>
      </c>
      <c r="W162" s="615">
        <v>0</v>
      </c>
      <c r="X162" s="615">
        <v>0</v>
      </c>
      <c r="Y162" s="615">
        <v>0</v>
      </c>
      <c r="Z162" s="615">
        <v>0</v>
      </c>
      <c r="AA162" s="615">
        <v>0</v>
      </c>
      <c r="AB162" s="615">
        <v>0</v>
      </c>
      <c r="AC162" s="615">
        <v>0</v>
      </c>
      <c r="AD162" s="615">
        <v>0</v>
      </c>
      <c r="AE162" s="615">
        <v>0</v>
      </c>
      <c r="AF162" s="615">
        <v>0</v>
      </c>
      <c r="AG162" s="615">
        <v>0</v>
      </c>
      <c r="AH162" s="615">
        <v>0</v>
      </c>
      <c r="AI162" s="615">
        <v>0</v>
      </c>
      <c r="AJ162" s="615">
        <v>0</v>
      </c>
      <c r="AK162" s="615">
        <v>0</v>
      </c>
      <c r="AL162" s="615">
        <v>0</v>
      </c>
      <c r="AM162" s="615">
        <v>0</v>
      </c>
      <c r="AN162" s="615">
        <v>0</v>
      </c>
      <c r="AO162" s="615">
        <v>0</v>
      </c>
      <c r="AP162" s="615">
        <v>0</v>
      </c>
      <c r="AQ162" s="615">
        <v>0</v>
      </c>
      <c r="AR162" s="615">
        <v>0</v>
      </c>
      <c r="AS162" s="615">
        <v>0</v>
      </c>
      <c r="AT162" s="615">
        <v>0</v>
      </c>
      <c r="AU162" s="615">
        <v>0</v>
      </c>
      <c r="AV162" s="615">
        <v>0</v>
      </c>
      <c r="AW162" s="615">
        <v>0</v>
      </c>
      <c r="AX162" s="615">
        <v>0</v>
      </c>
      <c r="AY162" s="615">
        <v>0</v>
      </c>
      <c r="AZ162" s="615">
        <v>0</v>
      </c>
      <c r="BA162" s="615">
        <v>0</v>
      </c>
      <c r="BB162" s="615">
        <v>0</v>
      </c>
      <c r="BC162" s="615">
        <v>0</v>
      </c>
      <c r="BD162" s="615">
        <v>0</v>
      </c>
      <c r="BE162" s="615">
        <v>0</v>
      </c>
      <c r="BF162" s="615">
        <v>0</v>
      </c>
      <c r="BG162" s="615">
        <v>0</v>
      </c>
      <c r="BH162" s="615">
        <v>0</v>
      </c>
      <c r="BI162" s="615">
        <v>0</v>
      </c>
      <c r="BJ162" s="615">
        <v>0</v>
      </c>
      <c r="BK162" s="615">
        <v>0</v>
      </c>
      <c r="BL162" s="615">
        <v>0</v>
      </c>
      <c r="BM162" s="615">
        <v>0</v>
      </c>
      <c r="BN162" s="615">
        <v>0</v>
      </c>
      <c r="BO162" s="615">
        <v>0</v>
      </c>
      <c r="BP162" s="615">
        <v>0</v>
      </c>
      <c r="BQ162" s="615">
        <v>0</v>
      </c>
      <c r="BR162" s="615">
        <v>0</v>
      </c>
      <c r="BS162" s="615">
        <v>0</v>
      </c>
      <c r="BT162" s="615">
        <v>0</v>
      </c>
      <c r="BU162" s="615">
        <v>0</v>
      </c>
      <c r="BV162" s="615">
        <v>0</v>
      </c>
      <c r="BW162" s="615">
        <v>0</v>
      </c>
      <c r="BX162" s="607">
        <f t="shared" si="6"/>
        <v>0</v>
      </c>
    </row>
    <row r="163" spans="1:76" s="612" customFormat="1" ht="11.25" customHeight="1" x14ac:dyDescent="0.2">
      <c r="A163" s="907"/>
      <c r="B163" s="611" t="s">
        <v>2608</v>
      </c>
      <c r="C163" s="641" t="s">
        <v>1909</v>
      </c>
      <c r="D163" s="615">
        <v>0</v>
      </c>
      <c r="E163" s="615">
        <v>0</v>
      </c>
      <c r="F163" s="615">
        <v>0</v>
      </c>
      <c r="G163" s="615">
        <v>0</v>
      </c>
      <c r="H163" s="585">
        <v>0</v>
      </c>
      <c r="I163" s="615">
        <v>0</v>
      </c>
      <c r="J163" s="615">
        <v>0</v>
      </c>
      <c r="K163" s="615">
        <v>0</v>
      </c>
      <c r="L163" s="615">
        <v>0</v>
      </c>
      <c r="M163" s="615">
        <v>0</v>
      </c>
      <c r="N163" s="615">
        <v>0</v>
      </c>
      <c r="O163" s="615">
        <v>0</v>
      </c>
      <c r="P163" s="615">
        <v>0</v>
      </c>
      <c r="Q163" s="615">
        <v>0</v>
      </c>
      <c r="R163" s="615">
        <v>0</v>
      </c>
      <c r="S163" s="615">
        <v>0</v>
      </c>
      <c r="T163" s="615">
        <v>0</v>
      </c>
      <c r="U163" s="615">
        <v>0</v>
      </c>
      <c r="V163" s="615">
        <v>0</v>
      </c>
      <c r="W163" s="615">
        <v>0</v>
      </c>
      <c r="X163" s="615">
        <v>0</v>
      </c>
      <c r="Y163" s="615">
        <v>0</v>
      </c>
      <c r="Z163" s="615">
        <v>0</v>
      </c>
      <c r="AA163" s="615">
        <v>0</v>
      </c>
      <c r="AB163" s="615">
        <v>0</v>
      </c>
      <c r="AC163" s="615">
        <v>0</v>
      </c>
      <c r="AD163" s="615">
        <v>0</v>
      </c>
      <c r="AE163" s="615">
        <v>0</v>
      </c>
      <c r="AF163" s="615">
        <v>0</v>
      </c>
      <c r="AG163" s="615">
        <v>0</v>
      </c>
      <c r="AH163" s="615">
        <v>0</v>
      </c>
      <c r="AI163" s="615">
        <v>0</v>
      </c>
      <c r="AJ163" s="615">
        <v>0</v>
      </c>
      <c r="AK163" s="615">
        <v>0</v>
      </c>
      <c r="AL163" s="615">
        <v>0</v>
      </c>
      <c r="AM163" s="615">
        <v>0</v>
      </c>
      <c r="AN163" s="615">
        <v>0</v>
      </c>
      <c r="AO163" s="615">
        <v>0</v>
      </c>
      <c r="AP163" s="615">
        <v>0</v>
      </c>
      <c r="AQ163" s="615">
        <v>0</v>
      </c>
      <c r="AR163" s="615">
        <v>0</v>
      </c>
      <c r="AS163" s="615">
        <v>0</v>
      </c>
      <c r="AT163" s="615">
        <v>0</v>
      </c>
      <c r="AU163" s="615">
        <v>0</v>
      </c>
      <c r="AV163" s="615">
        <v>0</v>
      </c>
      <c r="AW163" s="615">
        <v>0</v>
      </c>
      <c r="AX163" s="615">
        <v>0</v>
      </c>
      <c r="AY163" s="615">
        <v>0</v>
      </c>
      <c r="AZ163" s="615">
        <v>0</v>
      </c>
      <c r="BA163" s="615">
        <v>0</v>
      </c>
      <c r="BB163" s="615">
        <v>0</v>
      </c>
      <c r="BC163" s="615">
        <v>0</v>
      </c>
      <c r="BD163" s="615">
        <v>0</v>
      </c>
      <c r="BE163" s="615">
        <v>0</v>
      </c>
      <c r="BF163" s="615">
        <v>0</v>
      </c>
      <c r="BG163" s="615">
        <v>0</v>
      </c>
      <c r="BH163" s="615">
        <v>0</v>
      </c>
      <c r="BI163" s="615">
        <v>0</v>
      </c>
      <c r="BJ163" s="615">
        <v>0</v>
      </c>
      <c r="BK163" s="615">
        <v>0</v>
      </c>
      <c r="BL163" s="615">
        <v>0</v>
      </c>
      <c r="BM163" s="615">
        <v>0</v>
      </c>
      <c r="BN163" s="615">
        <v>0</v>
      </c>
      <c r="BO163" s="615">
        <v>0</v>
      </c>
      <c r="BP163" s="615">
        <v>0</v>
      </c>
      <c r="BQ163" s="615">
        <v>0</v>
      </c>
      <c r="BR163" s="615">
        <v>0</v>
      </c>
      <c r="BS163" s="615">
        <v>0</v>
      </c>
      <c r="BT163" s="615">
        <v>0</v>
      </c>
      <c r="BU163" s="615">
        <v>0</v>
      </c>
      <c r="BV163" s="615">
        <v>0</v>
      </c>
      <c r="BW163" s="615">
        <v>0</v>
      </c>
      <c r="BX163" s="607">
        <f t="shared" si="6"/>
        <v>0</v>
      </c>
    </row>
    <row r="164" spans="1:76" s="612" customFormat="1" ht="11.25" customHeight="1" x14ac:dyDescent="0.2">
      <c r="A164" s="907"/>
      <c r="B164" s="611" t="s">
        <v>1628</v>
      </c>
      <c r="C164" s="641" t="s">
        <v>1910</v>
      </c>
      <c r="D164" s="615" t="s">
        <v>1128</v>
      </c>
      <c r="E164" s="615">
        <v>0</v>
      </c>
      <c r="F164" s="615">
        <v>0</v>
      </c>
      <c r="G164" s="615">
        <v>0</v>
      </c>
      <c r="H164" s="585">
        <v>0</v>
      </c>
      <c r="I164" s="615">
        <v>0</v>
      </c>
      <c r="J164" s="615">
        <v>0</v>
      </c>
      <c r="K164" s="615">
        <v>0</v>
      </c>
      <c r="L164" s="615">
        <v>0</v>
      </c>
      <c r="M164" s="615">
        <v>0</v>
      </c>
      <c r="N164" s="615">
        <v>0</v>
      </c>
      <c r="O164" s="615">
        <v>0</v>
      </c>
      <c r="P164" s="615">
        <v>0</v>
      </c>
      <c r="Q164" s="615">
        <v>0</v>
      </c>
      <c r="R164" s="615">
        <v>0</v>
      </c>
      <c r="S164" s="615">
        <v>0</v>
      </c>
      <c r="T164" s="615">
        <v>0</v>
      </c>
      <c r="U164" s="615">
        <v>0</v>
      </c>
      <c r="V164" s="615">
        <v>0</v>
      </c>
      <c r="W164" s="615">
        <v>0</v>
      </c>
      <c r="X164" s="615">
        <v>0</v>
      </c>
      <c r="Y164" s="615">
        <v>0</v>
      </c>
      <c r="Z164" s="615">
        <v>0</v>
      </c>
      <c r="AA164" s="615">
        <v>0</v>
      </c>
      <c r="AB164" s="615">
        <v>0</v>
      </c>
      <c r="AC164" s="615">
        <v>0</v>
      </c>
      <c r="AD164" s="615">
        <v>0</v>
      </c>
      <c r="AE164" s="615">
        <v>0</v>
      </c>
      <c r="AF164" s="615">
        <v>0</v>
      </c>
      <c r="AG164" s="615">
        <v>0</v>
      </c>
      <c r="AH164" s="615">
        <v>0</v>
      </c>
      <c r="AI164" s="615">
        <v>0</v>
      </c>
      <c r="AJ164" s="615">
        <v>0</v>
      </c>
      <c r="AK164" s="615">
        <v>0</v>
      </c>
      <c r="AL164" s="615">
        <v>0</v>
      </c>
      <c r="AM164" s="615">
        <v>0</v>
      </c>
      <c r="AN164" s="615">
        <v>0</v>
      </c>
      <c r="AO164" s="615">
        <v>0</v>
      </c>
      <c r="AP164" s="615">
        <v>0</v>
      </c>
      <c r="AQ164" s="615">
        <v>0</v>
      </c>
      <c r="AR164" s="615">
        <v>0</v>
      </c>
      <c r="AS164" s="615">
        <v>0</v>
      </c>
      <c r="AT164" s="615">
        <v>0</v>
      </c>
      <c r="AU164" s="615">
        <v>0</v>
      </c>
      <c r="AV164" s="615">
        <v>0</v>
      </c>
      <c r="AW164" s="615">
        <v>0</v>
      </c>
      <c r="AX164" s="615">
        <v>0</v>
      </c>
      <c r="AY164" s="615">
        <v>0</v>
      </c>
      <c r="AZ164" s="615">
        <v>0</v>
      </c>
      <c r="BA164" s="615">
        <v>0</v>
      </c>
      <c r="BB164" s="615">
        <v>0</v>
      </c>
      <c r="BC164" s="615">
        <v>0</v>
      </c>
      <c r="BD164" s="615">
        <v>0</v>
      </c>
      <c r="BE164" s="615">
        <v>0</v>
      </c>
      <c r="BF164" s="615">
        <v>0</v>
      </c>
      <c r="BG164" s="615">
        <v>0</v>
      </c>
      <c r="BH164" s="615">
        <v>0</v>
      </c>
      <c r="BI164" s="615">
        <v>0</v>
      </c>
      <c r="BJ164" s="615">
        <v>0</v>
      </c>
      <c r="BK164" s="615">
        <v>0</v>
      </c>
      <c r="BL164" s="615">
        <v>0</v>
      </c>
      <c r="BM164" s="615">
        <v>0</v>
      </c>
      <c r="BN164" s="615">
        <v>0</v>
      </c>
      <c r="BO164" s="615">
        <v>0</v>
      </c>
      <c r="BP164" s="615">
        <v>0</v>
      </c>
      <c r="BQ164" s="615">
        <v>0</v>
      </c>
      <c r="BR164" s="615">
        <v>0</v>
      </c>
      <c r="BS164" s="615">
        <v>0</v>
      </c>
      <c r="BT164" s="615">
        <v>0</v>
      </c>
      <c r="BU164" s="615">
        <v>0</v>
      </c>
      <c r="BV164" s="615">
        <v>0</v>
      </c>
      <c r="BW164" s="615">
        <v>0</v>
      </c>
      <c r="BX164" s="607">
        <f t="shared" si="6"/>
        <v>0</v>
      </c>
    </row>
    <row r="165" spans="1:76" s="612" customFormat="1" ht="11.25" customHeight="1" x14ac:dyDescent="0.2">
      <c r="A165" s="907"/>
      <c r="B165" s="611" t="s">
        <v>1651</v>
      </c>
      <c r="C165" s="641" t="s">
        <v>1911</v>
      </c>
      <c r="D165" s="615">
        <v>0</v>
      </c>
      <c r="E165" s="615">
        <v>0</v>
      </c>
      <c r="F165" s="615">
        <v>0</v>
      </c>
      <c r="G165" s="615">
        <v>0</v>
      </c>
      <c r="H165" s="585">
        <v>0</v>
      </c>
      <c r="I165" s="615">
        <v>0</v>
      </c>
      <c r="J165" s="615">
        <v>0</v>
      </c>
      <c r="K165" s="615" t="s">
        <v>1128</v>
      </c>
      <c r="L165" s="615">
        <v>0</v>
      </c>
      <c r="M165" s="615">
        <v>0</v>
      </c>
      <c r="N165" s="615">
        <v>0</v>
      </c>
      <c r="O165" s="615">
        <v>0</v>
      </c>
      <c r="P165" s="615">
        <v>0</v>
      </c>
      <c r="Q165" s="615">
        <v>0</v>
      </c>
      <c r="R165" s="615">
        <v>0</v>
      </c>
      <c r="S165" s="615">
        <v>0</v>
      </c>
      <c r="T165" s="615">
        <v>0</v>
      </c>
      <c r="U165" s="615">
        <v>0</v>
      </c>
      <c r="V165" s="615">
        <v>0</v>
      </c>
      <c r="W165" s="615">
        <v>0</v>
      </c>
      <c r="X165" s="615">
        <v>0</v>
      </c>
      <c r="Y165" s="615">
        <v>0</v>
      </c>
      <c r="Z165" s="615">
        <v>0</v>
      </c>
      <c r="AA165" s="615">
        <v>0</v>
      </c>
      <c r="AB165" s="615">
        <v>0</v>
      </c>
      <c r="AC165" s="615">
        <v>0</v>
      </c>
      <c r="AD165" s="615">
        <v>0</v>
      </c>
      <c r="AE165" s="615">
        <v>0</v>
      </c>
      <c r="AF165" s="615">
        <v>0</v>
      </c>
      <c r="AG165" s="615">
        <v>0</v>
      </c>
      <c r="AH165" s="615">
        <v>0</v>
      </c>
      <c r="AI165" s="615">
        <v>0</v>
      </c>
      <c r="AJ165" s="615">
        <v>0</v>
      </c>
      <c r="AK165" s="615">
        <v>0</v>
      </c>
      <c r="AL165" s="615">
        <v>0</v>
      </c>
      <c r="AM165" s="615">
        <v>0</v>
      </c>
      <c r="AN165" s="615">
        <v>0</v>
      </c>
      <c r="AO165" s="615">
        <v>0</v>
      </c>
      <c r="AP165" s="615">
        <v>0</v>
      </c>
      <c r="AQ165" s="615">
        <v>0</v>
      </c>
      <c r="AR165" s="615">
        <v>0</v>
      </c>
      <c r="AS165" s="615">
        <v>0</v>
      </c>
      <c r="AT165" s="615">
        <v>1342492</v>
      </c>
      <c r="AU165" s="615">
        <v>0</v>
      </c>
      <c r="AV165" s="615">
        <v>0</v>
      </c>
      <c r="AW165" s="615">
        <v>0</v>
      </c>
      <c r="AX165" s="615">
        <v>0</v>
      </c>
      <c r="AY165" s="615">
        <v>0</v>
      </c>
      <c r="AZ165" s="615">
        <v>0</v>
      </c>
      <c r="BA165" s="615">
        <v>0</v>
      </c>
      <c r="BB165" s="615">
        <v>0</v>
      </c>
      <c r="BC165" s="615">
        <v>0</v>
      </c>
      <c r="BD165" s="615">
        <v>0</v>
      </c>
      <c r="BE165" s="615">
        <v>0</v>
      </c>
      <c r="BF165" s="615">
        <v>0</v>
      </c>
      <c r="BG165" s="615">
        <v>0</v>
      </c>
      <c r="BH165" s="615">
        <v>0</v>
      </c>
      <c r="BI165" s="615">
        <v>0</v>
      </c>
      <c r="BJ165" s="615">
        <v>0</v>
      </c>
      <c r="BK165" s="615">
        <v>0</v>
      </c>
      <c r="BL165" s="615">
        <v>0</v>
      </c>
      <c r="BM165" s="615">
        <v>0</v>
      </c>
      <c r="BN165" s="615">
        <v>0</v>
      </c>
      <c r="BO165" s="615">
        <v>0</v>
      </c>
      <c r="BP165" s="615">
        <v>0</v>
      </c>
      <c r="BQ165" s="615">
        <v>0</v>
      </c>
      <c r="BR165" s="615">
        <v>0</v>
      </c>
      <c r="BS165" s="615">
        <v>0</v>
      </c>
      <c r="BT165" s="615">
        <v>0</v>
      </c>
      <c r="BU165" s="615">
        <v>0</v>
      </c>
      <c r="BV165" s="615">
        <v>0</v>
      </c>
      <c r="BW165" s="615">
        <v>0</v>
      </c>
      <c r="BX165" s="607">
        <f t="shared" si="6"/>
        <v>1342492</v>
      </c>
    </row>
    <row r="166" spans="1:76" s="612" customFormat="1" ht="11.25" customHeight="1" x14ac:dyDescent="0.2">
      <c r="A166" s="907"/>
      <c r="B166" s="611" t="s">
        <v>1650</v>
      </c>
      <c r="C166" s="641" t="s">
        <v>1912</v>
      </c>
      <c r="D166" s="615">
        <v>0</v>
      </c>
      <c r="E166" s="615">
        <v>0</v>
      </c>
      <c r="F166" s="615">
        <v>0</v>
      </c>
      <c r="G166" s="615">
        <v>0</v>
      </c>
      <c r="H166" s="585">
        <v>0</v>
      </c>
      <c r="I166" s="615">
        <v>0</v>
      </c>
      <c r="J166" s="615">
        <v>0</v>
      </c>
      <c r="K166" s="615" t="s">
        <v>1128</v>
      </c>
      <c r="L166" s="615">
        <v>0</v>
      </c>
      <c r="M166" s="615">
        <v>0</v>
      </c>
      <c r="N166" s="615">
        <v>0</v>
      </c>
      <c r="O166" s="615">
        <v>0</v>
      </c>
      <c r="P166" s="615">
        <v>0</v>
      </c>
      <c r="Q166" s="615">
        <v>0</v>
      </c>
      <c r="R166" s="615">
        <v>0</v>
      </c>
      <c r="S166" s="615">
        <v>0</v>
      </c>
      <c r="T166" s="615">
        <v>0</v>
      </c>
      <c r="U166" s="615">
        <v>0</v>
      </c>
      <c r="V166" s="615">
        <v>0</v>
      </c>
      <c r="W166" s="615">
        <v>0</v>
      </c>
      <c r="X166" s="615">
        <v>0</v>
      </c>
      <c r="Y166" s="615">
        <v>0</v>
      </c>
      <c r="Z166" s="615">
        <v>0</v>
      </c>
      <c r="AA166" s="615">
        <v>0</v>
      </c>
      <c r="AB166" s="615">
        <v>0</v>
      </c>
      <c r="AC166" s="615">
        <v>0</v>
      </c>
      <c r="AD166" s="615">
        <v>0</v>
      </c>
      <c r="AE166" s="615">
        <v>0</v>
      </c>
      <c r="AF166" s="615">
        <v>0</v>
      </c>
      <c r="AG166" s="615">
        <v>0</v>
      </c>
      <c r="AH166" s="615">
        <v>0</v>
      </c>
      <c r="AI166" s="615">
        <v>0</v>
      </c>
      <c r="AJ166" s="615">
        <v>0</v>
      </c>
      <c r="AK166" s="615">
        <v>0</v>
      </c>
      <c r="AL166" s="615">
        <v>0</v>
      </c>
      <c r="AM166" s="615">
        <v>0</v>
      </c>
      <c r="AN166" s="615">
        <v>0</v>
      </c>
      <c r="AO166" s="615">
        <v>0</v>
      </c>
      <c r="AP166" s="615">
        <v>0</v>
      </c>
      <c r="AQ166" s="615">
        <v>0</v>
      </c>
      <c r="AR166" s="615">
        <v>0</v>
      </c>
      <c r="AS166" s="615">
        <v>0</v>
      </c>
      <c r="AT166" s="615">
        <v>0</v>
      </c>
      <c r="AU166" s="615">
        <v>0</v>
      </c>
      <c r="AV166" s="615">
        <v>0</v>
      </c>
      <c r="AW166" s="615">
        <v>0</v>
      </c>
      <c r="AX166" s="615">
        <v>0</v>
      </c>
      <c r="AY166" s="615">
        <v>0</v>
      </c>
      <c r="AZ166" s="615">
        <v>0</v>
      </c>
      <c r="BA166" s="615">
        <v>0</v>
      </c>
      <c r="BB166" s="615">
        <v>0</v>
      </c>
      <c r="BC166" s="615">
        <v>0</v>
      </c>
      <c r="BD166" s="615">
        <v>0</v>
      </c>
      <c r="BE166" s="615">
        <v>0</v>
      </c>
      <c r="BF166" s="615">
        <v>0</v>
      </c>
      <c r="BG166" s="615">
        <v>0</v>
      </c>
      <c r="BH166" s="615">
        <v>0</v>
      </c>
      <c r="BI166" s="615">
        <v>0</v>
      </c>
      <c r="BJ166" s="615">
        <v>0</v>
      </c>
      <c r="BK166" s="615">
        <v>0</v>
      </c>
      <c r="BL166" s="615">
        <v>0</v>
      </c>
      <c r="BM166" s="615">
        <v>0</v>
      </c>
      <c r="BN166" s="615">
        <v>0</v>
      </c>
      <c r="BO166" s="615">
        <v>0</v>
      </c>
      <c r="BP166" s="615">
        <v>0</v>
      </c>
      <c r="BQ166" s="615">
        <v>0</v>
      </c>
      <c r="BR166" s="615">
        <v>0</v>
      </c>
      <c r="BS166" s="615">
        <v>0</v>
      </c>
      <c r="BT166" s="615">
        <v>0</v>
      </c>
      <c r="BU166" s="615">
        <v>0</v>
      </c>
      <c r="BV166" s="615">
        <v>0</v>
      </c>
      <c r="BW166" s="615">
        <v>0</v>
      </c>
      <c r="BX166" s="607">
        <f t="shared" si="6"/>
        <v>0</v>
      </c>
    </row>
    <row r="167" spans="1:76" s="612" customFormat="1" ht="11.25" customHeight="1" x14ac:dyDescent="0.2">
      <c r="A167" s="907"/>
      <c r="B167" s="611" t="s">
        <v>2536</v>
      </c>
      <c r="C167" s="641" t="s">
        <v>2535</v>
      </c>
      <c r="D167" s="615">
        <v>0</v>
      </c>
      <c r="E167" s="615">
        <v>0</v>
      </c>
      <c r="F167" s="615">
        <v>0</v>
      </c>
      <c r="G167" s="615">
        <v>0</v>
      </c>
      <c r="H167" s="585">
        <v>0</v>
      </c>
      <c r="I167" s="615">
        <v>0</v>
      </c>
      <c r="J167" s="615">
        <v>0</v>
      </c>
      <c r="K167" s="615">
        <v>0</v>
      </c>
      <c r="L167" s="615">
        <v>0</v>
      </c>
      <c r="M167" s="615">
        <v>0</v>
      </c>
      <c r="N167" s="615">
        <v>0</v>
      </c>
      <c r="O167" s="615">
        <v>0</v>
      </c>
      <c r="P167" s="615">
        <v>0</v>
      </c>
      <c r="Q167" s="615">
        <v>0</v>
      </c>
      <c r="R167" s="615">
        <v>0</v>
      </c>
      <c r="S167" s="615">
        <v>0</v>
      </c>
      <c r="T167" s="615">
        <v>0</v>
      </c>
      <c r="U167" s="615">
        <v>0</v>
      </c>
      <c r="V167" s="615">
        <v>0</v>
      </c>
      <c r="W167" s="615">
        <v>0</v>
      </c>
      <c r="X167" s="615">
        <v>0</v>
      </c>
      <c r="Y167" s="615">
        <v>0</v>
      </c>
      <c r="Z167" s="615">
        <v>0</v>
      </c>
      <c r="AA167" s="615">
        <v>0</v>
      </c>
      <c r="AB167" s="615">
        <v>0</v>
      </c>
      <c r="AC167" s="615">
        <v>0</v>
      </c>
      <c r="AD167" s="615">
        <v>0</v>
      </c>
      <c r="AE167" s="615">
        <v>0</v>
      </c>
      <c r="AF167" s="615">
        <v>0</v>
      </c>
      <c r="AG167" s="615">
        <v>0</v>
      </c>
      <c r="AH167" s="615">
        <v>0</v>
      </c>
      <c r="AI167" s="615">
        <v>0</v>
      </c>
      <c r="AJ167" s="615">
        <v>0</v>
      </c>
      <c r="AK167" s="615">
        <v>0</v>
      </c>
      <c r="AL167" s="615">
        <v>0</v>
      </c>
      <c r="AM167" s="615">
        <v>0</v>
      </c>
      <c r="AN167" s="615">
        <v>0</v>
      </c>
      <c r="AO167" s="615">
        <v>0</v>
      </c>
      <c r="AP167" s="615">
        <v>0</v>
      </c>
      <c r="AQ167" s="615">
        <v>0</v>
      </c>
      <c r="AR167" s="615">
        <v>0</v>
      </c>
      <c r="AS167" s="615">
        <v>0</v>
      </c>
      <c r="AT167" s="615">
        <v>0</v>
      </c>
      <c r="AU167" s="615">
        <v>0</v>
      </c>
      <c r="AV167" s="615">
        <v>0</v>
      </c>
      <c r="AW167" s="615">
        <v>0</v>
      </c>
      <c r="AX167" s="615">
        <v>0</v>
      </c>
      <c r="AY167" s="615">
        <v>0</v>
      </c>
      <c r="AZ167" s="615">
        <v>0</v>
      </c>
      <c r="BA167" s="615">
        <v>0</v>
      </c>
      <c r="BB167" s="615">
        <v>0</v>
      </c>
      <c r="BC167" s="615">
        <v>0</v>
      </c>
      <c r="BD167" s="615">
        <v>0</v>
      </c>
      <c r="BE167" s="615">
        <v>0</v>
      </c>
      <c r="BF167" s="615">
        <v>0</v>
      </c>
      <c r="BG167" s="615">
        <v>0</v>
      </c>
      <c r="BH167" s="615">
        <v>0</v>
      </c>
      <c r="BI167" s="615">
        <v>0</v>
      </c>
      <c r="BJ167" s="615">
        <v>0</v>
      </c>
      <c r="BK167" s="615">
        <v>0</v>
      </c>
      <c r="BL167" s="615">
        <v>0</v>
      </c>
      <c r="BM167" s="615">
        <v>0</v>
      </c>
      <c r="BN167" s="615">
        <v>0</v>
      </c>
      <c r="BO167" s="615">
        <v>0</v>
      </c>
      <c r="BP167" s="615">
        <v>0</v>
      </c>
      <c r="BQ167" s="615">
        <v>0</v>
      </c>
      <c r="BR167" s="615">
        <v>0</v>
      </c>
      <c r="BS167" s="615">
        <v>0</v>
      </c>
      <c r="BT167" s="615">
        <v>0</v>
      </c>
      <c r="BU167" s="615">
        <v>0</v>
      </c>
      <c r="BV167" s="615">
        <v>0</v>
      </c>
      <c r="BW167" s="615">
        <v>0</v>
      </c>
      <c r="BX167" s="607">
        <f t="shared" si="6"/>
        <v>0</v>
      </c>
    </row>
    <row r="168" spans="1:76" s="612" customFormat="1" ht="11.25" customHeight="1" x14ac:dyDescent="0.2">
      <c r="A168" s="907"/>
      <c r="B168" s="611" t="s">
        <v>1513</v>
      </c>
      <c r="C168" s="641" t="s">
        <v>1913</v>
      </c>
      <c r="D168" s="615" t="s">
        <v>1128</v>
      </c>
      <c r="E168" s="615">
        <v>0</v>
      </c>
      <c r="F168" s="615">
        <v>0</v>
      </c>
      <c r="G168" s="615">
        <v>0</v>
      </c>
      <c r="H168" s="585">
        <v>0</v>
      </c>
      <c r="I168" s="615">
        <v>0</v>
      </c>
      <c r="J168" s="615">
        <v>0</v>
      </c>
      <c r="K168" s="615">
        <v>0</v>
      </c>
      <c r="L168" s="615">
        <v>0</v>
      </c>
      <c r="M168" s="615">
        <v>0</v>
      </c>
      <c r="N168" s="615">
        <v>0</v>
      </c>
      <c r="O168" s="615">
        <v>0</v>
      </c>
      <c r="P168" s="615">
        <v>0</v>
      </c>
      <c r="Q168" s="615">
        <v>0</v>
      </c>
      <c r="R168" s="615">
        <v>0</v>
      </c>
      <c r="S168" s="615">
        <v>0</v>
      </c>
      <c r="T168" s="615">
        <v>0</v>
      </c>
      <c r="U168" s="615">
        <v>0</v>
      </c>
      <c r="V168" s="615">
        <v>0</v>
      </c>
      <c r="W168" s="615">
        <v>0</v>
      </c>
      <c r="X168" s="615">
        <v>0</v>
      </c>
      <c r="Y168" s="615">
        <v>0</v>
      </c>
      <c r="Z168" s="615">
        <v>0</v>
      </c>
      <c r="AA168" s="615">
        <v>0</v>
      </c>
      <c r="AB168" s="615">
        <v>0</v>
      </c>
      <c r="AC168" s="615">
        <v>0</v>
      </c>
      <c r="AD168" s="615">
        <v>0</v>
      </c>
      <c r="AE168" s="615">
        <v>0</v>
      </c>
      <c r="AF168" s="615">
        <v>0</v>
      </c>
      <c r="AG168" s="615">
        <v>0</v>
      </c>
      <c r="AH168" s="615">
        <v>0</v>
      </c>
      <c r="AI168" s="615">
        <v>0</v>
      </c>
      <c r="AJ168" s="615">
        <v>0</v>
      </c>
      <c r="AK168" s="615">
        <v>0</v>
      </c>
      <c r="AL168" s="615">
        <v>0</v>
      </c>
      <c r="AM168" s="615">
        <v>0</v>
      </c>
      <c r="AN168" s="615">
        <v>0</v>
      </c>
      <c r="AO168" s="615">
        <v>0</v>
      </c>
      <c r="AP168" s="615">
        <v>0</v>
      </c>
      <c r="AQ168" s="615">
        <v>0</v>
      </c>
      <c r="AR168" s="615">
        <v>0</v>
      </c>
      <c r="AS168" s="615">
        <v>0</v>
      </c>
      <c r="AT168" s="615">
        <v>0</v>
      </c>
      <c r="AU168" s="615">
        <v>0</v>
      </c>
      <c r="AV168" s="615">
        <v>0</v>
      </c>
      <c r="AW168" s="615">
        <v>0</v>
      </c>
      <c r="AX168" s="615">
        <v>0</v>
      </c>
      <c r="AY168" s="615">
        <v>0</v>
      </c>
      <c r="AZ168" s="615">
        <v>0</v>
      </c>
      <c r="BA168" s="615">
        <v>0</v>
      </c>
      <c r="BB168" s="615">
        <v>0</v>
      </c>
      <c r="BC168" s="615">
        <v>0</v>
      </c>
      <c r="BD168" s="615">
        <v>0</v>
      </c>
      <c r="BE168" s="615">
        <v>0</v>
      </c>
      <c r="BF168" s="615">
        <v>0</v>
      </c>
      <c r="BG168" s="615">
        <v>0</v>
      </c>
      <c r="BH168" s="615">
        <v>0</v>
      </c>
      <c r="BI168" s="615">
        <v>0</v>
      </c>
      <c r="BJ168" s="615">
        <v>0</v>
      </c>
      <c r="BK168" s="615">
        <v>0</v>
      </c>
      <c r="BL168" s="615">
        <v>0</v>
      </c>
      <c r="BM168" s="615">
        <v>0</v>
      </c>
      <c r="BN168" s="615">
        <v>0</v>
      </c>
      <c r="BO168" s="615">
        <v>0</v>
      </c>
      <c r="BP168" s="615">
        <v>0</v>
      </c>
      <c r="BQ168" s="615">
        <v>0</v>
      </c>
      <c r="BR168" s="615">
        <v>0</v>
      </c>
      <c r="BS168" s="615">
        <v>0</v>
      </c>
      <c r="BT168" s="615">
        <v>0</v>
      </c>
      <c r="BU168" s="615">
        <v>0</v>
      </c>
      <c r="BV168" s="615">
        <v>0</v>
      </c>
      <c r="BW168" s="615">
        <v>0</v>
      </c>
      <c r="BX168" s="607">
        <f t="shared" si="6"/>
        <v>0</v>
      </c>
    </row>
    <row r="169" spans="1:76" s="612" customFormat="1" ht="11.25" customHeight="1" x14ac:dyDescent="0.2">
      <c r="A169" s="907"/>
      <c r="B169" s="611" t="s">
        <v>922</v>
      </c>
      <c r="C169" s="641" t="s">
        <v>1914</v>
      </c>
      <c r="D169" s="615">
        <v>0</v>
      </c>
      <c r="E169" s="615">
        <v>0</v>
      </c>
      <c r="F169" s="615">
        <v>0</v>
      </c>
      <c r="G169" s="615">
        <v>0</v>
      </c>
      <c r="H169" s="585">
        <v>0</v>
      </c>
      <c r="I169" s="615">
        <v>0</v>
      </c>
      <c r="J169" s="615">
        <v>0</v>
      </c>
      <c r="K169" s="615">
        <v>0</v>
      </c>
      <c r="L169" s="615">
        <v>0</v>
      </c>
      <c r="M169" s="615">
        <v>0</v>
      </c>
      <c r="N169" s="615">
        <v>0</v>
      </c>
      <c r="O169" s="615">
        <v>0</v>
      </c>
      <c r="P169" s="615">
        <v>0</v>
      </c>
      <c r="Q169" s="615">
        <v>0</v>
      </c>
      <c r="R169" s="615">
        <v>0</v>
      </c>
      <c r="S169" s="615">
        <v>0</v>
      </c>
      <c r="T169" s="615">
        <v>0</v>
      </c>
      <c r="U169" s="615">
        <v>0</v>
      </c>
      <c r="V169" s="615">
        <v>0</v>
      </c>
      <c r="W169" s="615">
        <v>0</v>
      </c>
      <c r="X169" s="615">
        <v>0</v>
      </c>
      <c r="Y169" s="615">
        <v>0</v>
      </c>
      <c r="Z169" s="615">
        <v>0</v>
      </c>
      <c r="AA169" s="615">
        <v>0</v>
      </c>
      <c r="AB169" s="615">
        <v>0</v>
      </c>
      <c r="AC169" s="615">
        <v>0</v>
      </c>
      <c r="AD169" s="615">
        <v>0</v>
      </c>
      <c r="AE169" s="615">
        <v>0</v>
      </c>
      <c r="AF169" s="615">
        <v>0</v>
      </c>
      <c r="AG169" s="615">
        <v>0</v>
      </c>
      <c r="AH169" s="615">
        <v>0</v>
      </c>
      <c r="AI169" s="615">
        <v>0</v>
      </c>
      <c r="AJ169" s="615">
        <v>0</v>
      </c>
      <c r="AK169" s="615">
        <v>0</v>
      </c>
      <c r="AL169" s="615">
        <v>0</v>
      </c>
      <c r="AM169" s="615">
        <v>0</v>
      </c>
      <c r="AN169" s="615">
        <v>0</v>
      </c>
      <c r="AO169" s="615">
        <v>0</v>
      </c>
      <c r="AP169" s="615">
        <v>0</v>
      </c>
      <c r="AQ169" s="615">
        <v>0</v>
      </c>
      <c r="AR169" s="615">
        <v>0</v>
      </c>
      <c r="AS169" s="615">
        <v>0</v>
      </c>
      <c r="AT169" s="615">
        <v>0</v>
      </c>
      <c r="AU169" s="615">
        <v>0</v>
      </c>
      <c r="AV169" s="615">
        <v>0</v>
      </c>
      <c r="AW169" s="615">
        <v>0</v>
      </c>
      <c r="AX169" s="615">
        <v>0</v>
      </c>
      <c r="AY169" s="615">
        <v>0</v>
      </c>
      <c r="AZ169" s="615">
        <v>0</v>
      </c>
      <c r="BA169" s="615">
        <v>0</v>
      </c>
      <c r="BB169" s="615">
        <v>0</v>
      </c>
      <c r="BC169" s="615">
        <v>0</v>
      </c>
      <c r="BD169" s="615">
        <v>0</v>
      </c>
      <c r="BE169" s="615">
        <v>0</v>
      </c>
      <c r="BF169" s="615">
        <v>0</v>
      </c>
      <c r="BG169" s="615">
        <v>0</v>
      </c>
      <c r="BH169" s="615">
        <v>0</v>
      </c>
      <c r="BI169" s="615">
        <v>0</v>
      </c>
      <c r="BJ169" s="615">
        <v>0</v>
      </c>
      <c r="BK169" s="615">
        <v>0</v>
      </c>
      <c r="BL169" s="615">
        <v>0</v>
      </c>
      <c r="BM169" s="615">
        <v>0</v>
      </c>
      <c r="BN169" s="615">
        <v>0</v>
      </c>
      <c r="BO169" s="615">
        <v>0</v>
      </c>
      <c r="BP169" s="615">
        <v>0</v>
      </c>
      <c r="BQ169" s="615">
        <v>0</v>
      </c>
      <c r="BR169" s="615">
        <v>0</v>
      </c>
      <c r="BS169" s="615">
        <v>0</v>
      </c>
      <c r="BT169" s="615">
        <v>0</v>
      </c>
      <c r="BU169" s="615">
        <v>0</v>
      </c>
      <c r="BV169" s="615">
        <v>0</v>
      </c>
      <c r="BW169" s="615">
        <v>0</v>
      </c>
      <c r="BX169" s="607">
        <f t="shared" si="6"/>
        <v>0</v>
      </c>
    </row>
    <row r="170" spans="1:76" s="612" customFormat="1" ht="11.25" customHeight="1" x14ac:dyDescent="0.2">
      <c r="A170" s="907"/>
      <c r="B170" s="611" t="s">
        <v>2608</v>
      </c>
      <c r="C170" s="641" t="s">
        <v>1915</v>
      </c>
      <c r="D170" s="615" t="s">
        <v>1128</v>
      </c>
      <c r="E170" s="615">
        <v>0</v>
      </c>
      <c r="F170" s="615">
        <v>0</v>
      </c>
      <c r="G170" s="615">
        <v>0</v>
      </c>
      <c r="H170" s="585">
        <v>0</v>
      </c>
      <c r="I170" s="615">
        <v>0</v>
      </c>
      <c r="J170" s="615">
        <v>0</v>
      </c>
      <c r="K170" s="615">
        <v>0</v>
      </c>
      <c r="L170" s="615">
        <v>0</v>
      </c>
      <c r="M170" s="615">
        <v>0</v>
      </c>
      <c r="N170" s="615">
        <v>0</v>
      </c>
      <c r="O170" s="615">
        <v>0</v>
      </c>
      <c r="P170" s="615">
        <v>0</v>
      </c>
      <c r="Q170" s="615">
        <v>0</v>
      </c>
      <c r="R170" s="615">
        <v>0</v>
      </c>
      <c r="S170" s="615">
        <v>0</v>
      </c>
      <c r="T170" s="615">
        <v>0</v>
      </c>
      <c r="U170" s="615">
        <v>0</v>
      </c>
      <c r="V170" s="615">
        <v>0</v>
      </c>
      <c r="W170" s="615">
        <v>0</v>
      </c>
      <c r="X170" s="615">
        <v>0</v>
      </c>
      <c r="Y170" s="615">
        <v>0</v>
      </c>
      <c r="Z170" s="615">
        <v>0</v>
      </c>
      <c r="AA170" s="615">
        <v>0</v>
      </c>
      <c r="AB170" s="615">
        <v>0</v>
      </c>
      <c r="AC170" s="615">
        <v>0</v>
      </c>
      <c r="AD170" s="615">
        <v>0</v>
      </c>
      <c r="AE170" s="615">
        <v>0</v>
      </c>
      <c r="AF170" s="615">
        <v>0</v>
      </c>
      <c r="AG170" s="615">
        <v>0</v>
      </c>
      <c r="AH170" s="615">
        <v>0</v>
      </c>
      <c r="AI170" s="615">
        <v>0</v>
      </c>
      <c r="AJ170" s="615">
        <v>0</v>
      </c>
      <c r="AK170" s="615">
        <v>0</v>
      </c>
      <c r="AL170" s="615">
        <v>0</v>
      </c>
      <c r="AM170" s="615">
        <v>0</v>
      </c>
      <c r="AN170" s="615">
        <v>0</v>
      </c>
      <c r="AO170" s="615">
        <v>0</v>
      </c>
      <c r="AP170" s="615">
        <v>0</v>
      </c>
      <c r="AQ170" s="615">
        <v>0</v>
      </c>
      <c r="AR170" s="615">
        <v>0</v>
      </c>
      <c r="AS170" s="615">
        <v>0</v>
      </c>
      <c r="AT170" s="615">
        <v>0</v>
      </c>
      <c r="AU170" s="615">
        <v>0</v>
      </c>
      <c r="AV170" s="615">
        <v>0</v>
      </c>
      <c r="AW170" s="615">
        <v>0</v>
      </c>
      <c r="AX170" s="615">
        <v>0</v>
      </c>
      <c r="AY170" s="615">
        <v>0</v>
      </c>
      <c r="AZ170" s="615">
        <v>0</v>
      </c>
      <c r="BA170" s="615">
        <v>0</v>
      </c>
      <c r="BB170" s="615">
        <v>0</v>
      </c>
      <c r="BC170" s="615">
        <v>0</v>
      </c>
      <c r="BD170" s="615">
        <v>0</v>
      </c>
      <c r="BE170" s="615">
        <v>0</v>
      </c>
      <c r="BF170" s="615">
        <v>0</v>
      </c>
      <c r="BG170" s="615">
        <v>0</v>
      </c>
      <c r="BH170" s="615">
        <v>0</v>
      </c>
      <c r="BI170" s="615">
        <v>0</v>
      </c>
      <c r="BJ170" s="615">
        <v>0</v>
      </c>
      <c r="BK170" s="615">
        <v>0</v>
      </c>
      <c r="BL170" s="615">
        <v>0</v>
      </c>
      <c r="BM170" s="615">
        <v>0</v>
      </c>
      <c r="BN170" s="615">
        <v>0</v>
      </c>
      <c r="BO170" s="615">
        <v>0</v>
      </c>
      <c r="BP170" s="615">
        <v>0</v>
      </c>
      <c r="BQ170" s="615">
        <v>0</v>
      </c>
      <c r="BR170" s="615">
        <v>0</v>
      </c>
      <c r="BS170" s="615">
        <v>0</v>
      </c>
      <c r="BT170" s="615">
        <v>0</v>
      </c>
      <c r="BU170" s="615">
        <v>0</v>
      </c>
      <c r="BV170" s="615">
        <v>0</v>
      </c>
      <c r="BW170" s="615">
        <v>0</v>
      </c>
      <c r="BX170" s="607">
        <f t="shared" si="6"/>
        <v>0</v>
      </c>
    </row>
    <row r="171" spans="1:76" s="612" customFormat="1" ht="11.25" customHeight="1" x14ac:dyDescent="0.2">
      <c r="A171" s="907"/>
      <c r="B171" s="611" t="s">
        <v>1003</v>
      </c>
      <c r="C171" s="641" t="s">
        <v>1916</v>
      </c>
      <c r="D171" s="615">
        <v>0</v>
      </c>
      <c r="E171" s="615">
        <v>0</v>
      </c>
      <c r="F171" s="615">
        <v>0</v>
      </c>
      <c r="G171" s="615">
        <v>0</v>
      </c>
      <c r="H171" s="585">
        <v>0</v>
      </c>
      <c r="I171" s="615">
        <v>0</v>
      </c>
      <c r="J171" s="615">
        <v>0</v>
      </c>
      <c r="K171" s="615">
        <v>0</v>
      </c>
      <c r="L171" s="615">
        <v>0</v>
      </c>
      <c r="M171" s="615">
        <v>0</v>
      </c>
      <c r="N171" s="615">
        <v>0</v>
      </c>
      <c r="O171" s="615">
        <v>0</v>
      </c>
      <c r="P171" s="615">
        <v>0</v>
      </c>
      <c r="Q171" s="615">
        <v>0</v>
      </c>
      <c r="R171" s="615">
        <v>0</v>
      </c>
      <c r="S171" s="615">
        <v>0</v>
      </c>
      <c r="T171" s="615">
        <v>0</v>
      </c>
      <c r="U171" s="615">
        <v>0</v>
      </c>
      <c r="V171" s="615">
        <v>0</v>
      </c>
      <c r="W171" s="615">
        <v>0</v>
      </c>
      <c r="X171" s="615">
        <v>0</v>
      </c>
      <c r="Y171" s="615">
        <v>0</v>
      </c>
      <c r="Z171" s="615">
        <v>0</v>
      </c>
      <c r="AA171" s="615">
        <v>0</v>
      </c>
      <c r="AB171" s="615">
        <v>0</v>
      </c>
      <c r="AC171" s="615">
        <v>0</v>
      </c>
      <c r="AD171" s="615">
        <v>0</v>
      </c>
      <c r="AE171" s="615">
        <v>0</v>
      </c>
      <c r="AF171" s="615">
        <v>0</v>
      </c>
      <c r="AG171" s="615">
        <v>0</v>
      </c>
      <c r="AH171" s="615">
        <v>0</v>
      </c>
      <c r="AI171" s="615">
        <v>0</v>
      </c>
      <c r="AJ171" s="615">
        <v>0</v>
      </c>
      <c r="AK171" s="615">
        <v>0</v>
      </c>
      <c r="AL171" s="615">
        <v>0</v>
      </c>
      <c r="AM171" s="615">
        <v>0</v>
      </c>
      <c r="AN171" s="615">
        <v>0</v>
      </c>
      <c r="AO171" s="615">
        <v>0</v>
      </c>
      <c r="AP171" s="615">
        <v>0</v>
      </c>
      <c r="AQ171" s="615">
        <v>0</v>
      </c>
      <c r="AR171" s="615">
        <v>0</v>
      </c>
      <c r="AS171" s="615">
        <v>0</v>
      </c>
      <c r="AT171" s="615">
        <v>0</v>
      </c>
      <c r="AU171" s="615">
        <v>0</v>
      </c>
      <c r="AV171" s="615">
        <v>0</v>
      </c>
      <c r="AW171" s="615">
        <v>0</v>
      </c>
      <c r="AX171" s="615">
        <v>0</v>
      </c>
      <c r="AY171" s="615">
        <v>0</v>
      </c>
      <c r="AZ171" s="615">
        <v>0</v>
      </c>
      <c r="BA171" s="615">
        <v>0</v>
      </c>
      <c r="BB171" s="615">
        <v>0</v>
      </c>
      <c r="BC171" s="615">
        <v>0</v>
      </c>
      <c r="BD171" s="615">
        <v>0</v>
      </c>
      <c r="BE171" s="615">
        <v>0</v>
      </c>
      <c r="BF171" s="615">
        <v>0</v>
      </c>
      <c r="BG171" s="615">
        <v>0</v>
      </c>
      <c r="BH171" s="615">
        <v>0</v>
      </c>
      <c r="BI171" s="615">
        <v>0</v>
      </c>
      <c r="BJ171" s="615">
        <v>0</v>
      </c>
      <c r="BK171" s="615">
        <v>0</v>
      </c>
      <c r="BL171" s="615">
        <v>0</v>
      </c>
      <c r="BM171" s="615">
        <v>0</v>
      </c>
      <c r="BN171" s="615">
        <v>0</v>
      </c>
      <c r="BO171" s="615">
        <v>0</v>
      </c>
      <c r="BP171" s="615">
        <v>0</v>
      </c>
      <c r="BQ171" s="615">
        <v>0</v>
      </c>
      <c r="BR171" s="615">
        <v>0</v>
      </c>
      <c r="BS171" s="615">
        <v>0</v>
      </c>
      <c r="BT171" s="615">
        <v>0</v>
      </c>
      <c r="BU171" s="615">
        <v>0</v>
      </c>
      <c r="BV171" s="615">
        <v>0</v>
      </c>
      <c r="BW171" s="615">
        <v>0</v>
      </c>
      <c r="BX171" s="607">
        <f t="shared" si="6"/>
        <v>0</v>
      </c>
    </row>
    <row r="172" spans="1:76" s="612" customFormat="1" ht="11.25" customHeight="1" x14ac:dyDescent="0.2">
      <c r="A172" s="907"/>
      <c r="B172" s="611" t="s">
        <v>3213</v>
      </c>
      <c r="C172" s="641" t="s">
        <v>1917</v>
      </c>
      <c r="D172" s="615" t="s">
        <v>1128</v>
      </c>
      <c r="E172" s="615">
        <v>0</v>
      </c>
      <c r="F172" s="615">
        <v>0</v>
      </c>
      <c r="G172" s="615">
        <v>0</v>
      </c>
      <c r="H172" s="585">
        <v>0</v>
      </c>
      <c r="I172" s="615">
        <v>0</v>
      </c>
      <c r="J172" s="615">
        <v>0</v>
      </c>
      <c r="K172" s="615">
        <v>0</v>
      </c>
      <c r="L172" s="615">
        <v>0</v>
      </c>
      <c r="M172" s="615">
        <v>0</v>
      </c>
      <c r="N172" s="615">
        <v>0</v>
      </c>
      <c r="O172" s="615">
        <v>0</v>
      </c>
      <c r="P172" s="615">
        <v>0</v>
      </c>
      <c r="Q172" s="615">
        <v>0</v>
      </c>
      <c r="R172" s="615">
        <v>0</v>
      </c>
      <c r="S172" s="615">
        <v>0</v>
      </c>
      <c r="T172" s="615">
        <v>0</v>
      </c>
      <c r="U172" s="615">
        <v>0</v>
      </c>
      <c r="V172" s="615">
        <v>0</v>
      </c>
      <c r="W172" s="615">
        <v>0</v>
      </c>
      <c r="X172" s="615">
        <v>0</v>
      </c>
      <c r="Y172" s="615">
        <v>0</v>
      </c>
      <c r="Z172" s="615">
        <v>0</v>
      </c>
      <c r="AA172" s="615">
        <v>0</v>
      </c>
      <c r="AB172" s="615">
        <v>0</v>
      </c>
      <c r="AC172" s="615">
        <v>0</v>
      </c>
      <c r="AD172" s="615">
        <v>0</v>
      </c>
      <c r="AE172" s="615">
        <v>0</v>
      </c>
      <c r="AF172" s="615">
        <v>0</v>
      </c>
      <c r="AG172" s="615">
        <v>0</v>
      </c>
      <c r="AH172" s="615">
        <v>0</v>
      </c>
      <c r="AI172" s="615">
        <v>0</v>
      </c>
      <c r="AJ172" s="615">
        <v>0</v>
      </c>
      <c r="AK172" s="615">
        <v>0</v>
      </c>
      <c r="AL172" s="615">
        <v>0</v>
      </c>
      <c r="AM172" s="615">
        <v>0</v>
      </c>
      <c r="AN172" s="615">
        <v>0</v>
      </c>
      <c r="AO172" s="615">
        <v>0</v>
      </c>
      <c r="AP172" s="615">
        <v>0</v>
      </c>
      <c r="AQ172" s="615">
        <v>0</v>
      </c>
      <c r="AR172" s="615">
        <v>0</v>
      </c>
      <c r="AS172" s="615">
        <v>0</v>
      </c>
      <c r="AT172" s="615">
        <v>0</v>
      </c>
      <c r="AU172" s="615">
        <v>0</v>
      </c>
      <c r="AV172" s="615">
        <v>0</v>
      </c>
      <c r="AW172" s="615">
        <v>0</v>
      </c>
      <c r="AX172" s="615">
        <v>0</v>
      </c>
      <c r="AY172" s="615">
        <v>0</v>
      </c>
      <c r="AZ172" s="615">
        <v>0</v>
      </c>
      <c r="BA172" s="615">
        <v>0</v>
      </c>
      <c r="BB172" s="615">
        <v>0</v>
      </c>
      <c r="BC172" s="615">
        <v>0</v>
      </c>
      <c r="BD172" s="615">
        <v>0</v>
      </c>
      <c r="BE172" s="615">
        <v>0</v>
      </c>
      <c r="BF172" s="615">
        <v>0</v>
      </c>
      <c r="BG172" s="615">
        <v>0</v>
      </c>
      <c r="BH172" s="615">
        <v>0</v>
      </c>
      <c r="BI172" s="615">
        <v>0</v>
      </c>
      <c r="BJ172" s="615">
        <v>0</v>
      </c>
      <c r="BK172" s="615">
        <v>0</v>
      </c>
      <c r="BL172" s="615">
        <v>0</v>
      </c>
      <c r="BM172" s="615">
        <v>0</v>
      </c>
      <c r="BN172" s="615">
        <v>0</v>
      </c>
      <c r="BO172" s="615">
        <v>0</v>
      </c>
      <c r="BP172" s="615">
        <v>0</v>
      </c>
      <c r="BQ172" s="615">
        <v>0</v>
      </c>
      <c r="BR172" s="615">
        <v>0</v>
      </c>
      <c r="BS172" s="615">
        <v>0</v>
      </c>
      <c r="BT172" s="615">
        <v>0</v>
      </c>
      <c r="BU172" s="615">
        <v>0</v>
      </c>
      <c r="BV172" s="615">
        <v>0</v>
      </c>
      <c r="BW172" s="615">
        <v>0</v>
      </c>
      <c r="BX172" s="607">
        <f t="shared" si="6"/>
        <v>0</v>
      </c>
    </row>
    <row r="173" spans="1:76" s="612" customFormat="1" ht="11.25" customHeight="1" x14ac:dyDescent="0.2">
      <c r="A173" s="907"/>
      <c r="B173" s="611" t="s">
        <v>1676</v>
      </c>
      <c r="C173" s="641" t="s">
        <v>1918</v>
      </c>
      <c r="D173" s="615">
        <v>0</v>
      </c>
      <c r="E173" s="615">
        <v>0</v>
      </c>
      <c r="F173" s="615">
        <v>0</v>
      </c>
      <c r="G173" s="615">
        <v>0</v>
      </c>
      <c r="H173" s="585">
        <v>0</v>
      </c>
      <c r="I173" s="615">
        <v>0</v>
      </c>
      <c r="J173" s="615">
        <v>0</v>
      </c>
      <c r="K173" s="615">
        <v>0</v>
      </c>
      <c r="L173" s="615">
        <v>0</v>
      </c>
      <c r="M173" s="615">
        <v>0</v>
      </c>
      <c r="N173" s="615">
        <v>0</v>
      </c>
      <c r="O173" s="615">
        <v>0</v>
      </c>
      <c r="P173" s="615">
        <v>0</v>
      </c>
      <c r="Q173" s="615">
        <v>0</v>
      </c>
      <c r="R173" s="615">
        <v>0</v>
      </c>
      <c r="S173" s="615">
        <v>0</v>
      </c>
      <c r="T173" s="615">
        <v>0</v>
      </c>
      <c r="U173" s="615">
        <v>0</v>
      </c>
      <c r="V173" s="615">
        <v>0</v>
      </c>
      <c r="W173" s="615">
        <v>0</v>
      </c>
      <c r="X173" s="615">
        <v>0</v>
      </c>
      <c r="Y173" s="615">
        <v>0</v>
      </c>
      <c r="Z173" s="615">
        <v>0</v>
      </c>
      <c r="AA173" s="615">
        <v>0</v>
      </c>
      <c r="AB173" s="615">
        <v>0</v>
      </c>
      <c r="AC173" s="615">
        <v>0</v>
      </c>
      <c r="AD173" s="615">
        <v>0</v>
      </c>
      <c r="AE173" s="615">
        <v>0</v>
      </c>
      <c r="AF173" s="615">
        <v>0</v>
      </c>
      <c r="AG173" s="615">
        <v>0</v>
      </c>
      <c r="AH173" s="615">
        <v>0</v>
      </c>
      <c r="AI173" s="615">
        <v>0</v>
      </c>
      <c r="AJ173" s="615">
        <v>0</v>
      </c>
      <c r="AK173" s="615">
        <v>0</v>
      </c>
      <c r="AL173" s="615">
        <v>0</v>
      </c>
      <c r="AM173" s="615">
        <v>0</v>
      </c>
      <c r="AN173" s="615">
        <v>0</v>
      </c>
      <c r="AO173" s="615">
        <v>0</v>
      </c>
      <c r="AP173" s="615">
        <v>0</v>
      </c>
      <c r="AQ173" s="615">
        <v>0</v>
      </c>
      <c r="AR173" s="615">
        <v>0</v>
      </c>
      <c r="AS173" s="615">
        <v>0</v>
      </c>
      <c r="AT173" s="615">
        <v>0</v>
      </c>
      <c r="AU173" s="615">
        <v>0</v>
      </c>
      <c r="AV173" s="615">
        <v>0</v>
      </c>
      <c r="AW173" s="615">
        <v>0</v>
      </c>
      <c r="AX173" s="615">
        <v>0</v>
      </c>
      <c r="AY173" s="615">
        <v>0</v>
      </c>
      <c r="AZ173" s="615">
        <v>0</v>
      </c>
      <c r="BA173" s="615">
        <v>0</v>
      </c>
      <c r="BB173" s="615">
        <v>0</v>
      </c>
      <c r="BC173" s="615">
        <v>0</v>
      </c>
      <c r="BD173" s="615">
        <v>0</v>
      </c>
      <c r="BE173" s="615">
        <v>0</v>
      </c>
      <c r="BF173" s="615">
        <v>0</v>
      </c>
      <c r="BG173" s="615">
        <v>0</v>
      </c>
      <c r="BH173" s="615">
        <v>0</v>
      </c>
      <c r="BI173" s="615">
        <v>0</v>
      </c>
      <c r="BJ173" s="615">
        <v>0</v>
      </c>
      <c r="BK173" s="615">
        <v>0</v>
      </c>
      <c r="BL173" s="615">
        <v>0</v>
      </c>
      <c r="BM173" s="615">
        <v>0</v>
      </c>
      <c r="BN173" s="615">
        <v>0</v>
      </c>
      <c r="BO173" s="615">
        <v>0</v>
      </c>
      <c r="BP173" s="615">
        <v>0</v>
      </c>
      <c r="BQ173" s="615">
        <v>0</v>
      </c>
      <c r="BR173" s="615">
        <v>0</v>
      </c>
      <c r="BS173" s="615">
        <v>0</v>
      </c>
      <c r="BT173" s="615">
        <v>0</v>
      </c>
      <c r="BU173" s="615">
        <v>0</v>
      </c>
      <c r="BV173" s="615">
        <v>0</v>
      </c>
      <c r="BW173" s="615">
        <v>0</v>
      </c>
      <c r="BX173" s="607">
        <f t="shared" si="6"/>
        <v>0</v>
      </c>
    </row>
    <row r="174" spans="1:76" s="612" customFormat="1" ht="11.25" customHeight="1" x14ac:dyDescent="0.2">
      <c r="A174" s="907"/>
      <c r="B174" s="611" t="s">
        <v>2538</v>
      </c>
      <c r="C174" s="641" t="s">
        <v>2537</v>
      </c>
      <c r="D174" s="615">
        <v>0</v>
      </c>
      <c r="E174" s="615">
        <v>0</v>
      </c>
      <c r="F174" s="615">
        <v>0</v>
      </c>
      <c r="G174" s="615">
        <v>0</v>
      </c>
      <c r="H174" s="585">
        <v>0</v>
      </c>
      <c r="I174" s="615">
        <v>0</v>
      </c>
      <c r="J174" s="615">
        <v>0</v>
      </c>
      <c r="K174" s="615" t="s">
        <v>1128</v>
      </c>
      <c r="L174" s="615">
        <v>0</v>
      </c>
      <c r="M174" s="615">
        <v>0</v>
      </c>
      <c r="N174" s="615">
        <v>0</v>
      </c>
      <c r="O174" s="615">
        <v>0</v>
      </c>
      <c r="P174" s="615">
        <v>0</v>
      </c>
      <c r="Q174" s="615">
        <v>0</v>
      </c>
      <c r="R174" s="615">
        <v>0</v>
      </c>
      <c r="S174" s="615">
        <v>0</v>
      </c>
      <c r="T174" s="615">
        <v>0</v>
      </c>
      <c r="U174" s="615">
        <v>0</v>
      </c>
      <c r="V174" s="615">
        <v>0</v>
      </c>
      <c r="W174" s="615">
        <v>0</v>
      </c>
      <c r="X174" s="615">
        <v>0</v>
      </c>
      <c r="Y174" s="615">
        <v>0</v>
      </c>
      <c r="Z174" s="615">
        <v>0</v>
      </c>
      <c r="AA174" s="615">
        <v>0</v>
      </c>
      <c r="AB174" s="615">
        <v>0</v>
      </c>
      <c r="AC174" s="615">
        <v>0</v>
      </c>
      <c r="AD174" s="615">
        <v>0</v>
      </c>
      <c r="AE174" s="615">
        <v>0</v>
      </c>
      <c r="AF174" s="615">
        <v>0</v>
      </c>
      <c r="AG174" s="615">
        <v>0</v>
      </c>
      <c r="AH174" s="615">
        <v>0</v>
      </c>
      <c r="AI174" s="615">
        <v>0</v>
      </c>
      <c r="AJ174" s="615">
        <v>0</v>
      </c>
      <c r="AK174" s="615">
        <v>0</v>
      </c>
      <c r="AL174" s="615">
        <v>0</v>
      </c>
      <c r="AM174" s="615">
        <v>0</v>
      </c>
      <c r="AN174" s="615">
        <v>0</v>
      </c>
      <c r="AO174" s="615">
        <v>0</v>
      </c>
      <c r="AP174" s="615">
        <v>0</v>
      </c>
      <c r="AQ174" s="615">
        <v>0</v>
      </c>
      <c r="AR174" s="615">
        <v>0</v>
      </c>
      <c r="AS174" s="615">
        <v>0</v>
      </c>
      <c r="AT174" s="615">
        <v>0</v>
      </c>
      <c r="AU174" s="615">
        <v>0</v>
      </c>
      <c r="AV174" s="615">
        <v>0</v>
      </c>
      <c r="AW174" s="615">
        <v>0</v>
      </c>
      <c r="AX174" s="615">
        <v>0</v>
      </c>
      <c r="AY174" s="615">
        <v>0</v>
      </c>
      <c r="AZ174" s="615">
        <v>0</v>
      </c>
      <c r="BA174" s="615">
        <v>0</v>
      </c>
      <c r="BB174" s="615">
        <v>0</v>
      </c>
      <c r="BC174" s="615">
        <v>0</v>
      </c>
      <c r="BD174" s="615">
        <v>0</v>
      </c>
      <c r="BE174" s="615">
        <v>0</v>
      </c>
      <c r="BF174" s="615">
        <v>0</v>
      </c>
      <c r="BG174" s="615">
        <v>0</v>
      </c>
      <c r="BH174" s="615">
        <v>0</v>
      </c>
      <c r="BI174" s="615">
        <v>0</v>
      </c>
      <c r="BJ174" s="615">
        <v>0</v>
      </c>
      <c r="BK174" s="615">
        <v>0</v>
      </c>
      <c r="BL174" s="615">
        <v>0</v>
      </c>
      <c r="BM174" s="615">
        <v>0</v>
      </c>
      <c r="BN174" s="615">
        <v>0</v>
      </c>
      <c r="BO174" s="615">
        <v>0</v>
      </c>
      <c r="BP174" s="615">
        <v>0</v>
      </c>
      <c r="BQ174" s="615">
        <v>0</v>
      </c>
      <c r="BR174" s="615">
        <v>0</v>
      </c>
      <c r="BS174" s="615">
        <v>0</v>
      </c>
      <c r="BT174" s="615">
        <v>0</v>
      </c>
      <c r="BU174" s="615">
        <v>0</v>
      </c>
      <c r="BV174" s="615">
        <v>0</v>
      </c>
      <c r="BW174" s="615">
        <v>0</v>
      </c>
      <c r="BX174" s="607">
        <f t="shared" si="6"/>
        <v>0</v>
      </c>
    </row>
    <row r="175" spans="1:76" s="612" customFormat="1" ht="11.25" customHeight="1" x14ac:dyDescent="0.2">
      <c r="A175" s="907"/>
      <c r="B175" s="611" t="s">
        <v>1076</v>
      </c>
      <c r="C175" s="641" t="s">
        <v>1919</v>
      </c>
      <c r="D175" s="615" t="s">
        <v>1128</v>
      </c>
      <c r="E175" s="615">
        <v>0</v>
      </c>
      <c r="F175" s="615">
        <v>0</v>
      </c>
      <c r="G175" s="615">
        <v>0</v>
      </c>
      <c r="H175" s="585">
        <v>0</v>
      </c>
      <c r="I175" s="615">
        <v>0</v>
      </c>
      <c r="J175" s="615">
        <v>0</v>
      </c>
      <c r="K175" s="615" t="s">
        <v>1128</v>
      </c>
      <c r="L175" s="615">
        <v>0</v>
      </c>
      <c r="M175" s="615">
        <v>0</v>
      </c>
      <c r="N175" s="615">
        <v>0</v>
      </c>
      <c r="O175" s="615">
        <v>0</v>
      </c>
      <c r="P175" s="615">
        <v>0</v>
      </c>
      <c r="Q175" s="615">
        <v>0</v>
      </c>
      <c r="R175" s="615">
        <v>0</v>
      </c>
      <c r="S175" s="615">
        <v>0</v>
      </c>
      <c r="T175" s="615">
        <v>0</v>
      </c>
      <c r="U175" s="615">
        <v>0</v>
      </c>
      <c r="V175" s="615">
        <v>0</v>
      </c>
      <c r="W175" s="615">
        <v>0</v>
      </c>
      <c r="X175" s="615">
        <v>0</v>
      </c>
      <c r="Y175" s="615">
        <v>0</v>
      </c>
      <c r="Z175" s="615">
        <v>0</v>
      </c>
      <c r="AA175" s="615">
        <v>0</v>
      </c>
      <c r="AB175" s="615">
        <v>0</v>
      </c>
      <c r="AC175" s="615">
        <v>0</v>
      </c>
      <c r="AD175" s="615">
        <v>0</v>
      </c>
      <c r="AE175" s="615">
        <v>0</v>
      </c>
      <c r="AF175" s="615">
        <v>0</v>
      </c>
      <c r="AG175" s="615">
        <v>0</v>
      </c>
      <c r="AH175" s="615">
        <v>0</v>
      </c>
      <c r="AI175" s="615">
        <v>0</v>
      </c>
      <c r="AJ175" s="615">
        <v>0</v>
      </c>
      <c r="AK175" s="615">
        <v>0</v>
      </c>
      <c r="AL175" s="615">
        <v>0</v>
      </c>
      <c r="AM175" s="615">
        <v>0</v>
      </c>
      <c r="AN175" s="615">
        <v>0</v>
      </c>
      <c r="AO175" s="615">
        <v>0</v>
      </c>
      <c r="AP175" s="615">
        <v>0</v>
      </c>
      <c r="AQ175" s="615">
        <v>0</v>
      </c>
      <c r="AR175" s="615">
        <v>0</v>
      </c>
      <c r="AS175" s="615">
        <v>0</v>
      </c>
      <c r="AT175" s="615">
        <v>0</v>
      </c>
      <c r="AU175" s="615">
        <v>0</v>
      </c>
      <c r="AV175" s="615">
        <v>0</v>
      </c>
      <c r="AW175" s="615">
        <v>0</v>
      </c>
      <c r="AX175" s="615">
        <v>0</v>
      </c>
      <c r="AY175" s="615">
        <v>0</v>
      </c>
      <c r="AZ175" s="615">
        <v>0</v>
      </c>
      <c r="BA175" s="615">
        <v>0</v>
      </c>
      <c r="BB175" s="615">
        <v>0</v>
      </c>
      <c r="BC175" s="615">
        <v>0</v>
      </c>
      <c r="BD175" s="615">
        <v>0</v>
      </c>
      <c r="BE175" s="615">
        <v>0</v>
      </c>
      <c r="BF175" s="615">
        <v>0</v>
      </c>
      <c r="BG175" s="615">
        <v>0</v>
      </c>
      <c r="BH175" s="615">
        <v>0</v>
      </c>
      <c r="BI175" s="615">
        <v>0</v>
      </c>
      <c r="BJ175" s="615">
        <v>0</v>
      </c>
      <c r="BK175" s="615">
        <v>0</v>
      </c>
      <c r="BL175" s="615">
        <v>0</v>
      </c>
      <c r="BM175" s="615">
        <v>0</v>
      </c>
      <c r="BN175" s="615">
        <v>0</v>
      </c>
      <c r="BO175" s="615">
        <v>0</v>
      </c>
      <c r="BP175" s="615">
        <v>0</v>
      </c>
      <c r="BQ175" s="615">
        <v>0</v>
      </c>
      <c r="BR175" s="615">
        <v>0</v>
      </c>
      <c r="BS175" s="615">
        <v>0</v>
      </c>
      <c r="BT175" s="615">
        <v>0</v>
      </c>
      <c r="BU175" s="615">
        <v>0</v>
      </c>
      <c r="BV175" s="615">
        <v>0</v>
      </c>
      <c r="BW175" s="615">
        <v>0</v>
      </c>
      <c r="BX175" s="607">
        <f t="shared" si="6"/>
        <v>0</v>
      </c>
    </row>
    <row r="176" spans="1:76" s="612" customFormat="1" ht="11.25" customHeight="1" x14ac:dyDescent="0.2">
      <c r="A176" s="907"/>
      <c r="B176" s="611" t="s">
        <v>996</v>
      </c>
      <c r="C176" s="641" t="s">
        <v>1920</v>
      </c>
      <c r="D176" s="615" t="s">
        <v>1128</v>
      </c>
      <c r="E176" s="615">
        <v>0</v>
      </c>
      <c r="F176" s="615">
        <v>0</v>
      </c>
      <c r="G176" s="615">
        <v>0</v>
      </c>
      <c r="H176" s="585">
        <v>0</v>
      </c>
      <c r="I176" s="615">
        <v>0</v>
      </c>
      <c r="J176" s="615">
        <v>0</v>
      </c>
      <c r="K176" s="615">
        <v>0</v>
      </c>
      <c r="L176" s="615">
        <v>0</v>
      </c>
      <c r="M176" s="615">
        <v>0</v>
      </c>
      <c r="N176" s="615">
        <v>0</v>
      </c>
      <c r="O176" s="615">
        <v>0</v>
      </c>
      <c r="P176" s="615">
        <v>0</v>
      </c>
      <c r="Q176" s="615">
        <v>0</v>
      </c>
      <c r="R176" s="615">
        <v>0</v>
      </c>
      <c r="S176" s="615">
        <v>0</v>
      </c>
      <c r="T176" s="615">
        <v>0</v>
      </c>
      <c r="U176" s="615">
        <v>0</v>
      </c>
      <c r="V176" s="615">
        <v>0</v>
      </c>
      <c r="W176" s="615">
        <v>0</v>
      </c>
      <c r="X176" s="615">
        <v>0</v>
      </c>
      <c r="Y176" s="615">
        <v>0</v>
      </c>
      <c r="Z176" s="615">
        <v>0</v>
      </c>
      <c r="AA176" s="615">
        <v>0</v>
      </c>
      <c r="AB176" s="615">
        <v>0</v>
      </c>
      <c r="AC176" s="615">
        <v>0</v>
      </c>
      <c r="AD176" s="615">
        <v>0</v>
      </c>
      <c r="AE176" s="615">
        <v>0</v>
      </c>
      <c r="AF176" s="615">
        <v>0</v>
      </c>
      <c r="AG176" s="615">
        <v>0</v>
      </c>
      <c r="AH176" s="615">
        <v>0</v>
      </c>
      <c r="AI176" s="615">
        <v>0</v>
      </c>
      <c r="AJ176" s="615">
        <v>0</v>
      </c>
      <c r="AK176" s="615">
        <v>0</v>
      </c>
      <c r="AL176" s="615">
        <v>0</v>
      </c>
      <c r="AM176" s="615">
        <v>0</v>
      </c>
      <c r="AN176" s="615">
        <v>0</v>
      </c>
      <c r="AO176" s="615">
        <v>0</v>
      </c>
      <c r="AP176" s="615">
        <v>0</v>
      </c>
      <c r="AQ176" s="615">
        <v>0</v>
      </c>
      <c r="AR176" s="615">
        <v>0</v>
      </c>
      <c r="AS176" s="615">
        <v>0</v>
      </c>
      <c r="AT176" s="615">
        <v>0</v>
      </c>
      <c r="AU176" s="615">
        <v>0</v>
      </c>
      <c r="AV176" s="615">
        <v>0</v>
      </c>
      <c r="AW176" s="615">
        <v>0</v>
      </c>
      <c r="AX176" s="615">
        <v>0</v>
      </c>
      <c r="AY176" s="615">
        <v>0</v>
      </c>
      <c r="AZ176" s="615">
        <v>0</v>
      </c>
      <c r="BA176" s="615">
        <v>0</v>
      </c>
      <c r="BB176" s="615">
        <v>0</v>
      </c>
      <c r="BC176" s="615">
        <v>0</v>
      </c>
      <c r="BD176" s="615">
        <v>0</v>
      </c>
      <c r="BE176" s="615">
        <v>0</v>
      </c>
      <c r="BF176" s="615">
        <v>0</v>
      </c>
      <c r="BG176" s="615">
        <v>0</v>
      </c>
      <c r="BH176" s="615">
        <v>0</v>
      </c>
      <c r="BI176" s="615">
        <v>0</v>
      </c>
      <c r="BJ176" s="615">
        <v>0</v>
      </c>
      <c r="BK176" s="615">
        <v>0</v>
      </c>
      <c r="BL176" s="615">
        <v>0</v>
      </c>
      <c r="BM176" s="615">
        <v>0</v>
      </c>
      <c r="BN176" s="615">
        <v>0</v>
      </c>
      <c r="BO176" s="615">
        <v>0</v>
      </c>
      <c r="BP176" s="615">
        <v>0</v>
      </c>
      <c r="BQ176" s="615">
        <v>0</v>
      </c>
      <c r="BR176" s="615">
        <v>0</v>
      </c>
      <c r="BS176" s="615">
        <v>0</v>
      </c>
      <c r="BT176" s="615">
        <v>0</v>
      </c>
      <c r="BU176" s="615">
        <v>0</v>
      </c>
      <c r="BV176" s="615">
        <v>0</v>
      </c>
      <c r="BW176" s="615">
        <v>0</v>
      </c>
      <c r="BX176" s="607">
        <f t="shared" si="6"/>
        <v>0</v>
      </c>
    </row>
    <row r="177" spans="1:76" s="612" customFormat="1" ht="11.25" customHeight="1" x14ac:dyDescent="0.2">
      <c r="A177" s="907"/>
      <c r="B177" s="611" t="s">
        <v>1747</v>
      </c>
      <c r="C177" s="641" t="s">
        <v>1921</v>
      </c>
      <c r="D177" s="615">
        <v>0</v>
      </c>
      <c r="E177" s="615">
        <v>0</v>
      </c>
      <c r="F177" s="615">
        <v>0</v>
      </c>
      <c r="G177" s="615">
        <v>0</v>
      </c>
      <c r="H177" s="585">
        <v>0</v>
      </c>
      <c r="I177" s="615">
        <v>0</v>
      </c>
      <c r="J177" s="615">
        <v>0</v>
      </c>
      <c r="K177" s="615">
        <v>0</v>
      </c>
      <c r="L177" s="615">
        <v>0</v>
      </c>
      <c r="M177" s="615">
        <v>0</v>
      </c>
      <c r="N177" s="615">
        <v>0</v>
      </c>
      <c r="O177" s="615">
        <v>0</v>
      </c>
      <c r="P177" s="615">
        <v>0</v>
      </c>
      <c r="Q177" s="615">
        <v>0</v>
      </c>
      <c r="R177" s="615">
        <v>0</v>
      </c>
      <c r="S177" s="615">
        <v>0</v>
      </c>
      <c r="T177" s="615">
        <v>0</v>
      </c>
      <c r="U177" s="615">
        <v>0</v>
      </c>
      <c r="V177" s="615">
        <v>0</v>
      </c>
      <c r="W177" s="615">
        <v>0</v>
      </c>
      <c r="X177" s="615">
        <v>0</v>
      </c>
      <c r="Y177" s="615">
        <v>0</v>
      </c>
      <c r="Z177" s="615">
        <v>0</v>
      </c>
      <c r="AA177" s="615">
        <v>0</v>
      </c>
      <c r="AB177" s="615">
        <v>0</v>
      </c>
      <c r="AC177" s="615">
        <v>0</v>
      </c>
      <c r="AD177" s="615">
        <v>0</v>
      </c>
      <c r="AE177" s="615">
        <v>0</v>
      </c>
      <c r="AF177" s="615">
        <v>0</v>
      </c>
      <c r="AG177" s="615">
        <v>0</v>
      </c>
      <c r="AH177" s="615">
        <v>0</v>
      </c>
      <c r="AI177" s="615">
        <v>0</v>
      </c>
      <c r="AJ177" s="615">
        <v>0</v>
      </c>
      <c r="AK177" s="615">
        <v>0</v>
      </c>
      <c r="AL177" s="615">
        <v>0</v>
      </c>
      <c r="AM177" s="615">
        <v>0</v>
      </c>
      <c r="AN177" s="615">
        <v>0</v>
      </c>
      <c r="AO177" s="615">
        <v>0</v>
      </c>
      <c r="AP177" s="615">
        <v>0</v>
      </c>
      <c r="AQ177" s="615">
        <v>0</v>
      </c>
      <c r="AR177" s="615">
        <v>0</v>
      </c>
      <c r="AS177" s="615">
        <v>0</v>
      </c>
      <c r="AT177" s="615">
        <v>0</v>
      </c>
      <c r="AU177" s="615">
        <v>0</v>
      </c>
      <c r="AV177" s="615">
        <v>626997</v>
      </c>
      <c r="AW177" s="615">
        <v>0</v>
      </c>
      <c r="AX177" s="615">
        <v>0</v>
      </c>
      <c r="AY177" s="615">
        <v>0</v>
      </c>
      <c r="AZ177" s="615">
        <v>0</v>
      </c>
      <c r="BA177" s="615">
        <v>0</v>
      </c>
      <c r="BB177" s="615">
        <v>0</v>
      </c>
      <c r="BC177" s="615">
        <v>0</v>
      </c>
      <c r="BD177" s="615">
        <v>0</v>
      </c>
      <c r="BE177" s="615">
        <v>0</v>
      </c>
      <c r="BF177" s="615">
        <v>0</v>
      </c>
      <c r="BG177" s="615">
        <v>0</v>
      </c>
      <c r="BH177" s="615">
        <v>0</v>
      </c>
      <c r="BI177" s="615">
        <v>0</v>
      </c>
      <c r="BJ177" s="615">
        <v>0</v>
      </c>
      <c r="BK177" s="615">
        <v>0</v>
      </c>
      <c r="BL177" s="615">
        <v>0</v>
      </c>
      <c r="BM177" s="615">
        <v>0</v>
      </c>
      <c r="BN177" s="615">
        <v>0</v>
      </c>
      <c r="BO177" s="615">
        <v>0</v>
      </c>
      <c r="BP177" s="615">
        <v>0</v>
      </c>
      <c r="BQ177" s="615">
        <v>0</v>
      </c>
      <c r="BR177" s="615">
        <v>0</v>
      </c>
      <c r="BS177" s="615">
        <v>0</v>
      </c>
      <c r="BT177" s="615">
        <v>0</v>
      </c>
      <c r="BU177" s="615">
        <v>0</v>
      </c>
      <c r="BV177" s="615">
        <v>0</v>
      </c>
      <c r="BW177" s="615">
        <v>0</v>
      </c>
      <c r="BX177" s="607">
        <f t="shared" si="6"/>
        <v>626997</v>
      </c>
    </row>
    <row r="178" spans="1:76" s="612" customFormat="1" ht="11.25" customHeight="1" x14ac:dyDescent="0.2">
      <c r="A178" s="907"/>
      <c r="B178" s="611" t="s">
        <v>1074</v>
      </c>
      <c r="C178" s="641" t="s">
        <v>1922</v>
      </c>
      <c r="D178" s="615">
        <v>0</v>
      </c>
      <c r="E178" s="615">
        <v>0</v>
      </c>
      <c r="F178" s="615">
        <v>0</v>
      </c>
      <c r="G178" s="615">
        <v>0</v>
      </c>
      <c r="H178" s="585">
        <v>0</v>
      </c>
      <c r="I178" s="615">
        <v>0</v>
      </c>
      <c r="J178" s="615">
        <v>0</v>
      </c>
      <c r="K178" s="615">
        <v>0</v>
      </c>
      <c r="L178" s="615">
        <v>0</v>
      </c>
      <c r="M178" s="615">
        <v>0</v>
      </c>
      <c r="N178" s="615">
        <v>0</v>
      </c>
      <c r="O178" s="615">
        <v>0</v>
      </c>
      <c r="P178" s="615">
        <v>0</v>
      </c>
      <c r="Q178" s="615">
        <v>0</v>
      </c>
      <c r="R178" s="615">
        <v>0</v>
      </c>
      <c r="S178" s="615">
        <v>0</v>
      </c>
      <c r="T178" s="615">
        <v>0</v>
      </c>
      <c r="U178" s="615">
        <v>0</v>
      </c>
      <c r="V178" s="615">
        <v>0</v>
      </c>
      <c r="W178" s="615">
        <v>0</v>
      </c>
      <c r="X178" s="615">
        <v>0</v>
      </c>
      <c r="Y178" s="615">
        <v>0</v>
      </c>
      <c r="Z178" s="615">
        <v>0</v>
      </c>
      <c r="AA178" s="615">
        <v>0</v>
      </c>
      <c r="AB178" s="615">
        <v>0</v>
      </c>
      <c r="AC178" s="615">
        <v>0</v>
      </c>
      <c r="AD178" s="615">
        <v>0</v>
      </c>
      <c r="AE178" s="615">
        <v>0</v>
      </c>
      <c r="AF178" s="615">
        <v>0</v>
      </c>
      <c r="AG178" s="615">
        <v>0</v>
      </c>
      <c r="AH178" s="615">
        <v>0</v>
      </c>
      <c r="AI178" s="615">
        <v>0</v>
      </c>
      <c r="AJ178" s="615">
        <v>0</v>
      </c>
      <c r="AK178" s="615">
        <v>0</v>
      </c>
      <c r="AL178" s="615">
        <v>0</v>
      </c>
      <c r="AM178" s="615">
        <v>0</v>
      </c>
      <c r="AN178" s="615">
        <v>0</v>
      </c>
      <c r="AO178" s="615">
        <v>0</v>
      </c>
      <c r="AP178" s="615">
        <v>0</v>
      </c>
      <c r="AQ178" s="615">
        <v>0</v>
      </c>
      <c r="AR178" s="615">
        <v>0</v>
      </c>
      <c r="AS178" s="615">
        <v>0</v>
      </c>
      <c r="AT178" s="615">
        <v>0</v>
      </c>
      <c r="AU178" s="615">
        <v>0</v>
      </c>
      <c r="AV178" s="615">
        <v>0</v>
      </c>
      <c r="AW178" s="615">
        <v>0</v>
      </c>
      <c r="AX178" s="615">
        <v>0</v>
      </c>
      <c r="AY178" s="615">
        <v>0</v>
      </c>
      <c r="AZ178" s="615">
        <v>0</v>
      </c>
      <c r="BA178" s="615">
        <v>0</v>
      </c>
      <c r="BB178" s="615">
        <v>0</v>
      </c>
      <c r="BC178" s="615">
        <v>0</v>
      </c>
      <c r="BD178" s="615">
        <v>0</v>
      </c>
      <c r="BE178" s="615">
        <v>0</v>
      </c>
      <c r="BF178" s="615">
        <v>0</v>
      </c>
      <c r="BG178" s="615">
        <v>0</v>
      </c>
      <c r="BH178" s="615">
        <v>0</v>
      </c>
      <c r="BI178" s="615">
        <v>0</v>
      </c>
      <c r="BJ178" s="615">
        <v>0</v>
      </c>
      <c r="BK178" s="615">
        <v>0</v>
      </c>
      <c r="BL178" s="615">
        <v>0</v>
      </c>
      <c r="BM178" s="615">
        <v>0</v>
      </c>
      <c r="BN178" s="615">
        <v>0</v>
      </c>
      <c r="BO178" s="615">
        <v>0</v>
      </c>
      <c r="BP178" s="615">
        <v>0</v>
      </c>
      <c r="BQ178" s="615">
        <v>0</v>
      </c>
      <c r="BR178" s="615">
        <v>0</v>
      </c>
      <c r="BS178" s="615">
        <v>0</v>
      </c>
      <c r="BT178" s="615">
        <v>0</v>
      </c>
      <c r="BU178" s="615">
        <v>0</v>
      </c>
      <c r="BV178" s="615">
        <v>0</v>
      </c>
      <c r="BW178" s="615">
        <v>0</v>
      </c>
      <c r="BX178" s="607">
        <f t="shared" si="6"/>
        <v>0</v>
      </c>
    </row>
    <row r="179" spans="1:76" s="612" customFormat="1" ht="11.25" customHeight="1" x14ac:dyDescent="0.2">
      <c r="A179" s="907"/>
      <c r="B179" s="611" t="s">
        <v>1004</v>
      </c>
      <c r="C179" s="641" t="s">
        <v>1923</v>
      </c>
      <c r="D179" s="615">
        <v>0</v>
      </c>
      <c r="E179" s="615">
        <v>0</v>
      </c>
      <c r="F179" s="615">
        <v>0</v>
      </c>
      <c r="G179" s="615">
        <v>0</v>
      </c>
      <c r="H179" s="585">
        <v>0</v>
      </c>
      <c r="I179" s="615">
        <v>0</v>
      </c>
      <c r="J179" s="615">
        <v>0</v>
      </c>
      <c r="K179" s="615">
        <v>0</v>
      </c>
      <c r="L179" s="615">
        <v>0</v>
      </c>
      <c r="M179" s="615">
        <v>0</v>
      </c>
      <c r="N179" s="615">
        <v>0</v>
      </c>
      <c r="O179" s="615">
        <v>0</v>
      </c>
      <c r="P179" s="615">
        <v>0</v>
      </c>
      <c r="Q179" s="615">
        <v>0</v>
      </c>
      <c r="R179" s="615">
        <v>0</v>
      </c>
      <c r="S179" s="615">
        <v>0</v>
      </c>
      <c r="T179" s="615">
        <v>0</v>
      </c>
      <c r="U179" s="615">
        <v>0</v>
      </c>
      <c r="V179" s="615">
        <v>0</v>
      </c>
      <c r="W179" s="615">
        <v>0</v>
      </c>
      <c r="X179" s="615">
        <v>0</v>
      </c>
      <c r="Y179" s="615">
        <v>0</v>
      </c>
      <c r="Z179" s="615">
        <v>0</v>
      </c>
      <c r="AA179" s="615">
        <v>0</v>
      </c>
      <c r="AB179" s="615">
        <v>0</v>
      </c>
      <c r="AC179" s="615">
        <v>0</v>
      </c>
      <c r="AD179" s="615">
        <v>0</v>
      </c>
      <c r="AE179" s="615">
        <v>0</v>
      </c>
      <c r="AF179" s="615">
        <v>0</v>
      </c>
      <c r="AG179" s="615">
        <v>0</v>
      </c>
      <c r="AH179" s="615">
        <v>0</v>
      </c>
      <c r="AI179" s="615">
        <v>0</v>
      </c>
      <c r="AJ179" s="615">
        <v>0</v>
      </c>
      <c r="AK179" s="615">
        <v>0</v>
      </c>
      <c r="AL179" s="615">
        <v>0</v>
      </c>
      <c r="AM179" s="615">
        <v>0</v>
      </c>
      <c r="AN179" s="615">
        <v>0</v>
      </c>
      <c r="AO179" s="615">
        <v>0</v>
      </c>
      <c r="AP179" s="615">
        <v>0</v>
      </c>
      <c r="AQ179" s="615">
        <v>0</v>
      </c>
      <c r="AR179" s="615">
        <v>0</v>
      </c>
      <c r="AS179" s="615">
        <v>0</v>
      </c>
      <c r="AT179" s="615">
        <v>0</v>
      </c>
      <c r="AU179" s="615">
        <v>0</v>
      </c>
      <c r="AV179" s="615">
        <v>0</v>
      </c>
      <c r="AW179" s="615">
        <v>0</v>
      </c>
      <c r="AX179" s="615">
        <v>0</v>
      </c>
      <c r="AY179" s="615">
        <v>0</v>
      </c>
      <c r="AZ179" s="615">
        <v>0</v>
      </c>
      <c r="BA179" s="615">
        <v>0</v>
      </c>
      <c r="BB179" s="615">
        <v>0</v>
      </c>
      <c r="BC179" s="615">
        <v>0</v>
      </c>
      <c r="BD179" s="615">
        <v>0</v>
      </c>
      <c r="BE179" s="615">
        <v>0</v>
      </c>
      <c r="BF179" s="615">
        <v>0</v>
      </c>
      <c r="BG179" s="615">
        <v>0</v>
      </c>
      <c r="BH179" s="615">
        <v>0</v>
      </c>
      <c r="BI179" s="615">
        <v>0</v>
      </c>
      <c r="BJ179" s="615">
        <v>0</v>
      </c>
      <c r="BK179" s="615">
        <v>0</v>
      </c>
      <c r="BL179" s="615">
        <v>0</v>
      </c>
      <c r="BM179" s="615">
        <v>0</v>
      </c>
      <c r="BN179" s="615">
        <v>0</v>
      </c>
      <c r="BO179" s="615">
        <v>0</v>
      </c>
      <c r="BP179" s="615">
        <v>0</v>
      </c>
      <c r="BQ179" s="615">
        <v>0</v>
      </c>
      <c r="BR179" s="615">
        <v>0</v>
      </c>
      <c r="BS179" s="615">
        <v>0</v>
      </c>
      <c r="BT179" s="615">
        <v>0</v>
      </c>
      <c r="BU179" s="615">
        <v>0</v>
      </c>
      <c r="BV179" s="615">
        <v>0</v>
      </c>
      <c r="BW179" s="615">
        <v>0</v>
      </c>
      <c r="BX179" s="607">
        <f t="shared" si="6"/>
        <v>0</v>
      </c>
    </row>
    <row r="180" spans="1:76" s="612" customFormat="1" ht="11.25" customHeight="1" x14ac:dyDescent="0.2">
      <c r="A180" s="907"/>
      <c r="B180" s="611" t="s">
        <v>1304</v>
      </c>
      <c r="C180" s="641" t="s">
        <v>1924</v>
      </c>
      <c r="D180" s="615">
        <v>0</v>
      </c>
      <c r="E180" s="615">
        <v>0</v>
      </c>
      <c r="F180" s="615">
        <v>0</v>
      </c>
      <c r="G180" s="615">
        <v>0</v>
      </c>
      <c r="H180" s="585">
        <v>0</v>
      </c>
      <c r="I180" s="615">
        <v>0</v>
      </c>
      <c r="J180" s="615">
        <v>0</v>
      </c>
      <c r="K180" s="615">
        <v>0</v>
      </c>
      <c r="L180" s="615">
        <v>0</v>
      </c>
      <c r="M180" s="615">
        <v>0</v>
      </c>
      <c r="N180" s="615">
        <v>0</v>
      </c>
      <c r="O180" s="615">
        <v>0</v>
      </c>
      <c r="P180" s="615">
        <v>0</v>
      </c>
      <c r="Q180" s="615">
        <v>0</v>
      </c>
      <c r="R180" s="615">
        <v>0</v>
      </c>
      <c r="S180" s="615">
        <v>0</v>
      </c>
      <c r="T180" s="615">
        <v>0</v>
      </c>
      <c r="U180" s="615">
        <v>0</v>
      </c>
      <c r="V180" s="615">
        <v>0</v>
      </c>
      <c r="W180" s="615">
        <v>0</v>
      </c>
      <c r="X180" s="615">
        <v>0</v>
      </c>
      <c r="Y180" s="615">
        <v>0</v>
      </c>
      <c r="Z180" s="615">
        <v>0</v>
      </c>
      <c r="AA180" s="615">
        <v>0</v>
      </c>
      <c r="AB180" s="615">
        <v>0</v>
      </c>
      <c r="AC180" s="615">
        <v>0</v>
      </c>
      <c r="AD180" s="615">
        <v>0</v>
      </c>
      <c r="AE180" s="615">
        <v>0</v>
      </c>
      <c r="AF180" s="615">
        <v>0</v>
      </c>
      <c r="AG180" s="615">
        <v>0</v>
      </c>
      <c r="AH180" s="615">
        <v>0</v>
      </c>
      <c r="AI180" s="615">
        <v>0</v>
      </c>
      <c r="AJ180" s="615">
        <v>0</v>
      </c>
      <c r="AK180" s="615">
        <v>0</v>
      </c>
      <c r="AL180" s="615">
        <v>0</v>
      </c>
      <c r="AM180" s="615">
        <v>0</v>
      </c>
      <c r="AN180" s="615">
        <v>0</v>
      </c>
      <c r="AO180" s="615">
        <v>0</v>
      </c>
      <c r="AP180" s="615">
        <v>0</v>
      </c>
      <c r="AQ180" s="615">
        <v>0</v>
      </c>
      <c r="AR180" s="615">
        <v>0</v>
      </c>
      <c r="AS180" s="615">
        <v>0</v>
      </c>
      <c r="AT180" s="615">
        <v>0</v>
      </c>
      <c r="AU180" s="615">
        <v>0</v>
      </c>
      <c r="AV180" s="615">
        <v>0</v>
      </c>
      <c r="AW180" s="615">
        <v>0</v>
      </c>
      <c r="AX180" s="615">
        <v>0</v>
      </c>
      <c r="AY180" s="615">
        <v>0</v>
      </c>
      <c r="AZ180" s="615">
        <v>0</v>
      </c>
      <c r="BA180" s="615">
        <v>0</v>
      </c>
      <c r="BB180" s="615">
        <v>0</v>
      </c>
      <c r="BC180" s="615">
        <v>0</v>
      </c>
      <c r="BD180" s="615">
        <v>0</v>
      </c>
      <c r="BE180" s="615">
        <v>0</v>
      </c>
      <c r="BF180" s="615">
        <v>0</v>
      </c>
      <c r="BG180" s="615">
        <v>0</v>
      </c>
      <c r="BH180" s="615">
        <v>0</v>
      </c>
      <c r="BI180" s="615">
        <v>0</v>
      </c>
      <c r="BJ180" s="615">
        <v>0</v>
      </c>
      <c r="BK180" s="615">
        <v>0</v>
      </c>
      <c r="BL180" s="615">
        <v>0</v>
      </c>
      <c r="BM180" s="615">
        <v>0</v>
      </c>
      <c r="BN180" s="615">
        <v>0</v>
      </c>
      <c r="BO180" s="615">
        <v>0</v>
      </c>
      <c r="BP180" s="615">
        <v>0</v>
      </c>
      <c r="BQ180" s="615">
        <v>0</v>
      </c>
      <c r="BR180" s="615">
        <v>0</v>
      </c>
      <c r="BS180" s="615">
        <v>0</v>
      </c>
      <c r="BT180" s="615">
        <v>0</v>
      </c>
      <c r="BU180" s="615">
        <v>0</v>
      </c>
      <c r="BV180" s="615">
        <v>0</v>
      </c>
      <c r="BW180" s="615">
        <v>0</v>
      </c>
      <c r="BX180" s="607">
        <f t="shared" si="6"/>
        <v>0</v>
      </c>
    </row>
    <row r="181" spans="1:76" s="612" customFormat="1" ht="11.25" customHeight="1" x14ac:dyDescent="0.2">
      <c r="A181" s="907"/>
      <c r="B181" s="611" t="s">
        <v>1711</v>
      </c>
      <c r="C181" s="641" t="s">
        <v>1925</v>
      </c>
      <c r="D181" s="615">
        <v>0</v>
      </c>
      <c r="E181" s="615">
        <v>0</v>
      </c>
      <c r="F181" s="615">
        <v>0</v>
      </c>
      <c r="G181" s="615">
        <v>0</v>
      </c>
      <c r="H181" s="585">
        <v>0</v>
      </c>
      <c r="I181" s="615">
        <v>0</v>
      </c>
      <c r="J181" s="615">
        <v>0</v>
      </c>
      <c r="K181" s="615" t="s">
        <v>1128</v>
      </c>
      <c r="L181" s="615">
        <v>0</v>
      </c>
      <c r="M181" s="615">
        <v>0</v>
      </c>
      <c r="N181" s="615">
        <v>0</v>
      </c>
      <c r="O181" s="615">
        <v>0</v>
      </c>
      <c r="P181" s="615">
        <v>0</v>
      </c>
      <c r="Q181" s="615">
        <v>0</v>
      </c>
      <c r="R181" s="615">
        <v>0</v>
      </c>
      <c r="S181" s="615">
        <v>0</v>
      </c>
      <c r="T181" s="615">
        <v>0</v>
      </c>
      <c r="U181" s="615">
        <v>0</v>
      </c>
      <c r="V181" s="615">
        <v>0</v>
      </c>
      <c r="W181" s="615">
        <v>0</v>
      </c>
      <c r="X181" s="615">
        <v>0</v>
      </c>
      <c r="Y181" s="615">
        <v>0</v>
      </c>
      <c r="Z181" s="615">
        <v>0</v>
      </c>
      <c r="AA181" s="615">
        <v>0</v>
      </c>
      <c r="AB181" s="615">
        <v>0</v>
      </c>
      <c r="AC181" s="615">
        <v>0</v>
      </c>
      <c r="AD181" s="615">
        <v>0</v>
      </c>
      <c r="AE181" s="615">
        <v>0</v>
      </c>
      <c r="AF181" s="615">
        <v>0</v>
      </c>
      <c r="AG181" s="615">
        <v>0</v>
      </c>
      <c r="AH181" s="615">
        <v>0</v>
      </c>
      <c r="AI181" s="615">
        <v>0</v>
      </c>
      <c r="AJ181" s="615">
        <v>0</v>
      </c>
      <c r="AK181" s="615">
        <v>0</v>
      </c>
      <c r="AL181" s="615">
        <v>0</v>
      </c>
      <c r="AM181" s="615">
        <v>0</v>
      </c>
      <c r="AN181" s="615">
        <v>0</v>
      </c>
      <c r="AO181" s="615">
        <v>0</v>
      </c>
      <c r="AP181" s="615">
        <v>0</v>
      </c>
      <c r="AQ181" s="615">
        <v>0</v>
      </c>
      <c r="AR181" s="615">
        <v>0</v>
      </c>
      <c r="AS181" s="615">
        <v>0</v>
      </c>
      <c r="AT181" s="615">
        <v>0</v>
      </c>
      <c r="AU181" s="615">
        <v>0</v>
      </c>
      <c r="AV181" s="615">
        <v>0</v>
      </c>
      <c r="AW181" s="615">
        <v>0</v>
      </c>
      <c r="AX181" s="615">
        <v>0</v>
      </c>
      <c r="AY181" s="615">
        <v>0</v>
      </c>
      <c r="AZ181" s="615">
        <v>0</v>
      </c>
      <c r="BA181" s="615">
        <v>0</v>
      </c>
      <c r="BB181" s="615">
        <v>0</v>
      </c>
      <c r="BC181" s="615">
        <v>0</v>
      </c>
      <c r="BD181" s="615">
        <v>0</v>
      </c>
      <c r="BE181" s="615">
        <v>0</v>
      </c>
      <c r="BF181" s="615">
        <v>0</v>
      </c>
      <c r="BG181" s="615">
        <v>0</v>
      </c>
      <c r="BH181" s="615">
        <v>0</v>
      </c>
      <c r="BI181" s="615">
        <v>0</v>
      </c>
      <c r="BJ181" s="615">
        <v>0</v>
      </c>
      <c r="BK181" s="615">
        <v>0</v>
      </c>
      <c r="BL181" s="615">
        <v>0</v>
      </c>
      <c r="BM181" s="615">
        <v>0</v>
      </c>
      <c r="BN181" s="615">
        <v>0</v>
      </c>
      <c r="BO181" s="615">
        <v>0</v>
      </c>
      <c r="BP181" s="615">
        <v>0</v>
      </c>
      <c r="BQ181" s="615">
        <v>0</v>
      </c>
      <c r="BR181" s="615">
        <v>0</v>
      </c>
      <c r="BS181" s="615">
        <v>0</v>
      </c>
      <c r="BT181" s="615">
        <v>0</v>
      </c>
      <c r="BU181" s="615">
        <v>0</v>
      </c>
      <c r="BV181" s="615">
        <v>0</v>
      </c>
      <c r="BW181" s="615">
        <v>0</v>
      </c>
      <c r="BX181" s="607">
        <f t="shared" si="6"/>
        <v>0</v>
      </c>
    </row>
    <row r="182" spans="1:76" s="612" customFormat="1" ht="11.25" customHeight="1" x14ac:dyDescent="0.2">
      <c r="A182" s="907"/>
      <c r="B182" s="611" t="s">
        <v>4277</v>
      </c>
      <c r="C182" s="641" t="s">
        <v>4276</v>
      </c>
      <c r="D182" s="615">
        <v>0</v>
      </c>
      <c r="E182" s="615">
        <v>0</v>
      </c>
      <c r="F182" s="615">
        <v>0</v>
      </c>
      <c r="G182" s="615">
        <v>0</v>
      </c>
      <c r="H182" s="585">
        <v>0</v>
      </c>
      <c r="I182" s="615">
        <v>0</v>
      </c>
      <c r="J182" s="615">
        <v>0</v>
      </c>
      <c r="K182" s="615">
        <v>0</v>
      </c>
      <c r="L182" s="615">
        <v>0</v>
      </c>
      <c r="M182" s="615">
        <v>0</v>
      </c>
      <c r="N182" s="615">
        <v>0</v>
      </c>
      <c r="O182" s="615">
        <v>0</v>
      </c>
      <c r="P182" s="615">
        <v>0</v>
      </c>
      <c r="Q182" s="615">
        <v>0</v>
      </c>
      <c r="R182" s="615">
        <v>0</v>
      </c>
      <c r="S182" s="615">
        <v>0</v>
      </c>
      <c r="T182" s="615">
        <v>0</v>
      </c>
      <c r="U182" s="615">
        <v>0</v>
      </c>
      <c r="V182" s="615">
        <v>0</v>
      </c>
      <c r="W182" s="615">
        <v>0</v>
      </c>
      <c r="X182" s="615">
        <v>0</v>
      </c>
      <c r="Y182" s="615">
        <v>0</v>
      </c>
      <c r="Z182" s="615">
        <v>0</v>
      </c>
      <c r="AA182" s="615">
        <v>0</v>
      </c>
      <c r="AB182" s="615">
        <v>0</v>
      </c>
      <c r="AC182" s="615">
        <v>0</v>
      </c>
      <c r="AD182" s="615">
        <v>0</v>
      </c>
      <c r="AE182" s="615">
        <v>0</v>
      </c>
      <c r="AF182" s="615">
        <v>0</v>
      </c>
      <c r="AG182" s="615">
        <v>0</v>
      </c>
      <c r="AH182" s="615">
        <v>0</v>
      </c>
      <c r="AI182" s="615">
        <v>0</v>
      </c>
      <c r="AJ182" s="615">
        <v>0</v>
      </c>
      <c r="AK182" s="615">
        <v>0</v>
      </c>
      <c r="AL182" s="615">
        <v>0</v>
      </c>
      <c r="AM182" s="615">
        <v>0</v>
      </c>
      <c r="AN182" s="615">
        <v>0</v>
      </c>
      <c r="AO182" s="615">
        <v>0</v>
      </c>
      <c r="AP182" s="615">
        <v>0</v>
      </c>
      <c r="AQ182" s="615">
        <v>0</v>
      </c>
      <c r="AR182" s="615">
        <v>0</v>
      </c>
      <c r="AS182" s="615">
        <v>0</v>
      </c>
      <c r="AT182" s="615">
        <v>0</v>
      </c>
      <c r="AU182" s="615">
        <v>0</v>
      </c>
      <c r="AV182" s="615">
        <v>0</v>
      </c>
      <c r="AW182" s="615">
        <v>0</v>
      </c>
      <c r="AX182" s="615">
        <v>0</v>
      </c>
      <c r="AY182" s="615">
        <v>0</v>
      </c>
      <c r="AZ182" s="615">
        <v>0</v>
      </c>
      <c r="BA182" s="615">
        <v>0</v>
      </c>
      <c r="BB182" s="615">
        <v>0</v>
      </c>
      <c r="BC182" s="615">
        <v>0</v>
      </c>
      <c r="BD182" s="615">
        <v>0</v>
      </c>
      <c r="BE182" s="615">
        <v>0</v>
      </c>
      <c r="BF182" s="615">
        <v>0</v>
      </c>
      <c r="BG182" s="615">
        <v>0</v>
      </c>
      <c r="BH182" s="615">
        <v>0</v>
      </c>
      <c r="BI182" s="615">
        <v>0</v>
      </c>
      <c r="BJ182" s="615">
        <v>0</v>
      </c>
      <c r="BK182" s="615">
        <v>0</v>
      </c>
      <c r="BL182" s="615">
        <v>0</v>
      </c>
      <c r="BM182" s="615">
        <v>0</v>
      </c>
      <c r="BN182" s="615">
        <v>0</v>
      </c>
      <c r="BO182" s="615">
        <v>0</v>
      </c>
      <c r="BP182" s="615">
        <v>0</v>
      </c>
      <c r="BQ182" s="615">
        <v>0</v>
      </c>
      <c r="BR182" s="615">
        <v>0</v>
      </c>
      <c r="BS182" s="615">
        <v>0</v>
      </c>
      <c r="BT182" s="615">
        <v>0</v>
      </c>
      <c r="BU182" s="615">
        <v>0</v>
      </c>
      <c r="BV182" s="615">
        <v>0</v>
      </c>
      <c r="BW182" s="615">
        <v>0</v>
      </c>
      <c r="BX182" s="607">
        <f t="shared" si="6"/>
        <v>0</v>
      </c>
    </row>
    <row r="183" spans="1:76" s="612" customFormat="1" ht="11.25" customHeight="1" x14ac:dyDescent="0.2">
      <c r="A183" s="907"/>
      <c r="B183" s="611" t="s">
        <v>1653</v>
      </c>
      <c r="C183" s="641" t="s">
        <v>1926</v>
      </c>
      <c r="D183" s="615">
        <v>0</v>
      </c>
      <c r="E183" s="615">
        <v>0</v>
      </c>
      <c r="F183" s="615">
        <v>0</v>
      </c>
      <c r="G183" s="615">
        <v>0</v>
      </c>
      <c r="H183" s="585">
        <v>0</v>
      </c>
      <c r="I183" s="615">
        <v>0</v>
      </c>
      <c r="J183" s="615">
        <v>0</v>
      </c>
      <c r="K183" s="615">
        <v>0</v>
      </c>
      <c r="L183" s="615">
        <v>0</v>
      </c>
      <c r="M183" s="615">
        <v>0</v>
      </c>
      <c r="N183" s="615">
        <v>0</v>
      </c>
      <c r="O183" s="615">
        <v>0</v>
      </c>
      <c r="P183" s="615">
        <v>0</v>
      </c>
      <c r="Q183" s="615">
        <v>0</v>
      </c>
      <c r="R183" s="615">
        <v>0</v>
      </c>
      <c r="S183" s="615">
        <v>0</v>
      </c>
      <c r="T183" s="615">
        <v>0</v>
      </c>
      <c r="U183" s="615">
        <v>0</v>
      </c>
      <c r="V183" s="615">
        <v>0</v>
      </c>
      <c r="W183" s="615">
        <v>0</v>
      </c>
      <c r="X183" s="615">
        <v>0</v>
      </c>
      <c r="Y183" s="615">
        <v>0</v>
      </c>
      <c r="Z183" s="615">
        <v>0</v>
      </c>
      <c r="AA183" s="615">
        <v>0</v>
      </c>
      <c r="AB183" s="615">
        <v>0</v>
      </c>
      <c r="AC183" s="615">
        <v>0</v>
      </c>
      <c r="AD183" s="615">
        <v>0</v>
      </c>
      <c r="AE183" s="615">
        <v>0</v>
      </c>
      <c r="AF183" s="615">
        <v>0</v>
      </c>
      <c r="AG183" s="615">
        <v>0</v>
      </c>
      <c r="AH183" s="615">
        <v>0</v>
      </c>
      <c r="AI183" s="615">
        <v>0</v>
      </c>
      <c r="AJ183" s="615">
        <v>0</v>
      </c>
      <c r="AK183" s="615">
        <v>0</v>
      </c>
      <c r="AL183" s="615">
        <v>0</v>
      </c>
      <c r="AM183" s="615">
        <v>0</v>
      </c>
      <c r="AN183" s="615">
        <v>0</v>
      </c>
      <c r="AO183" s="615">
        <v>0</v>
      </c>
      <c r="AP183" s="615">
        <v>0</v>
      </c>
      <c r="AQ183" s="615">
        <v>0</v>
      </c>
      <c r="AR183" s="615">
        <v>0</v>
      </c>
      <c r="AS183" s="615">
        <v>0</v>
      </c>
      <c r="AT183" s="615">
        <v>0</v>
      </c>
      <c r="AU183" s="615">
        <v>0</v>
      </c>
      <c r="AV183" s="615">
        <v>0</v>
      </c>
      <c r="AW183" s="615">
        <v>0</v>
      </c>
      <c r="AX183" s="615">
        <v>0</v>
      </c>
      <c r="AY183" s="615">
        <v>0</v>
      </c>
      <c r="AZ183" s="615">
        <v>0</v>
      </c>
      <c r="BA183" s="615">
        <v>0</v>
      </c>
      <c r="BB183" s="615">
        <v>0</v>
      </c>
      <c r="BC183" s="615">
        <v>0</v>
      </c>
      <c r="BD183" s="615">
        <v>0</v>
      </c>
      <c r="BE183" s="615">
        <v>0</v>
      </c>
      <c r="BF183" s="615">
        <v>0</v>
      </c>
      <c r="BG183" s="615">
        <v>0</v>
      </c>
      <c r="BH183" s="615">
        <v>0</v>
      </c>
      <c r="BI183" s="615">
        <v>0</v>
      </c>
      <c r="BJ183" s="615">
        <v>0</v>
      </c>
      <c r="BK183" s="615">
        <v>0</v>
      </c>
      <c r="BL183" s="615">
        <v>0</v>
      </c>
      <c r="BM183" s="615">
        <v>0</v>
      </c>
      <c r="BN183" s="615">
        <v>0</v>
      </c>
      <c r="BO183" s="615">
        <v>0</v>
      </c>
      <c r="BP183" s="615">
        <v>0</v>
      </c>
      <c r="BQ183" s="615">
        <v>0</v>
      </c>
      <c r="BR183" s="615">
        <v>0</v>
      </c>
      <c r="BS183" s="615">
        <v>0</v>
      </c>
      <c r="BT183" s="615">
        <v>0</v>
      </c>
      <c r="BU183" s="615">
        <v>0</v>
      </c>
      <c r="BV183" s="615">
        <v>0</v>
      </c>
      <c r="BW183" s="615">
        <v>0</v>
      </c>
      <c r="BX183" s="607">
        <f t="shared" si="6"/>
        <v>0</v>
      </c>
    </row>
    <row r="184" spans="1:76" s="612" customFormat="1" ht="11.25" customHeight="1" x14ac:dyDescent="0.2">
      <c r="A184" s="907"/>
      <c r="B184" s="611" t="s">
        <v>2952</v>
      </c>
      <c r="C184" s="641" t="s">
        <v>1927</v>
      </c>
      <c r="D184" s="615">
        <v>0</v>
      </c>
      <c r="E184" s="615">
        <v>0</v>
      </c>
      <c r="F184" s="615">
        <v>0</v>
      </c>
      <c r="G184" s="615">
        <v>0</v>
      </c>
      <c r="H184" s="585">
        <v>0</v>
      </c>
      <c r="I184" s="615">
        <v>0</v>
      </c>
      <c r="J184" s="615">
        <v>0</v>
      </c>
      <c r="K184" s="615">
        <v>0</v>
      </c>
      <c r="L184" s="615">
        <v>0</v>
      </c>
      <c r="M184" s="615">
        <v>0</v>
      </c>
      <c r="N184" s="615">
        <v>0</v>
      </c>
      <c r="O184" s="615">
        <v>0</v>
      </c>
      <c r="P184" s="615">
        <v>0</v>
      </c>
      <c r="Q184" s="615">
        <v>0</v>
      </c>
      <c r="R184" s="615">
        <v>0</v>
      </c>
      <c r="S184" s="615">
        <v>0</v>
      </c>
      <c r="T184" s="615">
        <v>0</v>
      </c>
      <c r="U184" s="615">
        <v>0</v>
      </c>
      <c r="V184" s="615">
        <v>0</v>
      </c>
      <c r="W184" s="615">
        <v>0</v>
      </c>
      <c r="X184" s="615">
        <v>0</v>
      </c>
      <c r="Y184" s="615">
        <v>0</v>
      </c>
      <c r="Z184" s="615">
        <v>0</v>
      </c>
      <c r="AA184" s="615">
        <v>0</v>
      </c>
      <c r="AB184" s="615">
        <v>0</v>
      </c>
      <c r="AC184" s="615">
        <v>0</v>
      </c>
      <c r="AD184" s="615">
        <v>0</v>
      </c>
      <c r="AE184" s="615">
        <v>0</v>
      </c>
      <c r="AF184" s="615">
        <v>0</v>
      </c>
      <c r="AG184" s="615">
        <v>0</v>
      </c>
      <c r="AH184" s="615">
        <v>0</v>
      </c>
      <c r="AI184" s="615">
        <v>0</v>
      </c>
      <c r="AJ184" s="615">
        <v>0</v>
      </c>
      <c r="AK184" s="615">
        <v>0</v>
      </c>
      <c r="AL184" s="615">
        <v>0</v>
      </c>
      <c r="AM184" s="615">
        <v>0</v>
      </c>
      <c r="AN184" s="615">
        <v>0</v>
      </c>
      <c r="AO184" s="615">
        <v>0</v>
      </c>
      <c r="AP184" s="615">
        <v>0</v>
      </c>
      <c r="AQ184" s="615">
        <v>0</v>
      </c>
      <c r="AR184" s="615">
        <v>0</v>
      </c>
      <c r="AS184" s="615">
        <v>0</v>
      </c>
      <c r="AT184" s="615">
        <v>0</v>
      </c>
      <c r="AU184" s="615">
        <v>0</v>
      </c>
      <c r="AV184" s="615">
        <v>0</v>
      </c>
      <c r="AW184" s="615">
        <v>0</v>
      </c>
      <c r="AX184" s="615">
        <v>0</v>
      </c>
      <c r="AY184" s="615">
        <v>0</v>
      </c>
      <c r="AZ184" s="615">
        <v>0</v>
      </c>
      <c r="BA184" s="615">
        <v>0</v>
      </c>
      <c r="BB184" s="615">
        <v>0</v>
      </c>
      <c r="BC184" s="615">
        <v>0</v>
      </c>
      <c r="BD184" s="615">
        <v>0</v>
      </c>
      <c r="BE184" s="615">
        <v>0</v>
      </c>
      <c r="BF184" s="615">
        <v>0</v>
      </c>
      <c r="BG184" s="615">
        <v>0</v>
      </c>
      <c r="BH184" s="615">
        <v>0</v>
      </c>
      <c r="BI184" s="615">
        <v>0</v>
      </c>
      <c r="BJ184" s="615">
        <v>0</v>
      </c>
      <c r="BK184" s="615">
        <v>0</v>
      </c>
      <c r="BL184" s="615">
        <v>0</v>
      </c>
      <c r="BM184" s="615">
        <v>0</v>
      </c>
      <c r="BN184" s="615">
        <v>0</v>
      </c>
      <c r="BO184" s="615">
        <v>0</v>
      </c>
      <c r="BP184" s="615">
        <v>0</v>
      </c>
      <c r="BQ184" s="615">
        <v>0</v>
      </c>
      <c r="BR184" s="615">
        <v>0</v>
      </c>
      <c r="BS184" s="615">
        <v>0</v>
      </c>
      <c r="BT184" s="615">
        <v>0</v>
      </c>
      <c r="BU184" s="615">
        <v>0</v>
      </c>
      <c r="BV184" s="615">
        <v>0</v>
      </c>
      <c r="BW184" s="615">
        <v>0</v>
      </c>
      <c r="BX184" s="607">
        <f t="shared" si="6"/>
        <v>0</v>
      </c>
    </row>
    <row r="185" spans="1:76" s="612" customFormat="1" ht="11.25" customHeight="1" x14ac:dyDescent="0.2">
      <c r="A185" s="907"/>
      <c r="B185" s="611" t="s">
        <v>2608</v>
      </c>
      <c r="C185" s="641" t="s">
        <v>1928</v>
      </c>
      <c r="D185" s="615">
        <v>0</v>
      </c>
      <c r="E185" s="615">
        <v>0</v>
      </c>
      <c r="F185" s="615">
        <v>0</v>
      </c>
      <c r="G185" s="615">
        <v>0</v>
      </c>
      <c r="H185" s="585">
        <v>0</v>
      </c>
      <c r="I185" s="615">
        <v>0</v>
      </c>
      <c r="J185" s="615">
        <v>0</v>
      </c>
      <c r="K185" s="615">
        <v>0</v>
      </c>
      <c r="L185" s="615">
        <v>0</v>
      </c>
      <c r="M185" s="615">
        <v>0</v>
      </c>
      <c r="N185" s="615">
        <v>0</v>
      </c>
      <c r="O185" s="615">
        <v>0</v>
      </c>
      <c r="P185" s="615">
        <v>0</v>
      </c>
      <c r="Q185" s="615">
        <v>0</v>
      </c>
      <c r="R185" s="615">
        <v>0</v>
      </c>
      <c r="S185" s="615">
        <v>0</v>
      </c>
      <c r="T185" s="615">
        <v>0</v>
      </c>
      <c r="U185" s="615">
        <v>0</v>
      </c>
      <c r="V185" s="615">
        <v>0</v>
      </c>
      <c r="W185" s="615">
        <v>0</v>
      </c>
      <c r="X185" s="615">
        <v>0</v>
      </c>
      <c r="Y185" s="615">
        <v>0</v>
      </c>
      <c r="Z185" s="615">
        <v>0</v>
      </c>
      <c r="AA185" s="615">
        <v>0</v>
      </c>
      <c r="AB185" s="615">
        <v>0</v>
      </c>
      <c r="AC185" s="615">
        <v>0</v>
      </c>
      <c r="AD185" s="615">
        <v>0</v>
      </c>
      <c r="AE185" s="615">
        <v>0</v>
      </c>
      <c r="AF185" s="615">
        <v>0</v>
      </c>
      <c r="AG185" s="615">
        <v>0</v>
      </c>
      <c r="AH185" s="615">
        <v>0</v>
      </c>
      <c r="AI185" s="615">
        <v>0</v>
      </c>
      <c r="AJ185" s="615">
        <v>0</v>
      </c>
      <c r="AK185" s="615">
        <v>0</v>
      </c>
      <c r="AL185" s="615">
        <v>0</v>
      </c>
      <c r="AM185" s="615">
        <v>0</v>
      </c>
      <c r="AN185" s="615">
        <v>0</v>
      </c>
      <c r="AO185" s="615">
        <v>0</v>
      </c>
      <c r="AP185" s="615">
        <v>0</v>
      </c>
      <c r="AQ185" s="615">
        <v>0</v>
      </c>
      <c r="AR185" s="615">
        <v>0</v>
      </c>
      <c r="AS185" s="615">
        <v>142100000</v>
      </c>
      <c r="AT185" s="615">
        <v>0</v>
      </c>
      <c r="AU185" s="615">
        <v>0</v>
      </c>
      <c r="AV185" s="615">
        <v>0</v>
      </c>
      <c r="AW185" s="615">
        <v>563450</v>
      </c>
      <c r="AX185" s="615">
        <v>0</v>
      </c>
      <c r="AY185" s="615">
        <v>0</v>
      </c>
      <c r="AZ185" s="615">
        <v>0</v>
      </c>
      <c r="BA185" s="615">
        <v>0</v>
      </c>
      <c r="BB185" s="615">
        <v>0</v>
      </c>
      <c r="BC185" s="615">
        <v>0</v>
      </c>
      <c r="BD185" s="615">
        <v>0</v>
      </c>
      <c r="BE185" s="615">
        <v>0</v>
      </c>
      <c r="BF185" s="615">
        <v>0</v>
      </c>
      <c r="BG185" s="615">
        <v>0</v>
      </c>
      <c r="BH185" s="615">
        <v>0</v>
      </c>
      <c r="BI185" s="615">
        <v>0</v>
      </c>
      <c r="BJ185" s="615">
        <v>0</v>
      </c>
      <c r="BK185" s="615">
        <v>0</v>
      </c>
      <c r="BL185" s="615">
        <v>0</v>
      </c>
      <c r="BM185" s="615">
        <v>0</v>
      </c>
      <c r="BN185" s="615">
        <v>0</v>
      </c>
      <c r="BO185" s="615">
        <v>0</v>
      </c>
      <c r="BP185" s="615">
        <v>0</v>
      </c>
      <c r="BQ185" s="615">
        <v>0</v>
      </c>
      <c r="BR185" s="615">
        <v>0</v>
      </c>
      <c r="BS185" s="615">
        <v>0</v>
      </c>
      <c r="BT185" s="615">
        <v>0</v>
      </c>
      <c r="BU185" s="615">
        <v>0</v>
      </c>
      <c r="BV185" s="615">
        <v>0</v>
      </c>
      <c r="BW185" s="615">
        <v>0</v>
      </c>
      <c r="BX185" s="607">
        <f t="shared" si="6"/>
        <v>142663450</v>
      </c>
    </row>
    <row r="186" spans="1:76" s="612" customFormat="1" ht="11.25" customHeight="1" x14ac:dyDescent="0.2">
      <c r="A186" s="907"/>
      <c r="B186" s="611" t="s">
        <v>1655</v>
      </c>
      <c r="C186" s="641" t="s">
        <v>1929</v>
      </c>
      <c r="D186" s="615" t="s">
        <v>1128</v>
      </c>
      <c r="E186" s="615">
        <v>0</v>
      </c>
      <c r="F186" s="615">
        <v>0</v>
      </c>
      <c r="G186" s="615">
        <v>0</v>
      </c>
      <c r="H186" s="585">
        <v>0</v>
      </c>
      <c r="I186" s="615">
        <v>0</v>
      </c>
      <c r="J186" s="615">
        <v>0</v>
      </c>
      <c r="K186" s="615">
        <v>0</v>
      </c>
      <c r="L186" s="615">
        <v>0</v>
      </c>
      <c r="M186" s="615">
        <v>0</v>
      </c>
      <c r="N186" s="615">
        <v>0</v>
      </c>
      <c r="O186" s="615">
        <v>0</v>
      </c>
      <c r="P186" s="615">
        <v>0</v>
      </c>
      <c r="Q186" s="615">
        <v>0</v>
      </c>
      <c r="R186" s="615">
        <v>0</v>
      </c>
      <c r="S186" s="615">
        <v>0</v>
      </c>
      <c r="T186" s="615">
        <v>0</v>
      </c>
      <c r="U186" s="615">
        <v>0</v>
      </c>
      <c r="V186" s="615">
        <v>0</v>
      </c>
      <c r="W186" s="615">
        <v>0</v>
      </c>
      <c r="X186" s="615">
        <v>0</v>
      </c>
      <c r="Y186" s="615">
        <v>0</v>
      </c>
      <c r="Z186" s="615">
        <v>0</v>
      </c>
      <c r="AA186" s="615">
        <v>0</v>
      </c>
      <c r="AB186" s="615">
        <v>0</v>
      </c>
      <c r="AC186" s="615">
        <v>0</v>
      </c>
      <c r="AD186" s="615">
        <v>0</v>
      </c>
      <c r="AE186" s="615">
        <v>0</v>
      </c>
      <c r="AF186" s="615">
        <v>0</v>
      </c>
      <c r="AG186" s="615">
        <v>0</v>
      </c>
      <c r="AH186" s="615">
        <v>0</v>
      </c>
      <c r="AI186" s="615">
        <v>0</v>
      </c>
      <c r="AJ186" s="615">
        <v>0</v>
      </c>
      <c r="AK186" s="615">
        <v>0</v>
      </c>
      <c r="AL186" s="615">
        <v>0</v>
      </c>
      <c r="AM186" s="615">
        <v>0</v>
      </c>
      <c r="AN186" s="615">
        <v>0</v>
      </c>
      <c r="AO186" s="615">
        <v>0</v>
      </c>
      <c r="AP186" s="615">
        <v>0</v>
      </c>
      <c r="AQ186" s="615">
        <v>0</v>
      </c>
      <c r="AR186" s="615">
        <v>0</v>
      </c>
      <c r="AS186" s="615">
        <v>0</v>
      </c>
      <c r="AT186" s="615">
        <v>0</v>
      </c>
      <c r="AU186" s="615">
        <v>0</v>
      </c>
      <c r="AV186" s="615">
        <v>0</v>
      </c>
      <c r="AW186" s="615">
        <v>0</v>
      </c>
      <c r="AX186" s="615">
        <v>0</v>
      </c>
      <c r="AY186" s="615">
        <v>0</v>
      </c>
      <c r="AZ186" s="615">
        <v>0</v>
      </c>
      <c r="BA186" s="615">
        <v>0</v>
      </c>
      <c r="BB186" s="615">
        <v>0</v>
      </c>
      <c r="BC186" s="615">
        <v>0</v>
      </c>
      <c r="BD186" s="615">
        <v>0</v>
      </c>
      <c r="BE186" s="615">
        <v>0</v>
      </c>
      <c r="BF186" s="615">
        <v>0</v>
      </c>
      <c r="BG186" s="615">
        <v>0</v>
      </c>
      <c r="BH186" s="615">
        <v>0</v>
      </c>
      <c r="BI186" s="615">
        <v>0</v>
      </c>
      <c r="BJ186" s="615">
        <v>0</v>
      </c>
      <c r="BK186" s="615">
        <v>0</v>
      </c>
      <c r="BL186" s="615">
        <v>0</v>
      </c>
      <c r="BM186" s="615">
        <v>0</v>
      </c>
      <c r="BN186" s="615">
        <v>0</v>
      </c>
      <c r="BO186" s="615">
        <v>0</v>
      </c>
      <c r="BP186" s="615">
        <v>0</v>
      </c>
      <c r="BQ186" s="615">
        <v>0</v>
      </c>
      <c r="BR186" s="615">
        <v>0</v>
      </c>
      <c r="BS186" s="615">
        <v>0</v>
      </c>
      <c r="BT186" s="615">
        <v>0</v>
      </c>
      <c r="BU186" s="615">
        <v>0</v>
      </c>
      <c r="BV186" s="615">
        <v>0</v>
      </c>
      <c r="BW186" s="615">
        <v>0</v>
      </c>
      <c r="BX186" s="607">
        <f t="shared" si="6"/>
        <v>0</v>
      </c>
    </row>
    <row r="187" spans="1:76" s="612" customFormat="1" ht="11.25" customHeight="1" x14ac:dyDescent="0.2">
      <c r="A187" s="907"/>
      <c r="B187" s="611" t="s">
        <v>2608</v>
      </c>
      <c r="C187" s="641" t="s">
        <v>2611</v>
      </c>
      <c r="D187" s="615">
        <v>0</v>
      </c>
      <c r="E187" s="615">
        <v>0</v>
      </c>
      <c r="F187" s="615">
        <v>0</v>
      </c>
      <c r="G187" s="615">
        <v>0</v>
      </c>
      <c r="H187" s="585">
        <v>0</v>
      </c>
      <c r="I187" s="615">
        <v>0</v>
      </c>
      <c r="J187" s="615">
        <v>0</v>
      </c>
      <c r="K187" s="615">
        <v>0</v>
      </c>
      <c r="L187" s="615">
        <v>0</v>
      </c>
      <c r="M187" s="615">
        <v>0</v>
      </c>
      <c r="N187" s="615">
        <v>0</v>
      </c>
      <c r="O187" s="615">
        <v>0</v>
      </c>
      <c r="P187" s="615">
        <v>0</v>
      </c>
      <c r="Q187" s="615">
        <v>0</v>
      </c>
      <c r="R187" s="615">
        <v>0</v>
      </c>
      <c r="S187" s="615">
        <v>0</v>
      </c>
      <c r="T187" s="615">
        <v>0</v>
      </c>
      <c r="U187" s="615">
        <v>0</v>
      </c>
      <c r="V187" s="615">
        <v>0</v>
      </c>
      <c r="W187" s="615">
        <v>0</v>
      </c>
      <c r="X187" s="615">
        <v>0</v>
      </c>
      <c r="Y187" s="615">
        <v>0</v>
      </c>
      <c r="Z187" s="615">
        <v>0</v>
      </c>
      <c r="AA187" s="615">
        <v>0</v>
      </c>
      <c r="AB187" s="615">
        <v>0</v>
      </c>
      <c r="AC187" s="615">
        <v>0</v>
      </c>
      <c r="AD187" s="615">
        <v>0</v>
      </c>
      <c r="AE187" s="615">
        <v>0</v>
      </c>
      <c r="AF187" s="615">
        <v>0</v>
      </c>
      <c r="AG187" s="615">
        <v>0</v>
      </c>
      <c r="AH187" s="615">
        <v>0</v>
      </c>
      <c r="AI187" s="615">
        <v>0</v>
      </c>
      <c r="AJ187" s="615">
        <v>0</v>
      </c>
      <c r="AK187" s="615">
        <v>0</v>
      </c>
      <c r="AL187" s="615">
        <v>0</v>
      </c>
      <c r="AM187" s="615">
        <v>0</v>
      </c>
      <c r="AN187" s="615">
        <v>0</v>
      </c>
      <c r="AO187" s="615">
        <v>0</v>
      </c>
      <c r="AP187" s="615">
        <v>0</v>
      </c>
      <c r="AQ187" s="615">
        <v>0</v>
      </c>
      <c r="AR187" s="615">
        <v>0</v>
      </c>
      <c r="AS187" s="615">
        <v>0</v>
      </c>
      <c r="AT187" s="615">
        <v>1298367</v>
      </c>
      <c r="AU187" s="615">
        <v>0</v>
      </c>
      <c r="AV187" s="615">
        <v>733867</v>
      </c>
      <c r="AW187" s="615">
        <v>0</v>
      </c>
      <c r="AX187" s="615">
        <v>0</v>
      </c>
      <c r="AY187" s="615">
        <v>0</v>
      </c>
      <c r="AZ187" s="615">
        <v>0</v>
      </c>
      <c r="BA187" s="615">
        <v>0</v>
      </c>
      <c r="BB187" s="615">
        <v>0</v>
      </c>
      <c r="BC187" s="615">
        <v>0</v>
      </c>
      <c r="BD187" s="615">
        <v>0</v>
      </c>
      <c r="BE187" s="615">
        <v>0</v>
      </c>
      <c r="BF187" s="615">
        <v>0</v>
      </c>
      <c r="BG187" s="615">
        <v>0</v>
      </c>
      <c r="BH187" s="615">
        <v>0</v>
      </c>
      <c r="BI187" s="615">
        <v>0</v>
      </c>
      <c r="BJ187" s="615">
        <v>0</v>
      </c>
      <c r="BK187" s="615">
        <v>0</v>
      </c>
      <c r="BL187" s="615">
        <v>0</v>
      </c>
      <c r="BM187" s="615">
        <v>0</v>
      </c>
      <c r="BN187" s="615">
        <v>0</v>
      </c>
      <c r="BO187" s="615">
        <v>0</v>
      </c>
      <c r="BP187" s="615">
        <v>0</v>
      </c>
      <c r="BQ187" s="615">
        <v>0</v>
      </c>
      <c r="BR187" s="615">
        <v>0</v>
      </c>
      <c r="BS187" s="615">
        <v>0</v>
      </c>
      <c r="BT187" s="615">
        <v>0</v>
      </c>
      <c r="BU187" s="615">
        <v>0</v>
      </c>
      <c r="BV187" s="615">
        <v>0</v>
      </c>
      <c r="BW187" s="615">
        <v>0</v>
      </c>
      <c r="BX187" s="607">
        <f t="shared" si="6"/>
        <v>2032234</v>
      </c>
    </row>
    <row r="188" spans="1:76" s="612" customFormat="1" ht="11.25" customHeight="1" x14ac:dyDescent="0.2">
      <c r="A188" s="907"/>
      <c r="B188" s="611" t="s">
        <v>1677</v>
      </c>
      <c r="C188" s="641" t="s">
        <v>1930</v>
      </c>
      <c r="D188" s="615" t="s">
        <v>1128</v>
      </c>
      <c r="E188" s="615">
        <v>0</v>
      </c>
      <c r="F188" s="615">
        <v>0</v>
      </c>
      <c r="G188" s="615">
        <v>0</v>
      </c>
      <c r="H188" s="585">
        <v>0</v>
      </c>
      <c r="I188" s="615">
        <v>0</v>
      </c>
      <c r="J188" s="615">
        <v>0</v>
      </c>
      <c r="K188" s="615">
        <v>0</v>
      </c>
      <c r="L188" s="615">
        <v>0</v>
      </c>
      <c r="M188" s="615">
        <v>0</v>
      </c>
      <c r="N188" s="615">
        <v>0</v>
      </c>
      <c r="O188" s="615">
        <v>0</v>
      </c>
      <c r="P188" s="615">
        <v>0</v>
      </c>
      <c r="Q188" s="615">
        <v>0</v>
      </c>
      <c r="R188" s="615">
        <v>0</v>
      </c>
      <c r="S188" s="615">
        <v>0</v>
      </c>
      <c r="T188" s="615">
        <v>0</v>
      </c>
      <c r="U188" s="615">
        <v>0</v>
      </c>
      <c r="V188" s="615">
        <v>0</v>
      </c>
      <c r="W188" s="615">
        <v>0</v>
      </c>
      <c r="X188" s="615">
        <v>0</v>
      </c>
      <c r="Y188" s="615">
        <v>0</v>
      </c>
      <c r="Z188" s="615">
        <v>0</v>
      </c>
      <c r="AA188" s="615">
        <v>0</v>
      </c>
      <c r="AB188" s="615">
        <v>0</v>
      </c>
      <c r="AC188" s="615">
        <v>0</v>
      </c>
      <c r="AD188" s="615">
        <v>0</v>
      </c>
      <c r="AE188" s="615">
        <v>0</v>
      </c>
      <c r="AF188" s="615">
        <v>0</v>
      </c>
      <c r="AG188" s="615">
        <v>0</v>
      </c>
      <c r="AH188" s="615">
        <v>0</v>
      </c>
      <c r="AI188" s="615">
        <v>0</v>
      </c>
      <c r="AJ188" s="615">
        <v>0</v>
      </c>
      <c r="AK188" s="615">
        <v>0</v>
      </c>
      <c r="AL188" s="615">
        <v>0</v>
      </c>
      <c r="AM188" s="615">
        <v>0</v>
      </c>
      <c r="AN188" s="615">
        <v>0</v>
      </c>
      <c r="AO188" s="615">
        <v>0</v>
      </c>
      <c r="AP188" s="615">
        <v>0</v>
      </c>
      <c r="AQ188" s="615">
        <v>0</v>
      </c>
      <c r="AR188" s="615">
        <v>0</v>
      </c>
      <c r="AS188" s="615">
        <v>0</v>
      </c>
      <c r="AT188" s="615">
        <v>0</v>
      </c>
      <c r="AU188" s="615">
        <v>0</v>
      </c>
      <c r="AV188" s="615">
        <v>0</v>
      </c>
      <c r="AW188" s="615">
        <v>0</v>
      </c>
      <c r="AX188" s="615">
        <v>0</v>
      </c>
      <c r="AY188" s="615">
        <v>0</v>
      </c>
      <c r="AZ188" s="615">
        <v>0</v>
      </c>
      <c r="BA188" s="615">
        <v>0</v>
      </c>
      <c r="BB188" s="615">
        <v>0</v>
      </c>
      <c r="BC188" s="615">
        <v>0</v>
      </c>
      <c r="BD188" s="615">
        <v>0</v>
      </c>
      <c r="BE188" s="615">
        <v>0</v>
      </c>
      <c r="BF188" s="615">
        <v>0</v>
      </c>
      <c r="BG188" s="615">
        <v>0</v>
      </c>
      <c r="BH188" s="615">
        <v>0</v>
      </c>
      <c r="BI188" s="615">
        <v>0</v>
      </c>
      <c r="BJ188" s="615">
        <v>0</v>
      </c>
      <c r="BK188" s="615">
        <v>0</v>
      </c>
      <c r="BL188" s="615">
        <v>0</v>
      </c>
      <c r="BM188" s="615">
        <v>0</v>
      </c>
      <c r="BN188" s="615">
        <v>0</v>
      </c>
      <c r="BO188" s="615">
        <v>0</v>
      </c>
      <c r="BP188" s="615">
        <v>0</v>
      </c>
      <c r="BQ188" s="615">
        <v>0</v>
      </c>
      <c r="BR188" s="615">
        <v>0</v>
      </c>
      <c r="BS188" s="615">
        <v>0</v>
      </c>
      <c r="BT188" s="615">
        <v>0</v>
      </c>
      <c r="BU188" s="615">
        <v>0</v>
      </c>
      <c r="BV188" s="615">
        <v>0</v>
      </c>
      <c r="BW188" s="615">
        <v>0</v>
      </c>
      <c r="BX188" s="607">
        <f t="shared" si="6"/>
        <v>0</v>
      </c>
    </row>
    <row r="189" spans="1:76" s="612" customFormat="1" ht="11.25" customHeight="1" x14ac:dyDescent="0.2">
      <c r="A189" s="907"/>
      <c r="B189" s="611" t="s">
        <v>3260</v>
      </c>
      <c r="C189" s="641" t="s">
        <v>1931</v>
      </c>
      <c r="D189" s="615">
        <v>0</v>
      </c>
      <c r="E189" s="615">
        <v>0</v>
      </c>
      <c r="F189" s="615">
        <v>0</v>
      </c>
      <c r="G189" s="615">
        <v>0</v>
      </c>
      <c r="H189" s="585">
        <v>0</v>
      </c>
      <c r="I189" s="615">
        <v>0</v>
      </c>
      <c r="J189" s="615">
        <v>0</v>
      </c>
      <c r="K189" s="615">
        <v>0</v>
      </c>
      <c r="L189" s="615">
        <v>0</v>
      </c>
      <c r="M189" s="615">
        <v>0</v>
      </c>
      <c r="N189" s="615">
        <v>0</v>
      </c>
      <c r="O189" s="615">
        <v>0</v>
      </c>
      <c r="P189" s="615">
        <v>0</v>
      </c>
      <c r="Q189" s="615">
        <v>0</v>
      </c>
      <c r="R189" s="615">
        <v>0</v>
      </c>
      <c r="S189" s="615">
        <v>0</v>
      </c>
      <c r="T189" s="615">
        <v>0</v>
      </c>
      <c r="U189" s="615">
        <v>0</v>
      </c>
      <c r="V189" s="615">
        <v>0</v>
      </c>
      <c r="W189" s="615">
        <v>0</v>
      </c>
      <c r="X189" s="615">
        <v>0</v>
      </c>
      <c r="Y189" s="615">
        <v>0</v>
      </c>
      <c r="Z189" s="615">
        <v>0</v>
      </c>
      <c r="AA189" s="615">
        <v>0</v>
      </c>
      <c r="AB189" s="615">
        <v>0</v>
      </c>
      <c r="AC189" s="615">
        <v>0</v>
      </c>
      <c r="AD189" s="615">
        <v>0</v>
      </c>
      <c r="AE189" s="615">
        <v>0</v>
      </c>
      <c r="AF189" s="615">
        <v>0</v>
      </c>
      <c r="AG189" s="615">
        <v>0</v>
      </c>
      <c r="AH189" s="615">
        <v>0</v>
      </c>
      <c r="AI189" s="615">
        <v>0</v>
      </c>
      <c r="AJ189" s="615">
        <v>0</v>
      </c>
      <c r="AK189" s="615">
        <v>0</v>
      </c>
      <c r="AL189" s="615">
        <v>0</v>
      </c>
      <c r="AM189" s="615">
        <v>0</v>
      </c>
      <c r="AN189" s="615">
        <v>0</v>
      </c>
      <c r="AO189" s="615">
        <v>0</v>
      </c>
      <c r="AP189" s="615">
        <v>0</v>
      </c>
      <c r="AQ189" s="615">
        <v>0</v>
      </c>
      <c r="AR189" s="615">
        <v>206500000</v>
      </c>
      <c r="AS189" s="615">
        <v>0</v>
      </c>
      <c r="AT189" s="615">
        <v>0</v>
      </c>
      <c r="AU189" s="615">
        <v>0</v>
      </c>
      <c r="AV189" s="615">
        <v>707490</v>
      </c>
      <c r="AW189" s="615">
        <v>0</v>
      </c>
      <c r="AX189" s="615">
        <v>0</v>
      </c>
      <c r="AY189" s="615">
        <v>0</v>
      </c>
      <c r="AZ189" s="615">
        <v>0</v>
      </c>
      <c r="BA189" s="615">
        <v>0</v>
      </c>
      <c r="BB189" s="615">
        <v>0</v>
      </c>
      <c r="BC189" s="615">
        <v>0</v>
      </c>
      <c r="BD189" s="615">
        <v>0</v>
      </c>
      <c r="BE189" s="615">
        <v>0</v>
      </c>
      <c r="BF189" s="615">
        <v>0</v>
      </c>
      <c r="BG189" s="615">
        <v>0</v>
      </c>
      <c r="BH189" s="615">
        <v>0</v>
      </c>
      <c r="BI189" s="615">
        <v>0</v>
      </c>
      <c r="BJ189" s="615">
        <v>0</v>
      </c>
      <c r="BK189" s="615">
        <v>0</v>
      </c>
      <c r="BL189" s="615">
        <v>0</v>
      </c>
      <c r="BM189" s="615">
        <v>0</v>
      </c>
      <c r="BN189" s="615">
        <v>0</v>
      </c>
      <c r="BO189" s="615">
        <v>0</v>
      </c>
      <c r="BP189" s="615">
        <v>0</v>
      </c>
      <c r="BQ189" s="615">
        <v>0</v>
      </c>
      <c r="BR189" s="615">
        <v>0</v>
      </c>
      <c r="BS189" s="615">
        <v>0</v>
      </c>
      <c r="BT189" s="615">
        <v>0</v>
      </c>
      <c r="BU189" s="615">
        <v>0</v>
      </c>
      <c r="BV189" s="615">
        <v>0</v>
      </c>
      <c r="BW189" s="615">
        <v>0</v>
      </c>
      <c r="BX189" s="607">
        <f t="shared" si="6"/>
        <v>207207490</v>
      </c>
    </row>
    <row r="190" spans="1:76" s="612" customFormat="1" ht="11.25" customHeight="1" x14ac:dyDescent="0.2">
      <c r="A190" s="907"/>
      <c r="B190" s="611" t="s">
        <v>1656</v>
      </c>
      <c r="C190" s="641" t="s">
        <v>1932</v>
      </c>
      <c r="D190" s="615" t="s">
        <v>1128</v>
      </c>
      <c r="E190" s="615">
        <v>0</v>
      </c>
      <c r="F190" s="615">
        <v>0</v>
      </c>
      <c r="G190" s="615">
        <v>0</v>
      </c>
      <c r="H190" s="585">
        <v>0</v>
      </c>
      <c r="I190" s="615">
        <v>0</v>
      </c>
      <c r="J190" s="615">
        <v>0</v>
      </c>
      <c r="K190" s="615" t="s">
        <v>1128</v>
      </c>
      <c r="L190" s="615">
        <v>0</v>
      </c>
      <c r="M190" s="615">
        <v>0</v>
      </c>
      <c r="N190" s="615">
        <v>0</v>
      </c>
      <c r="O190" s="615">
        <v>0</v>
      </c>
      <c r="P190" s="615">
        <v>0</v>
      </c>
      <c r="Q190" s="615">
        <v>0</v>
      </c>
      <c r="R190" s="615">
        <v>0</v>
      </c>
      <c r="S190" s="615">
        <v>0</v>
      </c>
      <c r="T190" s="615">
        <v>0</v>
      </c>
      <c r="U190" s="615">
        <v>0</v>
      </c>
      <c r="V190" s="615">
        <v>0</v>
      </c>
      <c r="W190" s="615">
        <v>0</v>
      </c>
      <c r="X190" s="615">
        <v>0</v>
      </c>
      <c r="Y190" s="615">
        <v>0</v>
      </c>
      <c r="Z190" s="615">
        <v>0</v>
      </c>
      <c r="AA190" s="615">
        <v>0</v>
      </c>
      <c r="AB190" s="615">
        <v>0</v>
      </c>
      <c r="AC190" s="615">
        <v>0</v>
      </c>
      <c r="AD190" s="615">
        <v>0</v>
      </c>
      <c r="AE190" s="615">
        <v>0</v>
      </c>
      <c r="AF190" s="615">
        <v>0</v>
      </c>
      <c r="AG190" s="615">
        <v>0</v>
      </c>
      <c r="AH190" s="615">
        <v>0</v>
      </c>
      <c r="AI190" s="615">
        <v>0</v>
      </c>
      <c r="AJ190" s="615">
        <v>0</v>
      </c>
      <c r="AK190" s="615">
        <v>0</v>
      </c>
      <c r="AL190" s="615">
        <v>0</v>
      </c>
      <c r="AM190" s="615">
        <v>0</v>
      </c>
      <c r="AN190" s="615">
        <v>0</v>
      </c>
      <c r="AO190" s="615">
        <v>0</v>
      </c>
      <c r="AP190" s="615">
        <v>0</v>
      </c>
      <c r="AQ190" s="615">
        <v>0</v>
      </c>
      <c r="AR190" s="615">
        <v>0</v>
      </c>
      <c r="AS190" s="615">
        <v>0</v>
      </c>
      <c r="AT190" s="615">
        <v>0</v>
      </c>
      <c r="AU190" s="615">
        <v>0</v>
      </c>
      <c r="AV190" s="615">
        <v>0</v>
      </c>
      <c r="AW190" s="615">
        <v>0</v>
      </c>
      <c r="AX190" s="615">
        <v>0</v>
      </c>
      <c r="AY190" s="615">
        <v>0</v>
      </c>
      <c r="AZ190" s="615">
        <v>0</v>
      </c>
      <c r="BA190" s="615">
        <v>0</v>
      </c>
      <c r="BB190" s="615">
        <v>0</v>
      </c>
      <c r="BC190" s="615">
        <v>0</v>
      </c>
      <c r="BD190" s="615">
        <v>0</v>
      </c>
      <c r="BE190" s="615">
        <v>0</v>
      </c>
      <c r="BF190" s="615">
        <v>0</v>
      </c>
      <c r="BG190" s="615">
        <v>0</v>
      </c>
      <c r="BH190" s="615">
        <v>0</v>
      </c>
      <c r="BI190" s="615">
        <v>0</v>
      </c>
      <c r="BJ190" s="615">
        <v>0</v>
      </c>
      <c r="BK190" s="615">
        <v>0</v>
      </c>
      <c r="BL190" s="615">
        <v>0</v>
      </c>
      <c r="BM190" s="615">
        <v>0</v>
      </c>
      <c r="BN190" s="615">
        <v>0</v>
      </c>
      <c r="BO190" s="615">
        <v>0</v>
      </c>
      <c r="BP190" s="615">
        <v>0</v>
      </c>
      <c r="BQ190" s="615">
        <v>0</v>
      </c>
      <c r="BR190" s="615">
        <v>0</v>
      </c>
      <c r="BS190" s="615">
        <v>0</v>
      </c>
      <c r="BT190" s="615">
        <v>0</v>
      </c>
      <c r="BU190" s="615">
        <v>0</v>
      </c>
      <c r="BV190" s="615">
        <v>0</v>
      </c>
      <c r="BW190" s="615">
        <v>0</v>
      </c>
      <c r="BX190" s="607">
        <f t="shared" si="6"/>
        <v>0</v>
      </c>
    </row>
    <row r="191" spans="1:76" s="612" customFormat="1" ht="11.25" customHeight="1" x14ac:dyDescent="0.2">
      <c r="A191" s="907"/>
      <c r="B191" s="611" t="s">
        <v>3261</v>
      </c>
      <c r="C191" s="641" t="s">
        <v>1933</v>
      </c>
      <c r="D191" s="615" t="s">
        <v>1128</v>
      </c>
      <c r="E191" s="615">
        <v>0</v>
      </c>
      <c r="F191" s="615">
        <v>0</v>
      </c>
      <c r="G191" s="615">
        <v>0</v>
      </c>
      <c r="H191" s="585">
        <v>0</v>
      </c>
      <c r="I191" s="615">
        <v>0</v>
      </c>
      <c r="J191" s="615">
        <v>0</v>
      </c>
      <c r="K191" s="615">
        <v>0</v>
      </c>
      <c r="L191" s="615">
        <v>0</v>
      </c>
      <c r="M191" s="615">
        <v>0</v>
      </c>
      <c r="N191" s="615">
        <v>0</v>
      </c>
      <c r="O191" s="615">
        <v>0</v>
      </c>
      <c r="P191" s="615">
        <v>0</v>
      </c>
      <c r="Q191" s="615">
        <v>0</v>
      </c>
      <c r="R191" s="615">
        <v>0</v>
      </c>
      <c r="S191" s="615">
        <v>0</v>
      </c>
      <c r="T191" s="615">
        <v>0</v>
      </c>
      <c r="U191" s="615">
        <v>0</v>
      </c>
      <c r="V191" s="615">
        <v>0</v>
      </c>
      <c r="W191" s="615">
        <v>0</v>
      </c>
      <c r="X191" s="615">
        <v>0</v>
      </c>
      <c r="Y191" s="615">
        <v>0</v>
      </c>
      <c r="Z191" s="615">
        <v>0</v>
      </c>
      <c r="AA191" s="615">
        <v>0</v>
      </c>
      <c r="AB191" s="615">
        <v>0</v>
      </c>
      <c r="AC191" s="615">
        <v>0</v>
      </c>
      <c r="AD191" s="615">
        <v>0</v>
      </c>
      <c r="AE191" s="615">
        <v>0</v>
      </c>
      <c r="AF191" s="615">
        <v>0</v>
      </c>
      <c r="AG191" s="615">
        <v>0</v>
      </c>
      <c r="AH191" s="615">
        <v>0</v>
      </c>
      <c r="AI191" s="615">
        <v>0</v>
      </c>
      <c r="AJ191" s="615">
        <v>0</v>
      </c>
      <c r="AK191" s="615">
        <v>0</v>
      </c>
      <c r="AL191" s="615">
        <v>0</v>
      </c>
      <c r="AM191" s="615">
        <v>0</v>
      </c>
      <c r="AN191" s="615">
        <v>0</v>
      </c>
      <c r="AO191" s="615">
        <v>0</v>
      </c>
      <c r="AP191" s="615">
        <v>0</v>
      </c>
      <c r="AQ191" s="615">
        <v>58313</v>
      </c>
      <c r="AR191" s="615">
        <v>0</v>
      </c>
      <c r="AS191" s="615">
        <v>0</v>
      </c>
      <c r="AT191" s="615">
        <v>0</v>
      </c>
      <c r="AU191" s="615">
        <v>0</v>
      </c>
      <c r="AV191" s="615">
        <v>0</v>
      </c>
      <c r="AW191" s="615">
        <v>0</v>
      </c>
      <c r="AX191" s="615">
        <v>0</v>
      </c>
      <c r="AY191" s="615">
        <v>0</v>
      </c>
      <c r="AZ191" s="615">
        <v>0</v>
      </c>
      <c r="BA191" s="615">
        <v>0</v>
      </c>
      <c r="BB191" s="615">
        <v>0</v>
      </c>
      <c r="BC191" s="615">
        <v>0</v>
      </c>
      <c r="BD191" s="615">
        <v>0</v>
      </c>
      <c r="BE191" s="615">
        <v>0</v>
      </c>
      <c r="BF191" s="615">
        <v>0</v>
      </c>
      <c r="BG191" s="615">
        <v>0</v>
      </c>
      <c r="BH191" s="615">
        <v>0</v>
      </c>
      <c r="BI191" s="615">
        <v>0</v>
      </c>
      <c r="BJ191" s="615">
        <v>0</v>
      </c>
      <c r="BK191" s="615">
        <v>0</v>
      </c>
      <c r="BL191" s="615">
        <v>0</v>
      </c>
      <c r="BM191" s="615">
        <v>0</v>
      </c>
      <c r="BN191" s="615">
        <v>0</v>
      </c>
      <c r="BO191" s="615">
        <v>0</v>
      </c>
      <c r="BP191" s="615">
        <v>0</v>
      </c>
      <c r="BQ191" s="615">
        <v>0</v>
      </c>
      <c r="BR191" s="615">
        <v>0</v>
      </c>
      <c r="BS191" s="615">
        <v>0</v>
      </c>
      <c r="BT191" s="615">
        <v>0</v>
      </c>
      <c r="BU191" s="615">
        <v>0</v>
      </c>
      <c r="BV191" s="615">
        <v>0</v>
      </c>
      <c r="BW191" s="615">
        <v>0</v>
      </c>
      <c r="BX191" s="607">
        <f t="shared" si="6"/>
        <v>58313</v>
      </c>
    </row>
    <row r="192" spans="1:76" s="612" customFormat="1" ht="11.25" customHeight="1" x14ac:dyDescent="0.2">
      <c r="A192" s="907"/>
      <c r="B192" s="611" t="s">
        <v>1512</v>
      </c>
      <c r="C192" s="641" t="s">
        <v>1934</v>
      </c>
      <c r="D192" s="615">
        <v>0</v>
      </c>
      <c r="E192" s="615">
        <v>0</v>
      </c>
      <c r="F192" s="615">
        <v>0</v>
      </c>
      <c r="G192" s="615">
        <v>0</v>
      </c>
      <c r="H192" s="585">
        <v>0</v>
      </c>
      <c r="I192" s="615">
        <v>0</v>
      </c>
      <c r="J192" s="615">
        <v>0</v>
      </c>
      <c r="K192" s="615">
        <v>0</v>
      </c>
      <c r="L192" s="615">
        <v>0</v>
      </c>
      <c r="M192" s="615">
        <v>0</v>
      </c>
      <c r="N192" s="615">
        <v>0</v>
      </c>
      <c r="O192" s="615">
        <v>0</v>
      </c>
      <c r="P192" s="615">
        <v>0</v>
      </c>
      <c r="Q192" s="615">
        <v>0</v>
      </c>
      <c r="R192" s="615">
        <v>0</v>
      </c>
      <c r="S192" s="615">
        <v>0</v>
      </c>
      <c r="T192" s="615">
        <v>0</v>
      </c>
      <c r="U192" s="615">
        <v>0</v>
      </c>
      <c r="V192" s="615">
        <v>0</v>
      </c>
      <c r="W192" s="615">
        <v>0</v>
      </c>
      <c r="X192" s="615">
        <v>0</v>
      </c>
      <c r="Y192" s="615">
        <v>0</v>
      </c>
      <c r="Z192" s="615">
        <v>0</v>
      </c>
      <c r="AA192" s="615">
        <v>0</v>
      </c>
      <c r="AB192" s="615">
        <v>0</v>
      </c>
      <c r="AC192" s="615">
        <v>0</v>
      </c>
      <c r="AD192" s="615">
        <v>0</v>
      </c>
      <c r="AE192" s="615">
        <v>0</v>
      </c>
      <c r="AF192" s="615">
        <v>0</v>
      </c>
      <c r="AG192" s="615">
        <v>0</v>
      </c>
      <c r="AH192" s="615">
        <v>0</v>
      </c>
      <c r="AI192" s="615">
        <v>0</v>
      </c>
      <c r="AJ192" s="615">
        <v>0</v>
      </c>
      <c r="AK192" s="615">
        <v>0</v>
      </c>
      <c r="AL192" s="615">
        <v>0</v>
      </c>
      <c r="AM192" s="615">
        <v>0</v>
      </c>
      <c r="AN192" s="615">
        <v>0</v>
      </c>
      <c r="AO192" s="615">
        <v>0</v>
      </c>
      <c r="AP192" s="615">
        <v>0</v>
      </c>
      <c r="AQ192" s="615">
        <v>0</v>
      </c>
      <c r="AR192" s="615">
        <v>0</v>
      </c>
      <c r="AS192" s="615">
        <v>0</v>
      </c>
      <c r="AT192" s="615">
        <v>0</v>
      </c>
      <c r="AU192" s="615">
        <v>0</v>
      </c>
      <c r="AV192" s="615">
        <v>0</v>
      </c>
      <c r="AW192" s="615">
        <v>0</v>
      </c>
      <c r="AX192" s="615">
        <v>0</v>
      </c>
      <c r="AY192" s="615">
        <v>0</v>
      </c>
      <c r="AZ192" s="615">
        <v>0</v>
      </c>
      <c r="BA192" s="615">
        <v>0</v>
      </c>
      <c r="BB192" s="615">
        <v>0</v>
      </c>
      <c r="BC192" s="615">
        <v>0</v>
      </c>
      <c r="BD192" s="615">
        <v>0</v>
      </c>
      <c r="BE192" s="615">
        <v>0</v>
      </c>
      <c r="BF192" s="615">
        <v>0</v>
      </c>
      <c r="BG192" s="615">
        <v>0</v>
      </c>
      <c r="BH192" s="615">
        <v>0</v>
      </c>
      <c r="BI192" s="615">
        <v>0</v>
      </c>
      <c r="BJ192" s="615">
        <v>0</v>
      </c>
      <c r="BK192" s="615">
        <v>0</v>
      </c>
      <c r="BL192" s="615">
        <v>0</v>
      </c>
      <c r="BM192" s="615">
        <v>0</v>
      </c>
      <c r="BN192" s="615">
        <v>0</v>
      </c>
      <c r="BO192" s="615">
        <v>0</v>
      </c>
      <c r="BP192" s="615">
        <v>0</v>
      </c>
      <c r="BQ192" s="615">
        <v>0</v>
      </c>
      <c r="BR192" s="615">
        <v>0</v>
      </c>
      <c r="BS192" s="615">
        <v>0</v>
      </c>
      <c r="BT192" s="615">
        <v>0</v>
      </c>
      <c r="BU192" s="615">
        <v>0</v>
      </c>
      <c r="BV192" s="615">
        <v>0</v>
      </c>
      <c r="BW192" s="615">
        <v>0</v>
      </c>
      <c r="BX192" s="607">
        <f t="shared" si="6"/>
        <v>0</v>
      </c>
    </row>
    <row r="193" spans="1:76" s="612" customFormat="1" ht="11.25" customHeight="1" x14ac:dyDescent="0.2">
      <c r="A193" s="907"/>
      <c r="B193" s="611" t="s">
        <v>1075</v>
      </c>
      <c r="C193" s="641" t="s">
        <v>1935</v>
      </c>
      <c r="D193" s="615">
        <v>0</v>
      </c>
      <c r="E193" s="615">
        <v>0</v>
      </c>
      <c r="F193" s="615">
        <v>0</v>
      </c>
      <c r="G193" s="615">
        <v>0</v>
      </c>
      <c r="H193" s="585">
        <v>0</v>
      </c>
      <c r="I193" s="615">
        <v>0</v>
      </c>
      <c r="J193" s="615">
        <v>0</v>
      </c>
      <c r="K193" s="615" t="s">
        <v>1128</v>
      </c>
      <c r="L193" s="615">
        <v>0</v>
      </c>
      <c r="M193" s="615">
        <v>0</v>
      </c>
      <c r="N193" s="615">
        <v>0</v>
      </c>
      <c r="O193" s="615">
        <v>0</v>
      </c>
      <c r="P193" s="615">
        <v>0</v>
      </c>
      <c r="Q193" s="615">
        <v>0</v>
      </c>
      <c r="R193" s="615">
        <v>0</v>
      </c>
      <c r="S193" s="615">
        <v>0</v>
      </c>
      <c r="T193" s="615">
        <v>0</v>
      </c>
      <c r="U193" s="615">
        <v>0</v>
      </c>
      <c r="V193" s="615">
        <v>0</v>
      </c>
      <c r="W193" s="615">
        <v>0</v>
      </c>
      <c r="X193" s="615">
        <v>0</v>
      </c>
      <c r="Y193" s="615">
        <v>0</v>
      </c>
      <c r="Z193" s="615">
        <v>0</v>
      </c>
      <c r="AA193" s="615">
        <v>0</v>
      </c>
      <c r="AB193" s="615">
        <v>0</v>
      </c>
      <c r="AC193" s="615">
        <v>0</v>
      </c>
      <c r="AD193" s="615">
        <v>0</v>
      </c>
      <c r="AE193" s="615">
        <v>0</v>
      </c>
      <c r="AF193" s="615">
        <v>0</v>
      </c>
      <c r="AG193" s="615">
        <v>0</v>
      </c>
      <c r="AH193" s="615">
        <v>0</v>
      </c>
      <c r="AI193" s="615">
        <v>0</v>
      </c>
      <c r="AJ193" s="615">
        <v>0</v>
      </c>
      <c r="AK193" s="615">
        <v>0</v>
      </c>
      <c r="AL193" s="615">
        <v>0</v>
      </c>
      <c r="AM193" s="615">
        <v>0</v>
      </c>
      <c r="AN193" s="615">
        <v>0</v>
      </c>
      <c r="AO193" s="615">
        <v>0</v>
      </c>
      <c r="AP193" s="615">
        <v>0</v>
      </c>
      <c r="AQ193" s="615">
        <v>0</v>
      </c>
      <c r="AR193" s="615">
        <v>0</v>
      </c>
      <c r="AS193" s="615">
        <v>0</v>
      </c>
      <c r="AT193" s="615">
        <v>0</v>
      </c>
      <c r="AU193" s="615">
        <v>0</v>
      </c>
      <c r="AV193" s="615">
        <v>0</v>
      </c>
      <c r="AW193" s="615">
        <v>0</v>
      </c>
      <c r="AX193" s="615">
        <v>0</v>
      </c>
      <c r="AY193" s="615">
        <v>0</v>
      </c>
      <c r="AZ193" s="615">
        <v>0</v>
      </c>
      <c r="BA193" s="615">
        <v>0</v>
      </c>
      <c r="BB193" s="615">
        <v>0</v>
      </c>
      <c r="BC193" s="615">
        <v>0</v>
      </c>
      <c r="BD193" s="615">
        <v>0</v>
      </c>
      <c r="BE193" s="615">
        <v>0</v>
      </c>
      <c r="BF193" s="615">
        <v>0</v>
      </c>
      <c r="BG193" s="615">
        <v>0</v>
      </c>
      <c r="BH193" s="615">
        <v>0</v>
      </c>
      <c r="BI193" s="615">
        <v>0</v>
      </c>
      <c r="BJ193" s="615">
        <v>0</v>
      </c>
      <c r="BK193" s="615">
        <v>0</v>
      </c>
      <c r="BL193" s="615">
        <v>0</v>
      </c>
      <c r="BM193" s="615">
        <v>0</v>
      </c>
      <c r="BN193" s="615">
        <v>0</v>
      </c>
      <c r="BO193" s="615">
        <v>0</v>
      </c>
      <c r="BP193" s="615">
        <v>0</v>
      </c>
      <c r="BQ193" s="615">
        <v>0</v>
      </c>
      <c r="BR193" s="615">
        <v>0</v>
      </c>
      <c r="BS193" s="615">
        <v>0</v>
      </c>
      <c r="BT193" s="615">
        <v>0</v>
      </c>
      <c r="BU193" s="615">
        <v>0</v>
      </c>
      <c r="BV193" s="615">
        <v>0</v>
      </c>
      <c r="BW193" s="615">
        <v>0</v>
      </c>
      <c r="BX193" s="607">
        <f t="shared" si="6"/>
        <v>0</v>
      </c>
    </row>
    <row r="194" spans="1:76" s="612" customFormat="1" ht="11.25" customHeight="1" x14ac:dyDescent="0.2">
      <c r="A194" s="907"/>
      <c r="B194" s="611" t="s">
        <v>3262</v>
      </c>
      <c r="C194" s="641" t="s">
        <v>1936</v>
      </c>
      <c r="D194" s="615">
        <v>0</v>
      </c>
      <c r="E194" s="615">
        <v>0</v>
      </c>
      <c r="F194" s="615">
        <v>0</v>
      </c>
      <c r="G194" s="615">
        <v>0</v>
      </c>
      <c r="H194" s="585">
        <v>0</v>
      </c>
      <c r="I194" s="615">
        <v>0</v>
      </c>
      <c r="J194" s="615">
        <v>0</v>
      </c>
      <c r="K194" s="615">
        <v>0</v>
      </c>
      <c r="L194" s="615">
        <v>0</v>
      </c>
      <c r="M194" s="615">
        <v>0</v>
      </c>
      <c r="N194" s="615">
        <v>0</v>
      </c>
      <c r="O194" s="615">
        <v>0</v>
      </c>
      <c r="P194" s="615">
        <v>0</v>
      </c>
      <c r="Q194" s="615">
        <v>0</v>
      </c>
      <c r="R194" s="615">
        <v>0</v>
      </c>
      <c r="S194" s="615">
        <v>0</v>
      </c>
      <c r="T194" s="615">
        <v>0</v>
      </c>
      <c r="U194" s="615">
        <v>0</v>
      </c>
      <c r="V194" s="615">
        <v>0</v>
      </c>
      <c r="W194" s="615">
        <v>0</v>
      </c>
      <c r="X194" s="615">
        <v>0</v>
      </c>
      <c r="Y194" s="615">
        <v>0</v>
      </c>
      <c r="Z194" s="615">
        <v>0</v>
      </c>
      <c r="AA194" s="615">
        <v>0</v>
      </c>
      <c r="AB194" s="615">
        <v>0</v>
      </c>
      <c r="AC194" s="615">
        <v>0</v>
      </c>
      <c r="AD194" s="615">
        <v>0</v>
      </c>
      <c r="AE194" s="615">
        <v>0</v>
      </c>
      <c r="AF194" s="615">
        <v>0</v>
      </c>
      <c r="AG194" s="615">
        <v>0</v>
      </c>
      <c r="AH194" s="615">
        <v>0</v>
      </c>
      <c r="AI194" s="615">
        <v>0</v>
      </c>
      <c r="AJ194" s="615">
        <v>0</v>
      </c>
      <c r="AK194" s="615">
        <v>0</v>
      </c>
      <c r="AL194" s="615">
        <v>0</v>
      </c>
      <c r="AM194" s="615">
        <v>0</v>
      </c>
      <c r="AN194" s="615">
        <v>0</v>
      </c>
      <c r="AO194" s="615">
        <v>0</v>
      </c>
      <c r="AP194" s="615">
        <v>0</v>
      </c>
      <c r="AQ194" s="615">
        <v>0</v>
      </c>
      <c r="AR194" s="615">
        <v>0</v>
      </c>
      <c r="AS194" s="615">
        <v>0</v>
      </c>
      <c r="AT194" s="615">
        <v>0</v>
      </c>
      <c r="AU194" s="615">
        <v>0</v>
      </c>
      <c r="AV194" s="615">
        <v>0</v>
      </c>
      <c r="AW194" s="615">
        <v>0</v>
      </c>
      <c r="AX194" s="615">
        <v>0</v>
      </c>
      <c r="AY194" s="615">
        <v>0</v>
      </c>
      <c r="AZ194" s="615">
        <v>0</v>
      </c>
      <c r="BA194" s="615">
        <v>0</v>
      </c>
      <c r="BB194" s="615">
        <v>0</v>
      </c>
      <c r="BC194" s="615">
        <v>0</v>
      </c>
      <c r="BD194" s="615">
        <v>0</v>
      </c>
      <c r="BE194" s="615">
        <v>0</v>
      </c>
      <c r="BF194" s="615">
        <v>0</v>
      </c>
      <c r="BG194" s="615">
        <v>0</v>
      </c>
      <c r="BH194" s="615">
        <v>0</v>
      </c>
      <c r="BI194" s="615">
        <v>0</v>
      </c>
      <c r="BJ194" s="615">
        <v>0</v>
      </c>
      <c r="BK194" s="615">
        <v>0</v>
      </c>
      <c r="BL194" s="615">
        <v>0</v>
      </c>
      <c r="BM194" s="615">
        <v>0</v>
      </c>
      <c r="BN194" s="615">
        <v>0</v>
      </c>
      <c r="BO194" s="615">
        <v>0</v>
      </c>
      <c r="BP194" s="615">
        <v>0</v>
      </c>
      <c r="BQ194" s="615">
        <v>0</v>
      </c>
      <c r="BR194" s="615">
        <v>0</v>
      </c>
      <c r="BS194" s="615">
        <v>0</v>
      </c>
      <c r="BT194" s="615">
        <v>0</v>
      </c>
      <c r="BU194" s="615">
        <v>0</v>
      </c>
      <c r="BV194" s="615">
        <v>0</v>
      </c>
      <c r="BW194" s="615">
        <v>0</v>
      </c>
      <c r="BX194" s="607">
        <f t="shared" si="6"/>
        <v>0</v>
      </c>
    </row>
    <row r="195" spans="1:76" s="612" customFormat="1" ht="11.25" customHeight="1" x14ac:dyDescent="0.2">
      <c r="A195" s="907"/>
      <c r="B195" s="611" t="s">
        <v>1089</v>
      </c>
      <c r="C195" s="641" t="s">
        <v>1937</v>
      </c>
      <c r="D195" s="615">
        <v>0</v>
      </c>
      <c r="E195" s="615">
        <v>0</v>
      </c>
      <c r="F195" s="615">
        <v>0</v>
      </c>
      <c r="G195" s="615">
        <v>0</v>
      </c>
      <c r="H195" s="585">
        <v>0</v>
      </c>
      <c r="I195" s="615">
        <v>0</v>
      </c>
      <c r="J195" s="615">
        <v>0</v>
      </c>
      <c r="K195" s="615">
        <v>0</v>
      </c>
      <c r="L195" s="615">
        <v>0</v>
      </c>
      <c r="M195" s="615">
        <v>0</v>
      </c>
      <c r="N195" s="615">
        <v>0</v>
      </c>
      <c r="O195" s="615">
        <v>0</v>
      </c>
      <c r="P195" s="615">
        <v>0</v>
      </c>
      <c r="Q195" s="615">
        <v>0</v>
      </c>
      <c r="R195" s="615">
        <v>0</v>
      </c>
      <c r="S195" s="615">
        <v>0</v>
      </c>
      <c r="T195" s="615">
        <v>0</v>
      </c>
      <c r="U195" s="615">
        <v>0</v>
      </c>
      <c r="V195" s="615">
        <v>0</v>
      </c>
      <c r="W195" s="615">
        <v>0</v>
      </c>
      <c r="X195" s="615">
        <v>0</v>
      </c>
      <c r="Y195" s="615">
        <v>0</v>
      </c>
      <c r="Z195" s="615">
        <v>0</v>
      </c>
      <c r="AA195" s="615">
        <v>0</v>
      </c>
      <c r="AB195" s="615">
        <v>0</v>
      </c>
      <c r="AC195" s="615">
        <v>0</v>
      </c>
      <c r="AD195" s="615">
        <v>0</v>
      </c>
      <c r="AE195" s="615">
        <v>0</v>
      </c>
      <c r="AF195" s="615">
        <v>0</v>
      </c>
      <c r="AG195" s="615">
        <v>0</v>
      </c>
      <c r="AH195" s="615">
        <v>0</v>
      </c>
      <c r="AI195" s="615">
        <v>0</v>
      </c>
      <c r="AJ195" s="615">
        <v>0</v>
      </c>
      <c r="AK195" s="615">
        <v>0</v>
      </c>
      <c r="AL195" s="615">
        <v>0</v>
      </c>
      <c r="AM195" s="615">
        <v>0</v>
      </c>
      <c r="AN195" s="615">
        <v>0</v>
      </c>
      <c r="AO195" s="615">
        <v>0</v>
      </c>
      <c r="AP195" s="615">
        <v>0</v>
      </c>
      <c r="AQ195" s="615">
        <v>0</v>
      </c>
      <c r="AR195" s="615">
        <v>0</v>
      </c>
      <c r="AS195" s="615">
        <v>0</v>
      </c>
      <c r="AT195" s="615">
        <v>0</v>
      </c>
      <c r="AU195" s="615">
        <v>0</v>
      </c>
      <c r="AV195" s="615">
        <v>460779</v>
      </c>
      <c r="AW195" s="615">
        <v>0</v>
      </c>
      <c r="AX195" s="615">
        <v>0</v>
      </c>
      <c r="AY195" s="615">
        <v>0</v>
      </c>
      <c r="AZ195" s="615">
        <v>0</v>
      </c>
      <c r="BA195" s="615">
        <v>0</v>
      </c>
      <c r="BB195" s="615">
        <v>0</v>
      </c>
      <c r="BC195" s="615">
        <v>0</v>
      </c>
      <c r="BD195" s="615">
        <v>0</v>
      </c>
      <c r="BE195" s="615">
        <v>0</v>
      </c>
      <c r="BF195" s="615">
        <v>0</v>
      </c>
      <c r="BG195" s="615">
        <v>0</v>
      </c>
      <c r="BH195" s="615">
        <v>0</v>
      </c>
      <c r="BI195" s="615">
        <v>0</v>
      </c>
      <c r="BJ195" s="615">
        <v>0</v>
      </c>
      <c r="BK195" s="615">
        <v>0</v>
      </c>
      <c r="BL195" s="615">
        <v>0</v>
      </c>
      <c r="BM195" s="615">
        <v>0</v>
      </c>
      <c r="BN195" s="615">
        <v>0</v>
      </c>
      <c r="BO195" s="615">
        <v>0</v>
      </c>
      <c r="BP195" s="615">
        <v>0</v>
      </c>
      <c r="BQ195" s="615">
        <v>0</v>
      </c>
      <c r="BR195" s="615">
        <v>0</v>
      </c>
      <c r="BS195" s="615">
        <v>0</v>
      </c>
      <c r="BT195" s="615">
        <v>0</v>
      </c>
      <c r="BU195" s="615">
        <v>0</v>
      </c>
      <c r="BV195" s="615">
        <v>0</v>
      </c>
      <c r="BW195" s="615">
        <v>0</v>
      </c>
      <c r="BX195" s="607">
        <f t="shared" si="6"/>
        <v>460779</v>
      </c>
    </row>
    <row r="196" spans="1:76" s="612" customFormat="1" ht="11.25" customHeight="1" x14ac:dyDescent="0.2">
      <c r="A196" s="907"/>
      <c r="B196" s="611" t="s">
        <v>1005</v>
      </c>
      <c r="C196" s="641" t="s">
        <v>1938</v>
      </c>
      <c r="D196" s="615">
        <v>0</v>
      </c>
      <c r="E196" s="615">
        <v>0</v>
      </c>
      <c r="F196" s="615">
        <v>0</v>
      </c>
      <c r="G196" s="615">
        <v>0</v>
      </c>
      <c r="H196" s="585">
        <v>0</v>
      </c>
      <c r="I196" s="615">
        <v>0</v>
      </c>
      <c r="J196" s="615">
        <v>0</v>
      </c>
      <c r="K196" s="615">
        <v>0</v>
      </c>
      <c r="L196" s="615">
        <v>0</v>
      </c>
      <c r="M196" s="615">
        <v>0</v>
      </c>
      <c r="N196" s="615">
        <v>0</v>
      </c>
      <c r="O196" s="615">
        <v>0</v>
      </c>
      <c r="P196" s="615">
        <v>0</v>
      </c>
      <c r="Q196" s="615">
        <v>0</v>
      </c>
      <c r="R196" s="615">
        <v>0</v>
      </c>
      <c r="S196" s="615">
        <v>0</v>
      </c>
      <c r="T196" s="615">
        <v>0</v>
      </c>
      <c r="U196" s="615">
        <v>0</v>
      </c>
      <c r="V196" s="615">
        <v>0</v>
      </c>
      <c r="W196" s="615">
        <v>0</v>
      </c>
      <c r="X196" s="615">
        <v>0</v>
      </c>
      <c r="Y196" s="615">
        <v>0</v>
      </c>
      <c r="Z196" s="615">
        <v>0</v>
      </c>
      <c r="AA196" s="615">
        <v>0</v>
      </c>
      <c r="AB196" s="615">
        <v>0</v>
      </c>
      <c r="AC196" s="615">
        <v>0</v>
      </c>
      <c r="AD196" s="615">
        <v>0</v>
      </c>
      <c r="AE196" s="615">
        <v>0</v>
      </c>
      <c r="AF196" s="615">
        <v>0</v>
      </c>
      <c r="AG196" s="615">
        <v>0</v>
      </c>
      <c r="AH196" s="615">
        <v>0</v>
      </c>
      <c r="AI196" s="615">
        <v>0</v>
      </c>
      <c r="AJ196" s="615">
        <v>0</v>
      </c>
      <c r="AK196" s="615">
        <v>0</v>
      </c>
      <c r="AL196" s="615">
        <v>0</v>
      </c>
      <c r="AM196" s="615">
        <v>0</v>
      </c>
      <c r="AN196" s="615">
        <v>0</v>
      </c>
      <c r="AO196" s="615">
        <v>0</v>
      </c>
      <c r="AP196" s="615">
        <v>0</v>
      </c>
      <c r="AQ196" s="615">
        <v>0</v>
      </c>
      <c r="AR196" s="615">
        <v>0</v>
      </c>
      <c r="AS196" s="615">
        <v>0</v>
      </c>
      <c r="AT196" s="615">
        <v>0</v>
      </c>
      <c r="AU196" s="615">
        <v>0</v>
      </c>
      <c r="AV196" s="615">
        <v>0</v>
      </c>
      <c r="AW196" s="615">
        <v>0</v>
      </c>
      <c r="AX196" s="615">
        <v>0</v>
      </c>
      <c r="AY196" s="615">
        <v>0</v>
      </c>
      <c r="AZ196" s="615">
        <v>0</v>
      </c>
      <c r="BA196" s="615">
        <v>0</v>
      </c>
      <c r="BB196" s="615">
        <v>0</v>
      </c>
      <c r="BC196" s="615">
        <v>0</v>
      </c>
      <c r="BD196" s="615">
        <v>0</v>
      </c>
      <c r="BE196" s="615">
        <v>0</v>
      </c>
      <c r="BF196" s="615">
        <v>0</v>
      </c>
      <c r="BG196" s="615">
        <v>0</v>
      </c>
      <c r="BH196" s="615">
        <v>0</v>
      </c>
      <c r="BI196" s="615">
        <v>0</v>
      </c>
      <c r="BJ196" s="615">
        <v>0</v>
      </c>
      <c r="BK196" s="615">
        <v>0</v>
      </c>
      <c r="BL196" s="615">
        <v>0</v>
      </c>
      <c r="BM196" s="615">
        <v>0</v>
      </c>
      <c r="BN196" s="615">
        <v>0</v>
      </c>
      <c r="BO196" s="615">
        <v>0</v>
      </c>
      <c r="BP196" s="615">
        <v>0</v>
      </c>
      <c r="BQ196" s="615">
        <v>0</v>
      </c>
      <c r="BR196" s="615">
        <v>0</v>
      </c>
      <c r="BS196" s="615">
        <v>0</v>
      </c>
      <c r="BT196" s="615">
        <v>0</v>
      </c>
      <c r="BU196" s="615">
        <v>0</v>
      </c>
      <c r="BV196" s="615">
        <v>0</v>
      </c>
      <c r="BW196" s="615">
        <v>0</v>
      </c>
      <c r="BX196" s="607">
        <f t="shared" si="6"/>
        <v>0</v>
      </c>
    </row>
    <row r="197" spans="1:76" s="612" customFormat="1" ht="11.25" customHeight="1" x14ac:dyDescent="0.2">
      <c r="A197" s="907"/>
      <c r="B197" s="611" t="s">
        <v>2608</v>
      </c>
      <c r="C197" s="641" t="s">
        <v>1939</v>
      </c>
      <c r="D197" s="615">
        <v>0</v>
      </c>
      <c r="E197" s="615">
        <v>0</v>
      </c>
      <c r="F197" s="615">
        <v>0</v>
      </c>
      <c r="G197" s="615">
        <v>0</v>
      </c>
      <c r="H197" s="585">
        <v>0</v>
      </c>
      <c r="I197" s="615">
        <v>0</v>
      </c>
      <c r="J197" s="615">
        <v>0</v>
      </c>
      <c r="K197" s="615">
        <v>0</v>
      </c>
      <c r="L197" s="615">
        <v>0</v>
      </c>
      <c r="M197" s="615">
        <v>0</v>
      </c>
      <c r="N197" s="615">
        <v>0</v>
      </c>
      <c r="O197" s="615">
        <v>0</v>
      </c>
      <c r="P197" s="615">
        <v>0</v>
      </c>
      <c r="Q197" s="615">
        <v>0</v>
      </c>
      <c r="R197" s="615">
        <v>0</v>
      </c>
      <c r="S197" s="615">
        <v>0</v>
      </c>
      <c r="T197" s="615">
        <v>0</v>
      </c>
      <c r="U197" s="615">
        <v>0</v>
      </c>
      <c r="V197" s="615">
        <v>0</v>
      </c>
      <c r="W197" s="615">
        <v>0</v>
      </c>
      <c r="X197" s="615">
        <v>0</v>
      </c>
      <c r="Y197" s="615">
        <v>0</v>
      </c>
      <c r="Z197" s="615">
        <v>0</v>
      </c>
      <c r="AA197" s="615">
        <v>0</v>
      </c>
      <c r="AB197" s="615">
        <v>0</v>
      </c>
      <c r="AC197" s="615">
        <v>0</v>
      </c>
      <c r="AD197" s="615">
        <v>0</v>
      </c>
      <c r="AE197" s="615">
        <v>0</v>
      </c>
      <c r="AF197" s="615">
        <v>0</v>
      </c>
      <c r="AG197" s="615">
        <v>0</v>
      </c>
      <c r="AH197" s="615">
        <v>0</v>
      </c>
      <c r="AI197" s="615">
        <v>0</v>
      </c>
      <c r="AJ197" s="615">
        <v>0</v>
      </c>
      <c r="AK197" s="615">
        <v>0</v>
      </c>
      <c r="AL197" s="615">
        <v>0</v>
      </c>
      <c r="AM197" s="615">
        <v>0</v>
      </c>
      <c r="AN197" s="615">
        <v>0</v>
      </c>
      <c r="AO197" s="615">
        <v>0</v>
      </c>
      <c r="AP197" s="615">
        <v>0</v>
      </c>
      <c r="AQ197" s="615">
        <v>0</v>
      </c>
      <c r="AR197" s="615">
        <v>0</v>
      </c>
      <c r="AS197" s="615">
        <v>132420000</v>
      </c>
      <c r="AT197" s="615">
        <v>0</v>
      </c>
      <c r="AU197" s="615">
        <v>0</v>
      </c>
      <c r="AV197" s="615">
        <v>0</v>
      </c>
      <c r="AW197" s="615">
        <v>0</v>
      </c>
      <c r="AX197" s="615">
        <v>0</v>
      </c>
      <c r="AY197" s="615">
        <v>0</v>
      </c>
      <c r="AZ197" s="615">
        <v>0</v>
      </c>
      <c r="BA197" s="615">
        <v>0</v>
      </c>
      <c r="BB197" s="615">
        <v>0</v>
      </c>
      <c r="BC197" s="615">
        <v>0</v>
      </c>
      <c r="BD197" s="615">
        <v>0</v>
      </c>
      <c r="BE197" s="615">
        <v>0</v>
      </c>
      <c r="BF197" s="615">
        <v>0</v>
      </c>
      <c r="BG197" s="615">
        <v>0</v>
      </c>
      <c r="BH197" s="615">
        <v>0</v>
      </c>
      <c r="BI197" s="615">
        <v>0</v>
      </c>
      <c r="BJ197" s="615">
        <v>0</v>
      </c>
      <c r="BK197" s="615">
        <v>0</v>
      </c>
      <c r="BL197" s="615">
        <v>0</v>
      </c>
      <c r="BM197" s="615">
        <v>0</v>
      </c>
      <c r="BN197" s="615">
        <v>0</v>
      </c>
      <c r="BO197" s="615">
        <v>0</v>
      </c>
      <c r="BP197" s="615">
        <v>0</v>
      </c>
      <c r="BQ197" s="615">
        <v>0</v>
      </c>
      <c r="BR197" s="615">
        <v>0</v>
      </c>
      <c r="BS197" s="615">
        <v>0</v>
      </c>
      <c r="BT197" s="615">
        <v>0</v>
      </c>
      <c r="BU197" s="615">
        <v>0</v>
      </c>
      <c r="BV197" s="615">
        <v>0</v>
      </c>
      <c r="BW197" s="615">
        <v>0</v>
      </c>
      <c r="BX197" s="607">
        <f t="shared" si="6"/>
        <v>132420000</v>
      </c>
    </row>
    <row r="198" spans="1:76" s="612" customFormat="1" ht="11.25" customHeight="1" x14ac:dyDescent="0.2">
      <c r="A198" s="907"/>
      <c r="B198" s="611" t="s">
        <v>1658</v>
      </c>
      <c r="C198" s="641" t="s">
        <v>1940</v>
      </c>
      <c r="D198" s="615">
        <v>0</v>
      </c>
      <c r="E198" s="615">
        <v>0</v>
      </c>
      <c r="F198" s="615">
        <v>0</v>
      </c>
      <c r="G198" s="615">
        <v>0</v>
      </c>
      <c r="H198" s="585">
        <v>0</v>
      </c>
      <c r="I198" s="615">
        <v>0</v>
      </c>
      <c r="J198" s="615">
        <v>0</v>
      </c>
      <c r="K198" s="615">
        <v>0</v>
      </c>
      <c r="L198" s="615">
        <v>0</v>
      </c>
      <c r="M198" s="615">
        <v>0</v>
      </c>
      <c r="N198" s="615">
        <v>0</v>
      </c>
      <c r="O198" s="615">
        <v>0</v>
      </c>
      <c r="P198" s="615">
        <v>0</v>
      </c>
      <c r="Q198" s="615">
        <v>0</v>
      </c>
      <c r="R198" s="615">
        <v>0</v>
      </c>
      <c r="S198" s="615">
        <v>0</v>
      </c>
      <c r="T198" s="615">
        <v>0</v>
      </c>
      <c r="U198" s="615">
        <v>0</v>
      </c>
      <c r="V198" s="615">
        <v>0</v>
      </c>
      <c r="W198" s="615">
        <v>0</v>
      </c>
      <c r="X198" s="615">
        <v>0</v>
      </c>
      <c r="Y198" s="615">
        <v>0</v>
      </c>
      <c r="Z198" s="615">
        <v>0</v>
      </c>
      <c r="AA198" s="615">
        <v>0</v>
      </c>
      <c r="AB198" s="615">
        <v>0</v>
      </c>
      <c r="AC198" s="615">
        <v>0</v>
      </c>
      <c r="AD198" s="615">
        <v>0</v>
      </c>
      <c r="AE198" s="615">
        <v>0</v>
      </c>
      <c r="AF198" s="615">
        <v>0</v>
      </c>
      <c r="AG198" s="615">
        <v>0</v>
      </c>
      <c r="AH198" s="615">
        <v>0</v>
      </c>
      <c r="AI198" s="615">
        <v>0</v>
      </c>
      <c r="AJ198" s="615">
        <v>0</v>
      </c>
      <c r="AK198" s="615">
        <v>0</v>
      </c>
      <c r="AL198" s="615">
        <v>0</v>
      </c>
      <c r="AM198" s="615">
        <v>0</v>
      </c>
      <c r="AN198" s="615">
        <v>0</v>
      </c>
      <c r="AO198" s="615">
        <v>0</v>
      </c>
      <c r="AP198" s="615">
        <v>0</v>
      </c>
      <c r="AQ198" s="615">
        <v>0</v>
      </c>
      <c r="AR198" s="615">
        <v>0</v>
      </c>
      <c r="AS198" s="615">
        <v>0</v>
      </c>
      <c r="AT198" s="615">
        <v>1305528</v>
      </c>
      <c r="AU198" s="615">
        <v>0</v>
      </c>
      <c r="AV198" s="615">
        <v>0</v>
      </c>
      <c r="AW198" s="615">
        <v>0</v>
      </c>
      <c r="AX198" s="615">
        <v>0</v>
      </c>
      <c r="AY198" s="615">
        <v>0</v>
      </c>
      <c r="AZ198" s="615">
        <v>0</v>
      </c>
      <c r="BA198" s="615">
        <v>0</v>
      </c>
      <c r="BB198" s="615">
        <v>0</v>
      </c>
      <c r="BC198" s="615">
        <v>0</v>
      </c>
      <c r="BD198" s="615">
        <v>0</v>
      </c>
      <c r="BE198" s="615">
        <v>0</v>
      </c>
      <c r="BF198" s="615">
        <v>0</v>
      </c>
      <c r="BG198" s="615">
        <v>0</v>
      </c>
      <c r="BH198" s="615">
        <v>0</v>
      </c>
      <c r="BI198" s="615">
        <v>0</v>
      </c>
      <c r="BJ198" s="615">
        <v>0</v>
      </c>
      <c r="BK198" s="615">
        <v>0</v>
      </c>
      <c r="BL198" s="615">
        <v>0</v>
      </c>
      <c r="BM198" s="615">
        <v>0</v>
      </c>
      <c r="BN198" s="615">
        <v>0</v>
      </c>
      <c r="BO198" s="615">
        <v>0</v>
      </c>
      <c r="BP198" s="615">
        <v>0</v>
      </c>
      <c r="BQ198" s="615">
        <v>0</v>
      </c>
      <c r="BR198" s="615">
        <v>0</v>
      </c>
      <c r="BS198" s="615">
        <v>0</v>
      </c>
      <c r="BT198" s="615">
        <v>0</v>
      </c>
      <c r="BU198" s="615">
        <v>0</v>
      </c>
      <c r="BV198" s="615">
        <v>0</v>
      </c>
      <c r="BW198" s="615">
        <v>0</v>
      </c>
      <c r="BX198" s="607">
        <f t="shared" si="6"/>
        <v>1305528</v>
      </c>
    </row>
    <row r="199" spans="1:76" s="612" customFormat="1" ht="11.25" customHeight="1" x14ac:dyDescent="0.2">
      <c r="A199" s="907"/>
      <c r="B199" s="611" t="s">
        <v>994</v>
      </c>
      <c r="C199" s="641" t="s">
        <v>1941</v>
      </c>
      <c r="D199" s="615">
        <v>0</v>
      </c>
      <c r="E199" s="615">
        <v>0</v>
      </c>
      <c r="F199" s="615">
        <v>0</v>
      </c>
      <c r="G199" s="615">
        <v>0</v>
      </c>
      <c r="H199" s="585">
        <v>0</v>
      </c>
      <c r="I199" s="615">
        <v>0</v>
      </c>
      <c r="J199" s="615">
        <v>0</v>
      </c>
      <c r="K199" s="615">
        <v>0</v>
      </c>
      <c r="L199" s="615">
        <v>0</v>
      </c>
      <c r="M199" s="615">
        <v>0</v>
      </c>
      <c r="N199" s="615">
        <v>0</v>
      </c>
      <c r="O199" s="615">
        <v>0</v>
      </c>
      <c r="P199" s="615">
        <v>0</v>
      </c>
      <c r="Q199" s="615">
        <v>0</v>
      </c>
      <c r="R199" s="615">
        <v>0</v>
      </c>
      <c r="S199" s="615">
        <v>0</v>
      </c>
      <c r="T199" s="615">
        <v>0</v>
      </c>
      <c r="U199" s="615">
        <v>0</v>
      </c>
      <c r="V199" s="615">
        <v>0</v>
      </c>
      <c r="W199" s="615">
        <v>0</v>
      </c>
      <c r="X199" s="615">
        <v>0</v>
      </c>
      <c r="Y199" s="615">
        <v>0</v>
      </c>
      <c r="Z199" s="615">
        <v>0</v>
      </c>
      <c r="AA199" s="615">
        <v>0</v>
      </c>
      <c r="AB199" s="615">
        <v>0</v>
      </c>
      <c r="AC199" s="615">
        <v>0</v>
      </c>
      <c r="AD199" s="615">
        <v>0</v>
      </c>
      <c r="AE199" s="615">
        <v>0</v>
      </c>
      <c r="AF199" s="615">
        <v>0</v>
      </c>
      <c r="AG199" s="615">
        <v>0</v>
      </c>
      <c r="AH199" s="615">
        <v>0</v>
      </c>
      <c r="AI199" s="615">
        <v>0</v>
      </c>
      <c r="AJ199" s="615">
        <v>0</v>
      </c>
      <c r="AK199" s="615">
        <v>0</v>
      </c>
      <c r="AL199" s="615">
        <v>0</v>
      </c>
      <c r="AM199" s="615">
        <v>0</v>
      </c>
      <c r="AN199" s="615">
        <v>0</v>
      </c>
      <c r="AO199" s="615">
        <v>0</v>
      </c>
      <c r="AP199" s="615">
        <v>0</v>
      </c>
      <c r="AQ199" s="615">
        <v>0</v>
      </c>
      <c r="AR199" s="615">
        <v>0</v>
      </c>
      <c r="AS199" s="615">
        <v>0</v>
      </c>
      <c r="AT199" s="615">
        <v>0</v>
      </c>
      <c r="AU199" s="615">
        <v>0</v>
      </c>
      <c r="AV199" s="615">
        <v>0</v>
      </c>
      <c r="AW199" s="615">
        <v>0</v>
      </c>
      <c r="AX199" s="615">
        <v>0</v>
      </c>
      <c r="AY199" s="615">
        <v>0</v>
      </c>
      <c r="AZ199" s="615">
        <v>0</v>
      </c>
      <c r="BA199" s="615">
        <v>0</v>
      </c>
      <c r="BB199" s="615">
        <v>0</v>
      </c>
      <c r="BC199" s="615">
        <v>0</v>
      </c>
      <c r="BD199" s="615">
        <v>0</v>
      </c>
      <c r="BE199" s="615">
        <v>0</v>
      </c>
      <c r="BF199" s="615">
        <v>0</v>
      </c>
      <c r="BG199" s="615">
        <v>0</v>
      </c>
      <c r="BH199" s="615">
        <v>0</v>
      </c>
      <c r="BI199" s="615">
        <v>0</v>
      </c>
      <c r="BJ199" s="615">
        <v>0</v>
      </c>
      <c r="BK199" s="615">
        <v>0</v>
      </c>
      <c r="BL199" s="615">
        <v>0</v>
      </c>
      <c r="BM199" s="615">
        <v>0</v>
      </c>
      <c r="BN199" s="615">
        <v>0</v>
      </c>
      <c r="BO199" s="615">
        <v>0</v>
      </c>
      <c r="BP199" s="615">
        <v>0</v>
      </c>
      <c r="BQ199" s="615">
        <v>0</v>
      </c>
      <c r="BR199" s="615">
        <v>0</v>
      </c>
      <c r="BS199" s="615">
        <v>0</v>
      </c>
      <c r="BT199" s="615">
        <v>0</v>
      </c>
      <c r="BU199" s="615">
        <v>0</v>
      </c>
      <c r="BV199" s="615">
        <v>0</v>
      </c>
      <c r="BW199" s="615">
        <v>0</v>
      </c>
      <c r="BX199" s="607">
        <f t="shared" si="6"/>
        <v>0</v>
      </c>
    </row>
    <row r="200" spans="1:76" s="612" customFormat="1" ht="11.25" customHeight="1" x14ac:dyDescent="0.2">
      <c r="A200" s="907"/>
      <c r="B200" s="611" t="s">
        <v>1678</v>
      </c>
      <c r="C200" s="641" t="s">
        <v>1942</v>
      </c>
      <c r="D200" s="615">
        <v>0</v>
      </c>
      <c r="E200" s="615">
        <v>0</v>
      </c>
      <c r="F200" s="615">
        <v>0</v>
      </c>
      <c r="G200" s="615">
        <v>0</v>
      </c>
      <c r="H200" s="585">
        <v>0</v>
      </c>
      <c r="I200" s="615">
        <v>0</v>
      </c>
      <c r="J200" s="615">
        <v>0</v>
      </c>
      <c r="K200" s="615">
        <v>0</v>
      </c>
      <c r="L200" s="615">
        <v>0</v>
      </c>
      <c r="M200" s="615">
        <v>0</v>
      </c>
      <c r="N200" s="615">
        <v>0</v>
      </c>
      <c r="O200" s="615">
        <v>0</v>
      </c>
      <c r="P200" s="615">
        <v>0</v>
      </c>
      <c r="Q200" s="615">
        <v>0</v>
      </c>
      <c r="R200" s="615">
        <v>0</v>
      </c>
      <c r="S200" s="615">
        <v>0</v>
      </c>
      <c r="T200" s="615">
        <v>0</v>
      </c>
      <c r="U200" s="615">
        <v>0</v>
      </c>
      <c r="V200" s="615">
        <v>0</v>
      </c>
      <c r="W200" s="615">
        <v>0</v>
      </c>
      <c r="X200" s="615">
        <v>0</v>
      </c>
      <c r="Y200" s="615">
        <v>0</v>
      </c>
      <c r="Z200" s="615">
        <v>0</v>
      </c>
      <c r="AA200" s="615">
        <v>0</v>
      </c>
      <c r="AB200" s="615">
        <v>0</v>
      </c>
      <c r="AC200" s="615">
        <v>0</v>
      </c>
      <c r="AD200" s="615">
        <v>0</v>
      </c>
      <c r="AE200" s="615">
        <v>0</v>
      </c>
      <c r="AF200" s="615">
        <v>0</v>
      </c>
      <c r="AG200" s="615">
        <v>0</v>
      </c>
      <c r="AH200" s="615">
        <v>0</v>
      </c>
      <c r="AI200" s="615">
        <v>0</v>
      </c>
      <c r="AJ200" s="615">
        <v>0</v>
      </c>
      <c r="AK200" s="615">
        <v>0</v>
      </c>
      <c r="AL200" s="615">
        <v>0</v>
      </c>
      <c r="AM200" s="615">
        <v>0</v>
      </c>
      <c r="AN200" s="615">
        <v>0</v>
      </c>
      <c r="AO200" s="615">
        <v>0</v>
      </c>
      <c r="AP200" s="615">
        <v>0</v>
      </c>
      <c r="AQ200" s="615">
        <v>1277687</v>
      </c>
      <c r="AR200" s="615">
        <v>0</v>
      </c>
      <c r="AS200" s="615">
        <v>0</v>
      </c>
      <c r="AT200" s="615">
        <v>0</v>
      </c>
      <c r="AU200" s="615">
        <v>0</v>
      </c>
      <c r="AV200" s="615">
        <v>0</v>
      </c>
      <c r="AW200" s="615">
        <v>0</v>
      </c>
      <c r="AX200" s="615">
        <v>0</v>
      </c>
      <c r="AY200" s="615">
        <v>0</v>
      </c>
      <c r="AZ200" s="615">
        <v>0</v>
      </c>
      <c r="BA200" s="615">
        <v>0</v>
      </c>
      <c r="BB200" s="615">
        <v>0</v>
      </c>
      <c r="BC200" s="615">
        <v>0</v>
      </c>
      <c r="BD200" s="615">
        <v>0</v>
      </c>
      <c r="BE200" s="615">
        <v>0</v>
      </c>
      <c r="BF200" s="615">
        <v>0</v>
      </c>
      <c r="BG200" s="615">
        <v>0</v>
      </c>
      <c r="BH200" s="615">
        <v>0</v>
      </c>
      <c r="BI200" s="615">
        <v>0</v>
      </c>
      <c r="BJ200" s="615">
        <v>0</v>
      </c>
      <c r="BK200" s="615">
        <v>0</v>
      </c>
      <c r="BL200" s="615">
        <v>0</v>
      </c>
      <c r="BM200" s="615">
        <v>0</v>
      </c>
      <c r="BN200" s="615">
        <v>0</v>
      </c>
      <c r="BO200" s="615">
        <v>0</v>
      </c>
      <c r="BP200" s="615">
        <v>0</v>
      </c>
      <c r="BQ200" s="615">
        <v>0</v>
      </c>
      <c r="BR200" s="615">
        <v>0</v>
      </c>
      <c r="BS200" s="615">
        <v>0</v>
      </c>
      <c r="BT200" s="615">
        <v>0</v>
      </c>
      <c r="BU200" s="615">
        <v>0</v>
      </c>
      <c r="BV200" s="615">
        <v>0</v>
      </c>
      <c r="BW200" s="615">
        <v>0</v>
      </c>
      <c r="BX200" s="607">
        <f t="shared" si="6"/>
        <v>1277687</v>
      </c>
    </row>
    <row r="201" spans="1:76" s="612" customFormat="1" ht="11.25" customHeight="1" x14ac:dyDescent="0.2">
      <c r="A201" s="907"/>
      <c r="B201" s="611" t="s">
        <v>1176</v>
      </c>
      <c r="C201" s="641" t="s">
        <v>1943</v>
      </c>
      <c r="D201" s="615">
        <v>0</v>
      </c>
      <c r="E201" s="615">
        <v>0</v>
      </c>
      <c r="F201" s="615">
        <v>0</v>
      </c>
      <c r="G201" s="615">
        <v>0</v>
      </c>
      <c r="H201" s="585">
        <v>0</v>
      </c>
      <c r="I201" s="615">
        <v>0</v>
      </c>
      <c r="J201" s="615">
        <v>0</v>
      </c>
      <c r="K201" s="615">
        <v>0</v>
      </c>
      <c r="L201" s="615">
        <v>0</v>
      </c>
      <c r="M201" s="615">
        <v>0</v>
      </c>
      <c r="N201" s="615">
        <v>0</v>
      </c>
      <c r="O201" s="615">
        <v>0</v>
      </c>
      <c r="P201" s="615">
        <v>0</v>
      </c>
      <c r="Q201" s="615">
        <v>0</v>
      </c>
      <c r="R201" s="615">
        <v>0</v>
      </c>
      <c r="S201" s="615">
        <v>0</v>
      </c>
      <c r="T201" s="615">
        <v>0</v>
      </c>
      <c r="U201" s="615">
        <v>0</v>
      </c>
      <c r="V201" s="615">
        <v>0</v>
      </c>
      <c r="W201" s="615">
        <v>0</v>
      </c>
      <c r="X201" s="615">
        <v>0</v>
      </c>
      <c r="Y201" s="615">
        <v>0</v>
      </c>
      <c r="Z201" s="615">
        <v>0</v>
      </c>
      <c r="AA201" s="615">
        <v>0</v>
      </c>
      <c r="AB201" s="615">
        <v>0</v>
      </c>
      <c r="AC201" s="615">
        <v>0</v>
      </c>
      <c r="AD201" s="615">
        <v>0</v>
      </c>
      <c r="AE201" s="615">
        <v>0</v>
      </c>
      <c r="AF201" s="615">
        <v>0</v>
      </c>
      <c r="AG201" s="615">
        <v>0</v>
      </c>
      <c r="AH201" s="615">
        <v>0</v>
      </c>
      <c r="AI201" s="615">
        <v>0</v>
      </c>
      <c r="AJ201" s="615">
        <v>0</v>
      </c>
      <c r="AK201" s="615">
        <v>0</v>
      </c>
      <c r="AL201" s="615">
        <v>0</v>
      </c>
      <c r="AM201" s="615">
        <v>0</v>
      </c>
      <c r="AN201" s="615">
        <v>0</v>
      </c>
      <c r="AO201" s="615">
        <v>0</v>
      </c>
      <c r="AP201" s="615">
        <v>0</v>
      </c>
      <c r="AQ201" s="615">
        <v>0</v>
      </c>
      <c r="AR201" s="615">
        <v>0</v>
      </c>
      <c r="AS201" s="615">
        <v>0</v>
      </c>
      <c r="AT201" s="615">
        <v>0</v>
      </c>
      <c r="AU201" s="615">
        <v>0</v>
      </c>
      <c r="AV201" s="615">
        <v>0</v>
      </c>
      <c r="AW201" s="615">
        <v>0</v>
      </c>
      <c r="AX201" s="615">
        <v>0</v>
      </c>
      <c r="AY201" s="615">
        <v>0</v>
      </c>
      <c r="AZ201" s="615">
        <v>0</v>
      </c>
      <c r="BA201" s="615">
        <v>0</v>
      </c>
      <c r="BB201" s="615">
        <v>0</v>
      </c>
      <c r="BC201" s="615">
        <v>0</v>
      </c>
      <c r="BD201" s="615">
        <v>0</v>
      </c>
      <c r="BE201" s="615">
        <v>0</v>
      </c>
      <c r="BF201" s="615">
        <v>0</v>
      </c>
      <c r="BG201" s="615">
        <v>0</v>
      </c>
      <c r="BH201" s="615">
        <v>0</v>
      </c>
      <c r="BI201" s="615">
        <v>0</v>
      </c>
      <c r="BJ201" s="615">
        <v>0</v>
      </c>
      <c r="BK201" s="615">
        <v>0</v>
      </c>
      <c r="BL201" s="615">
        <v>0</v>
      </c>
      <c r="BM201" s="615">
        <v>0</v>
      </c>
      <c r="BN201" s="615">
        <v>0</v>
      </c>
      <c r="BO201" s="615">
        <v>0</v>
      </c>
      <c r="BP201" s="615">
        <v>0</v>
      </c>
      <c r="BQ201" s="615">
        <v>0</v>
      </c>
      <c r="BR201" s="615">
        <v>0</v>
      </c>
      <c r="BS201" s="615">
        <v>0</v>
      </c>
      <c r="BT201" s="615">
        <v>0</v>
      </c>
      <c r="BU201" s="615">
        <v>0</v>
      </c>
      <c r="BV201" s="615">
        <v>0</v>
      </c>
      <c r="BW201" s="615">
        <v>0</v>
      </c>
      <c r="BX201" s="607">
        <f t="shared" si="6"/>
        <v>0</v>
      </c>
    </row>
    <row r="202" spans="1:76" s="612" customFormat="1" ht="11.25" customHeight="1" x14ac:dyDescent="0.2">
      <c r="A202" s="907"/>
      <c r="B202" s="611" t="s">
        <v>1595</v>
      </c>
      <c r="C202" s="641" t="s">
        <v>1944</v>
      </c>
      <c r="D202" s="615">
        <v>0</v>
      </c>
      <c r="E202" s="615">
        <v>0</v>
      </c>
      <c r="F202" s="615">
        <v>0</v>
      </c>
      <c r="G202" s="615">
        <v>0</v>
      </c>
      <c r="H202" s="585">
        <v>0</v>
      </c>
      <c r="I202" s="615">
        <v>0</v>
      </c>
      <c r="J202" s="615">
        <v>0</v>
      </c>
      <c r="K202" s="615">
        <v>0</v>
      </c>
      <c r="L202" s="615">
        <v>0</v>
      </c>
      <c r="M202" s="615">
        <v>0</v>
      </c>
      <c r="N202" s="615">
        <v>0</v>
      </c>
      <c r="O202" s="615">
        <v>0</v>
      </c>
      <c r="P202" s="615">
        <v>0</v>
      </c>
      <c r="Q202" s="615">
        <v>0</v>
      </c>
      <c r="R202" s="615">
        <v>0</v>
      </c>
      <c r="S202" s="615">
        <v>0</v>
      </c>
      <c r="T202" s="615">
        <v>0</v>
      </c>
      <c r="U202" s="615">
        <v>0</v>
      </c>
      <c r="V202" s="615">
        <v>0</v>
      </c>
      <c r="W202" s="615">
        <v>0</v>
      </c>
      <c r="X202" s="615">
        <v>0</v>
      </c>
      <c r="Y202" s="615">
        <v>0</v>
      </c>
      <c r="Z202" s="615">
        <v>0</v>
      </c>
      <c r="AA202" s="615">
        <v>0</v>
      </c>
      <c r="AB202" s="615">
        <v>0</v>
      </c>
      <c r="AC202" s="615">
        <v>0</v>
      </c>
      <c r="AD202" s="615">
        <v>0</v>
      </c>
      <c r="AE202" s="615">
        <v>0</v>
      </c>
      <c r="AF202" s="615">
        <v>0</v>
      </c>
      <c r="AG202" s="615">
        <v>0</v>
      </c>
      <c r="AH202" s="615">
        <v>0</v>
      </c>
      <c r="AI202" s="615">
        <v>0</v>
      </c>
      <c r="AJ202" s="615">
        <v>0</v>
      </c>
      <c r="AK202" s="615">
        <v>0</v>
      </c>
      <c r="AL202" s="615">
        <v>0</v>
      </c>
      <c r="AM202" s="615">
        <v>0</v>
      </c>
      <c r="AN202" s="615">
        <v>0</v>
      </c>
      <c r="AO202" s="615">
        <v>0</v>
      </c>
      <c r="AP202" s="615">
        <v>0</v>
      </c>
      <c r="AQ202" s="615">
        <v>0</v>
      </c>
      <c r="AR202" s="615">
        <v>0</v>
      </c>
      <c r="AS202" s="615">
        <v>0</v>
      </c>
      <c r="AT202" s="615">
        <v>0</v>
      </c>
      <c r="AU202" s="615">
        <v>0</v>
      </c>
      <c r="AV202" s="615">
        <v>556868</v>
      </c>
      <c r="AW202" s="615">
        <v>0</v>
      </c>
      <c r="AX202" s="615">
        <v>0</v>
      </c>
      <c r="AY202" s="615">
        <v>0</v>
      </c>
      <c r="AZ202" s="615">
        <v>0</v>
      </c>
      <c r="BA202" s="615">
        <v>0</v>
      </c>
      <c r="BB202" s="615">
        <v>0</v>
      </c>
      <c r="BC202" s="615">
        <v>0</v>
      </c>
      <c r="BD202" s="615">
        <v>0</v>
      </c>
      <c r="BE202" s="615">
        <v>0</v>
      </c>
      <c r="BF202" s="615">
        <v>0</v>
      </c>
      <c r="BG202" s="615">
        <v>0</v>
      </c>
      <c r="BH202" s="615">
        <v>0</v>
      </c>
      <c r="BI202" s="615">
        <v>0</v>
      </c>
      <c r="BJ202" s="615">
        <v>0</v>
      </c>
      <c r="BK202" s="615">
        <v>0</v>
      </c>
      <c r="BL202" s="615">
        <v>0</v>
      </c>
      <c r="BM202" s="615">
        <v>0</v>
      </c>
      <c r="BN202" s="615">
        <v>0</v>
      </c>
      <c r="BO202" s="615">
        <v>0</v>
      </c>
      <c r="BP202" s="615">
        <v>0</v>
      </c>
      <c r="BQ202" s="615">
        <v>0</v>
      </c>
      <c r="BR202" s="615">
        <v>0</v>
      </c>
      <c r="BS202" s="615">
        <v>0</v>
      </c>
      <c r="BT202" s="615">
        <v>0</v>
      </c>
      <c r="BU202" s="615">
        <v>0</v>
      </c>
      <c r="BV202" s="615">
        <v>0</v>
      </c>
      <c r="BW202" s="615">
        <v>0</v>
      </c>
      <c r="BX202" s="607">
        <f t="shared" si="6"/>
        <v>556868</v>
      </c>
    </row>
    <row r="203" spans="1:76" s="612" customFormat="1" ht="11.25" customHeight="1" x14ac:dyDescent="0.2">
      <c r="A203" s="907"/>
      <c r="B203" s="611" t="s">
        <v>1659</v>
      </c>
      <c r="C203" s="641" t="s">
        <v>1945</v>
      </c>
      <c r="D203" s="615">
        <v>0</v>
      </c>
      <c r="E203" s="615">
        <v>0</v>
      </c>
      <c r="F203" s="615">
        <v>0</v>
      </c>
      <c r="G203" s="615">
        <v>0</v>
      </c>
      <c r="H203" s="585">
        <v>0</v>
      </c>
      <c r="I203" s="615">
        <v>0</v>
      </c>
      <c r="J203" s="615">
        <v>0</v>
      </c>
      <c r="K203" s="615">
        <v>0</v>
      </c>
      <c r="L203" s="615">
        <v>0</v>
      </c>
      <c r="M203" s="615">
        <v>0</v>
      </c>
      <c r="N203" s="615">
        <v>0</v>
      </c>
      <c r="O203" s="615">
        <v>0</v>
      </c>
      <c r="P203" s="615">
        <v>0</v>
      </c>
      <c r="Q203" s="615">
        <v>0</v>
      </c>
      <c r="R203" s="615">
        <v>0</v>
      </c>
      <c r="S203" s="615">
        <v>0</v>
      </c>
      <c r="T203" s="615">
        <v>0</v>
      </c>
      <c r="U203" s="615">
        <v>0</v>
      </c>
      <c r="V203" s="615">
        <v>0</v>
      </c>
      <c r="W203" s="615">
        <v>0</v>
      </c>
      <c r="X203" s="615">
        <v>0</v>
      </c>
      <c r="Y203" s="615">
        <v>0</v>
      </c>
      <c r="Z203" s="615">
        <v>0</v>
      </c>
      <c r="AA203" s="615">
        <v>0</v>
      </c>
      <c r="AB203" s="615">
        <v>0</v>
      </c>
      <c r="AC203" s="615">
        <v>0</v>
      </c>
      <c r="AD203" s="615">
        <v>0</v>
      </c>
      <c r="AE203" s="615">
        <v>0</v>
      </c>
      <c r="AF203" s="615">
        <v>0</v>
      </c>
      <c r="AG203" s="615">
        <v>0</v>
      </c>
      <c r="AH203" s="615">
        <v>0</v>
      </c>
      <c r="AI203" s="615">
        <v>0</v>
      </c>
      <c r="AJ203" s="615">
        <v>0</v>
      </c>
      <c r="AK203" s="615">
        <v>0</v>
      </c>
      <c r="AL203" s="615">
        <v>0</v>
      </c>
      <c r="AM203" s="615">
        <v>0</v>
      </c>
      <c r="AN203" s="615">
        <v>0</v>
      </c>
      <c r="AO203" s="615">
        <v>0</v>
      </c>
      <c r="AP203" s="615">
        <v>0</v>
      </c>
      <c r="AQ203" s="615">
        <v>0</v>
      </c>
      <c r="AR203" s="615">
        <v>0</v>
      </c>
      <c r="AS203" s="615">
        <v>0</v>
      </c>
      <c r="AT203" s="615">
        <v>0</v>
      </c>
      <c r="AU203" s="615">
        <v>543898</v>
      </c>
      <c r="AV203" s="615">
        <v>0</v>
      </c>
      <c r="AW203" s="615">
        <v>0</v>
      </c>
      <c r="AX203" s="615">
        <v>0</v>
      </c>
      <c r="AY203" s="615">
        <v>0</v>
      </c>
      <c r="AZ203" s="615">
        <v>0</v>
      </c>
      <c r="BA203" s="615">
        <v>0</v>
      </c>
      <c r="BB203" s="615">
        <v>0</v>
      </c>
      <c r="BC203" s="615">
        <v>0</v>
      </c>
      <c r="BD203" s="615">
        <v>0</v>
      </c>
      <c r="BE203" s="615">
        <v>0</v>
      </c>
      <c r="BF203" s="615">
        <v>0</v>
      </c>
      <c r="BG203" s="615">
        <v>0</v>
      </c>
      <c r="BH203" s="615">
        <v>0</v>
      </c>
      <c r="BI203" s="615">
        <v>0</v>
      </c>
      <c r="BJ203" s="615">
        <v>0</v>
      </c>
      <c r="BK203" s="615">
        <v>0</v>
      </c>
      <c r="BL203" s="615">
        <v>0</v>
      </c>
      <c r="BM203" s="615">
        <v>0</v>
      </c>
      <c r="BN203" s="615">
        <v>0</v>
      </c>
      <c r="BO203" s="615">
        <v>0</v>
      </c>
      <c r="BP203" s="615">
        <v>0</v>
      </c>
      <c r="BQ203" s="615">
        <v>0</v>
      </c>
      <c r="BR203" s="615">
        <v>0</v>
      </c>
      <c r="BS203" s="615">
        <v>0</v>
      </c>
      <c r="BT203" s="615">
        <v>0</v>
      </c>
      <c r="BU203" s="615">
        <v>0</v>
      </c>
      <c r="BV203" s="615">
        <v>0</v>
      </c>
      <c r="BW203" s="615">
        <v>0</v>
      </c>
      <c r="BX203" s="607">
        <f t="shared" si="6"/>
        <v>543898</v>
      </c>
    </row>
    <row r="204" spans="1:76" s="612" customFormat="1" ht="11.25" customHeight="1" x14ac:dyDescent="0.2">
      <c r="A204" s="907"/>
      <c r="B204" s="611" t="s">
        <v>1712</v>
      </c>
      <c r="C204" s="641" t="s">
        <v>1946</v>
      </c>
      <c r="D204" s="615">
        <v>0</v>
      </c>
      <c r="E204" s="615">
        <v>0</v>
      </c>
      <c r="F204" s="615">
        <v>0</v>
      </c>
      <c r="G204" s="615">
        <v>0</v>
      </c>
      <c r="H204" s="585">
        <v>0</v>
      </c>
      <c r="I204" s="615">
        <v>0</v>
      </c>
      <c r="J204" s="615">
        <v>0</v>
      </c>
      <c r="K204" s="615">
        <v>0</v>
      </c>
      <c r="L204" s="615">
        <v>0</v>
      </c>
      <c r="M204" s="615">
        <v>0</v>
      </c>
      <c r="N204" s="615">
        <v>0</v>
      </c>
      <c r="O204" s="615">
        <v>0</v>
      </c>
      <c r="P204" s="615">
        <v>0</v>
      </c>
      <c r="Q204" s="615">
        <v>0</v>
      </c>
      <c r="R204" s="615">
        <v>0</v>
      </c>
      <c r="S204" s="615">
        <v>0</v>
      </c>
      <c r="T204" s="615">
        <v>0</v>
      </c>
      <c r="U204" s="615">
        <v>0</v>
      </c>
      <c r="V204" s="615">
        <v>0</v>
      </c>
      <c r="W204" s="615">
        <v>0</v>
      </c>
      <c r="X204" s="615">
        <v>0</v>
      </c>
      <c r="Y204" s="615">
        <v>0</v>
      </c>
      <c r="Z204" s="615">
        <v>0</v>
      </c>
      <c r="AA204" s="615">
        <v>0</v>
      </c>
      <c r="AB204" s="615">
        <v>0</v>
      </c>
      <c r="AC204" s="615">
        <v>0</v>
      </c>
      <c r="AD204" s="615">
        <v>0</v>
      </c>
      <c r="AE204" s="615">
        <v>0</v>
      </c>
      <c r="AF204" s="615">
        <v>0</v>
      </c>
      <c r="AG204" s="615">
        <v>0</v>
      </c>
      <c r="AH204" s="615">
        <v>0</v>
      </c>
      <c r="AI204" s="615">
        <v>0</v>
      </c>
      <c r="AJ204" s="615">
        <v>0</v>
      </c>
      <c r="AK204" s="615">
        <v>0</v>
      </c>
      <c r="AL204" s="615">
        <v>0</v>
      </c>
      <c r="AM204" s="615">
        <v>0</v>
      </c>
      <c r="AN204" s="615">
        <v>0</v>
      </c>
      <c r="AO204" s="615">
        <v>0</v>
      </c>
      <c r="AP204" s="615">
        <v>0</v>
      </c>
      <c r="AQ204" s="615">
        <v>0</v>
      </c>
      <c r="AR204" s="615">
        <v>0</v>
      </c>
      <c r="AS204" s="615">
        <v>0</v>
      </c>
      <c r="AT204" s="615">
        <v>0</v>
      </c>
      <c r="AU204" s="615">
        <v>0</v>
      </c>
      <c r="AV204" s="615">
        <v>0</v>
      </c>
      <c r="AW204" s="615">
        <v>0</v>
      </c>
      <c r="AX204" s="615">
        <v>0</v>
      </c>
      <c r="AY204" s="615">
        <v>0</v>
      </c>
      <c r="AZ204" s="615">
        <v>0</v>
      </c>
      <c r="BA204" s="615">
        <v>0</v>
      </c>
      <c r="BB204" s="615">
        <v>0</v>
      </c>
      <c r="BC204" s="615">
        <v>0</v>
      </c>
      <c r="BD204" s="615">
        <v>0</v>
      </c>
      <c r="BE204" s="615">
        <v>0</v>
      </c>
      <c r="BF204" s="615">
        <v>0</v>
      </c>
      <c r="BG204" s="615">
        <v>0</v>
      </c>
      <c r="BH204" s="615">
        <v>0</v>
      </c>
      <c r="BI204" s="615">
        <v>0</v>
      </c>
      <c r="BJ204" s="615">
        <v>0</v>
      </c>
      <c r="BK204" s="615">
        <v>0</v>
      </c>
      <c r="BL204" s="615">
        <v>0</v>
      </c>
      <c r="BM204" s="615">
        <v>0</v>
      </c>
      <c r="BN204" s="615">
        <v>0</v>
      </c>
      <c r="BO204" s="615">
        <v>0</v>
      </c>
      <c r="BP204" s="615">
        <v>0</v>
      </c>
      <c r="BQ204" s="615">
        <v>0</v>
      </c>
      <c r="BR204" s="615">
        <v>0</v>
      </c>
      <c r="BS204" s="615">
        <v>0</v>
      </c>
      <c r="BT204" s="615">
        <v>0</v>
      </c>
      <c r="BU204" s="615">
        <v>0</v>
      </c>
      <c r="BV204" s="615">
        <v>0</v>
      </c>
      <c r="BW204" s="615">
        <v>0</v>
      </c>
      <c r="BX204" s="607">
        <f t="shared" si="6"/>
        <v>0</v>
      </c>
    </row>
    <row r="205" spans="1:76" s="612" customFormat="1" ht="11.25" customHeight="1" x14ac:dyDescent="0.2">
      <c r="A205" s="907"/>
      <c r="B205" s="611" t="s">
        <v>3214</v>
      </c>
      <c r="C205" s="641" t="s">
        <v>1947</v>
      </c>
      <c r="D205" s="615">
        <v>0</v>
      </c>
      <c r="E205" s="615">
        <v>0</v>
      </c>
      <c r="F205" s="615">
        <v>0</v>
      </c>
      <c r="G205" s="615">
        <v>0</v>
      </c>
      <c r="H205" s="585">
        <v>0</v>
      </c>
      <c r="I205" s="615">
        <v>0</v>
      </c>
      <c r="J205" s="615">
        <v>0</v>
      </c>
      <c r="K205" s="615">
        <v>0</v>
      </c>
      <c r="L205" s="615">
        <v>0</v>
      </c>
      <c r="M205" s="615">
        <v>0</v>
      </c>
      <c r="N205" s="615">
        <v>0</v>
      </c>
      <c r="O205" s="615">
        <v>0</v>
      </c>
      <c r="P205" s="615">
        <v>0</v>
      </c>
      <c r="Q205" s="615">
        <v>0</v>
      </c>
      <c r="R205" s="615">
        <v>0</v>
      </c>
      <c r="S205" s="615">
        <v>0</v>
      </c>
      <c r="T205" s="615">
        <v>0</v>
      </c>
      <c r="U205" s="615">
        <v>0</v>
      </c>
      <c r="V205" s="615">
        <v>0</v>
      </c>
      <c r="W205" s="615">
        <v>0</v>
      </c>
      <c r="X205" s="615">
        <v>0</v>
      </c>
      <c r="Y205" s="615">
        <v>0</v>
      </c>
      <c r="Z205" s="615">
        <v>0</v>
      </c>
      <c r="AA205" s="615">
        <v>0</v>
      </c>
      <c r="AB205" s="615">
        <v>0</v>
      </c>
      <c r="AC205" s="615">
        <v>0</v>
      </c>
      <c r="AD205" s="615">
        <v>0</v>
      </c>
      <c r="AE205" s="615">
        <v>0</v>
      </c>
      <c r="AF205" s="615">
        <v>0</v>
      </c>
      <c r="AG205" s="615">
        <v>0</v>
      </c>
      <c r="AH205" s="615">
        <v>0</v>
      </c>
      <c r="AI205" s="615">
        <v>0</v>
      </c>
      <c r="AJ205" s="615">
        <v>0</v>
      </c>
      <c r="AK205" s="615">
        <v>0</v>
      </c>
      <c r="AL205" s="615">
        <v>0</v>
      </c>
      <c r="AM205" s="615">
        <v>0</v>
      </c>
      <c r="AN205" s="615">
        <v>0</v>
      </c>
      <c r="AO205" s="615">
        <v>0</v>
      </c>
      <c r="AP205" s="615">
        <v>0</v>
      </c>
      <c r="AQ205" s="615">
        <v>0</v>
      </c>
      <c r="AR205" s="615">
        <v>0</v>
      </c>
      <c r="AS205" s="615">
        <v>0</v>
      </c>
      <c r="AT205" s="615">
        <v>0</v>
      </c>
      <c r="AU205" s="615">
        <v>0</v>
      </c>
      <c r="AV205" s="615">
        <v>0</v>
      </c>
      <c r="AW205" s="615">
        <v>0</v>
      </c>
      <c r="AX205" s="615">
        <v>0</v>
      </c>
      <c r="AY205" s="615">
        <v>0</v>
      </c>
      <c r="AZ205" s="615">
        <v>0</v>
      </c>
      <c r="BA205" s="615">
        <v>0</v>
      </c>
      <c r="BB205" s="615">
        <v>0</v>
      </c>
      <c r="BC205" s="615">
        <v>0</v>
      </c>
      <c r="BD205" s="615">
        <v>0</v>
      </c>
      <c r="BE205" s="615">
        <v>0</v>
      </c>
      <c r="BF205" s="615">
        <v>0</v>
      </c>
      <c r="BG205" s="615">
        <v>0</v>
      </c>
      <c r="BH205" s="615">
        <v>0</v>
      </c>
      <c r="BI205" s="615">
        <v>0</v>
      </c>
      <c r="BJ205" s="615">
        <v>0</v>
      </c>
      <c r="BK205" s="615">
        <v>0</v>
      </c>
      <c r="BL205" s="615">
        <v>0</v>
      </c>
      <c r="BM205" s="615">
        <v>0</v>
      </c>
      <c r="BN205" s="615">
        <v>0</v>
      </c>
      <c r="BO205" s="615">
        <v>0</v>
      </c>
      <c r="BP205" s="615">
        <v>0</v>
      </c>
      <c r="BQ205" s="615">
        <v>0</v>
      </c>
      <c r="BR205" s="615">
        <v>0</v>
      </c>
      <c r="BS205" s="615">
        <v>0</v>
      </c>
      <c r="BT205" s="615">
        <v>0</v>
      </c>
      <c r="BU205" s="615">
        <v>0</v>
      </c>
      <c r="BV205" s="615">
        <v>0</v>
      </c>
      <c r="BW205" s="615">
        <v>0</v>
      </c>
      <c r="BX205" s="607">
        <f t="shared" si="6"/>
        <v>0</v>
      </c>
    </row>
    <row r="206" spans="1:76" s="612" customFormat="1" ht="11.25" customHeight="1" x14ac:dyDescent="0.2">
      <c r="A206" s="907"/>
      <c r="B206" s="611" t="s">
        <v>3487</v>
      </c>
      <c r="C206" s="641" t="s">
        <v>1948</v>
      </c>
      <c r="D206" s="615">
        <v>0</v>
      </c>
      <c r="E206" s="615">
        <v>0</v>
      </c>
      <c r="F206" s="615">
        <v>0</v>
      </c>
      <c r="G206" s="615">
        <v>0</v>
      </c>
      <c r="H206" s="585">
        <v>0</v>
      </c>
      <c r="I206" s="615">
        <v>0</v>
      </c>
      <c r="J206" s="615">
        <v>0</v>
      </c>
      <c r="K206" s="615">
        <v>0</v>
      </c>
      <c r="L206" s="615">
        <v>0</v>
      </c>
      <c r="M206" s="615">
        <v>0</v>
      </c>
      <c r="N206" s="615">
        <v>0</v>
      </c>
      <c r="O206" s="615">
        <v>0</v>
      </c>
      <c r="P206" s="615">
        <v>0</v>
      </c>
      <c r="Q206" s="615">
        <v>0</v>
      </c>
      <c r="R206" s="615">
        <v>0</v>
      </c>
      <c r="S206" s="615">
        <v>0</v>
      </c>
      <c r="T206" s="615">
        <v>0</v>
      </c>
      <c r="U206" s="615">
        <v>0</v>
      </c>
      <c r="V206" s="615">
        <v>0</v>
      </c>
      <c r="W206" s="615">
        <v>0</v>
      </c>
      <c r="X206" s="615">
        <v>0</v>
      </c>
      <c r="Y206" s="615">
        <v>0</v>
      </c>
      <c r="Z206" s="615">
        <v>0</v>
      </c>
      <c r="AA206" s="615">
        <v>0</v>
      </c>
      <c r="AB206" s="615">
        <v>0</v>
      </c>
      <c r="AC206" s="615">
        <v>0</v>
      </c>
      <c r="AD206" s="615">
        <v>0</v>
      </c>
      <c r="AE206" s="615">
        <v>0</v>
      </c>
      <c r="AF206" s="615">
        <v>0</v>
      </c>
      <c r="AG206" s="615">
        <v>0</v>
      </c>
      <c r="AH206" s="615">
        <v>0</v>
      </c>
      <c r="AI206" s="615">
        <v>0</v>
      </c>
      <c r="AJ206" s="615">
        <v>0</v>
      </c>
      <c r="AK206" s="615">
        <v>0</v>
      </c>
      <c r="AL206" s="615">
        <v>0</v>
      </c>
      <c r="AM206" s="615">
        <v>0</v>
      </c>
      <c r="AN206" s="615">
        <v>0</v>
      </c>
      <c r="AO206" s="615">
        <v>0</v>
      </c>
      <c r="AP206" s="615">
        <v>0</v>
      </c>
      <c r="AQ206" s="615">
        <v>0</v>
      </c>
      <c r="AR206" s="615">
        <v>0</v>
      </c>
      <c r="AS206" s="615">
        <v>0</v>
      </c>
      <c r="AT206" s="615">
        <v>0</v>
      </c>
      <c r="AU206" s="615">
        <v>0</v>
      </c>
      <c r="AV206" s="615">
        <v>0</v>
      </c>
      <c r="AW206" s="615">
        <v>0</v>
      </c>
      <c r="AX206" s="615">
        <v>0</v>
      </c>
      <c r="AY206" s="615">
        <v>0</v>
      </c>
      <c r="AZ206" s="615">
        <v>0</v>
      </c>
      <c r="BA206" s="615">
        <v>0</v>
      </c>
      <c r="BB206" s="615">
        <v>0</v>
      </c>
      <c r="BC206" s="615">
        <v>0</v>
      </c>
      <c r="BD206" s="615">
        <v>0</v>
      </c>
      <c r="BE206" s="615">
        <v>0</v>
      </c>
      <c r="BF206" s="615">
        <v>0</v>
      </c>
      <c r="BG206" s="615">
        <v>0</v>
      </c>
      <c r="BH206" s="615">
        <v>0</v>
      </c>
      <c r="BI206" s="615">
        <v>0</v>
      </c>
      <c r="BJ206" s="615">
        <v>0</v>
      </c>
      <c r="BK206" s="615">
        <v>0</v>
      </c>
      <c r="BL206" s="615">
        <v>0</v>
      </c>
      <c r="BM206" s="615">
        <v>0</v>
      </c>
      <c r="BN206" s="615">
        <v>0</v>
      </c>
      <c r="BO206" s="615">
        <v>0</v>
      </c>
      <c r="BP206" s="615">
        <v>0</v>
      </c>
      <c r="BQ206" s="615">
        <v>0</v>
      </c>
      <c r="BR206" s="615">
        <v>0</v>
      </c>
      <c r="BS206" s="615">
        <v>0</v>
      </c>
      <c r="BT206" s="615">
        <v>0</v>
      </c>
      <c r="BU206" s="615">
        <v>0</v>
      </c>
      <c r="BV206" s="615">
        <v>0</v>
      </c>
      <c r="BW206" s="615">
        <v>0</v>
      </c>
      <c r="BX206" s="607">
        <f t="shared" si="6"/>
        <v>0</v>
      </c>
    </row>
    <row r="207" spans="1:76" s="612" customFormat="1" ht="11.25" customHeight="1" x14ac:dyDescent="0.2">
      <c r="A207" s="907"/>
      <c r="B207" s="611" t="s">
        <v>3488</v>
      </c>
      <c r="C207" s="641" t="s">
        <v>1949</v>
      </c>
      <c r="D207" s="615">
        <v>0</v>
      </c>
      <c r="E207" s="615">
        <v>0</v>
      </c>
      <c r="F207" s="615">
        <v>0</v>
      </c>
      <c r="G207" s="615">
        <v>0</v>
      </c>
      <c r="H207" s="585">
        <v>0</v>
      </c>
      <c r="I207" s="615">
        <v>0</v>
      </c>
      <c r="J207" s="615">
        <v>0</v>
      </c>
      <c r="K207" s="615">
        <v>0</v>
      </c>
      <c r="L207" s="615">
        <v>0</v>
      </c>
      <c r="M207" s="615">
        <v>0</v>
      </c>
      <c r="N207" s="615">
        <v>0</v>
      </c>
      <c r="O207" s="615">
        <v>0</v>
      </c>
      <c r="P207" s="615">
        <v>0</v>
      </c>
      <c r="Q207" s="615">
        <v>0</v>
      </c>
      <c r="R207" s="615">
        <v>0</v>
      </c>
      <c r="S207" s="615">
        <v>0</v>
      </c>
      <c r="T207" s="615">
        <v>0</v>
      </c>
      <c r="U207" s="615">
        <v>0</v>
      </c>
      <c r="V207" s="615">
        <v>0</v>
      </c>
      <c r="W207" s="615">
        <v>0</v>
      </c>
      <c r="X207" s="615">
        <v>0</v>
      </c>
      <c r="Y207" s="615">
        <v>0</v>
      </c>
      <c r="Z207" s="615">
        <v>0</v>
      </c>
      <c r="AA207" s="615">
        <v>0</v>
      </c>
      <c r="AB207" s="615">
        <v>0</v>
      </c>
      <c r="AC207" s="615">
        <v>0</v>
      </c>
      <c r="AD207" s="615">
        <v>0</v>
      </c>
      <c r="AE207" s="615">
        <v>0</v>
      </c>
      <c r="AF207" s="615">
        <v>0</v>
      </c>
      <c r="AG207" s="615">
        <v>0</v>
      </c>
      <c r="AH207" s="615">
        <v>0</v>
      </c>
      <c r="AI207" s="615">
        <v>0</v>
      </c>
      <c r="AJ207" s="615">
        <v>0</v>
      </c>
      <c r="AK207" s="615">
        <v>0</v>
      </c>
      <c r="AL207" s="615">
        <v>0</v>
      </c>
      <c r="AM207" s="615">
        <v>0</v>
      </c>
      <c r="AN207" s="615">
        <v>0</v>
      </c>
      <c r="AO207" s="615">
        <v>0</v>
      </c>
      <c r="AP207" s="615">
        <v>0</v>
      </c>
      <c r="AQ207" s="615">
        <v>0</v>
      </c>
      <c r="AR207" s="615">
        <v>0</v>
      </c>
      <c r="AS207" s="615">
        <v>0</v>
      </c>
      <c r="AT207" s="615">
        <v>0</v>
      </c>
      <c r="AU207" s="615">
        <v>0</v>
      </c>
      <c r="AV207" s="615">
        <v>0</v>
      </c>
      <c r="AW207" s="615">
        <v>0</v>
      </c>
      <c r="AX207" s="615">
        <v>0</v>
      </c>
      <c r="AY207" s="615">
        <v>0</v>
      </c>
      <c r="AZ207" s="615">
        <v>0</v>
      </c>
      <c r="BA207" s="615">
        <v>0</v>
      </c>
      <c r="BB207" s="615">
        <v>0</v>
      </c>
      <c r="BC207" s="615">
        <v>0</v>
      </c>
      <c r="BD207" s="615">
        <v>0</v>
      </c>
      <c r="BE207" s="615">
        <v>0</v>
      </c>
      <c r="BF207" s="615">
        <v>0</v>
      </c>
      <c r="BG207" s="615">
        <v>0</v>
      </c>
      <c r="BH207" s="615">
        <v>0</v>
      </c>
      <c r="BI207" s="615">
        <v>0</v>
      </c>
      <c r="BJ207" s="615">
        <v>0</v>
      </c>
      <c r="BK207" s="615">
        <v>0</v>
      </c>
      <c r="BL207" s="615">
        <v>0</v>
      </c>
      <c r="BM207" s="615">
        <v>0</v>
      </c>
      <c r="BN207" s="615">
        <v>0</v>
      </c>
      <c r="BO207" s="615">
        <v>0</v>
      </c>
      <c r="BP207" s="615">
        <v>0</v>
      </c>
      <c r="BQ207" s="615">
        <v>0</v>
      </c>
      <c r="BR207" s="615">
        <v>0</v>
      </c>
      <c r="BS207" s="615">
        <v>0</v>
      </c>
      <c r="BT207" s="615">
        <v>0</v>
      </c>
      <c r="BU207" s="615">
        <v>0</v>
      </c>
      <c r="BV207" s="615">
        <v>0</v>
      </c>
      <c r="BW207" s="615">
        <v>0</v>
      </c>
      <c r="BX207" s="607">
        <f t="shared" si="6"/>
        <v>0</v>
      </c>
    </row>
    <row r="208" spans="1:76" s="612" customFormat="1" ht="11.25" customHeight="1" x14ac:dyDescent="0.2">
      <c r="A208" s="907"/>
      <c r="B208" s="611" t="s">
        <v>1713</v>
      </c>
      <c r="C208" s="641" t="s">
        <v>1950</v>
      </c>
      <c r="D208" s="615">
        <v>0</v>
      </c>
      <c r="E208" s="615">
        <v>0</v>
      </c>
      <c r="F208" s="615">
        <v>0</v>
      </c>
      <c r="G208" s="615">
        <v>0</v>
      </c>
      <c r="H208" s="585">
        <v>0</v>
      </c>
      <c r="I208" s="615">
        <v>0</v>
      </c>
      <c r="J208" s="615">
        <v>0</v>
      </c>
      <c r="K208" s="615">
        <v>0</v>
      </c>
      <c r="L208" s="615">
        <v>0</v>
      </c>
      <c r="M208" s="615">
        <v>0</v>
      </c>
      <c r="N208" s="615">
        <v>0</v>
      </c>
      <c r="O208" s="615">
        <v>0</v>
      </c>
      <c r="P208" s="615">
        <v>0</v>
      </c>
      <c r="Q208" s="615">
        <v>0</v>
      </c>
      <c r="R208" s="615">
        <v>0</v>
      </c>
      <c r="S208" s="615">
        <v>0</v>
      </c>
      <c r="T208" s="615">
        <v>0</v>
      </c>
      <c r="U208" s="615">
        <v>0</v>
      </c>
      <c r="V208" s="615">
        <v>0</v>
      </c>
      <c r="W208" s="615">
        <v>0</v>
      </c>
      <c r="X208" s="615">
        <v>0</v>
      </c>
      <c r="Y208" s="615">
        <v>0</v>
      </c>
      <c r="Z208" s="615">
        <v>0</v>
      </c>
      <c r="AA208" s="615">
        <v>0</v>
      </c>
      <c r="AB208" s="615">
        <v>0</v>
      </c>
      <c r="AC208" s="615">
        <v>0</v>
      </c>
      <c r="AD208" s="615">
        <v>0</v>
      </c>
      <c r="AE208" s="615">
        <v>0</v>
      </c>
      <c r="AF208" s="615">
        <v>0</v>
      </c>
      <c r="AG208" s="615">
        <v>0</v>
      </c>
      <c r="AH208" s="615">
        <v>0</v>
      </c>
      <c r="AI208" s="615">
        <v>0</v>
      </c>
      <c r="AJ208" s="615">
        <v>0</v>
      </c>
      <c r="AK208" s="615">
        <v>0</v>
      </c>
      <c r="AL208" s="615">
        <v>0</v>
      </c>
      <c r="AM208" s="615">
        <v>0</v>
      </c>
      <c r="AN208" s="615">
        <v>0</v>
      </c>
      <c r="AO208" s="615">
        <v>0</v>
      </c>
      <c r="AP208" s="615">
        <v>0</v>
      </c>
      <c r="AQ208" s="615">
        <v>0</v>
      </c>
      <c r="AR208" s="615">
        <v>0</v>
      </c>
      <c r="AS208" s="615">
        <v>0</v>
      </c>
      <c r="AT208" s="615">
        <v>0</v>
      </c>
      <c r="AU208" s="615">
        <v>0</v>
      </c>
      <c r="AV208" s="615">
        <v>0</v>
      </c>
      <c r="AW208" s="615">
        <v>0</v>
      </c>
      <c r="AX208" s="615">
        <v>0</v>
      </c>
      <c r="AY208" s="615">
        <v>0</v>
      </c>
      <c r="AZ208" s="615">
        <v>0</v>
      </c>
      <c r="BA208" s="615">
        <v>0</v>
      </c>
      <c r="BB208" s="615">
        <v>0</v>
      </c>
      <c r="BC208" s="615">
        <v>0</v>
      </c>
      <c r="BD208" s="615">
        <v>0</v>
      </c>
      <c r="BE208" s="615">
        <v>0</v>
      </c>
      <c r="BF208" s="615">
        <v>0</v>
      </c>
      <c r="BG208" s="615">
        <v>0</v>
      </c>
      <c r="BH208" s="615">
        <v>0</v>
      </c>
      <c r="BI208" s="615">
        <v>0</v>
      </c>
      <c r="BJ208" s="615">
        <v>0</v>
      </c>
      <c r="BK208" s="615">
        <v>0</v>
      </c>
      <c r="BL208" s="615">
        <v>0</v>
      </c>
      <c r="BM208" s="615">
        <v>0</v>
      </c>
      <c r="BN208" s="615">
        <v>0</v>
      </c>
      <c r="BO208" s="615">
        <v>0</v>
      </c>
      <c r="BP208" s="615">
        <v>0</v>
      </c>
      <c r="BQ208" s="615">
        <v>0</v>
      </c>
      <c r="BR208" s="615">
        <v>0</v>
      </c>
      <c r="BS208" s="615">
        <v>0</v>
      </c>
      <c r="BT208" s="615">
        <v>0</v>
      </c>
      <c r="BU208" s="615">
        <v>0</v>
      </c>
      <c r="BV208" s="615">
        <v>0</v>
      </c>
      <c r="BW208" s="615">
        <v>0</v>
      </c>
      <c r="BX208" s="607">
        <f t="shared" si="6"/>
        <v>0</v>
      </c>
    </row>
    <row r="209" spans="1:76" s="612" customFormat="1" ht="11.25" customHeight="1" x14ac:dyDescent="0.2">
      <c r="A209" s="907"/>
      <c r="B209" s="611" t="s">
        <v>980</v>
      </c>
      <c r="C209" s="641" t="s">
        <v>1951</v>
      </c>
      <c r="D209" s="615">
        <v>0</v>
      </c>
      <c r="E209" s="615">
        <v>0</v>
      </c>
      <c r="F209" s="615">
        <v>0</v>
      </c>
      <c r="G209" s="615">
        <v>0</v>
      </c>
      <c r="H209" s="585">
        <v>0</v>
      </c>
      <c r="I209" s="615">
        <v>0</v>
      </c>
      <c r="J209" s="615">
        <v>0</v>
      </c>
      <c r="K209" s="615">
        <v>0</v>
      </c>
      <c r="L209" s="615">
        <v>0</v>
      </c>
      <c r="M209" s="615">
        <v>0</v>
      </c>
      <c r="N209" s="615">
        <v>0</v>
      </c>
      <c r="O209" s="615">
        <v>0</v>
      </c>
      <c r="P209" s="615">
        <v>0</v>
      </c>
      <c r="Q209" s="615">
        <v>0</v>
      </c>
      <c r="R209" s="615">
        <v>0</v>
      </c>
      <c r="S209" s="615">
        <v>0</v>
      </c>
      <c r="T209" s="615">
        <v>0</v>
      </c>
      <c r="U209" s="615">
        <v>0</v>
      </c>
      <c r="V209" s="615">
        <v>0</v>
      </c>
      <c r="W209" s="615">
        <v>0</v>
      </c>
      <c r="X209" s="615">
        <v>0</v>
      </c>
      <c r="Y209" s="615">
        <v>0</v>
      </c>
      <c r="Z209" s="615">
        <v>0</v>
      </c>
      <c r="AA209" s="615">
        <v>0</v>
      </c>
      <c r="AB209" s="615">
        <v>0</v>
      </c>
      <c r="AC209" s="615">
        <v>0</v>
      </c>
      <c r="AD209" s="615">
        <v>0</v>
      </c>
      <c r="AE209" s="615">
        <v>0</v>
      </c>
      <c r="AF209" s="615">
        <v>0</v>
      </c>
      <c r="AG209" s="615">
        <v>0</v>
      </c>
      <c r="AH209" s="615">
        <v>0</v>
      </c>
      <c r="AI209" s="615">
        <v>0</v>
      </c>
      <c r="AJ209" s="615">
        <v>0</v>
      </c>
      <c r="AK209" s="615">
        <v>0</v>
      </c>
      <c r="AL209" s="615">
        <v>0</v>
      </c>
      <c r="AM209" s="615">
        <v>0</v>
      </c>
      <c r="AN209" s="615">
        <v>0</v>
      </c>
      <c r="AO209" s="615">
        <v>0</v>
      </c>
      <c r="AP209" s="615">
        <v>0</v>
      </c>
      <c r="AQ209" s="615">
        <v>0</v>
      </c>
      <c r="AR209" s="615">
        <v>1466636</v>
      </c>
      <c r="AS209" s="615">
        <v>0</v>
      </c>
      <c r="AT209" s="615">
        <v>41016636</v>
      </c>
      <c r="AU209" s="615">
        <v>0</v>
      </c>
      <c r="AV209" s="615">
        <v>0</v>
      </c>
      <c r="AW209" s="615">
        <v>36016636</v>
      </c>
      <c r="AX209" s="615">
        <v>0</v>
      </c>
      <c r="AY209" s="615">
        <v>26016636</v>
      </c>
      <c r="AZ209" s="615">
        <v>0</v>
      </c>
      <c r="BA209" s="615">
        <v>36016636</v>
      </c>
      <c r="BB209" s="615">
        <v>0</v>
      </c>
      <c r="BC209" s="615">
        <v>35546222</v>
      </c>
      <c r="BD209" s="615">
        <v>0</v>
      </c>
      <c r="BE209" s="615">
        <v>0</v>
      </c>
      <c r="BF209" s="615">
        <v>0</v>
      </c>
      <c r="BG209" s="615">
        <v>0</v>
      </c>
      <c r="BH209" s="615">
        <v>0</v>
      </c>
      <c r="BI209" s="615">
        <v>0</v>
      </c>
      <c r="BJ209" s="615">
        <v>0</v>
      </c>
      <c r="BK209" s="615">
        <v>0</v>
      </c>
      <c r="BL209" s="615">
        <v>0</v>
      </c>
      <c r="BM209" s="615">
        <v>0</v>
      </c>
      <c r="BN209" s="615">
        <v>0</v>
      </c>
      <c r="BO209" s="615">
        <v>0</v>
      </c>
      <c r="BP209" s="615">
        <v>0</v>
      </c>
      <c r="BQ209" s="615">
        <v>0</v>
      </c>
      <c r="BR209" s="615">
        <v>0</v>
      </c>
      <c r="BS209" s="615">
        <v>0</v>
      </c>
      <c r="BT209" s="615">
        <v>0</v>
      </c>
      <c r="BU209" s="615">
        <v>0</v>
      </c>
      <c r="BV209" s="615">
        <v>0</v>
      </c>
      <c r="BW209" s="615">
        <v>0</v>
      </c>
      <c r="BX209" s="607">
        <f t="shared" si="6"/>
        <v>176079402</v>
      </c>
    </row>
    <row r="210" spans="1:76" s="612" customFormat="1" ht="11.25" customHeight="1" x14ac:dyDescent="0.2">
      <c r="A210" s="907"/>
      <c r="B210" s="611" t="s">
        <v>2241</v>
      </c>
      <c r="C210" s="641" t="s">
        <v>2240</v>
      </c>
      <c r="D210" s="615">
        <v>0</v>
      </c>
      <c r="E210" s="615">
        <v>0</v>
      </c>
      <c r="F210" s="615">
        <v>0</v>
      </c>
      <c r="G210" s="615">
        <v>0</v>
      </c>
      <c r="H210" s="585">
        <v>0</v>
      </c>
      <c r="I210" s="615">
        <v>0</v>
      </c>
      <c r="J210" s="615">
        <v>0</v>
      </c>
      <c r="K210" s="615">
        <v>0</v>
      </c>
      <c r="L210" s="615">
        <v>0</v>
      </c>
      <c r="M210" s="615">
        <v>0</v>
      </c>
      <c r="N210" s="615">
        <v>0</v>
      </c>
      <c r="O210" s="615">
        <v>0</v>
      </c>
      <c r="P210" s="615">
        <v>0</v>
      </c>
      <c r="Q210" s="615">
        <v>0</v>
      </c>
      <c r="R210" s="615">
        <v>0</v>
      </c>
      <c r="S210" s="615">
        <v>0</v>
      </c>
      <c r="T210" s="615">
        <v>0</v>
      </c>
      <c r="U210" s="615">
        <v>0</v>
      </c>
      <c r="V210" s="615">
        <v>0</v>
      </c>
      <c r="W210" s="615">
        <v>0</v>
      </c>
      <c r="X210" s="615">
        <v>0</v>
      </c>
      <c r="Y210" s="615">
        <v>0</v>
      </c>
      <c r="Z210" s="615">
        <v>0</v>
      </c>
      <c r="AA210" s="615">
        <v>0</v>
      </c>
      <c r="AB210" s="615">
        <v>0</v>
      </c>
      <c r="AC210" s="615">
        <v>0</v>
      </c>
      <c r="AD210" s="615">
        <v>0</v>
      </c>
      <c r="AE210" s="615">
        <v>0</v>
      </c>
      <c r="AF210" s="615">
        <v>0</v>
      </c>
      <c r="AG210" s="615">
        <v>0</v>
      </c>
      <c r="AH210" s="615">
        <v>0</v>
      </c>
      <c r="AI210" s="615">
        <v>0</v>
      </c>
      <c r="AJ210" s="615">
        <v>0</v>
      </c>
      <c r="AK210" s="615">
        <v>0</v>
      </c>
      <c r="AL210" s="615">
        <v>0</v>
      </c>
      <c r="AM210" s="615">
        <v>0</v>
      </c>
      <c r="AN210" s="615">
        <v>0</v>
      </c>
      <c r="AO210" s="615">
        <v>0</v>
      </c>
      <c r="AP210" s="615">
        <v>0</v>
      </c>
      <c r="AQ210" s="615">
        <v>0</v>
      </c>
      <c r="AR210" s="615">
        <v>0</v>
      </c>
      <c r="AS210" s="615">
        <v>0</v>
      </c>
      <c r="AT210" s="615">
        <v>0</v>
      </c>
      <c r="AU210" s="615">
        <v>0</v>
      </c>
      <c r="AV210" s="615">
        <v>0</v>
      </c>
      <c r="AW210" s="615">
        <v>0</v>
      </c>
      <c r="AX210" s="615">
        <v>0</v>
      </c>
      <c r="AY210" s="615">
        <v>0</v>
      </c>
      <c r="AZ210" s="615">
        <v>0</v>
      </c>
      <c r="BA210" s="615">
        <v>0</v>
      </c>
      <c r="BB210" s="615">
        <v>0</v>
      </c>
      <c r="BC210" s="615">
        <v>0</v>
      </c>
      <c r="BD210" s="615">
        <v>0</v>
      </c>
      <c r="BE210" s="615">
        <v>0</v>
      </c>
      <c r="BF210" s="615">
        <v>0</v>
      </c>
      <c r="BG210" s="615">
        <v>0</v>
      </c>
      <c r="BH210" s="615">
        <v>0</v>
      </c>
      <c r="BI210" s="615">
        <v>0</v>
      </c>
      <c r="BJ210" s="615">
        <v>0</v>
      </c>
      <c r="BK210" s="615">
        <v>0</v>
      </c>
      <c r="BL210" s="615">
        <v>0</v>
      </c>
      <c r="BM210" s="615">
        <v>0</v>
      </c>
      <c r="BN210" s="615">
        <v>0</v>
      </c>
      <c r="BO210" s="615">
        <v>0</v>
      </c>
      <c r="BP210" s="615">
        <v>0</v>
      </c>
      <c r="BQ210" s="615">
        <v>0</v>
      </c>
      <c r="BR210" s="615">
        <v>0</v>
      </c>
      <c r="BS210" s="615">
        <v>0</v>
      </c>
      <c r="BT210" s="615">
        <v>0</v>
      </c>
      <c r="BU210" s="615">
        <v>0</v>
      </c>
      <c r="BV210" s="615">
        <v>0</v>
      </c>
      <c r="BW210" s="615">
        <v>0</v>
      </c>
      <c r="BX210" s="607">
        <f t="shared" si="6"/>
        <v>0</v>
      </c>
    </row>
    <row r="211" spans="1:76" s="612" customFormat="1" ht="11.25" customHeight="1" x14ac:dyDescent="0.2">
      <c r="A211" s="907"/>
      <c r="B211" s="611" t="s">
        <v>1660</v>
      </c>
      <c r="C211" s="641" t="s">
        <v>1952</v>
      </c>
      <c r="D211" s="615">
        <v>0</v>
      </c>
      <c r="E211" s="615">
        <v>0</v>
      </c>
      <c r="F211" s="615">
        <v>0</v>
      </c>
      <c r="G211" s="615">
        <v>0</v>
      </c>
      <c r="H211" s="585">
        <v>0</v>
      </c>
      <c r="I211" s="615">
        <v>0</v>
      </c>
      <c r="J211" s="615">
        <v>0</v>
      </c>
      <c r="K211" s="615">
        <v>0</v>
      </c>
      <c r="L211" s="615">
        <v>0</v>
      </c>
      <c r="M211" s="615">
        <v>0</v>
      </c>
      <c r="N211" s="615">
        <v>0</v>
      </c>
      <c r="O211" s="615">
        <v>0</v>
      </c>
      <c r="P211" s="615">
        <v>0</v>
      </c>
      <c r="Q211" s="615">
        <v>0</v>
      </c>
      <c r="R211" s="615">
        <v>0</v>
      </c>
      <c r="S211" s="615">
        <v>0</v>
      </c>
      <c r="T211" s="615">
        <v>0</v>
      </c>
      <c r="U211" s="615">
        <v>0</v>
      </c>
      <c r="V211" s="615">
        <v>0</v>
      </c>
      <c r="W211" s="615">
        <v>0</v>
      </c>
      <c r="X211" s="615">
        <v>0</v>
      </c>
      <c r="Y211" s="615">
        <v>0</v>
      </c>
      <c r="Z211" s="615">
        <v>0</v>
      </c>
      <c r="AA211" s="615">
        <v>0</v>
      </c>
      <c r="AB211" s="615">
        <v>0</v>
      </c>
      <c r="AC211" s="615">
        <v>0</v>
      </c>
      <c r="AD211" s="615">
        <v>0</v>
      </c>
      <c r="AE211" s="615">
        <v>0</v>
      </c>
      <c r="AF211" s="615">
        <v>0</v>
      </c>
      <c r="AG211" s="615">
        <v>0</v>
      </c>
      <c r="AH211" s="615">
        <v>0</v>
      </c>
      <c r="AI211" s="615">
        <v>0</v>
      </c>
      <c r="AJ211" s="615">
        <v>0</v>
      </c>
      <c r="AK211" s="615">
        <v>0</v>
      </c>
      <c r="AL211" s="615">
        <v>0</v>
      </c>
      <c r="AM211" s="615">
        <v>0</v>
      </c>
      <c r="AN211" s="615">
        <v>0</v>
      </c>
      <c r="AO211" s="615">
        <v>0</v>
      </c>
      <c r="AP211" s="615">
        <v>0</v>
      </c>
      <c r="AQ211" s="615">
        <v>0</v>
      </c>
      <c r="AR211" s="615">
        <v>0</v>
      </c>
      <c r="AS211" s="615">
        <v>0</v>
      </c>
      <c r="AT211" s="615">
        <v>0</v>
      </c>
      <c r="AU211" s="615">
        <v>0</v>
      </c>
      <c r="AV211" s="615">
        <v>0</v>
      </c>
      <c r="AW211" s="615">
        <v>0</v>
      </c>
      <c r="AX211" s="615">
        <v>0</v>
      </c>
      <c r="AY211" s="615">
        <v>0</v>
      </c>
      <c r="AZ211" s="615">
        <v>0</v>
      </c>
      <c r="BA211" s="615">
        <v>0</v>
      </c>
      <c r="BB211" s="615">
        <v>0</v>
      </c>
      <c r="BC211" s="615">
        <v>0</v>
      </c>
      <c r="BD211" s="615">
        <v>0</v>
      </c>
      <c r="BE211" s="615">
        <v>0</v>
      </c>
      <c r="BF211" s="615">
        <v>0</v>
      </c>
      <c r="BG211" s="615">
        <v>0</v>
      </c>
      <c r="BH211" s="615">
        <v>0</v>
      </c>
      <c r="BI211" s="615">
        <v>0</v>
      </c>
      <c r="BJ211" s="615">
        <v>0</v>
      </c>
      <c r="BK211" s="615">
        <v>0</v>
      </c>
      <c r="BL211" s="615">
        <v>0</v>
      </c>
      <c r="BM211" s="615">
        <v>0</v>
      </c>
      <c r="BN211" s="615">
        <v>0</v>
      </c>
      <c r="BO211" s="615">
        <v>0</v>
      </c>
      <c r="BP211" s="615">
        <v>0</v>
      </c>
      <c r="BQ211" s="615">
        <v>0</v>
      </c>
      <c r="BR211" s="615">
        <v>0</v>
      </c>
      <c r="BS211" s="615">
        <v>0</v>
      </c>
      <c r="BT211" s="615">
        <v>0</v>
      </c>
      <c r="BU211" s="615">
        <v>0</v>
      </c>
      <c r="BV211" s="615">
        <v>0</v>
      </c>
      <c r="BW211" s="615">
        <v>0</v>
      </c>
      <c r="BX211" s="607">
        <f t="shared" si="6"/>
        <v>0</v>
      </c>
    </row>
    <row r="212" spans="1:76" s="612" customFormat="1" ht="11.25" customHeight="1" x14ac:dyDescent="0.2">
      <c r="A212" s="907"/>
      <c r="B212" s="611" t="s">
        <v>2242</v>
      </c>
      <c r="C212" s="641" t="s">
        <v>1953</v>
      </c>
      <c r="D212" s="615">
        <v>0</v>
      </c>
      <c r="E212" s="615">
        <v>0</v>
      </c>
      <c r="F212" s="615">
        <v>0</v>
      </c>
      <c r="G212" s="615">
        <v>0</v>
      </c>
      <c r="H212" s="585">
        <v>0</v>
      </c>
      <c r="I212" s="615">
        <v>0</v>
      </c>
      <c r="J212" s="615">
        <v>0</v>
      </c>
      <c r="K212" s="615">
        <v>0</v>
      </c>
      <c r="L212" s="615">
        <v>0</v>
      </c>
      <c r="M212" s="615">
        <v>0</v>
      </c>
      <c r="N212" s="615">
        <v>0</v>
      </c>
      <c r="O212" s="615">
        <v>0</v>
      </c>
      <c r="P212" s="615">
        <v>0</v>
      </c>
      <c r="Q212" s="615">
        <v>0</v>
      </c>
      <c r="R212" s="615">
        <v>0</v>
      </c>
      <c r="S212" s="615">
        <v>0</v>
      </c>
      <c r="T212" s="615">
        <v>0</v>
      </c>
      <c r="U212" s="615">
        <v>0</v>
      </c>
      <c r="V212" s="615">
        <v>0</v>
      </c>
      <c r="W212" s="615">
        <v>0</v>
      </c>
      <c r="X212" s="615">
        <v>0</v>
      </c>
      <c r="Y212" s="615">
        <v>0</v>
      </c>
      <c r="Z212" s="615">
        <v>0</v>
      </c>
      <c r="AA212" s="615">
        <v>0</v>
      </c>
      <c r="AB212" s="615">
        <v>0</v>
      </c>
      <c r="AC212" s="615">
        <v>0</v>
      </c>
      <c r="AD212" s="615">
        <v>0</v>
      </c>
      <c r="AE212" s="615">
        <v>0</v>
      </c>
      <c r="AF212" s="615">
        <v>0</v>
      </c>
      <c r="AG212" s="615">
        <v>0</v>
      </c>
      <c r="AH212" s="615">
        <v>0</v>
      </c>
      <c r="AI212" s="615">
        <v>0</v>
      </c>
      <c r="AJ212" s="615">
        <v>0</v>
      </c>
      <c r="AK212" s="615">
        <v>0</v>
      </c>
      <c r="AL212" s="615">
        <v>0</v>
      </c>
      <c r="AM212" s="615">
        <v>0</v>
      </c>
      <c r="AN212" s="615">
        <v>0</v>
      </c>
      <c r="AO212" s="615">
        <v>0</v>
      </c>
      <c r="AP212" s="615">
        <v>0</v>
      </c>
      <c r="AQ212" s="615">
        <v>0</v>
      </c>
      <c r="AR212" s="615">
        <v>0</v>
      </c>
      <c r="AS212" s="615">
        <v>0</v>
      </c>
      <c r="AT212" s="615">
        <v>0</v>
      </c>
      <c r="AU212" s="615">
        <v>0</v>
      </c>
      <c r="AV212" s="615">
        <v>0</v>
      </c>
      <c r="AW212" s="615">
        <v>0</v>
      </c>
      <c r="AX212" s="615">
        <v>0</v>
      </c>
      <c r="AY212" s="615">
        <v>0</v>
      </c>
      <c r="AZ212" s="615">
        <v>0</v>
      </c>
      <c r="BA212" s="615">
        <v>0</v>
      </c>
      <c r="BB212" s="615">
        <v>0</v>
      </c>
      <c r="BC212" s="615">
        <v>0</v>
      </c>
      <c r="BD212" s="615">
        <v>0</v>
      </c>
      <c r="BE212" s="615">
        <v>0</v>
      </c>
      <c r="BF212" s="615">
        <v>0</v>
      </c>
      <c r="BG212" s="615">
        <v>0</v>
      </c>
      <c r="BH212" s="615">
        <v>0</v>
      </c>
      <c r="BI212" s="615">
        <v>0</v>
      </c>
      <c r="BJ212" s="615">
        <v>0</v>
      </c>
      <c r="BK212" s="615">
        <v>0</v>
      </c>
      <c r="BL212" s="615">
        <v>0</v>
      </c>
      <c r="BM212" s="615">
        <v>0</v>
      </c>
      <c r="BN212" s="615">
        <v>0</v>
      </c>
      <c r="BO212" s="615">
        <v>0</v>
      </c>
      <c r="BP212" s="615">
        <v>0</v>
      </c>
      <c r="BQ212" s="615">
        <v>0</v>
      </c>
      <c r="BR212" s="615">
        <v>0</v>
      </c>
      <c r="BS212" s="615">
        <v>0</v>
      </c>
      <c r="BT212" s="615">
        <v>0</v>
      </c>
      <c r="BU212" s="615">
        <v>0</v>
      </c>
      <c r="BV212" s="615">
        <v>0</v>
      </c>
      <c r="BW212" s="615">
        <v>0</v>
      </c>
      <c r="BX212" s="607">
        <f t="shared" si="6"/>
        <v>0</v>
      </c>
    </row>
    <row r="213" spans="1:76" s="612" customFormat="1" ht="11.25" customHeight="1" x14ac:dyDescent="0.2">
      <c r="A213" s="907"/>
      <c r="B213" s="611" t="s">
        <v>990</v>
      </c>
      <c r="C213" s="641" t="s">
        <v>1954</v>
      </c>
      <c r="D213" s="615">
        <v>0</v>
      </c>
      <c r="E213" s="615">
        <v>0</v>
      </c>
      <c r="F213" s="615">
        <v>0</v>
      </c>
      <c r="G213" s="615">
        <v>0</v>
      </c>
      <c r="H213" s="585">
        <v>0</v>
      </c>
      <c r="I213" s="615">
        <v>0</v>
      </c>
      <c r="J213" s="615">
        <v>0</v>
      </c>
      <c r="K213" s="615">
        <v>0</v>
      </c>
      <c r="L213" s="615">
        <v>0</v>
      </c>
      <c r="M213" s="615">
        <v>0</v>
      </c>
      <c r="N213" s="615">
        <v>0</v>
      </c>
      <c r="O213" s="615">
        <v>0</v>
      </c>
      <c r="P213" s="615">
        <v>0</v>
      </c>
      <c r="Q213" s="615">
        <v>0</v>
      </c>
      <c r="R213" s="615">
        <v>0</v>
      </c>
      <c r="S213" s="615">
        <v>0</v>
      </c>
      <c r="T213" s="615">
        <v>0</v>
      </c>
      <c r="U213" s="615">
        <v>0</v>
      </c>
      <c r="V213" s="615">
        <v>0</v>
      </c>
      <c r="W213" s="615">
        <v>0</v>
      </c>
      <c r="X213" s="615">
        <v>0</v>
      </c>
      <c r="Y213" s="615">
        <v>0</v>
      </c>
      <c r="Z213" s="615">
        <v>0</v>
      </c>
      <c r="AA213" s="615">
        <v>0</v>
      </c>
      <c r="AB213" s="615">
        <v>0</v>
      </c>
      <c r="AC213" s="615">
        <v>0</v>
      </c>
      <c r="AD213" s="615">
        <v>0</v>
      </c>
      <c r="AE213" s="615">
        <v>0</v>
      </c>
      <c r="AF213" s="615">
        <v>0</v>
      </c>
      <c r="AG213" s="615">
        <v>0</v>
      </c>
      <c r="AH213" s="615">
        <v>0</v>
      </c>
      <c r="AI213" s="615">
        <v>0</v>
      </c>
      <c r="AJ213" s="615">
        <v>0</v>
      </c>
      <c r="AK213" s="615">
        <v>0</v>
      </c>
      <c r="AL213" s="615">
        <v>0</v>
      </c>
      <c r="AM213" s="615">
        <v>0</v>
      </c>
      <c r="AN213" s="615">
        <v>0</v>
      </c>
      <c r="AO213" s="615">
        <v>0</v>
      </c>
      <c r="AP213" s="615">
        <v>0</v>
      </c>
      <c r="AQ213" s="615">
        <v>0</v>
      </c>
      <c r="AR213" s="615">
        <v>0</v>
      </c>
      <c r="AS213" s="615">
        <v>0</v>
      </c>
      <c r="AT213" s="615">
        <v>0</v>
      </c>
      <c r="AU213" s="615">
        <v>0</v>
      </c>
      <c r="AV213" s="615">
        <v>0</v>
      </c>
      <c r="AW213" s="615">
        <v>0</v>
      </c>
      <c r="AX213" s="615">
        <v>0</v>
      </c>
      <c r="AY213" s="615">
        <v>0</v>
      </c>
      <c r="AZ213" s="615">
        <v>0</v>
      </c>
      <c r="BA213" s="615">
        <v>0</v>
      </c>
      <c r="BB213" s="615">
        <v>0</v>
      </c>
      <c r="BC213" s="615">
        <v>0</v>
      </c>
      <c r="BD213" s="615">
        <v>0</v>
      </c>
      <c r="BE213" s="615">
        <v>0</v>
      </c>
      <c r="BF213" s="615">
        <v>0</v>
      </c>
      <c r="BG213" s="615">
        <v>0</v>
      </c>
      <c r="BH213" s="615">
        <v>0</v>
      </c>
      <c r="BI213" s="615">
        <v>0</v>
      </c>
      <c r="BJ213" s="615">
        <v>0</v>
      </c>
      <c r="BK213" s="615">
        <v>0</v>
      </c>
      <c r="BL213" s="615">
        <v>0</v>
      </c>
      <c r="BM213" s="615">
        <v>0</v>
      </c>
      <c r="BN213" s="615">
        <v>0</v>
      </c>
      <c r="BO213" s="615">
        <v>0</v>
      </c>
      <c r="BP213" s="615">
        <v>0</v>
      </c>
      <c r="BQ213" s="615">
        <v>0</v>
      </c>
      <c r="BR213" s="615">
        <v>0</v>
      </c>
      <c r="BS213" s="615">
        <v>0</v>
      </c>
      <c r="BT213" s="615">
        <v>0</v>
      </c>
      <c r="BU213" s="615">
        <v>0</v>
      </c>
      <c r="BV213" s="615">
        <v>0</v>
      </c>
      <c r="BW213" s="615">
        <v>0</v>
      </c>
      <c r="BX213" s="607">
        <f t="shared" si="6"/>
        <v>0</v>
      </c>
    </row>
    <row r="214" spans="1:76" s="612" customFormat="1" ht="11.25" customHeight="1" x14ac:dyDescent="0.2">
      <c r="A214" s="907"/>
      <c r="B214" s="611" t="s">
        <v>1007</v>
      </c>
      <c r="C214" s="641" t="s">
        <v>1955</v>
      </c>
      <c r="D214" s="615" t="s">
        <v>1128</v>
      </c>
      <c r="E214" s="615">
        <v>0</v>
      </c>
      <c r="F214" s="615">
        <v>0</v>
      </c>
      <c r="G214" s="615">
        <v>0</v>
      </c>
      <c r="H214" s="585">
        <v>0</v>
      </c>
      <c r="I214" s="615">
        <v>0</v>
      </c>
      <c r="J214" s="615">
        <v>0</v>
      </c>
      <c r="K214" s="615">
        <v>0</v>
      </c>
      <c r="L214" s="615">
        <v>0</v>
      </c>
      <c r="M214" s="615">
        <v>0</v>
      </c>
      <c r="N214" s="615">
        <v>0</v>
      </c>
      <c r="O214" s="615">
        <v>0</v>
      </c>
      <c r="P214" s="615">
        <v>0</v>
      </c>
      <c r="Q214" s="615">
        <v>0</v>
      </c>
      <c r="R214" s="615">
        <v>0</v>
      </c>
      <c r="S214" s="615">
        <v>0</v>
      </c>
      <c r="T214" s="615">
        <v>0</v>
      </c>
      <c r="U214" s="615">
        <v>0</v>
      </c>
      <c r="V214" s="615">
        <v>0</v>
      </c>
      <c r="W214" s="615">
        <v>0</v>
      </c>
      <c r="X214" s="615">
        <v>0</v>
      </c>
      <c r="Y214" s="615">
        <v>0</v>
      </c>
      <c r="Z214" s="615">
        <v>0</v>
      </c>
      <c r="AA214" s="615">
        <v>0</v>
      </c>
      <c r="AB214" s="615">
        <v>0</v>
      </c>
      <c r="AC214" s="615">
        <v>0</v>
      </c>
      <c r="AD214" s="615">
        <v>0</v>
      </c>
      <c r="AE214" s="615">
        <v>0</v>
      </c>
      <c r="AF214" s="615">
        <v>0</v>
      </c>
      <c r="AG214" s="615">
        <v>0</v>
      </c>
      <c r="AH214" s="615">
        <v>0</v>
      </c>
      <c r="AI214" s="615">
        <v>0</v>
      </c>
      <c r="AJ214" s="615">
        <v>0</v>
      </c>
      <c r="AK214" s="615">
        <v>0</v>
      </c>
      <c r="AL214" s="615">
        <v>0</v>
      </c>
      <c r="AM214" s="615">
        <v>0</v>
      </c>
      <c r="AN214" s="615">
        <v>0</v>
      </c>
      <c r="AO214" s="615">
        <v>0</v>
      </c>
      <c r="AP214" s="615">
        <v>0</v>
      </c>
      <c r="AQ214" s="615">
        <v>485932</v>
      </c>
      <c r="AR214" s="615">
        <v>1155200</v>
      </c>
      <c r="AS214" s="615">
        <v>0</v>
      </c>
      <c r="AT214" s="615">
        <v>0</v>
      </c>
      <c r="AU214" s="615">
        <v>0</v>
      </c>
      <c r="AV214" s="615">
        <v>0</v>
      </c>
      <c r="AW214" s="615">
        <v>0</v>
      </c>
      <c r="AX214" s="615">
        <v>0</v>
      </c>
      <c r="AY214" s="615">
        <v>0</v>
      </c>
      <c r="AZ214" s="615">
        <v>0</v>
      </c>
      <c r="BA214" s="615">
        <v>0</v>
      </c>
      <c r="BB214" s="615">
        <v>0</v>
      </c>
      <c r="BC214" s="615">
        <v>0</v>
      </c>
      <c r="BD214" s="615">
        <v>0</v>
      </c>
      <c r="BE214" s="615">
        <v>0</v>
      </c>
      <c r="BF214" s="615">
        <v>0</v>
      </c>
      <c r="BG214" s="615">
        <v>0</v>
      </c>
      <c r="BH214" s="615">
        <v>0</v>
      </c>
      <c r="BI214" s="615">
        <v>0</v>
      </c>
      <c r="BJ214" s="615">
        <v>0</v>
      </c>
      <c r="BK214" s="615">
        <v>0</v>
      </c>
      <c r="BL214" s="615">
        <v>0</v>
      </c>
      <c r="BM214" s="615">
        <v>0</v>
      </c>
      <c r="BN214" s="615">
        <v>0</v>
      </c>
      <c r="BO214" s="615">
        <v>0</v>
      </c>
      <c r="BP214" s="615">
        <v>0</v>
      </c>
      <c r="BQ214" s="615">
        <v>0</v>
      </c>
      <c r="BR214" s="615">
        <v>0</v>
      </c>
      <c r="BS214" s="615">
        <v>0</v>
      </c>
      <c r="BT214" s="615">
        <v>0</v>
      </c>
      <c r="BU214" s="615">
        <v>0</v>
      </c>
      <c r="BV214" s="615">
        <v>0</v>
      </c>
      <c r="BW214" s="615">
        <v>0</v>
      </c>
      <c r="BX214" s="607">
        <f t="shared" si="6"/>
        <v>1641132</v>
      </c>
    </row>
    <row r="215" spans="1:76" s="612" customFormat="1" ht="11.25" customHeight="1" x14ac:dyDescent="0.2">
      <c r="A215" s="907"/>
      <c r="B215" s="611" t="s">
        <v>1679</v>
      </c>
      <c r="C215" s="641" t="s">
        <v>1956</v>
      </c>
      <c r="D215" s="615">
        <v>0</v>
      </c>
      <c r="E215" s="615">
        <v>0</v>
      </c>
      <c r="F215" s="615">
        <v>0</v>
      </c>
      <c r="G215" s="615">
        <v>0</v>
      </c>
      <c r="H215" s="585">
        <v>0</v>
      </c>
      <c r="I215" s="615">
        <v>0</v>
      </c>
      <c r="J215" s="615">
        <v>0</v>
      </c>
      <c r="K215" s="615">
        <v>0</v>
      </c>
      <c r="L215" s="615">
        <v>0</v>
      </c>
      <c r="M215" s="615">
        <v>0</v>
      </c>
      <c r="N215" s="615">
        <v>0</v>
      </c>
      <c r="O215" s="615">
        <v>0</v>
      </c>
      <c r="P215" s="615">
        <v>0</v>
      </c>
      <c r="Q215" s="615">
        <v>0</v>
      </c>
      <c r="R215" s="615">
        <v>0</v>
      </c>
      <c r="S215" s="615">
        <v>0</v>
      </c>
      <c r="T215" s="615">
        <v>0</v>
      </c>
      <c r="U215" s="615">
        <v>0</v>
      </c>
      <c r="V215" s="615">
        <v>0</v>
      </c>
      <c r="W215" s="615">
        <v>0</v>
      </c>
      <c r="X215" s="615">
        <v>0</v>
      </c>
      <c r="Y215" s="615">
        <v>0</v>
      </c>
      <c r="Z215" s="615">
        <v>0</v>
      </c>
      <c r="AA215" s="615">
        <v>0</v>
      </c>
      <c r="AB215" s="615">
        <v>0</v>
      </c>
      <c r="AC215" s="615">
        <v>0</v>
      </c>
      <c r="AD215" s="615">
        <v>0</v>
      </c>
      <c r="AE215" s="615">
        <v>0</v>
      </c>
      <c r="AF215" s="615">
        <v>0</v>
      </c>
      <c r="AG215" s="615">
        <v>0</v>
      </c>
      <c r="AH215" s="615">
        <v>0</v>
      </c>
      <c r="AI215" s="615">
        <v>0</v>
      </c>
      <c r="AJ215" s="615">
        <v>0</v>
      </c>
      <c r="AK215" s="615">
        <v>0</v>
      </c>
      <c r="AL215" s="615">
        <v>0</v>
      </c>
      <c r="AM215" s="615">
        <v>0</v>
      </c>
      <c r="AN215" s="615">
        <v>0</v>
      </c>
      <c r="AO215" s="615">
        <v>0</v>
      </c>
      <c r="AP215" s="615">
        <v>0</v>
      </c>
      <c r="AQ215" s="615">
        <v>0</v>
      </c>
      <c r="AR215" s="615">
        <v>0</v>
      </c>
      <c r="AS215" s="615">
        <v>0</v>
      </c>
      <c r="AT215" s="615">
        <v>0</v>
      </c>
      <c r="AU215" s="615">
        <v>0</v>
      </c>
      <c r="AV215" s="615">
        <v>0</v>
      </c>
      <c r="AW215" s="615">
        <v>0</v>
      </c>
      <c r="AX215" s="615">
        <v>0</v>
      </c>
      <c r="AY215" s="615">
        <v>0</v>
      </c>
      <c r="AZ215" s="615">
        <v>0</v>
      </c>
      <c r="BA215" s="615">
        <v>0</v>
      </c>
      <c r="BB215" s="615">
        <v>0</v>
      </c>
      <c r="BC215" s="615">
        <v>0</v>
      </c>
      <c r="BD215" s="615">
        <v>0</v>
      </c>
      <c r="BE215" s="615">
        <v>0</v>
      </c>
      <c r="BF215" s="615">
        <v>0</v>
      </c>
      <c r="BG215" s="615">
        <v>0</v>
      </c>
      <c r="BH215" s="615">
        <v>0</v>
      </c>
      <c r="BI215" s="615">
        <v>0</v>
      </c>
      <c r="BJ215" s="615">
        <v>0</v>
      </c>
      <c r="BK215" s="615">
        <v>0</v>
      </c>
      <c r="BL215" s="615">
        <v>0</v>
      </c>
      <c r="BM215" s="615">
        <v>0</v>
      </c>
      <c r="BN215" s="615">
        <v>0</v>
      </c>
      <c r="BO215" s="615">
        <v>0</v>
      </c>
      <c r="BP215" s="615">
        <v>0</v>
      </c>
      <c r="BQ215" s="615">
        <v>0</v>
      </c>
      <c r="BR215" s="615">
        <v>0</v>
      </c>
      <c r="BS215" s="615">
        <v>0</v>
      </c>
      <c r="BT215" s="615">
        <v>0</v>
      </c>
      <c r="BU215" s="615">
        <v>0</v>
      </c>
      <c r="BV215" s="615">
        <v>0</v>
      </c>
      <c r="BW215" s="615">
        <v>0</v>
      </c>
      <c r="BX215" s="607">
        <f t="shared" si="6"/>
        <v>0</v>
      </c>
    </row>
    <row r="216" spans="1:76" s="612" customFormat="1" ht="11.25" customHeight="1" x14ac:dyDescent="0.2">
      <c r="A216" s="907"/>
      <c r="B216" s="611" t="s">
        <v>1006</v>
      </c>
      <c r="C216" s="641" t="s">
        <v>1957</v>
      </c>
      <c r="D216" s="615">
        <v>0</v>
      </c>
      <c r="E216" s="615">
        <v>0</v>
      </c>
      <c r="F216" s="615">
        <v>0</v>
      </c>
      <c r="G216" s="615">
        <v>0</v>
      </c>
      <c r="H216" s="585">
        <v>0</v>
      </c>
      <c r="I216" s="615">
        <v>0</v>
      </c>
      <c r="J216" s="615">
        <v>0</v>
      </c>
      <c r="K216" s="615" t="s">
        <v>1128</v>
      </c>
      <c r="L216" s="615">
        <v>0</v>
      </c>
      <c r="M216" s="615">
        <v>0</v>
      </c>
      <c r="N216" s="615">
        <v>0</v>
      </c>
      <c r="O216" s="615">
        <v>0</v>
      </c>
      <c r="P216" s="615">
        <v>0</v>
      </c>
      <c r="Q216" s="615">
        <v>0</v>
      </c>
      <c r="R216" s="615">
        <v>0</v>
      </c>
      <c r="S216" s="615">
        <v>0</v>
      </c>
      <c r="T216" s="615">
        <v>0</v>
      </c>
      <c r="U216" s="615">
        <v>0</v>
      </c>
      <c r="V216" s="615">
        <v>0</v>
      </c>
      <c r="W216" s="615">
        <v>0</v>
      </c>
      <c r="X216" s="615">
        <v>0</v>
      </c>
      <c r="Y216" s="615">
        <v>0</v>
      </c>
      <c r="Z216" s="615">
        <v>0</v>
      </c>
      <c r="AA216" s="615">
        <v>0</v>
      </c>
      <c r="AB216" s="615">
        <v>0</v>
      </c>
      <c r="AC216" s="615">
        <v>0</v>
      </c>
      <c r="AD216" s="615">
        <v>0</v>
      </c>
      <c r="AE216" s="615">
        <v>0</v>
      </c>
      <c r="AF216" s="615">
        <v>0</v>
      </c>
      <c r="AG216" s="615">
        <v>0</v>
      </c>
      <c r="AH216" s="615">
        <v>0</v>
      </c>
      <c r="AI216" s="615">
        <v>0</v>
      </c>
      <c r="AJ216" s="615">
        <v>0</v>
      </c>
      <c r="AK216" s="615">
        <v>0</v>
      </c>
      <c r="AL216" s="615">
        <v>0</v>
      </c>
      <c r="AM216" s="615">
        <v>0</v>
      </c>
      <c r="AN216" s="615">
        <v>0</v>
      </c>
      <c r="AO216" s="615">
        <v>0</v>
      </c>
      <c r="AP216" s="615">
        <v>0</v>
      </c>
      <c r="AQ216" s="615">
        <v>0</v>
      </c>
      <c r="AR216" s="615">
        <v>0</v>
      </c>
      <c r="AS216" s="615">
        <v>0</v>
      </c>
      <c r="AT216" s="615">
        <v>0</v>
      </c>
      <c r="AU216" s="615">
        <v>0</v>
      </c>
      <c r="AV216" s="615">
        <v>0</v>
      </c>
      <c r="AW216" s="615">
        <v>0</v>
      </c>
      <c r="AX216" s="615">
        <v>0</v>
      </c>
      <c r="AY216" s="615">
        <v>0</v>
      </c>
      <c r="AZ216" s="615">
        <v>0</v>
      </c>
      <c r="BA216" s="615">
        <v>0</v>
      </c>
      <c r="BB216" s="615">
        <v>0</v>
      </c>
      <c r="BC216" s="615">
        <v>0</v>
      </c>
      <c r="BD216" s="615">
        <v>0</v>
      </c>
      <c r="BE216" s="615">
        <v>0</v>
      </c>
      <c r="BF216" s="615">
        <v>0</v>
      </c>
      <c r="BG216" s="615">
        <v>0</v>
      </c>
      <c r="BH216" s="615">
        <v>0</v>
      </c>
      <c r="BI216" s="615">
        <v>0</v>
      </c>
      <c r="BJ216" s="615">
        <v>0</v>
      </c>
      <c r="BK216" s="615">
        <v>0</v>
      </c>
      <c r="BL216" s="615">
        <v>0</v>
      </c>
      <c r="BM216" s="615">
        <v>0</v>
      </c>
      <c r="BN216" s="615">
        <v>0</v>
      </c>
      <c r="BO216" s="615">
        <v>0</v>
      </c>
      <c r="BP216" s="615">
        <v>0</v>
      </c>
      <c r="BQ216" s="615">
        <v>0</v>
      </c>
      <c r="BR216" s="615">
        <v>0</v>
      </c>
      <c r="BS216" s="615">
        <v>0</v>
      </c>
      <c r="BT216" s="615">
        <v>0</v>
      </c>
      <c r="BU216" s="615">
        <v>0</v>
      </c>
      <c r="BV216" s="615">
        <v>0</v>
      </c>
      <c r="BW216" s="615">
        <v>0</v>
      </c>
      <c r="BX216" s="607">
        <f t="shared" si="6"/>
        <v>0</v>
      </c>
    </row>
    <row r="217" spans="1:76" s="612" customFormat="1" ht="11.25" customHeight="1" x14ac:dyDescent="0.2">
      <c r="A217" s="907"/>
      <c r="B217" s="611" t="s">
        <v>3334</v>
      </c>
      <c r="C217" s="641" t="s">
        <v>1958</v>
      </c>
      <c r="D217" s="615">
        <v>0</v>
      </c>
      <c r="E217" s="615">
        <v>0</v>
      </c>
      <c r="F217" s="615">
        <v>0</v>
      </c>
      <c r="G217" s="615">
        <v>0</v>
      </c>
      <c r="H217" s="585">
        <v>0</v>
      </c>
      <c r="I217" s="615">
        <v>0</v>
      </c>
      <c r="J217" s="615">
        <v>0</v>
      </c>
      <c r="K217" s="615">
        <v>0</v>
      </c>
      <c r="L217" s="615">
        <v>0</v>
      </c>
      <c r="M217" s="615">
        <v>0</v>
      </c>
      <c r="N217" s="615">
        <v>0</v>
      </c>
      <c r="O217" s="615">
        <v>0</v>
      </c>
      <c r="P217" s="615">
        <v>0</v>
      </c>
      <c r="Q217" s="615">
        <v>0</v>
      </c>
      <c r="R217" s="615">
        <v>0</v>
      </c>
      <c r="S217" s="615">
        <v>0</v>
      </c>
      <c r="T217" s="615">
        <v>0</v>
      </c>
      <c r="U217" s="615">
        <v>0</v>
      </c>
      <c r="V217" s="615">
        <v>0</v>
      </c>
      <c r="W217" s="615">
        <v>0</v>
      </c>
      <c r="X217" s="615">
        <v>0</v>
      </c>
      <c r="Y217" s="615">
        <v>0</v>
      </c>
      <c r="Z217" s="615">
        <v>0</v>
      </c>
      <c r="AA217" s="615">
        <v>0</v>
      </c>
      <c r="AB217" s="615">
        <v>0</v>
      </c>
      <c r="AC217" s="615">
        <v>0</v>
      </c>
      <c r="AD217" s="615">
        <v>0</v>
      </c>
      <c r="AE217" s="615">
        <v>0</v>
      </c>
      <c r="AF217" s="615">
        <v>0</v>
      </c>
      <c r="AG217" s="615">
        <v>0</v>
      </c>
      <c r="AH217" s="615">
        <v>0</v>
      </c>
      <c r="AI217" s="615">
        <v>0</v>
      </c>
      <c r="AJ217" s="615">
        <v>0</v>
      </c>
      <c r="AK217" s="615">
        <v>0</v>
      </c>
      <c r="AL217" s="615">
        <v>0</v>
      </c>
      <c r="AM217" s="615">
        <v>0</v>
      </c>
      <c r="AN217" s="615">
        <v>0</v>
      </c>
      <c r="AO217" s="615">
        <v>0</v>
      </c>
      <c r="AP217" s="615">
        <v>0</v>
      </c>
      <c r="AQ217" s="615">
        <v>0</v>
      </c>
      <c r="AR217" s="615">
        <v>0</v>
      </c>
      <c r="AS217" s="615">
        <v>0</v>
      </c>
      <c r="AT217" s="615">
        <v>208381169</v>
      </c>
      <c r="AU217" s="615">
        <v>0</v>
      </c>
      <c r="AV217" s="615">
        <v>0</v>
      </c>
      <c r="AW217" s="615">
        <v>0</v>
      </c>
      <c r="AX217" s="615">
        <v>0</v>
      </c>
      <c r="AY217" s="615">
        <v>0</v>
      </c>
      <c r="AZ217" s="615">
        <v>0</v>
      </c>
      <c r="BA217" s="615">
        <v>0</v>
      </c>
      <c r="BB217" s="615">
        <v>0</v>
      </c>
      <c r="BC217" s="615">
        <v>0</v>
      </c>
      <c r="BD217" s="615">
        <v>0</v>
      </c>
      <c r="BE217" s="615">
        <v>0</v>
      </c>
      <c r="BF217" s="615">
        <v>0</v>
      </c>
      <c r="BG217" s="615">
        <v>0</v>
      </c>
      <c r="BH217" s="615">
        <v>0</v>
      </c>
      <c r="BI217" s="615">
        <v>0</v>
      </c>
      <c r="BJ217" s="615">
        <v>0</v>
      </c>
      <c r="BK217" s="615">
        <v>0</v>
      </c>
      <c r="BL217" s="615">
        <v>0</v>
      </c>
      <c r="BM217" s="615">
        <v>0</v>
      </c>
      <c r="BN217" s="615">
        <v>0</v>
      </c>
      <c r="BO217" s="615">
        <v>0</v>
      </c>
      <c r="BP217" s="615">
        <v>0</v>
      </c>
      <c r="BQ217" s="615">
        <v>0</v>
      </c>
      <c r="BR217" s="615">
        <v>0</v>
      </c>
      <c r="BS217" s="615">
        <v>0</v>
      </c>
      <c r="BT217" s="615">
        <v>0</v>
      </c>
      <c r="BU217" s="615">
        <v>0</v>
      </c>
      <c r="BV217" s="615">
        <v>0</v>
      </c>
      <c r="BW217" s="615">
        <v>0</v>
      </c>
      <c r="BX217" s="607">
        <f t="shared" si="6"/>
        <v>208381169</v>
      </c>
    </row>
    <row r="218" spans="1:76" s="612" customFormat="1" ht="11.25" customHeight="1" x14ac:dyDescent="0.2">
      <c r="A218" s="907"/>
      <c r="B218" s="611" t="s">
        <v>2295</v>
      </c>
      <c r="C218" s="641" t="s">
        <v>2243</v>
      </c>
      <c r="D218" s="615">
        <v>0</v>
      </c>
      <c r="E218" s="615">
        <v>0</v>
      </c>
      <c r="F218" s="615">
        <v>0</v>
      </c>
      <c r="G218" s="615">
        <v>0</v>
      </c>
      <c r="H218" s="585">
        <v>0</v>
      </c>
      <c r="I218" s="615">
        <v>0</v>
      </c>
      <c r="J218" s="615">
        <v>0</v>
      </c>
      <c r="K218" s="615">
        <v>0</v>
      </c>
      <c r="L218" s="615">
        <v>0</v>
      </c>
      <c r="M218" s="615">
        <v>0</v>
      </c>
      <c r="N218" s="615">
        <v>0</v>
      </c>
      <c r="O218" s="615">
        <v>0</v>
      </c>
      <c r="P218" s="615">
        <v>0</v>
      </c>
      <c r="Q218" s="615">
        <v>0</v>
      </c>
      <c r="R218" s="615">
        <v>0</v>
      </c>
      <c r="S218" s="615">
        <v>0</v>
      </c>
      <c r="T218" s="615">
        <v>0</v>
      </c>
      <c r="U218" s="615">
        <v>0</v>
      </c>
      <c r="V218" s="615">
        <v>0</v>
      </c>
      <c r="W218" s="615">
        <v>0</v>
      </c>
      <c r="X218" s="615">
        <v>0</v>
      </c>
      <c r="Y218" s="615">
        <v>0</v>
      </c>
      <c r="Z218" s="615">
        <v>0</v>
      </c>
      <c r="AA218" s="615">
        <v>0</v>
      </c>
      <c r="AB218" s="615">
        <v>0</v>
      </c>
      <c r="AC218" s="615">
        <v>0</v>
      </c>
      <c r="AD218" s="615">
        <v>0</v>
      </c>
      <c r="AE218" s="615">
        <v>0</v>
      </c>
      <c r="AF218" s="615">
        <v>0</v>
      </c>
      <c r="AG218" s="615">
        <v>0</v>
      </c>
      <c r="AH218" s="615">
        <v>0</v>
      </c>
      <c r="AI218" s="615">
        <v>0</v>
      </c>
      <c r="AJ218" s="615">
        <v>0</v>
      </c>
      <c r="AK218" s="615">
        <v>0</v>
      </c>
      <c r="AL218" s="615">
        <v>0</v>
      </c>
      <c r="AM218" s="615">
        <v>0</v>
      </c>
      <c r="AN218" s="615">
        <v>0</v>
      </c>
      <c r="AO218" s="615">
        <v>0</v>
      </c>
      <c r="AP218" s="615">
        <v>0</v>
      </c>
      <c r="AQ218" s="615">
        <v>0</v>
      </c>
      <c r="AR218" s="615">
        <v>0</v>
      </c>
      <c r="AS218" s="615">
        <v>0</v>
      </c>
      <c r="AT218" s="615">
        <v>0</v>
      </c>
      <c r="AU218" s="615">
        <v>0</v>
      </c>
      <c r="AV218" s="615">
        <v>0</v>
      </c>
      <c r="AW218" s="615">
        <v>0</v>
      </c>
      <c r="AX218" s="615">
        <v>0</v>
      </c>
      <c r="AY218" s="615">
        <v>0</v>
      </c>
      <c r="AZ218" s="615">
        <v>0</v>
      </c>
      <c r="BA218" s="615">
        <v>0</v>
      </c>
      <c r="BB218" s="615">
        <v>0</v>
      </c>
      <c r="BC218" s="615">
        <v>0</v>
      </c>
      <c r="BD218" s="615">
        <v>0</v>
      </c>
      <c r="BE218" s="615">
        <v>0</v>
      </c>
      <c r="BF218" s="615">
        <v>0</v>
      </c>
      <c r="BG218" s="615">
        <v>0</v>
      </c>
      <c r="BH218" s="615">
        <v>0</v>
      </c>
      <c r="BI218" s="615">
        <v>0</v>
      </c>
      <c r="BJ218" s="615">
        <v>0</v>
      </c>
      <c r="BK218" s="615">
        <v>0</v>
      </c>
      <c r="BL218" s="615">
        <v>0</v>
      </c>
      <c r="BM218" s="615">
        <v>0</v>
      </c>
      <c r="BN218" s="615">
        <v>0</v>
      </c>
      <c r="BO218" s="615">
        <v>0</v>
      </c>
      <c r="BP218" s="615">
        <v>0</v>
      </c>
      <c r="BQ218" s="615">
        <v>0</v>
      </c>
      <c r="BR218" s="615">
        <v>0</v>
      </c>
      <c r="BS218" s="615">
        <v>0</v>
      </c>
      <c r="BT218" s="615">
        <v>0</v>
      </c>
      <c r="BU218" s="615">
        <v>0</v>
      </c>
      <c r="BV218" s="615">
        <v>0</v>
      </c>
      <c r="BW218" s="615">
        <v>0</v>
      </c>
      <c r="BX218" s="607">
        <f t="shared" si="6"/>
        <v>0</v>
      </c>
    </row>
    <row r="219" spans="1:76" s="612" customFormat="1" ht="11.25" customHeight="1" x14ac:dyDescent="0.2">
      <c r="A219" s="907"/>
      <c r="B219" s="611" t="s">
        <v>1663</v>
      </c>
      <c r="C219" s="641" t="s">
        <v>1959</v>
      </c>
      <c r="D219" s="615">
        <v>0</v>
      </c>
      <c r="E219" s="615">
        <v>0</v>
      </c>
      <c r="F219" s="615">
        <v>0</v>
      </c>
      <c r="G219" s="615">
        <v>0</v>
      </c>
      <c r="H219" s="585">
        <v>0</v>
      </c>
      <c r="I219" s="615">
        <v>0</v>
      </c>
      <c r="J219" s="615">
        <v>0</v>
      </c>
      <c r="K219" s="615">
        <v>0</v>
      </c>
      <c r="L219" s="615">
        <v>0</v>
      </c>
      <c r="M219" s="615">
        <v>0</v>
      </c>
      <c r="N219" s="615">
        <v>0</v>
      </c>
      <c r="O219" s="615">
        <v>0</v>
      </c>
      <c r="P219" s="615">
        <v>0</v>
      </c>
      <c r="Q219" s="615">
        <v>0</v>
      </c>
      <c r="R219" s="615">
        <v>0</v>
      </c>
      <c r="S219" s="615">
        <v>0</v>
      </c>
      <c r="T219" s="615">
        <v>0</v>
      </c>
      <c r="U219" s="615">
        <v>0</v>
      </c>
      <c r="V219" s="615">
        <v>0</v>
      </c>
      <c r="W219" s="615">
        <v>0</v>
      </c>
      <c r="X219" s="615">
        <v>0</v>
      </c>
      <c r="Y219" s="615">
        <v>0</v>
      </c>
      <c r="Z219" s="615">
        <v>0</v>
      </c>
      <c r="AA219" s="615">
        <v>0</v>
      </c>
      <c r="AB219" s="615">
        <v>0</v>
      </c>
      <c r="AC219" s="615">
        <v>0</v>
      </c>
      <c r="AD219" s="615">
        <v>0</v>
      </c>
      <c r="AE219" s="615">
        <v>0</v>
      </c>
      <c r="AF219" s="615">
        <v>0</v>
      </c>
      <c r="AG219" s="615">
        <v>0</v>
      </c>
      <c r="AH219" s="615">
        <v>0</v>
      </c>
      <c r="AI219" s="615">
        <v>0</v>
      </c>
      <c r="AJ219" s="615">
        <v>0</v>
      </c>
      <c r="AK219" s="615">
        <v>0</v>
      </c>
      <c r="AL219" s="615">
        <v>0</v>
      </c>
      <c r="AM219" s="615">
        <v>0</v>
      </c>
      <c r="AN219" s="615">
        <v>0</v>
      </c>
      <c r="AO219" s="615">
        <v>0</v>
      </c>
      <c r="AP219" s="615">
        <v>0</v>
      </c>
      <c r="AQ219" s="615">
        <v>0</v>
      </c>
      <c r="AR219" s="615">
        <v>0</v>
      </c>
      <c r="AS219" s="615">
        <v>0</v>
      </c>
      <c r="AT219" s="615">
        <v>1379784</v>
      </c>
      <c r="AU219" s="615">
        <v>0</v>
      </c>
      <c r="AV219" s="615">
        <v>1296746</v>
      </c>
      <c r="AW219" s="615">
        <v>0</v>
      </c>
      <c r="AX219" s="615">
        <v>0</v>
      </c>
      <c r="AY219" s="615">
        <v>0</v>
      </c>
      <c r="AZ219" s="615">
        <v>0</v>
      </c>
      <c r="BA219" s="615">
        <v>0</v>
      </c>
      <c r="BB219" s="615">
        <v>0</v>
      </c>
      <c r="BC219" s="615">
        <v>0</v>
      </c>
      <c r="BD219" s="615">
        <v>0</v>
      </c>
      <c r="BE219" s="615">
        <v>0</v>
      </c>
      <c r="BF219" s="615">
        <v>0</v>
      </c>
      <c r="BG219" s="615">
        <v>0</v>
      </c>
      <c r="BH219" s="615">
        <v>0</v>
      </c>
      <c r="BI219" s="615">
        <v>0</v>
      </c>
      <c r="BJ219" s="615">
        <v>0</v>
      </c>
      <c r="BK219" s="615">
        <v>0</v>
      </c>
      <c r="BL219" s="615">
        <v>0</v>
      </c>
      <c r="BM219" s="615">
        <v>0</v>
      </c>
      <c r="BN219" s="615">
        <v>0</v>
      </c>
      <c r="BO219" s="615">
        <v>0</v>
      </c>
      <c r="BP219" s="615">
        <v>0</v>
      </c>
      <c r="BQ219" s="615">
        <v>0</v>
      </c>
      <c r="BR219" s="615">
        <v>0</v>
      </c>
      <c r="BS219" s="615">
        <v>0</v>
      </c>
      <c r="BT219" s="615">
        <v>0</v>
      </c>
      <c r="BU219" s="615">
        <v>0</v>
      </c>
      <c r="BV219" s="615">
        <v>0</v>
      </c>
      <c r="BW219" s="615">
        <v>0</v>
      </c>
      <c r="BX219" s="607">
        <f t="shared" ref="BX219:BX255" si="7">SUM(K219:BW219)</f>
        <v>2676530</v>
      </c>
    </row>
    <row r="220" spans="1:76" s="612" customFormat="1" ht="11.25" customHeight="1" x14ac:dyDescent="0.2">
      <c r="A220" s="907"/>
      <c r="B220" s="611" t="s">
        <v>1662</v>
      </c>
      <c r="C220" s="641" t="s">
        <v>1960</v>
      </c>
      <c r="D220" s="615">
        <v>0</v>
      </c>
      <c r="E220" s="615">
        <v>0</v>
      </c>
      <c r="F220" s="615">
        <v>0</v>
      </c>
      <c r="G220" s="615">
        <v>0</v>
      </c>
      <c r="H220" s="585">
        <v>0</v>
      </c>
      <c r="I220" s="615">
        <v>0</v>
      </c>
      <c r="J220" s="615">
        <v>0</v>
      </c>
      <c r="K220" s="615">
        <v>0</v>
      </c>
      <c r="L220" s="615">
        <v>0</v>
      </c>
      <c r="M220" s="615">
        <v>0</v>
      </c>
      <c r="N220" s="615">
        <v>0</v>
      </c>
      <c r="O220" s="615">
        <v>0</v>
      </c>
      <c r="P220" s="615">
        <v>0</v>
      </c>
      <c r="Q220" s="615">
        <v>0</v>
      </c>
      <c r="R220" s="615">
        <v>0</v>
      </c>
      <c r="S220" s="615">
        <v>0</v>
      </c>
      <c r="T220" s="615">
        <v>0</v>
      </c>
      <c r="U220" s="615">
        <v>0</v>
      </c>
      <c r="V220" s="615">
        <v>0</v>
      </c>
      <c r="W220" s="615">
        <v>0</v>
      </c>
      <c r="X220" s="615">
        <v>0</v>
      </c>
      <c r="Y220" s="615">
        <v>0</v>
      </c>
      <c r="Z220" s="615">
        <v>0</v>
      </c>
      <c r="AA220" s="615">
        <v>0</v>
      </c>
      <c r="AB220" s="615">
        <v>0</v>
      </c>
      <c r="AC220" s="615">
        <v>0</v>
      </c>
      <c r="AD220" s="615">
        <v>0</v>
      </c>
      <c r="AE220" s="615">
        <v>0</v>
      </c>
      <c r="AF220" s="615">
        <v>0</v>
      </c>
      <c r="AG220" s="615">
        <v>0</v>
      </c>
      <c r="AH220" s="615">
        <v>0</v>
      </c>
      <c r="AI220" s="615">
        <v>0</v>
      </c>
      <c r="AJ220" s="615">
        <v>0</v>
      </c>
      <c r="AK220" s="615">
        <v>0</v>
      </c>
      <c r="AL220" s="615">
        <v>0</v>
      </c>
      <c r="AM220" s="615">
        <v>0</v>
      </c>
      <c r="AN220" s="615">
        <v>0</v>
      </c>
      <c r="AO220" s="615">
        <v>0</v>
      </c>
      <c r="AP220" s="615">
        <v>0</v>
      </c>
      <c r="AQ220" s="615">
        <v>0</v>
      </c>
      <c r="AR220" s="615">
        <v>0</v>
      </c>
      <c r="AS220" s="615">
        <v>0</v>
      </c>
      <c r="AT220" s="615">
        <v>1316035</v>
      </c>
      <c r="AU220" s="615">
        <v>0</v>
      </c>
      <c r="AV220" s="615">
        <v>0</v>
      </c>
      <c r="AW220" s="615">
        <v>0</v>
      </c>
      <c r="AX220" s="615">
        <v>0</v>
      </c>
      <c r="AY220" s="615">
        <v>0</v>
      </c>
      <c r="AZ220" s="615">
        <v>0</v>
      </c>
      <c r="BA220" s="615">
        <v>0</v>
      </c>
      <c r="BB220" s="615">
        <v>0</v>
      </c>
      <c r="BC220" s="615">
        <v>0</v>
      </c>
      <c r="BD220" s="615">
        <v>0</v>
      </c>
      <c r="BE220" s="615">
        <v>0</v>
      </c>
      <c r="BF220" s="615">
        <v>0</v>
      </c>
      <c r="BG220" s="615">
        <v>0</v>
      </c>
      <c r="BH220" s="615">
        <v>0</v>
      </c>
      <c r="BI220" s="615">
        <v>0</v>
      </c>
      <c r="BJ220" s="615">
        <v>0</v>
      </c>
      <c r="BK220" s="615">
        <v>0</v>
      </c>
      <c r="BL220" s="615">
        <v>0</v>
      </c>
      <c r="BM220" s="615">
        <v>0</v>
      </c>
      <c r="BN220" s="615">
        <v>0</v>
      </c>
      <c r="BO220" s="615">
        <v>0</v>
      </c>
      <c r="BP220" s="615">
        <v>0</v>
      </c>
      <c r="BQ220" s="615">
        <v>0</v>
      </c>
      <c r="BR220" s="615">
        <v>0</v>
      </c>
      <c r="BS220" s="615">
        <v>0</v>
      </c>
      <c r="BT220" s="615">
        <v>0</v>
      </c>
      <c r="BU220" s="615">
        <v>0</v>
      </c>
      <c r="BV220" s="615">
        <v>0</v>
      </c>
      <c r="BW220" s="615">
        <v>0</v>
      </c>
      <c r="BX220" s="607">
        <f t="shared" si="7"/>
        <v>1316035</v>
      </c>
    </row>
    <row r="221" spans="1:76" s="612" customFormat="1" ht="11.25" customHeight="1" x14ac:dyDescent="0.2">
      <c r="A221" s="907"/>
      <c r="B221" s="611" t="s">
        <v>997</v>
      </c>
      <c r="C221" s="641" t="s">
        <v>1961</v>
      </c>
      <c r="D221" s="615">
        <v>0</v>
      </c>
      <c r="E221" s="615">
        <v>0</v>
      </c>
      <c r="F221" s="615">
        <v>0</v>
      </c>
      <c r="G221" s="615">
        <v>0</v>
      </c>
      <c r="H221" s="585">
        <v>0</v>
      </c>
      <c r="I221" s="615">
        <v>0</v>
      </c>
      <c r="J221" s="615">
        <v>0</v>
      </c>
      <c r="K221" s="615">
        <v>0</v>
      </c>
      <c r="L221" s="615">
        <v>0</v>
      </c>
      <c r="M221" s="615">
        <v>0</v>
      </c>
      <c r="N221" s="615">
        <v>0</v>
      </c>
      <c r="O221" s="615">
        <v>0</v>
      </c>
      <c r="P221" s="615">
        <v>0</v>
      </c>
      <c r="Q221" s="615">
        <v>0</v>
      </c>
      <c r="R221" s="615">
        <v>0</v>
      </c>
      <c r="S221" s="615">
        <v>0</v>
      </c>
      <c r="T221" s="615">
        <v>0</v>
      </c>
      <c r="U221" s="615">
        <v>0</v>
      </c>
      <c r="V221" s="615">
        <v>0</v>
      </c>
      <c r="W221" s="615">
        <v>0</v>
      </c>
      <c r="X221" s="615">
        <v>0</v>
      </c>
      <c r="Y221" s="615">
        <v>0</v>
      </c>
      <c r="Z221" s="615">
        <v>0</v>
      </c>
      <c r="AA221" s="615">
        <v>0</v>
      </c>
      <c r="AB221" s="615">
        <v>0</v>
      </c>
      <c r="AC221" s="615">
        <v>0</v>
      </c>
      <c r="AD221" s="615">
        <v>0</v>
      </c>
      <c r="AE221" s="615">
        <v>0</v>
      </c>
      <c r="AF221" s="615">
        <v>0</v>
      </c>
      <c r="AG221" s="615">
        <v>0</v>
      </c>
      <c r="AH221" s="615">
        <v>0</v>
      </c>
      <c r="AI221" s="615">
        <v>0</v>
      </c>
      <c r="AJ221" s="615">
        <v>0</v>
      </c>
      <c r="AK221" s="615">
        <v>0</v>
      </c>
      <c r="AL221" s="615">
        <v>0</v>
      </c>
      <c r="AM221" s="615">
        <v>0</v>
      </c>
      <c r="AN221" s="615">
        <v>0</v>
      </c>
      <c r="AO221" s="615">
        <v>0</v>
      </c>
      <c r="AP221" s="615">
        <v>0</v>
      </c>
      <c r="AQ221" s="615">
        <v>0</v>
      </c>
      <c r="AR221" s="615">
        <v>0</v>
      </c>
      <c r="AS221" s="615">
        <v>0</v>
      </c>
      <c r="AT221" s="615">
        <v>0</v>
      </c>
      <c r="AU221" s="615">
        <v>0</v>
      </c>
      <c r="AV221" s="615">
        <v>0</v>
      </c>
      <c r="AW221" s="615">
        <v>0</v>
      </c>
      <c r="AX221" s="615">
        <v>0</v>
      </c>
      <c r="AY221" s="615">
        <v>0</v>
      </c>
      <c r="AZ221" s="615">
        <v>0</v>
      </c>
      <c r="BA221" s="615">
        <v>0</v>
      </c>
      <c r="BB221" s="615">
        <v>0</v>
      </c>
      <c r="BC221" s="615">
        <v>0</v>
      </c>
      <c r="BD221" s="615">
        <v>0</v>
      </c>
      <c r="BE221" s="615">
        <v>0</v>
      </c>
      <c r="BF221" s="615">
        <v>0</v>
      </c>
      <c r="BG221" s="615">
        <v>0</v>
      </c>
      <c r="BH221" s="615">
        <v>0</v>
      </c>
      <c r="BI221" s="615">
        <v>0</v>
      </c>
      <c r="BJ221" s="615">
        <v>0</v>
      </c>
      <c r="BK221" s="615">
        <v>0</v>
      </c>
      <c r="BL221" s="615">
        <v>0</v>
      </c>
      <c r="BM221" s="615">
        <v>0</v>
      </c>
      <c r="BN221" s="615">
        <v>0</v>
      </c>
      <c r="BO221" s="615">
        <v>0</v>
      </c>
      <c r="BP221" s="615">
        <v>0</v>
      </c>
      <c r="BQ221" s="615">
        <v>0</v>
      </c>
      <c r="BR221" s="615">
        <v>0</v>
      </c>
      <c r="BS221" s="615">
        <v>0</v>
      </c>
      <c r="BT221" s="615">
        <v>0</v>
      </c>
      <c r="BU221" s="615">
        <v>0</v>
      </c>
      <c r="BV221" s="615">
        <v>0</v>
      </c>
      <c r="BW221" s="615">
        <v>0</v>
      </c>
      <c r="BX221" s="607">
        <f t="shared" si="7"/>
        <v>0</v>
      </c>
    </row>
    <row r="222" spans="1:76" s="612" customFormat="1" ht="11.25" customHeight="1" x14ac:dyDescent="0.2">
      <c r="A222" s="907"/>
      <c r="B222" s="611" t="s">
        <v>2540</v>
      </c>
      <c r="C222" s="641" t="s">
        <v>2539</v>
      </c>
      <c r="D222" s="615">
        <v>0</v>
      </c>
      <c r="E222" s="615">
        <v>0</v>
      </c>
      <c r="F222" s="615">
        <v>0</v>
      </c>
      <c r="G222" s="615">
        <v>0</v>
      </c>
      <c r="H222" s="585">
        <v>0</v>
      </c>
      <c r="I222" s="615">
        <v>0</v>
      </c>
      <c r="J222" s="615">
        <v>0</v>
      </c>
      <c r="K222" s="615">
        <v>0</v>
      </c>
      <c r="L222" s="615">
        <v>0</v>
      </c>
      <c r="M222" s="615">
        <v>0</v>
      </c>
      <c r="N222" s="615">
        <v>0</v>
      </c>
      <c r="O222" s="615">
        <v>0</v>
      </c>
      <c r="P222" s="615">
        <v>0</v>
      </c>
      <c r="Q222" s="615">
        <v>0</v>
      </c>
      <c r="R222" s="615">
        <v>0</v>
      </c>
      <c r="S222" s="615">
        <v>0</v>
      </c>
      <c r="T222" s="615">
        <v>0</v>
      </c>
      <c r="U222" s="615">
        <v>0</v>
      </c>
      <c r="V222" s="615">
        <v>0</v>
      </c>
      <c r="W222" s="615">
        <v>0</v>
      </c>
      <c r="X222" s="615">
        <v>0</v>
      </c>
      <c r="Y222" s="615">
        <v>0</v>
      </c>
      <c r="Z222" s="615">
        <v>0</v>
      </c>
      <c r="AA222" s="615">
        <v>0</v>
      </c>
      <c r="AB222" s="615">
        <v>0</v>
      </c>
      <c r="AC222" s="615">
        <v>0</v>
      </c>
      <c r="AD222" s="615">
        <v>0</v>
      </c>
      <c r="AE222" s="615">
        <v>0</v>
      </c>
      <c r="AF222" s="615">
        <v>0</v>
      </c>
      <c r="AG222" s="615">
        <v>0</v>
      </c>
      <c r="AH222" s="615">
        <v>0</v>
      </c>
      <c r="AI222" s="615">
        <v>0</v>
      </c>
      <c r="AJ222" s="615">
        <v>0</v>
      </c>
      <c r="AK222" s="615">
        <v>0</v>
      </c>
      <c r="AL222" s="615">
        <v>0</v>
      </c>
      <c r="AM222" s="615">
        <v>0</v>
      </c>
      <c r="AN222" s="615">
        <v>0</v>
      </c>
      <c r="AO222" s="615">
        <v>0</v>
      </c>
      <c r="AP222" s="615">
        <v>0</v>
      </c>
      <c r="AQ222" s="615">
        <v>0</v>
      </c>
      <c r="AR222" s="615">
        <v>0</v>
      </c>
      <c r="AS222" s="615">
        <v>0</v>
      </c>
      <c r="AT222" s="615">
        <v>0</v>
      </c>
      <c r="AU222" s="615">
        <v>0</v>
      </c>
      <c r="AV222" s="615">
        <v>0</v>
      </c>
      <c r="AW222" s="615">
        <v>0</v>
      </c>
      <c r="AX222" s="615">
        <v>0</v>
      </c>
      <c r="AY222" s="615">
        <v>0</v>
      </c>
      <c r="AZ222" s="615">
        <v>0</v>
      </c>
      <c r="BA222" s="615">
        <v>0</v>
      </c>
      <c r="BB222" s="615">
        <v>0</v>
      </c>
      <c r="BC222" s="615">
        <v>0</v>
      </c>
      <c r="BD222" s="615">
        <v>0</v>
      </c>
      <c r="BE222" s="615">
        <v>0</v>
      </c>
      <c r="BF222" s="615">
        <v>0</v>
      </c>
      <c r="BG222" s="615">
        <v>0</v>
      </c>
      <c r="BH222" s="615">
        <v>0</v>
      </c>
      <c r="BI222" s="615">
        <v>0</v>
      </c>
      <c r="BJ222" s="615">
        <v>0</v>
      </c>
      <c r="BK222" s="615">
        <v>0</v>
      </c>
      <c r="BL222" s="615">
        <v>0</v>
      </c>
      <c r="BM222" s="615">
        <v>0</v>
      </c>
      <c r="BN222" s="615">
        <v>0</v>
      </c>
      <c r="BO222" s="615">
        <v>0</v>
      </c>
      <c r="BP222" s="615">
        <v>0</v>
      </c>
      <c r="BQ222" s="615">
        <v>0</v>
      </c>
      <c r="BR222" s="615">
        <v>0</v>
      </c>
      <c r="BS222" s="615">
        <v>0</v>
      </c>
      <c r="BT222" s="615">
        <v>0</v>
      </c>
      <c r="BU222" s="615">
        <v>0</v>
      </c>
      <c r="BV222" s="615">
        <v>0</v>
      </c>
      <c r="BW222" s="615">
        <v>0</v>
      </c>
      <c r="BX222" s="607">
        <f t="shared" si="7"/>
        <v>0</v>
      </c>
    </row>
    <row r="223" spans="1:76" s="612" customFormat="1" ht="11.25" customHeight="1" x14ac:dyDescent="0.2">
      <c r="A223" s="907"/>
      <c r="B223" s="611" t="s">
        <v>1305</v>
      </c>
      <c r="C223" s="641" t="s">
        <v>1962</v>
      </c>
      <c r="D223" s="615">
        <v>0</v>
      </c>
      <c r="E223" s="615">
        <v>0</v>
      </c>
      <c r="F223" s="615">
        <v>0</v>
      </c>
      <c r="G223" s="615">
        <v>0</v>
      </c>
      <c r="H223" s="585">
        <v>0</v>
      </c>
      <c r="I223" s="615">
        <v>0</v>
      </c>
      <c r="J223" s="615">
        <v>0</v>
      </c>
      <c r="K223" s="615">
        <v>0</v>
      </c>
      <c r="L223" s="615">
        <v>0</v>
      </c>
      <c r="M223" s="615">
        <v>0</v>
      </c>
      <c r="N223" s="615">
        <v>0</v>
      </c>
      <c r="O223" s="615">
        <v>0</v>
      </c>
      <c r="P223" s="615">
        <v>0</v>
      </c>
      <c r="Q223" s="615">
        <v>0</v>
      </c>
      <c r="R223" s="615">
        <v>0</v>
      </c>
      <c r="S223" s="615">
        <v>0</v>
      </c>
      <c r="T223" s="615">
        <v>0</v>
      </c>
      <c r="U223" s="615">
        <v>0</v>
      </c>
      <c r="V223" s="615">
        <v>0</v>
      </c>
      <c r="W223" s="615">
        <v>0</v>
      </c>
      <c r="X223" s="615">
        <v>0</v>
      </c>
      <c r="Y223" s="615">
        <v>0</v>
      </c>
      <c r="Z223" s="615">
        <v>0</v>
      </c>
      <c r="AA223" s="615">
        <v>0</v>
      </c>
      <c r="AB223" s="615">
        <v>0</v>
      </c>
      <c r="AC223" s="615">
        <v>0</v>
      </c>
      <c r="AD223" s="615">
        <v>0</v>
      </c>
      <c r="AE223" s="615">
        <v>0</v>
      </c>
      <c r="AF223" s="615">
        <v>0</v>
      </c>
      <c r="AG223" s="615">
        <v>0</v>
      </c>
      <c r="AH223" s="615">
        <v>0</v>
      </c>
      <c r="AI223" s="615">
        <v>0</v>
      </c>
      <c r="AJ223" s="615">
        <v>0</v>
      </c>
      <c r="AK223" s="615">
        <v>0</v>
      </c>
      <c r="AL223" s="615">
        <v>0</v>
      </c>
      <c r="AM223" s="615">
        <v>0</v>
      </c>
      <c r="AN223" s="615">
        <v>0</v>
      </c>
      <c r="AO223" s="615">
        <v>0</v>
      </c>
      <c r="AP223" s="615">
        <v>0</v>
      </c>
      <c r="AQ223" s="615">
        <v>0</v>
      </c>
      <c r="AR223" s="615">
        <v>0</v>
      </c>
      <c r="AS223" s="615">
        <v>0</v>
      </c>
      <c r="AT223" s="615">
        <v>0</v>
      </c>
      <c r="AU223" s="615">
        <v>0</v>
      </c>
      <c r="AV223" s="615">
        <v>0</v>
      </c>
      <c r="AW223" s="615">
        <v>0</v>
      </c>
      <c r="AX223" s="615">
        <v>0</v>
      </c>
      <c r="AY223" s="615">
        <v>0</v>
      </c>
      <c r="AZ223" s="615">
        <v>0</v>
      </c>
      <c r="BA223" s="615">
        <v>0</v>
      </c>
      <c r="BB223" s="615">
        <v>0</v>
      </c>
      <c r="BC223" s="615">
        <v>0</v>
      </c>
      <c r="BD223" s="615">
        <v>0</v>
      </c>
      <c r="BE223" s="615">
        <v>0</v>
      </c>
      <c r="BF223" s="615">
        <v>0</v>
      </c>
      <c r="BG223" s="615">
        <v>0</v>
      </c>
      <c r="BH223" s="615">
        <v>0</v>
      </c>
      <c r="BI223" s="615">
        <v>0</v>
      </c>
      <c r="BJ223" s="615">
        <v>0</v>
      </c>
      <c r="BK223" s="615">
        <v>0</v>
      </c>
      <c r="BL223" s="615">
        <v>0</v>
      </c>
      <c r="BM223" s="615">
        <v>0</v>
      </c>
      <c r="BN223" s="615">
        <v>0</v>
      </c>
      <c r="BO223" s="615">
        <v>0</v>
      </c>
      <c r="BP223" s="615">
        <v>0</v>
      </c>
      <c r="BQ223" s="615">
        <v>0</v>
      </c>
      <c r="BR223" s="615">
        <v>0</v>
      </c>
      <c r="BS223" s="615">
        <v>0</v>
      </c>
      <c r="BT223" s="615">
        <v>0</v>
      </c>
      <c r="BU223" s="615">
        <v>0</v>
      </c>
      <c r="BV223" s="615">
        <v>0</v>
      </c>
      <c r="BW223" s="615">
        <v>0</v>
      </c>
      <c r="BX223" s="607">
        <f t="shared" si="7"/>
        <v>0</v>
      </c>
    </row>
    <row r="224" spans="1:76" s="612" customFormat="1" ht="11.25" customHeight="1" x14ac:dyDescent="0.2">
      <c r="A224" s="907"/>
      <c r="B224" s="611" t="s">
        <v>1680</v>
      </c>
      <c r="C224" s="641" t="s">
        <v>1963</v>
      </c>
      <c r="D224" s="615">
        <v>0</v>
      </c>
      <c r="E224" s="615">
        <v>0</v>
      </c>
      <c r="F224" s="615">
        <v>0</v>
      </c>
      <c r="G224" s="615">
        <v>0</v>
      </c>
      <c r="H224" s="585">
        <v>0</v>
      </c>
      <c r="I224" s="615">
        <v>0</v>
      </c>
      <c r="J224" s="615">
        <v>0</v>
      </c>
      <c r="K224" s="615">
        <v>0</v>
      </c>
      <c r="L224" s="615">
        <v>0</v>
      </c>
      <c r="M224" s="615">
        <v>0</v>
      </c>
      <c r="N224" s="615">
        <v>0</v>
      </c>
      <c r="O224" s="615">
        <v>0</v>
      </c>
      <c r="P224" s="615">
        <v>0</v>
      </c>
      <c r="Q224" s="615">
        <v>0</v>
      </c>
      <c r="R224" s="615">
        <v>0</v>
      </c>
      <c r="S224" s="615">
        <v>0</v>
      </c>
      <c r="T224" s="615">
        <v>0</v>
      </c>
      <c r="U224" s="615">
        <v>0</v>
      </c>
      <c r="V224" s="615">
        <v>0</v>
      </c>
      <c r="W224" s="615">
        <v>0</v>
      </c>
      <c r="X224" s="615">
        <v>0</v>
      </c>
      <c r="Y224" s="615">
        <v>0</v>
      </c>
      <c r="Z224" s="615">
        <v>0</v>
      </c>
      <c r="AA224" s="615">
        <v>0</v>
      </c>
      <c r="AB224" s="615">
        <v>0</v>
      </c>
      <c r="AC224" s="615">
        <v>0</v>
      </c>
      <c r="AD224" s="615">
        <v>0</v>
      </c>
      <c r="AE224" s="615">
        <v>0</v>
      </c>
      <c r="AF224" s="615">
        <v>0</v>
      </c>
      <c r="AG224" s="615">
        <v>0</v>
      </c>
      <c r="AH224" s="615">
        <v>0</v>
      </c>
      <c r="AI224" s="615">
        <v>0</v>
      </c>
      <c r="AJ224" s="615">
        <v>0</v>
      </c>
      <c r="AK224" s="615">
        <v>0</v>
      </c>
      <c r="AL224" s="615">
        <v>0</v>
      </c>
      <c r="AM224" s="615">
        <v>0</v>
      </c>
      <c r="AN224" s="615">
        <v>0</v>
      </c>
      <c r="AO224" s="615">
        <v>0</v>
      </c>
      <c r="AP224" s="615">
        <v>0</v>
      </c>
      <c r="AQ224" s="615">
        <v>0</v>
      </c>
      <c r="AR224" s="615">
        <v>0</v>
      </c>
      <c r="AS224" s="615">
        <v>0</v>
      </c>
      <c r="AT224" s="615">
        <v>0</v>
      </c>
      <c r="AU224" s="615">
        <v>0</v>
      </c>
      <c r="AV224" s="615">
        <v>0</v>
      </c>
      <c r="AW224" s="615">
        <v>0</v>
      </c>
      <c r="AX224" s="615">
        <v>0</v>
      </c>
      <c r="AY224" s="615">
        <v>0</v>
      </c>
      <c r="AZ224" s="615">
        <v>0</v>
      </c>
      <c r="BA224" s="615">
        <v>0</v>
      </c>
      <c r="BB224" s="615">
        <v>0</v>
      </c>
      <c r="BC224" s="615">
        <v>0</v>
      </c>
      <c r="BD224" s="615">
        <v>0</v>
      </c>
      <c r="BE224" s="615">
        <v>0</v>
      </c>
      <c r="BF224" s="615">
        <v>0</v>
      </c>
      <c r="BG224" s="615">
        <v>0</v>
      </c>
      <c r="BH224" s="615">
        <v>0</v>
      </c>
      <c r="BI224" s="615">
        <v>0</v>
      </c>
      <c r="BJ224" s="615">
        <v>0</v>
      </c>
      <c r="BK224" s="615">
        <v>0</v>
      </c>
      <c r="BL224" s="615">
        <v>0</v>
      </c>
      <c r="BM224" s="615">
        <v>0</v>
      </c>
      <c r="BN224" s="615">
        <v>0</v>
      </c>
      <c r="BO224" s="615">
        <v>0</v>
      </c>
      <c r="BP224" s="615">
        <v>0</v>
      </c>
      <c r="BQ224" s="615">
        <v>0</v>
      </c>
      <c r="BR224" s="615">
        <v>0</v>
      </c>
      <c r="BS224" s="615">
        <v>0</v>
      </c>
      <c r="BT224" s="615">
        <v>0</v>
      </c>
      <c r="BU224" s="615">
        <v>0</v>
      </c>
      <c r="BV224" s="615">
        <v>0</v>
      </c>
      <c r="BW224" s="615">
        <v>0</v>
      </c>
      <c r="BX224" s="607">
        <f t="shared" si="7"/>
        <v>0</v>
      </c>
    </row>
    <row r="225" spans="1:76" s="612" customFormat="1" ht="11.25" customHeight="1" x14ac:dyDescent="0.2">
      <c r="A225" s="907"/>
      <c r="B225" s="611" t="s">
        <v>1664</v>
      </c>
      <c r="C225" s="641" t="s">
        <v>1964</v>
      </c>
      <c r="D225" s="615">
        <v>0</v>
      </c>
      <c r="E225" s="615">
        <v>0</v>
      </c>
      <c r="F225" s="615">
        <v>0</v>
      </c>
      <c r="G225" s="615">
        <v>0</v>
      </c>
      <c r="H225" s="585">
        <v>0</v>
      </c>
      <c r="I225" s="615">
        <v>0</v>
      </c>
      <c r="J225" s="615">
        <v>0</v>
      </c>
      <c r="K225" s="615">
        <v>0</v>
      </c>
      <c r="L225" s="615">
        <v>0</v>
      </c>
      <c r="M225" s="615">
        <v>0</v>
      </c>
      <c r="N225" s="615">
        <v>0</v>
      </c>
      <c r="O225" s="615">
        <v>0</v>
      </c>
      <c r="P225" s="615">
        <v>0</v>
      </c>
      <c r="Q225" s="615">
        <v>0</v>
      </c>
      <c r="R225" s="615">
        <v>0</v>
      </c>
      <c r="S225" s="615">
        <v>0</v>
      </c>
      <c r="T225" s="615">
        <v>0</v>
      </c>
      <c r="U225" s="615">
        <v>0</v>
      </c>
      <c r="V225" s="615">
        <v>0</v>
      </c>
      <c r="W225" s="615">
        <v>0</v>
      </c>
      <c r="X225" s="615">
        <v>0</v>
      </c>
      <c r="Y225" s="615">
        <v>0</v>
      </c>
      <c r="Z225" s="615">
        <v>0</v>
      </c>
      <c r="AA225" s="615">
        <v>0</v>
      </c>
      <c r="AB225" s="615">
        <v>0</v>
      </c>
      <c r="AC225" s="615">
        <v>0</v>
      </c>
      <c r="AD225" s="615">
        <v>0</v>
      </c>
      <c r="AE225" s="615">
        <v>0</v>
      </c>
      <c r="AF225" s="615">
        <v>0</v>
      </c>
      <c r="AG225" s="615">
        <v>0</v>
      </c>
      <c r="AH225" s="615">
        <v>0</v>
      </c>
      <c r="AI225" s="615">
        <v>0</v>
      </c>
      <c r="AJ225" s="615">
        <v>0</v>
      </c>
      <c r="AK225" s="615">
        <v>0</v>
      </c>
      <c r="AL225" s="615">
        <v>0</v>
      </c>
      <c r="AM225" s="615">
        <v>0</v>
      </c>
      <c r="AN225" s="615">
        <v>0</v>
      </c>
      <c r="AO225" s="615">
        <v>0</v>
      </c>
      <c r="AP225" s="615">
        <v>0</v>
      </c>
      <c r="AQ225" s="615">
        <v>0</v>
      </c>
      <c r="AR225" s="615">
        <v>0</v>
      </c>
      <c r="AS225" s="615">
        <v>0</v>
      </c>
      <c r="AT225" s="615">
        <v>0</v>
      </c>
      <c r="AU225" s="615">
        <v>0</v>
      </c>
      <c r="AV225" s="615">
        <v>0</v>
      </c>
      <c r="AW225" s="615">
        <v>0</v>
      </c>
      <c r="AX225" s="615">
        <v>0</v>
      </c>
      <c r="AY225" s="615">
        <v>0</v>
      </c>
      <c r="AZ225" s="615">
        <v>0</v>
      </c>
      <c r="BA225" s="615">
        <v>0</v>
      </c>
      <c r="BB225" s="615">
        <v>0</v>
      </c>
      <c r="BC225" s="615">
        <v>0</v>
      </c>
      <c r="BD225" s="615">
        <v>0</v>
      </c>
      <c r="BE225" s="615">
        <v>0</v>
      </c>
      <c r="BF225" s="615">
        <v>0</v>
      </c>
      <c r="BG225" s="615">
        <v>0</v>
      </c>
      <c r="BH225" s="615">
        <v>0</v>
      </c>
      <c r="BI225" s="615">
        <v>0</v>
      </c>
      <c r="BJ225" s="615">
        <v>0</v>
      </c>
      <c r="BK225" s="615">
        <v>0</v>
      </c>
      <c r="BL225" s="615">
        <v>0</v>
      </c>
      <c r="BM225" s="615">
        <v>0</v>
      </c>
      <c r="BN225" s="615">
        <v>0</v>
      </c>
      <c r="BO225" s="615">
        <v>0</v>
      </c>
      <c r="BP225" s="615">
        <v>0</v>
      </c>
      <c r="BQ225" s="615">
        <v>0</v>
      </c>
      <c r="BR225" s="615">
        <v>0</v>
      </c>
      <c r="BS225" s="615">
        <v>0</v>
      </c>
      <c r="BT225" s="615">
        <v>0</v>
      </c>
      <c r="BU225" s="615">
        <v>0</v>
      </c>
      <c r="BV225" s="615">
        <v>0</v>
      </c>
      <c r="BW225" s="615">
        <v>0</v>
      </c>
      <c r="BX225" s="607">
        <f t="shared" si="7"/>
        <v>0</v>
      </c>
    </row>
    <row r="226" spans="1:76" s="612" customFormat="1" ht="11.25" customHeight="1" x14ac:dyDescent="0.2">
      <c r="A226" s="907"/>
      <c r="B226" s="611" t="s">
        <v>4279</v>
      </c>
      <c r="C226" s="641" t="s">
        <v>4278</v>
      </c>
      <c r="D226" s="615">
        <v>0</v>
      </c>
      <c r="E226" s="615">
        <v>0</v>
      </c>
      <c r="F226" s="615">
        <v>0</v>
      </c>
      <c r="G226" s="615">
        <v>0</v>
      </c>
      <c r="H226" s="585">
        <v>0</v>
      </c>
      <c r="I226" s="615">
        <v>0</v>
      </c>
      <c r="J226" s="615">
        <v>0</v>
      </c>
      <c r="K226" s="615">
        <v>0</v>
      </c>
      <c r="L226" s="615">
        <v>0</v>
      </c>
      <c r="M226" s="615">
        <v>0</v>
      </c>
      <c r="N226" s="615">
        <v>0</v>
      </c>
      <c r="O226" s="615">
        <v>0</v>
      </c>
      <c r="P226" s="615">
        <v>0</v>
      </c>
      <c r="Q226" s="615">
        <v>0</v>
      </c>
      <c r="R226" s="615">
        <v>0</v>
      </c>
      <c r="S226" s="615">
        <v>0</v>
      </c>
      <c r="T226" s="615">
        <v>0</v>
      </c>
      <c r="U226" s="615">
        <v>0</v>
      </c>
      <c r="V226" s="615">
        <v>0</v>
      </c>
      <c r="W226" s="615">
        <v>0</v>
      </c>
      <c r="X226" s="615">
        <v>0</v>
      </c>
      <c r="Y226" s="615">
        <v>0</v>
      </c>
      <c r="Z226" s="615">
        <v>0</v>
      </c>
      <c r="AA226" s="615">
        <v>0</v>
      </c>
      <c r="AB226" s="615">
        <v>0</v>
      </c>
      <c r="AC226" s="615">
        <v>0</v>
      </c>
      <c r="AD226" s="615">
        <v>0</v>
      </c>
      <c r="AE226" s="615">
        <v>0</v>
      </c>
      <c r="AF226" s="615">
        <v>0</v>
      </c>
      <c r="AG226" s="615">
        <v>0</v>
      </c>
      <c r="AH226" s="615">
        <v>0</v>
      </c>
      <c r="AI226" s="615">
        <v>0</v>
      </c>
      <c r="AJ226" s="615">
        <v>0</v>
      </c>
      <c r="AK226" s="615">
        <v>0</v>
      </c>
      <c r="AL226" s="615">
        <v>0</v>
      </c>
      <c r="AM226" s="615">
        <v>0</v>
      </c>
      <c r="AN226" s="615">
        <v>0</v>
      </c>
      <c r="AO226" s="615">
        <v>0</v>
      </c>
      <c r="AP226" s="615">
        <v>0</v>
      </c>
      <c r="AQ226" s="615">
        <v>0</v>
      </c>
      <c r="AR226" s="615">
        <v>0</v>
      </c>
      <c r="AS226" s="615">
        <v>0</v>
      </c>
      <c r="AT226" s="615">
        <v>0</v>
      </c>
      <c r="AU226" s="615">
        <v>0</v>
      </c>
      <c r="AV226" s="615">
        <v>37663587</v>
      </c>
      <c r="AW226" s="615">
        <v>37663587</v>
      </c>
      <c r="AX226" s="615">
        <v>37663586</v>
      </c>
      <c r="AY226" s="615">
        <v>280000000</v>
      </c>
      <c r="AZ226" s="615">
        <v>0</v>
      </c>
      <c r="BA226" s="615">
        <v>0</v>
      </c>
      <c r="BB226" s="615">
        <v>0</v>
      </c>
      <c r="BC226" s="615">
        <v>0</v>
      </c>
      <c r="BD226" s="615">
        <v>0</v>
      </c>
      <c r="BE226" s="615">
        <v>0</v>
      </c>
      <c r="BF226" s="615">
        <v>0</v>
      </c>
      <c r="BG226" s="615">
        <v>0</v>
      </c>
      <c r="BH226" s="615">
        <v>0</v>
      </c>
      <c r="BI226" s="615">
        <v>0</v>
      </c>
      <c r="BJ226" s="615">
        <v>0</v>
      </c>
      <c r="BK226" s="615">
        <v>0</v>
      </c>
      <c r="BL226" s="615">
        <v>0</v>
      </c>
      <c r="BM226" s="615">
        <v>0</v>
      </c>
      <c r="BN226" s="615">
        <v>0</v>
      </c>
      <c r="BO226" s="615">
        <v>0</v>
      </c>
      <c r="BP226" s="615">
        <v>0</v>
      </c>
      <c r="BQ226" s="615">
        <v>0</v>
      </c>
      <c r="BR226" s="615">
        <v>0</v>
      </c>
      <c r="BS226" s="615">
        <v>0</v>
      </c>
      <c r="BT226" s="615">
        <v>0</v>
      </c>
      <c r="BU226" s="615">
        <v>0</v>
      </c>
      <c r="BV226" s="615">
        <v>0</v>
      </c>
      <c r="BW226" s="615">
        <v>0</v>
      </c>
      <c r="BX226" s="607">
        <f t="shared" si="7"/>
        <v>392990760</v>
      </c>
    </row>
    <row r="227" spans="1:76" s="612" customFormat="1" ht="11.25" customHeight="1" x14ac:dyDescent="0.2">
      <c r="A227" s="907"/>
      <c r="B227" s="611" t="s">
        <v>3335</v>
      </c>
      <c r="C227" s="641" t="s">
        <v>1965</v>
      </c>
      <c r="D227" s="615">
        <v>0</v>
      </c>
      <c r="E227" s="615">
        <v>0</v>
      </c>
      <c r="F227" s="615">
        <v>0</v>
      </c>
      <c r="G227" s="615">
        <v>0</v>
      </c>
      <c r="H227" s="585">
        <v>0</v>
      </c>
      <c r="I227" s="615">
        <v>0</v>
      </c>
      <c r="J227" s="615">
        <v>0</v>
      </c>
      <c r="K227" s="615">
        <v>0</v>
      </c>
      <c r="L227" s="615">
        <v>0</v>
      </c>
      <c r="M227" s="615">
        <v>0</v>
      </c>
      <c r="N227" s="615">
        <v>0</v>
      </c>
      <c r="O227" s="615">
        <v>0</v>
      </c>
      <c r="P227" s="615">
        <v>0</v>
      </c>
      <c r="Q227" s="615">
        <v>0</v>
      </c>
      <c r="R227" s="615">
        <v>0</v>
      </c>
      <c r="S227" s="615">
        <v>0</v>
      </c>
      <c r="T227" s="615">
        <v>0</v>
      </c>
      <c r="U227" s="615">
        <v>0</v>
      </c>
      <c r="V227" s="615">
        <v>0</v>
      </c>
      <c r="W227" s="615">
        <v>0</v>
      </c>
      <c r="X227" s="615">
        <v>0</v>
      </c>
      <c r="Y227" s="615">
        <v>0</v>
      </c>
      <c r="Z227" s="615">
        <v>0</v>
      </c>
      <c r="AA227" s="615">
        <v>0</v>
      </c>
      <c r="AB227" s="615">
        <v>0</v>
      </c>
      <c r="AC227" s="615">
        <v>0</v>
      </c>
      <c r="AD227" s="615">
        <v>0</v>
      </c>
      <c r="AE227" s="615">
        <v>0</v>
      </c>
      <c r="AF227" s="615">
        <v>0</v>
      </c>
      <c r="AG227" s="615">
        <v>0</v>
      </c>
      <c r="AH227" s="615">
        <v>0</v>
      </c>
      <c r="AI227" s="615">
        <v>0</v>
      </c>
      <c r="AJ227" s="615">
        <v>0</v>
      </c>
      <c r="AK227" s="615">
        <v>0</v>
      </c>
      <c r="AL227" s="615">
        <v>0</v>
      </c>
      <c r="AM227" s="615">
        <v>0</v>
      </c>
      <c r="AN227" s="615">
        <v>0</v>
      </c>
      <c r="AO227" s="615">
        <v>0</v>
      </c>
      <c r="AP227" s="615">
        <v>0</v>
      </c>
      <c r="AQ227" s="615">
        <v>0</v>
      </c>
      <c r="AR227" s="615">
        <v>0</v>
      </c>
      <c r="AS227" s="615">
        <v>0</v>
      </c>
      <c r="AT227" s="615">
        <v>0</v>
      </c>
      <c r="AU227" s="615">
        <v>0</v>
      </c>
      <c r="AV227" s="615">
        <v>0</v>
      </c>
      <c r="AW227" s="615">
        <v>0</v>
      </c>
      <c r="AX227" s="615">
        <v>0</v>
      </c>
      <c r="AY227" s="615">
        <v>0</v>
      </c>
      <c r="AZ227" s="615">
        <v>0</v>
      </c>
      <c r="BA227" s="615">
        <v>0</v>
      </c>
      <c r="BB227" s="615">
        <v>0</v>
      </c>
      <c r="BC227" s="615">
        <v>0</v>
      </c>
      <c r="BD227" s="615">
        <v>0</v>
      </c>
      <c r="BE227" s="615">
        <v>0</v>
      </c>
      <c r="BF227" s="615">
        <v>0</v>
      </c>
      <c r="BG227" s="615">
        <v>0</v>
      </c>
      <c r="BH227" s="615">
        <v>0</v>
      </c>
      <c r="BI227" s="615">
        <v>0</v>
      </c>
      <c r="BJ227" s="615">
        <v>0</v>
      </c>
      <c r="BK227" s="615">
        <v>0</v>
      </c>
      <c r="BL227" s="615">
        <v>0</v>
      </c>
      <c r="BM227" s="615">
        <v>0</v>
      </c>
      <c r="BN227" s="615">
        <v>0</v>
      </c>
      <c r="BO227" s="615">
        <v>0</v>
      </c>
      <c r="BP227" s="615">
        <v>0</v>
      </c>
      <c r="BQ227" s="615">
        <v>0</v>
      </c>
      <c r="BR227" s="615">
        <v>0</v>
      </c>
      <c r="BS227" s="615">
        <v>0</v>
      </c>
      <c r="BT227" s="615">
        <v>0</v>
      </c>
      <c r="BU227" s="615">
        <v>0</v>
      </c>
      <c r="BV227" s="615">
        <v>0</v>
      </c>
      <c r="BW227" s="615">
        <v>0</v>
      </c>
      <c r="BX227" s="607">
        <f t="shared" si="7"/>
        <v>0</v>
      </c>
    </row>
    <row r="228" spans="1:76" s="612" customFormat="1" ht="11.25" customHeight="1" x14ac:dyDescent="0.2">
      <c r="A228" s="907"/>
      <c r="B228" s="611" t="s">
        <v>998</v>
      </c>
      <c r="C228" s="641" t="s">
        <v>1966</v>
      </c>
      <c r="D228" s="615">
        <v>0</v>
      </c>
      <c r="E228" s="615">
        <v>0</v>
      </c>
      <c r="F228" s="615">
        <v>0</v>
      </c>
      <c r="G228" s="615">
        <v>0</v>
      </c>
      <c r="H228" s="585">
        <v>0</v>
      </c>
      <c r="I228" s="615">
        <v>0</v>
      </c>
      <c r="J228" s="615">
        <v>0</v>
      </c>
      <c r="K228" s="615">
        <v>0</v>
      </c>
      <c r="L228" s="615">
        <v>0</v>
      </c>
      <c r="M228" s="615">
        <v>0</v>
      </c>
      <c r="N228" s="615">
        <v>0</v>
      </c>
      <c r="O228" s="615">
        <v>0</v>
      </c>
      <c r="P228" s="615">
        <v>0</v>
      </c>
      <c r="Q228" s="615">
        <v>0</v>
      </c>
      <c r="R228" s="615">
        <v>0</v>
      </c>
      <c r="S228" s="615">
        <v>0</v>
      </c>
      <c r="T228" s="615">
        <v>0</v>
      </c>
      <c r="U228" s="615">
        <v>0</v>
      </c>
      <c r="V228" s="615">
        <v>0</v>
      </c>
      <c r="W228" s="615">
        <v>0</v>
      </c>
      <c r="X228" s="615">
        <v>0</v>
      </c>
      <c r="Y228" s="615">
        <v>0</v>
      </c>
      <c r="Z228" s="615">
        <v>0</v>
      </c>
      <c r="AA228" s="615">
        <v>0</v>
      </c>
      <c r="AB228" s="615">
        <v>0</v>
      </c>
      <c r="AC228" s="615">
        <v>0</v>
      </c>
      <c r="AD228" s="615">
        <v>0</v>
      </c>
      <c r="AE228" s="615">
        <v>0</v>
      </c>
      <c r="AF228" s="615">
        <v>0</v>
      </c>
      <c r="AG228" s="615">
        <v>0</v>
      </c>
      <c r="AH228" s="615">
        <v>0</v>
      </c>
      <c r="AI228" s="615">
        <v>0</v>
      </c>
      <c r="AJ228" s="615">
        <v>0</v>
      </c>
      <c r="AK228" s="615">
        <v>0</v>
      </c>
      <c r="AL228" s="615">
        <v>0</v>
      </c>
      <c r="AM228" s="615">
        <v>0</v>
      </c>
      <c r="AN228" s="615">
        <v>0</v>
      </c>
      <c r="AO228" s="615">
        <v>0</v>
      </c>
      <c r="AP228" s="615">
        <v>0</v>
      </c>
      <c r="AQ228" s="615">
        <v>0</v>
      </c>
      <c r="AR228" s="615">
        <v>79683</v>
      </c>
      <c r="AS228" s="615">
        <v>0</v>
      </c>
      <c r="AT228" s="615">
        <v>0</v>
      </c>
      <c r="AU228" s="615">
        <v>0</v>
      </c>
      <c r="AV228" s="615">
        <v>0</v>
      </c>
      <c r="AW228" s="615">
        <v>0</v>
      </c>
      <c r="AX228" s="615">
        <v>0</v>
      </c>
      <c r="AY228" s="615">
        <v>0</v>
      </c>
      <c r="AZ228" s="615">
        <v>0</v>
      </c>
      <c r="BA228" s="615">
        <v>0</v>
      </c>
      <c r="BB228" s="615">
        <v>0</v>
      </c>
      <c r="BC228" s="615">
        <v>0</v>
      </c>
      <c r="BD228" s="615">
        <v>0</v>
      </c>
      <c r="BE228" s="615">
        <v>0</v>
      </c>
      <c r="BF228" s="615">
        <v>0</v>
      </c>
      <c r="BG228" s="615">
        <v>0</v>
      </c>
      <c r="BH228" s="615">
        <v>0</v>
      </c>
      <c r="BI228" s="615">
        <v>0</v>
      </c>
      <c r="BJ228" s="615">
        <v>0</v>
      </c>
      <c r="BK228" s="615">
        <v>0</v>
      </c>
      <c r="BL228" s="615">
        <v>0</v>
      </c>
      <c r="BM228" s="615">
        <v>0</v>
      </c>
      <c r="BN228" s="615">
        <v>0</v>
      </c>
      <c r="BO228" s="615">
        <v>0</v>
      </c>
      <c r="BP228" s="615">
        <v>0</v>
      </c>
      <c r="BQ228" s="615">
        <v>0</v>
      </c>
      <c r="BR228" s="615">
        <v>0</v>
      </c>
      <c r="BS228" s="615">
        <v>0</v>
      </c>
      <c r="BT228" s="615">
        <v>0</v>
      </c>
      <c r="BU228" s="615">
        <v>0</v>
      </c>
      <c r="BV228" s="615">
        <v>0</v>
      </c>
      <c r="BW228" s="615">
        <v>0</v>
      </c>
      <c r="BX228" s="607">
        <f t="shared" si="7"/>
        <v>79683</v>
      </c>
    </row>
    <row r="229" spans="1:76" s="612" customFormat="1" ht="11.25" customHeight="1" x14ac:dyDescent="0.2">
      <c r="A229" s="907"/>
      <c r="B229" s="611" t="s">
        <v>1714</v>
      </c>
      <c r="C229" s="641" t="s">
        <v>1967</v>
      </c>
      <c r="D229" s="615">
        <v>0</v>
      </c>
      <c r="E229" s="615">
        <v>0</v>
      </c>
      <c r="F229" s="615">
        <v>0</v>
      </c>
      <c r="G229" s="615">
        <v>0</v>
      </c>
      <c r="H229" s="585">
        <v>0</v>
      </c>
      <c r="I229" s="615">
        <v>0</v>
      </c>
      <c r="J229" s="615">
        <v>0</v>
      </c>
      <c r="K229" s="615">
        <v>0</v>
      </c>
      <c r="L229" s="615">
        <v>0</v>
      </c>
      <c r="M229" s="615">
        <v>0</v>
      </c>
      <c r="N229" s="615">
        <v>0</v>
      </c>
      <c r="O229" s="615">
        <v>0</v>
      </c>
      <c r="P229" s="615">
        <v>0</v>
      </c>
      <c r="Q229" s="615">
        <v>0</v>
      </c>
      <c r="R229" s="615">
        <v>0</v>
      </c>
      <c r="S229" s="615">
        <v>0</v>
      </c>
      <c r="T229" s="615">
        <v>0</v>
      </c>
      <c r="U229" s="615">
        <v>0</v>
      </c>
      <c r="V229" s="615">
        <v>0</v>
      </c>
      <c r="W229" s="615">
        <v>0</v>
      </c>
      <c r="X229" s="615">
        <v>0</v>
      </c>
      <c r="Y229" s="615">
        <v>0</v>
      </c>
      <c r="Z229" s="615">
        <v>0</v>
      </c>
      <c r="AA229" s="615">
        <v>0</v>
      </c>
      <c r="AB229" s="615">
        <v>0</v>
      </c>
      <c r="AC229" s="615">
        <v>0</v>
      </c>
      <c r="AD229" s="615">
        <v>0</v>
      </c>
      <c r="AE229" s="615">
        <v>0</v>
      </c>
      <c r="AF229" s="615">
        <v>0</v>
      </c>
      <c r="AG229" s="615">
        <v>0</v>
      </c>
      <c r="AH229" s="615">
        <v>0</v>
      </c>
      <c r="AI229" s="615">
        <v>0</v>
      </c>
      <c r="AJ229" s="615">
        <v>0</v>
      </c>
      <c r="AK229" s="615">
        <v>0</v>
      </c>
      <c r="AL229" s="615">
        <v>0</v>
      </c>
      <c r="AM229" s="615">
        <v>0</v>
      </c>
      <c r="AN229" s="615">
        <v>0</v>
      </c>
      <c r="AO229" s="615">
        <v>0</v>
      </c>
      <c r="AP229" s="615">
        <v>0</v>
      </c>
      <c r="AQ229" s="615">
        <v>0</v>
      </c>
      <c r="AR229" s="615">
        <v>0</v>
      </c>
      <c r="AS229" s="615">
        <v>0</v>
      </c>
      <c r="AT229" s="615">
        <v>0</v>
      </c>
      <c r="AU229" s="615">
        <v>0</v>
      </c>
      <c r="AV229" s="615">
        <v>0</v>
      </c>
      <c r="AW229" s="615">
        <v>0</v>
      </c>
      <c r="AX229" s="615">
        <v>0</v>
      </c>
      <c r="AY229" s="615">
        <v>0</v>
      </c>
      <c r="AZ229" s="615">
        <v>0</v>
      </c>
      <c r="BA229" s="615">
        <v>0</v>
      </c>
      <c r="BB229" s="615">
        <v>0</v>
      </c>
      <c r="BC229" s="615">
        <v>0</v>
      </c>
      <c r="BD229" s="615">
        <v>0</v>
      </c>
      <c r="BE229" s="615">
        <v>0</v>
      </c>
      <c r="BF229" s="615">
        <v>0</v>
      </c>
      <c r="BG229" s="615">
        <v>0</v>
      </c>
      <c r="BH229" s="615">
        <v>0</v>
      </c>
      <c r="BI229" s="615">
        <v>0</v>
      </c>
      <c r="BJ229" s="615">
        <v>0</v>
      </c>
      <c r="BK229" s="615">
        <v>0</v>
      </c>
      <c r="BL229" s="615">
        <v>0</v>
      </c>
      <c r="BM229" s="615">
        <v>0</v>
      </c>
      <c r="BN229" s="615">
        <v>0</v>
      </c>
      <c r="BO229" s="615">
        <v>0</v>
      </c>
      <c r="BP229" s="615">
        <v>0</v>
      </c>
      <c r="BQ229" s="615">
        <v>0</v>
      </c>
      <c r="BR229" s="615">
        <v>0</v>
      </c>
      <c r="BS229" s="615">
        <v>0</v>
      </c>
      <c r="BT229" s="615">
        <v>0</v>
      </c>
      <c r="BU229" s="615">
        <v>0</v>
      </c>
      <c r="BV229" s="615">
        <v>0</v>
      </c>
      <c r="BW229" s="615">
        <v>0</v>
      </c>
      <c r="BX229" s="607">
        <f t="shared" si="7"/>
        <v>0</v>
      </c>
    </row>
    <row r="230" spans="1:76" s="612" customFormat="1" ht="11.25" customHeight="1" x14ac:dyDescent="0.2">
      <c r="A230" s="907"/>
      <c r="B230" s="611" t="s">
        <v>1008</v>
      </c>
      <c r="C230" s="641" t="s">
        <v>1968</v>
      </c>
      <c r="D230" s="615"/>
      <c r="E230" s="615"/>
      <c r="F230" s="615"/>
      <c r="G230" s="615"/>
      <c r="H230" s="585"/>
      <c r="I230" s="615"/>
      <c r="J230" s="615"/>
      <c r="K230" s="615">
        <v>0</v>
      </c>
      <c r="L230" s="615">
        <v>0</v>
      </c>
      <c r="M230" s="615">
        <v>0</v>
      </c>
      <c r="N230" s="615">
        <v>0</v>
      </c>
      <c r="O230" s="615">
        <v>0</v>
      </c>
      <c r="P230" s="615">
        <v>0</v>
      </c>
      <c r="Q230" s="615">
        <v>0</v>
      </c>
      <c r="R230" s="615">
        <v>0</v>
      </c>
      <c r="S230" s="615">
        <v>0</v>
      </c>
      <c r="T230" s="615">
        <v>0</v>
      </c>
      <c r="U230" s="615">
        <v>0</v>
      </c>
      <c r="V230" s="615">
        <v>0</v>
      </c>
      <c r="W230" s="615">
        <v>0</v>
      </c>
      <c r="X230" s="615">
        <v>0</v>
      </c>
      <c r="Y230" s="615">
        <v>0</v>
      </c>
      <c r="Z230" s="615">
        <v>0</v>
      </c>
      <c r="AA230" s="615">
        <v>0</v>
      </c>
      <c r="AB230" s="615">
        <v>0</v>
      </c>
      <c r="AC230" s="615">
        <v>0</v>
      </c>
      <c r="AD230" s="615">
        <v>0</v>
      </c>
      <c r="AE230" s="615">
        <v>0</v>
      </c>
      <c r="AF230" s="615">
        <v>0</v>
      </c>
      <c r="AG230" s="615">
        <v>0</v>
      </c>
      <c r="AH230" s="615">
        <v>0</v>
      </c>
      <c r="AI230" s="615">
        <v>0</v>
      </c>
      <c r="AJ230" s="615">
        <v>0</v>
      </c>
      <c r="AK230" s="615">
        <v>0</v>
      </c>
      <c r="AL230" s="615">
        <v>0</v>
      </c>
      <c r="AM230" s="615">
        <v>0</v>
      </c>
      <c r="AN230" s="615">
        <v>0</v>
      </c>
      <c r="AO230" s="615">
        <v>0</v>
      </c>
      <c r="AP230" s="615">
        <v>0</v>
      </c>
      <c r="AQ230" s="615">
        <v>0</v>
      </c>
      <c r="AR230" s="615">
        <v>0</v>
      </c>
      <c r="AS230" s="615">
        <v>0</v>
      </c>
      <c r="AT230" s="615">
        <v>0</v>
      </c>
      <c r="AU230" s="615">
        <v>0</v>
      </c>
      <c r="AV230" s="615">
        <v>0</v>
      </c>
      <c r="AW230" s="615">
        <v>0</v>
      </c>
      <c r="AX230" s="615">
        <v>0</v>
      </c>
      <c r="AY230" s="615">
        <v>0</v>
      </c>
      <c r="AZ230" s="615">
        <v>0</v>
      </c>
      <c r="BA230" s="615">
        <v>0</v>
      </c>
      <c r="BB230" s="615">
        <v>0</v>
      </c>
      <c r="BC230" s="615">
        <v>0</v>
      </c>
      <c r="BD230" s="615">
        <v>0</v>
      </c>
      <c r="BE230" s="615">
        <v>0</v>
      </c>
      <c r="BF230" s="615">
        <v>0</v>
      </c>
      <c r="BG230" s="615">
        <v>0</v>
      </c>
      <c r="BH230" s="615">
        <v>0</v>
      </c>
      <c r="BI230" s="615">
        <v>0</v>
      </c>
      <c r="BJ230" s="615">
        <v>0</v>
      </c>
      <c r="BK230" s="615">
        <v>0</v>
      </c>
      <c r="BL230" s="615">
        <v>0</v>
      </c>
      <c r="BM230" s="615">
        <v>0</v>
      </c>
      <c r="BN230" s="615">
        <v>0</v>
      </c>
      <c r="BO230" s="615">
        <v>0</v>
      </c>
      <c r="BP230" s="615">
        <v>0</v>
      </c>
      <c r="BQ230" s="615">
        <v>0</v>
      </c>
      <c r="BR230" s="615">
        <v>0</v>
      </c>
      <c r="BS230" s="615">
        <v>0</v>
      </c>
      <c r="BT230" s="615">
        <v>0</v>
      </c>
      <c r="BU230" s="615">
        <v>0</v>
      </c>
      <c r="BV230" s="615">
        <v>0</v>
      </c>
      <c r="BW230" s="615">
        <v>0</v>
      </c>
      <c r="BX230" s="607">
        <f t="shared" si="7"/>
        <v>0</v>
      </c>
    </row>
    <row r="231" spans="1:76" s="612" customFormat="1" ht="11.25" customHeight="1" x14ac:dyDescent="0.2">
      <c r="A231" s="907"/>
      <c r="B231" s="611" t="s">
        <v>1970</v>
      </c>
      <c r="C231" s="641" t="s">
        <v>1969</v>
      </c>
      <c r="D231" s="615"/>
      <c r="E231" s="615"/>
      <c r="F231" s="615"/>
      <c r="G231" s="615"/>
      <c r="H231" s="585"/>
      <c r="I231" s="615"/>
      <c r="J231" s="615"/>
      <c r="K231" s="615">
        <v>0</v>
      </c>
      <c r="L231" s="615">
        <v>0</v>
      </c>
      <c r="M231" s="615">
        <v>0</v>
      </c>
      <c r="N231" s="615">
        <v>0</v>
      </c>
      <c r="O231" s="615">
        <v>0</v>
      </c>
      <c r="P231" s="615">
        <v>0</v>
      </c>
      <c r="Q231" s="615">
        <v>0</v>
      </c>
      <c r="R231" s="615">
        <v>0</v>
      </c>
      <c r="S231" s="615">
        <v>0</v>
      </c>
      <c r="T231" s="615">
        <v>0</v>
      </c>
      <c r="U231" s="615">
        <v>0</v>
      </c>
      <c r="V231" s="615">
        <v>0</v>
      </c>
      <c r="W231" s="615">
        <v>0</v>
      </c>
      <c r="X231" s="615">
        <v>0</v>
      </c>
      <c r="Y231" s="615">
        <v>0</v>
      </c>
      <c r="Z231" s="615">
        <v>0</v>
      </c>
      <c r="AA231" s="615">
        <v>0</v>
      </c>
      <c r="AB231" s="615">
        <v>0</v>
      </c>
      <c r="AC231" s="615">
        <v>0</v>
      </c>
      <c r="AD231" s="615">
        <v>0</v>
      </c>
      <c r="AE231" s="615">
        <v>0</v>
      </c>
      <c r="AF231" s="615">
        <v>0</v>
      </c>
      <c r="AG231" s="615">
        <v>0</v>
      </c>
      <c r="AH231" s="615">
        <v>0</v>
      </c>
      <c r="AI231" s="615">
        <v>0</v>
      </c>
      <c r="AJ231" s="615">
        <v>0</v>
      </c>
      <c r="AK231" s="615">
        <v>0</v>
      </c>
      <c r="AL231" s="615">
        <v>0</v>
      </c>
      <c r="AM231" s="615">
        <v>0</v>
      </c>
      <c r="AN231" s="615">
        <v>0</v>
      </c>
      <c r="AO231" s="615">
        <v>0</v>
      </c>
      <c r="AP231" s="615">
        <v>0</v>
      </c>
      <c r="AQ231" s="615">
        <v>0</v>
      </c>
      <c r="AR231" s="615">
        <v>0</v>
      </c>
      <c r="AS231" s="615">
        <v>0</v>
      </c>
      <c r="AT231" s="615">
        <v>0</v>
      </c>
      <c r="AU231" s="615">
        <v>0</v>
      </c>
      <c r="AV231" s="615">
        <v>0</v>
      </c>
      <c r="AW231" s="615">
        <v>0</v>
      </c>
      <c r="AX231" s="615">
        <v>0</v>
      </c>
      <c r="AY231" s="615">
        <v>0</v>
      </c>
      <c r="AZ231" s="615">
        <v>0</v>
      </c>
      <c r="BA231" s="615">
        <v>0</v>
      </c>
      <c r="BB231" s="615">
        <v>0</v>
      </c>
      <c r="BC231" s="615">
        <v>0</v>
      </c>
      <c r="BD231" s="615">
        <v>0</v>
      </c>
      <c r="BE231" s="615">
        <v>0</v>
      </c>
      <c r="BF231" s="615">
        <v>0</v>
      </c>
      <c r="BG231" s="615">
        <v>0</v>
      </c>
      <c r="BH231" s="615">
        <v>0</v>
      </c>
      <c r="BI231" s="615">
        <v>0</v>
      </c>
      <c r="BJ231" s="615">
        <v>0</v>
      </c>
      <c r="BK231" s="615">
        <v>0</v>
      </c>
      <c r="BL231" s="615">
        <v>0</v>
      </c>
      <c r="BM231" s="615">
        <v>0</v>
      </c>
      <c r="BN231" s="615">
        <v>0</v>
      </c>
      <c r="BO231" s="615">
        <v>0</v>
      </c>
      <c r="BP231" s="615">
        <v>0</v>
      </c>
      <c r="BQ231" s="615">
        <v>0</v>
      </c>
      <c r="BR231" s="615">
        <v>0</v>
      </c>
      <c r="BS231" s="615">
        <v>0</v>
      </c>
      <c r="BT231" s="615">
        <v>0</v>
      </c>
      <c r="BU231" s="615">
        <v>0</v>
      </c>
      <c r="BV231" s="615">
        <v>0</v>
      </c>
      <c r="BW231" s="615">
        <v>0</v>
      </c>
      <c r="BX231" s="607">
        <f t="shared" si="7"/>
        <v>0</v>
      </c>
    </row>
    <row r="232" spans="1:76" s="612" customFormat="1" ht="11.25" customHeight="1" x14ac:dyDescent="0.2">
      <c r="A232" s="907"/>
      <c r="B232" s="611" t="s">
        <v>999</v>
      </c>
      <c r="C232" s="641" t="s">
        <v>1971</v>
      </c>
      <c r="D232" s="615">
        <v>0</v>
      </c>
      <c r="E232" s="615">
        <v>0</v>
      </c>
      <c r="F232" s="615">
        <v>0</v>
      </c>
      <c r="G232" s="615">
        <v>0</v>
      </c>
      <c r="H232" s="585">
        <v>0</v>
      </c>
      <c r="I232" s="615">
        <v>0</v>
      </c>
      <c r="J232" s="615">
        <v>0</v>
      </c>
      <c r="K232" s="615">
        <v>0</v>
      </c>
      <c r="L232" s="615">
        <v>0</v>
      </c>
      <c r="M232" s="615">
        <v>0</v>
      </c>
      <c r="N232" s="615">
        <v>0</v>
      </c>
      <c r="O232" s="615">
        <v>0</v>
      </c>
      <c r="P232" s="615">
        <v>0</v>
      </c>
      <c r="Q232" s="615">
        <v>0</v>
      </c>
      <c r="R232" s="615">
        <v>0</v>
      </c>
      <c r="S232" s="615">
        <v>0</v>
      </c>
      <c r="T232" s="615">
        <v>0</v>
      </c>
      <c r="U232" s="615">
        <v>0</v>
      </c>
      <c r="V232" s="615">
        <v>0</v>
      </c>
      <c r="W232" s="615">
        <v>0</v>
      </c>
      <c r="X232" s="615">
        <v>0</v>
      </c>
      <c r="Y232" s="615">
        <v>0</v>
      </c>
      <c r="Z232" s="615">
        <v>0</v>
      </c>
      <c r="AA232" s="615">
        <v>0</v>
      </c>
      <c r="AB232" s="615">
        <v>0</v>
      </c>
      <c r="AC232" s="615">
        <v>0</v>
      </c>
      <c r="AD232" s="615">
        <v>0</v>
      </c>
      <c r="AE232" s="615">
        <v>0</v>
      </c>
      <c r="AF232" s="615">
        <v>0</v>
      </c>
      <c r="AG232" s="615">
        <v>0</v>
      </c>
      <c r="AH232" s="615">
        <v>0</v>
      </c>
      <c r="AI232" s="615">
        <v>0</v>
      </c>
      <c r="AJ232" s="615">
        <v>0</v>
      </c>
      <c r="AK232" s="615">
        <v>0</v>
      </c>
      <c r="AL232" s="615">
        <v>0</v>
      </c>
      <c r="AM232" s="615">
        <v>0</v>
      </c>
      <c r="AN232" s="615">
        <v>0</v>
      </c>
      <c r="AO232" s="615">
        <v>0</v>
      </c>
      <c r="AP232" s="615">
        <v>0</v>
      </c>
      <c r="AQ232" s="615">
        <v>0</v>
      </c>
      <c r="AR232" s="615">
        <v>0</v>
      </c>
      <c r="AS232" s="615">
        <v>0</v>
      </c>
      <c r="AT232" s="615">
        <v>1491160</v>
      </c>
      <c r="AU232" s="615">
        <v>0</v>
      </c>
      <c r="AV232" s="615">
        <v>0</v>
      </c>
      <c r="AW232" s="615">
        <v>0</v>
      </c>
      <c r="AX232" s="615">
        <v>0</v>
      </c>
      <c r="AY232" s="615">
        <v>0</v>
      </c>
      <c r="AZ232" s="615">
        <v>0</v>
      </c>
      <c r="BA232" s="615">
        <v>0</v>
      </c>
      <c r="BB232" s="615">
        <v>0</v>
      </c>
      <c r="BC232" s="615">
        <v>0</v>
      </c>
      <c r="BD232" s="615">
        <v>0</v>
      </c>
      <c r="BE232" s="615">
        <v>0</v>
      </c>
      <c r="BF232" s="615">
        <v>0</v>
      </c>
      <c r="BG232" s="615">
        <v>0</v>
      </c>
      <c r="BH232" s="615">
        <v>0</v>
      </c>
      <c r="BI232" s="615">
        <v>0</v>
      </c>
      <c r="BJ232" s="615">
        <v>0</v>
      </c>
      <c r="BK232" s="615">
        <v>0</v>
      </c>
      <c r="BL232" s="615">
        <v>0</v>
      </c>
      <c r="BM232" s="615">
        <v>0</v>
      </c>
      <c r="BN232" s="615">
        <v>0</v>
      </c>
      <c r="BO232" s="615">
        <v>0</v>
      </c>
      <c r="BP232" s="615">
        <v>0</v>
      </c>
      <c r="BQ232" s="615">
        <v>0</v>
      </c>
      <c r="BR232" s="615">
        <v>0</v>
      </c>
      <c r="BS232" s="615">
        <v>0</v>
      </c>
      <c r="BT232" s="615">
        <v>0</v>
      </c>
      <c r="BU232" s="615">
        <v>0</v>
      </c>
      <c r="BV232" s="615">
        <v>0</v>
      </c>
      <c r="BW232" s="615">
        <v>0</v>
      </c>
      <c r="BX232" s="607">
        <f t="shared" si="7"/>
        <v>1491160</v>
      </c>
    </row>
    <row r="233" spans="1:76" s="612" customFormat="1" ht="11.25" customHeight="1" x14ac:dyDescent="0.2">
      <c r="A233" s="907"/>
      <c r="B233" s="611" t="s">
        <v>2613</v>
      </c>
      <c r="C233" s="641" t="s">
        <v>2612</v>
      </c>
      <c r="D233" s="615"/>
      <c r="E233" s="615"/>
      <c r="F233" s="615"/>
      <c r="G233" s="615"/>
      <c r="H233" s="585"/>
      <c r="I233" s="615"/>
      <c r="J233" s="615"/>
      <c r="K233" s="615">
        <v>0</v>
      </c>
      <c r="L233" s="615">
        <v>0</v>
      </c>
      <c r="M233" s="615">
        <v>0</v>
      </c>
      <c r="N233" s="615">
        <v>0</v>
      </c>
      <c r="O233" s="615">
        <v>0</v>
      </c>
      <c r="P233" s="615">
        <v>0</v>
      </c>
      <c r="Q233" s="615">
        <v>0</v>
      </c>
      <c r="R233" s="615">
        <v>0</v>
      </c>
      <c r="S233" s="615">
        <v>0</v>
      </c>
      <c r="T233" s="615">
        <v>0</v>
      </c>
      <c r="U233" s="615">
        <v>0</v>
      </c>
      <c r="V233" s="615">
        <v>0</v>
      </c>
      <c r="W233" s="615">
        <v>0</v>
      </c>
      <c r="X233" s="615">
        <v>0</v>
      </c>
      <c r="Y233" s="615">
        <v>0</v>
      </c>
      <c r="Z233" s="615">
        <v>0</v>
      </c>
      <c r="AA233" s="615">
        <v>0</v>
      </c>
      <c r="AB233" s="615">
        <v>0</v>
      </c>
      <c r="AC233" s="615">
        <v>0</v>
      </c>
      <c r="AD233" s="615">
        <v>0</v>
      </c>
      <c r="AE233" s="615">
        <v>0</v>
      </c>
      <c r="AF233" s="615">
        <v>0</v>
      </c>
      <c r="AG233" s="615">
        <v>0</v>
      </c>
      <c r="AH233" s="615">
        <v>0</v>
      </c>
      <c r="AI233" s="615">
        <v>0</v>
      </c>
      <c r="AJ233" s="615">
        <v>0</v>
      </c>
      <c r="AK233" s="615">
        <v>0</v>
      </c>
      <c r="AL233" s="615">
        <v>0</v>
      </c>
      <c r="AM233" s="615">
        <v>0</v>
      </c>
      <c r="AN233" s="615">
        <v>0</v>
      </c>
      <c r="AO233" s="615">
        <v>0</v>
      </c>
      <c r="AP233" s="615">
        <v>0</v>
      </c>
      <c r="AQ233" s="615">
        <v>0</v>
      </c>
      <c r="AR233" s="615">
        <v>0</v>
      </c>
      <c r="AS233" s="615">
        <v>0</v>
      </c>
      <c r="AT233" s="615">
        <v>0</v>
      </c>
      <c r="AU233" s="615">
        <v>492197</v>
      </c>
      <c r="AV233" s="615">
        <v>0</v>
      </c>
      <c r="AW233" s="615">
        <v>0</v>
      </c>
      <c r="AX233" s="615">
        <v>0</v>
      </c>
      <c r="AY233" s="615">
        <v>0</v>
      </c>
      <c r="AZ233" s="615">
        <v>0</v>
      </c>
      <c r="BA233" s="615">
        <v>0</v>
      </c>
      <c r="BB233" s="615">
        <v>0</v>
      </c>
      <c r="BC233" s="615">
        <v>0</v>
      </c>
      <c r="BD233" s="615">
        <v>0</v>
      </c>
      <c r="BE233" s="615">
        <v>0</v>
      </c>
      <c r="BF233" s="615">
        <v>0</v>
      </c>
      <c r="BG233" s="615">
        <v>0</v>
      </c>
      <c r="BH233" s="615">
        <v>0</v>
      </c>
      <c r="BI233" s="615">
        <v>0</v>
      </c>
      <c r="BJ233" s="615">
        <v>0</v>
      </c>
      <c r="BK233" s="615">
        <v>0</v>
      </c>
      <c r="BL233" s="615">
        <v>0</v>
      </c>
      <c r="BM233" s="615">
        <v>0</v>
      </c>
      <c r="BN233" s="615">
        <v>0</v>
      </c>
      <c r="BO233" s="615">
        <v>0</v>
      </c>
      <c r="BP233" s="615">
        <v>0</v>
      </c>
      <c r="BQ233" s="615">
        <v>0</v>
      </c>
      <c r="BR233" s="615">
        <v>0</v>
      </c>
      <c r="BS233" s="615">
        <v>0</v>
      </c>
      <c r="BT233" s="615">
        <v>0</v>
      </c>
      <c r="BU233" s="615">
        <v>0</v>
      </c>
      <c r="BV233" s="615">
        <v>0</v>
      </c>
      <c r="BW233" s="615">
        <v>0</v>
      </c>
      <c r="BX233" s="607">
        <f t="shared" si="7"/>
        <v>492197</v>
      </c>
    </row>
    <row r="234" spans="1:76" s="612" customFormat="1" ht="11.25" customHeight="1" x14ac:dyDescent="0.2">
      <c r="A234" s="907"/>
      <c r="B234" s="611" t="s">
        <v>991</v>
      </c>
      <c r="C234" s="641" t="s">
        <v>1972</v>
      </c>
      <c r="D234" s="615"/>
      <c r="E234" s="615"/>
      <c r="F234" s="615"/>
      <c r="G234" s="615"/>
      <c r="H234" s="585"/>
      <c r="I234" s="615"/>
      <c r="J234" s="615"/>
      <c r="K234" s="615"/>
      <c r="L234" s="615"/>
      <c r="M234" s="615"/>
      <c r="N234" s="615"/>
      <c r="O234" s="615"/>
      <c r="P234" s="615"/>
      <c r="Q234" s="615"/>
      <c r="R234" s="615"/>
      <c r="S234" s="615"/>
      <c r="T234" s="615"/>
      <c r="U234" s="615"/>
      <c r="V234" s="615">
        <v>0</v>
      </c>
      <c r="W234" s="615">
        <v>0</v>
      </c>
      <c r="X234" s="615">
        <v>0</v>
      </c>
      <c r="Y234" s="615">
        <v>0</v>
      </c>
      <c r="Z234" s="615">
        <v>0</v>
      </c>
      <c r="AA234" s="615">
        <v>0</v>
      </c>
      <c r="AB234" s="615">
        <v>0</v>
      </c>
      <c r="AC234" s="615">
        <v>0</v>
      </c>
      <c r="AD234" s="615">
        <v>0</v>
      </c>
      <c r="AE234" s="615">
        <v>0</v>
      </c>
      <c r="AF234" s="615">
        <v>0</v>
      </c>
      <c r="AG234" s="615">
        <v>0</v>
      </c>
      <c r="AH234" s="615">
        <v>0</v>
      </c>
      <c r="AI234" s="615">
        <v>0</v>
      </c>
      <c r="AJ234" s="615">
        <v>0</v>
      </c>
      <c r="AK234" s="615">
        <v>0</v>
      </c>
      <c r="AL234" s="615">
        <v>0</v>
      </c>
      <c r="AM234" s="615">
        <v>0</v>
      </c>
      <c r="AN234" s="615">
        <v>0</v>
      </c>
      <c r="AO234" s="615">
        <v>0</v>
      </c>
      <c r="AP234" s="615">
        <v>0</v>
      </c>
      <c r="AQ234" s="615">
        <v>0</v>
      </c>
      <c r="AR234" s="615">
        <v>0</v>
      </c>
      <c r="AS234" s="615">
        <v>0</v>
      </c>
      <c r="AT234" s="615">
        <v>0</v>
      </c>
      <c r="AU234" s="615">
        <v>0</v>
      </c>
      <c r="AV234" s="615">
        <v>0</v>
      </c>
      <c r="AW234" s="615">
        <v>0</v>
      </c>
      <c r="AX234" s="615">
        <v>0</v>
      </c>
      <c r="AY234" s="615">
        <v>0</v>
      </c>
      <c r="AZ234" s="615">
        <v>0</v>
      </c>
      <c r="BA234" s="615">
        <v>0</v>
      </c>
      <c r="BB234" s="615">
        <v>0</v>
      </c>
      <c r="BC234" s="615">
        <v>0</v>
      </c>
      <c r="BD234" s="615">
        <v>0</v>
      </c>
      <c r="BE234" s="615">
        <v>0</v>
      </c>
      <c r="BF234" s="615">
        <v>0</v>
      </c>
      <c r="BG234" s="615">
        <v>0</v>
      </c>
      <c r="BH234" s="615">
        <v>0</v>
      </c>
      <c r="BI234" s="615">
        <v>0</v>
      </c>
      <c r="BJ234" s="615">
        <v>0</v>
      </c>
      <c r="BK234" s="615">
        <v>0</v>
      </c>
      <c r="BL234" s="615">
        <v>0</v>
      </c>
      <c r="BM234" s="615">
        <v>0</v>
      </c>
      <c r="BN234" s="615">
        <v>0</v>
      </c>
      <c r="BO234" s="615">
        <v>0</v>
      </c>
      <c r="BP234" s="615">
        <v>0</v>
      </c>
      <c r="BQ234" s="615">
        <v>0</v>
      </c>
      <c r="BR234" s="615">
        <v>0</v>
      </c>
      <c r="BS234" s="615">
        <v>0</v>
      </c>
      <c r="BT234" s="615">
        <v>0</v>
      </c>
      <c r="BU234" s="615">
        <v>0</v>
      </c>
      <c r="BV234" s="615">
        <v>0</v>
      </c>
      <c r="BW234" s="615">
        <v>0</v>
      </c>
      <c r="BX234" s="607">
        <f t="shared" si="7"/>
        <v>0</v>
      </c>
    </row>
    <row r="235" spans="1:76" s="612" customFormat="1" ht="11.25" customHeight="1" x14ac:dyDescent="0.2">
      <c r="A235" s="907"/>
      <c r="B235" s="611" t="s">
        <v>1682</v>
      </c>
      <c r="C235" s="641" t="s">
        <v>1973</v>
      </c>
      <c r="D235" s="615"/>
      <c r="E235" s="615"/>
      <c r="F235" s="615"/>
      <c r="G235" s="615"/>
      <c r="H235" s="585"/>
      <c r="I235" s="615"/>
      <c r="J235" s="615"/>
      <c r="K235" s="615"/>
      <c r="L235" s="615"/>
      <c r="M235" s="615"/>
      <c r="N235" s="615"/>
      <c r="O235" s="615"/>
      <c r="P235" s="615"/>
      <c r="Q235" s="615"/>
      <c r="R235" s="615"/>
      <c r="S235" s="615"/>
      <c r="T235" s="615"/>
      <c r="U235" s="615"/>
      <c r="V235" s="615"/>
      <c r="W235" s="615"/>
      <c r="X235" s="615"/>
      <c r="Y235" s="615">
        <v>0</v>
      </c>
      <c r="Z235" s="615">
        <v>0</v>
      </c>
      <c r="AA235" s="615">
        <v>0</v>
      </c>
      <c r="AB235" s="615">
        <v>0</v>
      </c>
      <c r="AC235" s="615">
        <v>0</v>
      </c>
      <c r="AD235" s="615">
        <v>0</v>
      </c>
      <c r="AE235" s="615">
        <v>0</v>
      </c>
      <c r="AF235" s="615">
        <v>0</v>
      </c>
      <c r="AG235" s="615">
        <v>0</v>
      </c>
      <c r="AH235" s="615">
        <v>0</v>
      </c>
      <c r="AI235" s="615">
        <v>0</v>
      </c>
      <c r="AJ235" s="615">
        <v>0</v>
      </c>
      <c r="AK235" s="615">
        <v>0</v>
      </c>
      <c r="AL235" s="615">
        <v>0</v>
      </c>
      <c r="AM235" s="615">
        <v>0</v>
      </c>
      <c r="AN235" s="615">
        <v>0</v>
      </c>
      <c r="AO235" s="615">
        <v>0</v>
      </c>
      <c r="AP235" s="615">
        <v>0</v>
      </c>
      <c r="AQ235" s="615">
        <v>0</v>
      </c>
      <c r="AR235" s="615">
        <v>0</v>
      </c>
      <c r="AS235" s="615">
        <v>0</v>
      </c>
      <c r="AT235" s="615">
        <v>0</v>
      </c>
      <c r="AU235" s="615">
        <v>0</v>
      </c>
      <c r="AV235" s="615">
        <v>0</v>
      </c>
      <c r="AW235" s="615">
        <v>0</v>
      </c>
      <c r="AX235" s="615">
        <v>0</v>
      </c>
      <c r="AY235" s="615">
        <v>0</v>
      </c>
      <c r="AZ235" s="615">
        <v>0</v>
      </c>
      <c r="BA235" s="615">
        <v>0</v>
      </c>
      <c r="BB235" s="615">
        <v>0</v>
      </c>
      <c r="BC235" s="615">
        <v>0</v>
      </c>
      <c r="BD235" s="615">
        <v>0</v>
      </c>
      <c r="BE235" s="615">
        <v>0</v>
      </c>
      <c r="BF235" s="615">
        <v>0</v>
      </c>
      <c r="BG235" s="615">
        <v>0</v>
      </c>
      <c r="BH235" s="615">
        <v>0</v>
      </c>
      <c r="BI235" s="615">
        <v>0</v>
      </c>
      <c r="BJ235" s="615">
        <v>0</v>
      </c>
      <c r="BK235" s="615">
        <v>0</v>
      </c>
      <c r="BL235" s="615">
        <v>0</v>
      </c>
      <c r="BM235" s="615">
        <v>0</v>
      </c>
      <c r="BN235" s="615">
        <v>0</v>
      </c>
      <c r="BO235" s="615">
        <v>0</v>
      </c>
      <c r="BP235" s="615">
        <v>0</v>
      </c>
      <c r="BQ235" s="615">
        <v>0</v>
      </c>
      <c r="BR235" s="615">
        <v>0</v>
      </c>
      <c r="BS235" s="615">
        <v>0</v>
      </c>
      <c r="BT235" s="615">
        <v>0</v>
      </c>
      <c r="BU235" s="615">
        <v>0</v>
      </c>
      <c r="BV235" s="615">
        <v>0</v>
      </c>
      <c r="BW235" s="615">
        <v>0</v>
      </c>
      <c r="BX235" s="607">
        <f t="shared" si="7"/>
        <v>0</v>
      </c>
    </row>
    <row r="236" spans="1:76" s="612" customFormat="1" ht="11.25" customHeight="1" x14ac:dyDescent="0.2">
      <c r="A236" s="907"/>
      <c r="B236" s="611" t="s">
        <v>1681</v>
      </c>
      <c r="C236" s="641" t="s">
        <v>1974</v>
      </c>
      <c r="D236" s="615"/>
      <c r="E236" s="615"/>
      <c r="F236" s="615"/>
      <c r="G236" s="615"/>
      <c r="H236" s="585"/>
      <c r="I236" s="615"/>
      <c r="J236" s="615"/>
      <c r="K236" s="615"/>
      <c r="L236" s="615"/>
      <c r="M236" s="615"/>
      <c r="N236" s="615"/>
      <c r="O236" s="615"/>
      <c r="P236" s="615"/>
      <c r="Q236" s="615"/>
      <c r="R236" s="615"/>
      <c r="S236" s="615"/>
      <c r="T236" s="615"/>
      <c r="U236" s="615"/>
      <c r="V236" s="615"/>
      <c r="W236" s="615"/>
      <c r="X236" s="615"/>
      <c r="Y236" s="615">
        <v>0</v>
      </c>
      <c r="Z236" s="615">
        <v>0</v>
      </c>
      <c r="AA236" s="615">
        <v>0</v>
      </c>
      <c r="AB236" s="615">
        <v>0</v>
      </c>
      <c r="AC236" s="615">
        <v>0</v>
      </c>
      <c r="AD236" s="615">
        <v>0</v>
      </c>
      <c r="AE236" s="615">
        <v>0</v>
      </c>
      <c r="AF236" s="615">
        <v>0</v>
      </c>
      <c r="AG236" s="615">
        <v>0</v>
      </c>
      <c r="AH236" s="615">
        <v>0</v>
      </c>
      <c r="AI236" s="615">
        <v>0</v>
      </c>
      <c r="AJ236" s="615">
        <v>0</v>
      </c>
      <c r="AK236" s="615">
        <v>0</v>
      </c>
      <c r="AL236" s="615">
        <v>0</v>
      </c>
      <c r="AM236" s="615">
        <v>0</v>
      </c>
      <c r="AN236" s="615">
        <v>0</v>
      </c>
      <c r="AO236" s="615">
        <v>0</v>
      </c>
      <c r="AP236" s="615">
        <v>0</v>
      </c>
      <c r="AQ236" s="615">
        <v>0</v>
      </c>
      <c r="AR236" s="615">
        <v>0</v>
      </c>
      <c r="AS236" s="615">
        <v>0</v>
      </c>
      <c r="AT236" s="615">
        <v>0</v>
      </c>
      <c r="AU236" s="615">
        <v>0</v>
      </c>
      <c r="AV236" s="615">
        <v>0</v>
      </c>
      <c r="AW236" s="615">
        <v>585812</v>
      </c>
      <c r="AX236" s="615">
        <v>0</v>
      </c>
      <c r="AY236" s="615">
        <v>0</v>
      </c>
      <c r="AZ236" s="615">
        <v>0</v>
      </c>
      <c r="BA236" s="615">
        <v>0</v>
      </c>
      <c r="BB236" s="615">
        <v>0</v>
      </c>
      <c r="BC236" s="615">
        <v>0</v>
      </c>
      <c r="BD236" s="615">
        <v>0</v>
      </c>
      <c r="BE236" s="615">
        <v>0</v>
      </c>
      <c r="BF236" s="615">
        <v>0</v>
      </c>
      <c r="BG236" s="615">
        <v>0</v>
      </c>
      <c r="BH236" s="615">
        <v>0</v>
      </c>
      <c r="BI236" s="615">
        <v>0</v>
      </c>
      <c r="BJ236" s="615">
        <v>0</v>
      </c>
      <c r="BK236" s="615">
        <v>0</v>
      </c>
      <c r="BL236" s="615">
        <v>0</v>
      </c>
      <c r="BM236" s="615">
        <v>0</v>
      </c>
      <c r="BN236" s="615">
        <v>0</v>
      </c>
      <c r="BO236" s="615">
        <v>0</v>
      </c>
      <c r="BP236" s="615">
        <v>0</v>
      </c>
      <c r="BQ236" s="615">
        <v>0</v>
      </c>
      <c r="BR236" s="615">
        <v>0</v>
      </c>
      <c r="BS236" s="615">
        <v>0</v>
      </c>
      <c r="BT236" s="615">
        <v>0</v>
      </c>
      <c r="BU236" s="615">
        <v>0</v>
      </c>
      <c r="BV236" s="615">
        <v>0</v>
      </c>
      <c r="BW236" s="615">
        <v>0</v>
      </c>
      <c r="BX236" s="607">
        <f t="shared" si="7"/>
        <v>585812</v>
      </c>
    </row>
    <row r="237" spans="1:76" s="612" customFormat="1" ht="11.25" customHeight="1" x14ac:dyDescent="0.2">
      <c r="A237" s="907"/>
      <c r="B237" s="611" t="s">
        <v>3132</v>
      </c>
      <c r="C237" s="641" t="s">
        <v>2953</v>
      </c>
      <c r="D237" s="615"/>
      <c r="E237" s="615"/>
      <c r="F237" s="615"/>
      <c r="G237" s="615"/>
      <c r="H237" s="585"/>
      <c r="I237" s="615"/>
      <c r="J237" s="615"/>
      <c r="K237" s="615"/>
      <c r="L237" s="615"/>
      <c r="M237" s="615"/>
      <c r="N237" s="615"/>
      <c r="O237" s="615"/>
      <c r="P237" s="615"/>
      <c r="Q237" s="615"/>
      <c r="R237" s="615"/>
      <c r="S237" s="615"/>
      <c r="T237" s="615"/>
      <c r="U237" s="615"/>
      <c r="V237" s="615"/>
      <c r="W237" s="615"/>
      <c r="X237" s="615"/>
      <c r="Y237" s="615">
        <v>0</v>
      </c>
      <c r="Z237" s="615">
        <v>0</v>
      </c>
      <c r="AA237" s="615">
        <v>0</v>
      </c>
      <c r="AB237" s="615">
        <v>0</v>
      </c>
      <c r="AC237" s="615">
        <v>0</v>
      </c>
      <c r="AD237" s="615">
        <v>0</v>
      </c>
      <c r="AE237" s="615">
        <v>0</v>
      </c>
      <c r="AF237" s="615">
        <v>0</v>
      </c>
      <c r="AG237" s="615">
        <v>0</v>
      </c>
      <c r="AH237" s="615">
        <v>0</v>
      </c>
      <c r="AI237" s="615">
        <v>0</v>
      </c>
      <c r="AJ237" s="615">
        <v>0</v>
      </c>
      <c r="AK237" s="615">
        <v>0</v>
      </c>
      <c r="AL237" s="615">
        <v>0</v>
      </c>
      <c r="AM237" s="615">
        <v>0</v>
      </c>
      <c r="AN237" s="615">
        <v>0</v>
      </c>
      <c r="AO237" s="615">
        <v>0</v>
      </c>
      <c r="AP237" s="615">
        <v>0</v>
      </c>
      <c r="AQ237" s="615">
        <v>0</v>
      </c>
      <c r="AR237" s="615">
        <v>0</v>
      </c>
      <c r="AS237" s="615">
        <v>0</v>
      </c>
      <c r="AT237" s="615">
        <v>0</v>
      </c>
      <c r="AU237" s="615">
        <v>0</v>
      </c>
      <c r="AV237" s="615">
        <v>1152000</v>
      </c>
      <c r="AW237" s="615">
        <v>0</v>
      </c>
      <c r="AX237" s="615">
        <v>0</v>
      </c>
      <c r="AY237" s="615">
        <v>0</v>
      </c>
      <c r="AZ237" s="615">
        <v>0</v>
      </c>
      <c r="BA237" s="615">
        <v>0</v>
      </c>
      <c r="BB237" s="615">
        <v>0</v>
      </c>
      <c r="BC237" s="615">
        <v>0</v>
      </c>
      <c r="BD237" s="615">
        <v>0</v>
      </c>
      <c r="BE237" s="615">
        <v>0</v>
      </c>
      <c r="BF237" s="615">
        <v>0</v>
      </c>
      <c r="BG237" s="615">
        <v>0</v>
      </c>
      <c r="BH237" s="615">
        <v>0</v>
      </c>
      <c r="BI237" s="615">
        <v>0</v>
      </c>
      <c r="BJ237" s="615">
        <v>0</v>
      </c>
      <c r="BK237" s="615">
        <v>0</v>
      </c>
      <c r="BL237" s="615">
        <v>0</v>
      </c>
      <c r="BM237" s="615">
        <v>0</v>
      </c>
      <c r="BN237" s="615">
        <v>0</v>
      </c>
      <c r="BO237" s="615">
        <v>0</v>
      </c>
      <c r="BP237" s="615">
        <v>0</v>
      </c>
      <c r="BQ237" s="615">
        <v>0</v>
      </c>
      <c r="BR237" s="615">
        <v>0</v>
      </c>
      <c r="BS237" s="615">
        <v>0</v>
      </c>
      <c r="BT237" s="615">
        <v>0</v>
      </c>
      <c r="BU237" s="615">
        <v>0</v>
      </c>
      <c r="BV237" s="615">
        <v>0</v>
      </c>
      <c r="BW237" s="615">
        <v>0</v>
      </c>
      <c r="BX237" s="607">
        <f t="shared" si="7"/>
        <v>1152000</v>
      </c>
    </row>
    <row r="238" spans="1:76" s="612" customFormat="1" ht="11.25" customHeight="1" x14ac:dyDescent="0.2">
      <c r="A238" s="907"/>
      <c r="B238" s="611" t="s">
        <v>2954</v>
      </c>
      <c r="C238" s="641" t="s">
        <v>1975</v>
      </c>
      <c r="D238" s="615"/>
      <c r="E238" s="615"/>
      <c r="F238" s="615"/>
      <c r="G238" s="615"/>
      <c r="H238" s="585"/>
      <c r="I238" s="615"/>
      <c r="J238" s="615"/>
      <c r="K238" s="615"/>
      <c r="L238" s="615"/>
      <c r="M238" s="615"/>
      <c r="N238" s="615"/>
      <c r="O238" s="615"/>
      <c r="P238" s="615"/>
      <c r="Q238" s="615"/>
      <c r="R238" s="615"/>
      <c r="S238" s="615"/>
      <c r="T238" s="615"/>
      <c r="U238" s="615"/>
      <c r="V238" s="615">
        <v>0</v>
      </c>
      <c r="W238" s="615">
        <v>0</v>
      </c>
      <c r="X238" s="615">
        <v>0</v>
      </c>
      <c r="Y238" s="615">
        <v>0</v>
      </c>
      <c r="Z238" s="615">
        <v>0</v>
      </c>
      <c r="AA238" s="615">
        <v>0</v>
      </c>
      <c r="AB238" s="615">
        <v>0</v>
      </c>
      <c r="AC238" s="615">
        <v>0</v>
      </c>
      <c r="AD238" s="615">
        <v>0</v>
      </c>
      <c r="AE238" s="615">
        <v>0</v>
      </c>
      <c r="AF238" s="615">
        <v>0</v>
      </c>
      <c r="AG238" s="615">
        <v>0</v>
      </c>
      <c r="AH238" s="615">
        <v>0</v>
      </c>
      <c r="AI238" s="615">
        <v>0</v>
      </c>
      <c r="AJ238" s="615">
        <v>0</v>
      </c>
      <c r="AK238" s="615">
        <v>0</v>
      </c>
      <c r="AL238" s="615">
        <v>0</v>
      </c>
      <c r="AM238" s="615">
        <v>0</v>
      </c>
      <c r="AN238" s="615">
        <v>0</v>
      </c>
      <c r="AO238" s="615">
        <v>0</v>
      </c>
      <c r="AP238" s="615">
        <v>0</v>
      </c>
      <c r="AQ238" s="615">
        <v>0</v>
      </c>
      <c r="AR238" s="615">
        <v>0</v>
      </c>
      <c r="AS238" s="615">
        <v>0</v>
      </c>
      <c r="AT238" s="615">
        <v>0</v>
      </c>
      <c r="AU238" s="615">
        <v>0</v>
      </c>
      <c r="AV238" s="615">
        <v>0</v>
      </c>
      <c r="AW238" s="615">
        <v>0</v>
      </c>
      <c r="AX238" s="615">
        <v>0</v>
      </c>
      <c r="AY238" s="615">
        <v>0</v>
      </c>
      <c r="AZ238" s="615">
        <v>0</v>
      </c>
      <c r="BA238" s="615">
        <v>0</v>
      </c>
      <c r="BB238" s="615">
        <v>0</v>
      </c>
      <c r="BC238" s="615">
        <v>0</v>
      </c>
      <c r="BD238" s="615">
        <v>0</v>
      </c>
      <c r="BE238" s="615">
        <v>0</v>
      </c>
      <c r="BF238" s="615">
        <v>0</v>
      </c>
      <c r="BG238" s="615">
        <v>0</v>
      </c>
      <c r="BH238" s="615">
        <v>0</v>
      </c>
      <c r="BI238" s="615">
        <v>0</v>
      </c>
      <c r="BJ238" s="615">
        <v>0</v>
      </c>
      <c r="BK238" s="615">
        <v>0</v>
      </c>
      <c r="BL238" s="615">
        <v>0</v>
      </c>
      <c r="BM238" s="615">
        <v>0</v>
      </c>
      <c r="BN238" s="615">
        <v>0</v>
      </c>
      <c r="BO238" s="615">
        <v>0</v>
      </c>
      <c r="BP238" s="615">
        <v>0</v>
      </c>
      <c r="BQ238" s="615">
        <v>0</v>
      </c>
      <c r="BR238" s="615">
        <v>0</v>
      </c>
      <c r="BS238" s="615">
        <v>0</v>
      </c>
      <c r="BT238" s="615">
        <v>0</v>
      </c>
      <c r="BU238" s="615">
        <v>0</v>
      </c>
      <c r="BV238" s="615">
        <v>0</v>
      </c>
      <c r="BW238" s="615">
        <v>0</v>
      </c>
      <c r="BX238" s="607">
        <f t="shared" si="7"/>
        <v>0</v>
      </c>
    </row>
    <row r="239" spans="1:76" s="612" customFormat="1" ht="11.25" customHeight="1" x14ac:dyDescent="0.2">
      <c r="A239" s="907"/>
      <c r="B239" s="611" t="s">
        <v>3264</v>
      </c>
      <c r="C239" s="641" t="s">
        <v>3263</v>
      </c>
      <c r="D239" s="615"/>
      <c r="E239" s="615"/>
      <c r="F239" s="615"/>
      <c r="G239" s="615"/>
      <c r="H239" s="585"/>
      <c r="I239" s="615"/>
      <c r="J239" s="615"/>
      <c r="K239" s="615"/>
      <c r="L239" s="615"/>
      <c r="M239" s="615"/>
      <c r="N239" s="615"/>
      <c r="O239" s="615"/>
      <c r="P239" s="615"/>
      <c r="Q239" s="615"/>
      <c r="R239" s="615"/>
      <c r="S239" s="615"/>
      <c r="T239" s="615"/>
      <c r="U239" s="615"/>
      <c r="V239" s="615"/>
      <c r="W239" s="615"/>
      <c r="X239" s="615"/>
      <c r="Y239" s="615">
        <v>0</v>
      </c>
      <c r="Z239" s="615">
        <v>0</v>
      </c>
      <c r="AA239" s="615">
        <v>0</v>
      </c>
      <c r="AB239" s="615">
        <v>0</v>
      </c>
      <c r="AC239" s="615">
        <v>0</v>
      </c>
      <c r="AD239" s="615">
        <v>0</v>
      </c>
      <c r="AE239" s="615">
        <v>0</v>
      </c>
      <c r="AF239" s="615">
        <v>0</v>
      </c>
      <c r="AG239" s="615">
        <v>0</v>
      </c>
      <c r="AH239" s="615">
        <v>0</v>
      </c>
      <c r="AI239" s="615">
        <v>0</v>
      </c>
      <c r="AJ239" s="615">
        <v>0</v>
      </c>
      <c r="AK239" s="615">
        <v>0</v>
      </c>
      <c r="AL239" s="615">
        <v>0</v>
      </c>
      <c r="AM239" s="615">
        <v>0</v>
      </c>
      <c r="AN239" s="615">
        <v>0</v>
      </c>
      <c r="AO239" s="615">
        <v>0</v>
      </c>
      <c r="AP239" s="615">
        <v>0</v>
      </c>
      <c r="AQ239" s="615">
        <v>0</v>
      </c>
      <c r="AR239" s="615">
        <v>0</v>
      </c>
      <c r="AS239" s="615">
        <v>0</v>
      </c>
      <c r="AT239" s="615">
        <v>0</v>
      </c>
      <c r="AU239" s="615">
        <v>0</v>
      </c>
      <c r="AV239" s="615">
        <v>20000000</v>
      </c>
      <c r="AW239" s="615">
        <v>302862000</v>
      </c>
      <c r="AX239" s="615">
        <v>0</v>
      </c>
      <c r="AY239" s="615">
        <v>0</v>
      </c>
      <c r="AZ239" s="615">
        <v>0</v>
      </c>
      <c r="BA239" s="615">
        <v>0</v>
      </c>
      <c r="BB239" s="615">
        <v>0</v>
      </c>
      <c r="BC239" s="615">
        <v>0</v>
      </c>
      <c r="BD239" s="615">
        <v>0</v>
      </c>
      <c r="BE239" s="615">
        <v>0</v>
      </c>
      <c r="BF239" s="615">
        <v>0</v>
      </c>
      <c r="BG239" s="615">
        <v>0</v>
      </c>
      <c r="BH239" s="615">
        <v>0</v>
      </c>
      <c r="BI239" s="615">
        <v>0</v>
      </c>
      <c r="BJ239" s="615">
        <v>0</v>
      </c>
      <c r="BK239" s="615">
        <v>0</v>
      </c>
      <c r="BL239" s="615">
        <v>0</v>
      </c>
      <c r="BM239" s="615">
        <v>0</v>
      </c>
      <c r="BN239" s="615">
        <v>0</v>
      </c>
      <c r="BO239" s="615">
        <v>0</v>
      </c>
      <c r="BP239" s="615">
        <v>0</v>
      </c>
      <c r="BQ239" s="615">
        <v>0</v>
      </c>
      <c r="BR239" s="615">
        <v>0</v>
      </c>
      <c r="BS239" s="615">
        <v>0</v>
      </c>
      <c r="BT239" s="615">
        <v>0</v>
      </c>
      <c r="BU239" s="615">
        <v>0</v>
      </c>
      <c r="BV239" s="615">
        <v>0</v>
      </c>
      <c r="BW239" s="615">
        <v>0</v>
      </c>
      <c r="BX239" s="607">
        <f t="shared" si="7"/>
        <v>322862000</v>
      </c>
    </row>
    <row r="240" spans="1:76" s="612" customFormat="1" ht="11.25" customHeight="1" x14ac:dyDescent="0.2">
      <c r="A240" s="907"/>
      <c r="B240" s="611" t="s">
        <v>1727</v>
      </c>
      <c r="C240" s="641" t="s">
        <v>1976</v>
      </c>
      <c r="D240" s="615"/>
      <c r="E240" s="615"/>
      <c r="F240" s="615"/>
      <c r="G240" s="615"/>
      <c r="H240" s="585"/>
      <c r="I240" s="615"/>
      <c r="J240" s="615"/>
      <c r="K240" s="615"/>
      <c r="L240" s="615"/>
      <c r="M240" s="615"/>
      <c r="N240" s="615"/>
      <c r="O240" s="615"/>
      <c r="P240" s="615"/>
      <c r="Q240" s="615"/>
      <c r="R240" s="615"/>
      <c r="S240" s="615"/>
      <c r="T240" s="615"/>
      <c r="U240" s="615"/>
      <c r="V240" s="615"/>
      <c r="W240" s="615"/>
      <c r="X240" s="615"/>
      <c r="Y240" s="615">
        <v>0</v>
      </c>
      <c r="Z240" s="615">
        <v>0</v>
      </c>
      <c r="AA240" s="615">
        <v>0</v>
      </c>
      <c r="AB240" s="615">
        <v>0</v>
      </c>
      <c r="AC240" s="615">
        <v>0</v>
      </c>
      <c r="AD240" s="615">
        <v>0</v>
      </c>
      <c r="AE240" s="615">
        <v>0</v>
      </c>
      <c r="AF240" s="615">
        <v>0</v>
      </c>
      <c r="AG240" s="615">
        <v>0</v>
      </c>
      <c r="AH240" s="615">
        <v>0</v>
      </c>
      <c r="AI240" s="615">
        <v>0</v>
      </c>
      <c r="AJ240" s="615">
        <v>0</v>
      </c>
      <c r="AK240" s="615">
        <v>0</v>
      </c>
      <c r="AL240" s="615">
        <v>0</v>
      </c>
      <c r="AM240" s="615">
        <v>0</v>
      </c>
      <c r="AN240" s="615">
        <v>0</v>
      </c>
      <c r="AO240" s="615">
        <v>0</v>
      </c>
      <c r="AP240" s="615">
        <v>0</v>
      </c>
      <c r="AQ240" s="615">
        <v>0</v>
      </c>
      <c r="AR240" s="615">
        <v>0</v>
      </c>
      <c r="AS240" s="615">
        <v>0</v>
      </c>
      <c r="AT240" s="615">
        <v>0</v>
      </c>
      <c r="AU240" s="615">
        <v>0</v>
      </c>
      <c r="AV240" s="615">
        <v>0</v>
      </c>
      <c r="AW240" s="615">
        <v>0</v>
      </c>
      <c r="AX240" s="615">
        <v>0</v>
      </c>
      <c r="AY240" s="615">
        <v>0</v>
      </c>
      <c r="AZ240" s="615">
        <v>0</v>
      </c>
      <c r="BA240" s="615">
        <v>0</v>
      </c>
      <c r="BB240" s="615">
        <v>0</v>
      </c>
      <c r="BC240" s="615">
        <v>0</v>
      </c>
      <c r="BD240" s="615">
        <v>0</v>
      </c>
      <c r="BE240" s="615">
        <v>0</v>
      </c>
      <c r="BF240" s="615">
        <v>0</v>
      </c>
      <c r="BG240" s="615">
        <v>0</v>
      </c>
      <c r="BH240" s="615">
        <v>0</v>
      </c>
      <c r="BI240" s="615">
        <v>0</v>
      </c>
      <c r="BJ240" s="615">
        <v>0</v>
      </c>
      <c r="BK240" s="615">
        <v>0</v>
      </c>
      <c r="BL240" s="615">
        <v>0</v>
      </c>
      <c r="BM240" s="615">
        <v>0</v>
      </c>
      <c r="BN240" s="615">
        <v>0</v>
      </c>
      <c r="BO240" s="615">
        <v>0</v>
      </c>
      <c r="BP240" s="615">
        <v>0</v>
      </c>
      <c r="BQ240" s="615">
        <v>0</v>
      </c>
      <c r="BR240" s="615">
        <v>0</v>
      </c>
      <c r="BS240" s="615">
        <v>0</v>
      </c>
      <c r="BT240" s="615">
        <v>0</v>
      </c>
      <c r="BU240" s="615">
        <v>0</v>
      </c>
      <c r="BV240" s="615">
        <v>0</v>
      </c>
      <c r="BW240" s="615">
        <v>0</v>
      </c>
      <c r="BX240" s="607">
        <f t="shared" si="7"/>
        <v>0</v>
      </c>
    </row>
    <row r="241" spans="1:76" s="612" customFormat="1" ht="11.25" customHeight="1" x14ac:dyDescent="0.2">
      <c r="A241" s="907"/>
      <c r="B241" s="611" t="s">
        <v>3337</v>
      </c>
      <c r="C241" s="641" t="s">
        <v>3336</v>
      </c>
      <c r="D241" s="615"/>
      <c r="E241" s="615"/>
      <c r="F241" s="615"/>
      <c r="G241" s="615"/>
      <c r="H241" s="585"/>
      <c r="I241" s="615"/>
      <c r="J241" s="615"/>
      <c r="K241" s="615"/>
      <c r="L241" s="615"/>
      <c r="M241" s="615"/>
      <c r="N241" s="615"/>
      <c r="O241" s="615"/>
      <c r="P241" s="615"/>
      <c r="Q241" s="615"/>
      <c r="R241" s="615"/>
      <c r="S241" s="615"/>
      <c r="T241" s="615"/>
      <c r="U241" s="615"/>
      <c r="V241" s="615"/>
      <c r="W241" s="615"/>
      <c r="X241" s="615"/>
      <c r="Y241" s="615">
        <v>0</v>
      </c>
      <c r="Z241" s="615">
        <v>0</v>
      </c>
      <c r="AA241" s="615">
        <v>0</v>
      </c>
      <c r="AB241" s="615">
        <v>0</v>
      </c>
      <c r="AC241" s="615">
        <v>0</v>
      </c>
      <c r="AD241" s="615">
        <v>0</v>
      </c>
      <c r="AE241" s="615">
        <v>0</v>
      </c>
      <c r="AF241" s="615">
        <v>0</v>
      </c>
      <c r="AG241" s="615">
        <v>0</v>
      </c>
      <c r="AH241" s="615">
        <v>0</v>
      </c>
      <c r="AI241" s="615">
        <v>0</v>
      </c>
      <c r="AJ241" s="615">
        <v>0</v>
      </c>
      <c r="AK241" s="615">
        <v>0</v>
      </c>
      <c r="AL241" s="615">
        <v>0</v>
      </c>
      <c r="AM241" s="615">
        <v>0</v>
      </c>
      <c r="AN241" s="615">
        <v>0</v>
      </c>
      <c r="AO241" s="615">
        <v>0</v>
      </c>
      <c r="AP241" s="615">
        <v>0</v>
      </c>
      <c r="AQ241" s="615">
        <v>0</v>
      </c>
      <c r="AR241" s="615">
        <v>0</v>
      </c>
      <c r="AS241" s="615">
        <v>0</v>
      </c>
      <c r="AT241" s="615">
        <v>0</v>
      </c>
      <c r="AU241" s="615">
        <v>356869512</v>
      </c>
      <c r="AV241" s="615">
        <v>0</v>
      </c>
      <c r="AW241" s="615">
        <v>0</v>
      </c>
      <c r="AX241" s="615">
        <v>0</v>
      </c>
      <c r="AY241" s="615">
        <v>0</v>
      </c>
      <c r="AZ241" s="615">
        <v>0</v>
      </c>
      <c r="BA241" s="615">
        <v>0</v>
      </c>
      <c r="BB241" s="615">
        <v>0</v>
      </c>
      <c r="BC241" s="615">
        <v>0</v>
      </c>
      <c r="BD241" s="615">
        <v>0</v>
      </c>
      <c r="BE241" s="615">
        <v>0</v>
      </c>
      <c r="BF241" s="615">
        <v>0</v>
      </c>
      <c r="BG241" s="615">
        <v>0</v>
      </c>
      <c r="BH241" s="615">
        <v>0</v>
      </c>
      <c r="BI241" s="615">
        <v>0</v>
      </c>
      <c r="BJ241" s="615">
        <v>0</v>
      </c>
      <c r="BK241" s="615">
        <v>0</v>
      </c>
      <c r="BL241" s="615">
        <v>0</v>
      </c>
      <c r="BM241" s="615">
        <v>0</v>
      </c>
      <c r="BN241" s="615">
        <v>0</v>
      </c>
      <c r="BO241" s="615">
        <v>0</v>
      </c>
      <c r="BP241" s="615">
        <v>0</v>
      </c>
      <c r="BQ241" s="615">
        <v>0</v>
      </c>
      <c r="BR241" s="615">
        <v>0</v>
      </c>
      <c r="BS241" s="615">
        <v>0</v>
      </c>
      <c r="BT241" s="615">
        <v>0</v>
      </c>
      <c r="BU241" s="615">
        <v>0</v>
      </c>
      <c r="BV241" s="615">
        <v>0</v>
      </c>
      <c r="BW241" s="615">
        <v>0</v>
      </c>
      <c r="BX241" s="607">
        <f t="shared" si="7"/>
        <v>356869512</v>
      </c>
    </row>
    <row r="242" spans="1:76" s="612" customFormat="1" ht="11.25" customHeight="1" x14ac:dyDescent="0.2">
      <c r="A242" s="907"/>
      <c r="B242" s="611" t="s">
        <v>2955</v>
      </c>
      <c r="C242" s="641" t="s">
        <v>1977</v>
      </c>
      <c r="D242" s="615"/>
      <c r="E242" s="615"/>
      <c r="F242" s="615"/>
      <c r="G242" s="615"/>
      <c r="H242" s="585"/>
      <c r="I242" s="615"/>
      <c r="J242" s="615"/>
      <c r="K242" s="615"/>
      <c r="L242" s="615"/>
      <c r="M242" s="615"/>
      <c r="N242" s="615"/>
      <c r="O242" s="615"/>
      <c r="P242" s="615"/>
      <c r="Q242" s="615"/>
      <c r="R242" s="615"/>
      <c r="S242" s="615"/>
      <c r="T242" s="615"/>
      <c r="U242" s="615"/>
      <c r="V242" s="615"/>
      <c r="W242" s="615"/>
      <c r="X242" s="615"/>
      <c r="Y242" s="615">
        <v>0</v>
      </c>
      <c r="Z242" s="615">
        <v>0</v>
      </c>
      <c r="AA242" s="615">
        <v>0</v>
      </c>
      <c r="AB242" s="615">
        <v>0</v>
      </c>
      <c r="AC242" s="615">
        <v>0</v>
      </c>
      <c r="AD242" s="615">
        <v>0</v>
      </c>
      <c r="AE242" s="615">
        <v>0</v>
      </c>
      <c r="AF242" s="615">
        <v>0</v>
      </c>
      <c r="AG242" s="615">
        <v>0</v>
      </c>
      <c r="AH242" s="615">
        <v>0</v>
      </c>
      <c r="AI242" s="615">
        <v>0</v>
      </c>
      <c r="AJ242" s="615">
        <v>0</v>
      </c>
      <c r="AK242" s="615">
        <v>0</v>
      </c>
      <c r="AL242" s="615">
        <v>0</v>
      </c>
      <c r="AM242" s="615">
        <v>0</v>
      </c>
      <c r="AN242" s="615">
        <v>0</v>
      </c>
      <c r="AO242" s="615">
        <v>0</v>
      </c>
      <c r="AP242" s="615">
        <v>0</v>
      </c>
      <c r="AQ242" s="615">
        <v>0</v>
      </c>
      <c r="AR242" s="615">
        <v>0</v>
      </c>
      <c r="AS242" s="615">
        <v>0</v>
      </c>
      <c r="AT242" s="615">
        <v>0</v>
      </c>
      <c r="AU242" s="615">
        <v>0</v>
      </c>
      <c r="AV242" s="615">
        <v>0</v>
      </c>
      <c r="AW242" s="615">
        <v>0</v>
      </c>
      <c r="AX242" s="615">
        <v>0</v>
      </c>
      <c r="AY242" s="615">
        <v>0</v>
      </c>
      <c r="AZ242" s="615">
        <v>0</v>
      </c>
      <c r="BA242" s="615">
        <v>0</v>
      </c>
      <c r="BB242" s="615">
        <v>0</v>
      </c>
      <c r="BC242" s="615">
        <v>0</v>
      </c>
      <c r="BD242" s="615">
        <v>0</v>
      </c>
      <c r="BE242" s="615">
        <v>0</v>
      </c>
      <c r="BF242" s="615">
        <v>0</v>
      </c>
      <c r="BG242" s="615">
        <v>0</v>
      </c>
      <c r="BH242" s="615">
        <v>0</v>
      </c>
      <c r="BI242" s="615">
        <v>0</v>
      </c>
      <c r="BJ242" s="615">
        <v>0</v>
      </c>
      <c r="BK242" s="615">
        <v>0</v>
      </c>
      <c r="BL242" s="615">
        <v>0</v>
      </c>
      <c r="BM242" s="615">
        <v>0</v>
      </c>
      <c r="BN242" s="615">
        <v>0</v>
      </c>
      <c r="BO242" s="615">
        <v>0</v>
      </c>
      <c r="BP242" s="615">
        <v>0</v>
      </c>
      <c r="BQ242" s="615">
        <v>0</v>
      </c>
      <c r="BR242" s="615">
        <v>0</v>
      </c>
      <c r="BS242" s="615">
        <v>0</v>
      </c>
      <c r="BT242" s="615">
        <v>0</v>
      </c>
      <c r="BU242" s="615">
        <v>0</v>
      </c>
      <c r="BV242" s="615">
        <v>0</v>
      </c>
      <c r="BW242" s="615">
        <v>0</v>
      </c>
      <c r="BX242" s="607">
        <f t="shared" si="7"/>
        <v>0</v>
      </c>
    </row>
    <row r="243" spans="1:76" s="612" customFormat="1" ht="11.25" customHeight="1" x14ac:dyDescent="0.2">
      <c r="A243" s="907"/>
      <c r="B243" s="611" t="s">
        <v>1668</v>
      </c>
      <c r="C243" s="641" t="s">
        <v>1978</v>
      </c>
      <c r="D243" s="615"/>
      <c r="E243" s="615"/>
      <c r="F243" s="615"/>
      <c r="G243" s="615"/>
      <c r="H243" s="585"/>
      <c r="I243" s="615"/>
      <c r="J243" s="615"/>
      <c r="K243" s="615"/>
      <c r="L243" s="615"/>
      <c r="M243" s="615"/>
      <c r="N243" s="615"/>
      <c r="O243" s="615"/>
      <c r="P243" s="615"/>
      <c r="Q243" s="615"/>
      <c r="R243" s="615"/>
      <c r="S243" s="615"/>
      <c r="T243" s="615"/>
      <c r="U243" s="615"/>
      <c r="V243" s="615"/>
      <c r="W243" s="615"/>
      <c r="X243" s="615"/>
      <c r="Y243" s="615">
        <v>0</v>
      </c>
      <c r="Z243" s="615">
        <v>0</v>
      </c>
      <c r="AA243" s="615">
        <v>0</v>
      </c>
      <c r="AB243" s="615">
        <v>0</v>
      </c>
      <c r="AC243" s="615">
        <v>0</v>
      </c>
      <c r="AD243" s="615">
        <v>0</v>
      </c>
      <c r="AE243" s="615">
        <v>0</v>
      </c>
      <c r="AF243" s="615">
        <v>0</v>
      </c>
      <c r="AG243" s="615">
        <v>0</v>
      </c>
      <c r="AH243" s="615">
        <v>0</v>
      </c>
      <c r="AI243" s="615">
        <v>0</v>
      </c>
      <c r="AJ243" s="615">
        <v>0</v>
      </c>
      <c r="AK243" s="615">
        <v>0</v>
      </c>
      <c r="AL243" s="615">
        <v>0</v>
      </c>
      <c r="AM243" s="615">
        <v>0</v>
      </c>
      <c r="AN243" s="615">
        <v>0</v>
      </c>
      <c r="AO243" s="615">
        <v>0</v>
      </c>
      <c r="AP243" s="615">
        <v>0</v>
      </c>
      <c r="AQ243" s="615">
        <v>0</v>
      </c>
      <c r="AR243" s="615">
        <v>0</v>
      </c>
      <c r="AS243" s="615">
        <v>0</v>
      </c>
      <c r="AT243" s="615">
        <v>0</v>
      </c>
      <c r="AU243" s="615">
        <v>0</v>
      </c>
      <c r="AV243" s="615">
        <v>0</v>
      </c>
      <c r="AW243" s="615">
        <v>0</v>
      </c>
      <c r="AX243" s="615">
        <v>0</v>
      </c>
      <c r="AY243" s="615">
        <v>0</v>
      </c>
      <c r="AZ243" s="615">
        <v>0</v>
      </c>
      <c r="BA243" s="615">
        <v>0</v>
      </c>
      <c r="BB243" s="615">
        <v>0</v>
      </c>
      <c r="BC243" s="615">
        <v>0</v>
      </c>
      <c r="BD243" s="615">
        <v>0</v>
      </c>
      <c r="BE243" s="615">
        <v>0</v>
      </c>
      <c r="BF243" s="615">
        <v>0</v>
      </c>
      <c r="BG243" s="615">
        <v>0</v>
      </c>
      <c r="BH243" s="615">
        <v>0</v>
      </c>
      <c r="BI243" s="615">
        <v>0</v>
      </c>
      <c r="BJ243" s="615">
        <v>0</v>
      </c>
      <c r="BK243" s="615">
        <v>0</v>
      </c>
      <c r="BL243" s="615">
        <v>0</v>
      </c>
      <c r="BM243" s="615">
        <v>0</v>
      </c>
      <c r="BN243" s="615">
        <v>0</v>
      </c>
      <c r="BO243" s="615">
        <v>0</v>
      </c>
      <c r="BP243" s="615">
        <v>0</v>
      </c>
      <c r="BQ243" s="615">
        <v>0</v>
      </c>
      <c r="BR243" s="615">
        <v>0</v>
      </c>
      <c r="BS243" s="615">
        <v>0</v>
      </c>
      <c r="BT243" s="615">
        <v>0</v>
      </c>
      <c r="BU243" s="615">
        <v>0</v>
      </c>
      <c r="BV243" s="615">
        <v>0</v>
      </c>
      <c r="BW243" s="615">
        <v>0</v>
      </c>
      <c r="BX243" s="607">
        <f t="shared" si="7"/>
        <v>0</v>
      </c>
    </row>
    <row r="244" spans="1:76" s="612" customFormat="1" ht="11.25" customHeight="1" x14ac:dyDescent="0.2">
      <c r="A244" s="907"/>
      <c r="B244" s="611" t="s">
        <v>3489</v>
      </c>
      <c r="C244" s="641" t="s">
        <v>1979</v>
      </c>
      <c r="D244" s="615"/>
      <c r="E244" s="615"/>
      <c r="F244" s="615"/>
      <c r="G244" s="615"/>
      <c r="H244" s="585"/>
      <c r="I244" s="615"/>
      <c r="J244" s="615"/>
      <c r="K244" s="615"/>
      <c r="L244" s="615"/>
      <c r="M244" s="615"/>
      <c r="N244" s="615"/>
      <c r="O244" s="615"/>
      <c r="P244" s="615"/>
      <c r="Q244" s="615"/>
      <c r="R244" s="615"/>
      <c r="S244" s="615"/>
      <c r="T244" s="615"/>
      <c r="U244" s="615"/>
      <c r="V244" s="615"/>
      <c r="W244" s="615"/>
      <c r="X244" s="615"/>
      <c r="Y244" s="615"/>
      <c r="Z244" s="615"/>
      <c r="AA244" s="615"/>
      <c r="AB244" s="615">
        <v>0</v>
      </c>
      <c r="AC244" s="615">
        <v>0</v>
      </c>
      <c r="AD244" s="615">
        <v>0</v>
      </c>
      <c r="AE244" s="615">
        <v>0</v>
      </c>
      <c r="AF244" s="615">
        <v>0</v>
      </c>
      <c r="AG244" s="615">
        <v>0</v>
      </c>
      <c r="AH244" s="615">
        <v>0</v>
      </c>
      <c r="AI244" s="615">
        <v>0</v>
      </c>
      <c r="AJ244" s="615">
        <v>0</v>
      </c>
      <c r="AK244" s="615">
        <v>0</v>
      </c>
      <c r="AL244" s="615">
        <v>0</v>
      </c>
      <c r="AM244" s="615">
        <v>0</v>
      </c>
      <c r="AN244" s="615">
        <v>0</v>
      </c>
      <c r="AO244" s="615">
        <v>0</v>
      </c>
      <c r="AP244" s="615">
        <v>0</v>
      </c>
      <c r="AQ244" s="615">
        <v>0</v>
      </c>
      <c r="AR244" s="615">
        <v>0</v>
      </c>
      <c r="AS244" s="615">
        <v>0</v>
      </c>
      <c r="AT244" s="615">
        <v>0</v>
      </c>
      <c r="AU244" s="615">
        <v>0</v>
      </c>
      <c r="AV244" s="615">
        <v>0</v>
      </c>
      <c r="AW244" s="615">
        <v>0</v>
      </c>
      <c r="AX244" s="615">
        <v>0</v>
      </c>
      <c r="AY244" s="615">
        <v>0</v>
      </c>
      <c r="AZ244" s="615">
        <v>0</v>
      </c>
      <c r="BA244" s="615">
        <v>0</v>
      </c>
      <c r="BB244" s="615">
        <v>0</v>
      </c>
      <c r="BC244" s="615">
        <v>0</v>
      </c>
      <c r="BD244" s="615">
        <v>0</v>
      </c>
      <c r="BE244" s="615">
        <v>0</v>
      </c>
      <c r="BF244" s="615">
        <v>0</v>
      </c>
      <c r="BG244" s="615">
        <v>0</v>
      </c>
      <c r="BH244" s="615">
        <v>0</v>
      </c>
      <c r="BI244" s="615">
        <v>0</v>
      </c>
      <c r="BJ244" s="615">
        <v>0</v>
      </c>
      <c r="BK244" s="615">
        <v>0</v>
      </c>
      <c r="BL244" s="615">
        <v>0</v>
      </c>
      <c r="BM244" s="615">
        <v>0</v>
      </c>
      <c r="BN244" s="615">
        <v>0</v>
      </c>
      <c r="BO244" s="615">
        <v>0</v>
      </c>
      <c r="BP244" s="615">
        <v>0</v>
      </c>
      <c r="BQ244" s="615">
        <v>0</v>
      </c>
      <c r="BR244" s="615">
        <v>0</v>
      </c>
      <c r="BS244" s="615">
        <v>0</v>
      </c>
      <c r="BT244" s="615">
        <v>0</v>
      </c>
      <c r="BU244" s="615">
        <v>0</v>
      </c>
      <c r="BV244" s="615">
        <v>0</v>
      </c>
      <c r="BW244" s="615">
        <v>0</v>
      </c>
      <c r="BX244" s="607">
        <f t="shared" si="7"/>
        <v>0</v>
      </c>
    </row>
    <row r="245" spans="1:76" s="612" customFormat="1" ht="11.25" customHeight="1" x14ac:dyDescent="0.2">
      <c r="A245" s="907"/>
      <c r="B245" s="611" t="s">
        <v>3490</v>
      </c>
      <c r="C245" s="641" t="s">
        <v>1980</v>
      </c>
      <c r="D245" s="615"/>
      <c r="E245" s="615"/>
      <c r="F245" s="615"/>
      <c r="G245" s="615"/>
      <c r="H245" s="585"/>
      <c r="I245" s="615"/>
      <c r="J245" s="615"/>
      <c r="K245" s="615"/>
      <c r="L245" s="615"/>
      <c r="M245" s="615"/>
      <c r="N245" s="615"/>
      <c r="O245" s="615"/>
      <c r="P245" s="615"/>
      <c r="Q245" s="615"/>
      <c r="R245" s="615"/>
      <c r="S245" s="615"/>
      <c r="T245" s="615"/>
      <c r="U245" s="615"/>
      <c r="V245" s="615"/>
      <c r="W245" s="615"/>
      <c r="X245" s="615"/>
      <c r="Y245" s="615"/>
      <c r="Z245" s="615"/>
      <c r="AA245" s="615"/>
      <c r="AB245" s="615">
        <v>0</v>
      </c>
      <c r="AC245" s="615">
        <v>0</v>
      </c>
      <c r="AD245" s="615">
        <v>0</v>
      </c>
      <c r="AE245" s="615">
        <v>0</v>
      </c>
      <c r="AF245" s="615">
        <v>0</v>
      </c>
      <c r="AG245" s="615">
        <v>0</v>
      </c>
      <c r="AH245" s="615">
        <v>0</v>
      </c>
      <c r="AI245" s="615">
        <v>0</v>
      </c>
      <c r="AJ245" s="615">
        <v>0</v>
      </c>
      <c r="AK245" s="615">
        <v>0</v>
      </c>
      <c r="AL245" s="615">
        <v>0</v>
      </c>
      <c r="AM245" s="615">
        <v>0</v>
      </c>
      <c r="AN245" s="615">
        <v>0</v>
      </c>
      <c r="AO245" s="615">
        <v>0</v>
      </c>
      <c r="AP245" s="615">
        <v>0</v>
      </c>
      <c r="AQ245" s="615">
        <v>0</v>
      </c>
      <c r="AR245" s="615">
        <v>0</v>
      </c>
      <c r="AS245" s="615">
        <v>215774249</v>
      </c>
      <c r="AT245" s="615">
        <v>0</v>
      </c>
      <c r="AU245" s="615">
        <v>0</v>
      </c>
      <c r="AV245" s="615">
        <v>0</v>
      </c>
      <c r="AW245" s="615">
        <v>0</v>
      </c>
      <c r="AX245" s="615">
        <v>0</v>
      </c>
      <c r="AY245" s="615">
        <v>0</v>
      </c>
      <c r="AZ245" s="615">
        <v>0</v>
      </c>
      <c r="BA245" s="615">
        <v>0</v>
      </c>
      <c r="BB245" s="615">
        <v>0</v>
      </c>
      <c r="BC245" s="615">
        <v>0</v>
      </c>
      <c r="BD245" s="615">
        <v>0</v>
      </c>
      <c r="BE245" s="615">
        <v>0</v>
      </c>
      <c r="BF245" s="615">
        <v>0</v>
      </c>
      <c r="BG245" s="615">
        <v>0</v>
      </c>
      <c r="BH245" s="615">
        <v>0</v>
      </c>
      <c r="BI245" s="615">
        <v>0</v>
      </c>
      <c r="BJ245" s="615">
        <v>0</v>
      </c>
      <c r="BK245" s="615">
        <v>0</v>
      </c>
      <c r="BL245" s="615">
        <v>0</v>
      </c>
      <c r="BM245" s="615">
        <v>0</v>
      </c>
      <c r="BN245" s="615">
        <v>0</v>
      </c>
      <c r="BO245" s="615">
        <v>0</v>
      </c>
      <c r="BP245" s="615">
        <v>0</v>
      </c>
      <c r="BQ245" s="615">
        <v>0</v>
      </c>
      <c r="BR245" s="615">
        <v>0</v>
      </c>
      <c r="BS245" s="615">
        <v>0</v>
      </c>
      <c r="BT245" s="615">
        <v>0</v>
      </c>
      <c r="BU245" s="615">
        <v>0</v>
      </c>
      <c r="BV245" s="615">
        <v>0</v>
      </c>
      <c r="BW245" s="615">
        <v>0</v>
      </c>
      <c r="BX245" s="607">
        <f t="shared" si="7"/>
        <v>215774249</v>
      </c>
    </row>
    <row r="246" spans="1:76" s="612" customFormat="1" ht="11.25" customHeight="1" x14ac:dyDescent="0.2">
      <c r="A246" s="907"/>
      <c r="B246" s="611" t="s">
        <v>4280</v>
      </c>
      <c r="C246" s="641" t="s">
        <v>1981</v>
      </c>
      <c r="D246" s="615"/>
      <c r="E246" s="615"/>
      <c r="F246" s="615"/>
      <c r="G246" s="615"/>
      <c r="H246" s="585"/>
      <c r="I246" s="615"/>
      <c r="J246" s="615"/>
      <c r="K246" s="615"/>
      <c r="L246" s="615"/>
      <c r="M246" s="615"/>
      <c r="N246" s="615"/>
      <c r="O246" s="615"/>
      <c r="P246" s="615"/>
      <c r="Q246" s="615"/>
      <c r="R246" s="615"/>
      <c r="S246" s="615"/>
      <c r="T246" s="615"/>
      <c r="U246" s="615"/>
      <c r="V246" s="615"/>
      <c r="W246" s="615"/>
      <c r="X246" s="615"/>
      <c r="Y246" s="615"/>
      <c r="Z246" s="615"/>
      <c r="AA246" s="615"/>
      <c r="AB246" s="615">
        <v>0</v>
      </c>
      <c r="AC246" s="615">
        <v>0</v>
      </c>
      <c r="AD246" s="615">
        <v>0</v>
      </c>
      <c r="AE246" s="615">
        <v>0</v>
      </c>
      <c r="AF246" s="615">
        <v>0</v>
      </c>
      <c r="AG246" s="615">
        <v>0</v>
      </c>
      <c r="AH246" s="615">
        <v>0</v>
      </c>
      <c r="AI246" s="615">
        <v>0</v>
      </c>
      <c r="AJ246" s="615">
        <v>224071610</v>
      </c>
      <c r="AK246" s="615">
        <v>0</v>
      </c>
      <c r="AL246" s="615">
        <v>0</v>
      </c>
      <c r="AM246" s="615">
        <v>0</v>
      </c>
      <c r="AN246" s="615">
        <v>0</v>
      </c>
      <c r="AO246" s="615">
        <v>0</v>
      </c>
      <c r="AP246" s="615">
        <v>0</v>
      </c>
      <c r="AQ246" s="615">
        <v>0</v>
      </c>
      <c r="AR246" s="615">
        <v>0</v>
      </c>
      <c r="AS246" s="615">
        <v>0</v>
      </c>
      <c r="AT246" s="615">
        <v>0</v>
      </c>
      <c r="AU246" s="615">
        <v>0</v>
      </c>
      <c r="AV246" s="615">
        <v>0</v>
      </c>
      <c r="AW246" s="615">
        <v>0</v>
      </c>
      <c r="AX246" s="615">
        <v>0</v>
      </c>
      <c r="AY246" s="615">
        <v>0</v>
      </c>
      <c r="AZ246" s="615">
        <v>0</v>
      </c>
      <c r="BA246" s="615">
        <v>0</v>
      </c>
      <c r="BB246" s="615">
        <v>0</v>
      </c>
      <c r="BC246" s="615">
        <v>0</v>
      </c>
      <c r="BD246" s="615">
        <v>0</v>
      </c>
      <c r="BE246" s="615">
        <v>0</v>
      </c>
      <c r="BF246" s="615">
        <v>0</v>
      </c>
      <c r="BG246" s="615">
        <v>0</v>
      </c>
      <c r="BH246" s="615">
        <v>0</v>
      </c>
      <c r="BI246" s="615">
        <v>0</v>
      </c>
      <c r="BJ246" s="615">
        <v>0</v>
      </c>
      <c r="BK246" s="615">
        <v>0</v>
      </c>
      <c r="BL246" s="615">
        <v>0</v>
      </c>
      <c r="BM246" s="615">
        <v>0</v>
      </c>
      <c r="BN246" s="615">
        <v>0</v>
      </c>
      <c r="BO246" s="615">
        <v>0</v>
      </c>
      <c r="BP246" s="615">
        <v>0</v>
      </c>
      <c r="BQ246" s="615">
        <v>0</v>
      </c>
      <c r="BR246" s="615">
        <v>0</v>
      </c>
      <c r="BS246" s="615">
        <v>0</v>
      </c>
      <c r="BT246" s="615">
        <v>0</v>
      </c>
      <c r="BU246" s="615">
        <v>0</v>
      </c>
      <c r="BV246" s="615">
        <v>0</v>
      </c>
      <c r="BW246" s="615">
        <v>0</v>
      </c>
      <c r="BX246" s="607">
        <f t="shared" si="7"/>
        <v>224071610</v>
      </c>
    </row>
    <row r="247" spans="1:76" s="612" customFormat="1" ht="11.25" customHeight="1" x14ac:dyDescent="0.2">
      <c r="A247" s="907"/>
      <c r="B247" s="611" t="s">
        <v>1717</v>
      </c>
      <c r="C247" s="641" t="s">
        <v>1982</v>
      </c>
      <c r="D247" s="615"/>
      <c r="E247" s="615"/>
      <c r="F247" s="615"/>
      <c r="G247" s="615"/>
      <c r="H247" s="585"/>
      <c r="I247" s="615"/>
      <c r="J247" s="615"/>
      <c r="K247" s="615"/>
      <c r="L247" s="615"/>
      <c r="M247" s="615"/>
      <c r="N247" s="615"/>
      <c r="O247" s="615"/>
      <c r="P247" s="615"/>
      <c r="Q247" s="615"/>
      <c r="R247" s="615"/>
      <c r="S247" s="615"/>
      <c r="T247" s="615"/>
      <c r="U247" s="615"/>
      <c r="V247" s="615"/>
      <c r="W247" s="615"/>
      <c r="X247" s="615"/>
      <c r="Y247" s="615"/>
      <c r="Z247" s="615"/>
      <c r="AA247" s="615"/>
      <c r="AB247" s="615">
        <v>0</v>
      </c>
      <c r="AC247" s="615">
        <v>0</v>
      </c>
      <c r="AD247" s="615">
        <v>0</v>
      </c>
      <c r="AE247" s="615">
        <v>0</v>
      </c>
      <c r="AF247" s="615">
        <v>0</v>
      </c>
      <c r="AG247" s="615">
        <v>0</v>
      </c>
      <c r="AH247" s="615">
        <v>0</v>
      </c>
      <c r="AI247" s="615">
        <v>0</v>
      </c>
      <c r="AJ247" s="615">
        <v>0</v>
      </c>
      <c r="AK247" s="615">
        <v>0</v>
      </c>
      <c r="AL247" s="615">
        <v>0</v>
      </c>
      <c r="AM247" s="615">
        <v>0</v>
      </c>
      <c r="AN247" s="615">
        <v>0</v>
      </c>
      <c r="AO247" s="615">
        <v>0</v>
      </c>
      <c r="AP247" s="615">
        <v>0</v>
      </c>
      <c r="AQ247" s="615">
        <v>0</v>
      </c>
      <c r="AR247" s="615">
        <v>0</v>
      </c>
      <c r="AS247" s="615">
        <v>0</v>
      </c>
      <c r="AT247" s="615">
        <v>0</v>
      </c>
      <c r="AU247" s="615">
        <v>0</v>
      </c>
      <c r="AV247" s="615">
        <v>0</v>
      </c>
      <c r="AW247" s="615">
        <v>0</v>
      </c>
      <c r="AX247" s="615">
        <v>0</v>
      </c>
      <c r="AY247" s="615">
        <v>0</v>
      </c>
      <c r="AZ247" s="615">
        <v>0</v>
      </c>
      <c r="BA247" s="615">
        <v>0</v>
      </c>
      <c r="BB247" s="615">
        <v>0</v>
      </c>
      <c r="BC247" s="615">
        <v>0</v>
      </c>
      <c r="BD247" s="615">
        <v>0</v>
      </c>
      <c r="BE247" s="615">
        <v>0</v>
      </c>
      <c r="BF247" s="615">
        <v>0</v>
      </c>
      <c r="BG247" s="615">
        <v>0</v>
      </c>
      <c r="BH247" s="615">
        <v>0</v>
      </c>
      <c r="BI247" s="615">
        <v>0</v>
      </c>
      <c r="BJ247" s="615">
        <v>0</v>
      </c>
      <c r="BK247" s="615">
        <v>0</v>
      </c>
      <c r="BL247" s="615">
        <v>0</v>
      </c>
      <c r="BM247" s="615">
        <v>0</v>
      </c>
      <c r="BN247" s="615">
        <v>0</v>
      </c>
      <c r="BO247" s="615">
        <v>0</v>
      </c>
      <c r="BP247" s="615">
        <v>0</v>
      </c>
      <c r="BQ247" s="615">
        <v>0</v>
      </c>
      <c r="BR247" s="615">
        <v>0</v>
      </c>
      <c r="BS247" s="615">
        <v>0</v>
      </c>
      <c r="BT247" s="615">
        <v>0</v>
      </c>
      <c r="BU247" s="615">
        <v>0</v>
      </c>
      <c r="BV247" s="615">
        <v>0</v>
      </c>
      <c r="BW247" s="615">
        <v>0</v>
      </c>
      <c r="BX247" s="607">
        <f t="shared" si="7"/>
        <v>0</v>
      </c>
    </row>
    <row r="248" spans="1:76" s="612" customFormat="1" ht="11.25" customHeight="1" x14ac:dyDescent="0.2">
      <c r="A248" s="907"/>
      <c r="B248" s="611" t="s">
        <v>1716</v>
      </c>
      <c r="C248" s="641" t="s">
        <v>1983</v>
      </c>
      <c r="D248" s="615"/>
      <c r="E248" s="615"/>
      <c r="F248" s="615"/>
      <c r="G248" s="615"/>
      <c r="H248" s="585"/>
      <c r="I248" s="615"/>
      <c r="J248" s="615"/>
      <c r="K248" s="615"/>
      <c r="L248" s="615"/>
      <c r="M248" s="615"/>
      <c r="N248" s="615"/>
      <c r="O248" s="615"/>
      <c r="P248" s="615"/>
      <c r="Q248" s="615">
        <v>0</v>
      </c>
      <c r="R248" s="615">
        <v>0</v>
      </c>
      <c r="S248" s="615">
        <v>0</v>
      </c>
      <c r="T248" s="615">
        <v>0</v>
      </c>
      <c r="U248" s="615">
        <v>0</v>
      </c>
      <c r="V248" s="615">
        <v>0</v>
      </c>
      <c r="W248" s="615">
        <v>0</v>
      </c>
      <c r="X248" s="615">
        <v>0</v>
      </c>
      <c r="Y248" s="615">
        <v>0</v>
      </c>
      <c r="Z248" s="615">
        <v>0</v>
      </c>
      <c r="AA248" s="615">
        <v>0</v>
      </c>
      <c r="AB248" s="615">
        <v>0</v>
      </c>
      <c r="AC248" s="615">
        <v>0</v>
      </c>
      <c r="AD248" s="615">
        <v>0</v>
      </c>
      <c r="AE248" s="615">
        <v>0</v>
      </c>
      <c r="AF248" s="615">
        <v>0</v>
      </c>
      <c r="AG248" s="615">
        <v>0</v>
      </c>
      <c r="AH248" s="615">
        <v>0</v>
      </c>
      <c r="AI248" s="615">
        <v>0</v>
      </c>
      <c r="AJ248" s="615">
        <v>0</v>
      </c>
      <c r="AK248" s="615">
        <v>0</v>
      </c>
      <c r="AL248" s="615">
        <v>0</v>
      </c>
      <c r="AM248" s="615">
        <v>0</v>
      </c>
      <c r="AN248" s="615">
        <v>0</v>
      </c>
      <c r="AO248" s="615">
        <v>0</v>
      </c>
      <c r="AP248" s="615">
        <v>0</v>
      </c>
      <c r="AQ248" s="615">
        <v>0</v>
      </c>
      <c r="AR248" s="615">
        <v>0</v>
      </c>
      <c r="AS248" s="615">
        <v>0</v>
      </c>
      <c r="AT248" s="615">
        <v>1041502</v>
      </c>
      <c r="AU248" s="615">
        <v>0</v>
      </c>
      <c r="AV248" s="615">
        <v>0</v>
      </c>
      <c r="AW248" s="615">
        <v>0</v>
      </c>
      <c r="AX248" s="615">
        <v>0</v>
      </c>
      <c r="AY248" s="615">
        <v>0</v>
      </c>
      <c r="AZ248" s="615">
        <v>0</v>
      </c>
      <c r="BA248" s="615">
        <v>0</v>
      </c>
      <c r="BB248" s="615">
        <v>0</v>
      </c>
      <c r="BC248" s="615">
        <v>0</v>
      </c>
      <c r="BD248" s="615">
        <v>0</v>
      </c>
      <c r="BE248" s="615">
        <v>0</v>
      </c>
      <c r="BF248" s="615">
        <v>0</v>
      </c>
      <c r="BG248" s="615">
        <v>0</v>
      </c>
      <c r="BH248" s="615">
        <v>0</v>
      </c>
      <c r="BI248" s="615">
        <v>0</v>
      </c>
      <c r="BJ248" s="615">
        <v>0</v>
      </c>
      <c r="BK248" s="615">
        <v>0</v>
      </c>
      <c r="BL248" s="615">
        <v>0</v>
      </c>
      <c r="BM248" s="615">
        <v>0</v>
      </c>
      <c r="BN248" s="615">
        <v>0</v>
      </c>
      <c r="BO248" s="615">
        <v>0</v>
      </c>
      <c r="BP248" s="615">
        <v>0</v>
      </c>
      <c r="BQ248" s="615">
        <v>0</v>
      </c>
      <c r="BR248" s="615">
        <v>0</v>
      </c>
      <c r="BS248" s="615">
        <v>0</v>
      </c>
      <c r="BT248" s="615">
        <v>0</v>
      </c>
      <c r="BU248" s="615">
        <v>0</v>
      </c>
      <c r="BV248" s="615">
        <v>0</v>
      </c>
      <c r="BW248" s="615">
        <v>0</v>
      </c>
      <c r="BX248" s="607">
        <f t="shared" si="7"/>
        <v>1041502</v>
      </c>
    </row>
    <row r="249" spans="1:76" s="612" customFormat="1" ht="11.25" customHeight="1" x14ac:dyDescent="0.2">
      <c r="A249" s="907"/>
      <c r="B249" s="611" t="s">
        <v>1717</v>
      </c>
      <c r="C249" s="641" t="s">
        <v>3429</v>
      </c>
      <c r="D249" s="615"/>
      <c r="E249" s="615"/>
      <c r="F249" s="615"/>
      <c r="G249" s="615"/>
      <c r="H249" s="585"/>
      <c r="I249" s="615"/>
      <c r="J249" s="615"/>
      <c r="K249" s="615"/>
      <c r="L249" s="615"/>
      <c r="M249" s="615"/>
      <c r="N249" s="615"/>
      <c r="O249" s="615"/>
      <c r="P249" s="615"/>
      <c r="Q249" s="615"/>
      <c r="R249" s="615"/>
      <c r="S249" s="615"/>
      <c r="T249" s="615"/>
      <c r="U249" s="615"/>
      <c r="V249" s="615"/>
      <c r="W249" s="615"/>
      <c r="X249" s="615"/>
      <c r="Y249" s="615"/>
      <c r="Z249" s="615"/>
      <c r="AA249" s="615"/>
      <c r="AB249" s="615">
        <v>0</v>
      </c>
      <c r="AC249" s="615">
        <v>0</v>
      </c>
      <c r="AD249" s="615">
        <v>0</v>
      </c>
      <c r="AE249" s="615">
        <v>0</v>
      </c>
      <c r="AF249" s="615">
        <v>0</v>
      </c>
      <c r="AG249" s="615">
        <v>0</v>
      </c>
      <c r="AH249" s="615">
        <v>0</v>
      </c>
      <c r="AI249" s="615">
        <v>0</v>
      </c>
      <c r="AJ249" s="615">
        <v>0</v>
      </c>
      <c r="AK249" s="615">
        <v>0</v>
      </c>
      <c r="AL249" s="615">
        <v>0</v>
      </c>
      <c r="AM249" s="615">
        <v>0</v>
      </c>
      <c r="AN249" s="615">
        <v>0</v>
      </c>
      <c r="AO249" s="615">
        <v>0</v>
      </c>
      <c r="AP249" s="615">
        <v>0</v>
      </c>
      <c r="AQ249" s="615">
        <v>0</v>
      </c>
      <c r="AR249" s="615">
        <v>0</v>
      </c>
      <c r="AS249" s="615">
        <v>0</v>
      </c>
      <c r="AT249" s="615">
        <v>0</v>
      </c>
      <c r="AU249" s="615">
        <v>0</v>
      </c>
      <c r="AV249" s="615">
        <v>0</v>
      </c>
      <c r="AW249" s="615">
        <v>0</v>
      </c>
      <c r="AX249" s="615">
        <v>0</v>
      </c>
      <c r="AY249" s="615">
        <v>0</v>
      </c>
      <c r="AZ249" s="615">
        <v>0</v>
      </c>
      <c r="BA249" s="615">
        <v>0</v>
      </c>
      <c r="BB249" s="615">
        <v>0</v>
      </c>
      <c r="BC249" s="615">
        <v>0</v>
      </c>
      <c r="BD249" s="615">
        <v>0</v>
      </c>
      <c r="BE249" s="615">
        <v>0</v>
      </c>
      <c r="BF249" s="615">
        <v>0</v>
      </c>
      <c r="BG249" s="615">
        <v>0</v>
      </c>
      <c r="BH249" s="615">
        <v>0</v>
      </c>
      <c r="BI249" s="615">
        <v>0</v>
      </c>
      <c r="BJ249" s="615">
        <v>0</v>
      </c>
      <c r="BK249" s="615">
        <v>0</v>
      </c>
      <c r="BL249" s="615">
        <v>0</v>
      </c>
      <c r="BM249" s="615">
        <v>0</v>
      </c>
      <c r="BN249" s="615">
        <v>0</v>
      </c>
      <c r="BO249" s="615">
        <v>0</v>
      </c>
      <c r="BP249" s="615">
        <v>0</v>
      </c>
      <c r="BQ249" s="615">
        <v>0</v>
      </c>
      <c r="BR249" s="615">
        <v>0</v>
      </c>
      <c r="BS249" s="615">
        <v>0</v>
      </c>
      <c r="BT249" s="615">
        <v>0</v>
      </c>
      <c r="BU249" s="615">
        <v>0</v>
      </c>
      <c r="BV249" s="615">
        <v>0</v>
      </c>
      <c r="BW249" s="615">
        <v>0</v>
      </c>
      <c r="BX249" s="607">
        <f t="shared" si="7"/>
        <v>0</v>
      </c>
    </row>
    <row r="250" spans="1:76" s="612" customFormat="1" ht="11.25" customHeight="1" x14ac:dyDescent="0.2">
      <c r="A250" s="907"/>
      <c r="B250" s="611" t="s">
        <v>3134</v>
      </c>
      <c r="C250" s="641" t="s">
        <v>3133</v>
      </c>
      <c r="D250" s="615"/>
      <c r="E250" s="615"/>
      <c r="F250" s="615"/>
      <c r="G250" s="615"/>
      <c r="H250" s="585"/>
      <c r="I250" s="615"/>
      <c r="J250" s="615"/>
      <c r="K250" s="615"/>
      <c r="L250" s="615"/>
      <c r="M250" s="615"/>
      <c r="N250" s="615"/>
      <c r="O250" s="615"/>
      <c r="P250" s="615"/>
      <c r="Q250" s="615"/>
      <c r="R250" s="615"/>
      <c r="S250" s="615"/>
      <c r="T250" s="615"/>
      <c r="U250" s="615"/>
      <c r="V250" s="615"/>
      <c r="W250" s="615"/>
      <c r="X250" s="615"/>
      <c r="Y250" s="615"/>
      <c r="Z250" s="615"/>
      <c r="AA250" s="615"/>
      <c r="AB250" s="615"/>
      <c r="AC250" s="615"/>
      <c r="AD250" s="615"/>
      <c r="AE250" s="615"/>
      <c r="AF250" s="615"/>
      <c r="AG250" s="615"/>
      <c r="AH250" s="615"/>
      <c r="AI250" s="615"/>
      <c r="AJ250" s="615">
        <v>0</v>
      </c>
      <c r="AK250" s="615">
        <v>0</v>
      </c>
      <c r="AL250" s="615">
        <v>0</v>
      </c>
      <c r="AM250" s="615">
        <v>0</v>
      </c>
      <c r="AN250" s="615">
        <v>0</v>
      </c>
      <c r="AO250" s="615">
        <v>0</v>
      </c>
      <c r="AP250" s="615">
        <v>0</v>
      </c>
      <c r="AQ250" s="615">
        <v>0</v>
      </c>
      <c r="AR250" s="615">
        <v>0</v>
      </c>
      <c r="AS250" s="615">
        <v>0</v>
      </c>
      <c r="AT250" s="615">
        <v>0</v>
      </c>
      <c r="AU250" s="615">
        <v>0</v>
      </c>
      <c r="AV250" s="615">
        <v>0</v>
      </c>
      <c r="AW250" s="615">
        <v>0</v>
      </c>
      <c r="AX250" s="615">
        <v>0</v>
      </c>
      <c r="AY250" s="615">
        <v>0</v>
      </c>
      <c r="AZ250" s="615">
        <v>0</v>
      </c>
      <c r="BA250" s="615">
        <v>0</v>
      </c>
      <c r="BB250" s="615">
        <v>0</v>
      </c>
      <c r="BC250" s="615">
        <v>0</v>
      </c>
      <c r="BD250" s="615">
        <v>0</v>
      </c>
      <c r="BE250" s="615">
        <v>0</v>
      </c>
      <c r="BF250" s="615">
        <v>0</v>
      </c>
      <c r="BG250" s="615">
        <v>0</v>
      </c>
      <c r="BH250" s="615">
        <v>0</v>
      </c>
      <c r="BI250" s="615">
        <v>0</v>
      </c>
      <c r="BJ250" s="615">
        <v>0</v>
      </c>
      <c r="BK250" s="615">
        <v>0</v>
      </c>
      <c r="BL250" s="615">
        <v>0</v>
      </c>
      <c r="BM250" s="615">
        <v>0</v>
      </c>
      <c r="BN250" s="615">
        <v>0</v>
      </c>
      <c r="BO250" s="615">
        <v>0</v>
      </c>
      <c r="BP250" s="615">
        <v>0</v>
      </c>
      <c r="BQ250" s="615">
        <v>0</v>
      </c>
      <c r="BR250" s="615">
        <v>0</v>
      </c>
      <c r="BS250" s="615">
        <v>0</v>
      </c>
      <c r="BT250" s="615">
        <v>0</v>
      </c>
      <c r="BU250" s="615">
        <v>0</v>
      </c>
      <c r="BV250" s="615">
        <v>0</v>
      </c>
      <c r="BW250" s="615">
        <v>0</v>
      </c>
      <c r="BX250" s="607">
        <f t="shared" si="7"/>
        <v>0</v>
      </c>
    </row>
    <row r="251" spans="1:76" s="612" customFormat="1" ht="11.25" customHeight="1" x14ac:dyDescent="0.2">
      <c r="A251" s="907"/>
      <c r="B251" s="611" t="s">
        <v>1008</v>
      </c>
      <c r="C251" s="641" t="s">
        <v>3430</v>
      </c>
      <c r="D251" s="615"/>
      <c r="E251" s="615"/>
      <c r="F251" s="615"/>
      <c r="G251" s="615"/>
      <c r="H251" s="585"/>
      <c r="I251" s="615"/>
      <c r="J251" s="615"/>
      <c r="K251" s="615"/>
      <c r="L251" s="615"/>
      <c r="M251" s="615"/>
      <c r="N251" s="615"/>
      <c r="O251" s="615"/>
      <c r="P251" s="615"/>
      <c r="Q251" s="615"/>
      <c r="R251" s="615"/>
      <c r="S251" s="615"/>
      <c r="T251" s="615"/>
      <c r="U251" s="615"/>
      <c r="V251" s="615"/>
      <c r="W251" s="615"/>
      <c r="X251" s="615"/>
      <c r="Y251" s="615"/>
      <c r="Z251" s="615"/>
      <c r="AA251" s="615"/>
      <c r="AB251" s="615"/>
      <c r="AC251" s="615"/>
      <c r="AD251" s="615"/>
      <c r="AE251" s="615"/>
      <c r="AF251" s="615"/>
      <c r="AG251" s="615"/>
      <c r="AH251" s="615"/>
      <c r="AI251" s="615"/>
      <c r="AJ251" s="615">
        <v>0</v>
      </c>
      <c r="AK251" s="615">
        <v>0</v>
      </c>
      <c r="AL251" s="615">
        <v>0</v>
      </c>
      <c r="AM251" s="615">
        <v>0</v>
      </c>
      <c r="AN251" s="615">
        <v>0</v>
      </c>
      <c r="AO251" s="615">
        <v>0</v>
      </c>
      <c r="AP251" s="615">
        <v>0</v>
      </c>
      <c r="AQ251" s="615">
        <v>0</v>
      </c>
      <c r="AR251" s="615">
        <v>0</v>
      </c>
      <c r="AS251" s="615">
        <v>0</v>
      </c>
      <c r="AT251" s="615">
        <v>0</v>
      </c>
      <c r="AU251" s="615">
        <v>0</v>
      </c>
      <c r="AV251" s="615">
        <v>0</v>
      </c>
      <c r="AW251" s="615">
        <v>0</v>
      </c>
      <c r="AX251" s="615">
        <v>0</v>
      </c>
      <c r="AY251" s="615">
        <v>0</v>
      </c>
      <c r="AZ251" s="615">
        <v>0</v>
      </c>
      <c r="BA251" s="615">
        <v>0</v>
      </c>
      <c r="BB251" s="615">
        <v>0</v>
      </c>
      <c r="BC251" s="615">
        <v>0</v>
      </c>
      <c r="BD251" s="615">
        <v>0</v>
      </c>
      <c r="BE251" s="615">
        <v>0</v>
      </c>
      <c r="BF251" s="615">
        <v>0</v>
      </c>
      <c r="BG251" s="615">
        <v>0</v>
      </c>
      <c r="BH251" s="615">
        <v>0</v>
      </c>
      <c r="BI251" s="615">
        <v>0</v>
      </c>
      <c r="BJ251" s="615">
        <v>0</v>
      </c>
      <c r="BK251" s="615">
        <v>0</v>
      </c>
      <c r="BL251" s="615">
        <v>0</v>
      </c>
      <c r="BM251" s="615">
        <v>0</v>
      </c>
      <c r="BN251" s="615">
        <v>0</v>
      </c>
      <c r="BO251" s="615">
        <v>0</v>
      </c>
      <c r="BP251" s="615">
        <v>0</v>
      </c>
      <c r="BQ251" s="615">
        <v>0</v>
      </c>
      <c r="BR251" s="615">
        <v>0</v>
      </c>
      <c r="BS251" s="615">
        <v>0</v>
      </c>
      <c r="BT251" s="615">
        <v>0</v>
      </c>
      <c r="BU251" s="615">
        <v>0</v>
      </c>
      <c r="BV251" s="615">
        <v>0</v>
      </c>
      <c r="BW251" s="615">
        <v>0</v>
      </c>
      <c r="BX251" s="607">
        <f t="shared" si="7"/>
        <v>0</v>
      </c>
    </row>
    <row r="252" spans="1:76" s="612" customFormat="1" ht="11.25" customHeight="1" x14ac:dyDescent="0.2">
      <c r="A252" s="907"/>
      <c r="B252" s="611" t="s">
        <v>1304</v>
      </c>
      <c r="C252" s="641" t="s">
        <v>3215</v>
      </c>
      <c r="D252" s="615"/>
      <c r="E252" s="615"/>
      <c r="F252" s="615"/>
      <c r="G252" s="615"/>
      <c r="H252" s="585"/>
      <c r="I252" s="615"/>
      <c r="J252" s="615"/>
      <c r="K252" s="615"/>
      <c r="L252" s="615"/>
      <c r="M252" s="615"/>
      <c r="N252" s="615"/>
      <c r="O252" s="615"/>
      <c r="P252" s="615"/>
      <c r="Q252" s="615"/>
      <c r="R252" s="615"/>
      <c r="S252" s="615"/>
      <c r="T252" s="615"/>
      <c r="U252" s="615"/>
      <c r="V252" s="615"/>
      <c r="W252" s="615"/>
      <c r="X252" s="615"/>
      <c r="Y252" s="615"/>
      <c r="Z252" s="615"/>
      <c r="AA252" s="615"/>
      <c r="AB252" s="615">
        <v>0</v>
      </c>
      <c r="AC252" s="615">
        <v>0</v>
      </c>
      <c r="AD252" s="615">
        <v>0</v>
      </c>
      <c r="AE252" s="615">
        <v>0</v>
      </c>
      <c r="AF252" s="615">
        <v>0</v>
      </c>
      <c r="AG252" s="615">
        <v>0</v>
      </c>
      <c r="AH252" s="615">
        <v>0</v>
      </c>
      <c r="AI252" s="615">
        <v>0</v>
      </c>
      <c r="AJ252" s="615">
        <v>0</v>
      </c>
      <c r="AK252" s="615">
        <v>0</v>
      </c>
      <c r="AL252" s="615">
        <v>0</v>
      </c>
      <c r="AM252" s="615">
        <v>0</v>
      </c>
      <c r="AN252" s="615">
        <v>0</v>
      </c>
      <c r="AO252" s="615">
        <v>0</v>
      </c>
      <c r="AP252" s="615">
        <v>0</v>
      </c>
      <c r="AQ252" s="615">
        <v>0</v>
      </c>
      <c r="AR252" s="615">
        <v>0</v>
      </c>
      <c r="AS252" s="615">
        <v>0</v>
      </c>
      <c r="AT252" s="615">
        <v>0</v>
      </c>
      <c r="AU252" s="615">
        <v>0</v>
      </c>
      <c r="AV252" s="615">
        <v>0</v>
      </c>
      <c r="AW252" s="615">
        <v>0</v>
      </c>
      <c r="AX252" s="615">
        <v>0</v>
      </c>
      <c r="AY252" s="615">
        <v>0</v>
      </c>
      <c r="AZ252" s="615">
        <v>0</v>
      </c>
      <c r="BA252" s="615">
        <v>0</v>
      </c>
      <c r="BB252" s="615">
        <v>0</v>
      </c>
      <c r="BC252" s="615">
        <v>0</v>
      </c>
      <c r="BD252" s="615">
        <v>0</v>
      </c>
      <c r="BE252" s="615">
        <v>0</v>
      </c>
      <c r="BF252" s="615">
        <v>0</v>
      </c>
      <c r="BG252" s="615">
        <v>0</v>
      </c>
      <c r="BH252" s="615">
        <v>0</v>
      </c>
      <c r="BI252" s="615">
        <v>0</v>
      </c>
      <c r="BJ252" s="615">
        <v>0</v>
      </c>
      <c r="BK252" s="615">
        <v>0</v>
      </c>
      <c r="BL252" s="615">
        <v>0</v>
      </c>
      <c r="BM252" s="615">
        <v>0</v>
      </c>
      <c r="BN252" s="615">
        <v>0</v>
      </c>
      <c r="BO252" s="615">
        <v>0</v>
      </c>
      <c r="BP252" s="615">
        <v>0</v>
      </c>
      <c r="BQ252" s="615">
        <v>0</v>
      </c>
      <c r="BR252" s="615">
        <v>0</v>
      </c>
      <c r="BS252" s="615">
        <v>0</v>
      </c>
      <c r="BT252" s="615">
        <v>0</v>
      </c>
      <c r="BU252" s="615">
        <v>0</v>
      </c>
      <c r="BV252" s="615">
        <v>0</v>
      </c>
      <c r="BW252" s="615">
        <v>0</v>
      </c>
      <c r="BX252" s="607">
        <f t="shared" si="7"/>
        <v>0</v>
      </c>
    </row>
    <row r="253" spans="1:76" s="612" customFormat="1" ht="11.25" customHeight="1" x14ac:dyDescent="0.2">
      <c r="A253" s="907"/>
      <c r="B253" s="611" t="s">
        <v>3261</v>
      </c>
      <c r="C253" s="641" t="s">
        <v>3135</v>
      </c>
      <c r="D253" s="615"/>
      <c r="E253" s="615"/>
      <c r="F253" s="615"/>
      <c r="G253" s="615"/>
      <c r="H253" s="585"/>
      <c r="I253" s="615"/>
      <c r="J253" s="615"/>
      <c r="K253" s="615"/>
      <c r="L253" s="615"/>
      <c r="M253" s="615"/>
      <c r="N253" s="615"/>
      <c r="O253" s="615"/>
      <c r="P253" s="615"/>
      <c r="Q253" s="615"/>
      <c r="R253" s="615"/>
      <c r="S253" s="615"/>
      <c r="T253" s="615"/>
      <c r="U253" s="615"/>
      <c r="V253" s="615"/>
      <c r="W253" s="615"/>
      <c r="X253" s="615"/>
      <c r="Y253" s="615"/>
      <c r="Z253" s="615"/>
      <c r="AA253" s="615"/>
      <c r="AB253" s="615">
        <v>0</v>
      </c>
      <c r="AC253" s="615">
        <v>0</v>
      </c>
      <c r="AD253" s="615">
        <v>0</v>
      </c>
      <c r="AE253" s="615">
        <v>0</v>
      </c>
      <c r="AF253" s="615">
        <v>0</v>
      </c>
      <c r="AG253" s="615">
        <v>0</v>
      </c>
      <c r="AH253" s="615">
        <v>0</v>
      </c>
      <c r="AI253" s="615">
        <v>0</v>
      </c>
      <c r="AJ253" s="615">
        <v>0</v>
      </c>
      <c r="AK253" s="615">
        <v>0</v>
      </c>
      <c r="AL253" s="615">
        <v>0</v>
      </c>
      <c r="AM253" s="615">
        <v>0</v>
      </c>
      <c r="AN253" s="615">
        <v>0</v>
      </c>
      <c r="AO253" s="615">
        <v>0</v>
      </c>
      <c r="AP253" s="615">
        <v>0</v>
      </c>
      <c r="AQ253" s="615">
        <v>0</v>
      </c>
      <c r="AR253" s="615">
        <v>0</v>
      </c>
      <c r="AS253" s="615">
        <v>0</v>
      </c>
      <c r="AT253" s="615">
        <v>0</v>
      </c>
      <c r="AU253" s="615">
        <v>0</v>
      </c>
      <c r="AV253" s="615">
        <v>0</v>
      </c>
      <c r="AW253" s="615">
        <v>0</v>
      </c>
      <c r="AX253" s="615">
        <v>0</v>
      </c>
      <c r="AY253" s="615">
        <v>0</v>
      </c>
      <c r="AZ253" s="615">
        <v>0</v>
      </c>
      <c r="BA253" s="615">
        <v>0</v>
      </c>
      <c r="BB253" s="615">
        <v>0</v>
      </c>
      <c r="BC253" s="615">
        <v>0</v>
      </c>
      <c r="BD253" s="615">
        <v>0</v>
      </c>
      <c r="BE253" s="615">
        <v>0</v>
      </c>
      <c r="BF253" s="615">
        <v>0</v>
      </c>
      <c r="BG253" s="615">
        <v>0</v>
      </c>
      <c r="BH253" s="615">
        <v>0</v>
      </c>
      <c r="BI253" s="615">
        <v>0</v>
      </c>
      <c r="BJ253" s="615">
        <v>0</v>
      </c>
      <c r="BK253" s="615">
        <v>0</v>
      </c>
      <c r="BL253" s="615">
        <v>0</v>
      </c>
      <c r="BM253" s="615">
        <v>0</v>
      </c>
      <c r="BN253" s="615">
        <v>0</v>
      </c>
      <c r="BO253" s="615">
        <v>0</v>
      </c>
      <c r="BP253" s="615">
        <v>0</v>
      </c>
      <c r="BQ253" s="615">
        <v>0</v>
      </c>
      <c r="BR253" s="615">
        <v>0</v>
      </c>
      <c r="BS253" s="615">
        <v>0</v>
      </c>
      <c r="BT253" s="615">
        <v>0</v>
      </c>
      <c r="BU253" s="615">
        <v>0</v>
      </c>
      <c r="BV253" s="615">
        <v>0</v>
      </c>
      <c r="BW253" s="615">
        <v>0</v>
      </c>
      <c r="BX253" s="607">
        <f t="shared" si="7"/>
        <v>0</v>
      </c>
    </row>
    <row r="254" spans="1:76" s="612" customFormat="1" ht="11.25" customHeight="1" x14ac:dyDescent="0.2">
      <c r="A254" s="907"/>
      <c r="B254" s="611" t="s">
        <v>2576</v>
      </c>
      <c r="C254" s="641" t="s">
        <v>3216</v>
      </c>
      <c r="D254" s="615"/>
      <c r="E254" s="615"/>
      <c r="F254" s="615"/>
      <c r="G254" s="615"/>
      <c r="H254" s="585"/>
      <c r="I254" s="615"/>
      <c r="J254" s="615"/>
      <c r="K254" s="615"/>
      <c r="L254" s="615"/>
      <c r="M254" s="615"/>
      <c r="N254" s="615">
        <v>0</v>
      </c>
      <c r="O254" s="615">
        <v>0</v>
      </c>
      <c r="P254" s="615">
        <v>0</v>
      </c>
      <c r="Q254" s="615">
        <v>0</v>
      </c>
      <c r="R254" s="615">
        <v>0</v>
      </c>
      <c r="S254" s="615">
        <v>0</v>
      </c>
      <c r="T254" s="615">
        <v>0</v>
      </c>
      <c r="U254" s="615">
        <v>0</v>
      </c>
      <c r="V254" s="615">
        <v>0</v>
      </c>
      <c r="W254" s="615">
        <v>0</v>
      </c>
      <c r="X254" s="615">
        <v>0</v>
      </c>
      <c r="Y254" s="615">
        <v>0</v>
      </c>
      <c r="Z254" s="615">
        <v>0</v>
      </c>
      <c r="AA254" s="615">
        <v>0</v>
      </c>
      <c r="AB254" s="615">
        <v>0</v>
      </c>
      <c r="AC254" s="615">
        <v>0</v>
      </c>
      <c r="AD254" s="615">
        <v>0</v>
      </c>
      <c r="AE254" s="615">
        <v>0</v>
      </c>
      <c r="AF254" s="615">
        <v>0</v>
      </c>
      <c r="AG254" s="615">
        <v>0</v>
      </c>
      <c r="AH254" s="615">
        <v>0</v>
      </c>
      <c r="AI254" s="615">
        <v>0</v>
      </c>
      <c r="AJ254" s="615">
        <v>0</v>
      </c>
      <c r="AK254" s="615">
        <v>0</v>
      </c>
      <c r="AL254" s="615">
        <v>0</v>
      </c>
      <c r="AM254" s="615">
        <v>0</v>
      </c>
      <c r="AN254" s="615">
        <v>0</v>
      </c>
      <c r="AO254" s="615">
        <v>0</v>
      </c>
      <c r="AP254" s="615">
        <v>0</v>
      </c>
      <c r="AQ254" s="615">
        <v>0</v>
      </c>
      <c r="AR254" s="615">
        <v>0</v>
      </c>
      <c r="AS254" s="615">
        <v>0</v>
      </c>
      <c r="AT254" s="615">
        <v>0</v>
      </c>
      <c r="AU254" s="615">
        <v>0</v>
      </c>
      <c r="AV254" s="615">
        <v>0</v>
      </c>
      <c r="AW254" s="615">
        <v>0</v>
      </c>
      <c r="AX254" s="615">
        <v>0</v>
      </c>
      <c r="AY254" s="615">
        <v>0</v>
      </c>
      <c r="AZ254" s="615">
        <v>0</v>
      </c>
      <c r="BA254" s="615">
        <v>0</v>
      </c>
      <c r="BB254" s="615">
        <v>0</v>
      </c>
      <c r="BC254" s="615">
        <v>0</v>
      </c>
      <c r="BD254" s="615">
        <v>0</v>
      </c>
      <c r="BE254" s="615">
        <v>0</v>
      </c>
      <c r="BF254" s="615">
        <v>0</v>
      </c>
      <c r="BG254" s="615">
        <v>0</v>
      </c>
      <c r="BH254" s="615">
        <v>0</v>
      </c>
      <c r="BI254" s="615">
        <v>0</v>
      </c>
      <c r="BJ254" s="615">
        <v>0</v>
      </c>
      <c r="BK254" s="615">
        <v>0</v>
      </c>
      <c r="BL254" s="615">
        <v>0</v>
      </c>
      <c r="BM254" s="615">
        <v>0</v>
      </c>
      <c r="BN254" s="615">
        <v>0</v>
      </c>
      <c r="BO254" s="615">
        <v>0</v>
      </c>
      <c r="BP254" s="615">
        <v>0</v>
      </c>
      <c r="BQ254" s="615">
        <v>0</v>
      </c>
      <c r="BR254" s="615">
        <v>0</v>
      </c>
      <c r="BS254" s="615">
        <v>0</v>
      </c>
      <c r="BT254" s="615">
        <v>0</v>
      </c>
      <c r="BU254" s="615">
        <v>0</v>
      </c>
      <c r="BV254" s="615">
        <v>0</v>
      </c>
      <c r="BW254" s="615">
        <v>0</v>
      </c>
      <c r="BX254" s="607">
        <f t="shared" si="7"/>
        <v>0</v>
      </c>
    </row>
    <row r="255" spans="1:76" s="612" customFormat="1" ht="11.25" customHeight="1" x14ac:dyDescent="0.2">
      <c r="A255" s="907"/>
      <c r="B255" s="611" t="s">
        <v>3339</v>
      </c>
      <c r="C255" s="641" t="s">
        <v>3338</v>
      </c>
      <c r="D255" s="615"/>
      <c r="E255" s="615"/>
      <c r="F255" s="615"/>
      <c r="G255" s="615"/>
      <c r="H255" s="585"/>
      <c r="I255" s="615"/>
      <c r="J255" s="615"/>
      <c r="K255" s="615"/>
      <c r="L255" s="615"/>
      <c r="M255" s="615"/>
      <c r="N255" s="615"/>
      <c r="O255" s="615"/>
      <c r="P255" s="615"/>
      <c r="Q255" s="615"/>
      <c r="R255" s="615"/>
      <c r="S255" s="615"/>
      <c r="T255" s="615"/>
      <c r="U255" s="615"/>
      <c r="V255" s="615">
        <v>0</v>
      </c>
      <c r="W255" s="615">
        <v>0</v>
      </c>
      <c r="X255" s="615">
        <v>0</v>
      </c>
      <c r="Y255" s="615">
        <v>0</v>
      </c>
      <c r="Z255" s="615">
        <v>0</v>
      </c>
      <c r="AA255" s="615">
        <v>0</v>
      </c>
      <c r="AB255" s="615">
        <v>0</v>
      </c>
      <c r="AC255" s="615">
        <v>0</v>
      </c>
      <c r="AD255" s="615">
        <v>0</v>
      </c>
      <c r="AE255" s="615">
        <v>0</v>
      </c>
      <c r="AF255" s="615">
        <v>0</v>
      </c>
      <c r="AG255" s="615">
        <v>0</v>
      </c>
      <c r="AH255" s="615">
        <v>0</v>
      </c>
      <c r="AI255" s="615">
        <v>0</v>
      </c>
      <c r="AJ255" s="615">
        <v>0</v>
      </c>
      <c r="AK255" s="615">
        <v>0</v>
      </c>
      <c r="AL255" s="615">
        <v>0</v>
      </c>
      <c r="AM255" s="615">
        <v>0</v>
      </c>
      <c r="AN255" s="615">
        <v>0</v>
      </c>
      <c r="AO255" s="615">
        <v>0</v>
      </c>
      <c r="AP255" s="615">
        <v>0</v>
      </c>
      <c r="AQ255" s="615">
        <v>0</v>
      </c>
      <c r="AR255" s="615">
        <v>0</v>
      </c>
      <c r="AS255" s="615">
        <v>0</v>
      </c>
      <c r="AT255" s="615">
        <v>0</v>
      </c>
      <c r="AU255" s="615">
        <v>0</v>
      </c>
      <c r="AV255" s="615">
        <v>0</v>
      </c>
      <c r="AW255" s="615">
        <v>0</v>
      </c>
      <c r="AX255" s="615">
        <v>0</v>
      </c>
      <c r="AY255" s="615">
        <v>0</v>
      </c>
      <c r="AZ255" s="615">
        <v>0</v>
      </c>
      <c r="BA255" s="615">
        <v>0</v>
      </c>
      <c r="BB255" s="615">
        <v>0</v>
      </c>
      <c r="BC255" s="615">
        <v>0</v>
      </c>
      <c r="BD255" s="615">
        <v>0</v>
      </c>
      <c r="BE255" s="615">
        <v>0</v>
      </c>
      <c r="BF255" s="615">
        <v>0</v>
      </c>
      <c r="BG255" s="615">
        <v>0</v>
      </c>
      <c r="BH255" s="615">
        <v>0</v>
      </c>
      <c r="BI255" s="615">
        <v>0</v>
      </c>
      <c r="BJ255" s="615">
        <v>0</v>
      </c>
      <c r="BK255" s="615">
        <v>0</v>
      </c>
      <c r="BL255" s="615">
        <v>0</v>
      </c>
      <c r="BM255" s="615">
        <v>0</v>
      </c>
      <c r="BN255" s="615">
        <v>0</v>
      </c>
      <c r="BO255" s="615">
        <v>0</v>
      </c>
      <c r="BP255" s="615">
        <v>0</v>
      </c>
      <c r="BQ255" s="615">
        <v>0</v>
      </c>
      <c r="BR255" s="615">
        <v>0</v>
      </c>
      <c r="BS255" s="615">
        <v>0</v>
      </c>
      <c r="BT255" s="615">
        <v>0</v>
      </c>
      <c r="BU255" s="615">
        <v>0</v>
      </c>
      <c r="BV255" s="615">
        <v>0</v>
      </c>
      <c r="BW255" s="615">
        <v>0</v>
      </c>
      <c r="BX255" s="607">
        <f t="shared" si="7"/>
        <v>0</v>
      </c>
    </row>
    <row r="256" spans="1:76" s="612" customFormat="1" ht="12.95" customHeight="1" x14ac:dyDescent="0.2">
      <c r="A256" s="606" t="s">
        <v>943</v>
      </c>
      <c r="B256" s="606"/>
      <c r="C256" s="614">
        <f>COUNTA(C154:C255)</f>
        <v>102</v>
      </c>
      <c r="D256" s="613">
        <f t="shared" ref="D256:AI256" si="8">SUM(D154:D255)</f>
        <v>0</v>
      </c>
      <c r="E256" s="613">
        <f t="shared" si="8"/>
        <v>0</v>
      </c>
      <c r="F256" s="613">
        <f t="shared" si="8"/>
        <v>0</v>
      </c>
      <c r="G256" s="613">
        <f t="shared" si="8"/>
        <v>0</v>
      </c>
      <c r="H256" s="613">
        <f t="shared" si="8"/>
        <v>0</v>
      </c>
      <c r="I256" s="613">
        <f t="shared" si="8"/>
        <v>0</v>
      </c>
      <c r="J256" s="613">
        <f t="shared" si="8"/>
        <v>0</v>
      </c>
      <c r="K256" s="613">
        <f t="shared" si="8"/>
        <v>0</v>
      </c>
      <c r="L256" s="613">
        <f t="shared" si="8"/>
        <v>0</v>
      </c>
      <c r="M256" s="613">
        <f t="shared" si="8"/>
        <v>0</v>
      </c>
      <c r="N256" s="613">
        <f t="shared" si="8"/>
        <v>0</v>
      </c>
      <c r="O256" s="613">
        <f t="shared" si="8"/>
        <v>0</v>
      </c>
      <c r="P256" s="613">
        <f t="shared" si="8"/>
        <v>0</v>
      </c>
      <c r="Q256" s="613">
        <f t="shared" si="8"/>
        <v>0</v>
      </c>
      <c r="R256" s="613">
        <f t="shared" si="8"/>
        <v>0</v>
      </c>
      <c r="S256" s="613">
        <f t="shared" si="8"/>
        <v>0</v>
      </c>
      <c r="T256" s="613">
        <f t="shared" si="8"/>
        <v>0</v>
      </c>
      <c r="U256" s="613">
        <f t="shared" si="8"/>
        <v>0</v>
      </c>
      <c r="V256" s="613">
        <f t="shared" si="8"/>
        <v>0</v>
      </c>
      <c r="W256" s="613">
        <f t="shared" si="8"/>
        <v>0</v>
      </c>
      <c r="X256" s="613">
        <f t="shared" si="8"/>
        <v>0</v>
      </c>
      <c r="Y256" s="613">
        <f t="shared" si="8"/>
        <v>0</v>
      </c>
      <c r="Z256" s="613">
        <f t="shared" si="8"/>
        <v>0</v>
      </c>
      <c r="AA256" s="613">
        <f t="shared" si="8"/>
        <v>0</v>
      </c>
      <c r="AB256" s="613">
        <f t="shared" si="8"/>
        <v>0</v>
      </c>
      <c r="AC256" s="613">
        <f t="shared" si="8"/>
        <v>0</v>
      </c>
      <c r="AD256" s="613">
        <f t="shared" si="8"/>
        <v>0</v>
      </c>
      <c r="AE256" s="613">
        <f t="shared" si="8"/>
        <v>0</v>
      </c>
      <c r="AF256" s="613">
        <f t="shared" si="8"/>
        <v>0</v>
      </c>
      <c r="AG256" s="613">
        <f t="shared" si="8"/>
        <v>0</v>
      </c>
      <c r="AH256" s="613">
        <f t="shared" si="8"/>
        <v>0</v>
      </c>
      <c r="AI256" s="613">
        <f t="shared" si="8"/>
        <v>0</v>
      </c>
      <c r="AJ256" s="613">
        <f t="shared" ref="AJ256:BO256" si="9">SUM(AJ154:AJ255)</f>
        <v>414071610</v>
      </c>
      <c r="AK256" s="613">
        <f t="shared" si="9"/>
        <v>0</v>
      </c>
      <c r="AL256" s="613">
        <f t="shared" si="9"/>
        <v>0</v>
      </c>
      <c r="AM256" s="613">
        <f t="shared" si="9"/>
        <v>0</v>
      </c>
      <c r="AN256" s="613">
        <f t="shared" si="9"/>
        <v>0</v>
      </c>
      <c r="AO256" s="613">
        <f t="shared" si="9"/>
        <v>0</v>
      </c>
      <c r="AP256" s="613">
        <f t="shared" si="9"/>
        <v>0</v>
      </c>
      <c r="AQ256" s="613">
        <f t="shared" si="9"/>
        <v>1821932</v>
      </c>
      <c r="AR256" s="613">
        <f t="shared" si="9"/>
        <v>209201519</v>
      </c>
      <c r="AS256" s="613">
        <f t="shared" si="9"/>
        <v>490294249</v>
      </c>
      <c r="AT256" s="613">
        <f t="shared" si="9"/>
        <v>259871906</v>
      </c>
      <c r="AU256" s="613">
        <f t="shared" si="9"/>
        <v>358479879</v>
      </c>
      <c r="AV256" s="613">
        <f t="shared" si="9"/>
        <v>63198334</v>
      </c>
      <c r="AW256" s="613">
        <f t="shared" si="9"/>
        <v>377691485</v>
      </c>
      <c r="AX256" s="613">
        <f t="shared" si="9"/>
        <v>37663586</v>
      </c>
      <c r="AY256" s="613">
        <f t="shared" si="9"/>
        <v>306016636</v>
      </c>
      <c r="AZ256" s="613">
        <f t="shared" si="9"/>
        <v>0</v>
      </c>
      <c r="BA256" s="613">
        <f t="shared" si="9"/>
        <v>36016636</v>
      </c>
      <c r="BB256" s="613">
        <f t="shared" si="9"/>
        <v>0</v>
      </c>
      <c r="BC256" s="613">
        <f t="shared" si="9"/>
        <v>35546222</v>
      </c>
      <c r="BD256" s="613">
        <f t="shared" si="9"/>
        <v>0</v>
      </c>
      <c r="BE256" s="613">
        <f t="shared" si="9"/>
        <v>0</v>
      </c>
      <c r="BF256" s="613">
        <f t="shared" si="9"/>
        <v>0</v>
      </c>
      <c r="BG256" s="613">
        <f t="shared" si="9"/>
        <v>0</v>
      </c>
      <c r="BH256" s="613">
        <f t="shared" si="9"/>
        <v>0</v>
      </c>
      <c r="BI256" s="613">
        <f t="shared" si="9"/>
        <v>0</v>
      </c>
      <c r="BJ256" s="613">
        <f t="shared" si="9"/>
        <v>0</v>
      </c>
      <c r="BK256" s="613">
        <f t="shared" si="9"/>
        <v>0</v>
      </c>
      <c r="BL256" s="613">
        <f t="shared" si="9"/>
        <v>0</v>
      </c>
      <c r="BM256" s="613">
        <f t="shared" si="9"/>
        <v>0</v>
      </c>
      <c r="BN256" s="613">
        <f t="shared" si="9"/>
        <v>0</v>
      </c>
      <c r="BO256" s="613">
        <f t="shared" si="9"/>
        <v>0</v>
      </c>
      <c r="BP256" s="613">
        <f t="shared" ref="BP256:BX256" si="10">SUM(BP154:BP255)</f>
        <v>0</v>
      </c>
      <c r="BQ256" s="613">
        <f t="shared" si="10"/>
        <v>0</v>
      </c>
      <c r="BR256" s="613">
        <f t="shared" si="10"/>
        <v>0</v>
      </c>
      <c r="BS256" s="613">
        <f t="shared" si="10"/>
        <v>0</v>
      </c>
      <c r="BT256" s="613">
        <f t="shared" si="10"/>
        <v>0</v>
      </c>
      <c r="BU256" s="613">
        <f t="shared" si="10"/>
        <v>0</v>
      </c>
      <c r="BV256" s="613">
        <f t="shared" si="10"/>
        <v>0</v>
      </c>
      <c r="BW256" s="613">
        <f t="shared" si="10"/>
        <v>0</v>
      </c>
      <c r="BX256" s="616">
        <f t="shared" si="10"/>
        <v>2589873994</v>
      </c>
    </row>
    <row r="257" spans="1:76" s="612" customFormat="1" ht="12.95" customHeight="1" x14ac:dyDescent="0.2">
      <c r="A257" s="908">
        <v>2</v>
      </c>
      <c r="B257" s="611" t="s">
        <v>3432</v>
      </c>
      <c r="C257" s="641" t="s">
        <v>3431</v>
      </c>
      <c r="D257" s="615"/>
      <c r="E257" s="615"/>
      <c r="F257" s="615"/>
      <c r="G257" s="615"/>
      <c r="H257" s="585"/>
      <c r="I257" s="615"/>
      <c r="J257" s="615"/>
      <c r="K257" s="615"/>
      <c r="L257" s="615"/>
      <c r="M257" s="615"/>
      <c r="N257" s="615"/>
      <c r="O257" s="615"/>
      <c r="P257" s="615"/>
      <c r="Q257" s="615"/>
      <c r="R257" s="615"/>
      <c r="S257" s="615"/>
      <c r="T257" s="615"/>
      <c r="U257" s="615"/>
      <c r="V257" s="615"/>
      <c r="W257" s="615"/>
      <c r="X257" s="615"/>
      <c r="Y257" s="615">
        <v>0</v>
      </c>
      <c r="Z257" s="615">
        <v>0</v>
      </c>
      <c r="AA257" s="615">
        <v>0</v>
      </c>
      <c r="AB257" s="615">
        <v>0</v>
      </c>
      <c r="AC257" s="615">
        <v>0</v>
      </c>
      <c r="AD257" s="615">
        <v>0</v>
      </c>
      <c r="AE257" s="615">
        <v>0</v>
      </c>
      <c r="AF257" s="615">
        <v>0</v>
      </c>
      <c r="AG257" s="615">
        <v>0</v>
      </c>
      <c r="AH257" s="615">
        <v>0</v>
      </c>
      <c r="AI257" s="615">
        <v>0</v>
      </c>
      <c r="AJ257" s="615">
        <v>0</v>
      </c>
      <c r="AK257" s="615">
        <v>0</v>
      </c>
      <c r="AL257" s="615">
        <v>0</v>
      </c>
      <c r="AM257" s="615">
        <v>0</v>
      </c>
      <c r="AN257" s="615">
        <v>0</v>
      </c>
      <c r="AO257" s="615">
        <v>0</v>
      </c>
      <c r="AP257" s="615">
        <v>0</v>
      </c>
      <c r="AQ257" s="615">
        <v>0</v>
      </c>
      <c r="AR257" s="615">
        <v>0</v>
      </c>
      <c r="AS257" s="615">
        <v>0</v>
      </c>
      <c r="AT257" s="615">
        <v>0</v>
      </c>
      <c r="AU257" s="615">
        <v>0</v>
      </c>
      <c r="AV257" s="615">
        <v>0</v>
      </c>
      <c r="AW257" s="615">
        <v>5014698</v>
      </c>
      <c r="AX257" s="615">
        <v>5335783</v>
      </c>
      <c r="AY257" s="615">
        <v>5335783</v>
      </c>
      <c r="AZ257" s="615">
        <v>5335783</v>
      </c>
      <c r="BA257" s="615">
        <v>5335783</v>
      </c>
      <c r="BB257" s="615">
        <v>5335783</v>
      </c>
      <c r="BC257" s="615">
        <v>5335783</v>
      </c>
      <c r="BD257" s="615">
        <v>5335783</v>
      </c>
      <c r="BE257" s="615">
        <v>5335783</v>
      </c>
      <c r="BF257" s="615">
        <v>5335783</v>
      </c>
      <c r="BG257" s="615">
        <v>5335783</v>
      </c>
      <c r="BH257" s="615">
        <v>5335783</v>
      </c>
      <c r="BI257" s="615">
        <v>5335783</v>
      </c>
      <c r="BJ257" s="615">
        <v>5335783</v>
      </c>
      <c r="BK257" s="615">
        <v>5335783</v>
      </c>
      <c r="BL257" s="615">
        <v>5335783</v>
      </c>
      <c r="BM257" s="615">
        <v>5335783</v>
      </c>
      <c r="BN257" s="615">
        <v>5335783</v>
      </c>
      <c r="BO257" s="615">
        <v>5335783</v>
      </c>
      <c r="BP257" s="615">
        <v>5335783</v>
      </c>
      <c r="BQ257" s="615">
        <v>5335783</v>
      </c>
      <c r="BR257" s="615">
        <v>5335783</v>
      </c>
      <c r="BS257" s="615">
        <v>5335783</v>
      </c>
      <c r="BT257" s="615">
        <v>5335783</v>
      </c>
      <c r="BU257" s="615">
        <v>5335793</v>
      </c>
      <c r="BV257" s="615">
        <v>385171500</v>
      </c>
      <c r="BW257" s="615">
        <v>0</v>
      </c>
      <c r="BX257" s="607">
        <f>SUM(Y257:BW257)</f>
        <v>518245000</v>
      </c>
    </row>
    <row r="258" spans="1:76" s="612" customFormat="1" ht="12.95" customHeight="1" x14ac:dyDescent="0.2">
      <c r="A258" s="909"/>
      <c r="B258" s="611" t="s">
        <v>3492</v>
      </c>
      <c r="C258" s="641" t="s">
        <v>3491</v>
      </c>
      <c r="D258" s="615"/>
      <c r="E258" s="615"/>
      <c r="F258" s="615"/>
      <c r="G258" s="615"/>
      <c r="H258" s="585"/>
      <c r="I258" s="615"/>
      <c r="J258" s="615"/>
      <c r="K258" s="615"/>
      <c r="L258" s="615"/>
      <c r="M258" s="615"/>
      <c r="N258" s="615"/>
      <c r="O258" s="615"/>
      <c r="P258" s="615"/>
      <c r="Q258" s="615"/>
      <c r="R258" s="615"/>
      <c r="S258" s="615"/>
      <c r="T258" s="615"/>
      <c r="U258" s="615"/>
      <c r="V258" s="615"/>
      <c r="W258" s="615"/>
      <c r="X258" s="615"/>
      <c r="Y258" s="615">
        <v>0</v>
      </c>
      <c r="Z258" s="615">
        <v>0</v>
      </c>
      <c r="AA258" s="615">
        <v>0</v>
      </c>
      <c r="AB258" s="615">
        <v>0</v>
      </c>
      <c r="AC258" s="615">
        <v>0</v>
      </c>
      <c r="AD258" s="615">
        <v>0</v>
      </c>
      <c r="AE258" s="615">
        <v>0</v>
      </c>
      <c r="AF258" s="615">
        <v>0</v>
      </c>
      <c r="AG258" s="615">
        <v>0</v>
      </c>
      <c r="AH258" s="615">
        <v>0</v>
      </c>
      <c r="AI258" s="615">
        <v>0</v>
      </c>
      <c r="AJ258" s="615">
        <v>0</v>
      </c>
      <c r="AK258" s="615">
        <v>0</v>
      </c>
      <c r="AL258" s="615">
        <v>0</v>
      </c>
      <c r="AM258" s="615">
        <v>0</v>
      </c>
      <c r="AN258" s="615">
        <v>0</v>
      </c>
      <c r="AO258" s="615">
        <v>0</v>
      </c>
      <c r="AP258" s="615">
        <v>0</v>
      </c>
      <c r="AQ258" s="615">
        <v>0</v>
      </c>
      <c r="AR258" s="615">
        <v>0</v>
      </c>
      <c r="AS258" s="615">
        <v>0</v>
      </c>
      <c r="AT258" s="615">
        <v>541414</v>
      </c>
      <c r="AU258" s="615">
        <v>4361207</v>
      </c>
      <c r="AV258" s="615">
        <v>4361207</v>
      </c>
      <c r="AW258" s="615">
        <v>4361207</v>
      </c>
      <c r="AX258" s="615">
        <v>4361207</v>
      </c>
      <c r="AY258" s="615">
        <v>4361207</v>
      </c>
      <c r="AZ258" s="615">
        <v>4361207</v>
      </c>
      <c r="BA258" s="615">
        <v>4361207</v>
      </c>
      <c r="BB258" s="615">
        <v>4361207</v>
      </c>
      <c r="BC258" s="615">
        <v>4361207</v>
      </c>
      <c r="BD258" s="615">
        <v>4361207</v>
      </c>
      <c r="BE258" s="615">
        <v>4361207</v>
      </c>
      <c r="BF258" s="615">
        <v>4361207</v>
      </c>
      <c r="BG258" s="615">
        <v>4361207</v>
      </c>
      <c r="BH258" s="615">
        <v>4361207</v>
      </c>
      <c r="BI258" s="615">
        <v>4361207</v>
      </c>
      <c r="BJ258" s="615">
        <v>4361207</v>
      </c>
      <c r="BK258" s="615">
        <v>4361207</v>
      </c>
      <c r="BL258" s="615">
        <v>4361207</v>
      </c>
      <c r="BM258" s="615">
        <v>4361207</v>
      </c>
      <c r="BN258" s="615">
        <v>4361207</v>
      </c>
      <c r="BO258" s="615">
        <v>4361207</v>
      </c>
      <c r="BP258" s="615">
        <v>4361207</v>
      </c>
      <c r="BQ258" s="615">
        <v>4361207</v>
      </c>
      <c r="BR258" s="615">
        <v>4361207</v>
      </c>
      <c r="BS258" s="615">
        <v>4361207</v>
      </c>
      <c r="BT258" s="615">
        <v>4361207</v>
      </c>
      <c r="BU258" s="615">
        <v>4361204</v>
      </c>
      <c r="BV258" s="615">
        <v>306775000</v>
      </c>
      <c r="BW258" s="615">
        <v>0</v>
      </c>
      <c r="BX258" s="607">
        <f t="shared" ref="BX258:BX321" si="11">SUM(Y258:BW258)</f>
        <v>425069000</v>
      </c>
    </row>
    <row r="259" spans="1:76" s="612" customFormat="1" ht="12.95" customHeight="1" x14ac:dyDescent="0.2">
      <c r="A259" s="909"/>
      <c r="B259" s="611" t="s">
        <v>2724</v>
      </c>
      <c r="C259" s="641" t="s">
        <v>3340</v>
      </c>
      <c r="D259" s="615"/>
      <c r="E259" s="615"/>
      <c r="F259" s="615"/>
      <c r="G259" s="615"/>
      <c r="H259" s="585"/>
      <c r="I259" s="615"/>
      <c r="J259" s="615"/>
      <c r="K259" s="615"/>
      <c r="L259" s="615"/>
      <c r="M259" s="615"/>
      <c r="N259" s="615"/>
      <c r="O259" s="615"/>
      <c r="P259" s="615"/>
      <c r="Q259" s="615"/>
      <c r="R259" s="615"/>
      <c r="S259" s="615"/>
      <c r="T259" s="615"/>
      <c r="U259" s="615"/>
      <c r="V259" s="615"/>
      <c r="W259" s="615"/>
      <c r="X259" s="615"/>
      <c r="Y259" s="615">
        <v>0</v>
      </c>
      <c r="Z259" s="615">
        <v>0</v>
      </c>
      <c r="AA259" s="615">
        <v>0</v>
      </c>
      <c r="AB259" s="615">
        <v>0</v>
      </c>
      <c r="AC259" s="615">
        <v>0</v>
      </c>
      <c r="AD259" s="615">
        <v>0</v>
      </c>
      <c r="AE259" s="615">
        <v>0</v>
      </c>
      <c r="AF259" s="615">
        <v>0</v>
      </c>
      <c r="AG259" s="615">
        <v>0</v>
      </c>
      <c r="AH259" s="615">
        <v>0</v>
      </c>
      <c r="AI259" s="615">
        <v>0</v>
      </c>
      <c r="AJ259" s="615">
        <v>0</v>
      </c>
      <c r="AK259" s="615">
        <v>0</v>
      </c>
      <c r="AL259" s="615">
        <v>0</v>
      </c>
      <c r="AM259" s="615">
        <v>0</v>
      </c>
      <c r="AN259" s="615">
        <v>0</v>
      </c>
      <c r="AO259" s="615">
        <v>0</v>
      </c>
      <c r="AP259" s="615">
        <v>0</v>
      </c>
      <c r="AQ259" s="615">
        <v>0</v>
      </c>
      <c r="AR259" s="615">
        <v>0</v>
      </c>
      <c r="AS259" s="615">
        <v>0</v>
      </c>
      <c r="AT259" s="615">
        <v>0</v>
      </c>
      <c r="AU259" s="615">
        <v>1</v>
      </c>
      <c r="AV259" s="615">
        <v>4608468</v>
      </c>
      <c r="AW259" s="615">
        <v>4608468</v>
      </c>
      <c r="AX259" s="615">
        <v>4608468</v>
      </c>
      <c r="AY259" s="615">
        <v>4608468</v>
      </c>
      <c r="AZ259" s="615">
        <v>4608468</v>
      </c>
      <c r="BA259" s="615">
        <v>4608468</v>
      </c>
      <c r="BB259" s="615">
        <v>4608468</v>
      </c>
      <c r="BC259" s="615">
        <v>4608468</v>
      </c>
      <c r="BD259" s="615">
        <v>4608468</v>
      </c>
      <c r="BE259" s="615">
        <v>4608468</v>
      </c>
      <c r="BF259" s="615">
        <v>4608468</v>
      </c>
      <c r="BG259" s="615">
        <v>4608468</v>
      </c>
      <c r="BH259" s="615">
        <v>4608468</v>
      </c>
      <c r="BI259" s="615">
        <v>4608468</v>
      </c>
      <c r="BJ259" s="615">
        <v>4608468</v>
      </c>
      <c r="BK259" s="615">
        <v>4608468</v>
      </c>
      <c r="BL259" s="615">
        <v>4608468</v>
      </c>
      <c r="BM259" s="615">
        <v>4608468</v>
      </c>
      <c r="BN259" s="615">
        <v>4608468</v>
      </c>
      <c r="BO259" s="615">
        <v>4608468</v>
      </c>
      <c r="BP259" s="615">
        <v>4608468</v>
      </c>
      <c r="BQ259" s="615">
        <v>4608468</v>
      </c>
      <c r="BR259" s="615">
        <v>4608468</v>
      </c>
      <c r="BS259" s="615">
        <v>4608468</v>
      </c>
      <c r="BT259" s="615">
        <v>4608468</v>
      </c>
      <c r="BU259" s="615">
        <v>4608476</v>
      </c>
      <c r="BV259" s="615">
        <v>378644000</v>
      </c>
      <c r="BW259" s="615">
        <v>0</v>
      </c>
      <c r="BX259" s="607">
        <f t="shared" si="11"/>
        <v>498464177</v>
      </c>
    </row>
    <row r="260" spans="1:76" s="612" customFormat="1" ht="12.95" customHeight="1" x14ac:dyDescent="0.2">
      <c r="A260" s="909"/>
      <c r="B260" s="611" t="s">
        <v>4282</v>
      </c>
      <c r="C260" s="641" t="s">
        <v>4281</v>
      </c>
      <c r="D260" s="615"/>
      <c r="E260" s="615"/>
      <c r="F260" s="615"/>
      <c r="G260" s="615"/>
      <c r="H260" s="585"/>
      <c r="I260" s="615"/>
      <c r="J260" s="615"/>
      <c r="K260" s="615"/>
      <c r="L260" s="615"/>
      <c r="M260" s="615"/>
      <c r="N260" s="615"/>
      <c r="O260" s="615"/>
      <c r="P260" s="615"/>
      <c r="Q260" s="615"/>
      <c r="R260" s="615"/>
      <c r="S260" s="615"/>
      <c r="T260" s="615"/>
      <c r="U260" s="615"/>
      <c r="V260" s="615"/>
      <c r="W260" s="615"/>
      <c r="X260" s="615"/>
      <c r="Y260" s="615">
        <v>0</v>
      </c>
      <c r="Z260" s="615">
        <v>0</v>
      </c>
      <c r="AA260" s="615">
        <v>0</v>
      </c>
      <c r="AB260" s="615">
        <v>0</v>
      </c>
      <c r="AC260" s="615">
        <v>0</v>
      </c>
      <c r="AD260" s="615">
        <v>0</v>
      </c>
      <c r="AE260" s="615">
        <v>0</v>
      </c>
      <c r="AF260" s="615">
        <v>0</v>
      </c>
      <c r="AG260" s="615">
        <v>0</v>
      </c>
      <c r="AH260" s="615">
        <v>0</v>
      </c>
      <c r="AI260" s="615">
        <v>0</v>
      </c>
      <c r="AJ260" s="615">
        <v>0</v>
      </c>
      <c r="AK260" s="615">
        <v>0</v>
      </c>
      <c r="AL260" s="615">
        <v>0</v>
      </c>
      <c r="AM260" s="615">
        <v>0</v>
      </c>
      <c r="AN260" s="615">
        <v>0</v>
      </c>
      <c r="AO260" s="615">
        <v>0</v>
      </c>
      <c r="AP260" s="615">
        <v>0</v>
      </c>
      <c r="AQ260" s="615">
        <v>0</v>
      </c>
      <c r="AR260" s="615">
        <v>0</v>
      </c>
      <c r="AS260" s="615">
        <v>0</v>
      </c>
      <c r="AT260" s="615">
        <v>0</v>
      </c>
      <c r="AU260" s="615">
        <v>0</v>
      </c>
      <c r="AV260" s="615">
        <v>0</v>
      </c>
      <c r="AW260" s="615">
        <v>1000000</v>
      </c>
      <c r="AX260" s="615">
        <v>1000000</v>
      </c>
      <c r="AY260" s="615">
        <v>1000000</v>
      </c>
      <c r="AZ260" s="615">
        <v>1000000</v>
      </c>
      <c r="BA260" s="615">
        <v>84935000</v>
      </c>
      <c r="BB260" s="615">
        <v>1000000</v>
      </c>
      <c r="BC260" s="615">
        <v>1000000</v>
      </c>
      <c r="BD260" s="615">
        <v>1000000</v>
      </c>
      <c r="BE260" s="615">
        <v>1000000</v>
      </c>
      <c r="BF260" s="615">
        <v>1000000</v>
      </c>
      <c r="BG260" s="615">
        <v>1000000</v>
      </c>
      <c r="BH260" s="615">
        <v>1000000</v>
      </c>
      <c r="BI260" s="615">
        <v>1000000</v>
      </c>
      <c r="BJ260" s="615">
        <v>1000000</v>
      </c>
      <c r="BK260" s="615">
        <v>1000000</v>
      </c>
      <c r="BL260" s="615">
        <v>1000000</v>
      </c>
      <c r="BM260" s="615">
        <v>1000000</v>
      </c>
      <c r="BN260" s="615">
        <v>1000000</v>
      </c>
      <c r="BO260" s="615">
        <v>1000000</v>
      </c>
      <c r="BP260" s="615">
        <v>1000000</v>
      </c>
      <c r="BQ260" s="615">
        <v>1000000</v>
      </c>
      <c r="BR260" s="615">
        <v>1000000</v>
      </c>
      <c r="BS260" s="615">
        <v>1000000</v>
      </c>
      <c r="BT260" s="615">
        <v>1000000</v>
      </c>
      <c r="BU260" s="615">
        <v>25932500</v>
      </c>
      <c r="BV260" s="615">
        <v>319357500</v>
      </c>
      <c r="BW260" s="615">
        <v>0</v>
      </c>
      <c r="BX260" s="607">
        <f t="shared" si="11"/>
        <v>453225000</v>
      </c>
    </row>
    <row r="261" spans="1:76" s="612" customFormat="1" ht="12.95" customHeight="1" x14ac:dyDescent="0.2">
      <c r="A261" s="909"/>
      <c r="B261" s="611" t="s">
        <v>3342</v>
      </c>
      <c r="C261" s="641" t="s">
        <v>3341</v>
      </c>
      <c r="D261" s="615"/>
      <c r="E261" s="615"/>
      <c r="F261" s="615"/>
      <c r="G261" s="615"/>
      <c r="H261" s="585"/>
      <c r="I261" s="615"/>
      <c r="J261" s="615"/>
      <c r="K261" s="615"/>
      <c r="L261" s="615"/>
      <c r="M261" s="615"/>
      <c r="N261" s="615"/>
      <c r="O261" s="615"/>
      <c r="P261" s="615"/>
      <c r="Q261" s="615"/>
      <c r="R261" s="615"/>
      <c r="S261" s="615"/>
      <c r="T261" s="615"/>
      <c r="U261" s="615"/>
      <c r="V261" s="615"/>
      <c r="W261" s="615"/>
      <c r="X261" s="615"/>
      <c r="Y261" s="615">
        <v>0</v>
      </c>
      <c r="Z261" s="615">
        <v>0</v>
      </c>
      <c r="AA261" s="615">
        <v>0</v>
      </c>
      <c r="AB261" s="615">
        <v>0</v>
      </c>
      <c r="AC261" s="615">
        <v>0</v>
      </c>
      <c r="AD261" s="615">
        <v>0</v>
      </c>
      <c r="AE261" s="615">
        <v>0</v>
      </c>
      <c r="AF261" s="615">
        <v>0</v>
      </c>
      <c r="AG261" s="615">
        <v>0</v>
      </c>
      <c r="AH261" s="615">
        <v>0</v>
      </c>
      <c r="AI261" s="615">
        <v>0</v>
      </c>
      <c r="AJ261" s="615">
        <v>0</v>
      </c>
      <c r="AK261" s="615">
        <v>0</v>
      </c>
      <c r="AL261" s="615">
        <v>0</v>
      </c>
      <c r="AM261" s="615">
        <v>0</v>
      </c>
      <c r="AN261" s="615">
        <v>0</v>
      </c>
      <c r="AO261" s="615">
        <v>0</v>
      </c>
      <c r="AP261" s="615">
        <v>0</v>
      </c>
      <c r="AQ261" s="615">
        <v>0</v>
      </c>
      <c r="AR261" s="615">
        <v>0</v>
      </c>
      <c r="AS261" s="615">
        <v>0</v>
      </c>
      <c r="AT261" s="615">
        <v>0</v>
      </c>
      <c r="AU261" s="615">
        <v>0</v>
      </c>
      <c r="AV261" s="615">
        <v>1345247</v>
      </c>
      <c r="AW261" s="615">
        <v>1345249</v>
      </c>
      <c r="AX261" s="615">
        <v>1345249</v>
      </c>
      <c r="AY261" s="615">
        <v>3000000</v>
      </c>
      <c r="AZ261" s="615">
        <v>16000000</v>
      </c>
      <c r="BA261" s="615">
        <v>1345249</v>
      </c>
      <c r="BB261" s="615">
        <v>1345249</v>
      </c>
      <c r="BC261" s="615">
        <v>21000000</v>
      </c>
      <c r="BD261" s="615">
        <v>1345249</v>
      </c>
      <c r="BE261" s="615">
        <v>1345249</v>
      </c>
      <c r="BF261" s="615">
        <v>14000000</v>
      </c>
      <c r="BG261" s="615">
        <v>1345249</v>
      </c>
      <c r="BH261" s="615">
        <v>1345249</v>
      </c>
      <c r="BI261" s="615">
        <v>1345249</v>
      </c>
      <c r="BJ261" s="615">
        <v>1345249</v>
      </c>
      <c r="BK261" s="615">
        <v>3000000</v>
      </c>
      <c r="BL261" s="615">
        <v>17000000</v>
      </c>
      <c r="BM261" s="615">
        <v>1345249</v>
      </c>
      <c r="BN261" s="615">
        <v>1345249</v>
      </c>
      <c r="BO261" s="615">
        <v>21000000</v>
      </c>
      <c r="BP261" s="615">
        <v>1345249</v>
      </c>
      <c r="BQ261" s="615">
        <v>1345249</v>
      </c>
      <c r="BR261" s="615">
        <v>15000000</v>
      </c>
      <c r="BS261" s="615">
        <v>1345249</v>
      </c>
      <c r="BT261" s="615">
        <v>1345249</v>
      </c>
      <c r="BU261" s="615">
        <v>1345269</v>
      </c>
      <c r="BV261" s="615">
        <v>417445000</v>
      </c>
      <c r="BW261" s="615">
        <v>0</v>
      </c>
      <c r="BX261" s="607">
        <f t="shared" si="11"/>
        <v>551659500</v>
      </c>
    </row>
    <row r="262" spans="1:76" s="612" customFormat="1" ht="12.95" customHeight="1" x14ac:dyDescent="0.2">
      <c r="A262" s="909"/>
      <c r="B262" s="611" t="s">
        <v>2681</v>
      </c>
      <c r="C262" s="641" t="s">
        <v>2680</v>
      </c>
      <c r="D262" s="615"/>
      <c r="E262" s="615"/>
      <c r="F262" s="615"/>
      <c r="G262" s="615"/>
      <c r="H262" s="585"/>
      <c r="I262" s="615"/>
      <c r="J262" s="615"/>
      <c r="K262" s="615"/>
      <c r="L262" s="615"/>
      <c r="M262" s="615"/>
      <c r="N262" s="615"/>
      <c r="O262" s="615"/>
      <c r="P262" s="615"/>
      <c r="Q262" s="615"/>
      <c r="R262" s="615"/>
      <c r="S262" s="615"/>
      <c r="T262" s="615"/>
      <c r="U262" s="615"/>
      <c r="V262" s="615"/>
      <c r="W262" s="615"/>
      <c r="X262" s="615"/>
      <c r="Y262" s="615">
        <v>0</v>
      </c>
      <c r="Z262" s="615">
        <v>0</v>
      </c>
      <c r="AA262" s="615">
        <v>0</v>
      </c>
      <c r="AB262" s="615">
        <v>0</v>
      </c>
      <c r="AC262" s="615">
        <v>0</v>
      </c>
      <c r="AD262" s="615">
        <v>0</v>
      </c>
      <c r="AE262" s="615">
        <v>0</v>
      </c>
      <c r="AF262" s="615">
        <v>0</v>
      </c>
      <c r="AG262" s="615">
        <v>0</v>
      </c>
      <c r="AH262" s="615">
        <v>0</v>
      </c>
      <c r="AI262" s="615">
        <v>0</v>
      </c>
      <c r="AJ262" s="615">
        <v>0</v>
      </c>
      <c r="AK262" s="615">
        <v>0</v>
      </c>
      <c r="AL262" s="615">
        <v>0</v>
      </c>
      <c r="AM262" s="615">
        <v>0</v>
      </c>
      <c r="AN262" s="615">
        <v>0</v>
      </c>
      <c r="AO262" s="615">
        <v>0</v>
      </c>
      <c r="AP262" s="615">
        <v>0</v>
      </c>
      <c r="AQ262" s="615">
        <v>0</v>
      </c>
      <c r="AR262" s="615">
        <v>0</v>
      </c>
      <c r="AS262" s="615">
        <v>0</v>
      </c>
      <c r="AT262" s="615">
        <v>0</v>
      </c>
      <c r="AU262" s="615">
        <v>0</v>
      </c>
      <c r="AV262" s="615">
        <v>0</v>
      </c>
      <c r="AW262" s="615">
        <v>0</v>
      </c>
      <c r="AX262" s="615">
        <v>2</v>
      </c>
      <c r="AY262" s="615">
        <v>4325429</v>
      </c>
      <c r="AZ262" s="615">
        <v>4325429</v>
      </c>
      <c r="BA262" s="615">
        <v>4325429</v>
      </c>
      <c r="BB262" s="615">
        <v>4325429</v>
      </c>
      <c r="BC262" s="615">
        <v>4325429</v>
      </c>
      <c r="BD262" s="615">
        <v>4325429</v>
      </c>
      <c r="BE262" s="615">
        <v>4325429</v>
      </c>
      <c r="BF262" s="615">
        <v>4325429</v>
      </c>
      <c r="BG262" s="615">
        <v>4325429</v>
      </c>
      <c r="BH262" s="615">
        <v>4325429</v>
      </c>
      <c r="BI262" s="615">
        <v>4325429</v>
      </c>
      <c r="BJ262" s="615">
        <v>4325429</v>
      </c>
      <c r="BK262" s="615">
        <v>4325429</v>
      </c>
      <c r="BL262" s="615">
        <v>4325429</v>
      </c>
      <c r="BM262" s="615">
        <v>4325429</v>
      </c>
      <c r="BN262" s="615">
        <v>4325429</v>
      </c>
      <c r="BO262" s="615">
        <v>4325429</v>
      </c>
      <c r="BP262" s="615">
        <v>4325429</v>
      </c>
      <c r="BQ262" s="615">
        <v>4325429</v>
      </c>
      <c r="BR262" s="615">
        <v>4325429</v>
      </c>
      <c r="BS262" s="615">
        <v>369235429</v>
      </c>
      <c r="BT262" s="615">
        <v>4325429</v>
      </c>
      <c r="BU262" s="615">
        <v>4325414</v>
      </c>
      <c r="BV262" s="615">
        <v>0</v>
      </c>
      <c r="BW262" s="615">
        <v>0</v>
      </c>
      <c r="BX262" s="607">
        <f t="shared" si="11"/>
        <v>464394854</v>
      </c>
    </row>
    <row r="263" spans="1:76" s="612" customFormat="1" ht="12.95" customHeight="1" x14ac:dyDescent="0.2">
      <c r="A263" s="909"/>
      <c r="B263" s="611" t="s">
        <v>3344</v>
      </c>
      <c r="C263" s="641" t="s">
        <v>3343</v>
      </c>
      <c r="D263" s="615"/>
      <c r="E263" s="615"/>
      <c r="F263" s="615"/>
      <c r="G263" s="615"/>
      <c r="H263" s="585"/>
      <c r="I263" s="615"/>
      <c r="J263" s="615"/>
      <c r="K263" s="615"/>
      <c r="L263" s="615"/>
      <c r="M263" s="615"/>
      <c r="N263" s="615"/>
      <c r="O263" s="615"/>
      <c r="P263" s="615"/>
      <c r="Q263" s="615"/>
      <c r="R263" s="615"/>
      <c r="S263" s="615"/>
      <c r="T263" s="615"/>
      <c r="U263" s="615"/>
      <c r="V263" s="615"/>
      <c r="W263" s="615"/>
      <c r="X263" s="615"/>
      <c r="Y263" s="615">
        <v>0</v>
      </c>
      <c r="Z263" s="615">
        <v>0</v>
      </c>
      <c r="AA263" s="615">
        <v>0</v>
      </c>
      <c r="AB263" s="615">
        <v>0</v>
      </c>
      <c r="AC263" s="615">
        <v>0</v>
      </c>
      <c r="AD263" s="615">
        <v>0</v>
      </c>
      <c r="AE263" s="615">
        <v>0</v>
      </c>
      <c r="AF263" s="615">
        <v>0</v>
      </c>
      <c r="AG263" s="615">
        <v>0</v>
      </c>
      <c r="AH263" s="615">
        <v>0</v>
      </c>
      <c r="AI263" s="615">
        <v>0</v>
      </c>
      <c r="AJ263" s="615">
        <v>0</v>
      </c>
      <c r="AK263" s="615">
        <v>0</v>
      </c>
      <c r="AL263" s="615">
        <v>0</v>
      </c>
      <c r="AM263" s="615">
        <v>0</v>
      </c>
      <c r="AN263" s="615">
        <v>0</v>
      </c>
      <c r="AO263" s="615">
        <v>0</v>
      </c>
      <c r="AP263" s="615">
        <v>0</v>
      </c>
      <c r="AQ263" s="615">
        <v>0</v>
      </c>
      <c r="AR263" s="615">
        <v>0</v>
      </c>
      <c r="AS263" s="615">
        <v>0</v>
      </c>
      <c r="AT263" s="615">
        <v>0</v>
      </c>
      <c r="AU263" s="615">
        <v>0</v>
      </c>
      <c r="AV263" s="615">
        <v>0</v>
      </c>
      <c r="AW263" s="615">
        <v>4045581</v>
      </c>
      <c r="AX263" s="615">
        <v>4045583</v>
      </c>
      <c r="AY263" s="615">
        <v>4045583</v>
      </c>
      <c r="AZ263" s="615">
        <v>4045583</v>
      </c>
      <c r="BA263" s="615">
        <v>4045583</v>
      </c>
      <c r="BB263" s="615">
        <v>4045583</v>
      </c>
      <c r="BC263" s="615">
        <v>4045583</v>
      </c>
      <c r="BD263" s="615">
        <v>4045583</v>
      </c>
      <c r="BE263" s="615">
        <v>4045583</v>
      </c>
      <c r="BF263" s="615">
        <v>4045583</v>
      </c>
      <c r="BG263" s="615">
        <v>4045583</v>
      </c>
      <c r="BH263" s="615">
        <v>4045583</v>
      </c>
      <c r="BI263" s="615">
        <v>4045583</v>
      </c>
      <c r="BJ263" s="615">
        <v>4045583</v>
      </c>
      <c r="BK263" s="615">
        <v>4045583</v>
      </c>
      <c r="BL263" s="615">
        <v>4045583</v>
      </c>
      <c r="BM263" s="615">
        <v>4045583</v>
      </c>
      <c r="BN263" s="615">
        <v>4045583</v>
      </c>
      <c r="BO263" s="615">
        <v>4045583</v>
      </c>
      <c r="BP263" s="615">
        <v>4045583</v>
      </c>
      <c r="BQ263" s="615">
        <v>4045583</v>
      </c>
      <c r="BR263" s="615">
        <v>4045583</v>
      </c>
      <c r="BS263" s="615">
        <v>4045583</v>
      </c>
      <c r="BT263" s="615">
        <v>4045583</v>
      </c>
      <c r="BU263" s="615">
        <v>4045593</v>
      </c>
      <c r="BV263" s="615">
        <v>294857500</v>
      </c>
      <c r="BW263" s="615">
        <v>0</v>
      </c>
      <c r="BX263" s="607">
        <f t="shared" si="11"/>
        <v>395997083</v>
      </c>
    </row>
    <row r="264" spans="1:76" s="612" customFormat="1" ht="12.95" customHeight="1" x14ac:dyDescent="0.2">
      <c r="A264" s="909"/>
      <c r="B264" s="611" t="s">
        <v>4228</v>
      </c>
      <c r="C264" s="641" t="s">
        <v>4227</v>
      </c>
      <c r="D264" s="615"/>
      <c r="E264" s="615"/>
      <c r="F264" s="615"/>
      <c r="G264" s="615"/>
      <c r="H264" s="585"/>
      <c r="I264" s="615"/>
      <c r="J264" s="615"/>
      <c r="K264" s="615"/>
      <c r="L264" s="615"/>
      <c r="M264" s="615"/>
      <c r="N264" s="615"/>
      <c r="O264" s="615"/>
      <c r="P264" s="615"/>
      <c r="Q264" s="615"/>
      <c r="R264" s="615"/>
      <c r="S264" s="615"/>
      <c r="T264" s="615"/>
      <c r="U264" s="615"/>
      <c r="V264" s="615"/>
      <c r="W264" s="615"/>
      <c r="X264" s="615"/>
      <c r="Y264" s="615">
        <v>0</v>
      </c>
      <c r="Z264" s="615">
        <v>0</v>
      </c>
      <c r="AA264" s="615">
        <v>0</v>
      </c>
      <c r="AB264" s="615">
        <v>0</v>
      </c>
      <c r="AC264" s="615">
        <v>0</v>
      </c>
      <c r="AD264" s="615">
        <v>0</v>
      </c>
      <c r="AE264" s="615">
        <v>0</v>
      </c>
      <c r="AF264" s="615">
        <v>0</v>
      </c>
      <c r="AG264" s="615">
        <v>0</v>
      </c>
      <c r="AH264" s="615">
        <v>0</v>
      </c>
      <c r="AI264" s="615">
        <v>0</v>
      </c>
      <c r="AJ264" s="615">
        <v>0</v>
      </c>
      <c r="AK264" s="615">
        <v>0</v>
      </c>
      <c r="AL264" s="615">
        <v>0</v>
      </c>
      <c r="AM264" s="615">
        <v>0</v>
      </c>
      <c r="AN264" s="615">
        <v>0</v>
      </c>
      <c r="AO264" s="615">
        <v>0</v>
      </c>
      <c r="AP264" s="615">
        <v>0</v>
      </c>
      <c r="AQ264" s="615">
        <v>0</v>
      </c>
      <c r="AR264" s="615">
        <v>0</v>
      </c>
      <c r="AS264" s="615">
        <v>0</v>
      </c>
      <c r="AT264" s="615">
        <v>0</v>
      </c>
      <c r="AU264" s="615">
        <v>0</v>
      </c>
      <c r="AV264" s="615">
        <v>0</v>
      </c>
      <c r="AW264" s="615">
        <v>4672370</v>
      </c>
      <c r="AX264" s="615">
        <v>4672370</v>
      </c>
      <c r="AY264" s="615">
        <v>4672370</v>
      </c>
      <c r="AZ264" s="615">
        <v>4672370</v>
      </c>
      <c r="BA264" s="615">
        <v>4672370</v>
      </c>
      <c r="BB264" s="615">
        <v>4672370</v>
      </c>
      <c r="BC264" s="615">
        <v>4672370</v>
      </c>
      <c r="BD264" s="615">
        <v>4672370</v>
      </c>
      <c r="BE264" s="615">
        <v>4672370</v>
      </c>
      <c r="BF264" s="615">
        <v>4672370</v>
      </c>
      <c r="BG264" s="615">
        <v>4672370</v>
      </c>
      <c r="BH264" s="615">
        <v>4672370</v>
      </c>
      <c r="BI264" s="615">
        <v>4672370</v>
      </c>
      <c r="BJ264" s="615">
        <v>4672370</v>
      </c>
      <c r="BK264" s="615">
        <v>4672370</v>
      </c>
      <c r="BL264" s="615">
        <v>4672370</v>
      </c>
      <c r="BM264" s="615">
        <v>4672370</v>
      </c>
      <c r="BN264" s="615">
        <v>4672370</v>
      </c>
      <c r="BO264" s="615">
        <v>4672370</v>
      </c>
      <c r="BP264" s="615">
        <v>4672370</v>
      </c>
      <c r="BQ264" s="615">
        <v>4672370</v>
      </c>
      <c r="BR264" s="615">
        <v>4672370</v>
      </c>
      <c r="BS264" s="615">
        <v>4672370</v>
      </c>
      <c r="BT264" s="615">
        <v>4672370</v>
      </c>
      <c r="BU264" s="615">
        <v>4672380</v>
      </c>
      <c r="BV264" s="615">
        <v>306026000</v>
      </c>
      <c r="BW264" s="615">
        <v>0</v>
      </c>
      <c r="BX264" s="607">
        <f t="shared" si="11"/>
        <v>422835260</v>
      </c>
    </row>
    <row r="265" spans="1:76" s="612" customFormat="1" ht="12.95" customHeight="1" x14ac:dyDescent="0.2">
      <c r="A265" s="909"/>
      <c r="B265" s="611" t="s">
        <v>2957</v>
      </c>
      <c r="C265" s="641" t="s">
        <v>2956</v>
      </c>
      <c r="D265" s="615"/>
      <c r="E265" s="615"/>
      <c r="F265" s="615"/>
      <c r="G265" s="615"/>
      <c r="H265" s="585"/>
      <c r="I265" s="615"/>
      <c r="J265" s="615"/>
      <c r="K265" s="615"/>
      <c r="L265" s="615"/>
      <c r="M265" s="615"/>
      <c r="N265" s="615"/>
      <c r="O265" s="615"/>
      <c r="P265" s="615"/>
      <c r="Q265" s="615"/>
      <c r="R265" s="615"/>
      <c r="S265" s="615"/>
      <c r="T265" s="615"/>
      <c r="U265" s="615"/>
      <c r="V265" s="615"/>
      <c r="W265" s="615"/>
      <c r="X265" s="615"/>
      <c r="Y265" s="615">
        <v>0</v>
      </c>
      <c r="Z265" s="615">
        <v>0</v>
      </c>
      <c r="AA265" s="615">
        <v>0</v>
      </c>
      <c r="AB265" s="615">
        <v>0</v>
      </c>
      <c r="AC265" s="615">
        <v>0</v>
      </c>
      <c r="AD265" s="615">
        <v>0</v>
      </c>
      <c r="AE265" s="615">
        <v>0</v>
      </c>
      <c r="AF265" s="615">
        <v>0</v>
      </c>
      <c r="AG265" s="615">
        <v>0</v>
      </c>
      <c r="AH265" s="615">
        <v>0</v>
      </c>
      <c r="AI265" s="615">
        <v>0</v>
      </c>
      <c r="AJ265" s="615">
        <v>0</v>
      </c>
      <c r="AK265" s="615">
        <v>0</v>
      </c>
      <c r="AL265" s="615">
        <v>0</v>
      </c>
      <c r="AM265" s="615">
        <v>0</v>
      </c>
      <c r="AN265" s="615">
        <v>0</v>
      </c>
      <c r="AO265" s="615">
        <v>0</v>
      </c>
      <c r="AP265" s="615">
        <v>0</v>
      </c>
      <c r="AQ265" s="615">
        <v>0</v>
      </c>
      <c r="AR265" s="615">
        <v>0</v>
      </c>
      <c r="AS265" s="615">
        <v>0</v>
      </c>
      <c r="AT265" s="615">
        <v>424720</v>
      </c>
      <c r="AU265" s="615">
        <v>4613867</v>
      </c>
      <c r="AV265" s="615">
        <v>4613867</v>
      </c>
      <c r="AW265" s="615">
        <v>4613867</v>
      </c>
      <c r="AX265" s="615">
        <v>4613867</v>
      </c>
      <c r="AY265" s="615">
        <v>4613867</v>
      </c>
      <c r="AZ265" s="615">
        <v>4613867</v>
      </c>
      <c r="BA265" s="615">
        <v>4613867</v>
      </c>
      <c r="BB265" s="615">
        <v>4613867</v>
      </c>
      <c r="BC265" s="615">
        <v>4613867</v>
      </c>
      <c r="BD265" s="615">
        <v>4613867</v>
      </c>
      <c r="BE265" s="615">
        <v>4613867</v>
      </c>
      <c r="BF265" s="615">
        <v>4613867</v>
      </c>
      <c r="BG265" s="615">
        <v>4613867</v>
      </c>
      <c r="BH265" s="615">
        <v>4613867</v>
      </c>
      <c r="BI265" s="615">
        <v>4613867</v>
      </c>
      <c r="BJ265" s="615">
        <v>4613867</v>
      </c>
      <c r="BK265" s="615">
        <v>4613867</v>
      </c>
      <c r="BL265" s="615">
        <v>4613867</v>
      </c>
      <c r="BM265" s="615">
        <v>4613867</v>
      </c>
      <c r="BN265" s="615">
        <v>4613867</v>
      </c>
      <c r="BO265" s="615">
        <v>4613867</v>
      </c>
      <c r="BP265" s="615">
        <v>4613867</v>
      </c>
      <c r="BQ265" s="615">
        <v>4613867</v>
      </c>
      <c r="BR265" s="615">
        <v>4613867</v>
      </c>
      <c r="BS265" s="615">
        <v>4613867</v>
      </c>
      <c r="BT265" s="615">
        <v>4613867</v>
      </c>
      <c r="BU265" s="615">
        <v>4613856</v>
      </c>
      <c r="BV265" s="615">
        <v>365260000</v>
      </c>
      <c r="BW265" s="615">
        <v>0</v>
      </c>
      <c r="BX265" s="607">
        <f t="shared" si="11"/>
        <v>490259118</v>
      </c>
    </row>
    <row r="266" spans="1:76" s="612" customFormat="1" ht="12.95" customHeight="1" x14ac:dyDescent="0.2">
      <c r="A266" s="909"/>
      <c r="B266" s="611" t="s">
        <v>3266</v>
      </c>
      <c r="C266" s="641" t="s">
        <v>3265</v>
      </c>
      <c r="D266" s="615"/>
      <c r="E266" s="615"/>
      <c r="F266" s="615"/>
      <c r="G266" s="615"/>
      <c r="H266" s="585"/>
      <c r="I266" s="615"/>
      <c r="J266" s="615"/>
      <c r="K266" s="615"/>
      <c r="L266" s="615"/>
      <c r="M266" s="615"/>
      <c r="N266" s="615"/>
      <c r="O266" s="615"/>
      <c r="P266" s="615"/>
      <c r="Q266" s="615"/>
      <c r="R266" s="615"/>
      <c r="S266" s="615"/>
      <c r="T266" s="615"/>
      <c r="U266" s="615"/>
      <c r="V266" s="615"/>
      <c r="W266" s="615"/>
      <c r="X266" s="615"/>
      <c r="Y266" s="615">
        <v>0</v>
      </c>
      <c r="Z266" s="615">
        <v>0</v>
      </c>
      <c r="AA266" s="615">
        <v>0</v>
      </c>
      <c r="AB266" s="615">
        <v>0</v>
      </c>
      <c r="AC266" s="615">
        <v>0</v>
      </c>
      <c r="AD266" s="615">
        <v>0</v>
      </c>
      <c r="AE266" s="615">
        <v>0</v>
      </c>
      <c r="AF266" s="615">
        <v>0</v>
      </c>
      <c r="AG266" s="615">
        <v>0</v>
      </c>
      <c r="AH266" s="615">
        <v>0</v>
      </c>
      <c r="AI266" s="615">
        <v>0</v>
      </c>
      <c r="AJ266" s="615">
        <v>0</v>
      </c>
      <c r="AK266" s="615">
        <v>0</v>
      </c>
      <c r="AL266" s="615">
        <v>0</v>
      </c>
      <c r="AM266" s="615">
        <v>0</v>
      </c>
      <c r="AN266" s="615">
        <v>0</v>
      </c>
      <c r="AO266" s="615">
        <v>0</v>
      </c>
      <c r="AP266" s="615">
        <v>0</v>
      </c>
      <c r="AQ266" s="615">
        <v>0</v>
      </c>
      <c r="AR266" s="615">
        <v>0</v>
      </c>
      <c r="AS266" s="615">
        <v>0</v>
      </c>
      <c r="AT266" s="615">
        <v>0</v>
      </c>
      <c r="AU266" s="615">
        <v>0</v>
      </c>
      <c r="AV266" s="615">
        <v>0</v>
      </c>
      <c r="AW266" s="615">
        <v>3919895</v>
      </c>
      <c r="AX266" s="615">
        <v>3919919</v>
      </c>
      <c r="AY266" s="615">
        <v>3919919</v>
      </c>
      <c r="AZ266" s="615">
        <v>3919919</v>
      </c>
      <c r="BA266" s="615">
        <v>3919919</v>
      </c>
      <c r="BB266" s="615">
        <v>3919919</v>
      </c>
      <c r="BC266" s="615">
        <v>3919919</v>
      </c>
      <c r="BD266" s="615">
        <v>3919919</v>
      </c>
      <c r="BE266" s="615">
        <v>3919919</v>
      </c>
      <c r="BF266" s="615">
        <v>3919919</v>
      </c>
      <c r="BG266" s="615">
        <v>3919919</v>
      </c>
      <c r="BH266" s="615">
        <v>3919919</v>
      </c>
      <c r="BI266" s="615">
        <v>3919919</v>
      </c>
      <c r="BJ266" s="615">
        <v>3919919</v>
      </c>
      <c r="BK266" s="615">
        <v>3919919</v>
      </c>
      <c r="BL266" s="615">
        <v>3919919</v>
      </c>
      <c r="BM266" s="615">
        <v>3919919</v>
      </c>
      <c r="BN266" s="615">
        <v>3919919</v>
      </c>
      <c r="BO266" s="615">
        <v>3919919</v>
      </c>
      <c r="BP266" s="615">
        <v>3919919</v>
      </c>
      <c r="BQ266" s="615">
        <v>3919919</v>
      </c>
      <c r="BR266" s="615">
        <v>3919919</v>
      </c>
      <c r="BS266" s="615">
        <v>3919919</v>
      </c>
      <c r="BT266" s="615">
        <v>3919919</v>
      </c>
      <c r="BU266" s="615">
        <v>3919930</v>
      </c>
      <c r="BV266" s="615">
        <v>295207500</v>
      </c>
      <c r="BW266" s="615">
        <v>0</v>
      </c>
      <c r="BX266" s="607">
        <f t="shared" si="11"/>
        <v>393205462</v>
      </c>
    </row>
    <row r="267" spans="1:76" s="612" customFormat="1" ht="12.95" customHeight="1" x14ac:dyDescent="0.2">
      <c r="A267" s="909"/>
      <c r="B267" s="611" t="s">
        <v>3494</v>
      </c>
      <c r="C267" s="641" t="s">
        <v>3493</v>
      </c>
      <c r="D267" s="615"/>
      <c r="E267" s="615"/>
      <c r="F267" s="615"/>
      <c r="G267" s="615"/>
      <c r="H267" s="585"/>
      <c r="I267" s="615"/>
      <c r="J267" s="615"/>
      <c r="K267" s="615"/>
      <c r="L267" s="615"/>
      <c r="M267" s="615"/>
      <c r="N267" s="615"/>
      <c r="O267" s="615"/>
      <c r="P267" s="615"/>
      <c r="Q267" s="615"/>
      <c r="R267" s="615"/>
      <c r="S267" s="615"/>
      <c r="T267" s="615"/>
      <c r="U267" s="615"/>
      <c r="V267" s="615"/>
      <c r="W267" s="615"/>
      <c r="X267" s="615"/>
      <c r="Y267" s="615">
        <v>0</v>
      </c>
      <c r="Z267" s="615">
        <v>0</v>
      </c>
      <c r="AA267" s="615">
        <v>0</v>
      </c>
      <c r="AB267" s="615">
        <v>0</v>
      </c>
      <c r="AC267" s="615">
        <v>0</v>
      </c>
      <c r="AD267" s="615">
        <v>0</v>
      </c>
      <c r="AE267" s="615">
        <v>0</v>
      </c>
      <c r="AF267" s="615">
        <v>0</v>
      </c>
      <c r="AG267" s="615">
        <v>0</v>
      </c>
      <c r="AH267" s="615">
        <v>0</v>
      </c>
      <c r="AI267" s="615">
        <v>0</v>
      </c>
      <c r="AJ267" s="615">
        <v>0</v>
      </c>
      <c r="AK267" s="615">
        <v>0</v>
      </c>
      <c r="AL267" s="615">
        <v>0</v>
      </c>
      <c r="AM267" s="615">
        <v>0</v>
      </c>
      <c r="AN267" s="615">
        <v>0</v>
      </c>
      <c r="AO267" s="615">
        <v>0</v>
      </c>
      <c r="AP267" s="615">
        <v>0</v>
      </c>
      <c r="AQ267" s="615">
        <v>0</v>
      </c>
      <c r="AR267" s="615">
        <v>0</v>
      </c>
      <c r="AS267" s="615">
        <v>0</v>
      </c>
      <c r="AT267" s="615">
        <v>0</v>
      </c>
      <c r="AU267" s="615">
        <v>0</v>
      </c>
      <c r="AV267" s="615">
        <v>5878563</v>
      </c>
      <c r="AW267" s="615">
        <v>5878563</v>
      </c>
      <c r="AX267" s="615">
        <v>5878563</v>
      </c>
      <c r="AY267" s="615">
        <v>5878563</v>
      </c>
      <c r="AZ267" s="615">
        <v>5878563</v>
      </c>
      <c r="BA267" s="615">
        <v>5878563</v>
      </c>
      <c r="BB267" s="615">
        <v>5878563</v>
      </c>
      <c r="BC267" s="615">
        <v>5878563</v>
      </c>
      <c r="BD267" s="615">
        <v>5878563</v>
      </c>
      <c r="BE267" s="615">
        <v>5878563</v>
      </c>
      <c r="BF267" s="615">
        <v>5878563</v>
      </c>
      <c r="BG267" s="615">
        <v>5878563</v>
      </c>
      <c r="BH267" s="615">
        <v>5878563</v>
      </c>
      <c r="BI267" s="615">
        <v>5878563</v>
      </c>
      <c r="BJ267" s="615">
        <v>5878563</v>
      </c>
      <c r="BK267" s="615">
        <v>5878563</v>
      </c>
      <c r="BL267" s="615">
        <v>5878563</v>
      </c>
      <c r="BM267" s="615">
        <v>5878563</v>
      </c>
      <c r="BN267" s="615">
        <v>5878563</v>
      </c>
      <c r="BO267" s="615">
        <v>5878563</v>
      </c>
      <c r="BP267" s="615">
        <v>5878563</v>
      </c>
      <c r="BQ267" s="615">
        <v>5878563</v>
      </c>
      <c r="BR267" s="615">
        <v>5878563</v>
      </c>
      <c r="BS267" s="615">
        <v>5878563</v>
      </c>
      <c r="BT267" s="615">
        <v>5878563</v>
      </c>
      <c r="BU267" s="615">
        <v>5878549</v>
      </c>
      <c r="BV267" s="615">
        <v>395732750</v>
      </c>
      <c r="BW267" s="615">
        <v>0</v>
      </c>
      <c r="BX267" s="607">
        <f t="shared" si="11"/>
        <v>548575374</v>
      </c>
    </row>
    <row r="268" spans="1:76" s="612" customFormat="1" ht="12.95" customHeight="1" x14ac:dyDescent="0.2">
      <c r="A268" s="909"/>
      <c r="B268" s="611" t="s">
        <v>3346</v>
      </c>
      <c r="C268" s="641" t="s">
        <v>3345</v>
      </c>
      <c r="D268" s="615"/>
      <c r="E268" s="615"/>
      <c r="F268" s="615"/>
      <c r="G268" s="615"/>
      <c r="H268" s="585"/>
      <c r="I268" s="615"/>
      <c r="J268" s="615"/>
      <c r="K268" s="615"/>
      <c r="L268" s="615"/>
      <c r="M268" s="615"/>
      <c r="N268" s="615"/>
      <c r="O268" s="615"/>
      <c r="P268" s="615"/>
      <c r="Q268" s="615"/>
      <c r="R268" s="615"/>
      <c r="S268" s="615"/>
      <c r="T268" s="615"/>
      <c r="U268" s="615"/>
      <c r="V268" s="615"/>
      <c r="W268" s="615"/>
      <c r="X268" s="615"/>
      <c r="Y268" s="615">
        <v>0</v>
      </c>
      <c r="Z268" s="615">
        <v>0</v>
      </c>
      <c r="AA268" s="615">
        <v>0</v>
      </c>
      <c r="AB268" s="615">
        <v>0</v>
      </c>
      <c r="AC268" s="615">
        <v>0</v>
      </c>
      <c r="AD268" s="615">
        <v>0</v>
      </c>
      <c r="AE268" s="615">
        <v>0</v>
      </c>
      <c r="AF268" s="615">
        <v>0</v>
      </c>
      <c r="AG268" s="615">
        <v>0</v>
      </c>
      <c r="AH268" s="615">
        <v>0</v>
      </c>
      <c r="AI268" s="615">
        <v>0</v>
      </c>
      <c r="AJ268" s="615">
        <v>0</v>
      </c>
      <c r="AK268" s="615">
        <v>0</v>
      </c>
      <c r="AL268" s="615">
        <v>0</v>
      </c>
      <c r="AM268" s="615">
        <v>0</v>
      </c>
      <c r="AN268" s="615">
        <v>0</v>
      </c>
      <c r="AO268" s="615">
        <v>0</v>
      </c>
      <c r="AP268" s="615">
        <v>0</v>
      </c>
      <c r="AQ268" s="615">
        <v>0</v>
      </c>
      <c r="AR268" s="615">
        <v>0</v>
      </c>
      <c r="AS268" s="615">
        <v>0</v>
      </c>
      <c r="AT268" s="615">
        <v>0</v>
      </c>
      <c r="AU268" s="615">
        <v>0</v>
      </c>
      <c r="AV268" s="615">
        <v>0</v>
      </c>
      <c r="AW268" s="615">
        <v>0</v>
      </c>
      <c r="AX268" s="615">
        <v>3829675</v>
      </c>
      <c r="AY268" s="615">
        <v>3957419</v>
      </c>
      <c r="AZ268" s="615">
        <v>3957419</v>
      </c>
      <c r="BA268" s="615">
        <v>3957419</v>
      </c>
      <c r="BB268" s="615">
        <v>3957419</v>
      </c>
      <c r="BC268" s="615">
        <v>3957419</v>
      </c>
      <c r="BD268" s="615">
        <v>3957419</v>
      </c>
      <c r="BE268" s="615">
        <v>3957419</v>
      </c>
      <c r="BF268" s="615">
        <v>3957419</v>
      </c>
      <c r="BG268" s="615">
        <v>3957419</v>
      </c>
      <c r="BH268" s="615">
        <v>3957419</v>
      </c>
      <c r="BI268" s="615">
        <v>3957419</v>
      </c>
      <c r="BJ268" s="615">
        <v>3957419</v>
      </c>
      <c r="BK268" s="615">
        <v>3957419</v>
      </c>
      <c r="BL268" s="615">
        <v>3957419</v>
      </c>
      <c r="BM268" s="615">
        <v>3957419</v>
      </c>
      <c r="BN268" s="615">
        <v>3957419</v>
      </c>
      <c r="BO268" s="615">
        <v>3957419</v>
      </c>
      <c r="BP268" s="615">
        <v>3957419</v>
      </c>
      <c r="BQ268" s="615">
        <v>3957419</v>
      </c>
      <c r="BR268" s="615">
        <v>3957419</v>
      </c>
      <c r="BS268" s="615">
        <v>3957419</v>
      </c>
      <c r="BT268" s="615">
        <v>3957419</v>
      </c>
      <c r="BU268" s="615">
        <v>3957430</v>
      </c>
      <c r="BV268" s="615">
        <v>297920000</v>
      </c>
      <c r="BW268" s="615">
        <v>0</v>
      </c>
      <c r="BX268" s="607">
        <f t="shared" si="11"/>
        <v>392770323</v>
      </c>
    </row>
    <row r="269" spans="1:76" s="612" customFormat="1" ht="12.95" customHeight="1" x14ac:dyDescent="0.2">
      <c r="A269" s="909"/>
      <c r="B269" s="611" t="s">
        <v>2683</v>
      </c>
      <c r="C269" s="641" t="s">
        <v>2682</v>
      </c>
      <c r="D269" s="615"/>
      <c r="E269" s="615"/>
      <c r="F269" s="615"/>
      <c r="G269" s="615"/>
      <c r="H269" s="585"/>
      <c r="I269" s="615"/>
      <c r="J269" s="615"/>
      <c r="K269" s="615"/>
      <c r="L269" s="615"/>
      <c r="M269" s="615"/>
      <c r="N269" s="615"/>
      <c r="O269" s="615"/>
      <c r="P269" s="615"/>
      <c r="Q269" s="615"/>
      <c r="R269" s="615"/>
      <c r="S269" s="615"/>
      <c r="T269" s="615"/>
      <c r="U269" s="615"/>
      <c r="V269" s="615"/>
      <c r="W269" s="615"/>
      <c r="X269" s="615"/>
      <c r="Y269" s="615">
        <v>0</v>
      </c>
      <c r="Z269" s="615">
        <v>0</v>
      </c>
      <c r="AA269" s="615">
        <v>0</v>
      </c>
      <c r="AB269" s="615">
        <v>0</v>
      </c>
      <c r="AC269" s="615">
        <v>0</v>
      </c>
      <c r="AD269" s="615">
        <v>0</v>
      </c>
      <c r="AE269" s="615">
        <v>0</v>
      </c>
      <c r="AF269" s="615">
        <v>0</v>
      </c>
      <c r="AG269" s="615">
        <v>0</v>
      </c>
      <c r="AH269" s="615">
        <v>0</v>
      </c>
      <c r="AI269" s="615">
        <v>0</v>
      </c>
      <c r="AJ269" s="615">
        <v>0</v>
      </c>
      <c r="AK269" s="615">
        <v>0</v>
      </c>
      <c r="AL269" s="615">
        <v>0</v>
      </c>
      <c r="AM269" s="615">
        <v>0</v>
      </c>
      <c r="AN269" s="615">
        <v>0</v>
      </c>
      <c r="AO269" s="615">
        <v>0</v>
      </c>
      <c r="AP269" s="615">
        <v>0</v>
      </c>
      <c r="AQ269" s="615">
        <v>0</v>
      </c>
      <c r="AR269" s="615">
        <v>0</v>
      </c>
      <c r="AS269" s="615">
        <v>0</v>
      </c>
      <c r="AT269" s="615">
        <v>0</v>
      </c>
      <c r="AU269" s="615">
        <v>0</v>
      </c>
      <c r="AV269" s="615">
        <v>4370000</v>
      </c>
      <c r="AW269" s="615">
        <v>4370000</v>
      </c>
      <c r="AX269" s="615">
        <v>4370000</v>
      </c>
      <c r="AY269" s="615">
        <v>4370000</v>
      </c>
      <c r="AZ269" s="615">
        <v>4370000</v>
      </c>
      <c r="BA269" s="615">
        <v>4370000</v>
      </c>
      <c r="BB269" s="615">
        <v>4370000</v>
      </c>
      <c r="BC269" s="615">
        <v>4370000</v>
      </c>
      <c r="BD269" s="615">
        <v>4370000</v>
      </c>
      <c r="BE269" s="615">
        <v>4370000</v>
      </c>
      <c r="BF269" s="615">
        <v>4370000</v>
      </c>
      <c r="BG269" s="615">
        <v>4370000</v>
      </c>
      <c r="BH269" s="615">
        <v>4370000</v>
      </c>
      <c r="BI269" s="615">
        <v>4370000</v>
      </c>
      <c r="BJ269" s="615">
        <v>4370000</v>
      </c>
      <c r="BK269" s="615">
        <v>4370000</v>
      </c>
      <c r="BL269" s="615">
        <v>4370000</v>
      </c>
      <c r="BM269" s="615">
        <v>4370000</v>
      </c>
      <c r="BN269" s="615">
        <v>4370000</v>
      </c>
      <c r="BO269" s="615">
        <v>4370000</v>
      </c>
      <c r="BP269" s="615">
        <v>4370000</v>
      </c>
      <c r="BQ269" s="615">
        <v>4370000</v>
      </c>
      <c r="BR269" s="615">
        <v>4370000</v>
      </c>
      <c r="BS269" s="615">
        <v>4370000</v>
      </c>
      <c r="BT269" s="615">
        <v>4370000</v>
      </c>
      <c r="BU269" s="615">
        <v>4370000</v>
      </c>
      <c r="BV269" s="615">
        <v>368550000</v>
      </c>
      <c r="BW269" s="615">
        <v>0</v>
      </c>
      <c r="BX269" s="607">
        <f t="shared" si="11"/>
        <v>482170000</v>
      </c>
    </row>
    <row r="270" spans="1:76" s="612" customFormat="1" ht="12.95" customHeight="1" x14ac:dyDescent="0.2">
      <c r="A270" s="909"/>
      <c r="B270" s="611" t="s">
        <v>3268</v>
      </c>
      <c r="C270" s="641" t="s">
        <v>3267</v>
      </c>
      <c r="D270" s="615"/>
      <c r="E270" s="615"/>
      <c r="F270" s="615"/>
      <c r="G270" s="615"/>
      <c r="H270" s="585"/>
      <c r="I270" s="615"/>
      <c r="J270" s="615"/>
      <c r="K270" s="615"/>
      <c r="L270" s="615"/>
      <c r="M270" s="615"/>
      <c r="N270" s="615"/>
      <c r="O270" s="615"/>
      <c r="P270" s="615"/>
      <c r="Q270" s="615"/>
      <c r="R270" s="615"/>
      <c r="S270" s="615"/>
      <c r="T270" s="615"/>
      <c r="U270" s="615"/>
      <c r="V270" s="615"/>
      <c r="W270" s="615"/>
      <c r="X270" s="615"/>
      <c r="Y270" s="615">
        <v>0</v>
      </c>
      <c r="Z270" s="615">
        <v>0</v>
      </c>
      <c r="AA270" s="615">
        <v>0</v>
      </c>
      <c r="AB270" s="615">
        <v>0</v>
      </c>
      <c r="AC270" s="615">
        <v>0</v>
      </c>
      <c r="AD270" s="615">
        <v>0</v>
      </c>
      <c r="AE270" s="615">
        <v>0</v>
      </c>
      <c r="AF270" s="615">
        <v>0</v>
      </c>
      <c r="AG270" s="615">
        <v>0</v>
      </c>
      <c r="AH270" s="615">
        <v>0</v>
      </c>
      <c r="AI270" s="615">
        <v>0</v>
      </c>
      <c r="AJ270" s="615">
        <v>0</v>
      </c>
      <c r="AK270" s="615">
        <v>0</v>
      </c>
      <c r="AL270" s="615">
        <v>0</v>
      </c>
      <c r="AM270" s="615">
        <v>0</v>
      </c>
      <c r="AN270" s="615">
        <v>0</v>
      </c>
      <c r="AO270" s="615">
        <v>0</v>
      </c>
      <c r="AP270" s="615">
        <v>0</v>
      </c>
      <c r="AQ270" s="615">
        <v>0</v>
      </c>
      <c r="AR270" s="615">
        <v>0</v>
      </c>
      <c r="AS270" s="615">
        <v>0</v>
      </c>
      <c r="AT270" s="615">
        <v>0</v>
      </c>
      <c r="AU270" s="615">
        <v>0</v>
      </c>
      <c r="AV270" s="615">
        <v>0</v>
      </c>
      <c r="AW270" s="615">
        <v>5138516</v>
      </c>
      <c r="AX270" s="615">
        <v>5138516</v>
      </c>
      <c r="AY270" s="615">
        <v>5138516</v>
      </c>
      <c r="AZ270" s="615">
        <v>5138516</v>
      </c>
      <c r="BA270" s="615">
        <v>5138516</v>
      </c>
      <c r="BB270" s="615">
        <v>5138516</v>
      </c>
      <c r="BC270" s="615">
        <v>5138516</v>
      </c>
      <c r="BD270" s="615">
        <v>5138516</v>
      </c>
      <c r="BE270" s="615">
        <v>5138516</v>
      </c>
      <c r="BF270" s="615">
        <v>5138516</v>
      </c>
      <c r="BG270" s="615">
        <v>5138516</v>
      </c>
      <c r="BH270" s="615">
        <v>5138516</v>
      </c>
      <c r="BI270" s="615">
        <v>5138516</v>
      </c>
      <c r="BJ270" s="615">
        <v>5138516</v>
      </c>
      <c r="BK270" s="615">
        <v>5138516</v>
      </c>
      <c r="BL270" s="615">
        <v>5138516</v>
      </c>
      <c r="BM270" s="615">
        <v>5138516</v>
      </c>
      <c r="BN270" s="615">
        <v>5138516</v>
      </c>
      <c r="BO270" s="615">
        <v>5138516</v>
      </c>
      <c r="BP270" s="615">
        <v>5138516</v>
      </c>
      <c r="BQ270" s="615">
        <v>5138516</v>
      </c>
      <c r="BR270" s="615">
        <v>5138516</v>
      </c>
      <c r="BS270" s="615">
        <v>5138516</v>
      </c>
      <c r="BT270" s="615">
        <v>5138516</v>
      </c>
      <c r="BU270" s="615">
        <v>5138504</v>
      </c>
      <c r="BV270" s="615">
        <v>395342500</v>
      </c>
      <c r="BW270" s="615">
        <v>0</v>
      </c>
      <c r="BX270" s="607">
        <f t="shared" si="11"/>
        <v>523805388</v>
      </c>
    </row>
    <row r="271" spans="1:76" s="612" customFormat="1" ht="12.95" customHeight="1" x14ac:dyDescent="0.2">
      <c r="A271" s="909"/>
      <c r="B271" s="611" t="s">
        <v>3137</v>
      </c>
      <c r="C271" s="641" t="s">
        <v>3136</v>
      </c>
      <c r="D271" s="615"/>
      <c r="E271" s="615"/>
      <c r="F271" s="615"/>
      <c r="G271" s="615"/>
      <c r="H271" s="585"/>
      <c r="I271" s="615"/>
      <c r="J271" s="615"/>
      <c r="K271" s="615"/>
      <c r="L271" s="615"/>
      <c r="M271" s="615"/>
      <c r="N271" s="615"/>
      <c r="O271" s="615"/>
      <c r="P271" s="615"/>
      <c r="Q271" s="615"/>
      <c r="R271" s="615"/>
      <c r="S271" s="615"/>
      <c r="T271" s="615"/>
      <c r="U271" s="615"/>
      <c r="V271" s="615"/>
      <c r="W271" s="615"/>
      <c r="X271" s="615"/>
      <c r="Y271" s="615">
        <v>0</v>
      </c>
      <c r="Z271" s="615">
        <v>0</v>
      </c>
      <c r="AA271" s="615">
        <v>0</v>
      </c>
      <c r="AB271" s="615">
        <v>0</v>
      </c>
      <c r="AC271" s="615">
        <v>0</v>
      </c>
      <c r="AD271" s="615">
        <v>0</v>
      </c>
      <c r="AE271" s="615">
        <v>0</v>
      </c>
      <c r="AF271" s="615">
        <v>0</v>
      </c>
      <c r="AG271" s="615">
        <v>0</v>
      </c>
      <c r="AH271" s="615">
        <v>0</v>
      </c>
      <c r="AI271" s="615">
        <v>0</v>
      </c>
      <c r="AJ271" s="615">
        <v>0</v>
      </c>
      <c r="AK271" s="615">
        <v>0</v>
      </c>
      <c r="AL271" s="615">
        <v>0</v>
      </c>
      <c r="AM271" s="615">
        <v>0</v>
      </c>
      <c r="AN271" s="615">
        <v>0</v>
      </c>
      <c r="AO271" s="615">
        <v>0</v>
      </c>
      <c r="AP271" s="615">
        <v>0</v>
      </c>
      <c r="AQ271" s="615">
        <v>0</v>
      </c>
      <c r="AR271" s="615">
        <v>0</v>
      </c>
      <c r="AS271" s="615">
        <v>0</v>
      </c>
      <c r="AT271" s="615">
        <v>0</v>
      </c>
      <c r="AU271" s="615">
        <v>0</v>
      </c>
      <c r="AV271" s="615">
        <v>0</v>
      </c>
      <c r="AW271" s="615">
        <v>3178571</v>
      </c>
      <c r="AX271" s="615">
        <v>3178571</v>
      </c>
      <c r="AY271" s="615">
        <v>3178571</v>
      </c>
      <c r="AZ271" s="615">
        <v>3178571</v>
      </c>
      <c r="BA271" s="615">
        <v>3178571</v>
      </c>
      <c r="BB271" s="615">
        <v>3178571</v>
      </c>
      <c r="BC271" s="615">
        <v>3178571</v>
      </c>
      <c r="BD271" s="615">
        <v>3178571</v>
      </c>
      <c r="BE271" s="615">
        <v>3178571</v>
      </c>
      <c r="BF271" s="615">
        <v>3178571</v>
      </c>
      <c r="BG271" s="615">
        <v>3178571</v>
      </c>
      <c r="BH271" s="615">
        <v>3178571</v>
      </c>
      <c r="BI271" s="615">
        <v>3178571</v>
      </c>
      <c r="BJ271" s="615">
        <v>3178571</v>
      </c>
      <c r="BK271" s="615">
        <v>3178571</v>
      </c>
      <c r="BL271" s="615">
        <v>3178571</v>
      </c>
      <c r="BM271" s="615">
        <v>3178571</v>
      </c>
      <c r="BN271" s="615">
        <v>3178571</v>
      </c>
      <c r="BO271" s="615">
        <v>3178571</v>
      </c>
      <c r="BP271" s="615">
        <v>3178571</v>
      </c>
      <c r="BQ271" s="615">
        <v>3178571</v>
      </c>
      <c r="BR271" s="615">
        <v>3178571</v>
      </c>
      <c r="BS271" s="615">
        <v>3178571</v>
      </c>
      <c r="BT271" s="615">
        <v>3178571</v>
      </c>
      <c r="BU271" s="615">
        <v>3178586</v>
      </c>
      <c r="BV271" s="615">
        <v>271250000</v>
      </c>
      <c r="BW271" s="615">
        <v>0</v>
      </c>
      <c r="BX271" s="607">
        <f t="shared" si="11"/>
        <v>350714290</v>
      </c>
    </row>
    <row r="272" spans="1:76" s="612" customFormat="1" ht="12.95" customHeight="1" x14ac:dyDescent="0.2">
      <c r="A272" s="909"/>
      <c r="B272" s="611" t="s">
        <v>2959</v>
      </c>
      <c r="C272" s="641" t="s">
        <v>2958</v>
      </c>
      <c r="D272" s="615"/>
      <c r="E272" s="615"/>
      <c r="F272" s="615"/>
      <c r="G272" s="615"/>
      <c r="H272" s="585"/>
      <c r="I272" s="615"/>
      <c r="J272" s="615"/>
      <c r="K272" s="615"/>
      <c r="L272" s="615"/>
      <c r="M272" s="615"/>
      <c r="N272" s="615"/>
      <c r="O272" s="615"/>
      <c r="P272" s="615"/>
      <c r="Q272" s="615"/>
      <c r="R272" s="615"/>
      <c r="S272" s="615"/>
      <c r="T272" s="615"/>
      <c r="U272" s="615"/>
      <c r="V272" s="615"/>
      <c r="W272" s="615"/>
      <c r="X272" s="615"/>
      <c r="Y272" s="615">
        <v>0</v>
      </c>
      <c r="Z272" s="615">
        <v>0</v>
      </c>
      <c r="AA272" s="615">
        <v>0</v>
      </c>
      <c r="AB272" s="615">
        <v>0</v>
      </c>
      <c r="AC272" s="615">
        <v>0</v>
      </c>
      <c r="AD272" s="615">
        <v>0</v>
      </c>
      <c r="AE272" s="615">
        <v>0</v>
      </c>
      <c r="AF272" s="615">
        <v>0</v>
      </c>
      <c r="AG272" s="615">
        <v>0</v>
      </c>
      <c r="AH272" s="615">
        <v>0</v>
      </c>
      <c r="AI272" s="615">
        <v>0</v>
      </c>
      <c r="AJ272" s="615">
        <v>0</v>
      </c>
      <c r="AK272" s="615">
        <v>0</v>
      </c>
      <c r="AL272" s="615">
        <v>0</v>
      </c>
      <c r="AM272" s="615">
        <v>0</v>
      </c>
      <c r="AN272" s="615">
        <v>0</v>
      </c>
      <c r="AO272" s="615">
        <v>0</v>
      </c>
      <c r="AP272" s="615">
        <v>0</v>
      </c>
      <c r="AQ272" s="615">
        <v>0</v>
      </c>
      <c r="AR272" s="615">
        <v>0</v>
      </c>
      <c r="AS272" s="615">
        <v>0</v>
      </c>
      <c r="AT272" s="615">
        <v>0</v>
      </c>
      <c r="AU272" s="615">
        <v>0</v>
      </c>
      <c r="AV272" s="615">
        <v>0</v>
      </c>
      <c r="AW272" s="615">
        <v>4252000</v>
      </c>
      <c r="AX272" s="615">
        <v>4263000</v>
      </c>
      <c r="AY272" s="615">
        <v>4263000</v>
      </c>
      <c r="AZ272" s="615">
        <v>4263000</v>
      </c>
      <c r="BA272" s="615">
        <v>4263000</v>
      </c>
      <c r="BB272" s="615">
        <v>4263000</v>
      </c>
      <c r="BC272" s="615">
        <v>4263000</v>
      </c>
      <c r="BD272" s="615">
        <v>4263000</v>
      </c>
      <c r="BE272" s="615">
        <v>4263000</v>
      </c>
      <c r="BF272" s="615">
        <v>4263000</v>
      </c>
      <c r="BG272" s="615">
        <v>4263000</v>
      </c>
      <c r="BH272" s="615">
        <v>4263000</v>
      </c>
      <c r="BI272" s="615">
        <v>4263000</v>
      </c>
      <c r="BJ272" s="615">
        <v>4263000</v>
      </c>
      <c r="BK272" s="615">
        <v>4263000</v>
      </c>
      <c r="BL272" s="615">
        <v>4263000</v>
      </c>
      <c r="BM272" s="615">
        <v>4263000</v>
      </c>
      <c r="BN272" s="615">
        <v>4263000</v>
      </c>
      <c r="BO272" s="615">
        <v>4263000</v>
      </c>
      <c r="BP272" s="615">
        <v>4263000</v>
      </c>
      <c r="BQ272" s="615">
        <v>4263000</v>
      </c>
      <c r="BR272" s="615">
        <v>4263000</v>
      </c>
      <c r="BS272" s="615">
        <v>4263000</v>
      </c>
      <c r="BT272" s="615">
        <v>4263000</v>
      </c>
      <c r="BU272" s="615">
        <v>4256000</v>
      </c>
      <c r="BV272" s="615">
        <v>352862000</v>
      </c>
      <c r="BW272" s="615">
        <v>0</v>
      </c>
      <c r="BX272" s="607">
        <f t="shared" si="11"/>
        <v>459419000</v>
      </c>
    </row>
    <row r="273" spans="1:76" s="612" customFormat="1" ht="12.95" customHeight="1" x14ac:dyDescent="0.2">
      <c r="A273" s="909"/>
      <c r="B273" s="611" t="s">
        <v>2961</v>
      </c>
      <c r="C273" s="641" t="s">
        <v>2960</v>
      </c>
      <c r="D273" s="615"/>
      <c r="E273" s="615"/>
      <c r="F273" s="615"/>
      <c r="G273" s="615"/>
      <c r="H273" s="585"/>
      <c r="I273" s="615"/>
      <c r="J273" s="615"/>
      <c r="K273" s="615"/>
      <c r="L273" s="615"/>
      <c r="M273" s="615"/>
      <c r="N273" s="615"/>
      <c r="O273" s="615"/>
      <c r="P273" s="615"/>
      <c r="Q273" s="615"/>
      <c r="R273" s="615"/>
      <c r="S273" s="615"/>
      <c r="T273" s="615"/>
      <c r="U273" s="615"/>
      <c r="V273" s="615"/>
      <c r="W273" s="615"/>
      <c r="X273" s="615"/>
      <c r="Y273" s="615">
        <v>0</v>
      </c>
      <c r="Z273" s="615">
        <v>0</v>
      </c>
      <c r="AA273" s="615">
        <v>0</v>
      </c>
      <c r="AB273" s="615">
        <v>0</v>
      </c>
      <c r="AC273" s="615">
        <v>0</v>
      </c>
      <c r="AD273" s="615">
        <v>0</v>
      </c>
      <c r="AE273" s="615">
        <v>0</v>
      </c>
      <c r="AF273" s="615">
        <v>0</v>
      </c>
      <c r="AG273" s="615">
        <v>0</v>
      </c>
      <c r="AH273" s="615">
        <v>0</v>
      </c>
      <c r="AI273" s="615">
        <v>0</v>
      </c>
      <c r="AJ273" s="615">
        <v>0</v>
      </c>
      <c r="AK273" s="615">
        <v>0</v>
      </c>
      <c r="AL273" s="615">
        <v>0</v>
      </c>
      <c r="AM273" s="615">
        <v>0</v>
      </c>
      <c r="AN273" s="615">
        <v>0</v>
      </c>
      <c r="AO273" s="615">
        <v>0</v>
      </c>
      <c r="AP273" s="615">
        <v>0</v>
      </c>
      <c r="AQ273" s="615">
        <v>0</v>
      </c>
      <c r="AR273" s="615">
        <v>0</v>
      </c>
      <c r="AS273" s="615">
        <v>0</v>
      </c>
      <c r="AT273" s="615">
        <v>0</v>
      </c>
      <c r="AU273" s="615">
        <v>0</v>
      </c>
      <c r="AV273" s="615">
        <v>0</v>
      </c>
      <c r="AW273" s="615">
        <v>3207713</v>
      </c>
      <c r="AX273" s="615">
        <v>3207714</v>
      </c>
      <c r="AY273" s="615">
        <v>3207714</v>
      </c>
      <c r="AZ273" s="615">
        <v>3207714</v>
      </c>
      <c r="BA273" s="615">
        <v>3207714</v>
      </c>
      <c r="BB273" s="615">
        <v>3207714</v>
      </c>
      <c r="BC273" s="615">
        <v>3207714</v>
      </c>
      <c r="BD273" s="615">
        <v>3207714</v>
      </c>
      <c r="BE273" s="615">
        <v>3207714</v>
      </c>
      <c r="BF273" s="615">
        <v>3207714</v>
      </c>
      <c r="BG273" s="615">
        <v>3207714</v>
      </c>
      <c r="BH273" s="615">
        <v>3207714</v>
      </c>
      <c r="BI273" s="615">
        <v>3207714</v>
      </c>
      <c r="BJ273" s="615">
        <v>3207714</v>
      </c>
      <c r="BK273" s="615">
        <v>3207714</v>
      </c>
      <c r="BL273" s="615">
        <v>3207714</v>
      </c>
      <c r="BM273" s="615">
        <v>3207714</v>
      </c>
      <c r="BN273" s="615">
        <v>3207714</v>
      </c>
      <c r="BO273" s="615">
        <v>3207714</v>
      </c>
      <c r="BP273" s="615">
        <v>3207714</v>
      </c>
      <c r="BQ273" s="615">
        <v>3207714</v>
      </c>
      <c r="BR273" s="615">
        <v>3207714</v>
      </c>
      <c r="BS273" s="615">
        <v>3207714</v>
      </c>
      <c r="BT273" s="615">
        <v>3207714</v>
      </c>
      <c r="BU273" s="615">
        <v>3207724</v>
      </c>
      <c r="BV273" s="615">
        <v>273630000</v>
      </c>
      <c r="BW273" s="615">
        <v>0</v>
      </c>
      <c r="BX273" s="607">
        <f t="shared" si="11"/>
        <v>353822859</v>
      </c>
    </row>
    <row r="274" spans="1:76" s="612" customFormat="1" ht="12.95" customHeight="1" x14ac:dyDescent="0.2">
      <c r="A274" s="909"/>
      <c r="B274" s="611" t="s">
        <v>3139</v>
      </c>
      <c r="C274" s="641" t="s">
        <v>3138</v>
      </c>
      <c r="D274" s="615"/>
      <c r="E274" s="615"/>
      <c r="F274" s="615"/>
      <c r="G274" s="615"/>
      <c r="H274" s="585"/>
      <c r="I274" s="615"/>
      <c r="J274" s="615"/>
      <c r="K274" s="615"/>
      <c r="L274" s="615"/>
      <c r="M274" s="615"/>
      <c r="N274" s="615"/>
      <c r="O274" s="615"/>
      <c r="P274" s="615"/>
      <c r="Q274" s="615"/>
      <c r="R274" s="615"/>
      <c r="S274" s="615"/>
      <c r="T274" s="615"/>
      <c r="U274" s="615"/>
      <c r="V274" s="615"/>
      <c r="W274" s="615"/>
      <c r="X274" s="615"/>
      <c r="Y274" s="615">
        <v>0</v>
      </c>
      <c r="Z274" s="615">
        <v>0</v>
      </c>
      <c r="AA274" s="615">
        <v>0</v>
      </c>
      <c r="AB274" s="615">
        <v>0</v>
      </c>
      <c r="AC274" s="615">
        <v>0</v>
      </c>
      <c r="AD274" s="615">
        <v>0</v>
      </c>
      <c r="AE274" s="615">
        <v>0</v>
      </c>
      <c r="AF274" s="615">
        <v>0</v>
      </c>
      <c r="AG274" s="615">
        <v>0</v>
      </c>
      <c r="AH274" s="615">
        <v>0</v>
      </c>
      <c r="AI274" s="615">
        <v>0</v>
      </c>
      <c r="AJ274" s="615">
        <v>0</v>
      </c>
      <c r="AK274" s="615">
        <v>0</v>
      </c>
      <c r="AL274" s="615">
        <v>0</v>
      </c>
      <c r="AM274" s="615">
        <v>0</v>
      </c>
      <c r="AN274" s="615">
        <v>0</v>
      </c>
      <c r="AO274" s="615">
        <v>0</v>
      </c>
      <c r="AP274" s="615">
        <v>0</v>
      </c>
      <c r="AQ274" s="615">
        <v>0</v>
      </c>
      <c r="AR274" s="615">
        <v>0</v>
      </c>
      <c r="AS274" s="615">
        <v>0</v>
      </c>
      <c r="AT274" s="615">
        <v>0</v>
      </c>
      <c r="AU274" s="615">
        <v>0</v>
      </c>
      <c r="AV274" s="615">
        <v>0</v>
      </c>
      <c r="AW274" s="615">
        <v>4000000</v>
      </c>
      <c r="AX274" s="615">
        <v>4000000</v>
      </c>
      <c r="AY274" s="615">
        <v>4000000</v>
      </c>
      <c r="AZ274" s="615">
        <v>4000000</v>
      </c>
      <c r="BA274" s="615">
        <v>4000000</v>
      </c>
      <c r="BB274" s="615">
        <v>4000000</v>
      </c>
      <c r="BC274" s="615">
        <v>4000000</v>
      </c>
      <c r="BD274" s="615">
        <v>5000000</v>
      </c>
      <c r="BE274" s="615">
        <v>5000000</v>
      </c>
      <c r="BF274" s="615">
        <v>5000000</v>
      </c>
      <c r="BG274" s="615">
        <v>5000000</v>
      </c>
      <c r="BH274" s="615">
        <v>5000000</v>
      </c>
      <c r="BI274" s="615">
        <v>5000000</v>
      </c>
      <c r="BJ274" s="615">
        <v>5000000</v>
      </c>
      <c r="BK274" s="615">
        <v>5000000</v>
      </c>
      <c r="BL274" s="615">
        <v>5000000</v>
      </c>
      <c r="BM274" s="615">
        <v>6000000</v>
      </c>
      <c r="BN274" s="615">
        <v>6000000</v>
      </c>
      <c r="BO274" s="615">
        <v>6000000</v>
      </c>
      <c r="BP274" s="615">
        <v>6000000</v>
      </c>
      <c r="BQ274" s="615">
        <v>6000000</v>
      </c>
      <c r="BR274" s="615">
        <v>6000000</v>
      </c>
      <c r="BS274" s="615">
        <v>6000000</v>
      </c>
      <c r="BT274" s="615">
        <v>6000000</v>
      </c>
      <c r="BU274" s="615">
        <v>828812</v>
      </c>
      <c r="BV274" s="615">
        <v>368978750</v>
      </c>
      <c r="BW274" s="615">
        <v>0</v>
      </c>
      <c r="BX274" s="607">
        <f t="shared" si="11"/>
        <v>490807562</v>
      </c>
    </row>
    <row r="275" spans="1:76" s="612" customFormat="1" ht="12.95" customHeight="1" x14ac:dyDescent="0.2">
      <c r="A275" s="909"/>
      <c r="B275" s="611" t="s">
        <v>2684</v>
      </c>
      <c r="C275" s="641" t="s">
        <v>2962</v>
      </c>
      <c r="D275" s="615"/>
      <c r="E275" s="615"/>
      <c r="F275" s="615"/>
      <c r="G275" s="615"/>
      <c r="H275" s="585"/>
      <c r="I275" s="615"/>
      <c r="J275" s="615"/>
      <c r="K275" s="615"/>
      <c r="L275" s="615"/>
      <c r="M275" s="615"/>
      <c r="N275" s="615"/>
      <c r="O275" s="615"/>
      <c r="P275" s="615"/>
      <c r="Q275" s="615"/>
      <c r="R275" s="615"/>
      <c r="S275" s="615"/>
      <c r="T275" s="615"/>
      <c r="U275" s="615"/>
      <c r="V275" s="615"/>
      <c r="W275" s="615"/>
      <c r="X275" s="615"/>
      <c r="Y275" s="615">
        <v>0</v>
      </c>
      <c r="Z275" s="615">
        <v>0</v>
      </c>
      <c r="AA275" s="615">
        <v>0</v>
      </c>
      <c r="AB275" s="615">
        <v>0</v>
      </c>
      <c r="AC275" s="615">
        <v>0</v>
      </c>
      <c r="AD275" s="615">
        <v>0</v>
      </c>
      <c r="AE275" s="615">
        <v>0</v>
      </c>
      <c r="AF275" s="615">
        <v>0</v>
      </c>
      <c r="AG275" s="615">
        <v>0</v>
      </c>
      <c r="AH275" s="615">
        <v>0</v>
      </c>
      <c r="AI275" s="615">
        <v>0</v>
      </c>
      <c r="AJ275" s="615">
        <v>0</v>
      </c>
      <c r="AK275" s="615">
        <v>0</v>
      </c>
      <c r="AL275" s="615">
        <v>0</v>
      </c>
      <c r="AM275" s="615">
        <v>0</v>
      </c>
      <c r="AN275" s="615">
        <v>0</v>
      </c>
      <c r="AO275" s="615">
        <v>0</v>
      </c>
      <c r="AP275" s="615">
        <v>0</v>
      </c>
      <c r="AQ275" s="615">
        <v>0</v>
      </c>
      <c r="AR275" s="615">
        <v>0</v>
      </c>
      <c r="AS275" s="615">
        <v>0</v>
      </c>
      <c r="AT275" s="615">
        <v>0</v>
      </c>
      <c r="AU275" s="615">
        <v>0</v>
      </c>
      <c r="AV275" s="615">
        <v>0</v>
      </c>
      <c r="AW275" s="615">
        <v>2000000</v>
      </c>
      <c r="AX275" s="615">
        <v>5000000</v>
      </c>
      <c r="AY275" s="615">
        <v>2000000</v>
      </c>
      <c r="AZ275" s="615">
        <v>2000000</v>
      </c>
      <c r="BA275" s="615">
        <v>9500000</v>
      </c>
      <c r="BB275" s="615">
        <v>2500000</v>
      </c>
      <c r="BC275" s="615">
        <v>2500000</v>
      </c>
      <c r="BD275" s="615">
        <v>6500000</v>
      </c>
      <c r="BE275" s="615">
        <v>2500000</v>
      </c>
      <c r="BF275" s="615">
        <v>2500000</v>
      </c>
      <c r="BG275" s="615">
        <v>6500000</v>
      </c>
      <c r="BH275" s="615">
        <v>2500000</v>
      </c>
      <c r="BI275" s="615">
        <v>2500000</v>
      </c>
      <c r="BJ275" s="615">
        <v>6500000</v>
      </c>
      <c r="BK275" s="615">
        <v>2500000</v>
      </c>
      <c r="BL275" s="615">
        <v>2500000</v>
      </c>
      <c r="BM275" s="615">
        <v>9500000</v>
      </c>
      <c r="BN275" s="615">
        <v>2500000</v>
      </c>
      <c r="BO275" s="615">
        <v>2500000</v>
      </c>
      <c r="BP275" s="615">
        <v>6500000</v>
      </c>
      <c r="BQ275" s="615">
        <v>2500000</v>
      </c>
      <c r="BR275" s="615">
        <v>2500000</v>
      </c>
      <c r="BS275" s="615">
        <v>6500000</v>
      </c>
      <c r="BT275" s="615">
        <v>2500000</v>
      </c>
      <c r="BU275" s="615">
        <v>2500000</v>
      </c>
      <c r="BV275" s="615">
        <v>256105000</v>
      </c>
      <c r="BW275" s="615">
        <v>0</v>
      </c>
      <c r="BX275" s="607">
        <f t="shared" si="11"/>
        <v>353605000</v>
      </c>
    </row>
    <row r="276" spans="1:76" s="612" customFormat="1" ht="12.95" customHeight="1" x14ac:dyDescent="0.2">
      <c r="A276" s="909"/>
      <c r="B276" s="611" t="s">
        <v>2686</v>
      </c>
      <c r="C276" s="641" t="s">
        <v>2685</v>
      </c>
      <c r="D276" s="615"/>
      <c r="E276" s="615"/>
      <c r="F276" s="615"/>
      <c r="G276" s="615"/>
      <c r="H276" s="585"/>
      <c r="I276" s="615"/>
      <c r="J276" s="615"/>
      <c r="K276" s="615"/>
      <c r="L276" s="615"/>
      <c r="M276" s="615"/>
      <c r="N276" s="615"/>
      <c r="O276" s="615"/>
      <c r="P276" s="615"/>
      <c r="Q276" s="615"/>
      <c r="R276" s="615"/>
      <c r="S276" s="615"/>
      <c r="T276" s="615"/>
      <c r="U276" s="615"/>
      <c r="V276" s="615"/>
      <c r="W276" s="615"/>
      <c r="X276" s="615"/>
      <c r="Y276" s="615">
        <v>0</v>
      </c>
      <c r="Z276" s="615">
        <v>0</v>
      </c>
      <c r="AA276" s="615">
        <v>0</v>
      </c>
      <c r="AB276" s="615">
        <v>0</v>
      </c>
      <c r="AC276" s="615">
        <v>0</v>
      </c>
      <c r="AD276" s="615">
        <v>0</v>
      </c>
      <c r="AE276" s="615">
        <v>0</v>
      </c>
      <c r="AF276" s="615">
        <v>0</v>
      </c>
      <c r="AG276" s="615">
        <v>0</v>
      </c>
      <c r="AH276" s="615">
        <v>0</v>
      </c>
      <c r="AI276" s="615">
        <v>0</v>
      </c>
      <c r="AJ276" s="615">
        <v>0</v>
      </c>
      <c r="AK276" s="615">
        <v>0</v>
      </c>
      <c r="AL276" s="615">
        <v>0</v>
      </c>
      <c r="AM276" s="615">
        <v>0</v>
      </c>
      <c r="AN276" s="615">
        <v>0</v>
      </c>
      <c r="AO276" s="615">
        <v>0</v>
      </c>
      <c r="AP276" s="615">
        <v>0</v>
      </c>
      <c r="AQ276" s="615">
        <v>0</v>
      </c>
      <c r="AR276" s="615">
        <v>0</v>
      </c>
      <c r="AS276" s="615">
        <v>0</v>
      </c>
      <c r="AT276" s="615">
        <v>0</v>
      </c>
      <c r="AU276" s="615">
        <v>0</v>
      </c>
      <c r="AV276" s="615">
        <v>0</v>
      </c>
      <c r="AW276" s="615">
        <v>3000000</v>
      </c>
      <c r="AX276" s="615">
        <v>3000000</v>
      </c>
      <c r="AY276" s="615">
        <v>3000000</v>
      </c>
      <c r="AZ276" s="615">
        <v>10000000</v>
      </c>
      <c r="BA276" s="615">
        <v>3000000</v>
      </c>
      <c r="BB276" s="615">
        <v>3000000</v>
      </c>
      <c r="BC276" s="615">
        <v>3000000</v>
      </c>
      <c r="BD276" s="615">
        <v>3000000</v>
      </c>
      <c r="BE276" s="615">
        <v>3000000</v>
      </c>
      <c r="BF276" s="615">
        <v>7300000</v>
      </c>
      <c r="BG276" s="615">
        <v>3300000</v>
      </c>
      <c r="BH276" s="615">
        <v>3300000</v>
      </c>
      <c r="BI276" s="615">
        <v>3300000</v>
      </c>
      <c r="BJ276" s="615">
        <v>3300000</v>
      </c>
      <c r="BK276" s="615">
        <v>3300000</v>
      </c>
      <c r="BL276" s="615">
        <v>10300000</v>
      </c>
      <c r="BM276" s="615">
        <v>3300000</v>
      </c>
      <c r="BN276" s="615">
        <v>3300000</v>
      </c>
      <c r="BO276" s="615">
        <v>3300000</v>
      </c>
      <c r="BP276" s="615">
        <v>3300000</v>
      </c>
      <c r="BQ276" s="615">
        <v>3300000</v>
      </c>
      <c r="BR276" s="615">
        <v>7300000</v>
      </c>
      <c r="BS276" s="615">
        <v>3300000</v>
      </c>
      <c r="BT276" s="615">
        <v>3300000</v>
      </c>
      <c r="BU276" s="615">
        <v>1868000</v>
      </c>
      <c r="BV276" s="615">
        <v>353192000</v>
      </c>
      <c r="BW276" s="615">
        <v>0</v>
      </c>
      <c r="BX276" s="607">
        <f t="shared" si="11"/>
        <v>453560000</v>
      </c>
    </row>
    <row r="277" spans="1:76" s="612" customFormat="1" ht="12.95" customHeight="1" x14ac:dyDescent="0.2">
      <c r="A277" s="909"/>
      <c r="B277" s="611" t="s">
        <v>2964</v>
      </c>
      <c r="C277" s="641" t="s">
        <v>2963</v>
      </c>
      <c r="D277" s="615"/>
      <c r="E277" s="615"/>
      <c r="F277" s="615"/>
      <c r="G277" s="615"/>
      <c r="H277" s="585"/>
      <c r="I277" s="615"/>
      <c r="J277" s="615"/>
      <c r="K277" s="615"/>
      <c r="L277" s="615"/>
      <c r="M277" s="615"/>
      <c r="N277" s="615"/>
      <c r="O277" s="615"/>
      <c r="P277" s="615"/>
      <c r="Q277" s="615"/>
      <c r="R277" s="615"/>
      <c r="S277" s="615"/>
      <c r="T277" s="615"/>
      <c r="U277" s="615"/>
      <c r="V277" s="615"/>
      <c r="W277" s="615"/>
      <c r="X277" s="615"/>
      <c r="Y277" s="615">
        <v>0</v>
      </c>
      <c r="Z277" s="615">
        <v>0</v>
      </c>
      <c r="AA277" s="615">
        <v>0</v>
      </c>
      <c r="AB277" s="615">
        <v>0</v>
      </c>
      <c r="AC277" s="615">
        <v>0</v>
      </c>
      <c r="AD277" s="615">
        <v>0</v>
      </c>
      <c r="AE277" s="615">
        <v>0</v>
      </c>
      <c r="AF277" s="615">
        <v>0</v>
      </c>
      <c r="AG277" s="615">
        <v>0</v>
      </c>
      <c r="AH277" s="615">
        <v>0</v>
      </c>
      <c r="AI277" s="615">
        <v>0</v>
      </c>
      <c r="AJ277" s="615">
        <v>0</v>
      </c>
      <c r="AK277" s="615">
        <v>0</v>
      </c>
      <c r="AL277" s="615">
        <v>0</v>
      </c>
      <c r="AM277" s="615">
        <v>0</v>
      </c>
      <c r="AN277" s="615">
        <v>0</v>
      </c>
      <c r="AO277" s="615">
        <v>0</v>
      </c>
      <c r="AP277" s="615">
        <v>0</v>
      </c>
      <c r="AQ277" s="615">
        <v>0</v>
      </c>
      <c r="AR277" s="615">
        <v>0</v>
      </c>
      <c r="AS277" s="615">
        <v>0</v>
      </c>
      <c r="AT277" s="615">
        <v>0</v>
      </c>
      <c r="AU277" s="615">
        <v>0</v>
      </c>
      <c r="AV277" s="615">
        <v>3212000</v>
      </c>
      <c r="AW277" s="615">
        <v>3212000</v>
      </c>
      <c r="AX277" s="615">
        <v>3212000</v>
      </c>
      <c r="AY277" s="615">
        <v>3212000</v>
      </c>
      <c r="AZ277" s="615">
        <v>3212000</v>
      </c>
      <c r="BA277" s="615">
        <v>3212000</v>
      </c>
      <c r="BB277" s="615">
        <v>3212000</v>
      </c>
      <c r="BC277" s="615">
        <v>3212000</v>
      </c>
      <c r="BD277" s="615">
        <v>3212000</v>
      </c>
      <c r="BE277" s="615">
        <v>3212000</v>
      </c>
      <c r="BF277" s="615">
        <v>3212000</v>
      </c>
      <c r="BG277" s="615">
        <v>3212000</v>
      </c>
      <c r="BH277" s="615">
        <v>3212000</v>
      </c>
      <c r="BI277" s="615">
        <v>3212000</v>
      </c>
      <c r="BJ277" s="615">
        <v>3212000</v>
      </c>
      <c r="BK277" s="615">
        <v>3212000</v>
      </c>
      <c r="BL277" s="615">
        <v>3212000</v>
      </c>
      <c r="BM277" s="615">
        <v>3212000</v>
      </c>
      <c r="BN277" s="615">
        <v>3212000</v>
      </c>
      <c r="BO277" s="615">
        <v>3212000</v>
      </c>
      <c r="BP277" s="615">
        <v>3212000</v>
      </c>
      <c r="BQ277" s="615">
        <v>3212000</v>
      </c>
      <c r="BR277" s="615">
        <v>3212000</v>
      </c>
      <c r="BS277" s="615">
        <v>3212000</v>
      </c>
      <c r="BT277" s="615">
        <v>3212000</v>
      </c>
      <c r="BU277" s="615">
        <v>3212000</v>
      </c>
      <c r="BV277" s="615">
        <v>273980000</v>
      </c>
      <c r="BW277" s="615">
        <v>0</v>
      </c>
      <c r="BX277" s="607">
        <f t="shared" si="11"/>
        <v>357492000</v>
      </c>
    </row>
    <row r="278" spans="1:76" s="612" customFormat="1" ht="12.95" customHeight="1" x14ac:dyDescent="0.2">
      <c r="A278" s="909"/>
      <c r="B278" s="611" t="s">
        <v>3348</v>
      </c>
      <c r="C278" s="641" t="s">
        <v>3347</v>
      </c>
      <c r="D278" s="615"/>
      <c r="E278" s="615"/>
      <c r="F278" s="615"/>
      <c r="G278" s="615"/>
      <c r="H278" s="585"/>
      <c r="I278" s="615"/>
      <c r="J278" s="615"/>
      <c r="K278" s="615"/>
      <c r="L278" s="615"/>
      <c r="M278" s="615"/>
      <c r="N278" s="615"/>
      <c r="O278" s="615"/>
      <c r="P278" s="615"/>
      <c r="Q278" s="615"/>
      <c r="R278" s="615"/>
      <c r="S278" s="615"/>
      <c r="T278" s="615"/>
      <c r="U278" s="615"/>
      <c r="V278" s="615"/>
      <c r="W278" s="615"/>
      <c r="X278" s="615"/>
      <c r="Y278" s="615">
        <v>0</v>
      </c>
      <c r="Z278" s="615">
        <v>0</v>
      </c>
      <c r="AA278" s="615">
        <v>0</v>
      </c>
      <c r="AB278" s="615">
        <v>0</v>
      </c>
      <c r="AC278" s="615">
        <v>0</v>
      </c>
      <c r="AD278" s="615">
        <v>0</v>
      </c>
      <c r="AE278" s="615">
        <v>0</v>
      </c>
      <c r="AF278" s="615">
        <v>0</v>
      </c>
      <c r="AG278" s="615">
        <v>0</v>
      </c>
      <c r="AH278" s="615">
        <v>0</v>
      </c>
      <c r="AI278" s="615">
        <v>0</v>
      </c>
      <c r="AJ278" s="615">
        <v>0</v>
      </c>
      <c r="AK278" s="615">
        <v>0</v>
      </c>
      <c r="AL278" s="615">
        <v>0</v>
      </c>
      <c r="AM278" s="615">
        <v>0</v>
      </c>
      <c r="AN278" s="615">
        <v>0</v>
      </c>
      <c r="AO278" s="615">
        <v>0</v>
      </c>
      <c r="AP278" s="615">
        <v>0</v>
      </c>
      <c r="AQ278" s="615">
        <v>0</v>
      </c>
      <c r="AR278" s="615">
        <v>0</v>
      </c>
      <c r="AS278" s="615">
        <v>0</v>
      </c>
      <c r="AT278" s="615">
        <v>0</v>
      </c>
      <c r="AU278" s="615">
        <v>0</v>
      </c>
      <c r="AV278" s="615">
        <v>0</v>
      </c>
      <c r="AW278" s="615">
        <v>5517807</v>
      </c>
      <c r="AX278" s="615">
        <v>5522833</v>
      </c>
      <c r="AY278" s="615">
        <v>5522833</v>
      </c>
      <c r="AZ278" s="615">
        <v>5522833</v>
      </c>
      <c r="BA278" s="615">
        <v>5522833</v>
      </c>
      <c r="BB278" s="615">
        <v>5522833</v>
      </c>
      <c r="BC278" s="615">
        <v>5522833</v>
      </c>
      <c r="BD278" s="615">
        <v>5522833</v>
      </c>
      <c r="BE278" s="615">
        <v>5522833</v>
      </c>
      <c r="BF278" s="615">
        <v>5522833</v>
      </c>
      <c r="BG278" s="615">
        <v>5522833</v>
      </c>
      <c r="BH278" s="615">
        <v>5522833</v>
      </c>
      <c r="BI278" s="615">
        <v>5522833</v>
      </c>
      <c r="BJ278" s="615">
        <v>5522833</v>
      </c>
      <c r="BK278" s="615">
        <v>5522833</v>
      </c>
      <c r="BL278" s="615">
        <v>5522833</v>
      </c>
      <c r="BM278" s="615">
        <v>5522833</v>
      </c>
      <c r="BN278" s="615">
        <v>5522833</v>
      </c>
      <c r="BO278" s="615">
        <v>5522833</v>
      </c>
      <c r="BP278" s="615">
        <v>5522833</v>
      </c>
      <c r="BQ278" s="615">
        <v>5522833</v>
      </c>
      <c r="BR278" s="615">
        <v>5522833</v>
      </c>
      <c r="BS278" s="615">
        <v>5522833</v>
      </c>
      <c r="BT278" s="615">
        <v>5522833</v>
      </c>
      <c r="BU278" s="615">
        <v>5522843</v>
      </c>
      <c r="BV278" s="615">
        <v>398265000</v>
      </c>
      <c r="BW278" s="615">
        <v>0</v>
      </c>
      <c r="BX278" s="607">
        <f t="shared" si="11"/>
        <v>536330809</v>
      </c>
    </row>
    <row r="279" spans="1:76" s="612" customFormat="1" ht="12.95" customHeight="1" x14ac:dyDescent="0.2">
      <c r="A279" s="909"/>
      <c r="B279" s="611" t="s">
        <v>2966</v>
      </c>
      <c r="C279" s="641" t="s">
        <v>2965</v>
      </c>
      <c r="D279" s="615"/>
      <c r="E279" s="615"/>
      <c r="F279" s="615"/>
      <c r="G279" s="615"/>
      <c r="H279" s="585"/>
      <c r="I279" s="615"/>
      <c r="J279" s="615"/>
      <c r="K279" s="615"/>
      <c r="L279" s="615"/>
      <c r="M279" s="615"/>
      <c r="N279" s="615"/>
      <c r="O279" s="615"/>
      <c r="P279" s="615"/>
      <c r="Q279" s="615"/>
      <c r="R279" s="615"/>
      <c r="S279" s="615"/>
      <c r="T279" s="615"/>
      <c r="U279" s="615"/>
      <c r="V279" s="615"/>
      <c r="W279" s="615"/>
      <c r="X279" s="615"/>
      <c r="Y279" s="615">
        <v>0</v>
      </c>
      <c r="Z279" s="615">
        <v>0</v>
      </c>
      <c r="AA279" s="615">
        <v>0</v>
      </c>
      <c r="AB279" s="615">
        <v>0</v>
      </c>
      <c r="AC279" s="615">
        <v>0</v>
      </c>
      <c r="AD279" s="615">
        <v>0</v>
      </c>
      <c r="AE279" s="615">
        <v>0</v>
      </c>
      <c r="AF279" s="615">
        <v>0</v>
      </c>
      <c r="AG279" s="615">
        <v>0</v>
      </c>
      <c r="AH279" s="615">
        <v>0</v>
      </c>
      <c r="AI279" s="615">
        <v>0</v>
      </c>
      <c r="AJ279" s="615">
        <v>0</v>
      </c>
      <c r="AK279" s="615">
        <v>0</v>
      </c>
      <c r="AL279" s="615">
        <v>0</v>
      </c>
      <c r="AM279" s="615">
        <v>0</v>
      </c>
      <c r="AN279" s="615">
        <v>0</v>
      </c>
      <c r="AO279" s="615">
        <v>0</v>
      </c>
      <c r="AP279" s="615">
        <v>0</v>
      </c>
      <c r="AQ279" s="615">
        <v>0</v>
      </c>
      <c r="AR279" s="615">
        <v>0</v>
      </c>
      <c r="AS279" s="615">
        <v>0</v>
      </c>
      <c r="AT279" s="615">
        <v>0</v>
      </c>
      <c r="AU279" s="615">
        <v>124497</v>
      </c>
      <c r="AV279" s="615">
        <v>3292619</v>
      </c>
      <c r="AW279" s="615">
        <v>3292619</v>
      </c>
      <c r="AX279" s="615">
        <v>3292619</v>
      </c>
      <c r="AY279" s="615">
        <v>3292619</v>
      </c>
      <c r="AZ279" s="615">
        <v>3292619</v>
      </c>
      <c r="BA279" s="615">
        <v>3292619</v>
      </c>
      <c r="BB279" s="615">
        <v>3292619</v>
      </c>
      <c r="BC279" s="615">
        <v>3292619</v>
      </c>
      <c r="BD279" s="615">
        <v>3292619</v>
      </c>
      <c r="BE279" s="615">
        <v>3292619</v>
      </c>
      <c r="BF279" s="615">
        <v>3292619</v>
      </c>
      <c r="BG279" s="615">
        <v>3292619</v>
      </c>
      <c r="BH279" s="615">
        <v>3292619</v>
      </c>
      <c r="BI279" s="615">
        <v>3292619</v>
      </c>
      <c r="BJ279" s="615">
        <v>3292619</v>
      </c>
      <c r="BK279" s="615">
        <v>3292619</v>
      </c>
      <c r="BL279" s="615">
        <v>3292619</v>
      </c>
      <c r="BM279" s="615">
        <v>3292619</v>
      </c>
      <c r="BN279" s="615">
        <v>3292619</v>
      </c>
      <c r="BO279" s="615">
        <v>3292619</v>
      </c>
      <c r="BP279" s="615">
        <v>3292619</v>
      </c>
      <c r="BQ279" s="615">
        <v>3292619</v>
      </c>
      <c r="BR279" s="615">
        <v>3292619</v>
      </c>
      <c r="BS279" s="615">
        <v>3292619</v>
      </c>
      <c r="BT279" s="615">
        <v>3292619</v>
      </c>
      <c r="BU279" s="615">
        <v>3292628</v>
      </c>
      <c r="BV279" s="615">
        <v>271950000</v>
      </c>
      <c r="BW279" s="615">
        <v>0</v>
      </c>
      <c r="BX279" s="607">
        <f t="shared" si="11"/>
        <v>357682600</v>
      </c>
    </row>
    <row r="280" spans="1:76" s="612" customFormat="1" ht="12.95" customHeight="1" x14ac:dyDescent="0.2">
      <c r="A280" s="909"/>
      <c r="B280" s="611" t="s">
        <v>3434</v>
      </c>
      <c r="C280" s="641" t="s">
        <v>3433</v>
      </c>
      <c r="D280" s="615"/>
      <c r="E280" s="615"/>
      <c r="F280" s="615"/>
      <c r="G280" s="615"/>
      <c r="H280" s="585"/>
      <c r="I280" s="615"/>
      <c r="J280" s="615"/>
      <c r="K280" s="615"/>
      <c r="L280" s="615"/>
      <c r="M280" s="615"/>
      <c r="N280" s="615"/>
      <c r="O280" s="615"/>
      <c r="P280" s="615"/>
      <c r="Q280" s="615"/>
      <c r="R280" s="615"/>
      <c r="S280" s="615"/>
      <c r="T280" s="615"/>
      <c r="U280" s="615"/>
      <c r="V280" s="615"/>
      <c r="W280" s="615"/>
      <c r="X280" s="615"/>
      <c r="Y280" s="615">
        <v>0</v>
      </c>
      <c r="Z280" s="615">
        <v>0</v>
      </c>
      <c r="AA280" s="615">
        <v>0</v>
      </c>
      <c r="AB280" s="615">
        <v>0</v>
      </c>
      <c r="AC280" s="615">
        <v>0</v>
      </c>
      <c r="AD280" s="615">
        <v>0</v>
      </c>
      <c r="AE280" s="615">
        <v>0</v>
      </c>
      <c r="AF280" s="615">
        <v>0</v>
      </c>
      <c r="AG280" s="615">
        <v>0</v>
      </c>
      <c r="AH280" s="615">
        <v>0</v>
      </c>
      <c r="AI280" s="615">
        <v>0</v>
      </c>
      <c r="AJ280" s="615">
        <v>0</v>
      </c>
      <c r="AK280" s="615">
        <v>0</v>
      </c>
      <c r="AL280" s="615">
        <v>0</v>
      </c>
      <c r="AM280" s="615">
        <v>0</v>
      </c>
      <c r="AN280" s="615">
        <v>0</v>
      </c>
      <c r="AO280" s="615">
        <v>0</v>
      </c>
      <c r="AP280" s="615">
        <v>0</v>
      </c>
      <c r="AQ280" s="615">
        <v>0</v>
      </c>
      <c r="AR280" s="615">
        <v>0</v>
      </c>
      <c r="AS280" s="615">
        <v>0</v>
      </c>
      <c r="AT280" s="615">
        <v>0</v>
      </c>
      <c r="AU280" s="615">
        <v>0</v>
      </c>
      <c r="AV280" s="615">
        <v>0</v>
      </c>
      <c r="AW280" s="615">
        <v>5649825</v>
      </c>
      <c r="AX280" s="615">
        <v>5649965</v>
      </c>
      <c r="AY280" s="615">
        <v>5649965</v>
      </c>
      <c r="AZ280" s="615">
        <v>5649965</v>
      </c>
      <c r="BA280" s="615">
        <v>5649965</v>
      </c>
      <c r="BB280" s="615">
        <v>5649965</v>
      </c>
      <c r="BC280" s="615">
        <v>5649965</v>
      </c>
      <c r="BD280" s="615">
        <v>5649965</v>
      </c>
      <c r="BE280" s="615">
        <v>5649965</v>
      </c>
      <c r="BF280" s="615">
        <v>5649965</v>
      </c>
      <c r="BG280" s="615">
        <v>5649965</v>
      </c>
      <c r="BH280" s="615">
        <v>5649965</v>
      </c>
      <c r="BI280" s="615">
        <v>5649965</v>
      </c>
      <c r="BJ280" s="615">
        <v>5649965</v>
      </c>
      <c r="BK280" s="615">
        <v>5649965</v>
      </c>
      <c r="BL280" s="615">
        <v>5649965</v>
      </c>
      <c r="BM280" s="615">
        <v>5649965</v>
      </c>
      <c r="BN280" s="615">
        <v>5649965</v>
      </c>
      <c r="BO280" s="615">
        <v>5649965</v>
      </c>
      <c r="BP280" s="615">
        <v>5649965</v>
      </c>
      <c r="BQ280" s="615">
        <v>5649965</v>
      </c>
      <c r="BR280" s="615">
        <v>5649965</v>
      </c>
      <c r="BS280" s="615">
        <v>5649965</v>
      </c>
      <c r="BT280" s="615">
        <v>5649965</v>
      </c>
      <c r="BU280" s="615">
        <v>5649980</v>
      </c>
      <c r="BV280" s="615">
        <v>393981000</v>
      </c>
      <c r="BW280" s="615">
        <v>0</v>
      </c>
      <c r="BX280" s="607">
        <f t="shared" si="11"/>
        <v>535230000</v>
      </c>
    </row>
    <row r="281" spans="1:76" s="612" customFormat="1" ht="12.95" customHeight="1" x14ac:dyDescent="0.2">
      <c r="A281" s="909"/>
      <c r="B281" s="611" t="s">
        <v>3350</v>
      </c>
      <c r="C281" s="641" t="s">
        <v>3349</v>
      </c>
      <c r="D281" s="615"/>
      <c r="E281" s="615"/>
      <c r="F281" s="615"/>
      <c r="G281" s="615"/>
      <c r="H281" s="585"/>
      <c r="I281" s="615"/>
      <c r="J281" s="615"/>
      <c r="K281" s="615"/>
      <c r="L281" s="615"/>
      <c r="M281" s="615"/>
      <c r="N281" s="615"/>
      <c r="O281" s="615"/>
      <c r="P281" s="615"/>
      <c r="Q281" s="615"/>
      <c r="R281" s="615"/>
      <c r="S281" s="615"/>
      <c r="T281" s="615"/>
      <c r="U281" s="615"/>
      <c r="V281" s="615"/>
      <c r="W281" s="615"/>
      <c r="X281" s="615"/>
      <c r="Y281" s="615">
        <v>0</v>
      </c>
      <c r="Z281" s="615">
        <v>0</v>
      </c>
      <c r="AA281" s="615">
        <v>0</v>
      </c>
      <c r="AB281" s="615">
        <v>0</v>
      </c>
      <c r="AC281" s="615">
        <v>0</v>
      </c>
      <c r="AD281" s="615">
        <v>0</v>
      </c>
      <c r="AE281" s="615">
        <v>0</v>
      </c>
      <c r="AF281" s="615">
        <v>0</v>
      </c>
      <c r="AG281" s="615">
        <v>0</v>
      </c>
      <c r="AH281" s="615">
        <v>0</v>
      </c>
      <c r="AI281" s="615">
        <v>0</v>
      </c>
      <c r="AJ281" s="615">
        <v>0</v>
      </c>
      <c r="AK281" s="615">
        <v>0</v>
      </c>
      <c r="AL281" s="615">
        <v>0</v>
      </c>
      <c r="AM281" s="615">
        <v>0</v>
      </c>
      <c r="AN281" s="615">
        <v>0</v>
      </c>
      <c r="AO281" s="615">
        <v>0</v>
      </c>
      <c r="AP281" s="615">
        <v>0</v>
      </c>
      <c r="AQ281" s="615">
        <v>0</v>
      </c>
      <c r="AR281" s="615">
        <v>0</v>
      </c>
      <c r="AS281" s="615">
        <v>0</v>
      </c>
      <c r="AT281" s="615">
        <v>0</v>
      </c>
      <c r="AU281" s="615">
        <v>0</v>
      </c>
      <c r="AV281" s="615">
        <v>0</v>
      </c>
      <c r="AW281" s="615">
        <v>3971935</v>
      </c>
      <c r="AX281" s="615">
        <v>3971935</v>
      </c>
      <c r="AY281" s="615">
        <v>3971935</v>
      </c>
      <c r="AZ281" s="615">
        <v>3971935</v>
      </c>
      <c r="BA281" s="615">
        <v>3971935</v>
      </c>
      <c r="BB281" s="615">
        <v>3971935</v>
      </c>
      <c r="BC281" s="615">
        <v>3971935</v>
      </c>
      <c r="BD281" s="615">
        <v>3971935</v>
      </c>
      <c r="BE281" s="615">
        <v>3971935</v>
      </c>
      <c r="BF281" s="615">
        <v>3971935</v>
      </c>
      <c r="BG281" s="615">
        <v>3971935</v>
      </c>
      <c r="BH281" s="615">
        <v>3971935</v>
      </c>
      <c r="BI281" s="615">
        <v>3971935</v>
      </c>
      <c r="BJ281" s="615">
        <v>3971935</v>
      </c>
      <c r="BK281" s="615">
        <v>3971935</v>
      </c>
      <c r="BL281" s="615">
        <v>3971935</v>
      </c>
      <c r="BM281" s="615">
        <v>3971935</v>
      </c>
      <c r="BN281" s="615">
        <v>3971935</v>
      </c>
      <c r="BO281" s="615">
        <v>3971935</v>
      </c>
      <c r="BP281" s="615">
        <v>3971935</v>
      </c>
      <c r="BQ281" s="615">
        <v>3971935</v>
      </c>
      <c r="BR281" s="615">
        <v>3971935</v>
      </c>
      <c r="BS281" s="615">
        <v>3971935</v>
      </c>
      <c r="BT281" s="615">
        <v>3971935</v>
      </c>
      <c r="BU281" s="615">
        <v>3971950</v>
      </c>
      <c r="BV281" s="615">
        <v>298970000</v>
      </c>
      <c r="BW281" s="615">
        <v>0</v>
      </c>
      <c r="BX281" s="607">
        <f t="shared" si="11"/>
        <v>398268390</v>
      </c>
    </row>
    <row r="282" spans="1:76" s="612" customFormat="1" ht="12.95" customHeight="1" x14ac:dyDescent="0.2">
      <c r="A282" s="909"/>
      <c r="B282" s="611" t="s">
        <v>2688</v>
      </c>
      <c r="C282" s="641" t="s">
        <v>2687</v>
      </c>
      <c r="D282" s="615"/>
      <c r="E282" s="615"/>
      <c r="F282" s="615"/>
      <c r="G282" s="615"/>
      <c r="H282" s="585"/>
      <c r="I282" s="615"/>
      <c r="J282" s="615"/>
      <c r="K282" s="615"/>
      <c r="L282" s="615"/>
      <c r="M282" s="615"/>
      <c r="N282" s="615"/>
      <c r="O282" s="615"/>
      <c r="P282" s="615"/>
      <c r="Q282" s="615"/>
      <c r="R282" s="615"/>
      <c r="S282" s="615"/>
      <c r="T282" s="615"/>
      <c r="U282" s="615"/>
      <c r="V282" s="615"/>
      <c r="W282" s="615"/>
      <c r="X282" s="615"/>
      <c r="Y282" s="615">
        <v>0</v>
      </c>
      <c r="Z282" s="615">
        <v>0</v>
      </c>
      <c r="AA282" s="615">
        <v>0</v>
      </c>
      <c r="AB282" s="615">
        <v>0</v>
      </c>
      <c r="AC282" s="615">
        <v>0</v>
      </c>
      <c r="AD282" s="615">
        <v>0</v>
      </c>
      <c r="AE282" s="615">
        <v>0</v>
      </c>
      <c r="AF282" s="615">
        <v>0</v>
      </c>
      <c r="AG282" s="615">
        <v>0</v>
      </c>
      <c r="AH282" s="615">
        <v>0</v>
      </c>
      <c r="AI282" s="615">
        <v>0</v>
      </c>
      <c r="AJ282" s="615">
        <v>0</v>
      </c>
      <c r="AK282" s="615">
        <v>0</v>
      </c>
      <c r="AL282" s="615">
        <v>0</v>
      </c>
      <c r="AM282" s="615">
        <v>0</v>
      </c>
      <c r="AN282" s="615">
        <v>0</v>
      </c>
      <c r="AO282" s="615">
        <v>0</v>
      </c>
      <c r="AP282" s="615">
        <v>0</v>
      </c>
      <c r="AQ282" s="615">
        <v>0</v>
      </c>
      <c r="AR282" s="615">
        <v>0</v>
      </c>
      <c r="AS282" s="615">
        <v>0</v>
      </c>
      <c r="AT282" s="615">
        <v>0</v>
      </c>
      <c r="AU282" s="615">
        <v>0</v>
      </c>
      <c r="AV282" s="615">
        <v>0</v>
      </c>
      <c r="AW282" s="615">
        <v>4340000</v>
      </c>
      <c r="AX282" s="615">
        <v>4340000</v>
      </c>
      <c r="AY282" s="615">
        <v>4340000</v>
      </c>
      <c r="AZ282" s="615">
        <v>4340000</v>
      </c>
      <c r="BA282" s="615">
        <v>4340000</v>
      </c>
      <c r="BB282" s="615">
        <v>4340000</v>
      </c>
      <c r="BC282" s="615">
        <v>4340000</v>
      </c>
      <c r="BD282" s="615">
        <v>4340000</v>
      </c>
      <c r="BE282" s="615">
        <v>4340000</v>
      </c>
      <c r="BF282" s="615">
        <v>4340000</v>
      </c>
      <c r="BG282" s="615">
        <v>4340000</v>
      </c>
      <c r="BH282" s="615">
        <v>4340000</v>
      </c>
      <c r="BI282" s="615">
        <v>4340000</v>
      </c>
      <c r="BJ282" s="615">
        <v>4340000</v>
      </c>
      <c r="BK282" s="615">
        <v>4340000</v>
      </c>
      <c r="BL282" s="615">
        <v>4340000</v>
      </c>
      <c r="BM282" s="615">
        <v>4340000</v>
      </c>
      <c r="BN282" s="615">
        <v>4340000</v>
      </c>
      <c r="BO282" s="615">
        <v>4340000</v>
      </c>
      <c r="BP282" s="615">
        <v>4340000</v>
      </c>
      <c r="BQ282" s="615">
        <v>4340000</v>
      </c>
      <c r="BR282" s="615">
        <v>4340000</v>
      </c>
      <c r="BS282" s="615">
        <v>4340000</v>
      </c>
      <c r="BT282" s="615">
        <v>4340000</v>
      </c>
      <c r="BU282" s="615">
        <v>4340000</v>
      </c>
      <c r="BV282" s="615">
        <v>366100000</v>
      </c>
      <c r="BW282" s="615">
        <v>0</v>
      </c>
      <c r="BX282" s="607">
        <f t="shared" si="11"/>
        <v>474600000</v>
      </c>
    </row>
    <row r="283" spans="1:76" s="612" customFormat="1" ht="12.95" customHeight="1" x14ac:dyDescent="0.2">
      <c r="A283" s="909"/>
      <c r="B283" s="611" t="s">
        <v>2968</v>
      </c>
      <c r="C283" s="641" t="s">
        <v>2967</v>
      </c>
      <c r="D283" s="615"/>
      <c r="E283" s="615"/>
      <c r="F283" s="615"/>
      <c r="G283" s="615"/>
      <c r="H283" s="585"/>
      <c r="I283" s="615"/>
      <c r="J283" s="615"/>
      <c r="K283" s="615"/>
      <c r="L283" s="615"/>
      <c r="M283" s="615"/>
      <c r="N283" s="615"/>
      <c r="O283" s="615"/>
      <c r="P283" s="615"/>
      <c r="Q283" s="615"/>
      <c r="R283" s="615"/>
      <c r="S283" s="615"/>
      <c r="T283" s="615"/>
      <c r="U283" s="615"/>
      <c r="V283" s="615"/>
      <c r="W283" s="615"/>
      <c r="X283" s="615"/>
      <c r="Y283" s="615">
        <v>0</v>
      </c>
      <c r="Z283" s="615">
        <v>0</v>
      </c>
      <c r="AA283" s="615">
        <v>0</v>
      </c>
      <c r="AB283" s="615">
        <v>0</v>
      </c>
      <c r="AC283" s="615">
        <v>0</v>
      </c>
      <c r="AD283" s="615">
        <v>0</v>
      </c>
      <c r="AE283" s="615">
        <v>0</v>
      </c>
      <c r="AF283" s="615">
        <v>0</v>
      </c>
      <c r="AG283" s="615">
        <v>0</v>
      </c>
      <c r="AH283" s="615">
        <v>0</v>
      </c>
      <c r="AI283" s="615">
        <v>0</v>
      </c>
      <c r="AJ283" s="615">
        <v>0</v>
      </c>
      <c r="AK283" s="615">
        <v>0</v>
      </c>
      <c r="AL283" s="615">
        <v>0</v>
      </c>
      <c r="AM283" s="615">
        <v>0</v>
      </c>
      <c r="AN283" s="615">
        <v>0</v>
      </c>
      <c r="AO283" s="615">
        <v>0</v>
      </c>
      <c r="AP283" s="615">
        <v>0</v>
      </c>
      <c r="AQ283" s="615">
        <v>0</v>
      </c>
      <c r="AR283" s="615">
        <v>0</v>
      </c>
      <c r="AS283" s="615">
        <v>0</v>
      </c>
      <c r="AT283" s="615">
        <v>4000000</v>
      </c>
      <c r="AU283" s="615">
        <v>4000000</v>
      </c>
      <c r="AV283" s="615">
        <v>4000000</v>
      </c>
      <c r="AW283" s="615">
        <v>4000000</v>
      </c>
      <c r="AX283" s="615">
        <v>4000000</v>
      </c>
      <c r="AY283" s="615">
        <v>4000000</v>
      </c>
      <c r="AZ283" s="615">
        <v>4000000</v>
      </c>
      <c r="BA283" s="615">
        <v>15000000</v>
      </c>
      <c r="BB283" s="615">
        <v>4000000</v>
      </c>
      <c r="BC283" s="615">
        <v>4000000</v>
      </c>
      <c r="BD283" s="615">
        <v>4000000</v>
      </c>
      <c r="BE283" s="615">
        <v>4000000</v>
      </c>
      <c r="BF283" s="615">
        <v>4000000</v>
      </c>
      <c r="BG283" s="615">
        <v>15000000</v>
      </c>
      <c r="BH283" s="615">
        <v>4000000</v>
      </c>
      <c r="BI283" s="615">
        <v>4000000</v>
      </c>
      <c r="BJ283" s="615">
        <v>4000000</v>
      </c>
      <c r="BK283" s="615">
        <v>4000000</v>
      </c>
      <c r="BL283" s="615">
        <v>15000000</v>
      </c>
      <c r="BM283" s="615">
        <v>4000000</v>
      </c>
      <c r="BN283" s="615">
        <v>4000000</v>
      </c>
      <c r="BO283" s="615">
        <v>4000000</v>
      </c>
      <c r="BP283" s="615">
        <v>4000000</v>
      </c>
      <c r="BQ283" s="615">
        <v>4000000</v>
      </c>
      <c r="BR283" s="615">
        <v>15000000</v>
      </c>
      <c r="BS283" s="615">
        <v>4000000</v>
      </c>
      <c r="BT283" s="615">
        <v>4000000</v>
      </c>
      <c r="BU283" s="615">
        <v>8894327</v>
      </c>
      <c r="BV283" s="615">
        <v>368060000</v>
      </c>
      <c r="BW283" s="615">
        <v>0</v>
      </c>
      <c r="BX283" s="607">
        <f t="shared" si="11"/>
        <v>528954327</v>
      </c>
    </row>
    <row r="284" spans="1:76" s="612" customFormat="1" ht="12.95" customHeight="1" x14ac:dyDescent="0.2">
      <c r="A284" s="909"/>
      <c r="B284" s="611" t="s">
        <v>3352</v>
      </c>
      <c r="C284" s="641" t="s">
        <v>3351</v>
      </c>
      <c r="D284" s="615"/>
      <c r="E284" s="615"/>
      <c r="F284" s="615"/>
      <c r="G284" s="615"/>
      <c r="H284" s="585"/>
      <c r="I284" s="615"/>
      <c r="J284" s="615"/>
      <c r="K284" s="615"/>
      <c r="L284" s="615"/>
      <c r="M284" s="615"/>
      <c r="N284" s="615"/>
      <c r="O284" s="615"/>
      <c r="P284" s="615"/>
      <c r="Q284" s="615"/>
      <c r="R284" s="615"/>
      <c r="S284" s="615"/>
      <c r="T284" s="615"/>
      <c r="U284" s="615"/>
      <c r="V284" s="615"/>
      <c r="W284" s="615"/>
      <c r="X284" s="615"/>
      <c r="Y284" s="615">
        <v>0</v>
      </c>
      <c r="Z284" s="615">
        <v>0</v>
      </c>
      <c r="AA284" s="615">
        <v>0</v>
      </c>
      <c r="AB284" s="615">
        <v>0</v>
      </c>
      <c r="AC284" s="615">
        <v>0</v>
      </c>
      <c r="AD284" s="615">
        <v>0</v>
      </c>
      <c r="AE284" s="615">
        <v>0</v>
      </c>
      <c r="AF284" s="615">
        <v>0</v>
      </c>
      <c r="AG284" s="615">
        <v>0</v>
      </c>
      <c r="AH284" s="615">
        <v>0</v>
      </c>
      <c r="AI284" s="615">
        <v>0</v>
      </c>
      <c r="AJ284" s="615">
        <v>0</v>
      </c>
      <c r="AK284" s="615">
        <v>0</v>
      </c>
      <c r="AL284" s="615">
        <v>0</v>
      </c>
      <c r="AM284" s="615">
        <v>0</v>
      </c>
      <c r="AN284" s="615">
        <v>0</v>
      </c>
      <c r="AO284" s="615">
        <v>0</v>
      </c>
      <c r="AP284" s="615">
        <v>0</v>
      </c>
      <c r="AQ284" s="615">
        <v>0</v>
      </c>
      <c r="AR284" s="615">
        <v>0</v>
      </c>
      <c r="AS284" s="615">
        <v>0</v>
      </c>
      <c r="AT284" s="615">
        <v>0</v>
      </c>
      <c r="AU284" s="615">
        <v>0</v>
      </c>
      <c r="AV284" s="615">
        <v>2000000</v>
      </c>
      <c r="AW284" s="615">
        <v>2000000</v>
      </c>
      <c r="AX284" s="615">
        <v>2000000</v>
      </c>
      <c r="AY284" s="615">
        <v>2000000</v>
      </c>
      <c r="AZ284" s="615">
        <v>20000000</v>
      </c>
      <c r="BA284" s="615">
        <v>2000000</v>
      </c>
      <c r="BB284" s="615">
        <v>2000000</v>
      </c>
      <c r="BC284" s="615">
        <v>2000000</v>
      </c>
      <c r="BD284" s="615">
        <v>2000000</v>
      </c>
      <c r="BE284" s="615">
        <v>2000000</v>
      </c>
      <c r="BF284" s="615">
        <v>2000000</v>
      </c>
      <c r="BG284" s="615">
        <v>2000000</v>
      </c>
      <c r="BH284" s="615">
        <v>2000000</v>
      </c>
      <c r="BI284" s="615">
        <v>2000000</v>
      </c>
      <c r="BJ284" s="615">
        <v>2000000</v>
      </c>
      <c r="BK284" s="615">
        <v>27000000</v>
      </c>
      <c r="BL284" s="615">
        <v>2500000</v>
      </c>
      <c r="BM284" s="615">
        <v>2500000</v>
      </c>
      <c r="BN284" s="615">
        <v>2500000</v>
      </c>
      <c r="BO284" s="615">
        <v>2500000</v>
      </c>
      <c r="BP284" s="615">
        <v>2500000</v>
      </c>
      <c r="BQ284" s="615">
        <v>2500000</v>
      </c>
      <c r="BR284" s="615">
        <v>2500000</v>
      </c>
      <c r="BS284" s="615">
        <v>2500000</v>
      </c>
      <c r="BT284" s="615">
        <v>2681917</v>
      </c>
      <c r="BU284" s="615">
        <v>15000000</v>
      </c>
      <c r="BV284" s="615">
        <v>294490000</v>
      </c>
      <c r="BW284" s="615">
        <v>0</v>
      </c>
      <c r="BX284" s="607">
        <f t="shared" si="11"/>
        <v>407171917</v>
      </c>
    </row>
    <row r="285" spans="1:76" s="612" customFormat="1" ht="12.95" customHeight="1" x14ac:dyDescent="0.2">
      <c r="A285" s="909"/>
      <c r="B285" s="611" t="s">
        <v>3354</v>
      </c>
      <c r="C285" s="641" t="s">
        <v>3353</v>
      </c>
      <c r="D285" s="615"/>
      <c r="E285" s="615"/>
      <c r="F285" s="615"/>
      <c r="G285" s="615"/>
      <c r="H285" s="585"/>
      <c r="I285" s="615"/>
      <c r="J285" s="615"/>
      <c r="K285" s="615"/>
      <c r="L285" s="615"/>
      <c r="M285" s="615"/>
      <c r="N285" s="615"/>
      <c r="O285" s="615"/>
      <c r="P285" s="615"/>
      <c r="Q285" s="615"/>
      <c r="R285" s="615"/>
      <c r="S285" s="615"/>
      <c r="T285" s="615"/>
      <c r="U285" s="615"/>
      <c r="V285" s="615"/>
      <c r="W285" s="615"/>
      <c r="X285" s="615"/>
      <c r="Y285" s="615">
        <v>0</v>
      </c>
      <c r="Z285" s="615">
        <v>0</v>
      </c>
      <c r="AA285" s="615">
        <v>0</v>
      </c>
      <c r="AB285" s="615">
        <v>0</v>
      </c>
      <c r="AC285" s="615">
        <v>0</v>
      </c>
      <c r="AD285" s="615">
        <v>0</v>
      </c>
      <c r="AE285" s="615">
        <v>0</v>
      </c>
      <c r="AF285" s="615">
        <v>0</v>
      </c>
      <c r="AG285" s="615">
        <v>0</v>
      </c>
      <c r="AH285" s="615">
        <v>0</v>
      </c>
      <c r="AI285" s="615">
        <v>0</v>
      </c>
      <c r="AJ285" s="615">
        <v>0</v>
      </c>
      <c r="AK285" s="615">
        <v>0</v>
      </c>
      <c r="AL285" s="615">
        <v>0</v>
      </c>
      <c r="AM285" s="615">
        <v>0</v>
      </c>
      <c r="AN285" s="615">
        <v>0</v>
      </c>
      <c r="AO285" s="615">
        <v>0</v>
      </c>
      <c r="AP285" s="615">
        <v>0</v>
      </c>
      <c r="AQ285" s="615">
        <v>0</v>
      </c>
      <c r="AR285" s="615">
        <v>0</v>
      </c>
      <c r="AS285" s="615">
        <v>0</v>
      </c>
      <c r="AT285" s="615">
        <v>0</v>
      </c>
      <c r="AU285" s="615">
        <v>0</v>
      </c>
      <c r="AV285" s="615">
        <v>0</v>
      </c>
      <c r="AW285" s="615">
        <v>4576938</v>
      </c>
      <c r="AX285" s="615">
        <v>5212823</v>
      </c>
      <c r="AY285" s="615">
        <v>5212823</v>
      </c>
      <c r="AZ285" s="615">
        <v>5212823</v>
      </c>
      <c r="BA285" s="615">
        <v>5212823</v>
      </c>
      <c r="BB285" s="615">
        <v>5212823</v>
      </c>
      <c r="BC285" s="615">
        <v>5212823</v>
      </c>
      <c r="BD285" s="615">
        <v>5212823</v>
      </c>
      <c r="BE285" s="615">
        <v>5212823</v>
      </c>
      <c r="BF285" s="615">
        <v>5212823</v>
      </c>
      <c r="BG285" s="615">
        <v>5212823</v>
      </c>
      <c r="BH285" s="615">
        <v>5212823</v>
      </c>
      <c r="BI285" s="615">
        <v>5212823</v>
      </c>
      <c r="BJ285" s="615">
        <v>5212823</v>
      </c>
      <c r="BK285" s="615">
        <v>5212823</v>
      </c>
      <c r="BL285" s="615">
        <v>5212823</v>
      </c>
      <c r="BM285" s="615">
        <v>5212823</v>
      </c>
      <c r="BN285" s="615">
        <v>5212823</v>
      </c>
      <c r="BO285" s="615">
        <v>5212823</v>
      </c>
      <c r="BP285" s="615">
        <v>5212823</v>
      </c>
      <c r="BQ285" s="615">
        <v>5212823</v>
      </c>
      <c r="BR285" s="615">
        <v>5212823</v>
      </c>
      <c r="BS285" s="615">
        <v>5212823</v>
      </c>
      <c r="BT285" s="615">
        <v>5212823</v>
      </c>
      <c r="BU285" s="615">
        <v>5212810</v>
      </c>
      <c r="BV285" s="615">
        <v>388727500</v>
      </c>
      <c r="BW285" s="615">
        <v>0</v>
      </c>
      <c r="BX285" s="607">
        <f t="shared" si="11"/>
        <v>518412177</v>
      </c>
    </row>
    <row r="286" spans="1:76" s="612" customFormat="1" ht="12.95" customHeight="1" x14ac:dyDescent="0.2">
      <c r="A286" s="909"/>
      <c r="B286" s="611" t="s">
        <v>3270</v>
      </c>
      <c r="C286" s="641" t="s">
        <v>3269</v>
      </c>
      <c r="D286" s="615"/>
      <c r="E286" s="615"/>
      <c r="F286" s="615"/>
      <c r="G286" s="615"/>
      <c r="H286" s="585"/>
      <c r="I286" s="615"/>
      <c r="J286" s="615"/>
      <c r="K286" s="615"/>
      <c r="L286" s="615"/>
      <c r="M286" s="615"/>
      <c r="N286" s="615"/>
      <c r="O286" s="615"/>
      <c r="P286" s="615"/>
      <c r="Q286" s="615"/>
      <c r="R286" s="615"/>
      <c r="S286" s="615"/>
      <c r="T286" s="615"/>
      <c r="U286" s="615"/>
      <c r="V286" s="615"/>
      <c r="W286" s="615"/>
      <c r="X286" s="615"/>
      <c r="Y286" s="615">
        <v>0</v>
      </c>
      <c r="Z286" s="615">
        <v>0</v>
      </c>
      <c r="AA286" s="615">
        <v>0</v>
      </c>
      <c r="AB286" s="615">
        <v>0</v>
      </c>
      <c r="AC286" s="615">
        <v>0</v>
      </c>
      <c r="AD286" s="615">
        <v>0</v>
      </c>
      <c r="AE286" s="615">
        <v>0</v>
      </c>
      <c r="AF286" s="615">
        <v>0</v>
      </c>
      <c r="AG286" s="615">
        <v>0</v>
      </c>
      <c r="AH286" s="615">
        <v>0</v>
      </c>
      <c r="AI286" s="615">
        <v>0</v>
      </c>
      <c r="AJ286" s="615">
        <v>0</v>
      </c>
      <c r="AK286" s="615">
        <v>0</v>
      </c>
      <c r="AL286" s="615">
        <v>0</v>
      </c>
      <c r="AM286" s="615">
        <v>0</v>
      </c>
      <c r="AN286" s="615">
        <v>0</v>
      </c>
      <c r="AO286" s="615">
        <v>0</v>
      </c>
      <c r="AP286" s="615">
        <v>0</v>
      </c>
      <c r="AQ286" s="615">
        <v>0</v>
      </c>
      <c r="AR286" s="615">
        <v>0</v>
      </c>
      <c r="AS286" s="615">
        <v>0</v>
      </c>
      <c r="AT286" s="615">
        <v>0</v>
      </c>
      <c r="AU286" s="615">
        <v>0</v>
      </c>
      <c r="AV286" s="615">
        <v>0</v>
      </c>
      <c r="AW286" s="615">
        <v>3976774</v>
      </c>
      <c r="AX286" s="615">
        <v>3976774</v>
      </c>
      <c r="AY286" s="615">
        <v>3976774</v>
      </c>
      <c r="AZ286" s="615">
        <v>3976774</v>
      </c>
      <c r="BA286" s="615">
        <v>3976774</v>
      </c>
      <c r="BB286" s="615">
        <v>3976774</v>
      </c>
      <c r="BC286" s="615">
        <v>3976774</v>
      </c>
      <c r="BD286" s="615">
        <v>3976774</v>
      </c>
      <c r="BE286" s="615">
        <v>3976774</v>
      </c>
      <c r="BF286" s="615">
        <v>3976774</v>
      </c>
      <c r="BG286" s="615">
        <v>3976774</v>
      </c>
      <c r="BH286" s="615">
        <v>3976774</v>
      </c>
      <c r="BI286" s="615">
        <v>3976774</v>
      </c>
      <c r="BJ286" s="615">
        <v>3976774</v>
      </c>
      <c r="BK286" s="615">
        <v>3976774</v>
      </c>
      <c r="BL286" s="615">
        <v>3976774</v>
      </c>
      <c r="BM286" s="615">
        <v>3976774</v>
      </c>
      <c r="BN286" s="615">
        <v>3976774</v>
      </c>
      <c r="BO286" s="615">
        <v>3976774</v>
      </c>
      <c r="BP286" s="615">
        <v>3976774</v>
      </c>
      <c r="BQ286" s="615">
        <v>3976774</v>
      </c>
      <c r="BR286" s="615">
        <v>3976774</v>
      </c>
      <c r="BS286" s="615">
        <v>3976774</v>
      </c>
      <c r="BT286" s="615">
        <v>3976774</v>
      </c>
      <c r="BU286" s="615">
        <v>3976780</v>
      </c>
      <c r="BV286" s="615">
        <v>299320000</v>
      </c>
      <c r="BW286" s="615">
        <v>0</v>
      </c>
      <c r="BX286" s="607">
        <f t="shared" si="11"/>
        <v>398739356</v>
      </c>
    </row>
    <row r="287" spans="1:76" s="612" customFormat="1" ht="12.95" customHeight="1" x14ac:dyDescent="0.2">
      <c r="A287" s="909"/>
      <c r="B287" s="611" t="s">
        <v>2970</v>
      </c>
      <c r="C287" s="641" t="s">
        <v>2969</v>
      </c>
      <c r="D287" s="615"/>
      <c r="E287" s="615"/>
      <c r="F287" s="615"/>
      <c r="G287" s="615"/>
      <c r="H287" s="585"/>
      <c r="I287" s="615"/>
      <c r="J287" s="615"/>
      <c r="K287" s="615"/>
      <c r="L287" s="615"/>
      <c r="M287" s="615"/>
      <c r="N287" s="615"/>
      <c r="O287" s="615"/>
      <c r="P287" s="615"/>
      <c r="Q287" s="615"/>
      <c r="R287" s="615"/>
      <c r="S287" s="615"/>
      <c r="T287" s="615"/>
      <c r="U287" s="615"/>
      <c r="V287" s="615"/>
      <c r="W287" s="615"/>
      <c r="X287" s="615"/>
      <c r="Y287" s="615">
        <v>0</v>
      </c>
      <c r="Z287" s="615">
        <v>0</v>
      </c>
      <c r="AA287" s="615">
        <v>0</v>
      </c>
      <c r="AB287" s="615">
        <v>0</v>
      </c>
      <c r="AC287" s="615">
        <v>0</v>
      </c>
      <c r="AD287" s="615">
        <v>0</v>
      </c>
      <c r="AE287" s="615">
        <v>0</v>
      </c>
      <c r="AF287" s="615">
        <v>0</v>
      </c>
      <c r="AG287" s="615">
        <v>0</v>
      </c>
      <c r="AH287" s="615">
        <v>0</v>
      </c>
      <c r="AI287" s="615">
        <v>0</v>
      </c>
      <c r="AJ287" s="615">
        <v>0</v>
      </c>
      <c r="AK287" s="615">
        <v>0</v>
      </c>
      <c r="AL287" s="615">
        <v>0</v>
      </c>
      <c r="AM287" s="615">
        <v>0</v>
      </c>
      <c r="AN287" s="615">
        <v>0</v>
      </c>
      <c r="AO287" s="615">
        <v>0</v>
      </c>
      <c r="AP287" s="615">
        <v>0</v>
      </c>
      <c r="AQ287" s="615">
        <v>0</v>
      </c>
      <c r="AR287" s="615">
        <v>0</v>
      </c>
      <c r="AS287" s="615">
        <v>0</v>
      </c>
      <c r="AT287" s="615">
        <v>0</v>
      </c>
      <c r="AU287" s="615">
        <v>0</v>
      </c>
      <c r="AV287" s="615">
        <v>0</v>
      </c>
      <c r="AW287" s="615">
        <v>4646440</v>
      </c>
      <c r="AX287" s="615">
        <v>4663144</v>
      </c>
      <c r="AY287" s="615">
        <v>4663144</v>
      </c>
      <c r="AZ287" s="615">
        <v>4663144</v>
      </c>
      <c r="BA287" s="615">
        <v>4663144</v>
      </c>
      <c r="BB287" s="615">
        <v>4663144</v>
      </c>
      <c r="BC287" s="615">
        <v>4663144</v>
      </c>
      <c r="BD287" s="615">
        <v>4663144</v>
      </c>
      <c r="BE287" s="615">
        <v>4663144</v>
      </c>
      <c r="BF287" s="615">
        <v>4663144</v>
      </c>
      <c r="BG287" s="615">
        <v>4663144</v>
      </c>
      <c r="BH287" s="615">
        <v>4663144</v>
      </c>
      <c r="BI287" s="615">
        <v>4663144</v>
      </c>
      <c r="BJ287" s="615">
        <v>4663144</v>
      </c>
      <c r="BK287" s="615">
        <v>4663144</v>
      </c>
      <c r="BL287" s="615">
        <v>4663144</v>
      </c>
      <c r="BM287" s="615">
        <v>4663144</v>
      </c>
      <c r="BN287" s="615">
        <v>4663144</v>
      </c>
      <c r="BO287" s="615">
        <v>4663144</v>
      </c>
      <c r="BP287" s="615">
        <v>4663144</v>
      </c>
      <c r="BQ287" s="615">
        <v>4663144</v>
      </c>
      <c r="BR287" s="615">
        <v>4663144</v>
      </c>
      <c r="BS287" s="615">
        <v>4663144</v>
      </c>
      <c r="BT287" s="615">
        <v>4663142</v>
      </c>
      <c r="BU287" s="615">
        <v>370728750</v>
      </c>
      <c r="BV287" s="615">
        <v>0</v>
      </c>
      <c r="BW287" s="615">
        <v>0</v>
      </c>
      <c r="BX287" s="607">
        <f t="shared" si="11"/>
        <v>482627500</v>
      </c>
    </row>
    <row r="288" spans="1:76" s="612" customFormat="1" ht="12.95" customHeight="1" x14ac:dyDescent="0.2">
      <c r="A288" s="909"/>
      <c r="B288" s="611" t="s">
        <v>3502</v>
      </c>
      <c r="C288" s="641" t="s">
        <v>4362</v>
      </c>
      <c r="D288" s="615"/>
      <c r="E288" s="615"/>
      <c r="F288" s="615"/>
      <c r="G288" s="615"/>
      <c r="H288" s="585"/>
      <c r="I288" s="615"/>
      <c r="J288" s="615"/>
      <c r="K288" s="615"/>
      <c r="L288" s="615"/>
      <c r="M288" s="615"/>
      <c r="N288" s="615"/>
      <c r="O288" s="615"/>
      <c r="P288" s="615"/>
      <c r="Q288" s="615"/>
      <c r="R288" s="615"/>
      <c r="S288" s="615"/>
      <c r="T288" s="615"/>
      <c r="U288" s="615"/>
      <c r="V288" s="615"/>
      <c r="W288" s="615"/>
      <c r="X288" s="615"/>
      <c r="Y288" s="615">
        <v>0</v>
      </c>
      <c r="Z288" s="615">
        <v>0</v>
      </c>
      <c r="AA288" s="615">
        <v>0</v>
      </c>
      <c r="AB288" s="615">
        <v>0</v>
      </c>
      <c r="AC288" s="615">
        <v>0</v>
      </c>
      <c r="AD288" s="615">
        <v>0</v>
      </c>
      <c r="AE288" s="615">
        <v>0</v>
      </c>
      <c r="AF288" s="615">
        <v>0</v>
      </c>
      <c r="AG288" s="615">
        <v>0</v>
      </c>
      <c r="AH288" s="615">
        <v>0</v>
      </c>
      <c r="AI288" s="615">
        <v>0</v>
      </c>
      <c r="AJ288" s="615">
        <v>0</v>
      </c>
      <c r="AK288" s="615">
        <v>0</v>
      </c>
      <c r="AL288" s="615">
        <v>0</v>
      </c>
      <c r="AM288" s="615">
        <v>0</v>
      </c>
      <c r="AN288" s="615">
        <v>0</v>
      </c>
      <c r="AO288" s="615">
        <v>0</v>
      </c>
      <c r="AP288" s="615">
        <v>0</v>
      </c>
      <c r="AQ288" s="615">
        <v>0</v>
      </c>
      <c r="AR288" s="615">
        <v>0</v>
      </c>
      <c r="AS288" s="615">
        <v>0</v>
      </c>
      <c r="AT288" s="615">
        <v>0</v>
      </c>
      <c r="AU288" s="615">
        <v>0</v>
      </c>
      <c r="AV288" s="615">
        <v>0</v>
      </c>
      <c r="AW288" s="615">
        <v>6052895</v>
      </c>
      <c r="AX288" s="615">
        <v>6052913</v>
      </c>
      <c r="AY288" s="615">
        <v>6052913</v>
      </c>
      <c r="AZ288" s="615">
        <v>6052913</v>
      </c>
      <c r="BA288" s="615">
        <v>6052913</v>
      </c>
      <c r="BB288" s="615">
        <v>6052913</v>
      </c>
      <c r="BC288" s="615">
        <v>6052913</v>
      </c>
      <c r="BD288" s="615">
        <v>6052913</v>
      </c>
      <c r="BE288" s="615">
        <v>6052913</v>
      </c>
      <c r="BF288" s="615">
        <v>6052913</v>
      </c>
      <c r="BG288" s="615">
        <v>6052913</v>
      </c>
      <c r="BH288" s="615">
        <v>6052913</v>
      </c>
      <c r="BI288" s="615">
        <v>6052913</v>
      </c>
      <c r="BJ288" s="615">
        <v>6052913</v>
      </c>
      <c r="BK288" s="615">
        <v>6052913</v>
      </c>
      <c r="BL288" s="615">
        <v>6052913</v>
      </c>
      <c r="BM288" s="615">
        <v>6052913</v>
      </c>
      <c r="BN288" s="615">
        <v>6052913</v>
      </c>
      <c r="BO288" s="615">
        <v>6052913</v>
      </c>
      <c r="BP288" s="615">
        <v>6052913</v>
      </c>
      <c r="BQ288" s="615">
        <v>6052913</v>
      </c>
      <c r="BR288" s="615">
        <v>6052913</v>
      </c>
      <c r="BS288" s="615">
        <v>6052913</v>
      </c>
      <c r="BT288" s="615">
        <v>6052913</v>
      </c>
      <c r="BU288" s="615">
        <v>6052932</v>
      </c>
      <c r="BV288" s="615">
        <v>407279250</v>
      </c>
      <c r="BW288" s="615">
        <v>0</v>
      </c>
      <c r="BX288" s="607">
        <f t="shared" si="11"/>
        <v>558602076</v>
      </c>
    </row>
    <row r="289" spans="1:76" s="612" customFormat="1" ht="12.95" customHeight="1" x14ac:dyDescent="0.2">
      <c r="A289" s="909"/>
      <c r="B289" s="611" t="s">
        <v>2972</v>
      </c>
      <c r="C289" s="641" t="s">
        <v>2971</v>
      </c>
      <c r="D289" s="615"/>
      <c r="E289" s="615"/>
      <c r="F289" s="615"/>
      <c r="G289" s="615"/>
      <c r="H289" s="585"/>
      <c r="I289" s="615"/>
      <c r="J289" s="615"/>
      <c r="K289" s="615"/>
      <c r="L289" s="615"/>
      <c r="M289" s="615"/>
      <c r="N289" s="615"/>
      <c r="O289" s="615"/>
      <c r="P289" s="615"/>
      <c r="Q289" s="615"/>
      <c r="R289" s="615"/>
      <c r="S289" s="615"/>
      <c r="T289" s="615"/>
      <c r="U289" s="615"/>
      <c r="V289" s="615"/>
      <c r="W289" s="615"/>
      <c r="X289" s="615"/>
      <c r="Y289" s="615">
        <v>0</v>
      </c>
      <c r="Z289" s="615">
        <v>0</v>
      </c>
      <c r="AA289" s="615">
        <v>0</v>
      </c>
      <c r="AB289" s="615">
        <v>0</v>
      </c>
      <c r="AC289" s="615">
        <v>0</v>
      </c>
      <c r="AD289" s="615">
        <v>0</v>
      </c>
      <c r="AE289" s="615">
        <v>0</v>
      </c>
      <c r="AF289" s="615">
        <v>0</v>
      </c>
      <c r="AG289" s="615">
        <v>0</v>
      </c>
      <c r="AH289" s="615">
        <v>0</v>
      </c>
      <c r="AI289" s="615">
        <v>0</v>
      </c>
      <c r="AJ289" s="615">
        <v>0</v>
      </c>
      <c r="AK289" s="615">
        <v>0</v>
      </c>
      <c r="AL289" s="615">
        <v>0</v>
      </c>
      <c r="AM289" s="615">
        <v>0</v>
      </c>
      <c r="AN289" s="615">
        <v>0</v>
      </c>
      <c r="AO289" s="615">
        <v>0</v>
      </c>
      <c r="AP289" s="615">
        <v>0</v>
      </c>
      <c r="AQ289" s="615">
        <v>0</v>
      </c>
      <c r="AR289" s="615">
        <v>0</v>
      </c>
      <c r="AS289" s="615">
        <v>0</v>
      </c>
      <c r="AT289" s="615">
        <v>0</v>
      </c>
      <c r="AU289" s="615">
        <v>0</v>
      </c>
      <c r="AV289" s="615">
        <v>0</v>
      </c>
      <c r="AW289" s="615">
        <v>3359191</v>
      </c>
      <c r="AX289" s="615">
        <v>3359191</v>
      </c>
      <c r="AY289" s="615">
        <v>3359191</v>
      </c>
      <c r="AZ289" s="615">
        <v>3359191</v>
      </c>
      <c r="BA289" s="615">
        <v>3359191</v>
      </c>
      <c r="BB289" s="615">
        <v>3359191</v>
      </c>
      <c r="BC289" s="615">
        <v>3359191</v>
      </c>
      <c r="BD289" s="615">
        <v>3359191</v>
      </c>
      <c r="BE289" s="615">
        <v>3359191</v>
      </c>
      <c r="BF289" s="615">
        <v>3359191</v>
      </c>
      <c r="BG289" s="615">
        <v>3359191</v>
      </c>
      <c r="BH289" s="615">
        <v>3359191</v>
      </c>
      <c r="BI289" s="615">
        <v>3359191</v>
      </c>
      <c r="BJ289" s="615">
        <v>3359191</v>
      </c>
      <c r="BK289" s="615">
        <v>3359191</v>
      </c>
      <c r="BL289" s="615">
        <v>3359191</v>
      </c>
      <c r="BM289" s="615">
        <v>3359191</v>
      </c>
      <c r="BN289" s="615">
        <v>3359191</v>
      </c>
      <c r="BO289" s="615">
        <v>3359191</v>
      </c>
      <c r="BP289" s="615">
        <v>3359191</v>
      </c>
      <c r="BQ289" s="615">
        <v>3359191</v>
      </c>
      <c r="BR289" s="615">
        <v>3359191</v>
      </c>
      <c r="BS289" s="615">
        <v>3359191</v>
      </c>
      <c r="BT289" s="615">
        <v>3359191</v>
      </c>
      <c r="BU289" s="615">
        <v>3359197</v>
      </c>
      <c r="BV289" s="615">
        <v>278162500</v>
      </c>
      <c r="BW289" s="615">
        <v>0</v>
      </c>
      <c r="BX289" s="607">
        <f t="shared" si="11"/>
        <v>362142281</v>
      </c>
    </row>
    <row r="290" spans="1:76" s="612" customFormat="1" ht="12.95" customHeight="1" x14ac:dyDescent="0.2">
      <c r="A290" s="909"/>
      <c r="B290" s="611" t="s">
        <v>3496</v>
      </c>
      <c r="C290" s="641" t="s">
        <v>3495</v>
      </c>
      <c r="D290" s="615"/>
      <c r="E290" s="615"/>
      <c r="F290" s="615"/>
      <c r="G290" s="615"/>
      <c r="H290" s="585"/>
      <c r="I290" s="615"/>
      <c r="J290" s="615"/>
      <c r="K290" s="615"/>
      <c r="L290" s="615"/>
      <c r="M290" s="615"/>
      <c r="N290" s="615"/>
      <c r="O290" s="615"/>
      <c r="P290" s="615"/>
      <c r="Q290" s="615"/>
      <c r="R290" s="615"/>
      <c r="S290" s="615"/>
      <c r="T290" s="615"/>
      <c r="U290" s="615"/>
      <c r="V290" s="615"/>
      <c r="W290" s="615"/>
      <c r="X290" s="615"/>
      <c r="Y290" s="615">
        <v>0</v>
      </c>
      <c r="Z290" s="615">
        <v>0</v>
      </c>
      <c r="AA290" s="615">
        <v>0</v>
      </c>
      <c r="AB290" s="615">
        <v>0</v>
      </c>
      <c r="AC290" s="615">
        <v>0</v>
      </c>
      <c r="AD290" s="615">
        <v>0</v>
      </c>
      <c r="AE290" s="615">
        <v>0</v>
      </c>
      <c r="AF290" s="615">
        <v>0</v>
      </c>
      <c r="AG290" s="615">
        <v>0</v>
      </c>
      <c r="AH290" s="615">
        <v>0</v>
      </c>
      <c r="AI290" s="615">
        <v>0</v>
      </c>
      <c r="AJ290" s="615">
        <v>0</v>
      </c>
      <c r="AK290" s="615">
        <v>0</v>
      </c>
      <c r="AL290" s="615">
        <v>0</v>
      </c>
      <c r="AM290" s="615">
        <v>0</v>
      </c>
      <c r="AN290" s="615">
        <v>0</v>
      </c>
      <c r="AO290" s="615">
        <v>0</v>
      </c>
      <c r="AP290" s="615">
        <v>0</v>
      </c>
      <c r="AQ290" s="615">
        <v>0</v>
      </c>
      <c r="AR290" s="615">
        <v>0</v>
      </c>
      <c r="AS290" s="615">
        <v>0</v>
      </c>
      <c r="AT290" s="615">
        <v>0</v>
      </c>
      <c r="AU290" s="615">
        <v>0</v>
      </c>
      <c r="AV290" s="615">
        <v>0</v>
      </c>
      <c r="AW290" s="615">
        <v>0</v>
      </c>
      <c r="AX290" s="615">
        <v>4050000</v>
      </c>
      <c r="AY290" s="615">
        <v>4170000</v>
      </c>
      <c r="AZ290" s="615">
        <v>15000000</v>
      </c>
      <c r="BA290" s="615">
        <v>4170000</v>
      </c>
      <c r="BB290" s="615">
        <v>4170000</v>
      </c>
      <c r="BC290" s="615">
        <v>4170000</v>
      </c>
      <c r="BD290" s="615">
        <v>4170000</v>
      </c>
      <c r="BE290" s="615">
        <v>4170000</v>
      </c>
      <c r="BF290" s="615">
        <v>15000000</v>
      </c>
      <c r="BG290" s="615">
        <v>4170000</v>
      </c>
      <c r="BH290" s="615">
        <v>4170000</v>
      </c>
      <c r="BI290" s="615">
        <v>4170000</v>
      </c>
      <c r="BJ290" s="615">
        <v>4170000</v>
      </c>
      <c r="BK290" s="615">
        <v>4170000</v>
      </c>
      <c r="BL290" s="615">
        <v>15000000</v>
      </c>
      <c r="BM290" s="615">
        <v>4170000</v>
      </c>
      <c r="BN290" s="615">
        <v>4170000</v>
      </c>
      <c r="BO290" s="615">
        <v>4170000</v>
      </c>
      <c r="BP290" s="615">
        <v>4170000</v>
      </c>
      <c r="BQ290" s="615">
        <v>4170000</v>
      </c>
      <c r="BR290" s="615">
        <v>15000000</v>
      </c>
      <c r="BS290" s="615">
        <v>4170000</v>
      </c>
      <c r="BT290" s="615">
        <v>4170000</v>
      </c>
      <c r="BU290" s="615">
        <v>4139750</v>
      </c>
      <c r="BV290" s="615">
        <v>396782750</v>
      </c>
      <c r="BW290" s="615">
        <v>0</v>
      </c>
      <c r="BX290" s="607">
        <f t="shared" si="11"/>
        <v>540032500</v>
      </c>
    </row>
    <row r="291" spans="1:76" s="612" customFormat="1" ht="12.95" customHeight="1" x14ac:dyDescent="0.2">
      <c r="A291" s="909"/>
      <c r="B291" s="611" t="s">
        <v>3436</v>
      </c>
      <c r="C291" s="641" t="s">
        <v>3435</v>
      </c>
      <c r="D291" s="615"/>
      <c r="E291" s="615"/>
      <c r="F291" s="615"/>
      <c r="G291" s="615"/>
      <c r="H291" s="585"/>
      <c r="I291" s="615"/>
      <c r="J291" s="615"/>
      <c r="K291" s="615"/>
      <c r="L291" s="615"/>
      <c r="M291" s="615"/>
      <c r="N291" s="615"/>
      <c r="O291" s="615"/>
      <c r="P291" s="615"/>
      <c r="Q291" s="615"/>
      <c r="R291" s="615"/>
      <c r="S291" s="615"/>
      <c r="T291" s="615"/>
      <c r="U291" s="615"/>
      <c r="V291" s="615"/>
      <c r="W291" s="615"/>
      <c r="X291" s="615"/>
      <c r="Y291" s="615">
        <v>0</v>
      </c>
      <c r="Z291" s="615">
        <v>0</v>
      </c>
      <c r="AA291" s="615">
        <v>0</v>
      </c>
      <c r="AB291" s="615">
        <v>0</v>
      </c>
      <c r="AC291" s="615">
        <v>0</v>
      </c>
      <c r="AD291" s="615">
        <v>0</v>
      </c>
      <c r="AE291" s="615">
        <v>0</v>
      </c>
      <c r="AF291" s="615">
        <v>0</v>
      </c>
      <c r="AG291" s="615">
        <v>0</v>
      </c>
      <c r="AH291" s="615">
        <v>0</v>
      </c>
      <c r="AI291" s="615">
        <v>0</v>
      </c>
      <c r="AJ291" s="615">
        <v>0</v>
      </c>
      <c r="AK291" s="615">
        <v>0</v>
      </c>
      <c r="AL291" s="615">
        <v>0</v>
      </c>
      <c r="AM291" s="615">
        <v>0</v>
      </c>
      <c r="AN291" s="615">
        <v>0</v>
      </c>
      <c r="AO291" s="615">
        <v>0</v>
      </c>
      <c r="AP291" s="615">
        <v>0</v>
      </c>
      <c r="AQ291" s="615">
        <v>0</v>
      </c>
      <c r="AR291" s="615">
        <v>0</v>
      </c>
      <c r="AS291" s="615">
        <v>0</v>
      </c>
      <c r="AT291" s="615">
        <v>0</v>
      </c>
      <c r="AU291" s="615">
        <v>1</v>
      </c>
      <c r="AV291" s="615">
        <v>4318690</v>
      </c>
      <c r="AW291" s="615">
        <v>4318690</v>
      </c>
      <c r="AX291" s="615">
        <v>4318690</v>
      </c>
      <c r="AY291" s="615">
        <v>4318690</v>
      </c>
      <c r="AZ291" s="615">
        <v>4318690</v>
      </c>
      <c r="BA291" s="615">
        <v>4318690</v>
      </c>
      <c r="BB291" s="615">
        <v>4318690</v>
      </c>
      <c r="BC291" s="615">
        <v>4318690</v>
      </c>
      <c r="BD291" s="615">
        <v>4318690</v>
      </c>
      <c r="BE291" s="615">
        <v>4318690</v>
      </c>
      <c r="BF291" s="615">
        <v>4318690</v>
      </c>
      <c r="BG291" s="615">
        <v>4318690</v>
      </c>
      <c r="BH291" s="615">
        <v>4318690</v>
      </c>
      <c r="BI291" s="615">
        <v>4318690</v>
      </c>
      <c r="BJ291" s="615">
        <v>4318690</v>
      </c>
      <c r="BK291" s="615">
        <v>4318690</v>
      </c>
      <c r="BL291" s="615">
        <v>4318690</v>
      </c>
      <c r="BM291" s="615">
        <v>4318690</v>
      </c>
      <c r="BN291" s="615">
        <v>4318690</v>
      </c>
      <c r="BO291" s="615">
        <v>4318690</v>
      </c>
      <c r="BP291" s="615">
        <v>4318690</v>
      </c>
      <c r="BQ291" s="615">
        <v>4318690</v>
      </c>
      <c r="BR291" s="615">
        <v>4318690</v>
      </c>
      <c r="BS291" s="615">
        <v>4318690</v>
      </c>
      <c r="BT291" s="615">
        <v>4318690</v>
      </c>
      <c r="BU291" s="615">
        <v>4318680</v>
      </c>
      <c r="BV291" s="615">
        <v>303898000</v>
      </c>
      <c r="BW291" s="615">
        <v>0</v>
      </c>
      <c r="BX291" s="607">
        <f t="shared" si="11"/>
        <v>416183931</v>
      </c>
    </row>
    <row r="292" spans="1:76" s="612" customFormat="1" ht="12.95" customHeight="1" x14ac:dyDescent="0.2">
      <c r="A292" s="909"/>
      <c r="B292" s="611" t="s">
        <v>4284</v>
      </c>
      <c r="C292" s="641" t="s">
        <v>4283</v>
      </c>
      <c r="D292" s="615"/>
      <c r="E292" s="615"/>
      <c r="F292" s="615"/>
      <c r="G292" s="615"/>
      <c r="H292" s="585"/>
      <c r="I292" s="615"/>
      <c r="J292" s="615"/>
      <c r="K292" s="615"/>
      <c r="L292" s="615"/>
      <c r="M292" s="615"/>
      <c r="N292" s="615"/>
      <c r="O292" s="615"/>
      <c r="P292" s="615"/>
      <c r="Q292" s="615"/>
      <c r="R292" s="615"/>
      <c r="S292" s="615"/>
      <c r="T292" s="615"/>
      <c r="U292" s="615"/>
      <c r="V292" s="615"/>
      <c r="W292" s="615"/>
      <c r="X292" s="615"/>
      <c r="Y292" s="615">
        <v>0</v>
      </c>
      <c r="Z292" s="615">
        <v>0</v>
      </c>
      <c r="AA292" s="615">
        <v>0</v>
      </c>
      <c r="AB292" s="615">
        <v>0</v>
      </c>
      <c r="AC292" s="615">
        <v>0</v>
      </c>
      <c r="AD292" s="615">
        <v>0</v>
      </c>
      <c r="AE292" s="615">
        <v>0</v>
      </c>
      <c r="AF292" s="615">
        <v>0</v>
      </c>
      <c r="AG292" s="615">
        <v>0</v>
      </c>
      <c r="AH292" s="615">
        <v>0</v>
      </c>
      <c r="AI292" s="615">
        <v>0</v>
      </c>
      <c r="AJ292" s="615">
        <v>0</v>
      </c>
      <c r="AK292" s="615">
        <v>0</v>
      </c>
      <c r="AL292" s="615">
        <v>0</v>
      </c>
      <c r="AM292" s="615">
        <v>0</v>
      </c>
      <c r="AN292" s="615">
        <v>0</v>
      </c>
      <c r="AO292" s="615">
        <v>0</v>
      </c>
      <c r="AP292" s="615">
        <v>0</v>
      </c>
      <c r="AQ292" s="615">
        <v>0</v>
      </c>
      <c r="AR292" s="615">
        <v>0</v>
      </c>
      <c r="AS292" s="615">
        <v>0</v>
      </c>
      <c r="AT292" s="615">
        <v>0</v>
      </c>
      <c r="AU292" s="615">
        <v>0</v>
      </c>
      <c r="AV292" s="615">
        <v>0</v>
      </c>
      <c r="AW292" s="615">
        <v>4000000</v>
      </c>
      <c r="AX292" s="615">
        <v>4000000</v>
      </c>
      <c r="AY292" s="615">
        <v>4000000</v>
      </c>
      <c r="AZ292" s="615">
        <v>17000000</v>
      </c>
      <c r="BA292" s="615">
        <v>4000000</v>
      </c>
      <c r="BB292" s="615">
        <v>4000000</v>
      </c>
      <c r="BC292" s="615">
        <v>12000000</v>
      </c>
      <c r="BD292" s="615">
        <v>4000000</v>
      </c>
      <c r="BE292" s="615">
        <v>4000000</v>
      </c>
      <c r="BF292" s="615">
        <v>12000000</v>
      </c>
      <c r="BG292" s="615">
        <v>4000000</v>
      </c>
      <c r="BH292" s="615">
        <v>4000000</v>
      </c>
      <c r="BI292" s="615">
        <v>4000000</v>
      </c>
      <c r="BJ292" s="615">
        <v>4000000</v>
      </c>
      <c r="BK292" s="615">
        <v>10000000</v>
      </c>
      <c r="BL292" s="615">
        <v>4000000</v>
      </c>
      <c r="BM292" s="615">
        <v>4000000</v>
      </c>
      <c r="BN292" s="615">
        <v>12000000</v>
      </c>
      <c r="BO292" s="615">
        <v>4000000</v>
      </c>
      <c r="BP292" s="615">
        <v>4000000</v>
      </c>
      <c r="BQ292" s="615">
        <v>12000000</v>
      </c>
      <c r="BR292" s="615">
        <v>4000000</v>
      </c>
      <c r="BS292" s="615">
        <v>4000000</v>
      </c>
      <c r="BT292" s="615">
        <v>4000000</v>
      </c>
      <c r="BU292" s="615">
        <v>4000000</v>
      </c>
      <c r="BV292" s="615">
        <v>17569110</v>
      </c>
      <c r="BW292" s="615">
        <v>410837000</v>
      </c>
      <c r="BX292" s="607">
        <f t="shared" si="11"/>
        <v>579406110</v>
      </c>
    </row>
    <row r="293" spans="1:76" s="612" customFormat="1" ht="12.95" customHeight="1" x14ac:dyDescent="0.2">
      <c r="A293" s="909"/>
      <c r="B293" s="611" t="s">
        <v>4364</v>
      </c>
      <c r="C293" s="641" t="s">
        <v>4363</v>
      </c>
      <c r="D293" s="615"/>
      <c r="E293" s="615"/>
      <c r="F293" s="615"/>
      <c r="G293" s="615"/>
      <c r="H293" s="585"/>
      <c r="I293" s="615"/>
      <c r="J293" s="615"/>
      <c r="K293" s="615"/>
      <c r="L293" s="615"/>
      <c r="M293" s="615"/>
      <c r="N293" s="615"/>
      <c r="O293" s="615"/>
      <c r="P293" s="615"/>
      <c r="Q293" s="615"/>
      <c r="R293" s="615"/>
      <c r="S293" s="615"/>
      <c r="T293" s="615"/>
      <c r="U293" s="615"/>
      <c r="V293" s="615"/>
      <c r="W293" s="615"/>
      <c r="X293" s="615"/>
      <c r="Y293" s="615">
        <v>0</v>
      </c>
      <c r="Z293" s="615">
        <v>0</v>
      </c>
      <c r="AA293" s="615">
        <v>0</v>
      </c>
      <c r="AB293" s="615">
        <v>0</v>
      </c>
      <c r="AC293" s="615">
        <v>0</v>
      </c>
      <c r="AD293" s="615">
        <v>0</v>
      </c>
      <c r="AE293" s="615">
        <v>0</v>
      </c>
      <c r="AF293" s="615">
        <v>0</v>
      </c>
      <c r="AG293" s="615">
        <v>0</v>
      </c>
      <c r="AH293" s="615">
        <v>0</v>
      </c>
      <c r="AI293" s="615">
        <v>0</v>
      </c>
      <c r="AJ293" s="615">
        <v>0</v>
      </c>
      <c r="AK293" s="615">
        <v>0</v>
      </c>
      <c r="AL293" s="615">
        <v>0</v>
      </c>
      <c r="AM293" s="615">
        <v>0</v>
      </c>
      <c r="AN293" s="615">
        <v>0</v>
      </c>
      <c r="AO293" s="615">
        <v>0</v>
      </c>
      <c r="AP293" s="615">
        <v>0</v>
      </c>
      <c r="AQ293" s="615">
        <v>0</v>
      </c>
      <c r="AR293" s="615">
        <v>0</v>
      </c>
      <c r="AS293" s="615">
        <v>0</v>
      </c>
      <c r="AT293" s="615">
        <v>0</v>
      </c>
      <c r="AU293" s="615">
        <v>0</v>
      </c>
      <c r="AV293" s="615">
        <v>0</v>
      </c>
      <c r="AW293" s="615">
        <v>6836140</v>
      </c>
      <c r="AX293" s="615">
        <v>6836140</v>
      </c>
      <c r="AY293" s="615">
        <v>6836140</v>
      </c>
      <c r="AZ293" s="615">
        <v>6836140</v>
      </c>
      <c r="BA293" s="615">
        <v>6836140</v>
      </c>
      <c r="BB293" s="615">
        <v>6836140</v>
      </c>
      <c r="BC293" s="615">
        <v>6836140</v>
      </c>
      <c r="BD293" s="615">
        <v>6836140</v>
      </c>
      <c r="BE293" s="615">
        <v>6836140</v>
      </c>
      <c r="BF293" s="615">
        <v>6836140</v>
      </c>
      <c r="BG293" s="615">
        <v>6836140</v>
      </c>
      <c r="BH293" s="615">
        <v>6836140</v>
      </c>
      <c r="BI293" s="615">
        <v>6836140</v>
      </c>
      <c r="BJ293" s="615">
        <v>6836140</v>
      </c>
      <c r="BK293" s="615">
        <v>6836140</v>
      </c>
      <c r="BL293" s="615">
        <v>6836140</v>
      </c>
      <c r="BM293" s="615">
        <v>6836140</v>
      </c>
      <c r="BN293" s="615">
        <v>6836140</v>
      </c>
      <c r="BO293" s="615">
        <v>6836140</v>
      </c>
      <c r="BP293" s="615">
        <v>6836140</v>
      </c>
      <c r="BQ293" s="615">
        <v>6836140</v>
      </c>
      <c r="BR293" s="615">
        <v>6836140</v>
      </c>
      <c r="BS293" s="615">
        <v>6836140</v>
      </c>
      <c r="BT293" s="615">
        <v>6836140</v>
      </c>
      <c r="BU293" s="615">
        <v>6836140</v>
      </c>
      <c r="BV293" s="615">
        <v>410441500</v>
      </c>
      <c r="BW293" s="615">
        <v>0</v>
      </c>
      <c r="BX293" s="607">
        <f t="shared" si="11"/>
        <v>581345000</v>
      </c>
    </row>
    <row r="294" spans="1:76" s="612" customFormat="1" ht="12.95" customHeight="1" x14ac:dyDescent="0.2">
      <c r="A294" s="909"/>
      <c r="B294" s="611" t="s">
        <v>862</v>
      </c>
      <c r="C294" s="641" t="s">
        <v>2689</v>
      </c>
      <c r="D294" s="615"/>
      <c r="E294" s="615"/>
      <c r="F294" s="615"/>
      <c r="G294" s="615"/>
      <c r="H294" s="585"/>
      <c r="I294" s="615"/>
      <c r="J294" s="615"/>
      <c r="K294" s="615"/>
      <c r="L294" s="615"/>
      <c r="M294" s="615"/>
      <c r="N294" s="615"/>
      <c r="O294" s="615"/>
      <c r="P294" s="615"/>
      <c r="Q294" s="615"/>
      <c r="R294" s="615"/>
      <c r="S294" s="615"/>
      <c r="T294" s="615"/>
      <c r="U294" s="615"/>
      <c r="V294" s="615"/>
      <c r="W294" s="615"/>
      <c r="X294" s="615"/>
      <c r="Y294" s="615">
        <v>0</v>
      </c>
      <c r="Z294" s="615">
        <v>0</v>
      </c>
      <c r="AA294" s="615">
        <v>0</v>
      </c>
      <c r="AB294" s="615">
        <v>0</v>
      </c>
      <c r="AC294" s="615">
        <v>0</v>
      </c>
      <c r="AD294" s="615">
        <v>0</v>
      </c>
      <c r="AE294" s="615">
        <v>0</v>
      </c>
      <c r="AF294" s="615">
        <v>0</v>
      </c>
      <c r="AG294" s="615">
        <v>0</v>
      </c>
      <c r="AH294" s="615">
        <v>0</v>
      </c>
      <c r="AI294" s="615">
        <v>0</v>
      </c>
      <c r="AJ294" s="615">
        <v>0</v>
      </c>
      <c r="AK294" s="615">
        <v>0</v>
      </c>
      <c r="AL294" s="615">
        <v>0</v>
      </c>
      <c r="AM294" s="615">
        <v>0</v>
      </c>
      <c r="AN294" s="615">
        <v>0</v>
      </c>
      <c r="AO294" s="615">
        <v>0</v>
      </c>
      <c r="AP294" s="615">
        <v>0</v>
      </c>
      <c r="AQ294" s="615">
        <v>0</v>
      </c>
      <c r="AR294" s="615">
        <v>0</v>
      </c>
      <c r="AS294" s="615">
        <v>0</v>
      </c>
      <c r="AT294" s="615">
        <v>0</v>
      </c>
      <c r="AU294" s="615">
        <v>0</v>
      </c>
      <c r="AV294" s="615">
        <v>0</v>
      </c>
      <c r="AW294" s="615">
        <v>0</v>
      </c>
      <c r="AX294" s="615">
        <v>1200000</v>
      </c>
      <c r="AY294" s="615">
        <v>3200000</v>
      </c>
      <c r="AZ294" s="615">
        <v>3200000</v>
      </c>
      <c r="BA294" s="615">
        <v>3200000</v>
      </c>
      <c r="BB294" s="615">
        <v>3200000</v>
      </c>
      <c r="BC294" s="615">
        <v>3200000</v>
      </c>
      <c r="BD294" s="615">
        <v>3200000</v>
      </c>
      <c r="BE294" s="615">
        <v>3200000</v>
      </c>
      <c r="BF294" s="615">
        <v>3200000</v>
      </c>
      <c r="BG294" s="615">
        <v>3200000</v>
      </c>
      <c r="BH294" s="615">
        <v>3200000</v>
      </c>
      <c r="BI294" s="615">
        <v>3200000</v>
      </c>
      <c r="BJ294" s="615">
        <v>3200000</v>
      </c>
      <c r="BK294" s="615">
        <v>3200000</v>
      </c>
      <c r="BL294" s="615">
        <v>3200000</v>
      </c>
      <c r="BM294" s="615">
        <v>3200000</v>
      </c>
      <c r="BN294" s="615">
        <v>3200000</v>
      </c>
      <c r="BO294" s="615">
        <v>3200000</v>
      </c>
      <c r="BP294" s="615">
        <v>3200000</v>
      </c>
      <c r="BQ294" s="615">
        <v>3200000</v>
      </c>
      <c r="BR294" s="615">
        <v>3200000</v>
      </c>
      <c r="BS294" s="615">
        <v>3200000</v>
      </c>
      <c r="BT294" s="615">
        <v>3200000</v>
      </c>
      <c r="BU294" s="615">
        <v>3200000</v>
      </c>
      <c r="BV294" s="615">
        <v>273000000</v>
      </c>
      <c r="BW294" s="615">
        <v>0</v>
      </c>
      <c r="BX294" s="607">
        <f t="shared" si="11"/>
        <v>347800000</v>
      </c>
    </row>
    <row r="295" spans="1:76" s="612" customFormat="1" ht="12.95" customHeight="1" x14ac:dyDescent="0.2">
      <c r="A295" s="909"/>
      <c r="B295" s="611" t="s">
        <v>3498</v>
      </c>
      <c r="C295" s="641" t="s">
        <v>3497</v>
      </c>
      <c r="D295" s="615"/>
      <c r="E295" s="615"/>
      <c r="F295" s="615"/>
      <c r="G295" s="615"/>
      <c r="H295" s="585"/>
      <c r="I295" s="615"/>
      <c r="J295" s="615"/>
      <c r="K295" s="615"/>
      <c r="L295" s="615"/>
      <c r="M295" s="615"/>
      <c r="N295" s="615"/>
      <c r="O295" s="615"/>
      <c r="P295" s="615"/>
      <c r="Q295" s="615"/>
      <c r="R295" s="615"/>
      <c r="S295" s="615"/>
      <c r="T295" s="615"/>
      <c r="U295" s="615"/>
      <c r="V295" s="615"/>
      <c r="W295" s="615"/>
      <c r="X295" s="615"/>
      <c r="Y295" s="615">
        <v>0</v>
      </c>
      <c r="Z295" s="615">
        <v>0</v>
      </c>
      <c r="AA295" s="615">
        <v>0</v>
      </c>
      <c r="AB295" s="615">
        <v>0</v>
      </c>
      <c r="AC295" s="615">
        <v>0</v>
      </c>
      <c r="AD295" s="615">
        <v>0</v>
      </c>
      <c r="AE295" s="615">
        <v>0</v>
      </c>
      <c r="AF295" s="615">
        <v>0</v>
      </c>
      <c r="AG295" s="615">
        <v>0</v>
      </c>
      <c r="AH295" s="615">
        <v>0</v>
      </c>
      <c r="AI295" s="615">
        <v>0</v>
      </c>
      <c r="AJ295" s="615">
        <v>0</v>
      </c>
      <c r="AK295" s="615">
        <v>0</v>
      </c>
      <c r="AL295" s="615">
        <v>0</v>
      </c>
      <c r="AM295" s="615">
        <v>0</v>
      </c>
      <c r="AN295" s="615">
        <v>0</v>
      </c>
      <c r="AO295" s="615">
        <v>0</v>
      </c>
      <c r="AP295" s="615">
        <v>0</v>
      </c>
      <c r="AQ295" s="615">
        <v>0</v>
      </c>
      <c r="AR295" s="615">
        <v>0</v>
      </c>
      <c r="AS295" s="615">
        <v>0</v>
      </c>
      <c r="AT295" s="615">
        <v>0</v>
      </c>
      <c r="AU295" s="615">
        <v>5036</v>
      </c>
      <c r="AV295" s="615">
        <v>4974964</v>
      </c>
      <c r="AW295" s="615">
        <v>4974964</v>
      </c>
      <c r="AX295" s="615">
        <v>4974964</v>
      </c>
      <c r="AY295" s="615">
        <v>4974964</v>
      </c>
      <c r="AZ295" s="615">
        <v>4974964</v>
      </c>
      <c r="BA295" s="615">
        <v>4974964</v>
      </c>
      <c r="BB295" s="615">
        <v>4974964</v>
      </c>
      <c r="BC295" s="615">
        <v>4974964</v>
      </c>
      <c r="BD295" s="615">
        <v>4974964</v>
      </c>
      <c r="BE295" s="615">
        <v>4974964</v>
      </c>
      <c r="BF295" s="615">
        <v>4974964</v>
      </c>
      <c r="BG295" s="615">
        <v>4974964</v>
      </c>
      <c r="BH295" s="615">
        <v>4974964</v>
      </c>
      <c r="BI295" s="615">
        <v>4974964</v>
      </c>
      <c r="BJ295" s="615">
        <v>4974964</v>
      </c>
      <c r="BK295" s="615">
        <v>4974964</v>
      </c>
      <c r="BL295" s="615">
        <v>4974964</v>
      </c>
      <c r="BM295" s="615">
        <v>4974964</v>
      </c>
      <c r="BN295" s="615">
        <v>4974964</v>
      </c>
      <c r="BO295" s="615">
        <v>4974964</v>
      </c>
      <c r="BP295" s="615">
        <v>4974964</v>
      </c>
      <c r="BQ295" s="615">
        <v>4974964</v>
      </c>
      <c r="BR295" s="615">
        <v>4974964</v>
      </c>
      <c r="BS295" s="615">
        <v>4974964</v>
      </c>
      <c r="BT295" s="615">
        <v>4974964</v>
      </c>
      <c r="BU295" s="615">
        <v>4974972</v>
      </c>
      <c r="BV295" s="615">
        <v>395031000</v>
      </c>
      <c r="BW295" s="615">
        <v>0</v>
      </c>
      <c r="BX295" s="607">
        <f t="shared" si="11"/>
        <v>524385108</v>
      </c>
    </row>
    <row r="296" spans="1:76" s="612" customFormat="1" ht="12.95" customHeight="1" x14ac:dyDescent="0.2">
      <c r="A296" s="909"/>
      <c r="B296" s="611" t="s">
        <v>2691</v>
      </c>
      <c r="C296" s="641" t="s">
        <v>2690</v>
      </c>
      <c r="D296" s="615"/>
      <c r="E296" s="615"/>
      <c r="F296" s="615"/>
      <c r="G296" s="615"/>
      <c r="H296" s="585"/>
      <c r="I296" s="615"/>
      <c r="J296" s="615"/>
      <c r="K296" s="615"/>
      <c r="L296" s="615"/>
      <c r="M296" s="615"/>
      <c r="N296" s="615"/>
      <c r="O296" s="615"/>
      <c r="P296" s="615"/>
      <c r="Q296" s="615"/>
      <c r="R296" s="615"/>
      <c r="S296" s="615"/>
      <c r="T296" s="615"/>
      <c r="U296" s="615"/>
      <c r="V296" s="615"/>
      <c r="W296" s="615"/>
      <c r="X296" s="615"/>
      <c r="Y296" s="615">
        <v>0</v>
      </c>
      <c r="Z296" s="615">
        <v>0</v>
      </c>
      <c r="AA296" s="615">
        <v>0</v>
      </c>
      <c r="AB296" s="615">
        <v>0</v>
      </c>
      <c r="AC296" s="615">
        <v>0</v>
      </c>
      <c r="AD296" s="615">
        <v>0</v>
      </c>
      <c r="AE296" s="615">
        <v>0</v>
      </c>
      <c r="AF296" s="615">
        <v>0</v>
      </c>
      <c r="AG296" s="615">
        <v>0</v>
      </c>
      <c r="AH296" s="615">
        <v>0</v>
      </c>
      <c r="AI296" s="615">
        <v>0</v>
      </c>
      <c r="AJ296" s="615">
        <v>0</v>
      </c>
      <c r="AK296" s="615">
        <v>0</v>
      </c>
      <c r="AL296" s="615">
        <v>0</v>
      </c>
      <c r="AM296" s="615">
        <v>0</v>
      </c>
      <c r="AN296" s="615">
        <v>0</v>
      </c>
      <c r="AO296" s="615">
        <v>0</v>
      </c>
      <c r="AP296" s="615">
        <v>0</v>
      </c>
      <c r="AQ296" s="615">
        <v>0</v>
      </c>
      <c r="AR296" s="615">
        <v>0</v>
      </c>
      <c r="AS296" s="615">
        <v>0</v>
      </c>
      <c r="AT296" s="615">
        <v>0</v>
      </c>
      <c r="AU296" s="615">
        <v>0</v>
      </c>
      <c r="AV296" s="615">
        <v>0</v>
      </c>
      <c r="AW296" s="615">
        <v>1547809</v>
      </c>
      <c r="AX296" s="615">
        <v>1550000</v>
      </c>
      <c r="AY296" s="615">
        <v>1550000</v>
      </c>
      <c r="AZ296" s="615">
        <v>46600000</v>
      </c>
      <c r="BA296" s="615">
        <v>1550000</v>
      </c>
      <c r="BB296" s="615">
        <v>1550000</v>
      </c>
      <c r="BC296" s="615">
        <v>1550000</v>
      </c>
      <c r="BD296" s="615">
        <v>1550000</v>
      </c>
      <c r="BE296" s="615">
        <v>1550000</v>
      </c>
      <c r="BF296" s="615">
        <v>1550000</v>
      </c>
      <c r="BG296" s="615">
        <v>1550000</v>
      </c>
      <c r="BH296" s="615">
        <v>1550000</v>
      </c>
      <c r="BI296" s="615">
        <v>1550000</v>
      </c>
      <c r="BJ296" s="615">
        <v>1550000</v>
      </c>
      <c r="BK296" s="615">
        <v>1550000</v>
      </c>
      <c r="BL296" s="615">
        <v>1550000</v>
      </c>
      <c r="BM296" s="615">
        <v>1550000</v>
      </c>
      <c r="BN296" s="615">
        <v>1550000</v>
      </c>
      <c r="BO296" s="615">
        <v>1550000</v>
      </c>
      <c r="BP296" s="615">
        <v>1550000</v>
      </c>
      <c r="BQ296" s="615">
        <v>1550000</v>
      </c>
      <c r="BR296" s="615">
        <v>1550000</v>
      </c>
      <c r="BS296" s="615">
        <v>1550000</v>
      </c>
      <c r="BT296" s="615">
        <v>1550000</v>
      </c>
      <c r="BU296" s="615">
        <v>3960000</v>
      </c>
      <c r="BV296" s="615">
        <v>272440000</v>
      </c>
      <c r="BW296" s="615">
        <v>0</v>
      </c>
      <c r="BX296" s="607">
        <f t="shared" si="11"/>
        <v>358647809</v>
      </c>
    </row>
    <row r="297" spans="1:76" s="612" customFormat="1" ht="12.95" customHeight="1" x14ac:dyDescent="0.2">
      <c r="A297" s="909"/>
      <c r="B297" s="611" t="s">
        <v>2974</v>
      </c>
      <c r="C297" s="641" t="s">
        <v>2973</v>
      </c>
      <c r="D297" s="615"/>
      <c r="E297" s="615"/>
      <c r="F297" s="615"/>
      <c r="G297" s="615"/>
      <c r="H297" s="585"/>
      <c r="I297" s="615"/>
      <c r="J297" s="615"/>
      <c r="K297" s="615"/>
      <c r="L297" s="615"/>
      <c r="M297" s="615"/>
      <c r="N297" s="615"/>
      <c r="O297" s="615"/>
      <c r="P297" s="615"/>
      <c r="Q297" s="615"/>
      <c r="R297" s="615"/>
      <c r="S297" s="615"/>
      <c r="T297" s="615"/>
      <c r="U297" s="615"/>
      <c r="V297" s="615"/>
      <c r="W297" s="615"/>
      <c r="X297" s="615"/>
      <c r="Y297" s="615">
        <v>0</v>
      </c>
      <c r="Z297" s="615">
        <v>0</v>
      </c>
      <c r="AA297" s="615">
        <v>0</v>
      </c>
      <c r="AB297" s="615">
        <v>0</v>
      </c>
      <c r="AC297" s="615">
        <v>0</v>
      </c>
      <c r="AD297" s="615">
        <v>0</v>
      </c>
      <c r="AE297" s="615">
        <v>0</v>
      </c>
      <c r="AF297" s="615">
        <v>0</v>
      </c>
      <c r="AG297" s="615">
        <v>0</v>
      </c>
      <c r="AH297" s="615">
        <v>0</v>
      </c>
      <c r="AI297" s="615">
        <v>0</v>
      </c>
      <c r="AJ297" s="615">
        <v>0</v>
      </c>
      <c r="AK297" s="615">
        <v>0</v>
      </c>
      <c r="AL297" s="615">
        <v>0</v>
      </c>
      <c r="AM297" s="615">
        <v>0</v>
      </c>
      <c r="AN297" s="615">
        <v>0</v>
      </c>
      <c r="AO297" s="615">
        <v>0</v>
      </c>
      <c r="AP297" s="615">
        <v>0</v>
      </c>
      <c r="AQ297" s="615">
        <v>0</v>
      </c>
      <c r="AR297" s="615">
        <v>0</v>
      </c>
      <c r="AS297" s="615">
        <v>0</v>
      </c>
      <c r="AT297" s="615">
        <v>0</v>
      </c>
      <c r="AU297" s="615">
        <v>0</v>
      </c>
      <c r="AV297" s="615">
        <v>0</v>
      </c>
      <c r="AW297" s="615">
        <v>4402509</v>
      </c>
      <c r="AX297" s="615">
        <v>4402571</v>
      </c>
      <c r="AY297" s="615">
        <v>4402571</v>
      </c>
      <c r="AZ297" s="615">
        <v>4402571</v>
      </c>
      <c r="BA297" s="615">
        <v>4402571</v>
      </c>
      <c r="BB297" s="615">
        <v>4402571</v>
      </c>
      <c r="BC297" s="615">
        <v>4402571</v>
      </c>
      <c r="BD297" s="615">
        <v>4402571</v>
      </c>
      <c r="BE297" s="615">
        <v>4402571</v>
      </c>
      <c r="BF297" s="615">
        <v>4402571</v>
      </c>
      <c r="BG297" s="615">
        <v>4402571</v>
      </c>
      <c r="BH297" s="615">
        <v>4402571</v>
      </c>
      <c r="BI297" s="615">
        <v>4402571</v>
      </c>
      <c r="BJ297" s="615">
        <v>4402571</v>
      </c>
      <c r="BK297" s="615">
        <v>4402571</v>
      </c>
      <c r="BL297" s="615">
        <v>4402571</v>
      </c>
      <c r="BM297" s="615">
        <v>4402571</v>
      </c>
      <c r="BN297" s="615">
        <v>4402571</v>
      </c>
      <c r="BO297" s="615">
        <v>4402571</v>
      </c>
      <c r="BP297" s="615">
        <v>4402571</v>
      </c>
      <c r="BQ297" s="615">
        <v>4402571</v>
      </c>
      <c r="BR297" s="615">
        <v>4402571</v>
      </c>
      <c r="BS297" s="615">
        <v>4402571</v>
      </c>
      <c r="BT297" s="615">
        <v>4402571</v>
      </c>
      <c r="BU297" s="615">
        <v>4402586</v>
      </c>
      <c r="BV297" s="615">
        <v>371210000</v>
      </c>
      <c r="BW297" s="615">
        <v>0</v>
      </c>
      <c r="BX297" s="607">
        <f t="shared" si="11"/>
        <v>481274228</v>
      </c>
    </row>
    <row r="298" spans="1:76" s="612" customFormat="1" ht="12.95" customHeight="1" x14ac:dyDescent="0.2">
      <c r="A298" s="909"/>
      <c r="B298" s="611" t="s">
        <v>2976</v>
      </c>
      <c r="C298" s="641" t="s">
        <v>2975</v>
      </c>
      <c r="D298" s="615"/>
      <c r="E298" s="615"/>
      <c r="F298" s="615"/>
      <c r="G298" s="615"/>
      <c r="H298" s="585"/>
      <c r="I298" s="615"/>
      <c r="J298" s="615"/>
      <c r="K298" s="615"/>
      <c r="L298" s="615"/>
      <c r="M298" s="615"/>
      <c r="N298" s="615"/>
      <c r="O298" s="615"/>
      <c r="P298" s="615"/>
      <c r="Q298" s="615"/>
      <c r="R298" s="615"/>
      <c r="S298" s="615"/>
      <c r="T298" s="615"/>
      <c r="U298" s="615"/>
      <c r="V298" s="615"/>
      <c r="W298" s="615"/>
      <c r="X298" s="615"/>
      <c r="Y298" s="615">
        <v>0</v>
      </c>
      <c r="Z298" s="615">
        <v>0</v>
      </c>
      <c r="AA298" s="615">
        <v>0</v>
      </c>
      <c r="AB298" s="615">
        <v>0</v>
      </c>
      <c r="AC298" s="615">
        <v>0</v>
      </c>
      <c r="AD298" s="615">
        <v>0</v>
      </c>
      <c r="AE298" s="615">
        <v>0</v>
      </c>
      <c r="AF298" s="615">
        <v>0</v>
      </c>
      <c r="AG298" s="615">
        <v>0</v>
      </c>
      <c r="AH298" s="615">
        <v>0</v>
      </c>
      <c r="AI298" s="615">
        <v>0</v>
      </c>
      <c r="AJ298" s="615">
        <v>0</v>
      </c>
      <c r="AK298" s="615">
        <v>0</v>
      </c>
      <c r="AL298" s="615">
        <v>0</v>
      </c>
      <c r="AM298" s="615">
        <v>0</v>
      </c>
      <c r="AN298" s="615">
        <v>0</v>
      </c>
      <c r="AO298" s="615">
        <v>0</v>
      </c>
      <c r="AP298" s="615">
        <v>0</v>
      </c>
      <c r="AQ298" s="615">
        <v>0</v>
      </c>
      <c r="AR298" s="615">
        <v>0</v>
      </c>
      <c r="AS298" s="615">
        <v>0</v>
      </c>
      <c r="AT298" s="615">
        <v>0</v>
      </c>
      <c r="AU298" s="615">
        <v>0</v>
      </c>
      <c r="AV298" s="615">
        <v>0</v>
      </c>
      <c r="AW298" s="615">
        <v>3290000</v>
      </c>
      <c r="AX298" s="615">
        <v>3290000</v>
      </c>
      <c r="AY298" s="615">
        <v>3290000</v>
      </c>
      <c r="AZ298" s="615">
        <v>3290000</v>
      </c>
      <c r="BA298" s="615">
        <v>3290000</v>
      </c>
      <c r="BB298" s="615">
        <v>3290000</v>
      </c>
      <c r="BC298" s="615">
        <v>3290000</v>
      </c>
      <c r="BD298" s="615">
        <v>3290000</v>
      </c>
      <c r="BE298" s="615">
        <v>3290000</v>
      </c>
      <c r="BF298" s="615">
        <v>3290000</v>
      </c>
      <c r="BG298" s="615">
        <v>3290000</v>
      </c>
      <c r="BH298" s="615">
        <v>3290000</v>
      </c>
      <c r="BI298" s="615">
        <v>3290000</v>
      </c>
      <c r="BJ298" s="615">
        <v>3290000</v>
      </c>
      <c r="BK298" s="615">
        <v>3290000</v>
      </c>
      <c r="BL298" s="615">
        <v>3290000</v>
      </c>
      <c r="BM298" s="615">
        <v>3290000</v>
      </c>
      <c r="BN298" s="615">
        <v>3290000</v>
      </c>
      <c r="BO298" s="615">
        <v>3290000</v>
      </c>
      <c r="BP298" s="615">
        <v>3290000</v>
      </c>
      <c r="BQ298" s="615">
        <v>3290000</v>
      </c>
      <c r="BR298" s="615">
        <v>3290000</v>
      </c>
      <c r="BS298" s="615">
        <v>3290000</v>
      </c>
      <c r="BT298" s="615">
        <v>3290000</v>
      </c>
      <c r="BU298" s="615">
        <v>3290000</v>
      </c>
      <c r="BV298" s="615">
        <v>273350000</v>
      </c>
      <c r="BW298" s="615">
        <v>0</v>
      </c>
      <c r="BX298" s="607">
        <f t="shared" si="11"/>
        <v>355600000</v>
      </c>
    </row>
    <row r="299" spans="1:76" s="612" customFormat="1" ht="12.95" customHeight="1" x14ac:dyDescent="0.2">
      <c r="A299" s="909"/>
      <c r="B299" s="611" t="s">
        <v>2693</v>
      </c>
      <c r="C299" s="641" t="s">
        <v>2692</v>
      </c>
      <c r="D299" s="615"/>
      <c r="E299" s="615"/>
      <c r="F299" s="615"/>
      <c r="G299" s="615"/>
      <c r="H299" s="585"/>
      <c r="I299" s="615"/>
      <c r="J299" s="615"/>
      <c r="K299" s="615"/>
      <c r="L299" s="615"/>
      <c r="M299" s="615"/>
      <c r="N299" s="615"/>
      <c r="O299" s="615"/>
      <c r="P299" s="615"/>
      <c r="Q299" s="615"/>
      <c r="R299" s="615"/>
      <c r="S299" s="615"/>
      <c r="T299" s="615"/>
      <c r="U299" s="615"/>
      <c r="V299" s="615"/>
      <c r="W299" s="615"/>
      <c r="X299" s="615"/>
      <c r="Y299" s="615">
        <v>0</v>
      </c>
      <c r="Z299" s="615">
        <v>0</v>
      </c>
      <c r="AA299" s="615">
        <v>0</v>
      </c>
      <c r="AB299" s="615">
        <v>0</v>
      </c>
      <c r="AC299" s="615">
        <v>0</v>
      </c>
      <c r="AD299" s="615">
        <v>0</v>
      </c>
      <c r="AE299" s="615">
        <v>0</v>
      </c>
      <c r="AF299" s="615">
        <v>0</v>
      </c>
      <c r="AG299" s="615">
        <v>0</v>
      </c>
      <c r="AH299" s="615">
        <v>0</v>
      </c>
      <c r="AI299" s="615">
        <v>0</v>
      </c>
      <c r="AJ299" s="615">
        <v>0</v>
      </c>
      <c r="AK299" s="615">
        <v>0</v>
      </c>
      <c r="AL299" s="615">
        <v>0</v>
      </c>
      <c r="AM299" s="615">
        <v>0</v>
      </c>
      <c r="AN299" s="615">
        <v>0</v>
      </c>
      <c r="AO299" s="615">
        <v>0</v>
      </c>
      <c r="AP299" s="615">
        <v>0</v>
      </c>
      <c r="AQ299" s="615">
        <v>0</v>
      </c>
      <c r="AR299" s="615">
        <v>0</v>
      </c>
      <c r="AS299" s="615">
        <v>0</v>
      </c>
      <c r="AT299" s="615">
        <v>0</v>
      </c>
      <c r="AU299" s="615">
        <v>0</v>
      </c>
      <c r="AV299" s="615">
        <v>1932786</v>
      </c>
      <c r="AW299" s="615">
        <v>1932786</v>
      </c>
      <c r="AX299" s="615">
        <v>1932786</v>
      </c>
      <c r="AY299" s="615">
        <v>1932786</v>
      </c>
      <c r="AZ299" s="615">
        <v>6000000</v>
      </c>
      <c r="BA299" s="615">
        <v>1932786</v>
      </c>
      <c r="BB299" s="615">
        <v>1932786</v>
      </c>
      <c r="BC299" s="615">
        <v>1932786</v>
      </c>
      <c r="BD299" s="615">
        <v>30000000</v>
      </c>
      <c r="BE299" s="615">
        <v>1932786</v>
      </c>
      <c r="BF299" s="615">
        <v>6000000</v>
      </c>
      <c r="BG299" s="615">
        <v>1932786</v>
      </c>
      <c r="BH299" s="615">
        <v>1932786</v>
      </c>
      <c r="BI299" s="615">
        <v>1932786</v>
      </c>
      <c r="BJ299" s="615">
        <v>1932786</v>
      </c>
      <c r="BK299" s="615">
        <v>1932786</v>
      </c>
      <c r="BL299" s="615">
        <v>6000000</v>
      </c>
      <c r="BM299" s="615">
        <v>1932786</v>
      </c>
      <c r="BN299" s="615">
        <v>1932786</v>
      </c>
      <c r="BO299" s="615">
        <v>1932786</v>
      </c>
      <c r="BP299" s="615">
        <v>1932786</v>
      </c>
      <c r="BQ299" s="615">
        <v>1932786</v>
      </c>
      <c r="BR299" s="615">
        <v>6000000</v>
      </c>
      <c r="BS299" s="615">
        <v>1932786</v>
      </c>
      <c r="BT299" s="615">
        <v>1932786</v>
      </c>
      <c r="BU299" s="615">
        <v>4932778</v>
      </c>
      <c r="BV299" s="615">
        <v>354942000</v>
      </c>
      <c r="BW299" s="615">
        <v>0</v>
      </c>
      <c r="BX299" s="607">
        <f t="shared" si="11"/>
        <v>452530498</v>
      </c>
    </row>
    <row r="300" spans="1:76" s="612" customFormat="1" ht="12.95" customHeight="1" x14ac:dyDescent="0.2">
      <c r="A300" s="909"/>
      <c r="B300" s="611" t="s">
        <v>2695</v>
      </c>
      <c r="C300" s="641" t="s">
        <v>2694</v>
      </c>
      <c r="D300" s="615"/>
      <c r="E300" s="615"/>
      <c r="F300" s="615"/>
      <c r="G300" s="615"/>
      <c r="H300" s="585"/>
      <c r="I300" s="615"/>
      <c r="J300" s="615"/>
      <c r="K300" s="615"/>
      <c r="L300" s="615"/>
      <c r="M300" s="615"/>
      <c r="N300" s="615"/>
      <c r="O300" s="615"/>
      <c r="P300" s="615"/>
      <c r="Q300" s="615"/>
      <c r="R300" s="615"/>
      <c r="S300" s="615"/>
      <c r="T300" s="615"/>
      <c r="U300" s="615"/>
      <c r="V300" s="615"/>
      <c r="W300" s="615"/>
      <c r="X300" s="615"/>
      <c r="Y300" s="615">
        <v>0</v>
      </c>
      <c r="Z300" s="615">
        <v>0</v>
      </c>
      <c r="AA300" s="615">
        <v>0</v>
      </c>
      <c r="AB300" s="615">
        <v>0</v>
      </c>
      <c r="AC300" s="615">
        <v>0</v>
      </c>
      <c r="AD300" s="615">
        <v>0</v>
      </c>
      <c r="AE300" s="615">
        <v>0</v>
      </c>
      <c r="AF300" s="615">
        <v>0</v>
      </c>
      <c r="AG300" s="615">
        <v>0</v>
      </c>
      <c r="AH300" s="615">
        <v>0</v>
      </c>
      <c r="AI300" s="615">
        <v>0</v>
      </c>
      <c r="AJ300" s="615">
        <v>0</v>
      </c>
      <c r="AK300" s="615">
        <v>0</v>
      </c>
      <c r="AL300" s="615">
        <v>0</v>
      </c>
      <c r="AM300" s="615">
        <v>0</v>
      </c>
      <c r="AN300" s="615">
        <v>0</v>
      </c>
      <c r="AO300" s="615">
        <v>0</v>
      </c>
      <c r="AP300" s="615">
        <v>0</v>
      </c>
      <c r="AQ300" s="615">
        <v>0</v>
      </c>
      <c r="AR300" s="615">
        <v>0</v>
      </c>
      <c r="AS300" s="615">
        <v>0</v>
      </c>
      <c r="AT300" s="615">
        <v>0</v>
      </c>
      <c r="AU300" s="615">
        <v>0</v>
      </c>
      <c r="AV300" s="615">
        <v>0</v>
      </c>
      <c r="AW300" s="615">
        <v>3078881</v>
      </c>
      <c r="AX300" s="615">
        <v>3240000</v>
      </c>
      <c r="AY300" s="615">
        <v>3240000</v>
      </c>
      <c r="AZ300" s="615">
        <v>3240000</v>
      </c>
      <c r="BA300" s="615">
        <v>3240000</v>
      </c>
      <c r="BB300" s="615">
        <v>3240000</v>
      </c>
      <c r="BC300" s="615">
        <v>3240000</v>
      </c>
      <c r="BD300" s="615">
        <v>3240000</v>
      </c>
      <c r="BE300" s="615">
        <v>3240000</v>
      </c>
      <c r="BF300" s="615">
        <v>3240000</v>
      </c>
      <c r="BG300" s="615">
        <v>3240000</v>
      </c>
      <c r="BH300" s="615">
        <v>3240000</v>
      </c>
      <c r="BI300" s="615">
        <v>3240000</v>
      </c>
      <c r="BJ300" s="615">
        <v>3240000</v>
      </c>
      <c r="BK300" s="615">
        <v>3240000</v>
      </c>
      <c r="BL300" s="615">
        <v>3240000</v>
      </c>
      <c r="BM300" s="615">
        <v>3240000</v>
      </c>
      <c r="BN300" s="615">
        <v>3240000</v>
      </c>
      <c r="BO300" s="615">
        <v>3240000</v>
      </c>
      <c r="BP300" s="615">
        <v>3240000</v>
      </c>
      <c r="BQ300" s="615">
        <v>3240000</v>
      </c>
      <c r="BR300" s="615">
        <v>3240000</v>
      </c>
      <c r="BS300" s="615">
        <v>3240000</v>
      </c>
      <c r="BT300" s="615">
        <v>3240000</v>
      </c>
      <c r="BU300" s="615">
        <v>3240000</v>
      </c>
      <c r="BV300" s="615">
        <v>240819543</v>
      </c>
      <c r="BW300" s="615">
        <v>0</v>
      </c>
      <c r="BX300" s="607">
        <f t="shared" si="11"/>
        <v>321658424</v>
      </c>
    </row>
    <row r="301" spans="1:76" s="612" customFormat="1" ht="12.95" customHeight="1" x14ac:dyDescent="0.2">
      <c r="A301" s="909"/>
      <c r="B301" s="611" t="s">
        <v>3141</v>
      </c>
      <c r="C301" s="641" t="s">
        <v>3140</v>
      </c>
      <c r="D301" s="615"/>
      <c r="E301" s="615"/>
      <c r="F301" s="615"/>
      <c r="G301" s="615"/>
      <c r="H301" s="585"/>
      <c r="I301" s="615"/>
      <c r="J301" s="615"/>
      <c r="K301" s="615"/>
      <c r="L301" s="615"/>
      <c r="M301" s="615"/>
      <c r="N301" s="615"/>
      <c r="O301" s="615"/>
      <c r="P301" s="615"/>
      <c r="Q301" s="615"/>
      <c r="R301" s="615"/>
      <c r="S301" s="615"/>
      <c r="T301" s="615"/>
      <c r="U301" s="615"/>
      <c r="V301" s="615"/>
      <c r="W301" s="615"/>
      <c r="X301" s="615"/>
      <c r="Y301" s="615">
        <v>0</v>
      </c>
      <c r="Z301" s="615">
        <v>0</v>
      </c>
      <c r="AA301" s="615">
        <v>0</v>
      </c>
      <c r="AB301" s="615">
        <v>0</v>
      </c>
      <c r="AC301" s="615">
        <v>0</v>
      </c>
      <c r="AD301" s="615">
        <v>0</v>
      </c>
      <c r="AE301" s="615">
        <v>0</v>
      </c>
      <c r="AF301" s="615">
        <v>0</v>
      </c>
      <c r="AG301" s="615">
        <v>0</v>
      </c>
      <c r="AH301" s="615">
        <v>0</v>
      </c>
      <c r="AI301" s="615">
        <v>0</v>
      </c>
      <c r="AJ301" s="615">
        <v>0</v>
      </c>
      <c r="AK301" s="615">
        <v>0</v>
      </c>
      <c r="AL301" s="615">
        <v>0</v>
      </c>
      <c r="AM301" s="615">
        <v>0</v>
      </c>
      <c r="AN301" s="615">
        <v>0</v>
      </c>
      <c r="AO301" s="615">
        <v>0</v>
      </c>
      <c r="AP301" s="615">
        <v>0</v>
      </c>
      <c r="AQ301" s="615">
        <v>0</v>
      </c>
      <c r="AR301" s="615">
        <v>14471</v>
      </c>
      <c r="AS301" s="615">
        <v>4406857</v>
      </c>
      <c r="AT301" s="615">
        <v>4406857</v>
      </c>
      <c r="AU301" s="615">
        <v>4406857</v>
      </c>
      <c r="AV301" s="615">
        <v>4406857</v>
      </c>
      <c r="AW301" s="615">
        <v>4406857</v>
      </c>
      <c r="AX301" s="615">
        <v>4406857</v>
      </c>
      <c r="AY301" s="615">
        <v>4406857</v>
      </c>
      <c r="AZ301" s="615">
        <v>4406857</v>
      </c>
      <c r="BA301" s="615">
        <v>4406857</v>
      </c>
      <c r="BB301" s="615">
        <v>4406857</v>
      </c>
      <c r="BC301" s="615">
        <v>4406857</v>
      </c>
      <c r="BD301" s="615">
        <v>4406857</v>
      </c>
      <c r="BE301" s="615">
        <v>4406857</v>
      </c>
      <c r="BF301" s="615">
        <v>4406857</v>
      </c>
      <c r="BG301" s="615">
        <v>4406857</v>
      </c>
      <c r="BH301" s="615">
        <v>4406857</v>
      </c>
      <c r="BI301" s="615">
        <v>4406857</v>
      </c>
      <c r="BJ301" s="615">
        <v>4406857</v>
      </c>
      <c r="BK301" s="615">
        <v>4406857</v>
      </c>
      <c r="BL301" s="615">
        <v>4406857</v>
      </c>
      <c r="BM301" s="615">
        <v>4406857</v>
      </c>
      <c r="BN301" s="615">
        <v>4406857</v>
      </c>
      <c r="BO301" s="615">
        <v>4406857</v>
      </c>
      <c r="BP301" s="615">
        <v>4406857</v>
      </c>
      <c r="BQ301" s="615">
        <v>4406857</v>
      </c>
      <c r="BR301" s="615">
        <v>4406857</v>
      </c>
      <c r="BS301" s="615">
        <v>4406857</v>
      </c>
      <c r="BT301" s="615">
        <v>4406857</v>
      </c>
      <c r="BU301" s="615">
        <v>4406862</v>
      </c>
      <c r="BV301" s="615">
        <v>371560000</v>
      </c>
      <c r="BW301" s="615">
        <v>0</v>
      </c>
      <c r="BX301" s="607">
        <f t="shared" si="11"/>
        <v>499373329</v>
      </c>
    </row>
    <row r="302" spans="1:76" s="612" customFormat="1" ht="12.95" customHeight="1" x14ac:dyDescent="0.2">
      <c r="A302" s="909"/>
      <c r="B302" s="611" t="s">
        <v>2978</v>
      </c>
      <c r="C302" s="641" t="s">
        <v>2977</v>
      </c>
      <c r="D302" s="615"/>
      <c r="E302" s="615"/>
      <c r="F302" s="615"/>
      <c r="G302" s="615"/>
      <c r="H302" s="585"/>
      <c r="I302" s="615"/>
      <c r="J302" s="615"/>
      <c r="K302" s="615"/>
      <c r="L302" s="615"/>
      <c r="M302" s="615"/>
      <c r="N302" s="615"/>
      <c r="O302" s="615"/>
      <c r="P302" s="615"/>
      <c r="Q302" s="615"/>
      <c r="R302" s="615"/>
      <c r="S302" s="615"/>
      <c r="T302" s="615"/>
      <c r="U302" s="615"/>
      <c r="V302" s="615"/>
      <c r="W302" s="615"/>
      <c r="X302" s="615"/>
      <c r="Y302" s="615">
        <v>0</v>
      </c>
      <c r="Z302" s="615">
        <v>0</v>
      </c>
      <c r="AA302" s="615">
        <v>0</v>
      </c>
      <c r="AB302" s="615">
        <v>0</v>
      </c>
      <c r="AC302" s="615">
        <v>0</v>
      </c>
      <c r="AD302" s="615">
        <v>0</v>
      </c>
      <c r="AE302" s="615">
        <v>0</v>
      </c>
      <c r="AF302" s="615">
        <v>0</v>
      </c>
      <c r="AG302" s="615">
        <v>0</v>
      </c>
      <c r="AH302" s="615">
        <v>0</v>
      </c>
      <c r="AI302" s="615">
        <v>0</v>
      </c>
      <c r="AJ302" s="615">
        <v>0</v>
      </c>
      <c r="AK302" s="615">
        <v>0</v>
      </c>
      <c r="AL302" s="615">
        <v>0</v>
      </c>
      <c r="AM302" s="615">
        <v>0</v>
      </c>
      <c r="AN302" s="615">
        <v>0</v>
      </c>
      <c r="AO302" s="615">
        <v>0</v>
      </c>
      <c r="AP302" s="615">
        <v>0</v>
      </c>
      <c r="AQ302" s="615">
        <v>0</v>
      </c>
      <c r="AR302" s="615">
        <v>0</v>
      </c>
      <c r="AS302" s="615">
        <v>0</v>
      </c>
      <c r="AT302" s="615">
        <v>0</v>
      </c>
      <c r="AU302" s="615">
        <v>0</v>
      </c>
      <c r="AV302" s="615">
        <v>3208571</v>
      </c>
      <c r="AW302" s="615">
        <v>3208571</v>
      </c>
      <c r="AX302" s="615">
        <v>3208571</v>
      </c>
      <c r="AY302" s="615">
        <v>3208571</v>
      </c>
      <c r="AZ302" s="615">
        <v>3208571</v>
      </c>
      <c r="BA302" s="615">
        <v>3208571</v>
      </c>
      <c r="BB302" s="615">
        <v>3208571</v>
      </c>
      <c r="BC302" s="615">
        <v>3208571</v>
      </c>
      <c r="BD302" s="615">
        <v>3208571</v>
      </c>
      <c r="BE302" s="615">
        <v>3208571</v>
      </c>
      <c r="BF302" s="615">
        <v>3208571</v>
      </c>
      <c r="BG302" s="615">
        <v>3208571</v>
      </c>
      <c r="BH302" s="615">
        <v>3208571</v>
      </c>
      <c r="BI302" s="615">
        <v>3208571</v>
      </c>
      <c r="BJ302" s="615">
        <v>3208571</v>
      </c>
      <c r="BK302" s="615">
        <v>3208571</v>
      </c>
      <c r="BL302" s="615">
        <v>3208571</v>
      </c>
      <c r="BM302" s="615">
        <v>3208571</v>
      </c>
      <c r="BN302" s="615">
        <v>3208571</v>
      </c>
      <c r="BO302" s="615">
        <v>3208571</v>
      </c>
      <c r="BP302" s="615">
        <v>3208571</v>
      </c>
      <c r="BQ302" s="615">
        <v>3208571</v>
      </c>
      <c r="BR302" s="615">
        <v>3208571</v>
      </c>
      <c r="BS302" s="615">
        <v>3208571</v>
      </c>
      <c r="BT302" s="615">
        <v>3208571</v>
      </c>
      <c r="BU302" s="615">
        <v>3208586</v>
      </c>
      <c r="BV302" s="615">
        <v>273700000</v>
      </c>
      <c r="BW302" s="615">
        <v>0</v>
      </c>
      <c r="BX302" s="607">
        <f t="shared" si="11"/>
        <v>357122861</v>
      </c>
    </row>
    <row r="303" spans="1:76" s="612" customFormat="1" ht="12.95" customHeight="1" x14ac:dyDescent="0.2">
      <c r="A303" s="909"/>
      <c r="B303" s="611" t="s">
        <v>3143</v>
      </c>
      <c r="C303" s="641" t="s">
        <v>3142</v>
      </c>
      <c r="D303" s="615"/>
      <c r="E303" s="615"/>
      <c r="F303" s="615"/>
      <c r="G303" s="615"/>
      <c r="H303" s="585"/>
      <c r="I303" s="615"/>
      <c r="J303" s="615"/>
      <c r="K303" s="615"/>
      <c r="L303" s="615"/>
      <c r="M303" s="615"/>
      <c r="N303" s="615"/>
      <c r="O303" s="615"/>
      <c r="P303" s="615"/>
      <c r="Q303" s="615"/>
      <c r="R303" s="615"/>
      <c r="S303" s="615"/>
      <c r="T303" s="615"/>
      <c r="U303" s="615"/>
      <c r="V303" s="615"/>
      <c r="W303" s="615"/>
      <c r="X303" s="615"/>
      <c r="Y303" s="615">
        <v>0</v>
      </c>
      <c r="Z303" s="615">
        <v>0</v>
      </c>
      <c r="AA303" s="615">
        <v>0</v>
      </c>
      <c r="AB303" s="615">
        <v>0</v>
      </c>
      <c r="AC303" s="615">
        <v>0</v>
      </c>
      <c r="AD303" s="615">
        <v>0</v>
      </c>
      <c r="AE303" s="615">
        <v>0</v>
      </c>
      <c r="AF303" s="615">
        <v>0</v>
      </c>
      <c r="AG303" s="615">
        <v>0</v>
      </c>
      <c r="AH303" s="615">
        <v>0</v>
      </c>
      <c r="AI303" s="615">
        <v>0</v>
      </c>
      <c r="AJ303" s="615">
        <v>0</v>
      </c>
      <c r="AK303" s="615">
        <v>0</v>
      </c>
      <c r="AL303" s="615">
        <v>0</v>
      </c>
      <c r="AM303" s="615">
        <v>0</v>
      </c>
      <c r="AN303" s="615">
        <v>0</v>
      </c>
      <c r="AO303" s="615">
        <v>0</v>
      </c>
      <c r="AP303" s="615">
        <v>0</v>
      </c>
      <c r="AQ303" s="615">
        <v>0</v>
      </c>
      <c r="AR303" s="615">
        <v>0</v>
      </c>
      <c r="AS303" s="615">
        <v>0</v>
      </c>
      <c r="AT303" s="615">
        <v>0</v>
      </c>
      <c r="AU303" s="615">
        <v>0</v>
      </c>
      <c r="AV303" s="615">
        <v>0</v>
      </c>
      <c r="AW303" s="615">
        <v>0</v>
      </c>
      <c r="AX303" s="615">
        <v>2676859</v>
      </c>
      <c r="AY303" s="615">
        <v>4452669</v>
      </c>
      <c r="AZ303" s="615">
        <v>4452669</v>
      </c>
      <c r="BA303" s="615">
        <v>4452669</v>
      </c>
      <c r="BB303" s="615">
        <v>4452669</v>
      </c>
      <c r="BC303" s="615">
        <v>4452669</v>
      </c>
      <c r="BD303" s="615">
        <v>4452669</v>
      </c>
      <c r="BE303" s="615">
        <v>4452669</v>
      </c>
      <c r="BF303" s="615">
        <v>4452669</v>
      </c>
      <c r="BG303" s="615">
        <v>4452669</v>
      </c>
      <c r="BH303" s="615">
        <v>4452669</v>
      </c>
      <c r="BI303" s="615">
        <v>4452669</v>
      </c>
      <c r="BJ303" s="615">
        <v>4452669</v>
      </c>
      <c r="BK303" s="615">
        <v>4452669</v>
      </c>
      <c r="BL303" s="615">
        <v>4452669</v>
      </c>
      <c r="BM303" s="615">
        <v>4452669</v>
      </c>
      <c r="BN303" s="615">
        <v>4452669</v>
      </c>
      <c r="BO303" s="615">
        <v>4452669</v>
      </c>
      <c r="BP303" s="615">
        <v>4452669</v>
      </c>
      <c r="BQ303" s="615">
        <v>4452669</v>
      </c>
      <c r="BR303" s="615">
        <v>4452669</v>
      </c>
      <c r="BS303" s="615">
        <v>4452669</v>
      </c>
      <c r="BT303" s="615">
        <v>4452669</v>
      </c>
      <c r="BU303" s="615">
        <v>4452673</v>
      </c>
      <c r="BV303" s="615">
        <v>364911750</v>
      </c>
      <c r="BW303" s="615">
        <v>0</v>
      </c>
      <c r="BX303" s="607">
        <f t="shared" si="11"/>
        <v>470000000</v>
      </c>
    </row>
    <row r="304" spans="1:76" s="612" customFormat="1" ht="12.95" customHeight="1" x14ac:dyDescent="0.2">
      <c r="A304" s="909"/>
      <c r="B304" s="611" t="s">
        <v>3355</v>
      </c>
      <c r="C304" s="641" t="s">
        <v>3217</v>
      </c>
      <c r="D304" s="615"/>
      <c r="E304" s="615"/>
      <c r="F304" s="615"/>
      <c r="G304" s="615"/>
      <c r="H304" s="585"/>
      <c r="I304" s="615"/>
      <c r="J304" s="615"/>
      <c r="K304" s="615"/>
      <c r="L304" s="615"/>
      <c r="M304" s="615"/>
      <c r="N304" s="615"/>
      <c r="O304" s="615"/>
      <c r="P304" s="615"/>
      <c r="Q304" s="615"/>
      <c r="R304" s="615"/>
      <c r="S304" s="615"/>
      <c r="T304" s="615"/>
      <c r="U304" s="615"/>
      <c r="V304" s="615"/>
      <c r="W304" s="615"/>
      <c r="X304" s="615"/>
      <c r="Y304" s="615">
        <v>0</v>
      </c>
      <c r="Z304" s="615">
        <v>0</v>
      </c>
      <c r="AA304" s="615">
        <v>0</v>
      </c>
      <c r="AB304" s="615">
        <v>0</v>
      </c>
      <c r="AC304" s="615">
        <v>0</v>
      </c>
      <c r="AD304" s="615">
        <v>0</v>
      </c>
      <c r="AE304" s="615">
        <v>0</v>
      </c>
      <c r="AF304" s="615">
        <v>0</v>
      </c>
      <c r="AG304" s="615">
        <v>0</v>
      </c>
      <c r="AH304" s="615">
        <v>0</v>
      </c>
      <c r="AI304" s="615">
        <v>0</v>
      </c>
      <c r="AJ304" s="615">
        <v>0</v>
      </c>
      <c r="AK304" s="615">
        <v>0</v>
      </c>
      <c r="AL304" s="615">
        <v>0</v>
      </c>
      <c r="AM304" s="615">
        <v>0</v>
      </c>
      <c r="AN304" s="615">
        <v>0</v>
      </c>
      <c r="AO304" s="615">
        <v>0</v>
      </c>
      <c r="AP304" s="615">
        <v>0</v>
      </c>
      <c r="AQ304" s="615">
        <v>0</v>
      </c>
      <c r="AR304" s="615">
        <v>0</v>
      </c>
      <c r="AS304" s="615">
        <v>0</v>
      </c>
      <c r="AT304" s="615">
        <v>0</v>
      </c>
      <c r="AU304" s="615">
        <v>0</v>
      </c>
      <c r="AV304" s="615">
        <v>0</v>
      </c>
      <c r="AW304" s="615">
        <v>1153000</v>
      </c>
      <c r="AX304" s="615">
        <v>1153000</v>
      </c>
      <c r="AY304" s="615">
        <v>1153000</v>
      </c>
      <c r="AZ304" s="615">
        <v>10000000</v>
      </c>
      <c r="BA304" s="615">
        <v>1153000</v>
      </c>
      <c r="BB304" s="615">
        <v>20000000</v>
      </c>
      <c r="BC304" s="615">
        <v>1153000</v>
      </c>
      <c r="BD304" s="615">
        <v>1153000</v>
      </c>
      <c r="BE304" s="615">
        <v>1153000</v>
      </c>
      <c r="BF304" s="615">
        <v>1153000</v>
      </c>
      <c r="BG304" s="615">
        <v>1153000</v>
      </c>
      <c r="BH304" s="615">
        <v>1153000</v>
      </c>
      <c r="BI304" s="615">
        <v>1153000</v>
      </c>
      <c r="BJ304" s="615">
        <v>1153000</v>
      </c>
      <c r="BK304" s="615">
        <v>1153000</v>
      </c>
      <c r="BL304" s="615">
        <v>15000000</v>
      </c>
      <c r="BM304" s="615">
        <v>1153000</v>
      </c>
      <c r="BN304" s="615">
        <v>20000000</v>
      </c>
      <c r="BO304" s="615">
        <v>1153000</v>
      </c>
      <c r="BP304" s="615">
        <v>1153000</v>
      </c>
      <c r="BQ304" s="615">
        <v>1153000</v>
      </c>
      <c r="BR304" s="615">
        <v>10000000</v>
      </c>
      <c r="BS304" s="615">
        <v>1153000</v>
      </c>
      <c r="BT304" s="615">
        <v>1153000</v>
      </c>
      <c r="BU304" s="615">
        <v>1153000</v>
      </c>
      <c r="BV304" s="615">
        <v>4500000</v>
      </c>
      <c r="BW304" s="615">
        <v>295122000</v>
      </c>
      <c r="BX304" s="607">
        <f t="shared" si="11"/>
        <v>397682000</v>
      </c>
    </row>
    <row r="305" spans="1:76" s="612" customFormat="1" ht="12.95" customHeight="1" x14ac:dyDescent="0.2">
      <c r="A305" s="909"/>
      <c r="B305" s="611" t="s">
        <v>4230</v>
      </c>
      <c r="C305" s="641" t="s">
        <v>4229</v>
      </c>
      <c r="D305" s="615"/>
      <c r="E305" s="615"/>
      <c r="F305" s="615"/>
      <c r="G305" s="615"/>
      <c r="H305" s="585"/>
      <c r="I305" s="615"/>
      <c r="J305" s="615"/>
      <c r="K305" s="615"/>
      <c r="L305" s="615"/>
      <c r="M305" s="615"/>
      <c r="N305" s="615"/>
      <c r="O305" s="615"/>
      <c r="P305" s="615"/>
      <c r="Q305" s="615"/>
      <c r="R305" s="615"/>
      <c r="S305" s="615"/>
      <c r="T305" s="615"/>
      <c r="U305" s="615"/>
      <c r="V305" s="615"/>
      <c r="W305" s="615"/>
      <c r="X305" s="615"/>
      <c r="Y305" s="615">
        <v>0</v>
      </c>
      <c r="Z305" s="615">
        <v>0</v>
      </c>
      <c r="AA305" s="615">
        <v>0</v>
      </c>
      <c r="AB305" s="615">
        <v>0</v>
      </c>
      <c r="AC305" s="615">
        <v>0</v>
      </c>
      <c r="AD305" s="615">
        <v>0</v>
      </c>
      <c r="AE305" s="615">
        <v>0</v>
      </c>
      <c r="AF305" s="615">
        <v>0</v>
      </c>
      <c r="AG305" s="615">
        <v>0</v>
      </c>
      <c r="AH305" s="615">
        <v>0</v>
      </c>
      <c r="AI305" s="615">
        <v>0</v>
      </c>
      <c r="AJ305" s="615">
        <v>0</v>
      </c>
      <c r="AK305" s="615">
        <v>0</v>
      </c>
      <c r="AL305" s="615">
        <v>0</v>
      </c>
      <c r="AM305" s="615">
        <v>0</v>
      </c>
      <c r="AN305" s="615">
        <v>0</v>
      </c>
      <c r="AO305" s="615">
        <v>0</v>
      </c>
      <c r="AP305" s="615">
        <v>0</v>
      </c>
      <c r="AQ305" s="615">
        <v>0</v>
      </c>
      <c r="AR305" s="615">
        <v>0</v>
      </c>
      <c r="AS305" s="615">
        <v>0</v>
      </c>
      <c r="AT305" s="615">
        <v>0</v>
      </c>
      <c r="AU305" s="615">
        <v>0</v>
      </c>
      <c r="AV305" s="615">
        <v>0</v>
      </c>
      <c r="AW305" s="615">
        <v>6352704</v>
      </c>
      <c r="AX305" s="615">
        <v>6352704</v>
      </c>
      <c r="AY305" s="615">
        <v>6352704</v>
      </c>
      <c r="AZ305" s="615">
        <v>6352704</v>
      </c>
      <c r="BA305" s="615">
        <v>6352704</v>
      </c>
      <c r="BB305" s="615">
        <v>6352704</v>
      </c>
      <c r="BC305" s="615">
        <v>6352704</v>
      </c>
      <c r="BD305" s="615">
        <v>6352704</v>
      </c>
      <c r="BE305" s="615">
        <v>6352704</v>
      </c>
      <c r="BF305" s="615">
        <v>6352704</v>
      </c>
      <c r="BG305" s="615">
        <v>6352704</v>
      </c>
      <c r="BH305" s="615">
        <v>6352704</v>
      </c>
      <c r="BI305" s="615">
        <v>6352704</v>
      </c>
      <c r="BJ305" s="615">
        <v>6352704</v>
      </c>
      <c r="BK305" s="615">
        <v>6352704</v>
      </c>
      <c r="BL305" s="615">
        <v>6352704</v>
      </c>
      <c r="BM305" s="615">
        <v>6352704</v>
      </c>
      <c r="BN305" s="615">
        <v>6352704</v>
      </c>
      <c r="BO305" s="615">
        <v>6352704</v>
      </c>
      <c r="BP305" s="615">
        <v>6352704</v>
      </c>
      <c r="BQ305" s="615">
        <v>6352704</v>
      </c>
      <c r="BR305" s="615">
        <v>6352704</v>
      </c>
      <c r="BS305" s="615">
        <v>6352704</v>
      </c>
      <c r="BT305" s="615">
        <v>6352700</v>
      </c>
      <c r="BU305" s="615">
        <v>6352700</v>
      </c>
      <c r="BV305" s="615">
        <v>411887000</v>
      </c>
      <c r="BW305" s="615">
        <v>0</v>
      </c>
      <c r="BX305" s="607">
        <f t="shared" si="11"/>
        <v>570704592</v>
      </c>
    </row>
    <row r="306" spans="1:76" s="612" customFormat="1" ht="12.95" customHeight="1" x14ac:dyDescent="0.2">
      <c r="A306" s="909"/>
      <c r="B306" s="611" t="s">
        <v>2697</v>
      </c>
      <c r="C306" s="641" t="s">
        <v>2696</v>
      </c>
      <c r="D306" s="615"/>
      <c r="E306" s="615"/>
      <c r="F306" s="615"/>
      <c r="G306" s="615"/>
      <c r="H306" s="585"/>
      <c r="I306" s="615"/>
      <c r="J306" s="615"/>
      <c r="K306" s="615"/>
      <c r="L306" s="615"/>
      <c r="M306" s="615"/>
      <c r="N306" s="615"/>
      <c r="O306" s="615"/>
      <c r="P306" s="615"/>
      <c r="Q306" s="615"/>
      <c r="R306" s="615"/>
      <c r="S306" s="615"/>
      <c r="T306" s="615"/>
      <c r="U306" s="615"/>
      <c r="V306" s="615"/>
      <c r="W306" s="615"/>
      <c r="X306" s="615"/>
      <c r="Y306" s="615">
        <v>0</v>
      </c>
      <c r="Z306" s="615">
        <v>0</v>
      </c>
      <c r="AA306" s="615">
        <v>0</v>
      </c>
      <c r="AB306" s="615">
        <v>0</v>
      </c>
      <c r="AC306" s="615">
        <v>0</v>
      </c>
      <c r="AD306" s="615">
        <v>0</v>
      </c>
      <c r="AE306" s="615">
        <v>0</v>
      </c>
      <c r="AF306" s="615">
        <v>0</v>
      </c>
      <c r="AG306" s="615">
        <v>0</v>
      </c>
      <c r="AH306" s="615">
        <v>0</v>
      </c>
      <c r="AI306" s="615">
        <v>0</v>
      </c>
      <c r="AJ306" s="615">
        <v>0</v>
      </c>
      <c r="AK306" s="615">
        <v>0</v>
      </c>
      <c r="AL306" s="615">
        <v>0</v>
      </c>
      <c r="AM306" s="615">
        <v>0</v>
      </c>
      <c r="AN306" s="615">
        <v>0</v>
      </c>
      <c r="AO306" s="615">
        <v>0</v>
      </c>
      <c r="AP306" s="615">
        <v>0</v>
      </c>
      <c r="AQ306" s="615">
        <v>0</v>
      </c>
      <c r="AR306" s="615">
        <v>0</v>
      </c>
      <c r="AS306" s="615">
        <v>0</v>
      </c>
      <c r="AT306" s="615">
        <v>0</v>
      </c>
      <c r="AU306" s="615">
        <v>0</v>
      </c>
      <c r="AV306" s="615">
        <v>0</v>
      </c>
      <c r="AW306" s="615">
        <v>3212857</v>
      </c>
      <c r="AX306" s="615">
        <v>3212857</v>
      </c>
      <c r="AY306" s="615">
        <v>3212857</v>
      </c>
      <c r="AZ306" s="615">
        <v>3212857</v>
      </c>
      <c r="BA306" s="615">
        <v>3212857</v>
      </c>
      <c r="BB306" s="615">
        <v>3212857</v>
      </c>
      <c r="BC306" s="615">
        <v>3212857</v>
      </c>
      <c r="BD306" s="615">
        <v>3212857</v>
      </c>
      <c r="BE306" s="615">
        <v>3212857</v>
      </c>
      <c r="BF306" s="615">
        <v>3212857</v>
      </c>
      <c r="BG306" s="615">
        <v>3212857</v>
      </c>
      <c r="BH306" s="615">
        <v>3212857</v>
      </c>
      <c r="BI306" s="615">
        <v>3212857</v>
      </c>
      <c r="BJ306" s="615">
        <v>3212857</v>
      </c>
      <c r="BK306" s="615">
        <v>3212857</v>
      </c>
      <c r="BL306" s="615">
        <v>3212857</v>
      </c>
      <c r="BM306" s="615">
        <v>3212857</v>
      </c>
      <c r="BN306" s="615">
        <v>3212857</v>
      </c>
      <c r="BO306" s="615">
        <v>3212857</v>
      </c>
      <c r="BP306" s="615">
        <v>3212857</v>
      </c>
      <c r="BQ306" s="615">
        <v>3212857</v>
      </c>
      <c r="BR306" s="615">
        <v>3212857</v>
      </c>
      <c r="BS306" s="615">
        <v>3212857</v>
      </c>
      <c r="BT306" s="615">
        <v>3212857</v>
      </c>
      <c r="BU306" s="615">
        <v>3212862</v>
      </c>
      <c r="BV306" s="615">
        <v>274050000</v>
      </c>
      <c r="BW306" s="615">
        <v>0</v>
      </c>
      <c r="BX306" s="607">
        <f t="shared" si="11"/>
        <v>354371430</v>
      </c>
    </row>
    <row r="307" spans="1:76" s="612" customFormat="1" ht="12.95" customHeight="1" x14ac:dyDescent="0.2">
      <c r="A307" s="909"/>
      <c r="B307" s="611" t="s">
        <v>3272</v>
      </c>
      <c r="C307" s="641" t="s">
        <v>3271</v>
      </c>
      <c r="D307" s="615"/>
      <c r="E307" s="615"/>
      <c r="F307" s="615"/>
      <c r="G307" s="615"/>
      <c r="H307" s="585"/>
      <c r="I307" s="615"/>
      <c r="J307" s="615"/>
      <c r="K307" s="615"/>
      <c r="L307" s="615"/>
      <c r="M307" s="615"/>
      <c r="N307" s="615"/>
      <c r="O307" s="615"/>
      <c r="P307" s="615"/>
      <c r="Q307" s="615"/>
      <c r="R307" s="615"/>
      <c r="S307" s="615"/>
      <c r="T307" s="615"/>
      <c r="U307" s="615"/>
      <c r="V307" s="615"/>
      <c r="W307" s="615"/>
      <c r="X307" s="615"/>
      <c r="Y307" s="615">
        <v>0</v>
      </c>
      <c r="Z307" s="615">
        <v>0</v>
      </c>
      <c r="AA307" s="615">
        <v>0</v>
      </c>
      <c r="AB307" s="615">
        <v>0</v>
      </c>
      <c r="AC307" s="615">
        <v>0</v>
      </c>
      <c r="AD307" s="615">
        <v>0</v>
      </c>
      <c r="AE307" s="615">
        <v>0</v>
      </c>
      <c r="AF307" s="615">
        <v>0</v>
      </c>
      <c r="AG307" s="615">
        <v>0</v>
      </c>
      <c r="AH307" s="615">
        <v>0</v>
      </c>
      <c r="AI307" s="615">
        <v>0</v>
      </c>
      <c r="AJ307" s="615">
        <v>0</v>
      </c>
      <c r="AK307" s="615">
        <v>0</v>
      </c>
      <c r="AL307" s="615">
        <v>0</v>
      </c>
      <c r="AM307" s="615">
        <v>0</v>
      </c>
      <c r="AN307" s="615">
        <v>0</v>
      </c>
      <c r="AO307" s="615">
        <v>0</v>
      </c>
      <c r="AP307" s="615">
        <v>0</v>
      </c>
      <c r="AQ307" s="615">
        <v>0</v>
      </c>
      <c r="AR307" s="615">
        <v>0</v>
      </c>
      <c r="AS307" s="615">
        <v>0</v>
      </c>
      <c r="AT307" s="615">
        <v>0</v>
      </c>
      <c r="AU307" s="615">
        <v>3147751</v>
      </c>
      <c r="AV307" s="615">
        <v>5073359</v>
      </c>
      <c r="AW307" s="615">
        <v>5073359</v>
      </c>
      <c r="AX307" s="615">
        <v>5073359</v>
      </c>
      <c r="AY307" s="615">
        <v>5073359</v>
      </c>
      <c r="AZ307" s="615">
        <v>5073359</v>
      </c>
      <c r="BA307" s="615">
        <v>5073359</v>
      </c>
      <c r="BB307" s="615">
        <v>5073359</v>
      </c>
      <c r="BC307" s="615">
        <v>5073359</v>
      </c>
      <c r="BD307" s="615">
        <v>5073359</v>
      </c>
      <c r="BE307" s="615">
        <v>5073359</v>
      </c>
      <c r="BF307" s="615">
        <v>5073359</v>
      </c>
      <c r="BG307" s="615">
        <v>5073359</v>
      </c>
      <c r="BH307" s="615">
        <v>5073359</v>
      </c>
      <c r="BI307" s="615">
        <v>5073359</v>
      </c>
      <c r="BJ307" s="615">
        <v>5073359</v>
      </c>
      <c r="BK307" s="615">
        <v>5073359</v>
      </c>
      <c r="BL307" s="615">
        <v>5073359</v>
      </c>
      <c r="BM307" s="615">
        <v>5073359</v>
      </c>
      <c r="BN307" s="615">
        <v>5073359</v>
      </c>
      <c r="BO307" s="615">
        <v>5073359</v>
      </c>
      <c r="BP307" s="615">
        <v>5073359</v>
      </c>
      <c r="BQ307" s="615">
        <v>5073359</v>
      </c>
      <c r="BR307" s="615">
        <v>5073359</v>
      </c>
      <c r="BS307" s="615">
        <v>5073359</v>
      </c>
      <c r="BT307" s="615">
        <v>5073359</v>
      </c>
      <c r="BU307" s="615">
        <v>5073371</v>
      </c>
      <c r="BV307" s="615">
        <v>390477500</v>
      </c>
      <c r="BW307" s="615">
        <v>0</v>
      </c>
      <c r="BX307" s="607">
        <f t="shared" si="11"/>
        <v>525532597</v>
      </c>
    </row>
    <row r="308" spans="1:76" s="612" customFormat="1" ht="12.95" customHeight="1" x14ac:dyDescent="0.2">
      <c r="A308" s="909"/>
      <c r="B308" s="611" t="s">
        <v>3274</v>
      </c>
      <c r="C308" s="641" t="s">
        <v>3273</v>
      </c>
      <c r="D308" s="615"/>
      <c r="E308" s="615"/>
      <c r="F308" s="615"/>
      <c r="G308" s="615"/>
      <c r="H308" s="585"/>
      <c r="I308" s="615"/>
      <c r="J308" s="615"/>
      <c r="K308" s="615"/>
      <c r="L308" s="615"/>
      <c r="M308" s="615"/>
      <c r="N308" s="615"/>
      <c r="O308" s="615"/>
      <c r="P308" s="615"/>
      <c r="Q308" s="615"/>
      <c r="R308" s="615"/>
      <c r="S308" s="615"/>
      <c r="T308" s="615"/>
      <c r="U308" s="615"/>
      <c r="V308" s="615"/>
      <c r="W308" s="615"/>
      <c r="X308" s="615"/>
      <c r="Y308" s="615">
        <v>0</v>
      </c>
      <c r="Z308" s="615">
        <v>0</v>
      </c>
      <c r="AA308" s="615">
        <v>0</v>
      </c>
      <c r="AB308" s="615">
        <v>0</v>
      </c>
      <c r="AC308" s="615">
        <v>0</v>
      </c>
      <c r="AD308" s="615">
        <v>0</v>
      </c>
      <c r="AE308" s="615">
        <v>0</v>
      </c>
      <c r="AF308" s="615">
        <v>0</v>
      </c>
      <c r="AG308" s="615">
        <v>0</v>
      </c>
      <c r="AH308" s="615">
        <v>0</v>
      </c>
      <c r="AI308" s="615">
        <v>0</v>
      </c>
      <c r="AJ308" s="615">
        <v>0</v>
      </c>
      <c r="AK308" s="615">
        <v>0</v>
      </c>
      <c r="AL308" s="615">
        <v>0</v>
      </c>
      <c r="AM308" s="615">
        <v>0</v>
      </c>
      <c r="AN308" s="615">
        <v>0</v>
      </c>
      <c r="AO308" s="615">
        <v>0</v>
      </c>
      <c r="AP308" s="615">
        <v>0</v>
      </c>
      <c r="AQ308" s="615">
        <v>0</v>
      </c>
      <c r="AR308" s="615">
        <v>0</v>
      </c>
      <c r="AS308" s="615">
        <v>0</v>
      </c>
      <c r="AT308" s="615">
        <v>0</v>
      </c>
      <c r="AU308" s="615">
        <v>0</v>
      </c>
      <c r="AV308" s="615">
        <v>0</v>
      </c>
      <c r="AW308" s="615">
        <v>4000968</v>
      </c>
      <c r="AX308" s="615">
        <v>4000968</v>
      </c>
      <c r="AY308" s="615">
        <v>4000968</v>
      </c>
      <c r="AZ308" s="615">
        <v>4000968</v>
      </c>
      <c r="BA308" s="615">
        <v>4000968</v>
      </c>
      <c r="BB308" s="615">
        <v>4000968</v>
      </c>
      <c r="BC308" s="615">
        <v>4000968</v>
      </c>
      <c r="BD308" s="615">
        <v>4000968</v>
      </c>
      <c r="BE308" s="615">
        <v>4000968</v>
      </c>
      <c r="BF308" s="615">
        <v>4000968</v>
      </c>
      <c r="BG308" s="615">
        <v>4000968</v>
      </c>
      <c r="BH308" s="615">
        <v>4000968</v>
      </c>
      <c r="BI308" s="615">
        <v>4000968</v>
      </c>
      <c r="BJ308" s="615">
        <v>4000968</v>
      </c>
      <c r="BK308" s="615">
        <v>4000968</v>
      </c>
      <c r="BL308" s="615">
        <v>4000968</v>
      </c>
      <c r="BM308" s="615">
        <v>4000968</v>
      </c>
      <c r="BN308" s="615">
        <v>4000968</v>
      </c>
      <c r="BO308" s="615">
        <v>4000968</v>
      </c>
      <c r="BP308" s="615">
        <v>4000968</v>
      </c>
      <c r="BQ308" s="615">
        <v>4000968</v>
      </c>
      <c r="BR308" s="615">
        <v>4000968</v>
      </c>
      <c r="BS308" s="615">
        <v>4000968</v>
      </c>
      <c r="BT308" s="615">
        <v>4000968</v>
      </c>
      <c r="BU308" s="615">
        <v>4000960</v>
      </c>
      <c r="BV308" s="615">
        <v>301070000</v>
      </c>
      <c r="BW308" s="615">
        <v>0</v>
      </c>
      <c r="BX308" s="607">
        <f t="shared" si="11"/>
        <v>401094192</v>
      </c>
    </row>
    <row r="309" spans="1:76" s="612" customFormat="1" ht="12.95" customHeight="1" x14ac:dyDescent="0.2">
      <c r="A309" s="909"/>
      <c r="B309" s="611" t="s">
        <v>4232</v>
      </c>
      <c r="C309" s="641" t="s">
        <v>4231</v>
      </c>
      <c r="D309" s="615"/>
      <c r="E309" s="615"/>
      <c r="F309" s="615"/>
      <c r="G309" s="615"/>
      <c r="H309" s="585"/>
      <c r="I309" s="615"/>
      <c r="J309" s="615"/>
      <c r="K309" s="615"/>
      <c r="L309" s="615"/>
      <c r="M309" s="615"/>
      <c r="N309" s="615"/>
      <c r="O309" s="615"/>
      <c r="P309" s="615"/>
      <c r="Q309" s="615"/>
      <c r="R309" s="615"/>
      <c r="S309" s="615"/>
      <c r="T309" s="615"/>
      <c r="U309" s="615"/>
      <c r="V309" s="615"/>
      <c r="W309" s="615"/>
      <c r="X309" s="615"/>
      <c r="Y309" s="615">
        <v>0</v>
      </c>
      <c r="Z309" s="615">
        <v>0</v>
      </c>
      <c r="AA309" s="615">
        <v>0</v>
      </c>
      <c r="AB309" s="615">
        <v>0</v>
      </c>
      <c r="AC309" s="615">
        <v>0</v>
      </c>
      <c r="AD309" s="615">
        <v>0</v>
      </c>
      <c r="AE309" s="615">
        <v>0</v>
      </c>
      <c r="AF309" s="615">
        <v>0</v>
      </c>
      <c r="AG309" s="615">
        <v>0</v>
      </c>
      <c r="AH309" s="615">
        <v>0</v>
      </c>
      <c r="AI309" s="615">
        <v>0</v>
      </c>
      <c r="AJ309" s="615">
        <v>0</v>
      </c>
      <c r="AK309" s="615">
        <v>0</v>
      </c>
      <c r="AL309" s="615">
        <v>0</v>
      </c>
      <c r="AM309" s="615">
        <v>0</v>
      </c>
      <c r="AN309" s="615">
        <v>0</v>
      </c>
      <c r="AO309" s="615">
        <v>0</v>
      </c>
      <c r="AP309" s="615">
        <v>0</v>
      </c>
      <c r="AQ309" s="615">
        <v>0</v>
      </c>
      <c r="AR309" s="615">
        <v>0</v>
      </c>
      <c r="AS309" s="615">
        <v>0</v>
      </c>
      <c r="AT309" s="615">
        <v>0</v>
      </c>
      <c r="AU309" s="615">
        <v>0</v>
      </c>
      <c r="AV309" s="615">
        <v>0</v>
      </c>
      <c r="AW309" s="615">
        <v>5074777</v>
      </c>
      <c r="AX309" s="615">
        <v>6358259</v>
      </c>
      <c r="AY309" s="615">
        <v>6358259</v>
      </c>
      <c r="AZ309" s="615">
        <v>6358259</v>
      </c>
      <c r="BA309" s="615">
        <v>6358259</v>
      </c>
      <c r="BB309" s="615">
        <v>6358259</v>
      </c>
      <c r="BC309" s="615">
        <v>6358259</v>
      </c>
      <c r="BD309" s="615">
        <v>6358259</v>
      </c>
      <c r="BE309" s="615">
        <v>6358259</v>
      </c>
      <c r="BF309" s="615">
        <v>6358259</v>
      </c>
      <c r="BG309" s="615">
        <v>6358259</v>
      </c>
      <c r="BH309" s="615">
        <v>6358259</v>
      </c>
      <c r="BI309" s="615">
        <v>6358259</v>
      </c>
      <c r="BJ309" s="615">
        <v>6358259</v>
      </c>
      <c r="BK309" s="615">
        <v>6358259</v>
      </c>
      <c r="BL309" s="615">
        <v>6358259</v>
      </c>
      <c r="BM309" s="615">
        <v>6358259</v>
      </c>
      <c r="BN309" s="615">
        <v>6358259</v>
      </c>
      <c r="BO309" s="615">
        <v>6358259</v>
      </c>
      <c r="BP309" s="615">
        <v>6358259</v>
      </c>
      <c r="BQ309" s="615">
        <v>6358259</v>
      </c>
      <c r="BR309" s="615">
        <v>6358259</v>
      </c>
      <c r="BS309" s="615">
        <v>6358259</v>
      </c>
      <c r="BT309" s="615">
        <v>6358259</v>
      </c>
      <c r="BU309" s="615">
        <v>6358266</v>
      </c>
      <c r="BV309" s="615">
        <v>412237000</v>
      </c>
      <c r="BW309" s="615">
        <v>0</v>
      </c>
      <c r="BX309" s="607">
        <f t="shared" si="11"/>
        <v>569910000</v>
      </c>
    </row>
    <row r="310" spans="1:76" s="612" customFormat="1" ht="12.95" customHeight="1" x14ac:dyDescent="0.2">
      <c r="A310" s="909"/>
      <c r="B310" s="611" t="s">
        <v>3145</v>
      </c>
      <c r="C310" s="641" t="s">
        <v>3144</v>
      </c>
      <c r="D310" s="615"/>
      <c r="E310" s="615"/>
      <c r="F310" s="615"/>
      <c r="G310" s="615"/>
      <c r="H310" s="585"/>
      <c r="I310" s="615"/>
      <c r="J310" s="615"/>
      <c r="K310" s="615"/>
      <c r="L310" s="615"/>
      <c r="M310" s="615"/>
      <c r="N310" s="615"/>
      <c r="O310" s="615"/>
      <c r="P310" s="615"/>
      <c r="Q310" s="615"/>
      <c r="R310" s="615"/>
      <c r="S310" s="615"/>
      <c r="T310" s="615"/>
      <c r="U310" s="615"/>
      <c r="V310" s="615"/>
      <c r="W310" s="615"/>
      <c r="X310" s="615"/>
      <c r="Y310" s="615">
        <v>0</v>
      </c>
      <c r="Z310" s="615">
        <v>0</v>
      </c>
      <c r="AA310" s="615">
        <v>0</v>
      </c>
      <c r="AB310" s="615">
        <v>0</v>
      </c>
      <c r="AC310" s="615">
        <v>0</v>
      </c>
      <c r="AD310" s="615">
        <v>0</v>
      </c>
      <c r="AE310" s="615">
        <v>0</v>
      </c>
      <c r="AF310" s="615">
        <v>0</v>
      </c>
      <c r="AG310" s="615">
        <v>0</v>
      </c>
      <c r="AH310" s="615">
        <v>0</v>
      </c>
      <c r="AI310" s="615">
        <v>0</v>
      </c>
      <c r="AJ310" s="615">
        <v>0</v>
      </c>
      <c r="AK310" s="615">
        <v>0</v>
      </c>
      <c r="AL310" s="615">
        <v>0</v>
      </c>
      <c r="AM310" s="615">
        <v>0</v>
      </c>
      <c r="AN310" s="615">
        <v>0</v>
      </c>
      <c r="AO310" s="615">
        <v>0</v>
      </c>
      <c r="AP310" s="615">
        <v>0</v>
      </c>
      <c r="AQ310" s="615">
        <v>0</v>
      </c>
      <c r="AR310" s="615">
        <v>0</v>
      </c>
      <c r="AS310" s="615">
        <v>0</v>
      </c>
      <c r="AT310" s="615">
        <v>0</v>
      </c>
      <c r="AU310" s="615">
        <v>0</v>
      </c>
      <c r="AV310" s="615">
        <v>0</v>
      </c>
      <c r="AW310" s="615">
        <v>4583390</v>
      </c>
      <c r="AX310" s="615">
        <v>4583390</v>
      </c>
      <c r="AY310" s="615">
        <v>4583390</v>
      </c>
      <c r="AZ310" s="615">
        <v>4583390</v>
      </c>
      <c r="BA310" s="615">
        <v>4583390</v>
      </c>
      <c r="BB310" s="615">
        <v>4583390</v>
      </c>
      <c r="BC310" s="615">
        <v>4583390</v>
      </c>
      <c r="BD310" s="615">
        <v>4583390</v>
      </c>
      <c r="BE310" s="615">
        <v>4583390</v>
      </c>
      <c r="BF310" s="615">
        <v>4583390</v>
      </c>
      <c r="BG310" s="615">
        <v>4583390</v>
      </c>
      <c r="BH310" s="615">
        <v>4583390</v>
      </c>
      <c r="BI310" s="615">
        <v>4583390</v>
      </c>
      <c r="BJ310" s="615">
        <v>4583390</v>
      </c>
      <c r="BK310" s="615">
        <v>4583390</v>
      </c>
      <c r="BL310" s="615">
        <v>4583390</v>
      </c>
      <c r="BM310" s="615">
        <v>4583390</v>
      </c>
      <c r="BN310" s="615">
        <v>4583390</v>
      </c>
      <c r="BO310" s="615">
        <v>4583390</v>
      </c>
      <c r="BP310" s="615">
        <v>4583390</v>
      </c>
      <c r="BQ310" s="615">
        <v>4583390</v>
      </c>
      <c r="BR310" s="615">
        <v>4583390</v>
      </c>
      <c r="BS310" s="615">
        <v>4583390</v>
      </c>
      <c r="BT310" s="615">
        <v>4583390</v>
      </c>
      <c r="BU310" s="615">
        <v>4583380</v>
      </c>
      <c r="BV310" s="615">
        <v>375282250</v>
      </c>
      <c r="BW310" s="615">
        <v>0</v>
      </c>
      <c r="BX310" s="607">
        <f t="shared" si="11"/>
        <v>489866990</v>
      </c>
    </row>
    <row r="311" spans="1:76" s="612" customFormat="1" ht="12.95" customHeight="1" x14ac:dyDescent="0.2">
      <c r="A311" s="909"/>
      <c r="B311" s="611" t="s">
        <v>2980</v>
      </c>
      <c r="C311" s="641" t="s">
        <v>2979</v>
      </c>
      <c r="D311" s="615"/>
      <c r="E311" s="615"/>
      <c r="F311" s="615"/>
      <c r="G311" s="615"/>
      <c r="H311" s="585"/>
      <c r="I311" s="615"/>
      <c r="J311" s="615"/>
      <c r="K311" s="615"/>
      <c r="L311" s="615"/>
      <c r="M311" s="615"/>
      <c r="N311" s="615"/>
      <c r="O311" s="615"/>
      <c r="P311" s="615"/>
      <c r="Q311" s="615"/>
      <c r="R311" s="615"/>
      <c r="S311" s="615"/>
      <c r="T311" s="615"/>
      <c r="U311" s="615"/>
      <c r="V311" s="615"/>
      <c r="W311" s="615"/>
      <c r="X311" s="615"/>
      <c r="Y311" s="615">
        <v>0</v>
      </c>
      <c r="Z311" s="615">
        <v>0</v>
      </c>
      <c r="AA311" s="615">
        <v>0</v>
      </c>
      <c r="AB311" s="615">
        <v>0</v>
      </c>
      <c r="AC311" s="615">
        <v>0</v>
      </c>
      <c r="AD311" s="615">
        <v>0</v>
      </c>
      <c r="AE311" s="615">
        <v>0</v>
      </c>
      <c r="AF311" s="615">
        <v>0</v>
      </c>
      <c r="AG311" s="615">
        <v>0</v>
      </c>
      <c r="AH311" s="615">
        <v>0</v>
      </c>
      <c r="AI311" s="615">
        <v>0</v>
      </c>
      <c r="AJ311" s="615">
        <v>0</v>
      </c>
      <c r="AK311" s="615">
        <v>0</v>
      </c>
      <c r="AL311" s="615">
        <v>0</v>
      </c>
      <c r="AM311" s="615">
        <v>0</v>
      </c>
      <c r="AN311" s="615">
        <v>0</v>
      </c>
      <c r="AO311" s="615">
        <v>0</v>
      </c>
      <c r="AP311" s="615">
        <v>0</v>
      </c>
      <c r="AQ311" s="615">
        <v>0</v>
      </c>
      <c r="AR311" s="615">
        <v>0</v>
      </c>
      <c r="AS311" s="615">
        <v>0</v>
      </c>
      <c r="AT311" s="615">
        <v>0</v>
      </c>
      <c r="AU311" s="615">
        <v>0</v>
      </c>
      <c r="AV311" s="615">
        <v>0</v>
      </c>
      <c r="AW311" s="615">
        <v>0</v>
      </c>
      <c r="AX311" s="615">
        <v>3224857</v>
      </c>
      <c r="AY311" s="615">
        <v>3224857</v>
      </c>
      <c r="AZ311" s="615">
        <v>3224857</v>
      </c>
      <c r="BA311" s="615">
        <v>3224857</v>
      </c>
      <c r="BB311" s="615">
        <v>3224857</v>
      </c>
      <c r="BC311" s="615">
        <v>3224857</v>
      </c>
      <c r="BD311" s="615">
        <v>3224857</v>
      </c>
      <c r="BE311" s="615">
        <v>3224857</v>
      </c>
      <c r="BF311" s="615">
        <v>3224857</v>
      </c>
      <c r="BG311" s="615">
        <v>3224857</v>
      </c>
      <c r="BH311" s="615">
        <v>3224857</v>
      </c>
      <c r="BI311" s="615">
        <v>3224857</v>
      </c>
      <c r="BJ311" s="615">
        <v>3224857</v>
      </c>
      <c r="BK311" s="615">
        <v>3224857</v>
      </c>
      <c r="BL311" s="615">
        <v>3224857</v>
      </c>
      <c r="BM311" s="615">
        <v>3224857</v>
      </c>
      <c r="BN311" s="615">
        <v>3224857</v>
      </c>
      <c r="BO311" s="615">
        <v>3224857</v>
      </c>
      <c r="BP311" s="615">
        <v>3224857</v>
      </c>
      <c r="BQ311" s="615">
        <v>3224857</v>
      </c>
      <c r="BR311" s="615">
        <v>3224857</v>
      </c>
      <c r="BS311" s="615">
        <v>3224857</v>
      </c>
      <c r="BT311" s="615">
        <v>3224857</v>
      </c>
      <c r="BU311" s="615">
        <v>3224862</v>
      </c>
      <c r="BV311" s="615">
        <v>275030000</v>
      </c>
      <c r="BW311" s="615">
        <v>0</v>
      </c>
      <c r="BX311" s="607">
        <f t="shared" si="11"/>
        <v>352426573</v>
      </c>
    </row>
    <row r="312" spans="1:76" s="612" customFormat="1" ht="12.95" customHeight="1" x14ac:dyDescent="0.2">
      <c r="A312" s="909"/>
      <c r="B312" s="611" t="s">
        <v>2982</v>
      </c>
      <c r="C312" s="641" t="s">
        <v>2981</v>
      </c>
      <c r="D312" s="615"/>
      <c r="E312" s="615"/>
      <c r="F312" s="615"/>
      <c r="G312" s="615"/>
      <c r="H312" s="585"/>
      <c r="I312" s="615"/>
      <c r="J312" s="615"/>
      <c r="K312" s="615"/>
      <c r="L312" s="615"/>
      <c r="M312" s="615"/>
      <c r="N312" s="615"/>
      <c r="O312" s="615"/>
      <c r="P312" s="615"/>
      <c r="Q312" s="615"/>
      <c r="R312" s="615"/>
      <c r="S312" s="615"/>
      <c r="T312" s="615"/>
      <c r="U312" s="615"/>
      <c r="V312" s="615"/>
      <c r="W312" s="615"/>
      <c r="X312" s="615"/>
      <c r="Y312" s="615">
        <v>0</v>
      </c>
      <c r="Z312" s="615">
        <v>0</v>
      </c>
      <c r="AA312" s="615">
        <v>0</v>
      </c>
      <c r="AB312" s="615">
        <v>0</v>
      </c>
      <c r="AC312" s="615">
        <v>0</v>
      </c>
      <c r="AD312" s="615">
        <v>0</v>
      </c>
      <c r="AE312" s="615">
        <v>0</v>
      </c>
      <c r="AF312" s="615">
        <v>0</v>
      </c>
      <c r="AG312" s="615">
        <v>0</v>
      </c>
      <c r="AH312" s="615">
        <v>0</v>
      </c>
      <c r="AI312" s="615">
        <v>0</v>
      </c>
      <c r="AJ312" s="615">
        <v>0</v>
      </c>
      <c r="AK312" s="615">
        <v>0</v>
      </c>
      <c r="AL312" s="615">
        <v>0</v>
      </c>
      <c r="AM312" s="615">
        <v>0</v>
      </c>
      <c r="AN312" s="615">
        <v>0</v>
      </c>
      <c r="AO312" s="615">
        <v>0</v>
      </c>
      <c r="AP312" s="615">
        <v>0</v>
      </c>
      <c r="AQ312" s="615">
        <v>0</v>
      </c>
      <c r="AR312" s="615">
        <v>0</v>
      </c>
      <c r="AS312" s="615">
        <v>0</v>
      </c>
      <c r="AT312" s="615">
        <v>0</v>
      </c>
      <c r="AU312" s="615">
        <v>0</v>
      </c>
      <c r="AV312" s="615">
        <v>0</v>
      </c>
      <c r="AW312" s="615">
        <v>4299714</v>
      </c>
      <c r="AX312" s="615">
        <v>4299714</v>
      </c>
      <c r="AY312" s="615">
        <v>4299714</v>
      </c>
      <c r="AZ312" s="615">
        <v>4299714</v>
      </c>
      <c r="BA312" s="615">
        <v>4299714</v>
      </c>
      <c r="BB312" s="615">
        <v>4299714</v>
      </c>
      <c r="BC312" s="615">
        <v>4299714</v>
      </c>
      <c r="BD312" s="615">
        <v>4299714</v>
      </c>
      <c r="BE312" s="615">
        <v>4299714</v>
      </c>
      <c r="BF312" s="615">
        <v>4299714</v>
      </c>
      <c r="BG312" s="615">
        <v>4299714</v>
      </c>
      <c r="BH312" s="615">
        <v>4299714</v>
      </c>
      <c r="BI312" s="615">
        <v>4299714</v>
      </c>
      <c r="BJ312" s="615">
        <v>4299714</v>
      </c>
      <c r="BK312" s="615">
        <v>4299714</v>
      </c>
      <c r="BL312" s="615">
        <v>4299714</v>
      </c>
      <c r="BM312" s="615">
        <v>4299714</v>
      </c>
      <c r="BN312" s="615">
        <v>4299714</v>
      </c>
      <c r="BO312" s="615">
        <v>4299714</v>
      </c>
      <c r="BP312" s="615">
        <v>4299714</v>
      </c>
      <c r="BQ312" s="615">
        <v>4299714</v>
      </c>
      <c r="BR312" s="615">
        <v>4299714</v>
      </c>
      <c r="BS312" s="615">
        <v>4299714</v>
      </c>
      <c r="BT312" s="615">
        <v>4299714</v>
      </c>
      <c r="BU312" s="615">
        <v>4299724</v>
      </c>
      <c r="BV312" s="615">
        <v>362810000</v>
      </c>
      <c r="BW312" s="615">
        <v>0</v>
      </c>
      <c r="BX312" s="607">
        <f t="shared" si="11"/>
        <v>470302860</v>
      </c>
    </row>
    <row r="313" spans="1:76" s="612" customFormat="1" ht="12.95" customHeight="1" x14ac:dyDescent="0.2">
      <c r="A313" s="909"/>
      <c r="B313" s="611" t="s">
        <v>4234</v>
      </c>
      <c r="C313" s="641" t="s">
        <v>4233</v>
      </c>
      <c r="D313" s="615"/>
      <c r="E313" s="615"/>
      <c r="F313" s="615"/>
      <c r="G313" s="615"/>
      <c r="H313" s="585"/>
      <c r="I313" s="615"/>
      <c r="J313" s="615"/>
      <c r="K313" s="615"/>
      <c r="L313" s="615"/>
      <c r="M313" s="615"/>
      <c r="N313" s="615"/>
      <c r="O313" s="615"/>
      <c r="P313" s="615"/>
      <c r="Q313" s="615"/>
      <c r="R313" s="615"/>
      <c r="S313" s="615"/>
      <c r="T313" s="615"/>
      <c r="U313" s="615"/>
      <c r="V313" s="615"/>
      <c r="W313" s="615"/>
      <c r="X313" s="615"/>
      <c r="Y313" s="615">
        <v>0</v>
      </c>
      <c r="Z313" s="615">
        <v>0</v>
      </c>
      <c r="AA313" s="615">
        <v>0</v>
      </c>
      <c r="AB313" s="615">
        <v>0</v>
      </c>
      <c r="AC313" s="615">
        <v>0</v>
      </c>
      <c r="AD313" s="615">
        <v>0</v>
      </c>
      <c r="AE313" s="615">
        <v>0</v>
      </c>
      <c r="AF313" s="615">
        <v>0</v>
      </c>
      <c r="AG313" s="615">
        <v>0</v>
      </c>
      <c r="AH313" s="615">
        <v>0</v>
      </c>
      <c r="AI313" s="615">
        <v>0</v>
      </c>
      <c r="AJ313" s="615">
        <v>0</v>
      </c>
      <c r="AK313" s="615">
        <v>0</v>
      </c>
      <c r="AL313" s="615">
        <v>0</v>
      </c>
      <c r="AM313" s="615">
        <v>0</v>
      </c>
      <c r="AN313" s="615">
        <v>0</v>
      </c>
      <c r="AO313" s="615">
        <v>0</v>
      </c>
      <c r="AP313" s="615">
        <v>0</v>
      </c>
      <c r="AQ313" s="615">
        <v>0</v>
      </c>
      <c r="AR313" s="615">
        <v>0</v>
      </c>
      <c r="AS313" s="615">
        <v>0</v>
      </c>
      <c r="AT313" s="615">
        <v>0</v>
      </c>
      <c r="AU313" s="615">
        <v>0</v>
      </c>
      <c r="AV313" s="615">
        <v>0</v>
      </c>
      <c r="AW313" s="615">
        <v>3500000</v>
      </c>
      <c r="AX313" s="615">
        <v>3500000</v>
      </c>
      <c r="AY313" s="615">
        <v>3500000</v>
      </c>
      <c r="AZ313" s="615">
        <v>3500000</v>
      </c>
      <c r="BA313" s="615">
        <v>3500000</v>
      </c>
      <c r="BB313" s="615">
        <v>3500000</v>
      </c>
      <c r="BC313" s="615">
        <v>3500000</v>
      </c>
      <c r="BD313" s="615">
        <v>3500000</v>
      </c>
      <c r="BE313" s="615">
        <v>3500000</v>
      </c>
      <c r="BF313" s="615">
        <v>3500000</v>
      </c>
      <c r="BG313" s="615">
        <v>3500000</v>
      </c>
      <c r="BH313" s="615">
        <v>3500000</v>
      </c>
      <c r="BI313" s="615">
        <v>3500000</v>
      </c>
      <c r="BJ313" s="615">
        <v>3500000</v>
      </c>
      <c r="BK313" s="615">
        <v>3500000</v>
      </c>
      <c r="BL313" s="615">
        <v>6300000</v>
      </c>
      <c r="BM313" s="615">
        <v>3500000</v>
      </c>
      <c r="BN313" s="615">
        <v>3500000</v>
      </c>
      <c r="BO313" s="615">
        <v>3500000</v>
      </c>
      <c r="BP313" s="615">
        <v>3500000</v>
      </c>
      <c r="BQ313" s="615">
        <v>3500000</v>
      </c>
      <c r="BR313" s="615">
        <v>3500000</v>
      </c>
      <c r="BS313" s="615">
        <v>3500000</v>
      </c>
      <c r="BT313" s="615">
        <v>3500000</v>
      </c>
      <c r="BU313" s="615">
        <v>3500000</v>
      </c>
      <c r="BV313" s="615">
        <v>308700000</v>
      </c>
      <c r="BW313" s="615">
        <v>0</v>
      </c>
      <c r="BX313" s="607">
        <f t="shared" si="11"/>
        <v>399000000</v>
      </c>
    </row>
    <row r="314" spans="1:76" s="612" customFormat="1" ht="12.95" customHeight="1" x14ac:dyDescent="0.2">
      <c r="A314" s="909"/>
      <c r="B314" s="611" t="s">
        <v>4236</v>
      </c>
      <c r="C314" s="641" t="s">
        <v>4235</v>
      </c>
      <c r="D314" s="615"/>
      <c r="E314" s="615"/>
      <c r="F314" s="615"/>
      <c r="G314" s="615"/>
      <c r="H314" s="585"/>
      <c r="I314" s="615"/>
      <c r="J314" s="615"/>
      <c r="K314" s="615"/>
      <c r="L314" s="615"/>
      <c r="M314" s="615"/>
      <c r="N314" s="615"/>
      <c r="O314" s="615"/>
      <c r="P314" s="615"/>
      <c r="Q314" s="615"/>
      <c r="R314" s="615"/>
      <c r="S314" s="615"/>
      <c r="T314" s="615"/>
      <c r="U314" s="615"/>
      <c r="V314" s="615"/>
      <c r="W314" s="615"/>
      <c r="X314" s="615"/>
      <c r="Y314" s="615">
        <v>0</v>
      </c>
      <c r="Z314" s="615">
        <v>0</v>
      </c>
      <c r="AA314" s="615">
        <v>0</v>
      </c>
      <c r="AB314" s="615">
        <v>0</v>
      </c>
      <c r="AC314" s="615">
        <v>0</v>
      </c>
      <c r="AD314" s="615">
        <v>0</v>
      </c>
      <c r="AE314" s="615">
        <v>0</v>
      </c>
      <c r="AF314" s="615">
        <v>0</v>
      </c>
      <c r="AG314" s="615">
        <v>0</v>
      </c>
      <c r="AH314" s="615">
        <v>0</v>
      </c>
      <c r="AI314" s="615">
        <v>0</v>
      </c>
      <c r="AJ314" s="615">
        <v>0</v>
      </c>
      <c r="AK314" s="615">
        <v>0</v>
      </c>
      <c r="AL314" s="615">
        <v>0</v>
      </c>
      <c r="AM314" s="615">
        <v>0</v>
      </c>
      <c r="AN314" s="615">
        <v>0</v>
      </c>
      <c r="AO314" s="615">
        <v>0</v>
      </c>
      <c r="AP314" s="615">
        <v>0</v>
      </c>
      <c r="AQ314" s="615">
        <v>0</v>
      </c>
      <c r="AR314" s="615">
        <v>0</v>
      </c>
      <c r="AS314" s="615">
        <v>0</v>
      </c>
      <c r="AT314" s="615">
        <v>0</v>
      </c>
      <c r="AU314" s="615">
        <v>0</v>
      </c>
      <c r="AV314" s="615">
        <v>0</v>
      </c>
      <c r="AW314" s="615">
        <v>6247917</v>
      </c>
      <c r="AX314" s="615">
        <v>6247917</v>
      </c>
      <c r="AY314" s="615">
        <v>6247917</v>
      </c>
      <c r="AZ314" s="615">
        <v>6247917</v>
      </c>
      <c r="BA314" s="615">
        <v>6247917</v>
      </c>
      <c r="BB314" s="615">
        <v>6247917</v>
      </c>
      <c r="BC314" s="615">
        <v>6247917</v>
      </c>
      <c r="BD314" s="615">
        <v>6247917</v>
      </c>
      <c r="BE314" s="615">
        <v>6247917</v>
      </c>
      <c r="BF314" s="615">
        <v>6247917</v>
      </c>
      <c r="BG314" s="615">
        <v>6247917</v>
      </c>
      <c r="BH314" s="615">
        <v>6247917</v>
      </c>
      <c r="BI314" s="615">
        <v>6247917</v>
      </c>
      <c r="BJ314" s="615">
        <v>6247917</v>
      </c>
      <c r="BK314" s="615">
        <v>6247917</v>
      </c>
      <c r="BL314" s="615">
        <v>6247917</v>
      </c>
      <c r="BM314" s="615">
        <v>6247917</v>
      </c>
      <c r="BN314" s="615">
        <v>6247917</v>
      </c>
      <c r="BO314" s="615">
        <v>6247917</v>
      </c>
      <c r="BP314" s="615">
        <v>6247917</v>
      </c>
      <c r="BQ314" s="615">
        <v>6247917</v>
      </c>
      <c r="BR314" s="615">
        <v>6247917</v>
      </c>
      <c r="BS314" s="615">
        <v>6247917</v>
      </c>
      <c r="BT314" s="615">
        <v>6247917</v>
      </c>
      <c r="BU314" s="615">
        <v>6247925</v>
      </c>
      <c r="BV314" s="615">
        <v>405285458</v>
      </c>
      <c r="BW314" s="615">
        <v>0</v>
      </c>
      <c r="BX314" s="607">
        <f t="shared" si="11"/>
        <v>561483391</v>
      </c>
    </row>
    <row r="315" spans="1:76" s="612" customFormat="1" ht="12.95" customHeight="1" x14ac:dyDescent="0.2">
      <c r="A315" s="909"/>
      <c r="B315" s="611" t="s">
        <v>2984</v>
      </c>
      <c r="C315" s="641" t="s">
        <v>2983</v>
      </c>
      <c r="D315" s="615"/>
      <c r="E315" s="615"/>
      <c r="F315" s="615"/>
      <c r="G315" s="615"/>
      <c r="H315" s="585"/>
      <c r="I315" s="615"/>
      <c r="J315" s="615"/>
      <c r="K315" s="615"/>
      <c r="L315" s="615"/>
      <c r="M315" s="615"/>
      <c r="N315" s="615"/>
      <c r="O315" s="615"/>
      <c r="P315" s="615"/>
      <c r="Q315" s="615"/>
      <c r="R315" s="615"/>
      <c r="S315" s="615"/>
      <c r="T315" s="615"/>
      <c r="U315" s="615"/>
      <c r="V315" s="615"/>
      <c r="W315" s="615"/>
      <c r="X315" s="615"/>
      <c r="Y315" s="615">
        <v>0</v>
      </c>
      <c r="Z315" s="615">
        <v>0</v>
      </c>
      <c r="AA315" s="615">
        <v>0</v>
      </c>
      <c r="AB315" s="615">
        <v>0</v>
      </c>
      <c r="AC315" s="615">
        <v>0</v>
      </c>
      <c r="AD315" s="615">
        <v>0</v>
      </c>
      <c r="AE315" s="615">
        <v>0</v>
      </c>
      <c r="AF315" s="615">
        <v>0</v>
      </c>
      <c r="AG315" s="615">
        <v>0</v>
      </c>
      <c r="AH315" s="615">
        <v>0</v>
      </c>
      <c r="AI315" s="615">
        <v>0</v>
      </c>
      <c r="AJ315" s="615">
        <v>0</v>
      </c>
      <c r="AK315" s="615">
        <v>0</v>
      </c>
      <c r="AL315" s="615">
        <v>0</v>
      </c>
      <c r="AM315" s="615">
        <v>0</v>
      </c>
      <c r="AN315" s="615">
        <v>0</v>
      </c>
      <c r="AO315" s="615">
        <v>0</v>
      </c>
      <c r="AP315" s="615">
        <v>0</v>
      </c>
      <c r="AQ315" s="615">
        <v>0</v>
      </c>
      <c r="AR315" s="615">
        <v>0</v>
      </c>
      <c r="AS315" s="615">
        <v>0</v>
      </c>
      <c r="AT315" s="615">
        <v>0</v>
      </c>
      <c r="AU315" s="615">
        <v>0</v>
      </c>
      <c r="AV315" s="615">
        <v>0</v>
      </c>
      <c r="AW315" s="615">
        <v>1000000</v>
      </c>
      <c r="AX315" s="615">
        <v>1000000</v>
      </c>
      <c r="AY315" s="615">
        <v>1000000</v>
      </c>
      <c r="AZ315" s="615">
        <v>8000000</v>
      </c>
      <c r="BA315" s="615">
        <v>1000000</v>
      </c>
      <c r="BB315" s="615">
        <v>1000000</v>
      </c>
      <c r="BC315" s="615">
        <v>1000000</v>
      </c>
      <c r="BD315" s="615">
        <v>1000000</v>
      </c>
      <c r="BE315" s="615">
        <v>1000000</v>
      </c>
      <c r="BF315" s="615">
        <v>8000000</v>
      </c>
      <c r="BG315" s="615">
        <v>1000000</v>
      </c>
      <c r="BH315" s="615">
        <v>1000000</v>
      </c>
      <c r="BI315" s="615">
        <v>1000000</v>
      </c>
      <c r="BJ315" s="615">
        <v>1000000</v>
      </c>
      <c r="BK315" s="615">
        <v>1000000</v>
      </c>
      <c r="BL315" s="615">
        <v>8000000</v>
      </c>
      <c r="BM315" s="615">
        <v>1000000</v>
      </c>
      <c r="BN315" s="615">
        <v>1000000</v>
      </c>
      <c r="BO315" s="615">
        <v>55564608</v>
      </c>
      <c r="BP315" s="615">
        <v>1000000</v>
      </c>
      <c r="BQ315" s="615">
        <v>1000000</v>
      </c>
      <c r="BR315" s="615">
        <v>8000000</v>
      </c>
      <c r="BS315" s="615">
        <v>1000000</v>
      </c>
      <c r="BT315" s="615">
        <v>1000000</v>
      </c>
      <c r="BU315" s="615">
        <v>1000000</v>
      </c>
      <c r="BV315" s="615">
        <v>274750000</v>
      </c>
      <c r="BW315" s="615">
        <v>0</v>
      </c>
      <c r="BX315" s="607">
        <f t="shared" si="11"/>
        <v>382314608</v>
      </c>
    </row>
    <row r="316" spans="1:76" s="612" customFormat="1" ht="12.95" customHeight="1" x14ac:dyDescent="0.2">
      <c r="A316" s="909"/>
      <c r="B316" s="611" t="s">
        <v>3147</v>
      </c>
      <c r="C316" s="641" t="s">
        <v>3146</v>
      </c>
      <c r="D316" s="615"/>
      <c r="E316" s="615"/>
      <c r="F316" s="615"/>
      <c r="G316" s="615"/>
      <c r="H316" s="585"/>
      <c r="I316" s="615"/>
      <c r="J316" s="615"/>
      <c r="K316" s="615"/>
      <c r="L316" s="615"/>
      <c r="M316" s="615"/>
      <c r="N316" s="615"/>
      <c r="O316" s="615"/>
      <c r="P316" s="615"/>
      <c r="Q316" s="615"/>
      <c r="R316" s="615"/>
      <c r="S316" s="615"/>
      <c r="T316" s="615"/>
      <c r="U316" s="615"/>
      <c r="V316" s="615"/>
      <c r="W316" s="615"/>
      <c r="X316" s="615"/>
      <c r="Y316" s="615">
        <v>0</v>
      </c>
      <c r="Z316" s="615">
        <v>0</v>
      </c>
      <c r="AA316" s="615">
        <v>0</v>
      </c>
      <c r="AB316" s="615">
        <v>0</v>
      </c>
      <c r="AC316" s="615">
        <v>0</v>
      </c>
      <c r="AD316" s="615">
        <v>0</v>
      </c>
      <c r="AE316" s="615">
        <v>0</v>
      </c>
      <c r="AF316" s="615">
        <v>0</v>
      </c>
      <c r="AG316" s="615">
        <v>0</v>
      </c>
      <c r="AH316" s="615">
        <v>0</v>
      </c>
      <c r="AI316" s="615">
        <v>0</v>
      </c>
      <c r="AJ316" s="615">
        <v>0</v>
      </c>
      <c r="AK316" s="615">
        <v>0</v>
      </c>
      <c r="AL316" s="615">
        <v>0</v>
      </c>
      <c r="AM316" s="615">
        <v>0</v>
      </c>
      <c r="AN316" s="615">
        <v>0</v>
      </c>
      <c r="AO316" s="615">
        <v>0</v>
      </c>
      <c r="AP316" s="615">
        <v>0</v>
      </c>
      <c r="AQ316" s="615">
        <v>0</v>
      </c>
      <c r="AR316" s="615">
        <v>0</v>
      </c>
      <c r="AS316" s="615">
        <v>0</v>
      </c>
      <c r="AT316" s="615">
        <v>0</v>
      </c>
      <c r="AU316" s="615">
        <v>0</v>
      </c>
      <c r="AV316" s="615">
        <v>0</v>
      </c>
      <c r="AW316" s="615">
        <v>4465902</v>
      </c>
      <c r="AX316" s="615">
        <v>4465904</v>
      </c>
      <c r="AY316" s="615">
        <v>4465904</v>
      </c>
      <c r="AZ316" s="615">
        <v>4465904</v>
      </c>
      <c r="BA316" s="615">
        <v>4465904</v>
      </c>
      <c r="BB316" s="615">
        <v>4465904</v>
      </c>
      <c r="BC316" s="615">
        <v>4465904</v>
      </c>
      <c r="BD316" s="615">
        <v>4465904</v>
      </c>
      <c r="BE316" s="615">
        <v>4465904</v>
      </c>
      <c r="BF316" s="615">
        <v>4465904</v>
      </c>
      <c r="BG316" s="615">
        <v>4465904</v>
      </c>
      <c r="BH316" s="615">
        <v>4465904</v>
      </c>
      <c r="BI316" s="615">
        <v>4465904</v>
      </c>
      <c r="BJ316" s="615">
        <v>4465904</v>
      </c>
      <c r="BK316" s="615">
        <v>4465904</v>
      </c>
      <c r="BL316" s="615">
        <v>4465904</v>
      </c>
      <c r="BM316" s="615">
        <v>4465904</v>
      </c>
      <c r="BN316" s="615">
        <v>4465904</v>
      </c>
      <c r="BO316" s="615">
        <v>4465904</v>
      </c>
      <c r="BP316" s="615">
        <v>4465904</v>
      </c>
      <c r="BQ316" s="615">
        <v>4465904</v>
      </c>
      <c r="BR316" s="615">
        <v>4465904</v>
      </c>
      <c r="BS316" s="615">
        <v>4465904</v>
      </c>
      <c r="BT316" s="615">
        <v>4465904</v>
      </c>
      <c r="BU316" s="615">
        <v>4465918</v>
      </c>
      <c r="BV316" s="615">
        <v>365961750</v>
      </c>
      <c r="BW316" s="615">
        <v>0</v>
      </c>
      <c r="BX316" s="607">
        <f t="shared" si="11"/>
        <v>477609362</v>
      </c>
    </row>
    <row r="317" spans="1:76" s="612" customFormat="1" ht="12.95" customHeight="1" x14ac:dyDescent="0.2">
      <c r="A317" s="909"/>
      <c r="B317" s="611" t="s">
        <v>2250</v>
      </c>
      <c r="C317" s="641" t="s">
        <v>3437</v>
      </c>
      <c r="D317" s="615"/>
      <c r="E317" s="615"/>
      <c r="F317" s="615"/>
      <c r="G317" s="615"/>
      <c r="H317" s="585"/>
      <c r="I317" s="615"/>
      <c r="J317" s="615"/>
      <c r="K317" s="615"/>
      <c r="L317" s="615"/>
      <c r="M317" s="615"/>
      <c r="N317" s="615"/>
      <c r="O317" s="615"/>
      <c r="P317" s="615"/>
      <c r="Q317" s="615"/>
      <c r="R317" s="615"/>
      <c r="S317" s="615"/>
      <c r="T317" s="615"/>
      <c r="U317" s="615"/>
      <c r="V317" s="615"/>
      <c r="W317" s="615"/>
      <c r="X317" s="615"/>
      <c r="Y317" s="615">
        <v>0</v>
      </c>
      <c r="Z317" s="615">
        <v>0</v>
      </c>
      <c r="AA317" s="615">
        <v>0</v>
      </c>
      <c r="AB317" s="615">
        <v>0</v>
      </c>
      <c r="AC317" s="615">
        <v>0</v>
      </c>
      <c r="AD317" s="615">
        <v>0</v>
      </c>
      <c r="AE317" s="615">
        <v>0</v>
      </c>
      <c r="AF317" s="615">
        <v>0</v>
      </c>
      <c r="AG317" s="615">
        <v>0</v>
      </c>
      <c r="AH317" s="615">
        <v>0</v>
      </c>
      <c r="AI317" s="615">
        <v>0</v>
      </c>
      <c r="AJ317" s="615">
        <v>0</v>
      </c>
      <c r="AK317" s="615">
        <v>0</v>
      </c>
      <c r="AL317" s="615">
        <v>0</v>
      </c>
      <c r="AM317" s="615">
        <v>0</v>
      </c>
      <c r="AN317" s="615">
        <v>0</v>
      </c>
      <c r="AO317" s="615">
        <v>0</v>
      </c>
      <c r="AP317" s="615">
        <v>0</v>
      </c>
      <c r="AQ317" s="615">
        <v>0</v>
      </c>
      <c r="AR317" s="615">
        <v>0</v>
      </c>
      <c r="AS317" s="615">
        <v>0</v>
      </c>
      <c r="AT317" s="615">
        <v>0</v>
      </c>
      <c r="AU317" s="615">
        <v>0</v>
      </c>
      <c r="AV317" s="615">
        <v>0</v>
      </c>
      <c r="AW317" s="615">
        <v>1593450</v>
      </c>
      <c r="AX317" s="615">
        <v>4318690</v>
      </c>
      <c r="AY317" s="615">
        <v>4318690</v>
      </c>
      <c r="AZ317" s="615">
        <v>4318690</v>
      </c>
      <c r="BA317" s="615">
        <v>4318690</v>
      </c>
      <c r="BB317" s="615">
        <v>4318690</v>
      </c>
      <c r="BC317" s="615">
        <v>4318690</v>
      </c>
      <c r="BD317" s="615">
        <v>4318690</v>
      </c>
      <c r="BE317" s="615">
        <v>4318690</v>
      </c>
      <c r="BF317" s="615">
        <v>4318690</v>
      </c>
      <c r="BG317" s="615">
        <v>4318690</v>
      </c>
      <c r="BH317" s="615">
        <v>4318690</v>
      </c>
      <c r="BI317" s="615">
        <v>4318690</v>
      </c>
      <c r="BJ317" s="615">
        <v>4318690</v>
      </c>
      <c r="BK317" s="615">
        <v>4318690</v>
      </c>
      <c r="BL317" s="615">
        <v>4318690</v>
      </c>
      <c r="BM317" s="615">
        <v>4318690</v>
      </c>
      <c r="BN317" s="615">
        <v>4318690</v>
      </c>
      <c r="BO317" s="615">
        <v>4318690</v>
      </c>
      <c r="BP317" s="615">
        <v>4318690</v>
      </c>
      <c r="BQ317" s="615">
        <v>4318690</v>
      </c>
      <c r="BR317" s="615">
        <v>4318690</v>
      </c>
      <c r="BS317" s="615">
        <v>4318690</v>
      </c>
      <c r="BT317" s="615">
        <v>4318690</v>
      </c>
      <c r="BU317" s="615">
        <v>4318680</v>
      </c>
      <c r="BV317" s="615">
        <v>303898000</v>
      </c>
      <c r="BW317" s="615">
        <v>0</v>
      </c>
      <c r="BX317" s="607">
        <f t="shared" si="11"/>
        <v>409140000</v>
      </c>
    </row>
    <row r="318" spans="1:76" s="612" customFormat="1" ht="12.95" customHeight="1" x14ac:dyDescent="0.2">
      <c r="A318" s="909"/>
      <c r="B318" s="611" t="s">
        <v>3219</v>
      </c>
      <c r="C318" s="641" t="s">
        <v>3218</v>
      </c>
      <c r="D318" s="615"/>
      <c r="E318" s="615"/>
      <c r="F318" s="615"/>
      <c r="G318" s="615"/>
      <c r="H318" s="585"/>
      <c r="I318" s="615"/>
      <c r="J318" s="615"/>
      <c r="K318" s="615"/>
      <c r="L318" s="615"/>
      <c r="M318" s="615"/>
      <c r="N318" s="615"/>
      <c r="O318" s="615"/>
      <c r="P318" s="615"/>
      <c r="Q318" s="615"/>
      <c r="R318" s="615"/>
      <c r="S318" s="615"/>
      <c r="T318" s="615"/>
      <c r="U318" s="615"/>
      <c r="V318" s="615"/>
      <c r="W318" s="615"/>
      <c r="X318" s="615"/>
      <c r="Y318" s="615">
        <v>0</v>
      </c>
      <c r="Z318" s="615">
        <v>0</v>
      </c>
      <c r="AA318" s="615">
        <v>0</v>
      </c>
      <c r="AB318" s="615">
        <v>0</v>
      </c>
      <c r="AC318" s="615">
        <v>0</v>
      </c>
      <c r="AD318" s="615">
        <v>0</v>
      </c>
      <c r="AE318" s="615">
        <v>0</v>
      </c>
      <c r="AF318" s="615">
        <v>0</v>
      </c>
      <c r="AG318" s="615">
        <v>0</v>
      </c>
      <c r="AH318" s="615">
        <v>0</v>
      </c>
      <c r="AI318" s="615">
        <v>0</v>
      </c>
      <c r="AJ318" s="615">
        <v>0</v>
      </c>
      <c r="AK318" s="615">
        <v>0</v>
      </c>
      <c r="AL318" s="615">
        <v>0</v>
      </c>
      <c r="AM318" s="615">
        <v>0</v>
      </c>
      <c r="AN318" s="615">
        <v>0</v>
      </c>
      <c r="AO318" s="615">
        <v>0</v>
      </c>
      <c r="AP318" s="615">
        <v>0</v>
      </c>
      <c r="AQ318" s="615">
        <v>0</v>
      </c>
      <c r="AR318" s="615">
        <v>0</v>
      </c>
      <c r="AS318" s="615">
        <v>0</v>
      </c>
      <c r="AT318" s="615">
        <v>0</v>
      </c>
      <c r="AU318" s="615">
        <v>0</v>
      </c>
      <c r="AV318" s="615">
        <v>0</v>
      </c>
      <c r="AW318" s="615">
        <v>5058858</v>
      </c>
      <c r="AX318" s="615">
        <v>5061667</v>
      </c>
      <c r="AY318" s="615">
        <v>5061667</v>
      </c>
      <c r="AZ318" s="615">
        <v>5061667</v>
      </c>
      <c r="BA318" s="615">
        <v>5061667</v>
      </c>
      <c r="BB318" s="615">
        <v>5061667</v>
      </c>
      <c r="BC318" s="615">
        <v>5061667</v>
      </c>
      <c r="BD318" s="615">
        <v>5061667</v>
      </c>
      <c r="BE318" s="615">
        <v>5061667</v>
      </c>
      <c r="BF318" s="615">
        <v>5061667</v>
      </c>
      <c r="BG318" s="615">
        <v>5061667</v>
      </c>
      <c r="BH318" s="615">
        <v>5061667</v>
      </c>
      <c r="BI318" s="615">
        <v>5061667</v>
      </c>
      <c r="BJ318" s="615">
        <v>5061667</v>
      </c>
      <c r="BK318" s="615">
        <v>5061667</v>
      </c>
      <c r="BL318" s="615">
        <v>5061666</v>
      </c>
      <c r="BM318" s="615">
        <v>5061666</v>
      </c>
      <c r="BN318" s="615">
        <v>5061666</v>
      </c>
      <c r="BO318" s="615">
        <v>5061666</v>
      </c>
      <c r="BP318" s="615">
        <v>5061666</v>
      </c>
      <c r="BQ318" s="615">
        <v>5061666</v>
      </c>
      <c r="BR318" s="615">
        <v>5061666</v>
      </c>
      <c r="BS318" s="615">
        <v>5061666</v>
      </c>
      <c r="BT318" s="615">
        <v>5061666</v>
      </c>
      <c r="BU318" s="615">
        <v>5061666</v>
      </c>
      <c r="BV318" s="615">
        <v>5061666</v>
      </c>
      <c r="BW318" s="615">
        <v>401415000</v>
      </c>
      <c r="BX318" s="607">
        <f t="shared" si="11"/>
        <v>533015522</v>
      </c>
    </row>
    <row r="319" spans="1:76" s="612" customFormat="1" ht="12.95" customHeight="1" x14ac:dyDescent="0.2">
      <c r="A319" s="909"/>
      <c r="B319" s="611" t="s">
        <v>2699</v>
      </c>
      <c r="C319" s="641" t="s">
        <v>2698</v>
      </c>
      <c r="D319" s="615"/>
      <c r="E319" s="615"/>
      <c r="F319" s="615"/>
      <c r="G319" s="615"/>
      <c r="H319" s="585"/>
      <c r="I319" s="615"/>
      <c r="J319" s="615"/>
      <c r="K319" s="615"/>
      <c r="L319" s="615"/>
      <c r="M319" s="615"/>
      <c r="N319" s="615"/>
      <c r="O319" s="615"/>
      <c r="P319" s="615"/>
      <c r="Q319" s="615"/>
      <c r="R319" s="615"/>
      <c r="S319" s="615"/>
      <c r="T319" s="615"/>
      <c r="U319" s="615"/>
      <c r="V319" s="615"/>
      <c r="W319" s="615"/>
      <c r="X319" s="615"/>
      <c r="Y319" s="615">
        <v>0</v>
      </c>
      <c r="Z319" s="615">
        <v>0</v>
      </c>
      <c r="AA319" s="615">
        <v>0</v>
      </c>
      <c r="AB319" s="615">
        <v>0</v>
      </c>
      <c r="AC319" s="615">
        <v>0</v>
      </c>
      <c r="AD319" s="615">
        <v>0</v>
      </c>
      <c r="AE319" s="615">
        <v>0</v>
      </c>
      <c r="AF319" s="615">
        <v>0</v>
      </c>
      <c r="AG319" s="615">
        <v>0</v>
      </c>
      <c r="AH319" s="615">
        <v>0</v>
      </c>
      <c r="AI319" s="615">
        <v>0</v>
      </c>
      <c r="AJ319" s="615">
        <v>0</v>
      </c>
      <c r="AK319" s="615">
        <v>0</v>
      </c>
      <c r="AL319" s="615">
        <v>0</v>
      </c>
      <c r="AM319" s="615">
        <v>0</v>
      </c>
      <c r="AN319" s="615">
        <v>0</v>
      </c>
      <c r="AO319" s="615">
        <v>0</v>
      </c>
      <c r="AP319" s="615">
        <v>0</v>
      </c>
      <c r="AQ319" s="615">
        <v>0</v>
      </c>
      <c r="AR319" s="615">
        <v>0</v>
      </c>
      <c r="AS319" s="615">
        <v>0</v>
      </c>
      <c r="AT319" s="615">
        <v>0</v>
      </c>
      <c r="AU319" s="615">
        <v>0</v>
      </c>
      <c r="AV319" s="615">
        <v>0</v>
      </c>
      <c r="AW319" s="615">
        <v>4381143</v>
      </c>
      <c r="AX319" s="615">
        <v>4381143</v>
      </c>
      <c r="AY319" s="615">
        <v>4381143</v>
      </c>
      <c r="AZ319" s="615">
        <v>4381143</v>
      </c>
      <c r="BA319" s="615">
        <v>4381143</v>
      </c>
      <c r="BB319" s="615">
        <v>4381143</v>
      </c>
      <c r="BC319" s="615">
        <v>4381143</v>
      </c>
      <c r="BD319" s="615">
        <v>4381143</v>
      </c>
      <c r="BE319" s="615">
        <v>4381143</v>
      </c>
      <c r="BF319" s="615">
        <v>4381143</v>
      </c>
      <c r="BG319" s="615">
        <v>4381143</v>
      </c>
      <c r="BH319" s="615">
        <v>4381143</v>
      </c>
      <c r="BI319" s="615">
        <v>4381143</v>
      </c>
      <c r="BJ319" s="615">
        <v>4381143</v>
      </c>
      <c r="BK319" s="615">
        <v>4381143</v>
      </c>
      <c r="BL319" s="615">
        <v>4381143</v>
      </c>
      <c r="BM319" s="615">
        <v>4381143</v>
      </c>
      <c r="BN319" s="615">
        <v>4381143</v>
      </c>
      <c r="BO319" s="615">
        <v>4381143</v>
      </c>
      <c r="BP319" s="615">
        <v>4381143</v>
      </c>
      <c r="BQ319" s="615">
        <v>4381143</v>
      </c>
      <c r="BR319" s="615">
        <v>4381143</v>
      </c>
      <c r="BS319" s="615">
        <v>4381143</v>
      </c>
      <c r="BT319" s="615">
        <v>4381143</v>
      </c>
      <c r="BU319" s="615">
        <v>4391138</v>
      </c>
      <c r="BV319" s="615">
        <v>369450000</v>
      </c>
      <c r="BW319" s="615">
        <v>0</v>
      </c>
      <c r="BX319" s="607">
        <f t="shared" si="11"/>
        <v>478988570</v>
      </c>
    </row>
    <row r="320" spans="1:76" s="612" customFormat="1" ht="12.95" customHeight="1" x14ac:dyDescent="0.2">
      <c r="A320" s="909"/>
      <c r="B320" s="611" t="s">
        <v>2986</v>
      </c>
      <c r="C320" s="641" t="s">
        <v>2985</v>
      </c>
      <c r="D320" s="615"/>
      <c r="E320" s="615"/>
      <c r="F320" s="615"/>
      <c r="G320" s="615"/>
      <c r="H320" s="585"/>
      <c r="I320" s="615"/>
      <c r="J320" s="615"/>
      <c r="K320" s="615"/>
      <c r="L320" s="615"/>
      <c r="M320" s="615"/>
      <c r="N320" s="615"/>
      <c r="O320" s="615"/>
      <c r="P320" s="615"/>
      <c r="Q320" s="615"/>
      <c r="R320" s="615"/>
      <c r="S320" s="615"/>
      <c r="T320" s="615"/>
      <c r="U320" s="615"/>
      <c r="V320" s="615"/>
      <c r="W320" s="615"/>
      <c r="X320" s="615"/>
      <c r="Y320" s="615">
        <v>0</v>
      </c>
      <c r="Z320" s="615">
        <v>0</v>
      </c>
      <c r="AA320" s="615">
        <v>0</v>
      </c>
      <c r="AB320" s="615">
        <v>0</v>
      </c>
      <c r="AC320" s="615">
        <v>0</v>
      </c>
      <c r="AD320" s="615">
        <v>0</v>
      </c>
      <c r="AE320" s="615">
        <v>0</v>
      </c>
      <c r="AF320" s="615">
        <v>0</v>
      </c>
      <c r="AG320" s="615">
        <v>0</v>
      </c>
      <c r="AH320" s="615">
        <v>0</v>
      </c>
      <c r="AI320" s="615">
        <v>0</v>
      </c>
      <c r="AJ320" s="615">
        <v>0</v>
      </c>
      <c r="AK320" s="615">
        <v>0</v>
      </c>
      <c r="AL320" s="615">
        <v>0</v>
      </c>
      <c r="AM320" s="615">
        <v>0</v>
      </c>
      <c r="AN320" s="615">
        <v>0</v>
      </c>
      <c r="AO320" s="615">
        <v>0</v>
      </c>
      <c r="AP320" s="615">
        <v>0</v>
      </c>
      <c r="AQ320" s="615">
        <v>0</v>
      </c>
      <c r="AR320" s="615">
        <v>0</v>
      </c>
      <c r="AS320" s="615">
        <v>0</v>
      </c>
      <c r="AT320" s="615">
        <v>0</v>
      </c>
      <c r="AU320" s="615">
        <v>0</v>
      </c>
      <c r="AV320" s="615">
        <v>0</v>
      </c>
      <c r="AW320" s="615">
        <v>1954281</v>
      </c>
      <c r="AX320" s="615">
        <v>3268571</v>
      </c>
      <c r="AY320" s="615">
        <v>3268571</v>
      </c>
      <c r="AZ320" s="615">
        <v>3268571</v>
      </c>
      <c r="BA320" s="615">
        <v>3268571</v>
      </c>
      <c r="BB320" s="615">
        <v>3268571</v>
      </c>
      <c r="BC320" s="615">
        <v>3268571</v>
      </c>
      <c r="BD320" s="615">
        <v>3268571</v>
      </c>
      <c r="BE320" s="615">
        <v>3268571</v>
      </c>
      <c r="BF320" s="615">
        <v>3268571</v>
      </c>
      <c r="BG320" s="615">
        <v>3268571</v>
      </c>
      <c r="BH320" s="615">
        <v>3268571</v>
      </c>
      <c r="BI320" s="615">
        <v>3268571</v>
      </c>
      <c r="BJ320" s="615">
        <v>3268571</v>
      </c>
      <c r="BK320" s="615">
        <v>3268571</v>
      </c>
      <c r="BL320" s="615">
        <v>3268571</v>
      </c>
      <c r="BM320" s="615">
        <v>3268571</v>
      </c>
      <c r="BN320" s="615">
        <v>3268571</v>
      </c>
      <c r="BO320" s="615">
        <v>3268571</v>
      </c>
      <c r="BP320" s="615">
        <v>3268571</v>
      </c>
      <c r="BQ320" s="615">
        <v>3268571</v>
      </c>
      <c r="BR320" s="615">
        <v>3268571</v>
      </c>
      <c r="BS320" s="615">
        <v>3268571</v>
      </c>
      <c r="BT320" s="615">
        <v>3268571</v>
      </c>
      <c r="BU320" s="615">
        <v>3268586</v>
      </c>
      <c r="BV320" s="615">
        <v>278600000</v>
      </c>
      <c r="BW320" s="615">
        <v>0</v>
      </c>
      <c r="BX320" s="607">
        <f t="shared" si="11"/>
        <v>359000000</v>
      </c>
    </row>
    <row r="321" spans="1:76" s="612" customFormat="1" ht="12.95" customHeight="1" x14ac:dyDescent="0.2">
      <c r="A321" s="909"/>
      <c r="B321" s="611" t="s">
        <v>2701</v>
      </c>
      <c r="C321" s="641" t="s">
        <v>2700</v>
      </c>
      <c r="D321" s="615"/>
      <c r="E321" s="615"/>
      <c r="F321" s="615"/>
      <c r="G321" s="615"/>
      <c r="H321" s="585"/>
      <c r="I321" s="615"/>
      <c r="J321" s="615"/>
      <c r="K321" s="615"/>
      <c r="L321" s="615"/>
      <c r="M321" s="615"/>
      <c r="N321" s="615"/>
      <c r="O321" s="615"/>
      <c r="P321" s="615"/>
      <c r="Q321" s="615"/>
      <c r="R321" s="615"/>
      <c r="S321" s="615"/>
      <c r="T321" s="615"/>
      <c r="U321" s="615"/>
      <c r="V321" s="615"/>
      <c r="W321" s="615"/>
      <c r="X321" s="615"/>
      <c r="Y321" s="615">
        <v>0</v>
      </c>
      <c r="Z321" s="615">
        <v>0</v>
      </c>
      <c r="AA321" s="615">
        <v>0</v>
      </c>
      <c r="AB321" s="615">
        <v>0</v>
      </c>
      <c r="AC321" s="615">
        <v>0</v>
      </c>
      <c r="AD321" s="615">
        <v>0</v>
      </c>
      <c r="AE321" s="615">
        <v>0</v>
      </c>
      <c r="AF321" s="615">
        <v>0</v>
      </c>
      <c r="AG321" s="615">
        <v>0</v>
      </c>
      <c r="AH321" s="615">
        <v>0</v>
      </c>
      <c r="AI321" s="615">
        <v>0</v>
      </c>
      <c r="AJ321" s="615">
        <v>0</v>
      </c>
      <c r="AK321" s="615">
        <v>0</v>
      </c>
      <c r="AL321" s="615">
        <v>0</v>
      </c>
      <c r="AM321" s="615">
        <v>0</v>
      </c>
      <c r="AN321" s="615">
        <v>0</v>
      </c>
      <c r="AO321" s="615">
        <v>0</v>
      </c>
      <c r="AP321" s="615">
        <v>0</v>
      </c>
      <c r="AQ321" s="615">
        <v>0</v>
      </c>
      <c r="AR321" s="615">
        <v>0</v>
      </c>
      <c r="AS321" s="615">
        <v>0</v>
      </c>
      <c r="AT321" s="615">
        <v>0</v>
      </c>
      <c r="AU321" s="615">
        <v>0</v>
      </c>
      <c r="AV321" s="615">
        <v>0</v>
      </c>
      <c r="AW321" s="615">
        <v>0</v>
      </c>
      <c r="AX321" s="615">
        <v>2367418</v>
      </c>
      <c r="AY321" s="615">
        <v>2367428</v>
      </c>
      <c r="AZ321" s="615">
        <v>2367428</v>
      </c>
      <c r="BA321" s="615">
        <v>2367428</v>
      </c>
      <c r="BB321" s="615">
        <v>2367428</v>
      </c>
      <c r="BC321" s="615">
        <v>2367428</v>
      </c>
      <c r="BD321" s="615">
        <v>2367428</v>
      </c>
      <c r="BE321" s="615">
        <v>2367428</v>
      </c>
      <c r="BF321" s="615">
        <v>2367428</v>
      </c>
      <c r="BG321" s="615">
        <v>2367428</v>
      </c>
      <c r="BH321" s="615">
        <v>2367428</v>
      </c>
      <c r="BI321" s="615">
        <v>2367428</v>
      </c>
      <c r="BJ321" s="615">
        <v>2367428</v>
      </c>
      <c r="BK321" s="615">
        <v>2367428</v>
      </c>
      <c r="BL321" s="615">
        <v>2367428</v>
      </c>
      <c r="BM321" s="615">
        <v>2367428</v>
      </c>
      <c r="BN321" s="615">
        <v>2367428</v>
      </c>
      <c r="BO321" s="615">
        <v>2367428</v>
      </c>
      <c r="BP321" s="615">
        <v>2367428</v>
      </c>
      <c r="BQ321" s="615">
        <v>2367428</v>
      </c>
      <c r="BR321" s="615">
        <v>2367428</v>
      </c>
      <c r="BS321" s="615">
        <v>2367428</v>
      </c>
      <c r="BT321" s="615">
        <v>2367428</v>
      </c>
      <c r="BU321" s="615">
        <v>2375448</v>
      </c>
      <c r="BV321" s="615">
        <v>356692000</v>
      </c>
      <c r="BW321" s="615">
        <v>0</v>
      </c>
      <c r="BX321" s="607">
        <f t="shared" si="11"/>
        <v>413518282</v>
      </c>
    </row>
    <row r="322" spans="1:76" s="612" customFormat="1" ht="12.95" customHeight="1" x14ac:dyDescent="0.2">
      <c r="A322" s="909"/>
      <c r="B322" s="611" t="s">
        <v>3357</v>
      </c>
      <c r="C322" s="641" t="s">
        <v>3356</v>
      </c>
      <c r="D322" s="615"/>
      <c r="E322" s="615"/>
      <c r="F322" s="615"/>
      <c r="G322" s="615"/>
      <c r="H322" s="585"/>
      <c r="I322" s="615"/>
      <c r="J322" s="615"/>
      <c r="K322" s="615"/>
      <c r="L322" s="615"/>
      <c r="M322" s="615"/>
      <c r="N322" s="615"/>
      <c r="O322" s="615"/>
      <c r="P322" s="615"/>
      <c r="Q322" s="615"/>
      <c r="R322" s="615"/>
      <c r="S322" s="615"/>
      <c r="T322" s="615"/>
      <c r="U322" s="615"/>
      <c r="V322" s="615"/>
      <c r="W322" s="615"/>
      <c r="X322" s="615"/>
      <c r="Y322" s="615">
        <v>0</v>
      </c>
      <c r="Z322" s="615">
        <v>0</v>
      </c>
      <c r="AA322" s="615">
        <v>0</v>
      </c>
      <c r="AB322" s="615">
        <v>0</v>
      </c>
      <c r="AC322" s="615">
        <v>0</v>
      </c>
      <c r="AD322" s="615">
        <v>0</v>
      </c>
      <c r="AE322" s="615">
        <v>0</v>
      </c>
      <c r="AF322" s="615">
        <v>0</v>
      </c>
      <c r="AG322" s="615">
        <v>0</v>
      </c>
      <c r="AH322" s="615">
        <v>0</v>
      </c>
      <c r="AI322" s="615">
        <v>0</v>
      </c>
      <c r="AJ322" s="615">
        <v>0</v>
      </c>
      <c r="AK322" s="615">
        <v>0</v>
      </c>
      <c r="AL322" s="615">
        <v>0</v>
      </c>
      <c r="AM322" s="615">
        <v>0</v>
      </c>
      <c r="AN322" s="615">
        <v>0</v>
      </c>
      <c r="AO322" s="615">
        <v>0</v>
      </c>
      <c r="AP322" s="615">
        <v>0</v>
      </c>
      <c r="AQ322" s="615">
        <v>0</v>
      </c>
      <c r="AR322" s="615">
        <v>0</v>
      </c>
      <c r="AS322" s="615">
        <v>0</v>
      </c>
      <c r="AT322" s="615">
        <v>0</v>
      </c>
      <c r="AU322" s="615">
        <v>0</v>
      </c>
      <c r="AV322" s="615">
        <v>0</v>
      </c>
      <c r="AW322" s="615">
        <v>0</v>
      </c>
      <c r="AX322" s="615">
        <v>0</v>
      </c>
      <c r="AY322" s="615">
        <v>0</v>
      </c>
      <c r="AZ322" s="615">
        <v>0</v>
      </c>
      <c r="BA322" s="615">
        <v>0</v>
      </c>
      <c r="BB322" s="615">
        <v>4142663</v>
      </c>
      <c r="BC322" s="615">
        <v>4149333</v>
      </c>
      <c r="BD322" s="615">
        <v>4149333</v>
      </c>
      <c r="BE322" s="615">
        <v>4149333</v>
      </c>
      <c r="BF322" s="615">
        <v>4149333</v>
      </c>
      <c r="BG322" s="615">
        <v>4149333</v>
      </c>
      <c r="BH322" s="615">
        <v>4149333</v>
      </c>
      <c r="BI322" s="615">
        <v>4149333</v>
      </c>
      <c r="BJ322" s="615">
        <v>4149333</v>
      </c>
      <c r="BK322" s="615">
        <v>4149333</v>
      </c>
      <c r="BL322" s="615">
        <v>4149333</v>
      </c>
      <c r="BM322" s="615">
        <v>4149333</v>
      </c>
      <c r="BN322" s="615">
        <v>4149333</v>
      </c>
      <c r="BO322" s="615">
        <v>4149333</v>
      </c>
      <c r="BP322" s="615">
        <v>4149333</v>
      </c>
      <c r="BQ322" s="615">
        <v>4149333</v>
      </c>
      <c r="BR322" s="615">
        <v>4149333</v>
      </c>
      <c r="BS322" s="615">
        <v>4149333</v>
      </c>
      <c r="BT322" s="615">
        <v>4149333</v>
      </c>
      <c r="BU322" s="615">
        <v>4149343</v>
      </c>
      <c r="BV322" s="615">
        <v>302120000</v>
      </c>
      <c r="BW322" s="615">
        <v>0</v>
      </c>
      <c r="BX322" s="607">
        <f t="shared" ref="BX322:BX372" si="12">SUM(Y322:BW322)</f>
        <v>385100000</v>
      </c>
    </row>
    <row r="323" spans="1:76" s="612" customFormat="1" ht="12.95" customHeight="1" x14ac:dyDescent="0.2">
      <c r="A323" s="909"/>
      <c r="B323" s="611" t="s">
        <v>3221</v>
      </c>
      <c r="C323" s="641" t="s">
        <v>3220</v>
      </c>
      <c r="D323" s="615"/>
      <c r="E323" s="615"/>
      <c r="F323" s="615"/>
      <c r="G323" s="615"/>
      <c r="H323" s="585"/>
      <c r="I323" s="615"/>
      <c r="J323" s="615"/>
      <c r="K323" s="615"/>
      <c r="L323" s="615"/>
      <c r="M323" s="615"/>
      <c r="N323" s="615"/>
      <c r="O323" s="615"/>
      <c r="P323" s="615"/>
      <c r="Q323" s="615"/>
      <c r="R323" s="615"/>
      <c r="S323" s="615"/>
      <c r="T323" s="615"/>
      <c r="U323" s="615"/>
      <c r="V323" s="615"/>
      <c r="W323" s="615"/>
      <c r="X323" s="615"/>
      <c r="Y323" s="615">
        <v>0</v>
      </c>
      <c r="Z323" s="615">
        <v>0</v>
      </c>
      <c r="AA323" s="615">
        <v>0</v>
      </c>
      <c r="AB323" s="615">
        <v>0</v>
      </c>
      <c r="AC323" s="615">
        <v>0</v>
      </c>
      <c r="AD323" s="615">
        <v>0</v>
      </c>
      <c r="AE323" s="615">
        <v>0</v>
      </c>
      <c r="AF323" s="615">
        <v>0</v>
      </c>
      <c r="AG323" s="615">
        <v>0</v>
      </c>
      <c r="AH323" s="615">
        <v>0</v>
      </c>
      <c r="AI323" s="615">
        <v>0</v>
      </c>
      <c r="AJ323" s="615">
        <v>0</v>
      </c>
      <c r="AK323" s="615">
        <v>0</v>
      </c>
      <c r="AL323" s="615">
        <v>0</v>
      </c>
      <c r="AM323" s="615">
        <v>0</v>
      </c>
      <c r="AN323" s="615">
        <v>0</v>
      </c>
      <c r="AO323" s="615">
        <v>0</v>
      </c>
      <c r="AP323" s="615">
        <v>0</v>
      </c>
      <c r="AQ323" s="615">
        <v>0</v>
      </c>
      <c r="AR323" s="615">
        <v>0</v>
      </c>
      <c r="AS323" s="615">
        <v>0</v>
      </c>
      <c r="AT323" s="615">
        <v>0</v>
      </c>
      <c r="AU323" s="615">
        <v>0</v>
      </c>
      <c r="AV323" s="615">
        <v>0</v>
      </c>
      <c r="AW323" s="615">
        <v>5066211</v>
      </c>
      <c r="AX323" s="615">
        <v>5066212</v>
      </c>
      <c r="AY323" s="615">
        <v>5066212</v>
      </c>
      <c r="AZ323" s="615">
        <v>5066212</v>
      </c>
      <c r="BA323" s="615">
        <v>5066212</v>
      </c>
      <c r="BB323" s="615">
        <v>5066212</v>
      </c>
      <c r="BC323" s="615">
        <v>5066212</v>
      </c>
      <c r="BD323" s="615">
        <v>5066212</v>
      </c>
      <c r="BE323" s="615">
        <v>5066212</v>
      </c>
      <c r="BF323" s="615">
        <v>5066212</v>
      </c>
      <c r="BG323" s="615">
        <v>5066212</v>
      </c>
      <c r="BH323" s="615">
        <v>5066212</v>
      </c>
      <c r="BI323" s="615">
        <v>5066212</v>
      </c>
      <c r="BJ323" s="615">
        <v>5066212</v>
      </c>
      <c r="BK323" s="615">
        <v>5066212</v>
      </c>
      <c r="BL323" s="615">
        <v>5066212</v>
      </c>
      <c r="BM323" s="615">
        <v>5066212</v>
      </c>
      <c r="BN323" s="615">
        <v>5066212</v>
      </c>
      <c r="BO323" s="615">
        <v>5066212</v>
      </c>
      <c r="BP323" s="615">
        <v>5066212</v>
      </c>
      <c r="BQ323" s="615">
        <v>5066212</v>
      </c>
      <c r="BR323" s="615">
        <v>5066212</v>
      </c>
      <c r="BS323" s="615">
        <v>5066212</v>
      </c>
      <c r="BT323" s="615">
        <v>5066212</v>
      </c>
      <c r="BU323" s="615">
        <v>5066216</v>
      </c>
      <c r="BV323" s="615">
        <v>401765000</v>
      </c>
      <c r="BW323" s="615">
        <v>0</v>
      </c>
      <c r="BX323" s="607">
        <f t="shared" si="12"/>
        <v>528420303</v>
      </c>
    </row>
    <row r="324" spans="1:76" s="612" customFormat="1" ht="12.95" customHeight="1" x14ac:dyDescent="0.2">
      <c r="A324" s="909"/>
      <c r="B324" s="611" t="s">
        <v>3500</v>
      </c>
      <c r="C324" s="641" t="s">
        <v>3499</v>
      </c>
      <c r="D324" s="615"/>
      <c r="E324" s="615"/>
      <c r="F324" s="615"/>
      <c r="G324" s="615"/>
      <c r="H324" s="585"/>
      <c r="I324" s="615"/>
      <c r="J324" s="615"/>
      <c r="K324" s="615"/>
      <c r="L324" s="615"/>
      <c r="M324" s="615"/>
      <c r="N324" s="615"/>
      <c r="O324" s="615"/>
      <c r="P324" s="615"/>
      <c r="Q324" s="615"/>
      <c r="R324" s="615"/>
      <c r="S324" s="615"/>
      <c r="T324" s="615"/>
      <c r="U324" s="615"/>
      <c r="V324" s="615"/>
      <c r="W324" s="615"/>
      <c r="X324" s="615"/>
      <c r="Y324" s="615"/>
      <c r="Z324" s="615"/>
      <c r="AA324" s="615"/>
      <c r="AB324" s="615">
        <v>0</v>
      </c>
      <c r="AC324" s="615">
        <v>0</v>
      </c>
      <c r="AD324" s="615">
        <v>0</v>
      </c>
      <c r="AE324" s="615">
        <v>0</v>
      </c>
      <c r="AF324" s="615">
        <v>0</v>
      </c>
      <c r="AG324" s="615">
        <v>0</v>
      </c>
      <c r="AH324" s="615">
        <v>0</v>
      </c>
      <c r="AI324" s="615">
        <v>0</v>
      </c>
      <c r="AJ324" s="615">
        <v>0</v>
      </c>
      <c r="AK324" s="615">
        <v>0</v>
      </c>
      <c r="AL324" s="615">
        <v>0</v>
      </c>
      <c r="AM324" s="615">
        <v>0</v>
      </c>
      <c r="AN324" s="615">
        <v>0</v>
      </c>
      <c r="AO324" s="615">
        <v>0</v>
      </c>
      <c r="AP324" s="615">
        <v>0</v>
      </c>
      <c r="AQ324" s="615">
        <v>0</v>
      </c>
      <c r="AR324" s="615">
        <v>0</v>
      </c>
      <c r="AS324" s="615">
        <v>0</v>
      </c>
      <c r="AT324" s="615">
        <v>0</v>
      </c>
      <c r="AU324" s="615">
        <v>0</v>
      </c>
      <c r="AV324" s="615">
        <v>0</v>
      </c>
      <c r="AW324" s="615">
        <v>0</v>
      </c>
      <c r="AX324" s="615">
        <v>0</v>
      </c>
      <c r="AY324" s="615">
        <v>0</v>
      </c>
      <c r="AZ324" s="615">
        <v>0</v>
      </c>
      <c r="BA324" s="615">
        <v>0</v>
      </c>
      <c r="BB324" s="615">
        <v>4291295</v>
      </c>
      <c r="BC324" s="615">
        <v>6098152</v>
      </c>
      <c r="BD324" s="615">
        <v>6098152</v>
      </c>
      <c r="BE324" s="615">
        <v>6098152</v>
      </c>
      <c r="BF324" s="615">
        <v>6098152</v>
      </c>
      <c r="BG324" s="615">
        <v>6098152</v>
      </c>
      <c r="BH324" s="615">
        <v>6098152</v>
      </c>
      <c r="BI324" s="615">
        <v>6098152</v>
      </c>
      <c r="BJ324" s="615">
        <v>6098152</v>
      </c>
      <c r="BK324" s="615">
        <v>6098152</v>
      </c>
      <c r="BL324" s="615">
        <v>6098152</v>
      </c>
      <c r="BM324" s="615">
        <v>6098152</v>
      </c>
      <c r="BN324" s="615">
        <v>6098152</v>
      </c>
      <c r="BO324" s="615">
        <v>6098152</v>
      </c>
      <c r="BP324" s="615">
        <v>6098152</v>
      </c>
      <c r="BQ324" s="615">
        <v>6098152</v>
      </c>
      <c r="BR324" s="615">
        <v>6098152</v>
      </c>
      <c r="BS324" s="615">
        <v>6098152</v>
      </c>
      <c r="BT324" s="615">
        <v>6098152</v>
      </c>
      <c r="BU324" s="615">
        <v>6098146</v>
      </c>
      <c r="BV324" s="615">
        <v>410079250</v>
      </c>
      <c r="BW324" s="615">
        <v>0</v>
      </c>
      <c r="BX324" s="607">
        <f t="shared" si="12"/>
        <v>530235427</v>
      </c>
    </row>
    <row r="325" spans="1:76" s="612" customFormat="1" ht="12.95" customHeight="1" x14ac:dyDescent="0.2">
      <c r="A325" s="909"/>
      <c r="B325" s="611" t="s">
        <v>2703</v>
      </c>
      <c r="C325" s="641" t="s">
        <v>2702</v>
      </c>
      <c r="D325" s="615"/>
      <c r="E325" s="615"/>
      <c r="F325" s="615"/>
      <c r="G325" s="615"/>
      <c r="H325" s="585"/>
      <c r="I325" s="615"/>
      <c r="J325" s="615"/>
      <c r="K325" s="615"/>
      <c r="L325" s="615"/>
      <c r="M325" s="615"/>
      <c r="N325" s="615"/>
      <c r="O325" s="615"/>
      <c r="P325" s="615"/>
      <c r="Q325" s="615"/>
      <c r="R325" s="615"/>
      <c r="S325" s="615"/>
      <c r="T325" s="615"/>
      <c r="U325" s="615"/>
      <c r="V325" s="615"/>
      <c r="W325" s="615"/>
      <c r="X325" s="615"/>
      <c r="Y325" s="615"/>
      <c r="Z325" s="615"/>
      <c r="AA325" s="615"/>
      <c r="AB325" s="615">
        <v>0</v>
      </c>
      <c r="AC325" s="615">
        <v>0</v>
      </c>
      <c r="AD325" s="615">
        <v>0</v>
      </c>
      <c r="AE325" s="615">
        <v>0</v>
      </c>
      <c r="AF325" s="615">
        <v>0</v>
      </c>
      <c r="AG325" s="615">
        <v>0</v>
      </c>
      <c r="AH325" s="615">
        <v>0</v>
      </c>
      <c r="AI325" s="615">
        <v>0</v>
      </c>
      <c r="AJ325" s="615">
        <v>0</v>
      </c>
      <c r="AK325" s="615">
        <v>0</v>
      </c>
      <c r="AL325" s="615">
        <v>0</v>
      </c>
      <c r="AM325" s="615">
        <v>0</v>
      </c>
      <c r="AN325" s="615">
        <v>0</v>
      </c>
      <c r="AO325" s="615">
        <v>0</v>
      </c>
      <c r="AP325" s="615">
        <v>0</v>
      </c>
      <c r="AQ325" s="615">
        <v>0</v>
      </c>
      <c r="AR325" s="615">
        <v>0</v>
      </c>
      <c r="AS325" s="615">
        <v>0</v>
      </c>
      <c r="AT325" s="615">
        <v>0</v>
      </c>
      <c r="AU325" s="615">
        <v>0</v>
      </c>
      <c r="AV325" s="615">
        <v>298700</v>
      </c>
      <c r="AW325" s="615">
        <v>3230000</v>
      </c>
      <c r="AX325" s="615">
        <v>3230000</v>
      </c>
      <c r="AY325" s="615">
        <v>3230000</v>
      </c>
      <c r="AZ325" s="615">
        <v>3230000</v>
      </c>
      <c r="BA325" s="615">
        <v>3230000</v>
      </c>
      <c r="BB325" s="615">
        <v>3230000</v>
      </c>
      <c r="BC325" s="615">
        <v>3230000</v>
      </c>
      <c r="BD325" s="615">
        <v>3230000</v>
      </c>
      <c r="BE325" s="615">
        <v>3230000</v>
      </c>
      <c r="BF325" s="615">
        <v>3230000</v>
      </c>
      <c r="BG325" s="615">
        <v>3230000</v>
      </c>
      <c r="BH325" s="615">
        <v>3230000</v>
      </c>
      <c r="BI325" s="615">
        <v>3230000</v>
      </c>
      <c r="BJ325" s="615">
        <v>3230000</v>
      </c>
      <c r="BK325" s="615">
        <v>3230000</v>
      </c>
      <c r="BL325" s="615">
        <v>3230000</v>
      </c>
      <c r="BM325" s="615">
        <v>3230000</v>
      </c>
      <c r="BN325" s="615">
        <v>3230000</v>
      </c>
      <c r="BO325" s="615">
        <v>3230000</v>
      </c>
      <c r="BP325" s="615">
        <v>3230000</v>
      </c>
      <c r="BQ325" s="615">
        <v>3230000</v>
      </c>
      <c r="BR325" s="615">
        <v>3230000</v>
      </c>
      <c r="BS325" s="615">
        <v>3230000</v>
      </c>
      <c r="BT325" s="615">
        <v>3230000</v>
      </c>
      <c r="BU325" s="615">
        <v>3230000</v>
      </c>
      <c r="BV325" s="615">
        <v>275450000</v>
      </c>
      <c r="BW325" s="615">
        <v>0</v>
      </c>
      <c r="BX325" s="607">
        <f t="shared" si="12"/>
        <v>356498700</v>
      </c>
    </row>
    <row r="326" spans="1:76" s="612" customFormat="1" ht="12.95" customHeight="1" x14ac:dyDescent="0.2">
      <c r="A326" s="909"/>
      <c r="B326" s="611" t="s">
        <v>3149</v>
      </c>
      <c r="C326" s="641" t="s">
        <v>3148</v>
      </c>
      <c r="D326" s="615"/>
      <c r="E326" s="615"/>
      <c r="F326" s="615"/>
      <c r="G326" s="615"/>
      <c r="H326" s="585"/>
      <c r="I326" s="615"/>
      <c r="J326" s="615"/>
      <c r="K326" s="615"/>
      <c r="L326" s="615"/>
      <c r="M326" s="615"/>
      <c r="N326" s="615"/>
      <c r="O326" s="615"/>
      <c r="P326" s="615"/>
      <c r="Q326" s="615"/>
      <c r="R326" s="615"/>
      <c r="S326" s="615"/>
      <c r="T326" s="615"/>
      <c r="U326" s="615"/>
      <c r="V326" s="615"/>
      <c r="W326" s="615"/>
      <c r="X326" s="615"/>
      <c r="Y326" s="615"/>
      <c r="Z326" s="615"/>
      <c r="AA326" s="615"/>
      <c r="AB326" s="615">
        <v>0</v>
      </c>
      <c r="AC326" s="615">
        <v>0</v>
      </c>
      <c r="AD326" s="615">
        <v>0</v>
      </c>
      <c r="AE326" s="615">
        <v>0</v>
      </c>
      <c r="AF326" s="615">
        <v>0</v>
      </c>
      <c r="AG326" s="615">
        <v>0</v>
      </c>
      <c r="AH326" s="615">
        <v>0</v>
      </c>
      <c r="AI326" s="615">
        <v>0</v>
      </c>
      <c r="AJ326" s="615">
        <v>0</v>
      </c>
      <c r="AK326" s="615">
        <v>0</v>
      </c>
      <c r="AL326" s="615">
        <v>0</v>
      </c>
      <c r="AM326" s="615">
        <v>0</v>
      </c>
      <c r="AN326" s="615">
        <v>0</v>
      </c>
      <c r="AO326" s="615">
        <v>0</v>
      </c>
      <c r="AP326" s="615">
        <v>0</v>
      </c>
      <c r="AQ326" s="615">
        <v>0</v>
      </c>
      <c r="AR326" s="615">
        <v>0</v>
      </c>
      <c r="AS326" s="615">
        <v>0</v>
      </c>
      <c r="AT326" s="615">
        <v>0</v>
      </c>
      <c r="AU326" s="615">
        <v>0</v>
      </c>
      <c r="AV326" s="615">
        <v>0</v>
      </c>
      <c r="AW326" s="615">
        <v>4472060</v>
      </c>
      <c r="AX326" s="615">
        <v>4474706</v>
      </c>
      <c r="AY326" s="615">
        <v>4474706</v>
      </c>
      <c r="AZ326" s="615">
        <v>4474706</v>
      </c>
      <c r="BA326" s="615">
        <v>4474706</v>
      </c>
      <c r="BB326" s="615">
        <v>4474706</v>
      </c>
      <c r="BC326" s="615">
        <v>4474706</v>
      </c>
      <c r="BD326" s="615">
        <v>4474706</v>
      </c>
      <c r="BE326" s="615">
        <v>4474706</v>
      </c>
      <c r="BF326" s="615">
        <v>4474706</v>
      </c>
      <c r="BG326" s="615">
        <v>4474706</v>
      </c>
      <c r="BH326" s="615">
        <v>4474706</v>
      </c>
      <c r="BI326" s="615">
        <v>4474706</v>
      </c>
      <c r="BJ326" s="615">
        <v>4474706</v>
      </c>
      <c r="BK326" s="615">
        <v>4474706</v>
      </c>
      <c r="BL326" s="615">
        <v>4474706</v>
      </c>
      <c r="BM326" s="615">
        <v>4474706</v>
      </c>
      <c r="BN326" s="615">
        <v>4474706</v>
      </c>
      <c r="BO326" s="615">
        <v>4474706</v>
      </c>
      <c r="BP326" s="615">
        <v>4474706</v>
      </c>
      <c r="BQ326" s="615">
        <v>4474706</v>
      </c>
      <c r="BR326" s="615">
        <v>4474706</v>
      </c>
      <c r="BS326" s="615">
        <v>4474706</v>
      </c>
      <c r="BT326" s="615">
        <v>4474706</v>
      </c>
      <c r="BU326" s="615">
        <v>4474702</v>
      </c>
      <c r="BV326" s="615">
        <v>366660000</v>
      </c>
      <c r="BW326" s="615">
        <v>0</v>
      </c>
      <c r="BX326" s="607">
        <f t="shared" si="12"/>
        <v>478525000</v>
      </c>
    </row>
    <row r="327" spans="1:76" s="612" customFormat="1" ht="12.95" customHeight="1" x14ac:dyDescent="0.2">
      <c r="A327" s="909"/>
      <c r="B327" s="611" t="s">
        <v>3151</v>
      </c>
      <c r="C327" s="641" t="s">
        <v>3150</v>
      </c>
      <c r="D327" s="615"/>
      <c r="E327" s="615"/>
      <c r="F327" s="615"/>
      <c r="G327" s="615"/>
      <c r="H327" s="585"/>
      <c r="I327" s="615"/>
      <c r="J327" s="615"/>
      <c r="K327" s="615"/>
      <c r="L327" s="615"/>
      <c r="M327" s="615"/>
      <c r="N327" s="615"/>
      <c r="O327" s="615"/>
      <c r="P327" s="615"/>
      <c r="Q327" s="615"/>
      <c r="R327" s="615"/>
      <c r="S327" s="615"/>
      <c r="T327" s="615"/>
      <c r="U327" s="615"/>
      <c r="V327" s="615"/>
      <c r="W327" s="615"/>
      <c r="X327" s="615"/>
      <c r="Y327" s="615"/>
      <c r="Z327" s="615"/>
      <c r="AA327" s="615"/>
      <c r="AB327" s="615">
        <v>0</v>
      </c>
      <c r="AC327" s="615">
        <v>0</v>
      </c>
      <c r="AD327" s="615">
        <v>0</v>
      </c>
      <c r="AE327" s="615">
        <v>0</v>
      </c>
      <c r="AF327" s="615">
        <v>0</v>
      </c>
      <c r="AG327" s="615">
        <v>0</v>
      </c>
      <c r="AH327" s="615">
        <v>0</v>
      </c>
      <c r="AI327" s="615">
        <v>0</v>
      </c>
      <c r="AJ327" s="615">
        <v>0</v>
      </c>
      <c r="AK327" s="615">
        <v>0</v>
      </c>
      <c r="AL327" s="615">
        <v>0</v>
      </c>
      <c r="AM327" s="615">
        <v>0</v>
      </c>
      <c r="AN327" s="615">
        <v>0</v>
      </c>
      <c r="AO327" s="615">
        <v>0</v>
      </c>
      <c r="AP327" s="615">
        <v>0</v>
      </c>
      <c r="AQ327" s="615">
        <v>0</v>
      </c>
      <c r="AR327" s="615">
        <v>0</v>
      </c>
      <c r="AS327" s="615">
        <v>0</v>
      </c>
      <c r="AT327" s="615">
        <v>0</v>
      </c>
      <c r="AU327" s="615">
        <v>0</v>
      </c>
      <c r="AV327" s="615">
        <v>0</v>
      </c>
      <c r="AW327" s="615">
        <v>0</v>
      </c>
      <c r="AX327" s="615">
        <v>0</v>
      </c>
      <c r="AY327" s="615">
        <v>0</v>
      </c>
      <c r="AZ327" s="615">
        <v>0</v>
      </c>
      <c r="BA327" s="615">
        <v>0</v>
      </c>
      <c r="BB327" s="615">
        <v>0</v>
      </c>
      <c r="BC327" s="615">
        <v>0</v>
      </c>
      <c r="BD327" s="615">
        <v>0</v>
      </c>
      <c r="BE327" s="615">
        <v>0</v>
      </c>
      <c r="BF327" s="615">
        <v>0</v>
      </c>
      <c r="BG327" s="615">
        <v>0</v>
      </c>
      <c r="BH327" s="615">
        <v>0</v>
      </c>
      <c r="BI327" s="615">
        <v>0</v>
      </c>
      <c r="BJ327" s="615">
        <v>0</v>
      </c>
      <c r="BK327" s="615">
        <v>0</v>
      </c>
      <c r="BL327" s="615">
        <v>0</v>
      </c>
      <c r="BM327" s="615">
        <v>0</v>
      </c>
      <c r="BN327" s="615">
        <v>0</v>
      </c>
      <c r="BO327" s="615">
        <v>3450720</v>
      </c>
      <c r="BP327" s="615">
        <v>3450722</v>
      </c>
      <c r="BQ327" s="615">
        <v>3450722</v>
      </c>
      <c r="BR327" s="615">
        <v>3450722</v>
      </c>
      <c r="BS327" s="615">
        <v>3450722</v>
      </c>
      <c r="BT327" s="615">
        <v>3450722</v>
      </c>
      <c r="BU327" s="615">
        <v>3450725</v>
      </c>
      <c r="BV327" s="615">
        <v>289786000</v>
      </c>
      <c r="BW327" s="615">
        <v>0</v>
      </c>
      <c r="BX327" s="607">
        <f t="shared" si="12"/>
        <v>313941055</v>
      </c>
    </row>
    <row r="328" spans="1:76" s="612" customFormat="1" ht="12.95" customHeight="1" x14ac:dyDescent="0.2">
      <c r="A328" s="909"/>
      <c r="B328" s="611" t="s">
        <v>1473</v>
      </c>
      <c r="C328" s="641" t="s">
        <v>3358</v>
      </c>
      <c r="D328" s="615"/>
      <c r="E328" s="615"/>
      <c r="F328" s="615"/>
      <c r="G328" s="615"/>
      <c r="H328" s="585"/>
      <c r="I328" s="615"/>
      <c r="J328" s="615"/>
      <c r="K328" s="615"/>
      <c r="L328" s="615"/>
      <c r="M328" s="615"/>
      <c r="N328" s="615"/>
      <c r="O328" s="615"/>
      <c r="P328" s="615"/>
      <c r="Q328" s="615"/>
      <c r="R328" s="615"/>
      <c r="S328" s="615"/>
      <c r="T328" s="615"/>
      <c r="U328" s="615"/>
      <c r="V328" s="615"/>
      <c r="W328" s="615"/>
      <c r="X328" s="615"/>
      <c r="Y328" s="615"/>
      <c r="Z328" s="615"/>
      <c r="AA328" s="615"/>
      <c r="AB328" s="615">
        <v>0</v>
      </c>
      <c r="AC328" s="615">
        <v>0</v>
      </c>
      <c r="AD328" s="615">
        <v>0</v>
      </c>
      <c r="AE328" s="615">
        <v>0</v>
      </c>
      <c r="AF328" s="615">
        <v>0</v>
      </c>
      <c r="AG328" s="615">
        <v>0</v>
      </c>
      <c r="AH328" s="615">
        <v>0</v>
      </c>
      <c r="AI328" s="615">
        <v>0</v>
      </c>
      <c r="AJ328" s="615">
        <v>0</v>
      </c>
      <c r="AK328" s="615">
        <v>0</v>
      </c>
      <c r="AL328" s="615">
        <v>0</v>
      </c>
      <c r="AM328" s="615">
        <v>0</v>
      </c>
      <c r="AN328" s="615">
        <v>0</v>
      </c>
      <c r="AO328" s="615">
        <v>0</v>
      </c>
      <c r="AP328" s="615">
        <v>0</v>
      </c>
      <c r="AQ328" s="615">
        <v>0</v>
      </c>
      <c r="AR328" s="615">
        <v>0</v>
      </c>
      <c r="AS328" s="615">
        <v>0</v>
      </c>
      <c r="AT328" s="615">
        <v>0</v>
      </c>
      <c r="AU328" s="615">
        <v>0</v>
      </c>
      <c r="AV328" s="615">
        <v>0</v>
      </c>
      <c r="AW328" s="615">
        <v>0</v>
      </c>
      <c r="AX328" s="615">
        <v>1411974</v>
      </c>
      <c r="AY328" s="615">
        <v>5397903</v>
      </c>
      <c r="AZ328" s="615">
        <v>5397903</v>
      </c>
      <c r="BA328" s="615">
        <v>5397903</v>
      </c>
      <c r="BB328" s="615">
        <v>5397903</v>
      </c>
      <c r="BC328" s="615">
        <v>5397903</v>
      </c>
      <c r="BD328" s="615">
        <v>5397903</v>
      </c>
      <c r="BE328" s="615">
        <v>5397903</v>
      </c>
      <c r="BF328" s="615">
        <v>5397903</v>
      </c>
      <c r="BG328" s="615">
        <v>5397903</v>
      </c>
      <c r="BH328" s="615">
        <v>5397903</v>
      </c>
      <c r="BI328" s="615">
        <v>5397903</v>
      </c>
      <c r="BJ328" s="615">
        <v>5397903</v>
      </c>
      <c r="BK328" s="615">
        <v>5397903</v>
      </c>
      <c r="BL328" s="615">
        <v>5397903</v>
      </c>
      <c r="BM328" s="615">
        <v>5397903</v>
      </c>
      <c r="BN328" s="615">
        <v>5397903</v>
      </c>
      <c r="BO328" s="615">
        <v>5397903</v>
      </c>
      <c r="BP328" s="615">
        <v>5397903</v>
      </c>
      <c r="BQ328" s="615">
        <v>5397903</v>
      </c>
      <c r="BR328" s="615">
        <v>5397903</v>
      </c>
      <c r="BS328" s="615">
        <v>5397903</v>
      </c>
      <c r="BT328" s="615">
        <v>5397903</v>
      </c>
      <c r="BU328" s="615">
        <v>5397910</v>
      </c>
      <c r="BV328" s="615">
        <v>402115000</v>
      </c>
      <c r="BW328" s="615">
        <v>0</v>
      </c>
      <c r="BX328" s="607">
        <f t="shared" si="12"/>
        <v>527678750</v>
      </c>
    </row>
    <row r="329" spans="1:76" s="612" customFormat="1" ht="12.95" customHeight="1" x14ac:dyDescent="0.2">
      <c r="A329" s="909"/>
      <c r="B329" s="611" t="s">
        <v>3276</v>
      </c>
      <c r="C329" s="641" t="s">
        <v>3275</v>
      </c>
      <c r="D329" s="615"/>
      <c r="E329" s="615"/>
      <c r="F329" s="615"/>
      <c r="G329" s="615"/>
      <c r="H329" s="585"/>
      <c r="I329" s="615"/>
      <c r="J329" s="615"/>
      <c r="K329" s="615"/>
      <c r="L329" s="615"/>
      <c r="M329" s="615"/>
      <c r="N329" s="615"/>
      <c r="O329" s="615"/>
      <c r="P329" s="615"/>
      <c r="Q329" s="615"/>
      <c r="R329" s="615"/>
      <c r="S329" s="615"/>
      <c r="T329" s="615"/>
      <c r="U329" s="615"/>
      <c r="V329" s="615"/>
      <c r="W329" s="615"/>
      <c r="X329" s="615"/>
      <c r="Y329" s="615"/>
      <c r="Z329" s="615"/>
      <c r="AA329" s="615"/>
      <c r="AB329" s="615">
        <v>0</v>
      </c>
      <c r="AC329" s="615">
        <v>0</v>
      </c>
      <c r="AD329" s="615">
        <v>0</v>
      </c>
      <c r="AE329" s="615">
        <v>0</v>
      </c>
      <c r="AF329" s="615">
        <v>0</v>
      </c>
      <c r="AG329" s="615">
        <v>0</v>
      </c>
      <c r="AH329" s="615">
        <v>0</v>
      </c>
      <c r="AI329" s="615">
        <v>0</v>
      </c>
      <c r="AJ329" s="615">
        <v>0</v>
      </c>
      <c r="AK329" s="615">
        <v>0</v>
      </c>
      <c r="AL329" s="615">
        <v>0</v>
      </c>
      <c r="AM329" s="615">
        <v>0</v>
      </c>
      <c r="AN329" s="615">
        <v>0</v>
      </c>
      <c r="AO329" s="615">
        <v>0</v>
      </c>
      <c r="AP329" s="615">
        <v>0</v>
      </c>
      <c r="AQ329" s="615">
        <v>0</v>
      </c>
      <c r="AR329" s="615">
        <v>0</v>
      </c>
      <c r="AS329" s="615">
        <v>0</v>
      </c>
      <c r="AT329" s="615">
        <v>0</v>
      </c>
      <c r="AU329" s="615">
        <v>95411</v>
      </c>
      <c r="AV329" s="615">
        <v>5227578</v>
      </c>
      <c r="AW329" s="615">
        <v>5227578</v>
      </c>
      <c r="AX329" s="615">
        <v>5227578</v>
      </c>
      <c r="AY329" s="615">
        <v>5227578</v>
      </c>
      <c r="AZ329" s="615">
        <v>5227578</v>
      </c>
      <c r="BA329" s="615">
        <v>5227578</v>
      </c>
      <c r="BB329" s="615">
        <v>5227578</v>
      </c>
      <c r="BC329" s="615">
        <v>5227578</v>
      </c>
      <c r="BD329" s="615">
        <v>5227578</v>
      </c>
      <c r="BE329" s="615">
        <v>5227578</v>
      </c>
      <c r="BF329" s="615">
        <v>5227578</v>
      </c>
      <c r="BG329" s="615">
        <v>5227578</v>
      </c>
      <c r="BH329" s="615">
        <v>5227578</v>
      </c>
      <c r="BI329" s="615">
        <v>5227578</v>
      </c>
      <c r="BJ329" s="615">
        <v>5227578</v>
      </c>
      <c r="BK329" s="615">
        <v>5227578</v>
      </c>
      <c r="BL329" s="615">
        <v>5227578</v>
      </c>
      <c r="BM329" s="615">
        <v>5227578</v>
      </c>
      <c r="BN329" s="615">
        <v>5227578</v>
      </c>
      <c r="BO329" s="615">
        <v>5227578</v>
      </c>
      <c r="BP329" s="615">
        <v>5227578</v>
      </c>
      <c r="BQ329" s="615">
        <v>5227578</v>
      </c>
      <c r="BR329" s="615">
        <v>5227579</v>
      </c>
      <c r="BS329" s="615">
        <v>5227579</v>
      </c>
      <c r="BT329" s="615">
        <v>5227579</v>
      </c>
      <c r="BU329" s="615">
        <v>5227579</v>
      </c>
      <c r="BV329" s="615">
        <v>401992500</v>
      </c>
      <c r="BW329" s="615">
        <v>0</v>
      </c>
      <c r="BX329" s="607">
        <f t="shared" si="12"/>
        <v>538004943</v>
      </c>
    </row>
    <row r="330" spans="1:76" s="612" customFormat="1" ht="12.95" customHeight="1" x14ac:dyDescent="0.2">
      <c r="A330" s="909"/>
      <c r="B330" s="611" t="s">
        <v>2705</v>
      </c>
      <c r="C330" s="641" t="s">
        <v>2704</v>
      </c>
      <c r="D330" s="615"/>
      <c r="E330" s="615"/>
      <c r="F330" s="615"/>
      <c r="G330" s="615"/>
      <c r="H330" s="585"/>
      <c r="I330" s="615"/>
      <c r="J330" s="615"/>
      <c r="K330" s="615"/>
      <c r="L330" s="615"/>
      <c r="M330" s="615"/>
      <c r="N330" s="615"/>
      <c r="O330" s="615"/>
      <c r="P330" s="615"/>
      <c r="Q330" s="615"/>
      <c r="R330" s="615"/>
      <c r="S330" s="615"/>
      <c r="T330" s="615"/>
      <c r="U330" s="615"/>
      <c r="V330" s="615"/>
      <c r="W330" s="615"/>
      <c r="X330" s="615"/>
      <c r="Y330" s="615"/>
      <c r="Z330" s="615"/>
      <c r="AA330" s="615"/>
      <c r="AB330" s="615">
        <v>0</v>
      </c>
      <c r="AC330" s="615">
        <v>0</v>
      </c>
      <c r="AD330" s="615">
        <v>0</v>
      </c>
      <c r="AE330" s="615">
        <v>0</v>
      </c>
      <c r="AF330" s="615">
        <v>0</v>
      </c>
      <c r="AG330" s="615">
        <v>0</v>
      </c>
      <c r="AH330" s="615">
        <v>0</v>
      </c>
      <c r="AI330" s="615">
        <v>0</v>
      </c>
      <c r="AJ330" s="615">
        <v>0</v>
      </c>
      <c r="AK330" s="615">
        <v>0</v>
      </c>
      <c r="AL330" s="615">
        <v>0</v>
      </c>
      <c r="AM330" s="615">
        <v>0</v>
      </c>
      <c r="AN330" s="615">
        <v>0</v>
      </c>
      <c r="AO330" s="615">
        <v>0</v>
      </c>
      <c r="AP330" s="615">
        <v>0</v>
      </c>
      <c r="AQ330" s="615">
        <v>0</v>
      </c>
      <c r="AR330" s="615">
        <v>0</v>
      </c>
      <c r="AS330" s="615">
        <v>0</v>
      </c>
      <c r="AT330" s="615">
        <v>0</v>
      </c>
      <c r="AU330" s="615">
        <v>0</v>
      </c>
      <c r="AV330" s="615">
        <v>0</v>
      </c>
      <c r="AW330" s="615">
        <v>7006134</v>
      </c>
      <c r="AX330" s="615">
        <v>2200000</v>
      </c>
      <c r="AY330" s="615">
        <v>2200000</v>
      </c>
      <c r="AZ330" s="615">
        <v>5000000</v>
      </c>
      <c r="BA330" s="615">
        <v>2200000</v>
      </c>
      <c r="BB330" s="615">
        <v>2200000</v>
      </c>
      <c r="BC330" s="615">
        <v>2200000</v>
      </c>
      <c r="BD330" s="615">
        <v>7006135</v>
      </c>
      <c r="BE330" s="615">
        <v>2200000</v>
      </c>
      <c r="BF330" s="615">
        <v>2200000</v>
      </c>
      <c r="BG330" s="615">
        <v>5000000</v>
      </c>
      <c r="BH330" s="615">
        <v>2200000</v>
      </c>
      <c r="BI330" s="615">
        <v>2200000</v>
      </c>
      <c r="BJ330" s="615">
        <v>2200000</v>
      </c>
      <c r="BK330" s="615">
        <v>2200000</v>
      </c>
      <c r="BL330" s="615">
        <v>5000000</v>
      </c>
      <c r="BM330" s="615">
        <v>3200000</v>
      </c>
      <c r="BN330" s="615">
        <v>3200000</v>
      </c>
      <c r="BO330" s="615">
        <v>3200000</v>
      </c>
      <c r="BP330" s="615">
        <v>3200000</v>
      </c>
      <c r="BQ330" s="615">
        <v>3200000</v>
      </c>
      <c r="BR330" s="615">
        <v>3200000</v>
      </c>
      <c r="BS330" s="615">
        <v>5000000</v>
      </c>
      <c r="BT330" s="615">
        <v>3200000</v>
      </c>
      <c r="BU330" s="615">
        <v>15000000</v>
      </c>
      <c r="BV330" s="615">
        <v>275800000</v>
      </c>
      <c r="BW330" s="615">
        <v>0</v>
      </c>
      <c r="BX330" s="607">
        <f t="shared" si="12"/>
        <v>371412269</v>
      </c>
    </row>
    <row r="331" spans="1:76" s="612" customFormat="1" ht="12.95" customHeight="1" x14ac:dyDescent="0.2">
      <c r="A331" s="909"/>
      <c r="B331" s="611" t="s">
        <v>3360</v>
      </c>
      <c r="C331" s="641" t="s">
        <v>3359</v>
      </c>
      <c r="D331" s="615"/>
      <c r="E331" s="615"/>
      <c r="F331" s="615"/>
      <c r="G331" s="615"/>
      <c r="H331" s="585"/>
      <c r="I331" s="615"/>
      <c r="J331" s="615"/>
      <c r="K331" s="615"/>
      <c r="L331" s="615"/>
      <c r="M331" s="615"/>
      <c r="N331" s="615"/>
      <c r="O331" s="615"/>
      <c r="P331" s="615"/>
      <c r="Q331" s="615"/>
      <c r="R331" s="615"/>
      <c r="S331" s="615"/>
      <c r="T331" s="615"/>
      <c r="U331" s="615"/>
      <c r="V331" s="615"/>
      <c r="W331" s="615"/>
      <c r="X331" s="615"/>
      <c r="Y331" s="615"/>
      <c r="Z331" s="615"/>
      <c r="AA331" s="615"/>
      <c r="AB331" s="615">
        <v>0</v>
      </c>
      <c r="AC331" s="615">
        <v>0</v>
      </c>
      <c r="AD331" s="615">
        <v>0</v>
      </c>
      <c r="AE331" s="615">
        <v>0</v>
      </c>
      <c r="AF331" s="615">
        <v>0</v>
      </c>
      <c r="AG331" s="615">
        <v>0</v>
      </c>
      <c r="AH331" s="615">
        <v>0</v>
      </c>
      <c r="AI331" s="615">
        <v>0</v>
      </c>
      <c r="AJ331" s="615">
        <v>0</v>
      </c>
      <c r="AK331" s="615">
        <v>0</v>
      </c>
      <c r="AL331" s="615">
        <v>0</v>
      </c>
      <c r="AM331" s="615">
        <v>0</v>
      </c>
      <c r="AN331" s="615">
        <v>0</v>
      </c>
      <c r="AO331" s="615">
        <v>0</v>
      </c>
      <c r="AP331" s="615">
        <v>0</v>
      </c>
      <c r="AQ331" s="615">
        <v>0</v>
      </c>
      <c r="AR331" s="615">
        <v>0</v>
      </c>
      <c r="AS331" s="615">
        <v>0</v>
      </c>
      <c r="AT331" s="615">
        <v>0</v>
      </c>
      <c r="AU331" s="615">
        <v>530782</v>
      </c>
      <c r="AV331" s="615">
        <v>5096797</v>
      </c>
      <c r="AW331" s="615">
        <v>5096797</v>
      </c>
      <c r="AX331" s="615">
        <v>5096797</v>
      </c>
      <c r="AY331" s="615">
        <v>5096797</v>
      </c>
      <c r="AZ331" s="615">
        <v>5096797</v>
      </c>
      <c r="BA331" s="615">
        <v>5096797</v>
      </c>
      <c r="BB331" s="615">
        <v>5096797</v>
      </c>
      <c r="BC331" s="615">
        <v>5096797</v>
      </c>
      <c r="BD331" s="615">
        <v>5096797</v>
      </c>
      <c r="BE331" s="615">
        <v>5096797</v>
      </c>
      <c r="BF331" s="615">
        <v>5096797</v>
      </c>
      <c r="BG331" s="615">
        <v>5096797</v>
      </c>
      <c r="BH331" s="615">
        <v>5096797</v>
      </c>
      <c r="BI331" s="615">
        <v>5096797</v>
      </c>
      <c r="BJ331" s="615">
        <v>5096797</v>
      </c>
      <c r="BK331" s="615">
        <v>5096797</v>
      </c>
      <c r="BL331" s="615">
        <v>5096797</v>
      </c>
      <c r="BM331" s="615">
        <v>5096797</v>
      </c>
      <c r="BN331" s="615">
        <v>5096797</v>
      </c>
      <c r="BO331" s="615">
        <v>5096797</v>
      </c>
      <c r="BP331" s="615">
        <v>5096797</v>
      </c>
      <c r="BQ331" s="615">
        <v>5096797</v>
      </c>
      <c r="BR331" s="615">
        <v>5096797</v>
      </c>
      <c r="BS331" s="615">
        <v>5096797</v>
      </c>
      <c r="BT331" s="615">
        <v>5096797</v>
      </c>
      <c r="BU331" s="615">
        <v>5096793</v>
      </c>
      <c r="BV331" s="615">
        <v>392227500</v>
      </c>
      <c r="BW331" s="615">
        <v>0</v>
      </c>
      <c r="BX331" s="607">
        <f t="shared" si="12"/>
        <v>525275000</v>
      </c>
    </row>
    <row r="332" spans="1:76" s="612" customFormat="1" ht="12.95" customHeight="1" x14ac:dyDescent="0.2">
      <c r="A332" s="909"/>
      <c r="B332" s="611" t="s">
        <v>1573</v>
      </c>
      <c r="C332" s="641" t="s">
        <v>3152</v>
      </c>
      <c r="D332" s="615"/>
      <c r="E332" s="615"/>
      <c r="F332" s="615"/>
      <c r="G332" s="615"/>
      <c r="H332" s="585"/>
      <c r="I332" s="615"/>
      <c r="J332" s="615"/>
      <c r="K332" s="615"/>
      <c r="L332" s="615"/>
      <c r="M332" s="615"/>
      <c r="N332" s="615"/>
      <c r="O332" s="615"/>
      <c r="P332" s="615"/>
      <c r="Q332" s="615"/>
      <c r="R332" s="615"/>
      <c r="S332" s="615"/>
      <c r="T332" s="615"/>
      <c r="U332" s="615"/>
      <c r="V332" s="615"/>
      <c r="W332" s="615"/>
      <c r="X332" s="615"/>
      <c r="Y332" s="615"/>
      <c r="Z332" s="615"/>
      <c r="AA332" s="615"/>
      <c r="AB332" s="615">
        <v>0</v>
      </c>
      <c r="AC332" s="615">
        <v>0</v>
      </c>
      <c r="AD332" s="615">
        <v>0</v>
      </c>
      <c r="AE332" s="615">
        <v>0</v>
      </c>
      <c r="AF332" s="615">
        <v>0</v>
      </c>
      <c r="AG332" s="615">
        <v>0</v>
      </c>
      <c r="AH332" s="615">
        <v>0</v>
      </c>
      <c r="AI332" s="615">
        <v>0</v>
      </c>
      <c r="AJ332" s="615">
        <v>0</v>
      </c>
      <c r="AK332" s="615">
        <v>0</v>
      </c>
      <c r="AL332" s="615">
        <v>0</v>
      </c>
      <c r="AM332" s="615">
        <v>0</v>
      </c>
      <c r="AN332" s="615">
        <v>0</v>
      </c>
      <c r="AO332" s="615">
        <v>0</v>
      </c>
      <c r="AP332" s="615">
        <v>0</v>
      </c>
      <c r="AQ332" s="615">
        <v>0</v>
      </c>
      <c r="AR332" s="615">
        <v>0</v>
      </c>
      <c r="AS332" s="615">
        <v>0</v>
      </c>
      <c r="AT332" s="615">
        <v>0</v>
      </c>
      <c r="AU332" s="615">
        <v>0</v>
      </c>
      <c r="AV332" s="615">
        <v>0</v>
      </c>
      <c r="AW332" s="615">
        <v>3200000</v>
      </c>
      <c r="AX332" s="615">
        <v>3200000</v>
      </c>
      <c r="AY332" s="615">
        <v>3200000</v>
      </c>
      <c r="AZ332" s="615">
        <v>3200000</v>
      </c>
      <c r="BA332" s="615">
        <v>3200000</v>
      </c>
      <c r="BB332" s="615">
        <v>3200000</v>
      </c>
      <c r="BC332" s="615">
        <v>3200000</v>
      </c>
      <c r="BD332" s="615">
        <v>3200000</v>
      </c>
      <c r="BE332" s="615">
        <v>3200000</v>
      </c>
      <c r="BF332" s="615">
        <v>3200000</v>
      </c>
      <c r="BG332" s="615">
        <v>3200000</v>
      </c>
      <c r="BH332" s="615">
        <v>3200000</v>
      </c>
      <c r="BI332" s="615">
        <v>3200000</v>
      </c>
      <c r="BJ332" s="615">
        <v>3200000</v>
      </c>
      <c r="BK332" s="615">
        <v>3200000</v>
      </c>
      <c r="BL332" s="615">
        <v>3200000</v>
      </c>
      <c r="BM332" s="615">
        <v>3200000</v>
      </c>
      <c r="BN332" s="615">
        <v>3200000</v>
      </c>
      <c r="BO332" s="615">
        <v>3200000</v>
      </c>
      <c r="BP332" s="615">
        <v>3200000</v>
      </c>
      <c r="BQ332" s="615">
        <v>3200000</v>
      </c>
      <c r="BR332" s="615">
        <v>3200000</v>
      </c>
      <c r="BS332" s="615">
        <v>3200000</v>
      </c>
      <c r="BT332" s="615">
        <v>3200000</v>
      </c>
      <c r="BU332" s="615">
        <v>3868100</v>
      </c>
      <c r="BV332" s="615">
        <v>274558900</v>
      </c>
      <c r="BW332" s="615">
        <v>0</v>
      </c>
      <c r="BX332" s="607">
        <f t="shared" si="12"/>
        <v>355227000</v>
      </c>
    </row>
    <row r="333" spans="1:76" s="612" customFormat="1" ht="12.95" customHeight="1" x14ac:dyDescent="0.2">
      <c r="A333" s="909"/>
      <c r="B333" s="611" t="s">
        <v>1573</v>
      </c>
      <c r="C333" s="641" t="s">
        <v>2987</v>
      </c>
      <c r="D333" s="615"/>
      <c r="E333" s="615"/>
      <c r="F333" s="615"/>
      <c r="G333" s="615"/>
      <c r="H333" s="585"/>
      <c r="I333" s="615"/>
      <c r="J333" s="615"/>
      <c r="K333" s="615"/>
      <c r="L333" s="615"/>
      <c r="M333" s="615"/>
      <c r="N333" s="615"/>
      <c r="O333" s="615"/>
      <c r="P333" s="615"/>
      <c r="Q333" s="615"/>
      <c r="R333" s="615"/>
      <c r="S333" s="615"/>
      <c r="T333" s="615"/>
      <c r="U333" s="615"/>
      <c r="V333" s="615"/>
      <c r="W333" s="615"/>
      <c r="X333" s="615"/>
      <c r="Y333" s="615"/>
      <c r="Z333" s="615"/>
      <c r="AA333" s="615"/>
      <c r="AB333" s="615">
        <v>0</v>
      </c>
      <c r="AC333" s="615">
        <v>0</v>
      </c>
      <c r="AD333" s="615">
        <v>0</v>
      </c>
      <c r="AE333" s="615">
        <v>0</v>
      </c>
      <c r="AF333" s="615">
        <v>0</v>
      </c>
      <c r="AG333" s="615">
        <v>0</v>
      </c>
      <c r="AH333" s="615">
        <v>0</v>
      </c>
      <c r="AI333" s="615">
        <v>0</v>
      </c>
      <c r="AJ333" s="615">
        <v>0</v>
      </c>
      <c r="AK333" s="615">
        <v>0</v>
      </c>
      <c r="AL333" s="615">
        <v>0</v>
      </c>
      <c r="AM333" s="615">
        <v>0</v>
      </c>
      <c r="AN333" s="615">
        <v>0</v>
      </c>
      <c r="AO333" s="615">
        <v>0</v>
      </c>
      <c r="AP333" s="615">
        <v>0</v>
      </c>
      <c r="AQ333" s="615">
        <v>0</v>
      </c>
      <c r="AR333" s="615">
        <v>0</v>
      </c>
      <c r="AS333" s="615">
        <v>0</v>
      </c>
      <c r="AT333" s="615">
        <v>0</v>
      </c>
      <c r="AU333" s="615">
        <v>0</v>
      </c>
      <c r="AV333" s="615">
        <v>0</v>
      </c>
      <c r="AW333" s="615">
        <v>4300000</v>
      </c>
      <c r="AX333" s="615">
        <v>4300000</v>
      </c>
      <c r="AY333" s="615">
        <v>4300000</v>
      </c>
      <c r="AZ333" s="615">
        <v>4300000</v>
      </c>
      <c r="BA333" s="615">
        <v>4300000</v>
      </c>
      <c r="BB333" s="615">
        <v>4300000</v>
      </c>
      <c r="BC333" s="615">
        <v>4300000</v>
      </c>
      <c r="BD333" s="615">
        <v>4300000</v>
      </c>
      <c r="BE333" s="615">
        <v>4300000</v>
      </c>
      <c r="BF333" s="615">
        <v>4300000</v>
      </c>
      <c r="BG333" s="615">
        <v>4300000</v>
      </c>
      <c r="BH333" s="615">
        <v>4300000</v>
      </c>
      <c r="BI333" s="615">
        <v>4300000</v>
      </c>
      <c r="BJ333" s="615">
        <v>4300000</v>
      </c>
      <c r="BK333" s="615">
        <v>4300000</v>
      </c>
      <c r="BL333" s="615">
        <v>4300000</v>
      </c>
      <c r="BM333" s="615">
        <v>4300000</v>
      </c>
      <c r="BN333" s="615">
        <v>4300000</v>
      </c>
      <c r="BO333" s="615">
        <v>4300000</v>
      </c>
      <c r="BP333" s="615">
        <v>4300000</v>
      </c>
      <c r="BQ333" s="615">
        <v>4300000</v>
      </c>
      <c r="BR333" s="615">
        <v>4300000</v>
      </c>
      <c r="BS333" s="615">
        <v>4300000</v>
      </c>
      <c r="BT333" s="615">
        <v>4300000</v>
      </c>
      <c r="BU333" s="615">
        <v>6449250</v>
      </c>
      <c r="BV333" s="615">
        <v>367848250</v>
      </c>
      <c r="BW333" s="615">
        <v>0</v>
      </c>
      <c r="BX333" s="607">
        <f t="shared" si="12"/>
        <v>477497500</v>
      </c>
    </row>
    <row r="334" spans="1:76" s="612" customFormat="1" ht="12.95" customHeight="1" x14ac:dyDescent="0.2">
      <c r="A334" s="909"/>
      <c r="B334" s="611" t="s">
        <v>3362</v>
      </c>
      <c r="C334" s="641" t="s">
        <v>3361</v>
      </c>
      <c r="D334" s="615"/>
      <c r="E334" s="615"/>
      <c r="F334" s="615"/>
      <c r="G334" s="615"/>
      <c r="H334" s="585"/>
      <c r="I334" s="615"/>
      <c r="J334" s="615"/>
      <c r="K334" s="615"/>
      <c r="L334" s="615"/>
      <c r="M334" s="615"/>
      <c r="N334" s="615"/>
      <c r="O334" s="615"/>
      <c r="P334" s="615"/>
      <c r="Q334" s="615"/>
      <c r="R334" s="615"/>
      <c r="S334" s="615"/>
      <c r="T334" s="615"/>
      <c r="U334" s="615"/>
      <c r="V334" s="615"/>
      <c r="W334" s="615"/>
      <c r="X334" s="615"/>
      <c r="Y334" s="615"/>
      <c r="Z334" s="615"/>
      <c r="AA334" s="615"/>
      <c r="AB334" s="615">
        <v>0</v>
      </c>
      <c r="AC334" s="615">
        <v>0</v>
      </c>
      <c r="AD334" s="615">
        <v>0</v>
      </c>
      <c r="AE334" s="615">
        <v>0</v>
      </c>
      <c r="AF334" s="615">
        <v>0</v>
      </c>
      <c r="AG334" s="615">
        <v>0</v>
      </c>
      <c r="AH334" s="615">
        <v>0</v>
      </c>
      <c r="AI334" s="615">
        <v>0</v>
      </c>
      <c r="AJ334" s="615">
        <v>0</v>
      </c>
      <c r="AK334" s="615">
        <v>0</v>
      </c>
      <c r="AL334" s="615">
        <v>0</v>
      </c>
      <c r="AM334" s="615">
        <v>0</v>
      </c>
      <c r="AN334" s="615">
        <v>0</v>
      </c>
      <c r="AO334" s="615">
        <v>0</v>
      </c>
      <c r="AP334" s="615">
        <v>0</v>
      </c>
      <c r="AQ334" s="615">
        <v>0</v>
      </c>
      <c r="AR334" s="615">
        <v>0</v>
      </c>
      <c r="AS334" s="615">
        <v>0</v>
      </c>
      <c r="AT334" s="615">
        <v>0</v>
      </c>
      <c r="AU334" s="615">
        <v>0</v>
      </c>
      <c r="AV334" s="615">
        <v>0</v>
      </c>
      <c r="AW334" s="615">
        <v>3526412</v>
      </c>
      <c r="AX334" s="615">
        <v>4578978</v>
      </c>
      <c r="AY334" s="615">
        <v>4578978</v>
      </c>
      <c r="AZ334" s="615">
        <v>4578978</v>
      </c>
      <c r="BA334" s="615">
        <v>4578978</v>
      </c>
      <c r="BB334" s="615">
        <v>4578978</v>
      </c>
      <c r="BC334" s="615">
        <v>4578978</v>
      </c>
      <c r="BD334" s="615">
        <v>4578978</v>
      </c>
      <c r="BE334" s="615">
        <v>4578978</v>
      </c>
      <c r="BF334" s="615">
        <v>4578978</v>
      </c>
      <c r="BG334" s="615">
        <v>4578978</v>
      </c>
      <c r="BH334" s="615">
        <v>4578978</v>
      </c>
      <c r="BI334" s="615">
        <v>4578978</v>
      </c>
      <c r="BJ334" s="615">
        <v>4578978</v>
      </c>
      <c r="BK334" s="615">
        <v>4578978</v>
      </c>
      <c r="BL334" s="615">
        <v>4578978</v>
      </c>
      <c r="BM334" s="615">
        <v>4578978</v>
      </c>
      <c r="BN334" s="615">
        <v>4578978</v>
      </c>
      <c r="BO334" s="615">
        <v>4578978</v>
      </c>
      <c r="BP334" s="615">
        <v>4578978</v>
      </c>
      <c r="BQ334" s="615">
        <v>4578978</v>
      </c>
      <c r="BR334" s="615">
        <v>4578978</v>
      </c>
      <c r="BS334" s="615">
        <v>4578978</v>
      </c>
      <c r="BT334" s="615">
        <v>4578978</v>
      </c>
      <c r="BU334" s="615">
        <v>4578978</v>
      </c>
      <c r="BV334" s="615">
        <v>4578976</v>
      </c>
      <c r="BW334" s="615">
        <v>374932250</v>
      </c>
      <c r="BX334" s="607">
        <f t="shared" si="12"/>
        <v>492933110</v>
      </c>
    </row>
    <row r="335" spans="1:76" s="612" customFormat="1" ht="12.95" customHeight="1" x14ac:dyDescent="0.2">
      <c r="A335" s="909"/>
      <c r="B335" s="611" t="s">
        <v>3364</v>
      </c>
      <c r="C335" s="641" t="s">
        <v>3363</v>
      </c>
      <c r="D335" s="615"/>
      <c r="E335" s="615"/>
      <c r="F335" s="615"/>
      <c r="G335" s="615"/>
      <c r="H335" s="585"/>
      <c r="I335" s="615"/>
      <c r="J335" s="615"/>
      <c r="K335" s="615"/>
      <c r="L335" s="615"/>
      <c r="M335" s="615"/>
      <c r="N335" s="615"/>
      <c r="O335" s="615"/>
      <c r="P335" s="615"/>
      <c r="Q335" s="615"/>
      <c r="R335" s="615"/>
      <c r="S335" s="615"/>
      <c r="T335" s="615"/>
      <c r="U335" s="615"/>
      <c r="V335" s="615"/>
      <c r="W335" s="615"/>
      <c r="X335" s="615"/>
      <c r="Y335" s="615"/>
      <c r="Z335" s="615"/>
      <c r="AA335" s="615"/>
      <c r="AB335" s="615">
        <v>0</v>
      </c>
      <c r="AC335" s="615">
        <v>0</v>
      </c>
      <c r="AD335" s="615">
        <v>0</v>
      </c>
      <c r="AE335" s="615">
        <v>0</v>
      </c>
      <c r="AF335" s="615">
        <v>0</v>
      </c>
      <c r="AG335" s="615">
        <v>0</v>
      </c>
      <c r="AH335" s="615">
        <v>0</v>
      </c>
      <c r="AI335" s="615">
        <v>0</v>
      </c>
      <c r="AJ335" s="615">
        <v>0</v>
      </c>
      <c r="AK335" s="615">
        <v>0</v>
      </c>
      <c r="AL335" s="615">
        <v>0</v>
      </c>
      <c r="AM335" s="615">
        <v>0</v>
      </c>
      <c r="AN335" s="615">
        <v>0</v>
      </c>
      <c r="AO335" s="615">
        <v>0</v>
      </c>
      <c r="AP335" s="615">
        <v>0</v>
      </c>
      <c r="AQ335" s="615">
        <v>0</v>
      </c>
      <c r="AR335" s="615">
        <v>0</v>
      </c>
      <c r="AS335" s="615">
        <v>0</v>
      </c>
      <c r="AT335" s="615">
        <v>0</v>
      </c>
      <c r="AU335" s="615">
        <v>0</v>
      </c>
      <c r="AV335" s="615">
        <v>0</v>
      </c>
      <c r="AW335" s="615">
        <v>0</v>
      </c>
      <c r="AX335" s="615">
        <v>0</v>
      </c>
      <c r="AY335" s="615">
        <v>0</v>
      </c>
      <c r="AZ335" s="615">
        <v>0</v>
      </c>
      <c r="BA335" s="615">
        <v>0</v>
      </c>
      <c r="BB335" s="615">
        <v>0</v>
      </c>
      <c r="BC335" s="615">
        <v>0</v>
      </c>
      <c r="BD335" s="615">
        <v>0</v>
      </c>
      <c r="BE335" s="615">
        <v>0</v>
      </c>
      <c r="BF335" s="615">
        <v>0</v>
      </c>
      <c r="BG335" s="615">
        <v>0</v>
      </c>
      <c r="BH335" s="615">
        <v>910000</v>
      </c>
      <c r="BI335" s="615">
        <v>3992500</v>
      </c>
      <c r="BJ335" s="615">
        <v>3992500</v>
      </c>
      <c r="BK335" s="615">
        <v>3992500</v>
      </c>
      <c r="BL335" s="615">
        <v>3992500</v>
      </c>
      <c r="BM335" s="615">
        <v>3992500</v>
      </c>
      <c r="BN335" s="615">
        <v>3992500</v>
      </c>
      <c r="BO335" s="615">
        <v>3992500</v>
      </c>
      <c r="BP335" s="615">
        <v>3992500</v>
      </c>
      <c r="BQ335" s="615">
        <v>3992500</v>
      </c>
      <c r="BR335" s="615">
        <v>3992500</v>
      </c>
      <c r="BS335" s="615">
        <v>3992500</v>
      </c>
      <c r="BT335" s="615">
        <v>3992500</v>
      </c>
      <c r="BU335" s="615">
        <v>3992500</v>
      </c>
      <c r="BV335" s="615">
        <v>300457500</v>
      </c>
      <c r="BW335" s="615">
        <v>0</v>
      </c>
      <c r="BX335" s="607">
        <f t="shared" si="12"/>
        <v>353270000</v>
      </c>
    </row>
    <row r="336" spans="1:76" s="612" customFormat="1" ht="12.95" customHeight="1" x14ac:dyDescent="0.2">
      <c r="A336" s="909"/>
      <c r="B336" s="611" t="s">
        <v>2989</v>
      </c>
      <c r="C336" s="641" t="s">
        <v>2988</v>
      </c>
      <c r="D336" s="615"/>
      <c r="E336" s="615"/>
      <c r="F336" s="615"/>
      <c r="G336" s="615"/>
      <c r="H336" s="585"/>
      <c r="I336" s="615"/>
      <c r="J336" s="615"/>
      <c r="K336" s="615"/>
      <c r="L336" s="615"/>
      <c r="M336" s="615"/>
      <c r="N336" s="615"/>
      <c r="O336" s="615"/>
      <c r="P336" s="615"/>
      <c r="Q336" s="615"/>
      <c r="R336" s="615"/>
      <c r="S336" s="615"/>
      <c r="T336" s="615"/>
      <c r="U336" s="615"/>
      <c r="V336" s="615"/>
      <c r="W336" s="615"/>
      <c r="X336" s="615"/>
      <c r="Y336" s="615"/>
      <c r="Z336" s="615"/>
      <c r="AA336" s="615"/>
      <c r="AB336" s="615">
        <v>0</v>
      </c>
      <c r="AC336" s="615">
        <v>0</v>
      </c>
      <c r="AD336" s="615">
        <v>0</v>
      </c>
      <c r="AE336" s="615">
        <v>0</v>
      </c>
      <c r="AF336" s="615">
        <v>0</v>
      </c>
      <c r="AG336" s="615">
        <v>0</v>
      </c>
      <c r="AH336" s="615">
        <v>0</v>
      </c>
      <c r="AI336" s="615">
        <v>0</v>
      </c>
      <c r="AJ336" s="615">
        <v>0</v>
      </c>
      <c r="AK336" s="615">
        <v>0</v>
      </c>
      <c r="AL336" s="615">
        <v>0</v>
      </c>
      <c r="AM336" s="615">
        <v>0</v>
      </c>
      <c r="AN336" s="615">
        <v>0</v>
      </c>
      <c r="AO336" s="615">
        <v>0</v>
      </c>
      <c r="AP336" s="615">
        <v>0</v>
      </c>
      <c r="AQ336" s="615">
        <v>0</v>
      </c>
      <c r="AR336" s="615">
        <v>0</v>
      </c>
      <c r="AS336" s="615">
        <v>0</v>
      </c>
      <c r="AT336" s="615">
        <v>0</v>
      </c>
      <c r="AU336" s="615">
        <v>0</v>
      </c>
      <c r="AV336" s="615">
        <v>4278286</v>
      </c>
      <c r="AW336" s="615">
        <v>4278286</v>
      </c>
      <c r="AX336" s="615">
        <v>4278286</v>
      </c>
      <c r="AY336" s="615">
        <v>4278286</v>
      </c>
      <c r="AZ336" s="615">
        <v>4278286</v>
      </c>
      <c r="BA336" s="615">
        <v>4278286</v>
      </c>
      <c r="BB336" s="615">
        <v>4278286</v>
      </c>
      <c r="BC336" s="615">
        <v>4278286</v>
      </c>
      <c r="BD336" s="615">
        <v>4278286</v>
      </c>
      <c r="BE336" s="615">
        <v>4278286</v>
      </c>
      <c r="BF336" s="615">
        <v>4278286</v>
      </c>
      <c r="BG336" s="615">
        <v>4278286</v>
      </c>
      <c r="BH336" s="615">
        <v>4278286</v>
      </c>
      <c r="BI336" s="615">
        <v>4278286</v>
      </c>
      <c r="BJ336" s="615">
        <v>4278286</v>
      </c>
      <c r="BK336" s="615">
        <v>4278286</v>
      </c>
      <c r="BL336" s="615">
        <v>4278286</v>
      </c>
      <c r="BM336" s="615">
        <v>4278286</v>
      </c>
      <c r="BN336" s="615">
        <v>4278286</v>
      </c>
      <c r="BO336" s="615">
        <v>4278286</v>
      </c>
      <c r="BP336" s="615">
        <v>4278286</v>
      </c>
      <c r="BQ336" s="615">
        <v>4278286</v>
      </c>
      <c r="BR336" s="615">
        <v>4278286</v>
      </c>
      <c r="BS336" s="615">
        <v>4278286</v>
      </c>
      <c r="BT336" s="615">
        <v>4278286</v>
      </c>
      <c r="BU336" s="615">
        <v>4278276</v>
      </c>
      <c r="BV336" s="615">
        <v>361060000</v>
      </c>
      <c r="BW336" s="615">
        <v>0</v>
      </c>
      <c r="BX336" s="607">
        <f t="shared" si="12"/>
        <v>472295426</v>
      </c>
    </row>
    <row r="337" spans="1:76" s="612" customFormat="1" ht="12.95" customHeight="1" x14ac:dyDescent="0.2">
      <c r="A337" s="909"/>
      <c r="B337" s="611" t="s">
        <v>3154</v>
      </c>
      <c r="C337" s="641" t="s">
        <v>3153</v>
      </c>
      <c r="D337" s="615"/>
      <c r="E337" s="615"/>
      <c r="F337" s="615"/>
      <c r="G337" s="615"/>
      <c r="H337" s="585"/>
      <c r="I337" s="615"/>
      <c r="J337" s="615"/>
      <c r="K337" s="615"/>
      <c r="L337" s="615"/>
      <c r="M337" s="615"/>
      <c r="N337" s="615"/>
      <c r="O337" s="615"/>
      <c r="P337" s="615"/>
      <c r="Q337" s="615"/>
      <c r="R337" s="615"/>
      <c r="S337" s="615"/>
      <c r="T337" s="615"/>
      <c r="U337" s="615"/>
      <c r="V337" s="615"/>
      <c r="W337" s="615"/>
      <c r="X337" s="615"/>
      <c r="Y337" s="615"/>
      <c r="Z337" s="615"/>
      <c r="AA337" s="615"/>
      <c r="AB337" s="615">
        <v>0</v>
      </c>
      <c r="AC337" s="615">
        <v>0</v>
      </c>
      <c r="AD337" s="615">
        <v>0</v>
      </c>
      <c r="AE337" s="615">
        <v>0</v>
      </c>
      <c r="AF337" s="615">
        <v>0</v>
      </c>
      <c r="AG337" s="615">
        <v>0</v>
      </c>
      <c r="AH337" s="615">
        <v>0</v>
      </c>
      <c r="AI337" s="615">
        <v>0</v>
      </c>
      <c r="AJ337" s="615">
        <v>0</v>
      </c>
      <c r="AK337" s="615">
        <v>0</v>
      </c>
      <c r="AL337" s="615">
        <v>0</v>
      </c>
      <c r="AM337" s="615">
        <v>0</v>
      </c>
      <c r="AN337" s="615">
        <v>0</v>
      </c>
      <c r="AO337" s="615">
        <v>0</v>
      </c>
      <c r="AP337" s="615">
        <v>0</v>
      </c>
      <c r="AQ337" s="615">
        <v>0</v>
      </c>
      <c r="AR337" s="615">
        <v>0</v>
      </c>
      <c r="AS337" s="615">
        <v>0</v>
      </c>
      <c r="AT337" s="615">
        <v>0</v>
      </c>
      <c r="AU337" s="615">
        <v>0</v>
      </c>
      <c r="AV337" s="615">
        <v>0</v>
      </c>
      <c r="AW337" s="615">
        <v>3537334</v>
      </c>
      <c r="AX337" s="615">
        <v>3538667</v>
      </c>
      <c r="AY337" s="615">
        <v>3538667</v>
      </c>
      <c r="AZ337" s="615">
        <v>14000000</v>
      </c>
      <c r="BA337" s="615">
        <v>3538667</v>
      </c>
      <c r="BB337" s="615">
        <v>3538667</v>
      </c>
      <c r="BC337" s="615">
        <v>3538667</v>
      </c>
      <c r="BD337" s="615">
        <v>3538667</v>
      </c>
      <c r="BE337" s="615">
        <v>3538667</v>
      </c>
      <c r="BF337" s="615">
        <v>3538667</v>
      </c>
      <c r="BG337" s="615">
        <v>3538667</v>
      </c>
      <c r="BH337" s="615">
        <v>3538667</v>
      </c>
      <c r="BI337" s="615">
        <v>3538667</v>
      </c>
      <c r="BJ337" s="615">
        <v>3538667</v>
      </c>
      <c r="BK337" s="615">
        <v>3538667</v>
      </c>
      <c r="BL337" s="615">
        <v>3538667</v>
      </c>
      <c r="BM337" s="615">
        <v>3538667</v>
      </c>
      <c r="BN337" s="615">
        <v>3538667</v>
      </c>
      <c r="BO337" s="615">
        <v>3538667</v>
      </c>
      <c r="BP337" s="615">
        <v>3538667</v>
      </c>
      <c r="BQ337" s="615">
        <v>3538667</v>
      </c>
      <c r="BR337" s="615">
        <v>3538667</v>
      </c>
      <c r="BS337" s="615">
        <v>3538667</v>
      </c>
      <c r="BT337" s="615">
        <v>3538667</v>
      </c>
      <c r="BU337" s="615">
        <v>3538668</v>
      </c>
      <c r="BV337" s="615">
        <v>273682655</v>
      </c>
      <c r="BW337" s="615">
        <v>0</v>
      </c>
      <c r="BX337" s="607">
        <f t="shared" si="12"/>
        <v>372609331</v>
      </c>
    </row>
    <row r="338" spans="1:76" s="612" customFormat="1" ht="12.95" customHeight="1" x14ac:dyDescent="0.2">
      <c r="A338" s="909"/>
      <c r="B338" s="611" t="s">
        <v>2707</v>
      </c>
      <c r="C338" s="641" t="s">
        <v>2706</v>
      </c>
      <c r="D338" s="615"/>
      <c r="E338" s="615"/>
      <c r="F338" s="615"/>
      <c r="G338" s="615"/>
      <c r="H338" s="585"/>
      <c r="I338" s="615"/>
      <c r="J338" s="615"/>
      <c r="K338" s="615"/>
      <c r="L338" s="615"/>
      <c r="M338" s="615"/>
      <c r="N338" s="615"/>
      <c r="O338" s="615"/>
      <c r="P338" s="615"/>
      <c r="Q338" s="615"/>
      <c r="R338" s="615"/>
      <c r="S338" s="615"/>
      <c r="T338" s="615"/>
      <c r="U338" s="615"/>
      <c r="V338" s="615"/>
      <c r="W338" s="615"/>
      <c r="X338" s="615"/>
      <c r="Y338" s="615"/>
      <c r="Z338" s="615"/>
      <c r="AA338" s="615"/>
      <c r="AB338" s="615">
        <v>0</v>
      </c>
      <c r="AC338" s="615">
        <v>0</v>
      </c>
      <c r="AD338" s="615">
        <v>0</v>
      </c>
      <c r="AE338" s="615">
        <v>0</v>
      </c>
      <c r="AF338" s="615">
        <v>0</v>
      </c>
      <c r="AG338" s="615">
        <v>0</v>
      </c>
      <c r="AH338" s="615">
        <v>0</v>
      </c>
      <c r="AI338" s="615">
        <v>0</v>
      </c>
      <c r="AJ338" s="615">
        <v>0</v>
      </c>
      <c r="AK338" s="615">
        <v>0</v>
      </c>
      <c r="AL338" s="615">
        <v>0</v>
      </c>
      <c r="AM338" s="615">
        <v>0</v>
      </c>
      <c r="AN338" s="615">
        <v>0</v>
      </c>
      <c r="AO338" s="615">
        <v>0</v>
      </c>
      <c r="AP338" s="615">
        <v>0</v>
      </c>
      <c r="AQ338" s="615">
        <v>0</v>
      </c>
      <c r="AR338" s="615">
        <v>0</v>
      </c>
      <c r="AS338" s="615">
        <v>0</v>
      </c>
      <c r="AT338" s="615">
        <v>0</v>
      </c>
      <c r="AU338" s="615">
        <v>0</v>
      </c>
      <c r="AV338" s="615">
        <v>798575</v>
      </c>
      <c r="AW338" s="615">
        <v>3500000</v>
      </c>
      <c r="AX338" s="615">
        <v>3500000</v>
      </c>
      <c r="AY338" s="615">
        <v>3500000</v>
      </c>
      <c r="AZ338" s="615">
        <v>5000000</v>
      </c>
      <c r="BA338" s="615">
        <v>3500000</v>
      </c>
      <c r="BB338" s="615">
        <v>3500000</v>
      </c>
      <c r="BC338" s="615">
        <v>3500000</v>
      </c>
      <c r="BD338" s="615">
        <v>3500000</v>
      </c>
      <c r="BE338" s="615">
        <v>3500000</v>
      </c>
      <c r="BF338" s="615">
        <v>5000000</v>
      </c>
      <c r="BG338" s="615">
        <v>3500000</v>
      </c>
      <c r="BH338" s="615">
        <v>3500000</v>
      </c>
      <c r="BI338" s="615">
        <v>3500000</v>
      </c>
      <c r="BJ338" s="615">
        <v>3500000</v>
      </c>
      <c r="BK338" s="615">
        <v>3500000</v>
      </c>
      <c r="BL338" s="615">
        <v>5000000</v>
      </c>
      <c r="BM338" s="615">
        <v>3500000</v>
      </c>
      <c r="BN338" s="615">
        <v>3500000</v>
      </c>
      <c r="BO338" s="615">
        <v>3500000</v>
      </c>
      <c r="BP338" s="615">
        <v>3500000</v>
      </c>
      <c r="BQ338" s="615">
        <v>3500000</v>
      </c>
      <c r="BR338" s="615">
        <v>5000000</v>
      </c>
      <c r="BS338" s="615">
        <v>3500000</v>
      </c>
      <c r="BT338" s="615">
        <v>3500000</v>
      </c>
      <c r="BU338" s="615">
        <v>27797000</v>
      </c>
      <c r="BV338" s="615">
        <v>368193000</v>
      </c>
      <c r="BW338" s="615">
        <v>0</v>
      </c>
      <c r="BX338" s="607">
        <f t="shared" si="12"/>
        <v>486788575</v>
      </c>
    </row>
    <row r="339" spans="1:76" s="612" customFormat="1" ht="12.95" customHeight="1" x14ac:dyDescent="0.2">
      <c r="A339" s="909"/>
      <c r="B339" s="611" t="s">
        <v>2990</v>
      </c>
      <c r="C339" s="641" t="s">
        <v>2708</v>
      </c>
      <c r="D339" s="615"/>
      <c r="E339" s="615"/>
      <c r="F339" s="615"/>
      <c r="G339" s="615"/>
      <c r="H339" s="585"/>
      <c r="I339" s="615"/>
      <c r="J339" s="615"/>
      <c r="K339" s="615"/>
      <c r="L339" s="615"/>
      <c r="M339" s="615"/>
      <c r="N339" s="615"/>
      <c r="O339" s="615"/>
      <c r="P339" s="615"/>
      <c r="Q339" s="615"/>
      <c r="R339" s="615"/>
      <c r="S339" s="615"/>
      <c r="T339" s="615"/>
      <c r="U339" s="615"/>
      <c r="V339" s="615"/>
      <c r="W339" s="615"/>
      <c r="X339" s="615"/>
      <c r="Y339" s="615"/>
      <c r="Z339" s="615"/>
      <c r="AA339" s="615"/>
      <c r="AB339" s="615">
        <v>0</v>
      </c>
      <c r="AC339" s="615">
        <v>0</v>
      </c>
      <c r="AD339" s="615">
        <v>0</v>
      </c>
      <c r="AE339" s="615">
        <v>0</v>
      </c>
      <c r="AF339" s="615">
        <v>0</v>
      </c>
      <c r="AG339" s="615">
        <v>0</v>
      </c>
      <c r="AH339" s="615">
        <v>0</v>
      </c>
      <c r="AI339" s="615">
        <v>0</v>
      </c>
      <c r="AJ339" s="615">
        <v>0</v>
      </c>
      <c r="AK339" s="615">
        <v>0</v>
      </c>
      <c r="AL339" s="615">
        <v>0</v>
      </c>
      <c r="AM339" s="615">
        <v>0</v>
      </c>
      <c r="AN339" s="615">
        <v>0</v>
      </c>
      <c r="AO339" s="615">
        <v>0</v>
      </c>
      <c r="AP339" s="615">
        <v>0</v>
      </c>
      <c r="AQ339" s="615">
        <v>0</v>
      </c>
      <c r="AR339" s="615">
        <v>0</v>
      </c>
      <c r="AS339" s="615">
        <v>0</v>
      </c>
      <c r="AT339" s="615">
        <v>0</v>
      </c>
      <c r="AU339" s="615">
        <v>0</v>
      </c>
      <c r="AV339" s="615">
        <v>4396574</v>
      </c>
      <c r="AW339" s="615">
        <v>4398286</v>
      </c>
      <c r="AX339" s="615">
        <v>4398286</v>
      </c>
      <c r="AY339" s="615">
        <v>4398286</v>
      </c>
      <c r="AZ339" s="615">
        <v>4398286</v>
      </c>
      <c r="BA339" s="615">
        <v>4398286</v>
      </c>
      <c r="BB339" s="615">
        <v>4398286</v>
      </c>
      <c r="BC339" s="615">
        <v>4398286</v>
      </c>
      <c r="BD339" s="615">
        <v>4398286</v>
      </c>
      <c r="BE339" s="615">
        <v>4398286</v>
      </c>
      <c r="BF339" s="615">
        <v>4398286</v>
      </c>
      <c r="BG339" s="615">
        <v>4398286</v>
      </c>
      <c r="BH339" s="615">
        <v>4398286</v>
      </c>
      <c r="BI339" s="615">
        <v>4398286</v>
      </c>
      <c r="BJ339" s="615">
        <v>4398286</v>
      </c>
      <c r="BK339" s="615">
        <v>4398286</v>
      </c>
      <c r="BL339" s="615">
        <v>4398286</v>
      </c>
      <c r="BM339" s="615">
        <v>4398286</v>
      </c>
      <c r="BN339" s="615">
        <v>4398286</v>
      </c>
      <c r="BO339" s="615">
        <v>4398286</v>
      </c>
      <c r="BP339" s="615">
        <v>4398286</v>
      </c>
      <c r="BQ339" s="615">
        <v>4398286</v>
      </c>
      <c r="BR339" s="615">
        <v>4398286</v>
      </c>
      <c r="BS339" s="615">
        <v>4398286</v>
      </c>
      <c r="BT339" s="615">
        <v>4398286</v>
      </c>
      <c r="BU339" s="615">
        <v>4398276</v>
      </c>
      <c r="BV339" s="615">
        <v>370860000</v>
      </c>
      <c r="BW339" s="615">
        <v>0</v>
      </c>
      <c r="BX339" s="607">
        <f t="shared" si="12"/>
        <v>485213714</v>
      </c>
    </row>
    <row r="340" spans="1:76" s="612" customFormat="1" ht="12.95" customHeight="1" x14ac:dyDescent="0.2">
      <c r="A340" s="909"/>
      <c r="B340" s="611" t="s">
        <v>1719</v>
      </c>
      <c r="C340" s="641" t="s">
        <v>2991</v>
      </c>
      <c r="D340" s="615"/>
      <c r="E340" s="615"/>
      <c r="F340" s="615"/>
      <c r="G340" s="615"/>
      <c r="H340" s="585"/>
      <c r="I340" s="615"/>
      <c r="J340" s="615"/>
      <c r="K340" s="615"/>
      <c r="L340" s="615"/>
      <c r="M340" s="615"/>
      <c r="N340" s="615"/>
      <c r="O340" s="615"/>
      <c r="P340" s="615"/>
      <c r="Q340" s="615"/>
      <c r="R340" s="615"/>
      <c r="S340" s="615"/>
      <c r="T340" s="615"/>
      <c r="U340" s="615"/>
      <c r="V340" s="615"/>
      <c r="W340" s="615"/>
      <c r="X340" s="615"/>
      <c r="Y340" s="615"/>
      <c r="Z340" s="615"/>
      <c r="AA340" s="615"/>
      <c r="AB340" s="615">
        <v>0</v>
      </c>
      <c r="AC340" s="615">
        <v>0</v>
      </c>
      <c r="AD340" s="615">
        <v>0</v>
      </c>
      <c r="AE340" s="615">
        <v>0</v>
      </c>
      <c r="AF340" s="615">
        <v>0</v>
      </c>
      <c r="AG340" s="615">
        <v>0</v>
      </c>
      <c r="AH340" s="615">
        <v>0</v>
      </c>
      <c r="AI340" s="615">
        <v>0</v>
      </c>
      <c r="AJ340" s="615">
        <v>0</v>
      </c>
      <c r="AK340" s="615">
        <v>0</v>
      </c>
      <c r="AL340" s="615">
        <v>0</v>
      </c>
      <c r="AM340" s="615">
        <v>0</v>
      </c>
      <c r="AN340" s="615">
        <v>0</v>
      </c>
      <c r="AO340" s="615">
        <v>0</v>
      </c>
      <c r="AP340" s="615">
        <v>0</v>
      </c>
      <c r="AQ340" s="615">
        <v>0</v>
      </c>
      <c r="AR340" s="615">
        <v>0</v>
      </c>
      <c r="AS340" s="615">
        <v>0</v>
      </c>
      <c r="AT340" s="615">
        <v>0</v>
      </c>
      <c r="AU340" s="615">
        <v>0</v>
      </c>
      <c r="AV340" s="615">
        <v>0</v>
      </c>
      <c r="AW340" s="615">
        <v>0</v>
      </c>
      <c r="AX340" s="615">
        <v>0</v>
      </c>
      <c r="AY340" s="615">
        <v>0</v>
      </c>
      <c r="AZ340" s="615">
        <v>0</v>
      </c>
      <c r="BA340" s="615">
        <v>0</v>
      </c>
      <c r="BB340" s="615">
        <v>0</v>
      </c>
      <c r="BC340" s="615">
        <v>0</v>
      </c>
      <c r="BD340" s="615">
        <v>0</v>
      </c>
      <c r="BE340" s="615">
        <v>0</v>
      </c>
      <c r="BF340" s="615">
        <v>0</v>
      </c>
      <c r="BG340" s="615">
        <v>0</v>
      </c>
      <c r="BH340" s="615">
        <v>0</v>
      </c>
      <c r="BI340" s="615">
        <v>0</v>
      </c>
      <c r="BJ340" s="615">
        <v>0</v>
      </c>
      <c r="BK340" s="615">
        <v>0</v>
      </c>
      <c r="BL340" s="615">
        <v>0</v>
      </c>
      <c r="BM340" s="615">
        <v>0</v>
      </c>
      <c r="BN340" s="615">
        <v>0</v>
      </c>
      <c r="BO340" s="615">
        <v>0</v>
      </c>
      <c r="BP340" s="615">
        <v>0</v>
      </c>
      <c r="BQ340" s="615">
        <v>0</v>
      </c>
      <c r="BR340" s="615">
        <v>0</v>
      </c>
      <c r="BS340" s="615">
        <v>0</v>
      </c>
      <c r="BT340" s="615">
        <v>0</v>
      </c>
      <c r="BU340" s="615">
        <v>0</v>
      </c>
      <c r="BV340" s="615">
        <v>203430000</v>
      </c>
      <c r="BW340" s="615">
        <v>0</v>
      </c>
      <c r="BX340" s="607">
        <f t="shared" si="12"/>
        <v>203430000</v>
      </c>
    </row>
    <row r="341" spans="1:76" s="612" customFormat="1" ht="12.95" customHeight="1" x14ac:dyDescent="0.2">
      <c r="A341" s="909"/>
      <c r="B341" s="611" t="s">
        <v>2993</v>
      </c>
      <c r="C341" s="641" t="s">
        <v>2992</v>
      </c>
      <c r="D341" s="615"/>
      <c r="E341" s="615"/>
      <c r="F341" s="615"/>
      <c r="G341" s="615"/>
      <c r="H341" s="585"/>
      <c r="I341" s="615"/>
      <c r="J341" s="615"/>
      <c r="K341" s="615"/>
      <c r="L341" s="615"/>
      <c r="M341" s="615"/>
      <c r="N341" s="615"/>
      <c r="O341" s="615"/>
      <c r="P341" s="615"/>
      <c r="Q341" s="615"/>
      <c r="R341" s="615"/>
      <c r="S341" s="615"/>
      <c r="T341" s="615"/>
      <c r="U341" s="615"/>
      <c r="V341" s="615"/>
      <c r="W341" s="615"/>
      <c r="X341" s="615"/>
      <c r="Y341" s="615"/>
      <c r="Z341" s="615"/>
      <c r="AA341" s="615"/>
      <c r="AB341" s="615">
        <v>0</v>
      </c>
      <c r="AC341" s="615">
        <v>0</v>
      </c>
      <c r="AD341" s="615">
        <v>0</v>
      </c>
      <c r="AE341" s="615">
        <v>0</v>
      </c>
      <c r="AF341" s="615">
        <v>0</v>
      </c>
      <c r="AG341" s="615">
        <v>0</v>
      </c>
      <c r="AH341" s="615">
        <v>0</v>
      </c>
      <c r="AI341" s="615">
        <v>0</v>
      </c>
      <c r="AJ341" s="615">
        <v>0</v>
      </c>
      <c r="AK341" s="615">
        <v>0</v>
      </c>
      <c r="AL341" s="615">
        <v>0</v>
      </c>
      <c r="AM341" s="615">
        <v>0</v>
      </c>
      <c r="AN341" s="615">
        <v>0</v>
      </c>
      <c r="AO341" s="615">
        <v>0</v>
      </c>
      <c r="AP341" s="615">
        <v>0</v>
      </c>
      <c r="AQ341" s="615">
        <v>0</v>
      </c>
      <c r="AR341" s="615">
        <v>0</v>
      </c>
      <c r="AS341" s="615">
        <v>0</v>
      </c>
      <c r="AT341" s="615">
        <v>0</v>
      </c>
      <c r="AU341" s="615">
        <v>0</v>
      </c>
      <c r="AV341" s="615">
        <v>0</v>
      </c>
      <c r="AW341" s="615">
        <v>4487962</v>
      </c>
      <c r="AX341" s="615">
        <v>4487963</v>
      </c>
      <c r="AY341" s="615">
        <v>4487963</v>
      </c>
      <c r="AZ341" s="615">
        <v>4487963</v>
      </c>
      <c r="BA341" s="615">
        <v>4487963</v>
      </c>
      <c r="BB341" s="615">
        <v>4487963</v>
      </c>
      <c r="BC341" s="615">
        <v>4487963</v>
      </c>
      <c r="BD341" s="615">
        <v>4487963</v>
      </c>
      <c r="BE341" s="615">
        <v>4487963</v>
      </c>
      <c r="BF341" s="615">
        <v>4487963</v>
      </c>
      <c r="BG341" s="615">
        <v>4487963</v>
      </c>
      <c r="BH341" s="615">
        <v>4487963</v>
      </c>
      <c r="BI341" s="615">
        <v>4487963</v>
      </c>
      <c r="BJ341" s="615">
        <v>4487963</v>
      </c>
      <c r="BK341" s="615">
        <v>4487963</v>
      </c>
      <c r="BL341" s="615">
        <v>4487963</v>
      </c>
      <c r="BM341" s="615">
        <v>4487963</v>
      </c>
      <c r="BN341" s="615">
        <v>4487963</v>
      </c>
      <c r="BO341" s="615">
        <v>4487963</v>
      </c>
      <c r="BP341" s="615">
        <v>4487963</v>
      </c>
      <c r="BQ341" s="615">
        <v>4487963</v>
      </c>
      <c r="BR341" s="615">
        <v>4487963</v>
      </c>
      <c r="BS341" s="615">
        <v>4487963</v>
      </c>
      <c r="BT341" s="615">
        <v>4487963</v>
      </c>
      <c r="BU341" s="615">
        <v>4487971</v>
      </c>
      <c r="BV341" s="615">
        <v>367711750</v>
      </c>
      <c r="BW341" s="615">
        <v>0</v>
      </c>
      <c r="BX341" s="607">
        <f t="shared" si="12"/>
        <v>479910832</v>
      </c>
    </row>
    <row r="342" spans="1:76" s="612" customFormat="1" ht="12.95" customHeight="1" x14ac:dyDescent="0.2">
      <c r="A342" s="909"/>
      <c r="B342" s="611" t="s">
        <v>2710</v>
      </c>
      <c r="C342" s="641" t="s">
        <v>2709</v>
      </c>
      <c r="D342" s="615"/>
      <c r="E342" s="615"/>
      <c r="F342" s="615"/>
      <c r="G342" s="615"/>
      <c r="H342" s="585"/>
      <c r="I342" s="615"/>
      <c r="J342" s="615"/>
      <c r="K342" s="615"/>
      <c r="L342" s="615"/>
      <c r="M342" s="615"/>
      <c r="N342" s="615"/>
      <c r="O342" s="615"/>
      <c r="P342" s="615"/>
      <c r="Q342" s="615"/>
      <c r="R342" s="615"/>
      <c r="S342" s="615"/>
      <c r="T342" s="615"/>
      <c r="U342" s="615"/>
      <c r="V342" s="615"/>
      <c r="W342" s="615"/>
      <c r="X342" s="615"/>
      <c r="Y342" s="615"/>
      <c r="Z342" s="615"/>
      <c r="AA342" s="615"/>
      <c r="AB342" s="615">
        <v>0</v>
      </c>
      <c r="AC342" s="615">
        <v>0</v>
      </c>
      <c r="AD342" s="615">
        <v>0</v>
      </c>
      <c r="AE342" s="615">
        <v>0</v>
      </c>
      <c r="AF342" s="615">
        <v>0</v>
      </c>
      <c r="AG342" s="615">
        <v>0</v>
      </c>
      <c r="AH342" s="615">
        <v>0</v>
      </c>
      <c r="AI342" s="615">
        <v>0</v>
      </c>
      <c r="AJ342" s="615">
        <v>0</v>
      </c>
      <c r="AK342" s="615">
        <v>0</v>
      </c>
      <c r="AL342" s="615">
        <v>0</v>
      </c>
      <c r="AM342" s="615">
        <v>0</v>
      </c>
      <c r="AN342" s="615">
        <v>0</v>
      </c>
      <c r="AO342" s="615">
        <v>0</v>
      </c>
      <c r="AP342" s="615">
        <v>0</v>
      </c>
      <c r="AQ342" s="615">
        <v>0</v>
      </c>
      <c r="AR342" s="615">
        <v>0</v>
      </c>
      <c r="AS342" s="615">
        <v>0</v>
      </c>
      <c r="AT342" s="615">
        <v>0</v>
      </c>
      <c r="AU342" s="615">
        <v>0</v>
      </c>
      <c r="AV342" s="615">
        <v>3321714</v>
      </c>
      <c r="AW342" s="615">
        <v>3321714</v>
      </c>
      <c r="AX342" s="615">
        <v>3321714</v>
      </c>
      <c r="AY342" s="615">
        <v>3321714</v>
      </c>
      <c r="AZ342" s="615">
        <v>3321714</v>
      </c>
      <c r="BA342" s="615">
        <v>3321714</v>
      </c>
      <c r="BB342" s="615">
        <v>3321714</v>
      </c>
      <c r="BC342" s="615">
        <v>3321714</v>
      </c>
      <c r="BD342" s="615">
        <v>3321714</v>
      </c>
      <c r="BE342" s="615">
        <v>3321714</v>
      </c>
      <c r="BF342" s="615">
        <v>3321714</v>
      </c>
      <c r="BG342" s="615">
        <v>3321714</v>
      </c>
      <c r="BH342" s="615">
        <v>3321714</v>
      </c>
      <c r="BI342" s="615">
        <v>3321714</v>
      </c>
      <c r="BJ342" s="615">
        <v>3321714</v>
      </c>
      <c r="BK342" s="615">
        <v>3321714</v>
      </c>
      <c r="BL342" s="615">
        <v>3321714</v>
      </c>
      <c r="BM342" s="615">
        <v>3321714</v>
      </c>
      <c r="BN342" s="615">
        <v>3321714</v>
      </c>
      <c r="BO342" s="615">
        <v>3321714</v>
      </c>
      <c r="BP342" s="615">
        <v>3321714</v>
      </c>
      <c r="BQ342" s="615">
        <v>3321714</v>
      </c>
      <c r="BR342" s="615">
        <v>3321714</v>
      </c>
      <c r="BS342" s="615">
        <v>3321714</v>
      </c>
      <c r="BT342" s="615">
        <v>3321714</v>
      </c>
      <c r="BU342" s="615">
        <v>3321724</v>
      </c>
      <c r="BV342" s="615">
        <v>275940000</v>
      </c>
      <c r="BW342" s="615">
        <v>0</v>
      </c>
      <c r="BX342" s="607">
        <f t="shared" si="12"/>
        <v>362304574</v>
      </c>
    </row>
    <row r="343" spans="1:76" s="612" customFormat="1" ht="12.95" customHeight="1" x14ac:dyDescent="0.2">
      <c r="A343" s="909"/>
      <c r="B343" s="611" t="s">
        <v>4366</v>
      </c>
      <c r="C343" s="641" t="s">
        <v>4365</v>
      </c>
      <c r="D343" s="615"/>
      <c r="E343" s="615"/>
      <c r="F343" s="615"/>
      <c r="G343" s="615"/>
      <c r="H343" s="585"/>
      <c r="I343" s="615"/>
      <c r="J343" s="615"/>
      <c r="K343" s="615"/>
      <c r="L343" s="615"/>
      <c r="M343" s="615"/>
      <c r="N343" s="615"/>
      <c r="O343" s="615"/>
      <c r="P343" s="615"/>
      <c r="Q343" s="615"/>
      <c r="R343" s="615"/>
      <c r="S343" s="615"/>
      <c r="T343" s="615"/>
      <c r="U343" s="615"/>
      <c r="V343" s="615"/>
      <c r="W343" s="615"/>
      <c r="X343" s="615"/>
      <c r="Y343" s="615"/>
      <c r="Z343" s="615"/>
      <c r="AA343" s="615"/>
      <c r="AB343" s="615">
        <v>0</v>
      </c>
      <c r="AC343" s="615">
        <v>0</v>
      </c>
      <c r="AD343" s="615">
        <v>0</v>
      </c>
      <c r="AE343" s="615">
        <v>0</v>
      </c>
      <c r="AF343" s="615">
        <v>0</v>
      </c>
      <c r="AG343" s="615">
        <v>0</v>
      </c>
      <c r="AH343" s="615">
        <v>0</v>
      </c>
      <c r="AI343" s="615">
        <v>0</v>
      </c>
      <c r="AJ343" s="615">
        <v>0</v>
      </c>
      <c r="AK343" s="615">
        <v>0</v>
      </c>
      <c r="AL343" s="615">
        <v>0</v>
      </c>
      <c r="AM343" s="615">
        <v>0</v>
      </c>
      <c r="AN343" s="615">
        <v>0</v>
      </c>
      <c r="AO343" s="615">
        <v>0</v>
      </c>
      <c r="AP343" s="615">
        <v>0</v>
      </c>
      <c r="AQ343" s="615">
        <v>0</v>
      </c>
      <c r="AR343" s="615">
        <v>0</v>
      </c>
      <c r="AS343" s="615">
        <v>0</v>
      </c>
      <c r="AT343" s="615">
        <v>0</v>
      </c>
      <c r="AU343" s="615">
        <v>0</v>
      </c>
      <c r="AV343" s="615">
        <v>0</v>
      </c>
      <c r="AW343" s="615">
        <v>6643192</v>
      </c>
      <c r="AX343" s="615">
        <v>6643192</v>
      </c>
      <c r="AY343" s="615">
        <v>6643192</v>
      </c>
      <c r="AZ343" s="615">
        <v>6643192</v>
      </c>
      <c r="BA343" s="615">
        <v>6643192</v>
      </c>
      <c r="BB343" s="615">
        <v>6643192</v>
      </c>
      <c r="BC343" s="615">
        <v>6643192</v>
      </c>
      <c r="BD343" s="615">
        <v>6643192</v>
      </c>
      <c r="BE343" s="615">
        <v>6643192</v>
      </c>
      <c r="BF343" s="615">
        <v>6643192</v>
      </c>
      <c r="BG343" s="615">
        <v>6643192</v>
      </c>
      <c r="BH343" s="615">
        <v>6643192</v>
      </c>
      <c r="BI343" s="615">
        <v>6643192</v>
      </c>
      <c r="BJ343" s="615">
        <v>6643192</v>
      </c>
      <c r="BK343" s="615">
        <v>6643192</v>
      </c>
      <c r="BL343" s="615">
        <v>6643192</v>
      </c>
      <c r="BM343" s="615">
        <v>6643192</v>
      </c>
      <c r="BN343" s="615">
        <v>6643192</v>
      </c>
      <c r="BO343" s="615">
        <v>6643192</v>
      </c>
      <c r="BP343" s="615">
        <v>6643192</v>
      </c>
      <c r="BQ343" s="615">
        <v>6643192</v>
      </c>
      <c r="BR343" s="615">
        <v>6643192</v>
      </c>
      <c r="BS343" s="615">
        <v>6643192</v>
      </c>
      <c r="BT343" s="615">
        <v>6643192</v>
      </c>
      <c r="BU343" s="615">
        <v>6643192</v>
      </c>
      <c r="BV343" s="615">
        <v>421330200</v>
      </c>
      <c r="BW343" s="615">
        <v>0</v>
      </c>
      <c r="BX343" s="607">
        <f t="shared" si="12"/>
        <v>587410000</v>
      </c>
    </row>
    <row r="344" spans="1:76" s="612" customFormat="1" ht="12.95" customHeight="1" x14ac:dyDescent="0.2">
      <c r="A344" s="909"/>
      <c r="B344" s="611" t="s">
        <v>4367</v>
      </c>
      <c r="C344" s="641" t="s">
        <v>3501</v>
      </c>
      <c r="D344" s="615"/>
      <c r="E344" s="615"/>
      <c r="F344" s="615"/>
      <c r="G344" s="615"/>
      <c r="H344" s="585"/>
      <c r="I344" s="615"/>
      <c r="J344" s="615"/>
      <c r="K344" s="615"/>
      <c r="L344" s="615"/>
      <c r="M344" s="615"/>
      <c r="N344" s="615"/>
      <c r="O344" s="615"/>
      <c r="P344" s="615"/>
      <c r="Q344" s="615"/>
      <c r="R344" s="615"/>
      <c r="S344" s="615"/>
      <c r="T344" s="615"/>
      <c r="U344" s="615"/>
      <c r="V344" s="615"/>
      <c r="W344" s="615"/>
      <c r="X344" s="615"/>
      <c r="Y344" s="615"/>
      <c r="Z344" s="615"/>
      <c r="AA344" s="615"/>
      <c r="AB344" s="615">
        <v>0</v>
      </c>
      <c r="AC344" s="615">
        <v>0</v>
      </c>
      <c r="AD344" s="615">
        <v>0</v>
      </c>
      <c r="AE344" s="615">
        <v>0</v>
      </c>
      <c r="AF344" s="615">
        <v>0</v>
      </c>
      <c r="AG344" s="615">
        <v>0</v>
      </c>
      <c r="AH344" s="615">
        <v>0</v>
      </c>
      <c r="AI344" s="615">
        <v>0</v>
      </c>
      <c r="AJ344" s="615">
        <v>0</v>
      </c>
      <c r="AK344" s="615">
        <v>0</v>
      </c>
      <c r="AL344" s="615">
        <v>0</v>
      </c>
      <c r="AM344" s="615">
        <v>0</v>
      </c>
      <c r="AN344" s="615">
        <v>0</v>
      </c>
      <c r="AO344" s="615">
        <v>0</v>
      </c>
      <c r="AP344" s="615">
        <v>0</v>
      </c>
      <c r="AQ344" s="615">
        <v>0</v>
      </c>
      <c r="AR344" s="615">
        <v>0</v>
      </c>
      <c r="AS344" s="615">
        <v>0</v>
      </c>
      <c r="AT344" s="615">
        <v>0</v>
      </c>
      <c r="AU344" s="615">
        <v>0</v>
      </c>
      <c r="AV344" s="615">
        <v>0</v>
      </c>
      <c r="AW344" s="615">
        <v>6636673</v>
      </c>
      <c r="AX344" s="615">
        <v>6636673</v>
      </c>
      <c r="AY344" s="615">
        <v>6636673</v>
      </c>
      <c r="AZ344" s="615">
        <v>6636673</v>
      </c>
      <c r="BA344" s="615">
        <v>6636673</v>
      </c>
      <c r="BB344" s="615">
        <v>6636673</v>
      </c>
      <c r="BC344" s="615">
        <v>6636673</v>
      </c>
      <c r="BD344" s="615">
        <v>6636673</v>
      </c>
      <c r="BE344" s="615">
        <v>6636673</v>
      </c>
      <c r="BF344" s="615">
        <v>6636673</v>
      </c>
      <c r="BG344" s="615">
        <v>6636673</v>
      </c>
      <c r="BH344" s="615">
        <v>6636673</v>
      </c>
      <c r="BI344" s="615">
        <v>6636673</v>
      </c>
      <c r="BJ344" s="615">
        <v>6636673</v>
      </c>
      <c r="BK344" s="615">
        <v>6636673</v>
      </c>
      <c r="BL344" s="615">
        <v>6636673</v>
      </c>
      <c r="BM344" s="615">
        <v>6636673</v>
      </c>
      <c r="BN344" s="615">
        <v>6636673</v>
      </c>
      <c r="BO344" s="615">
        <v>6636673</v>
      </c>
      <c r="BP344" s="615">
        <v>6636673</v>
      </c>
      <c r="BQ344" s="615">
        <v>6636673</v>
      </c>
      <c r="BR344" s="615">
        <v>6636673</v>
      </c>
      <c r="BS344" s="615">
        <v>6636673</v>
      </c>
      <c r="BT344" s="615">
        <v>6636673</v>
      </c>
      <c r="BU344" s="615">
        <v>6636673</v>
      </c>
      <c r="BV344" s="615">
        <v>6636675</v>
      </c>
      <c r="BW344" s="615">
        <v>414291500</v>
      </c>
      <c r="BX344" s="607">
        <f t="shared" si="12"/>
        <v>586845000</v>
      </c>
    </row>
    <row r="345" spans="1:76" s="612" customFormat="1" ht="12.95" customHeight="1" x14ac:dyDescent="0.2">
      <c r="A345" s="909"/>
      <c r="B345" s="611" t="s">
        <v>2712</v>
      </c>
      <c r="C345" s="641" t="s">
        <v>2711</v>
      </c>
      <c r="D345" s="615"/>
      <c r="E345" s="615"/>
      <c r="F345" s="615"/>
      <c r="G345" s="615"/>
      <c r="H345" s="585"/>
      <c r="I345" s="615"/>
      <c r="J345" s="615"/>
      <c r="K345" s="615"/>
      <c r="L345" s="615"/>
      <c r="M345" s="615"/>
      <c r="N345" s="615"/>
      <c r="O345" s="615"/>
      <c r="P345" s="615"/>
      <c r="Q345" s="615"/>
      <c r="R345" s="615"/>
      <c r="S345" s="615"/>
      <c r="T345" s="615"/>
      <c r="U345" s="615"/>
      <c r="V345" s="615"/>
      <c r="W345" s="615"/>
      <c r="X345" s="615"/>
      <c r="Y345" s="615"/>
      <c r="Z345" s="615"/>
      <c r="AA345" s="615"/>
      <c r="AB345" s="615">
        <v>0</v>
      </c>
      <c r="AC345" s="615">
        <v>0</v>
      </c>
      <c r="AD345" s="615">
        <v>0</v>
      </c>
      <c r="AE345" s="615">
        <v>0</v>
      </c>
      <c r="AF345" s="615">
        <v>0</v>
      </c>
      <c r="AG345" s="615">
        <v>0</v>
      </c>
      <c r="AH345" s="615">
        <v>0</v>
      </c>
      <c r="AI345" s="615">
        <v>0</v>
      </c>
      <c r="AJ345" s="615">
        <v>0</v>
      </c>
      <c r="AK345" s="615">
        <v>0</v>
      </c>
      <c r="AL345" s="615">
        <v>0</v>
      </c>
      <c r="AM345" s="615">
        <v>0</v>
      </c>
      <c r="AN345" s="615">
        <v>0</v>
      </c>
      <c r="AO345" s="615">
        <v>0</v>
      </c>
      <c r="AP345" s="615">
        <v>0</v>
      </c>
      <c r="AQ345" s="615">
        <v>0</v>
      </c>
      <c r="AR345" s="615">
        <v>0</v>
      </c>
      <c r="AS345" s="615">
        <v>0</v>
      </c>
      <c r="AT345" s="615">
        <v>0</v>
      </c>
      <c r="AU345" s="615">
        <v>0</v>
      </c>
      <c r="AV345" s="615">
        <v>0</v>
      </c>
      <c r="AW345" s="615">
        <v>3332857</v>
      </c>
      <c r="AX345" s="615">
        <v>3332857</v>
      </c>
      <c r="AY345" s="615">
        <v>3332857</v>
      </c>
      <c r="AZ345" s="615">
        <v>3332857</v>
      </c>
      <c r="BA345" s="615">
        <v>3332857</v>
      </c>
      <c r="BB345" s="615">
        <v>3332857</v>
      </c>
      <c r="BC345" s="615">
        <v>3332857</v>
      </c>
      <c r="BD345" s="615">
        <v>3332857</v>
      </c>
      <c r="BE345" s="615">
        <v>3332857</v>
      </c>
      <c r="BF345" s="615">
        <v>3332857</v>
      </c>
      <c r="BG345" s="615">
        <v>3332857</v>
      </c>
      <c r="BH345" s="615">
        <v>3332857</v>
      </c>
      <c r="BI345" s="615">
        <v>3332857</v>
      </c>
      <c r="BJ345" s="615">
        <v>3332857</v>
      </c>
      <c r="BK345" s="615">
        <v>3332857</v>
      </c>
      <c r="BL345" s="615">
        <v>3332857</v>
      </c>
      <c r="BM345" s="615">
        <v>3332857</v>
      </c>
      <c r="BN345" s="615">
        <v>3332857</v>
      </c>
      <c r="BO345" s="615">
        <v>3332857</v>
      </c>
      <c r="BP345" s="615">
        <v>3332857</v>
      </c>
      <c r="BQ345" s="615">
        <v>3332857</v>
      </c>
      <c r="BR345" s="615">
        <v>3332857</v>
      </c>
      <c r="BS345" s="615">
        <v>3332857</v>
      </c>
      <c r="BT345" s="615">
        <v>3332857</v>
      </c>
      <c r="BU345" s="615">
        <v>3332862</v>
      </c>
      <c r="BV345" s="615">
        <v>276850000</v>
      </c>
      <c r="BW345" s="615">
        <v>0</v>
      </c>
      <c r="BX345" s="607">
        <f t="shared" si="12"/>
        <v>360171430</v>
      </c>
    </row>
    <row r="346" spans="1:76" s="612" customFormat="1" ht="12.95" customHeight="1" x14ac:dyDescent="0.2">
      <c r="A346" s="909"/>
      <c r="B346" s="611" t="s">
        <v>3278</v>
      </c>
      <c r="C346" s="641" t="s">
        <v>3277</v>
      </c>
      <c r="D346" s="615"/>
      <c r="E346" s="615"/>
      <c r="F346" s="615"/>
      <c r="G346" s="615"/>
      <c r="H346" s="585"/>
      <c r="I346" s="615"/>
      <c r="J346" s="615"/>
      <c r="K346" s="615"/>
      <c r="L346" s="615"/>
      <c r="M346" s="615"/>
      <c r="N346" s="615"/>
      <c r="O346" s="615"/>
      <c r="P346" s="615"/>
      <c r="Q346" s="615"/>
      <c r="R346" s="615"/>
      <c r="S346" s="615"/>
      <c r="T346" s="615"/>
      <c r="U346" s="615"/>
      <c r="V346" s="615"/>
      <c r="W346" s="615"/>
      <c r="X346" s="615"/>
      <c r="Y346" s="615"/>
      <c r="Z346" s="615"/>
      <c r="AA346" s="615"/>
      <c r="AB346" s="615">
        <v>0</v>
      </c>
      <c r="AC346" s="615">
        <v>0</v>
      </c>
      <c r="AD346" s="615">
        <v>0</v>
      </c>
      <c r="AE346" s="615">
        <v>0</v>
      </c>
      <c r="AF346" s="615">
        <v>0</v>
      </c>
      <c r="AG346" s="615">
        <v>0</v>
      </c>
      <c r="AH346" s="615">
        <v>0</v>
      </c>
      <c r="AI346" s="615">
        <v>0</v>
      </c>
      <c r="AJ346" s="615">
        <v>0</v>
      </c>
      <c r="AK346" s="615">
        <v>0</v>
      </c>
      <c r="AL346" s="615">
        <v>0</v>
      </c>
      <c r="AM346" s="615">
        <v>0</v>
      </c>
      <c r="AN346" s="615">
        <v>0</v>
      </c>
      <c r="AO346" s="615">
        <v>0</v>
      </c>
      <c r="AP346" s="615">
        <v>0</v>
      </c>
      <c r="AQ346" s="615">
        <v>0</v>
      </c>
      <c r="AR346" s="615">
        <v>0</v>
      </c>
      <c r="AS346" s="615">
        <v>0</v>
      </c>
      <c r="AT346" s="615">
        <v>0</v>
      </c>
      <c r="AU346" s="615">
        <v>0</v>
      </c>
      <c r="AV346" s="615">
        <v>0</v>
      </c>
      <c r="AW346" s="615">
        <v>5110013</v>
      </c>
      <c r="AX346" s="615">
        <v>5110859</v>
      </c>
      <c r="AY346" s="615">
        <v>5110859</v>
      </c>
      <c r="AZ346" s="615">
        <v>5110859</v>
      </c>
      <c r="BA346" s="615">
        <v>5110859</v>
      </c>
      <c r="BB346" s="615">
        <v>5110859</v>
      </c>
      <c r="BC346" s="615">
        <v>5110859</v>
      </c>
      <c r="BD346" s="615">
        <v>5110859</v>
      </c>
      <c r="BE346" s="615">
        <v>5110859</v>
      </c>
      <c r="BF346" s="615">
        <v>5110859</v>
      </c>
      <c r="BG346" s="615">
        <v>5110859</v>
      </c>
      <c r="BH346" s="615">
        <v>5110859</v>
      </c>
      <c r="BI346" s="615">
        <v>5110859</v>
      </c>
      <c r="BJ346" s="615">
        <v>5110859</v>
      </c>
      <c r="BK346" s="615">
        <v>5110859</v>
      </c>
      <c r="BL346" s="615">
        <v>5110859</v>
      </c>
      <c r="BM346" s="615">
        <v>5110859</v>
      </c>
      <c r="BN346" s="615">
        <v>5110859</v>
      </c>
      <c r="BO346" s="615">
        <v>5110859</v>
      </c>
      <c r="BP346" s="615">
        <v>5110859</v>
      </c>
      <c r="BQ346" s="615">
        <v>5110859</v>
      </c>
      <c r="BR346" s="615">
        <v>5110859</v>
      </c>
      <c r="BS346" s="615">
        <v>5110859</v>
      </c>
      <c r="BT346" s="615">
        <v>5110859</v>
      </c>
      <c r="BU346" s="615">
        <v>5110859</v>
      </c>
      <c r="BV346" s="615">
        <v>398388371</v>
      </c>
      <c r="BW346" s="615">
        <v>0</v>
      </c>
      <c r="BX346" s="607">
        <f t="shared" si="12"/>
        <v>526159000</v>
      </c>
    </row>
    <row r="347" spans="1:76" s="612" customFormat="1" ht="12.95" customHeight="1" x14ac:dyDescent="0.2">
      <c r="A347" s="909"/>
      <c r="B347" s="611" t="s">
        <v>2995</v>
      </c>
      <c r="C347" s="641" t="s">
        <v>2994</v>
      </c>
      <c r="D347" s="615"/>
      <c r="E347" s="615"/>
      <c r="F347" s="615"/>
      <c r="G347" s="615"/>
      <c r="H347" s="585"/>
      <c r="I347" s="615"/>
      <c r="J347" s="615"/>
      <c r="K347" s="615"/>
      <c r="L347" s="615"/>
      <c r="M347" s="615"/>
      <c r="N347" s="615"/>
      <c r="O347" s="615"/>
      <c r="P347" s="615"/>
      <c r="Q347" s="615"/>
      <c r="R347" s="615"/>
      <c r="S347" s="615"/>
      <c r="T347" s="615"/>
      <c r="U347" s="615"/>
      <c r="V347" s="615"/>
      <c r="W347" s="615"/>
      <c r="X347" s="615"/>
      <c r="Y347" s="615"/>
      <c r="Z347" s="615"/>
      <c r="AA347" s="615"/>
      <c r="AB347" s="615">
        <v>0</v>
      </c>
      <c r="AC347" s="615">
        <v>0</v>
      </c>
      <c r="AD347" s="615">
        <v>0</v>
      </c>
      <c r="AE347" s="615">
        <v>0</v>
      </c>
      <c r="AF347" s="615">
        <v>0</v>
      </c>
      <c r="AG347" s="615">
        <v>0</v>
      </c>
      <c r="AH347" s="615">
        <v>0</v>
      </c>
      <c r="AI347" s="615">
        <v>0</v>
      </c>
      <c r="AJ347" s="615">
        <v>0</v>
      </c>
      <c r="AK347" s="615">
        <v>0</v>
      </c>
      <c r="AL347" s="615">
        <v>0</v>
      </c>
      <c r="AM347" s="615">
        <v>0</v>
      </c>
      <c r="AN347" s="615">
        <v>0</v>
      </c>
      <c r="AO347" s="615">
        <v>0</v>
      </c>
      <c r="AP347" s="615">
        <v>0</v>
      </c>
      <c r="AQ347" s="615">
        <v>0</v>
      </c>
      <c r="AR347" s="615">
        <v>0</v>
      </c>
      <c r="AS347" s="615">
        <v>0</v>
      </c>
      <c r="AT347" s="615">
        <v>0</v>
      </c>
      <c r="AU347" s="615">
        <v>0</v>
      </c>
      <c r="AV347" s="615">
        <v>0</v>
      </c>
      <c r="AW347" s="615">
        <v>3325999</v>
      </c>
      <c r="AX347" s="615">
        <v>3326000</v>
      </c>
      <c r="AY347" s="615">
        <v>3326000</v>
      </c>
      <c r="AZ347" s="615">
        <v>3326000</v>
      </c>
      <c r="BA347" s="615">
        <v>3326000</v>
      </c>
      <c r="BB347" s="615">
        <v>3326000</v>
      </c>
      <c r="BC347" s="615">
        <v>3326000</v>
      </c>
      <c r="BD347" s="615">
        <v>3326000</v>
      </c>
      <c r="BE347" s="615">
        <v>3326000</v>
      </c>
      <c r="BF347" s="615">
        <v>3326000</v>
      </c>
      <c r="BG347" s="615">
        <v>3326000</v>
      </c>
      <c r="BH347" s="615">
        <v>3326000</v>
      </c>
      <c r="BI347" s="615">
        <v>3326000</v>
      </c>
      <c r="BJ347" s="615">
        <v>3326000</v>
      </c>
      <c r="BK347" s="615">
        <v>3326000</v>
      </c>
      <c r="BL347" s="615">
        <v>3326000</v>
      </c>
      <c r="BM347" s="615">
        <v>3326000</v>
      </c>
      <c r="BN347" s="615">
        <v>3326000</v>
      </c>
      <c r="BO347" s="615">
        <v>3326000</v>
      </c>
      <c r="BP347" s="615">
        <v>3326000</v>
      </c>
      <c r="BQ347" s="615">
        <v>3326000</v>
      </c>
      <c r="BR347" s="615">
        <v>3326000</v>
      </c>
      <c r="BS347" s="615">
        <v>3326000</v>
      </c>
      <c r="BT347" s="615">
        <v>3326000</v>
      </c>
      <c r="BU347" s="615">
        <v>3326000</v>
      </c>
      <c r="BV347" s="615">
        <v>276290000</v>
      </c>
      <c r="BW347" s="615">
        <v>0</v>
      </c>
      <c r="BX347" s="607">
        <f t="shared" si="12"/>
        <v>359439999</v>
      </c>
    </row>
    <row r="348" spans="1:76" s="612" customFormat="1" ht="12.95" customHeight="1" x14ac:dyDescent="0.2">
      <c r="A348" s="909"/>
      <c r="B348" s="611" t="s">
        <v>2997</v>
      </c>
      <c r="C348" s="641" t="s">
        <v>2996</v>
      </c>
      <c r="D348" s="615"/>
      <c r="E348" s="615"/>
      <c r="F348" s="615"/>
      <c r="G348" s="615"/>
      <c r="H348" s="585"/>
      <c r="I348" s="615"/>
      <c r="J348" s="615"/>
      <c r="K348" s="615"/>
      <c r="L348" s="615"/>
      <c r="M348" s="615"/>
      <c r="N348" s="615"/>
      <c r="O348" s="615"/>
      <c r="P348" s="615"/>
      <c r="Q348" s="615"/>
      <c r="R348" s="615"/>
      <c r="S348" s="615"/>
      <c r="T348" s="615"/>
      <c r="U348" s="615"/>
      <c r="V348" s="615"/>
      <c r="W348" s="615"/>
      <c r="X348" s="615"/>
      <c r="Y348" s="615"/>
      <c r="Z348" s="615"/>
      <c r="AA348" s="615"/>
      <c r="AB348" s="615">
        <v>0</v>
      </c>
      <c r="AC348" s="615">
        <v>0</v>
      </c>
      <c r="AD348" s="615">
        <v>0</v>
      </c>
      <c r="AE348" s="615">
        <v>0</v>
      </c>
      <c r="AF348" s="615">
        <v>0</v>
      </c>
      <c r="AG348" s="615">
        <v>0</v>
      </c>
      <c r="AH348" s="615">
        <v>0</v>
      </c>
      <c r="AI348" s="615">
        <v>0</v>
      </c>
      <c r="AJ348" s="615">
        <v>0</v>
      </c>
      <c r="AK348" s="615">
        <v>0</v>
      </c>
      <c r="AL348" s="615">
        <v>0</v>
      </c>
      <c r="AM348" s="615">
        <v>0</v>
      </c>
      <c r="AN348" s="615">
        <v>0</v>
      </c>
      <c r="AO348" s="615">
        <v>0</v>
      </c>
      <c r="AP348" s="615">
        <v>0</v>
      </c>
      <c r="AQ348" s="615">
        <v>0</v>
      </c>
      <c r="AR348" s="615">
        <v>0</v>
      </c>
      <c r="AS348" s="615">
        <v>0</v>
      </c>
      <c r="AT348" s="615">
        <v>0</v>
      </c>
      <c r="AU348" s="615">
        <v>0</v>
      </c>
      <c r="AV348" s="615">
        <v>0</v>
      </c>
      <c r="AW348" s="615">
        <v>4400000</v>
      </c>
      <c r="AX348" s="615">
        <v>4400000</v>
      </c>
      <c r="AY348" s="615">
        <v>4400000</v>
      </c>
      <c r="AZ348" s="615">
        <v>4400000</v>
      </c>
      <c r="BA348" s="615">
        <v>4400000</v>
      </c>
      <c r="BB348" s="615">
        <v>4400000</v>
      </c>
      <c r="BC348" s="615">
        <v>4400000</v>
      </c>
      <c r="BD348" s="615">
        <v>4400000</v>
      </c>
      <c r="BE348" s="615">
        <v>4400000</v>
      </c>
      <c r="BF348" s="615">
        <v>4400000</v>
      </c>
      <c r="BG348" s="615">
        <v>4400000</v>
      </c>
      <c r="BH348" s="615">
        <v>4400000</v>
      </c>
      <c r="BI348" s="615">
        <v>4400000</v>
      </c>
      <c r="BJ348" s="615">
        <v>4400000</v>
      </c>
      <c r="BK348" s="615">
        <v>4400000</v>
      </c>
      <c r="BL348" s="615">
        <v>4400000</v>
      </c>
      <c r="BM348" s="615">
        <v>4400000</v>
      </c>
      <c r="BN348" s="615">
        <v>4400000</v>
      </c>
      <c r="BO348" s="615">
        <v>4400000</v>
      </c>
      <c r="BP348" s="615">
        <v>4400000</v>
      </c>
      <c r="BQ348" s="615">
        <v>4400000</v>
      </c>
      <c r="BR348" s="615">
        <v>4400000</v>
      </c>
      <c r="BS348" s="615">
        <v>4400000</v>
      </c>
      <c r="BT348" s="615">
        <v>4400000</v>
      </c>
      <c r="BU348" s="615">
        <v>4400000</v>
      </c>
      <c r="BV348" s="615">
        <v>371000000</v>
      </c>
      <c r="BW348" s="615">
        <v>0</v>
      </c>
      <c r="BX348" s="607">
        <f t="shared" si="12"/>
        <v>481000000</v>
      </c>
    </row>
    <row r="349" spans="1:76" s="612" customFormat="1" ht="12.95" customHeight="1" x14ac:dyDescent="0.2">
      <c r="A349" s="909"/>
      <c r="B349" s="611" t="s">
        <v>3223</v>
      </c>
      <c r="C349" s="641" t="s">
        <v>3222</v>
      </c>
      <c r="D349" s="615"/>
      <c r="E349" s="615"/>
      <c r="F349" s="615"/>
      <c r="G349" s="615"/>
      <c r="H349" s="585"/>
      <c r="I349" s="615"/>
      <c r="J349" s="615"/>
      <c r="K349" s="615"/>
      <c r="L349" s="615"/>
      <c r="M349" s="615"/>
      <c r="N349" s="615"/>
      <c r="O349" s="615"/>
      <c r="P349" s="615"/>
      <c r="Q349" s="615"/>
      <c r="R349" s="615"/>
      <c r="S349" s="615"/>
      <c r="T349" s="615"/>
      <c r="U349" s="615"/>
      <c r="V349" s="615"/>
      <c r="W349" s="615"/>
      <c r="X349" s="615"/>
      <c r="Y349" s="615"/>
      <c r="Z349" s="615"/>
      <c r="AA349" s="615"/>
      <c r="AB349" s="615">
        <v>0</v>
      </c>
      <c r="AC349" s="615">
        <v>0</v>
      </c>
      <c r="AD349" s="615">
        <v>0</v>
      </c>
      <c r="AE349" s="615">
        <v>0</v>
      </c>
      <c r="AF349" s="615">
        <v>0</v>
      </c>
      <c r="AG349" s="615">
        <v>0</v>
      </c>
      <c r="AH349" s="615">
        <v>0</v>
      </c>
      <c r="AI349" s="615">
        <v>0</v>
      </c>
      <c r="AJ349" s="615">
        <v>0</v>
      </c>
      <c r="AK349" s="615">
        <v>0</v>
      </c>
      <c r="AL349" s="615">
        <v>0</v>
      </c>
      <c r="AM349" s="615">
        <v>0</v>
      </c>
      <c r="AN349" s="615">
        <v>0</v>
      </c>
      <c r="AO349" s="615">
        <v>0</v>
      </c>
      <c r="AP349" s="615">
        <v>0</v>
      </c>
      <c r="AQ349" s="615">
        <v>0</v>
      </c>
      <c r="AR349" s="615">
        <v>0</v>
      </c>
      <c r="AS349" s="615">
        <v>0</v>
      </c>
      <c r="AT349" s="615">
        <v>0</v>
      </c>
      <c r="AU349" s="615">
        <v>0</v>
      </c>
      <c r="AV349" s="615">
        <v>0</v>
      </c>
      <c r="AW349" s="615">
        <v>5087296</v>
      </c>
      <c r="AX349" s="615">
        <v>5087348</v>
      </c>
      <c r="AY349" s="615">
        <v>5087348</v>
      </c>
      <c r="AZ349" s="615">
        <v>5087348</v>
      </c>
      <c r="BA349" s="615">
        <v>5087348</v>
      </c>
      <c r="BB349" s="615">
        <v>5087348</v>
      </c>
      <c r="BC349" s="615">
        <v>5087348</v>
      </c>
      <c r="BD349" s="615">
        <v>5087348</v>
      </c>
      <c r="BE349" s="615">
        <v>5087348</v>
      </c>
      <c r="BF349" s="615">
        <v>5087348</v>
      </c>
      <c r="BG349" s="615">
        <v>5087348</v>
      </c>
      <c r="BH349" s="615">
        <v>5087348</v>
      </c>
      <c r="BI349" s="615">
        <v>5087348</v>
      </c>
      <c r="BJ349" s="615">
        <v>5087348</v>
      </c>
      <c r="BK349" s="615">
        <v>5087348</v>
      </c>
      <c r="BL349" s="615">
        <v>5087348</v>
      </c>
      <c r="BM349" s="615">
        <v>5087348</v>
      </c>
      <c r="BN349" s="615">
        <v>5087348</v>
      </c>
      <c r="BO349" s="615">
        <v>5087348</v>
      </c>
      <c r="BP349" s="615">
        <v>5087348</v>
      </c>
      <c r="BQ349" s="615">
        <v>5087348</v>
      </c>
      <c r="BR349" s="615">
        <v>5087348</v>
      </c>
      <c r="BS349" s="615">
        <v>5087348</v>
      </c>
      <c r="BT349" s="615">
        <v>5087348</v>
      </c>
      <c r="BU349" s="615">
        <v>5087364</v>
      </c>
      <c r="BV349" s="615">
        <v>403392500</v>
      </c>
      <c r="BW349" s="615">
        <v>0</v>
      </c>
      <c r="BX349" s="607">
        <f t="shared" si="12"/>
        <v>530576164</v>
      </c>
    </row>
    <row r="350" spans="1:76" s="612" customFormat="1" ht="12.95" customHeight="1" x14ac:dyDescent="0.2">
      <c r="A350" s="909"/>
      <c r="B350" s="611" t="s">
        <v>4286</v>
      </c>
      <c r="C350" s="641" t="s">
        <v>4285</v>
      </c>
      <c r="D350" s="615"/>
      <c r="E350" s="615"/>
      <c r="F350" s="615"/>
      <c r="G350" s="615"/>
      <c r="H350" s="585"/>
      <c r="I350" s="615"/>
      <c r="J350" s="615"/>
      <c r="K350" s="615"/>
      <c r="L350" s="615"/>
      <c r="M350" s="615"/>
      <c r="N350" s="615"/>
      <c r="O350" s="615"/>
      <c r="P350" s="615"/>
      <c r="Q350" s="615"/>
      <c r="R350" s="615"/>
      <c r="S350" s="615"/>
      <c r="T350" s="615"/>
      <c r="U350" s="615"/>
      <c r="V350" s="615"/>
      <c r="W350" s="615"/>
      <c r="X350" s="615"/>
      <c r="Y350" s="615"/>
      <c r="Z350" s="615"/>
      <c r="AA350" s="615"/>
      <c r="AB350" s="615">
        <v>0</v>
      </c>
      <c r="AC350" s="615">
        <v>0</v>
      </c>
      <c r="AD350" s="615">
        <v>0</v>
      </c>
      <c r="AE350" s="615">
        <v>0</v>
      </c>
      <c r="AF350" s="615">
        <v>0</v>
      </c>
      <c r="AG350" s="615">
        <v>0</v>
      </c>
      <c r="AH350" s="615">
        <v>0</v>
      </c>
      <c r="AI350" s="615">
        <v>0</v>
      </c>
      <c r="AJ350" s="615">
        <v>0</v>
      </c>
      <c r="AK350" s="615">
        <v>0</v>
      </c>
      <c r="AL350" s="615">
        <v>0</v>
      </c>
      <c r="AM350" s="615">
        <v>0</v>
      </c>
      <c r="AN350" s="615">
        <v>0</v>
      </c>
      <c r="AO350" s="615">
        <v>0</v>
      </c>
      <c r="AP350" s="615">
        <v>0</v>
      </c>
      <c r="AQ350" s="615">
        <v>0</v>
      </c>
      <c r="AR350" s="615">
        <v>0</v>
      </c>
      <c r="AS350" s="615">
        <v>0</v>
      </c>
      <c r="AT350" s="615">
        <v>0</v>
      </c>
      <c r="AU350" s="615">
        <v>0</v>
      </c>
      <c r="AV350" s="615">
        <v>0</v>
      </c>
      <c r="AW350" s="615">
        <v>4000</v>
      </c>
      <c r="AX350" s="615">
        <v>4728500</v>
      </c>
      <c r="AY350" s="615">
        <v>4728500</v>
      </c>
      <c r="AZ350" s="615">
        <v>4728500</v>
      </c>
      <c r="BA350" s="615">
        <v>4728500</v>
      </c>
      <c r="BB350" s="615">
        <v>4728500</v>
      </c>
      <c r="BC350" s="615">
        <v>4728500</v>
      </c>
      <c r="BD350" s="615">
        <v>4728500</v>
      </c>
      <c r="BE350" s="615">
        <v>4728500</v>
      </c>
      <c r="BF350" s="615">
        <v>4728500</v>
      </c>
      <c r="BG350" s="615">
        <v>4728500</v>
      </c>
      <c r="BH350" s="615">
        <v>4728500</v>
      </c>
      <c r="BI350" s="615">
        <v>4728500</v>
      </c>
      <c r="BJ350" s="615">
        <v>4728500</v>
      </c>
      <c r="BK350" s="615">
        <v>4728500</v>
      </c>
      <c r="BL350" s="615">
        <v>4728500</v>
      </c>
      <c r="BM350" s="615">
        <v>4728500</v>
      </c>
      <c r="BN350" s="615">
        <v>4728500</v>
      </c>
      <c r="BO350" s="615">
        <v>4728500</v>
      </c>
      <c r="BP350" s="615">
        <v>4728500</v>
      </c>
      <c r="BQ350" s="615">
        <v>4728500</v>
      </c>
      <c r="BR350" s="615">
        <v>4728500</v>
      </c>
      <c r="BS350" s="615">
        <v>4728500</v>
      </c>
      <c r="BT350" s="615">
        <v>4728500</v>
      </c>
      <c r="BU350" s="615">
        <v>4735500</v>
      </c>
      <c r="BV350" s="615">
        <v>309578500</v>
      </c>
      <c r="BW350" s="615">
        <v>0</v>
      </c>
      <c r="BX350" s="607">
        <f t="shared" si="12"/>
        <v>423073500</v>
      </c>
    </row>
    <row r="351" spans="1:76" s="612" customFormat="1" ht="12.95" customHeight="1" x14ac:dyDescent="0.2">
      <c r="A351" s="909"/>
      <c r="B351" s="611" t="s">
        <v>3156</v>
      </c>
      <c r="C351" s="641" t="s">
        <v>3155</v>
      </c>
      <c r="D351" s="615"/>
      <c r="E351" s="615"/>
      <c r="F351" s="615"/>
      <c r="G351" s="615"/>
      <c r="H351" s="585"/>
      <c r="I351" s="615"/>
      <c r="J351" s="615"/>
      <c r="K351" s="615"/>
      <c r="L351" s="615"/>
      <c r="M351" s="615"/>
      <c r="N351" s="615"/>
      <c r="O351" s="615"/>
      <c r="P351" s="615"/>
      <c r="Q351" s="615"/>
      <c r="R351" s="615"/>
      <c r="S351" s="615"/>
      <c r="T351" s="615"/>
      <c r="U351" s="615"/>
      <c r="V351" s="615"/>
      <c r="W351" s="615"/>
      <c r="X351" s="615"/>
      <c r="Y351" s="615"/>
      <c r="Z351" s="615"/>
      <c r="AA351" s="615"/>
      <c r="AB351" s="615">
        <v>0</v>
      </c>
      <c r="AC351" s="615">
        <v>0</v>
      </c>
      <c r="AD351" s="615">
        <v>0</v>
      </c>
      <c r="AE351" s="615">
        <v>0</v>
      </c>
      <c r="AF351" s="615">
        <v>0</v>
      </c>
      <c r="AG351" s="615">
        <v>0</v>
      </c>
      <c r="AH351" s="615">
        <v>0</v>
      </c>
      <c r="AI351" s="615">
        <v>0</v>
      </c>
      <c r="AJ351" s="615">
        <v>0</v>
      </c>
      <c r="AK351" s="615">
        <v>0</v>
      </c>
      <c r="AL351" s="615">
        <v>0</v>
      </c>
      <c r="AM351" s="615">
        <v>0</v>
      </c>
      <c r="AN351" s="615">
        <v>0</v>
      </c>
      <c r="AO351" s="615">
        <v>0</v>
      </c>
      <c r="AP351" s="615">
        <v>0</v>
      </c>
      <c r="AQ351" s="615">
        <v>0</v>
      </c>
      <c r="AR351" s="615">
        <v>0</v>
      </c>
      <c r="AS351" s="615">
        <v>0</v>
      </c>
      <c r="AT351" s="615">
        <v>0</v>
      </c>
      <c r="AU351" s="615">
        <v>0</v>
      </c>
      <c r="AV351" s="615">
        <v>0</v>
      </c>
      <c r="AW351" s="615">
        <v>1943546</v>
      </c>
      <c r="AX351" s="615">
        <v>4660394</v>
      </c>
      <c r="AY351" s="615">
        <v>4660394</v>
      </c>
      <c r="AZ351" s="615">
        <v>4660394</v>
      </c>
      <c r="BA351" s="615">
        <v>4660394</v>
      </c>
      <c r="BB351" s="615">
        <v>4660394</v>
      </c>
      <c r="BC351" s="615">
        <v>4660394</v>
      </c>
      <c r="BD351" s="615">
        <v>4660394</v>
      </c>
      <c r="BE351" s="615">
        <v>4660394</v>
      </c>
      <c r="BF351" s="615">
        <v>4660394</v>
      </c>
      <c r="BG351" s="615">
        <v>4660394</v>
      </c>
      <c r="BH351" s="615">
        <v>4660394</v>
      </c>
      <c r="BI351" s="615">
        <v>4660394</v>
      </c>
      <c r="BJ351" s="615">
        <v>4660394</v>
      </c>
      <c r="BK351" s="615">
        <v>4660394</v>
      </c>
      <c r="BL351" s="615">
        <v>4660394</v>
      </c>
      <c r="BM351" s="615">
        <v>4660394</v>
      </c>
      <c r="BN351" s="615">
        <v>4660394</v>
      </c>
      <c r="BO351" s="615">
        <v>4660394</v>
      </c>
      <c r="BP351" s="615">
        <v>4660394</v>
      </c>
      <c r="BQ351" s="615">
        <v>4660394</v>
      </c>
      <c r="BR351" s="615">
        <v>4660394</v>
      </c>
      <c r="BS351" s="615">
        <v>4660394</v>
      </c>
      <c r="BT351" s="615">
        <v>4660394</v>
      </c>
      <c r="BU351" s="615">
        <v>4660392</v>
      </c>
      <c r="BV351" s="615">
        <v>370517000</v>
      </c>
      <c r="BW351" s="615">
        <v>0</v>
      </c>
      <c r="BX351" s="607">
        <f t="shared" si="12"/>
        <v>484310000</v>
      </c>
    </row>
    <row r="352" spans="1:76" s="612" customFormat="1" ht="12.95" customHeight="1" x14ac:dyDescent="0.2">
      <c r="A352" s="909"/>
      <c r="B352" s="611" t="s">
        <v>2999</v>
      </c>
      <c r="C352" s="641" t="s">
        <v>2998</v>
      </c>
      <c r="D352" s="615"/>
      <c r="E352" s="615"/>
      <c r="F352" s="615"/>
      <c r="G352" s="615"/>
      <c r="H352" s="585"/>
      <c r="I352" s="615"/>
      <c r="J352" s="615"/>
      <c r="K352" s="615"/>
      <c r="L352" s="615"/>
      <c r="M352" s="615"/>
      <c r="N352" s="615"/>
      <c r="O352" s="615"/>
      <c r="P352" s="615"/>
      <c r="Q352" s="615"/>
      <c r="R352" s="615"/>
      <c r="S352" s="615"/>
      <c r="T352" s="615"/>
      <c r="U352" s="615"/>
      <c r="V352" s="615"/>
      <c r="W352" s="615"/>
      <c r="X352" s="615"/>
      <c r="Y352" s="615"/>
      <c r="Z352" s="615"/>
      <c r="AA352" s="615"/>
      <c r="AB352" s="615">
        <v>0</v>
      </c>
      <c r="AC352" s="615">
        <v>0</v>
      </c>
      <c r="AD352" s="615">
        <v>0</v>
      </c>
      <c r="AE352" s="615">
        <v>0</v>
      </c>
      <c r="AF352" s="615">
        <v>0</v>
      </c>
      <c r="AG352" s="615">
        <v>0</v>
      </c>
      <c r="AH352" s="615">
        <v>0</v>
      </c>
      <c r="AI352" s="615">
        <v>0</v>
      </c>
      <c r="AJ352" s="615">
        <v>0</v>
      </c>
      <c r="AK352" s="615">
        <v>0</v>
      </c>
      <c r="AL352" s="615">
        <v>0</v>
      </c>
      <c r="AM352" s="615">
        <v>0</v>
      </c>
      <c r="AN352" s="615">
        <v>0</v>
      </c>
      <c r="AO352" s="615">
        <v>0</v>
      </c>
      <c r="AP352" s="615">
        <v>0</v>
      </c>
      <c r="AQ352" s="615">
        <v>0</v>
      </c>
      <c r="AR352" s="615">
        <v>0</v>
      </c>
      <c r="AS352" s="615">
        <v>0</v>
      </c>
      <c r="AT352" s="615">
        <v>0</v>
      </c>
      <c r="AU352" s="615">
        <v>0</v>
      </c>
      <c r="AV352" s="615">
        <v>0</v>
      </c>
      <c r="AW352" s="615">
        <v>0</v>
      </c>
      <c r="AX352" s="615">
        <v>0</v>
      </c>
      <c r="AY352" s="615">
        <v>0</v>
      </c>
      <c r="AZ352" s="615">
        <v>11850000</v>
      </c>
      <c r="BA352" s="615">
        <v>2500000</v>
      </c>
      <c r="BB352" s="615">
        <v>9500000</v>
      </c>
      <c r="BC352" s="615">
        <v>2500000</v>
      </c>
      <c r="BD352" s="615">
        <v>2500000</v>
      </c>
      <c r="BE352" s="615">
        <v>2500000</v>
      </c>
      <c r="BF352" s="615">
        <v>5500000</v>
      </c>
      <c r="BG352" s="615">
        <v>2500000</v>
      </c>
      <c r="BH352" s="615">
        <v>2500000</v>
      </c>
      <c r="BI352" s="615">
        <v>2500000</v>
      </c>
      <c r="BJ352" s="615">
        <v>2500000</v>
      </c>
      <c r="BK352" s="615">
        <v>2500000</v>
      </c>
      <c r="BL352" s="615">
        <v>12000000</v>
      </c>
      <c r="BM352" s="615">
        <v>2500000</v>
      </c>
      <c r="BN352" s="615">
        <v>9500000</v>
      </c>
      <c r="BO352" s="615">
        <v>2500000</v>
      </c>
      <c r="BP352" s="615">
        <v>2500000</v>
      </c>
      <c r="BQ352" s="615">
        <v>2500000</v>
      </c>
      <c r="BR352" s="615">
        <v>10000000</v>
      </c>
      <c r="BS352" s="615">
        <v>2500000</v>
      </c>
      <c r="BT352" s="615">
        <v>2500000</v>
      </c>
      <c r="BU352" s="615">
        <v>2500000</v>
      </c>
      <c r="BV352" s="615">
        <v>259420000</v>
      </c>
      <c r="BW352" s="615">
        <v>0</v>
      </c>
      <c r="BX352" s="607">
        <f t="shared" si="12"/>
        <v>357770000</v>
      </c>
    </row>
    <row r="353" spans="1:76" s="612" customFormat="1" ht="12.95" customHeight="1" x14ac:dyDescent="0.2">
      <c r="A353" s="909"/>
      <c r="B353" s="611" t="s">
        <v>3001</v>
      </c>
      <c r="C353" s="641" t="s">
        <v>3000</v>
      </c>
      <c r="D353" s="615"/>
      <c r="E353" s="615"/>
      <c r="F353" s="615"/>
      <c r="G353" s="615"/>
      <c r="H353" s="585"/>
      <c r="I353" s="615"/>
      <c r="J353" s="615"/>
      <c r="K353" s="615"/>
      <c r="L353" s="615"/>
      <c r="M353" s="615"/>
      <c r="N353" s="615"/>
      <c r="O353" s="615"/>
      <c r="P353" s="615"/>
      <c r="Q353" s="615"/>
      <c r="R353" s="615"/>
      <c r="S353" s="615"/>
      <c r="T353" s="615"/>
      <c r="U353" s="615"/>
      <c r="V353" s="615"/>
      <c r="W353" s="615"/>
      <c r="X353" s="615"/>
      <c r="Y353" s="615">
        <v>0</v>
      </c>
      <c r="Z353" s="615">
        <v>0</v>
      </c>
      <c r="AA353" s="615">
        <v>0</v>
      </c>
      <c r="AB353" s="615">
        <v>0</v>
      </c>
      <c r="AC353" s="615">
        <v>0</v>
      </c>
      <c r="AD353" s="615">
        <v>0</v>
      </c>
      <c r="AE353" s="615">
        <v>0</v>
      </c>
      <c r="AF353" s="615">
        <v>0</v>
      </c>
      <c r="AG353" s="615">
        <v>0</v>
      </c>
      <c r="AH353" s="615">
        <v>0</v>
      </c>
      <c r="AI353" s="615">
        <v>0</v>
      </c>
      <c r="AJ353" s="615">
        <v>0</v>
      </c>
      <c r="AK353" s="615">
        <v>0</v>
      </c>
      <c r="AL353" s="615">
        <v>0</v>
      </c>
      <c r="AM353" s="615">
        <v>0</v>
      </c>
      <c r="AN353" s="615">
        <v>0</v>
      </c>
      <c r="AO353" s="615">
        <v>0</v>
      </c>
      <c r="AP353" s="615">
        <v>0</v>
      </c>
      <c r="AQ353" s="615">
        <v>0</v>
      </c>
      <c r="AR353" s="615">
        <v>0</v>
      </c>
      <c r="AS353" s="615">
        <v>0</v>
      </c>
      <c r="AT353" s="615">
        <v>0</v>
      </c>
      <c r="AU353" s="615">
        <v>0</v>
      </c>
      <c r="AV353" s="615">
        <v>0</v>
      </c>
      <c r="AW353" s="615">
        <v>2920419</v>
      </c>
      <c r="AX353" s="615">
        <v>4406857</v>
      </c>
      <c r="AY353" s="615">
        <v>4406857</v>
      </c>
      <c r="AZ353" s="615">
        <v>4406857</v>
      </c>
      <c r="BA353" s="615">
        <v>4406857</v>
      </c>
      <c r="BB353" s="615">
        <v>4406857</v>
      </c>
      <c r="BC353" s="615">
        <v>4406857</v>
      </c>
      <c r="BD353" s="615">
        <v>4406857</v>
      </c>
      <c r="BE353" s="615">
        <v>4406857</v>
      </c>
      <c r="BF353" s="615">
        <v>4406857</v>
      </c>
      <c r="BG353" s="615">
        <v>4406857</v>
      </c>
      <c r="BH353" s="615">
        <v>4406857</v>
      </c>
      <c r="BI353" s="615">
        <v>4406857</v>
      </c>
      <c r="BJ353" s="615">
        <v>4406857</v>
      </c>
      <c r="BK353" s="615">
        <v>4406857</v>
      </c>
      <c r="BL353" s="615">
        <v>4406857</v>
      </c>
      <c r="BM353" s="615">
        <v>4406857</v>
      </c>
      <c r="BN353" s="615">
        <v>4406857</v>
      </c>
      <c r="BO353" s="615">
        <v>4406857</v>
      </c>
      <c r="BP353" s="615">
        <v>4406857</v>
      </c>
      <c r="BQ353" s="615">
        <v>4406857</v>
      </c>
      <c r="BR353" s="615">
        <v>4406857</v>
      </c>
      <c r="BS353" s="615">
        <v>4406857</v>
      </c>
      <c r="BT353" s="615">
        <v>4406857</v>
      </c>
      <c r="BU353" s="615">
        <v>4406862</v>
      </c>
      <c r="BV353" s="615">
        <v>371560000</v>
      </c>
      <c r="BW353" s="615">
        <v>0</v>
      </c>
      <c r="BX353" s="607">
        <f t="shared" si="12"/>
        <v>480244992</v>
      </c>
    </row>
    <row r="354" spans="1:76" s="612" customFormat="1" ht="12.95" customHeight="1" x14ac:dyDescent="0.2">
      <c r="A354" s="909"/>
      <c r="B354" s="611" t="s">
        <v>3158</v>
      </c>
      <c r="C354" s="641" t="s">
        <v>3157</v>
      </c>
      <c r="D354" s="615"/>
      <c r="E354" s="615"/>
      <c r="F354" s="615"/>
      <c r="G354" s="615"/>
      <c r="H354" s="585"/>
      <c r="I354" s="615"/>
      <c r="J354" s="615"/>
      <c r="K354" s="615"/>
      <c r="L354" s="615"/>
      <c r="M354" s="615"/>
      <c r="N354" s="615"/>
      <c r="O354" s="615"/>
      <c r="P354" s="615"/>
      <c r="Q354" s="615"/>
      <c r="R354" s="615"/>
      <c r="S354" s="615"/>
      <c r="T354" s="615"/>
      <c r="U354" s="615"/>
      <c r="V354" s="615"/>
      <c r="W354" s="615"/>
      <c r="X354" s="615"/>
      <c r="Y354" s="615"/>
      <c r="Z354" s="615"/>
      <c r="AA354" s="615"/>
      <c r="AB354" s="615">
        <v>0</v>
      </c>
      <c r="AC354" s="615">
        <v>0</v>
      </c>
      <c r="AD354" s="615">
        <v>0</v>
      </c>
      <c r="AE354" s="615">
        <v>0</v>
      </c>
      <c r="AF354" s="615">
        <v>0</v>
      </c>
      <c r="AG354" s="615">
        <v>0</v>
      </c>
      <c r="AH354" s="615">
        <v>0</v>
      </c>
      <c r="AI354" s="615">
        <v>0</v>
      </c>
      <c r="AJ354" s="615">
        <v>0</v>
      </c>
      <c r="AK354" s="615">
        <v>0</v>
      </c>
      <c r="AL354" s="615">
        <v>0</v>
      </c>
      <c r="AM354" s="615">
        <v>0</v>
      </c>
      <c r="AN354" s="615">
        <v>0</v>
      </c>
      <c r="AO354" s="615">
        <v>0</v>
      </c>
      <c r="AP354" s="615">
        <v>0</v>
      </c>
      <c r="AQ354" s="615">
        <v>0</v>
      </c>
      <c r="AR354" s="615">
        <v>0</v>
      </c>
      <c r="AS354" s="615">
        <v>0</v>
      </c>
      <c r="AT354" s="615">
        <v>0</v>
      </c>
      <c r="AU354" s="615">
        <v>0</v>
      </c>
      <c r="AV354" s="615">
        <v>0</v>
      </c>
      <c r="AW354" s="615">
        <v>4623096</v>
      </c>
      <c r="AX354" s="615">
        <v>4623096</v>
      </c>
      <c r="AY354" s="615">
        <v>4623096</v>
      </c>
      <c r="AZ354" s="615">
        <v>4623096</v>
      </c>
      <c r="BA354" s="615">
        <v>4623096</v>
      </c>
      <c r="BB354" s="615">
        <v>4623096</v>
      </c>
      <c r="BC354" s="615">
        <v>4623096</v>
      </c>
      <c r="BD354" s="615">
        <v>4623096</v>
      </c>
      <c r="BE354" s="615">
        <v>4623096</v>
      </c>
      <c r="BF354" s="615">
        <v>4623096</v>
      </c>
      <c r="BG354" s="615">
        <v>4623096</v>
      </c>
      <c r="BH354" s="615">
        <v>4623096</v>
      </c>
      <c r="BI354" s="615">
        <v>4623096</v>
      </c>
      <c r="BJ354" s="615">
        <v>4623096</v>
      </c>
      <c r="BK354" s="615">
        <v>4623096</v>
      </c>
      <c r="BL354" s="615">
        <v>4623096</v>
      </c>
      <c r="BM354" s="615">
        <v>4623096</v>
      </c>
      <c r="BN354" s="615">
        <v>4623096</v>
      </c>
      <c r="BO354" s="615">
        <v>4623096</v>
      </c>
      <c r="BP354" s="615">
        <v>4623096</v>
      </c>
      <c r="BQ354" s="615">
        <v>4623096</v>
      </c>
      <c r="BR354" s="615">
        <v>4623096</v>
      </c>
      <c r="BS354" s="615">
        <v>4623096</v>
      </c>
      <c r="BT354" s="615">
        <v>4623096</v>
      </c>
      <c r="BU354" s="615">
        <v>4623082</v>
      </c>
      <c r="BV354" s="615">
        <v>378432250</v>
      </c>
      <c r="BW354" s="615">
        <v>0</v>
      </c>
      <c r="BX354" s="607">
        <f t="shared" si="12"/>
        <v>494009636</v>
      </c>
    </row>
    <row r="355" spans="1:76" s="612" customFormat="1" ht="12.95" customHeight="1" x14ac:dyDescent="0.2">
      <c r="A355" s="909"/>
      <c r="B355" s="611" t="s">
        <v>3225</v>
      </c>
      <c r="C355" s="641" t="s">
        <v>3224</v>
      </c>
      <c r="D355" s="615"/>
      <c r="E355" s="615"/>
      <c r="F355" s="615"/>
      <c r="G355" s="615"/>
      <c r="H355" s="585"/>
      <c r="I355" s="615"/>
      <c r="J355" s="615"/>
      <c r="K355" s="615"/>
      <c r="L355" s="615"/>
      <c r="M355" s="615"/>
      <c r="N355" s="615"/>
      <c r="O355" s="615"/>
      <c r="P355" s="615"/>
      <c r="Q355" s="615"/>
      <c r="R355" s="615"/>
      <c r="S355" s="615"/>
      <c r="T355" s="615"/>
      <c r="U355" s="615"/>
      <c r="V355" s="615"/>
      <c r="W355" s="615"/>
      <c r="X355" s="615"/>
      <c r="Y355" s="615"/>
      <c r="Z355" s="615"/>
      <c r="AA355" s="615"/>
      <c r="AB355" s="615">
        <v>0</v>
      </c>
      <c r="AC355" s="615">
        <v>0</v>
      </c>
      <c r="AD355" s="615">
        <v>0</v>
      </c>
      <c r="AE355" s="615">
        <v>0</v>
      </c>
      <c r="AF355" s="615">
        <v>0</v>
      </c>
      <c r="AG355" s="615">
        <v>0</v>
      </c>
      <c r="AH355" s="615">
        <v>0</v>
      </c>
      <c r="AI355" s="615">
        <v>0</v>
      </c>
      <c r="AJ355" s="615">
        <v>0</v>
      </c>
      <c r="AK355" s="615">
        <v>0</v>
      </c>
      <c r="AL355" s="615">
        <v>0</v>
      </c>
      <c r="AM355" s="615">
        <v>0</v>
      </c>
      <c r="AN355" s="615">
        <v>0</v>
      </c>
      <c r="AO355" s="615">
        <v>0</v>
      </c>
      <c r="AP355" s="615">
        <v>0</v>
      </c>
      <c r="AQ355" s="615">
        <v>0</v>
      </c>
      <c r="AR355" s="615">
        <v>0</v>
      </c>
      <c r="AS355" s="615">
        <v>0</v>
      </c>
      <c r="AT355" s="615">
        <v>0</v>
      </c>
      <c r="AU355" s="615">
        <v>0</v>
      </c>
      <c r="AV355" s="615">
        <v>0</v>
      </c>
      <c r="AW355" s="615">
        <v>2837576</v>
      </c>
      <c r="AX355" s="615">
        <v>3617197</v>
      </c>
      <c r="AY355" s="615">
        <v>3617197</v>
      </c>
      <c r="AZ355" s="615">
        <v>3617197</v>
      </c>
      <c r="BA355" s="615">
        <v>3617197</v>
      </c>
      <c r="BB355" s="615">
        <v>3617197</v>
      </c>
      <c r="BC355" s="615">
        <v>3617197</v>
      </c>
      <c r="BD355" s="615">
        <v>3617197</v>
      </c>
      <c r="BE355" s="615">
        <v>3617197</v>
      </c>
      <c r="BF355" s="615">
        <v>3617197</v>
      </c>
      <c r="BG355" s="615">
        <v>3617197</v>
      </c>
      <c r="BH355" s="615">
        <v>3617197</v>
      </c>
      <c r="BI355" s="615">
        <v>3617197</v>
      </c>
      <c r="BJ355" s="615">
        <v>3617197</v>
      </c>
      <c r="BK355" s="615">
        <v>3617197</v>
      </c>
      <c r="BL355" s="615">
        <v>3617197</v>
      </c>
      <c r="BM355" s="615">
        <v>3617197</v>
      </c>
      <c r="BN355" s="615">
        <v>3617197</v>
      </c>
      <c r="BO355" s="615">
        <v>3617197</v>
      </c>
      <c r="BP355" s="615">
        <v>3617197</v>
      </c>
      <c r="BQ355" s="615">
        <v>3617197</v>
      </c>
      <c r="BR355" s="615">
        <v>3617197</v>
      </c>
      <c r="BS355" s="615">
        <v>3617197</v>
      </c>
      <c r="BT355" s="615">
        <v>3617197</v>
      </c>
      <c r="BU355" s="615">
        <v>3617197</v>
      </c>
      <c r="BV355" s="615">
        <v>3617196</v>
      </c>
      <c r="BW355" s="615">
        <v>301857500</v>
      </c>
      <c r="BX355" s="607">
        <f t="shared" si="12"/>
        <v>395125000</v>
      </c>
    </row>
    <row r="356" spans="1:76" s="612" customFormat="1" ht="12.95" customHeight="1" x14ac:dyDescent="0.2">
      <c r="A356" s="909"/>
      <c r="B356" s="611" t="s">
        <v>3003</v>
      </c>
      <c r="C356" s="641" t="s">
        <v>3002</v>
      </c>
      <c r="D356" s="615"/>
      <c r="E356" s="615"/>
      <c r="F356" s="615"/>
      <c r="G356" s="615"/>
      <c r="H356" s="585"/>
      <c r="I356" s="615"/>
      <c r="J356" s="615"/>
      <c r="K356" s="615"/>
      <c r="L356" s="615"/>
      <c r="M356" s="615"/>
      <c r="N356" s="615"/>
      <c r="O356" s="615"/>
      <c r="P356" s="615"/>
      <c r="Q356" s="615"/>
      <c r="R356" s="615"/>
      <c r="S356" s="615"/>
      <c r="T356" s="615"/>
      <c r="U356" s="615"/>
      <c r="V356" s="615"/>
      <c r="W356" s="615"/>
      <c r="X356" s="615"/>
      <c r="Y356" s="615"/>
      <c r="Z356" s="615"/>
      <c r="AA356" s="615"/>
      <c r="AB356" s="615">
        <v>0</v>
      </c>
      <c r="AC356" s="615">
        <v>0</v>
      </c>
      <c r="AD356" s="615">
        <v>0</v>
      </c>
      <c r="AE356" s="615">
        <v>0</v>
      </c>
      <c r="AF356" s="615">
        <v>0</v>
      </c>
      <c r="AG356" s="615">
        <v>0</v>
      </c>
      <c r="AH356" s="615">
        <v>0</v>
      </c>
      <c r="AI356" s="615">
        <v>0</v>
      </c>
      <c r="AJ356" s="615">
        <v>0</v>
      </c>
      <c r="AK356" s="615">
        <v>0</v>
      </c>
      <c r="AL356" s="615">
        <v>0</v>
      </c>
      <c r="AM356" s="615">
        <v>0</v>
      </c>
      <c r="AN356" s="615">
        <v>0</v>
      </c>
      <c r="AO356" s="615">
        <v>0</v>
      </c>
      <c r="AP356" s="615">
        <v>0</v>
      </c>
      <c r="AQ356" s="615">
        <v>0</v>
      </c>
      <c r="AR356" s="615">
        <v>0</v>
      </c>
      <c r="AS356" s="615">
        <v>0</v>
      </c>
      <c r="AT356" s="615">
        <v>0</v>
      </c>
      <c r="AU356" s="615">
        <v>0</v>
      </c>
      <c r="AV356" s="615">
        <v>4294656</v>
      </c>
      <c r="AW356" s="615">
        <v>4295429</v>
      </c>
      <c r="AX356" s="615">
        <v>4295429</v>
      </c>
      <c r="AY356" s="615">
        <v>4295429</v>
      </c>
      <c r="AZ356" s="615">
        <v>4295429</v>
      </c>
      <c r="BA356" s="615">
        <v>4295429</v>
      </c>
      <c r="BB356" s="615">
        <v>4295429</v>
      </c>
      <c r="BC356" s="615">
        <v>4295429</v>
      </c>
      <c r="BD356" s="615">
        <v>4295429</v>
      </c>
      <c r="BE356" s="615">
        <v>4295429</v>
      </c>
      <c r="BF356" s="615">
        <v>4295429</v>
      </c>
      <c r="BG356" s="615">
        <v>4295429</v>
      </c>
      <c r="BH356" s="615">
        <v>4295429</v>
      </c>
      <c r="BI356" s="615">
        <v>4295429</v>
      </c>
      <c r="BJ356" s="615">
        <v>4295429</v>
      </c>
      <c r="BK356" s="615">
        <v>4295429</v>
      </c>
      <c r="BL356" s="615">
        <v>4295429</v>
      </c>
      <c r="BM356" s="615">
        <v>4295429</v>
      </c>
      <c r="BN356" s="615">
        <v>4295429</v>
      </c>
      <c r="BO356" s="615">
        <v>4295429</v>
      </c>
      <c r="BP356" s="615">
        <v>4295429</v>
      </c>
      <c r="BQ356" s="615">
        <v>4295429</v>
      </c>
      <c r="BR356" s="615">
        <v>4295429</v>
      </c>
      <c r="BS356" s="615">
        <v>4295429</v>
      </c>
      <c r="BT356" s="615">
        <v>4295429</v>
      </c>
      <c r="BU356" s="615">
        <v>4295414</v>
      </c>
      <c r="BV356" s="615">
        <v>362460000</v>
      </c>
      <c r="BW356" s="615">
        <v>0</v>
      </c>
      <c r="BX356" s="607">
        <f t="shared" si="12"/>
        <v>474140366</v>
      </c>
    </row>
    <row r="357" spans="1:76" s="612" customFormat="1" ht="12.95" customHeight="1" x14ac:dyDescent="0.2">
      <c r="A357" s="909"/>
      <c r="B357" s="611" t="s">
        <v>3160</v>
      </c>
      <c r="C357" s="641" t="s">
        <v>3159</v>
      </c>
      <c r="D357" s="615"/>
      <c r="E357" s="615"/>
      <c r="F357" s="615"/>
      <c r="G357" s="615"/>
      <c r="H357" s="585"/>
      <c r="I357" s="615"/>
      <c r="J357" s="615"/>
      <c r="K357" s="615"/>
      <c r="L357" s="615"/>
      <c r="M357" s="615"/>
      <c r="N357" s="615"/>
      <c r="O357" s="615"/>
      <c r="P357" s="615"/>
      <c r="Q357" s="615"/>
      <c r="R357" s="615"/>
      <c r="S357" s="615"/>
      <c r="T357" s="615"/>
      <c r="U357" s="615"/>
      <c r="V357" s="615"/>
      <c r="W357" s="615"/>
      <c r="X357" s="615"/>
      <c r="Y357" s="615"/>
      <c r="Z357" s="615"/>
      <c r="AA357" s="615"/>
      <c r="AB357" s="615"/>
      <c r="AC357" s="615"/>
      <c r="AD357" s="615"/>
      <c r="AE357" s="615"/>
      <c r="AF357" s="615"/>
      <c r="AG357" s="615"/>
      <c r="AH357" s="615">
        <v>0</v>
      </c>
      <c r="AI357" s="615">
        <v>0</v>
      </c>
      <c r="AJ357" s="615">
        <v>0</v>
      </c>
      <c r="AK357" s="615">
        <v>0</v>
      </c>
      <c r="AL357" s="615">
        <v>0</v>
      </c>
      <c r="AM357" s="615">
        <v>0</v>
      </c>
      <c r="AN357" s="615">
        <v>0</v>
      </c>
      <c r="AO357" s="615">
        <v>0</v>
      </c>
      <c r="AP357" s="615">
        <v>0</v>
      </c>
      <c r="AQ357" s="615">
        <v>0</v>
      </c>
      <c r="AR357" s="615">
        <v>0</v>
      </c>
      <c r="AS357" s="615">
        <v>0</v>
      </c>
      <c r="AT357" s="615">
        <v>0</v>
      </c>
      <c r="AU357" s="615">
        <v>0</v>
      </c>
      <c r="AV357" s="615">
        <v>0</v>
      </c>
      <c r="AW357" s="615">
        <v>3170727</v>
      </c>
      <c r="AX357" s="615">
        <v>3552303</v>
      </c>
      <c r="AY357" s="615">
        <v>3552303</v>
      </c>
      <c r="AZ357" s="615">
        <v>3552303</v>
      </c>
      <c r="BA357" s="615">
        <v>3552303</v>
      </c>
      <c r="BB357" s="615">
        <v>3552303</v>
      </c>
      <c r="BC357" s="615">
        <v>3552303</v>
      </c>
      <c r="BD357" s="615">
        <v>3552303</v>
      </c>
      <c r="BE357" s="615">
        <v>3552303</v>
      </c>
      <c r="BF357" s="615">
        <v>3552303</v>
      </c>
      <c r="BG357" s="615">
        <v>3552303</v>
      </c>
      <c r="BH357" s="615">
        <v>3552303</v>
      </c>
      <c r="BI357" s="615">
        <v>3552303</v>
      </c>
      <c r="BJ357" s="615">
        <v>3552303</v>
      </c>
      <c r="BK357" s="615">
        <v>3552303</v>
      </c>
      <c r="BL357" s="615">
        <v>3552303</v>
      </c>
      <c r="BM357" s="615">
        <v>3552303</v>
      </c>
      <c r="BN357" s="615">
        <v>3552303</v>
      </c>
      <c r="BO357" s="615">
        <v>3552303</v>
      </c>
      <c r="BP357" s="615">
        <v>3552303</v>
      </c>
      <c r="BQ357" s="615">
        <v>3552303</v>
      </c>
      <c r="BR357" s="615">
        <v>3552303</v>
      </c>
      <c r="BS357" s="615">
        <v>3552303</v>
      </c>
      <c r="BT357" s="615">
        <v>3552303</v>
      </c>
      <c r="BU357" s="615">
        <v>3552304</v>
      </c>
      <c r="BV357" s="615">
        <v>285194000</v>
      </c>
      <c r="BW357" s="615">
        <v>0</v>
      </c>
      <c r="BX357" s="607">
        <f t="shared" si="12"/>
        <v>373620000</v>
      </c>
    </row>
    <row r="358" spans="1:76" s="612" customFormat="1" ht="12.95" customHeight="1" x14ac:dyDescent="0.2">
      <c r="A358" s="909"/>
      <c r="B358" s="611" t="s">
        <v>2714</v>
      </c>
      <c r="C358" s="641" t="s">
        <v>2713</v>
      </c>
      <c r="D358" s="615"/>
      <c r="E358" s="615"/>
      <c r="F358" s="615"/>
      <c r="G358" s="615"/>
      <c r="H358" s="585"/>
      <c r="I358" s="615"/>
      <c r="J358" s="615"/>
      <c r="K358" s="615"/>
      <c r="L358" s="615"/>
      <c r="M358" s="615"/>
      <c r="N358" s="615"/>
      <c r="O358" s="615"/>
      <c r="P358" s="615"/>
      <c r="Q358" s="615"/>
      <c r="R358" s="615"/>
      <c r="S358" s="615"/>
      <c r="T358" s="615"/>
      <c r="U358" s="615"/>
      <c r="V358" s="615"/>
      <c r="W358" s="615"/>
      <c r="X358" s="615"/>
      <c r="Y358" s="615"/>
      <c r="Z358" s="615"/>
      <c r="AA358" s="615"/>
      <c r="AB358" s="615"/>
      <c r="AC358" s="615"/>
      <c r="AD358" s="615"/>
      <c r="AE358" s="615"/>
      <c r="AF358" s="615"/>
      <c r="AG358" s="615"/>
      <c r="AH358" s="615">
        <v>0</v>
      </c>
      <c r="AI358" s="615">
        <v>0</v>
      </c>
      <c r="AJ358" s="615">
        <v>0</v>
      </c>
      <c r="AK358" s="615">
        <v>0</v>
      </c>
      <c r="AL358" s="615">
        <v>0</v>
      </c>
      <c r="AM358" s="615">
        <v>0</v>
      </c>
      <c r="AN358" s="615">
        <v>0</v>
      </c>
      <c r="AO358" s="615">
        <v>0</v>
      </c>
      <c r="AP358" s="615">
        <v>0</v>
      </c>
      <c r="AQ358" s="615">
        <v>0</v>
      </c>
      <c r="AR358" s="615">
        <v>0</v>
      </c>
      <c r="AS358" s="615">
        <v>0</v>
      </c>
      <c r="AT358" s="615">
        <v>0</v>
      </c>
      <c r="AU358" s="615">
        <v>0</v>
      </c>
      <c r="AV358" s="615">
        <v>0</v>
      </c>
      <c r="AW358" s="615">
        <v>16800000</v>
      </c>
      <c r="AX358" s="615">
        <v>1950000</v>
      </c>
      <c r="AY358" s="615">
        <v>1950000</v>
      </c>
      <c r="AZ358" s="615">
        <v>3800000</v>
      </c>
      <c r="BA358" s="615">
        <v>1950000</v>
      </c>
      <c r="BB358" s="615">
        <v>1950000</v>
      </c>
      <c r="BC358" s="615">
        <v>11100000</v>
      </c>
      <c r="BD358" s="615">
        <v>1950000</v>
      </c>
      <c r="BE358" s="615">
        <v>1950000</v>
      </c>
      <c r="BF358" s="615">
        <v>3800000</v>
      </c>
      <c r="BG358" s="615">
        <v>1950000</v>
      </c>
      <c r="BH358" s="615">
        <v>1950000</v>
      </c>
      <c r="BI358" s="615">
        <v>16800000</v>
      </c>
      <c r="BJ358" s="615">
        <v>1950000</v>
      </c>
      <c r="BK358" s="615">
        <v>1950000</v>
      </c>
      <c r="BL358" s="615">
        <v>3800000</v>
      </c>
      <c r="BM358" s="615">
        <v>1950000</v>
      </c>
      <c r="BN358" s="615">
        <v>1950000</v>
      </c>
      <c r="BO358" s="615">
        <v>11100000</v>
      </c>
      <c r="BP358" s="615">
        <v>1950000</v>
      </c>
      <c r="BQ358" s="615">
        <v>1950000</v>
      </c>
      <c r="BR358" s="615">
        <v>3800000</v>
      </c>
      <c r="BS358" s="615">
        <v>1950000</v>
      </c>
      <c r="BT358" s="615">
        <v>1950000</v>
      </c>
      <c r="BU358" s="615">
        <v>18838000</v>
      </c>
      <c r="BV358" s="615">
        <v>369572000</v>
      </c>
      <c r="BW358" s="615">
        <v>0</v>
      </c>
      <c r="BX358" s="607">
        <f t="shared" si="12"/>
        <v>490610000</v>
      </c>
    </row>
    <row r="359" spans="1:76" s="612" customFormat="1" ht="12.95" customHeight="1" x14ac:dyDescent="0.2">
      <c r="A359" s="909"/>
      <c r="B359" s="611" t="s">
        <v>2716</v>
      </c>
      <c r="C359" s="641" t="s">
        <v>2715</v>
      </c>
      <c r="D359" s="615"/>
      <c r="E359" s="615"/>
      <c r="F359" s="615"/>
      <c r="G359" s="615"/>
      <c r="H359" s="585"/>
      <c r="I359" s="615"/>
      <c r="J359" s="615"/>
      <c r="K359" s="615"/>
      <c r="L359" s="615"/>
      <c r="M359" s="615"/>
      <c r="N359" s="615"/>
      <c r="O359" s="615"/>
      <c r="P359" s="615"/>
      <c r="Q359" s="615"/>
      <c r="R359" s="615"/>
      <c r="S359" s="615"/>
      <c r="T359" s="615"/>
      <c r="U359" s="615"/>
      <c r="V359" s="615"/>
      <c r="W359" s="615"/>
      <c r="X359" s="615"/>
      <c r="Y359" s="615"/>
      <c r="Z359" s="615"/>
      <c r="AA359" s="615"/>
      <c r="AB359" s="615"/>
      <c r="AC359" s="615"/>
      <c r="AD359" s="615"/>
      <c r="AE359" s="615"/>
      <c r="AF359" s="615"/>
      <c r="AG359" s="615"/>
      <c r="AH359" s="615">
        <v>0</v>
      </c>
      <c r="AI359" s="615">
        <v>0</v>
      </c>
      <c r="AJ359" s="615">
        <v>0</v>
      </c>
      <c r="AK359" s="615">
        <v>0</v>
      </c>
      <c r="AL359" s="615">
        <v>0</v>
      </c>
      <c r="AM359" s="615">
        <v>0</v>
      </c>
      <c r="AN359" s="615">
        <v>0</v>
      </c>
      <c r="AO359" s="615">
        <v>0</v>
      </c>
      <c r="AP359" s="615">
        <v>0</v>
      </c>
      <c r="AQ359" s="615">
        <v>0</v>
      </c>
      <c r="AR359" s="615">
        <v>0</v>
      </c>
      <c r="AS359" s="615">
        <v>0</v>
      </c>
      <c r="AT359" s="615">
        <v>0</v>
      </c>
      <c r="AU359" s="615">
        <v>0</v>
      </c>
      <c r="AV359" s="615">
        <v>0</v>
      </c>
      <c r="AW359" s="615">
        <v>5215330</v>
      </c>
      <c r="AX359" s="615">
        <v>5215330</v>
      </c>
      <c r="AY359" s="615">
        <v>5215330</v>
      </c>
      <c r="AZ359" s="615">
        <v>5215330</v>
      </c>
      <c r="BA359" s="615">
        <v>5215330</v>
      </c>
      <c r="BB359" s="615">
        <v>5215330</v>
      </c>
      <c r="BC359" s="615">
        <v>5215330</v>
      </c>
      <c r="BD359" s="615">
        <v>5215330</v>
      </c>
      <c r="BE359" s="615">
        <v>5215330</v>
      </c>
      <c r="BF359" s="615">
        <v>5215330</v>
      </c>
      <c r="BG359" s="615">
        <v>5215330</v>
      </c>
      <c r="BH359" s="615">
        <v>5215330</v>
      </c>
      <c r="BI359" s="615">
        <v>5215330</v>
      </c>
      <c r="BJ359" s="615">
        <v>5215330</v>
      </c>
      <c r="BK359" s="615">
        <v>5215330</v>
      </c>
      <c r="BL359" s="615">
        <v>5215330</v>
      </c>
      <c r="BM359" s="615">
        <v>5215330</v>
      </c>
      <c r="BN359" s="615">
        <v>5215330</v>
      </c>
      <c r="BO359" s="615">
        <v>5215330</v>
      </c>
      <c r="BP359" s="615">
        <v>5215330</v>
      </c>
      <c r="BQ359" s="615">
        <v>5215330</v>
      </c>
      <c r="BR359" s="615">
        <v>5215330</v>
      </c>
      <c r="BS359" s="615">
        <v>5215330</v>
      </c>
      <c r="BT359" s="615">
        <v>5215330</v>
      </c>
      <c r="BU359" s="615">
        <v>5215331</v>
      </c>
      <c r="BV359" s="615">
        <v>372260000</v>
      </c>
      <c r="BW359" s="615">
        <v>0</v>
      </c>
      <c r="BX359" s="607">
        <f t="shared" si="12"/>
        <v>502643251</v>
      </c>
    </row>
    <row r="360" spans="1:76" s="612" customFormat="1" ht="12.95" customHeight="1" x14ac:dyDescent="0.2">
      <c r="A360" s="909"/>
      <c r="B360" s="611" t="s">
        <v>2543</v>
      </c>
      <c r="C360" s="641" t="s">
        <v>4368</v>
      </c>
      <c r="D360" s="615"/>
      <c r="E360" s="615"/>
      <c r="F360" s="615"/>
      <c r="G360" s="615"/>
      <c r="H360" s="585"/>
      <c r="I360" s="615"/>
      <c r="J360" s="615"/>
      <c r="K360" s="615"/>
      <c r="L360" s="615"/>
      <c r="M360" s="615"/>
      <c r="N360" s="615"/>
      <c r="O360" s="615"/>
      <c r="P360" s="615"/>
      <c r="Q360" s="615"/>
      <c r="R360" s="615"/>
      <c r="S360" s="615"/>
      <c r="T360" s="615"/>
      <c r="U360" s="615"/>
      <c r="V360" s="615"/>
      <c r="W360" s="615"/>
      <c r="X360" s="615"/>
      <c r="Y360" s="615"/>
      <c r="Z360" s="615"/>
      <c r="AA360" s="615"/>
      <c r="AB360" s="615"/>
      <c r="AC360" s="615"/>
      <c r="AD360" s="615"/>
      <c r="AE360" s="615"/>
      <c r="AF360" s="615"/>
      <c r="AG360" s="615"/>
      <c r="AH360" s="615">
        <v>0</v>
      </c>
      <c r="AI360" s="615">
        <v>0</v>
      </c>
      <c r="AJ360" s="615">
        <v>0</v>
      </c>
      <c r="AK360" s="615">
        <v>0</v>
      </c>
      <c r="AL360" s="615">
        <v>0</v>
      </c>
      <c r="AM360" s="615">
        <v>0</v>
      </c>
      <c r="AN360" s="615">
        <v>0</v>
      </c>
      <c r="AO360" s="615">
        <v>0</v>
      </c>
      <c r="AP360" s="615">
        <v>0</v>
      </c>
      <c r="AQ360" s="615">
        <v>0</v>
      </c>
      <c r="AR360" s="615">
        <v>0</v>
      </c>
      <c r="AS360" s="615">
        <v>0</v>
      </c>
      <c r="AT360" s="615">
        <v>0</v>
      </c>
      <c r="AU360" s="615">
        <v>0</v>
      </c>
      <c r="AV360" s="615">
        <v>76166667</v>
      </c>
      <c r="AW360" s="615">
        <v>0</v>
      </c>
      <c r="AX360" s="615">
        <v>1064786</v>
      </c>
      <c r="AY360" s="615">
        <v>2032393</v>
      </c>
      <c r="AZ360" s="615">
        <v>2032393</v>
      </c>
      <c r="BA360" s="615">
        <v>2032393</v>
      </c>
      <c r="BB360" s="615">
        <v>2032393</v>
      </c>
      <c r="BC360" s="615">
        <v>2032393</v>
      </c>
      <c r="BD360" s="615">
        <v>2032393</v>
      </c>
      <c r="BE360" s="615">
        <v>2032393</v>
      </c>
      <c r="BF360" s="615">
        <v>2032393</v>
      </c>
      <c r="BG360" s="615">
        <v>2032393</v>
      </c>
      <c r="BH360" s="615">
        <v>2032393</v>
      </c>
      <c r="BI360" s="615">
        <v>2032393</v>
      </c>
      <c r="BJ360" s="615">
        <v>2032393</v>
      </c>
      <c r="BK360" s="615">
        <v>2032393</v>
      </c>
      <c r="BL360" s="615">
        <v>2032393</v>
      </c>
      <c r="BM360" s="615">
        <v>2032393</v>
      </c>
      <c r="BN360" s="615">
        <v>2032393</v>
      </c>
      <c r="BO360" s="615">
        <v>2032393</v>
      </c>
      <c r="BP360" s="615">
        <v>2032393</v>
      </c>
      <c r="BQ360" s="615">
        <v>2032393</v>
      </c>
      <c r="BR360" s="615">
        <v>2032393</v>
      </c>
      <c r="BS360" s="615">
        <v>2032393</v>
      </c>
      <c r="BT360" s="615">
        <v>2032393</v>
      </c>
      <c r="BU360" s="615">
        <v>2032401</v>
      </c>
      <c r="BV360" s="615">
        <v>310278500</v>
      </c>
      <c r="BW360" s="615">
        <v>0</v>
      </c>
      <c r="BX360" s="607">
        <f t="shared" si="12"/>
        <v>434255000</v>
      </c>
    </row>
    <row r="361" spans="1:76" s="612" customFormat="1" ht="12.95" customHeight="1" x14ac:dyDescent="0.2">
      <c r="A361" s="909"/>
      <c r="B361" s="611" t="s">
        <v>3005</v>
      </c>
      <c r="C361" s="641" t="s">
        <v>3004</v>
      </c>
      <c r="D361" s="615"/>
      <c r="E361" s="615"/>
      <c r="F361" s="615"/>
      <c r="G361" s="615"/>
      <c r="H361" s="585"/>
      <c r="I361" s="615"/>
      <c r="J361" s="615"/>
      <c r="K361" s="615"/>
      <c r="L361" s="615"/>
      <c r="M361" s="615"/>
      <c r="N361" s="615"/>
      <c r="O361" s="615"/>
      <c r="P361" s="615"/>
      <c r="Q361" s="615"/>
      <c r="R361" s="615"/>
      <c r="S361" s="615"/>
      <c r="T361" s="615"/>
      <c r="U361" s="615"/>
      <c r="V361" s="615"/>
      <c r="W361" s="615"/>
      <c r="X361" s="615"/>
      <c r="Y361" s="615"/>
      <c r="Z361" s="615"/>
      <c r="AA361" s="615"/>
      <c r="AB361" s="615"/>
      <c r="AC361" s="615"/>
      <c r="AD361" s="615"/>
      <c r="AE361" s="615"/>
      <c r="AF361" s="615"/>
      <c r="AG361" s="615"/>
      <c r="AH361" s="615">
        <v>0</v>
      </c>
      <c r="AI361" s="615">
        <v>0</v>
      </c>
      <c r="AJ361" s="615">
        <v>0</v>
      </c>
      <c r="AK361" s="615">
        <v>0</v>
      </c>
      <c r="AL361" s="615">
        <v>0</v>
      </c>
      <c r="AM361" s="615">
        <v>0</v>
      </c>
      <c r="AN361" s="615">
        <v>0</v>
      </c>
      <c r="AO361" s="615">
        <v>0</v>
      </c>
      <c r="AP361" s="615">
        <v>0</v>
      </c>
      <c r="AQ361" s="615">
        <v>0</v>
      </c>
      <c r="AR361" s="615">
        <v>0</v>
      </c>
      <c r="AS361" s="615">
        <v>0</v>
      </c>
      <c r="AT361" s="615">
        <v>967406</v>
      </c>
      <c r="AU361" s="615">
        <v>1300000</v>
      </c>
      <c r="AV361" s="615">
        <v>1300000</v>
      </c>
      <c r="AW361" s="615">
        <v>1300000</v>
      </c>
      <c r="AX361" s="615">
        <v>1300000</v>
      </c>
      <c r="AY361" s="615">
        <v>1300000</v>
      </c>
      <c r="AZ361" s="615">
        <v>3500000</v>
      </c>
      <c r="BA361" s="615">
        <v>1400000</v>
      </c>
      <c r="BB361" s="615">
        <v>1400000</v>
      </c>
      <c r="BC361" s="615">
        <v>1400000</v>
      </c>
      <c r="BD361" s="615">
        <v>1400000</v>
      </c>
      <c r="BE361" s="615">
        <v>1400000</v>
      </c>
      <c r="BF361" s="615">
        <v>3500000</v>
      </c>
      <c r="BG361" s="615">
        <v>1400000</v>
      </c>
      <c r="BH361" s="615">
        <v>1400000</v>
      </c>
      <c r="BI361" s="615">
        <v>1400000</v>
      </c>
      <c r="BJ361" s="615">
        <v>40000000</v>
      </c>
      <c r="BK361" s="615">
        <v>1400000</v>
      </c>
      <c r="BL361" s="615">
        <v>3500000</v>
      </c>
      <c r="BM361" s="615">
        <v>1500000</v>
      </c>
      <c r="BN361" s="615">
        <v>1500000</v>
      </c>
      <c r="BO361" s="615">
        <v>1500000</v>
      </c>
      <c r="BP361" s="615">
        <v>1500000</v>
      </c>
      <c r="BQ361" s="615">
        <v>1500000</v>
      </c>
      <c r="BR361" s="615">
        <v>3500000</v>
      </c>
      <c r="BS361" s="615">
        <v>1500000</v>
      </c>
      <c r="BT361" s="615">
        <v>1500000</v>
      </c>
      <c r="BU361" s="615">
        <v>15654600</v>
      </c>
      <c r="BV361" s="615">
        <v>276627400</v>
      </c>
      <c r="BW361" s="615">
        <v>0</v>
      </c>
      <c r="BX361" s="607">
        <f t="shared" si="12"/>
        <v>376849406</v>
      </c>
    </row>
    <row r="362" spans="1:76" s="612" customFormat="1" ht="12.95" customHeight="1" x14ac:dyDescent="0.2">
      <c r="A362" s="909"/>
      <c r="B362" s="611" t="s">
        <v>2718</v>
      </c>
      <c r="C362" s="641" t="s">
        <v>2717</v>
      </c>
      <c r="D362" s="615"/>
      <c r="E362" s="615"/>
      <c r="F362" s="615"/>
      <c r="G362" s="615"/>
      <c r="H362" s="585"/>
      <c r="I362" s="615"/>
      <c r="J362" s="615"/>
      <c r="K362" s="615"/>
      <c r="L362" s="615"/>
      <c r="M362" s="615"/>
      <c r="N362" s="615"/>
      <c r="O362" s="615"/>
      <c r="P362" s="615"/>
      <c r="Q362" s="615"/>
      <c r="R362" s="615"/>
      <c r="S362" s="615"/>
      <c r="T362" s="615"/>
      <c r="U362" s="615"/>
      <c r="V362" s="615"/>
      <c r="W362" s="615"/>
      <c r="X362" s="615"/>
      <c r="Y362" s="615"/>
      <c r="Z362" s="615"/>
      <c r="AA362" s="615"/>
      <c r="AB362" s="615"/>
      <c r="AC362" s="615"/>
      <c r="AD362" s="615"/>
      <c r="AE362" s="615"/>
      <c r="AF362" s="615"/>
      <c r="AG362" s="615"/>
      <c r="AH362" s="615">
        <v>0</v>
      </c>
      <c r="AI362" s="615">
        <v>0</v>
      </c>
      <c r="AJ362" s="615">
        <v>0</v>
      </c>
      <c r="AK362" s="615">
        <v>0</v>
      </c>
      <c r="AL362" s="615">
        <v>0</v>
      </c>
      <c r="AM362" s="615">
        <v>0</v>
      </c>
      <c r="AN362" s="615">
        <v>0</v>
      </c>
      <c r="AO362" s="615">
        <v>0</v>
      </c>
      <c r="AP362" s="615">
        <v>0</v>
      </c>
      <c r="AQ362" s="615">
        <v>0</v>
      </c>
      <c r="AR362" s="615">
        <v>0</v>
      </c>
      <c r="AS362" s="615">
        <v>0</v>
      </c>
      <c r="AT362" s="615">
        <v>0</v>
      </c>
      <c r="AU362" s="615">
        <v>0</v>
      </c>
      <c r="AV362" s="615">
        <v>0</v>
      </c>
      <c r="AW362" s="615">
        <v>0</v>
      </c>
      <c r="AX362" s="615">
        <v>4455713</v>
      </c>
      <c r="AY362" s="615">
        <v>4455714</v>
      </c>
      <c r="AZ362" s="615">
        <v>4455714</v>
      </c>
      <c r="BA362" s="615">
        <v>4455714</v>
      </c>
      <c r="BB362" s="615">
        <v>4455714</v>
      </c>
      <c r="BC362" s="615">
        <v>4455714</v>
      </c>
      <c r="BD362" s="615">
        <v>4455714</v>
      </c>
      <c r="BE362" s="615">
        <v>4455714</v>
      </c>
      <c r="BF362" s="615">
        <v>4455714</v>
      </c>
      <c r="BG362" s="615">
        <v>4455714</v>
      </c>
      <c r="BH362" s="615">
        <v>4455714</v>
      </c>
      <c r="BI362" s="615">
        <v>4455714</v>
      </c>
      <c r="BJ362" s="615">
        <v>4455714</v>
      </c>
      <c r="BK362" s="615">
        <v>4455714</v>
      </c>
      <c r="BL362" s="615">
        <v>4455714</v>
      </c>
      <c r="BM362" s="615">
        <v>4455714</v>
      </c>
      <c r="BN362" s="615">
        <v>4455714</v>
      </c>
      <c r="BO362" s="615">
        <v>4455714</v>
      </c>
      <c r="BP362" s="615">
        <v>4455714</v>
      </c>
      <c r="BQ362" s="615">
        <v>4455714</v>
      </c>
      <c r="BR362" s="615">
        <v>4455714</v>
      </c>
      <c r="BS362" s="615">
        <v>4455714</v>
      </c>
      <c r="BT362" s="615">
        <v>4455714</v>
      </c>
      <c r="BU362" s="615">
        <v>4455724</v>
      </c>
      <c r="BV362" s="615">
        <v>375550000</v>
      </c>
      <c r="BW362" s="615">
        <v>0</v>
      </c>
      <c r="BX362" s="607">
        <f t="shared" si="12"/>
        <v>482487145</v>
      </c>
    </row>
    <row r="363" spans="1:76" s="612" customFormat="1" ht="12.95" customHeight="1" x14ac:dyDescent="0.2">
      <c r="A363" s="909"/>
      <c r="B363" s="611" t="s">
        <v>2720</v>
      </c>
      <c r="C363" s="641" t="s">
        <v>2719</v>
      </c>
      <c r="D363" s="615"/>
      <c r="E363" s="615"/>
      <c r="F363" s="615"/>
      <c r="G363" s="615"/>
      <c r="H363" s="585"/>
      <c r="I363" s="615"/>
      <c r="J363" s="615"/>
      <c r="K363" s="615"/>
      <c r="L363" s="615"/>
      <c r="M363" s="615"/>
      <c r="N363" s="615"/>
      <c r="O363" s="615"/>
      <c r="P363" s="615"/>
      <c r="Q363" s="615"/>
      <c r="R363" s="615"/>
      <c r="S363" s="615"/>
      <c r="T363" s="615"/>
      <c r="U363" s="615"/>
      <c r="V363" s="615"/>
      <c r="W363" s="615"/>
      <c r="X363" s="615"/>
      <c r="Y363" s="615"/>
      <c r="Z363" s="615"/>
      <c r="AA363" s="615"/>
      <c r="AB363" s="615">
        <v>0</v>
      </c>
      <c r="AC363" s="615">
        <v>0</v>
      </c>
      <c r="AD363" s="615">
        <v>0</v>
      </c>
      <c r="AE363" s="615">
        <v>0</v>
      </c>
      <c r="AF363" s="615">
        <v>0</v>
      </c>
      <c r="AG363" s="615">
        <v>0</v>
      </c>
      <c r="AH363" s="615">
        <v>0</v>
      </c>
      <c r="AI363" s="615">
        <v>0</v>
      </c>
      <c r="AJ363" s="615">
        <v>0</v>
      </c>
      <c r="AK363" s="615">
        <v>0</v>
      </c>
      <c r="AL363" s="615">
        <v>0</v>
      </c>
      <c r="AM363" s="615">
        <v>0</v>
      </c>
      <c r="AN363" s="615">
        <v>0</v>
      </c>
      <c r="AO363" s="615">
        <v>0</v>
      </c>
      <c r="AP363" s="615">
        <v>0</v>
      </c>
      <c r="AQ363" s="615">
        <v>0</v>
      </c>
      <c r="AR363" s="615">
        <v>0</v>
      </c>
      <c r="AS363" s="615">
        <v>0</v>
      </c>
      <c r="AT363" s="615">
        <v>0</v>
      </c>
      <c r="AU363" s="615">
        <v>0</v>
      </c>
      <c r="AV363" s="615">
        <v>48861</v>
      </c>
      <c r="AW363" s="615">
        <v>4505429</v>
      </c>
      <c r="AX363" s="615">
        <v>4505429</v>
      </c>
      <c r="AY363" s="615">
        <v>4505429</v>
      </c>
      <c r="AZ363" s="615">
        <v>4505429</v>
      </c>
      <c r="BA363" s="615">
        <v>4505429</v>
      </c>
      <c r="BB363" s="615">
        <v>4505429</v>
      </c>
      <c r="BC363" s="615">
        <v>4505429</v>
      </c>
      <c r="BD363" s="615">
        <v>4505429</v>
      </c>
      <c r="BE363" s="615">
        <v>4505429</v>
      </c>
      <c r="BF363" s="615">
        <v>4505429</v>
      </c>
      <c r="BG363" s="615">
        <v>4505429</v>
      </c>
      <c r="BH363" s="615">
        <v>4505429</v>
      </c>
      <c r="BI363" s="615">
        <v>4505429</v>
      </c>
      <c r="BJ363" s="615">
        <v>4505429</v>
      </c>
      <c r="BK363" s="615">
        <v>4505429</v>
      </c>
      <c r="BL363" s="615">
        <v>4505429</v>
      </c>
      <c r="BM363" s="615">
        <v>4505429</v>
      </c>
      <c r="BN363" s="615">
        <v>4505429</v>
      </c>
      <c r="BO363" s="615">
        <v>4505429</v>
      </c>
      <c r="BP363" s="615">
        <v>4505429</v>
      </c>
      <c r="BQ363" s="615">
        <v>4505429</v>
      </c>
      <c r="BR363" s="615">
        <v>4505429</v>
      </c>
      <c r="BS363" s="615">
        <v>4505429</v>
      </c>
      <c r="BT363" s="615">
        <v>4505429</v>
      </c>
      <c r="BU363" s="615">
        <v>4505414</v>
      </c>
      <c r="BV363" s="615">
        <v>372610000</v>
      </c>
      <c r="BW363" s="615">
        <v>0</v>
      </c>
      <c r="BX363" s="607">
        <f t="shared" si="12"/>
        <v>485294571</v>
      </c>
    </row>
    <row r="364" spans="1:76" s="612" customFormat="1" ht="12.95" customHeight="1" x14ac:dyDescent="0.2">
      <c r="A364" s="909"/>
      <c r="B364" s="611" t="s">
        <v>2722</v>
      </c>
      <c r="C364" s="641" t="s">
        <v>2721</v>
      </c>
      <c r="D364" s="615"/>
      <c r="E364" s="615"/>
      <c r="F364" s="615"/>
      <c r="G364" s="615"/>
      <c r="H364" s="585"/>
      <c r="I364" s="615"/>
      <c r="J364" s="615"/>
      <c r="K364" s="615"/>
      <c r="L364" s="615"/>
      <c r="M364" s="615"/>
      <c r="N364" s="615"/>
      <c r="O364" s="615"/>
      <c r="P364" s="615"/>
      <c r="Q364" s="615"/>
      <c r="R364" s="615"/>
      <c r="S364" s="615"/>
      <c r="T364" s="615"/>
      <c r="U364" s="615"/>
      <c r="V364" s="615"/>
      <c r="W364" s="615"/>
      <c r="X364" s="615"/>
      <c r="Y364" s="615"/>
      <c r="Z364" s="615"/>
      <c r="AA364" s="615"/>
      <c r="AB364" s="615"/>
      <c r="AC364" s="615"/>
      <c r="AD364" s="615"/>
      <c r="AE364" s="615"/>
      <c r="AF364" s="615"/>
      <c r="AG364" s="615"/>
      <c r="AH364" s="615">
        <v>0</v>
      </c>
      <c r="AI364" s="615">
        <v>0</v>
      </c>
      <c r="AJ364" s="615">
        <v>0</v>
      </c>
      <c r="AK364" s="615">
        <v>0</v>
      </c>
      <c r="AL364" s="615">
        <v>0</v>
      </c>
      <c r="AM364" s="615">
        <v>0</v>
      </c>
      <c r="AN364" s="615">
        <v>0</v>
      </c>
      <c r="AO364" s="615">
        <v>0</v>
      </c>
      <c r="AP364" s="615">
        <v>0</v>
      </c>
      <c r="AQ364" s="615">
        <v>0</v>
      </c>
      <c r="AR364" s="615">
        <v>0</v>
      </c>
      <c r="AS364" s="615">
        <v>0</v>
      </c>
      <c r="AT364" s="615">
        <v>0</v>
      </c>
      <c r="AU364" s="615">
        <v>0</v>
      </c>
      <c r="AV364" s="615">
        <v>1142860</v>
      </c>
      <c r="AW364" s="615">
        <v>3264286</v>
      </c>
      <c r="AX364" s="615">
        <v>3264286</v>
      </c>
      <c r="AY364" s="615">
        <v>3264286</v>
      </c>
      <c r="AZ364" s="615">
        <v>3264286</v>
      </c>
      <c r="BA364" s="615">
        <v>3264286</v>
      </c>
      <c r="BB364" s="615">
        <v>3264286</v>
      </c>
      <c r="BC364" s="615">
        <v>3264286</v>
      </c>
      <c r="BD364" s="615">
        <v>3264286</v>
      </c>
      <c r="BE364" s="615">
        <v>3264286</v>
      </c>
      <c r="BF364" s="615">
        <v>3264286</v>
      </c>
      <c r="BG364" s="615">
        <v>3264286</v>
      </c>
      <c r="BH364" s="615">
        <v>3264286</v>
      </c>
      <c r="BI364" s="615">
        <v>3264286</v>
      </c>
      <c r="BJ364" s="615">
        <v>3264286</v>
      </c>
      <c r="BK364" s="615">
        <v>3264286</v>
      </c>
      <c r="BL364" s="615">
        <v>3264286</v>
      </c>
      <c r="BM364" s="615">
        <v>3264286</v>
      </c>
      <c r="BN364" s="615">
        <v>3264286</v>
      </c>
      <c r="BO364" s="615">
        <v>3264286</v>
      </c>
      <c r="BP364" s="615">
        <v>3264286</v>
      </c>
      <c r="BQ364" s="615">
        <v>3264286</v>
      </c>
      <c r="BR364" s="615">
        <v>3264286</v>
      </c>
      <c r="BS364" s="615">
        <v>3264286</v>
      </c>
      <c r="BT364" s="615">
        <v>3264286</v>
      </c>
      <c r="BU364" s="615">
        <v>3264276</v>
      </c>
      <c r="BV364" s="615">
        <v>278250000</v>
      </c>
      <c r="BW364" s="615">
        <v>0</v>
      </c>
      <c r="BX364" s="607">
        <f t="shared" si="12"/>
        <v>361000000</v>
      </c>
    </row>
    <row r="365" spans="1:76" s="612" customFormat="1" ht="12.95" customHeight="1" x14ac:dyDescent="0.2">
      <c r="A365" s="909"/>
      <c r="B365" s="611" t="s">
        <v>3007</v>
      </c>
      <c r="C365" s="641" t="s">
        <v>3006</v>
      </c>
      <c r="D365" s="615"/>
      <c r="E365" s="615"/>
      <c r="F365" s="615"/>
      <c r="G365" s="615"/>
      <c r="H365" s="585"/>
      <c r="I365" s="615"/>
      <c r="J365" s="615"/>
      <c r="K365" s="615"/>
      <c r="L365" s="615"/>
      <c r="M365" s="615"/>
      <c r="N365" s="615"/>
      <c r="O365" s="615"/>
      <c r="P365" s="615"/>
      <c r="Q365" s="615"/>
      <c r="R365" s="615"/>
      <c r="S365" s="615"/>
      <c r="T365" s="615"/>
      <c r="U365" s="615"/>
      <c r="V365" s="615"/>
      <c r="W365" s="615"/>
      <c r="X365" s="615"/>
      <c r="Y365" s="615"/>
      <c r="Z365" s="615"/>
      <c r="AA365" s="615"/>
      <c r="AB365" s="615"/>
      <c r="AC365" s="615"/>
      <c r="AD365" s="615"/>
      <c r="AE365" s="615"/>
      <c r="AF365" s="615"/>
      <c r="AG365" s="615"/>
      <c r="AH365" s="615">
        <v>0</v>
      </c>
      <c r="AI365" s="615">
        <v>0</v>
      </c>
      <c r="AJ365" s="615">
        <v>0</v>
      </c>
      <c r="AK365" s="615">
        <v>0</v>
      </c>
      <c r="AL365" s="615">
        <v>0</v>
      </c>
      <c r="AM365" s="615">
        <v>0</v>
      </c>
      <c r="AN365" s="615">
        <v>0</v>
      </c>
      <c r="AO365" s="615">
        <v>0</v>
      </c>
      <c r="AP365" s="615">
        <v>0</v>
      </c>
      <c r="AQ365" s="615">
        <v>0</v>
      </c>
      <c r="AR365" s="615">
        <v>0</v>
      </c>
      <c r="AS365" s="615">
        <v>0</v>
      </c>
      <c r="AT365" s="615">
        <v>0</v>
      </c>
      <c r="AU365" s="615">
        <v>0</v>
      </c>
      <c r="AV365" s="615">
        <v>0</v>
      </c>
      <c r="AW365" s="615">
        <v>3339946</v>
      </c>
      <c r="AX365" s="615">
        <v>4349086</v>
      </c>
      <c r="AY365" s="615">
        <v>4349086</v>
      </c>
      <c r="AZ365" s="615">
        <v>4349086</v>
      </c>
      <c r="BA365" s="615">
        <v>4349086</v>
      </c>
      <c r="BB365" s="615">
        <v>4349086</v>
      </c>
      <c r="BC365" s="615">
        <v>4349086</v>
      </c>
      <c r="BD365" s="615">
        <v>4349086</v>
      </c>
      <c r="BE365" s="615">
        <v>4349086</v>
      </c>
      <c r="BF365" s="615">
        <v>4349086</v>
      </c>
      <c r="BG365" s="615">
        <v>4349086</v>
      </c>
      <c r="BH365" s="615">
        <v>4349086</v>
      </c>
      <c r="BI365" s="615">
        <v>4349086</v>
      </c>
      <c r="BJ365" s="615">
        <v>4349086</v>
      </c>
      <c r="BK365" s="615">
        <v>4349086</v>
      </c>
      <c r="BL365" s="615">
        <v>4349086</v>
      </c>
      <c r="BM365" s="615">
        <v>4349086</v>
      </c>
      <c r="BN365" s="615">
        <v>4349086</v>
      </c>
      <c r="BO365" s="615">
        <v>4349086</v>
      </c>
      <c r="BP365" s="615">
        <v>4349086</v>
      </c>
      <c r="BQ365" s="615">
        <v>4349086</v>
      </c>
      <c r="BR365" s="615">
        <v>4349086</v>
      </c>
      <c r="BS365" s="615">
        <v>4349086</v>
      </c>
      <c r="BT365" s="615">
        <v>4349086</v>
      </c>
      <c r="BU365" s="615">
        <v>4349076</v>
      </c>
      <c r="BV365" s="615">
        <v>359842000</v>
      </c>
      <c r="BW365" s="615">
        <v>0</v>
      </c>
      <c r="BX365" s="607">
        <f t="shared" si="12"/>
        <v>467560000</v>
      </c>
    </row>
    <row r="366" spans="1:76" s="612" customFormat="1" ht="12.95" customHeight="1" x14ac:dyDescent="0.2">
      <c r="A366" s="909"/>
      <c r="B366" s="611" t="s">
        <v>2723</v>
      </c>
      <c r="C366" s="641" t="s">
        <v>4369</v>
      </c>
      <c r="D366" s="615"/>
      <c r="E366" s="615"/>
      <c r="F366" s="615"/>
      <c r="G366" s="615"/>
      <c r="H366" s="585"/>
      <c r="I366" s="615"/>
      <c r="J366" s="615"/>
      <c r="K366" s="615"/>
      <c r="L366" s="615"/>
      <c r="M366" s="615"/>
      <c r="N366" s="615"/>
      <c r="O366" s="615"/>
      <c r="P366" s="615"/>
      <c r="Q366" s="615"/>
      <c r="R366" s="615"/>
      <c r="S366" s="615"/>
      <c r="T366" s="615"/>
      <c r="U366" s="615"/>
      <c r="V366" s="615"/>
      <c r="W366" s="615"/>
      <c r="X366" s="615"/>
      <c r="Y366" s="615"/>
      <c r="Z366" s="615"/>
      <c r="AA366" s="615"/>
      <c r="AB366" s="615"/>
      <c r="AC366" s="615"/>
      <c r="AD366" s="615"/>
      <c r="AE366" s="615"/>
      <c r="AF366" s="615"/>
      <c r="AG366" s="615"/>
      <c r="AH366" s="615">
        <v>0</v>
      </c>
      <c r="AI366" s="615">
        <v>0</v>
      </c>
      <c r="AJ366" s="615">
        <v>0</v>
      </c>
      <c r="AK366" s="615">
        <v>0</v>
      </c>
      <c r="AL366" s="615">
        <v>0</v>
      </c>
      <c r="AM366" s="615">
        <v>0</v>
      </c>
      <c r="AN366" s="615">
        <v>0</v>
      </c>
      <c r="AO366" s="615">
        <v>0</v>
      </c>
      <c r="AP366" s="615">
        <v>0</v>
      </c>
      <c r="AQ366" s="615">
        <v>0</v>
      </c>
      <c r="AR366" s="615">
        <v>0</v>
      </c>
      <c r="AS366" s="615">
        <v>0</v>
      </c>
      <c r="AT366" s="615">
        <v>0</v>
      </c>
      <c r="AU366" s="615">
        <v>0</v>
      </c>
      <c r="AV366" s="615">
        <v>0</v>
      </c>
      <c r="AW366" s="615">
        <v>1000000</v>
      </c>
      <c r="AX366" s="615">
        <v>5000000</v>
      </c>
      <c r="AY366" s="615">
        <v>1000000</v>
      </c>
      <c r="AZ366" s="615">
        <v>4000000</v>
      </c>
      <c r="BA366" s="615">
        <v>1000000</v>
      </c>
      <c r="BB366" s="615">
        <v>1000000</v>
      </c>
      <c r="BC366" s="615">
        <v>1000000</v>
      </c>
      <c r="BD366" s="615">
        <v>1000000</v>
      </c>
      <c r="BE366" s="615">
        <v>1000000</v>
      </c>
      <c r="BF366" s="615">
        <v>4000000</v>
      </c>
      <c r="BG366" s="615">
        <v>1000000</v>
      </c>
      <c r="BH366" s="615">
        <v>1000000</v>
      </c>
      <c r="BI366" s="615">
        <v>1000000</v>
      </c>
      <c r="BJ366" s="615">
        <v>1000000</v>
      </c>
      <c r="BK366" s="615">
        <v>1000000</v>
      </c>
      <c r="BL366" s="615">
        <v>5000000</v>
      </c>
      <c r="BM366" s="615">
        <v>1000000</v>
      </c>
      <c r="BN366" s="615">
        <v>1000000</v>
      </c>
      <c r="BO366" s="615">
        <v>200000000</v>
      </c>
      <c r="BP366" s="615">
        <v>1000000</v>
      </c>
      <c r="BQ366" s="615">
        <v>1000000</v>
      </c>
      <c r="BR366" s="615">
        <v>5000000</v>
      </c>
      <c r="BS366" s="615">
        <v>1000000</v>
      </c>
      <c r="BT366" s="615">
        <v>1000000</v>
      </c>
      <c r="BU366" s="615">
        <v>3000000</v>
      </c>
      <c r="BV366" s="615">
        <v>136674500</v>
      </c>
      <c r="BW366" s="615">
        <v>0</v>
      </c>
      <c r="BX366" s="607">
        <f t="shared" si="12"/>
        <v>380674500</v>
      </c>
    </row>
    <row r="367" spans="1:76" s="612" customFormat="1" ht="12.95" customHeight="1" x14ac:dyDescent="0.2">
      <c r="A367" s="909"/>
      <c r="B367" s="611" t="s">
        <v>3009</v>
      </c>
      <c r="C367" s="641" t="s">
        <v>3008</v>
      </c>
      <c r="D367" s="615"/>
      <c r="E367" s="615"/>
      <c r="F367" s="615"/>
      <c r="G367" s="615"/>
      <c r="H367" s="585"/>
      <c r="I367" s="615"/>
      <c r="J367" s="615"/>
      <c r="K367" s="615"/>
      <c r="L367" s="615"/>
      <c r="M367" s="615"/>
      <c r="N367" s="615"/>
      <c r="O367" s="615"/>
      <c r="P367" s="615"/>
      <c r="Q367" s="615"/>
      <c r="R367" s="615"/>
      <c r="S367" s="615"/>
      <c r="T367" s="615"/>
      <c r="U367" s="615"/>
      <c r="V367" s="615"/>
      <c r="W367" s="615"/>
      <c r="X367" s="615"/>
      <c r="Y367" s="615"/>
      <c r="Z367" s="615"/>
      <c r="AA367" s="615"/>
      <c r="AB367" s="615"/>
      <c r="AC367" s="615"/>
      <c r="AD367" s="615"/>
      <c r="AE367" s="615"/>
      <c r="AF367" s="615"/>
      <c r="AG367" s="615"/>
      <c r="AH367" s="615">
        <v>0</v>
      </c>
      <c r="AI367" s="615">
        <v>0</v>
      </c>
      <c r="AJ367" s="615">
        <v>0</v>
      </c>
      <c r="AK367" s="615">
        <v>0</v>
      </c>
      <c r="AL367" s="615">
        <v>0</v>
      </c>
      <c r="AM367" s="615">
        <v>0</v>
      </c>
      <c r="AN367" s="615">
        <v>0</v>
      </c>
      <c r="AO367" s="615">
        <v>0</v>
      </c>
      <c r="AP367" s="615">
        <v>0</v>
      </c>
      <c r="AQ367" s="615">
        <v>0</v>
      </c>
      <c r="AR367" s="615">
        <v>1518027</v>
      </c>
      <c r="AS367" s="615">
        <v>4627463</v>
      </c>
      <c r="AT367" s="615">
        <v>4627463</v>
      </c>
      <c r="AU367" s="615">
        <v>4627463</v>
      </c>
      <c r="AV367" s="615">
        <v>4627463</v>
      </c>
      <c r="AW367" s="615">
        <v>4627463</v>
      </c>
      <c r="AX367" s="615">
        <v>4627463</v>
      </c>
      <c r="AY367" s="615">
        <v>4627463</v>
      </c>
      <c r="AZ367" s="615">
        <v>4627463</v>
      </c>
      <c r="BA367" s="615">
        <v>4627463</v>
      </c>
      <c r="BB367" s="615">
        <v>4627463</v>
      </c>
      <c r="BC367" s="615">
        <v>4627463</v>
      </c>
      <c r="BD367" s="615">
        <v>4627463</v>
      </c>
      <c r="BE367" s="615">
        <v>4627463</v>
      </c>
      <c r="BF367" s="615">
        <v>4627463</v>
      </c>
      <c r="BG367" s="615">
        <v>4627463</v>
      </c>
      <c r="BH367" s="615">
        <v>4627463</v>
      </c>
      <c r="BI367" s="615">
        <v>4627463</v>
      </c>
      <c r="BJ367" s="615">
        <v>4627463</v>
      </c>
      <c r="BK367" s="615">
        <v>4627463</v>
      </c>
      <c r="BL367" s="615">
        <v>4627463</v>
      </c>
      <c r="BM367" s="615">
        <v>4627463</v>
      </c>
      <c r="BN367" s="615">
        <v>4627463</v>
      </c>
      <c r="BO367" s="615">
        <v>4627463</v>
      </c>
      <c r="BP367" s="615">
        <v>4627463</v>
      </c>
      <c r="BQ367" s="615">
        <v>4627463</v>
      </c>
      <c r="BR367" s="615">
        <v>4627463</v>
      </c>
      <c r="BS367" s="615">
        <v>4627463</v>
      </c>
      <c r="BT367" s="615">
        <v>4627463</v>
      </c>
      <c r="BU367" s="615">
        <v>4627471</v>
      </c>
      <c r="BV367" s="615">
        <v>378778750</v>
      </c>
      <c r="BW367" s="615">
        <v>0</v>
      </c>
      <c r="BX367" s="607">
        <f t="shared" si="12"/>
        <v>514493212</v>
      </c>
    </row>
    <row r="368" spans="1:76" s="612" customFormat="1" ht="12.95" customHeight="1" x14ac:dyDescent="0.2">
      <c r="A368" s="909"/>
      <c r="B368" s="611" t="s">
        <v>1629</v>
      </c>
      <c r="C368" s="641" t="s">
        <v>4370</v>
      </c>
      <c r="D368" s="615"/>
      <c r="E368" s="615"/>
      <c r="F368" s="615"/>
      <c r="G368" s="615"/>
      <c r="H368" s="585"/>
      <c r="I368" s="615"/>
      <c r="J368" s="615"/>
      <c r="K368" s="615"/>
      <c r="L368" s="615"/>
      <c r="M368" s="615"/>
      <c r="N368" s="615"/>
      <c r="O368" s="615"/>
      <c r="P368" s="615"/>
      <c r="Q368" s="615"/>
      <c r="R368" s="615"/>
      <c r="S368" s="615"/>
      <c r="T368" s="615"/>
      <c r="U368" s="615"/>
      <c r="V368" s="615"/>
      <c r="W368" s="615"/>
      <c r="X368" s="615"/>
      <c r="Y368" s="615"/>
      <c r="Z368" s="615"/>
      <c r="AA368" s="615"/>
      <c r="AB368" s="615"/>
      <c r="AC368" s="615"/>
      <c r="AD368" s="615"/>
      <c r="AE368" s="615"/>
      <c r="AF368" s="615"/>
      <c r="AG368" s="615"/>
      <c r="AH368" s="615">
        <v>0</v>
      </c>
      <c r="AI368" s="615">
        <v>0</v>
      </c>
      <c r="AJ368" s="615">
        <v>0</v>
      </c>
      <c r="AK368" s="615">
        <v>0</v>
      </c>
      <c r="AL368" s="615">
        <v>0</v>
      </c>
      <c r="AM368" s="615">
        <v>0</v>
      </c>
      <c r="AN368" s="615">
        <v>0</v>
      </c>
      <c r="AO368" s="615">
        <v>0</v>
      </c>
      <c r="AP368" s="615">
        <v>0</v>
      </c>
      <c r="AQ368" s="615">
        <v>0</v>
      </c>
      <c r="AR368" s="615">
        <v>0</v>
      </c>
      <c r="AS368" s="615">
        <v>0</v>
      </c>
      <c r="AT368" s="615">
        <v>0</v>
      </c>
      <c r="AU368" s="615">
        <v>0</v>
      </c>
      <c r="AV368" s="615">
        <v>0</v>
      </c>
      <c r="AW368" s="615">
        <v>2608140</v>
      </c>
      <c r="AX368" s="615">
        <v>110708140</v>
      </c>
      <c r="AY368" s="615">
        <v>2608140</v>
      </c>
      <c r="AZ368" s="615">
        <v>2608140</v>
      </c>
      <c r="BA368" s="615">
        <v>2608140</v>
      </c>
      <c r="BB368" s="615">
        <v>2608140</v>
      </c>
      <c r="BC368" s="615">
        <v>2608140</v>
      </c>
      <c r="BD368" s="615">
        <v>2608140</v>
      </c>
      <c r="BE368" s="615">
        <v>2608140</v>
      </c>
      <c r="BF368" s="615">
        <v>2608140</v>
      </c>
      <c r="BG368" s="615">
        <v>2608140</v>
      </c>
      <c r="BH368" s="615">
        <v>2608140</v>
      </c>
      <c r="BI368" s="615">
        <v>2608140</v>
      </c>
      <c r="BJ368" s="615">
        <v>2608140</v>
      </c>
      <c r="BK368" s="615">
        <v>2608140</v>
      </c>
      <c r="BL368" s="615">
        <v>2608140</v>
      </c>
      <c r="BM368" s="615">
        <v>2608140</v>
      </c>
      <c r="BN368" s="615">
        <v>2608140</v>
      </c>
      <c r="BO368" s="615">
        <v>2608140</v>
      </c>
      <c r="BP368" s="615">
        <v>2608140</v>
      </c>
      <c r="BQ368" s="615">
        <v>2608140</v>
      </c>
      <c r="BR368" s="615">
        <v>2608140</v>
      </c>
      <c r="BS368" s="615">
        <v>2608140</v>
      </c>
      <c r="BT368" s="615">
        <v>2608140</v>
      </c>
      <c r="BU368" s="615">
        <v>2608140</v>
      </c>
      <c r="BV368" s="615">
        <v>416041500</v>
      </c>
      <c r="BW368" s="615">
        <v>0</v>
      </c>
      <c r="BX368" s="607">
        <f t="shared" si="12"/>
        <v>589345000</v>
      </c>
    </row>
    <row r="369" spans="1:76" s="612" customFormat="1" ht="12.95" customHeight="1" x14ac:dyDescent="0.2">
      <c r="A369" s="909"/>
      <c r="B369" s="611" t="s">
        <v>3366</v>
      </c>
      <c r="C369" s="641" t="s">
        <v>3365</v>
      </c>
      <c r="D369" s="615"/>
      <c r="E369" s="615"/>
      <c r="F369" s="615"/>
      <c r="G369" s="615"/>
      <c r="H369" s="585"/>
      <c r="I369" s="615"/>
      <c r="J369" s="615"/>
      <c r="K369" s="615"/>
      <c r="L369" s="615"/>
      <c r="M369" s="615"/>
      <c r="N369" s="615"/>
      <c r="O369" s="615"/>
      <c r="P369" s="615"/>
      <c r="Q369" s="615"/>
      <c r="R369" s="615"/>
      <c r="S369" s="615"/>
      <c r="T369" s="615"/>
      <c r="U369" s="615"/>
      <c r="V369" s="615"/>
      <c r="W369" s="615"/>
      <c r="X369" s="615"/>
      <c r="Y369" s="615"/>
      <c r="Z369" s="615"/>
      <c r="AA369" s="615"/>
      <c r="AB369" s="615">
        <v>0</v>
      </c>
      <c r="AC369" s="615">
        <v>0</v>
      </c>
      <c r="AD369" s="615">
        <v>0</v>
      </c>
      <c r="AE369" s="615">
        <v>0</v>
      </c>
      <c r="AF369" s="615">
        <v>0</v>
      </c>
      <c r="AG369" s="615">
        <v>0</v>
      </c>
      <c r="AH369" s="615">
        <v>0</v>
      </c>
      <c r="AI369" s="615">
        <v>0</v>
      </c>
      <c r="AJ369" s="615">
        <v>0</v>
      </c>
      <c r="AK369" s="615">
        <v>0</v>
      </c>
      <c r="AL369" s="615">
        <v>0</v>
      </c>
      <c r="AM369" s="615">
        <v>0</v>
      </c>
      <c r="AN369" s="615">
        <v>0</v>
      </c>
      <c r="AO369" s="615">
        <v>0</v>
      </c>
      <c r="AP369" s="615">
        <v>0</v>
      </c>
      <c r="AQ369" s="615">
        <v>0</v>
      </c>
      <c r="AR369" s="615">
        <v>0</v>
      </c>
      <c r="AS369" s="615">
        <v>0</v>
      </c>
      <c r="AT369" s="615">
        <v>0</v>
      </c>
      <c r="AU369" s="615">
        <v>0</v>
      </c>
      <c r="AV369" s="615">
        <v>0</v>
      </c>
      <c r="AW369" s="615">
        <v>0</v>
      </c>
      <c r="AX369" s="615">
        <v>2210968</v>
      </c>
      <c r="AY369" s="615">
        <v>4026371</v>
      </c>
      <c r="AZ369" s="615">
        <v>4026371</v>
      </c>
      <c r="BA369" s="615">
        <v>4026371</v>
      </c>
      <c r="BB369" s="615">
        <v>4026371</v>
      </c>
      <c r="BC369" s="615">
        <v>4026371</v>
      </c>
      <c r="BD369" s="615">
        <v>4026371</v>
      </c>
      <c r="BE369" s="615">
        <v>4026371</v>
      </c>
      <c r="BF369" s="615">
        <v>4026371</v>
      </c>
      <c r="BG369" s="615">
        <v>4026371</v>
      </c>
      <c r="BH369" s="615">
        <v>4026371</v>
      </c>
      <c r="BI369" s="615">
        <v>4026371</v>
      </c>
      <c r="BJ369" s="615">
        <v>4026371</v>
      </c>
      <c r="BK369" s="615">
        <v>4026371</v>
      </c>
      <c r="BL369" s="615">
        <v>4026371</v>
      </c>
      <c r="BM369" s="615">
        <v>4026371</v>
      </c>
      <c r="BN369" s="615">
        <v>4026371</v>
      </c>
      <c r="BO369" s="615">
        <v>4026371</v>
      </c>
      <c r="BP369" s="615">
        <v>4026371</v>
      </c>
      <c r="BQ369" s="615">
        <v>4026371</v>
      </c>
      <c r="BR369" s="615">
        <v>4026371</v>
      </c>
      <c r="BS369" s="615">
        <v>4026371</v>
      </c>
      <c r="BT369" s="615">
        <v>4026371</v>
      </c>
      <c r="BU369" s="615">
        <v>4026370</v>
      </c>
      <c r="BV369" s="615">
        <v>0</v>
      </c>
      <c r="BW369" s="615">
        <v>302907500</v>
      </c>
      <c r="BX369" s="607">
        <f t="shared" si="12"/>
        <v>397725000</v>
      </c>
    </row>
    <row r="370" spans="1:76" s="612" customFormat="1" ht="12.95" customHeight="1" x14ac:dyDescent="0.2">
      <c r="A370" s="909"/>
      <c r="B370" s="611" t="s">
        <v>4238</v>
      </c>
      <c r="C370" s="641" t="s">
        <v>4237</v>
      </c>
      <c r="D370" s="615"/>
      <c r="E370" s="615"/>
      <c r="F370" s="615"/>
      <c r="G370" s="615"/>
      <c r="H370" s="585"/>
      <c r="I370" s="615"/>
      <c r="J370" s="615"/>
      <c r="K370" s="615"/>
      <c r="L370" s="615"/>
      <c r="M370" s="615"/>
      <c r="N370" s="615"/>
      <c r="O370" s="615"/>
      <c r="P370" s="615"/>
      <c r="Q370" s="615"/>
      <c r="R370" s="615"/>
      <c r="S370" s="615"/>
      <c r="T370" s="615"/>
      <c r="U370" s="615"/>
      <c r="V370" s="615"/>
      <c r="W370" s="615"/>
      <c r="X370" s="615"/>
      <c r="Y370" s="615"/>
      <c r="Z370" s="615"/>
      <c r="AA370" s="615"/>
      <c r="AB370" s="615">
        <v>0</v>
      </c>
      <c r="AC370" s="615">
        <v>0</v>
      </c>
      <c r="AD370" s="615">
        <v>0</v>
      </c>
      <c r="AE370" s="615">
        <v>0</v>
      </c>
      <c r="AF370" s="615">
        <v>0</v>
      </c>
      <c r="AG370" s="615">
        <v>0</v>
      </c>
      <c r="AH370" s="615">
        <v>0</v>
      </c>
      <c r="AI370" s="615">
        <v>0</v>
      </c>
      <c r="AJ370" s="615">
        <v>0</v>
      </c>
      <c r="AK370" s="615">
        <v>0</v>
      </c>
      <c r="AL370" s="615">
        <v>0</v>
      </c>
      <c r="AM370" s="615">
        <v>0</v>
      </c>
      <c r="AN370" s="615">
        <v>0</v>
      </c>
      <c r="AO370" s="615">
        <v>0</v>
      </c>
      <c r="AP370" s="615">
        <v>0</v>
      </c>
      <c r="AQ370" s="615">
        <v>0</v>
      </c>
      <c r="AR370" s="615">
        <v>0</v>
      </c>
      <c r="AS370" s="615">
        <v>0</v>
      </c>
      <c r="AT370" s="615">
        <v>0</v>
      </c>
      <c r="AU370" s="615">
        <v>0</v>
      </c>
      <c r="AV370" s="615">
        <v>0</v>
      </c>
      <c r="AW370" s="615">
        <v>0</v>
      </c>
      <c r="AX370" s="615">
        <v>11400000</v>
      </c>
      <c r="AY370" s="615">
        <v>3000000</v>
      </c>
      <c r="AZ370" s="615">
        <v>11200000</v>
      </c>
      <c r="BA370" s="615">
        <v>3000000</v>
      </c>
      <c r="BB370" s="615">
        <v>3000000</v>
      </c>
      <c r="BC370" s="615">
        <v>21708000</v>
      </c>
      <c r="BD370" s="615">
        <v>3000000</v>
      </c>
      <c r="BE370" s="615">
        <v>3000000</v>
      </c>
      <c r="BF370" s="615">
        <v>3000000</v>
      </c>
      <c r="BG370" s="615">
        <v>9800000</v>
      </c>
      <c r="BH370" s="615">
        <v>3000000</v>
      </c>
      <c r="BI370" s="615">
        <v>3000000</v>
      </c>
      <c r="BJ370" s="615">
        <v>3000000</v>
      </c>
      <c r="BK370" s="615">
        <v>13000000</v>
      </c>
      <c r="BL370" s="615">
        <v>14300000</v>
      </c>
      <c r="BM370" s="615">
        <v>3000000</v>
      </c>
      <c r="BN370" s="615">
        <v>3000000</v>
      </c>
      <c r="BO370" s="615">
        <v>7808000</v>
      </c>
      <c r="BP370" s="615">
        <v>3000000</v>
      </c>
      <c r="BQ370" s="615">
        <v>3000000</v>
      </c>
      <c r="BR370" s="615">
        <v>3000000</v>
      </c>
      <c r="BS370" s="615">
        <v>9400000</v>
      </c>
      <c r="BT370" s="615">
        <v>3000000</v>
      </c>
      <c r="BU370" s="615">
        <v>2261053</v>
      </c>
      <c r="BV370" s="615">
        <v>399392122</v>
      </c>
      <c r="BW370" s="615">
        <v>0</v>
      </c>
      <c r="BX370" s="607">
        <f t="shared" si="12"/>
        <v>545269175</v>
      </c>
    </row>
    <row r="371" spans="1:76" s="612" customFormat="1" ht="12.95" customHeight="1" x14ac:dyDescent="0.2">
      <c r="A371" s="909"/>
      <c r="B371" s="611" t="s">
        <v>3162</v>
      </c>
      <c r="C371" s="641" t="s">
        <v>3161</v>
      </c>
      <c r="D371" s="615"/>
      <c r="E371" s="615"/>
      <c r="F371" s="615"/>
      <c r="G371" s="615"/>
      <c r="H371" s="585"/>
      <c r="I371" s="615"/>
      <c r="J371" s="615"/>
      <c r="K371" s="615"/>
      <c r="L371" s="615"/>
      <c r="M371" s="615"/>
      <c r="N371" s="615"/>
      <c r="O371" s="615"/>
      <c r="P371" s="615"/>
      <c r="Q371" s="615"/>
      <c r="R371" s="615"/>
      <c r="S371" s="615"/>
      <c r="T371" s="615"/>
      <c r="U371" s="615"/>
      <c r="V371" s="615"/>
      <c r="W371" s="615"/>
      <c r="X371" s="615"/>
      <c r="Y371" s="615">
        <v>0</v>
      </c>
      <c r="Z371" s="615">
        <v>0</v>
      </c>
      <c r="AA371" s="615">
        <v>0</v>
      </c>
      <c r="AB371" s="615">
        <v>0</v>
      </c>
      <c r="AC371" s="615">
        <v>0</v>
      </c>
      <c r="AD371" s="615">
        <v>0</v>
      </c>
      <c r="AE371" s="615">
        <v>0</v>
      </c>
      <c r="AF371" s="615">
        <v>0</v>
      </c>
      <c r="AG371" s="615">
        <v>0</v>
      </c>
      <c r="AH371" s="615">
        <v>0</v>
      </c>
      <c r="AI371" s="615">
        <v>0</v>
      </c>
      <c r="AJ371" s="615">
        <v>0</v>
      </c>
      <c r="AK371" s="615">
        <v>0</v>
      </c>
      <c r="AL371" s="615">
        <v>0</v>
      </c>
      <c r="AM371" s="615">
        <v>0</v>
      </c>
      <c r="AN371" s="615">
        <v>0</v>
      </c>
      <c r="AO371" s="615">
        <v>0</v>
      </c>
      <c r="AP371" s="615">
        <v>0</v>
      </c>
      <c r="AQ371" s="615">
        <v>0</v>
      </c>
      <c r="AR371" s="615">
        <v>0</v>
      </c>
      <c r="AS371" s="615">
        <v>0</v>
      </c>
      <c r="AT371" s="615">
        <v>0</v>
      </c>
      <c r="AU371" s="615">
        <v>0</v>
      </c>
      <c r="AV371" s="615">
        <v>0</v>
      </c>
      <c r="AW371" s="615">
        <v>3570480</v>
      </c>
      <c r="AX371" s="615">
        <v>3570485</v>
      </c>
      <c r="AY371" s="615">
        <v>3570485</v>
      </c>
      <c r="AZ371" s="615">
        <v>3570485</v>
      </c>
      <c r="BA371" s="615">
        <v>3570485</v>
      </c>
      <c r="BB371" s="615">
        <v>3570485</v>
      </c>
      <c r="BC371" s="615">
        <v>3570485</v>
      </c>
      <c r="BD371" s="615">
        <v>3570485</v>
      </c>
      <c r="BE371" s="615">
        <v>3570485</v>
      </c>
      <c r="BF371" s="615">
        <v>3570485</v>
      </c>
      <c r="BG371" s="615">
        <v>3570485</v>
      </c>
      <c r="BH371" s="615">
        <v>3570485</v>
      </c>
      <c r="BI371" s="615">
        <v>3570485</v>
      </c>
      <c r="BJ371" s="615">
        <v>3570485</v>
      </c>
      <c r="BK371" s="615">
        <v>3570485</v>
      </c>
      <c r="BL371" s="615">
        <v>3570485</v>
      </c>
      <c r="BM371" s="615">
        <v>3570485</v>
      </c>
      <c r="BN371" s="615">
        <v>3570485</v>
      </c>
      <c r="BO371" s="615">
        <v>3570485</v>
      </c>
      <c r="BP371" s="615">
        <v>3570485</v>
      </c>
      <c r="BQ371" s="615">
        <v>3570485</v>
      </c>
      <c r="BR371" s="615">
        <v>3570485</v>
      </c>
      <c r="BS371" s="615">
        <v>3570485</v>
      </c>
      <c r="BT371" s="615">
        <v>3570485</v>
      </c>
      <c r="BU371" s="615">
        <v>3570485</v>
      </c>
      <c r="BV371" s="615">
        <v>286594000</v>
      </c>
      <c r="BW371" s="615">
        <v>0</v>
      </c>
      <c r="BX371" s="607">
        <f t="shared" si="12"/>
        <v>375856120</v>
      </c>
    </row>
    <row r="372" spans="1:76" s="612" customFormat="1" ht="12.95" customHeight="1" x14ac:dyDescent="0.2">
      <c r="A372" s="910"/>
      <c r="B372" s="611" t="s">
        <v>2726</v>
      </c>
      <c r="C372" s="641" t="s">
        <v>2725</v>
      </c>
      <c r="D372" s="615"/>
      <c r="E372" s="615"/>
      <c r="F372" s="615"/>
      <c r="G372" s="615"/>
      <c r="H372" s="585"/>
      <c r="I372" s="615"/>
      <c r="J372" s="615"/>
      <c r="K372" s="615"/>
      <c r="L372" s="615"/>
      <c r="M372" s="615"/>
      <c r="N372" s="615"/>
      <c r="O372" s="615"/>
      <c r="P372" s="615"/>
      <c r="Q372" s="615"/>
      <c r="R372" s="615"/>
      <c r="S372" s="615"/>
      <c r="T372" s="615"/>
      <c r="U372" s="615"/>
      <c r="V372" s="615"/>
      <c r="W372" s="615"/>
      <c r="X372" s="615"/>
      <c r="Y372" s="615">
        <v>0</v>
      </c>
      <c r="Z372" s="615">
        <v>0</v>
      </c>
      <c r="AA372" s="615">
        <v>0</v>
      </c>
      <c r="AB372" s="615">
        <v>0</v>
      </c>
      <c r="AC372" s="615">
        <v>0</v>
      </c>
      <c r="AD372" s="615">
        <v>0</v>
      </c>
      <c r="AE372" s="615">
        <v>0</v>
      </c>
      <c r="AF372" s="615">
        <v>0</v>
      </c>
      <c r="AG372" s="615">
        <v>0</v>
      </c>
      <c r="AH372" s="615">
        <v>0</v>
      </c>
      <c r="AI372" s="615">
        <v>0</v>
      </c>
      <c r="AJ372" s="615">
        <v>0</v>
      </c>
      <c r="AK372" s="615">
        <v>0</v>
      </c>
      <c r="AL372" s="615">
        <v>0</v>
      </c>
      <c r="AM372" s="615">
        <v>0</v>
      </c>
      <c r="AN372" s="615">
        <v>0</v>
      </c>
      <c r="AO372" s="615">
        <v>0</v>
      </c>
      <c r="AP372" s="615">
        <v>0</v>
      </c>
      <c r="AQ372" s="615">
        <v>0</v>
      </c>
      <c r="AR372" s="615">
        <v>0</v>
      </c>
      <c r="AS372" s="615">
        <v>0</v>
      </c>
      <c r="AT372" s="615">
        <v>0</v>
      </c>
      <c r="AU372" s="615">
        <v>2</v>
      </c>
      <c r="AV372" s="615">
        <v>4421429</v>
      </c>
      <c r="AW372" s="615">
        <v>4421429</v>
      </c>
      <c r="AX372" s="615">
        <v>4421429</v>
      </c>
      <c r="AY372" s="615">
        <v>4421429</v>
      </c>
      <c r="AZ372" s="615">
        <v>4421429</v>
      </c>
      <c r="BA372" s="615">
        <v>4421429</v>
      </c>
      <c r="BB372" s="615">
        <v>4421429</v>
      </c>
      <c r="BC372" s="615">
        <v>4421429</v>
      </c>
      <c r="BD372" s="615">
        <v>4421429</v>
      </c>
      <c r="BE372" s="615">
        <v>4421429</v>
      </c>
      <c r="BF372" s="615">
        <v>4421429</v>
      </c>
      <c r="BG372" s="615">
        <v>4421429</v>
      </c>
      <c r="BH372" s="615">
        <v>4421429</v>
      </c>
      <c r="BI372" s="615">
        <v>4421429</v>
      </c>
      <c r="BJ372" s="615">
        <v>4421429</v>
      </c>
      <c r="BK372" s="615">
        <v>4421429</v>
      </c>
      <c r="BL372" s="615">
        <v>4421429</v>
      </c>
      <c r="BM372" s="615">
        <v>4421429</v>
      </c>
      <c r="BN372" s="615">
        <v>4421429</v>
      </c>
      <c r="BO372" s="615">
        <v>4421429</v>
      </c>
      <c r="BP372" s="615">
        <v>4421429</v>
      </c>
      <c r="BQ372" s="615">
        <v>4421429</v>
      </c>
      <c r="BR372" s="615">
        <v>4421429</v>
      </c>
      <c r="BS372" s="615">
        <v>4421429</v>
      </c>
      <c r="BT372" s="615">
        <v>4421429</v>
      </c>
      <c r="BU372" s="615">
        <v>4421414</v>
      </c>
      <c r="BV372" s="615">
        <v>372750000</v>
      </c>
      <c r="BW372" s="615">
        <v>0</v>
      </c>
      <c r="BX372" s="607">
        <f t="shared" si="12"/>
        <v>487707141</v>
      </c>
    </row>
    <row r="373" spans="1:76" s="612" customFormat="1" ht="12.95" customHeight="1" x14ac:dyDescent="0.2">
      <c r="A373" s="684" t="s">
        <v>2672</v>
      </c>
      <c r="B373" s="684"/>
      <c r="C373" s="685">
        <f>COUNTA(C257:C372)</f>
        <v>116</v>
      </c>
      <c r="D373" s="686">
        <f t="shared" ref="D373:X373" si="13">SUM(D177:D372)</f>
        <v>0</v>
      </c>
      <c r="E373" s="686">
        <f t="shared" si="13"/>
        <v>0</v>
      </c>
      <c r="F373" s="686">
        <f t="shared" si="13"/>
        <v>0</v>
      </c>
      <c r="G373" s="686">
        <f t="shared" si="13"/>
        <v>0</v>
      </c>
      <c r="H373" s="686">
        <f t="shared" si="13"/>
        <v>0</v>
      </c>
      <c r="I373" s="686">
        <f t="shared" si="13"/>
        <v>0</v>
      </c>
      <c r="J373" s="686">
        <f t="shared" si="13"/>
        <v>0</v>
      </c>
      <c r="K373" s="686">
        <f t="shared" si="13"/>
        <v>0</v>
      </c>
      <c r="L373" s="686">
        <f t="shared" si="13"/>
        <v>0</v>
      </c>
      <c r="M373" s="686">
        <f t="shared" si="13"/>
        <v>0</v>
      </c>
      <c r="N373" s="686">
        <f t="shared" si="13"/>
        <v>0</v>
      </c>
      <c r="O373" s="686">
        <f t="shared" si="13"/>
        <v>0</v>
      </c>
      <c r="P373" s="686">
        <f t="shared" si="13"/>
        <v>0</v>
      </c>
      <c r="Q373" s="686">
        <f t="shared" si="13"/>
        <v>0</v>
      </c>
      <c r="R373" s="686">
        <f t="shared" si="13"/>
        <v>0</v>
      </c>
      <c r="S373" s="686">
        <f t="shared" si="13"/>
        <v>0</v>
      </c>
      <c r="T373" s="686">
        <f t="shared" si="13"/>
        <v>0</v>
      </c>
      <c r="U373" s="686">
        <f t="shared" si="13"/>
        <v>0</v>
      </c>
      <c r="V373" s="686">
        <f t="shared" si="13"/>
        <v>0</v>
      </c>
      <c r="W373" s="686">
        <f t="shared" si="13"/>
        <v>0</v>
      </c>
      <c r="X373" s="686">
        <f t="shared" si="13"/>
        <v>0</v>
      </c>
      <c r="Y373" s="687">
        <f t="shared" ref="Y373:BD373" si="14">SUM(Y257:Y372)</f>
        <v>0</v>
      </c>
      <c r="Z373" s="616">
        <f t="shared" si="14"/>
        <v>0</v>
      </c>
      <c r="AA373" s="616">
        <f t="shared" si="14"/>
        <v>0</v>
      </c>
      <c r="AB373" s="616">
        <f t="shared" si="14"/>
        <v>0</v>
      </c>
      <c r="AC373" s="616">
        <f t="shared" si="14"/>
        <v>0</v>
      </c>
      <c r="AD373" s="616">
        <f t="shared" si="14"/>
        <v>0</v>
      </c>
      <c r="AE373" s="616">
        <f t="shared" si="14"/>
        <v>0</v>
      </c>
      <c r="AF373" s="616">
        <f t="shared" si="14"/>
        <v>0</v>
      </c>
      <c r="AG373" s="616">
        <f t="shared" si="14"/>
        <v>0</v>
      </c>
      <c r="AH373" s="616">
        <f t="shared" si="14"/>
        <v>0</v>
      </c>
      <c r="AI373" s="616">
        <f t="shared" si="14"/>
        <v>0</v>
      </c>
      <c r="AJ373" s="616">
        <f t="shared" si="14"/>
        <v>0</v>
      </c>
      <c r="AK373" s="616">
        <f t="shared" si="14"/>
        <v>0</v>
      </c>
      <c r="AL373" s="616">
        <f t="shared" si="14"/>
        <v>0</v>
      </c>
      <c r="AM373" s="616">
        <f t="shared" si="14"/>
        <v>0</v>
      </c>
      <c r="AN373" s="616">
        <f t="shared" si="14"/>
        <v>0</v>
      </c>
      <c r="AO373" s="616">
        <f t="shared" si="14"/>
        <v>0</v>
      </c>
      <c r="AP373" s="616">
        <f t="shared" si="14"/>
        <v>0</v>
      </c>
      <c r="AQ373" s="616">
        <f t="shared" si="14"/>
        <v>0</v>
      </c>
      <c r="AR373" s="616">
        <f>SUM(AR257:AR372)</f>
        <v>1532498</v>
      </c>
      <c r="AS373" s="616">
        <f t="shared" si="14"/>
        <v>9034320</v>
      </c>
      <c r="AT373" s="616">
        <f t="shared" si="14"/>
        <v>14967860</v>
      </c>
      <c r="AU373" s="616">
        <f t="shared" si="14"/>
        <v>27212875</v>
      </c>
      <c r="AV373" s="616">
        <f t="shared" si="14"/>
        <v>177017358</v>
      </c>
      <c r="AW373" s="616">
        <f t="shared" si="14"/>
        <v>396784749</v>
      </c>
      <c r="AX373" s="616">
        <f t="shared" si="14"/>
        <v>548755521</v>
      </c>
      <c r="AY373" s="616">
        <f t="shared" si="14"/>
        <v>442028203</v>
      </c>
      <c r="AZ373" s="616">
        <f t="shared" si="14"/>
        <v>610683750</v>
      </c>
      <c r="BA373" s="616">
        <f t="shared" si="14"/>
        <v>545408452</v>
      </c>
      <c r="BB373" s="616">
        <f t="shared" si="14"/>
        <v>477754410</v>
      </c>
      <c r="BC373" s="616">
        <f t="shared" si="14"/>
        <v>509233688</v>
      </c>
      <c r="BD373" s="616">
        <f t="shared" si="14"/>
        <v>491594286</v>
      </c>
      <c r="BE373" s="616">
        <f t="shared" ref="BE373:BX373" si="15">SUM(BE257:BE372)</f>
        <v>454720937</v>
      </c>
      <c r="BF373" s="616">
        <f t="shared" si="15"/>
        <v>513022902</v>
      </c>
      <c r="BG373" s="616">
        <f t="shared" si="15"/>
        <v>479620937</v>
      </c>
      <c r="BH373" s="616">
        <f t="shared" si="15"/>
        <v>455930937</v>
      </c>
      <c r="BI373" s="616">
        <f t="shared" si="15"/>
        <v>473863437</v>
      </c>
      <c r="BJ373" s="616">
        <f t="shared" si="15"/>
        <v>501613437</v>
      </c>
      <c r="BK373" s="616">
        <f t="shared" si="15"/>
        <v>501668188</v>
      </c>
      <c r="BL373" s="616">
        <f t="shared" si="15"/>
        <v>564762401</v>
      </c>
      <c r="BM373" s="616">
        <f t="shared" si="15"/>
        <v>468613436</v>
      </c>
      <c r="BN373" s="616">
        <f t="shared" si="15"/>
        <v>495460436</v>
      </c>
      <c r="BO373" s="616">
        <f t="shared" si="15"/>
        <v>752241515</v>
      </c>
      <c r="BP373" s="616">
        <f t="shared" si="15"/>
        <v>469064158</v>
      </c>
      <c r="BQ373" s="616">
        <f t="shared" si="15"/>
        <v>473064158</v>
      </c>
      <c r="BR373" s="616">
        <f t="shared" si="15"/>
        <v>541313124</v>
      </c>
      <c r="BS373" s="616">
        <f t="shared" si="15"/>
        <v>842174159</v>
      </c>
      <c r="BT373" s="616">
        <f t="shared" si="15"/>
        <v>465246070</v>
      </c>
      <c r="BU373" s="616">
        <f t="shared" si="15"/>
        <v>943469343</v>
      </c>
      <c r="BV373" s="616">
        <f t="shared" si="15"/>
        <v>36123194272</v>
      </c>
      <c r="BW373" s="616">
        <f t="shared" si="15"/>
        <v>2501362750</v>
      </c>
      <c r="BX373" s="616">
        <f t="shared" si="15"/>
        <v>52272414567</v>
      </c>
    </row>
    <row r="374" spans="1:76" ht="12" customHeight="1" x14ac:dyDescent="0.2">
      <c r="A374" s="901" t="s">
        <v>1010</v>
      </c>
      <c r="B374" s="611" t="s">
        <v>1669</v>
      </c>
      <c r="C374" s="641" t="s">
        <v>3503</v>
      </c>
      <c r="D374" s="585">
        <v>0</v>
      </c>
      <c r="E374" s="585">
        <v>0</v>
      </c>
      <c r="F374" s="585">
        <v>0</v>
      </c>
      <c r="G374" s="585">
        <v>0</v>
      </c>
      <c r="H374" s="585">
        <v>0</v>
      </c>
      <c r="I374" s="585" t="s">
        <v>1128</v>
      </c>
      <c r="J374" s="585">
        <v>0</v>
      </c>
      <c r="K374" s="585">
        <v>0</v>
      </c>
      <c r="L374" s="585">
        <v>0</v>
      </c>
      <c r="M374" s="585">
        <v>0</v>
      </c>
      <c r="N374" s="585">
        <v>0</v>
      </c>
      <c r="O374" s="585">
        <v>0</v>
      </c>
      <c r="P374" s="585">
        <v>0</v>
      </c>
      <c r="Q374" s="585">
        <v>0</v>
      </c>
      <c r="R374" s="585">
        <v>0</v>
      </c>
      <c r="S374" s="585">
        <v>0</v>
      </c>
      <c r="T374" s="585">
        <v>0</v>
      </c>
      <c r="U374" s="585">
        <v>0</v>
      </c>
      <c r="V374" s="585">
        <v>0</v>
      </c>
      <c r="W374" s="585">
        <v>0</v>
      </c>
      <c r="X374" s="585">
        <v>0</v>
      </c>
      <c r="Y374" s="615">
        <v>0</v>
      </c>
      <c r="Z374" s="615">
        <v>0</v>
      </c>
      <c r="AA374" s="615">
        <v>0</v>
      </c>
      <c r="AB374" s="615">
        <v>0</v>
      </c>
      <c r="AC374" s="615">
        <v>0</v>
      </c>
      <c r="AD374" s="615">
        <v>0</v>
      </c>
      <c r="AE374" s="615">
        <v>0</v>
      </c>
      <c r="AF374" s="615">
        <v>0</v>
      </c>
      <c r="AG374" s="615">
        <v>0</v>
      </c>
      <c r="AH374" s="615">
        <v>0</v>
      </c>
      <c r="AI374" s="615">
        <v>0</v>
      </c>
      <c r="AJ374" s="615">
        <v>0</v>
      </c>
      <c r="AK374" s="615">
        <v>0</v>
      </c>
      <c r="AL374" s="615">
        <v>0</v>
      </c>
      <c r="AM374" s="615">
        <v>0</v>
      </c>
      <c r="AN374" s="615">
        <v>0</v>
      </c>
      <c r="AO374" s="615">
        <v>0</v>
      </c>
      <c r="AP374" s="615">
        <v>0</v>
      </c>
      <c r="AQ374" s="615">
        <v>0</v>
      </c>
      <c r="AR374" s="615">
        <v>0</v>
      </c>
      <c r="AS374" s="615">
        <v>0</v>
      </c>
      <c r="AT374" s="615">
        <v>0</v>
      </c>
      <c r="AU374" s="615">
        <v>0</v>
      </c>
      <c r="AV374" s="615">
        <v>273600000</v>
      </c>
      <c r="AW374" s="615">
        <v>0</v>
      </c>
      <c r="AX374" s="615">
        <v>0</v>
      </c>
      <c r="AY374" s="615">
        <v>0</v>
      </c>
      <c r="AZ374" s="615">
        <v>0</v>
      </c>
      <c r="BA374" s="615">
        <v>0</v>
      </c>
      <c r="BB374" s="615">
        <v>0</v>
      </c>
      <c r="BC374" s="615">
        <v>0</v>
      </c>
      <c r="BD374" s="615">
        <v>0</v>
      </c>
      <c r="BE374" s="615">
        <v>0</v>
      </c>
      <c r="BF374" s="615">
        <v>0</v>
      </c>
      <c r="BG374" s="615">
        <v>0</v>
      </c>
      <c r="BH374" s="615">
        <v>0</v>
      </c>
      <c r="BI374" s="615">
        <v>0</v>
      </c>
      <c r="BJ374" s="615">
        <v>0</v>
      </c>
      <c r="BK374" s="615">
        <v>0</v>
      </c>
      <c r="BL374" s="615">
        <v>0</v>
      </c>
      <c r="BM374" s="615">
        <v>0</v>
      </c>
      <c r="BN374" s="615">
        <v>0</v>
      </c>
      <c r="BO374" s="615">
        <v>0</v>
      </c>
      <c r="BP374" s="615">
        <v>0</v>
      </c>
      <c r="BQ374" s="615">
        <v>0</v>
      </c>
      <c r="BR374" s="615">
        <v>0</v>
      </c>
      <c r="BS374" s="615">
        <v>0</v>
      </c>
      <c r="BT374" s="615">
        <v>0</v>
      </c>
      <c r="BU374" s="615">
        <v>0</v>
      </c>
      <c r="BV374" s="615">
        <v>0</v>
      </c>
      <c r="BW374" s="615">
        <v>0</v>
      </c>
      <c r="BX374" s="607">
        <f>SUM(K374:BW374)</f>
        <v>273600000</v>
      </c>
    </row>
    <row r="375" spans="1:76" ht="12" customHeight="1" x14ac:dyDescent="0.2">
      <c r="A375" s="902"/>
      <c r="B375" s="611" t="s">
        <v>1528</v>
      </c>
      <c r="C375" s="641" t="s">
        <v>3504</v>
      </c>
      <c r="D375" s="585">
        <v>0</v>
      </c>
      <c r="E375" s="585">
        <v>0</v>
      </c>
      <c r="F375" s="585">
        <v>0</v>
      </c>
      <c r="G375" s="585">
        <v>0</v>
      </c>
      <c r="H375" s="585">
        <v>0</v>
      </c>
      <c r="I375" s="585">
        <v>0</v>
      </c>
      <c r="J375" s="585">
        <v>0</v>
      </c>
      <c r="K375" s="585">
        <v>0</v>
      </c>
      <c r="L375" s="585">
        <v>0</v>
      </c>
      <c r="M375" s="585">
        <v>0</v>
      </c>
      <c r="N375" s="585">
        <v>0</v>
      </c>
      <c r="O375" s="585">
        <v>0</v>
      </c>
      <c r="P375" s="585">
        <v>0</v>
      </c>
      <c r="Q375" s="585">
        <v>0</v>
      </c>
      <c r="R375" s="585">
        <v>0</v>
      </c>
      <c r="S375" s="585">
        <v>0</v>
      </c>
      <c r="T375" s="585">
        <v>0</v>
      </c>
      <c r="U375" s="585">
        <v>0</v>
      </c>
      <c r="V375" s="585">
        <v>0</v>
      </c>
      <c r="W375" s="585">
        <v>0</v>
      </c>
      <c r="X375" s="585">
        <v>0</v>
      </c>
      <c r="Y375" s="615">
        <v>0</v>
      </c>
      <c r="Z375" s="615">
        <v>0</v>
      </c>
      <c r="AA375" s="615">
        <v>0</v>
      </c>
      <c r="AB375" s="615">
        <v>0</v>
      </c>
      <c r="AC375" s="615">
        <v>0</v>
      </c>
      <c r="AD375" s="615">
        <v>0</v>
      </c>
      <c r="AE375" s="615">
        <v>0</v>
      </c>
      <c r="AF375" s="615">
        <v>0</v>
      </c>
      <c r="AG375" s="615">
        <v>0</v>
      </c>
      <c r="AH375" s="615">
        <v>0</v>
      </c>
      <c r="AI375" s="615">
        <v>0</v>
      </c>
      <c r="AJ375" s="615">
        <v>0</v>
      </c>
      <c r="AK375" s="615">
        <v>0</v>
      </c>
      <c r="AL375" s="615">
        <v>0</v>
      </c>
      <c r="AM375" s="615">
        <v>0</v>
      </c>
      <c r="AN375" s="615">
        <v>0</v>
      </c>
      <c r="AO375" s="615">
        <v>0</v>
      </c>
      <c r="AP375" s="615">
        <v>0</v>
      </c>
      <c r="AQ375" s="615">
        <v>0</v>
      </c>
      <c r="AR375" s="615">
        <v>0</v>
      </c>
      <c r="AS375" s="615">
        <v>0</v>
      </c>
      <c r="AT375" s="615">
        <v>262320875</v>
      </c>
      <c r="AU375" s="615">
        <v>0</v>
      </c>
      <c r="AV375" s="615">
        <v>0</v>
      </c>
      <c r="AW375" s="615">
        <v>0</v>
      </c>
      <c r="AX375" s="615">
        <v>0</v>
      </c>
      <c r="AY375" s="615">
        <v>0</v>
      </c>
      <c r="AZ375" s="615">
        <v>0</v>
      </c>
      <c r="BA375" s="615">
        <v>0</v>
      </c>
      <c r="BB375" s="615">
        <v>0</v>
      </c>
      <c r="BC375" s="615">
        <v>0</v>
      </c>
      <c r="BD375" s="615">
        <v>0</v>
      </c>
      <c r="BE375" s="615">
        <v>0</v>
      </c>
      <c r="BF375" s="615">
        <v>0</v>
      </c>
      <c r="BG375" s="615">
        <v>0</v>
      </c>
      <c r="BH375" s="615">
        <v>0</v>
      </c>
      <c r="BI375" s="615">
        <v>0</v>
      </c>
      <c r="BJ375" s="615">
        <v>0</v>
      </c>
      <c r="BK375" s="615">
        <v>0</v>
      </c>
      <c r="BL375" s="615">
        <v>0</v>
      </c>
      <c r="BM375" s="615">
        <v>0</v>
      </c>
      <c r="BN375" s="615">
        <v>0</v>
      </c>
      <c r="BO375" s="615">
        <v>0</v>
      </c>
      <c r="BP375" s="615">
        <v>0</v>
      </c>
      <c r="BQ375" s="615">
        <v>0</v>
      </c>
      <c r="BR375" s="615">
        <v>0</v>
      </c>
      <c r="BS375" s="615">
        <v>0</v>
      </c>
      <c r="BT375" s="615">
        <v>0</v>
      </c>
      <c r="BU375" s="615">
        <v>0</v>
      </c>
      <c r="BV375" s="615">
        <v>0</v>
      </c>
      <c r="BW375" s="615">
        <v>0</v>
      </c>
      <c r="BX375" s="607">
        <f t="shared" ref="BX375:BX437" si="16">SUM(K375:BW375)</f>
        <v>262320875</v>
      </c>
    </row>
    <row r="376" spans="1:76" ht="12" customHeight="1" x14ac:dyDescent="0.2">
      <c r="A376" s="902"/>
      <c r="B376" s="611" t="s">
        <v>2245</v>
      </c>
      <c r="C376" s="641" t="s">
        <v>3505</v>
      </c>
      <c r="D376" s="585">
        <v>0</v>
      </c>
      <c r="E376" s="585">
        <v>0</v>
      </c>
      <c r="F376" s="585">
        <v>0</v>
      </c>
      <c r="G376" s="585">
        <v>0</v>
      </c>
      <c r="H376" s="585">
        <v>0</v>
      </c>
      <c r="I376" s="585">
        <v>0</v>
      </c>
      <c r="J376" s="585">
        <v>0</v>
      </c>
      <c r="K376" s="585">
        <v>0</v>
      </c>
      <c r="L376" s="585">
        <v>0</v>
      </c>
      <c r="M376" s="585">
        <v>0</v>
      </c>
      <c r="N376" s="585">
        <v>0</v>
      </c>
      <c r="O376" s="585">
        <v>0</v>
      </c>
      <c r="P376" s="585">
        <v>0</v>
      </c>
      <c r="Q376" s="585">
        <v>0</v>
      </c>
      <c r="R376" s="585">
        <v>0</v>
      </c>
      <c r="S376" s="585">
        <v>0</v>
      </c>
      <c r="T376" s="585">
        <v>0</v>
      </c>
      <c r="U376" s="585">
        <v>0</v>
      </c>
      <c r="V376" s="585">
        <v>0</v>
      </c>
      <c r="W376" s="585">
        <v>0</v>
      </c>
      <c r="X376" s="585">
        <v>0</v>
      </c>
      <c r="Y376" s="615">
        <v>0</v>
      </c>
      <c r="Z376" s="615">
        <v>0</v>
      </c>
      <c r="AA376" s="615">
        <v>0</v>
      </c>
      <c r="AB376" s="615">
        <v>0</v>
      </c>
      <c r="AC376" s="615">
        <v>0</v>
      </c>
      <c r="AD376" s="615">
        <v>0</v>
      </c>
      <c r="AE376" s="615">
        <v>0</v>
      </c>
      <c r="AF376" s="615">
        <v>0</v>
      </c>
      <c r="AG376" s="615">
        <v>0</v>
      </c>
      <c r="AH376" s="615">
        <v>0</v>
      </c>
      <c r="AI376" s="615">
        <v>0</v>
      </c>
      <c r="AJ376" s="615">
        <v>0</v>
      </c>
      <c r="AK376" s="615">
        <v>0</v>
      </c>
      <c r="AL376" s="615">
        <v>0</v>
      </c>
      <c r="AM376" s="615">
        <v>0</v>
      </c>
      <c r="AN376" s="615">
        <v>0</v>
      </c>
      <c r="AO376" s="615">
        <v>0</v>
      </c>
      <c r="AP376" s="615">
        <v>0</v>
      </c>
      <c r="AQ376" s="615">
        <v>0</v>
      </c>
      <c r="AR376" s="615">
        <v>12126774</v>
      </c>
      <c r="AS376" s="615">
        <v>339549595</v>
      </c>
      <c r="AT376" s="615">
        <v>0</v>
      </c>
      <c r="AU376" s="615">
        <v>0</v>
      </c>
      <c r="AV376" s="615">
        <v>0</v>
      </c>
      <c r="AW376" s="615">
        <v>0</v>
      </c>
      <c r="AX376" s="615">
        <v>0</v>
      </c>
      <c r="AY376" s="615">
        <v>0</v>
      </c>
      <c r="AZ376" s="615">
        <v>0</v>
      </c>
      <c r="BA376" s="615">
        <v>0</v>
      </c>
      <c r="BB376" s="615">
        <v>0</v>
      </c>
      <c r="BC376" s="615">
        <v>0</v>
      </c>
      <c r="BD376" s="615">
        <v>0</v>
      </c>
      <c r="BE376" s="615">
        <v>0</v>
      </c>
      <c r="BF376" s="615">
        <v>0</v>
      </c>
      <c r="BG376" s="615">
        <v>0</v>
      </c>
      <c r="BH376" s="615">
        <v>0</v>
      </c>
      <c r="BI376" s="615">
        <v>0</v>
      </c>
      <c r="BJ376" s="615">
        <v>0</v>
      </c>
      <c r="BK376" s="615">
        <v>0</v>
      </c>
      <c r="BL376" s="615">
        <v>0</v>
      </c>
      <c r="BM376" s="615">
        <v>0</v>
      </c>
      <c r="BN376" s="615">
        <v>0</v>
      </c>
      <c r="BO376" s="615">
        <v>0</v>
      </c>
      <c r="BP376" s="615">
        <v>0</v>
      </c>
      <c r="BQ376" s="615">
        <v>0</v>
      </c>
      <c r="BR376" s="615">
        <v>0</v>
      </c>
      <c r="BS376" s="615">
        <v>0</v>
      </c>
      <c r="BT376" s="615">
        <v>0</v>
      </c>
      <c r="BU376" s="615">
        <v>0</v>
      </c>
      <c r="BV376" s="615">
        <v>0</v>
      </c>
      <c r="BW376" s="615">
        <v>0</v>
      </c>
      <c r="BX376" s="607">
        <f t="shared" si="16"/>
        <v>351676369</v>
      </c>
    </row>
    <row r="377" spans="1:76" ht="12" customHeight="1" x14ac:dyDescent="0.2">
      <c r="A377" s="902"/>
      <c r="B377" s="611" t="s">
        <v>2578</v>
      </c>
      <c r="C377" s="641" t="s">
        <v>3506</v>
      </c>
      <c r="D377" s="585">
        <v>0</v>
      </c>
      <c r="E377" s="585">
        <v>0</v>
      </c>
      <c r="F377" s="585">
        <v>0</v>
      </c>
      <c r="G377" s="585">
        <v>0</v>
      </c>
      <c r="H377" s="585">
        <v>0</v>
      </c>
      <c r="I377" s="585">
        <v>0</v>
      </c>
      <c r="J377" s="585">
        <v>0</v>
      </c>
      <c r="K377" s="585">
        <v>0</v>
      </c>
      <c r="L377" s="585">
        <v>0</v>
      </c>
      <c r="M377" s="585">
        <v>0</v>
      </c>
      <c r="N377" s="585">
        <v>0</v>
      </c>
      <c r="O377" s="585">
        <v>0</v>
      </c>
      <c r="P377" s="585">
        <v>0</v>
      </c>
      <c r="Q377" s="585">
        <v>0</v>
      </c>
      <c r="R377" s="585">
        <v>0</v>
      </c>
      <c r="S377" s="585">
        <v>0</v>
      </c>
      <c r="T377" s="585">
        <v>0</v>
      </c>
      <c r="U377" s="585">
        <v>0</v>
      </c>
      <c r="V377" s="585">
        <v>0</v>
      </c>
      <c r="W377" s="585">
        <v>0</v>
      </c>
      <c r="X377" s="585">
        <v>0</v>
      </c>
      <c r="Y377" s="615">
        <v>0</v>
      </c>
      <c r="Z377" s="615">
        <v>0</v>
      </c>
      <c r="AA377" s="615">
        <v>0</v>
      </c>
      <c r="AB377" s="615">
        <v>0</v>
      </c>
      <c r="AC377" s="615">
        <v>0</v>
      </c>
      <c r="AD377" s="615">
        <v>0</v>
      </c>
      <c r="AE377" s="615">
        <v>0</v>
      </c>
      <c r="AF377" s="615">
        <v>0</v>
      </c>
      <c r="AG377" s="615">
        <v>0</v>
      </c>
      <c r="AH377" s="615">
        <v>0</v>
      </c>
      <c r="AI377" s="615">
        <v>0</v>
      </c>
      <c r="AJ377" s="615">
        <v>0</v>
      </c>
      <c r="AK377" s="615">
        <v>0</v>
      </c>
      <c r="AL377" s="615">
        <v>0</v>
      </c>
      <c r="AM377" s="615">
        <v>0</v>
      </c>
      <c r="AN377" s="615">
        <v>0</v>
      </c>
      <c r="AO377" s="615">
        <v>0</v>
      </c>
      <c r="AP377" s="615">
        <v>0</v>
      </c>
      <c r="AQ377" s="615">
        <v>0</v>
      </c>
      <c r="AR377" s="615">
        <v>0</v>
      </c>
      <c r="AS377" s="615">
        <v>0</v>
      </c>
      <c r="AT377" s="615">
        <v>0</v>
      </c>
      <c r="AU377" s="615">
        <v>0</v>
      </c>
      <c r="AV377" s="615">
        <v>343000000</v>
      </c>
      <c r="AW377" s="615">
        <v>0</v>
      </c>
      <c r="AX377" s="615">
        <v>0</v>
      </c>
      <c r="AY377" s="615">
        <v>0</v>
      </c>
      <c r="AZ377" s="615">
        <v>0</v>
      </c>
      <c r="BA377" s="615">
        <v>0</v>
      </c>
      <c r="BB377" s="615">
        <v>0</v>
      </c>
      <c r="BC377" s="615">
        <v>0</v>
      </c>
      <c r="BD377" s="615">
        <v>0</v>
      </c>
      <c r="BE377" s="615">
        <v>0</v>
      </c>
      <c r="BF377" s="615">
        <v>0</v>
      </c>
      <c r="BG377" s="615">
        <v>0</v>
      </c>
      <c r="BH377" s="615">
        <v>0</v>
      </c>
      <c r="BI377" s="615">
        <v>0</v>
      </c>
      <c r="BJ377" s="615">
        <v>0</v>
      </c>
      <c r="BK377" s="615">
        <v>0</v>
      </c>
      <c r="BL377" s="615">
        <v>0</v>
      </c>
      <c r="BM377" s="615">
        <v>0</v>
      </c>
      <c r="BN377" s="615">
        <v>0</v>
      </c>
      <c r="BO377" s="615">
        <v>0</v>
      </c>
      <c r="BP377" s="615">
        <v>0</v>
      </c>
      <c r="BQ377" s="615">
        <v>0</v>
      </c>
      <c r="BR377" s="615">
        <v>0</v>
      </c>
      <c r="BS377" s="615">
        <v>0</v>
      </c>
      <c r="BT377" s="615">
        <v>0</v>
      </c>
      <c r="BU377" s="615">
        <v>0</v>
      </c>
      <c r="BV377" s="615">
        <v>0</v>
      </c>
      <c r="BW377" s="615">
        <v>0</v>
      </c>
      <c r="BX377" s="607">
        <f t="shared" si="16"/>
        <v>343000000</v>
      </c>
    </row>
    <row r="378" spans="1:76" ht="12" customHeight="1" x14ac:dyDescent="0.2">
      <c r="A378" s="902"/>
      <c r="B378" s="611" t="s">
        <v>3279</v>
      </c>
      <c r="C378" s="641" t="s">
        <v>3507</v>
      </c>
      <c r="D378" s="585">
        <v>0</v>
      </c>
      <c r="E378" s="585">
        <v>0</v>
      </c>
      <c r="F378" s="585">
        <v>0</v>
      </c>
      <c r="G378" s="585">
        <v>0</v>
      </c>
      <c r="H378" s="585">
        <v>0</v>
      </c>
      <c r="I378" s="585">
        <v>0</v>
      </c>
      <c r="J378" s="585">
        <v>0</v>
      </c>
      <c r="K378" s="585">
        <v>0</v>
      </c>
      <c r="L378" s="585">
        <v>0</v>
      </c>
      <c r="M378" s="585">
        <v>0</v>
      </c>
      <c r="N378" s="585">
        <v>0</v>
      </c>
      <c r="O378" s="585">
        <v>0</v>
      </c>
      <c r="P378" s="585">
        <v>0</v>
      </c>
      <c r="Q378" s="585">
        <v>0</v>
      </c>
      <c r="R378" s="585">
        <v>0</v>
      </c>
      <c r="S378" s="585">
        <v>0</v>
      </c>
      <c r="T378" s="585">
        <v>0</v>
      </c>
      <c r="U378" s="585">
        <v>0</v>
      </c>
      <c r="V378" s="585">
        <v>0</v>
      </c>
      <c r="W378" s="585">
        <v>0</v>
      </c>
      <c r="X378" s="585">
        <v>0</v>
      </c>
      <c r="Y378" s="615">
        <v>0</v>
      </c>
      <c r="Z378" s="615">
        <v>0</v>
      </c>
      <c r="AA378" s="615">
        <v>0</v>
      </c>
      <c r="AB378" s="615">
        <v>0</v>
      </c>
      <c r="AC378" s="615">
        <v>0</v>
      </c>
      <c r="AD378" s="615">
        <v>0</v>
      </c>
      <c r="AE378" s="615">
        <v>0</v>
      </c>
      <c r="AF378" s="615">
        <v>0</v>
      </c>
      <c r="AG378" s="615">
        <v>0</v>
      </c>
      <c r="AH378" s="615">
        <v>0</v>
      </c>
      <c r="AI378" s="615">
        <v>0</v>
      </c>
      <c r="AJ378" s="615">
        <v>0</v>
      </c>
      <c r="AK378" s="615">
        <v>0</v>
      </c>
      <c r="AL378" s="615">
        <v>0</v>
      </c>
      <c r="AM378" s="615">
        <v>0</v>
      </c>
      <c r="AN378" s="615">
        <v>0</v>
      </c>
      <c r="AO378" s="615">
        <v>0</v>
      </c>
      <c r="AP378" s="615">
        <v>0</v>
      </c>
      <c r="AQ378" s="615">
        <v>0</v>
      </c>
      <c r="AR378" s="615">
        <v>0</v>
      </c>
      <c r="AS378" s="615">
        <v>0</v>
      </c>
      <c r="AT378" s="615">
        <v>0</v>
      </c>
      <c r="AU378" s="615">
        <v>0</v>
      </c>
      <c r="AV378" s="615">
        <v>0</v>
      </c>
      <c r="AW378" s="615">
        <v>0</v>
      </c>
      <c r="AX378" s="615">
        <v>0</v>
      </c>
      <c r="AY378" s="615">
        <v>0</v>
      </c>
      <c r="AZ378" s="615">
        <v>0</v>
      </c>
      <c r="BA378" s="615">
        <v>0</v>
      </c>
      <c r="BB378" s="615">
        <v>0</v>
      </c>
      <c r="BC378" s="615">
        <v>0</v>
      </c>
      <c r="BD378" s="615">
        <v>0</v>
      </c>
      <c r="BE378" s="615">
        <v>0</v>
      </c>
      <c r="BF378" s="615">
        <v>0</v>
      </c>
      <c r="BG378" s="615">
        <v>0</v>
      </c>
      <c r="BH378" s="615">
        <v>0</v>
      </c>
      <c r="BI378" s="615">
        <v>0</v>
      </c>
      <c r="BJ378" s="615">
        <v>0</v>
      </c>
      <c r="BK378" s="615">
        <v>0</v>
      </c>
      <c r="BL378" s="615">
        <v>0</v>
      </c>
      <c r="BM378" s="615">
        <v>0</v>
      </c>
      <c r="BN378" s="615">
        <v>0</v>
      </c>
      <c r="BO378" s="615">
        <v>0</v>
      </c>
      <c r="BP378" s="615">
        <v>0</v>
      </c>
      <c r="BQ378" s="615">
        <v>0</v>
      </c>
      <c r="BR378" s="615">
        <v>0</v>
      </c>
      <c r="BS378" s="615">
        <v>0</v>
      </c>
      <c r="BT378" s="615">
        <v>0</v>
      </c>
      <c r="BU378" s="615">
        <v>0</v>
      </c>
      <c r="BV378" s="615">
        <v>0</v>
      </c>
      <c r="BW378" s="615">
        <v>0</v>
      </c>
      <c r="BX378" s="607">
        <f t="shared" si="16"/>
        <v>0</v>
      </c>
    </row>
    <row r="379" spans="1:76" ht="12" customHeight="1" x14ac:dyDescent="0.2">
      <c r="A379" s="902"/>
      <c r="B379" s="611" t="s">
        <v>3438</v>
      </c>
      <c r="C379" s="641" t="s">
        <v>3508</v>
      </c>
      <c r="D379" s="585">
        <v>0</v>
      </c>
      <c r="E379" s="585">
        <v>0</v>
      </c>
      <c r="F379" s="585">
        <v>0</v>
      </c>
      <c r="G379" s="585">
        <v>0</v>
      </c>
      <c r="H379" s="585">
        <v>0</v>
      </c>
      <c r="I379" s="585" t="s">
        <v>1128</v>
      </c>
      <c r="J379" s="585">
        <v>0</v>
      </c>
      <c r="K379" s="585">
        <v>0</v>
      </c>
      <c r="L379" s="585">
        <v>0</v>
      </c>
      <c r="M379" s="585">
        <v>0</v>
      </c>
      <c r="N379" s="585">
        <v>0</v>
      </c>
      <c r="O379" s="585">
        <v>0</v>
      </c>
      <c r="P379" s="585">
        <v>0</v>
      </c>
      <c r="Q379" s="585">
        <v>0</v>
      </c>
      <c r="R379" s="585">
        <v>0</v>
      </c>
      <c r="S379" s="585">
        <v>0</v>
      </c>
      <c r="T379" s="585">
        <v>0</v>
      </c>
      <c r="U379" s="585">
        <v>0</v>
      </c>
      <c r="V379" s="585">
        <v>0</v>
      </c>
      <c r="W379" s="585">
        <v>0</v>
      </c>
      <c r="X379" s="585">
        <v>0</v>
      </c>
      <c r="Y379" s="615">
        <v>0</v>
      </c>
      <c r="Z379" s="615">
        <v>0</v>
      </c>
      <c r="AA379" s="615">
        <v>0</v>
      </c>
      <c r="AB379" s="615">
        <v>0</v>
      </c>
      <c r="AC379" s="615">
        <v>0</v>
      </c>
      <c r="AD379" s="615">
        <v>0</v>
      </c>
      <c r="AE379" s="615">
        <v>0</v>
      </c>
      <c r="AF379" s="615">
        <v>0</v>
      </c>
      <c r="AG379" s="615">
        <v>0</v>
      </c>
      <c r="AH379" s="615">
        <v>0</v>
      </c>
      <c r="AI379" s="615">
        <v>0</v>
      </c>
      <c r="AJ379" s="615">
        <v>0</v>
      </c>
      <c r="AK379" s="615">
        <v>0</v>
      </c>
      <c r="AL379" s="615">
        <v>0</v>
      </c>
      <c r="AM379" s="615">
        <v>0</v>
      </c>
      <c r="AN379" s="615">
        <v>0</v>
      </c>
      <c r="AO379" s="615">
        <v>0</v>
      </c>
      <c r="AP379" s="615">
        <v>0</v>
      </c>
      <c r="AQ379" s="615">
        <v>0</v>
      </c>
      <c r="AR379" s="615">
        <v>0</v>
      </c>
      <c r="AS379" s="615">
        <v>0</v>
      </c>
      <c r="AT379" s="615">
        <v>0</v>
      </c>
      <c r="AU379" s="615">
        <v>0</v>
      </c>
      <c r="AV379" s="615">
        <v>0</v>
      </c>
      <c r="AW379" s="615">
        <v>12849785</v>
      </c>
      <c r="AX379" s="615">
        <v>12849785</v>
      </c>
      <c r="AY379" s="615">
        <v>12849785</v>
      </c>
      <c r="AZ379" s="615">
        <v>51399137</v>
      </c>
      <c r="BA379" s="615">
        <v>359793975</v>
      </c>
      <c r="BB379" s="615">
        <v>0</v>
      </c>
      <c r="BC379" s="615">
        <v>0</v>
      </c>
      <c r="BD379" s="615">
        <v>0</v>
      </c>
      <c r="BE379" s="615">
        <v>0</v>
      </c>
      <c r="BF379" s="615">
        <v>0</v>
      </c>
      <c r="BG379" s="615">
        <v>0</v>
      </c>
      <c r="BH379" s="615">
        <v>0</v>
      </c>
      <c r="BI379" s="615">
        <v>0</v>
      </c>
      <c r="BJ379" s="615">
        <v>0</v>
      </c>
      <c r="BK379" s="615">
        <v>0</v>
      </c>
      <c r="BL379" s="615">
        <v>0</v>
      </c>
      <c r="BM379" s="615">
        <v>0</v>
      </c>
      <c r="BN379" s="615">
        <v>0</v>
      </c>
      <c r="BO379" s="615">
        <v>0</v>
      </c>
      <c r="BP379" s="615">
        <v>0</v>
      </c>
      <c r="BQ379" s="615">
        <v>0</v>
      </c>
      <c r="BR379" s="615">
        <v>0</v>
      </c>
      <c r="BS379" s="615">
        <v>0</v>
      </c>
      <c r="BT379" s="615">
        <v>0</v>
      </c>
      <c r="BU379" s="615">
        <v>0</v>
      </c>
      <c r="BV379" s="615">
        <v>0</v>
      </c>
      <c r="BW379" s="615">
        <v>0</v>
      </c>
      <c r="BX379" s="607">
        <f t="shared" si="16"/>
        <v>449742467</v>
      </c>
    </row>
    <row r="380" spans="1:76" ht="12" customHeight="1" x14ac:dyDescent="0.2">
      <c r="A380" s="902"/>
      <c r="B380" s="611" t="s">
        <v>1116</v>
      </c>
      <c r="C380" s="641" t="s">
        <v>3509</v>
      </c>
      <c r="D380" s="585">
        <v>0</v>
      </c>
      <c r="E380" s="585">
        <v>0</v>
      </c>
      <c r="F380" s="585">
        <v>0</v>
      </c>
      <c r="G380" s="585">
        <v>0</v>
      </c>
      <c r="H380" s="585">
        <v>0</v>
      </c>
      <c r="I380" s="585">
        <v>0</v>
      </c>
      <c r="J380" s="585">
        <v>0</v>
      </c>
      <c r="K380" s="585">
        <v>0</v>
      </c>
      <c r="L380" s="585">
        <v>0</v>
      </c>
      <c r="M380" s="585">
        <v>0</v>
      </c>
      <c r="N380" s="585">
        <v>0</v>
      </c>
      <c r="O380" s="585">
        <v>0</v>
      </c>
      <c r="P380" s="585">
        <v>0</v>
      </c>
      <c r="Q380" s="585">
        <v>0</v>
      </c>
      <c r="R380" s="585">
        <v>0</v>
      </c>
      <c r="S380" s="585">
        <v>0</v>
      </c>
      <c r="T380" s="585">
        <v>0</v>
      </c>
      <c r="U380" s="585">
        <v>0</v>
      </c>
      <c r="V380" s="585">
        <v>0</v>
      </c>
      <c r="W380" s="585">
        <v>0</v>
      </c>
      <c r="X380" s="585">
        <v>0</v>
      </c>
      <c r="Y380" s="615">
        <v>0</v>
      </c>
      <c r="Z380" s="615">
        <v>0</v>
      </c>
      <c r="AA380" s="615">
        <v>0</v>
      </c>
      <c r="AB380" s="615">
        <v>0</v>
      </c>
      <c r="AC380" s="615">
        <v>0</v>
      </c>
      <c r="AD380" s="615">
        <v>0</v>
      </c>
      <c r="AE380" s="615">
        <v>0</v>
      </c>
      <c r="AF380" s="615">
        <v>0</v>
      </c>
      <c r="AG380" s="615">
        <v>0</v>
      </c>
      <c r="AH380" s="615">
        <v>0</v>
      </c>
      <c r="AI380" s="615">
        <v>0</v>
      </c>
      <c r="AJ380" s="615">
        <v>0</v>
      </c>
      <c r="AK380" s="615">
        <v>0</v>
      </c>
      <c r="AL380" s="615">
        <v>0</v>
      </c>
      <c r="AM380" s="615">
        <v>0</v>
      </c>
      <c r="AN380" s="615">
        <v>0</v>
      </c>
      <c r="AO380" s="615">
        <v>0</v>
      </c>
      <c r="AP380" s="615">
        <v>0</v>
      </c>
      <c r="AQ380" s="615">
        <v>0</v>
      </c>
      <c r="AR380" s="615">
        <v>0</v>
      </c>
      <c r="AS380" s="615">
        <v>0</v>
      </c>
      <c r="AT380" s="615">
        <v>0</v>
      </c>
      <c r="AU380" s="615">
        <v>0</v>
      </c>
      <c r="AV380" s="615">
        <v>246557412</v>
      </c>
      <c r="AW380" s="615">
        <v>0</v>
      </c>
      <c r="AX380" s="615">
        <v>0</v>
      </c>
      <c r="AY380" s="615">
        <v>0</v>
      </c>
      <c r="AZ380" s="615">
        <v>0</v>
      </c>
      <c r="BA380" s="615">
        <v>0</v>
      </c>
      <c r="BB380" s="615">
        <v>0</v>
      </c>
      <c r="BC380" s="615">
        <v>0</v>
      </c>
      <c r="BD380" s="615">
        <v>0</v>
      </c>
      <c r="BE380" s="615">
        <v>0</v>
      </c>
      <c r="BF380" s="615">
        <v>0</v>
      </c>
      <c r="BG380" s="615">
        <v>0</v>
      </c>
      <c r="BH380" s="615">
        <v>0</v>
      </c>
      <c r="BI380" s="615">
        <v>0</v>
      </c>
      <c r="BJ380" s="615">
        <v>0</v>
      </c>
      <c r="BK380" s="615">
        <v>0</v>
      </c>
      <c r="BL380" s="615">
        <v>0</v>
      </c>
      <c r="BM380" s="615">
        <v>0</v>
      </c>
      <c r="BN380" s="615">
        <v>0</v>
      </c>
      <c r="BO380" s="615">
        <v>0</v>
      </c>
      <c r="BP380" s="615">
        <v>0</v>
      </c>
      <c r="BQ380" s="615">
        <v>0</v>
      </c>
      <c r="BR380" s="615">
        <v>0</v>
      </c>
      <c r="BS380" s="615">
        <v>0</v>
      </c>
      <c r="BT380" s="615">
        <v>0</v>
      </c>
      <c r="BU380" s="615">
        <v>0</v>
      </c>
      <c r="BV380" s="615">
        <v>0</v>
      </c>
      <c r="BW380" s="615">
        <v>0</v>
      </c>
      <c r="BX380" s="607">
        <f t="shared" si="16"/>
        <v>246557412</v>
      </c>
    </row>
    <row r="381" spans="1:76" ht="12" customHeight="1" x14ac:dyDescent="0.2">
      <c r="A381" s="902"/>
      <c r="B381" s="611" t="s">
        <v>1146</v>
      </c>
      <c r="C381" s="641" t="s">
        <v>3510</v>
      </c>
      <c r="D381" s="585">
        <v>0</v>
      </c>
      <c r="E381" s="585">
        <v>0</v>
      </c>
      <c r="F381" s="585">
        <v>0</v>
      </c>
      <c r="G381" s="585">
        <v>0</v>
      </c>
      <c r="H381" s="585">
        <v>0</v>
      </c>
      <c r="I381" s="585" t="s">
        <v>1128</v>
      </c>
      <c r="J381" s="585" t="s">
        <v>1128</v>
      </c>
      <c r="K381" s="585" t="s">
        <v>1128</v>
      </c>
      <c r="L381" s="585">
        <v>0</v>
      </c>
      <c r="M381" s="585">
        <v>0</v>
      </c>
      <c r="N381" s="585">
        <v>0</v>
      </c>
      <c r="O381" s="585">
        <v>0</v>
      </c>
      <c r="P381" s="585">
        <v>0</v>
      </c>
      <c r="Q381" s="585">
        <v>0</v>
      </c>
      <c r="R381" s="585">
        <v>0</v>
      </c>
      <c r="S381" s="585">
        <v>0</v>
      </c>
      <c r="T381" s="585">
        <v>0</v>
      </c>
      <c r="U381" s="585">
        <v>0</v>
      </c>
      <c r="V381" s="585">
        <v>0</v>
      </c>
      <c r="W381" s="585">
        <v>0</v>
      </c>
      <c r="X381" s="585">
        <v>0</v>
      </c>
      <c r="Y381" s="615">
        <v>0</v>
      </c>
      <c r="Z381" s="615">
        <v>0</v>
      </c>
      <c r="AA381" s="615">
        <v>0</v>
      </c>
      <c r="AB381" s="615">
        <v>0</v>
      </c>
      <c r="AC381" s="615">
        <v>0</v>
      </c>
      <c r="AD381" s="615">
        <v>0</v>
      </c>
      <c r="AE381" s="615">
        <v>0</v>
      </c>
      <c r="AF381" s="615">
        <v>0</v>
      </c>
      <c r="AG381" s="615">
        <v>0</v>
      </c>
      <c r="AH381" s="615">
        <v>0</v>
      </c>
      <c r="AI381" s="615">
        <v>0</v>
      </c>
      <c r="AJ381" s="615">
        <v>0</v>
      </c>
      <c r="AK381" s="615">
        <v>0</v>
      </c>
      <c r="AL381" s="615">
        <v>0</v>
      </c>
      <c r="AM381" s="615">
        <v>0</v>
      </c>
      <c r="AN381" s="615">
        <v>0</v>
      </c>
      <c r="AO381" s="615">
        <v>0</v>
      </c>
      <c r="AP381" s="615">
        <v>0</v>
      </c>
      <c r="AQ381" s="615">
        <v>0</v>
      </c>
      <c r="AR381" s="615">
        <v>0</v>
      </c>
      <c r="AS381" s="615">
        <v>0</v>
      </c>
      <c r="AT381" s="615">
        <v>0</v>
      </c>
      <c r="AU381" s="615">
        <v>0</v>
      </c>
      <c r="AV381" s="615">
        <v>220123042</v>
      </c>
      <c r="AW381" s="615">
        <v>0</v>
      </c>
      <c r="AX381" s="615">
        <v>0</v>
      </c>
      <c r="AY381" s="615">
        <v>0</v>
      </c>
      <c r="AZ381" s="615">
        <v>0</v>
      </c>
      <c r="BA381" s="615">
        <v>0</v>
      </c>
      <c r="BB381" s="615">
        <v>0</v>
      </c>
      <c r="BC381" s="615">
        <v>0</v>
      </c>
      <c r="BD381" s="615">
        <v>0</v>
      </c>
      <c r="BE381" s="615">
        <v>0</v>
      </c>
      <c r="BF381" s="615">
        <v>0</v>
      </c>
      <c r="BG381" s="615">
        <v>0</v>
      </c>
      <c r="BH381" s="615">
        <v>0</v>
      </c>
      <c r="BI381" s="615">
        <v>0</v>
      </c>
      <c r="BJ381" s="615">
        <v>0</v>
      </c>
      <c r="BK381" s="615">
        <v>0</v>
      </c>
      <c r="BL381" s="615">
        <v>0</v>
      </c>
      <c r="BM381" s="615">
        <v>0</v>
      </c>
      <c r="BN381" s="615">
        <v>0</v>
      </c>
      <c r="BO381" s="615">
        <v>0</v>
      </c>
      <c r="BP381" s="615">
        <v>0</v>
      </c>
      <c r="BQ381" s="615">
        <v>0</v>
      </c>
      <c r="BR381" s="615">
        <v>0</v>
      </c>
      <c r="BS381" s="615">
        <v>0</v>
      </c>
      <c r="BT381" s="615">
        <v>0</v>
      </c>
      <c r="BU381" s="615">
        <v>0</v>
      </c>
      <c r="BV381" s="615">
        <v>0</v>
      </c>
      <c r="BW381" s="615">
        <v>0</v>
      </c>
      <c r="BX381" s="607">
        <f t="shared" si="16"/>
        <v>220123042</v>
      </c>
    </row>
    <row r="382" spans="1:76" ht="12" customHeight="1" x14ac:dyDescent="0.2">
      <c r="A382" s="902"/>
      <c r="B382" s="611" t="s">
        <v>1170</v>
      </c>
      <c r="C382" s="641" t="s">
        <v>3511</v>
      </c>
      <c r="D382" s="585">
        <v>0</v>
      </c>
      <c r="E382" s="585">
        <v>0</v>
      </c>
      <c r="F382" s="585">
        <v>0</v>
      </c>
      <c r="G382" s="585">
        <v>0</v>
      </c>
      <c r="H382" s="585">
        <v>0</v>
      </c>
      <c r="I382" s="585">
        <v>0</v>
      </c>
      <c r="J382" s="585">
        <v>0</v>
      </c>
      <c r="K382" s="585">
        <v>0</v>
      </c>
      <c r="L382" s="585">
        <v>0</v>
      </c>
      <c r="M382" s="585">
        <v>0</v>
      </c>
      <c r="N382" s="585">
        <v>0</v>
      </c>
      <c r="O382" s="585">
        <v>0</v>
      </c>
      <c r="P382" s="585">
        <v>0</v>
      </c>
      <c r="Q382" s="585">
        <v>0</v>
      </c>
      <c r="R382" s="585">
        <v>0</v>
      </c>
      <c r="S382" s="585">
        <v>0</v>
      </c>
      <c r="T382" s="585">
        <v>0</v>
      </c>
      <c r="U382" s="585">
        <v>0</v>
      </c>
      <c r="V382" s="585">
        <v>0</v>
      </c>
      <c r="W382" s="585">
        <v>0</v>
      </c>
      <c r="X382" s="585">
        <v>0</v>
      </c>
      <c r="Y382" s="615">
        <v>0</v>
      </c>
      <c r="Z382" s="615">
        <v>0</v>
      </c>
      <c r="AA382" s="615">
        <v>0</v>
      </c>
      <c r="AB382" s="615">
        <v>0</v>
      </c>
      <c r="AC382" s="615">
        <v>0</v>
      </c>
      <c r="AD382" s="615">
        <v>0</v>
      </c>
      <c r="AE382" s="615">
        <v>0</v>
      </c>
      <c r="AF382" s="615">
        <v>0</v>
      </c>
      <c r="AG382" s="615">
        <v>0</v>
      </c>
      <c r="AH382" s="615">
        <v>0</v>
      </c>
      <c r="AI382" s="615">
        <v>0</v>
      </c>
      <c r="AJ382" s="615">
        <v>0</v>
      </c>
      <c r="AK382" s="615">
        <v>0</v>
      </c>
      <c r="AL382" s="615">
        <v>0</v>
      </c>
      <c r="AM382" s="615">
        <v>0</v>
      </c>
      <c r="AN382" s="615">
        <v>0</v>
      </c>
      <c r="AO382" s="615">
        <v>0</v>
      </c>
      <c r="AP382" s="615">
        <v>0</v>
      </c>
      <c r="AQ382" s="615">
        <v>0</v>
      </c>
      <c r="AR382" s="615">
        <v>0</v>
      </c>
      <c r="AS382" s="615">
        <v>0</v>
      </c>
      <c r="AT382" s="615">
        <v>0</v>
      </c>
      <c r="AU382" s="615">
        <v>0</v>
      </c>
      <c r="AV382" s="615">
        <v>0</v>
      </c>
      <c r="AW382" s="615">
        <v>0</v>
      </c>
      <c r="AX382" s="615">
        <v>0</v>
      </c>
      <c r="AY382" s="615">
        <v>0</v>
      </c>
      <c r="AZ382" s="615">
        <v>0</v>
      </c>
      <c r="BA382" s="615">
        <v>0</v>
      </c>
      <c r="BB382" s="615">
        <v>0</v>
      </c>
      <c r="BC382" s="615">
        <v>0</v>
      </c>
      <c r="BD382" s="615">
        <v>0</v>
      </c>
      <c r="BE382" s="615">
        <v>0</v>
      </c>
      <c r="BF382" s="615">
        <v>0</v>
      </c>
      <c r="BG382" s="615">
        <v>0</v>
      </c>
      <c r="BH382" s="615">
        <v>0</v>
      </c>
      <c r="BI382" s="615">
        <v>0</v>
      </c>
      <c r="BJ382" s="615">
        <v>0</v>
      </c>
      <c r="BK382" s="615">
        <v>0</v>
      </c>
      <c r="BL382" s="615">
        <v>0</v>
      </c>
      <c r="BM382" s="615">
        <v>0</v>
      </c>
      <c r="BN382" s="615">
        <v>0</v>
      </c>
      <c r="BO382" s="615">
        <v>0</v>
      </c>
      <c r="BP382" s="615">
        <v>0</v>
      </c>
      <c r="BQ382" s="615">
        <v>0</v>
      </c>
      <c r="BR382" s="615">
        <v>0</v>
      </c>
      <c r="BS382" s="615">
        <v>0</v>
      </c>
      <c r="BT382" s="615">
        <v>0</v>
      </c>
      <c r="BU382" s="615">
        <v>0</v>
      </c>
      <c r="BV382" s="615">
        <v>0</v>
      </c>
      <c r="BW382" s="615">
        <v>0</v>
      </c>
      <c r="BX382" s="607">
        <f t="shared" si="16"/>
        <v>0</v>
      </c>
    </row>
    <row r="383" spans="1:76" ht="12" customHeight="1" x14ac:dyDescent="0.2">
      <c r="A383" s="902"/>
      <c r="B383" s="611" t="s">
        <v>4287</v>
      </c>
      <c r="C383" s="641" t="s">
        <v>3512</v>
      </c>
      <c r="D383" s="585">
        <v>0</v>
      </c>
      <c r="E383" s="585">
        <v>0</v>
      </c>
      <c r="F383" s="585">
        <v>0</v>
      </c>
      <c r="G383" s="585">
        <v>0</v>
      </c>
      <c r="H383" s="585">
        <v>0</v>
      </c>
      <c r="I383" s="585" t="s">
        <v>1128</v>
      </c>
      <c r="J383" s="585" t="s">
        <v>1128</v>
      </c>
      <c r="K383" s="585" t="s">
        <v>1128</v>
      </c>
      <c r="L383" s="585">
        <v>0</v>
      </c>
      <c r="M383" s="585">
        <v>0</v>
      </c>
      <c r="N383" s="585">
        <v>0</v>
      </c>
      <c r="O383" s="585">
        <v>0</v>
      </c>
      <c r="P383" s="585">
        <v>0</v>
      </c>
      <c r="Q383" s="585">
        <v>0</v>
      </c>
      <c r="R383" s="585">
        <v>0</v>
      </c>
      <c r="S383" s="585">
        <v>0</v>
      </c>
      <c r="T383" s="585">
        <v>0</v>
      </c>
      <c r="U383" s="585">
        <v>0</v>
      </c>
      <c r="V383" s="585">
        <v>0</v>
      </c>
      <c r="W383" s="585">
        <v>0</v>
      </c>
      <c r="X383" s="585">
        <v>0</v>
      </c>
      <c r="Y383" s="615">
        <v>0</v>
      </c>
      <c r="Z383" s="615">
        <v>0</v>
      </c>
      <c r="AA383" s="615">
        <v>0</v>
      </c>
      <c r="AB383" s="615">
        <v>0</v>
      </c>
      <c r="AC383" s="615">
        <v>0</v>
      </c>
      <c r="AD383" s="615">
        <v>0</v>
      </c>
      <c r="AE383" s="615">
        <v>0</v>
      </c>
      <c r="AF383" s="615">
        <v>0</v>
      </c>
      <c r="AG383" s="615">
        <v>0</v>
      </c>
      <c r="AH383" s="615">
        <v>0</v>
      </c>
      <c r="AI383" s="615">
        <v>0</v>
      </c>
      <c r="AJ383" s="615">
        <v>0</v>
      </c>
      <c r="AK383" s="615">
        <v>0</v>
      </c>
      <c r="AL383" s="615">
        <v>0</v>
      </c>
      <c r="AM383" s="615">
        <v>0</v>
      </c>
      <c r="AN383" s="615">
        <v>0</v>
      </c>
      <c r="AO383" s="615">
        <v>0</v>
      </c>
      <c r="AP383" s="615">
        <v>0</v>
      </c>
      <c r="AQ383" s="615">
        <v>0</v>
      </c>
      <c r="AR383" s="615">
        <v>0</v>
      </c>
      <c r="AS383" s="615">
        <v>0</v>
      </c>
      <c r="AT383" s="615">
        <v>0</v>
      </c>
      <c r="AU383" s="615">
        <v>0</v>
      </c>
      <c r="AV383" s="615">
        <v>282030000</v>
      </c>
      <c r="AW383" s="615">
        <v>0</v>
      </c>
      <c r="AX383" s="615">
        <v>0</v>
      </c>
      <c r="AY383" s="615">
        <v>0</v>
      </c>
      <c r="AZ383" s="615">
        <v>0</v>
      </c>
      <c r="BA383" s="615">
        <v>0</v>
      </c>
      <c r="BB383" s="615">
        <v>0</v>
      </c>
      <c r="BC383" s="615">
        <v>0</v>
      </c>
      <c r="BD383" s="615">
        <v>0</v>
      </c>
      <c r="BE383" s="615">
        <v>0</v>
      </c>
      <c r="BF383" s="615">
        <v>0</v>
      </c>
      <c r="BG383" s="615">
        <v>0</v>
      </c>
      <c r="BH383" s="615">
        <v>0</v>
      </c>
      <c r="BI383" s="615">
        <v>0</v>
      </c>
      <c r="BJ383" s="615">
        <v>0</v>
      </c>
      <c r="BK383" s="615">
        <v>0</v>
      </c>
      <c r="BL383" s="615">
        <v>0</v>
      </c>
      <c r="BM383" s="615">
        <v>0</v>
      </c>
      <c r="BN383" s="615">
        <v>0</v>
      </c>
      <c r="BO383" s="615">
        <v>0</v>
      </c>
      <c r="BP383" s="615">
        <v>0</v>
      </c>
      <c r="BQ383" s="615">
        <v>0</v>
      </c>
      <c r="BR383" s="615">
        <v>0</v>
      </c>
      <c r="BS383" s="615">
        <v>0</v>
      </c>
      <c r="BT383" s="615">
        <v>0</v>
      </c>
      <c r="BU383" s="615">
        <v>0</v>
      </c>
      <c r="BV383" s="615">
        <v>0</v>
      </c>
      <c r="BW383" s="615">
        <v>0</v>
      </c>
      <c r="BX383" s="607">
        <f t="shared" si="16"/>
        <v>282030000</v>
      </c>
    </row>
    <row r="384" spans="1:76" ht="12" customHeight="1" x14ac:dyDescent="0.2">
      <c r="A384" s="902"/>
      <c r="B384" s="611" t="s">
        <v>3514</v>
      </c>
      <c r="C384" s="641" t="s">
        <v>3513</v>
      </c>
      <c r="D384" s="585">
        <v>0</v>
      </c>
      <c r="E384" s="585">
        <v>0</v>
      </c>
      <c r="F384" s="585">
        <v>0</v>
      </c>
      <c r="G384" s="585">
        <v>0</v>
      </c>
      <c r="H384" s="585">
        <v>0</v>
      </c>
      <c r="I384" s="585" t="s">
        <v>1128</v>
      </c>
      <c r="J384" s="585" t="s">
        <v>1128</v>
      </c>
      <c r="K384" s="585" t="s">
        <v>1128</v>
      </c>
      <c r="L384" s="585">
        <v>0</v>
      </c>
      <c r="M384" s="585">
        <v>0</v>
      </c>
      <c r="N384" s="585">
        <v>0</v>
      </c>
      <c r="O384" s="585">
        <v>0</v>
      </c>
      <c r="P384" s="585">
        <v>0</v>
      </c>
      <c r="Q384" s="585">
        <v>0</v>
      </c>
      <c r="R384" s="585">
        <v>0</v>
      </c>
      <c r="S384" s="585">
        <v>0</v>
      </c>
      <c r="T384" s="585">
        <v>0</v>
      </c>
      <c r="U384" s="585">
        <v>0</v>
      </c>
      <c r="V384" s="585">
        <v>0</v>
      </c>
      <c r="W384" s="585">
        <v>0</v>
      </c>
      <c r="X384" s="585">
        <v>0</v>
      </c>
      <c r="Y384" s="615">
        <v>0</v>
      </c>
      <c r="Z384" s="615">
        <v>0</v>
      </c>
      <c r="AA384" s="615">
        <v>0</v>
      </c>
      <c r="AB384" s="615">
        <v>0</v>
      </c>
      <c r="AC384" s="615">
        <v>0</v>
      </c>
      <c r="AD384" s="615">
        <v>0</v>
      </c>
      <c r="AE384" s="615">
        <v>0</v>
      </c>
      <c r="AF384" s="615">
        <v>0</v>
      </c>
      <c r="AG384" s="615">
        <v>0</v>
      </c>
      <c r="AH384" s="615">
        <v>0</v>
      </c>
      <c r="AI384" s="615">
        <v>0</v>
      </c>
      <c r="AJ384" s="615">
        <v>0</v>
      </c>
      <c r="AK384" s="615">
        <v>0</v>
      </c>
      <c r="AL384" s="615">
        <v>0</v>
      </c>
      <c r="AM384" s="615">
        <v>0</v>
      </c>
      <c r="AN384" s="615">
        <v>0</v>
      </c>
      <c r="AO384" s="615">
        <v>0</v>
      </c>
      <c r="AP384" s="615">
        <v>0</v>
      </c>
      <c r="AQ384" s="615">
        <v>0</v>
      </c>
      <c r="AR384" s="615">
        <v>0</v>
      </c>
      <c r="AS384" s="615">
        <v>0</v>
      </c>
      <c r="AT384" s="615">
        <v>0</v>
      </c>
      <c r="AU384" s="615">
        <v>0</v>
      </c>
      <c r="AV384" s="615">
        <v>0</v>
      </c>
      <c r="AW384" s="615">
        <v>0</v>
      </c>
      <c r="AX384" s="615">
        <v>1500000</v>
      </c>
      <c r="AY384" s="615">
        <v>1500000</v>
      </c>
      <c r="AZ384" s="615">
        <v>9000000</v>
      </c>
      <c r="BA384" s="615">
        <v>1500000</v>
      </c>
      <c r="BB384" s="615">
        <v>1500000</v>
      </c>
      <c r="BC384" s="615">
        <v>14945773</v>
      </c>
      <c r="BD384" s="615">
        <v>383477940</v>
      </c>
      <c r="BE384" s="615">
        <v>0</v>
      </c>
      <c r="BF384" s="615">
        <v>0</v>
      </c>
      <c r="BG384" s="615">
        <v>0</v>
      </c>
      <c r="BH384" s="615">
        <v>0</v>
      </c>
      <c r="BI384" s="615">
        <v>0</v>
      </c>
      <c r="BJ384" s="615">
        <v>0</v>
      </c>
      <c r="BK384" s="615">
        <v>0</v>
      </c>
      <c r="BL384" s="615">
        <v>0</v>
      </c>
      <c r="BM384" s="615">
        <v>0</v>
      </c>
      <c r="BN384" s="615">
        <v>0</v>
      </c>
      <c r="BO384" s="615">
        <v>0</v>
      </c>
      <c r="BP384" s="615">
        <v>0</v>
      </c>
      <c r="BQ384" s="615">
        <v>0</v>
      </c>
      <c r="BR384" s="615">
        <v>0</v>
      </c>
      <c r="BS384" s="615">
        <v>0</v>
      </c>
      <c r="BT384" s="615">
        <v>0</v>
      </c>
      <c r="BU384" s="615">
        <v>0</v>
      </c>
      <c r="BV384" s="615">
        <v>0</v>
      </c>
      <c r="BW384" s="615">
        <v>0</v>
      </c>
      <c r="BX384" s="607">
        <f t="shared" si="16"/>
        <v>413423713</v>
      </c>
    </row>
    <row r="385" spans="1:76" ht="12" customHeight="1" x14ac:dyDescent="0.2">
      <c r="A385" s="902"/>
      <c r="B385" s="611" t="s">
        <v>3516</v>
      </c>
      <c r="C385" s="641" t="s">
        <v>3515</v>
      </c>
      <c r="D385" s="585">
        <v>0</v>
      </c>
      <c r="E385" s="585">
        <v>0</v>
      </c>
      <c r="F385" s="585">
        <v>0</v>
      </c>
      <c r="G385" s="585">
        <v>0</v>
      </c>
      <c r="H385" s="585">
        <v>0</v>
      </c>
      <c r="I385" s="585">
        <v>0</v>
      </c>
      <c r="J385" s="585">
        <v>0</v>
      </c>
      <c r="K385" s="585">
        <v>0</v>
      </c>
      <c r="L385" s="585">
        <v>0</v>
      </c>
      <c r="M385" s="585">
        <v>0</v>
      </c>
      <c r="N385" s="585">
        <v>0</v>
      </c>
      <c r="O385" s="585">
        <v>0</v>
      </c>
      <c r="P385" s="585">
        <v>0</v>
      </c>
      <c r="Q385" s="585">
        <v>0</v>
      </c>
      <c r="R385" s="585">
        <v>0</v>
      </c>
      <c r="S385" s="585">
        <v>0</v>
      </c>
      <c r="T385" s="585">
        <v>0</v>
      </c>
      <c r="U385" s="585">
        <v>0</v>
      </c>
      <c r="V385" s="585">
        <v>0</v>
      </c>
      <c r="W385" s="585">
        <v>0</v>
      </c>
      <c r="X385" s="585">
        <v>0</v>
      </c>
      <c r="Y385" s="615">
        <v>0</v>
      </c>
      <c r="Z385" s="615">
        <v>0</v>
      </c>
      <c r="AA385" s="615">
        <v>0</v>
      </c>
      <c r="AB385" s="615">
        <v>0</v>
      </c>
      <c r="AC385" s="615">
        <v>0</v>
      </c>
      <c r="AD385" s="615">
        <v>0</v>
      </c>
      <c r="AE385" s="615">
        <v>0</v>
      </c>
      <c r="AF385" s="615">
        <v>0</v>
      </c>
      <c r="AG385" s="615">
        <v>0</v>
      </c>
      <c r="AH385" s="615">
        <v>0</v>
      </c>
      <c r="AI385" s="615">
        <v>0</v>
      </c>
      <c r="AJ385" s="615">
        <v>0</v>
      </c>
      <c r="AK385" s="615">
        <v>0</v>
      </c>
      <c r="AL385" s="615">
        <v>0</v>
      </c>
      <c r="AM385" s="615">
        <v>0</v>
      </c>
      <c r="AN385" s="615">
        <v>0</v>
      </c>
      <c r="AO385" s="615">
        <v>0</v>
      </c>
      <c r="AP385" s="615">
        <v>0</v>
      </c>
      <c r="AQ385" s="615">
        <v>0</v>
      </c>
      <c r="AR385" s="615">
        <v>0</v>
      </c>
      <c r="AS385" s="615">
        <v>0</v>
      </c>
      <c r="AT385" s="615">
        <v>0</v>
      </c>
      <c r="AU385" s="615">
        <v>0</v>
      </c>
      <c r="AV385" s="615">
        <v>0</v>
      </c>
      <c r="AW385" s="615">
        <v>0</v>
      </c>
      <c r="AX385" s="615">
        <v>0</v>
      </c>
      <c r="AY385" s="615">
        <v>0</v>
      </c>
      <c r="AZ385" s="615">
        <v>0</v>
      </c>
      <c r="BA385" s="615">
        <v>0</v>
      </c>
      <c r="BB385" s="615">
        <v>0</v>
      </c>
      <c r="BC385" s="615">
        <v>406426573</v>
      </c>
      <c r="BD385" s="615">
        <v>0</v>
      </c>
      <c r="BE385" s="615">
        <v>0</v>
      </c>
      <c r="BF385" s="615">
        <v>0</v>
      </c>
      <c r="BG385" s="615">
        <v>0</v>
      </c>
      <c r="BH385" s="615">
        <v>0</v>
      </c>
      <c r="BI385" s="615">
        <v>0</v>
      </c>
      <c r="BJ385" s="615">
        <v>0</v>
      </c>
      <c r="BK385" s="615">
        <v>0</v>
      </c>
      <c r="BL385" s="615">
        <v>0</v>
      </c>
      <c r="BM385" s="615">
        <v>0</v>
      </c>
      <c r="BN385" s="615">
        <v>0</v>
      </c>
      <c r="BO385" s="615">
        <v>0</v>
      </c>
      <c r="BP385" s="615">
        <v>0</v>
      </c>
      <c r="BQ385" s="615">
        <v>0</v>
      </c>
      <c r="BR385" s="615">
        <v>0</v>
      </c>
      <c r="BS385" s="615">
        <v>0</v>
      </c>
      <c r="BT385" s="615">
        <v>0</v>
      </c>
      <c r="BU385" s="615">
        <v>0</v>
      </c>
      <c r="BV385" s="615">
        <v>0</v>
      </c>
      <c r="BW385" s="615">
        <v>0</v>
      </c>
      <c r="BX385" s="607">
        <f t="shared" si="16"/>
        <v>406426573</v>
      </c>
    </row>
    <row r="386" spans="1:76" ht="12" customHeight="1" x14ac:dyDescent="0.2">
      <c r="A386" s="902"/>
      <c r="B386" s="611" t="s">
        <v>1147</v>
      </c>
      <c r="C386" s="641" t="s">
        <v>3517</v>
      </c>
      <c r="D386" s="585">
        <v>0</v>
      </c>
      <c r="E386" s="585">
        <v>0</v>
      </c>
      <c r="F386" s="585">
        <v>0</v>
      </c>
      <c r="G386" s="585">
        <v>0</v>
      </c>
      <c r="H386" s="585">
        <v>0</v>
      </c>
      <c r="I386" s="585">
        <v>0</v>
      </c>
      <c r="J386" s="585">
        <v>0</v>
      </c>
      <c r="K386" s="585">
        <v>0</v>
      </c>
      <c r="L386" s="585">
        <v>0</v>
      </c>
      <c r="M386" s="585">
        <v>0</v>
      </c>
      <c r="N386" s="585">
        <v>0</v>
      </c>
      <c r="O386" s="585">
        <v>0</v>
      </c>
      <c r="P386" s="585">
        <v>0</v>
      </c>
      <c r="Q386" s="585">
        <v>0</v>
      </c>
      <c r="R386" s="585">
        <v>0</v>
      </c>
      <c r="S386" s="585">
        <v>0</v>
      </c>
      <c r="T386" s="585">
        <v>0</v>
      </c>
      <c r="U386" s="585">
        <v>0</v>
      </c>
      <c r="V386" s="585">
        <v>0</v>
      </c>
      <c r="W386" s="585">
        <v>0</v>
      </c>
      <c r="X386" s="585">
        <v>0</v>
      </c>
      <c r="Y386" s="615">
        <v>0</v>
      </c>
      <c r="Z386" s="615">
        <v>0</v>
      </c>
      <c r="AA386" s="615">
        <v>0</v>
      </c>
      <c r="AB386" s="615">
        <v>0</v>
      </c>
      <c r="AC386" s="615">
        <v>0</v>
      </c>
      <c r="AD386" s="615">
        <v>0</v>
      </c>
      <c r="AE386" s="615">
        <v>0</v>
      </c>
      <c r="AF386" s="615">
        <v>0</v>
      </c>
      <c r="AG386" s="615">
        <v>0</v>
      </c>
      <c r="AH386" s="615">
        <v>0</v>
      </c>
      <c r="AI386" s="615">
        <v>0</v>
      </c>
      <c r="AJ386" s="615">
        <v>0</v>
      </c>
      <c r="AK386" s="615">
        <v>0</v>
      </c>
      <c r="AL386" s="615">
        <v>0</v>
      </c>
      <c r="AM386" s="615">
        <v>0</v>
      </c>
      <c r="AN386" s="615">
        <v>0</v>
      </c>
      <c r="AO386" s="615">
        <v>0</v>
      </c>
      <c r="AP386" s="615">
        <v>0</v>
      </c>
      <c r="AQ386" s="615">
        <v>0</v>
      </c>
      <c r="AR386" s="615">
        <v>0</v>
      </c>
      <c r="AS386" s="615">
        <v>0</v>
      </c>
      <c r="AT386" s="615">
        <v>0</v>
      </c>
      <c r="AU386" s="615">
        <v>0</v>
      </c>
      <c r="AV386" s="615">
        <v>224062443</v>
      </c>
      <c r="AW386" s="615">
        <v>0</v>
      </c>
      <c r="AX386" s="615">
        <v>0</v>
      </c>
      <c r="AY386" s="615">
        <v>0</v>
      </c>
      <c r="AZ386" s="615">
        <v>0</v>
      </c>
      <c r="BA386" s="615">
        <v>0</v>
      </c>
      <c r="BB386" s="615">
        <v>0</v>
      </c>
      <c r="BC386" s="615">
        <v>0</v>
      </c>
      <c r="BD386" s="615">
        <v>0</v>
      </c>
      <c r="BE386" s="615">
        <v>0</v>
      </c>
      <c r="BF386" s="615">
        <v>0</v>
      </c>
      <c r="BG386" s="615">
        <v>0</v>
      </c>
      <c r="BH386" s="615">
        <v>0</v>
      </c>
      <c r="BI386" s="615">
        <v>0</v>
      </c>
      <c r="BJ386" s="615">
        <v>0</v>
      </c>
      <c r="BK386" s="615">
        <v>0</v>
      </c>
      <c r="BL386" s="615">
        <v>0</v>
      </c>
      <c r="BM386" s="615">
        <v>0</v>
      </c>
      <c r="BN386" s="615">
        <v>0</v>
      </c>
      <c r="BO386" s="615">
        <v>0</v>
      </c>
      <c r="BP386" s="615">
        <v>0</v>
      </c>
      <c r="BQ386" s="615">
        <v>0</v>
      </c>
      <c r="BR386" s="615">
        <v>0</v>
      </c>
      <c r="BS386" s="615">
        <v>0</v>
      </c>
      <c r="BT386" s="615">
        <v>0</v>
      </c>
      <c r="BU386" s="615">
        <v>0</v>
      </c>
      <c r="BV386" s="615">
        <v>0</v>
      </c>
      <c r="BW386" s="615">
        <v>0</v>
      </c>
      <c r="BX386" s="607">
        <f t="shared" si="16"/>
        <v>224062443</v>
      </c>
    </row>
    <row r="387" spans="1:76" ht="12" customHeight="1" x14ac:dyDescent="0.2">
      <c r="A387" s="902"/>
      <c r="B387" s="611" t="s">
        <v>1171</v>
      </c>
      <c r="C387" s="641" t="s">
        <v>3518</v>
      </c>
      <c r="D387" s="585">
        <v>0</v>
      </c>
      <c r="E387" s="585">
        <v>0</v>
      </c>
      <c r="F387" s="585">
        <v>0</v>
      </c>
      <c r="G387" s="585">
        <v>0</v>
      </c>
      <c r="H387" s="585">
        <v>0</v>
      </c>
      <c r="I387" s="585" t="s">
        <v>1128</v>
      </c>
      <c r="J387" s="585" t="s">
        <v>1128</v>
      </c>
      <c r="K387" s="585">
        <v>0</v>
      </c>
      <c r="L387" s="585">
        <v>0</v>
      </c>
      <c r="M387" s="585">
        <v>0</v>
      </c>
      <c r="N387" s="585">
        <v>0</v>
      </c>
      <c r="O387" s="585">
        <v>0</v>
      </c>
      <c r="P387" s="585">
        <v>0</v>
      </c>
      <c r="Q387" s="585">
        <v>0</v>
      </c>
      <c r="R387" s="585">
        <v>0</v>
      </c>
      <c r="S387" s="585">
        <v>0</v>
      </c>
      <c r="T387" s="585">
        <v>0</v>
      </c>
      <c r="U387" s="585">
        <v>0</v>
      </c>
      <c r="V387" s="585">
        <v>0</v>
      </c>
      <c r="W387" s="585">
        <v>0</v>
      </c>
      <c r="X387" s="585">
        <v>0</v>
      </c>
      <c r="Y387" s="615">
        <v>0</v>
      </c>
      <c r="Z387" s="615">
        <v>0</v>
      </c>
      <c r="AA387" s="615">
        <v>0</v>
      </c>
      <c r="AB387" s="615">
        <v>0</v>
      </c>
      <c r="AC387" s="615">
        <v>0</v>
      </c>
      <c r="AD387" s="615">
        <v>0</v>
      </c>
      <c r="AE387" s="615">
        <v>0</v>
      </c>
      <c r="AF387" s="615">
        <v>0</v>
      </c>
      <c r="AG387" s="615">
        <v>0</v>
      </c>
      <c r="AH387" s="615">
        <v>0</v>
      </c>
      <c r="AI387" s="615">
        <v>0</v>
      </c>
      <c r="AJ387" s="615">
        <v>0</v>
      </c>
      <c r="AK387" s="615">
        <v>0</v>
      </c>
      <c r="AL387" s="615">
        <v>0</v>
      </c>
      <c r="AM387" s="615">
        <v>0</v>
      </c>
      <c r="AN387" s="615">
        <v>0</v>
      </c>
      <c r="AO387" s="615">
        <v>0</v>
      </c>
      <c r="AP387" s="615">
        <v>0</v>
      </c>
      <c r="AQ387" s="615">
        <v>0</v>
      </c>
      <c r="AR387" s="615">
        <v>0</v>
      </c>
      <c r="AS387" s="615">
        <v>0</v>
      </c>
      <c r="AT387" s="615">
        <v>211660763</v>
      </c>
      <c r="AU387" s="615">
        <v>0</v>
      </c>
      <c r="AV387" s="615">
        <v>0</v>
      </c>
      <c r="AW387" s="615">
        <v>0</v>
      </c>
      <c r="AX387" s="615">
        <v>0</v>
      </c>
      <c r="AY387" s="615">
        <v>0</v>
      </c>
      <c r="AZ387" s="615">
        <v>0</v>
      </c>
      <c r="BA387" s="615">
        <v>0</v>
      </c>
      <c r="BB387" s="615">
        <v>0</v>
      </c>
      <c r="BC387" s="615">
        <v>0</v>
      </c>
      <c r="BD387" s="615">
        <v>0</v>
      </c>
      <c r="BE387" s="615">
        <v>0</v>
      </c>
      <c r="BF387" s="615">
        <v>0</v>
      </c>
      <c r="BG387" s="615">
        <v>0</v>
      </c>
      <c r="BH387" s="615">
        <v>0</v>
      </c>
      <c r="BI387" s="615">
        <v>0</v>
      </c>
      <c r="BJ387" s="615">
        <v>0</v>
      </c>
      <c r="BK387" s="615">
        <v>0</v>
      </c>
      <c r="BL387" s="615">
        <v>0</v>
      </c>
      <c r="BM387" s="615">
        <v>0</v>
      </c>
      <c r="BN387" s="615">
        <v>0</v>
      </c>
      <c r="BO387" s="615">
        <v>0</v>
      </c>
      <c r="BP387" s="615">
        <v>0</v>
      </c>
      <c r="BQ387" s="615">
        <v>0</v>
      </c>
      <c r="BR387" s="615">
        <v>0</v>
      </c>
      <c r="BS387" s="615">
        <v>0</v>
      </c>
      <c r="BT387" s="615">
        <v>0</v>
      </c>
      <c r="BU387" s="615">
        <v>0</v>
      </c>
      <c r="BV387" s="615">
        <v>0</v>
      </c>
      <c r="BW387" s="615">
        <v>0</v>
      </c>
      <c r="BX387" s="607">
        <f t="shared" si="16"/>
        <v>211660763</v>
      </c>
    </row>
    <row r="388" spans="1:76" ht="12" customHeight="1" x14ac:dyDescent="0.2">
      <c r="A388" s="902"/>
      <c r="B388" s="611" t="s">
        <v>1194</v>
      </c>
      <c r="C388" s="641" t="s">
        <v>3519</v>
      </c>
      <c r="D388" s="585">
        <v>0</v>
      </c>
      <c r="E388" s="585">
        <v>0</v>
      </c>
      <c r="F388" s="585">
        <v>0</v>
      </c>
      <c r="G388" s="585">
        <v>0</v>
      </c>
      <c r="H388" s="585">
        <v>0</v>
      </c>
      <c r="I388" s="585" t="s">
        <v>1128</v>
      </c>
      <c r="J388" s="585" t="s">
        <v>1128</v>
      </c>
      <c r="K388" s="585" t="s">
        <v>1128</v>
      </c>
      <c r="L388" s="585">
        <v>0</v>
      </c>
      <c r="M388" s="585">
        <v>0</v>
      </c>
      <c r="N388" s="585">
        <v>0</v>
      </c>
      <c r="O388" s="585">
        <v>0</v>
      </c>
      <c r="P388" s="585">
        <v>0</v>
      </c>
      <c r="Q388" s="585">
        <v>0</v>
      </c>
      <c r="R388" s="585">
        <v>0</v>
      </c>
      <c r="S388" s="585">
        <v>0</v>
      </c>
      <c r="T388" s="585">
        <v>0</v>
      </c>
      <c r="U388" s="585">
        <v>0</v>
      </c>
      <c r="V388" s="585">
        <v>0</v>
      </c>
      <c r="W388" s="585">
        <v>0</v>
      </c>
      <c r="X388" s="585">
        <v>0</v>
      </c>
      <c r="Y388" s="615">
        <v>0</v>
      </c>
      <c r="Z388" s="615">
        <v>0</v>
      </c>
      <c r="AA388" s="615">
        <v>0</v>
      </c>
      <c r="AB388" s="615">
        <v>0</v>
      </c>
      <c r="AC388" s="615">
        <v>0</v>
      </c>
      <c r="AD388" s="615">
        <v>0</v>
      </c>
      <c r="AE388" s="615">
        <v>0</v>
      </c>
      <c r="AF388" s="615">
        <v>0</v>
      </c>
      <c r="AG388" s="615">
        <v>0</v>
      </c>
      <c r="AH388" s="615">
        <v>0</v>
      </c>
      <c r="AI388" s="615">
        <v>0</v>
      </c>
      <c r="AJ388" s="615">
        <v>0</v>
      </c>
      <c r="AK388" s="615">
        <v>0</v>
      </c>
      <c r="AL388" s="615">
        <v>0</v>
      </c>
      <c r="AM388" s="615">
        <v>0</v>
      </c>
      <c r="AN388" s="615">
        <v>0</v>
      </c>
      <c r="AO388" s="615">
        <v>0</v>
      </c>
      <c r="AP388" s="615">
        <v>0</v>
      </c>
      <c r="AQ388" s="615">
        <v>0</v>
      </c>
      <c r="AR388" s="615">
        <v>0</v>
      </c>
      <c r="AS388" s="615">
        <v>0</v>
      </c>
      <c r="AT388" s="615">
        <v>67685039</v>
      </c>
      <c r="AU388" s="615">
        <v>0</v>
      </c>
      <c r="AV388" s="615">
        <v>0</v>
      </c>
      <c r="AW388" s="615">
        <v>0</v>
      </c>
      <c r="AX388" s="615">
        <v>0</v>
      </c>
      <c r="AY388" s="615">
        <v>0</v>
      </c>
      <c r="AZ388" s="615">
        <v>0</v>
      </c>
      <c r="BA388" s="615">
        <v>0</v>
      </c>
      <c r="BB388" s="615">
        <v>0</v>
      </c>
      <c r="BC388" s="615">
        <v>0</v>
      </c>
      <c r="BD388" s="615">
        <v>0</v>
      </c>
      <c r="BE388" s="615">
        <v>0</v>
      </c>
      <c r="BF388" s="615">
        <v>0</v>
      </c>
      <c r="BG388" s="615">
        <v>0</v>
      </c>
      <c r="BH388" s="615">
        <v>0</v>
      </c>
      <c r="BI388" s="615">
        <v>0</v>
      </c>
      <c r="BJ388" s="615">
        <v>0</v>
      </c>
      <c r="BK388" s="615">
        <v>0</v>
      </c>
      <c r="BL388" s="615">
        <v>0</v>
      </c>
      <c r="BM388" s="615">
        <v>0</v>
      </c>
      <c r="BN388" s="615">
        <v>0</v>
      </c>
      <c r="BO388" s="615">
        <v>0</v>
      </c>
      <c r="BP388" s="615">
        <v>0</v>
      </c>
      <c r="BQ388" s="615">
        <v>0</v>
      </c>
      <c r="BR388" s="615">
        <v>0</v>
      </c>
      <c r="BS388" s="615">
        <v>0</v>
      </c>
      <c r="BT388" s="615">
        <v>0</v>
      </c>
      <c r="BU388" s="615">
        <v>0</v>
      </c>
      <c r="BV388" s="615">
        <v>0</v>
      </c>
      <c r="BW388" s="615">
        <v>0</v>
      </c>
      <c r="BX388" s="607">
        <f t="shared" si="16"/>
        <v>67685039</v>
      </c>
    </row>
    <row r="389" spans="1:76" ht="12" customHeight="1" x14ac:dyDescent="0.2">
      <c r="A389" s="902"/>
      <c r="B389" s="611" t="s">
        <v>1090</v>
      </c>
      <c r="C389" s="641" t="s">
        <v>3520</v>
      </c>
      <c r="D389" s="585">
        <v>0</v>
      </c>
      <c r="E389" s="585">
        <v>0</v>
      </c>
      <c r="F389" s="585">
        <v>0</v>
      </c>
      <c r="G389" s="585">
        <v>0</v>
      </c>
      <c r="H389" s="585">
        <v>0</v>
      </c>
      <c r="I389" s="585" t="s">
        <v>1128</v>
      </c>
      <c r="J389" s="585" t="s">
        <v>1128</v>
      </c>
      <c r="K389" s="585" t="s">
        <v>1128</v>
      </c>
      <c r="L389" s="585">
        <v>0</v>
      </c>
      <c r="M389" s="585">
        <v>0</v>
      </c>
      <c r="N389" s="585">
        <v>0</v>
      </c>
      <c r="O389" s="585">
        <v>0</v>
      </c>
      <c r="P389" s="585">
        <v>0</v>
      </c>
      <c r="Q389" s="585">
        <v>0</v>
      </c>
      <c r="R389" s="585">
        <v>0</v>
      </c>
      <c r="S389" s="585">
        <v>0</v>
      </c>
      <c r="T389" s="585">
        <v>0</v>
      </c>
      <c r="U389" s="585">
        <v>0</v>
      </c>
      <c r="V389" s="585">
        <v>0</v>
      </c>
      <c r="W389" s="585">
        <v>0</v>
      </c>
      <c r="X389" s="585">
        <v>0</v>
      </c>
      <c r="Y389" s="615">
        <v>0</v>
      </c>
      <c r="Z389" s="615">
        <v>0</v>
      </c>
      <c r="AA389" s="615">
        <v>0</v>
      </c>
      <c r="AB389" s="615">
        <v>0</v>
      </c>
      <c r="AC389" s="615">
        <v>0</v>
      </c>
      <c r="AD389" s="615">
        <v>0</v>
      </c>
      <c r="AE389" s="615">
        <v>0</v>
      </c>
      <c r="AF389" s="615">
        <v>0</v>
      </c>
      <c r="AG389" s="615">
        <v>0</v>
      </c>
      <c r="AH389" s="615">
        <v>0</v>
      </c>
      <c r="AI389" s="615">
        <v>0</v>
      </c>
      <c r="AJ389" s="615">
        <v>0</v>
      </c>
      <c r="AK389" s="615">
        <v>0</v>
      </c>
      <c r="AL389" s="615">
        <v>0</v>
      </c>
      <c r="AM389" s="615">
        <v>0</v>
      </c>
      <c r="AN389" s="615">
        <v>0</v>
      </c>
      <c r="AO389" s="615">
        <v>0</v>
      </c>
      <c r="AP389" s="615">
        <v>0</v>
      </c>
      <c r="AQ389" s="615">
        <v>0</v>
      </c>
      <c r="AR389" s="615">
        <v>0</v>
      </c>
      <c r="AS389" s="615">
        <v>0</v>
      </c>
      <c r="AT389" s="615">
        <v>0</v>
      </c>
      <c r="AU389" s="615">
        <v>0</v>
      </c>
      <c r="AV389" s="615">
        <v>160000000</v>
      </c>
      <c r="AW389" s="615">
        <v>0</v>
      </c>
      <c r="AX389" s="615">
        <v>0</v>
      </c>
      <c r="AY389" s="615">
        <v>0</v>
      </c>
      <c r="AZ389" s="615">
        <v>0</v>
      </c>
      <c r="BA389" s="615">
        <v>0</v>
      </c>
      <c r="BB389" s="615">
        <v>0</v>
      </c>
      <c r="BC389" s="615">
        <v>0</v>
      </c>
      <c r="BD389" s="615">
        <v>0</v>
      </c>
      <c r="BE389" s="615">
        <v>0</v>
      </c>
      <c r="BF389" s="615">
        <v>0</v>
      </c>
      <c r="BG389" s="615">
        <v>0</v>
      </c>
      <c r="BH389" s="615">
        <v>0</v>
      </c>
      <c r="BI389" s="615">
        <v>0</v>
      </c>
      <c r="BJ389" s="615">
        <v>0</v>
      </c>
      <c r="BK389" s="615">
        <v>0</v>
      </c>
      <c r="BL389" s="615">
        <v>0</v>
      </c>
      <c r="BM389" s="615">
        <v>0</v>
      </c>
      <c r="BN389" s="615">
        <v>0</v>
      </c>
      <c r="BO389" s="615">
        <v>0</v>
      </c>
      <c r="BP389" s="615">
        <v>0</v>
      </c>
      <c r="BQ389" s="615">
        <v>0</v>
      </c>
      <c r="BR389" s="615">
        <v>0</v>
      </c>
      <c r="BS389" s="615">
        <v>0</v>
      </c>
      <c r="BT389" s="615">
        <v>0</v>
      </c>
      <c r="BU389" s="615">
        <v>0</v>
      </c>
      <c r="BV389" s="615">
        <v>0</v>
      </c>
      <c r="BW389" s="615">
        <v>0</v>
      </c>
      <c r="BX389" s="607">
        <f t="shared" si="16"/>
        <v>160000000</v>
      </c>
    </row>
    <row r="390" spans="1:76" ht="12" customHeight="1" x14ac:dyDescent="0.2">
      <c r="A390" s="902"/>
      <c r="B390" s="611" t="s">
        <v>1193</v>
      </c>
      <c r="C390" s="641" t="s">
        <v>3521</v>
      </c>
      <c r="D390" s="585">
        <v>0</v>
      </c>
      <c r="E390" s="585">
        <v>0</v>
      </c>
      <c r="F390" s="585">
        <v>0</v>
      </c>
      <c r="G390" s="585">
        <v>0</v>
      </c>
      <c r="H390" s="585">
        <v>0</v>
      </c>
      <c r="I390" s="585">
        <v>0</v>
      </c>
      <c r="J390" s="585">
        <v>0</v>
      </c>
      <c r="K390" s="585">
        <v>0</v>
      </c>
      <c r="L390" s="585">
        <v>0</v>
      </c>
      <c r="M390" s="585">
        <v>0</v>
      </c>
      <c r="N390" s="585">
        <v>0</v>
      </c>
      <c r="O390" s="585">
        <v>0</v>
      </c>
      <c r="P390" s="585">
        <v>0</v>
      </c>
      <c r="Q390" s="585">
        <v>0</v>
      </c>
      <c r="R390" s="585">
        <v>0</v>
      </c>
      <c r="S390" s="585">
        <v>0</v>
      </c>
      <c r="T390" s="585">
        <v>0</v>
      </c>
      <c r="U390" s="585">
        <v>0</v>
      </c>
      <c r="V390" s="585">
        <v>0</v>
      </c>
      <c r="W390" s="585">
        <v>0</v>
      </c>
      <c r="X390" s="585">
        <v>0</v>
      </c>
      <c r="Y390" s="615">
        <v>0</v>
      </c>
      <c r="Z390" s="615">
        <v>0</v>
      </c>
      <c r="AA390" s="615">
        <v>0</v>
      </c>
      <c r="AB390" s="615">
        <v>0</v>
      </c>
      <c r="AC390" s="615">
        <v>0</v>
      </c>
      <c r="AD390" s="615">
        <v>0</v>
      </c>
      <c r="AE390" s="615">
        <v>0</v>
      </c>
      <c r="AF390" s="615">
        <v>0</v>
      </c>
      <c r="AG390" s="615">
        <v>0</v>
      </c>
      <c r="AH390" s="615">
        <v>0</v>
      </c>
      <c r="AI390" s="615">
        <v>0</v>
      </c>
      <c r="AJ390" s="615">
        <v>0</v>
      </c>
      <c r="AK390" s="615">
        <v>0</v>
      </c>
      <c r="AL390" s="615">
        <v>0</v>
      </c>
      <c r="AM390" s="615">
        <v>0</v>
      </c>
      <c r="AN390" s="615">
        <v>0</v>
      </c>
      <c r="AO390" s="615">
        <v>0</v>
      </c>
      <c r="AP390" s="615">
        <v>0</v>
      </c>
      <c r="AQ390" s="615">
        <v>0</v>
      </c>
      <c r="AR390" s="615">
        <v>0</v>
      </c>
      <c r="AS390" s="615">
        <v>0</v>
      </c>
      <c r="AT390" s="615">
        <v>0</v>
      </c>
      <c r="AU390" s="615">
        <v>0</v>
      </c>
      <c r="AV390" s="615">
        <v>0</v>
      </c>
      <c r="AW390" s="615">
        <v>0</v>
      </c>
      <c r="AX390" s="615">
        <v>0</v>
      </c>
      <c r="AY390" s="615">
        <v>0</v>
      </c>
      <c r="AZ390" s="615">
        <v>0</v>
      </c>
      <c r="BA390" s="615">
        <v>0</v>
      </c>
      <c r="BB390" s="615">
        <v>0</v>
      </c>
      <c r="BC390" s="615">
        <v>0</v>
      </c>
      <c r="BD390" s="615">
        <v>0</v>
      </c>
      <c r="BE390" s="615">
        <v>0</v>
      </c>
      <c r="BF390" s="615">
        <v>0</v>
      </c>
      <c r="BG390" s="615">
        <v>0</v>
      </c>
      <c r="BH390" s="615">
        <v>0</v>
      </c>
      <c r="BI390" s="615">
        <v>0</v>
      </c>
      <c r="BJ390" s="615">
        <v>0</v>
      </c>
      <c r="BK390" s="615">
        <v>0</v>
      </c>
      <c r="BL390" s="615">
        <v>0</v>
      </c>
      <c r="BM390" s="615">
        <v>0</v>
      </c>
      <c r="BN390" s="615">
        <v>0</v>
      </c>
      <c r="BO390" s="615">
        <v>0</v>
      </c>
      <c r="BP390" s="615">
        <v>0</v>
      </c>
      <c r="BQ390" s="615">
        <v>0</v>
      </c>
      <c r="BR390" s="615">
        <v>0</v>
      </c>
      <c r="BS390" s="615">
        <v>0</v>
      </c>
      <c r="BT390" s="615">
        <v>0</v>
      </c>
      <c r="BU390" s="615">
        <v>0</v>
      </c>
      <c r="BV390" s="615">
        <v>0</v>
      </c>
      <c r="BW390" s="615">
        <v>0</v>
      </c>
      <c r="BX390" s="607">
        <f t="shared" si="16"/>
        <v>0</v>
      </c>
    </row>
    <row r="391" spans="1:76" ht="12" customHeight="1" x14ac:dyDescent="0.2">
      <c r="A391" s="902"/>
      <c r="B391" s="611" t="s">
        <v>4241</v>
      </c>
      <c r="C391" s="641" t="s">
        <v>4240</v>
      </c>
      <c r="D391" s="585">
        <v>0</v>
      </c>
      <c r="E391" s="585">
        <v>0</v>
      </c>
      <c r="F391" s="585">
        <v>0</v>
      </c>
      <c r="G391" s="585">
        <v>0</v>
      </c>
      <c r="H391" s="585">
        <v>0</v>
      </c>
      <c r="I391" s="585">
        <v>0</v>
      </c>
      <c r="J391" s="585">
        <v>0</v>
      </c>
      <c r="K391" s="585">
        <v>0</v>
      </c>
      <c r="L391" s="585">
        <v>0</v>
      </c>
      <c r="M391" s="585">
        <v>0</v>
      </c>
      <c r="N391" s="585">
        <v>0</v>
      </c>
      <c r="O391" s="585">
        <v>0</v>
      </c>
      <c r="P391" s="585">
        <v>0</v>
      </c>
      <c r="Q391" s="585">
        <v>0</v>
      </c>
      <c r="R391" s="585">
        <v>0</v>
      </c>
      <c r="S391" s="585">
        <v>0</v>
      </c>
      <c r="T391" s="585">
        <v>0</v>
      </c>
      <c r="U391" s="585">
        <v>0</v>
      </c>
      <c r="V391" s="585">
        <v>0</v>
      </c>
      <c r="W391" s="585">
        <v>0</v>
      </c>
      <c r="X391" s="585">
        <v>0</v>
      </c>
      <c r="Y391" s="615">
        <v>0</v>
      </c>
      <c r="Z391" s="615">
        <v>0</v>
      </c>
      <c r="AA391" s="615">
        <v>0</v>
      </c>
      <c r="AB391" s="615">
        <v>0</v>
      </c>
      <c r="AC391" s="615">
        <v>0</v>
      </c>
      <c r="AD391" s="615">
        <v>0</v>
      </c>
      <c r="AE391" s="615">
        <v>0</v>
      </c>
      <c r="AF391" s="615">
        <v>0</v>
      </c>
      <c r="AG391" s="615">
        <v>0</v>
      </c>
      <c r="AH391" s="615">
        <v>0</v>
      </c>
      <c r="AI391" s="615">
        <v>0</v>
      </c>
      <c r="AJ391" s="615">
        <v>0</v>
      </c>
      <c r="AK391" s="615">
        <v>0</v>
      </c>
      <c r="AL391" s="615">
        <v>0</v>
      </c>
      <c r="AM391" s="615">
        <v>0</v>
      </c>
      <c r="AN391" s="615">
        <v>0</v>
      </c>
      <c r="AO391" s="615">
        <v>0</v>
      </c>
      <c r="AP391" s="615">
        <v>0</v>
      </c>
      <c r="AQ391" s="615">
        <v>0</v>
      </c>
      <c r="AR391" s="615">
        <v>0</v>
      </c>
      <c r="AS391" s="615">
        <v>0</v>
      </c>
      <c r="AT391" s="615">
        <v>0</v>
      </c>
      <c r="AU391" s="615">
        <v>118853</v>
      </c>
      <c r="AV391" s="615">
        <v>0</v>
      </c>
      <c r="AW391" s="615">
        <v>4000000</v>
      </c>
      <c r="AX391" s="615">
        <v>4000000</v>
      </c>
      <c r="AY391" s="615">
        <v>87000000</v>
      </c>
      <c r="AZ391" s="615">
        <v>6740974</v>
      </c>
      <c r="BA391" s="615">
        <v>4000000</v>
      </c>
      <c r="BB391" s="615">
        <v>4000000</v>
      </c>
      <c r="BC391" s="615">
        <v>350495536</v>
      </c>
      <c r="BD391" s="615">
        <v>0</v>
      </c>
      <c r="BE391" s="615">
        <v>0</v>
      </c>
      <c r="BF391" s="615">
        <v>0</v>
      </c>
      <c r="BG391" s="615">
        <v>0</v>
      </c>
      <c r="BH391" s="615">
        <v>0</v>
      </c>
      <c r="BI391" s="615">
        <v>0</v>
      </c>
      <c r="BJ391" s="615">
        <v>0</v>
      </c>
      <c r="BK391" s="615">
        <v>0</v>
      </c>
      <c r="BL391" s="615">
        <v>0</v>
      </c>
      <c r="BM391" s="615">
        <v>0</v>
      </c>
      <c r="BN391" s="615">
        <v>0</v>
      </c>
      <c r="BO391" s="615">
        <v>0</v>
      </c>
      <c r="BP391" s="615">
        <v>0</v>
      </c>
      <c r="BQ391" s="615">
        <v>0</v>
      </c>
      <c r="BR391" s="615">
        <v>0</v>
      </c>
      <c r="BS391" s="615">
        <v>0</v>
      </c>
      <c r="BT391" s="615">
        <v>0</v>
      </c>
      <c r="BU391" s="615">
        <v>0</v>
      </c>
      <c r="BV391" s="615">
        <v>0</v>
      </c>
      <c r="BW391" s="615">
        <v>0</v>
      </c>
      <c r="BX391" s="607">
        <f t="shared" si="16"/>
        <v>460355363</v>
      </c>
    </row>
    <row r="392" spans="1:76" ht="12" customHeight="1" x14ac:dyDescent="0.2">
      <c r="A392" s="902"/>
      <c r="B392" s="611" t="s">
        <v>1117</v>
      </c>
      <c r="C392" s="641" t="s">
        <v>3522</v>
      </c>
      <c r="D392" s="585">
        <v>0</v>
      </c>
      <c r="E392" s="585">
        <v>0</v>
      </c>
      <c r="F392" s="585">
        <v>0</v>
      </c>
      <c r="G392" s="585">
        <v>0</v>
      </c>
      <c r="H392" s="585">
        <v>0</v>
      </c>
      <c r="I392" s="585">
        <v>0</v>
      </c>
      <c r="J392" s="585">
        <v>0</v>
      </c>
      <c r="K392" s="585">
        <v>0</v>
      </c>
      <c r="L392" s="585">
        <v>0</v>
      </c>
      <c r="M392" s="585">
        <v>0</v>
      </c>
      <c r="N392" s="585">
        <v>0</v>
      </c>
      <c r="O392" s="585">
        <v>0</v>
      </c>
      <c r="P392" s="585">
        <v>0</v>
      </c>
      <c r="Q392" s="585">
        <v>0</v>
      </c>
      <c r="R392" s="585">
        <v>0</v>
      </c>
      <c r="S392" s="585">
        <v>0</v>
      </c>
      <c r="T392" s="585">
        <v>0</v>
      </c>
      <c r="U392" s="585">
        <v>0</v>
      </c>
      <c r="V392" s="585">
        <v>0</v>
      </c>
      <c r="W392" s="585">
        <v>0</v>
      </c>
      <c r="X392" s="585">
        <v>0</v>
      </c>
      <c r="Y392" s="615">
        <v>0</v>
      </c>
      <c r="Z392" s="615">
        <v>0</v>
      </c>
      <c r="AA392" s="615">
        <v>0</v>
      </c>
      <c r="AB392" s="615">
        <v>0</v>
      </c>
      <c r="AC392" s="615">
        <v>0</v>
      </c>
      <c r="AD392" s="615">
        <v>0</v>
      </c>
      <c r="AE392" s="615">
        <v>0</v>
      </c>
      <c r="AF392" s="615">
        <v>0</v>
      </c>
      <c r="AG392" s="615">
        <v>0</v>
      </c>
      <c r="AH392" s="615">
        <v>0</v>
      </c>
      <c r="AI392" s="615">
        <v>0</v>
      </c>
      <c r="AJ392" s="615">
        <v>0</v>
      </c>
      <c r="AK392" s="615">
        <v>0</v>
      </c>
      <c r="AL392" s="615">
        <v>0</v>
      </c>
      <c r="AM392" s="615">
        <v>0</v>
      </c>
      <c r="AN392" s="615">
        <v>0</v>
      </c>
      <c r="AO392" s="615">
        <v>0</v>
      </c>
      <c r="AP392" s="615">
        <v>0</v>
      </c>
      <c r="AQ392" s="615">
        <v>0</v>
      </c>
      <c r="AR392" s="615">
        <v>0</v>
      </c>
      <c r="AS392" s="615">
        <v>0</v>
      </c>
      <c r="AT392" s="615">
        <v>0</v>
      </c>
      <c r="AU392" s="615">
        <v>0</v>
      </c>
      <c r="AV392" s="615">
        <v>220219461</v>
      </c>
      <c r="AW392" s="615">
        <v>0</v>
      </c>
      <c r="AX392" s="615">
        <v>0</v>
      </c>
      <c r="AY392" s="615">
        <v>0</v>
      </c>
      <c r="AZ392" s="615">
        <v>0</v>
      </c>
      <c r="BA392" s="615">
        <v>0</v>
      </c>
      <c r="BB392" s="615">
        <v>0</v>
      </c>
      <c r="BC392" s="615">
        <v>0</v>
      </c>
      <c r="BD392" s="615">
        <v>0</v>
      </c>
      <c r="BE392" s="615">
        <v>0</v>
      </c>
      <c r="BF392" s="615">
        <v>0</v>
      </c>
      <c r="BG392" s="615">
        <v>0</v>
      </c>
      <c r="BH392" s="615">
        <v>0</v>
      </c>
      <c r="BI392" s="615">
        <v>0</v>
      </c>
      <c r="BJ392" s="615">
        <v>0</v>
      </c>
      <c r="BK392" s="615">
        <v>0</v>
      </c>
      <c r="BL392" s="615">
        <v>0</v>
      </c>
      <c r="BM392" s="615">
        <v>0</v>
      </c>
      <c r="BN392" s="615">
        <v>0</v>
      </c>
      <c r="BO392" s="615">
        <v>0</v>
      </c>
      <c r="BP392" s="615">
        <v>0</v>
      </c>
      <c r="BQ392" s="615">
        <v>0</v>
      </c>
      <c r="BR392" s="615">
        <v>0</v>
      </c>
      <c r="BS392" s="615">
        <v>0</v>
      </c>
      <c r="BT392" s="615">
        <v>0</v>
      </c>
      <c r="BU392" s="615">
        <v>0</v>
      </c>
      <c r="BV392" s="615">
        <v>0</v>
      </c>
      <c r="BW392" s="615">
        <v>0</v>
      </c>
      <c r="BX392" s="607">
        <f t="shared" si="16"/>
        <v>220219461</v>
      </c>
    </row>
    <row r="393" spans="1:76" ht="12" customHeight="1" x14ac:dyDescent="0.2">
      <c r="A393" s="902"/>
      <c r="B393" s="611" t="s">
        <v>1224</v>
      </c>
      <c r="C393" s="641" t="s">
        <v>3523</v>
      </c>
      <c r="D393" s="585">
        <v>0</v>
      </c>
      <c r="E393" s="585">
        <v>0</v>
      </c>
      <c r="F393" s="585">
        <v>0</v>
      </c>
      <c r="G393" s="585">
        <v>0</v>
      </c>
      <c r="H393" s="585">
        <v>0</v>
      </c>
      <c r="I393" s="585" t="s">
        <v>1128</v>
      </c>
      <c r="J393" s="585" t="s">
        <v>1128</v>
      </c>
      <c r="K393" s="585" t="s">
        <v>1128</v>
      </c>
      <c r="L393" s="585">
        <v>0</v>
      </c>
      <c r="M393" s="585">
        <v>0</v>
      </c>
      <c r="N393" s="585">
        <v>0</v>
      </c>
      <c r="O393" s="585">
        <v>0</v>
      </c>
      <c r="P393" s="585">
        <v>0</v>
      </c>
      <c r="Q393" s="585">
        <v>0</v>
      </c>
      <c r="R393" s="585">
        <v>0</v>
      </c>
      <c r="S393" s="585">
        <v>0</v>
      </c>
      <c r="T393" s="585">
        <v>0</v>
      </c>
      <c r="U393" s="585">
        <v>0</v>
      </c>
      <c r="V393" s="585">
        <v>0</v>
      </c>
      <c r="W393" s="585">
        <v>0</v>
      </c>
      <c r="X393" s="585">
        <v>0</v>
      </c>
      <c r="Y393" s="615">
        <v>0</v>
      </c>
      <c r="Z393" s="615">
        <v>0</v>
      </c>
      <c r="AA393" s="615">
        <v>0</v>
      </c>
      <c r="AB393" s="615">
        <v>0</v>
      </c>
      <c r="AC393" s="615">
        <v>0</v>
      </c>
      <c r="AD393" s="615">
        <v>0</v>
      </c>
      <c r="AE393" s="615">
        <v>0</v>
      </c>
      <c r="AF393" s="615">
        <v>0</v>
      </c>
      <c r="AG393" s="615">
        <v>0</v>
      </c>
      <c r="AH393" s="615">
        <v>0</v>
      </c>
      <c r="AI393" s="615">
        <v>0</v>
      </c>
      <c r="AJ393" s="615">
        <v>0</v>
      </c>
      <c r="AK393" s="615">
        <v>0</v>
      </c>
      <c r="AL393" s="615">
        <v>0</v>
      </c>
      <c r="AM393" s="615">
        <v>0</v>
      </c>
      <c r="AN393" s="615">
        <v>0</v>
      </c>
      <c r="AO393" s="615">
        <v>0</v>
      </c>
      <c r="AP393" s="615">
        <v>0</v>
      </c>
      <c r="AQ393" s="615">
        <v>0</v>
      </c>
      <c r="AR393" s="615">
        <v>0</v>
      </c>
      <c r="AS393" s="615">
        <v>0</v>
      </c>
      <c r="AT393" s="615">
        <v>0</v>
      </c>
      <c r="AU393" s="615">
        <v>0</v>
      </c>
      <c r="AV393" s="615">
        <v>0</v>
      </c>
      <c r="AW393" s="615">
        <v>0</v>
      </c>
      <c r="AX393" s="615">
        <v>0</v>
      </c>
      <c r="AY393" s="615">
        <v>0</v>
      </c>
      <c r="AZ393" s="615">
        <v>0</v>
      </c>
      <c r="BA393" s="615">
        <v>0</v>
      </c>
      <c r="BB393" s="615">
        <v>0</v>
      </c>
      <c r="BC393" s="615">
        <v>0</v>
      </c>
      <c r="BD393" s="615">
        <v>0</v>
      </c>
      <c r="BE393" s="615">
        <v>0</v>
      </c>
      <c r="BF393" s="615">
        <v>0</v>
      </c>
      <c r="BG393" s="615">
        <v>0</v>
      </c>
      <c r="BH393" s="615">
        <v>0</v>
      </c>
      <c r="BI393" s="615">
        <v>0</v>
      </c>
      <c r="BJ393" s="615">
        <v>0</v>
      </c>
      <c r="BK393" s="615">
        <v>0</v>
      </c>
      <c r="BL393" s="615">
        <v>0</v>
      </c>
      <c r="BM393" s="615">
        <v>0</v>
      </c>
      <c r="BN393" s="615">
        <v>0</v>
      </c>
      <c r="BO393" s="615">
        <v>0</v>
      </c>
      <c r="BP393" s="615">
        <v>0</v>
      </c>
      <c r="BQ393" s="615">
        <v>0</v>
      </c>
      <c r="BR393" s="615">
        <v>0</v>
      </c>
      <c r="BS393" s="615">
        <v>0</v>
      </c>
      <c r="BT393" s="615">
        <v>0</v>
      </c>
      <c r="BU393" s="615">
        <v>0</v>
      </c>
      <c r="BV393" s="615">
        <v>0</v>
      </c>
      <c r="BW393" s="615">
        <v>0</v>
      </c>
      <c r="BX393" s="607">
        <f t="shared" si="16"/>
        <v>0</v>
      </c>
    </row>
    <row r="394" spans="1:76" ht="12" customHeight="1" x14ac:dyDescent="0.2">
      <c r="A394" s="902"/>
      <c r="B394" s="611" t="s">
        <v>1225</v>
      </c>
      <c r="C394" s="641" t="s">
        <v>3524</v>
      </c>
      <c r="D394" s="585">
        <v>0</v>
      </c>
      <c r="E394" s="585">
        <v>0</v>
      </c>
      <c r="F394" s="585">
        <v>0</v>
      </c>
      <c r="G394" s="585">
        <v>0</v>
      </c>
      <c r="H394" s="585">
        <v>0</v>
      </c>
      <c r="I394" s="585">
        <v>0</v>
      </c>
      <c r="J394" s="585">
        <v>0</v>
      </c>
      <c r="K394" s="585">
        <v>0</v>
      </c>
      <c r="L394" s="585">
        <v>0</v>
      </c>
      <c r="M394" s="585">
        <v>0</v>
      </c>
      <c r="N394" s="585">
        <v>0</v>
      </c>
      <c r="O394" s="585">
        <v>0</v>
      </c>
      <c r="P394" s="585">
        <v>0</v>
      </c>
      <c r="Q394" s="585">
        <v>0</v>
      </c>
      <c r="R394" s="585">
        <v>0</v>
      </c>
      <c r="S394" s="585">
        <v>0</v>
      </c>
      <c r="T394" s="585">
        <v>0</v>
      </c>
      <c r="U394" s="585">
        <v>0</v>
      </c>
      <c r="V394" s="585">
        <v>0</v>
      </c>
      <c r="W394" s="585">
        <v>0</v>
      </c>
      <c r="X394" s="585">
        <v>0</v>
      </c>
      <c r="Y394" s="615">
        <v>0</v>
      </c>
      <c r="Z394" s="615">
        <v>0</v>
      </c>
      <c r="AA394" s="615">
        <v>0</v>
      </c>
      <c r="AB394" s="615">
        <v>0</v>
      </c>
      <c r="AC394" s="615">
        <v>0</v>
      </c>
      <c r="AD394" s="615">
        <v>0</v>
      </c>
      <c r="AE394" s="615">
        <v>0</v>
      </c>
      <c r="AF394" s="615">
        <v>0</v>
      </c>
      <c r="AG394" s="615">
        <v>0</v>
      </c>
      <c r="AH394" s="615">
        <v>0</v>
      </c>
      <c r="AI394" s="615">
        <v>0</v>
      </c>
      <c r="AJ394" s="615">
        <v>0</v>
      </c>
      <c r="AK394" s="615">
        <v>0</v>
      </c>
      <c r="AL394" s="615">
        <v>0</v>
      </c>
      <c r="AM394" s="615">
        <v>0</v>
      </c>
      <c r="AN394" s="615">
        <v>0</v>
      </c>
      <c r="AO394" s="615">
        <v>0</v>
      </c>
      <c r="AP394" s="615">
        <v>0</v>
      </c>
      <c r="AQ394" s="615">
        <v>0</v>
      </c>
      <c r="AR394" s="615">
        <v>0</v>
      </c>
      <c r="AS394" s="615">
        <v>0</v>
      </c>
      <c r="AT394" s="615">
        <v>43136815</v>
      </c>
      <c r="AU394" s="615">
        <v>0</v>
      </c>
      <c r="AV394" s="615">
        <v>0</v>
      </c>
      <c r="AW394" s="615">
        <v>0</v>
      </c>
      <c r="AX394" s="615">
        <v>0</v>
      </c>
      <c r="AY394" s="615">
        <v>0</v>
      </c>
      <c r="AZ394" s="615">
        <v>0</v>
      </c>
      <c r="BA394" s="615">
        <v>0</v>
      </c>
      <c r="BB394" s="615">
        <v>0</v>
      </c>
      <c r="BC394" s="615">
        <v>0</v>
      </c>
      <c r="BD394" s="615">
        <v>0</v>
      </c>
      <c r="BE394" s="615">
        <v>0</v>
      </c>
      <c r="BF394" s="615">
        <v>0</v>
      </c>
      <c r="BG394" s="615">
        <v>0</v>
      </c>
      <c r="BH394" s="615">
        <v>0</v>
      </c>
      <c r="BI394" s="615">
        <v>0</v>
      </c>
      <c r="BJ394" s="615">
        <v>0</v>
      </c>
      <c r="BK394" s="615">
        <v>0</v>
      </c>
      <c r="BL394" s="615">
        <v>0</v>
      </c>
      <c r="BM394" s="615">
        <v>0</v>
      </c>
      <c r="BN394" s="615">
        <v>0</v>
      </c>
      <c r="BO394" s="615">
        <v>0</v>
      </c>
      <c r="BP394" s="615">
        <v>0</v>
      </c>
      <c r="BQ394" s="615">
        <v>0</v>
      </c>
      <c r="BR394" s="615">
        <v>0</v>
      </c>
      <c r="BS394" s="615">
        <v>0</v>
      </c>
      <c r="BT394" s="615">
        <v>0</v>
      </c>
      <c r="BU394" s="615">
        <v>0</v>
      </c>
      <c r="BV394" s="615">
        <v>0</v>
      </c>
      <c r="BW394" s="615">
        <v>0</v>
      </c>
      <c r="BX394" s="607">
        <f t="shared" si="16"/>
        <v>43136815</v>
      </c>
    </row>
    <row r="395" spans="1:76" ht="12" customHeight="1" x14ac:dyDescent="0.2">
      <c r="A395" s="902"/>
      <c r="B395" s="611" t="s">
        <v>1718</v>
      </c>
      <c r="C395" s="641" t="s">
        <v>3525</v>
      </c>
      <c r="D395" s="585">
        <v>0</v>
      </c>
      <c r="E395" s="585">
        <v>0</v>
      </c>
      <c r="F395" s="585">
        <v>0</v>
      </c>
      <c r="G395" s="585">
        <v>0</v>
      </c>
      <c r="H395" s="585">
        <v>0</v>
      </c>
      <c r="I395" s="585">
        <v>0</v>
      </c>
      <c r="J395" s="585">
        <v>0</v>
      </c>
      <c r="K395" s="585">
        <v>0</v>
      </c>
      <c r="L395" s="585">
        <v>0</v>
      </c>
      <c r="M395" s="585">
        <v>0</v>
      </c>
      <c r="N395" s="585">
        <v>0</v>
      </c>
      <c r="O395" s="585">
        <v>0</v>
      </c>
      <c r="P395" s="585">
        <v>0</v>
      </c>
      <c r="Q395" s="585">
        <v>0</v>
      </c>
      <c r="R395" s="585">
        <v>0</v>
      </c>
      <c r="S395" s="585">
        <v>0</v>
      </c>
      <c r="T395" s="585">
        <v>0</v>
      </c>
      <c r="U395" s="585">
        <v>0</v>
      </c>
      <c r="V395" s="585">
        <v>0</v>
      </c>
      <c r="W395" s="585">
        <v>0</v>
      </c>
      <c r="X395" s="585">
        <v>0</v>
      </c>
      <c r="Y395" s="615">
        <v>0</v>
      </c>
      <c r="Z395" s="615">
        <v>0</v>
      </c>
      <c r="AA395" s="615">
        <v>0</v>
      </c>
      <c r="AB395" s="615">
        <v>0</v>
      </c>
      <c r="AC395" s="615">
        <v>0</v>
      </c>
      <c r="AD395" s="615">
        <v>0</v>
      </c>
      <c r="AE395" s="615">
        <v>0</v>
      </c>
      <c r="AF395" s="615">
        <v>0</v>
      </c>
      <c r="AG395" s="615">
        <v>0</v>
      </c>
      <c r="AH395" s="615">
        <v>0</v>
      </c>
      <c r="AI395" s="615">
        <v>0</v>
      </c>
      <c r="AJ395" s="615">
        <v>0</v>
      </c>
      <c r="AK395" s="615">
        <v>0</v>
      </c>
      <c r="AL395" s="615">
        <v>0</v>
      </c>
      <c r="AM395" s="615">
        <v>0</v>
      </c>
      <c r="AN395" s="615">
        <v>0</v>
      </c>
      <c r="AO395" s="615">
        <v>0</v>
      </c>
      <c r="AP395" s="615">
        <v>0</v>
      </c>
      <c r="AQ395" s="615">
        <v>0</v>
      </c>
      <c r="AR395" s="615">
        <v>0</v>
      </c>
      <c r="AS395" s="615">
        <v>0</v>
      </c>
      <c r="AT395" s="615">
        <v>0</v>
      </c>
      <c r="AU395" s="615">
        <v>0</v>
      </c>
      <c r="AV395" s="615">
        <v>0</v>
      </c>
      <c r="AW395" s="615">
        <v>0</v>
      </c>
      <c r="AX395" s="615">
        <v>0</v>
      </c>
      <c r="AY395" s="615">
        <v>0</v>
      </c>
      <c r="AZ395" s="615">
        <v>0</v>
      </c>
      <c r="BA395" s="615">
        <v>0</v>
      </c>
      <c r="BB395" s="615">
        <v>0</v>
      </c>
      <c r="BC395" s="615">
        <v>0</v>
      </c>
      <c r="BD395" s="615">
        <v>0</v>
      </c>
      <c r="BE395" s="615">
        <v>0</v>
      </c>
      <c r="BF395" s="615">
        <v>0</v>
      </c>
      <c r="BG395" s="615">
        <v>0</v>
      </c>
      <c r="BH395" s="615">
        <v>0</v>
      </c>
      <c r="BI395" s="615">
        <v>0</v>
      </c>
      <c r="BJ395" s="615">
        <v>0</v>
      </c>
      <c r="BK395" s="615">
        <v>0</v>
      </c>
      <c r="BL395" s="615">
        <v>0</v>
      </c>
      <c r="BM395" s="615">
        <v>0</v>
      </c>
      <c r="BN395" s="615">
        <v>0</v>
      </c>
      <c r="BO395" s="615">
        <v>0</v>
      </c>
      <c r="BP395" s="615">
        <v>0</v>
      </c>
      <c r="BQ395" s="615">
        <v>0</v>
      </c>
      <c r="BR395" s="615">
        <v>0</v>
      </c>
      <c r="BS395" s="615">
        <v>0</v>
      </c>
      <c r="BT395" s="615">
        <v>0</v>
      </c>
      <c r="BU395" s="615">
        <v>0</v>
      </c>
      <c r="BV395" s="615">
        <v>0</v>
      </c>
      <c r="BW395" s="615">
        <v>0</v>
      </c>
      <c r="BX395" s="607">
        <f t="shared" si="16"/>
        <v>0</v>
      </c>
    </row>
    <row r="396" spans="1:76" ht="12" customHeight="1" x14ac:dyDescent="0.2">
      <c r="A396" s="902"/>
      <c r="B396" s="611" t="s">
        <v>1076</v>
      </c>
      <c r="C396" s="641" t="s">
        <v>3526</v>
      </c>
      <c r="D396" s="585">
        <v>0</v>
      </c>
      <c r="E396" s="585">
        <v>0</v>
      </c>
      <c r="F396" s="585">
        <v>0</v>
      </c>
      <c r="G396" s="585">
        <v>0</v>
      </c>
      <c r="H396" s="585">
        <v>0</v>
      </c>
      <c r="I396" s="585" t="s">
        <v>1128</v>
      </c>
      <c r="J396" s="585" t="s">
        <v>1128</v>
      </c>
      <c r="K396" s="585" t="s">
        <v>1128</v>
      </c>
      <c r="L396" s="585">
        <v>0</v>
      </c>
      <c r="M396" s="585">
        <v>0</v>
      </c>
      <c r="N396" s="585">
        <v>0</v>
      </c>
      <c r="O396" s="585">
        <v>0</v>
      </c>
      <c r="P396" s="585">
        <v>0</v>
      </c>
      <c r="Q396" s="585">
        <v>0</v>
      </c>
      <c r="R396" s="585">
        <v>0</v>
      </c>
      <c r="S396" s="585">
        <v>0</v>
      </c>
      <c r="T396" s="585">
        <v>0</v>
      </c>
      <c r="U396" s="585">
        <v>0</v>
      </c>
      <c r="V396" s="585">
        <v>0</v>
      </c>
      <c r="W396" s="585">
        <v>0</v>
      </c>
      <c r="X396" s="585">
        <v>0</v>
      </c>
      <c r="Y396" s="615">
        <v>0</v>
      </c>
      <c r="Z396" s="615">
        <v>0</v>
      </c>
      <c r="AA396" s="615">
        <v>0</v>
      </c>
      <c r="AB396" s="615">
        <v>0</v>
      </c>
      <c r="AC396" s="615">
        <v>0</v>
      </c>
      <c r="AD396" s="615">
        <v>0</v>
      </c>
      <c r="AE396" s="615">
        <v>0</v>
      </c>
      <c r="AF396" s="615">
        <v>0</v>
      </c>
      <c r="AG396" s="615">
        <v>0</v>
      </c>
      <c r="AH396" s="615">
        <v>0</v>
      </c>
      <c r="AI396" s="615">
        <v>0</v>
      </c>
      <c r="AJ396" s="615">
        <v>0</v>
      </c>
      <c r="AK396" s="615">
        <v>0</v>
      </c>
      <c r="AL396" s="615">
        <v>0</v>
      </c>
      <c r="AM396" s="615">
        <v>0</v>
      </c>
      <c r="AN396" s="615">
        <v>0</v>
      </c>
      <c r="AO396" s="615">
        <v>0</v>
      </c>
      <c r="AP396" s="615">
        <v>0</v>
      </c>
      <c r="AQ396" s="615">
        <v>0</v>
      </c>
      <c r="AR396" s="615">
        <v>0</v>
      </c>
      <c r="AS396" s="615">
        <v>0</v>
      </c>
      <c r="AT396" s="615">
        <v>0</v>
      </c>
      <c r="AU396" s="615">
        <v>0</v>
      </c>
      <c r="AV396" s="615">
        <v>4</v>
      </c>
      <c r="AW396" s="615">
        <v>0</v>
      </c>
      <c r="AX396" s="615">
        <v>0</v>
      </c>
      <c r="AY396" s="615">
        <v>0</v>
      </c>
      <c r="AZ396" s="615">
        <v>0</v>
      </c>
      <c r="BA396" s="615">
        <v>0</v>
      </c>
      <c r="BB396" s="615">
        <v>0</v>
      </c>
      <c r="BC396" s="615">
        <v>0</v>
      </c>
      <c r="BD396" s="615">
        <v>0</v>
      </c>
      <c r="BE396" s="615">
        <v>0</v>
      </c>
      <c r="BF396" s="615">
        <v>0</v>
      </c>
      <c r="BG396" s="615">
        <v>0</v>
      </c>
      <c r="BH396" s="615">
        <v>0</v>
      </c>
      <c r="BI396" s="615">
        <v>0</v>
      </c>
      <c r="BJ396" s="615">
        <v>0</v>
      </c>
      <c r="BK396" s="615">
        <v>0</v>
      </c>
      <c r="BL396" s="615">
        <v>0</v>
      </c>
      <c r="BM396" s="615">
        <v>0</v>
      </c>
      <c r="BN396" s="615">
        <v>0</v>
      </c>
      <c r="BO396" s="615">
        <v>0</v>
      </c>
      <c r="BP396" s="615">
        <v>0</v>
      </c>
      <c r="BQ396" s="615">
        <v>0</v>
      </c>
      <c r="BR396" s="615">
        <v>0</v>
      </c>
      <c r="BS396" s="615">
        <v>0</v>
      </c>
      <c r="BT396" s="615">
        <v>0</v>
      </c>
      <c r="BU396" s="615">
        <v>0</v>
      </c>
      <c r="BV396" s="615">
        <v>0</v>
      </c>
      <c r="BW396" s="615">
        <v>0</v>
      </c>
      <c r="BX396" s="607">
        <f t="shared" si="16"/>
        <v>4</v>
      </c>
    </row>
    <row r="397" spans="1:76" ht="12" customHeight="1" x14ac:dyDescent="0.2">
      <c r="A397" s="902"/>
      <c r="B397" s="611" t="s">
        <v>4371</v>
      </c>
      <c r="C397" s="641" t="s">
        <v>4288</v>
      </c>
      <c r="D397" s="585">
        <v>0</v>
      </c>
      <c r="E397" s="585">
        <v>0</v>
      </c>
      <c r="F397" s="585">
        <v>0</v>
      </c>
      <c r="G397" s="585">
        <v>0</v>
      </c>
      <c r="H397" s="585">
        <v>0</v>
      </c>
      <c r="I397" s="585">
        <v>0</v>
      </c>
      <c r="J397" s="585">
        <v>0</v>
      </c>
      <c r="K397" s="585">
        <v>0</v>
      </c>
      <c r="L397" s="585">
        <v>0</v>
      </c>
      <c r="M397" s="585">
        <v>0</v>
      </c>
      <c r="N397" s="585">
        <v>0</v>
      </c>
      <c r="O397" s="585">
        <v>0</v>
      </c>
      <c r="P397" s="585">
        <v>0</v>
      </c>
      <c r="Q397" s="585">
        <v>0</v>
      </c>
      <c r="R397" s="585">
        <v>0</v>
      </c>
      <c r="S397" s="585">
        <v>0</v>
      </c>
      <c r="T397" s="585">
        <v>0</v>
      </c>
      <c r="U397" s="585">
        <v>0</v>
      </c>
      <c r="V397" s="585">
        <v>0</v>
      </c>
      <c r="W397" s="585">
        <v>0</v>
      </c>
      <c r="X397" s="585">
        <v>0</v>
      </c>
      <c r="Y397" s="615">
        <v>0</v>
      </c>
      <c r="Z397" s="615">
        <v>0</v>
      </c>
      <c r="AA397" s="615">
        <v>0</v>
      </c>
      <c r="AB397" s="615">
        <v>0</v>
      </c>
      <c r="AC397" s="615">
        <v>0</v>
      </c>
      <c r="AD397" s="615">
        <v>0</v>
      </c>
      <c r="AE397" s="615">
        <v>0</v>
      </c>
      <c r="AF397" s="615">
        <v>0</v>
      </c>
      <c r="AG397" s="615">
        <v>0</v>
      </c>
      <c r="AH397" s="615">
        <v>0</v>
      </c>
      <c r="AI397" s="615">
        <v>0</v>
      </c>
      <c r="AJ397" s="615">
        <v>0</v>
      </c>
      <c r="AK397" s="615">
        <v>0</v>
      </c>
      <c r="AL397" s="615">
        <v>0</v>
      </c>
      <c r="AM397" s="615">
        <v>0</v>
      </c>
      <c r="AN397" s="615">
        <v>0</v>
      </c>
      <c r="AO397" s="615">
        <v>0</v>
      </c>
      <c r="AP397" s="615">
        <v>0</v>
      </c>
      <c r="AQ397" s="615">
        <v>0</v>
      </c>
      <c r="AR397" s="615">
        <v>0</v>
      </c>
      <c r="AS397" s="615">
        <v>0</v>
      </c>
      <c r="AT397" s="615">
        <v>0</v>
      </c>
      <c r="AU397" s="615">
        <v>0</v>
      </c>
      <c r="AV397" s="615">
        <v>0</v>
      </c>
      <c r="AW397" s="615">
        <v>0</v>
      </c>
      <c r="AX397" s="615">
        <v>0</v>
      </c>
      <c r="AY397" s="615">
        <v>0</v>
      </c>
      <c r="AZ397" s="615">
        <v>0</v>
      </c>
      <c r="BA397" s="615">
        <v>0</v>
      </c>
      <c r="BB397" s="615">
        <v>0</v>
      </c>
      <c r="BC397" s="615">
        <v>5297117</v>
      </c>
      <c r="BD397" s="615">
        <v>5297117</v>
      </c>
      <c r="BE397" s="615">
        <v>5297119</v>
      </c>
      <c r="BF397" s="615">
        <v>332703391</v>
      </c>
      <c r="BG397" s="615">
        <v>0</v>
      </c>
      <c r="BH397" s="615">
        <v>0</v>
      </c>
      <c r="BI397" s="615">
        <v>0</v>
      </c>
      <c r="BJ397" s="615">
        <v>0</v>
      </c>
      <c r="BK397" s="615">
        <v>0</v>
      </c>
      <c r="BL397" s="615">
        <v>0</v>
      </c>
      <c r="BM397" s="615">
        <v>0</v>
      </c>
      <c r="BN397" s="615">
        <v>0</v>
      </c>
      <c r="BO397" s="615">
        <v>0</v>
      </c>
      <c r="BP397" s="615">
        <v>0</v>
      </c>
      <c r="BQ397" s="615">
        <v>0</v>
      </c>
      <c r="BR397" s="615">
        <v>0</v>
      </c>
      <c r="BS397" s="615">
        <v>0</v>
      </c>
      <c r="BT397" s="615">
        <v>0</v>
      </c>
      <c r="BU397" s="615">
        <v>0</v>
      </c>
      <c r="BV397" s="615">
        <v>0</v>
      </c>
      <c r="BW397" s="615">
        <v>0</v>
      </c>
      <c r="BX397" s="607">
        <f t="shared" si="16"/>
        <v>348594744</v>
      </c>
    </row>
    <row r="398" spans="1:76" ht="12" customHeight="1" x14ac:dyDescent="0.2">
      <c r="A398" s="902"/>
      <c r="B398" s="611" t="s">
        <v>890</v>
      </c>
      <c r="C398" s="641" t="s">
        <v>3527</v>
      </c>
      <c r="D398" s="585">
        <v>0</v>
      </c>
      <c r="E398" s="585">
        <v>0</v>
      </c>
      <c r="F398" s="585">
        <v>0</v>
      </c>
      <c r="G398" s="585">
        <v>0</v>
      </c>
      <c r="H398" s="585">
        <v>0</v>
      </c>
      <c r="I398" s="585">
        <v>0</v>
      </c>
      <c r="J398" s="585">
        <v>0</v>
      </c>
      <c r="K398" s="585">
        <v>0</v>
      </c>
      <c r="L398" s="585">
        <v>0</v>
      </c>
      <c r="M398" s="585">
        <v>0</v>
      </c>
      <c r="N398" s="585">
        <v>0</v>
      </c>
      <c r="O398" s="585">
        <v>0</v>
      </c>
      <c r="P398" s="585">
        <v>0</v>
      </c>
      <c r="Q398" s="585">
        <v>0</v>
      </c>
      <c r="R398" s="585">
        <v>0</v>
      </c>
      <c r="S398" s="585">
        <v>0</v>
      </c>
      <c r="T398" s="585">
        <v>0</v>
      </c>
      <c r="U398" s="585">
        <v>0</v>
      </c>
      <c r="V398" s="585">
        <v>0</v>
      </c>
      <c r="W398" s="585">
        <v>0</v>
      </c>
      <c r="X398" s="585">
        <v>0</v>
      </c>
      <c r="Y398" s="615">
        <v>0</v>
      </c>
      <c r="Z398" s="615">
        <v>0</v>
      </c>
      <c r="AA398" s="615">
        <v>0</v>
      </c>
      <c r="AB398" s="615">
        <v>0</v>
      </c>
      <c r="AC398" s="615">
        <v>0</v>
      </c>
      <c r="AD398" s="615">
        <v>0</v>
      </c>
      <c r="AE398" s="615">
        <v>0</v>
      </c>
      <c r="AF398" s="615">
        <v>0</v>
      </c>
      <c r="AG398" s="615">
        <v>0</v>
      </c>
      <c r="AH398" s="615">
        <v>0</v>
      </c>
      <c r="AI398" s="615">
        <v>0</v>
      </c>
      <c r="AJ398" s="615">
        <v>0</v>
      </c>
      <c r="AK398" s="615">
        <v>0</v>
      </c>
      <c r="AL398" s="615">
        <v>0</v>
      </c>
      <c r="AM398" s="615">
        <v>0</v>
      </c>
      <c r="AN398" s="615">
        <v>0</v>
      </c>
      <c r="AO398" s="615">
        <v>0</v>
      </c>
      <c r="AP398" s="615">
        <v>0</v>
      </c>
      <c r="AQ398" s="615">
        <v>0</v>
      </c>
      <c r="AR398" s="615">
        <v>0</v>
      </c>
      <c r="AS398" s="615">
        <v>0</v>
      </c>
      <c r="AT398" s="615">
        <v>0</v>
      </c>
      <c r="AU398" s="615">
        <v>0</v>
      </c>
      <c r="AV398" s="615">
        <v>0</v>
      </c>
      <c r="AW398" s="615">
        <v>0</v>
      </c>
      <c r="AX398" s="615">
        <v>0</v>
      </c>
      <c r="AY398" s="615">
        <v>0</v>
      </c>
      <c r="AZ398" s="615">
        <v>0</v>
      </c>
      <c r="BA398" s="615">
        <v>0</v>
      </c>
      <c r="BB398" s="615">
        <v>0</v>
      </c>
      <c r="BC398" s="615">
        <v>0</v>
      </c>
      <c r="BD398" s="615">
        <v>0</v>
      </c>
      <c r="BE398" s="615">
        <v>0</v>
      </c>
      <c r="BF398" s="615">
        <v>0</v>
      </c>
      <c r="BG398" s="615">
        <v>0</v>
      </c>
      <c r="BH398" s="615">
        <v>0</v>
      </c>
      <c r="BI398" s="615">
        <v>0</v>
      </c>
      <c r="BJ398" s="615">
        <v>0</v>
      </c>
      <c r="BK398" s="615">
        <v>0</v>
      </c>
      <c r="BL398" s="615">
        <v>0</v>
      </c>
      <c r="BM398" s="615">
        <v>0</v>
      </c>
      <c r="BN398" s="615">
        <v>0</v>
      </c>
      <c r="BO398" s="615">
        <v>0</v>
      </c>
      <c r="BP398" s="615">
        <v>0</v>
      </c>
      <c r="BQ398" s="615">
        <v>0</v>
      </c>
      <c r="BR398" s="615">
        <v>0</v>
      </c>
      <c r="BS398" s="615">
        <v>0</v>
      </c>
      <c r="BT398" s="615">
        <v>0</v>
      </c>
      <c r="BU398" s="615">
        <v>0</v>
      </c>
      <c r="BV398" s="615">
        <v>0</v>
      </c>
      <c r="BW398" s="615">
        <v>0</v>
      </c>
      <c r="BX398" s="607">
        <f t="shared" si="16"/>
        <v>0</v>
      </c>
    </row>
    <row r="399" spans="1:76" ht="12" customHeight="1" x14ac:dyDescent="0.2">
      <c r="A399" s="902"/>
      <c r="B399" s="611" t="s">
        <v>1235</v>
      </c>
      <c r="C399" s="641" t="s">
        <v>3528</v>
      </c>
      <c r="D399" s="585">
        <v>0</v>
      </c>
      <c r="E399" s="585">
        <v>0</v>
      </c>
      <c r="F399" s="585">
        <v>0</v>
      </c>
      <c r="G399" s="585">
        <v>0</v>
      </c>
      <c r="H399" s="585">
        <v>0</v>
      </c>
      <c r="I399" s="585" t="s">
        <v>1128</v>
      </c>
      <c r="J399" s="585" t="s">
        <v>1128</v>
      </c>
      <c r="K399" s="585" t="s">
        <v>1128</v>
      </c>
      <c r="L399" s="585">
        <v>0</v>
      </c>
      <c r="M399" s="585">
        <v>0</v>
      </c>
      <c r="N399" s="585">
        <v>0</v>
      </c>
      <c r="O399" s="585">
        <v>0</v>
      </c>
      <c r="P399" s="585">
        <v>0</v>
      </c>
      <c r="Q399" s="585">
        <v>0</v>
      </c>
      <c r="R399" s="585">
        <v>0</v>
      </c>
      <c r="S399" s="585">
        <v>0</v>
      </c>
      <c r="T399" s="585">
        <v>0</v>
      </c>
      <c r="U399" s="585">
        <v>0</v>
      </c>
      <c r="V399" s="585">
        <v>0</v>
      </c>
      <c r="W399" s="585">
        <v>0</v>
      </c>
      <c r="X399" s="585">
        <v>0</v>
      </c>
      <c r="Y399" s="615">
        <v>0</v>
      </c>
      <c r="Z399" s="615">
        <v>0</v>
      </c>
      <c r="AA399" s="615">
        <v>0</v>
      </c>
      <c r="AB399" s="615">
        <v>0</v>
      </c>
      <c r="AC399" s="615">
        <v>0</v>
      </c>
      <c r="AD399" s="615">
        <v>0</v>
      </c>
      <c r="AE399" s="615">
        <v>0</v>
      </c>
      <c r="AF399" s="615">
        <v>0</v>
      </c>
      <c r="AG399" s="615">
        <v>0</v>
      </c>
      <c r="AH399" s="615">
        <v>0</v>
      </c>
      <c r="AI399" s="615">
        <v>0</v>
      </c>
      <c r="AJ399" s="615">
        <v>0</v>
      </c>
      <c r="AK399" s="615">
        <v>0</v>
      </c>
      <c r="AL399" s="615">
        <v>0</v>
      </c>
      <c r="AM399" s="615">
        <v>0</v>
      </c>
      <c r="AN399" s="615">
        <v>0</v>
      </c>
      <c r="AO399" s="615">
        <v>0</v>
      </c>
      <c r="AP399" s="615">
        <v>0</v>
      </c>
      <c r="AQ399" s="615">
        <v>0</v>
      </c>
      <c r="AR399" s="615">
        <v>0</v>
      </c>
      <c r="AS399" s="615">
        <v>0</v>
      </c>
      <c r="AT399" s="615">
        <v>0</v>
      </c>
      <c r="AU399" s="615">
        <v>0</v>
      </c>
      <c r="AV399" s="615">
        <v>283576772</v>
      </c>
      <c r="AW399" s="615">
        <v>0</v>
      </c>
      <c r="AX399" s="615">
        <v>0</v>
      </c>
      <c r="AY399" s="615">
        <v>0</v>
      </c>
      <c r="AZ399" s="615">
        <v>0</v>
      </c>
      <c r="BA399" s="615">
        <v>0</v>
      </c>
      <c r="BB399" s="615">
        <v>0</v>
      </c>
      <c r="BC399" s="615">
        <v>0</v>
      </c>
      <c r="BD399" s="615">
        <v>0</v>
      </c>
      <c r="BE399" s="615">
        <v>0</v>
      </c>
      <c r="BF399" s="615">
        <v>0</v>
      </c>
      <c r="BG399" s="615">
        <v>0</v>
      </c>
      <c r="BH399" s="615">
        <v>0</v>
      </c>
      <c r="BI399" s="615">
        <v>0</v>
      </c>
      <c r="BJ399" s="615">
        <v>0</v>
      </c>
      <c r="BK399" s="615">
        <v>0</v>
      </c>
      <c r="BL399" s="615">
        <v>0</v>
      </c>
      <c r="BM399" s="615">
        <v>0</v>
      </c>
      <c r="BN399" s="615">
        <v>0</v>
      </c>
      <c r="BO399" s="615">
        <v>0</v>
      </c>
      <c r="BP399" s="615">
        <v>0</v>
      </c>
      <c r="BQ399" s="615">
        <v>0</v>
      </c>
      <c r="BR399" s="615">
        <v>0</v>
      </c>
      <c r="BS399" s="615">
        <v>0</v>
      </c>
      <c r="BT399" s="615">
        <v>0</v>
      </c>
      <c r="BU399" s="615">
        <v>0</v>
      </c>
      <c r="BV399" s="615">
        <v>0</v>
      </c>
      <c r="BW399" s="615">
        <v>0</v>
      </c>
      <c r="BX399" s="607">
        <f t="shared" si="16"/>
        <v>283576772</v>
      </c>
    </row>
    <row r="400" spans="1:76" ht="12" customHeight="1" x14ac:dyDescent="0.2">
      <c r="A400" s="902"/>
      <c r="B400" s="611" t="s">
        <v>1236</v>
      </c>
      <c r="C400" s="641" t="s">
        <v>3529</v>
      </c>
      <c r="D400" s="585">
        <v>0</v>
      </c>
      <c r="E400" s="585">
        <v>0</v>
      </c>
      <c r="F400" s="585">
        <v>0</v>
      </c>
      <c r="G400" s="585">
        <v>0</v>
      </c>
      <c r="H400" s="585">
        <v>0</v>
      </c>
      <c r="I400" s="585" t="s">
        <v>1128</v>
      </c>
      <c r="J400" s="585" t="s">
        <v>1128</v>
      </c>
      <c r="K400" s="585">
        <v>0</v>
      </c>
      <c r="L400" s="585">
        <v>0</v>
      </c>
      <c r="M400" s="585">
        <v>0</v>
      </c>
      <c r="N400" s="585">
        <v>0</v>
      </c>
      <c r="O400" s="585">
        <v>0</v>
      </c>
      <c r="P400" s="585">
        <v>0</v>
      </c>
      <c r="Q400" s="585">
        <v>0</v>
      </c>
      <c r="R400" s="585">
        <v>0</v>
      </c>
      <c r="S400" s="585">
        <v>0</v>
      </c>
      <c r="T400" s="585">
        <v>0</v>
      </c>
      <c r="U400" s="585">
        <v>0</v>
      </c>
      <c r="V400" s="585">
        <v>0</v>
      </c>
      <c r="W400" s="585">
        <v>0</v>
      </c>
      <c r="X400" s="585">
        <v>0</v>
      </c>
      <c r="Y400" s="615">
        <v>0</v>
      </c>
      <c r="Z400" s="615">
        <v>0</v>
      </c>
      <c r="AA400" s="615">
        <v>0</v>
      </c>
      <c r="AB400" s="615">
        <v>0</v>
      </c>
      <c r="AC400" s="615">
        <v>0</v>
      </c>
      <c r="AD400" s="615">
        <v>0</v>
      </c>
      <c r="AE400" s="615">
        <v>0</v>
      </c>
      <c r="AF400" s="615">
        <v>0</v>
      </c>
      <c r="AG400" s="615">
        <v>0</v>
      </c>
      <c r="AH400" s="615">
        <v>0</v>
      </c>
      <c r="AI400" s="615">
        <v>0</v>
      </c>
      <c r="AJ400" s="615">
        <v>0</v>
      </c>
      <c r="AK400" s="615">
        <v>0</v>
      </c>
      <c r="AL400" s="615">
        <v>0</v>
      </c>
      <c r="AM400" s="615">
        <v>0</v>
      </c>
      <c r="AN400" s="615">
        <v>0</v>
      </c>
      <c r="AO400" s="615">
        <v>0</v>
      </c>
      <c r="AP400" s="615">
        <v>0</v>
      </c>
      <c r="AQ400" s="615">
        <v>0</v>
      </c>
      <c r="AR400" s="615">
        <v>0</v>
      </c>
      <c r="AS400" s="615">
        <v>0</v>
      </c>
      <c r="AT400" s="615">
        <v>0</v>
      </c>
      <c r="AU400" s="615">
        <v>0</v>
      </c>
      <c r="AV400" s="615">
        <v>0</v>
      </c>
      <c r="AW400" s="615">
        <v>0</v>
      </c>
      <c r="AX400" s="615">
        <v>0</v>
      </c>
      <c r="AY400" s="615">
        <v>0</v>
      </c>
      <c r="AZ400" s="615">
        <v>0</v>
      </c>
      <c r="BA400" s="615">
        <v>0</v>
      </c>
      <c r="BB400" s="615">
        <v>0</v>
      </c>
      <c r="BC400" s="615">
        <v>0</v>
      </c>
      <c r="BD400" s="615">
        <v>0</v>
      </c>
      <c r="BE400" s="615">
        <v>0</v>
      </c>
      <c r="BF400" s="615">
        <v>0</v>
      </c>
      <c r="BG400" s="615">
        <v>0</v>
      </c>
      <c r="BH400" s="615">
        <v>0</v>
      </c>
      <c r="BI400" s="615">
        <v>0</v>
      </c>
      <c r="BJ400" s="615">
        <v>0</v>
      </c>
      <c r="BK400" s="615">
        <v>0</v>
      </c>
      <c r="BL400" s="615">
        <v>0</v>
      </c>
      <c r="BM400" s="615">
        <v>0</v>
      </c>
      <c r="BN400" s="615">
        <v>0</v>
      </c>
      <c r="BO400" s="615">
        <v>0</v>
      </c>
      <c r="BP400" s="615">
        <v>0</v>
      </c>
      <c r="BQ400" s="615">
        <v>0</v>
      </c>
      <c r="BR400" s="615">
        <v>0</v>
      </c>
      <c r="BS400" s="615">
        <v>0</v>
      </c>
      <c r="BT400" s="615">
        <v>0</v>
      </c>
      <c r="BU400" s="615">
        <v>0</v>
      </c>
      <c r="BV400" s="615">
        <v>0</v>
      </c>
      <c r="BW400" s="615">
        <v>0</v>
      </c>
      <c r="BX400" s="607">
        <f t="shared" si="16"/>
        <v>0</v>
      </c>
    </row>
    <row r="401" spans="1:76" ht="12" customHeight="1" x14ac:dyDescent="0.2">
      <c r="A401" s="902"/>
      <c r="B401" s="611" t="s">
        <v>1119</v>
      </c>
      <c r="C401" s="641" t="s">
        <v>3530</v>
      </c>
      <c r="D401" s="585">
        <v>0</v>
      </c>
      <c r="E401" s="585">
        <v>0</v>
      </c>
      <c r="F401" s="585">
        <v>0</v>
      </c>
      <c r="G401" s="585">
        <v>0</v>
      </c>
      <c r="H401" s="585">
        <v>0</v>
      </c>
      <c r="I401" s="585">
        <v>0</v>
      </c>
      <c r="J401" s="585">
        <v>0</v>
      </c>
      <c r="K401" s="585" t="s">
        <v>1128</v>
      </c>
      <c r="L401" s="585">
        <v>0</v>
      </c>
      <c r="M401" s="585">
        <v>0</v>
      </c>
      <c r="N401" s="585">
        <v>0</v>
      </c>
      <c r="O401" s="585">
        <v>0</v>
      </c>
      <c r="P401" s="585">
        <v>0</v>
      </c>
      <c r="Q401" s="585">
        <v>0</v>
      </c>
      <c r="R401" s="585">
        <v>0</v>
      </c>
      <c r="S401" s="585">
        <v>0</v>
      </c>
      <c r="T401" s="585">
        <v>0</v>
      </c>
      <c r="U401" s="585">
        <v>0</v>
      </c>
      <c r="V401" s="585">
        <v>0</v>
      </c>
      <c r="W401" s="585">
        <v>0</v>
      </c>
      <c r="X401" s="585">
        <v>0</v>
      </c>
      <c r="Y401" s="615">
        <v>0</v>
      </c>
      <c r="Z401" s="615">
        <v>0</v>
      </c>
      <c r="AA401" s="615">
        <v>0</v>
      </c>
      <c r="AB401" s="615">
        <v>0</v>
      </c>
      <c r="AC401" s="615">
        <v>0</v>
      </c>
      <c r="AD401" s="615">
        <v>0</v>
      </c>
      <c r="AE401" s="615">
        <v>0</v>
      </c>
      <c r="AF401" s="615">
        <v>0</v>
      </c>
      <c r="AG401" s="615">
        <v>0</v>
      </c>
      <c r="AH401" s="615">
        <v>0</v>
      </c>
      <c r="AI401" s="615">
        <v>0</v>
      </c>
      <c r="AJ401" s="615">
        <v>0</v>
      </c>
      <c r="AK401" s="615">
        <v>0</v>
      </c>
      <c r="AL401" s="615">
        <v>0</v>
      </c>
      <c r="AM401" s="615">
        <v>0</v>
      </c>
      <c r="AN401" s="615">
        <v>0</v>
      </c>
      <c r="AO401" s="615">
        <v>0</v>
      </c>
      <c r="AP401" s="615">
        <v>0</v>
      </c>
      <c r="AQ401" s="615">
        <v>0</v>
      </c>
      <c r="AR401" s="615">
        <v>0</v>
      </c>
      <c r="AS401" s="615">
        <v>0</v>
      </c>
      <c r="AT401" s="615">
        <v>0</v>
      </c>
      <c r="AU401" s="615">
        <v>0</v>
      </c>
      <c r="AV401" s="615">
        <v>221525500</v>
      </c>
      <c r="AW401" s="615">
        <v>0</v>
      </c>
      <c r="AX401" s="615">
        <v>0</v>
      </c>
      <c r="AY401" s="615">
        <v>0</v>
      </c>
      <c r="AZ401" s="615">
        <v>0</v>
      </c>
      <c r="BA401" s="615">
        <v>0</v>
      </c>
      <c r="BB401" s="615">
        <v>0</v>
      </c>
      <c r="BC401" s="615">
        <v>0</v>
      </c>
      <c r="BD401" s="615">
        <v>0</v>
      </c>
      <c r="BE401" s="615">
        <v>0</v>
      </c>
      <c r="BF401" s="615">
        <v>0</v>
      </c>
      <c r="BG401" s="615">
        <v>0</v>
      </c>
      <c r="BH401" s="615">
        <v>0</v>
      </c>
      <c r="BI401" s="615">
        <v>0</v>
      </c>
      <c r="BJ401" s="615">
        <v>0</v>
      </c>
      <c r="BK401" s="615">
        <v>0</v>
      </c>
      <c r="BL401" s="615">
        <v>0</v>
      </c>
      <c r="BM401" s="615">
        <v>0</v>
      </c>
      <c r="BN401" s="615">
        <v>0</v>
      </c>
      <c r="BO401" s="615">
        <v>0</v>
      </c>
      <c r="BP401" s="615">
        <v>0</v>
      </c>
      <c r="BQ401" s="615">
        <v>0</v>
      </c>
      <c r="BR401" s="615">
        <v>0</v>
      </c>
      <c r="BS401" s="615">
        <v>0</v>
      </c>
      <c r="BT401" s="615">
        <v>0</v>
      </c>
      <c r="BU401" s="615">
        <v>0</v>
      </c>
      <c r="BV401" s="615">
        <v>0</v>
      </c>
      <c r="BW401" s="615">
        <v>0</v>
      </c>
      <c r="BX401" s="607">
        <f t="shared" si="16"/>
        <v>221525500</v>
      </c>
    </row>
    <row r="402" spans="1:76" ht="12" customHeight="1" x14ac:dyDescent="0.2">
      <c r="A402" s="902"/>
      <c r="B402" s="611" t="s">
        <v>1118</v>
      </c>
      <c r="C402" s="641" t="s">
        <v>3531</v>
      </c>
      <c r="D402" s="585">
        <v>0</v>
      </c>
      <c r="E402" s="585">
        <v>0</v>
      </c>
      <c r="F402" s="585">
        <v>0</v>
      </c>
      <c r="G402" s="585">
        <v>0</v>
      </c>
      <c r="H402" s="585">
        <v>0</v>
      </c>
      <c r="I402" s="585" t="s">
        <v>1128</v>
      </c>
      <c r="J402" s="585">
        <v>0</v>
      </c>
      <c r="K402" s="585">
        <v>0</v>
      </c>
      <c r="L402" s="585">
        <v>0</v>
      </c>
      <c r="M402" s="585">
        <v>0</v>
      </c>
      <c r="N402" s="585">
        <v>0</v>
      </c>
      <c r="O402" s="585">
        <v>0</v>
      </c>
      <c r="P402" s="585">
        <v>0</v>
      </c>
      <c r="Q402" s="585">
        <v>0</v>
      </c>
      <c r="R402" s="585">
        <v>0</v>
      </c>
      <c r="S402" s="585">
        <v>0</v>
      </c>
      <c r="T402" s="585">
        <v>0</v>
      </c>
      <c r="U402" s="585">
        <v>0</v>
      </c>
      <c r="V402" s="585">
        <v>0</v>
      </c>
      <c r="W402" s="585">
        <v>0</v>
      </c>
      <c r="X402" s="585">
        <v>0</v>
      </c>
      <c r="Y402" s="615">
        <v>0</v>
      </c>
      <c r="Z402" s="615">
        <v>0</v>
      </c>
      <c r="AA402" s="615">
        <v>0</v>
      </c>
      <c r="AB402" s="615">
        <v>0</v>
      </c>
      <c r="AC402" s="615">
        <v>0</v>
      </c>
      <c r="AD402" s="615">
        <v>0</v>
      </c>
      <c r="AE402" s="615">
        <v>0</v>
      </c>
      <c r="AF402" s="615">
        <v>0</v>
      </c>
      <c r="AG402" s="615">
        <v>0</v>
      </c>
      <c r="AH402" s="615">
        <v>0</v>
      </c>
      <c r="AI402" s="615">
        <v>0</v>
      </c>
      <c r="AJ402" s="615">
        <v>0</v>
      </c>
      <c r="AK402" s="615">
        <v>0</v>
      </c>
      <c r="AL402" s="615">
        <v>0</v>
      </c>
      <c r="AM402" s="615">
        <v>0</v>
      </c>
      <c r="AN402" s="615">
        <v>0</v>
      </c>
      <c r="AO402" s="615">
        <v>0</v>
      </c>
      <c r="AP402" s="615">
        <v>0</v>
      </c>
      <c r="AQ402" s="615">
        <v>0</v>
      </c>
      <c r="AR402" s="615">
        <v>0</v>
      </c>
      <c r="AS402" s="615">
        <v>0</v>
      </c>
      <c r="AT402" s="615">
        <v>0</v>
      </c>
      <c r="AU402" s="615">
        <v>0</v>
      </c>
      <c r="AV402" s="615">
        <v>257156200</v>
      </c>
      <c r="AW402" s="615">
        <v>0</v>
      </c>
      <c r="AX402" s="615">
        <v>0</v>
      </c>
      <c r="AY402" s="615">
        <v>0</v>
      </c>
      <c r="AZ402" s="615">
        <v>0</v>
      </c>
      <c r="BA402" s="615">
        <v>0</v>
      </c>
      <c r="BB402" s="615">
        <v>0</v>
      </c>
      <c r="BC402" s="615">
        <v>0</v>
      </c>
      <c r="BD402" s="615">
        <v>0</v>
      </c>
      <c r="BE402" s="615">
        <v>0</v>
      </c>
      <c r="BF402" s="615">
        <v>0</v>
      </c>
      <c r="BG402" s="615">
        <v>0</v>
      </c>
      <c r="BH402" s="615">
        <v>0</v>
      </c>
      <c r="BI402" s="615">
        <v>0</v>
      </c>
      <c r="BJ402" s="615">
        <v>0</v>
      </c>
      <c r="BK402" s="615">
        <v>0</v>
      </c>
      <c r="BL402" s="615">
        <v>0</v>
      </c>
      <c r="BM402" s="615">
        <v>0</v>
      </c>
      <c r="BN402" s="615">
        <v>0</v>
      </c>
      <c r="BO402" s="615">
        <v>0</v>
      </c>
      <c r="BP402" s="615">
        <v>0</v>
      </c>
      <c r="BQ402" s="615">
        <v>0</v>
      </c>
      <c r="BR402" s="615">
        <v>0</v>
      </c>
      <c r="BS402" s="615">
        <v>0</v>
      </c>
      <c r="BT402" s="615">
        <v>0</v>
      </c>
      <c r="BU402" s="615">
        <v>0</v>
      </c>
      <c r="BV402" s="615">
        <v>0</v>
      </c>
      <c r="BW402" s="615">
        <v>0</v>
      </c>
      <c r="BX402" s="607">
        <f t="shared" si="16"/>
        <v>257156200</v>
      </c>
    </row>
    <row r="403" spans="1:76" ht="12" customHeight="1" x14ac:dyDescent="0.2">
      <c r="A403" s="902"/>
      <c r="B403" s="611" t="s">
        <v>4373</v>
      </c>
      <c r="C403" s="641" t="s">
        <v>4372</v>
      </c>
      <c r="D403" s="585">
        <v>0</v>
      </c>
      <c r="E403" s="585">
        <v>0</v>
      </c>
      <c r="F403" s="585">
        <v>0</v>
      </c>
      <c r="G403" s="585">
        <v>0</v>
      </c>
      <c r="H403" s="585">
        <v>0</v>
      </c>
      <c r="I403" s="585">
        <v>0</v>
      </c>
      <c r="J403" s="585">
        <v>0</v>
      </c>
      <c r="K403" s="585">
        <v>0</v>
      </c>
      <c r="L403" s="585">
        <v>0</v>
      </c>
      <c r="M403" s="585">
        <v>0</v>
      </c>
      <c r="N403" s="585">
        <v>0</v>
      </c>
      <c r="O403" s="585">
        <v>0</v>
      </c>
      <c r="P403" s="585">
        <v>0</v>
      </c>
      <c r="Q403" s="585">
        <v>0</v>
      </c>
      <c r="R403" s="585">
        <v>0</v>
      </c>
      <c r="S403" s="585">
        <v>0</v>
      </c>
      <c r="T403" s="585">
        <v>0</v>
      </c>
      <c r="U403" s="585">
        <v>0</v>
      </c>
      <c r="V403" s="585">
        <v>0</v>
      </c>
      <c r="W403" s="585">
        <v>0</v>
      </c>
      <c r="X403" s="585">
        <v>0</v>
      </c>
      <c r="Y403" s="615">
        <v>0</v>
      </c>
      <c r="Z403" s="615">
        <v>0</v>
      </c>
      <c r="AA403" s="615">
        <v>0</v>
      </c>
      <c r="AB403" s="615">
        <v>0</v>
      </c>
      <c r="AC403" s="615">
        <v>0</v>
      </c>
      <c r="AD403" s="615">
        <v>0</v>
      </c>
      <c r="AE403" s="615">
        <v>0</v>
      </c>
      <c r="AF403" s="615">
        <v>0</v>
      </c>
      <c r="AG403" s="615">
        <v>0</v>
      </c>
      <c r="AH403" s="615">
        <v>0</v>
      </c>
      <c r="AI403" s="615">
        <v>0</v>
      </c>
      <c r="AJ403" s="615">
        <v>0</v>
      </c>
      <c r="AK403" s="615">
        <v>0</v>
      </c>
      <c r="AL403" s="615">
        <v>0</v>
      </c>
      <c r="AM403" s="615">
        <v>0</v>
      </c>
      <c r="AN403" s="615">
        <v>0</v>
      </c>
      <c r="AO403" s="615">
        <v>0</v>
      </c>
      <c r="AP403" s="615">
        <v>0</v>
      </c>
      <c r="AQ403" s="615">
        <v>0</v>
      </c>
      <c r="AR403" s="615">
        <v>0</v>
      </c>
      <c r="AS403" s="615">
        <v>0</v>
      </c>
      <c r="AT403" s="615">
        <v>0</v>
      </c>
      <c r="AU403" s="615">
        <v>0</v>
      </c>
      <c r="AV403" s="615">
        <v>0</v>
      </c>
      <c r="AW403" s="615">
        <v>5831809</v>
      </c>
      <c r="AX403" s="615">
        <v>5831809</v>
      </c>
      <c r="AY403" s="615">
        <v>5831809</v>
      </c>
      <c r="AZ403" s="615">
        <v>5831809</v>
      </c>
      <c r="BA403" s="615">
        <v>5831809</v>
      </c>
      <c r="BB403" s="615">
        <v>5831809</v>
      </c>
      <c r="BC403" s="615">
        <v>5831809</v>
      </c>
      <c r="BD403" s="615">
        <v>5831809</v>
      </c>
      <c r="BE403" s="615">
        <v>5831817</v>
      </c>
      <c r="BF403" s="615">
        <v>524864599</v>
      </c>
      <c r="BG403" s="615">
        <v>0</v>
      </c>
      <c r="BH403" s="615">
        <v>0</v>
      </c>
      <c r="BI403" s="615">
        <v>0</v>
      </c>
      <c r="BJ403" s="615">
        <v>0</v>
      </c>
      <c r="BK403" s="615">
        <v>0</v>
      </c>
      <c r="BL403" s="615">
        <v>0</v>
      </c>
      <c r="BM403" s="615">
        <v>0</v>
      </c>
      <c r="BN403" s="615">
        <v>0</v>
      </c>
      <c r="BO403" s="615">
        <v>0</v>
      </c>
      <c r="BP403" s="615">
        <v>0</v>
      </c>
      <c r="BQ403" s="615">
        <v>0</v>
      </c>
      <c r="BR403" s="615">
        <v>0</v>
      </c>
      <c r="BS403" s="615">
        <v>0</v>
      </c>
      <c r="BT403" s="615">
        <v>0</v>
      </c>
      <c r="BU403" s="615">
        <v>0</v>
      </c>
      <c r="BV403" s="615">
        <v>0</v>
      </c>
      <c r="BW403" s="615">
        <v>0</v>
      </c>
      <c r="BX403" s="607">
        <f t="shared" si="16"/>
        <v>577350888</v>
      </c>
    </row>
    <row r="404" spans="1:76" ht="12" customHeight="1" x14ac:dyDescent="0.2">
      <c r="A404" s="902"/>
      <c r="B404" s="611" t="s">
        <v>1120</v>
      </c>
      <c r="C404" s="641" t="s">
        <v>3532</v>
      </c>
      <c r="D404" s="585">
        <v>0</v>
      </c>
      <c r="E404" s="585">
        <v>0</v>
      </c>
      <c r="F404" s="585">
        <v>0</v>
      </c>
      <c r="G404" s="585">
        <v>0</v>
      </c>
      <c r="H404" s="585">
        <v>0</v>
      </c>
      <c r="I404" s="585">
        <v>0</v>
      </c>
      <c r="J404" s="585">
        <v>0</v>
      </c>
      <c r="K404" s="585">
        <v>0</v>
      </c>
      <c r="L404" s="585">
        <v>0</v>
      </c>
      <c r="M404" s="585">
        <v>0</v>
      </c>
      <c r="N404" s="585">
        <v>0</v>
      </c>
      <c r="O404" s="585">
        <v>0</v>
      </c>
      <c r="P404" s="585">
        <v>0</v>
      </c>
      <c r="Q404" s="585">
        <v>0</v>
      </c>
      <c r="R404" s="585">
        <v>0</v>
      </c>
      <c r="S404" s="585">
        <v>0</v>
      </c>
      <c r="T404" s="585">
        <v>0</v>
      </c>
      <c r="U404" s="585">
        <v>0</v>
      </c>
      <c r="V404" s="585">
        <v>0</v>
      </c>
      <c r="W404" s="585">
        <v>0</v>
      </c>
      <c r="X404" s="585">
        <v>0</v>
      </c>
      <c r="Y404" s="615">
        <v>0</v>
      </c>
      <c r="Z404" s="615">
        <v>0</v>
      </c>
      <c r="AA404" s="615">
        <v>0</v>
      </c>
      <c r="AB404" s="615">
        <v>0</v>
      </c>
      <c r="AC404" s="615">
        <v>0</v>
      </c>
      <c r="AD404" s="615">
        <v>0</v>
      </c>
      <c r="AE404" s="615">
        <v>0</v>
      </c>
      <c r="AF404" s="615">
        <v>0</v>
      </c>
      <c r="AG404" s="615">
        <v>0</v>
      </c>
      <c r="AH404" s="615">
        <v>0</v>
      </c>
      <c r="AI404" s="615">
        <v>0</v>
      </c>
      <c r="AJ404" s="615">
        <v>0</v>
      </c>
      <c r="AK404" s="615">
        <v>0</v>
      </c>
      <c r="AL404" s="615">
        <v>0</v>
      </c>
      <c r="AM404" s="615">
        <v>0</v>
      </c>
      <c r="AN404" s="615">
        <v>0</v>
      </c>
      <c r="AO404" s="615">
        <v>0</v>
      </c>
      <c r="AP404" s="615">
        <v>0</v>
      </c>
      <c r="AQ404" s="615">
        <v>0</v>
      </c>
      <c r="AR404" s="615">
        <v>0</v>
      </c>
      <c r="AS404" s="615">
        <v>0</v>
      </c>
      <c r="AT404" s="615">
        <v>0</v>
      </c>
      <c r="AU404" s="615">
        <v>0</v>
      </c>
      <c r="AV404" s="615">
        <v>170215625</v>
      </c>
      <c r="AW404" s="615">
        <v>0</v>
      </c>
      <c r="AX404" s="615">
        <v>0</v>
      </c>
      <c r="AY404" s="615">
        <v>0</v>
      </c>
      <c r="AZ404" s="615">
        <v>0</v>
      </c>
      <c r="BA404" s="615">
        <v>0</v>
      </c>
      <c r="BB404" s="615">
        <v>0</v>
      </c>
      <c r="BC404" s="615">
        <v>0</v>
      </c>
      <c r="BD404" s="615">
        <v>0</v>
      </c>
      <c r="BE404" s="615">
        <v>0</v>
      </c>
      <c r="BF404" s="615">
        <v>0</v>
      </c>
      <c r="BG404" s="615">
        <v>0</v>
      </c>
      <c r="BH404" s="615">
        <v>0</v>
      </c>
      <c r="BI404" s="615">
        <v>0</v>
      </c>
      <c r="BJ404" s="615">
        <v>0</v>
      </c>
      <c r="BK404" s="615">
        <v>0</v>
      </c>
      <c r="BL404" s="615">
        <v>0</v>
      </c>
      <c r="BM404" s="615">
        <v>0</v>
      </c>
      <c r="BN404" s="615">
        <v>0</v>
      </c>
      <c r="BO404" s="615">
        <v>0</v>
      </c>
      <c r="BP404" s="615">
        <v>0</v>
      </c>
      <c r="BQ404" s="615">
        <v>0</v>
      </c>
      <c r="BR404" s="615">
        <v>0</v>
      </c>
      <c r="BS404" s="615">
        <v>0</v>
      </c>
      <c r="BT404" s="615">
        <v>0</v>
      </c>
      <c r="BU404" s="615">
        <v>0</v>
      </c>
      <c r="BV404" s="615">
        <v>0</v>
      </c>
      <c r="BW404" s="615">
        <v>0</v>
      </c>
      <c r="BX404" s="607">
        <f t="shared" si="16"/>
        <v>170215625</v>
      </c>
    </row>
    <row r="405" spans="1:76" ht="12" customHeight="1" x14ac:dyDescent="0.2">
      <c r="A405" s="902"/>
      <c r="B405" s="611" t="s">
        <v>1148</v>
      </c>
      <c r="C405" s="641" t="s">
        <v>3533</v>
      </c>
      <c r="D405" s="585">
        <v>0</v>
      </c>
      <c r="E405" s="585">
        <v>0</v>
      </c>
      <c r="F405" s="585">
        <v>0</v>
      </c>
      <c r="G405" s="585">
        <v>0</v>
      </c>
      <c r="H405" s="585">
        <v>0</v>
      </c>
      <c r="I405" s="585" t="s">
        <v>1128</v>
      </c>
      <c r="J405" s="585" t="s">
        <v>1128</v>
      </c>
      <c r="K405" s="585">
        <v>0</v>
      </c>
      <c r="L405" s="585">
        <v>0</v>
      </c>
      <c r="M405" s="585">
        <v>0</v>
      </c>
      <c r="N405" s="585">
        <v>0</v>
      </c>
      <c r="O405" s="585">
        <v>0</v>
      </c>
      <c r="P405" s="585">
        <v>0</v>
      </c>
      <c r="Q405" s="585">
        <v>0</v>
      </c>
      <c r="R405" s="585">
        <v>0</v>
      </c>
      <c r="S405" s="585">
        <v>0</v>
      </c>
      <c r="T405" s="585">
        <v>0</v>
      </c>
      <c r="U405" s="585">
        <v>0</v>
      </c>
      <c r="V405" s="585">
        <v>0</v>
      </c>
      <c r="W405" s="585">
        <v>0</v>
      </c>
      <c r="X405" s="585">
        <v>0</v>
      </c>
      <c r="Y405" s="615">
        <v>0</v>
      </c>
      <c r="Z405" s="615">
        <v>0</v>
      </c>
      <c r="AA405" s="615">
        <v>0</v>
      </c>
      <c r="AB405" s="615">
        <v>0</v>
      </c>
      <c r="AC405" s="615">
        <v>0</v>
      </c>
      <c r="AD405" s="615">
        <v>0</v>
      </c>
      <c r="AE405" s="615">
        <v>0</v>
      </c>
      <c r="AF405" s="615">
        <v>0</v>
      </c>
      <c r="AG405" s="615">
        <v>0</v>
      </c>
      <c r="AH405" s="615">
        <v>0</v>
      </c>
      <c r="AI405" s="615">
        <v>0</v>
      </c>
      <c r="AJ405" s="615">
        <v>0</v>
      </c>
      <c r="AK405" s="615">
        <v>0</v>
      </c>
      <c r="AL405" s="615">
        <v>0</v>
      </c>
      <c r="AM405" s="615">
        <v>0</v>
      </c>
      <c r="AN405" s="615">
        <v>0</v>
      </c>
      <c r="AO405" s="615">
        <v>0</v>
      </c>
      <c r="AP405" s="615">
        <v>0</v>
      </c>
      <c r="AQ405" s="615">
        <v>0</v>
      </c>
      <c r="AR405" s="615">
        <v>0</v>
      </c>
      <c r="AS405" s="615">
        <v>0</v>
      </c>
      <c r="AT405" s="615">
        <v>280096250</v>
      </c>
      <c r="AU405" s="615">
        <v>0</v>
      </c>
      <c r="AV405" s="615">
        <v>0</v>
      </c>
      <c r="AW405" s="615">
        <v>0</v>
      </c>
      <c r="AX405" s="615">
        <v>0</v>
      </c>
      <c r="AY405" s="615">
        <v>0</v>
      </c>
      <c r="AZ405" s="615">
        <v>0</v>
      </c>
      <c r="BA405" s="615">
        <v>0</v>
      </c>
      <c r="BB405" s="615">
        <v>0</v>
      </c>
      <c r="BC405" s="615">
        <v>0</v>
      </c>
      <c r="BD405" s="615">
        <v>0</v>
      </c>
      <c r="BE405" s="615">
        <v>0</v>
      </c>
      <c r="BF405" s="615">
        <v>0</v>
      </c>
      <c r="BG405" s="615">
        <v>0</v>
      </c>
      <c r="BH405" s="615">
        <v>0</v>
      </c>
      <c r="BI405" s="615">
        <v>0</v>
      </c>
      <c r="BJ405" s="615">
        <v>0</v>
      </c>
      <c r="BK405" s="615">
        <v>0</v>
      </c>
      <c r="BL405" s="615">
        <v>0</v>
      </c>
      <c r="BM405" s="615">
        <v>0</v>
      </c>
      <c r="BN405" s="615">
        <v>0</v>
      </c>
      <c r="BO405" s="615">
        <v>0</v>
      </c>
      <c r="BP405" s="615">
        <v>0</v>
      </c>
      <c r="BQ405" s="615">
        <v>0</v>
      </c>
      <c r="BR405" s="615">
        <v>0</v>
      </c>
      <c r="BS405" s="615">
        <v>0</v>
      </c>
      <c r="BT405" s="615">
        <v>0</v>
      </c>
      <c r="BU405" s="615">
        <v>0</v>
      </c>
      <c r="BV405" s="615">
        <v>0</v>
      </c>
      <c r="BW405" s="615">
        <v>0</v>
      </c>
      <c r="BX405" s="607">
        <f t="shared" si="16"/>
        <v>280096250</v>
      </c>
    </row>
    <row r="406" spans="1:76" ht="12" customHeight="1" x14ac:dyDescent="0.2">
      <c r="A406" s="902"/>
      <c r="B406" s="611" t="s">
        <v>1091</v>
      </c>
      <c r="C406" s="641" t="s">
        <v>3534</v>
      </c>
      <c r="D406" s="585">
        <v>0</v>
      </c>
      <c r="E406" s="585">
        <v>0</v>
      </c>
      <c r="F406" s="585">
        <v>0</v>
      </c>
      <c r="G406" s="585">
        <v>0</v>
      </c>
      <c r="H406" s="585">
        <v>0</v>
      </c>
      <c r="I406" s="585">
        <v>0</v>
      </c>
      <c r="J406" s="585">
        <v>0</v>
      </c>
      <c r="K406" s="585" t="s">
        <v>1128</v>
      </c>
      <c r="L406" s="585">
        <v>0</v>
      </c>
      <c r="M406" s="585">
        <v>0</v>
      </c>
      <c r="N406" s="585">
        <v>0</v>
      </c>
      <c r="O406" s="585">
        <v>0</v>
      </c>
      <c r="P406" s="585">
        <v>0</v>
      </c>
      <c r="Q406" s="585">
        <v>0</v>
      </c>
      <c r="R406" s="585">
        <v>0</v>
      </c>
      <c r="S406" s="585">
        <v>0</v>
      </c>
      <c r="T406" s="585">
        <v>0</v>
      </c>
      <c r="U406" s="585">
        <v>0</v>
      </c>
      <c r="V406" s="585">
        <v>0</v>
      </c>
      <c r="W406" s="585">
        <v>0</v>
      </c>
      <c r="X406" s="585">
        <v>0</v>
      </c>
      <c r="Y406" s="615">
        <v>0</v>
      </c>
      <c r="Z406" s="615">
        <v>0</v>
      </c>
      <c r="AA406" s="615">
        <v>0</v>
      </c>
      <c r="AB406" s="615">
        <v>0</v>
      </c>
      <c r="AC406" s="615">
        <v>0</v>
      </c>
      <c r="AD406" s="615">
        <v>0</v>
      </c>
      <c r="AE406" s="615">
        <v>0</v>
      </c>
      <c r="AF406" s="615">
        <v>0</v>
      </c>
      <c r="AG406" s="615">
        <v>0</v>
      </c>
      <c r="AH406" s="615">
        <v>0</v>
      </c>
      <c r="AI406" s="615">
        <v>0</v>
      </c>
      <c r="AJ406" s="615">
        <v>0</v>
      </c>
      <c r="AK406" s="615">
        <v>0</v>
      </c>
      <c r="AL406" s="615">
        <v>0</v>
      </c>
      <c r="AM406" s="615">
        <v>0</v>
      </c>
      <c r="AN406" s="615">
        <v>0</v>
      </c>
      <c r="AO406" s="615">
        <v>0</v>
      </c>
      <c r="AP406" s="615">
        <v>0</v>
      </c>
      <c r="AQ406" s="615">
        <v>0</v>
      </c>
      <c r="AR406" s="615">
        <v>0</v>
      </c>
      <c r="AS406" s="615">
        <v>0</v>
      </c>
      <c r="AT406" s="615">
        <v>0</v>
      </c>
      <c r="AU406" s="615">
        <v>0</v>
      </c>
      <c r="AV406" s="615">
        <v>227934308</v>
      </c>
      <c r="AW406" s="615">
        <v>0</v>
      </c>
      <c r="AX406" s="615">
        <v>0</v>
      </c>
      <c r="AY406" s="615">
        <v>0</v>
      </c>
      <c r="AZ406" s="615">
        <v>0</v>
      </c>
      <c r="BA406" s="615">
        <v>0</v>
      </c>
      <c r="BB406" s="615">
        <v>0</v>
      </c>
      <c r="BC406" s="615">
        <v>0</v>
      </c>
      <c r="BD406" s="615">
        <v>0</v>
      </c>
      <c r="BE406" s="615">
        <v>0</v>
      </c>
      <c r="BF406" s="615">
        <v>0</v>
      </c>
      <c r="BG406" s="615">
        <v>0</v>
      </c>
      <c r="BH406" s="615">
        <v>0</v>
      </c>
      <c r="BI406" s="615">
        <v>0</v>
      </c>
      <c r="BJ406" s="615">
        <v>0</v>
      </c>
      <c r="BK406" s="615">
        <v>0</v>
      </c>
      <c r="BL406" s="615">
        <v>0</v>
      </c>
      <c r="BM406" s="615">
        <v>0</v>
      </c>
      <c r="BN406" s="615">
        <v>0</v>
      </c>
      <c r="BO406" s="615">
        <v>0</v>
      </c>
      <c r="BP406" s="615">
        <v>0</v>
      </c>
      <c r="BQ406" s="615">
        <v>0</v>
      </c>
      <c r="BR406" s="615">
        <v>0</v>
      </c>
      <c r="BS406" s="615">
        <v>0</v>
      </c>
      <c r="BT406" s="615">
        <v>0</v>
      </c>
      <c r="BU406" s="615">
        <v>0</v>
      </c>
      <c r="BV406" s="615">
        <v>0</v>
      </c>
      <c r="BW406" s="615">
        <v>0</v>
      </c>
      <c r="BX406" s="607">
        <f t="shared" si="16"/>
        <v>227934308</v>
      </c>
    </row>
    <row r="407" spans="1:76" ht="12" customHeight="1" x14ac:dyDescent="0.2">
      <c r="A407" s="902"/>
      <c r="B407" s="611" t="s">
        <v>1237</v>
      </c>
      <c r="C407" s="641" t="s">
        <v>3535</v>
      </c>
      <c r="D407" s="585">
        <v>0</v>
      </c>
      <c r="E407" s="585">
        <v>0</v>
      </c>
      <c r="F407" s="585">
        <v>0</v>
      </c>
      <c r="G407" s="585">
        <v>0</v>
      </c>
      <c r="H407" s="585">
        <v>0</v>
      </c>
      <c r="I407" s="585" t="s">
        <v>1128</v>
      </c>
      <c r="J407" s="585" t="s">
        <v>1128</v>
      </c>
      <c r="K407" s="585">
        <v>0</v>
      </c>
      <c r="L407" s="585">
        <v>0</v>
      </c>
      <c r="M407" s="585">
        <v>0</v>
      </c>
      <c r="N407" s="585">
        <v>0</v>
      </c>
      <c r="O407" s="585">
        <v>0</v>
      </c>
      <c r="P407" s="585">
        <v>0</v>
      </c>
      <c r="Q407" s="585">
        <v>0</v>
      </c>
      <c r="R407" s="585">
        <v>0</v>
      </c>
      <c r="S407" s="585">
        <v>0</v>
      </c>
      <c r="T407" s="585">
        <v>0</v>
      </c>
      <c r="U407" s="585">
        <v>0</v>
      </c>
      <c r="V407" s="585">
        <v>0</v>
      </c>
      <c r="W407" s="585">
        <v>0</v>
      </c>
      <c r="X407" s="585">
        <v>0</v>
      </c>
      <c r="Y407" s="615">
        <v>0</v>
      </c>
      <c r="Z407" s="615">
        <v>0</v>
      </c>
      <c r="AA407" s="615">
        <v>0</v>
      </c>
      <c r="AB407" s="615">
        <v>0</v>
      </c>
      <c r="AC407" s="615">
        <v>0</v>
      </c>
      <c r="AD407" s="615">
        <v>0</v>
      </c>
      <c r="AE407" s="615">
        <v>0</v>
      </c>
      <c r="AF407" s="615">
        <v>0</v>
      </c>
      <c r="AG407" s="615">
        <v>0</v>
      </c>
      <c r="AH407" s="615">
        <v>0</v>
      </c>
      <c r="AI407" s="615">
        <v>0</v>
      </c>
      <c r="AJ407" s="615">
        <v>0</v>
      </c>
      <c r="AK407" s="615">
        <v>0</v>
      </c>
      <c r="AL407" s="615">
        <v>0</v>
      </c>
      <c r="AM407" s="615">
        <v>0</v>
      </c>
      <c r="AN407" s="615">
        <v>0</v>
      </c>
      <c r="AO407" s="615">
        <v>0</v>
      </c>
      <c r="AP407" s="615">
        <v>0</v>
      </c>
      <c r="AQ407" s="615">
        <v>0</v>
      </c>
      <c r="AR407" s="615">
        <v>0</v>
      </c>
      <c r="AS407" s="615">
        <v>0</v>
      </c>
      <c r="AT407" s="615">
        <v>238735866</v>
      </c>
      <c r="AU407" s="615">
        <v>0</v>
      </c>
      <c r="AV407" s="615">
        <v>0</v>
      </c>
      <c r="AW407" s="615">
        <v>0</v>
      </c>
      <c r="AX407" s="615">
        <v>0</v>
      </c>
      <c r="AY407" s="615">
        <v>0</v>
      </c>
      <c r="AZ407" s="615">
        <v>0</v>
      </c>
      <c r="BA407" s="615">
        <v>0</v>
      </c>
      <c r="BB407" s="615">
        <v>0</v>
      </c>
      <c r="BC407" s="615">
        <v>0</v>
      </c>
      <c r="BD407" s="615">
        <v>0</v>
      </c>
      <c r="BE407" s="615">
        <v>0</v>
      </c>
      <c r="BF407" s="615">
        <v>0</v>
      </c>
      <c r="BG407" s="615">
        <v>0</v>
      </c>
      <c r="BH407" s="615">
        <v>0</v>
      </c>
      <c r="BI407" s="615">
        <v>0</v>
      </c>
      <c r="BJ407" s="615">
        <v>0</v>
      </c>
      <c r="BK407" s="615">
        <v>0</v>
      </c>
      <c r="BL407" s="615">
        <v>0</v>
      </c>
      <c r="BM407" s="615">
        <v>0</v>
      </c>
      <c r="BN407" s="615">
        <v>0</v>
      </c>
      <c r="BO407" s="615">
        <v>0</v>
      </c>
      <c r="BP407" s="615">
        <v>0</v>
      </c>
      <c r="BQ407" s="615">
        <v>0</v>
      </c>
      <c r="BR407" s="615">
        <v>0</v>
      </c>
      <c r="BS407" s="615">
        <v>0</v>
      </c>
      <c r="BT407" s="615">
        <v>0</v>
      </c>
      <c r="BU407" s="615">
        <v>0</v>
      </c>
      <c r="BV407" s="615">
        <v>0</v>
      </c>
      <c r="BW407" s="615">
        <v>0</v>
      </c>
      <c r="BX407" s="607">
        <f t="shared" si="16"/>
        <v>238735866</v>
      </c>
    </row>
    <row r="408" spans="1:76" ht="12" customHeight="1" x14ac:dyDescent="0.2">
      <c r="A408" s="902"/>
      <c r="B408" s="611" t="s">
        <v>1529</v>
      </c>
      <c r="C408" s="641" t="s">
        <v>3536</v>
      </c>
      <c r="D408" s="585">
        <v>0</v>
      </c>
      <c r="E408" s="585">
        <v>0</v>
      </c>
      <c r="F408" s="585">
        <v>0</v>
      </c>
      <c r="G408" s="585">
        <v>0</v>
      </c>
      <c r="H408" s="585">
        <v>0</v>
      </c>
      <c r="I408" s="585">
        <v>0</v>
      </c>
      <c r="J408" s="585">
        <v>0</v>
      </c>
      <c r="K408" s="585" t="s">
        <v>1128</v>
      </c>
      <c r="L408" s="585">
        <v>0</v>
      </c>
      <c r="M408" s="585">
        <v>0</v>
      </c>
      <c r="N408" s="585">
        <v>0</v>
      </c>
      <c r="O408" s="585">
        <v>0</v>
      </c>
      <c r="P408" s="585">
        <v>0</v>
      </c>
      <c r="Q408" s="585">
        <v>0</v>
      </c>
      <c r="R408" s="585">
        <v>0</v>
      </c>
      <c r="S408" s="585">
        <v>0</v>
      </c>
      <c r="T408" s="585">
        <v>0</v>
      </c>
      <c r="U408" s="585">
        <v>0</v>
      </c>
      <c r="V408" s="585">
        <v>0</v>
      </c>
      <c r="W408" s="585">
        <v>0</v>
      </c>
      <c r="X408" s="585">
        <v>0</v>
      </c>
      <c r="Y408" s="615">
        <v>0</v>
      </c>
      <c r="Z408" s="615">
        <v>0</v>
      </c>
      <c r="AA408" s="615">
        <v>0</v>
      </c>
      <c r="AB408" s="615">
        <v>0</v>
      </c>
      <c r="AC408" s="615">
        <v>0</v>
      </c>
      <c r="AD408" s="615">
        <v>0</v>
      </c>
      <c r="AE408" s="615">
        <v>0</v>
      </c>
      <c r="AF408" s="615">
        <v>0</v>
      </c>
      <c r="AG408" s="615">
        <v>0</v>
      </c>
      <c r="AH408" s="615">
        <v>0</v>
      </c>
      <c r="AI408" s="615">
        <v>0</v>
      </c>
      <c r="AJ408" s="615">
        <v>0</v>
      </c>
      <c r="AK408" s="615">
        <v>0</v>
      </c>
      <c r="AL408" s="615">
        <v>0</v>
      </c>
      <c r="AM408" s="615">
        <v>0</v>
      </c>
      <c r="AN408" s="615">
        <v>0</v>
      </c>
      <c r="AO408" s="615">
        <v>0</v>
      </c>
      <c r="AP408" s="615">
        <v>0</v>
      </c>
      <c r="AQ408" s="615">
        <v>0</v>
      </c>
      <c r="AR408" s="615">
        <v>0</v>
      </c>
      <c r="AS408" s="615">
        <v>0</v>
      </c>
      <c r="AT408" s="615">
        <v>0</v>
      </c>
      <c r="AU408" s="615">
        <v>0</v>
      </c>
      <c r="AV408" s="615">
        <v>305777241</v>
      </c>
      <c r="AW408" s="615">
        <v>0</v>
      </c>
      <c r="AX408" s="615">
        <v>0</v>
      </c>
      <c r="AY408" s="615">
        <v>0</v>
      </c>
      <c r="AZ408" s="615">
        <v>0</v>
      </c>
      <c r="BA408" s="615">
        <v>0</v>
      </c>
      <c r="BB408" s="615">
        <v>0</v>
      </c>
      <c r="BC408" s="615">
        <v>0</v>
      </c>
      <c r="BD408" s="615">
        <v>0</v>
      </c>
      <c r="BE408" s="615">
        <v>0</v>
      </c>
      <c r="BF408" s="615">
        <v>0</v>
      </c>
      <c r="BG408" s="615">
        <v>0</v>
      </c>
      <c r="BH408" s="615">
        <v>0</v>
      </c>
      <c r="BI408" s="615">
        <v>0</v>
      </c>
      <c r="BJ408" s="615">
        <v>0</v>
      </c>
      <c r="BK408" s="615">
        <v>0</v>
      </c>
      <c r="BL408" s="615">
        <v>0</v>
      </c>
      <c r="BM408" s="615">
        <v>0</v>
      </c>
      <c r="BN408" s="615">
        <v>0</v>
      </c>
      <c r="BO408" s="615">
        <v>0</v>
      </c>
      <c r="BP408" s="615">
        <v>0</v>
      </c>
      <c r="BQ408" s="615">
        <v>0</v>
      </c>
      <c r="BR408" s="615">
        <v>0</v>
      </c>
      <c r="BS408" s="615">
        <v>0</v>
      </c>
      <c r="BT408" s="615">
        <v>0</v>
      </c>
      <c r="BU408" s="615">
        <v>0</v>
      </c>
      <c r="BV408" s="615">
        <v>0</v>
      </c>
      <c r="BW408" s="615">
        <v>0</v>
      </c>
      <c r="BX408" s="607">
        <f t="shared" si="16"/>
        <v>305777241</v>
      </c>
    </row>
    <row r="409" spans="1:76" ht="12" customHeight="1" x14ac:dyDescent="0.2">
      <c r="A409" s="902"/>
      <c r="B409" s="611" t="s">
        <v>4374</v>
      </c>
      <c r="C409" s="641" t="s">
        <v>3537</v>
      </c>
      <c r="D409" s="585">
        <v>0</v>
      </c>
      <c r="E409" s="585">
        <v>0</v>
      </c>
      <c r="F409" s="585">
        <v>0</v>
      </c>
      <c r="G409" s="585">
        <v>0</v>
      </c>
      <c r="H409" s="585">
        <v>0</v>
      </c>
      <c r="I409" s="585">
        <v>0</v>
      </c>
      <c r="J409" s="585">
        <v>0</v>
      </c>
      <c r="K409" s="585">
        <v>0</v>
      </c>
      <c r="L409" s="585">
        <v>0</v>
      </c>
      <c r="M409" s="585">
        <v>0</v>
      </c>
      <c r="N409" s="585">
        <v>0</v>
      </c>
      <c r="O409" s="585">
        <v>0</v>
      </c>
      <c r="P409" s="585">
        <v>0</v>
      </c>
      <c r="Q409" s="585">
        <v>0</v>
      </c>
      <c r="R409" s="585">
        <v>0</v>
      </c>
      <c r="S409" s="585">
        <v>0</v>
      </c>
      <c r="T409" s="585">
        <v>0</v>
      </c>
      <c r="U409" s="585">
        <v>0</v>
      </c>
      <c r="V409" s="585">
        <v>0</v>
      </c>
      <c r="W409" s="585">
        <v>0</v>
      </c>
      <c r="X409" s="585">
        <v>0</v>
      </c>
      <c r="Y409" s="615">
        <v>0</v>
      </c>
      <c r="Z409" s="615">
        <v>0</v>
      </c>
      <c r="AA409" s="615">
        <v>0</v>
      </c>
      <c r="AB409" s="615">
        <v>0</v>
      </c>
      <c r="AC409" s="615">
        <v>0</v>
      </c>
      <c r="AD409" s="615">
        <v>0</v>
      </c>
      <c r="AE409" s="615">
        <v>0</v>
      </c>
      <c r="AF409" s="615">
        <v>0</v>
      </c>
      <c r="AG409" s="615">
        <v>0</v>
      </c>
      <c r="AH409" s="615">
        <v>0</v>
      </c>
      <c r="AI409" s="615">
        <v>0</v>
      </c>
      <c r="AJ409" s="615">
        <v>0</v>
      </c>
      <c r="AK409" s="615">
        <v>0</v>
      </c>
      <c r="AL409" s="615">
        <v>0</v>
      </c>
      <c r="AM409" s="615">
        <v>0</v>
      </c>
      <c r="AN409" s="615">
        <v>0</v>
      </c>
      <c r="AO409" s="615">
        <v>0</v>
      </c>
      <c r="AP409" s="615">
        <v>0</v>
      </c>
      <c r="AQ409" s="615">
        <v>0</v>
      </c>
      <c r="AR409" s="615">
        <v>0</v>
      </c>
      <c r="AS409" s="615">
        <v>0</v>
      </c>
      <c r="AT409" s="615">
        <v>0</v>
      </c>
      <c r="AU409" s="615">
        <v>0</v>
      </c>
      <c r="AV409" s="615">
        <v>0</v>
      </c>
      <c r="AW409" s="615">
        <v>0</v>
      </c>
      <c r="AX409" s="615">
        <v>0</v>
      </c>
      <c r="AY409" s="615">
        <v>0</v>
      </c>
      <c r="AZ409" s="615">
        <v>0</v>
      </c>
      <c r="BA409" s="615">
        <v>0</v>
      </c>
      <c r="BB409" s="615">
        <v>0</v>
      </c>
      <c r="BC409" s="615">
        <v>388226404</v>
      </c>
      <c r="BD409" s="615">
        <v>0</v>
      </c>
      <c r="BE409" s="615">
        <v>0</v>
      </c>
      <c r="BF409" s="615">
        <v>0</v>
      </c>
      <c r="BG409" s="615">
        <v>0</v>
      </c>
      <c r="BH409" s="615">
        <v>0</v>
      </c>
      <c r="BI409" s="615">
        <v>0</v>
      </c>
      <c r="BJ409" s="615">
        <v>0</v>
      </c>
      <c r="BK409" s="615">
        <v>0</v>
      </c>
      <c r="BL409" s="615">
        <v>0</v>
      </c>
      <c r="BM409" s="615">
        <v>0</v>
      </c>
      <c r="BN409" s="615">
        <v>0</v>
      </c>
      <c r="BO409" s="615">
        <v>0</v>
      </c>
      <c r="BP409" s="615">
        <v>0</v>
      </c>
      <c r="BQ409" s="615">
        <v>0</v>
      </c>
      <c r="BR409" s="615">
        <v>0</v>
      </c>
      <c r="BS409" s="615">
        <v>0</v>
      </c>
      <c r="BT409" s="615">
        <v>0</v>
      </c>
      <c r="BU409" s="615">
        <v>0</v>
      </c>
      <c r="BV409" s="615">
        <v>0</v>
      </c>
      <c r="BW409" s="615">
        <v>0</v>
      </c>
      <c r="BX409" s="607">
        <f t="shared" si="16"/>
        <v>388226404</v>
      </c>
    </row>
    <row r="410" spans="1:76" ht="12" customHeight="1" x14ac:dyDescent="0.2">
      <c r="A410" s="902"/>
      <c r="B410" s="611" t="s">
        <v>4375</v>
      </c>
      <c r="C410" s="641" t="s">
        <v>3538</v>
      </c>
      <c r="D410" s="585"/>
      <c r="E410" s="585">
        <v>0</v>
      </c>
      <c r="F410" s="585">
        <v>0</v>
      </c>
      <c r="G410" s="585">
        <v>0</v>
      </c>
      <c r="H410" s="585">
        <v>0</v>
      </c>
      <c r="I410" s="585" t="s">
        <v>1128</v>
      </c>
      <c r="J410" s="585" t="s">
        <v>1128</v>
      </c>
      <c r="K410" s="585">
        <v>0</v>
      </c>
      <c r="L410" s="585">
        <v>0</v>
      </c>
      <c r="M410" s="585">
        <v>0</v>
      </c>
      <c r="N410" s="585">
        <v>0</v>
      </c>
      <c r="O410" s="585">
        <v>0</v>
      </c>
      <c r="P410" s="585">
        <v>0</v>
      </c>
      <c r="Q410" s="585">
        <v>0</v>
      </c>
      <c r="R410" s="585">
        <v>0</v>
      </c>
      <c r="S410" s="585">
        <v>0</v>
      </c>
      <c r="T410" s="585">
        <v>0</v>
      </c>
      <c r="U410" s="585">
        <v>0</v>
      </c>
      <c r="V410" s="585">
        <v>0</v>
      </c>
      <c r="W410" s="585">
        <v>0</v>
      </c>
      <c r="X410" s="585">
        <v>0</v>
      </c>
      <c r="Y410" s="615">
        <v>0</v>
      </c>
      <c r="Z410" s="615">
        <v>0</v>
      </c>
      <c r="AA410" s="615">
        <v>0</v>
      </c>
      <c r="AB410" s="615">
        <v>0</v>
      </c>
      <c r="AC410" s="615">
        <v>0</v>
      </c>
      <c r="AD410" s="615">
        <v>0</v>
      </c>
      <c r="AE410" s="615">
        <v>0</v>
      </c>
      <c r="AF410" s="615">
        <v>0</v>
      </c>
      <c r="AG410" s="615">
        <v>0</v>
      </c>
      <c r="AH410" s="615">
        <v>0</v>
      </c>
      <c r="AI410" s="615">
        <v>0</v>
      </c>
      <c r="AJ410" s="615">
        <v>0</v>
      </c>
      <c r="AK410" s="615">
        <v>0</v>
      </c>
      <c r="AL410" s="615">
        <v>0</v>
      </c>
      <c r="AM410" s="615">
        <v>0</v>
      </c>
      <c r="AN410" s="615">
        <v>0</v>
      </c>
      <c r="AO410" s="615">
        <v>0</v>
      </c>
      <c r="AP410" s="615">
        <v>0</v>
      </c>
      <c r="AQ410" s="615">
        <v>0</v>
      </c>
      <c r="AR410" s="615">
        <v>0</v>
      </c>
      <c r="AS410" s="615">
        <v>0</v>
      </c>
      <c r="AT410" s="615">
        <v>281186539</v>
      </c>
      <c r="AU410" s="615">
        <v>0</v>
      </c>
      <c r="AV410" s="615">
        <v>0</v>
      </c>
      <c r="AW410" s="615">
        <v>0</v>
      </c>
      <c r="AX410" s="615">
        <v>0</v>
      </c>
      <c r="AY410" s="615">
        <v>0</v>
      </c>
      <c r="AZ410" s="615">
        <v>0</v>
      </c>
      <c r="BA410" s="615">
        <v>0</v>
      </c>
      <c r="BB410" s="615">
        <v>0</v>
      </c>
      <c r="BC410" s="615">
        <v>0</v>
      </c>
      <c r="BD410" s="615">
        <v>0</v>
      </c>
      <c r="BE410" s="615">
        <v>0</v>
      </c>
      <c r="BF410" s="615">
        <v>0</v>
      </c>
      <c r="BG410" s="615">
        <v>0</v>
      </c>
      <c r="BH410" s="615">
        <v>0</v>
      </c>
      <c r="BI410" s="615">
        <v>0</v>
      </c>
      <c r="BJ410" s="615">
        <v>0</v>
      </c>
      <c r="BK410" s="615">
        <v>0</v>
      </c>
      <c r="BL410" s="615">
        <v>0</v>
      </c>
      <c r="BM410" s="615">
        <v>0</v>
      </c>
      <c r="BN410" s="615">
        <v>0</v>
      </c>
      <c r="BO410" s="615">
        <v>0</v>
      </c>
      <c r="BP410" s="615">
        <v>0</v>
      </c>
      <c r="BQ410" s="615">
        <v>0</v>
      </c>
      <c r="BR410" s="615">
        <v>0</v>
      </c>
      <c r="BS410" s="615">
        <v>0</v>
      </c>
      <c r="BT410" s="615">
        <v>0</v>
      </c>
      <c r="BU410" s="615">
        <v>0</v>
      </c>
      <c r="BV410" s="615">
        <v>0</v>
      </c>
      <c r="BW410" s="615">
        <v>0</v>
      </c>
      <c r="BX410" s="607">
        <f t="shared" si="16"/>
        <v>281186539</v>
      </c>
    </row>
    <row r="411" spans="1:76" ht="12" customHeight="1" x14ac:dyDescent="0.2">
      <c r="A411" s="902"/>
      <c r="B411" s="611" t="s">
        <v>1596</v>
      </c>
      <c r="C411" s="641" t="s">
        <v>3539</v>
      </c>
      <c r="D411" s="585"/>
      <c r="E411" s="585">
        <v>0</v>
      </c>
      <c r="F411" s="585">
        <v>0</v>
      </c>
      <c r="G411" s="585">
        <v>0</v>
      </c>
      <c r="H411" s="585">
        <v>0</v>
      </c>
      <c r="I411" s="585">
        <v>0</v>
      </c>
      <c r="J411" s="585">
        <v>0</v>
      </c>
      <c r="K411" s="585" t="s">
        <v>1128</v>
      </c>
      <c r="L411" s="585">
        <v>0</v>
      </c>
      <c r="M411" s="585">
        <v>0</v>
      </c>
      <c r="N411" s="585">
        <v>0</v>
      </c>
      <c r="O411" s="585">
        <v>0</v>
      </c>
      <c r="P411" s="585">
        <v>0</v>
      </c>
      <c r="Q411" s="585">
        <v>0</v>
      </c>
      <c r="R411" s="585">
        <v>0</v>
      </c>
      <c r="S411" s="585">
        <v>0</v>
      </c>
      <c r="T411" s="585">
        <v>0</v>
      </c>
      <c r="U411" s="585">
        <v>0</v>
      </c>
      <c r="V411" s="585">
        <v>0</v>
      </c>
      <c r="W411" s="585">
        <v>0</v>
      </c>
      <c r="X411" s="585">
        <v>0</v>
      </c>
      <c r="Y411" s="615">
        <v>0</v>
      </c>
      <c r="Z411" s="615">
        <v>0</v>
      </c>
      <c r="AA411" s="615">
        <v>0</v>
      </c>
      <c r="AB411" s="615">
        <v>0</v>
      </c>
      <c r="AC411" s="615">
        <v>0</v>
      </c>
      <c r="AD411" s="615">
        <v>0</v>
      </c>
      <c r="AE411" s="615">
        <v>0</v>
      </c>
      <c r="AF411" s="615">
        <v>0</v>
      </c>
      <c r="AG411" s="615">
        <v>0</v>
      </c>
      <c r="AH411" s="615">
        <v>0</v>
      </c>
      <c r="AI411" s="615">
        <v>0</v>
      </c>
      <c r="AJ411" s="615">
        <v>0</v>
      </c>
      <c r="AK411" s="615">
        <v>0</v>
      </c>
      <c r="AL411" s="615">
        <v>0</v>
      </c>
      <c r="AM411" s="615">
        <v>0</v>
      </c>
      <c r="AN411" s="615">
        <v>0</v>
      </c>
      <c r="AO411" s="615">
        <v>0</v>
      </c>
      <c r="AP411" s="615">
        <v>0</v>
      </c>
      <c r="AQ411" s="615">
        <v>0</v>
      </c>
      <c r="AR411" s="615">
        <v>0</v>
      </c>
      <c r="AS411" s="615">
        <v>0</v>
      </c>
      <c r="AT411" s="615">
        <v>0</v>
      </c>
      <c r="AU411" s="615">
        <v>0</v>
      </c>
      <c r="AV411" s="615">
        <v>0</v>
      </c>
      <c r="AW411" s="615">
        <v>0</v>
      </c>
      <c r="AX411" s="615">
        <v>0</v>
      </c>
      <c r="AY411" s="615">
        <v>0</v>
      </c>
      <c r="AZ411" s="615">
        <v>0</v>
      </c>
      <c r="BA411" s="615">
        <v>0</v>
      </c>
      <c r="BB411" s="615">
        <v>0</v>
      </c>
      <c r="BC411" s="615">
        <v>0</v>
      </c>
      <c r="BD411" s="615">
        <v>0</v>
      </c>
      <c r="BE411" s="615">
        <v>0</v>
      </c>
      <c r="BF411" s="615">
        <v>0</v>
      </c>
      <c r="BG411" s="615">
        <v>0</v>
      </c>
      <c r="BH411" s="615">
        <v>0</v>
      </c>
      <c r="BI411" s="615">
        <v>0</v>
      </c>
      <c r="BJ411" s="615">
        <v>0</v>
      </c>
      <c r="BK411" s="615">
        <v>0</v>
      </c>
      <c r="BL411" s="615">
        <v>0</v>
      </c>
      <c r="BM411" s="615">
        <v>0</v>
      </c>
      <c r="BN411" s="615">
        <v>0</v>
      </c>
      <c r="BO411" s="615">
        <v>0</v>
      </c>
      <c r="BP411" s="615">
        <v>0</v>
      </c>
      <c r="BQ411" s="615">
        <v>0</v>
      </c>
      <c r="BR411" s="615">
        <v>0</v>
      </c>
      <c r="BS411" s="615">
        <v>0</v>
      </c>
      <c r="BT411" s="615">
        <v>0</v>
      </c>
      <c r="BU411" s="615">
        <v>0</v>
      </c>
      <c r="BV411" s="615">
        <v>0</v>
      </c>
      <c r="BW411" s="615">
        <v>0</v>
      </c>
      <c r="BX411" s="607">
        <f t="shared" si="16"/>
        <v>0</v>
      </c>
    </row>
    <row r="412" spans="1:76" ht="12" customHeight="1" x14ac:dyDescent="0.2">
      <c r="A412" s="902"/>
      <c r="B412" s="611" t="s">
        <v>1348</v>
      </c>
      <c r="C412" s="641" t="s">
        <v>3540</v>
      </c>
      <c r="D412" s="585"/>
      <c r="E412" s="585">
        <v>0</v>
      </c>
      <c r="F412" s="585">
        <v>0</v>
      </c>
      <c r="G412" s="585">
        <v>0</v>
      </c>
      <c r="H412" s="585">
        <v>0</v>
      </c>
      <c r="I412" s="585">
        <v>0</v>
      </c>
      <c r="J412" s="585">
        <v>0</v>
      </c>
      <c r="K412" s="585">
        <v>0</v>
      </c>
      <c r="L412" s="585">
        <v>0</v>
      </c>
      <c r="M412" s="585">
        <v>0</v>
      </c>
      <c r="N412" s="585">
        <v>0</v>
      </c>
      <c r="O412" s="585">
        <v>0</v>
      </c>
      <c r="P412" s="585">
        <v>0</v>
      </c>
      <c r="Q412" s="585">
        <v>0</v>
      </c>
      <c r="R412" s="585">
        <v>0</v>
      </c>
      <c r="S412" s="585">
        <v>0</v>
      </c>
      <c r="T412" s="585">
        <v>0</v>
      </c>
      <c r="U412" s="585">
        <v>0</v>
      </c>
      <c r="V412" s="585">
        <v>0</v>
      </c>
      <c r="W412" s="585">
        <v>0</v>
      </c>
      <c r="X412" s="585">
        <v>0</v>
      </c>
      <c r="Y412" s="615">
        <v>0</v>
      </c>
      <c r="Z412" s="615">
        <v>0</v>
      </c>
      <c r="AA412" s="615">
        <v>0</v>
      </c>
      <c r="AB412" s="615">
        <v>0</v>
      </c>
      <c r="AC412" s="615">
        <v>0</v>
      </c>
      <c r="AD412" s="615">
        <v>0</v>
      </c>
      <c r="AE412" s="615">
        <v>0</v>
      </c>
      <c r="AF412" s="615">
        <v>0</v>
      </c>
      <c r="AG412" s="615">
        <v>0</v>
      </c>
      <c r="AH412" s="615">
        <v>0</v>
      </c>
      <c r="AI412" s="615">
        <v>0</v>
      </c>
      <c r="AJ412" s="615">
        <v>0</v>
      </c>
      <c r="AK412" s="615">
        <v>0</v>
      </c>
      <c r="AL412" s="615">
        <v>0</v>
      </c>
      <c r="AM412" s="615">
        <v>0</v>
      </c>
      <c r="AN412" s="615">
        <v>0</v>
      </c>
      <c r="AO412" s="615">
        <v>0</v>
      </c>
      <c r="AP412" s="615">
        <v>0</v>
      </c>
      <c r="AQ412" s="615">
        <v>0</v>
      </c>
      <c r="AR412" s="615">
        <v>0</v>
      </c>
      <c r="AS412" s="615">
        <v>0</v>
      </c>
      <c r="AT412" s="615">
        <v>243020571</v>
      </c>
      <c r="AU412" s="615">
        <v>0</v>
      </c>
      <c r="AV412" s="615">
        <v>0</v>
      </c>
      <c r="AW412" s="615">
        <v>0</v>
      </c>
      <c r="AX412" s="615">
        <v>0</v>
      </c>
      <c r="AY412" s="615">
        <v>0</v>
      </c>
      <c r="AZ412" s="615">
        <v>0</v>
      </c>
      <c r="BA412" s="615">
        <v>0</v>
      </c>
      <c r="BB412" s="615">
        <v>0</v>
      </c>
      <c r="BC412" s="615">
        <v>0</v>
      </c>
      <c r="BD412" s="615">
        <v>0</v>
      </c>
      <c r="BE412" s="615">
        <v>0</v>
      </c>
      <c r="BF412" s="615">
        <v>0</v>
      </c>
      <c r="BG412" s="615">
        <v>0</v>
      </c>
      <c r="BH412" s="615">
        <v>0</v>
      </c>
      <c r="BI412" s="615">
        <v>0</v>
      </c>
      <c r="BJ412" s="615">
        <v>0</v>
      </c>
      <c r="BK412" s="615">
        <v>0</v>
      </c>
      <c r="BL412" s="615">
        <v>0</v>
      </c>
      <c r="BM412" s="615">
        <v>0</v>
      </c>
      <c r="BN412" s="615">
        <v>0</v>
      </c>
      <c r="BO412" s="615">
        <v>0</v>
      </c>
      <c r="BP412" s="615">
        <v>0</v>
      </c>
      <c r="BQ412" s="615">
        <v>0</v>
      </c>
      <c r="BR412" s="615">
        <v>0</v>
      </c>
      <c r="BS412" s="615">
        <v>0</v>
      </c>
      <c r="BT412" s="615">
        <v>0</v>
      </c>
      <c r="BU412" s="615">
        <v>0</v>
      </c>
      <c r="BV412" s="615">
        <v>0</v>
      </c>
      <c r="BW412" s="615">
        <v>0</v>
      </c>
      <c r="BX412" s="607">
        <f t="shared" si="16"/>
        <v>243020571</v>
      </c>
    </row>
    <row r="413" spans="1:76" ht="12" customHeight="1" x14ac:dyDescent="0.2">
      <c r="A413" s="902"/>
      <c r="B413" s="611" t="s">
        <v>1184</v>
      </c>
      <c r="C413" s="641" t="s">
        <v>3541</v>
      </c>
      <c r="D413" s="585"/>
      <c r="E413" s="585">
        <v>0</v>
      </c>
      <c r="F413" s="585">
        <v>0</v>
      </c>
      <c r="G413" s="585">
        <v>0</v>
      </c>
      <c r="H413" s="585">
        <v>0</v>
      </c>
      <c r="I413" s="585">
        <v>0</v>
      </c>
      <c r="J413" s="585">
        <v>0</v>
      </c>
      <c r="K413" s="585">
        <v>0</v>
      </c>
      <c r="L413" s="585">
        <v>0</v>
      </c>
      <c r="M413" s="585">
        <v>0</v>
      </c>
      <c r="N413" s="585">
        <v>0</v>
      </c>
      <c r="O413" s="585">
        <v>0</v>
      </c>
      <c r="P413" s="585">
        <v>0</v>
      </c>
      <c r="Q413" s="585">
        <v>0</v>
      </c>
      <c r="R413" s="585">
        <v>0</v>
      </c>
      <c r="S413" s="585">
        <v>0</v>
      </c>
      <c r="T413" s="585">
        <v>0</v>
      </c>
      <c r="U413" s="585">
        <v>0</v>
      </c>
      <c r="V413" s="585">
        <v>0</v>
      </c>
      <c r="W413" s="585">
        <v>0</v>
      </c>
      <c r="X413" s="585">
        <v>0</v>
      </c>
      <c r="Y413" s="615">
        <v>0</v>
      </c>
      <c r="Z413" s="615">
        <v>0</v>
      </c>
      <c r="AA413" s="615">
        <v>0</v>
      </c>
      <c r="AB413" s="615">
        <v>0</v>
      </c>
      <c r="AC413" s="615">
        <v>0</v>
      </c>
      <c r="AD413" s="615">
        <v>0</v>
      </c>
      <c r="AE413" s="615">
        <v>0</v>
      </c>
      <c r="AF413" s="615">
        <v>0</v>
      </c>
      <c r="AG413" s="615">
        <v>0</v>
      </c>
      <c r="AH413" s="615">
        <v>0</v>
      </c>
      <c r="AI413" s="615">
        <v>0</v>
      </c>
      <c r="AJ413" s="615">
        <v>0</v>
      </c>
      <c r="AK413" s="615">
        <v>0</v>
      </c>
      <c r="AL413" s="615">
        <v>0</v>
      </c>
      <c r="AM413" s="615">
        <v>0</v>
      </c>
      <c r="AN413" s="615">
        <v>0</v>
      </c>
      <c r="AO413" s="615">
        <v>0</v>
      </c>
      <c r="AP413" s="615">
        <v>0</v>
      </c>
      <c r="AQ413" s="615">
        <v>0</v>
      </c>
      <c r="AR413" s="615">
        <v>0</v>
      </c>
      <c r="AS413" s="615">
        <v>0</v>
      </c>
      <c r="AT413" s="615">
        <v>0</v>
      </c>
      <c r="AU413" s="615">
        <v>0</v>
      </c>
      <c r="AV413" s="615">
        <v>263302827</v>
      </c>
      <c r="AW413" s="615">
        <v>0</v>
      </c>
      <c r="AX413" s="615">
        <v>0</v>
      </c>
      <c r="AY413" s="615">
        <v>0</v>
      </c>
      <c r="AZ413" s="615">
        <v>0</v>
      </c>
      <c r="BA413" s="615">
        <v>0</v>
      </c>
      <c r="BB413" s="615">
        <v>0</v>
      </c>
      <c r="BC413" s="615">
        <v>0</v>
      </c>
      <c r="BD413" s="615">
        <v>0</v>
      </c>
      <c r="BE413" s="615">
        <v>0</v>
      </c>
      <c r="BF413" s="615">
        <v>0</v>
      </c>
      <c r="BG413" s="615">
        <v>0</v>
      </c>
      <c r="BH413" s="615">
        <v>0</v>
      </c>
      <c r="BI413" s="615">
        <v>0</v>
      </c>
      <c r="BJ413" s="615">
        <v>0</v>
      </c>
      <c r="BK413" s="615">
        <v>0</v>
      </c>
      <c r="BL413" s="615">
        <v>0</v>
      </c>
      <c r="BM413" s="615">
        <v>0</v>
      </c>
      <c r="BN413" s="615">
        <v>0</v>
      </c>
      <c r="BO413" s="615">
        <v>0</v>
      </c>
      <c r="BP413" s="615">
        <v>0</v>
      </c>
      <c r="BQ413" s="615">
        <v>0</v>
      </c>
      <c r="BR413" s="615">
        <v>0</v>
      </c>
      <c r="BS413" s="615">
        <v>0</v>
      </c>
      <c r="BT413" s="615">
        <v>0</v>
      </c>
      <c r="BU413" s="615">
        <v>0</v>
      </c>
      <c r="BV413" s="615">
        <v>0</v>
      </c>
      <c r="BW413" s="615">
        <v>0</v>
      </c>
      <c r="BX413" s="607">
        <f t="shared" si="16"/>
        <v>263302827</v>
      </c>
    </row>
    <row r="414" spans="1:76" ht="12" customHeight="1" x14ac:dyDescent="0.2">
      <c r="A414" s="902"/>
      <c r="B414" s="611" t="s">
        <v>3543</v>
      </c>
      <c r="C414" s="641" t="s">
        <v>3542</v>
      </c>
      <c r="D414" s="585"/>
      <c r="E414" s="585">
        <v>0</v>
      </c>
      <c r="F414" s="585">
        <v>0</v>
      </c>
      <c r="G414" s="585">
        <v>0</v>
      </c>
      <c r="H414" s="585">
        <v>0</v>
      </c>
      <c r="I414" s="585">
        <v>0</v>
      </c>
      <c r="J414" s="585">
        <v>0</v>
      </c>
      <c r="K414" s="585">
        <v>0</v>
      </c>
      <c r="L414" s="585">
        <v>0</v>
      </c>
      <c r="M414" s="585">
        <v>0</v>
      </c>
      <c r="N414" s="585">
        <v>0</v>
      </c>
      <c r="O414" s="585">
        <v>0</v>
      </c>
      <c r="P414" s="585">
        <v>0</v>
      </c>
      <c r="Q414" s="585">
        <v>0</v>
      </c>
      <c r="R414" s="585">
        <v>0</v>
      </c>
      <c r="S414" s="585">
        <v>0</v>
      </c>
      <c r="T414" s="585">
        <v>0</v>
      </c>
      <c r="U414" s="585">
        <v>0</v>
      </c>
      <c r="V414" s="585">
        <v>0</v>
      </c>
      <c r="W414" s="585">
        <v>0</v>
      </c>
      <c r="X414" s="585">
        <v>0</v>
      </c>
      <c r="Y414" s="615">
        <v>0</v>
      </c>
      <c r="Z414" s="615">
        <v>0</v>
      </c>
      <c r="AA414" s="615">
        <v>0</v>
      </c>
      <c r="AB414" s="615">
        <v>0</v>
      </c>
      <c r="AC414" s="615">
        <v>0</v>
      </c>
      <c r="AD414" s="615">
        <v>0</v>
      </c>
      <c r="AE414" s="615">
        <v>0</v>
      </c>
      <c r="AF414" s="615">
        <v>0</v>
      </c>
      <c r="AG414" s="615">
        <v>0</v>
      </c>
      <c r="AH414" s="615">
        <v>0</v>
      </c>
      <c r="AI414" s="615">
        <v>0</v>
      </c>
      <c r="AJ414" s="615">
        <v>0</v>
      </c>
      <c r="AK414" s="615">
        <v>0</v>
      </c>
      <c r="AL414" s="615">
        <v>0</v>
      </c>
      <c r="AM414" s="615">
        <v>0</v>
      </c>
      <c r="AN414" s="615">
        <v>0</v>
      </c>
      <c r="AO414" s="615">
        <v>0</v>
      </c>
      <c r="AP414" s="615">
        <v>0</v>
      </c>
      <c r="AQ414" s="615">
        <v>0</v>
      </c>
      <c r="AR414" s="615">
        <v>0</v>
      </c>
      <c r="AS414" s="615">
        <v>0</v>
      </c>
      <c r="AT414" s="615">
        <v>0</v>
      </c>
      <c r="AU414" s="615">
        <v>0</v>
      </c>
      <c r="AV414" s="615">
        <v>3033672</v>
      </c>
      <c r="AW414" s="615">
        <v>4558418</v>
      </c>
      <c r="AX414" s="615">
        <v>4558418</v>
      </c>
      <c r="AY414" s="615">
        <v>4558418</v>
      </c>
      <c r="AZ414" s="615">
        <v>4558418</v>
      </c>
      <c r="BA414" s="615">
        <v>4558418</v>
      </c>
      <c r="BB414" s="615">
        <v>4558418</v>
      </c>
      <c r="BC414" s="615">
        <v>451283415</v>
      </c>
      <c r="BD414" s="615">
        <v>0</v>
      </c>
      <c r="BE414" s="615">
        <v>0</v>
      </c>
      <c r="BF414" s="615">
        <v>0</v>
      </c>
      <c r="BG414" s="615">
        <v>0</v>
      </c>
      <c r="BH414" s="615">
        <v>0</v>
      </c>
      <c r="BI414" s="615">
        <v>0</v>
      </c>
      <c r="BJ414" s="615">
        <v>0</v>
      </c>
      <c r="BK414" s="615">
        <v>0</v>
      </c>
      <c r="BL414" s="615">
        <v>0</v>
      </c>
      <c r="BM414" s="615">
        <v>0</v>
      </c>
      <c r="BN414" s="615">
        <v>0</v>
      </c>
      <c r="BO414" s="615">
        <v>0</v>
      </c>
      <c r="BP414" s="615">
        <v>0</v>
      </c>
      <c r="BQ414" s="615">
        <v>0</v>
      </c>
      <c r="BR414" s="615">
        <v>0</v>
      </c>
      <c r="BS414" s="615">
        <v>0</v>
      </c>
      <c r="BT414" s="615">
        <v>0</v>
      </c>
      <c r="BU414" s="615">
        <v>0</v>
      </c>
      <c r="BV414" s="615">
        <v>0</v>
      </c>
      <c r="BW414" s="615">
        <v>0</v>
      </c>
      <c r="BX414" s="607">
        <f t="shared" si="16"/>
        <v>481667595</v>
      </c>
    </row>
    <row r="415" spans="1:76" ht="12" customHeight="1" x14ac:dyDescent="0.2">
      <c r="A415" s="902"/>
      <c r="B415" s="611" t="s">
        <v>1092</v>
      </c>
      <c r="C415" s="641" t="s">
        <v>3544</v>
      </c>
      <c r="D415" s="585"/>
      <c r="E415" s="585">
        <v>0</v>
      </c>
      <c r="F415" s="585">
        <v>0</v>
      </c>
      <c r="G415" s="585">
        <v>0</v>
      </c>
      <c r="H415" s="585">
        <v>0</v>
      </c>
      <c r="I415" s="585" t="s">
        <v>1128</v>
      </c>
      <c r="J415" s="585">
        <v>0</v>
      </c>
      <c r="K415" s="585">
        <v>0</v>
      </c>
      <c r="L415" s="585">
        <v>0</v>
      </c>
      <c r="M415" s="585">
        <v>0</v>
      </c>
      <c r="N415" s="585">
        <v>0</v>
      </c>
      <c r="O415" s="585">
        <v>0</v>
      </c>
      <c r="P415" s="585">
        <v>0</v>
      </c>
      <c r="Q415" s="585">
        <v>0</v>
      </c>
      <c r="R415" s="585">
        <v>0</v>
      </c>
      <c r="S415" s="585">
        <v>0</v>
      </c>
      <c r="T415" s="585">
        <v>0</v>
      </c>
      <c r="U415" s="585">
        <v>0</v>
      </c>
      <c r="V415" s="585">
        <v>0</v>
      </c>
      <c r="W415" s="585">
        <v>0</v>
      </c>
      <c r="X415" s="585">
        <v>0</v>
      </c>
      <c r="Y415" s="615">
        <v>0</v>
      </c>
      <c r="Z415" s="615">
        <v>0</v>
      </c>
      <c r="AA415" s="615">
        <v>0</v>
      </c>
      <c r="AB415" s="615">
        <v>0</v>
      </c>
      <c r="AC415" s="615">
        <v>0</v>
      </c>
      <c r="AD415" s="615">
        <v>0</v>
      </c>
      <c r="AE415" s="615">
        <v>0</v>
      </c>
      <c r="AF415" s="615">
        <v>0</v>
      </c>
      <c r="AG415" s="615">
        <v>0</v>
      </c>
      <c r="AH415" s="615">
        <v>0</v>
      </c>
      <c r="AI415" s="615">
        <v>0</v>
      </c>
      <c r="AJ415" s="615">
        <v>0</v>
      </c>
      <c r="AK415" s="615">
        <v>0</v>
      </c>
      <c r="AL415" s="615">
        <v>0</v>
      </c>
      <c r="AM415" s="615">
        <v>0</v>
      </c>
      <c r="AN415" s="615">
        <v>0</v>
      </c>
      <c r="AO415" s="615">
        <v>0</v>
      </c>
      <c r="AP415" s="615">
        <v>0</v>
      </c>
      <c r="AQ415" s="615">
        <v>0</v>
      </c>
      <c r="AR415" s="615">
        <v>0</v>
      </c>
      <c r="AS415" s="615">
        <v>0</v>
      </c>
      <c r="AT415" s="615">
        <v>0</v>
      </c>
      <c r="AU415" s="615">
        <v>0</v>
      </c>
      <c r="AV415" s="615">
        <v>0</v>
      </c>
      <c r="AW415" s="615">
        <v>0</v>
      </c>
      <c r="AX415" s="615">
        <v>0</v>
      </c>
      <c r="AY415" s="615">
        <v>0</v>
      </c>
      <c r="AZ415" s="615">
        <v>0</v>
      </c>
      <c r="BA415" s="615">
        <v>0</v>
      </c>
      <c r="BB415" s="615">
        <v>0</v>
      </c>
      <c r="BC415" s="615">
        <v>0</v>
      </c>
      <c r="BD415" s="615">
        <v>0</v>
      </c>
      <c r="BE415" s="615">
        <v>0</v>
      </c>
      <c r="BF415" s="615">
        <v>0</v>
      </c>
      <c r="BG415" s="615">
        <v>0</v>
      </c>
      <c r="BH415" s="615">
        <v>0</v>
      </c>
      <c r="BI415" s="615">
        <v>0</v>
      </c>
      <c r="BJ415" s="615">
        <v>0</v>
      </c>
      <c r="BK415" s="615">
        <v>0</v>
      </c>
      <c r="BL415" s="615">
        <v>0</v>
      </c>
      <c r="BM415" s="615">
        <v>0</v>
      </c>
      <c r="BN415" s="615">
        <v>0</v>
      </c>
      <c r="BO415" s="615">
        <v>0</v>
      </c>
      <c r="BP415" s="615">
        <v>0</v>
      </c>
      <c r="BQ415" s="615">
        <v>0</v>
      </c>
      <c r="BR415" s="615">
        <v>0</v>
      </c>
      <c r="BS415" s="615">
        <v>0</v>
      </c>
      <c r="BT415" s="615">
        <v>0</v>
      </c>
      <c r="BU415" s="615">
        <v>0</v>
      </c>
      <c r="BV415" s="615">
        <v>0</v>
      </c>
      <c r="BW415" s="615">
        <v>0</v>
      </c>
      <c r="BX415" s="607">
        <f t="shared" si="16"/>
        <v>0</v>
      </c>
    </row>
    <row r="416" spans="1:76" ht="12" customHeight="1" x14ac:dyDescent="0.2">
      <c r="A416" s="902"/>
      <c r="B416" s="611" t="s">
        <v>1172</v>
      </c>
      <c r="C416" s="641" t="s">
        <v>3545</v>
      </c>
      <c r="D416" s="585"/>
      <c r="E416" s="585">
        <v>0</v>
      </c>
      <c r="F416" s="585">
        <v>0</v>
      </c>
      <c r="G416" s="585">
        <v>0</v>
      </c>
      <c r="H416" s="585">
        <v>0</v>
      </c>
      <c r="I416" s="585">
        <v>0</v>
      </c>
      <c r="J416" s="585">
        <v>0</v>
      </c>
      <c r="K416" s="585">
        <v>0</v>
      </c>
      <c r="L416" s="585">
        <v>0</v>
      </c>
      <c r="M416" s="585">
        <v>0</v>
      </c>
      <c r="N416" s="585">
        <v>0</v>
      </c>
      <c r="O416" s="585">
        <v>0</v>
      </c>
      <c r="P416" s="585">
        <v>0</v>
      </c>
      <c r="Q416" s="585">
        <v>0</v>
      </c>
      <c r="R416" s="585">
        <v>0</v>
      </c>
      <c r="S416" s="585">
        <v>0</v>
      </c>
      <c r="T416" s="585">
        <v>0</v>
      </c>
      <c r="U416" s="585">
        <v>0</v>
      </c>
      <c r="V416" s="585">
        <v>0</v>
      </c>
      <c r="W416" s="585">
        <v>0</v>
      </c>
      <c r="X416" s="585">
        <v>0</v>
      </c>
      <c r="Y416" s="615">
        <v>0</v>
      </c>
      <c r="Z416" s="615">
        <v>0</v>
      </c>
      <c r="AA416" s="615">
        <v>0</v>
      </c>
      <c r="AB416" s="615">
        <v>0</v>
      </c>
      <c r="AC416" s="615">
        <v>0</v>
      </c>
      <c r="AD416" s="615">
        <v>0</v>
      </c>
      <c r="AE416" s="615">
        <v>0</v>
      </c>
      <c r="AF416" s="615">
        <v>0</v>
      </c>
      <c r="AG416" s="615">
        <v>0</v>
      </c>
      <c r="AH416" s="615">
        <v>0</v>
      </c>
      <c r="AI416" s="615">
        <v>0</v>
      </c>
      <c r="AJ416" s="615">
        <v>0</v>
      </c>
      <c r="AK416" s="615">
        <v>0</v>
      </c>
      <c r="AL416" s="615">
        <v>0</v>
      </c>
      <c r="AM416" s="615">
        <v>0</v>
      </c>
      <c r="AN416" s="615">
        <v>0</v>
      </c>
      <c r="AO416" s="615">
        <v>0</v>
      </c>
      <c r="AP416" s="615">
        <v>0</v>
      </c>
      <c r="AQ416" s="615">
        <v>0</v>
      </c>
      <c r="AR416" s="615">
        <v>0</v>
      </c>
      <c r="AS416" s="615">
        <v>0</v>
      </c>
      <c r="AT416" s="615">
        <v>0</v>
      </c>
      <c r="AU416" s="615">
        <v>0</v>
      </c>
      <c r="AV416" s="615">
        <v>0</v>
      </c>
      <c r="AW416" s="615">
        <v>0</v>
      </c>
      <c r="AX416" s="615">
        <v>0</v>
      </c>
      <c r="AY416" s="615">
        <v>0</v>
      </c>
      <c r="AZ416" s="615">
        <v>0</v>
      </c>
      <c r="BA416" s="615">
        <v>0</v>
      </c>
      <c r="BB416" s="615">
        <v>0</v>
      </c>
      <c r="BC416" s="615">
        <v>0</v>
      </c>
      <c r="BD416" s="615">
        <v>0</v>
      </c>
      <c r="BE416" s="615">
        <v>0</v>
      </c>
      <c r="BF416" s="615">
        <v>0</v>
      </c>
      <c r="BG416" s="615">
        <v>0</v>
      </c>
      <c r="BH416" s="615">
        <v>0</v>
      </c>
      <c r="BI416" s="615">
        <v>0</v>
      </c>
      <c r="BJ416" s="615">
        <v>0</v>
      </c>
      <c r="BK416" s="615">
        <v>0</v>
      </c>
      <c r="BL416" s="615">
        <v>0</v>
      </c>
      <c r="BM416" s="615">
        <v>0</v>
      </c>
      <c r="BN416" s="615">
        <v>0</v>
      </c>
      <c r="BO416" s="615">
        <v>0</v>
      </c>
      <c r="BP416" s="615">
        <v>0</v>
      </c>
      <c r="BQ416" s="615">
        <v>0</v>
      </c>
      <c r="BR416" s="615">
        <v>0</v>
      </c>
      <c r="BS416" s="615">
        <v>0</v>
      </c>
      <c r="BT416" s="615">
        <v>0</v>
      </c>
      <c r="BU416" s="615">
        <v>0</v>
      </c>
      <c r="BV416" s="615">
        <v>0</v>
      </c>
      <c r="BW416" s="615">
        <v>0</v>
      </c>
      <c r="BX416" s="607">
        <f t="shared" si="16"/>
        <v>0</v>
      </c>
    </row>
    <row r="417" spans="1:76" ht="12" customHeight="1" x14ac:dyDescent="0.2">
      <c r="A417" s="902"/>
      <c r="B417" s="611" t="s">
        <v>1377</v>
      </c>
      <c r="C417" s="641" t="s">
        <v>3546</v>
      </c>
      <c r="D417" s="585"/>
      <c r="E417" s="585">
        <v>0</v>
      </c>
      <c r="F417" s="585">
        <v>0</v>
      </c>
      <c r="G417" s="585">
        <v>0</v>
      </c>
      <c r="H417" s="585">
        <v>0</v>
      </c>
      <c r="I417" s="585">
        <v>0</v>
      </c>
      <c r="J417" s="585">
        <v>0</v>
      </c>
      <c r="K417" s="585">
        <v>0</v>
      </c>
      <c r="L417" s="585">
        <v>0</v>
      </c>
      <c r="M417" s="585">
        <v>0</v>
      </c>
      <c r="N417" s="585">
        <v>0</v>
      </c>
      <c r="O417" s="585">
        <v>0</v>
      </c>
      <c r="P417" s="585">
        <v>0</v>
      </c>
      <c r="Q417" s="585">
        <v>0</v>
      </c>
      <c r="R417" s="585">
        <v>0</v>
      </c>
      <c r="S417" s="585">
        <v>0</v>
      </c>
      <c r="T417" s="585">
        <v>0</v>
      </c>
      <c r="U417" s="585">
        <v>0</v>
      </c>
      <c r="V417" s="585">
        <v>0</v>
      </c>
      <c r="W417" s="585">
        <v>0</v>
      </c>
      <c r="X417" s="585">
        <v>0</v>
      </c>
      <c r="Y417" s="615">
        <v>0</v>
      </c>
      <c r="Z417" s="615">
        <v>0</v>
      </c>
      <c r="AA417" s="615">
        <v>0</v>
      </c>
      <c r="AB417" s="615">
        <v>0</v>
      </c>
      <c r="AC417" s="615">
        <v>0</v>
      </c>
      <c r="AD417" s="615">
        <v>0</v>
      </c>
      <c r="AE417" s="615">
        <v>0</v>
      </c>
      <c r="AF417" s="615">
        <v>0</v>
      </c>
      <c r="AG417" s="615">
        <v>0</v>
      </c>
      <c r="AH417" s="615">
        <v>0</v>
      </c>
      <c r="AI417" s="615">
        <v>0</v>
      </c>
      <c r="AJ417" s="615">
        <v>0</v>
      </c>
      <c r="AK417" s="615">
        <v>0</v>
      </c>
      <c r="AL417" s="615">
        <v>0</v>
      </c>
      <c r="AM417" s="615">
        <v>0</v>
      </c>
      <c r="AN417" s="615">
        <v>0</v>
      </c>
      <c r="AO417" s="615">
        <v>0</v>
      </c>
      <c r="AP417" s="615">
        <v>0</v>
      </c>
      <c r="AQ417" s="615">
        <v>0</v>
      </c>
      <c r="AR417" s="615">
        <v>0</v>
      </c>
      <c r="AS417" s="615">
        <v>0</v>
      </c>
      <c r="AT417" s="615">
        <v>0</v>
      </c>
      <c r="AU417" s="615">
        <v>0</v>
      </c>
      <c r="AV417" s="615">
        <v>0</v>
      </c>
      <c r="AW417" s="615">
        <v>0</v>
      </c>
      <c r="AX417" s="615">
        <v>0</v>
      </c>
      <c r="AY417" s="615">
        <v>0</v>
      </c>
      <c r="AZ417" s="615">
        <v>0</v>
      </c>
      <c r="BA417" s="615">
        <v>0</v>
      </c>
      <c r="BB417" s="615">
        <v>0</v>
      </c>
      <c r="BC417" s="615">
        <v>0</v>
      </c>
      <c r="BD417" s="615">
        <v>0</v>
      </c>
      <c r="BE417" s="615">
        <v>0</v>
      </c>
      <c r="BF417" s="615">
        <v>0</v>
      </c>
      <c r="BG417" s="615">
        <v>0</v>
      </c>
      <c r="BH417" s="615">
        <v>0</v>
      </c>
      <c r="BI417" s="615">
        <v>0</v>
      </c>
      <c r="BJ417" s="615">
        <v>0</v>
      </c>
      <c r="BK417" s="615">
        <v>0</v>
      </c>
      <c r="BL417" s="615">
        <v>0</v>
      </c>
      <c r="BM417" s="615">
        <v>0</v>
      </c>
      <c r="BN417" s="615">
        <v>0</v>
      </c>
      <c r="BO417" s="615">
        <v>0</v>
      </c>
      <c r="BP417" s="615">
        <v>0</v>
      </c>
      <c r="BQ417" s="615">
        <v>0</v>
      </c>
      <c r="BR417" s="615">
        <v>0</v>
      </c>
      <c r="BS417" s="615">
        <v>0</v>
      </c>
      <c r="BT417" s="615">
        <v>0</v>
      </c>
      <c r="BU417" s="615">
        <v>0</v>
      </c>
      <c r="BV417" s="615">
        <v>0</v>
      </c>
      <c r="BW417" s="615">
        <v>0</v>
      </c>
      <c r="BX417" s="607">
        <f t="shared" si="16"/>
        <v>0</v>
      </c>
    </row>
    <row r="418" spans="1:76" ht="12" customHeight="1" x14ac:dyDescent="0.2">
      <c r="A418" s="902"/>
      <c r="B418" s="611" t="s">
        <v>2616</v>
      </c>
      <c r="C418" s="641" t="s">
        <v>3547</v>
      </c>
      <c r="D418" s="585"/>
      <c r="E418" s="585">
        <v>0</v>
      </c>
      <c r="F418" s="585">
        <v>0</v>
      </c>
      <c r="G418" s="585">
        <v>0</v>
      </c>
      <c r="H418" s="585">
        <v>0</v>
      </c>
      <c r="I418" s="585" t="s">
        <v>1128</v>
      </c>
      <c r="J418" s="585">
        <v>0</v>
      </c>
      <c r="K418" s="585">
        <v>0</v>
      </c>
      <c r="L418" s="585">
        <v>0</v>
      </c>
      <c r="M418" s="585">
        <v>0</v>
      </c>
      <c r="N418" s="585">
        <v>0</v>
      </c>
      <c r="O418" s="585">
        <v>0</v>
      </c>
      <c r="P418" s="585">
        <v>0</v>
      </c>
      <c r="Q418" s="585">
        <v>0</v>
      </c>
      <c r="R418" s="585">
        <v>0</v>
      </c>
      <c r="S418" s="585">
        <v>0</v>
      </c>
      <c r="T418" s="585">
        <v>0</v>
      </c>
      <c r="U418" s="585">
        <v>0</v>
      </c>
      <c r="V418" s="585">
        <v>0</v>
      </c>
      <c r="W418" s="585">
        <v>0</v>
      </c>
      <c r="X418" s="585">
        <v>0</v>
      </c>
      <c r="Y418" s="615">
        <v>0</v>
      </c>
      <c r="Z418" s="615">
        <v>0</v>
      </c>
      <c r="AA418" s="615">
        <v>0</v>
      </c>
      <c r="AB418" s="615">
        <v>0</v>
      </c>
      <c r="AC418" s="615">
        <v>0</v>
      </c>
      <c r="AD418" s="615">
        <v>0</v>
      </c>
      <c r="AE418" s="615">
        <v>0</v>
      </c>
      <c r="AF418" s="615">
        <v>0</v>
      </c>
      <c r="AG418" s="615">
        <v>0</v>
      </c>
      <c r="AH418" s="615">
        <v>0</v>
      </c>
      <c r="AI418" s="615">
        <v>0</v>
      </c>
      <c r="AJ418" s="615">
        <v>0</v>
      </c>
      <c r="AK418" s="615">
        <v>0</v>
      </c>
      <c r="AL418" s="615">
        <v>0</v>
      </c>
      <c r="AM418" s="615">
        <v>0</v>
      </c>
      <c r="AN418" s="615">
        <v>0</v>
      </c>
      <c r="AO418" s="615">
        <v>0</v>
      </c>
      <c r="AP418" s="615">
        <v>0</v>
      </c>
      <c r="AQ418" s="615">
        <v>0</v>
      </c>
      <c r="AR418" s="615">
        <v>0</v>
      </c>
      <c r="AS418" s="615">
        <v>0</v>
      </c>
      <c r="AT418" s="615">
        <v>0</v>
      </c>
      <c r="AU418" s="615">
        <v>0</v>
      </c>
      <c r="AV418" s="615">
        <v>3828562</v>
      </c>
      <c r="AW418" s="615">
        <v>5125876</v>
      </c>
      <c r="AX418" s="615">
        <v>5125876</v>
      </c>
      <c r="AY418" s="615">
        <v>5125872</v>
      </c>
      <c r="AZ418" s="615">
        <v>303049040</v>
      </c>
      <c r="BA418" s="615">
        <v>0</v>
      </c>
      <c r="BB418" s="615">
        <v>0</v>
      </c>
      <c r="BC418" s="615">
        <v>0</v>
      </c>
      <c r="BD418" s="615">
        <v>0</v>
      </c>
      <c r="BE418" s="615">
        <v>0</v>
      </c>
      <c r="BF418" s="615">
        <v>0</v>
      </c>
      <c r="BG418" s="615">
        <v>0</v>
      </c>
      <c r="BH418" s="615">
        <v>0</v>
      </c>
      <c r="BI418" s="615">
        <v>0</v>
      </c>
      <c r="BJ418" s="615">
        <v>0</v>
      </c>
      <c r="BK418" s="615">
        <v>0</v>
      </c>
      <c r="BL418" s="615">
        <v>0</v>
      </c>
      <c r="BM418" s="615">
        <v>0</v>
      </c>
      <c r="BN418" s="615">
        <v>0</v>
      </c>
      <c r="BO418" s="615">
        <v>0</v>
      </c>
      <c r="BP418" s="615">
        <v>0</v>
      </c>
      <c r="BQ418" s="615">
        <v>0</v>
      </c>
      <c r="BR418" s="615">
        <v>0</v>
      </c>
      <c r="BS418" s="615">
        <v>0</v>
      </c>
      <c r="BT418" s="615">
        <v>0</v>
      </c>
      <c r="BU418" s="615">
        <v>0</v>
      </c>
      <c r="BV418" s="615">
        <v>0</v>
      </c>
      <c r="BW418" s="615">
        <v>0</v>
      </c>
      <c r="BX418" s="607">
        <f t="shared" si="16"/>
        <v>322255226</v>
      </c>
    </row>
    <row r="419" spans="1:76" ht="12" customHeight="1" x14ac:dyDescent="0.2">
      <c r="A419" s="902"/>
      <c r="B419" s="611" t="s">
        <v>1195</v>
      </c>
      <c r="C419" s="641" t="s">
        <v>3548</v>
      </c>
      <c r="D419" s="585"/>
      <c r="E419" s="585">
        <v>0</v>
      </c>
      <c r="F419" s="585">
        <v>0</v>
      </c>
      <c r="G419" s="585">
        <v>0</v>
      </c>
      <c r="H419" s="585">
        <v>0</v>
      </c>
      <c r="I419" s="585">
        <v>0</v>
      </c>
      <c r="J419" s="585">
        <v>0</v>
      </c>
      <c r="K419" s="585">
        <v>0</v>
      </c>
      <c r="L419" s="585">
        <v>0</v>
      </c>
      <c r="M419" s="585">
        <v>0</v>
      </c>
      <c r="N419" s="585">
        <v>0</v>
      </c>
      <c r="O419" s="585">
        <v>0</v>
      </c>
      <c r="P419" s="585">
        <v>0</v>
      </c>
      <c r="Q419" s="585">
        <v>0</v>
      </c>
      <c r="R419" s="585">
        <v>0</v>
      </c>
      <c r="S419" s="585">
        <v>0</v>
      </c>
      <c r="T419" s="585">
        <v>0</v>
      </c>
      <c r="U419" s="585">
        <v>0</v>
      </c>
      <c r="V419" s="585">
        <v>0</v>
      </c>
      <c r="W419" s="585">
        <v>0</v>
      </c>
      <c r="X419" s="585">
        <v>0</v>
      </c>
      <c r="Y419" s="615">
        <v>0</v>
      </c>
      <c r="Z419" s="615">
        <v>0</v>
      </c>
      <c r="AA419" s="615">
        <v>0</v>
      </c>
      <c r="AB419" s="615">
        <v>0</v>
      </c>
      <c r="AC419" s="615">
        <v>0</v>
      </c>
      <c r="AD419" s="615">
        <v>0</v>
      </c>
      <c r="AE419" s="615">
        <v>0</v>
      </c>
      <c r="AF419" s="615">
        <v>0</v>
      </c>
      <c r="AG419" s="615">
        <v>0</v>
      </c>
      <c r="AH419" s="615">
        <v>0</v>
      </c>
      <c r="AI419" s="615">
        <v>0</v>
      </c>
      <c r="AJ419" s="615">
        <v>0</v>
      </c>
      <c r="AK419" s="615">
        <v>0</v>
      </c>
      <c r="AL419" s="615">
        <v>0</v>
      </c>
      <c r="AM419" s="615">
        <v>0</v>
      </c>
      <c r="AN419" s="615">
        <v>0</v>
      </c>
      <c r="AO419" s="615">
        <v>0</v>
      </c>
      <c r="AP419" s="615">
        <v>0</v>
      </c>
      <c r="AQ419" s="615">
        <v>0</v>
      </c>
      <c r="AR419" s="615">
        <v>0</v>
      </c>
      <c r="AS419" s="615">
        <v>0</v>
      </c>
      <c r="AT419" s="615">
        <v>0</v>
      </c>
      <c r="AU419" s="615">
        <v>0</v>
      </c>
      <c r="AV419" s="615">
        <v>170000000</v>
      </c>
      <c r="AW419" s="615">
        <v>0</v>
      </c>
      <c r="AX419" s="615">
        <v>0</v>
      </c>
      <c r="AY419" s="615">
        <v>0</v>
      </c>
      <c r="AZ419" s="615">
        <v>0</v>
      </c>
      <c r="BA419" s="615">
        <v>0</v>
      </c>
      <c r="BB419" s="615">
        <v>0</v>
      </c>
      <c r="BC419" s="615">
        <v>0</v>
      </c>
      <c r="BD419" s="615">
        <v>0</v>
      </c>
      <c r="BE419" s="615">
        <v>0</v>
      </c>
      <c r="BF419" s="615">
        <v>0</v>
      </c>
      <c r="BG419" s="615">
        <v>0</v>
      </c>
      <c r="BH419" s="615">
        <v>0</v>
      </c>
      <c r="BI419" s="615">
        <v>0</v>
      </c>
      <c r="BJ419" s="615">
        <v>0</v>
      </c>
      <c r="BK419" s="615">
        <v>0</v>
      </c>
      <c r="BL419" s="615">
        <v>0</v>
      </c>
      <c r="BM419" s="615">
        <v>0</v>
      </c>
      <c r="BN419" s="615">
        <v>0</v>
      </c>
      <c r="BO419" s="615">
        <v>0</v>
      </c>
      <c r="BP419" s="615">
        <v>0</v>
      </c>
      <c r="BQ419" s="615">
        <v>0</v>
      </c>
      <c r="BR419" s="615">
        <v>0</v>
      </c>
      <c r="BS419" s="615">
        <v>0</v>
      </c>
      <c r="BT419" s="615">
        <v>0</v>
      </c>
      <c r="BU419" s="615">
        <v>0</v>
      </c>
      <c r="BV419" s="615">
        <v>0</v>
      </c>
      <c r="BW419" s="615">
        <v>0</v>
      </c>
      <c r="BX419" s="607">
        <f t="shared" si="16"/>
        <v>170000000</v>
      </c>
    </row>
    <row r="420" spans="1:76" ht="12" customHeight="1" x14ac:dyDescent="0.2">
      <c r="A420" s="902"/>
      <c r="B420" s="611" t="s">
        <v>1077</v>
      </c>
      <c r="C420" s="641" t="s">
        <v>3549</v>
      </c>
      <c r="D420" s="585"/>
      <c r="E420" s="585">
        <v>0</v>
      </c>
      <c r="F420" s="585">
        <v>0</v>
      </c>
      <c r="G420" s="585">
        <v>0</v>
      </c>
      <c r="H420" s="585">
        <v>0</v>
      </c>
      <c r="I420" s="585" t="s">
        <v>1128</v>
      </c>
      <c r="J420" s="585" t="s">
        <v>1128</v>
      </c>
      <c r="K420" s="585">
        <v>0</v>
      </c>
      <c r="L420" s="585">
        <v>0</v>
      </c>
      <c r="M420" s="585">
        <v>0</v>
      </c>
      <c r="N420" s="585">
        <v>0</v>
      </c>
      <c r="O420" s="585">
        <v>0</v>
      </c>
      <c r="P420" s="585">
        <v>0</v>
      </c>
      <c r="Q420" s="585">
        <v>0</v>
      </c>
      <c r="R420" s="585">
        <v>0</v>
      </c>
      <c r="S420" s="585">
        <v>0</v>
      </c>
      <c r="T420" s="585">
        <v>0</v>
      </c>
      <c r="U420" s="585">
        <v>0</v>
      </c>
      <c r="V420" s="585">
        <v>0</v>
      </c>
      <c r="W420" s="585">
        <v>0</v>
      </c>
      <c r="X420" s="585">
        <v>0</v>
      </c>
      <c r="Y420" s="615">
        <v>0</v>
      </c>
      <c r="Z420" s="615">
        <v>0</v>
      </c>
      <c r="AA420" s="615">
        <v>0</v>
      </c>
      <c r="AB420" s="615">
        <v>0</v>
      </c>
      <c r="AC420" s="615">
        <v>0</v>
      </c>
      <c r="AD420" s="615">
        <v>0</v>
      </c>
      <c r="AE420" s="615">
        <v>0</v>
      </c>
      <c r="AF420" s="615">
        <v>0</v>
      </c>
      <c r="AG420" s="615">
        <v>0</v>
      </c>
      <c r="AH420" s="615">
        <v>0</v>
      </c>
      <c r="AI420" s="615">
        <v>0</v>
      </c>
      <c r="AJ420" s="615">
        <v>0</v>
      </c>
      <c r="AK420" s="615">
        <v>0</v>
      </c>
      <c r="AL420" s="615">
        <v>0</v>
      </c>
      <c r="AM420" s="615">
        <v>0</v>
      </c>
      <c r="AN420" s="615">
        <v>0</v>
      </c>
      <c r="AO420" s="615">
        <v>0</v>
      </c>
      <c r="AP420" s="615">
        <v>0</v>
      </c>
      <c r="AQ420" s="615">
        <v>0</v>
      </c>
      <c r="AR420" s="615">
        <v>0</v>
      </c>
      <c r="AS420" s="615">
        <v>0</v>
      </c>
      <c r="AT420" s="615">
        <v>0</v>
      </c>
      <c r="AU420" s="615">
        <v>0</v>
      </c>
      <c r="AV420" s="615">
        <v>253632400</v>
      </c>
      <c r="AW420" s="615">
        <v>0</v>
      </c>
      <c r="AX420" s="615">
        <v>0</v>
      </c>
      <c r="AY420" s="615">
        <v>0</v>
      </c>
      <c r="AZ420" s="615">
        <v>0</v>
      </c>
      <c r="BA420" s="615">
        <v>0</v>
      </c>
      <c r="BB420" s="615">
        <v>0</v>
      </c>
      <c r="BC420" s="615">
        <v>0</v>
      </c>
      <c r="BD420" s="615">
        <v>0</v>
      </c>
      <c r="BE420" s="615">
        <v>0</v>
      </c>
      <c r="BF420" s="615">
        <v>0</v>
      </c>
      <c r="BG420" s="615">
        <v>0</v>
      </c>
      <c r="BH420" s="615">
        <v>0</v>
      </c>
      <c r="BI420" s="615">
        <v>0</v>
      </c>
      <c r="BJ420" s="615">
        <v>0</v>
      </c>
      <c r="BK420" s="615">
        <v>0</v>
      </c>
      <c r="BL420" s="615">
        <v>0</v>
      </c>
      <c r="BM420" s="615">
        <v>0</v>
      </c>
      <c r="BN420" s="615">
        <v>0</v>
      </c>
      <c r="BO420" s="615">
        <v>0</v>
      </c>
      <c r="BP420" s="615">
        <v>0</v>
      </c>
      <c r="BQ420" s="615">
        <v>0</v>
      </c>
      <c r="BR420" s="615">
        <v>0</v>
      </c>
      <c r="BS420" s="615">
        <v>0</v>
      </c>
      <c r="BT420" s="615">
        <v>0</v>
      </c>
      <c r="BU420" s="615">
        <v>0</v>
      </c>
      <c r="BV420" s="615">
        <v>0</v>
      </c>
      <c r="BW420" s="615">
        <v>0</v>
      </c>
      <c r="BX420" s="607">
        <f t="shared" si="16"/>
        <v>253632400</v>
      </c>
    </row>
    <row r="421" spans="1:76" ht="12" customHeight="1" x14ac:dyDescent="0.2">
      <c r="A421" s="902"/>
      <c r="B421" s="611" t="s">
        <v>1226</v>
      </c>
      <c r="C421" s="641" t="s">
        <v>3550</v>
      </c>
      <c r="D421" s="585"/>
      <c r="E421" s="585">
        <v>0</v>
      </c>
      <c r="F421" s="585">
        <v>0</v>
      </c>
      <c r="G421" s="585">
        <v>0</v>
      </c>
      <c r="H421" s="585">
        <v>0</v>
      </c>
      <c r="I421" s="585">
        <v>0</v>
      </c>
      <c r="J421" s="585">
        <v>0</v>
      </c>
      <c r="K421" s="585">
        <v>0</v>
      </c>
      <c r="L421" s="585">
        <v>0</v>
      </c>
      <c r="M421" s="585">
        <v>0</v>
      </c>
      <c r="N421" s="585">
        <v>0</v>
      </c>
      <c r="O421" s="585">
        <v>0</v>
      </c>
      <c r="P421" s="585">
        <v>0</v>
      </c>
      <c r="Q421" s="585">
        <v>0</v>
      </c>
      <c r="R421" s="585">
        <v>0</v>
      </c>
      <c r="S421" s="585">
        <v>0</v>
      </c>
      <c r="T421" s="585">
        <v>0</v>
      </c>
      <c r="U421" s="585">
        <v>0</v>
      </c>
      <c r="V421" s="585">
        <v>0</v>
      </c>
      <c r="W421" s="585">
        <v>0</v>
      </c>
      <c r="X421" s="585">
        <v>0</v>
      </c>
      <c r="Y421" s="615">
        <v>0</v>
      </c>
      <c r="Z421" s="615">
        <v>0</v>
      </c>
      <c r="AA421" s="615">
        <v>0</v>
      </c>
      <c r="AB421" s="615">
        <v>0</v>
      </c>
      <c r="AC421" s="615">
        <v>0</v>
      </c>
      <c r="AD421" s="615">
        <v>0</v>
      </c>
      <c r="AE421" s="615">
        <v>0</v>
      </c>
      <c r="AF421" s="615">
        <v>0</v>
      </c>
      <c r="AG421" s="615">
        <v>0</v>
      </c>
      <c r="AH421" s="615">
        <v>0</v>
      </c>
      <c r="AI421" s="615">
        <v>0</v>
      </c>
      <c r="AJ421" s="615">
        <v>0</v>
      </c>
      <c r="AK421" s="615">
        <v>0</v>
      </c>
      <c r="AL421" s="615">
        <v>0</v>
      </c>
      <c r="AM421" s="615">
        <v>0</v>
      </c>
      <c r="AN421" s="615">
        <v>0</v>
      </c>
      <c r="AO421" s="615">
        <v>0</v>
      </c>
      <c r="AP421" s="615">
        <v>0</v>
      </c>
      <c r="AQ421" s="615">
        <v>0</v>
      </c>
      <c r="AR421" s="615">
        <v>0</v>
      </c>
      <c r="AS421" s="615">
        <v>0</v>
      </c>
      <c r="AT421" s="615">
        <v>0</v>
      </c>
      <c r="AU421" s="615">
        <v>0</v>
      </c>
      <c r="AV421" s="615">
        <v>231834400</v>
      </c>
      <c r="AW421" s="615">
        <v>0</v>
      </c>
      <c r="AX421" s="615">
        <v>0</v>
      </c>
      <c r="AY421" s="615">
        <v>0</v>
      </c>
      <c r="AZ421" s="615">
        <v>0</v>
      </c>
      <c r="BA421" s="615">
        <v>0</v>
      </c>
      <c r="BB421" s="615">
        <v>0</v>
      </c>
      <c r="BC421" s="615">
        <v>0</v>
      </c>
      <c r="BD421" s="615">
        <v>0</v>
      </c>
      <c r="BE421" s="615">
        <v>0</v>
      </c>
      <c r="BF421" s="615">
        <v>0</v>
      </c>
      <c r="BG421" s="615">
        <v>0</v>
      </c>
      <c r="BH421" s="615">
        <v>0</v>
      </c>
      <c r="BI421" s="615">
        <v>0</v>
      </c>
      <c r="BJ421" s="615">
        <v>0</v>
      </c>
      <c r="BK421" s="615">
        <v>0</v>
      </c>
      <c r="BL421" s="615">
        <v>0</v>
      </c>
      <c r="BM421" s="615">
        <v>0</v>
      </c>
      <c r="BN421" s="615">
        <v>0</v>
      </c>
      <c r="BO421" s="615">
        <v>0</v>
      </c>
      <c r="BP421" s="615">
        <v>0</v>
      </c>
      <c r="BQ421" s="615">
        <v>0</v>
      </c>
      <c r="BR421" s="615">
        <v>0</v>
      </c>
      <c r="BS421" s="615">
        <v>0</v>
      </c>
      <c r="BT421" s="615">
        <v>0</v>
      </c>
      <c r="BU421" s="615">
        <v>0</v>
      </c>
      <c r="BV421" s="615">
        <v>0</v>
      </c>
      <c r="BW421" s="615">
        <v>0</v>
      </c>
      <c r="BX421" s="607">
        <f t="shared" si="16"/>
        <v>231834400</v>
      </c>
    </row>
    <row r="422" spans="1:76" ht="12" customHeight="1" x14ac:dyDescent="0.2">
      <c r="A422" s="902"/>
      <c r="B422" s="611" t="s">
        <v>1121</v>
      </c>
      <c r="C422" s="641" t="s">
        <v>3551</v>
      </c>
      <c r="D422" s="585"/>
      <c r="E422" s="585">
        <v>0</v>
      </c>
      <c r="F422" s="585">
        <v>0</v>
      </c>
      <c r="G422" s="585">
        <v>0</v>
      </c>
      <c r="H422" s="585">
        <v>0</v>
      </c>
      <c r="I422" s="585">
        <v>0</v>
      </c>
      <c r="J422" s="585">
        <v>0</v>
      </c>
      <c r="K422" s="585">
        <v>0</v>
      </c>
      <c r="L422" s="585">
        <v>0</v>
      </c>
      <c r="M422" s="585">
        <v>0</v>
      </c>
      <c r="N422" s="585">
        <v>0</v>
      </c>
      <c r="O422" s="585">
        <v>0</v>
      </c>
      <c r="P422" s="585">
        <v>0</v>
      </c>
      <c r="Q422" s="585">
        <v>0</v>
      </c>
      <c r="R422" s="585">
        <v>0</v>
      </c>
      <c r="S422" s="585">
        <v>0</v>
      </c>
      <c r="T422" s="585">
        <v>0</v>
      </c>
      <c r="U422" s="585">
        <v>0</v>
      </c>
      <c r="V422" s="585">
        <v>0</v>
      </c>
      <c r="W422" s="585">
        <v>0</v>
      </c>
      <c r="X422" s="585">
        <v>0</v>
      </c>
      <c r="Y422" s="615">
        <v>0</v>
      </c>
      <c r="Z422" s="615">
        <v>0</v>
      </c>
      <c r="AA422" s="615">
        <v>0</v>
      </c>
      <c r="AB422" s="615">
        <v>0</v>
      </c>
      <c r="AC422" s="615">
        <v>0</v>
      </c>
      <c r="AD422" s="615">
        <v>0</v>
      </c>
      <c r="AE422" s="615">
        <v>0</v>
      </c>
      <c r="AF422" s="615">
        <v>0</v>
      </c>
      <c r="AG422" s="615">
        <v>0</v>
      </c>
      <c r="AH422" s="615">
        <v>0</v>
      </c>
      <c r="AI422" s="615">
        <v>0</v>
      </c>
      <c r="AJ422" s="615">
        <v>0</v>
      </c>
      <c r="AK422" s="615">
        <v>0</v>
      </c>
      <c r="AL422" s="615">
        <v>0</v>
      </c>
      <c r="AM422" s="615">
        <v>0</v>
      </c>
      <c r="AN422" s="615">
        <v>0</v>
      </c>
      <c r="AO422" s="615">
        <v>0</v>
      </c>
      <c r="AP422" s="615">
        <v>0</v>
      </c>
      <c r="AQ422" s="615">
        <v>0</v>
      </c>
      <c r="AR422" s="615">
        <v>0</v>
      </c>
      <c r="AS422" s="615">
        <v>0</v>
      </c>
      <c r="AT422" s="615">
        <v>0</v>
      </c>
      <c r="AU422" s="615">
        <v>0</v>
      </c>
      <c r="AV422" s="615">
        <v>278512248</v>
      </c>
      <c r="AW422" s="615">
        <v>0</v>
      </c>
      <c r="AX422" s="615">
        <v>0</v>
      </c>
      <c r="AY422" s="615">
        <v>0</v>
      </c>
      <c r="AZ422" s="615">
        <v>0</v>
      </c>
      <c r="BA422" s="615">
        <v>0</v>
      </c>
      <c r="BB422" s="615">
        <v>0</v>
      </c>
      <c r="BC422" s="615">
        <v>0</v>
      </c>
      <c r="BD422" s="615">
        <v>0</v>
      </c>
      <c r="BE422" s="615">
        <v>0</v>
      </c>
      <c r="BF422" s="615">
        <v>0</v>
      </c>
      <c r="BG422" s="615">
        <v>0</v>
      </c>
      <c r="BH422" s="615">
        <v>0</v>
      </c>
      <c r="BI422" s="615">
        <v>0</v>
      </c>
      <c r="BJ422" s="615">
        <v>0</v>
      </c>
      <c r="BK422" s="615">
        <v>0</v>
      </c>
      <c r="BL422" s="615">
        <v>0</v>
      </c>
      <c r="BM422" s="615">
        <v>0</v>
      </c>
      <c r="BN422" s="615">
        <v>0</v>
      </c>
      <c r="BO422" s="615">
        <v>0</v>
      </c>
      <c r="BP422" s="615">
        <v>0</v>
      </c>
      <c r="BQ422" s="615">
        <v>0</v>
      </c>
      <c r="BR422" s="615">
        <v>0</v>
      </c>
      <c r="BS422" s="615">
        <v>0</v>
      </c>
      <c r="BT422" s="615">
        <v>0</v>
      </c>
      <c r="BU422" s="615">
        <v>0</v>
      </c>
      <c r="BV422" s="615">
        <v>0</v>
      </c>
      <c r="BW422" s="615">
        <v>0</v>
      </c>
      <c r="BX422" s="607">
        <f t="shared" si="16"/>
        <v>278512248</v>
      </c>
    </row>
    <row r="423" spans="1:76" ht="12" customHeight="1" x14ac:dyDescent="0.2">
      <c r="A423" s="902"/>
      <c r="B423" s="611" t="s">
        <v>3553</v>
      </c>
      <c r="C423" s="641" t="s">
        <v>3552</v>
      </c>
      <c r="D423" s="585"/>
      <c r="E423" s="585">
        <v>0</v>
      </c>
      <c r="F423" s="585">
        <v>0</v>
      </c>
      <c r="G423" s="585">
        <v>0</v>
      </c>
      <c r="H423" s="585">
        <v>0</v>
      </c>
      <c r="I423" s="585">
        <v>0</v>
      </c>
      <c r="J423" s="585">
        <v>0</v>
      </c>
      <c r="K423" s="585">
        <v>0</v>
      </c>
      <c r="L423" s="585">
        <v>0</v>
      </c>
      <c r="M423" s="585">
        <v>0</v>
      </c>
      <c r="N423" s="585">
        <v>0</v>
      </c>
      <c r="O423" s="585">
        <v>0</v>
      </c>
      <c r="P423" s="585">
        <v>0</v>
      </c>
      <c r="Q423" s="585">
        <v>0</v>
      </c>
      <c r="R423" s="585">
        <v>0</v>
      </c>
      <c r="S423" s="585">
        <v>0</v>
      </c>
      <c r="T423" s="585">
        <v>0</v>
      </c>
      <c r="U423" s="585">
        <v>0</v>
      </c>
      <c r="V423" s="585">
        <v>0</v>
      </c>
      <c r="W423" s="585">
        <v>0</v>
      </c>
      <c r="X423" s="585">
        <v>0</v>
      </c>
      <c r="Y423" s="615">
        <v>0</v>
      </c>
      <c r="Z423" s="615">
        <v>0</v>
      </c>
      <c r="AA423" s="615">
        <v>0</v>
      </c>
      <c r="AB423" s="615">
        <v>0</v>
      </c>
      <c r="AC423" s="615">
        <v>0</v>
      </c>
      <c r="AD423" s="615">
        <v>0</v>
      </c>
      <c r="AE423" s="615">
        <v>0</v>
      </c>
      <c r="AF423" s="615">
        <v>0</v>
      </c>
      <c r="AG423" s="615">
        <v>0</v>
      </c>
      <c r="AH423" s="615">
        <v>0</v>
      </c>
      <c r="AI423" s="615">
        <v>0</v>
      </c>
      <c r="AJ423" s="615">
        <v>0</v>
      </c>
      <c r="AK423" s="615">
        <v>0</v>
      </c>
      <c r="AL423" s="615">
        <v>0</v>
      </c>
      <c r="AM423" s="615">
        <v>0</v>
      </c>
      <c r="AN423" s="615">
        <v>0</v>
      </c>
      <c r="AO423" s="615">
        <v>0</v>
      </c>
      <c r="AP423" s="615">
        <v>0</v>
      </c>
      <c r="AQ423" s="615">
        <v>0</v>
      </c>
      <c r="AR423" s="615">
        <v>0</v>
      </c>
      <c r="AS423" s="615">
        <v>0</v>
      </c>
      <c r="AT423" s="615">
        <v>0</v>
      </c>
      <c r="AU423" s="615">
        <v>0</v>
      </c>
      <c r="AV423" s="615">
        <v>0</v>
      </c>
      <c r="AW423" s="615">
        <v>0</v>
      </c>
      <c r="AX423" s="615">
        <v>11198221</v>
      </c>
      <c r="AY423" s="615">
        <v>11198222</v>
      </c>
      <c r="AZ423" s="615">
        <v>11198222</v>
      </c>
      <c r="BA423" s="615">
        <v>11198222</v>
      </c>
      <c r="BB423" s="615">
        <v>11198224</v>
      </c>
      <c r="BC423" s="615">
        <v>423136000</v>
      </c>
      <c r="BD423" s="615">
        <v>0</v>
      </c>
      <c r="BE423" s="615">
        <v>0</v>
      </c>
      <c r="BF423" s="615">
        <v>0</v>
      </c>
      <c r="BG423" s="615">
        <v>0</v>
      </c>
      <c r="BH423" s="615">
        <v>0</v>
      </c>
      <c r="BI423" s="615">
        <v>0</v>
      </c>
      <c r="BJ423" s="615">
        <v>0</v>
      </c>
      <c r="BK423" s="615">
        <v>0</v>
      </c>
      <c r="BL423" s="615">
        <v>0</v>
      </c>
      <c r="BM423" s="615">
        <v>0</v>
      </c>
      <c r="BN423" s="615">
        <v>0</v>
      </c>
      <c r="BO423" s="615">
        <v>0</v>
      </c>
      <c r="BP423" s="615">
        <v>0</v>
      </c>
      <c r="BQ423" s="615">
        <v>0</v>
      </c>
      <c r="BR423" s="615">
        <v>0</v>
      </c>
      <c r="BS423" s="615">
        <v>0</v>
      </c>
      <c r="BT423" s="615">
        <v>0</v>
      </c>
      <c r="BU423" s="615">
        <v>0</v>
      </c>
      <c r="BV423" s="615">
        <v>0</v>
      </c>
      <c r="BW423" s="615">
        <v>0</v>
      </c>
      <c r="BX423" s="607">
        <f t="shared" si="16"/>
        <v>479127111</v>
      </c>
    </row>
    <row r="424" spans="1:76" ht="12" customHeight="1" x14ac:dyDescent="0.2">
      <c r="A424" s="902"/>
      <c r="B424" s="611" t="s">
        <v>1473</v>
      </c>
      <c r="C424" s="641" t="s">
        <v>3554</v>
      </c>
      <c r="D424" s="585"/>
      <c r="E424" s="585">
        <v>0</v>
      </c>
      <c r="F424" s="585">
        <v>0</v>
      </c>
      <c r="G424" s="585">
        <v>0</v>
      </c>
      <c r="H424" s="585">
        <v>0</v>
      </c>
      <c r="I424" s="585">
        <v>0</v>
      </c>
      <c r="J424" s="585">
        <v>0</v>
      </c>
      <c r="K424" s="585">
        <v>0</v>
      </c>
      <c r="L424" s="585">
        <v>0</v>
      </c>
      <c r="M424" s="585">
        <v>0</v>
      </c>
      <c r="N424" s="585">
        <v>0</v>
      </c>
      <c r="O424" s="585">
        <v>0</v>
      </c>
      <c r="P424" s="585">
        <v>0</v>
      </c>
      <c r="Q424" s="585">
        <v>0</v>
      </c>
      <c r="R424" s="585">
        <v>0</v>
      </c>
      <c r="S424" s="585">
        <v>0</v>
      </c>
      <c r="T424" s="585">
        <v>0</v>
      </c>
      <c r="U424" s="585">
        <v>0</v>
      </c>
      <c r="V424" s="585">
        <v>0</v>
      </c>
      <c r="W424" s="585">
        <v>0</v>
      </c>
      <c r="X424" s="585">
        <v>0</v>
      </c>
      <c r="Y424" s="615">
        <v>0</v>
      </c>
      <c r="Z424" s="615">
        <v>0</v>
      </c>
      <c r="AA424" s="615">
        <v>0</v>
      </c>
      <c r="AB424" s="615">
        <v>0</v>
      </c>
      <c r="AC424" s="615">
        <v>0</v>
      </c>
      <c r="AD424" s="615">
        <v>0</v>
      </c>
      <c r="AE424" s="615">
        <v>0</v>
      </c>
      <c r="AF424" s="615">
        <v>0</v>
      </c>
      <c r="AG424" s="615">
        <v>0</v>
      </c>
      <c r="AH424" s="615">
        <v>0</v>
      </c>
      <c r="AI424" s="615">
        <v>0</v>
      </c>
      <c r="AJ424" s="615">
        <v>0</v>
      </c>
      <c r="AK424" s="615">
        <v>0</v>
      </c>
      <c r="AL424" s="615">
        <v>0</v>
      </c>
      <c r="AM424" s="615">
        <v>0</v>
      </c>
      <c r="AN424" s="615">
        <v>0</v>
      </c>
      <c r="AO424" s="615">
        <v>0</v>
      </c>
      <c r="AP424" s="615">
        <v>0</v>
      </c>
      <c r="AQ424" s="615">
        <v>0</v>
      </c>
      <c r="AR424" s="615">
        <v>0</v>
      </c>
      <c r="AS424" s="615">
        <v>0</v>
      </c>
      <c r="AT424" s="615">
        <v>0</v>
      </c>
      <c r="AU424" s="615">
        <v>0</v>
      </c>
      <c r="AV424" s="615">
        <v>0</v>
      </c>
      <c r="AW424" s="615">
        <v>909231</v>
      </c>
      <c r="AX424" s="615">
        <v>3909234</v>
      </c>
      <c r="AY424" s="615">
        <v>3909234</v>
      </c>
      <c r="AZ424" s="615">
        <v>3909234</v>
      </c>
      <c r="BA424" s="615">
        <v>3909234</v>
      </c>
      <c r="BB424" s="615">
        <v>3909240</v>
      </c>
      <c r="BC424" s="615">
        <v>361172269</v>
      </c>
      <c r="BD424" s="615">
        <v>0</v>
      </c>
      <c r="BE424" s="615">
        <v>0</v>
      </c>
      <c r="BF424" s="615">
        <v>0</v>
      </c>
      <c r="BG424" s="615">
        <v>0</v>
      </c>
      <c r="BH424" s="615">
        <v>0</v>
      </c>
      <c r="BI424" s="615">
        <v>0</v>
      </c>
      <c r="BJ424" s="615">
        <v>0</v>
      </c>
      <c r="BK424" s="615">
        <v>0</v>
      </c>
      <c r="BL424" s="615">
        <v>0</v>
      </c>
      <c r="BM424" s="615">
        <v>0</v>
      </c>
      <c r="BN424" s="615">
        <v>0</v>
      </c>
      <c r="BO424" s="615">
        <v>0</v>
      </c>
      <c r="BP424" s="615">
        <v>0</v>
      </c>
      <c r="BQ424" s="615">
        <v>0</v>
      </c>
      <c r="BR424" s="615">
        <v>0</v>
      </c>
      <c r="BS424" s="615">
        <v>0</v>
      </c>
      <c r="BT424" s="615">
        <v>0</v>
      </c>
      <c r="BU424" s="615">
        <v>0</v>
      </c>
      <c r="BV424" s="615">
        <v>0</v>
      </c>
      <c r="BW424" s="615">
        <v>0</v>
      </c>
      <c r="BX424" s="607">
        <f t="shared" si="16"/>
        <v>381627676</v>
      </c>
    </row>
    <row r="425" spans="1:76" ht="12" customHeight="1" x14ac:dyDescent="0.2">
      <c r="A425" s="902"/>
      <c r="B425" s="611" t="s">
        <v>3439</v>
      </c>
      <c r="C425" s="641" t="s">
        <v>3555</v>
      </c>
      <c r="D425" s="585"/>
      <c r="E425" s="585">
        <v>0</v>
      </c>
      <c r="F425" s="585">
        <v>0</v>
      </c>
      <c r="G425" s="585">
        <v>0</v>
      </c>
      <c r="H425" s="585">
        <v>0</v>
      </c>
      <c r="I425" s="585" t="s">
        <v>1128</v>
      </c>
      <c r="J425" s="585" t="s">
        <v>1128</v>
      </c>
      <c r="K425" s="585">
        <v>0</v>
      </c>
      <c r="L425" s="585">
        <v>0</v>
      </c>
      <c r="M425" s="585">
        <v>0</v>
      </c>
      <c r="N425" s="585">
        <v>0</v>
      </c>
      <c r="O425" s="585">
        <v>0</v>
      </c>
      <c r="P425" s="585">
        <v>0</v>
      </c>
      <c r="Q425" s="585">
        <v>0</v>
      </c>
      <c r="R425" s="585">
        <v>0</v>
      </c>
      <c r="S425" s="585">
        <v>0</v>
      </c>
      <c r="T425" s="585">
        <v>0</v>
      </c>
      <c r="U425" s="585">
        <v>0</v>
      </c>
      <c r="V425" s="585">
        <v>0</v>
      </c>
      <c r="W425" s="585">
        <v>0</v>
      </c>
      <c r="X425" s="585">
        <v>0</v>
      </c>
      <c r="Y425" s="615">
        <v>0</v>
      </c>
      <c r="Z425" s="615">
        <v>0</v>
      </c>
      <c r="AA425" s="615">
        <v>0</v>
      </c>
      <c r="AB425" s="615">
        <v>0</v>
      </c>
      <c r="AC425" s="615">
        <v>0</v>
      </c>
      <c r="AD425" s="615">
        <v>0</v>
      </c>
      <c r="AE425" s="615">
        <v>0</v>
      </c>
      <c r="AF425" s="615">
        <v>0</v>
      </c>
      <c r="AG425" s="615">
        <v>0</v>
      </c>
      <c r="AH425" s="615">
        <v>0</v>
      </c>
      <c r="AI425" s="615">
        <v>0</v>
      </c>
      <c r="AJ425" s="615">
        <v>0</v>
      </c>
      <c r="AK425" s="615">
        <v>0</v>
      </c>
      <c r="AL425" s="615">
        <v>0</v>
      </c>
      <c r="AM425" s="615">
        <v>0</v>
      </c>
      <c r="AN425" s="615">
        <v>0</v>
      </c>
      <c r="AO425" s="615">
        <v>0</v>
      </c>
      <c r="AP425" s="615">
        <v>0</v>
      </c>
      <c r="AQ425" s="615">
        <v>0</v>
      </c>
      <c r="AR425" s="615">
        <v>0</v>
      </c>
      <c r="AS425" s="615">
        <v>0</v>
      </c>
      <c r="AT425" s="615">
        <v>0</v>
      </c>
      <c r="AU425" s="615">
        <v>0</v>
      </c>
      <c r="AV425" s="615">
        <v>0</v>
      </c>
      <c r="AW425" s="615">
        <v>2500000</v>
      </c>
      <c r="AX425" s="615">
        <v>2500000</v>
      </c>
      <c r="AY425" s="615">
        <v>2500000</v>
      </c>
      <c r="AZ425" s="615">
        <v>5087019</v>
      </c>
      <c r="BA425" s="615">
        <v>5087019</v>
      </c>
      <c r="BB425" s="615">
        <v>5087020</v>
      </c>
      <c r="BC425" s="615">
        <v>439111665</v>
      </c>
      <c r="BD425" s="615">
        <v>0</v>
      </c>
      <c r="BE425" s="615">
        <v>0</v>
      </c>
      <c r="BF425" s="615">
        <v>0</v>
      </c>
      <c r="BG425" s="615">
        <v>0</v>
      </c>
      <c r="BH425" s="615">
        <v>0</v>
      </c>
      <c r="BI425" s="615">
        <v>0</v>
      </c>
      <c r="BJ425" s="615">
        <v>0</v>
      </c>
      <c r="BK425" s="615">
        <v>0</v>
      </c>
      <c r="BL425" s="615">
        <v>0</v>
      </c>
      <c r="BM425" s="615">
        <v>0</v>
      </c>
      <c r="BN425" s="615">
        <v>0</v>
      </c>
      <c r="BO425" s="615">
        <v>0</v>
      </c>
      <c r="BP425" s="615">
        <v>0</v>
      </c>
      <c r="BQ425" s="615">
        <v>0</v>
      </c>
      <c r="BR425" s="615">
        <v>0</v>
      </c>
      <c r="BS425" s="615">
        <v>0</v>
      </c>
      <c r="BT425" s="615">
        <v>0</v>
      </c>
      <c r="BU425" s="615">
        <v>0</v>
      </c>
      <c r="BV425" s="615">
        <v>0</v>
      </c>
      <c r="BW425" s="615">
        <v>0</v>
      </c>
      <c r="BX425" s="607">
        <f t="shared" si="16"/>
        <v>461872723</v>
      </c>
    </row>
    <row r="426" spans="1:76" ht="12" customHeight="1" x14ac:dyDescent="0.2">
      <c r="A426" s="902"/>
      <c r="B426" s="611" t="s">
        <v>1093</v>
      </c>
      <c r="C426" s="641" t="s">
        <v>3556</v>
      </c>
      <c r="D426" s="585"/>
      <c r="E426" s="585">
        <v>0</v>
      </c>
      <c r="F426" s="585">
        <v>0</v>
      </c>
      <c r="G426" s="585">
        <v>0</v>
      </c>
      <c r="H426" s="585">
        <v>0</v>
      </c>
      <c r="I426" s="585">
        <v>0</v>
      </c>
      <c r="J426" s="585">
        <v>0</v>
      </c>
      <c r="K426" s="585" t="s">
        <v>1128</v>
      </c>
      <c r="L426" s="585">
        <v>0</v>
      </c>
      <c r="M426" s="585">
        <v>0</v>
      </c>
      <c r="N426" s="585">
        <v>0</v>
      </c>
      <c r="O426" s="585">
        <v>0</v>
      </c>
      <c r="P426" s="585">
        <v>0</v>
      </c>
      <c r="Q426" s="585">
        <v>0</v>
      </c>
      <c r="R426" s="585">
        <v>0</v>
      </c>
      <c r="S426" s="585">
        <v>0</v>
      </c>
      <c r="T426" s="585">
        <v>0</v>
      </c>
      <c r="U426" s="585">
        <v>0</v>
      </c>
      <c r="V426" s="585">
        <v>0</v>
      </c>
      <c r="W426" s="585">
        <v>0</v>
      </c>
      <c r="X426" s="585">
        <v>0</v>
      </c>
      <c r="Y426" s="615">
        <v>0</v>
      </c>
      <c r="Z426" s="615">
        <v>0</v>
      </c>
      <c r="AA426" s="615">
        <v>0</v>
      </c>
      <c r="AB426" s="615">
        <v>0</v>
      </c>
      <c r="AC426" s="615">
        <v>0</v>
      </c>
      <c r="AD426" s="615">
        <v>0</v>
      </c>
      <c r="AE426" s="615">
        <v>0</v>
      </c>
      <c r="AF426" s="615">
        <v>0</v>
      </c>
      <c r="AG426" s="615">
        <v>0</v>
      </c>
      <c r="AH426" s="615">
        <v>0</v>
      </c>
      <c r="AI426" s="615">
        <v>0</v>
      </c>
      <c r="AJ426" s="615">
        <v>0</v>
      </c>
      <c r="AK426" s="615">
        <v>0</v>
      </c>
      <c r="AL426" s="615">
        <v>0</v>
      </c>
      <c r="AM426" s="615">
        <v>0</v>
      </c>
      <c r="AN426" s="615">
        <v>0</v>
      </c>
      <c r="AO426" s="615">
        <v>0</v>
      </c>
      <c r="AP426" s="615">
        <v>0</v>
      </c>
      <c r="AQ426" s="615">
        <v>0</v>
      </c>
      <c r="AR426" s="615">
        <v>0</v>
      </c>
      <c r="AS426" s="615">
        <v>0</v>
      </c>
      <c r="AT426" s="615">
        <v>0</v>
      </c>
      <c r="AU426" s="615">
        <v>0</v>
      </c>
      <c r="AV426" s="615">
        <v>321110677</v>
      </c>
      <c r="AW426" s="615">
        <v>0</v>
      </c>
      <c r="AX426" s="615">
        <v>0</v>
      </c>
      <c r="AY426" s="615">
        <v>0</v>
      </c>
      <c r="AZ426" s="615">
        <v>0</v>
      </c>
      <c r="BA426" s="615">
        <v>0</v>
      </c>
      <c r="BB426" s="615">
        <v>0</v>
      </c>
      <c r="BC426" s="615">
        <v>0</v>
      </c>
      <c r="BD426" s="615">
        <v>0</v>
      </c>
      <c r="BE426" s="615">
        <v>0</v>
      </c>
      <c r="BF426" s="615">
        <v>0</v>
      </c>
      <c r="BG426" s="615">
        <v>0</v>
      </c>
      <c r="BH426" s="615">
        <v>0</v>
      </c>
      <c r="BI426" s="615">
        <v>0</v>
      </c>
      <c r="BJ426" s="615">
        <v>0</v>
      </c>
      <c r="BK426" s="615">
        <v>0</v>
      </c>
      <c r="BL426" s="615">
        <v>0</v>
      </c>
      <c r="BM426" s="615">
        <v>0</v>
      </c>
      <c r="BN426" s="615">
        <v>0</v>
      </c>
      <c r="BO426" s="615">
        <v>0</v>
      </c>
      <c r="BP426" s="615">
        <v>0</v>
      </c>
      <c r="BQ426" s="615">
        <v>0</v>
      </c>
      <c r="BR426" s="615">
        <v>0</v>
      </c>
      <c r="BS426" s="615">
        <v>0</v>
      </c>
      <c r="BT426" s="615">
        <v>0</v>
      </c>
      <c r="BU426" s="615">
        <v>0</v>
      </c>
      <c r="BV426" s="615">
        <v>0</v>
      </c>
      <c r="BW426" s="615">
        <v>0</v>
      </c>
      <c r="BX426" s="607">
        <f t="shared" si="16"/>
        <v>321110677</v>
      </c>
    </row>
    <row r="427" spans="1:76" ht="12" customHeight="1" x14ac:dyDescent="0.2">
      <c r="A427" s="902"/>
      <c r="B427" s="611" t="s">
        <v>1078</v>
      </c>
      <c r="C427" s="641" t="s">
        <v>3557</v>
      </c>
      <c r="D427" s="585"/>
      <c r="E427" s="585">
        <v>0</v>
      </c>
      <c r="F427" s="585">
        <v>0</v>
      </c>
      <c r="G427" s="585">
        <v>0</v>
      </c>
      <c r="H427" s="585">
        <v>0</v>
      </c>
      <c r="I427" s="585">
        <v>0</v>
      </c>
      <c r="J427" s="585">
        <v>0</v>
      </c>
      <c r="K427" s="585">
        <v>0</v>
      </c>
      <c r="L427" s="585">
        <v>0</v>
      </c>
      <c r="M427" s="585">
        <v>0</v>
      </c>
      <c r="N427" s="585">
        <v>0</v>
      </c>
      <c r="O427" s="585">
        <v>0</v>
      </c>
      <c r="P427" s="585">
        <v>0</v>
      </c>
      <c r="Q427" s="585">
        <v>0</v>
      </c>
      <c r="R427" s="585">
        <v>0</v>
      </c>
      <c r="S427" s="585">
        <v>0</v>
      </c>
      <c r="T427" s="585">
        <v>0</v>
      </c>
      <c r="U427" s="585">
        <v>0</v>
      </c>
      <c r="V427" s="585">
        <v>0</v>
      </c>
      <c r="W427" s="585">
        <v>0</v>
      </c>
      <c r="X427" s="585">
        <v>0</v>
      </c>
      <c r="Y427" s="615">
        <v>0</v>
      </c>
      <c r="Z427" s="615">
        <v>0</v>
      </c>
      <c r="AA427" s="615">
        <v>0</v>
      </c>
      <c r="AB427" s="615">
        <v>0</v>
      </c>
      <c r="AC427" s="615">
        <v>0</v>
      </c>
      <c r="AD427" s="615">
        <v>0</v>
      </c>
      <c r="AE427" s="615">
        <v>0</v>
      </c>
      <c r="AF427" s="615">
        <v>0</v>
      </c>
      <c r="AG427" s="615">
        <v>0</v>
      </c>
      <c r="AH427" s="615">
        <v>0</v>
      </c>
      <c r="AI427" s="615">
        <v>0</v>
      </c>
      <c r="AJ427" s="615">
        <v>0</v>
      </c>
      <c r="AK427" s="615">
        <v>0</v>
      </c>
      <c r="AL427" s="615">
        <v>0</v>
      </c>
      <c r="AM427" s="615">
        <v>0</v>
      </c>
      <c r="AN427" s="615">
        <v>0</v>
      </c>
      <c r="AO427" s="615">
        <v>0</v>
      </c>
      <c r="AP427" s="615">
        <v>0</v>
      </c>
      <c r="AQ427" s="615">
        <v>0</v>
      </c>
      <c r="AR427" s="615">
        <v>0</v>
      </c>
      <c r="AS427" s="615">
        <v>0</v>
      </c>
      <c r="AT427" s="615">
        <v>273022102</v>
      </c>
      <c r="AU427" s="615">
        <v>0</v>
      </c>
      <c r="AV427" s="615">
        <v>0</v>
      </c>
      <c r="AW427" s="615">
        <v>0</v>
      </c>
      <c r="AX427" s="615">
        <v>0</v>
      </c>
      <c r="AY427" s="615">
        <v>0</v>
      </c>
      <c r="AZ427" s="615">
        <v>0</v>
      </c>
      <c r="BA427" s="615">
        <v>0</v>
      </c>
      <c r="BB427" s="615">
        <v>0</v>
      </c>
      <c r="BC427" s="615">
        <v>0</v>
      </c>
      <c r="BD427" s="615">
        <v>0</v>
      </c>
      <c r="BE427" s="615">
        <v>0</v>
      </c>
      <c r="BF427" s="615">
        <v>0</v>
      </c>
      <c r="BG427" s="615">
        <v>0</v>
      </c>
      <c r="BH427" s="615">
        <v>0</v>
      </c>
      <c r="BI427" s="615">
        <v>0</v>
      </c>
      <c r="BJ427" s="615">
        <v>0</v>
      </c>
      <c r="BK427" s="615">
        <v>0</v>
      </c>
      <c r="BL427" s="615">
        <v>0</v>
      </c>
      <c r="BM427" s="615">
        <v>0</v>
      </c>
      <c r="BN427" s="615">
        <v>0</v>
      </c>
      <c r="BO427" s="615">
        <v>0</v>
      </c>
      <c r="BP427" s="615">
        <v>0</v>
      </c>
      <c r="BQ427" s="615">
        <v>0</v>
      </c>
      <c r="BR427" s="615">
        <v>0</v>
      </c>
      <c r="BS427" s="615">
        <v>0</v>
      </c>
      <c r="BT427" s="615">
        <v>0</v>
      </c>
      <c r="BU427" s="615">
        <v>0</v>
      </c>
      <c r="BV427" s="615">
        <v>0</v>
      </c>
      <c r="BW427" s="615">
        <v>0</v>
      </c>
      <c r="BX427" s="607">
        <f t="shared" si="16"/>
        <v>273022102</v>
      </c>
    </row>
    <row r="428" spans="1:76" ht="12" customHeight="1" x14ac:dyDescent="0.2">
      <c r="A428" s="902"/>
      <c r="B428" s="611" t="s">
        <v>2291</v>
      </c>
      <c r="C428" s="641" t="s">
        <v>3558</v>
      </c>
      <c r="D428" s="585"/>
      <c r="E428" s="585">
        <v>0</v>
      </c>
      <c r="F428" s="585">
        <v>0</v>
      </c>
      <c r="G428" s="585">
        <v>0</v>
      </c>
      <c r="H428" s="585">
        <v>0</v>
      </c>
      <c r="I428" s="585">
        <v>0</v>
      </c>
      <c r="J428" s="585">
        <v>0</v>
      </c>
      <c r="K428" s="585">
        <v>0</v>
      </c>
      <c r="L428" s="585">
        <v>0</v>
      </c>
      <c r="M428" s="585">
        <v>0</v>
      </c>
      <c r="N428" s="585">
        <v>0</v>
      </c>
      <c r="O428" s="585">
        <v>0</v>
      </c>
      <c r="P428" s="585">
        <v>0</v>
      </c>
      <c r="Q428" s="585">
        <v>0</v>
      </c>
      <c r="R428" s="585">
        <v>0</v>
      </c>
      <c r="S428" s="585">
        <v>0</v>
      </c>
      <c r="T428" s="585">
        <v>0</v>
      </c>
      <c r="U428" s="585">
        <v>0</v>
      </c>
      <c r="V428" s="585">
        <v>0</v>
      </c>
      <c r="W428" s="585">
        <v>0</v>
      </c>
      <c r="X428" s="585">
        <v>0</v>
      </c>
      <c r="Y428" s="615">
        <v>0</v>
      </c>
      <c r="Z428" s="615">
        <v>0</v>
      </c>
      <c r="AA428" s="615">
        <v>0</v>
      </c>
      <c r="AB428" s="615">
        <v>0</v>
      </c>
      <c r="AC428" s="615">
        <v>0</v>
      </c>
      <c r="AD428" s="615">
        <v>0</v>
      </c>
      <c r="AE428" s="615">
        <v>0</v>
      </c>
      <c r="AF428" s="615">
        <v>0</v>
      </c>
      <c r="AG428" s="615">
        <v>0</v>
      </c>
      <c r="AH428" s="615">
        <v>0</v>
      </c>
      <c r="AI428" s="615">
        <v>0</v>
      </c>
      <c r="AJ428" s="615">
        <v>0</v>
      </c>
      <c r="AK428" s="615">
        <v>0</v>
      </c>
      <c r="AL428" s="615">
        <v>0</v>
      </c>
      <c r="AM428" s="615">
        <v>0</v>
      </c>
      <c r="AN428" s="615">
        <v>0</v>
      </c>
      <c r="AO428" s="615" t="s">
        <v>4376</v>
      </c>
      <c r="AP428" s="615">
        <v>0</v>
      </c>
      <c r="AQ428" s="615">
        <v>0</v>
      </c>
      <c r="AR428" s="615">
        <v>0</v>
      </c>
      <c r="AS428" s="615">
        <v>0</v>
      </c>
      <c r="AT428" s="615">
        <v>0</v>
      </c>
      <c r="AU428" s="615">
        <v>99794</v>
      </c>
      <c r="AV428" s="615">
        <v>0</v>
      </c>
      <c r="AW428" s="615">
        <v>0</v>
      </c>
      <c r="AX428" s="615">
        <v>0</v>
      </c>
      <c r="AY428" s="615">
        <v>0</v>
      </c>
      <c r="AZ428" s="615">
        <v>0</v>
      </c>
      <c r="BA428" s="615">
        <v>0</v>
      </c>
      <c r="BB428" s="615">
        <v>0</v>
      </c>
      <c r="BC428" s="615">
        <v>0</v>
      </c>
      <c r="BD428" s="615">
        <v>0</v>
      </c>
      <c r="BE428" s="615">
        <v>0</v>
      </c>
      <c r="BF428" s="615">
        <v>0</v>
      </c>
      <c r="BG428" s="615">
        <v>0</v>
      </c>
      <c r="BH428" s="615">
        <v>0</v>
      </c>
      <c r="BI428" s="615">
        <v>0</v>
      </c>
      <c r="BJ428" s="615">
        <v>0</v>
      </c>
      <c r="BK428" s="615">
        <v>0</v>
      </c>
      <c r="BL428" s="615">
        <v>0</v>
      </c>
      <c r="BM428" s="615">
        <v>0</v>
      </c>
      <c r="BN428" s="615">
        <v>0</v>
      </c>
      <c r="BO428" s="615">
        <v>0</v>
      </c>
      <c r="BP428" s="615">
        <v>0</v>
      </c>
      <c r="BQ428" s="615">
        <v>0</v>
      </c>
      <c r="BR428" s="615">
        <v>0</v>
      </c>
      <c r="BS428" s="615">
        <v>0</v>
      </c>
      <c r="BT428" s="615">
        <v>0</v>
      </c>
      <c r="BU428" s="615">
        <v>0</v>
      </c>
      <c r="BV428" s="615">
        <v>0</v>
      </c>
      <c r="BW428" s="615">
        <v>0</v>
      </c>
      <c r="BX428" s="607">
        <f t="shared" si="16"/>
        <v>99794</v>
      </c>
    </row>
    <row r="429" spans="1:76" ht="12" customHeight="1" x14ac:dyDescent="0.2">
      <c r="A429" s="902"/>
      <c r="B429" s="611" t="s">
        <v>1612</v>
      </c>
      <c r="C429" s="641" t="s">
        <v>3559</v>
      </c>
      <c r="D429" s="585"/>
      <c r="E429" s="585">
        <v>0</v>
      </c>
      <c r="F429" s="585">
        <v>0</v>
      </c>
      <c r="G429" s="585">
        <v>0</v>
      </c>
      <c r="H429" s="585">
        <v>0</v>
      </c>
      <c r="I429" s="585" t="s">
        <v>1128</v>
      </c>
      <c r="J429" s="585" t="s">
        <v>1128</v>
      </c>
      <c r="K429" s="585">
        <v>0</v>
      </c>
      <c r="L429" s="585">
        <v>0</v>
      </c>
      <c r="M429" s="585">
        <v>0</v>
      </c>
      <c r="N429" s="585">
        <v>0</v>
      </c>
      <c r="O429" s="585">
        <v>0</v>
      </c>
      <c r="P429" s="585">
        <v>0</v>
      </c>
      <c r="Q429" s="585">
        <v>0</v>
      </c>
      <c r="R429" s="585">
        <v>0</v>
      </c>
      <c r="S429" s="585">
        <v>0</v>
      </c>
      <c r="T429" s="585">
        <v>0</v>
      </c>
      <c r="U429" s="585">
        <v>0</v>
      </c>
      <c r="V429" s="585">
        <v>0</v>
      </c>
      <c r="W429" s="585">
        <v>0</v>
      </c>
      <c r="X429" s="585">
        <v>0</v>
      </c>
      <c r="Y429" s="615">
        <v>0</v>
      </c>
      <c r="Z429" s="615">
        <v>0</v>
      </c>
      <c r="AA429" s="615">
        <v>0</v>
      </c>
      <c r="AB429" s="615">
        <v>0</v>
      </c>
      <c r="AC429" s="615">
        <v>0</v>
      </c>
      <c r="AD429" s="615">
        <v>0</v>
      </c>
      <c r="AE429" s="615">
        <v>0</v>
      </c>
      <c r="AF429" s="615">
        <v>0</v>
      </c>
      <c r="AG429" s="615">
        <v>0</v>
      </c>
      <c r="AH429" s="615">
        <v>0</v>
      </c>
      <c r="AI429" s="615">
        <v>0</v>
      </c>
      <c r="AJ429" s="615">
        <v>0</v>
      </c>
      <c r="AK429" s="615">
        <v>0</v>
      </c>
      <c r="AL429" s="615">
        <v>0</v>
      </c>
      <c r="AM429" s="615">
        <v>0</v>
      </c>
      <c r="AN429" s="615">
        <v>0</v>
      </c>
      <c r="AO429" s="615">
        <v>0</v>
      </c>
      <c r="AP429" s="615">
        <v>0</v>
      </c>
      <c r="AQ429" s="615">
        <v>0</v>
      </c>
      <c r="AR429" s="615">
        <v>0</v>
      </c>
      <c r="AS429" s="615">
        <v>0</v>
      </c>
      <c r="AT429" s="615">
        <v>0</v>
      </c>
      <c r="AU429" s="615">
        <v>0</v>
      </c>
      <c r="AV429" s="615">
        <v>0</v>
      </c>
      <c r="AW429" s="615">
        <v>0</v>
      </c>
      <c r="AX429" s="615">
        <v>0</v>
      </c>
      <c r="AY429" s="615">
        <v>0</v>
      </c>
      <c r="AZ429" s="615">
        <v>0</v>
      </c>
      <c r="BA429" s="615">
        <v>0</v>
      </c>
      <c r="BB429" s="615">
        <v>0</v>
      </c>
      <c r="BC429" s="615">
        <v>0</v>
      </c>
      <c r="BD429" s="615">
        <v>0</v>
      </c>
      <c r="BE429" s="615">
        <v>0</v>
      </c>
      <c r="BF429" s="615">
        <v>0</v>
      </c>
      <c r="BG429" s="615">
        <v>0</v>
      </c>
      <c r="BH429" s="615">
        <v>0</v>
      </c>
      <c r="BI429" s="615">
        <v>0</v>
      </c>
      <c r="BJ429" s="615">
        <v>0</v>
      </c>
      <c r="BK429" s="615">
        <v>0</v>
      </c>
      <c r="BL429" s="615">
        <v>0</v>
      </c>
      <c r="BM429" s="615">
        <v>0</v>
      </c>
      <c r="BN429" s="615">
        <v>0</v>
      </c>
      <c r="BO429" s="615">
        <v>0</v>
      </c>
      <c r="BP429" s="615">
        <v>0</v>
      </c>
      <c r="BQ429" s="615">
        <v>0</v>
      </c>
      <c r="BR429" s="615">
        <v>0</v>
      </c>
      <c r="BS429" s="615">
        <v>0</v>
      </c>
      <c r="BT429" s="615">
        <v>0</v>
      </c>
      <c r="BU429" s="615">
        <v>0</v>
      </c>
      <c r="BV429" s="615">
        <v>0</v>
      </c>
      <c r="BW429" s="615">
        <v>0</v>
      </c>
      <c r="BX429" s="607">
        <f t="shared" si="16"/>
        <v>0</v>
      </c>
    </row>
    <row r="430" spans="1:76" ht="12" customHeight="1" x14ac:dyDescent="0.2">
      <c r="A430" s="902"/>
      <c r="B430" s="611" t="s">
        <v>1079</v>
      </c>
      <c r="C430" s="641" t="s">
        <v>3560</v>
      </c>
      <c r="D430" s="585"/>
      <c r="E430" s="585">
        <v>0</v>
      </c>
      <c r="F430" s="585">
        <v>0</v>
      </c>
      <c r="G430" s="585">
        <v>0</v>
      </c>
      <c r="H430" s="585">
        <v>0</v>
      </c>
      <c r="I430" s="585">
        <v>0</v>
      </c>
      <c r="J430" s="585">
        <v>0</v>
      </c>
      <c r="K430" s="585" t="s">
        <v>1128</v>
      </c>
      <c r="L430" s="585">
        <v>0</v>
      </c>
      <c r="M430" s="585">
        <v>0</v>
      </c>
      <c r="N430" s="585">
        <v>0</v>
      </c>
      <c r="O430" s="585">
        <v>0</v>
      </c>
      <c r="P430" s="585">
        <v>0</v>
      </c>
      <c r="Q430" s="585">
        <v>0</v>
      </c>
      <c r="R430" s="585">
        <v>0</v>
      </c>
      <c r="S430" s="585">
        <v>0</v>
      </c>
      <c r="T430" s="585">
        <v>0</v>
      </c>
      <c r="U430" s="585">
        <v>0</v>
      </c>
      <c r="V430" s="585">
        <v>0</v>
      </c>
      <c r="W430" s="585">
        <v>0</v>
      </c>
      <c r="X430" s="585">
        <v>0</v>
      </c>
      <c r="Y430" s="615">
        <v>0</v>
      </c>
      <c r="Z430" s="615">
        <v>0</v>
      </c>
      <c r="AA430" s="615">
        <v>0</v>
      </c>
      <c r="AB430" s="615">
        <v>0</v>
      </c>
      <c r="AC430" s="615">
        <v>0</v>
      </c>
      <c r="AD430" s="615">
        <v>0</v>
      </c>
      <c r="AE430" s="615">
        <v>0</v>
      </c>
      <c r="AF430" s="615">
        <v>0</v>
      </c>
      <c r="AG430" s="615">
        <v>0</v>
      </c>
      <c r="AH430" s="615">
        <v>0</v>
      </c>
      <c r="AI430" s="615">
        <v>0</v>
      </c>
      <c r="AJ430" s="615">
        <v>0</v>
      </c>
      <c r="AK430" s="615">
        <v>0</v>
      </c>
      <c r="AL430" s="615">
        <v>0</v>
      </c>
      <c r="AM430" s="615">
        <v>0</v>
      </c>
      <c r="AN430" s="615">
        <v>0</v>
      </c>
      <c r="AO430" s="615">
        <v>0</v>
      </c>
      <c r="AP430" s="615">
        <v>0</v>
      </c>
      <c r="AQ430" s="615">
        <v>0</v>
      </c>
      <c r="AR430" s="615">
        <v>0</v>
      </c>
      <c r="AS430" s="615">
        <v>0</v>
      </c>
      <c r="AT430" s="615">
        <v>261320335</v>
      </c>
      <c r="AU430" s="615">
        <v>0</v>
      </c>
      <c r="AV430" s="615">
        <v>0</v>
      </c>
      <c r="AW430" s="615">
        <v>0</v>
      </c>
      <c r="AX430" s="615">
        <v>0</v>
      </c>
      <c r="AY430" s="615">
        <v>0</v>
      </c>
      <c r="AZ430" s="615">
        <v>0</v>
      </c>
      <c r="BA430" s="615">
        <v>0</v>
      </c>
      <c r="BB430" s="615">
        <v>0</v>
      </c>
      <c r="BC430" s="615">
        <v>0</v>
      </c>
      <c r="BD430" s="615">
        <v>0</v>
      </c>
      <c r="BE430" s="615">
        <v>0</v>
      </c>
      <c r="BF430" s="615">
        <v>0</v>
      </c>
      <c r="BG430" s="615">
        <v>0</v>
      </c>
      <c r="BH430" s="615">
        <v>0</v>
      </c>
      <c r="BI430" s="615">
        <v>0</v>
      </c>
      <c r="BJ430" s="615">
        <v>0</v>
      </c>
      <c r="BK430" s="615">
        <v>0</v>
      </c>
      <c r="BL430" s="615">
        <v>0</v>
      </c>
      <c r="BM430" s="615">
        <v>0</v>
      </c>
      <c r="BN430" s="615">
        <v>0</v>
      </c>
      <c r="BO430" s="615">
        <v>0</v>
      </c>
      <c r="BP430" s="615">
        <v>0</v>
      </c>
      <c r="BQ430" s="615">
        <v>0</v>
      </c>
      <c r="BR430" s="615">
        <v>0</v>
      </c>
      <c r="BS430" s="615">
        <v>0</v>
      </c>
      <c r="BT430" s="615">
        <v>0</v>
      </c>
      <c r="BU430" s="615">
        <v>0</v>
      </c>
      <c r="BV430" s="615">
        <v>0</v>
      </c>
      <c r="BW430" s="615">
        <v>0</v>
      </c>
      <c r="BX430" s="607">
        <f t="shared" si="16"/>
        <v>261320335</v>
      </c>
    </row>
    <row r="431" spans="1:76" ht="12" customHeight="1" x14ac:dyDescent="0.2">
      <c r="A431" s="902"/>
      <c r="B431" s="611" t="s">
        <v>1185</v>
      </c>
      <c r="C431" s="641" t="s">
        <v>3561</v>
      </c>
      <c r="D431" s="585"/>
      <c r="E431" s="585">
        <v>0</v>
      </c>
      <c r="F431" s="585">
        <v>0</v>
      </c>
      <c r="G431" s="585">
        <v>0</v>
      </c>
      <c r="H431" s="585">
        <v>0</v>
      </c>
      <c r="I431" s="585" t="s">
        <v>1128</v>
      </c>
      <c r="J431" s="585" t="s">
        <v>1128</v>
      </c>
      <c r="K431" s="585">
        <v>0</v>
      </c>
      <c r="L431" s="585">
        <v>0</v>
      </c>
      <c r="M431" s="585">
        <v>0</v>
      </c>
      <c r="N431" s="585">
        <v>0</v>
      </c>
      <c r="O431" s="585">
        <v>0</v>
      </c>
      <c r="P431" s="585">
        <v>0</v>
      </c>
      <c r="Q431" s="585">
        <v>0</v>
      </c>
      <c r="R431" s="585">
        <v>0</v>
      </c>
      <c r="S431" s="585">
        <v>0</v>
      </c>
      <c r="T431" s="585">
        <v>0</v>
      </c>
      <c r="U431" s="585">
        <v>0</v>
      </c>
      <c r="V431" s="585">
        <v>0</v>
      </c>
      <c r="W431" s="585">
        <v>0</v>
      </c>
      <c r="X431" s="585">
        <v>0</v>
      </c>
      <c r="Y431" s="615">
        <v>0</v>
      </c>
      <c r="Z431" s="615">
        <v>0</v>
      </c>
      <c r="AA431" s="615">
        <v>0</v>
      </c>
      <c r="AB431" s="615">
        <v>0</v>
      </c>
      <c r="AC431" s="615">
        <v>0</v>
      </c>
      <c r="AD431" s="615">
        <v>0</v>
      </c>
      <c r="AE431" s="615">
        <v>0</v>
      </c>
      <c r="AF431" s="615">
        <v>0</v>
      </c>
      <c r="AG431" s="615">
        <v>0</v>
      </c>
      <c r="AH431" s="615">
        <v>0</v>
      </c>
      <c r="AI431" s="615">
        <v>0</v>
      </c>
      <c r="AJ431" s="615">
        <v>0</v>
      </c>
      <c r="AK431" s="615">
        <v>0</v>
      </c>
      <c r="AL431" s="615">
        <v>0</v>
      </c>
      <c r="AM431" s="615">
        <v>0</v>
      </c>
      <c r="AN431" s="615">
        <v>0</v>
      </c>
      <c r="AO431" s="615">
        <v>0</v>
      </c>
      <c r="AP431" s="615">
        <v>0</v>
      </c>
      <c r="AQ431" s="615">
        <v>0</v>
      </c>
      <c r="AR431" s="615">
        <v>0</v>
      </c>
      <c r="AS431" s="615">
        <v>0</v>
      </c>
      <c r="AT431" s="615">
        <v>0</v>
      </c>
      <c r="AU431" s="615">
        <v>0</v>
      </c>
      <c r="AV431" s="615">
        <v>0</v>
      </c>
      <c r="AW431" s="615">
        <v>0</v>
      </c>
      <c r="AX431" s="615">
        <v>0</v>
      </c>
      <c r="AY431" s="615">
        <v>0</v>
      </c>
      <c r="AZ431" s="615">
        <v>0</v>
      </c>
      <c r="BA431" s="615">
        <v>0</v>
      </c>
      <c r="BB431" s="615">
        <v>0</v>
      </c>
      <c r="BC431" s="615">
        <v>0</v>
      </c>
      <c r="BD431" s="615">
        <v>0</v>
      </c>
      <c r="BE431" s="615">
        <v>0</v>
      </c>
      <c r="BF431" s="615">
        <v>0</v>
      </c>
      <c r="BG431" s="615">
        <v>0</v>
      </c>
      <c r="BH431" s="615">
        <v>0</v>
      </c>
      <c r="BI431" s="615">
        <v>0</v>
      </c>
      <c r="BJ431" s="615">
        <v>0</v>
      </c>
      <c r="BK431" s="615">
        <v>0</v>
      </c>
      <c r="BL431" s="615">
        <v>0</v>
      </c>
      <c r="BM431" s="615">
        <v>0</v>
      </c>
      <c r="BN431" s="615">
        <v>0</v>
      </c>
      <c r="BO431" s="615">
        <v>0</v>
      </c>
      <c r="BP431" s="615">
        <v>0</v>
      </c>
      <c r="BQ431" s="615">
        <v>0</v>
      </c>
      <c r="BR431" s="615">
        <v>0</v>
      </c>
      <c r="BS431" s="615">
        <v>0</v>
      </c>
      <c r="BT431" s="615">
        <v>0</v>
      </c>
      <c r="BU431" s="615">
        <v>0</v>
      </c>
      <c r="BV431" s="615">
        <v>0</v>
      </c>
      <c r="BW431" s="615">
        <v>0</v>
      </c>
      <c r="BX431" s="607">
        <f t="shared" si="16"/>
        <v>0</v>
      </c>
    </row>
    <row r="432" spans="1:76" ht="12" customHeight="1" x14ac:dyDescent="0.2">
      <c r="A432" s="902"/>
      <c r="B432" s="611" t="s">
        <v>1173</v>
      </c>
      <c r="C432" s="641" t="s">
        <v>3562</v>
      </c>
      <c r="D432" s="585"/>
      <c r="E432" s="585">
        <v>0</v>
      </c>
      <c r="F432" s="585">
        <v>0</v>
      </c>
      <c r="G432" s="585">
        <v>0</v>
      </c>
      <c r="H432" s="585">
        <v>0</v>
      </c>
      <c r="I432" s="585">
        <v>0</v>
      </c>
      <c r="J432" s="585">
        <v>0</v>
      </c>
      <c r="K432" s="585" t="s">
        <v>1128</v>
      </c>
      <c r="L432" s="585">
        <v>0</v>
      </c>
      <c r="M432" s="585">
        <v>0</v>
      </c>
      <c r="N432" s="585">
        <v>0</v>
      </c>
      <c r="O432" s="585">
        <v>0</v>
      </c>
      <c r="P432" s="585">
        <v>0</v>
      </c>
      <c r="Q432" s="585">
        <v>0</v>
      </c>
      <c r="R432" s="585">
        <v>0</v>
      </c>
      <c r="S432" s="585">
        <v>0</v>
      </c>
      <c r="T432" s="585">
        <v>0</v>
      </c>
      <c r="U432" s="585">
        <v>0</v>
      </c>
      <c r="V432" s="585">
        <v>0</v>
      </c>
      <c r="W432" s="585">
        <v>0</v>
      </c>
      <c r="X432" s="585">
        <v>0</v>
      </c>
      <c r="Y432" s="615">
        <v>0</v>
      </c>
      <c r="Z432" s="615">
        <v>0</v>
      </c>
      <c r="AA432" s="615">
        <v>0</v>
      </c>
      <c r="AB432" s="615">
        <v>0</v>
      </c>
      <c r="AC432" s="615">
        <v>0</v>
      </c>
      <c r="AD432" s="615">
        <v>0</v>
      </c>
      <c r="AE432" s="615">
        <v>0</v>
      </c>
      <c r="AF432" s="615">
        <v>0</v>
      </c>
      <c r="AG432" s="615">
        <v>0</v>
      </c>
      <c r="AH432" s="615">
        <v>0</v>
      </c>
      <c r="AI432" s="615">
        <v>0</v>
      </c>
      <c r="AJ432" s="615">
        <v>0</v>
      </c>
      <c r="AK432" s="615">
        <v>0</v>
      </c>
      <c r="AL432" s="615">
        <v>0</v>
      </c>
      <c r="AM432" s="615">
        <v>0</v>
      </c>
      <c r="AN432" s="615">
        <v>0</v>
      </c>
      <c r="AO432" s="615">
        <v>0</v>
      </c>
      <c r="AP432" s="615">
        <v>0</v>
      </c>
      <c r="AQ432" s="615">
        <v>0</v>
      </c>
      <c r="AR432" s="615">
        <v>0</v>
      </c>
      <c r="AS432" s="615">
        <v>0</v>
      </c>
      <c r="AT432" s="615">
        <v>0</v>
      </c>
      <c r="AU432" s="615">
        <v>0</v>
      </c>
      <c r="AV432" s="615">
        <v>222335670</v>
      </c>
      <c r="AW432" s="615">
        <v>0</v>
      </c>
      <c r="AX432" s="615">
        <v>0</v>
      </c>
      <c r="AY432" s="615">
        <v>0</v>
      </c>
      <c r="AZ432" s="615">
        <v>0</v>
      </c>
      <c r="BA432" s="615">
        <v>0</v>
      </c>
      <c r="BB432" s="615">
        <v>0</v>
      </c>
      <c r="BC432" s="615">
        <v>0</v>
      </c>
      <c r="BD432" s="615">
        <v>0</v>
      </c>
      <c r="BE432" s="615">
        <v>0</v>
      </c>
      <c r="BF432" s="615">
        <v>0</v>
      </c>
      <c r="BG432" s="615">
        <v>0</v>
      </c>
      <c r="BH432" s="615">
        <v>0</v>
      </c>
      <c r="BI432" s="615">
        <v>0</v>
      </c>
      <c r="BJ432" s="615">
        <v>0</v>
      </c>
      <c r="BK432" s="615">
        <v>0</v>
      </c>
      <c r="BL432" s="615">
        <v>0</v>
      </c>
      <c r="BM432" s="615">
        <v>0</v>
      </c>
      <c r="BN432" s="615">
        <v>0</v>
      </c>
      <c r="BO432" s="615">
        <v>0</v>
      </c>
      <c r="BP432" s="615">
        <v>0</v>
      </c>
      <c r="BQ432" s="615">
        <v>0</v>
      </c>
      <c r="BR432" s="615">
        <v>0</v>
      </c>
      <c r="BS432" s="615">
        <v>0</v>
      </c>
      <c r="BT432" s="615">
        <v>0</v>
      </c>
      <c r="BU432" s="615">
        <v>0</v>
      </c>
      <c r="BV432" s="615">
        <v>0</v>
      </c>
      <c r="BW432" s="615">
        <v>0</v>
      </c>
      <c r="BX432" s="607">
        <f t="shared" si="16"/>
        <v>222335670</v>
      </c>
    </row>
    <row r="433" spans="1:76" ht="12" customHeight="1" x14ac:dyDescent="0.2">
      <c r="A433" s="902"/>
      <c r="B433" s="611" t="s">
        <v>1122</v>
      </c>
      <c r="C433" s="641" t="s">
        <v>3563</v>
      </c>
      <c r="D433" s="585"/>
      <c r="E433" s="585">
        <v>0</v>
      </c>
      <c r="F433" s="585">
        <v>0</v>
      </c>
      <c r="G433" s="585">
        <v>0</v>
      </c>
      <c r="H433" s="585">
        <v>0</v>
      </c>
      <c r="I433" s="585" t="s">
        <v>1128</v>
      </c>
      <c r="J433" s="585" t="s">
        <v>1128</v>
      </c>
      <c r="K433" s="585" t="s">
        <v>1128</v>
      </c>
      <c r="L433" s="585">
        <v>0</v>
      </c>
      <c r="M433" s="585">
        <v>0</v>
      </c>
      <c r="N433" s="585">
        <v>0</v>
      </c>
      <c r="O433" s="585">
        <v>0</v>
      </c>
      <c r="P433" s="585">
        <v>0</v>
      </c>
      <c r="Q433" s="585">
        <v>0</v>
      </c>
      <c r="R433" s="585">
        <v>0</v>
      </c>
      <c r="S433" s="585">
        <v>0</v>
      </c>
      <c r="T433" s="585">
        <v>0</v>
      </c>
      <c r="U433" s="585">
        <v>0</v>
      </c>
      <c r="V433" s="585">
        <v>0</v>
      </c>
      <c r="W433" s="585">
        <v>0</v>
      </c>
      <c r="X433" s="585">
        <v>0</v>
      </c>
      <c r="Y433" s="615">
        <v>0</v>
      </c>
      <c r="Z433" s="615">
        <v>0</v>
      </c>
      <c r="AA433" s="615">
        <v>0</v>
      </c>
      <c r="AB433" s="615">
        <v>0</v>
      </c>
      <c r="AC433" s="615">
        <v>0</v>
      </c>
      <c r="AD433" s="615">
        <v>0</v>
      </c>
      <c r="AE433" s="615">
        <v>0</v>
      </c>
      <c r="AF433" s="615">
        <v>0</v>
      </c>
      <c r="AG433" s="615">
        <v>0</v>
      </c>
      <c r="AH433" s="615">
        <v>0</v>
      </c>
      <c r="AI433" s="615">
        <v>0</v>
      </c>
      <c r="AJ433" s="615">
        <v>0</v>
      </c>
      <c r="AK433" s="615">
        <v>0</v>
      </c>
      <c r="AL433" s="615">
        <v>0</v>
      </c>
      <c r="AM433" s="615">
        <v>0</v>
      </c>
      <c r="AN433" s="615">
        <v>0</v>
      </c>
      <c r="AO433" s="615">
        <v>0</v>
      </c>
      <c r="AP433" s="615">
        <v>0</v>
      </c>
      <c r="AQ433" s="615">
        <v>0</v>
      </c>
      <c r="AR433" s="615">
        <v>0</v>
      </c>
      <c r="AS433" s="615">
        <v>0</v>
      </c>
      <c r="AT433" s="615">
        <v>0</v>
      </c>
      <c r="AU433" s="615">
        <v>0</v>
      </c>
      <c r="AV433" s="615">
        <v>281996619</v>
      </c>
      <c r="AW433" s="615">
        <v>0</v>
      </c>
      <c r="AX433" s="615">
        <v>0</v>
      </c>
      <c r="AY433" s="615">
        <v>0</v>
      </c>
      <c r="AZ433" s="615">
        <v>0</v>
      </c>
      <c r="BA433" s="615">
        <v>0</v>
      </c>
      <c r="BB433" s="615">
        <v>0</v>
      </c>
      <c r="BC433" s="615">
        <v>0</v>
      </c>
      <c r="BD433" s="615">
        <v>0</v>
      </c>
      <c r="BE433" s="615">
        <v>0</v>
      </c>
      <c r="BF433" s="615">
        <v>0</v>
      </c>
      <c r="BG433" s="615">
        <v>0</v>
      </c>
      <c r="BH433" s="615">
        <v>0</v>
      </c>
      <c r="BI433" s="615">
        <v>0</v>
      </c>
      <c r="BJ433" s="615">
        <v>0</v>
      </c>
      <c r="BK433" s="615">
        <v>0</v>
      </c>
      <c r="BL433" s="615">
        <v>0</v>
      </c>
      <c r="BM433" s="615">
        <v>0</v>
      </c>
      <c r="BN433" s="615">
        <v>0</v>
      </c>
      <c r="BO433" s="615">
        <v>0</v>
      </c>
      <c r="BP433" s="615">
        <v>0</v>
      </c>
      <c r="BQ433" s="615">
        <v>0</v>
      </c>
      <c r="BR433" s="615">
        <v>0</v>
      </c>
      <c r="BS433" s="615">
        <v>0</v>
      </c>
      <c r="BT433" s="615">
        <v>0</v>
      </c>
      <c r="BU433" s="615">
        <v>0</v>
      </c>
      <c r="BV433" s="615">
        <v>0</v>
      </c>
      <c r="BW433" s="615">
        <v>0</v>
      </c>
      <c r="BX433" s="607">
        <f t="shared" si="16"/>
        <v>281996619</v>
      </c>
    </row>
    <row r="434" spans="1:76" ht="12" customHeight="1" x14ac:dyDescent="0.2">
      <c r="A434" s="902"/>
      <c r="B434" s="611" t="s">
        <v>1574</v>
      </c>
      <c r="C434" s="641" t="s">
        <v>3564</v>
      </c>
      <c r="D434" s="585"/>
      <c r="E434" s="585">
        <v>0</v>
      </c>
      <c r="F434" s="585">
        <v>0</v>
      </c>
      <c r="G434" s="585">
        <v>0</v>
      </c>
      <c r="H434" s="585">
        <v>0</v>
      </c>
      <c r="I434" s="585">
        <v>0</v>
      </c>
      <c r="J434" s="585">
        <v>0</v>
      </c>
      <c r="K434" s="585" t="s">
        <v>1128</v>
      </c>
      <c r="L434" s="585">
        <v>0</v>
      </c>
      <c r="M434" s="585">
        <v>0</v>
      </c>
      <c r="N434" s="585">
        <v>0</v>
      </c>
      <c r="O434" s="585">
        <v>0</v>
      </c>
      <c r="P434" s="585">
        <v>0</v>
      </c>
      <c r="Q434" s="585">
        <v>0</v>
      </c>
      <c r="R434" s="585">
        <v>0</v>
      </c>
      <c r="S434" s="585">
        <v>0</v>
      </c>
      <c r="T434" s="585">
        <v>0</v>
      </c>
      <c r="U434" s="585">
        <v>0</v>
      </c>
      <c r="V434" s="585">
        <v>0</v>
      </c>
      <c r="W434" s="585">
        <v>0</v>
      </c>
      <c r="X434" s="585">
        <v>0</v>
      </c>
      <c r="Y434" s="615">
        <v>0</v>
      </c>
      <c r="Z434" s="615">
        <v>0</v>
      </c>
      <c r="AA434" s="615">
        <v>0</v>
      </c>
      <c r="AB434" s="615">
        <v>0</v>
      </c>
      <c r="AC434" s="615">
        <v>0</v>
      </c>
      <c r="AD434" s="615">
        <v>0</v>
      </c>
      <c r="AE434" s="615">
        <v>0</v>
      </c>
      <c r="AF434" s="615">
        <v>0</v>
      </c>
      <c r="AG434" s="615">
        <v>0</v>
      </c>
      <c r="AH434" s="615">
        <v>0</v>
      </c>
      <c r="AI434" s="615">
        <v>0</v>
      </c>
      <c r="AJ434" s="615">
        <v>0</v>
      </c>
      <c r="AK434" s="615">
        <v>0</v>
      </c>
      <c r="AL434" s="615">
        <v>0</v>
      </c>
      <c r="AM434" s="615">
        <v>0</v>
      </c>
      <c r="AN434" s="615">
        <v>0</v>
      </c>
      <c r="AO434" s="615">
        <v>0</v>
      </c>
      <c r="AP434" s="615">
        <v>0</v>
      </c>
      <c r="AQ434" s="615">
        <v>0</v>
      </c>
      <c r="AR434" s="615">
        <v>0</v>
      </c>
      <c r="AS434" s="615">
        <v>0</v>
      </c>
      <c r="AT434" s="615">
        <v>0</v>
      </c>
      <c r="AU434" s="615">
        <v>0</v>
      </c>
      <c r="AV434" s="615">
        <v>0</v>
      </c>
      <c r="AW434" s="615">
        <v>0</v>
      </c>
      <c r="AX434" s="615">
        <v>0</v>
      </c>
      <c r="AY434" s="615">
        <v>0</v>
      </c>
      <c r="AZ434" s="615">
        <v>0</v>
      </c>
      <c r="BA434" s="615">
        <v>0</v>
      </c>
      <c r="BB434" s="615">
        <v>0</v>
      </c>
      <c r="BC434" s="615">
        <v>0</v>
      </c>
      <c r="BD434" s="615">
        <v>0</v>
      </c>
      <c r="BE434" s="615">
        <v>0</v>
      </c>
      <c r="BF434" s="615">
        <v>0</v>
      </c>
      <c r="BG434" s="615">
        <v>0</v>
      </c>
      <c r="BH434" s="615">
        <v>0</v>
      </c>
      <c r="BI434" s="615">
        <v>0</v>
      </c>
      <c r="BJ434" s="615">
        <v>0</v>
      </c>
      <c r="BK434" s="615">
        <v>0</v>
      </c>
      <c r="BL434" s="615">
        <v>0</v>
      </c>
      <c r="BM434" s="615">
        <v>0</v>
      </c>
      <c r="BN434" s="615">
        <v>0</v>
      </c>
      <c r="BO434" s="615">
        <v>0</v>
      </c>
      <c r="BP434" s="615">
        <v>0</v>
      </c>
      <c r="BQ434" s="615">
        <v>0</v>
      </c>
      <c r="BR434" s="615">
        <v>0</v>
      </c>
      <c r="BS434" s="615">
        <v>0</v>
      </c>
      <c r="BT434" s="615">
        <v>0</v>
      </c>
      <c r="BU434" s="615">
        <v>0</v>
      </c>
      <c r="BV434" s="615">
        <v>0</v>
      </c>
      <c r="BW434" s="615">
        <v>0</v>
      </c>
      <c r="BX434" s="607">
        <f t="shared" si="16"/>
        <v>0</v>
      </c>
    </row>
    <row r="435" spans="1:76" ht="12" customHeight="1" x14ac:dyDescent="0.2">
      <c r="A435" s="902"/>
      <c r="B435" s="611" t="s">
        <v>1094</v>
      </c>
      <c r="C435" s="641" t="s">
        <v>3565</v>
      </c>
      <c r="D435" s="585"/>
      <c r="E435" s="585">
        <v>0</v>
      </c>
      <c r="F435" s="585">
        <v>0</v>
      </c>
      <c r="G435" s="585">
        <v>0</v>
      </c>
      <c r="H435" s="585">
        <v>0</v>
      </c>
      <c r="I435" s="585">
        <v>0</v>
      </c>
      <c r="J435" s="585">
        <v>0</v>
      </c>
      <c r="K435" s="585">
        <v>0</v>
      </c>
      <c r="L435" s="585">
        <v>0</v>
      </c>
      <c r="M435" s="585">
        <v>0</v>
      </c>
      <c r="N435" s="585">
        <v>0</v>
      </c>
      <c r="O435" s="585">
        <v>0</v>
      </c>
      <c r="P435" s="585">
        <v>0</v>
      </c>
      <c r="Q435" s="585">
        <v>0</v>
      </c>
      <c r="R435" s="585">
        <v>0</v>
      </c>
      <c r="S435" s="585">
        <v>0</v>
      </c>
      <c r="T435" s="585">
        <v>0</v>
      </c>
      <c r="U435" s="585">
        <v>0</v>
      </c>
      <c r="V435" s="585">
        <v>0</v>
      </c>
      <c r="W435" s="585">
        <v>0</v>
      </c>
      <c r="X435" s="585">
        <v>0</v>
      </c>
      <c r="Y435" s="615">
        <v>0</v>
      </c>
      <c r="Z435" s="615">
        <v>0</v>
      </c>
      <c r="AA435" s="615">
        <v>0</v>
      </c>
      <c r="AB435" s="615">
        <v>0</v>
      </c>
      <c r="AC435" s="615">
        <v>0</v>
      </c>
      <c r="AD435" s="615">
        <v>0</v>
      </c>
      <c r="AE435" s="615">
        <v>0</v>
      </c>
      <c r="AF435" s="615">
        <v>0</v>
      </c>
      <c r="AG435" s="615">
        <v>0</v>
      </c>
      <c r="AH435" s="615">
        <v>0</v>
      </c>
      <c r="AI435" s="615">
        <v>0</v>
      </c>
      <c r="AJ435" s="615">
        <v>0</v>
      </c>
      <c r="AK435" s="615">
        <v>0</v>
      </c>
      <c r="AL435" s="615">
        <v>0</v>
      </c>
      <c r="AM435" s="615">
        <v>0</v>
      </c>
      <c r="AN435" s="615">
        <v>0</v>
      </c>
      <c r="AO435" s="615">
        <v>0</v>
      </c>
      <c r="AP435" s="615">
        <v>0</v>
      </c>
      <c r="AQ435" s="615">
        <v>0</v>
      </c>
      <c r="AR435" s="615">
        <v>0</v>
      </c>
      <c r="AS435" s="615">
        <v>0</v>
      </c>
      <c r="AT435" s="615">
        <v>276206558</v>
      </c>
      <c r="AU435" s="615">
        <v>0</v>
      </c>
      <c r="AV435" s="615">
        <v>0</v>
      </c>
      <c r="AW435" s="615">
        <v>0</v>
      </c>
      <c r="AX435" s="615">
        <v>0</v>
      </c>
      <c r="AY435" s="615">
        <v>0</v>
      </c>
      <c r="AZ435" s="615">
        <v>0</v>
      </c>
      <c r="BA435" s="615">
        <v>0</v>
      </c>
      <c r="BB435" s="615">
        <v>0</v>
      </c>
      <c r="BC435" s="615">
        <v>0</v>
      </c>
      <c r="BD435" s="615">
        <v>0</v>
      </c>
      <c r="BE435" s="615">
        <v>0</v>
      </c>
      <c r="BF435" s="615">
        <v>0</v>
      </c>
      <c r="BG435" s="615">
        <v>0</v>
      </c>
      <c r="BH435" s="615">
        <v>0</v>
      </c>
      <c r="BI435" s="615">
        <v>0</v>
      </c>
      <c r="BJ435" s="615">
        <v>0</v>
      </c>
      <c r="BK435" s="615">
        <v>0</v>
      </c>
      <c r="BL435" s="615">
        <v>0</v>
      </c>
      <c r="BM435" s="615">
        <v>0</v>
      </c>
      <c r="BN435" s="615">
        <v>0</v>
      </c>
      <c r="BO435" s="615">
        <v>0</v>
      </c>
      <c r="BP435" s="615">
        <v>0</v>
      </c>
      <c r="BQ435" s="615">
        <v>0</v>
      </c>
      <c r="BR435" s="615">
        <v>0</v>
      </c>
      <c r="BS435" s="615">
        <v>0</v>
      </c>
      <c r="BT435" s="615">
        <v>0</v>
      </c>
      <c r="BU435" s="615">
        <v>0</v>
      </c>
      <c r="BV435" s="615">
        <v>0</v>
      </c>
      <c r="BW435" s="615">
        <v>0</v>
      </c>
      <c r="BX435" s="607">
        <f t="shared" si="16"/>
        <v>276206558</v>
      </c>
    </row>
    <row r="436" spans="1:76" ht="12" customHeight="1" x14ac:dyDescent="0.2">
      <c r="A436" s="902"/>
      <c r="B436" s="611" t="s">
        <v>3440</v>
      </c>
      <c r="C436" s="641" t="s">
        <v>3566</v>
      </c>
      <c r="D436" s="585"/>
      <c r="E436" s="585">
        <v>0</v>
      </c>
      <c r="F436" s="585">
        <v>0</v>
      </c>
      <c r="G436" s="585">
        <v>0</v>
      </c>
      <c r="H436" s="585">
        <v>0</v>
      </c>
      <c r="I436" s="585">
        <v>0</v>
      </c>
      <c r="J436" s="585">
        <v>0</v>
      </c>
      <c r="K436" s="585">
        <v>0</v>
      </c>
      <c r="L436" s="585">
        <v>0</v>
      </c>
      <c r="M436" s="585">
        <v>0</v>
      </c>
      <c r="N436" s="585">
        <v>0</v>
      </c>
      <c r="O436" s="585">
        <v>0</v>
      </c>
      <c r="P436" s="585">
        <v>0</v>
      </c>
      <c r="Q436" s="585">
        <v>0</v>
      </c>
      <c r="R436" s="585">
        <v>0</v>
      </c>
      <c r="S436" s="585">
        <v>0</v>
      </c>
      <c r="T436" s="585">
        <v>0</v>
      </c>
      <c r="U436" s="585">
        <v>0</v>
      </c>
      <c r="V436" s="585">
        <v>0</v>
      </c>
      <c r="W436" s="585">
        <v>0</v>
      </c>
      <c r="X436" s="585">
        <v>0</v>
      </c>
      <c r="Y436" s="615">
        <v>0</v>
      </c>
      <c r="Z436" s="615">
        <v>0</v>
      </c>
      <c r="AA436" s="615">
        <v>0</v>
      </c>
      <c r="AB436" s="615">
        <v>0</v>
      </c>
      <c r="AC436" s="615">
        <v>0</v>
      </c>
      <c r="AD436" s="615">
        <v>0</v>
      </c>
      <c r="AE436" s="615">
        <v>0</v>
      </c>
      <c r="AF436" s="615">
        <v>0</v>
      </c>
      <c r="AG436" s="615">
        <v>0</v>
      </c>
      <c r="AH436" s="615">
        <v>0</v>
      </c>
      <c r="AI436" s="615">
        <v>0</v>
      </c>
      <c r="AJ436" s="615">
        <v>0</v>
      </c>
      <c r="AK436" s="615">
        <v>0</v>
      </c>
      <c r="AL436" s="615">
        <v>0</v>
      </c>
      <c r="AM436" s="615">
        <v>0</v>
      </c>
      <c r="AN436" s="615">
        <v>0</v>
      </c>
      <c r="AO436" s="615">
        <v>0</v>
      </c>
      <c r="AP436" s="615">
        <v>0</v>
      </c>
      <c r="AQ436" s="615">
        <v>0</v>
      </c>
      <c r="AR436" s="615">
        <v>0</v>
      </c>
      <c r="AS436" s="615">
        <v>0</v>
      </c>
      <c r="AT436" s="615">
        <v>0</v>
      </c>
      <c r="AU436" s="615">
        <v>0</v>
      </c>
      <c r="AV436" s="615">
        <v>0</v>
      </c>
      <c r="AW436" s="615">
        <v>3478861</v>
      </c>
      <c r="AX436" s="615">
        <v>4470153</v>
      </c>
      <c r="AY436" s="615">
        <v>4470153</v>
      </c>
      <c r="AZ436" s="615">
        <v>4470153</v>
      </c>
      <c r="BA436" s="615">
        <v>4470155</v>
      </c>
      <c r="BB436" s="615">
        <v>49171685</v>
      </c>
      <c r="BC436" s="615">
        <v>393373480</v>
      </c>
      <c r="BD436" s="615">
        <v>0</v>
      </c>
      <c r="BE436" s="615">
        <v>0</v>
      </c>
      <c r="BF436" s="615">
        <v>0</v>
      </c>
      <c r="BG436" s="615">
        <v>0</v>
      </c>
      <c r="BH436" s="615">
        <v>0</v>
      </c>
      <c r="BI436" s="615">
        <v>0</v>
      </c>
      <c r="BJ436" s="615">
        <v>0</v>
      </c>
      <c r="BK436" s="615">
        <v>0</v>
      </c>
      <c r="BL436" s="615">
        <v>0</v>
      </c>
      <c r="BM436" s="615">
        <v>0</v>
      </c>
      <c r="BN436" s="615">
        <v>0</v>
      </c>
      <c r="BO436" s="615">
        <v>0</v>
      </c>
      <c r="BP436" s="615">
        <v>0</v>
      </c>
      <c r="BQ436" s="615">
        <v>0</v>
      </c>
      <c r="BR436" s="615">
        <v>0</v>
      </c>
      <c r="BS436" s="615">
        <v>0</v>
      </c>
      <c r="BT436" s="615">
        <v>0</v>
      </c>
      <c r="BU436" s="615">
        <v>0</v>
      </c>
      <c r="BV436" s="615">
        <v>0</v>
      </c>
      <c r="BW436" s="615">
        <v>0</v>
      </c>
      <c r="BX436" s="607">
        <f t="shared" si="16"/>
        <v>463904640</v>
      </c>
    </row>
    <row r="437" spans="1:76" ht="12" customHeight="1" x14ac:dyDescent="0.2">
      <c r="A437" s="902"/>
      <c r="B437" s="611" t="s">
        <v>1080</v>
      </c>
      <c r="C437" s="641" t="s">
        <v>3567</v>
      </c>
      <c r="D437" s="585"/>
      <c r="E437" s="585">
        <v>0</v>
      </c>
      <c r="F437" s="585">
        <v>0</v>
      </c>
      <c r="G437" s="585">
        <v>0</v>
      </c>
      <c r="H437" s="585">
        <v>0</v>
      </c>
      <c r="I437" s="585">
        <v>0</v>
      </c>
      <c r="J437" s="585">
        <v>0</v>
      </c>
      <c r="K437" s="585">
        <v>0</v>
      </c>
      <c r="L437" s="585">
        <v>0</v>
      </c>
      <c r="M437" s="585">
        <v>0</v>
      </c>
      <c r="N437" s="585">
        <v>0</v>
      </c>
      <c r="O437" s="585">
        <v>0</v>
      </c>
      <c r="P437" s="585">
        <v>0</v>
      </c>
      <c r="Q437" s="585">
        <v>0</v>
      </c>
      <c r="R437" s="585">
        <v>0</v>
      </c>
      <c r="S437" s="585">
        <v>0</v>
      </c>
      <c r="T437" s="585">
        <v>0</v>
      </c>
      <c r="U437" s="585">
        <v>0</v>
      </c>
      <c r="V437" s="585">
        <v>0</v>
      </c>
      <c r="W437" s="585">
        <v>0</v>
      </c>
      <c r="X437" s="585">
        <v>0</v>
      </c>
      <c r="Y437" s="615">
        <v>0</v>
      </c>
      <c r="Z437" s="615">
        <v>0</v>
      </c>
      <c r="AA437" s="615">
        <v>0</v>
      </c>
      <c r="AB437" s="615">
        <v>0</v>
      </c>
      <c r="AC437" s="615">
        <v>0</v>
      </c>
      <c r="AD437" s="615">
        <v>0</v>
      </c>
      <c r="AE437" s="615">
        <v>0</v>
      </c>
      <c r="AF437" s="615">
        <v>0</v>
      </c>
      <c r="AG437" s="615">
        <v>0</v>
      </c>
      <c r="AH437" s="615">
        <v>0</v>
      </c>
      <c r="AI437" s="615">
        <v>0</v>
      </c>
      <c r="AJ437" s="615">
        <v>0</v>
      </c>
      <c r="AK437" s="615">
        <v>0</v>
      </c>
      <c r="AL437" s="615">
        <v>0</v>
      </c>
      <c r="AM437" s="615">
        <v>0</v>
      </c>
      <c r="AN437" s="615">
        <v>0</v>
      </c>
      <c r="AO437" s="615">
        <v>0</v>
      </c>
      <c r="AP437" s="615">
        <v>0</v>
      </c>
      <c r="AQ437" s="615">
        <v>0</v>
      </c>
      <c r="AR437" s="615">
        <v>0</v>
      </c>
      <c r="AS437" s="615">
        <v>0</v>
      </c>
      <c r="AT437" s="615">
        <v>275349924</v>
      </c>
      <c r="AU437" s="615">
        <v>0</v>
      </c>
      <c r="AV437" s="615">
        <v>0</v>
      </c>
      <c r="AW437" s="615">
        <v>0</v>
      </c>
      <c r="AX437" s="615">
        <v>0</v>
      </c>
      <c r="AY437" s="615">
        <v>0</v>
      </c>
      <c r="AZ437" s="615">
        <v>0</v>
      </c>
      <c r="BA437" s="615">
        <v>0</v>
      </c>
      <c r="BB437" s="615">
        <v>0</v>
      </c>
      <c r="BC437" s="615">
        <v>0</v>
      </c>
      <c r="BD437" s="615">
        <v>0</v>
      </c>
      <c r="BE437" s="615">
        <v>0</v>
      </c>
      <c r="BF437" s="615">
        <v>0</v>
      </c>
      <c r="BG437" s="615">
        <v>0</v>
      </c>
      <c r="BH437" s="615">
        <v>0</v>
      </c>
      <c r="BI437" s="615">
        <v>0</v>
      </c>
      <c r="BJ437" s="615">
        <v>0</v>
      </c>
      <c r="BK437" s="615">
        <v>0</v>
      </c>
      <c r="BL437" s="615">
        <v>0</v>
      </c>
      <c r="BM437" s="615">
        <v>0</v>
      </c>
      <c r="BN437" s="615">
        <v>0</v>
      </c>
      <c r="BO437" s="615">
        <v>0</v>
      </c>
      <c r="BP437" s="615">
        <v>0</v>
      </c>
      <c r="BQ437" s="615">
        <v>0</v>
      </c>
      <c r="BR437" s="615">
        <v>0</v>
      </c>
      <c r="BS437" s="615">
        <v>0</v>
      </c>
      <c r="BT437" s="615">
        <v>0</v>
      </c>
      <c r="BU437" s="615">
        <v>0</v>
      </c>
      <c r="BV437" s="615">
        <v>0</v>
      </c>
      <c r="BW437" s="615">
        <v>0</v>
      </c>
      <c r="BX437" s="607">
        <f t="shared" si="16"/>
        <v>275349924</v>
      </c>
    </row>
    <row r="438" spans="1:76" ht="12" customHeight="1" x14ac:dyDescent="0.2">
      <c r="A438" s="902"/>
      <c r="B438" s="611" t="s">
        <v>1559</v>
      </c>
      <c r="C438" s="641" t="s">
        <v>3568</v>
      </c>
      <c r="D438" s="585"/>
      <c r="E438" s="585">
        <v>0</v>
      </c>
      <c r="F438" s="585">
        <v>0</v>
      </c>
      <c r="G438" s="585">
        <v>0</v>
      </c>
      <c r="H438" s="585">
        <v>0</v>
      </c>
      <c r="I438" s="585" t="s">
        <v>1128</v>
      </c>
      <c r="J438" s="585" t="s">
        <v>1128</v>
      </c>
      <c r="K438" s="585">
        <v>0</v>
      </c>
      <c r="L438" s="585">
        <v>0</v>
      </c>
      <c r="M438" s="585">
        <v>0</v>
      </c>
      <c r="N438" s="585">
        <v>0</v>
      </c>
      <c r="O438" s="585">
        <v>0</v>
      </c>
      <c r="P438" s="585">
        <v>0</v>
      </c>
      <c r="Q438" s="585">
        <v>0</v>
      </c>
      <c r="R438" s="585">
        <v>0</v>
      </c>
      <c r="S438" s="585">
        <v>0</v>
      </c>
      <c r="T438" s="585">
        <v>0</v>
      </c>
      <c r="U438" s="585">
        <v>0</v>
      </c>
      <c r="V438" s="585">
        <v>0</v>
      </c>
      <c r="W438" s="585">
        <v>0</v>
      </c>
      <c r="X438" s="585">
        <v>0</v>
      </c>
      <c r="Y438" s="615">
        <v>0</v>
      </c>
      <c r="Z438" s="615">
        <v>0</v>
      </c>
      <c r="AA438" s="615">
        <v>0</v>
      </c>
      <c r="AB438" s="615">
        <v>0</v>
      </c>
      <c r="AC438" s="615">
        <v>0</v>
      </c>
      <c r="AD438" s="615">
        <v>0</v>
      </c>
      <c r="AE438" s="615">
        <v>0</v>
      </c>
      <c r="AF438" s="615">
        <v>0</v>
      </c>
      <c r="AG438" s="615">
        <v>0</v>
      </c>
      <c r="AH438" s="615">
        <v>0</v>
      </c>
      <c r="AI438" s="615">
        <v>0</v>
      </c>
      <c r="AJ438" s="615">
        <v>0</v>
      </c>
      <c r="AK438" s="615">
        <v>0</v>
      </c>
      <c r="AL438" s="615">
        <v>0</v>
      </c>
      <c r="AM438" s="615">
        <v>0</v>
      </c>
      <c r="AN438" s="615">
        <v>0</v>
      </c>
      <c r="AO438" s="615">
        <v>0</v>
      </c>
      <c r="AP438" s="615">
        <v>0</v>
      </c>
      <c r="AQ438" s="615">
        <v>0</v>
      </c>
      <c r="AR438" s="615">
        <v>0</v>
      </c>
      <c r="AS438" s="615">
        <v>0</v>
      </c>
      <c r="AT438" s="615">
        <v>275299347</v>
      </c>
      <c r="AU438" s="615">
        <v>0</v>
      </c>
      <c r="AV438" s="615">
        <v>0</v>
      </c>
      <c r="AW438" s="615">
        <v>0</v>
      </c>
      <c r="AX438" s="615">
        <v>0</v>
      </c>
      <c r="AY438" s="615">
        <v>0</v>
      </c>
      <c r="AZ438" s="615">
        <v>0</v>
      </c>
      <c r="BA438" s="615">
        <v>0</v>
      </c>
      <c r="BB438" s="615">
        <v>0</v>
      </c>
      <c r="BC438" s="615">
        <v>0</v>
      </c>
      <c r="BD438" s="615">
        <v>0</v>
      </c>
      <c r="BE438" s="615">
        <v>0</v>
      </c>
      <c r="BF438" s="615">
        <v>0</v>
      </c>
      <c r="BG438" s="615">
        <v>0</v>
      </c>
      <c r="BH438" s="615">
        <v>0</v>
      </c>
      <c r="BI438" s="615">
        <v>0</v>
      </c>
      <c r="BJ438" s="615">
        <v>0</v>
      </c>
      <c r="BK438" s="615">
        <v>0</v>
      </c>
      <c r="BL438" s="615">
        <v>0</v>
      </c>
      <c r="BM438" s="615">
        <v>0</v>
      </c>
      <c r="BN438" s="615">
        <v>0</v>
      </c>
      <c r="BO438" s="615">
        <v>0</v>
      </c>
      <c r="BP438" s="615">
        <v>0</v>
      </c>
      <c r="BQ438" s="615">
        <v>0</v>
      </c>
      <c r="BR438" s="615">
        <v>0</v>
      </c>
      <c r="BS438" s="615">
        <v>0</v>
      </c>
      <c r="BT438" s="615">
        <v>0</v>
      </c>
      <c r="BU438" s="615">
        <v>0</v>
      </c>
      <c r="BV438" s="615">
        <v>0</v>
      </c>
      <c r="BW438" s="615">
        <v>0</v>
      </c>
      <c r="BX438" s="607">
        <f t="shared" ref="BX438:BX511" si="17">SUM(K438:BW438)</f>
        <v>275299347</v>
      </c>
    </row>
    <row r="439" spans="1:76" ht="12" customHeight="1" x14ac:dyDescent="0.2">
      <c r="A439" s="902"/>
      <c r="B439" s="611" t="s">
        <v>2614</v>
      </c>
      <c r="C439" s="641" t="s">
        <v>3569</v>
      </c>
      <c r="D439" s="585"/>
      <c r="E439" s="585">
        <v>0</v>
      </c>
      <c r="F439" s="585">
        <v>0</v>
      </c>
      <c r="G439" s="585">
        <v>0</v>
      </c>
      <c r="H439" s="585">
        <v>0</v>
      </c>
      <c r="I439" s="585">
        <v>0</v>
      </c>
      <c r="J439" s="585">
        <v>0</v>
      </c>
      <c r="K439" s="585" t="s">
        <v>1128</v>
      </c>
      <c r="L439" s="585">
        <v>0</v>
      </c>
      <c r="M439" s="585">
        <v>0</v>
      </c>
      <c r="N439" s="585">
        <v>0</v>
      </c>
      <c r="O439" s="585">
        <v>0</v>
      </c>
      <c r="P439" s="585">
        <v>0</v>
      </c>
      <c r="Q439" s="585">
        <v>0</v>
      </c>
      <c r="R439" s="585">
        <v>0</v>
      </c>
      <c r="S439" s="585">
        <v>0</v>
      </c>
      <c r="T439" s="585">
        <v>0</v>
      </c>
      <c r="U439" s="585">
        <v>0</v>
      </c>
      <c r="V439" s="585">
        <v>0</v>
      </c>
      <c r="W439" s="585">
        <v>0</v>
      </c>
      <c r="X439" s="585">
        <v>0</v>
      </c>
      <c r="Y439" s="615">
        <v>0</v>
      </c>
      <c r="Z439" s="615">
        <v>0</v>
      </c>
      <c r="AA439" s="615">
        <v>0</v>
      </c>
      <c r="AB439" s="615">
        <v>0</v>
      </c>
      <c r="AC439" s="615">
        <v>0</v>
      </c>
      <c r="AD439" s="615">
        <v>0</v>
      </c>
      <c r="AE439" s="615">
        <v>0</v>
      </c>
      <c r="AF439" s="615">
        <v>0</v>
      </c>
      <c r="AG439" s="615">
        <v>0</v>
      </c>
      <c r="AH439" s="615">
        <v>0</v>
      </c>
      <c r="AI439" s="615">
        <v>0</v>
      </c>
      <c r="AJ439" s="615">
        <v>0</v>
      </c>
      <c r="AK439" s="615">
        <v>0</v>
      </c>
      <c r="AL439" s="615">
        <v>0</v>
      </c>
      <c r="AM439" s="615">
        <v>0</v>
      </c>
      <c r="AN439" s="615">
        <v>0</v>
      </c>
      <c r="AO439" s="615">
        <v>0</v>
      </c>
      <c r="AP439" s="615">
        <v>0</v>
      </c>
      <c r="AQ439" s="615">
        <v>0</v>
      </c>
      <c r="AR439" s="615">
        <v>0</v>
      </c>
      <c r="AS439" s="615">
        <v>0</v>
      </c>
      <c r="AT439" s="615">
        <v>0</v>
      </c>
      <c r="AU439" s="615">
        <v>0</v>
      </c>
      <c r="AV439" s="615">
        <v>225</v>
      </c>
      <c r="AW439" s="615">
        <v>6610153</v>
      </c>
      <c r="AX439" s="615">
        <v>6610153</v>
      </c>
      <c r="AY439" s="615">
        <v>6610149</v>
      </c>
      <c r="AZ439" s="615">
        <v>384029548</v>
      </c>
      <c r="BA439" s="615">
        <v>0</v>
      </c>
      <c r="BB439" s="615">
        <v>0</v>
      </c>
      <c r="BC439" s="615">
        <v>0</v>
      </c>
      <c r="BD439" s="615">
        <v>0</v>
      </c>
      <c r="BE439" s="615">
        <v>0</v>
      </c>
      <c r="BF439" s="615">
        <v>0</v>
      </c>
      <c r="BG439" s="615">
        <v>0</v>
      </c>
      <c r="BH439" s="615">
        <v>0</v>
      </c>
      <c r="BI439" s="615">
        <v>0</v>
      </c>
      <c r="BJ439" s="615">
        <v>0</v>
      </c>
      <c r="BK439" s="615">
        <v>0</v>
      </c>
      <c r="BL439" s="615">
        <v>0</v>
      </c>
      <c r="BM439" s="615">
        <v>0</v>
      </c>
      <c r="BN439" s="615">
        <v>0</v>
      </c>
      <c r="BO439" s="615">
        <v>0</v>
      </c>
      <c r="BP439" s="615">
        <v>0</v>
      </c>
      <c r="BQ439" s="615">
        <v>0</v>
      </c>
      <c r="BR439" s="615">
        <v>0</v>
      </c>
      <c r="BS439" s="615">
        <v>0</v>
      </c>
      <c r="BT439" s="615">
        <v>0</v>
      </c>
      <c r="BU439" s="615">
        <v>0</v>
      </c>
      <c r="BV439" s="615">
        <v>0</v>
      </c>
      <c r="BW439" s="615">
        <v>0</v>
      </c>
      <c r="BX439" s="607">
        <f t="shared" si="17"/>
        <v>403860228</v>
      </c>
    </row>
    <row r="440" spans="1:76" ht="12" customHeight="1" x14ac:dyDescent="0.2">
      <c r="A440" s="902"/>
      <c r="B440" s="611" t="s">
        <v>1096</v>
      </c>
      <c r="C440" s="641" t="s">
        <v>3570</v>
      </c>
      <c r="D440" s="585"/>
      <c r="E440" s="585">
        <v>0</v>
      </c>
      <c r="F440" s="585">
        <v>0</v>
      </c>
      <c r="G440" s="585">
        <v>0</v>
      </c>
      <c r="H440" s="585">
        <v>0</v>
      </c>
      <c r="I440" s="585">
        <v>0</v>
      </c>
      <c r="J440" s="585">
        <v>0</v>
      </c>
      <c r="K440" s="585">
        <v>0</v>
      </c>
      <c r="L440" s="585">
        <v>0</v>
      </c>
      <c r="M440" s="585">
        <v>0</v>
      </c>
      <c r="N440" s="585">
        <v>0</v>
      </c>
      <c r="O440" s="585">
        <v>0</v>
      </c>
      <c r="P440" s="585">
        <v>0</v>
      </c>
      <c r="Q440" s="585">
        <v>0</v>
      </c>
      <c r="R440" s="585">
        <v>0</v>
      </c>
      <c r="S440" s="585">
        <v>0</v>
      </c>
      <c r="T440" s="585">
        <v>0</v>
      </c>
      <c r="U440" s="585">
        <v>0</v>
      </c>
      <c r="V440" s="585">
        <v>0</v>
      </c>
      <c r="W440" s="585">
        <v>0</v>
      </c>
      <c r="X440" s="585">
        <v>0</v>
      </c>
      <c r="Y440" s="615">
        <v>0</v>
      </c>
      <c r="Z440" s="615">
        <v>0</v>
      </c>
      <c r="AA440" s="615">
        <v>0</v>
      </c>
      <c r="AB440" s="615">
        <v>0</v>
      </c>
      <c r="AC440" s="615">
        <v>0</v>
      </c>
      <c r="AD440" s="615">
        <v>0</v>
      </c>
      <c r="AE440" s="615">
        <v>0</v>
      </c>
      <c r="AF440" s="615">
        <v>0</v>
      </c>
      <c r="AG440" s="615">
        <v>0</v>
      </c>
      <c r="AH440" s="615">
        <v>0</v>
      </c>
      <c r="AI440" s="615">
        <v>0</v>
      </c>
      <c r="AJ440" s="615">
        <v>0</v>
      </c>
      <c r="AK440" s="615">
        <v>0</v>
      </c>
      <c r="AL440" s="615">
        <v>0</v>
      </c>
      <c r="AM440" s="615">
        <v>0</v>
      </c>
      <c r="AN440" s="615">
        <v>0</v>
      </c>
      <c r="AO440" s="615">
        <v>0</v>
      </c>
      <c r="AP440" s="615">
        <v>0</v>
      </c>
      <c r="AQ440" s="615">
        <v>0</v>
      </c>
      <c r="AR440" s="615">
        <v>0</v>
      </c>
      <c r="AS440" s="615">
        <v>0</v>
      </c>
      <c r="AT440" s="615">
        <v>0</v>
      </c>
      <c r="AU440" s="615">
        <v>0</v>
      </c>
      <c r="AV440" s="615">
        <v>130000000</v>
      </c>
      <c r="AW440" s="615">
        <v>0</v>
      </c>
      <c r="AX440" s="615">
        <v>0</v>
      </c>
      <c r="AY440" s="615">
        <v>0</v>
      </c>
      <c r="AZ440" s="615">
        <v>0</v>
      </c>
      <c r="BA440" s="615">
        <v>0</v>
      </c>
      <c r="BB440" s="615">
        <v>0</v>
      </c>
      <c r="BC440" s="615">
        <v>0</v>
      </c>
      <c r="BD440" s="615">
        <v>0</v>
      </c>
      <c r="BE440" s="615">
        <v>0</v>
      </c>
      <c r="BF440" s="615">
        <v>0</v>
      </c>
      <c r="BG440" s="615">
        <v>0</v>
      </c>
      <c r="BH440" s="615">
        <v>0</v>
      </c>
      <c r="BI440" s="615">
        <v>0</v>
      </c>
      <c r="BJ440" s="615">
        <v>0</v>
      </c>
      <c r="BK440" s="615">
        <v>0</v>
      </c>
      <c r="BL440" s="615">
        <v>0</v>
      </c>
      <c r="BM440" s="615">
        <v>0</v>
      </c>
      <c r="BN440" s="615">
        <v>0</v>
      </c>
      <c r="BO440" s="615">
        <v>0</v>
      </c>
      <c r="BP440" s="615">
        <v>0</v>
      </c>
      <c r="BQ440" s="615">
        <v>0</v>
      </c>
      <c r="BR440" s="615">
        <v>0</v>
      </c>
      <c r="BS440" s="615">
        <v>0</v>
      </c>
      <c r="BT440" s="615">
        <v>0</v>
      </c>
      <c r="BU440" s="615">
        <v>0</v>
      </c>
      <c r="BV440" s="615">
        <v>0</v>
      </c>
      <c r="BW440" s="615">
        <v>0</v>
      </c>
      <c r="BX440" s="607">
        <f t="shared" si="17"/>
        <v>130000000</v>
      </c>
    </row>
    <row r="441" spans="1:76" ht="12" customHeight="1" x14ac:dyDescent="0.2">
      <c r="A441" s="902"/>
      <c r="B441" s="611" t="s">
        <v>1095</v>
      </c>
      <c r="C441" s="641" t="s">
        <v>3571</v>
      </c>
      <c r="D441" s="585"/>
      <c r="E441" s="585">
        <v>0</v>
      </c>
      <c r="F441" s="585">
        <v>0</v>
      </c>
      <c r="G441" s="585">
        <v>0</v>
      </c>
      <c r="H441" s="585">
        <v>0</v>
      </c>
      <c r="I441" s="585" t="s">
        <v>1128</v>
      </c>
      <c r="J441" s="585" t="s">
        <v>1128</v>
      </c>
      <c r="K441" s="585">
        <v>0</v>
      </c>
      <c r="L441" s="585">
        <v>0</v>
      </c>
      <c r="M441" s="585">
        <v>0</v>
      </c>
      <c r="N441" s="585">
        <v>0</v>
      </c>
      <c r="O441" s="585">
        <v>0</v>
      </c>
      <c r="P441" s="585">
        <v>0</v>
      </c>
      <c r="Q441" s="585">
        <v>0</v>
      </c>
      <c r="R441" s="585">
        <v>0</v>
      </c>
      <c r="S441" s="585">
        <v>0</v>
      </c>
      <c r="T441" s="585">
        <v>0</v>
      </c>
      <c r="U441" s="585">
        <v>0</v>
      </c>
      <c r="V441" s="585">
        <v>0</v>
      </c>
      <c r="W441" s="585">
        <v>0</v>
      </c>
      <c r="X441" s="585">
        <v>0</v>
      </c>
      <c r="Y441" s="615">
        <v>0</v>
      </c>
      <c r="Z441" s="615">
        <v>0</v>
      </c>
      <c r="AA441" s="615">
        <v>0</v>
      </c>
      <c r="AB441" s="615">
        <v>0</v>
      </c>
      <c r="AC441" s="615">
        <v>0</v>
      </c>
      <c r="AD441" s="615">
        <v>0</v>
      </c>
      <c r="AE441" s="615">
        <v>0</v>
      </c>
      <c r="AF441" s="615">
        <v>0</v>
      </c>
      <c r="AG441" s="615">
        <v>0</v>
      </c>
      <c r="AH441" s="615">
        <v>0</v>
      </c>
      <c r="AI441" s="615">
        <v>0</v>
      </c>
      <c r="AJ441" s="615">
        <v>0</v>
      </c>
      <c r="AK441" s="615">
        <v>0</v>
      </c>
      <c r="AL441" s="615">
        <v>0</v>
      </c>
      <c r="AM441" s="615">
        <v>0</v>
      </c>
      <c r="AN441" s="615">
        <v>0</v>
      </c>
      <c r="AO441" s="615">
        <v>10404784</v>
      </c>
      <c r="AP441" s="615">
        <v>0</v>
      </c>
      <c r="AQ441" s="615">
        <v>0</v>
      </c>
      <c r="AR441" s="615">
        <v>0</v>
      </c>
      <c r="AS441" s="615">
        <v>0</v>
      </c>
      <c r="AT441" s="615">
        <v>320578728</v>
      </c>
      <c r="AU441" s="615">
        <v>0</v>
      </c>
      <c r="AV441" s="615">
        <v>0</v>
      </c>
      <c r="AW441" s="615">
        <v>0</v>
      </c>
      <c r="AX441" s="615">
        <v>0</v>
      </c>
      <c r="AY441" s="615">
        <v>0</v>
      </c>
      <c r="AZ441" s="615">
        <v>0</v>
      </c>
      <c r="BA441" s="615">
        <v>0</v>
      </c>
      <c r="BB441" s="615">
        <v>0</v>
      </c>
      <c r="BC441" s="615">
        <v>0</v>
      </c>
      <c r="BD441" s="615">
        <v>0</v>
      </c>
      <c r="BE441" s="615">
        <v>0</v>
      </c>
      <c r="BF441" s="615">
        <v>0</v>
      </c>
      <c r="BG441" s="615">
        <v>0</v>
      </c>
      <c r="BH441" s="615">
        <v>0</v>
      </c>
      <c r="BI441" s="615">
        <v>0</v>
      </c>
      <c r="BJ441" s="615">
        <v>0</v>
      </c>
      <c r="BK441" s="615">
        <v>0</v>
      </c>
      <c r="BL441" s="615">
        <v>0</v>
      </c>
      <c r="BM441" s="615">
        <v>0</v>
      </c>
      <c r="BN441" s="615">
        <v>0</v>
      </c>
      <c r="BO441" s="615">
        <v>0</v>
      </c>
      <c r="BP441" s="615">
        <v>0</v>
      </c>
      <c r="BQ441" s="615">
        <v>0</v>
      </c>
      <c r="BR441" s="615">
        <v>0</v>
      </c>
      <c r="BS441" s="615">
        <v>0</v>
      </c>
      <c r="BT441" s="615">
        <v>0</v>
      </c>
      <c r="BU441" s="615">
        <v>0</v>
      </c>
      <c r="BV441" s="615">
        <v>0</v>
      </c>
      <c r="BW441" s="615">
        <v>0</v>
      </c>
      <c r="BX441" s="607">
        <f t="shared" si="17"/>
        <v>330983512</v>
      </c>
    </row>
    <row r="442" spans="1:76" ht="12" customHeight="1" x14ac:dyDescent="0.2">
      <c r="A442" s="902"/>
      <c r="B442" s="611" t="s">
        <v>3367</v>
      </c>
      <c r="C442" s="641" t="s">
        <v>3572</v>
      </c>
      <c r="D442" s="585"/>
      <c r="E442" s="585">
        <v>0</v>
      </c>
      <c r="F442" s="585">
        <v>0</v>
      </c>
      <c r="G442" s="585">
        <v>0</v>
      </c>
      <c r="H442" s="585">
        <v>0</v>
      </c>
      <c r="I442" s="585">
        <v>0</v>
      </c>
      <c r="J442" s="585">
        <v>0</v>
      </c>
      <c r="K442" s="585">
        <v>0</v>
      </c>
      <c r="L442" s="585">
        <v>0</v>
      </c>
      <c r="M442" s="585">
        <v>0</v>
      </c>
      <c r="N442" s="585">
        <v>0</v>
      </c>
      <c r="O442" s="585">
        <v>0</v>
      </c>
      <c r="P442" s="585">
        <v>0</v>
      </c>
      <c r="Q442" s="585">
        <v>0</v>
      </c>
      <c r="R442" s="585">
        <v>0</v>
      </c>
      <c r="S442" s="585">
        <v>0</v>
      </c>
      <c r="T442" s="585">
        <v>0</v>
      </c>
      <c r="U442" s="585">
        <v>0</v>
      </c>
      <c r="V442" s="585">
        <v>0</v>
      </c>
      <c r="W442" s="585">
        <v>0</v>
      </c>
      <c r="X442" s="585">
        <v>0</v>
      </c>
      <c r="Y442" s="615">
        <v>0</v>
      </c>
      <c r="Z442" s="615">
        <v>0</v>
      </c>
      <c r="AA442" s="615">
        <v>0</v>
      </c>
      <c r="AB442" s="615">
        <v>0</v>
      </c>
      <c r="AC442" s="615">
        <v>0</v>
      </c>
      <c r="AD442" s="615">
        <v>0</v>
      </c>
      <c r="AE442" s="615">
        <v>0</v>
      </c>
      <c r="AF442" s="615">
        <v>0</v>
      </c>
      <c r="AG442" s="615">
        <v>0</v>
      </c>
      <c r="AH442" s="615">
        <v>0</v>
      </c>
      <c r="AI442" s="615">
        <v>0</v>
      </c>
      <c r="AJ442" s="615">
        <v>0</v>
      </c>
      <c r="AK442" s="615">
        <v>0</v>
      </c>
      <c r="AL442" s="615">
        <v>0</v>
      </c>
      <c r="AM442" s="615">
        <v>0</v>
      </c>
      <c r="AN442" s="615">
        <v>0</v>
      </c>
      <c r="AO442" s="615">
        <v>0</v>
      </c>
      <c r="AP442" s="615">
        <v>0</v>
      </c>
      <c r="AQ442" s="615">
        <v>0</v>
      </c>
      <c r="AR442" s="615">
        <v>0</v>
      </c>
      <c r="AS442" s="615">
        <v>0</v>
      </c>
      <c r="AT442" s="615">
        <v>0</v>
      </c>
      <c r="AU442" s="615">
        <v>0</v>
      </c>
      <c r="AV442" s="615">
        <v>0</v>
      </c>
      <c r="AW442" s="615">
        <v>5469075</v>
      </c>
      <c r="AX442" s="615">
        <v>5469077</v>
      </c>
      <c r="AY442" s="615">
        <v>49221685</v>
      </c>
      <c r="AZ442" s="615">
        <v>393773480</v>
      </c>
      <c r="BA442" s="615">
        <v>0</v>
      </c>
      <c r="BB442" s="615">
        <v>0</v>
      </c>
      <c r="BC442" s="615">
        <v>0</v>
      </c>
      <c r="BD442" s="615">
        <v>0</v>
      </c>
      <c r="BE442" s="615">
        <v>0</v>
      </c>
      <c r="BF442" s="615">
        <v>0</v>
      </c>
      <c r="BG442" s="615">
        <v>0</v>
      </c>
      <c r="BH442" s="615">
        <v>0</v>
      </c>
      <c r="BI442" s="615">
        <v>0</v>
      </c>
      <c r="BJ442" s="615">
        <v>0</v>
      </c>
      <c r="BK442" s="615">
        <v>0</v>
      </c>
      <c r="BL442" s="615">
        <v>0</v>
      </c>
      <c r="BM442" s="615">
        <v>0</v>
      </c>
      <c r="BN442" s="615">
        <v>0</v>
      </c>
      <c r="BO442" s="615">
        <v>0</v>
      </c>
      <c r="BP442" s="615">
        <v>0</v>
      </c>
      <c r="BQ442" s="615">
        <v>0</v>
      </c>
      <c r="BR442" s="615">
        <v>0</v>
      </c>
      <c r="BS442" s="615">
        <v>0</v>
      </c>
      <c r="BT442" s="615">
        <v>0</v>
      </c>
      <c r="BU442" s="615">
        <v>0</v>
      </c>
      <c r="BV442" s="615">
        <v>0</v>
      </c>
      <c r="BW442" s="615">
        <v>0</v>
      </c>
      <c r="BX442" s="607">
        <f t="shared" si="17"/>
        <v>453933317</v>
      </c>
    </row>
    <row r="443" spans="1:76" ht="12" customHeight="1" x14ac:dyDescent="0.2">
      <c r="A443" s="902"/>
      <c r="B443" s="611" t="s">
        <v>1081</v>
      </c>
      <c r="C443" s="641" t="s">
        <v>3573</v>
      </c>
      <c r="D443" s="585"/>
      <c r="E443" s="585">
        <v>0</v>
      </c>
      <c r="F443" s="585">
        <v>0</v>
      </c>
      <c r="G443" s="585">
        <v>0</v>
      </c>
      <c r="H443" s="585">
        <v>0</v>
      </c>
      <c r="I443" s="585">
        <v>0</v>
      </c>
      <c r="J443" s="585">
        <v>0</v>
      </c>
      <c r="K443" s="585">
        <v>0</v>
      </c>
      <c r="L443" s="585">
        <v>0</v>
      </c>
      <c r="M443" s="585">
        <v>0</v>
      </c>
      <c r="N443" s="585">
        <v>0</v>
      </c>
      <c r="O443" s="585">
        <v>0</v>
      </c>
      <c r="P443" s="585">
        <v>0</v>
      </c>
      <c r="Q443" s="585">
        <v>0</v>
      </c>
      <c r="R443" s="585">
        <v>0</v>
      </c>
      <c r="S443" s="585">
        <v>0</v>
      </c>
      <c r="T443" s="585">
        <v>0</v>
      </c>
      <c r="U443" s="585">
        <v>0</v>
      </c>
      <c r="V443" s="585">
        <v>0</v>
      </c>
      <c r="W443" s="585">
        <v>0</v>
      </c>
      <c r="X443" s="585">
        <v>0</v>
      </c>
      <c r="Y443" s="615">
        <v>0</v>
      </c>
      <c r="Z443" s="615">
        <v>0</v>
      </c>
      <c r="AA443" s="615">
        <v>0</v>
      </c>
      <c r="AB443" s="615">
        <v>0</v>
      </c>
      <c r="AC443" s="615">
        <v>0</v>
      </c>
      <c r="AD443" s="615">
        <v>0</v>
      </c>
      <c r="AE443" s="615">
        <v>0</v>
      </c>
      <c r="AF443" s="615">
        <v>0</v>
      </c>
      <c r="AG443" s="615">
        <v>0</v>
      </c>
      <c r="AH443" s="615">
        <v>0</v>
      </c>
      <c r="AI443" s="615">
        <v>0</v>
      </c>
      <c r="AJ443" s="615">
        <v>0</v>
      </c>
      <c r="AK443" s="615">
        <v>0</v>
      </c>
      <c r="AL443" s="615">
        <v>0</v>
      </c>
      <c r="AM443" s="615">
        <v>0</v>
      </c>
      <c r="AN443" s="615">
        <v>0</v>
      </c>
      <c r="AO443" s="615">
        <v>0</v>
      </c>
      <c r="AP443" s="615">
        <v>0</v>
      </c>
      <c r="AQ443" s="615">
        <v>0</v>
      </c>
      <c r="AR443" s="615">
        <v>0</v>
      </c>
      <c r="AS443" s="615">
        <v>0</v>
      </c>
      <c r="AT443" s="615">
        <v>220260854</v>
      </c>
      <c r="AU443" s="615">
        <v>0</v>
      </c>
      <c r="AV443" s="615">
        <v>0</v>
      </c>
      <c r="AW443" s="615">
        <v>0</v>
      </c>
      <c r="AX443" s="615">
        <v>0</v>
      </c>
      <c r="AY443" s="615">
        <v>0</v>
      </c>
      <c r="AZ443" s="615">
        <v>0</v>
      </c>
      <c r="BA443" s="615">
        <v>0</v>
      </c>
      <c r="BB443" s="615">
        <v>0</v>
      </c>
      <c r="BC443" s="615">
        <v>0</v>
      </c>
      <c r="BD443" s="615">
        <v>0</v>
      </c>
      <c r="BE443" s="615">
        <v>0</v>
      </c>
      <c r="BF443" s="615">
        <v>0</v>
      </c>
      <c r="BG443" s="615">
        <v>0</v>
      </c>
      <c r="BH443" s="615">
        <v>0</v>
      </c>
      <c r="BI443" s="615">
        <v>0</v>
      </c>
      <c r="BJ443" s="615">
        <v>0</v>
      </c>
      <c r="BK443" s="615">
        <v>0</v>
      </c>
      <c r="BL443" s="615">
        <v>0</v>
      </c>
      <c r="BM443" s="615">
        <v>0</v>
      </c>
      <c r="BN443" s="615">
        <v>0</v>
      </c>
      <c r="BO443" s="615">
        <v>0</v>
      </c>
      <c r="BP443" s="615">
        <v>0</v>
      </c>
      <c r="BQ443" s="615">
        <v>0</v>
      </c>
      <c r="BR443" s="615">
        <v>0</v>
      </c>
      <c r="BS443" s="615">
        <v>0</v>
      </c>
      <c r="BT443" s="615">
        <v>0</v>
      </c>
      <c r="BU443" s="615">
        <v>0</v>
      </c>
      <c r="BV443" s="615">
        <v>0</v>
      </c>
      <c r="BW443" s="615">
        <v>0</v>
      </c>
      <c r="BX443" s="607">
        <f t="shared" si="17"/>
        <v>220260854</v>
      </c>
    </row>
    <row r="444" spans="1:76" ht="12" customHeight="1" x14ac:dyDescent="0.2">
      <c r="A444" s="902"/>
      <c r="B444" s="611" t="s">
        <v>1123</v>
      </c>
      <c r="C444" s="641" t="s">
        <v>3574</v>
      </c>
      <c r="D444" s="585"/>
      <c r="E444" s="585">
        <v>0</v>
      </c>
      <c r="F444" s="585">
        <v>0</v>
      </c>
      <c r="G444" s="585">
        <v>0</v>
      </c>
      <c r="H444" s="585">
        <v>0</v>
      </c>
      <c r="I444" s="585" t="s">
        <v>1128</v>
      </c>
      <c r="J444" s="585" t="s">
        <v>1128</v>
      </c>
      <c r="K444" s="585">
        <v>0</v>
      </c>
      <c r="L444" s="585">
        <v>0</v>
      </c>
      <c r="M444" s="585">
        <v>0</v>
      </c>
      <c r="N444" s="585">
        <v>0</v>
      </c>
      <c r="O444" s="585">
        <v>0</v>
      </c>
      <c r="P444" s="585">
        <v>0</v>
      </c>
      <c r="Q444" s="585">
        <v>0</v>
      </c>
      <c r="R444" s="585">
        <v>0</v>
      </c>
      <c r="S444" s="585">
        <v>0</v>
      </c>
      <c r="T444" s="585">
        <v>0</v>
      </c>
      <c r="U444" s="585">
        <v>0</v>
      </c>
      <c r="V444" s="585">
        <v>0</v>
      </c>
      <c r="W444" s="585">
        <v>0</v>
      </c>
      <c r="X444" s="585">
        <v>0</v>
      </c>
      <c r="Y444" s="615">
        <v>0</v>
      </c>
      <c r="Z444" s="615">
        <v>0</v>
      </c>
      <c r="AA444" s="615">
        <v>0</v>
      </c>
      <c r="AB444" s="615">
        <v>0</v>
      </c>
      <c r="AC444" s="615">
        <v>0</v>
      </c>
      <c r="AD444" s="615">
        <v>0</v>
      </c>
      <c r="AE444" s="615">
        <v>0</v>
      </c>
      <c r="AF444" s="615">
        <v>0</v>
      </c>
      <c r="AG444" s="615">
        <v>0</v>
      </c>
      <c r="AH444" s="615">
        <v>0</v>
      </c>
      <c r="AI444" s="615">
        <v>0</v>
      </c>
      <c r="AJ444" s="615">
        <v>0</v>
      </c>
      <c r="AK444" s="615">
        <v>0</v>
      </c>
      <c r="AL444" s="615">
        <v>0</v>
      </c>
      <c r="AM444" s="615">
        <v>0</v>
      </c>
      <c r="AN444" s="615">
        <v>0</v>
      </c>
      <c r="AO444" s="615">
        <v>0</v>
      </c>
      <c r="AP444" s="615">
        <v>0</v>
      </c>
      <c r="AQ444" s="615">
        <v>0</v>
      </c>
      <c r="AR444" s="615">
        <v>0</v>
      </c>
      <c r="AS444" s="615">
        <v>0</v>
      </c>
      <c r="AT444" s="615">
        <v>0</v>
      </c>
      <c r="AU444" s="615">
        <v>0</v>
      </c>
      <c r="AV444" s="615">
        <v>0</v>
      </c>
      <c r="AW444" s="615">
        <v>0</v>
      </c>
      <c r="AX444" s="615">
        <v>0</v>
      </c>
      <c r="AY444" s="615">
        <v>0</v>
      </c>
      <c r="AZ444" s="615">
        <v>0</v>
      </c>
      <c r="BA444" s="615">
        <v>0</v>
      </c>
      <c r="BB444" s="615">
        <v>0</v>
      </c>
      <c r="BC444" s="615">
        <v>0</v>
      </c>
      <c r="BD444" s="615">
        <v>0</v>
      </c>
      <c r="BE444" s="615">
        <v>0</v>
      </c>
      <c r="BF444" s="615">
        <v>0</v>
      </c>
      <c r="BG444" s="615">
        <v>0</v>
      </c>
      <c r="BH444" s="615">
        <v>0</v>
      </c>
      <c r="BI444" s="615">
        <v>0</v>
      </c>
      <c r="BJ444" s="615">
        <v>0</v>
      </c>
      <c r="BK444" s="615">
        <v>0</v>
      </c>
      <c r="BL444" s="615">
        <v>0</v>
      </c>
      <c r="BM444" s="615">
        <v>0</v>
      </c>
      <c r="BN444" s="615">
        <v>0</v>
      </c>
      <c r="BO444" s="615">
        <v>0</v>
      </c>
      <c r="BP444" s="615">
        <v>0</v>
      </c>
      <c r="BQ444" s="615">
        <v>0</v>
      </c>
      <c r="BR444" s="615">
        <v>0</v>
      </c>
      <c r="BS444" s="615">
        <v>0</v>
      </c>
      <c r="BT444" s="615">
        <v>0</v>
      </c>
      <c r="BU444" s="615">
        <v>0</v>
      </c>
      <c r="BV444" s="615">
        <v>0</v>
      </c>
      <c r="BW444" s="615">
        <v>0</v>
      </c>
      <c r="BX444" s="607">
        <f t="shared" si="17"/>
        <v>0</v>
      </c>
    </row>
    <row r="445" spans="1:76" ht="12" customHeight="1" x14ac:dyDescent="0.2">
      <c r="A445" s="902"/>
      <c r="B445" s="611" t="s">
        <v>1238</v>
      </c>
      <c r="C445" s="641" t="s">
        <v>3575</v>
      </c>
      <c r="D445" s="585"/>
      <c r="E445" s="585">
        <v>0</v>
      </c>
      <c r="F445" s="585">
        <v>0</v>
      </c>
      <c r="G445" s="585">
        <v>0</v>
      </c>
      <c r="H445" s="585">
        <v>0</v>
      </c>
      <c r="I445" s="585" t="s">
        <v>1128</v>
      </c>
      <c r="J445" s="585" t="s">
        <v>1128</v>
      </c>
      <c r="K445" s="585" t="s">
        <v>1128</v>
      </c>
      <c r="L445" s="585">
        <v>0</v>
      </c>
      <c r="M445" s="585">
        <v>0</v>
      </c>
      <c r="N445" s="585">
        <v>0</v>
      </c>
      <c r="O445" s="585">
        <v>0</v>
      </c>
      <c r="P445" s="585">
        <v>0</v>
      </c>
      <c r="Q445" s="585">
        <v>0</v>
      </c>
      <c r="R445" s="585">
        <v>0</v>
      </c>
      <c r="S445" s="585">
        <v>0</v>
      </c>
      <c r="T445" s="585">
        <v>0</v>
      </c>
      <c r="U445" s="585">
        <v>0</v>
      </c>
      <c r="V445" s="585">
        <v>0</v>
      </c>
      <c r="W445" s="585">
        <v>0</v>
      </c>
      <c r="X445" s="585">
        <v>0</v>
      </c>
      <c r="Y445" s="615">
        <v>0</v>
      </c>
      <c r="Z445" s="615">
        <v>0</v>
      </c>
      <c r="AA445" s="615">
        <v>0</v>
      </c>
      <c r="AB445" s="615">
        <v>0</v>
      </c>
      <c r="AC445" s="615">
        <v>0</v>
      </c>
      <c r="AD445" s="615">
        <v>0</v>
      </c>
      <c r="AE445" s="615">
        <v>0</v>
      </c>
      <c r="AF445" s="615">
        <v>0</v>
      </c>
      <c r="AG445" s="615">
        <v>0</v>
      </c>
      <c r="AH445" s="615">
        <v>0</v>
      </c>
      <c r="AI445" s="615">
        <v>0</v>
      </c>
      <c r="AJ445" s="615">
        <v>0</v>
      </c>
      <c r="AK445" s="615">
        <v>0</v>
      </c>
      <c r="AL445" s="615">
        <v>0</v>
      </c>
      <c r="AM445" s="615">
        <v>0</v>
      </c>
      <c r="AN445" s="615">
        <v>0</v>
      </c>
      <c r="AO445" s="615">
        <v>0</v>
      </c>
      <c r="AP445" s="615">
        <v>0</v>
      </c>
      <c r="AQ445" s="615">
        <v>0</v>
      </c>
      <c r="AR445" s="615">
        <v>0</v>
      </c>
      <c r="AS445" s="615">
        <v>0</v>
      </c>
      <c r="AT445" s="615">
        <v>0</v>
      </c>
      <c r="AU445" s="615">
        <v>0</v>
      </c>
      <c r="AV445" s="615">
        <v>305787990</v>
      </c>
      <c r="AW445" s="615">
        <v>0</v>
      </c>
      <c r="AX445" s="615">
        <v>0</v>
      </c>
      <c r="AY445" s="615">
        <v>0</v>
      </c>
      <c r="AZ445" s="615">
        <v>0</v>
      </c>
      <c r="BA445" s="615">
        <v>0</v>
      </c>
      <c r="BB445" s="615">
        <v>0</v>
      </c>
      <c r="BC445" s="615">
        <v>0</v>
      </c>
      <c r="BD445" s="615">
        <v>0</v>
      </c>
      <c r="BE445" s="615">
        <v>0</v>
      </c>
      <c r="BF445" s="615">
        <v>0</v>
      </c>
      <c r="BG445" s="615">
        <v>0</v>
      </c>
      <c r="BH445" s="615">
        <v>0</v>
      </c>
      <c r="BI445" s="615">
        <v>0</v>
      </c>
      <c r="BJ445" s="615">
        <v>0</v>
      </c>
      <c r="BK445" s="615">
        <v>0</v>
      </c>
      <c r="BL445" s="615">
        <v>0</v>
      </c>
      <c r="BM445" s="615">
        <v>0</v>
      </c>
      <c r="BN445" s="615">
        <v>0</v>
      </c>
      <c r="BO445" s="615">
        <v>0</v>
      </c>
      <c r="BP445" s="615">
        <v>0</v>
      </c>
      <c r="BQ445" s="615">
        <v>0</v>
      </c>
      <c r="BR445" s="615">
        <v>0</v>
      </c>
      <c r="BS445" s="615">
        <v>0</v>
      </c>
      <c r="BT445" s="615">
        <v>0</v>
      </c>
      <c r="BU445" s="615">
        <v>0</v>
      </c>
      <c r="BV445" s="615">
        <v>0</v>
      </c>
      <c r="BW445" s="615">
        <v>0</v>
      </c>
      <c r="BX445" s="607">
        <f t="shared" si="17"/>
        <v>305787990</v>
      </c>
    </row>
    <row r="446" spans="1:76" ht="12" customHeight="1" x14ac:dyDescent="0.2">
      <c r="A446" s="902"/>
      <c r="B446" s="611" t="s">
        <v>1149</v>
      </c>
      <c r="C446" s="641" t="s">
        <v>3576</v>
      </c>
      <c r="D446" s="585"/>
      <c r="E446" s="585">
        <v>0</v>
      </c>
      <c r="F446" s="585">
        <v>0</v>
      </c>
      <c r="G446" s="585">
        <v>0</v>
      </c>
      <c r="H446" s="585">
        <v>0</v>
      </c>
      <c r="I446" s="585">
        <v>0</v>
      </c>
      <c r="J446" s="585">
        <v>0</v>
      </c>
      <c r="K446" s="585">
        <v>0</v>
      </c>
      <c r="L446" s="585">
        <v>0</v>
      </c>
      <c r="M446" s="585">
        <v>0</v>
      </c>
      <c r="N446" s="585">
        <v>0</v>
      </c>
      <c r="O446" s="585">
        <v>0</v>
      </c>
      <c r="P446" s="585">
        <v>0</v>
      </c>
      <c r="Q446" s="585">
        <v>0</v>
      </c>
      <c r="R446" s="585">
        <v>0</v>
      </c>
      <c r="S446" s="585">
        <v>0</v>
      </c>
      <c r="T446" s="585">
        <v>0</v>
      </c>
      <c r="U446" s="585">
        <v>0</v>
      </c>
      <c r="V446" s="585">
        <v>0</v>
      </c>
      <c r="W446" s="585">
        <v>0</v>
      </c>
      <c r="X446" s="585">
        <v>0</v>
      </c>
      <c r="Y446" s="615">
        <v>0</v>
      </c>
      <c r="Z446" s="615">
        <v>0</v>
      </c>
      <c r="AA446" s="615">
        <v>0</v>
      </c>
      <c r="AB446" s="615">
        <v>0</v>
      </c>
      <c r="AC446" s="615">
        <v>0</v>
      </c>
      <c r="AD446" s="615">
        <v>0</v>
      </c>
      <c r="AE446" s="615">
        <v>0</v>
      </c>
      <c r="AF446" s="615">
        <v>0</v>
      </c>
      <c r="AG446" s="615">
        <v>0</v>
      </c>
      <c r="AH446" s="615">
        <v>0</v>
      </c>
      <c r="AI446" s="615">
        <v>0</v>
      </c>
      <c r="AJ446" s="615">
        <v>0</v>
      </c>
      <c r="AK446" s="615">
        <v>0</v>
      </c>
      <c r="AL446" s="615">
        <v>0</v>
      </c>
      <c r="AM446" s="615">
        <v>0</v>
      </c>
      <c r="AN446" s="615">
        <v>0</v>
      </c>
      <c r="AO446" s="615">
        <v>0</v>
      </c>
      <c r="AP446" s="615">
        <v>0</v>
      </c>
      <c r="AQ446" s="615">
        <v>0</v>
      </c>
      <c r="AR446" s="615">
        <v>0</v>
      </c>
      <c r="AS446" s="615">
        <v>0</v>
      </c>
      <c r="AT446" s="615">
        <v>226316549</v>
      </c>
      <c r="AU446" s="615">
        <v>0</v>
      </c>
      <c r="AV446" s="615">
        <v>0</v>
      </c>
      <c r="AW446" s="615">
        <v>0</v>
      </c>
      <c r="AX446" s="615">
        <v>0</v>
      </c>
      <c r="AY446" s="615">
        <v>0</v>
      </c>
      <c r="AZ446" s="615">
        <v>0</v>
      </c>
      <c r="BA446" s="615">
        <v>0</v>
      </c>
      <c r="BB446" s="615">
        <v>0</v>
      </c>
      <c r="BC446" s="615">
        <v>0</v>
      </c>
      <c r="BD446" s="615">
        <v>0</v>
      </c>
      <c r="BE446" s="615">
        <v>0</v>
      </c>
      <c r="BF446" s="615">
        <v>0</v>
      </c>
      <c r="BG446" s="615">
        <v>0</v>
      </c>
      <c r="BH446" s="615">
        <v>0</v>
      </c>
      <c r="BI446" s="615">
        <v>0</v>
      </c>
      <c r="BJ446" s="615">
        <v>0</v>
      </c>
      <c r="BK446" s="615">
        <v>0</v>
      </c>
      <c r="BL446" s="615">
        <v>0</v>
      </c>
      <c r="BM446" s="615">
        <v>0</v>
      </c>
      <c r="BN446" s="615">
        <v>0</v>
      </c>
      <c r="BO446" s="615">
        <v>0</v>
      </c>
      <c r="BP446" s="615">
        <v>0</v>
      </c>
      <c r="BQ446" s="615">
        <v>0</v>
      </c>
      <c r="BR446" s="615">
        <v>0</v>
      </c>
      <c r="BS446" s="615">
        <v>0</v>
      </c>
      <c r="BT446" s="615">
        <v>0</v>
      </c>
      <c r="BU446" s="615">
        <v>0</v>
      </c>
      <c r="BV446" s="615">
        <v>0</v>
      </c>
      <c r="BW446" s="615">
        <v>0</v>
      </c>
      <c r="BX446" s="607">
        <f t="shared" si="17"/>
        <v>226316549</v>
      </c>
    </row>
    <row r="447" spans="1:76" ht="12" customHeight="1" x14ac:dyDescent="0.2">
      <c r="A447" s="902"/>
      <c r="B447" s="611" t="s">
        <v>1466</v>
      </c>
      <c r="C447" s="641" t="s">
        <v>3577</v>
      </c>
      <c r="D447" s="585"/>
      <c r="E447" s="585">
        <v>0</v>
      </c>
      <c r="F447" s="585">
        <v>0</v>
      </c>
      <c r="G447" s="585">
        <v>0</v>
      </c>
      <c r="H447" s="585">
        <v>0</v>
      </c>
      <c r="I447" s="585">
        <v>0</v>
      </c>
      <c r="J447" s="585">
        <v>0</v>
      </c>
      <c r="K447" s="585">
        <v>0</v>
      </c>
      <c r="L447" s="585">
        <v>0</v>
      </c>
      <c r="M447" s="585">
        <v>0</v>
      </c>
      <c r="N447" s="585">
        <v>0</v>
      </c>
      <c r="O447" s="585">
        <v>0</v>
      </c>
      <c r="P447" s="585">
        <v>0</v>
      </c>
      <c r="Q447" s="585">
        <v>0</v>
      </c>
      <c r="R447" s="585">
        <v>0</v>
      </c>
      <c r="S447" s="585">
        <v>0</v>
      </c>
      <c r="T447" s="585">
        <v>0</v>
      </c>
      <c r="U447" s="585">
        <v>0</v>
      </c>
      <c r="V447" s="585">
        <v>0</v>
      </c>
      <c r="W447" s="585">
        <v>0</v>
      </c>
      <c r="X447" s="585">
        <v>0</v>
      </c>
      <c r="Y447" s="615">
        <v>0</v>
      </c>
      <c r="Z447" s="615">
        <v>0</v>
      </c>
      <c r="AA447" s="615">
        <v>0</v>
      </c>
      <c r="AB447" s="615">
        <v>0</v>
      </c>
      <c r="AC447" s="615">
        <v>0</v>
      </c>
      <c r="AD447" s="615">
        <v>0</v>
      </c>
      <c r="AE447" s="615">
        <v>0</v>
      </c>
      <c r="AF447" s="615">
        <v>0</v>
      </c>
      <c r="AG447" s="615">
        <v>0</v>
      </c>
      <c r="AH447" s="615">
        <v>0</v>
      </c>
      <c r="AI447" s="615">
        <v>0</v>
      </c>
      <c r="AJ447" s="615">
        <v>0</v>
      </c>
      <c r="AK447" s="615">
        <v>0</v>
      </c>
      <c r="AL447" s="615">
        <v>0</v>
      </c>
      <c r="AM447" s="615">
        <v>0</v>
      </c>
      <c r="AN447" s="615">
        <v>0</v>
      </c>
      <c r="AO447" s="615">
        <v>0</v>
      </c>
      <c r="AP447" s="615">
        <v>0</v>
      </c>
      <c r="AQ447" s="615">
        <v>0</v>
      </c>
      <c r="AR447" s="615">
        <v>0</v>
      </c>
      <c r="AS447" s="615">
        <v>0</v>
      </c>
      <c r="AT447" s="615">
        <v>0</v>
      </c>
      <c r="AU447" s="615">
        <v>0</v>
      </c>
      <c r="AV447" s="615">
        <v>304274744</v>
      </c>
      <c r="AW447" s="615">
        <v>0</v>
      </c>
      <c r="AX447" s="615">
        <v>0</v>
      </c>
      <c r="AY447" s="615">
        <v>0</v>
      </c>
      <c r="AZ447" s="615">
        <v>0</v>
      </c>
      <c r="BA447" s="615">
        <v>0</v>
      </c>
      <c r="BB447" s="615">
        <v>0</v>
      </c>
      <c r="BC447" s="615">
        <v>0</v>
      </c>
      <c r="BD447" s="615">
        <v>0</v>
      </c>
      <c r="BE447" s="615">
        <v>0</v>
      </c>
      <c r="BF447" s="615">
        <v>0</v>
      </c>
      <c r="BG447" s="615">
        <v>0</v>
      </c>
      <c r="BH447" s="615">
        <v>0</v>
      </c>
      <c r="BI447" s="615">
        <v>0</v>
      </c>
      <c r="BJ447" s="615">
        <v>0</v>
      </c>
      <c r="BK447" s="615">
        <v>0</v>
      </c>
      <c r="BL447" s="615">
        <v>0</v>
      </c>
      <c r="BM447" s="615">
        <v>0</v>
      </c>
      <c r="BN447" s="615">
        <v>0</v>
      </c>
      <c r="BO447" s="615">
        <v>0</v>
      </c>
      <c r="BP447" s="615">
        <v>0</v>
      </c>
      <c r="BQ447" s="615">
        <v>0</v>
      </c>
      <c r="BR447" s="615">
        <v>0</v>
      </c>
      <c r="BS447" s="615">
        <v>0</v>
      </c>
      <c r="BT447" s="615">
        <v>0</v>
      </c>
      <c r="BU447" s="615">
        <v>0</v>
      </c>
      <c r="BV447" s="615">
        <v>0</v>
      </c>
      <c r="BW447" s="615">
        <v>0</v>
      </c>
      <c r="BX447" s="607">
        <f t="shared" si="17"/>
        <v>304274744</v>
      </c>
    </row>
    <row r="448" spans="1:76" ht="12" customHeight="1" x14ac:dyDescent="0.2">
      <c r="A448" s="902"/>
      <c r="B448" s="611" t="s">
        <v>1306</v>
      </c>
      <c r="C448" s="641" t="s">
        <v>3578</v>
      </c>
      <c r="D448" s="585"/>
      <c r="E448" s="585">
        <v>0</v>
      </c>
      <c r="F448" s="585">
        <v>0</v>
      </c>
      <c r="G448" s="585">
        <v>0</v>
      </c>
      <c r="H448" s="585">
        <v>0</v>
      </c>
      <c r="I448" s="585" t="s">
        <v>1128</v>
      </c>
      <c r="J448" s="585" t="s">
        <v>1128</v>
      </c>
      <c r="K448" s="585">
        <v>0</v>
      </c>
      <c r="L448" s="585">
        <v>0</v>
      </c>
      <c r="M448" s="585">
        <v>0</v>
      </c>
      <c r="N448" s="585">
        <v>0</v>
      </c>
      <c r="O448" s="585">
        <v>0</v>
      </c>
      <c r="P448" s="585">
        <v>0</v>
      </c>
      <c r="Q448" s="585">
        <v>0</v>
      </c>
      <c r="R448" s="585">
        <v>0</v>
      </c>
      <c r="S448" s="585">
        <v>0</v>
      </c>
      <c r="T448" s="585">
        <v>0</v>
      </c>
      <c r="U448" s="585">
        <v>0</v>
      </c>
      <c r="V448" s="585">
        <v>0</v>
      </c>
      <c r="W448" s="585">
        <v>0</v>
      </c>
      <c r="X448" s="585">
        <v>0</v>
      </c>
      <c r="Y448" s="615">
        <v>0</v>
      </c>
      <c r="Z448" s="615">
        <v>0</v>
      </c>
      <c r="AA448" s="615">
        <v>0</v>
      </c>
      <c r="AB448" s="615">
        <v>0</v>
      </c>
      <c r="AC448" s="615">
        <v>0</v>
      </c>
      <c r="AD448" s="615">
        <v>0</v>
      </c>
      <c r="AE448" s="615">
        <v>0</v>
      </c>
      <c r="AF448" s="615">
        <v>0</v>
      </c>
      <c r="AG448" s="615">
        <v>0</v>
      </c>
      <c r="AH448" s="615">
        <v>0</v>
      </c>
      <c r="AI448" s="615">
        <v>0</v>
      </c>
      <c r="AJ448" s="615">
        <v>0</v>
      </c>
      <c r="AK448" s="615">
        <v>0</v>
      </c>
      <c r="AL448" s="615">
        <v>0</v>
      </c>
      <c r="AM448" s="615">
        <v>0</v>
      </c>
      <c r="AN448" s="615">
        <v>0</v>
      </c>
      <c r="AO448" s="615">
        <v>0</v>
      </c>
      <c r="AP448" s="615">
        <v>0</v>
      </c>
      <c r="AQ448" s="615">
        <v>0</v>
      </c>
      <c r="AR448" s="615">
        <v>0</v>
      </c>
      <c r="AS448" s="615">
        <v>0</v>
      </c>
      <c r="AT448" s="615">
        <v>0</v>
      </c>
      <c r="AU448" s="615">
        <v>0</v>
      </c>
      <c r="AV448" s="615">
        <v>290253403</v>
      </c>
      <c r="AW448" s="615">
        <v>0</v>
      </c>
      <c r="AX448" s="615">
        <v>0</v>
      </c>
      <c r="AY448" s="615">
        <v>0</v>
      </c>
      <c r="AZ448" s="615">
        <v>0</v>
      </c>
      <c r="BA448" s="615">
        <v>0</v>
      </c>
      <c r="BB448" s="615">
        <v>0</v>
      </c>
      <c r="BC448" s="615">
        <v>0</v>
      </c>
      <c r="BD448" s="615">
        <v>0</v>
      </c>
      <c r="BE448" s="615">
        <v>0</v>
      </c>
      <c r="BF448" s="615">
        <v>0</v>
      </c>
      <c r="BG448" s="615">
        <v>0</v>
      </c>
      <c r="BH448" s="615">
        <v>0</v>
      </c>
      <c r="BI448" s="615">
        <v>0</v>
      </c>
      <c r="BJ448" s="615">
        <v>0</v>
      </c>
      <c r="BK448" s="615">
        <v>0</v>
      </c>
      <c r="BL448" s="615">
        <v>0</v>
      </c>
      <c r="BM448" s="615">
        <v>0</v>
      </c>
      <c r="BN448" s="615">
        <v>0</v>
      </c>
      <c r="BO448" s="615">
        <v>0</v>
      </c>
      <c r="BP448" s="615">
        <v>0</v>
      </c>
      <c r="BQ448" s="615">
        <v>0</v>
      </c>
      <c r="BR448" s="615">
        <v>0</v>
      </c>
      <c r="BS448" s="615">
        <v>0</v>
      </c>
      <c r="BT448" s="615">
        <v>0</v>
      </c>
      <c r="BU448" s="615">
        <v>0</v>
      </c>
      <c r="BV448" s="615">
        <v>0</v>
      </c>
      <c r="BW448" s="615">
        <v>0</v>
      </c>
      <c r="BX448" s="607">
        <f t="shared" si="17"/>
        <v>290253403</v>
      </c>
    </row>
    <row r="449" spans="1:76" ht="12" customHeight="1" x14ac:dyDescent="0.2">
      <c r="A449" s="902"/>
      <c r="B449" s="611" t="s">
        <v>1560</v>
      </c>
      <c r="C449" s="641" t="s">
        <v>3579</v>
      </c>
      <c r="D449" s="585"/>
      <c r="E449" s="585">
        <v>0</v>
      </c>
      <c r="F449" s="585">
        <v>0</v>
      </c>
      <c r="G449" s="585">
        <v>0</v>
      </c>
      <c r="H449" s="585">
        <v>0</v>
      </c>
      <c r="I449" s="585">
        <v>0</v>
      </c>
      <c r="J449" s="585">
        <v>0</v>
      </c>
      <c r="K449" s="585" t="s">
        <v>1128</v>
      </c>
      <c r="L449" s="585">
        <v>0</v>
      </c>
      <c r="M449" s="585">
        <v>0</v>
      </c>
      <c r="N449" s="585">
        <v>0</v>
      </c>
      <c r="O449" s="585">
        <v>0</v>
      </c>
      <c r="P449" s="585">
        <v>0</v>
      </c>
      <c r="Q449" s="585">
        <v>0</v>
      </c>
      <c r="R449" s="585">
        <v>0</v>
      </c>
      <c r="S449" s="585">
        <v>0</v>
      </c>
      <c r="T449" s="585">
        <v>0</v>
      </c>
      <c r="U449" s="585">
        <v>0</v>
      </c>
      <c r="V449" s="585">
        <v>0</v>
      </c>
      <c r="W449" s="585">
        <v>0</v>
      </c>
      <c r="X449" s="585">
        <v>0</v>
      </c>
      <c r="Y449" s="615">
        <v>0</v>
      </c>
      <c r="Z449" s="615">
        <v>0</v>
      </c>
      <c r="AA449" s="615">
        <v>0</v>
      </c>
      <c r="AB449" s="615">
        <v>0</v>
      </c>
      <c r="AC449" s="615">
        <v>0</v>
      </c>
      <c r="AD449" s="615">
        <v>0</v>
      </c>
      <c r="AE449" s="615">
        <v>0</v>
      </c>
      <c r="AF449" s="615">
        <v>0</v>
      </c>
      <c r="AG449" s="615">
        <v>0</v>
      </c>
      <c r="AH449" s="615">
        <v>0</v>
      </c>
      <c r="AI449" s="615">
        <v>0</v>
      </c>
      <c r="AJ449" s="615">
        <v>0</v>
      </c>
      <c r="AK449" s="615">
        <v>0</v>
      </c>
      <c r="AL449" s="615">
        <v>0</v>
      </c>
      <c r="AM449" s="615">
        <v>0</v>
      </c>
      <c r="AN449" s="615">
        <v>0</v>
      </c>
      <c r="AO449" s="615">
        <v>0</v>
      </c>
      <c r="AP449" s="615">
        <v>0</v>
      </c>
      <c r="AQ449" s="615">
        <v>0</v>
      </c>
      <c r="AR449" s="615">
        <v>0</v>
      </c>
      <c r="AS449" s="615">
        <v>0</v>
      </c>
      <c r="AT449" s="615">
        <v>227470624</v>
      </c>
      <c r="AU449" s="615">
        <v>0</v>
      </c>
      <c r="AV449" s="615">
        <v>0</v>
      </c>
      <c r="AW449" s="615">
        <v>0</v>
      </c>
      <c r="AX449" s="615">
        <v>0</v>
      </c>
      <c r="AY449" s="615">
        <v>0</v>
      </c>
      <c r="AZ449" s="615">
        <v>0</v>
      </c>
      <c r="BA449" s="615">
        <v>0</v>
      </c>
      <c r="BB449" s="615">
        <v>0</v>
      </c>
      <c r="BC449" s="615">
        <v>0</v>
      </c>
      <c r="BD449" s="615">
        <v>0</v>
      </c>
      <c r="BE449" s="615">
        <v>0</v>
      </c>
      <c r="BF449" s="615">
        <v>0</v>
      </c>
      <c r="BG449" s="615">
        <v>0</v>
      </c>
      <c r="BH449" s="615">
        <v>0</v>
      </c>
      <c r="BI449" s="615">
        <v>0</v>
      </c>
      <c r="BJ449" s="615">
        <v>0</v>
      </c>
      <c r="BK449" s="615">
        <v>0</v>
      </c>
      <c r="BL449" s="615">
        <v>0</v>
      </c>
      <c r="BM449" s="615">
        <v>0</v>
      </c>
      <c r="BN449" s="615">
        <v>0</v>
      </c>
      <c r="BO449" s="615">
        <v>0</v>
      </c>
      <c r="BP449" s="615">
        <v>0</v>
      </c>
      <c r="BQ449" s="615">
        <v>0</v>
      </c>
      <c r="BR449" s="615">
        <v>0</v>
      </c>
      <c r="BS449" s="615">
        <v>0</v>
      </c>
      <c r="BT449" s="615">
        <v>0</v>
      </c>
      <c r="BU449" s="615">
        <v>0</v>
      </c>
      <c r="BV449" s="615">
        <v>0</v>
      </c>
      <c r="BW449" s="615">
        <v>0</v>
      </c>
      <c r="BX449" s="607">
        <f t="shared" si="17"/>
        <v>227470624</v>
      </c>
    </row>
    <row r="450" spans="1:76" ht="12" customHeight="1" x14ac:dyDescent="0.2">
      <c r="A450" s="902"/>
      <c r="B450" s="611" t="s">
        <v>1630</v>
      </c>
      <c r="C450" s="641" t="s">
        <v>3580</v>
      </c>
      <c r="D450" s="585"/>
      <c r="E450" s="585">
        <v>0</v>
      </c>
      <c r="F450" s="585">
        <v>0</v>
      </c>
      <c r="G450" s="585">
        <v>0</v>
      </c>
      <c r="H450" s="585">
        <v>0</v>
      </c>
      <c r="I450" s="585">
        <v>0</v>
      </c>
      <c r="J450" s="585">
        <v>0</v>
      </c>
      <c r="K450" s="585">
        <v>0</v>
      </c>
      <c r="L450" s="585">
        <v>0</v>
      </c>
      <c r="M450" s="585">
        <v>0</v>
      </c>
      <c r="N450" s="585">
        <v>0</v>
      </c>
      <c r="O450" s="585">
        <v>0</v>
      </c>
      <c r="P450" s="585">
        <v>0</v>
      </c>
      <c r="Q450" s="585">
        <v>0</v>
      </c>
      <c r="R450" s="585">
        <v>0</v>
      </c>
      <c r="S450" s="585">
        <v>0</v>
      </c>
      <c r="T450" s="585">
        <v>0</v>
      </c>
      <c r="U450" s="585">
        <v>0</v>
      </c>
      <c r="V450" s="585">
        <v>0</v>
      </c>
      <c r="W450" s="585">
        <v>0</v>
      </c>
      <c r="X450" s="585">
        <v>0</v>
      </c>
      <c r="Y450" s="615">
        <v>0</v>
      </c>
      <c r="Z450" s="615">
        <v>0</v>
      </c>
      <c r="AA450" s="615">
        <v>0</v>
      </c>
      <c r="AB450" s="615">
        <v>0</v>
      </c>
      <c r="AC450" s="615">
        <v>0</v>
      </c>
      <c r="AD450" s="615">
        <v>0</v>
      </c>
      <c r="AE450" s="615">
        <v>0</v>
      </c>
      <c r="AF450" s="615">
        <v>0</v>
      </c>
      <c r="AG450" s="615">
        <v>0</v>
      </c>
      <c r="AH450" s="615">
        <v>0</v>
      </c>
      <c r="AI450" s="615">
        <v>0</v>
      </c>
      <c r="AJ450" s="615">
        <v>0</v>
      </c>
      <c r="AK450" s="615">
        <v>0</v>
      </c>
      <c r="AL450" s="615">
        <v>0</v>
      </c>
      <c r="AM450" s="615">
        <v>0</v>
      </c>
      <c r="AN450" s="615">
        <v>0</v>
      </c>
      <c r="AO450" s="615">
        <v>0</v>
      </c>
      <c r="AP450" s="615">
        <v>0</v>
      </c>
      <c r="AQ450" s="615">
        <v>0</v>
      </c>
      <c r="AR450" s="615">
        <v>0</v>
      </c>
      <c r="AS450" s="615">
        <v>0</v>
      </c>
      <c r="AT450" s="615">
        <v>286382000</v>
      </c>
      <c r="AU450" s="615">
        <v>0</v>
      </c>
      <c r="AV450" s="615">
        <v>0</v>
      </c>
      <c r="AW450" s="615">
        <v>0</v>
      </c>
      <c r="AX450" s="615">
        <v>0</v>
      </c>
      <c r="AY450" s="615">
        <v>0</v>
      </c>
      <c r="AZ450" s="615">
        <v>0</v>
      </c>
      <c r="BA450" s="615">
        <v>0</v>
      </c>
      <c r="BB450" s="615">
        <v>0</v>
      </c>
      <c r="BC450" s="615">
        <v>0</v>
      </c>
      <c r="BD450" s="615">
        <v>0</v>
      </c>
      <c r="BE450" s="615">
        <v>0</v>
      </c>
      <c r="BF450" s="615">
        <v>0</v>
      </c>
      <c r="BG450" s="615">
        <v>0</v>
      </c>
      <c r="BH450" s="615">
        <v>0</v>
      </c>
      <c r="BI450" s="615">
        <v>0</v>
      </c>
      <c r="BJ450" s="615">
        <v>0</v>
      </c>
      <c r="BK450" s="615">
        <v>0</v>
      </c>
      <c r="BL450" s="615">
        <v>0</v>
      </c>
      <c r="BM450" s="615">
        <v>0</v>
      </c>
      <c r="BN450" s="615">
        <v>0</v>
      </c>
      <c r="BO450" s="615">
        <v>0</v>
      </c>
      <c r="BP450" s="615">
        <v>0</v>
      </c>
      <c r="BQ450" s="615">
        <v>0</v>
      </c>
      <c r="BR450" s="615">
        <v>0</v>
      </c>
      <c r="BS450" s="615">
        <v>0</v>
      </c>
      <c r="BT450" s="615">
        <v>0</v>
      </c>
      <c r="BU450" s="615">
        <v>0</v>
      </c>
      <c r="BV450" s="615">
        <v>0</v>
      </c>
      <c r="BW450" s="615">
        <v>0</v>
      </c>
      <c r="BX450" s="607">
        <f t="shared" si="17"/>
        <v>286382000</v>
      </c>
    </row>
    <row r="451" spans="1:76" ht="12" customHeight="1" x14ac:dyDescent="0.2">
      <c r="A451" s="902"/>
      <c r="B451" s="611" t="s">
        <v>1239</v>
      </c>
      <c r="C451" s="641" t="s">
        <v>3581</v>
      </c>
      <c r="D451" s="585"/>
      <c r="E451" s="585">
        <v>0</v>
      </c>
      <c r="F451" s="585">
        <v>0</v>
      </c>
      <c r="G451" s="585">
        <v>0</v>
      </c>
      <c r="H451" s="585">
        <v>0</v>
      </c>
      <c r="I451" s="585" t="s">
        <v>1128</v>
      </c>
      <c r="J451" s="585" t="s">
        <v>1128</v>
      </c>
      <c r="K451" s="585">
        <v>0</v>
      </c>
      <c r="L451" s="585">
        <v>0</v>
      </c>
      <c r="M451" s="585">
        <v>0</v>
      </c>
      <c r="N451" s="585">
        <v>0</v>
      </c>
      <c r="O451" s="585">
        <v>0</v>
      </c>
      <c r="P451" s="585">
        <v>0</v>
      </c>
      <c r="Q451" s="585">
        <v>0</v>
      </c>
      <c r="R451" s="585">
        <v>0</v>
      </c>
      <c r="S451" s="585">
        <v>0</v>
      </c>
      <c r="T451" s="585">
        <v>0</v>
      </c>
      <c r="U451" s="585">
        <v>0</v>
      </c>
      <c r="V451" s="585">
        <v>0</v>
      </c>
      <c r="W451" s="585">
        <v>0</v>
      </c>
      <c r="X451" s="585">
        <v>0</v>
      </c>
      <c r="Y451" s="615">
        <v>0</v>
      </c>
      <c r="Z451" s="615">
        <v>0</v>
      </c>
      <c r="AA451" s="615">
        <v>0</v>
      </c>
      <c r="AB451" s="615">
        <v>0</v>
      </c>
      <c r="AC451" s="615">
        <v>0</v>
      </c>
      <c r="AD451" s="615">
        <v>0</v>
      </c>
      <c r="AE451" s="615">
        <v>0</v>
      </c>
      <c r="AF451" s="615">
        <v>0</v>
      </c>
      <c r="AG451" s="615">
        <v>0</v>
      </c>
      <c r="AH451" s="615">
        <v>0</v>
      </c>
      <c r="AI451" s="615">
        <v>0</v>
      </c>
      <c r="AJ451" s="615">
        <v>0</v>
      </c>
      <c r="AK451" s="615">
        <v>0</v>
      </c>
      <c r="AL451" s="615">
        <v>0</v>
      </c>
      <c r="AM451" s="615">
        <v>0</v>
      </c>
      <c r="AN451" s="615">
        <v>0</v>
      </c>
      <c r="AO451" s="615">
        <v>0</v>
      </c>
      <c r="AP451" s="615">
        <v>0</v>
      </c>
      <c r="AQ451" s="615">
        <v>0</v>
      </c>
      <c r="AR451" s="615">
        <v>0</v>
      </c>
      <c r="AS451" s="615">
        <v>0</v>
      </c>
      <c r="AT451" s="615">
        <v>0</v>
      </c>
      <c r="AU451" s="615">
        <v>0</v>
      </c>
      <c r="AV451" s="615">
        <v>99999196</v>
      </c>
      <c r="AW451" s="615">
        <v>0</v>
      </c>
      <c r="AX451" s="615">
        <v>0</v>
      </c>
      <c r="AY451" s="615">
        <v>0</v>
      </c>
      <c r="AZ451" s="615">
        <v>0</v>
      </c>
      <c r="BA451" s="615">
        <v>0</v>
      </c>
      <c r="BB451" s="615">
        <v>0</v>
      </c>
      <c r="BC451" s="615">
        <v>0</v>
      </c>
      <c r="BD451" s="615">
        <v>0</v>
      </c>
      <c r="BE451" s="615">
        <v>0</v>
      </c>
      <c r="BF451" s="615">
        <v>0</v>
      </c>
      <c r="BG451" s="615">
        <v>0</v>
      </c>
      <c r="BH451" s="615">
        <v>0</v>
      </c>
      <c r="BI451" s="615">
        <v>0</v>
      </c>
      <c r="BJ451" s="615">
        <v>0</v>
      </c>
      <c r="BK451" s="615">
        <v>0</v>
      </c>
      <c r="BL451" s="615">
        <v>0</v>
      </c>
      <c r="BM451" s="615">
        <v>0</v>
      </c>
      <c r="BN451" s="615">
        <v>0</v>
      </c>
      <c r="BO451" s="615">
        <v>0</v>
      </c>
      <c r="BP451" s="615">
        <v>0</v>
      </c>
      <c r="BQ451" s="615">
        <v>0</v>
      </c>
      <c r="BR451" s="615">
        <v>0</v>
      </c>
      <c r="BS451" s="615">
        <v>0</v>
      </c>
      <c r="BT451" s="615">
        <v>0</v>
      </c>
      <c r="BU451" s="615">
        <v>0</v>
      </c>
      <c r="BV451" s="615">
        <v>0</v>
      </c>
      <c r="BW451" s="615">
        <v>0</v>
      </c>
      <c r="BX451" s="607">
        <f t="shared" si="17"/>
        <v>99999196</v>
      </c>
    </row>
    <row r="452" spans="1:76" ht="12" customHeight="1" x14ac:dyDescent="0.2">
      <c r="A452" s="902"/>
      <c r="B452" s="611" t="s">
        <v>1151</v>
      </c>
      <c r="C452" s="641" t="s">
        <v>3582</v>
      </c>
      <c r="D452" s="585"/>
      <c r="E452" s="585">
        <v>0</v>
      </c>
      <c r="F452" s="585">
        <v>0</v>
      </c>
      <c r="G452" s="585">
        <v>0</v>
      </c>
      <c r="H452" s="585">
        <v>0</v>
      </c>
      <c r="I452" s="585">
        <v>0</v>
      </c>
      <c r="J452" s="585">
        <v>0</v>
      </c>
      <c r="K452" s="585" t="s">
        <v>1128</v>
      </c>
      <c r="L452" s="585">
        <v>0</v>
      </c>
      <c r="M452" s="585">
        <v>0</v>
      </c>
      <c r="N452" s="585">
        <v>0</v>
      </c>
      <c r="O452" s="585">
        <v>0</v>
      </c>
      <c r="P452" s="585">
        <v>0</v>
      </c>
      <c r="Q452" s="585">
        <v>0</v>
      </c>
      <c r="R452" s="585">
        <v>0</v>
      </c>
      <c r="S452" s="585">
        <v>0</v>
      </c>
      <c r="T452" s="585">
        <v>0</v>
      </c>
      <c r="U452" s="585">
        <v>0</v>
      </c>
      <c r="V452" s="585">
        <v>0</v>
      </c>
      <c r="W452" s="585">
        <v>0</v>
      </c>
      <c r="X452" s="585">
        <v>0</v>
      </c>
      <c r="Y452" s="615">
        <v>0</v>
      </c>
      <c r="Z452" s="615">
        <v>0</v>
      </c>
      <c r="AA452" s="615">
        <v>0</v>
      </c>
      <c r="AB452" s="615">
        <v>0</v>
      </c>
      <c r="AC452" s="615">
        <v>0</v>
      </c>
      <c r="AD452" s="615">
        <v>0</v>
      </c>
      <c r="AE452" s="615">
        <v>0</v>
      </c>
      <c r="AF452" s="615">
        <v>0</v>
      </c>
      <c r="AG452" s="615">
        <v>0</v>
      </c>
      <c r="AH452" s="615">
        <v>0</v>
      </c>
      <c r="AI452" s="615">
        <v>0</v>
      </c>
      <c r="AJ452" s="615">
        <v>0</v>
      </c>
      <c r="AK452" s="615">
        <v>0</v>
      </c>
      <c r="AL452" s="615">
        <v>0</v>
      </c>
      <c r="AM452" s="615">
        <v>0</v>
      </c>
      <c r="AN452" s="615">
        <v>0</v>
      </c>
      <c r="AO452" s="615">
        <v>0</v>
      </c>
      <c r="AP452" s="615">
        <v>0</v>
      </c>
      <c r="AQ452" s="615">
        <v>0</v>
      </c>
      <c r="AR452" s="615">
        <v>0</v>
      </c>
      <c r="AS452" s="615">
        <v>0</v>
      </c>
      <c r="AT452" s="615">
        <v>224321565</v>
      </c>
      <c r="AU452" s="615">
        <v>0</v>
      </c>
      <c r="AV452" s="615">
        <v>0</v>
      </c>
      <c r="AW452" s="615">
        <v>0</v>
      </c>
      <c r="AX452" s="615">
        <v>0</v>
      </c>
      <c r="AY452" s="615">
        <v>0</v>
      </c>
      <c r="AZ452" s="615">
        <v>0</v>
      </c>
      <c r="BA452" s="615">
        <v>0</v>
      </c>
      <c r="BB452" s="615">
        <v>0</v>
      </c>
      <c r="BC452" s="615">
        <v>0</v>
      </c>
      <c r="BD452" s="615">
        <v>0</v>
      </c>
      <c r="BE452" s="615">
        <v>0</v>
      </c>
      <c r="BF452" s="615">
        <v>0</v>
      </c>
      <c r="BG452" s="615">
        <v>0</v>
      </c>
      <c r="BH452" s="615">
        <v>0</v>
      </c>
      <c r="BI452" s="615">
        <v>0</v>
      </c>
      <c r="BJ452" s="615">
        <v>0</v>
      </c>
      <c r="BK452" s="615">
        <v>0</v>
      </c>
      <c r="BL452" s="615">
        <v>0</v>
      </c>
      <c r="BM452" s="615">
        <v>0</v>
      </c>
      <c r="BN452" s="615">
        <v>0</v>
      </c>
      <c r="BO452" s="615">
        <v>0</v>
      </c>
      <c r="BP452" s="615">
        <v>0</v>
      </c>
      <c r="BQ452" s="615">
        <v>0</v>
      </c>
      <c r="BR452" s="615">
        <v>0</v>
      </c>
      <c r="BS452" s="615">
        <v>0</v>
      </c>
      <c r="BT452" s="615">
        <v>0</v>
      </c>
      <c r="BU452" s="615">
        <v>0</v>
      </c>
      <c r="BV452" s="615">
        <v>0</v>
      </c>
      <c r="BW452" s="615">
        <v>0</v>
      </c>
      <c r="BX452" s="607">
        <f t="shared" si="17"/>
        <v>224321565</v>
      </c>
    </row>
    <row r="453" spans="1:76" ht="12" customHeight="1" x14ac:dyDescent="0.2">
      <c r="A453" s="902"/>
      <c r="B453" s="611" t="s">
        <v>1467</v>
      </c>
      <c r="C453" s="641" t="s">
        <v>3583</v>
      </c>
      <c r="D453" s="585"/>
      <c r="E453" s="585">
        <v>0</v>
      </c>
      <c r="F453" s="585">
        <v>0</v>
      </c>
      <c r="G453" s="585">
        <v>0</v>
      </c>
      <c r="H453" s="585">
        <v>0</v>
      </c>
      <c r="I453" s="585">
        <v>0</v>
      </c>
      <c r="J453" s="585">
        <v>0</v>
      </c>
      <c r="K453" s="585">
        <v>0</v>
      </c>
      <c r="L453" s="585">
        <v>0</v>
      </c>
      <c r="M453" s="585">
        <v>0</v>
      </c>
      <c r="N453" s="585">
        <v>0</v>
      </c>
      <c r="O453" s="585">
        <v>0</v>
      </c>
      <c r="P453" s="585">
        <v>0</v>
      </c>
      <c r="Q453" s="585">
        <v>0</v>
      </c>
      <c r="R453" s="585">
        <v>0</v>
      </c>
      <c r="S453" s="585">
        <v>0</v>
      </c>
      <c r="T453" s="585">
        <v>0</v>
      </c>
      <c r="U453" s="585">
        <v>0</v>
      </c>
      <c r="V453" s="585">
        <v>0</v>
      </c>
      <c r="W453" s="585">
        <v>0</v>
      </c>
      <c r="X453" s="585">
        <v>0</v>
      </c>
      <c r="Y453" s="615">
        <v>0</v>
      </c>
      <c r="Z453" s="615">
        <v>0</v>
      </c>
      <c r="AA453" s="615">
        <v>0</v>
      </c>
      <c r="AB453" s="615">
        <v>0</v>
      </c>
      <c r="AC453" s="615">
        <v>0</v>
      </c>
      <c r="AD453" s="615">
        <v>0</v>
      </c>
      <c r="AE453" s="615">
        <v>0</v>
      </c>
      <c r="AF453" s="615">
        <v>0</v>
      </c>
      <c r="AG453" s="615">
        <v>0</v>
      </c>
      <c r="AH453" s="615">
        <v>0</v>
      </c>
      <c r="AI453" s="615">
        <v>0</v>
      </c>
      <c r="AJ453" s="615">
        <v>0</v>
      </c>
      <c r="AK453" s="615">
        <v>0</v>
      </c>
      <c r="AL453" s="615">
        <v>0</v>
      </c>
      <c r="AM453" s="615">
        <v>0</v>
      </c>
      <c r="AN453" s="615">
        <v>0</v>
      </c>
      <c r="AO453" s="615">
        <v>0</v>
      </c>
      <c r="AP453" s="615">
        <v>0</v>
      </c>
      <c r="AQ453" s="615">
        <v>0</v>
      </c>
      <c r="AR453" s="615">
        <v>0</v>
      </c>
      <c r="AS453" s="615">
        <v>0</v>
      </c>
      <c r="AT453" s="615">
        <v>0</v>
      </c>
      <c r="AU453" s="615">
        <v>0</v>
      </c>
      <c r="AV453" s="615">
        <v>304627554</v>
      </c>
      <c r="AW453" s="615">
        <v>0</v>
      </c>
      <c r="AX453" s="615">
        <v>0</v>
      </c>
      <c r="AY453" s="615">
        <v>0</v>
      </c>
      <c r="AZ453" s="615">
        <v>0</v>
      </c>
      <c r="BA453" s="615">
        <v>0</v>
      </c>
      <c r="BB453" s="615">
        <v>0</v>
      </c>
      <c r="BC453" s="615">
        <v>0</v>
      </c>
      <c r="BD453" s="615">
        <v>0</v>
      </c>
      <c r="BE453" s="615">
        <v>0</v>
      </c>
      <c r="BF453" s="615">
        <v>0</v>
      </c>
      <c r="BG453" s="615">
        <v>0</v>
      </c>
      <c r="BH453" s="615">
        <v>0</v>
      </c>
      <c r="BI453" s="615">
        <v>0</v>
      </c>
      <c r="BJ453" s="615">
        <v>0</v>
      </c>
      <c r="BK453" s="615">
        <v>0</v>
      </c>
      <c r="BL453" s="615">
        <v>0</v>
      </c>
      <c r="BM453" s="615">
        <v>0</v>
      </c>
      <c r="BN453" s="615">
        <v>0</v>
      </c>
      <c r="BO453" s="615">
        <v>0</v>
      </c>
      <c r="BP453" s="615">
        <v>0</v>
      </c>
      <c r="BQ453" s="615">
        <v>0</v>
      </c>
      <c r="BR453" s="615">
        <v>0</v>
      </c>
      <c r="BS453" s="615">
        <v>0</v>
      </c>
      <c r="BT453" s="615">
        <v>0</v>
      </c>
      <c r="BU453" s="615">
        <v>0</v>
      </c>
      <c r="BV453" s="615">
        <v>0</v>
      </c>
      <c r="BW453" s="615">
        <v>0</v>
      </c>
      <c r="BX453" s="607">
        <f t="shared" si="17"/>
        <v>304627554</v>
      </c>
    </row>
    <row r="454" spans="1:76" ht="12" customHeight="1" x14ac:dyDescent="0.2">
      <c r="A454" s="902"/>
      <c r="B454" s="611" t="s">
        <v>1468</v>
      </c>
      <c r="C454" s="641" t="s">
        <v>3584</v>
      </c>
      <c r="D454" s="585"/>
      <c r="E454" s="585">
        <v>0</v>
      </c>
      <c r="F454" s="585">
        <v>0</v>
      </c>
      <c r="G454" s="585">
        <v>0</v>
      </c>
      <c r="H454" s="585">
        <v>0</v>
      </c>
      <c r="I454" s="585">
        <v>0</v>
      </c>
      <c r="J454" s="585">
        <v>0</v>
      </c>
      <c r="K454" s="585">
        <v>0</v>
      </c>
      <c r="L454" s="585">
        <v>0</v>
      </c>
      <c r="M454" s="585">
        <v>0</v>
      </c>
      <c r="N454" s="585">
        <v>0</v>
      </c>
      <c r="O454" s="585">
        <v>0</v>
      </c>
      <c r="P454" s="585">
        <v>0</v>
      </c>
      <c r="Q454" s="585">
        <v>0</v>
      </c>
      <c r="R454" s="585">
        <v>0</v>
      </c>
      <c r="S454" s="585">
        <v>0</v>
      </c>
      <c r="T454" s="585">
        <v>0</v>
      </c>
      <c r="U454" s="585">
        <v>0</v>
      </c>
      <c r="V454" s="585">
        <v>0</v>
      </c>
      <c r="W454" s="585">
        <v>0</v>
      </c>
      <c r="X454" s="585">
        <v>0</v>
      </c>
      <c r="Y454" s="615">
        <v>0</v>
      </c>
      <c r="Z454" s="615">
        <v>0</v>
      </c>
      <c r="AA454" s="615">
        <v>0</v>
      </c>
      <c r="AB454" s="615">
        <v>0</v>
      </c>
      <c r="AC454" s="615">
        <v>0</v>
      </c>
      <c r="AD454" s="615">
        <v>0</v>
      </c>
      <c r="AE454" s="615">
        <v>0</v>
      </c>
      <c r="AF454" s="615">
        <v>0</v>
      </c>
      <c r="AG454" s="615">
        <v>0</v>
      </c>
      <c r="AH454" s="615">
        <v>0</v>
      </c>
      <c r="AI454" s="615">
        <v>0</v>
      </c>
      <c r="AJ454" s="615">
        <v>0</v>
      </c>
      <c r="AK454" s="615">
        <v>0</v>
      </c>
      <c r="AL454" s="615">
        <v>0</v>
      </c>
      <c r="AM454" s="615">
        <v>0</v>
      </c>
      <c r="AN454" s="615">
        <v>0</v>
      </c>
      <c r="AO454" s="615">
        <v>0</v>
      </c>
      <c r="AP454" s="615">
        <v>0</v>
      </c>
      <c r="AQ454" s="615">
        <v>0</v>
      </c>
      <c r="AR454" s="615">
        <v>0</v>
      </c>
      <c r="AS454" s="615">
        <v>0</v>
      </c>
      <c r="AT454" s="615">
        <v>253565801</v>
      </c>
      <c r="AU454" s="615">
        <v>0</v>
      </c>
      <c r="AV454" s="615">
        <v>0</v>
      </c>
      <c r="AW454" s="615">
        <v>0</v>
      </c>
      <c r="AX454" s="615">
        <v>0</v>
      </c>
      <c r="AY454" s="615">
        <v>0</v>
      </c>
      <c r="AZ454" s="615">
        <v>0</v>
      </c>
      <c r="BA454" s="615">
        <v>0</v>
      </c>
      <c r="BB454" s="615">
        <v>0</v>
      </c>
      <c r="BC454" s="615">
        <v>0</v>
      </c>
      <c r="BD454" s="615">
        <v>0</v>
      </c>
      <c r="BE454" s="615">
        <v>0</v>
      </c>
      <c r="BF454" s="615">
        <v>0</v>
      </c>
      <c r="BG454" s="615">
        <v>0</v>
      </c>
      <c r="BH454" s="615">
        <v>0</v>
      </c>
      <c r="BI454" s="615">
        <v>0</v>
      </c>
      <c r="BJ454" s="615">
        <v>0</v>
      </c>
      <c r="BK454" s="615">
        <v>0</v>
      </c>
      <c r="BL454" s="615">
        <v>0</v>
      </c>
      <c r="BM454" s="615">
        <v>0</v>
      </c>
      <c r="BN454" s="615">
        <v>0</v>
      </c>
      <c r="BO454" s="615">
        <v>0</v>
      </c>
      <c r="BP454" s="615">
        <v>0</v>
      </c>
      <c r="BQ454" s="615">
        <v>0</v>
      </c>
      <c r="BR454" s="615">
        <v>0</v>
      </c>
      <c r="BS454" s="615">
        <v>0</v>
      </c>
      <c r="BT454" s="615">
        <v>0</v>
      </c>
      <c r="BU454" s="615">
        <v>0</v>
      </c>
      <c r="BV454" s="615">
        <v>0</v>
      </c>
      <c r="BW454" s="615">
        <v>0</v>
      </c>
      <c r="BX454" s="607">
        <f t="shared" si="17"/>
        <v>253565801</v>
      </c>
    </row>
    <row r="455" spans="1:76" ht="12" customHeight="1" x14ac:dyDescent="0.2">
      <c r="A455" s="902"/>
      <c r="B455" s="611" t="s">
        <v>1082</v>
      </c>
      <c r="C455" s="641" t="s">
        <v>3585</v>
      </c>
      <c r="D455" s="585"/>
      <c r="E455" s="585">
        <v>0</v>
      </c>
      <c r="F455" s="585">
        <v>0</v>
      </c>
      <c r="G455" s="585">
        <v>0</v>
      </c>
      <c r="H455" s="585">
        <v>0</v>
      </c>
      <c r="I455" s="585" t="s">
        <v>1128</v>
      </c>
      <c r="J455" s="585" t="s">
        <v>1128</v>
      </c>
      <c r="K455" s="585">
        <v>0</v>
      </c>
      <c r="L455" s="585">
        <v>0</v>
      </c>
      <c r="M455" s="585">
        <v>0</v>
      </c>
      <c r="N455" s="585">
        <v>0</v>
      </c>
      <c r="O455" s="585">
        <v>0</v>
      </c>
      <c r="P455" s="585">
        <v>0</v>
      </c>
      <c r="Q455" s="585">
        <v>0</v>
      </c>
      <c r="R455" s="585">
        <v>0</v>
      </c>
      <c r="S455" s="585">
        <v>0</v>
      </c>
      <c r="T455" s="585">
        <v>0</v>
      </c>
      <c r="U455" s="585">
        <v>0</v>
      </c>
      <c r="V455" s="585">
        <v>0</v>
      </c>
      <c r="W455" s="585">
        <v>0</v>
      </c>
      <c r="X455" s="585">
        <v>0</v>
      </c>
      <c r="Y455" s="615">
        <v>0</v>
      </c>
      <c r="Z455" s="615">
        <v>0</v>
      </c>
      <c r="AA455" s="615">
        <v>0</v>
      </c>
      <c r="AB455" s="615">
        <v>0</v>
      </c>
      <c r="AC455" s="615">
        <v>0</v>
      </c>
      <c r="AD455" s="615">
        <v>0</v>
      </c>
      <c r="AE455" s="615">
        <v>0</v>
      </c>
      <c r="AF455" s="615">
        <v>0</v>
      </c>
      <c r="AG455" s="615">
        <v>0</v>
      </c>
      <c r="AH455" s="615">
        <v>0</v>
      </c>
      <c r="AI455" s="615">
        <v>0</v>
      </c>
      <c r="AJ455" s="615">
        <v>0</v>
      </c>
      <c r="AK455" s="615">
        <v>0</v>
      </c>
      <c r="AL455" s="615">
        <v>0</v>
      </c>
      <c r="AM455" s="615">
        <v>0</v>
      </c>
      <c r="AN455" s="615">
        <v>0</v>
      </c>
      <c r="AO455" s="615">
        <v>0</v>
      </c>
      <c r="AP455" s="615">
        <v>0</v>
      </c>
      <c r="AQ455" s="615">
        <v>0</v>
      </c>
      <c r="AR455" s="615">
        <v>0</v>
      </c>
      <c r="AS455" s="615">
        <v>0</v>
      </c>
      <c r="AT455" s="615">
        <v>0</v>
      </c>
      <c r="AU455" s="615">
        <v>0</v>
      </c>
      <c r="AV455" s="615">
        <v>0</v>
      </c>
      <c r="AW455" s="615">
        <v>0</v>
      </c>
      <c r="AX455" s="615">
        <v>0</v>
      </c>
      <c r="AY455" s="615">
        <v>0</v>
      </c>
      <c r="AZ455" s="615">
        <v>0</v>
      </c>
      <c r="BA455" s="615">
        <v>0</v>
      </c>
      <c r="BB455" s="615">
        <v>0</v>
      </c>
      <c r="BC455" s="615">
        <v>0</v>
      </c>
      <c r="BD455" s="615">
        <v>0</v>
      </c>
      <c r="BE455" s="615">
        <v>0</v>
      </c>
      <c r="BF455" s="615">
        <v>0</v>
      </c>
      <c r="BG455" s="615">
        <v>0</v>
      </c>
      <c r="BH455" s="615">
        <v>0</v>
      </c>
      <c r="BI455" s="615">
        <v>0</v>
      </c>
      <c r="BJ455" s="615">
        <v>0</v>
      </c>
      <c r="BK455" s="615">
        <v>0</v>
      </c>
      <c r="BL455" s="615">
        <v>0</v>
      </c>
      <c r="BM455" s="615">
        <v>0</v>
      </c>
      <c r="BN455" s="615">
        <v>0</v>
      </c>
      <c r="BO455" s="615">
        <v>0</v>
      </c>
      <c r="BP455" s="615">
        <v>0</v>
      </c>
      <c r="BQ455" s="615">
        <v>0</v>
      </c>
      <c r="BR455" s="615">
        <v>0</v>
      </c>
      <c r="BS455" s="615">
        <v>0</v>
      </c>
      <c r="BT455" s="615">
        <v>0</v>
      </c>
      <c r="BU455" s="615">
        <v>0</v>
      </c>
      <c r="BV455" s="615">
        <v>0</v>
      </c>
      <c r="BW455" s="615">
        <v>0</v>
      </c>
      <c r="BX455" s="607">
        <f t="shared" si="17"/>
        <v>0</v>
      </c>
    </row>
    <row r="456" spans="1:76" ht="12" customHeight="1" x14ac:dyDescent="0.2">
      <c r="A456" s="902"/>
      <c r="B456" s="611" t="s">
        <v>1097</v>
      </c>
      <c r="C456" s="641" t="s">
        <v>3586</v>
      </c>
      <c r="D456" s="585"/>
      <c r="E456" s="585">
        <v>0</v>
      </c>
      <c r="F456" s="585">
        <v>0</v>
      </c>
      <c r="G456" s="585">
        <v>0</v>
      </c>
      <c r="H456" s="585">
        <v>0</v>
      </c>
      <c r="I456" s="585">
        <v>0</v>
      </c>
      <c r="J456" s="585">
        <v>0</v>
      </c>
      <c r="K456" s="585">
        <v>0</v>
      </c>
      <c r="L456" s="585">
        <v>0</v>
      </c>
      <c r="M456" s="585">
        <v>0</v>
      </c>
      <c r="N456" s="585">
        <v>0</v>
      </c>
      <c r="O456" s="585">
        <v>0</v>
      </c>
      <c r="P456" s="585">
        <v>0</v>
      </c>
      <c r="Q456" s="585">
        <v>0</v>
      </c>
      <c r="R456" s="585">
        <v>0</v>
      </c>
      <c r="S456" s="585">
        <v>0</v>
      </c>
      <c r="T456" s="585">
        <v>0</v>
      </c>
      <c r="U456" s="585">
        <v>0</v>
      </c>
      <c r="V456" s="585">
        <v>0</v>
      </c>
      <c r="W456" s="585">
        <v>0</v>
      </c>
      <c r="X456" s="585">
        <v>0</v>
      </c>
      <c r="Y456" s="615">
        <v>0</v>
      </c>
      <c r="Z456" s="615">
        <v>0</v>
      </c>
      <c r="AA456" s="615">
        <v>0</v>
      </c>
      <c r="AB456" s="615">
        <v>0</v>
      </c>
      <c r="AC456" s="615">
        <v>0</v>
      </c>
      <c r="AD456" s="615">
        <v>0</v>
      </c>
      <c r="AE456" s="615">
        <v>0</v>
      </c>
      <c r="AF456" s="615">
        <v>0</v>
      </c>
      <c r="AG456" s="615">
        <v>0</v>
      </c>
      <c r="AH456" s="615">
        <v>0</v>
      </c>
      <c r="AI456" s="615">
        <v>0</v>
      </c>
      <c r="AJ456" s="615">
        <v>0</v>
      </c>
      <c r="AK456" s="615">
        <v>0</v>
      </c>
      <c r="AL456" s="615">
        <v>0</v>
      </c>
      <c r="AM456" s="615">
        <v>0</v>
      </c>
      <c r="AN456" s="615">
        <v>0</v>
      </c>
      <c r="AO456" s="615">
        <v>0</v>
      </c>
      <c r="AP456" s="615">
        <v>0</v>
      </c>
      <c r="AQ456" s="615">
        <v>0</v>
      </c>
      <c r="AR456" s="615">
        <v>0</v>
      </c>
      <c r="AS456" s="615">
        <v>0</v>
      </c>
      <c r="AT456" s="615">
        <v>197319095</v>
      </c>
      <c r="AU456" s="615">
        <v>0</v>
      </c>
      <c r="AV456" s="615">
        <v>0</v>
      </c>
      <c r="AW456" s="615">
        <v>0</v>
      </c>
      <c r="AX456" s="615">
        <v>0</v>
      </c>
      <c r="AY456" s="615">
        <v>0</v>
      </c>
      <c r="AZ456" s="615">
        <v>0</v>
      </c>
      <c r="BA456" s="615">
        <v>0</v>
      </c>
      <c r="BB456" s="615">
        <v>0</v>
      </c>
      <c r="BC456" s="615">
        <v>0</v>
      </c>
      <c r="BD456" s="615">
        <v>0</v>
      </c>
      <c r="BE456" s="615">
        <v>0</v>
      </c>
      <c r="BF456" s="615">
        <v>0</v>
      </c>
      <c r="BG456" s="615">
        <v>0</v>
      </c>
      <c r="BH456" s="615">
        <v>0</v>
      </c>
      <c r="BI456" s="615">
        <v>0</v>
      </c>
      <c r="BJ456" s="615">
        <v>0</v>
      </c>
      <c r="BK456" s="615">
        <v>0</v>
      </c>
      <c r="BL456" s="615">
        <v>0</v>
      </c>
      <c r="BM456" s="615">
        <v>0</v>
      </c>
      <c r="BN456" s="615">
        <v>0</v>
      </c>
      <c r="BO456" s="615">
        <v>0</v>
      </c>
      <c r="BP456" s="615">
        <v>0</v>
      </c>
      <c r="BQ456" s="615">
        <v>0</v>
      </c>
      <c r="BR456" s="615">
        <v>0</v>
      </c>
      <c r="BS456" s="615">
        <v>0</v>
      </c>
      <c r="BT456" s="615">
        <v>0</v>
      </c>
      <c r="BU456" s="615">
        <v>0</v>
      </c>
      <c r="BV456" s="615">
        <v>0</v>
      </c>
      <c r="BW456" s="615">
        <v>0</v>
      </c>
      <c r="BX456" s="607">
        <f t="shared" si="17"/>
        <v>197319095</v>
      </c>
    </row>
    <row r="457" spans="1:76" ht="12" customHeight="1" x14ac:dyDescent="0.2">
      <c r="A457" s="902"/>
      <c r="B457" s="611" t="s">
        <v>1613</v>
      </c>
      <c r="C457" s="641" t="s">
        <v>3587</v>
      </c>
      <c r="D457" s="585"/>
      <c r="E457" s="585"/>
      <c r="F457" s="585"/>
      <c r="G457" s="585"/>
      <c r="H457" s="585">
        <v>0</v>
      </c>
      <c r="I457" s="585" t="s">
        <v>1128</v>
      </c>
      <c r="J457" s="585" t="s">
        <v>1128</v>
      </c>
      <c r="K457" s="585">
        <v>0</v>
      </c>
      <c r="L457" s="585">
        <v>0</v>
      </c>
      <c r="M457" s="585">
        <v>0</v>
      </c>
      <c r="N457" s="585">
        <v>0</v>
      </c>
      <c r="O457" s="585">
        <v>0</v>
      </c>
      <c r="P457" s="585">
        <v>0</v>
      </c>
      <c r="Q457" s="585">
        <v>0</v>
      </c>
      <c r="R457" s="585">
        <v>0</v>
      </c>
      <c r="S457" s="585">
        <v>0</v>
      </c>
      <c r="T457" s="585">
        <v>0</v>
      </c>
      <c r="U457" s="585">
        <v>0</v>
      </c>
      <c r="V457" s="585">
        <v>0</v>
      </c>
      <c r="W457" s="585">
        <v>0</v>
      </c>
      <c r="X457" s="585">
        <v>0</v>
      </c>
      <c r="Y457" s="615">
        <v>0</v>
      </c>
      <c r="Z457" s="615">
        <v>0</v>
      </c>
      <c r="AA457" s="615">
        <v>0</v>
      </c>
      <c r="AB457" s="615">
        <v>0</v>
      </c>
      <c r="AC457" s="615">
        <v>0</v>
      </c>
      <c r="AD457" s="615">
        <v>0</v>
      </c>
      <c r="AE457" s="615">
        <v>0</v>
      </c>
      <c r="AF457" s="615">
        <v>0</v>
      </c>
      <c r="AG457" s="615">
        <v>0</v>
      </c>
      <c r="AH457" s="615">
        <v>0</v>
      </c>
      <c r="AI457" s="615">
        <v>0</v>
      </c>
      <c r="AJ457" s="615">
        <v>0</v>
      </c>
      <c r="AK457" s="615">
        <v>0</v>
      </c>
      <c r="AL457" s="615">
        <v>0</v>
      </c>
      <c r="AM457" s="615">
        <v>0</v>
      </c>
      <c r="AN457" s="615">
        <v>0</v>
      </c>
      <c r="AO457" s="615">
        <v>0</v>
      </c>
      <c r="AP457" s="615">
        <v>0</v>
      </c>
      <c r="AQ457" s="615">
        <v>0</v>
      </c>
      <c r="AR457" s="615">
        <v>0</v>
      </c>
      <c r="AS457" s="615">
        <v>0</v>
      </c>
      <c r="AT457" s="615">
        <v>0</v>
      </c>
      <c r="AU457" s="615">
        <v>0</v>
      </c>
      <c r="AV457" s="615">
        <v>200000000</v>
      </c>
      <c r="AW457" s="615">
        <v>0</v>
      </c>
      <c r="AX457" s="615">
        <v>0</v>
      </c>
      <c r="AY457" s="615">
        <v>0</v>
      </c>
      <c r="AZ457" s="615">
        <v>0</v>
      </c>
      <c r="BA457" s="615">
        <v>0</v>
      </c>
      <c r="BB457" s="615">
        <v>0</v>
      </c>
      <c r="BC457" s="615">
        <v>0</v>
      </c>
      <c r="BD457" s="615">
        <v>0</v>
      </c>
      <c r="BE457" s="615">
        <v>0</v>
      </c>
      <c r="BF457" s="615">
        <v>0</v>
      </c>
      <c r="BG457" s="615">
        <v>0</v>
      </c>
      <c r="BH457" s="615">
        <v>0</v>
      </c>
      <c r="BI457" s="615">
        <v>0</v>
      </c>
      <c r="BJ457" s="615">
        <v>0</v>
      </c>
      <c r="BK457" s="615">
        <v>0</v>
      </c>
      <c r="BL457" s="615">
        <v>0</v>
      </c>
      <c r="BM457" s="615">
        <v>0</v>
      </c>
      <c r="BN457" s="615">
        <v>0</v>
      </c>
      <c r="BO457" s="615">
        <v>0</v>
      </c>
      <c r="BP457" s="615">
        <v>0</v>
      </c>
      <c r="BQ457" s="615">
        <v>0</v>
      </c>
      <c r="BR457" s="615">
        <v>0</v>
      </c>
      <c r="BS457" s="615">
        <v>0</v>
      </c>
      <c r="BT457" s="615">
        <v>0</v>
      </c>
      <c r="BU457" s="615">
        <v>0</v>
      </c>
      <c r="BV457" s="615">
        <v>0</v>
      </c>
      <c r="BW457" s="615">
        <v>0</v>
      </c>
      <c r="BX457" s="607">
        <f t="shared" si="17"/>
        <v>200000000</v>
      </c>
    </row>
    <row r="458" spans="1:76" ht="12" customHeight="1" x14ac:dyDescent="0.2">
      <c r="A458" s="902"/>
      <c r="B458" s="611" t="s">
        <v>1098</v>
      </c>
      <c r="C458" s="641" t="s">
        <v>3588</v>
      </c>
      <c r="D458" s="585"/>
      <c r="E458" s="585"/>
      <c r="F458" s="585"/>
      <c r="G458" s="585"/>
      <c r="H458" s="585">
        <v>0</v>
      </c>
      <c r="I458" s="585">
        <v>0</v>
      </c>
      <c r="J458" s="585">
        <v>0</v>
      </c>
      <c r="K458" s="585" t="s">
        <v>1128</v>
      </c>
      <c r="L458" s="585">
        <v>0</v>
      </c>
      <c r="M458" s="585">
        <v>0</v>
      </c>
      <c r="N458" s="585">
        <v>0</v>
      </c>
      <c r="O458" s="585">
        <v>0</v>
      </c>
      <c r="P458" s="585">
        <v>0</v>
      </c>
      <c r="Q458" s="585">
        <v>0</v>
      </c>
      <c r="R458" s="585">
        <v>0</v>
      </c>
      <c r="S458" s="585">
        <v>0</v>
      </c>
      <c r="T458" s="585">
        <v>0</v>
      </c>
      <c r="U458" s="585">
        <v>0</v>
      </c>
      <c r="V458" s="585">
        <v>0</v>
      </c>
      <c r="W458" s="585">
        <v>0</v>
      </c>
      <c r="X458" s="585">
        <v>0</v>
      </c>
      <c r="Y458" s="615">
        <v>0</v>
      </c>
      <c r="Z458" s="615">
        <v>0</v>
      </c>
      <c r="AA458" s="615">
        <v>0</v>
      </c>
      <c r="AB458" s="615">
        <v>0</v>
      </c>
      <c r="AC458" s="615">
        <v>0</v>
      </c>
      <c r="AD458" s="615">
        <v>0</v>
      </c>
      <c r="AE458" s="615">
        <v>0</v>
      </c>
      <c r="AF458" s="615">
        <v>0</v>
      </c>
      <c r="AG458" s="615">
        <v>0</v>
      </c>
      <c r="AH458" s="615">
        <v>0</v>
      </c>
      <c r="AI458" s="615">
        <v>0</v>
      </c>
      <c r="AJ458" s="615">
        <v>0</v>
      </c>
      <c r="AK458" s="615">
        <v>0</v>
      </c>
      <c r="AL458" s="615">
        <v>0</v>
      </c>
      <c r="AM458" s="615">
        <v>0</v>
      </c>
      <c r="AN458" s="615">
        <v>0</v>
      </c>
      <c r="AO458" s="615">
        <v>0</v>
      </c>
      <c r="AP458" s="615">
        <v>0</v>
      </c>
      <c r="AQ458" s="615">
        <v>0</v>
      </c>
      <c r="AR458" s="615">
        <v>0</v>
      </c>
      <c r="AS458" s="615">
        <v>0</v>
      </c>
      <c r="AT458" s="615">
        <v>0</v>
      </c>
      <c r="AU458" s="615">
        <v>0</v>
      </c>
      <c r="AV458" s="615">
        <v>222270356</v>
      </c>
      <c r="AW458" s="615">
        <v>0</v>
      </c>
      <c r="AX458" s="615">
        <v>0</v>
      </c>
      <c r="AY458" s="615">
        <v>0</v>
      </c>
      <c r="AZ458" s="615">
        <v>0</v>
      </c>
      <c r="BA458" s="615">
        <v>0</v>
      </c>
      <c r="BB458" s="615">
        <v>0</v>
      </c>
      <c r="BC458" s="615">
        <v>0</v>
      </c>
      <c r="BD458" s="615">
        <v>0</v>
      </c>
      <c r="BE458" s="615">
        <v>0</v>
      </c>
      <c r="BF458" s="615">
        <v>0</v>
      </c>
      <c r="BG458" s="615">
        <v>0</v>
      </c>
      <c r="BH458" s="615">
        <v>0</v>
      </c>
      <c r="BI458" s="615">
        <v>0</v>
      </c>
      <c r="BJ458" s="615">
        <v>0</v>
      </c>
      <c r="BK458" s="615">
        <v>0</v>
      </c>
      <c r="BL458" s="615">
        <v>0</v>
      </c>
      <c r="BM458" s="615">
        <v>0</v>
      </c>
      <c r="BN458" s="615">
        <v>0</v>
      </c>
      <c r="BO458" s="615">
        <v>0</v>
      </c>
      <c r="BP458" s="615">
        <v>0</v>
      </c>
      <c r="BQ458" s="615">
        <v>0</v>
      </c>
      <c r="BR458" s="615">
        <v>0</v>
      </c>
      <c r="BS458" s="615">
        <v>0</v>
      </c>
      <c r="BT458" s="615">
        <v>0</v>
      </c>
      <c r="BU458" s="615">
        <v>0</v>
      </c>
      <c r="BV458" s="615">
        <v>0</v>
      </c>
      <c r="BW458" s="615">
        <v>0</v>
      </c>
      <c r="BX458" s="607">
        <f t="shared" si="17"/>
        <v>222270356</v>
      </c>
    </row>
    <row r="459" spans="1:76" ht="12" customHeight="1" x14ac:dyDescent="0.2">
      <c r="A459" s="902"/>
      <c r="B459" s="611" t="s">
        <v>3368</v>
      </c>
      <c r="C459" s="641" t="s">
        <v>3589</v>
      </c>
      <c r="D459" s="585"/>
      <c r="E459" s="585"/>
      <c r="F459" s="585"/>
      <c r="G459" s="585"/>
      <c r="H459" s="585">
        <v>0</v>
      </c>
      <c r="I459" s="585">
        <v>0</v>
      </c>
      <c r="J459" s="585">
        <v>0</v>
      </c>
      <c r="K459" s="585">
        <v>0</v>
      </c>
      <c r="L459" s="585">
        <v>0</v>
      </c>
      <c r="M459" s="585">
        <v>0</v>
      </c>
      <c r="N459" s="585">
        <v>0</v>
      </c>
      <c r="O459" s="585">
        <v>0</v>
      </c>
      <c r="P459" s="585">
        <v>0</v>
      </c>
      <c r="Q459" s="585">
        <v>0</v>
      </c>
      <c r="R459" s="585">
        <v>0</v>
      </c>
      <c r="S459" s="585">
        <v>0</v>
      </c>
      <c r="T459" s="585">
        <v>0</v>
      </c>
      <c r="U459" s="585">
        <v>0</v>
      </c>
      <c r="V459" s="585">
        <v>0</v>
      </c>
      <c r="W459" s="585">
        <v>0</v>
      </c>
      <c r="X459" s="585">
        <v>0</v>
      </c>
      <c r="Y459" s="615">
        <v>0</v>
      </c>
      <c r="Z459" s="615">
        <v>0</v>
      </c>
      <c r="AA459" s="615">
        <v>0</v>
      </c>
      <c r="AB459" s="615">
        <v>0</v>
      </c>
      <c r="AC459" s="615">
        <v>0</v>
      </c>
      <c r="AD459" s="615">
        <v>0</v>
      </c>
      <c r="AE459" s="615">
        <v>0</v>
      </c>
      <c r="AF459" s="615">
        <v>0</v>
      </c>
      <c r="AG459" s="615">
        <v>0</v>
      </c>
      <c r="AH459" s="615">
        <v>0</v>
      </c>
      <c r="AI459" s="615">
        <v>0</v>
      </c>
      <c r="AJ459" s="615">
        <v>0</v>
      </c>
      <c r="AK459" s="615">
        <v>0</v>
      </c>
      <c r="AL459" s="615">
        <v>0</v>
      </c>
      <c r="AM459" s="615">
        <v>0</v>
      </c>
      <c r="AN459" s="615">
        <v>0</v>
      </c>
      <c r="AO459" s="615">
        <v>0</v>
      </c>
      <c r="AP459" s="615">
        <v>0</v>
      </c>
      <c r="AQ459" s="615">
        <v>0</v>
      </c>
      <c r="AR459" s="615">
        <v>0</v>
      </c>
      <c r="AS459" s="615">
        <v>0</v>
      </c>
      <c r="AT459" s="615">
        <v>0</v>
      </c>
      <c r="AU459" s="615">
        <v>0</v>
      </c>
      <c r="AV459" s="615">
        <v>0</v>
      </c>
      <c r="AW459" s="615">
        <v>0</v>
      </c>
      <c r="AX459" s="615">
        <v>1565753</v>
      </c>
      <c r="AY459" s="615">
        <v>390546038</v>
      </c>
      <c r="AZ459" s="615">
        <v>0</v>
      </c>
      <c r="BA459" s="615">
        <v>0</v>
      </c>
      <c r="BB459" s="615">
        <v>0</v>
      </c>
      <c r="BC459" s="615">
        <v>0</v>
      </c>
      <c r="BD459" s="615">
        <v>0</v>
      </c>
      <c r="BE459" s="615">
        <v>0</v>
      </c>
      <c r="BF459" s="615">
        <v>0</v>
      </c>
      <c r="BG459" s="615">
        <v>0</v>
      </c>
      <c r="BH459" s="615">
        <v>0</v>
      </c>
      <c r="BI459" s="615">
        <v>0</v>
      </c>
      <c r="BJ459" s="615">
        <v>0</v>
      </c>
      <c r="BK459" s="615">
        <v>0</v>
      </c>
      <c r="BL459" s="615">
        <v>0</v>
      </c>
      <c r="BM459" s="615">
        <v>0</v>
      </c>
      <c r="BN459" s="615">
        <v>0</v>
      </c>
      <c r="BO459" s="615">
        <v>0</v>
      </c>
      <c r="BP459" s="615">
        <v>0</v>
      </c>
      <c r="BQ459" s="615">
        <v>0</v>
      </c>
      <c r="BR459" s="615">
        <v>0</v>
      </c>
      <c r="BS459" s="615">
        <v>0</v>
      </c>
      <c r="BT459" s="615">
        <v>0</v>
      </c>
      <c r="BU459" s="615">
        <v>0</v>
      </c>
      <c r="BV459" s="615">
        <v>0</v>
      </c>
      <c r="BW459" s="615">
        <v>0</v>
      </c>
      <c r="BX459" s="607">
        <f t="shared" si="17"/>
        <v>392111791</v>
      </c>
    </row>
    <row r="460" spans="1:76" ht="12" customHeight="1" x14ac:dyDescent="0.2">
      <c r="A460" s="902"/>
      <c r="B460" s="611" t="s">
        <v>2246</v>
      </c>
      <c r="C460" s="641" t="s">
        <v>3590</v>
      </c>
      <c r="D460" s="585"/>
      <c r="E460" s="585">
        <v>0</v>
      </c>
      <c r="F460" s="585">
        <v>0</v>
      </c>
      <c r="G460" s="585">
        <v>0</v>
      </c>
      <c r="H460" s="585">
        <v>0</v>
      </c>
      <c r="I460" s="585" t="s">
        <v>1128</v>
      </c>
      <c r="J460" s="585" t="s">
        <v>1128</v>
      </c>
      <c r="K460" s="585">
        <v>0</v>
      </c>
      <c r="L460" s="585">
        <v>0</v>
      </c>
      <c r="M460" s="585">
        <v>0</v>
      </c>
      <c r="N460" s="585">
        <v>0</v>
      </c>
      <c r="O460" s="585">
        <v>0</v>
      </c>
      <c r="P460" s="585">
        <v>0</v>
      </c>
      <c r="Q460" s="585">
        <v>0</v>
      </c>
      <c r="R460" s="585">
        <v>0</v>
      </c>
      <c r="S460" s="585">
        <v>0</v>
      </c>
      <c r="T460" s="585">
        <v>0</v>
      </c>
      <c r="U460" s="585">
        <v>0</v>
      </c>
      <c r="V460" s="585">
        <v>0</v>
      </c>
      <c r="W460" s="585">
        <v>0</v>
      </c>
      <c r="X460" s="585">
        <v>0</v>
      </c>
      <c r="Y460" s="615">
        <v>0</v>
      </c>
      <c r="Z460" s="615">
        <v>0</v>
      </c>
      <c r="AA460" s="615">
        <v>0</v>
      </c>
      <c r="AB460" s="615">
        <v>0</v>
      </c>
      <c r="AC460" s="615">
        <v>0</v>
      </c>
      <c r="AD460" s="615">
        <v>0</v>
      </c>
      <c r="AE460" s="615">
        <v>0</v>
      </c>
      <c r="AF460" s="615">
        <v>0</v>
      </c>
      <c r="AG460" s="615">
        <v>0</v>
      </c>
      <c r="AH460" s="615">
        <v>0</v>
      </c>
      <c r="AI460" s="615">
        <v>0</v>
      </c>
      <c r="AJ460" s="615">
        <v>0</v>
      </c>
      <c r="AK460" s="615">
        <v>0</v>
      </c>
      <c r="AL460" s="615">
        <v>0</v>
      </c>
      <c r="AM460" s="615">
        <v>0</v>
      </c>
      <c r="AN460" s="615">
        <v>0</v>
      </c>
      <c r="AO460" s="615">
        <v>0</v>
      </c>
      <c r="AP460" s="615">
        <v>0</v>
      </c>
      <c r="AQ460" s="615">
        <v>0</v>
      </c>
      <c r="AR460" s="615">
        <v>0</v>
      </c>
      <c r="AS460" s="615">
        <v>0</v>
      </c>
      <c r="AT460" s="615">
        <v>0</v>
      </c>
      <c r="AU460" s="615">
        <v>0</v>
      </c>
      <c r="AV460" s="615">
        <v>219622085</v>
      </c>
      <c r="AW460" s="615">
        <v>0</v>
      </c>
      <c r="AX460" s="615">
        <v>0</v>
      </c>
      <c r="AY460" s="615">
        <v>0</v>
      </c>
      <c r="AZ460" s="615">
        <v>0</v>
      </c>
      <c r="BA460" s="615">
        <v>0</v>
      </c>
      <c r="BB460" s="615">
        <v>0</v>
      </c>
      <c r="BC460" s="615">
        <v>0</v>
      </c>
      <c r="BD460" s="615">
        <v>0</v>
      </c>
      <c r="BE460" s="615">
        <v>0</v>
      </c>
      <c r="BF460" s="615">
        <v>0</v>
      </c>
      <c r="BG460" s="615">
        <v>0</v>
      </c>
      <c r="BH460" s="615">
        <v>0</v>
      </c>
      <c r="BI460" s="615">
        <v>0</v>
      </c>
      <c r="BJ460" s="615">
        <v>0</v>
      </c>
      <c r="BK460" s="615">
        <v>0</v>
      </c>
      <c r="BL460" s="615">
        <v>0</v>
      </c>
      <c r="BM460" s="615">
        <v>0</v>
      </c>
      <c r="BN460" s="615">
        <v>0</v>
      </c>
      <c r="BO460" s="615">
        <v>0</v>
      </c>
      <c r="BP460" s="615">
        <v>0</v>
      </c>
      <c r="BQ460" s="615">
        <v>0</v>
      </c>
      <c r="BR460" s="615">
        <v>0</v>
      </c>
      <c r="BS460" s="615">
        <v>0</v>
      </c>
      <c r="BT460" s="615">
        <v>0</v>
      </c>
      <c r="BU460" s="615">
        <v>0</v>
      </c>
      <c r="BV460" s="615">
        <v>0</v>
      </c>
      <c r="BW460" s="615">
        <v>0</v>
      </c>
      <c r="BX460" s="607">
        <f t="shared" si="17"/>
        <v>219622085</v>
      </c>
    </row>
    <row r="461" spans="1:76" ht="12" customHeight="1" x14ac:dyDescent="0.2">
      <c r="A461" s="902"/>
      <c r="B461" s="611" t="s">
        <v>1240</v>
      </c>
      <c r="C461" s="641" t="s">
        <v>3591</v>
      </c>
      <c r="D461" s="585"/>
      <c r="E461" s="585">
        <v>0</v>
      </c>
      <c r="F461" s="585">
        <v>0</v>
      </c>
      <c r="G461" s="585">
        <v>0</v>
      </c>
      <c r="H461" s="585">
        <v>0</v>
      </c>
      <c r="I461" s="585" t="s">
        <v>1128</v>
      </c>
      <c r="J461" s="585" t="s">
        <v>1128</v>
      </c>
      <c r="K461" s="585">
        <v>0</v>
      </c>
      <c r="L461" s="585">
        <v>0</v>
      </c>
      <c r="M461" s="585">
        <v>0</v>
      </c>
      <c r="N461" s="585">
        <v>0</v>
      </c>
      <c r="O461" s="585">
        <v>0</v>
      </c>
      <c r="P461" s="585">
        <v>0</v>
      </c>
      <c r="Q461" s="585">
        <v>0</v>
      </c>
      <c r="R461" s="585">
        <v>0</v>
      </c>
      <c r="S461" s="585">
        <v>0</v>
      </c>
      <c r="T461" s="585">
        <v>0</v>
      </c>
      <c r="U461" s="585">
        <v>0</v>
      </c>
      <c r="V461" s="585">
        <v>0</v>
      </c>
      <c r="W461" s="585">
        <v>0</v>
      </c>
      <c r="X461" s="585">
        <v>0</v>
      </c>
      <c r="Y461" s="615">
        <v>0</v>
      </c>
      <c r="Z461" s="615">
        <v>0</v>
      </c>
      <c r="AA461" s="615">
        <v>0</v>
      </c>
      <c r="AB461" s="615">
        <v>0</v>
      </c>
      <c r="AC461" s="615">
        <v>0</v>
      </c>
      <c r="AD461" s="615">
        <v>0</v>
      </c>
      <c r="AE461" s="615">
        <v>0</v>
      </c>
      <c r="AF461" s="615">
        <v>0</v>
      </c>
      <c r="AG461" s="615">
        <v>0</v>
      </c>
      <c r="AH461" s="615">
        <v>0</v>
      </c>
      <c r="AI461" s="615">
        <v>0</v>
      </c>
      <c r="AJ461" s="615">
        <v>0</v>
      </c>
      <c r="AK461" s="615">
        <v>0</v>
      </c>
      <c r="AL461" s="615">
        <v>0</v>
      </c>
      <c r="AM461" s="615">
        <v>0</v>
      </c>
      <c r="AN461" s="615">
        <v>0</v>
      </c>
      <c r="AO461" s="615">
        <v>6768545</v>
      </c>
      <c r="AP461" s="615">
        <v>0</v>
      </c>
      <c r="AQ461" s="615">
        <v>0</v>
      </c>
      <c r="AR461" s="615">
        <v>0</v>
      </c>
      <c r="AS461" s="615">
        <v>0</v>
      </c>
      <c r="AT461" s="615">
        <v>302816500</v>
      </c>
      <c r="AU461" s="615">
        <v>0</v>
      </c>
      <c r="AV461" s="615">
        <v>0</v>
      </c>
      <c r="AW461" s="615">
        <v>0</v>
      </c>
      <c r="AX461" s="615">
        <v>0</v>
      </c>
      <c r="AY461" s="615">
        <v>0</v>
      </c>
      <c r="AZ461" s="615">
        <v>0</v>
      </c>
      <c r="BA461" s="615">
        <v>0</v>
      </c>
      <c r="BB461" s="615">
        <v>0</v>
      </c>
      <c r="BC461" s="615">
        <v>0</v>
      </c>
      <c r="BD461" s="615">
        <v>0</v>
      </c>
      <c r="BE461" s="615">
        <v>0</v>
      </c>
      <c r="BF461" s="615">
        <v>0</v>
      </c>
      <c r="BG461" s="615">
        <v>0</v>
      </c>
      <c r="BH461" s="615">
        <v>0</v>
      </c>
      <c r="BI461" s="615">
        <v>0</v>
      </c>
      <c r="BJ461" s="615">
        <v>0</v>
      </c>
      <c r="BK461" s="615">
        <v>0</v>
      </c>
      <c r="BL461" s="615">
        <v>0</v>
      </c>
      <c r="BM461" s="615">
        <v>0</v>
      </c>
      <c r="BN461" s="615">
        <v>0</v>
      </c>
      <c r="BO461" s="615">
        <v>0</v>
      </c>
      <c r="BP461" s="615">
        <v>0</v>
      </c>
      <c r="BQ461" s="615">
        <v>0</v>
      </c>
      <c r="BR461" s="615">
        <v>0</v>
      </c>
      <c r="BS461" s="615">
        <v>0</v>
      </c>
      <c r="BT461" s="615">
        <v>0</v>
      </c>
      <c r="BU461" s="615">
        <v>0</v>
      </c>
      <c r="BV461" s="615">
        <v>0</v>
      </c>
      <c r="BW461" s="615">
        <v>0</v>
      </c>
      <c r="BX461" s="607">
        <f t="shared" si="17"/>
        <v>309585045</v>
      </c>
    </row>
    <row r="462" spans="1:76" ht="12" customHeight="1" x14ac:dyDescent="0.2">
      <c r="A462" s="902"/>
      <c r="B462" s="611" t="s">
        <v>1196</v>
      </c>
      <c r="C462" s="641" t="s">
        <v>3592</v>
      </c>
      <c r="D462" s="585"/>
      <c r="E462" s="585"/>
      <c r="F462" s="585"/>
      <c r="G462" s="585"/>
      <c r="H462" s="585">
        <v>0</v>
      </c>
      <c r="I462" s="585">
        <v>0</v>
      </c>
      <c r="J462" s="585">
        <v>0</v>
      </c>
      <c r="K462" s="585" t="s">
        <v>1128</v>
      </c>
      <c r="L462" s="585">
        <v>0</v>
      </c>
      <c r="M462" s="585">
        <v>0</v>
      </c>
      <c r="N462" s="585">
        <v>0</v>
      </c>
      <c r="O462" s="585">
        <v>0</v>
      </c>
      <c r="P462" s="585">
        <v>0</v>
      </c>
      <c r="Q462" s="585">
        <v>0</v>
      </c>
      <c r="R462" s="585">
        <v>0</v>
      </c>
      <c r="S462" s="585">
        <v>0</v>
      </c>
      <c r="T462" s="585">
        <v>0</v>
      </c>
      <c r="U462" s="585">
        <v>0</v>
      </c>
      <c r="V462" s="585">
        <v>0</v>
      </c>
      <c r="W462" s="585">
        <v>0</v>
      </c>
      <c r="X462" s="585">
        <v>0</v>
      </c>
      <c r="Y462" s="615">
        <v>0</v>
      </c>
      <c r="Z462" s="615">
        <v>0</v>
      </c>
      <c r="AA462" s="615">
        <v>0</v>
      </c>
      <c r="AB462" s="615">
        <v>0</v>
      </c>
      <c r="AC462" s="615">
        <v>0</v>
      </c>
      <c r="AD462" s="615">
        <v>0</v>
      </c>
      <c r="AE462" s="615">
        <v>0</v>
      </c>
      <c r="AF462" s="615">
        <v>0</v>
      </c>
      <c r="AG462" s="615">
        <v>0</v>
      </c>
      <c r="AH462" s="615">
        <v>0</v>
      </c>
      <c r="AI462" s="615">
        <v>0</v>
      </c>
      <c r="AJ462" s="615">
        <v>0</v>
      </c>
      <c r="AK462" s="615">
        <v>0</v>
      </c>
      <c r="AL462" s="615">
        <v>0</v>
      </c>
      <c r="AM462" s="615">
        <v>0</v>
      </c>
      <c r="AN462" s="615">
        <v>0</v>
      </c>
      <c r="AO462" s="615">
        <v>0</v>
      </c>
      <c r="AP462" s="615">
        <v>0</v>
      </c>
      <c r="AQ462" s="615">
        <v>0</v>
      </c>
      <c r="AR462" s="615">
        <v>0</v>
      </c>
      <c r="AS462" s="615">
        <v>0</v>
      </c>
      <c r="AT462" s="615">
        <v>282332737</v>
      </c>
      <c r="AU462" s="615">
        <v>0</v>
      </c>
      <c r="AV462" s="615">
        <v>0</v>
      </c>
      <c r="AW462" s="615">
        <v>0</v>
      </c>
      <c r="AX462" s="615">
        <v>0</v>
      </c>
      <c r="AY462" s="615">
        <v>0</v>
      </c>
      <c r="AZ462" s="615">
        <v>0</v>
      </c>
      <c r="BA462" s="615">
        <v>0</v>
      </c>
      <c r="BB462" s="615">
        <v>0</v>
      </c>
      <c r="BC462" s="615">
        <v>0</v>
      </c>
      <c r="BD462" s="615">
        <v>0</v>
      </c>
      <c r="BE462" s="615">
        <v>0</v>
      </c>
      <c r="BF462" s="615">
        <v>0</v>
      </c>
      <c r="BG462" s="615">
        <v>0</v>
      </c>
      <c r="BH462" s="615">
        <v>0</v>
      </c>
      <c r="BI462" s="615">
        <v>0</v>
      </c>
      <c r="BJ462" s="615">
        <v>0</v>
      </c>
      <c r="BK462" s="615">
        <v>0</v>
      </c>
      <c r="BL462" s="615">
        <v>0</v>
      </c>
      <c r="BM462" s="615">
        <v>0</v>
      </c>
      <c r="BN462" s="615">
        <v>0</v>
      </c>
      <c r="BO462" s="615">
        <v>0</v>
      </c>
      <c r="BP462" s="615">
        <v>0</v>
      </c>
      <c r="BQ462" s="615">
        <v>0</v>
      </c>
      <c r="BR462" s="615">
        <v>0</v>
      </c>
      <c r="BS462" s="615">
        <v>0</v>
      </c>
      <c r="BT462" s="615">
        <v>0</v>
      </c>
      <c r="BU462" s="615">
        <v>0</v>
      </c>
      <c r="BV462" s="615">
        <v>0</v>
      </c>
      <c r="BW462" s="615">
        <v>0</v>
      </c>
      <c r="BX462" s="607">
        <f t="shared" si="17"/>
        <v>282332737</v>
      </c>
    </row>
    <row r="463" spans="1:76" ht="12" customHeight="1" x14ac:dyDescent="0.2">
      <c r="A463" s="902"/>
      <c r="B463" s="611" t="s">
        <v>1098</v>
      </c>
      <c r="C463" s="641" t="s">
        <v>3593</v>
      </c>
      <c r="D463" s="585"/>
      <c r="E463" s="585"/>
      <c r="F463" s="585"/>
      <c r="G463" s="585"/>
      <c r="H463" s="585">
        <v>0</v>
      </c>
      <c r="I463" s="585" t="s">
        <v>1128</v>
      </c>
      <c r="J463" s="585" t="s">
        <v>1128</v>
      </c>
      <c r="K463" s="585">
        <v>0</v>
      </c>
      <c r="L463" s="585">
        <v>0</v>
      </c>
      <c r="M463" s="585">
        <v>0</v>
      </c>
      <c r="N463" s="585">
        <v>0</v>
      </c>
      <c r="O463" s="585">
        <v>0</v>
      </c>
      <c r="P463" s="585">
        <v>0</v>
      </c>
      <c r="Q463" s="585">
        <v>0</v>
      </c>
      <c r="R463" s="585">
        <v>0</v>
      </c>
      <c r="S463" s="585">
        <v>0</v>
      </c>
      <c r="T463" s="585">
        <v>0</v>
      </c>
      <c r="U463" s="585">
        <v>0</v>
      </c>
      <c r="V463" s="585">
        <v>0</v>
      </c>
      <c r="W463" s="585">
        <v>0</v>
      </c>
      <c r="X463" s="585">
        <v>0</v>
      </c>
      <c r="Y463" s="615">
        <v>0</v>
      </c>
      <c r="Z463" s="615">
        <v>0</v>
      </c>
      <c r="AA463" s="615">
        <v>0</v>
      </c>
      <c r="AB463" s="615">
        <v>0</v>
      </c>
      <c r="AC463" s="615">
        <v>0</v>
      </c>
      <c r="AD463" s="615">
        <v>0</v>
      </c>
      <c r="AE463" s="615">
        <v>0</v>
      </c>
      <c r="AF463" s="615">
        <v>0</v>
      </c>
      <c r="AG463" s="615">
        <v>0</v>
      </c>
      <c r="AH463" s="615">
        <v>0</v>
      </c>
      <c r="AI463" s="615">
        <v>0</v>
      </c>
      <c r="AJ463" s="615">
        <v>0</v>
      </c>
      <c r="AK463" s="615">
        <v>0</v>
      </c>
      <c r="AL463" s="615">
        <v>0</v>
      </c>
      <c r="AM463" s="615">
        <v>0</v>
      </c>
      <c r="AN463" s="615">
        <v>0</v>
      </c>
      <c r="AO463" s="615">
        <v>0</v>
      </c>
      <c r="AP463" s="615">
        <v>0</v>
      </c>
      <c r="AQ463" s="615">
        <v>0</v>
      </c>
      <c r="AR463" s="615">
        <v>0</v>
      </c>
      <c r="AS463" s="615">
        <v>0</v>
      </c>
      <c r="AT463" s="615">
        <v>146695387</v>
      </c>
      <c r="AU463" s="615">
        <v>0</v>
      </c>
      <c r="AV463" s="615">
        <v>0</v>
      </c>
      <c r="AW463" s="615">
        <v>0</v>
      </c>
      <c r="AX463" s="615">
        <v>0</v>
      </c>
      <c r="AY463" s="615">
        <v>0</v>
      </c>
      <c r="AZ463" s="615">
        <v>0</v>
      </c>
      <c r="BA463" s="615">
        <v>0</v>
      </c>
      <c r="BB463" s="615">
        <v>0</v>
      </c>
      <c r="BC463" s="615">
        <v>0</v>
      </c>
      <c r="BD463" s="615">
        <v>0</v>
      </c>
      <c r="BE463" s="615">
        <v>0</v>
      </c>
      <c r="BF463" s="615">
        <v>0</v>
      </c>
      <c r="BG463" s="615">
        <v>0</v>
      </c>
      <c r="BH463" s="615">
        <v>0</v>
      </c>
      <c r="BI463" s="615">
        <v>0</v>
      </c>
      <c r="BJ463" s="615">
        <v>0</v>
      </c>
      <c r="BK463" s="615">
        <v>0</v>
      </c>
      <c r="BL463" s="615">
        <v>0</v>
      </c>
      <c r="BM463" s="615">
        <v>0</v>
      </c>
      <c r="BN463" s="615">
        <v>0</v>
      </c>
      <c r="BO463" s="615">
        <v>0</v>
      </c>
      <c r="BP463" s="615">
        <v>0</v>
      </c>
      <c r="BQ463" s="615">
        <v>0</v>
      </c>
      <c r="BR463" s="615">
        <v>0</v>
      </c>
      <c r="BS463" s="615">
        <v>0</v>
      </c>
      <c r="BT463" s="615">
        <v>0</v>
      </c>
      <c r="BU463" s="615">
        <v>0</v>
      </c>
      <c r="BV463" s="615">
        <v>0</v>
      </c>
      <c r="BW463" s="615">
        <v>0</v>
      </c>
      <c r="BX463" s="607">
        <f t="shared" si="17"/>
        <v>146695387</v>
      </c>
    </row>
    <row r="464" spans="1:76" ht="12" customHeight="1" x14ac:dyDescent="0.2">
      <c r="A464" s="902"/>
      <c r="B464" s="611" t="s">
        <v>3280</v>
      </c>
      <c r="C464" s="641" t="s">
        <v>3594</v>
      </c>
      <c r="D464" s="585"/>
      <c r="E464" s="585"/>
      <c r="F464" s="585"/>
      <c r="G464" s="585"/>
      <c r="H464" s="585">
        <v>0</v>
      </c>
      <c r="I464" s="585">
        <v>0</v>
      </c>
      <c r="J464" s="585">
        <v>0</v>
      </c>
      <c r="K464" s="585">
        <v>0</v>
      </c>
      <c r="L464" s="585">
        <v>0</v>
      </c>
      <c r="M464" s="585">
        <v>0</v>
      </c>
      <c r="N464" s="585">
        <v>0</v>
      </c>
      <c r="O464" s="585">
        <v>0</v>
      </c>
      <c r="P464" s="585">
        <v>0</v>
      </c>
      <c r="Q464" s="585">
        <v>0</v>
      </c>
      <c r="R464" s="585">
        <v>0</v>
      </c>
      <c r="S464" s="585">
        <v>0</v>
      </c>
      <c r="T464" s="585">
        <v>0</v>
      </c>
      <c r="U464" s="585">
        <v>0</v>
      </c>
      <c r="V464" s="585">
        <v>0</v>
      </c>
      <c r="W464" s="585">
        <v>0</v>
      </c>
      <c r="X464" s="585">
        <v>0</v>
      </c>
      <c r="Y464" s="615">
        <v>0</v>
      </c>
      <c r="Z464" s="615">
        <v>0</v>
      </c>
      <c r="AA464" s="615">
        <v>0</v>
      </c>
      <c r="AB464" s="615">
        <v>0</v>
      </c>
      <c r="AC464" s="615">
        <v>0</v>
      </c>
      <c r="AD464" s="615">
        <v>0</v>
      </c>
      <c r="AE464" s="615">
        <v>0</v>
      </c>
      <c r="AF464" s="615">
        <v>0</v>
      </c>
      <c r="AG464" s="615">
        <v>0</v>
      </c>
      <c r="AH464" s="615">
        <v>0</v>
      </c>
      <c r="AI464" s="615">
        <v>0</v>
      </c>
      <c r="AJ464" s="615">
        <v>0</v>
      </c>
      <c r="AK464" s="615">
        <v>0</v>
      </c>
      <c r="AL464" s="615">
        <v>0</v>
      </c>
      <c r="AM464" s="615">
        <v>0</v>
      </c>
      <c r="AN464" s="615">
        <v>0</v>
      </c>
      <c r="AO464" s="615">
        <v>0</v>
      </c>
      <c r="AP464" s="615">
        <v>0</v>
      </c>
      <c r="AQ464" s="615">
        <v>0</v>
      </c>
      <c r="AR464" s="615">
        <v>0</v>
      </c>
      <c r="AS464" s="615">
        <v>0</v>
      </c>
      <c r="AT464" s="615">
        <v>0</v>
      </c>
      <c r="AU464" s="615">
        <v>0</v>
      </c>
      <c r="AV464" s="615">
        <v>0</v>
      </c>
      <c r="AW464" s="615">
        <v>0</v>
      </c>
      <c r="AX464" s="615">
        <v>2</v>
      </c>
      <c r="AY464" s="615">
        <v>443565194</v>
      </c>
      <c r="AZ464" s="615">
        <v>0</v>
      </c>
      <c r="BA464" s="615">
        <v>0</v>
      </c>
      <c r="BB464" s="615">
        <v>0</v>
      </c>
      <c r="BC464" s="615">
        <v>0</v>
      </c>
      <c r="BD464" s="615">
        <v>0</v>
      </c>
      <c r="BE464" s="615">
        <v>0</v>
      </c>
      <c r="BF464" s="615">
        <v>0</v>
      </c>
      <c r="BG464" s="615">
        <v>0</v>
      </c>
      <c r="BH464" s="615">
        <v>0</v>
      </c>
      <c r="BI464" s="615">
        <v>0</v>
      </c>
      <c r="BJ464" s="615">
        <v>0</v>
      </c>
      <c r="BK464" s="615">
        <v>0</v>
      </c>
      <c r="BL464" s="615">
        <v>0</v>
      </c>
      <c r="BM464" s="615">
        <v>0</v>
      </c>
      <c r="BN464" s="615">
        <v>0</v>
      </c>
      <c r="BO464" s="615">
        <v>0</v>
      </c>
      <c r="BP464" s="615">
        <v>0</v>
      </c>
      <c r="BQ464" s="615">
        <v>0</v>
      </c>
      <c r="BR464" s="615">
        <v>0</v>
      </c>
      <c r="BS464" s="615">
        <v>0</v>
      </c>
      <c r="BT464" s="615">
        <v>0</v>
      </c>
      <c r="BU464" s="615">
        <v>0</v>
      </c>
      <c r="BV464" s="615">
        <v>0</v>
      </c>
      <c r="BW464" s="615">
        <v>0</v>
      </c>
      <c r="BX464" s="607">
        <f t="shared" si="17"/>
        <v>443565196</v>
      </c>
    </row>
    <row r="465" spans="1:76" ht="12" customHeight="1" x14ac:dyDescent="0.2">
      <c r="A465" s="902"/>
      <c r="B465" s="611" t="s">
        <v>2247</v>
      </c>
      <c r="C465" s="641" t="s">
        <v>3595</v>
      </c>
      <c r="D465" s="585"/>
      <c r="E465" s="585"/>
      <c r="F465" s="585"/>
      <c r="G465" s="585"/>
      <c r="H465" s="585">
        <v>0</v>
      </c>
      <c r="I465" s="585">
        <v>0</v>
      </c>
      <c r="J465" s="585" t="s">
        <v>1128</v>
      </c>
      <c r="K465" s="585">
        <v>0</v>
      </c>
      <c r="L465" s="585">
        <v>0</v>
      </c>
      <c r="M465" s="585">
        <v>0</v>
      </c>
      <c r="N465" s="585">
        <v>0</v>
      </c>
      <c r="O465" s="585">
        <v>0</v>
      </c>
      <c r="P465" s="585">
        <v>0</v>
      </c>
      <c r="Q465" s="585">
        <v>0</v>
      </c>
      <c r="R465" s="585">
        <v>0</v>
      </c>
      <c r="S465" s="585">
        <v>0</v>
      </c>
      <c r="T465" s="585">
        <v>0</v>
      </c>
      <c r="U465" s="585">
        <v>0</v>
      </c>
      <c r="V465" s="585">
        <v>0</v>
      </c>
      <c r="W465" s="585">
        <v>0</v>
      </c>
      <c r="X465" s="585">
        <v>0</v>
      </c>
      <c r="Y465" s="615">
        <v>0</v>
      </c>
      <c r="Z465" s="615">
        <v>0</v>
      </c>
      <c r="AA465" s="615">
        <v>0</v>
      </c>
      <c r="AB465" s="615">
        <v>0</v>
      </c>
      <c r="AC465" s="615">
        <v>0</v>
      </c>
      <c r="AD465" s="615">
        <v>0</v>
      </c>
      <c r="AE465" s="615">
        <v>0</v>
      </c>
      <c r="AF465" s="615">
        <v>0</v>
      </c>
      <c r="AG465" s="615">
        <v>0</v>
      </c>
      <c r="AH465" s="615">
        <v>0</v>
      </c>
      <c r="AI465" s="615">
        <v>0</v>
      </c>
      <c r="AJ465" s="615">
        <v>0</v>
      </c>
      <c r="AK465" s="615">
        <v>0</v>
      </c>
      <c r="AL465" s="615">
        <v>0</v>
      </c>
      <c r="AM465" s="615">
        <v>0</v>
      </c>
      <c r="AN465" s="615">
        <v>0</v>
      </c>
      <c r="AO465" s="615">
        <v>0</v>
      </c>
      <c r="AP465" s="615">
        <v>0</v>
      </c>
      <c r="AQ465" s="615">
        <v>0</v>
      </c>
      <c r="AR465" s="615">
        <v>0</v>
      </c>
      <c r="AS465" s="615">
        <v>0</v>
      </c>
      <c r="AT465" s="615">
        <v>0</v>
      </c>
      <c r="AU465" s="615">
        <v>0</v>
      </c>
      <c r="AV465" s="615">
        <v>116209323</v>
      </c>
      <c r="AW465" s="615">
        <v>0</v>
      </c>
      <c r="AX465" s="615">
        <v>0</v>
      </c>
      <c r="AY465" s="615">
        <v>0</v>
      </c>
      <c r="AZ465" s="615">
        <v>0</v>
      </c>
      <c r="BA465" s="615">
        <v>0</v>
      </c>
      <c r="BB465" s="615">
        <v>0</v>
      </c>
      <c r="BC465" s="615">
        <v>0</v>
      </c>
      <c r="BD465" s="615">
        <v>0</v>
      </c>
      <c r="BE465" s="615">
        <v>0</v>
      </c>
      <c r="BF465" s="615">
        <v>0</v>
      </c>
      <c r="BG465" s="615">
        <v>0</v>
      </c>
      <c r="BH465" s="615">
        <v>0</v>
      </c>
      <c r="BI465" s="615">
        <v>0</v>
      </c>
      <c r="BJ465" s="615">
        <v>0</v>
      </c>
      <c r="BK465" s="615">
        <v>0</v>
      </c>
      <c r="BL465" s="615">
        <v>0</v>
      </c>
      <c r="BM465" s="615">
        <v>0</v>
      </c>
      <c r="BN465" s="615">
        <v>0</v>
      </c>
      <c r="BO465" s="615">
        <v>0</v>
      </c>
      <c r="BP465" s="615">
        <v>0</v>
      </c>
      <c r="BQ465" s="615">
        <v>0</v>
      </c>
      <c r="BR465" s="615">
        <v>0</v>
      </c>
      <c r="BS465" s="615">
        <v>0</v>
      </c>
      <c r="BT465" s="615">
        <v>0</v>
      </c>
      <c r="BU465" s="615">
        <v>0</v>
      </c>
      <c r="BV465" s="615">
        <v>0</v>
      </c>
      <c r="BW465" s="615">
        <v>0</v>
      </c>
      <c r="BX465" s="607">
        <f t="shared" si="17"/>
        <v>116209323</v>
      </c>
    </row>
    <row r="466" spans="1:76" ht="12" customHeight="1" x14ac:dyDescent="0.2">
      <c r="A466" s="902"/>
      <c r="B466" s="611" t="s">
        <v>1083</v>
      </c>
      <c r="C466" s="641" t="s">
        <v>3596</v>
      </c>
      <c r="D466" s="585"/>
      <c r="E466" s="585"/>
      <c r="F466" s="585"/>
      <c r="G466" s="585"/>
      <c r="H466" s="585">
        <v>0</v>
      </c>
      <c r="I466" s="585">
        <v>0</v>
      </c>
      <c r="J466" s="585">
        <v>0</v>
      </c>
      <c r="K466" s="585">
        <v>0</v>
      </c>
      <c r="L466" s="585">
        <v>0</v>
      </c>
      <c r="M466" s="585">
        <v>0</v>
      </c>
      <c r="N466" s="585">
        <v>0</v>
      </c>
      <c r="O466" s="585">
        <v>0</v>
      </c>
      <c r="P466" s="585">
        <v>0</v>
      </c>
      <c r="Q466" s="585">
        <v>0</v>
      </c>
      <c r="R466" s="585">
        <v>0</v>
      </c>
      <c r="S466" s="585">
        <v>0</v>
      </c>
      <c r="T466" s="585">
        <v>0</v>
      </c>
      <c r="U466" s="585">
        <v>0</v>
      </c>
      <c r="V466" s="585">
        <v>0</v>
      </c>
      <c r="W466" s="585">
        <v>0</v>
      </c>
      <c r="X466" s="585">
        <v>0</v>
      </c>
      <c r="Y466" s="615">
        <v>0</v>
      </c>
      <c r="Z466" s="615">
        <v>0</v>
      </c>
      <c r="AA466" s="615">
        <v>0</v>
      </c>
      <c r="AB466" s="615">
        <v>0</v>
      </c>
      <c r="AC466" s="615">
        <v>0</v>
      </c>
      <c r="AD466" s="615">
        <v>0</v>
      </c>
      <c r="AE466" s="615">
        <v>0</v>
      </c>
      <c r="AF466" s="615">
        <v>0</v>
      </c>
      <c r="AG466" s="615">
        <v>0</v>
      </c>
      <c r="AH466" s="615">
        <v>0</v>
      </c>
      <c r="AI466" s="615">
        <v>0</v>
      </c>
      <c r="AJ466" s="615">
        <v>0</v>
      </c>
      <c r="AK466" s="615">
        <v>0</v>
      </c>
      <c r="AL466" s="615">
        <v>0</v>
      </c>
      <c r="AM466" s="615">
        <v>0</v>
      </c>
      <c r="AN466" s="615">
        <v>0</v>
      </c>
      <c r="AO466" s="615">
        <v>0</v>
      </c>
      <c r="AP466" s="615">
        <v>0</v>
      </c>
      <c r="AQ466" s="615" t="s">
        <v>4376</v>
      </c>
      <c r="AR466" s="615">
        <v>0</v>
      </c>
      <c r="AS466" s="615">
        <v>0</v>
      </c>
      <c r="AT466" s="615">
        <v>0</v>
      </c>
      <c r="AU466" s="615">
        <v>92441</v>
      </c>
      <c r="AV466" s="615">
        <v>0</v>
      </c>
      <c r="AW466" s="615">
        <v>0</v>
      </c>
      <c r="AX466" s="615">
        <v>0</v>
      </c>
      <c r="AY466" s="615">
        <v>0</v>
      </c>
      <c r="AZ466" s="615">
        <v>0</v>
      </c>
      <c r="BA466" s="615">
        <v>0</v>
      </c>
      <c r="BB466" s="615">
        <v>0</v>
      </c>
      <c r="BC466" s="615">
        <v>0</v>
      </c>
      <c r="BD466" s="615">
        <v>0</v>
      </c>
      <c r="BE466" s="615">
        <v>0</v>
      </c>
      <c r="BF466" s="615">
        <v>0</v>
      </c>
      <c r="BG466" s="615">
        <v>0</v>
      </c>
      <c r="BH466" s="615">
        <v>0</v>
      </c>
      <c r="BI466" s="615">
        <v>0</v>
      </c>
      <c r="BJ466" s="615">
        <v>0</v>
      </c>
      <c r="BK466" s="615">
        <v>0</v>
      </c>
      <c r="BL466" s="615">
        <v>0</v>
      </c>
      <c r="BM466" s="615">
        <v>0</v>
      </c>
      <c r="BN466" s="615">
        <v>0</v>
      </c>
      <c r="BO466" s="615">
        <v>0</v>
      </c>
      <c r="BP466" s="615">
        <v>0</v>
      </c>
      <c r="BQ466" s="615">
        <v>0</v>
      </c>
      <c r="BR466" s="615">
        <v>0</v>
      </c>
      <c r="BS466" s="615">
        <v>0</v>
      </c>
      <c r="BT466" s="615">
        <v>0</v>
      </c>
      <c r="BU466" s="615">
        <v>0</v>
      </c>
      <c r="BV466" s="615">
        <v>0</v>
      </c>
      <c r="BW466" s="615">
        <v>0</v>
      </c>
      <c r="BX466" s="607">
        <f t="shared" si="17"/>
        <v>92441</v>
      </c>
    </row>
    <row r="467" spans="1:76" ht="12" customHeight="1" x14ac:dyDescent="0.2">
      <c r="A467" s="902"/>
      <c r="B467" s="611" t="s">
        <v>2250</v>
      </c>
      <c r="C467" s="641" t="s">
        <v>3597</v>
      </c>
      <c r="D467" s="585"/>
      <c r="E467" s="585"/>
      <c r="F467" s="585"/>
      <c r="G467" s="585"/>
      <c r="H467" s="585">
        <v>0</v>
      </c>
      <c r="I467" s="585">
        <v>0</v>
      </c>
      <c r="J467" s="585">
        <v>0</v>
      </c>
      <c r="K467" s="585">
        <v>0</v>
      </c>
      <c r="L467" s="585">
        <v>0</v>
      </c>
      <c r="M467" s="585">
        <v>0</v>
      </c>
      <c r="N467" s="585">
        <v>0</v>
      </c>
      <c r="O467" s="585">
        <v>0</v>
      </c>
      <c r="P467" s="585">
        <v>0</v>
      </c>
      <c r="Q467" s="585">
        <v>0</v>
      </c>
      <c r="R467" s="585">
        <v>0</v>
      </c>
      <c r="S467" s="585">
        <v>0</v>
      </c>
      <c r="T467" s="585">
        <v>0</v>
      </c>
      <c r="U467" s="585">
        <v>0</v>
      </c>
      <c r="V467" s="585">
        <v>0</v>
      </c>
      <c r="W467" s="585">
        <v>0</v>
      </c>
      <c r="X467" s="585">
        <v>0</v>
      </c>
      <c r="Y467" s="615">
        <v>0</v>
      </c>
      <c r="Z467" s="615">
        <v>0</v>
      </c>
      <c r="AA467" s="615">
        <v>0</v>
      </c>
      <c r="AB467" s="615">
        <v>0</v>
      </c>
      <c r="AC467" s="615">
        <v>0</v>
      </c>
      <c r="AD467" s="615">
        <v>0</v>
      </c>
      <c r="AE467" s="615">
        <v>0</v>
      </c>
      <c r="AF467" s="615">
        <v>0</v>
      </c>
      <c r="AG467" s="615">
        <v>0</v>
      </c>
      <c r="AH467" s="615">
        <v>0</v>
      </c>
      <c r="AI467" s="615">
        <v>0</v>
      </c>
      <c r="AJ467" s="615">
        <v>0</v>
      </c>
      <c r="AK467" s="615">
        <v>0</v>
      </c>
      <c r="AL467" s="615">
        <v>0</v>
      </c>
      <c r="AM467" s="615">
        <v>0</v>
      </c>
      <c r="AN467" s="615">
        <v>0</v>
      </c>
      <c r="AO467" s="615">
        <v>0</v>
      </c>
      <c r="AP467" s="615">
        <v>0</v>
      </c>
      <c r="AQ467" s="615">
        <v>0</v>
      </c>
      <c r="AR467" s="615">
        <v>0</v>
      </c>
      <c r="AS467" s="615">
        <v>0</v>
      </c>
      <c r="AT467" s="615">
        <v>0</v>
      </c>
      <c r="AU467" s="615">
        <v>0</v>
      </c>
      <c r="AV467" s="615">
        <v>0</v>
      </c>
      <c r="AW467" s="615">
        <v>0</v>
      </c>
      <c r="AX467" s="615">
        <v>0</v>
      </c>
      <c r="AY467" s="615">
        <v>0</v>
      </c>
      <c r="AZ467" s="615">
        <v>0</v>
      </c>
      <c r="BA467" s="615">
        <v>0</v>
      </c>
      <c r="BB467" s="615">
        <v>0</v>
      </c>
      <c r="BC467" s="615">
        <v>0</v>
      </c>
      <c r="BD467" s="615">
        <v>0</v>
      </c>
      <c r="BE467" s="615">
        <v>0</v>
      </c>
      <c r="BF467" s="615">
        <v>0</v>
      </c>
      <c r="BG467" s="615">
        <v>0</v>
      </c>
      <c r="BH467" s="615">
        <v>0</v>
      </c>
      <c r="BI467" s="615">
        <v>0</v>
      </c>
      <c r="BJ467" s="615">
        <v>0</v>
      </c>
      <c r="BK467" s="615">
        <v>0</v>
      </c>
      <c r="BL467" s="615">
        <v>0</v>
      </c>
      <c r="BM467" s="615">
        <v>0</v>
      </c>
      <c r="BN467" s="615">
        <v>0</v>
      </c>
      <c r="BO467" s="615">
        <v>0</v>
      </c>
      <c r="BP467" s="615">
        <v>0</v>
      </c>
      <c r="BQ467" s="615">
        <v>0</v>
      </c>
      <c r="BR467" s="615">
        <v>0</v>
      </c>
      <c r="BS467" s="615">
        <v>0</v>
      </c>
      <c r="BT467" s="615">
        <v>0</v>
      </c>
      <c r="BU467" s="615">
        <v>0</v>
      </c>
      <c r="BV467" s="615">
        <v>0</v>
      </c>
      <c r="BW467" s="615">
        <v>0</v>
      </c>
      <c r="BX467" s="607">
        <f t="shared" si="17"/>
        <v>0</v>
      </c>
    </row>
    <row r="468" spans="1:76" ht="12" customHeight="1" x14ac:dyDescent="0.2">
      <c r="A468" s="902"/>
      <c r="B468" s="611" t="s">
        <v>3599</v>
      </c>
      <c r="C468" s="641" t="s">
        <v>3598</v>
      </c>
      <c r="D468" s="585"/>
      <c r="E468" s="585"/>
      <c r="F468" s="585"/>
      <c r="G468" s="585"/>
      <c r="H468" s="585">
        <v>0</v>
      </c>
      <c r="I468" s="585">
        <v>0</v>
      </c>
      <c r="J468" s="585">
        <v>0</v>
      </c>
      <c r="K468" s="585">
        <v>0</v>
      </c>
      <c r="L468" s="585">
        <v>0</v>
      </c>
      <c r="M468" s="585">
        <v>0</v>
      </c>
      <c r="N468" s="585">
        <v>0</v>
      </c>
      <c r="O468" s="585">
        <v>0</v>
      </c>
      <c r="P468" s="585">
        <v>0</v>
      </c>
      <c r="Q468" s="585">
        <v>0</v>
      </c>
      <c r="R468" s="585">
        <v>0</v>
      </c>
      <c r="S468" s="585">
        <v>0</v>
      </c>
      <c r="T468" s="585">
        <v>0</v>
      </c>
      <c r="U468" s="585">
        <v>0</v>
      </c>
      <c r="V468" s="585">
        <v>0</v>
      </c>
      <c r="W468" s="585">
        <v>0</v>
      </c>
      <c r="X468" s="585">
        <v>0</v>
      </c>
      <c r="Y468" s="615">
        <v>0</v>
      </c>
      <c r="Z468" s="615">
        <v>0</v>
      </c>
      <c r="AA468" s="615">
        <v>0</v>
      </c>
      <c r="AB468" s="615">
        <v>0</v>
      </c>
      <c r="AC468" s="615">
        <v>0</v>
      </c>
      <c r="AD468" s="615">
        <v>0</v>
      </c>
      <c r="AE468" s="615">
        <v>0</v>
      </c>
      <c r="AF468" s="615">
        <v>0</v>
      </c>
      <c r="AG468" s="615">
        <v>0</v>
      </c>
      <c r="AH468" s="615">
        <v>0</v>
      </c>
      <c r="AI468" s="615">
        <v>0</v>
      </c>
      <c r="AJ468" s="615">
        <v>0</v>
      </c>
      <c r="AK468" s="615">
        <v>0</v>
      </c>
      <c r="AL468" s="615">
        <v>0</v>
      </c>
      <c r="AM468" s="615">
        <v>0</v>
      </c>
      <c r="AN468" s="615">
        <v>0</v>
      </c>
      <c r="AO468" s="615">
        <v>0</v>
      </c>
      <c r="AP468" s="615">
        <v>0</v>
      </c>
      <c r="AQ468" s="615">
        <v>0</v>
      </c>
      <c r="AR468" s="615">
        <v>0</v>
      </c>
      <c r="AS468" s="615">
        <v>0</v>
      </c>
      <c r="AT468" s="615">
        <v>0</v>
      </c>
      <c r="AU468" s="615">
        <v>0</v>
      </c>
      <c r="AV468" s="615">
        <v>810</v>
      </c>
      <c r="AW468" s="615">
        <v>4816089</v>
      </c>
      <c r="AX468" s="615">
        <v>4816089</v>
      </c>
      <c r="AY468" s="615">
        <v>4816089</v>
      </c>
      <c r="AZ468" s="615">
        <v>4816089</v>
      </c>
      <c r="BA468" s="615">
        <v>4813930</v>
      </c>
      <c r="BB468" s="615">
        <v>390081341</v>
      </c>
      <c r="BC468" s="615">
        <v>0</v>
      </c>
      <c r="BD468" s="615">
        <v>0</v>
      </c>
      <c r="BE468" s="615">
        <v>0</v>
      </c>
      <c r="BF468" s="615">
        <v>0</v>
      </c>
      <c r="BG468" s="615">
        <v>0</v>
      </c>
      <c r="BH468" s="615">
        <v>0</v>
      </c>
      <c r="BI468" s="615">
        <v>0</v>
      </c>
      <c r="BJ468" s="615">
        <v>0</v>
      </c>
      <c r="BK468" s="615">
        <v>0</v>
      </c>
      <c r="BL468" s="615">
        <v>0</v>
      </c>
      <c r="BM468" s="615">
        <v>0</v>
      </c>
      <c r="BN468" s="615">
        <v>0</v>
      </c>
      <c r="BO468" s="615">
        <v>0</v>
      </c>
      <c r="BP468" s="615">
        <v>0</v>
      </c>
      <c r="BQ468" s="615">
        <v>0</v>
      </c>
      <c r="BR468" s="615">
        <v>0</v>
      </c>
      <c r="BS468" s="615">
        <v>0</v>
      </c>
      <c r="BT468" s="615">
        <v>0</v>
      </c>
      <c r="BU468" s="615">
        <v>0</v>
      </c>
      <c r="BV468" s="615">
        <v>0</v>
      </c>
      <c r="BW468" s="615">
        <v>0</v>
      </c>
      <c r="BX468" s="607">
        <f t="shared" si="17"/>
        <v>414160437</v>
      </c>
    </row>
    <row r="469" spans="1:76" ht="12" customHeight="1" x14ac:dyDescent="0.2">
      <c r="A469" s="902"/>
      <c r="B469" s="611" t="s">
        <v>3369</v>
      </c>
      <c r="C469" s="641" t="s">
        <v>3600</v>
      </c>
      <c r="D469" s="585"/>
      <c r="E469" s="585"/>
      <c r="F469" s="585"/>
      <c r="G469" s="585"/>
      <c r="H469" s="585">
        <v>0</v>
      </c>
      <c r="I469" s="585">
        <v>0</v>
      </c>
      <c r="J469" s="585">
        <v>0</v>
      </c>
      <c r="K469" s="585" t="s">
        <v>1128</v>
      </c>
      <c r="L469" s="585">
        <v>0</v>
      </c>
      <c r="M469" s="585">
        <v>0</v>
      </c>
      <c r="N469" s="585">
        <v>0</v>
      </c>
      <c r="O469" s="585">
        <v>0</v>
      </c>
      <c r="P469" s="585">
        <v>0</v>
      </c>
      <c r="Q469" s="585">
        <v>0</v>
      </c>
      <c r="R469" s="585">
        <v>0</v>
      </c>
      <c r="S469" s="585">
        <v>0</v>
      </c>
      <c r="T469" s="585">
        <v>0</v>
      </c>
      <c r="U469" s="585">
        <v>0</v>
      </c>
      <c r="V469" s="585">
        <v>0</v>
      </c>
      <c r="W469" s="585">
        <v>0</v>
      </c>
      <c r="X469" s="585">
        <v>0</v>
      </c>
      <c r="Y469" s="615">
        <v>0</v>
      </c>
      <c r="Z469" s="615">
        <v>0</v>
      </c>
      <c r="AA469" s="615">
        <v>0</v>
      </c>
      <c r="AB469" s="615">
        <v>0</v>
      </c>
      <c r="AC469" s="615">
        <v>0</v>
      </c>
      <c r="AD469" s="615">
        <v>0</v>
      </c>
      <c r="AE469" s="615">
        <v>0</v>
      </c>
      <c r="AF469" s="615">
        <v>0</v>
      </c>
      <c r="AG469" s="615">
        <v>0</v>
      </c>
      <c r="AH469" s="615">
        <v>0</v>
      </c>
      <c r="AI469" s="615">
        <v>0</v>
      </c>
      <c r="AJ469" s="615">
        <v>0</v>
      </c>
      <c r="AK469" s="615">
        <v>0</v>
      </c>
      <c r="AL469" s="615">
        <v>0</v>
      </c>
      <c r="AM469" s="615">
        <v>0</v>
      </c>
      <c r="AN469" s="615">
        <v>0</v>
      </c>
      <c r="AO469" s="615">
        <v>0</v>
      </c>
      <c r="AP469" s="615">
        <v>0</v>
      </c>
      <c r="AQ469" s="615">
        <v>0</v>
      </c>
      <c r="AR469" s="615">
        <v>0</v>
      </c>
      <c r="AS469" s="615">
        <v>0</v>
      </c>
      <c r="AT469" s="615">
        <v>0</v>
      </c>
      <c r="AU469" s="615">
        <v>0</v>
      </c>
      <c r="AV469" s="615">
        <v>613200</v>
      </c>
      <c r="AW469" s="615">
        <v>4122640</v>
      </c>
      <c r="AX469" s="615">
        <v>4122640</v>
      </c>
      <c r="AY469" s="615">
        <v>4122640</v>
      </c>
      <c r="AZ469" s="615">
        <v>4122640</v>
      </c>
      <c r="BA469" s="615">
        <v>4122640</v>
      </c>
      <c r="BB469" s="615">
        <v>4122645</v>
      </c>
      <c r="BC469" s="615">
        <v>445027537</v>
      </c>
      <c r="BD469" s="615">
        <v>0</v>
      </c>
      <c r="BE469" s="615">
        <v>0</v>
      </c>
      <c r="BF469" s="615">
        <v>0</v>
      </c>
      <c r="BG469" s="615">
        <v>0</v>
      </c>
      <c r="BH469" s="615">
        <v>0</v>
      </c>
      <c r="BI469" s="615">
        <v>0</v>
      </c>
      <c r="BJ469" s="615">
        <v>0</v>
      </c>
      <c r="BK469" s="615">
        <v>0</v>
      </c>
      <c r="BL469" s="615">
        <v>0</v>
      </c>
      <c r="BM469" s="615">
        <v>0</v>
      </c>
      <c r="BN469" s="615">
        <v>0</v>
      </c>
      <c r="BO469" s="615">
        <v>0</v>
      </c>
      <c r="BP469" s="615">
        <v>0</v>
      </c>
      <c r="BQ469" s="615">
        <v>0</v>
      </c>
      <c r="BR469" s="615">
        <v>0</v>
      </c>
      <c r="BS469" s="615">
        <v>0</v>
      </c>
      <c r="BT469" s="615">
        <v>0</v>
      </c>
      <c r="BU469" s="615">
        <v>0</v>
      </c>
      <c r="BV469" s="615">
        <v>0</v>
      </c>
      <c r="BW469" s="615">
        <v>0</v>
      </c>
      <c r="BX469" s="607">
        <f t="shared" si="17"/>
        <v>470376582</v>
      </c>
    </row>
    <row r="470" spans="1:76" ht="12" customHeight="1" x14ac:dyDescent="0.2">
      <c r="A470" s="902"/>
      <c r="B470" s="611" t="s">
        <v>1125</v>
      </c>
      <c r="C470" s="641" t="s">
        <v>3601</v>
      </c>
      <c r="D470" s="585"/>
      <c r="E470" s="585"/>
      <c r="F470" s="585"/>
      <c r="G470" s="585"/>
      <c r="H470" s="585"/>
      <c r="I470" s="585" t="s">
        <v>1128</v>
      </c>
      <c r="J470" s="585" t="s">
        <v>1128</v>
      </c>
      <c r="K470" s="585" t="s">
        <v>1128</v>
      </c>
      <c r="L470" s="585">
        <v>0</v>
      </c>
      <c r="M470" s="585">
        <v>0</v>
      </c>
      <c r="N470" s="585">
        <v>0</v>
      </c>
      <c r="O470" s="585">
        <v>0</v>
      </c>
      <c r="P470" s="585">
        <v>0</v>
      </c>
      <c r="Q470" s="585">
        <v>0</v>
      </c>
      <c r="R470" s="585">
        <v>0</v>
      </c>
      <c r="S470" s="585">
        <v>0</v>
      </c>
      <c r="T470" s="585">
        <v>0</v>
      </c>
      <c r="U470" s="585">
        <v>0</v>
      </c>
      <c r="V470" s="585">
        <v>0</v>
      </c>
      <c r="W470" s="585">
        <v>0</v>
      </c>
      <c r="X470" s="585">
        <v>0</v>
      </c>
      <c r="Y470" s="615">
        <v>0</v>
      </c>
      <c r="Z470" s="615">
        <v>0</v>
      </c>
      <c r="AA470" s="615">
        <v>0</v>
      </c>
      <c r="AB470" s="615">
        <v>0</v>
      </c>
      <c r="AC470" s="615">
        <v>0</v>
      </c>
      <c r="AD470" s="615">
        <v>0</v>
      </c>
      <c r="AE470" s="615">
        <v>0</v>
      </c>
      <c r="AF470" s="615">
        <v>0</v>
      </c>
      <c r="AG470" s="615">
        <v>0</v>
      </c>
      <c r="AH470" s="615">
        <v>0</v>
      </c>
      <c r="AI470" s="615">
        <v>0</v>
      </c>
      <c r="AJ470" s="615">
        <v>0</v>
      </c>
      <c r="AK470" s="615">
        <v>0</v>
      </c>
      <c r="AL470" s="615">
        <v>0</v>
      </c>
      <c r="AM470" s="615">
        <v>0</v>
      </c>
      <c r="AN470" s="615">
        <v>0</v>
      </c>
      <c r="AO470" s="615">
        <v>0</v>
      </c>
      <c r="AP470" s="615">
        <v>0</v>
      </c>
      <c r="AQ470" s="615">
        <v>0</v>
      </c>
      <c r="AR470" s="615">
        <v>0</v>
      </c>
      <c r="AS470" s="615">
        <v>0</v>
      </c>
      <c r="AT470" s="615">
        <v>0</v>
      </c>
      <c r="AU470" s="615">
        <v>0</v>
      </c>
      <c r="AV470" s="615">
        <v>225070461</v>
      </c>
      <c r="AW470" s="615">
        <v>0</v>
      </c>
      <c r="AX470" s="615">
        <v>0</v>
      </c>
      <c r="AY470" s="615">
        <v>0</v>
      </c>
      <c r="AZ470" s="615">
        <v>0</v>
      </c>
      <c r="BA470" s="615">
        <v>0</v>
      </c>
      <c r="BB470" s="615">
        <v>0</v>
      </c>
      <c r="BC470" s="615">
        <v>0</v>
      </c>
      <c r="BD470" s="615">
        <v>0</v>
      </c>
      <c r="BE470" s="615">
        <v>0</v>
      </c>
      <c r="BF470" s="615">
        <v>0</v>
      </c>
      <c r="BG470" s="615">
        <v>0</v>
      </c>
      <c r="BH470" s="615">
        <v>0</v>
      </c>
      <c r="BI470" s="615">
        <v>0</v>
      </c>
      <c r="BJ470" s="615">
        <v>0</v>
      </c>
      <c r="BK470" s="615">
        <v>0</v>
      </c>
      <c r="BL470" s="615">
        <v>0</v>
      </c>
      <c r="BM470" s="615">
        <v>0</v>
      </c>
      <c r="BN470" s="615">
        <v>0</v>
      </c>
      <c r="BO470" s="615">
        <v>0</v>
      </c>
      <c r="BP470" s="615">
        <v>0</v>
      </c>
      <c r="BQ470" s="615">
        <v>0</v>
      </c>
      <c r="BR470" s="615">
        <v>0</v>
      </c>
      <c r="BS470" s="615">
        <v>0</v>
      </c>
      <c r="BT470" s="615">
        <v>0</v>
      </c>
      <c r="BU470" s="615">
        <v>0</v>
      </c>
      <c r="BV470" s="615">
        <v>0</v>
      </c>
      <c r="BW470" s="615">
        <v>0</v>
      </c>
      <c r="BX470" s="607">
        <f t="shared" si="17"/>
        <v>225070461</v>
      </c>
    </row>
    <row r="471" spans="1:76" ht="12" customHeight="1" x14ac:dyDescent="0.2">
      <c r="A471" s="902"/>
      <c r="B471" s="611" t="s">
        <v>1124</v>
      </c>
      <c r="C471" s="641" t="s">
        <v>3602</v>
      </c>
      <c r="D471" s="585"/>
      <c r="E471" s="585"/>
      <c r="F471" s="585"/>
      <c r="G471" s="585"/>
      <c r="H471" s="585"/>
      <c r="I471" s="585" t="s">
        <v>1128</v>
      </c>
      <c r="J471" s="585" t="s">
        <v>1128</v>
      </c>
      <c r="K471" s="585">
        <v>0</v>
      </c>
      <c r="L471" s="585">
        <v>0</v>
      </c>
      <c r="M471" s="585">
        <v>0</v>
      </c>
      <c r="N471" s="585">
        <v>0</v>
      </c>
      <c r="O471" s="585">
        <v>0</v>
      </c>
      <c r="P471" s="585">
        <v>0</v>
      </c>
      <c r="Q471" s="585">
        <v>0</v>
      </c>
      <c r="R471" s="585">
        <v>0</v>
      </c>
      <c r="S471" s="585">
        <v>0</v>
      </c>
      <c r="T471" s="585">
        <v>0</v>
      </c>
      <c r="U471" s="585">
        <v>0</v>
      </c>
      <c r="V471" s="585">
        <v>0</v>
      </c>
      <c r="W471" s="585">
        <v>0</v>
      </c>
      <c r="X471" s="585">
        <v>0</v>
      </c>
      <c r="Y471" s="615">
        <v>0</v>
      </c>
      <c r="Z471" s="615">
        <v>0</v>
      </c>
      <c r="AA471" s="615">
        <v>0</v>
      </c>
      <c r="AB471" s="615">
        <v>0</v>
      </c>
      <c r="AC471" s="615">
        <v>0</v>
      </c>
      <c r="AD471" s="615">
        <v>0</v>
      </c>
      <c r="AE471" s="615">
        <v>0</v>
      </c>
      <c r="AF471" s="615">
        <v>0</v>
      </c>
      <c r="AG471" s="615">
        <v>0</v>
      </c>
      <c r="AH471" s="615">
        <v>0</v>
      </c>
      <c r="AI471" s="615">
        <v>0</v>
      </c>
      <c r="AJ471" s="615">
        <v>0</v>
      </c>
      <c r="AK471" s="615">
        <v>0</v>
      </c>
      <c r="AL471" s="615">
        <v>0</v>
      </c>
      <c r="AM471" s="615">
        <v>0</v>
      </c>
      <c r="AN471" s="615">
        <v>0</v>
      </c>
      <c r="AO471" s="615">
        <v>0</v>
      </c>
      <c r="AP471" s="615">
        <v>0</v>
      </c>
      <c r="AQ471" s="615">
        <v>0</v>
      </c>
      <c r="AR471" s="615">
        <v>0</v>
      </c>
      <c r="AS471" s="615">
        <v>0</v>
      </c>
      <c r="AT471" s="615">
        <v>201617367</v>
      </c>
      <c r="AU471" s="615">
        <v>0</v>
      </c>
      <c r="AV471" s="615">
        <v>0</v>
      </c>
      <c r="AW471" s="615">
        <v>0</v>
      </c>
      <c r="AX471" s="615">
        <v>0</v>
      </c>
      <c r="AY471" s="615">
        <v>0</v>
      </c>
      <c r="AZ471" s="615">
        <v>0</v>
      </c>
      <c r="BA471" s="615">
        <v>0</v>
      </c>
      <c r="BB471" s="615">
        <v>0</v>
      </c>
      <c r="BC471" s="615">
        <v>0</v>
      </c>
      <c r="BD471" s="615">
        <v>0</v>
      </c>
      <c r="BE471" s="615">
        <v>0</v>
      </c>
      <c r="BF471" s="615">
        <v>0</v>
      </c>
      <c r="BG471" s="615">
        <v>0</v>
      </c>
      <c r="BH471" s="615">
        <v>0</v>
      </c>
      <c r="BI471" s="615">
        <v>0</v>
      </c>
      <c r="BJ471" s="615">
        <v>0</v>
      </c>
      <c r="BK471" s="615">
        <v>0</v>
      </c>
      <c r="BL471" s="615">
        <v>0</v>
      </c>
      <c r="BM471" s="615">
        <v>0</v>
      </c>
      <c r="BN471" s="615">
        <v>0</v>
      </c>
      <c r="BO471" s="615">
        <v>0</v>
      </c>
      <c r="BP471" s="615">
        <v>0</v>
      </c>
      <c r="BQ471" s="615">
        <v>0</v>
      </c>
      <c r="BR471" s="615">
        <v>0</v>
      </c>
      <c r="BS471" s="615">
        <v>0</v>
      </c>
      <c r="BT471" s="615">
        <v>0</v>
      </c>
      <c r="BU471" s="615">
        <v>0</v>
      </c>
      <c r="BV471" s="615">
        <v>0</v>
      </c>
      <c r="BW471" s="615">
        <v>0</v>
      </c>
      <c r="BX471" s="607">
        <f t="shared" si="17"/>
        <v>201617367</v>
      </c>
    </row>
    <row r="472" spans="1:76" ht="12" customHeight="1" x14ac:dyDescent="0.2">
      <c r="A472" s="902"/>
      <c r="B472" s="611" t="s">
        <v>1241</v>
      </c>
      <c r="C472" s="641" t="s">
        <v>3603</v>
      </c>
      <c r="D472" s="585"/>
      <c r="E472" s="585"/>
      <c r="F472" s="585"/>
      <c r="G472" s="585"/>
      <c r="H472" s="585"/>
      <c r="I472" s="585"/>
      <c r="J472" s="585"/>
      <c r="K472" s="585"/>
      <c r="L472" s="585">
        <v>0</v>
      </c>
      <c r="M472" s="585">
        <v>0</v>
      </c>
      <c r="N472" s="585">
        <v>0</v>
      </c>
      <c r="O472" s="585">
        <v>0</v>
      </c>
      <c r="P472" s="585">
        <v>0</v>
      </c>
      <c r="Q472" s="585">
        <v>0</v>
      </c>
      <c r="R472" s="585">
        <v>0</v>
      </c>
      <c r="S472" s="585">
        <v>0</v>
      </c>
      <c r="T472" s="585">
        <v>0</v>
      </c>
      <c r="U472" s="585">
        <v>0</v>
      </c>
      <c r="V472" s="585">
        <v>0</v>
      </c>
      <c r="W472" s="585">
        <v>0</v>
      </c>
      <c r="X472" s="585">
        <v>0</v>
      </c>
      <c r="Y472" s="615">
        <v>0</v>
      </c>
      <c r="Z472" s="615">
        <v>0</v>
      </c>
      <c r="AA472" s="615">
        <v>0</v>
      </c>
      <c r="AB472" s="615">
        <v>0</v>
      </c>
      <c r="AC472" s="615">
        <v>0</v>
      </c>
      <c r="AD472" s="615">
        <v>0</v>
      </c>
      <c r="AE472" s="615">
        <v>0</v>
      </c>
      <c r="AF472" s="615">
        <v>0</v>
      </c>
      <c r="AG472" s="615">
        <v>0</v>
      </c>
      <c r="AH472" s="615">
        <v>0</v>
      </c>
      <c r="AI472" s="615">
        <v>0</v>
      </c>
      <c r="AJ472" s="615">
        <v>0</v>
      </c>
      <c r="AK472" s="615">
        <v>0</v>
      </c>
      <c r="AL472" s="615">
        <v>0</v>
      </c>
      <c r="AM472" s="615">
        <v>0</v>
      </c>
      <c r="AN472" s="615">
        <v>0</v>
      </c>
      <c r="AO472" s="615">
        <v>0</v>
      </c>
      <c r="AP472" s="615">
        <v>0</v>
      </c>
      <c r="AQ472" s="615">
        <v>0</v>
      </c>
      <c r="AR472" s="615">
        <v>0</v>
      </c>
      <c r="AS472" s="615">
        <v>0</v>
      </c>
      <c r="AT472" s="615">
        <v>307075678</v>
      </c>
      <c r="AU472" s="615">
        <v>0</v>
      </c>
      <c r="AV472" s="615">
        <v>0</v>
      </c>
      <c r="AW472" s="615">
        <v>0</v>
      </c>
      <c r="AX472" s="615">
        <v>0</v>
      </c>
      <c r="AY472" s="615">
        <v>0</v>
      </c>
      <c r="AZ472" s="615">
        <v>0</v>
      </c>
      <c r="BA472" s="615">
        <v>0</v>
      </c>
      <c r="BB472" s="615">
        <v>0</v>
      </c>
      <c r="BC472" s="615">
        <v>0</v>
      </c>
      <c r="BD472" s="615">
        <v>0</v>
      </c>
      <c r="BE472" s="615">
        <v>0</v>
      </c>
      <c r="BF472" s="615">
        <v>0</v>
      </c>
      <c r="BG472" s="615">
        <v>0</v>
      </c>
      <c r="BH472" s="615">
        <v>0</v>
      </c>
      <c r="BI472" s="615">
        <v>0</v>
      </c>
      <c r="BJ472" s="615">
        <v>0</v>
      </c>
      <c r="BK472" s="615">
        <v>0</v>
      </c>
      <c r="BL472" s="615">
        <v>0</v>
      </c>
      <c r="BM472" s="615">
        <v>0</v>
      </c>
      <c r="BN472" s="615">
        <v>0</v>
      </c>
      <c r="BO472" s="615">
        <v>0</v>
      </c>
      <c r="BP472" s="615">
        <v>0</v>
      </c>
      <c r="BQ472" s="615">
        <v>0</v>
      </c>
      <c r="BR472" s="615">
        <v>0</v>
      </c>
      <c r="BS472" s="615">
        <v>0</v>
      </c>
      <c r="BT472" s="615">
        <v>0</v>
      </c>
      <c r="BU472" s="615">
        <v>0</v>
      </c>
      <c r="BV472" s="615">
        <v>0</v>
      </c>
      <c r="BW472" s="615">
        <v>0</v>
      </c>
      <c r="BX472" s="607">
        <f t="shared" si="17"/>
        <v>307075678</v>
      </c>
    </row>
    <row r="473" spans="1:76" ht="12" customHeight="1" x14ac:dyDescent="0.2">
      <c r="A473" s="902"/>
      <c r="B473" s="611" t="s">
        <v>3371</v>
      </c>
      <c r="C473" s="641" t="s">
        <v>3604</v>
      </c>
      <c r="D473" s="585"/>
      <c r="E473" s="585"/>
      <c r="F473" s="585"/>
      <c r="G473" s="585"/>
      <c r="H473" s="585"/>
      <c r="I473" s="585"/>
      <c r="J473" s="585"/>
      <c r="K473" s="585"/>
      <c r="L473" s="585">
        <v>0</v>
      </c>
      <c r="M473" s="585">
        <v>0</v>
      </c>
      <c r="N473" s="585">
        <v>0</v>
      </c>
      <c r="O473" s="585">
        <v>0</v>
      </c>
      <c r="P473" s="585">
        <v>0</v>
      </c>
      <c r="Q473" s="585">
        <v>0</v>
      </c>
      <c r="R473" s="585">
        <v>0</v>
      </c>
      <c r="S473" s="585">
        <v>0</v>
      </c>
      <c r="T473" s="585">
        <v>0</v>
      </c>
      <c r="U473" s="585">
        <v>0</v>
      </c>
      <c r="V473" s="585">
        <v>0</v>
      </c>
      <c r="W473" s="585">
        <v>0</v>
      </c>
      <c r="X473" s="585">
        <v>0</v>
      </c>
      <c r="Y473" s="615">
        <v>0</v>
      </c>
      <c r="Z473" s="615">
        <v>0</v>
      </c>
      <c r="AA473" s="615">
        <v>0</v>
      </c>
      <c r="AB473" s="615">
        <v>0</v>
      </c>
      <c r="AC473" s="615">
        <v>0</v>
      </c>
      <c r="AD473" s="615">
        <v>0</v>
      </c>
      <c r="AE473" s="615">
        <v>0</v>
      </c>
      <c r="AF473" s="615">
        <v>0</v>
      </c>
      <c r="AG473" s="615">
        <v>0</v>
      </c>
      <c r="AH473" s="615">
        <v>0</v>
      </c>
      <c r="AI473" s="615">
        <v>0</v>
      </c>
      <c r="AJ473" s="615">
        <v>0</v>
      </c>
      <c r="AK473" s="615">
        <v>0</v>
      </c>
      <c r="AL473" s="615">
        <v>0</v>
      </c>
      <c r="AM473" s="615">
        <v>0</v>
      </c>
      <c r="AN473" s="615">
        <v>0</v>
      </c>
      <c r="AO473" s="615">
        <v>0</v>
      </c>
      <c r="AP473" s="615">
        <v>0</v>
      </c>
      <c r="AQ473" s="615">
        <v>0</v>
      </c>
      <c r="AR473" s="615">
        <v>0</v>
      </c>
      <c r="AS473" s="615">
        <v>0</v>
      </c>
      <c r="AT473" s="615">
        <v>0</v>
      </c>
      <c r="AU473" s="615">
        <v>0</v>
      </c>
      <c r="AV473" s="615">
        <v>3845232</v>
      </c>
      <c r="AW473" s="615">
        <v>3845433</v>
      </c>
      <c r="AX473" s="615">
        <v>3845433</v>
      </c>
      <c r="AY473" s="615">
        <v>3845433</v>
      </c>
      <c r="AZ473" s="615">
        <v>3845433</v>
      </c>
      <c r="BA473" s="615">
        <v>3845433</v>
      </c>
      <c r="BB473" s="615">
        <v>42299771</v>
      </c>
      <c r="BC473" s="615">
        <v>338020141</v>
      </c>
      <c r="BD473" s="615">
        <v>0</v>
      </c>
      <c r="BE473" s="615">
        <v>0</v>
      </c>
      <c r="BF473" s="615">
        <v>0</v>
      </c>
      <c r="BG473" s="615">
        <v>0</v>
      </c>
      <c r="BH473" s="615">
        <v>0</v>
      </c>
      <c r="BI473" s="615">
        <v>0</v>
      </c>
      <c r="BJ473" s="615">
        <v>0</v>
      </c>
      <c r="BK473" s="615">
        <v>0</v>
      </c>
      <c r="BL473" s="615">
        <v>0</v>
      </c>
      <c r="BM473" s="615">
        <v>0</v>
      </c>
      <c r="BN473" s="615">
        <v>0</v>
      </c>
      <c r="BO473" s="615">
        <v>0</v>
      </c>
      <c r="BP473" s="615">
        <v>0</v>
      </c>
      <c r="BQ473" s="615">
        <v>0</v>
      </c>
      <c r="BR473" s="615">
        <v>0</v>
      </c>
      <c r="BS473" s="615">
        <v>0</v>
      </c>
      <c r="BT473" s="615">
        <v>0</v>
      </c>
      <c r="BU473" s="615">
        <v>0</v>
      </c>
      <c r="BV473" s="615">
        <v>0</v>
      </c>
      <c r="BW473" s="615">
        <v>0</v>
      </c>
      <c r="BX473" s="607">
        <f t="shared" si="17"/>
        <v>403392309</v>
      </c>
    </row>
    <row r="474" spans="1:76" ht="12" customHeight="1" x14ac:dyDescent="0.2">
      <c r="A474" s="902"/>
      <c r="B474" s="611" t="s">
        <v>1099</v>
      </c>
      <c r="C474" s="641" t="s">
        <v>3605</v>
      </c>
      <c r="D474" s="585"/>
      <c r="E474" s="585"/>
      <c r="F474" s="585"/>
      <c r="G474" s="585"/>
      <c r="H474" s="585"/>
      <c r="I474" s="585"/>
      <c r="J474" s="585"/>
      <c r="K474" s="585"/>
      <c r="L474" s="585">
        <v>0</v>
      </c>
      <c r="M474" s="585">
        <v>0</v>
      </c>
      <c r="N474" s="585">
        <v>0</v>
      </c>
      <c r="O474" s="585">
        <v>0</v>
      </c>
      <c r="P474" s="585">
        <v>0</v>
      </c>
      <c r="Q474" s="585">
        <v>0</v>
      </c>
      <c r="R474" s="585">
        <v>0</v>
      </c>
      <c r="S474" s="585">
        <v>0</v>
      </c>
      <c r="T474" s="585">
        <v>0</v>
      </c>
      <c r="U474" s="585">
        <v>0</v>
      </c>
      <c r="V474" s="585">
        <v>0</v>
      </c>
      <c r="W474" s="585">
        <v>0</v>
      </c>
      <c r="X474" s="585">
        <v>0</v>
      </c>
      <c r="Y474" s="615">
        <v>0</v>
      </c>
      <c r="Z474" s="615">
        <v>0</v>
      </c>
      <c r="AA474" s="615">
        <v>0</v>
      </c>
      <c r="AB474" s="615">
        <v>0</v>
      </c>
      <c r="AC474" s="615">
        <v>0</v>
      </c>
      <c r="AD474" s="615">
        <v>0</v>
      </c>
      <c r="AE474" s="615">
        <v>0</v>
      </c>
      <c r="AF474" s="615">
        <v>0</v>
      </c>
      <c r="AG474" s="615">
        <v>0</v>
      </c>
      <c r="AH474" s="615">
        <v>0</v>
      </c>
      <c r="AI474" s="615">
        <v>0</v>
      </c>
      <c r="AJ474" s="615">
        <v>0</v>
      </c>
      <c r="AK474" s="615">
        <v>0</v>
      </c>
      <c r="AL474" s="615">
        <v>0</v>
      </c>
      <c r="AM474" s="615">
        <v>0</v>
      </c>
      <c r="AN474" s="615">
        <v>0</v>
      </c>
      <c r="AO474" s="615">
        <v>0</v>
      </c>
      <c r="AP474" s="615">
        <v>0</v>
      </c>
      <c r="AQ474" s="615">
        <v>0</v>
      </c>
      <c r="AR474" s="615">
        <v>0</v>
      </c>
      <c r="AS474" s="615">
        <v>0</v>
      </c>
      <c r="AT474" s="615">
        <v>0</v>
      </c>
      <c r="AU474" s="615">
        <v>70402</v>
      </c>
      <c r="AV474" s="615">
        <v>0</v>
      </c>
      <c r="AW474" s="615">
        <v>0</v>
      </c>
      <c r="AX474" s="615">
        <v>0</v>
      </c>
      <c r="AY474" s="615">
        <v>0</v>
      </c>
      <c r="AZ474" s="615">
        <v>0</v>
      </c>
      <c r="BA474" s="615">
        <v>0</v>
      </c>
      <c r="BB474" s="615">
        <v>0</v>
      </c>
      <c r="BC474" s="615">
        <v>0</v>
      </c>
      <c r="BD474" s="615">
        <v>0</v>
      </c>
      <c r="BE474" s="615">
        <v>0</v>
      </c>
      <c r="BF474" s="615">
        <v>0</v>
      </c>
      <c r="BG474" s="615">
        <v>0</v>
      </c>
      <c r="BH474" s="615">
        <v>0</v>
      </c>
      <c r="BI474" s="615">
        <v>0</v>
      </c>
      <c r="BJ474" s="615">
        <v>0</v>
      </c>
      <c r="BK474" s="615">
        <v>0</v>
      </c>
      <c r="BL474" s="615">
        <v>0</v>
      </c>
      <c r="BM474" s="615">
        <v>0</v>
      </c>
      <c r="BN474" s="615">
        <v>0</v>
      </c>
      <c r="BO474" s="615">
        <v>0</v>
      </c>
      <c r="BP474" s="615">
        <v>0</v>
      </c>
      <c r="BQ474" s="615">
        <v>0</v>
      </c>
      <c r="BR474" s="615">
        <v>0</v>
      </c>
      <c r="BS474" s="615">
        <v>0</v>
      </c>
      <c r="BT474" s="615">
        <v>0</v>
      </c>
      <c r="BU474" s="615">
        <v>0</v>
      </c>
      <c r="BV474" s="615">
        <v>0</v>
      </c>
      <c r="BW474" s="615">
        <v>0</v>
      </c>
      <c r="BX474" s="607">
        <f t="shared" si="17"/>
        <v>70402</v>
      </c>
    </row>
    <row r="475" spans="1:76" ht="12" customHeight="1" x14ac:dyDescent="0.2">
      <c r="A475" s="902"/>
      <c r="B475" s="611" t="s">
        <v>1152</v>
      </c>
      <c r="C475" s="641" t="s">
        <v>3606</v>
      </c>
      <c r="D475" s="585"/>
      <c r="E475" s="585"/>
      <c r="F475" s="585"/>
      <c r="G475" s="585"/>
      <c r="H475" s="585"/>
      <c r="I475" s="585"/>
      <c r="J475" s="585"/>
      <c r="K475" s="585"/>
      <c r="L475" s="585">
        <v>0</v>
      </c>
      <c r="M475" s="585">
        <v>0</v>
      </c>
      <c r="N475" s="585">
        <v>0</v>
      </c>
      <c r="O475" s="585">
        <v>0</v>
      </c>
      <c r="P475" s="585">
        <v>0</v>
      </c>
      <c r="Q475" s="585">
        <v>0</v>
      </c>
      <c r="R475" s="585">
        <v>0</v>
      </c>
      <c r="S475" s="585">
        <v>0</v>
      </c>
      <c r="T475" s="585">
        <v>0</v>
      </c>
      <c r="U475" s="585">
        <v>0</v>
      </c>
      <c r="V475" s="585">
        <v>0</v>
      </c>
      <c r="W475" s="585">
        <v>0</v>
      </c>
      <c r="X475" s="585">
        <v>0</v>
      </c>
      <c r="Y475" s="615">
        <v>0</v>
      </c>
      <c r="Z475" s="615">
        <v>0</v>
      </c>
      <c r="AA475" s="615">
        <v>0</v>
      </c>
      <c r="AB475" s="615">
        <v>0</v>
      </c>
      <c r="AC475" s="615">
        <v>0</v>
      </c>
      <c r="AD475" s="615">
        <v>0</v>
      </c>
      <c r="AE475" s="615">
        <v>0</v>
      </c>
      <c r="AF475" s="615">
        <v>0</v>
      </c>
      <c r="AG475" s="615">
        <v>0</v>
      </c>
      <c r="AH475" s="615">
        <v>0</v>
      </c>
      <c r="AI475" s="615">
        <v>0</v>
      </c>
      <c r="AJ475" s="615">
        <v>0</v>
      </c>
      <c r="AK475" s="615">
        <v>0</v>
      </c>
      <c r="AL475" s="615">
        <v>0</v>
      </c>
      <c r="AM475" s="615">
        <v>0</v>
      </c>
      <c r="AN475" s="615">
        <v>0</v>
      </c>
      <c r="AO475" s="615">
        <v>0</v>
      </c>
      <c r="AP475" s="615">
        <v>0</v>
      </c>
      <c r="AQ475" s="615">
        <v>0</v>
      </c>
      <c r="AR475" s="615">
        <v>0</v>
      </c>
      <c r="AS475" s="615">
        <v>0</v>
      </c>
      <c r="AT475" s="615">
        <v>0</v>
      </c>
      <c r="AU475" s="615">
        <v>0</v>
      </c>
      <c r="AV475" s="615">
        <v>0</v>
      </c>
      <c r="AW475" s="615">
        <v>0</v>
      </c>
      <c r="AX475" s="615">
        <v>0</v>
      </c>
      <c r="AY475" s="615">
        <v>0</v>
      </c>
      <c r="AZ475" s="615">
        <v>0</v>
      </c>
      <c r="BA475" s="615">
        <v>0</v>
      </c>
      <c r="BB475" s="615">
        <v>0</v>
      </c>
      <c r="BC475" s="615">
        <v>0</v>
      </c>
      <c r="BD475" s="615">
        <v>0</v>
      </c>
      <c r="BE475" s="615">
        <v>0</v>
      </c>
      <c r="BF475" s="615">
        <v>0</v>
      </c>
      <c r="BG475" s="615">
        <v>0</v>
      </c>
      <c r="BH475" s="615">
        <v>0</v>
      </c>
      <c r="BI475" s="615">
        <v>0</v>
      </c>
      <c r="BJ475" s="615">
        <v>0</v>
      </c>
      <c r="BK475" s="615">
        <v>0</v>
      </c>
      <c r="BL475" s="615">
        <v>0</v>
      </c>
      <c r="BM475" s="615">
        <v>0</v>
      </c>
      <c r="BN475" s="615">
        <v>0</v>
      </c>
      <c r="BO475" s="615">
        <v>0</v>
      </c>
      <c r="BP475" s="615">
        <v>0</v>
      </c>
      <c r="BQ475" s="615">
        <v>0</v>
      </c>
      <c r="BR475" s="615">
        <v>0</v>
      </c>
      <c r="BS475" s="615">
        <v>0</v>
      </c>
      <c r="BT475" s="615">
        <v>0</v>
      </c>
      <c r="BU475" s="615">
        <v>0</v>
      </c>
      <c r="BV475" s="615">
        <v>0</v>
      </c>
      <c r="BW475" s="615">
        <v>0</v>
      </c>
      <c r="BX475" s="607">
        <f t="shared" si="17"/>
        <v>0</v>
      </c>
    </row>
    <row r="476" spans="1:76" ht="12" customHeight="1" x14ac:dyDescent="0.2">
      <c r="A476" s="902"/>
      <c r="B476" s="611" t="s">
        <v>1748</v>
      </c>
      <c r="C476" s="641" t="s">
        <v>3607</v>
      </c>
      <c r="D476" s="585"/>
      <c r="E476" s="585"/>
      <c r="F476" s="585"/>
      <c r="G476" s="585"/>
      <c r="H476" s="585"/>
      <c r="I476" s="585"/>
      <c r="J476" s="585"/>
      <c r="K476" s="585"/>
      <c r="L476" s="585">
        <v>0</v>
      </c>
      <c r="M476" s="585">
        <v>0</v>
      </c>
      <c r="N476" s="585">
        <v>0</v>
      </c>
      <c r="O476" s="585">
        <v>0</v>
      </c>
      <c r="P476" s="585">
        <v>0</v>
      </c>
      <c r="Q476" s="585">
        <v>0</v>
      </c>
      <c r="R476" s="585">
        <v>0</v>
      </c>
      <c r="S476" s="585">
        <v>0</v>
      </c>
      <c r="T476" s="585">
        <v>0</v>
      </c>
      <c r="U476" s="585">
        <v>0</v>
      </c>
      <c r="V476" s="585">
        <v>0</v>
      </c>
      <c r="W476" s="585">
        <v>0</v>
      </c>
      <c r="X476" s="585">
        <v>0</v>
      </c>
      <c r="Y476" s="615">
        <v>0</v>
      </c>
      <c r="Z476" s="615">
        <v>0</v>
      </c>
      <c r="AA476" s="615">
        <v>0</v>
      </c>
      <c r="AB476" s="615">
        <v>0</v>
      </c>
      <c r="AC476" s="615">
        <v>0</v>
      </c>
      <c r="AD476" s="615">
        <v>0</v>
      </c>
      <c r="AE476" s="615">
        <v>0</v>
      </c>
      <c r="AF476" s="615">
        <v>0</v>
      </c>
      <c r="AG476" s="615">
        <v>0</v>
      </c>
      <c r="AH476" s="615">
        <v>0</v>
      </c>
      <c r="AI476" s="615">
        <v>0</v>
      </c>
      <c r="AJ476" s="615">
        <v>0</v>
      </c>
      <c r="AK476" s="615">
        <v>0</v>
      </c>
      <c r="AL476" s="615">
        <v>0</v>
      </c>
      <c r="AM476" s="615">
        <v>0</v>
      </c>
      <c r="AN476" s="615">
        <v>0</v>
      </c>
      <c r="AO476" s="615">
        <v>0</v>
      </c>
      <c r="AP476" s="615">
        <v>0</v>
      </c>
      <c r="AQ476" s="615">
        <v>0</v>
      </c>
      <c r="AR476" s="615">
        <v>0</v>
      </c>
      <c r="AS476" s="615">
        <v>0</v>
      </c>
      <c r="AT476" s="615">
        <v>0</v>
      </c>
      <c r="AU476" s="615">
        <v>90768</v>
      </c>
      <c r="AV476" s="615">
        <v>0</v>
      </c>
      <c r="AW476" s="615">
        <v>0</v>
      </c>
      <c r="AX476" s="615">
        <v>0</v>
      </c>
      <c r="AY476" s="615">
        <v>0</v>
      </c>
      <c r="AZ476" s="615">
        <v>0</v>
      </c>
      <c r="BA476" s="615">
        <v>0</v>
      </c>
      <c r="BB476" s="615">
        <v>0</v>
      </c>
      <c r="BC476" s="615">
        <v>0</v>
      </c>
      <c r="BD476" s="615">
        <v>0</v>
      </c>
      <c r="BE476" s="615">
        <v>0</v>
      </c>
      <c r="BF476" s="615">
        <v>0</v>
      </c>
      <c r="BG476" s="615">
        <v>0</v>
      </c>
      <c r="BH476" s="615">
        <v>0</v>
      </c>
      <c r="BI476" s="615">
        <v>0</v>
      </c>
      <c r="BJ476" s="615">
        <v>0</v>
      </c>
      <c r="BK476" s="615">
        <v>0</v>
      </c>
      <c r="BL476" s="615">
        <v>0</v>
      </c>
      <c r="BM476" s="615">
        <v>0</v>
      </c>
      <c r="BN476" s="615">
        <v>0</v>
      </c>
      <c r="BO476" s="615">
        <v>0</v>
      </c>
      <c r="BP476" s="615">
        <v>0</v>
      </c>
      <c r="BQ476" s="615">
        <v>0</v>
      </c>
      <c r="BR476" s="615">
        <v>0</v>
      </c>
      <c r="BS476" s="615">
        <v>0</v>
      </c>
      <c r="BT476" s="615">
        <v>0</v>
      </c>
      <c r="BU476" s="615">
        <v>0</v>
      </c>
      <c r="BV476" s="615">
        <v>0</v>
      </c>
      <c r="BW476" s="615">
        <v>0</v>
      </c>
      <c r="BX476" s="607">
        <f t="shared" si="17"/>
        <v>90768</v>
      </c>
    </row>
    <row r="477" spans="1:76" ht="12" customHeight="1" x14ac:dyDescent="0.2">
      <c r="A477" s="902"/>
      <c r="B477" s="611" t="s">
        <v>1242</v>
      </c>
      <c r="C477" s="641" t="s">
        <v>3608</v>
      </c>
      <c r="D477" s="585"/>
      <c r="E477" s="585"/>
      <c r="F477" s="585"/>
      <c r="G477" s="585"/>
      <c r="H477" s="585"/>
      <c r="I477" s="585"/>
      <c r="J477" s="585"/>
      <c r="K477" s="585"/>
      <c r="L477" s="585">
        <v>0</v>
      </c>
      <c r="M477" s="585">
        <v>0</v>
      </c>
      <c r="N477" s="585">
        <v>0</v>
      </c>
      <c r="O477" s="585">
        <v>0</v>
      </c>
      <c r="P477" s="585">
        <v>0</v>
      </c>
      <c r="Q477" s="585">
        <v>0</v>
      </c>
      <c r="R477" s="585">
        <v>0</v>
      </c>
      <c r="S477" s="585">
        <v>0</v>
      </c>
      <c r="T477" s="585">
        <v>0</v>
      </c>
      <c r="U477" s="585">
        <v>0</v>
      </c>
      <c r="V477" s="585">
        <v>0</v>
      </c>
      <c r="W477" s="585">
        <v>0</v>
      </c>
      <c r="X477" s="585">
        <v>0</v>
      </c>
      <c r="Y477" s="615">
        <v>0</v>
      </c>
      <c r="Z477" s="615">
        <v>0</v>
      </c>
      <c r="AA477" s="615">
        <v>0</v>
      </c>
      <c r="AB477" s="615">
        <v>0</v>
      </c>
      <c r="AC477" s="615">
        <v>0</v>
      </c>
      <c r="AD477" s="615">
        <v>0</v>
      </c>
      <c r="AE477" s="615">
        <v>0</v>
      </c>
      <c r="AF477" s="615">
        <v>0</v>
      </c>
      <c r="AG477" s="615">
        <v>0</v>
      </c>
      <c r="AH477" s="615">
        <v>0</v>
      </c>
      <c r="AI477" s="615">
        <v>0</v>
      </c>
      <c r="AJ477" s="615">
        <v>0</v>
      </c>
      <c r="AK477" s="615">
        <v>0</v>
      </c>
      <c r="AL477" s="615">
        <v>0</v>
      </c>
      <c r="AM477" s="615">
        <v>0</v>
      </c>
      <c r="AN477" s="615">
        <v>0</v>
      </c>
      <c r="AO477" s="615">
        <v>0</v>
      </c>
      <c r="AP477" s="615">
        <v>0</v>
      </c>
      <c r="AQ477" s="615">
        <v>0</v>
      </c>
      <c r="AR477" s="615">
        <v>0</v>
      </c>
      <c r="AS477" s="615">
        <v>0</v>
      </c>
      <c r="AT477" s="615">
        <v>244191500</v>
      </c>
      <c r="AU477" s="615">
        <v>0</v>
      </c>
      <c r="AV477" s="615">
        <v>0</v>
      </c>
      <c r="AW477" s="615">
        <v>0</v>
      </c>
      <c r="AX477" s="615">
        <v>0</v>
      </c>
      <c r="AY477" s="615">
        <v>0</v>
      </c>
      <c r="AZ477" s="615">
        <v>0</v>
      </c>
      <c r="BA477" s="615">
        <v>0</v>
      </c>
      <c r="BB477" s="615">
        <v>0</v>
      </c>
      <c r="BC477" s="615">
        <v>0</v>
      </c>
      <c r="BD477" s="615">
        <v>0</v>
      </c>
      <c r="BE477" s="615">
        <v>0</v>
      </c>
      <c r="BF477" s="615">
        <v>0</v>
      </c>
      <c r="BG477" s="615">
        <v>0</v>
      </c>
      <c r="BH477" s="615">
        <v>0</v>
      </c>
      <c r="BI477" s="615">
        <v>0</v>
      </c>
      <c r="BJ477" s="615">
        <v>0</v>
      </c>
      <c r="BK477" s="615">
        <v>0</v>
      </c>
      <c r="BL477" s="615">
        <v>0</v>
      </c>
      <c r="BM477" s="615">
        <v>0</v>
      </c>
      <c r="BN477" s="615">
        <v>0</v>
      </c>
      <c r="BO477" s="615">
        <v>0</v>
      </c>
      <c r="BP477" s="615">
        <v>0</v>
      </c>
      <c r="BQ477" s="615">
        <v>0</v>
      </c>
      <c r="BR477" s="615">
        <v>0</v>
      </c>
      <c r="BS477" s="615">
        <v>0</v>
      </c>
      <c r="BT477" s="615">
        <v>0</v>
      </c>
      <c r="BU477" s="615">
        <v>0</v>
      </c>
      <c r="BV477" s="615">
        <v>0</v>
      </c>
      <c r="BW477" s="615">
        <v>0</v>
      </c>
      <c r="BX477" s="607">
        <f t="shared" si="17"/>
        <v>244191500</v>
      </c>
    </row>
    <row r="478" spans="1:76" ht="12" customHeight="1" x14ac:dyDescent="0.2">
      <c r="A478" s="902"/>
      <c r="B478" s="611" t="s">
        <v>1187</v>
      </c>
      <c r="C478" s="641" t="s">
        <v>3609</v>
      </c>
      <c r="D478" s="585"/>
      <c r="E478" s="585"/>
      <c r="F478" s="585"/>
      <c r="G478" s="585"/>
      <c r="H478" s="585"/>
      <c r="I478" s="585"/>
      <c r="J478" s="585"/>
      <c r="K478" s="585"/>
      <c r="L478" s="585"/>
      <c r="M478" s="585"/>
      <c r="N478" s="585"/>
      <c r="O478" s="585"/>
      <c r="P478" s="585"/>
      <c r="Q478" s="585"/>
      <c r="R478" s="585"/>
      <c r="S478" s="585"/>
      <c r="T478" s="585"/>
      <c r="U478" s="585"/>
      <c r="V478" s="585"/>
      <c r="W478" s="585"/>
      <c r="X478" s="585"/>
      <c r="Y478" s="615">
        <v>0</v>
      </c>
      <c r="Z478" s="615">
        <v>0</v>
      </c>
      <c r="AA478" s="615">
        <v>0</v>
      </c>
      <c r="AB478" s="615">
        <v>0</v>
      </c>
      <c r="AC478" s="615">
        <v>0</v>
      </c>
      <c r="AD478" s="615">
        <v>0</v>
      </c>
      <c r="AE478" s="615">
        <v>0</v>
      </c>
      <c r="AF478" s="615">
        <v>0</v>
      </c>
      <c r="AG478" s="615">
        <v>0</v>
      </c>
      <c r="AH478" s="615">
        <v>0</v>
      </c>
      <c r="AI478" s="615">
        <v>0</v>
      </c>
      <c r="AJ478" s="615">
        <v>0</v>
      </c>
      <c r="AK478" s="615">
        <v>0</v>
      </c>
      <c r="AL478" s="615">
        <v>0</v>
      </c>
      <c r="AM478" s="615">
        <v>0</v>
      </c>
      <c r="AN478" s="615">
        <v>0</v>
      </c>
      <c r="AO478" s="615">
        <v>0</v>
      </c>
      <c r="AP478" s="615">
        <v>0</v>
      </c>
      <c r="AQ478" s="615">
        <v>0</v>
      </c>
      <c r="AR478" s="615">
        <v>0</v>
      </c>
      <c r="AS478" s="615">
        <v>0</v>
      </c>
      <c r="AT478" s="615">
        <v>0</v>
      </c>
      <c r="AU478" s="615">
        <v>0</v>
      </c>
      <c r="AV478" s="615">
        <v>249999361</v>
      </c>
      <c r="AW478" s="615">
        <v>0</v>
      </c>
      <c r="AX478" s="615">
        <v>0</v>
      </c>
      <c r="AY478" s="615">
        <v>0</v>
      </c>
      <c r="AZ478" s="615">
        <v>0</v>
      </c>
      <c r="BA478" s="615">
        <v>0</v>
      </c>
      <c r="BB478" s="615">
        <v>0</v>
      </c>
      <c r="BC478" s="615">
        <v>0</v>
      </c>
      <c r="BD478" s="615">
        <v>0</v>
      </c>
      <c r="BE478" s="615">
        <v>0</v>
      </c>
      <c r="BF478" s="615">
        <v>0</v>
      </c>
      <c r="BG478" s="615">
        <v>0</v>
      </c>
      <c r="BH478" s="615">
        <v>0</v>
      </c>
      <c r="BI478" s="615">
        <v>0</v>
      </c>
      <c r="BJ478" s="615">
        <v>0</v>
      </c>
      <c r="BK478" s="615">
        <v>0</v>
      </c>
      <c r="BL478" s="615">
        <v>0</v>
      </c>
      <c r="BM478" s="615">
        <v>0</v>
      </c>
      <c r="BN478" s="615">
        <v>0</v>
      </c>
      <c r="BO478" s="615">
        <v>0</v>
      </c>
      <c r="BP478" s="615">
        <v>0</v>
      </c>
      <c r="BQ478" s="615">
        <v>0</v>
      </c>
      <c r="BR478" s="615">
        <v>0</v>
      </c>
      <c r="BS478" s="615">
        <v>0</v>
      </c>
      <c r="BT478" s="615">
        <v>0</v>
      </c>
      <c r="BU478" s="615">
        <v>0</v>
      </c>
      <c r="BV478" s="615">
        <v>0</v>
      </c>
      <c r="BW478" s="615">
        <v>0</v>
      </c>
      <c r="BX478" s="607">
        <f t="shared" si="17"/>
        <v>249999361</v>
      </c>
    </row>
    <row r="479" spans="1:76" ht="12" customHeight="1" x14ac:dyDescent="0.2">
      <c r="A479" s="902"/>
      <c r="B479" s="611" t="s">
        <v>1084</v>
      </c>
      <c r="C479" s="641" t="s">
        <v>3610</v>
      </c>
      <c r="D479" s="585"/>
      <c r="E479" s="585"/>
      <c r="F479" s="585"/>
      <c r="G479" s="585"/>
      <c r="H479" s="585"/>
      <c r="I479" s="585"/>
      <c r="J479" s="585"/>
      <c r="K479" s="585"/>
      <c r="L479" s="585"/>
      <c r="M479" s="585"/>
      <c r="N479" s="585"/>
      <c r="O479" s="585"/>
      <c r="P479" s="585"/>
      <c r="Q479" s="585"/>
      <c r="R479" s="585"/>
      <c r="S479" s="585"/>
      <c r="T479" s="585"/>
      <c r="U479" s="585"/>
      <c r="V479" s="585"/>
      <c r="W479" s="585"/>
      <c r="X479" s="585"/>
      <c r="Y479" s="615">
        <v>0</v>
      </c>
      <c r="Z479" s="615">
        <v>0</v>
      </c>
      <c r="AA479" s="615">
        <v>0</v>
      </c>
      <c r="AB479" s="615">
        <v>0</v>
      </c>
      <c r="AC479" s="615">
        <v>0</v>
      </c>
      <c r="AD479" s="615">
        <v>0</v>
      </c>
      <c r="AE479" s="615">
        <v>0</v>
      </c>
      <c r="AF479" s="615">
        <v>0</v>
      </c>
      <c r="AG479" s="615">
        <v>0</v>
      </c>
      <c r="AH479" s="615">
        <v>0</v>
      </c>
      <c r="AI479" s="615">
        <v>0</v>
      </c>
      <c r="AJ479" s="615">
        <v>0</v>
      </c>
      <c r="AK479" s="615">
        <v>0</v>
      </c>
      <c r="AL479" s="615">
        <v>0</v>
      </c>
      <c r="AM479" s="615">
        <v>0</v>
      </c>
      <c r="AN479" s="615">
        <v>0</v>
      </c>
      <c r="AO479" s="615">
        <v>0</v>
      </c>
      <c r="AP479" s="615">
        <v>0</v>
      </c>
      <c r="AQ479" s="615">
        <v>0</v>
      </c>
      <c r="AR479" s="615">
        <v>0</v>
      </c>
      <c r="AS479" s="615">
        <v>0</v>
      </c>
      <c r="AT479" s="615">
        <v>0</v>
      </c>
      <c r="AU479" s="615">
        <v>0</v>
      </c>
      <c r="AV479" s="615">
        <v>0</v>
      </c>
      <c r="AW479" s="615">
        <v>0</v>
      </c>
      <c r="AX479" s="615">
        <v>0</v>
      </c>
      <c r="AY479" s="615">
        <v>0</v>
      </c>
      <c r="AZ479" s="615">
        <v>0</v>
      </c>
      <c r="BA479" s="615">
        <v>0</v>
      </c>
      <c r="BB479" s="615">
        <v>0</v>
      </c>
      <c r="BC479" s="615">
        <v>0</v>
      </c>
      <c r="BD479" s="615">
        <v>0</v>
      </c>
      <c r="BE479" s="615">
        <v>0</v>
      </c>
      <c r="BF479" s="615">
        <v>0</v>
      </c>
      <c r="BG479" s="615">
        <v>0</v>
      </c>
      <c r="BH479" s="615">
        <v>0</v>
      </c>
      <c r="BI479" s="615">
        <v>0</v>
      </c>
      <c r="BJ479" s="615">
        <v>0</v>
      </c>
      <c r="BK479" s="615">
        <v>0</v>
      </c>
      <c r="BL479" s="615">
        <v>0</v>
      </c>
      <c r="BM479" s="615">
        <v>0</v>
      </c>
      <c r="BN479" s="615">
        <v>0</v>
      </c>
      <c r="BO479" s="615">
        <v>0</v>
      </c>
      <c r="BP479" s="615">
        <v>0</v>
      </c>
      <c r="BQ479" s="615">
        <v>0</v>
      </c>
      <c r="BR479" s="615">
        <v>0</v>
      </c>
      <c r="BS479" s="615">
        <v>0</v>
      </c>
      <c r="BT479" s="615">
        <v>0</v>
      </c>
      <c r="BU479" s="615">
        <v>0</v>
      </c>
      <c r="BV479" s="615">
        <v>0</v>
      </c>
      <c r="BW479" s="615">
        <v>0</v>
      </c>
      <c r="BX479" s="607">
        <f t="shared" si="17"/>
        <v>0</v>
      </c>
    </row>
    <row r="480" spans="1:76" ht="12" customHeight="1" x14ac:dyDescent="0.2">
      <c r="A480" s="902"/>
      <c r="B480" s="611" t="s">
        <v>1153</v>
      </c>
      <c r="C480" s="641" t="s">
        <v>3611</v>
      </c>
      <c r="D480" s="585"/>
      <c r="E480" s="585"/>
      <c r="F480" s="585"/>
      <c r="G480" s="585"/>
      <c r="H480" s="585"/>
      <c r="I480" s="585"/>
      <c r="J480" s="585"/>
      <c r="K480" s="585"/>
      <c r="L480" s="585">
        <v>0</v>
      </c>
      <c r="M480" s="585">
        <v>0</v>
      </c>
      <c r="N480" s="585">
        <v>0</v>
      </c>
      <c r="O480" s="585">
        <v>0</v>
      </c>
      <c r="P480" s="585">
        <v>0</v>
      </c>
      <c r="Q480" s="585">
        <v>0</v>
      </c>
      <c r="R480" s="585">
        <v>0</v>
      </c>
      <c r="S480" s="585">
        <v>0</v>
      </c>
      <c r="T480" s="585">
        <v>0</v>
      </c>
      <c r="U480" s="585">
        <v>0</v>
      </c>
      <c r="V480" s="585">
        <v>0</v>
      </c>
      <c r="W480" s="585">
        <v>0</v>
      </c>
      <c r="X480" s="585">
        <v>0</v>
      </c>
      <c r="Y480" s="615">
        <v>0</v>
      </c>
      <c r="Z480" s="615">
        <v>0</v>
      </c>
      <c r="AA480" s="615">
        <v>0</v>
      </c>
      <c r="AB480" s="615">
        <v>0</v>
      </c>
      <c r="AC480" s="615">
        <v>0</v>
      </c>
      <c r="AD480" s="615">
        <v>0</v>
      </c>
      <c r="AE480" s="615">
        <v>0</v>
      </c>
      <c r="AF480" s="615">
        <v>0</v>
      </c>
      <c r="AG480" s="615">
        <v>0</v>
      </c>
      <c r="AH480" s="615">
        <v>0</v>
      </c>
      <c r="AI480" s="615">
        <v>0</v>
      </c>
      <c r="AJ480" s="615">
        <v>0</v>
      </c>
      <c r="AK480" s="615">
        <v>0</v>
      </c>
      <c r="AL480" s="615">
        <v>0</v>
      </c>
      <c r="AM480" s="615">
        <v>0</v>
      </c>
      <c r="AN480" s="615">
        <v>0</v>
      </c>
      <c r="AO480" s="615">
        <v>0</v>
      </c>
      <c r="AP480" s="615">
        <v>0</v>
      </c>
      <c r="AQ480" s="615">
        <v>0</v>
      </c>
      <c r="AR480" s="615">
        <v>0</v>
      </c>
      <c r="AS480" s="615">
        <v>0</v>
      </c>
      <c r="AT480" s="615">
        <v>282465915</v>
      </c>
      <c r="AU480" s="615">
        <v>0</v>
      </c>
      <c r="AV480" s="615">
        <v>0</v>
      </c>
      <c r="AW480" s="615">
        <v>0</v>
      </c>
      <c r="AX480" s="615">
        <v>0</v>
      </c>
      <c r="AY480" s="615">
        <v>0</v>
      </c>
      <c r="AZ480" s="615">
        <v>0</v>
      </c>
      <c r="BA480" s="615">
        <v>0</v>
      </c>
      <c r="BB480" s="615">
        <v>0</v>
      </c>
      <c r="BC480" s="615">
        <v>0</v>
      </c>
      <c r="BD480" s="615">
        <v>0</v>
      </c>
      <c r="BE480" s="615">
        <v>0</v>
      </c>
      <c r="BF480" s="615">
        <v>0</v>
      </c>
      <c r="BG480" s="615">
        <v>0</v>
      </c>
      <c r="BH480" s="615">
        <v>0</v>
      </c>
      <c r="BI480" s="615">
        <v>0</v>
      </c>
      <c r="BJ480" s="615">
        <v>0</v>
      </c>
      <c r="BK480" s="615">
        <v>0</v>
      </c>
      <c r="BL480" s="615">
        <v>0</v>
      </c>
      <c r="BM480" s="615">
        <v>0</v>
      </c>
      <c r="BN480" s="615">
        <v>0</v>
      </c>
      <c r="BO480" s="615">
        <v>0</v>
      </c>
      <c r="BP480" s="615">
        <v>0</v>
      </c>
      <c r="BQ480" s="615">
        <v>0</v>
      </c>
      <c r="BR480" s="615">
        <v>0</v>
      </c>
      <c r="BS480" s="615">
        <v>0</v>
      </c>
      <c r="BT480" s="615">
        <v>0</v>
      </c>
      <c r="BU480" s="615">
        <v>0</v>
      </c>
      <c r="BV480" s="615">
        <v>0</v>
      </c>
      <c r="BW480" s="615">
        <v>0</v>
      </c>
      <c r="BX480" s="607">
        <f t="shared" si="17"/>
        <v>282465915</v>
      </c>
    </row>
    <row r="481" spans="1:76" ht="12" customHeight="1" x14ac:dyDescent="0.2">
      <c r="A481" s="902"/>
      <c r="B481" s="611" t="s">
        <v>1197</v>
      </c>
      <c r="C481" s="641" t="s">
        <v>3612</v>
      </c>
      <c r="D481" s="585"/>
      <c r="E481" s="585"/>
      <c r="F481" s="585"/>
      <c r="G481" s="585"/>
      <c r="H481" s="585"/>
      <c r="I481" s="585"/>
      <c r="J481" s="585"/>
      <c r="K481" s="585"/>
      <c r="L481" s="585"/>
      <c r="M481" s="585"/>
      <c r="N481" s="585"/>
      <c r="O481" s="585"/>
      <c r="P481" s="585"/>
      <c r="Q481" s="585"/>
      <c r="R481" s="585"/>
      <c r="S481" s="585"/>
      <c r="T481" s="585"/>
      <c r="U481" s="585"/>
      <c r="V481" s="585"/>
      <c r="W481" s="585"/>
      <c r="X481" s="585"/>
      <c r="Y481" s="615">
        <v>0</v>
      </c>
      <c r="Z481" s="615">
        <v>0</v>
      </c>
      <c r="AA481" s="615">
        <v>0</v>
      </c>
      <c r="AB481" s="615">
        <v>0</v>
      </c>
      <c r="AC481" s="615">
        <v>0</v>
      </c>
      <c r="AD481" s="615">
        <v>0</v>
      </c>
      <c r="AE481" s="615">
        <v>0</v>
      </c>
      <c r="AF481" s="615">
        <v>0</v>
      </c>
      <c r="AG481" s="615">
        <v>0</v>
      </c>
      <c r="AH481" s="615">
        <v>0</v>
      </c>
      <c r="AI481" s="615">
        <v>0</v>
      </c>
      <c r="AJ481" s="615">
        <v>0</v>
      </c>
      <c r="AK481" s="615">
        <v>0</v>
      </c>
      <c r="AL481" s="615">
        <v>0</v>
      </c>
      <c r="AM481" s="615">
        <v>0</v>
      </c>
      <c r="AN481" s="615">
        <v>0</v>
      </c>
      <c r="AO481" s="615">
        <v>0</v>
      </c>
      <c r="AP481" s="615">
        <v>0</v>
      </c>
      <c r="AQ481" s="615">
        <v>0</v>
      </c>
      <c r="AR481" s="615">
        <v>0</v>
      </c>
      <c r="AS481" s="615">
        <v>0</v>
      </c>
      <c r="AT481" s="615">
        <v>0</v>
      </c>
      <c r="AU481" s="615">
        <v>0</v>
      </c>
      <c r="AV481" s="615">
        <v>292838148</v>
      </c>
      <c r="AW481" s="615">
        <v>0</v>
      </c>
      <c r="AX481" s="615">
        <v>0</v>
      </c>
      <c r="AY481" s="615">
        <v>0</v>
      </c>
      <c r="AZ481" s="615">
        <v>0</v>
      </c>
      <c r="BA481" s="615">
        <v>0</v>
      </c>
      <c r="BB481" s="615">
        <v>0</v>
      </c>
      <c r="BC481" s="615">
        <v>0</v>
      </c>
      <c r="BD481" s="615">
        <v>0</v>
      </c>
      <c r="BE481" s="615">
        <v>0</v>
      </c>
      <c r="BF481" s="615">
        <v>0</v>
      </c>
      <c r="BG481" s="615">
        <v>0</v>
      </c>
      <c r="BH481" s="615">
        <v>0</v>
      </c>
      <c r="BI481" s="615">
        <v>0</v>
      </c>
      <c r="BJ481" s="615">
        <v>0</v>
      </c>
      <c r="BK481" s="615">
        <v>0</v>
      </c>
      <c r="BL481" s="615">
        <v>0</v>
      </c>
      <c r="BM481" s="615">
        <v>0</v>
      </c>
      <c r="BN481" s="615">
        <v>0</v>
      </c>
      <c r="BO481" s="615">
        <v>0</v>
      </c>
      <c r="BP481" s="615">
        <v>0</v>
      </c>
      <c r="BQ481" s="615">
        <v>0</v>
      </c>
      <c r="BR481" s="615">
        <v>0</v>
      </c>
      <c r="BS481" s="615">
        <v>0</v>
      </c>
      <c r="BT481" s="615">
        <v>0</v>
      </c>
      <c r="BU481" s="615">
        <v>0</v>
      </c>
      <c r="BV481" s="615">
        <v>0</v>
      </c>
      <c r="BW481" s="615">
        <v>0</v>
      </c>
      <c r="BX481" s="607">
        <f t="shared" si="17"/>
        <v>292838148</v>
      </c>
    </row>
    <row r="482" spans="1:76" ht="12" customHeight="1" x14ac:dyDescent="0.2">
      <c r="A482" s="902"/>
      <c r="B482" s="611" t="s">
        <v>890</v>
      </c>
      <c r="C482" s="641" t="s">
        <v>3613</v>
      </c>
      <c r="D482" s="585"/>
      <c r="E482" s="585"/>
      <c r="F482" s="585"/>
      <c r="G482" s="585"/>
      <c r="H482" s="585"/>
      <c r="I482" s="585"/>
      <c r="J482" s="585"/>
      <c r="K482" s="585"/>
      <c r="L482" s="585"/>
      <c r="M482" s="585"/>
      <c r="N482" s="585"/>
      <c r="O482" s="585"/>
      <c r="P482" s="585"/>
      <c r="Q482" s="585">
        <v>0</v>
      </c>
      <c r="R482" s="585">
        <v>0</v>
      </c>
      <c r="S482" s="585"/>
      <c r="T482" s="585">
        <v>0</v>
      </c>
      <c r="U482" s="585">
        <v>0</v>
      </c>
      <c r="V482" s="585">
        <v>0</v>
      </c>
      <c r="W482" s="585">
        <v>0</v>
      </c>
      <c r="X482" s="585">
        <v>0</v>
      </c>
      <c r="Y482" s="615">
        <v>0</v>
      </c>
      <c r="Z482" s="615">
        <v>0</v>
      </c>
      <c r="AA482" s="615">
        <v>0</v>
      </c>
      <c r="AB482" s="615">
        <v>0</v>
      </c>
      <c r="AC482" s="615">
        <v>0</v>
      </c>
      <c r="AD482" s="615">
        <v>0</v>
      </c>
      <c r="AE482" s="615">
        <v>0</v>
      </c>
      <c r="AF482" s="615">
        <v>0</v>
      </c>
      <c r="AG482" s="615">
        <v>0</v>
      </c>
      <c r="AH482" s="615">
        <v>0</v>
      </c>
      <c r="AI482" s="615">
        <v>0</v>
      </c>
      <c r="AJ482" s="615">
        <v>0</v>
      </c>
      <c r="AK482" s="615">
        <v>0</v>
      </c>
      <c r="AL482" s="615">
        <v>0</v>
      </c>
      <c r="AM482" s="615">
        <v>0</v>
      </c>
      <c r="AN482" s="615">
        <v>0</v>
      </c>
      <c r="AO482" s="615">
        <v>0</v>
      </c>
      <c r="AP482" s="615">
        <v>0</v>
      </c>
      <c r="AQ482" s="615">
        <v>0</v>
      </c>
      <c r="AR482" s="615">
        <v>0</v>
      </c>
      <c r="AS482" s="615">
        <v>0</v>
      </c>
      <c r="AT482" s="615">
        <v>0</v>
      </c>
      <c r="AU482" s="615">
        <v>0</v>
      </c>
      <c r="AV482" s="615">
        <v>0</v>
      </c>
      <c r="AW482" s="615">
        <v>0</v>
      </c>
      <c r="AX482" s="615">
        <v>0</v>
      </c>
      <c r="AY482" s="615">
        <v>0</v>
      </c>
      <c r="AZ482" s="615">
        <v>0</v>
      </c>
      <c r="BA482" s="615">
        <v>0</v>
      </c>
      <c r="BB482" s="615">
        <v>0</v>
      </c>
      <c r="BC482" s="615">
        <v>0</v>
      </c>
      <c r="BD482" s="615">
        <v>0</v>
      </c>
      <c r="BE482" s="615">
        <v>0</v>
      </c>
      <c r="BF482" s="615">
        <v>0</v>
      </c>
      <c r="BG482" s="615">
        <v>0</v>
      </c>
      <c r="BH482" s="615">
        <v>0</v>
      </c>
      <c r="BI482" s="615">
        <v>0</v>
      </c>
      <c r="BJ482" s="615">
        <v>0</v>
      </c>
      <c r="BK482" s="615">
        <v>0</v>
      </c>
      <c r="BL482" s="615">
        <v>0</v>
      </c>
      <c r="BM482" s="615">
        <v>0</v>
      </c>
      <c r="BN482" s="615">
        <v>0</v>
      </c>
      <c r="BO482" s="615">
        <v>0</v>
      </c>
      <c r="BP482" s="615">
        <v>0</v>
      </c>
      <c r="BQ482" s="615">
        <v>0</v>
      </c>
      <c r="BR482" s="615">
        <v>0</v>
      </c>
      <c r="BS482" s="615">
        <v>0</v>
      </c>
      <c r="BT482" s="615">
        <v>0</v>
      </c>
      <c r="BU482" s="615">
        <v>0</v>
      </c>
      <c r="BV482" s="615">
        <v>0</v>
      </c>
      <c r="BW482" s="615">
        <v>0</v>
      </c>
      <c r="BX482" s="607">
        <f t="shared" si="17"/>
        <v>0</v>
      </c>
    </row>
    <row r="483" spans="1:76" ht="12" customHeight="1" x14ac:dyDescent="0.2">
      <c r="A483" s="902"/>
      <c r="B483" s="611" t="s">
        <v>1561</v>
      </c>
      <c r="C483" s="641" t="s">
        <v>3614</v>
      </c>
      <c r="D483" s="585"/>
      <c r="E483" s="585"/>
      <c r="F483" s="585"/>
      <c r="G483" s="585"/>
      <c r="H483" s="585"/>
      <c r="I483" s="585"/>
      <c r="J483" s="585"/>
      <c r="K483" s="585"/>
      <c r="L483" s="585"/>
      <c r="M483" s="585"/>
      <c r="N483" s="585"/>
      <c r="O483" s="585"/>
      <c r="P483" s="585"/>
      <c r="Q483" s="585"/>
      <c r="R483" s="585"/>
      <c r="S483" s="585"/>
      <c r="T483" s="585"/>
      <c r="U483" s="585"/>
      <c r="V483" s="585"/>
      <c r="W483" s="585"/>
      <c r="X483" s="585"/>
      <c r="Y483" s="615">
        <v>0</v>
      </c>
      <c r="Z483" s="615">
        <v>0</v>
      </c>
      <c r="AA483" s="615">
        <v>0</v>
      </c>
      <c r="AB483" s="615">
        <v>0</v>
      </c>
      <c r="AC483" s="615">
        <v>0</v>
      </c>
      <c r="AD483" s="615">
        <v>0</v>
      </c>
      <c r="AE483" s="615">
        <v>0</v>
      </c>
      <c r="AF483" s="615">
        <v>0</v>
      </c>
      <c r="AG483" s="615">
        <v>0</v>
      </c>
      <c r="AH483" s="615">
        <v>0</v>
      </c>
      <c r="AI483" s="615">
        <v>0</v>
      </c>
      <c r="AJ483" s="615">
        <v>0</v>
      </c>
      <c r="AK483" s="615">
        <v>0</v>
      </c>
      <c r="AL483" s="615">
        <v>0</v>
      </c>
      <c r="AM483" s="615">
        <v>0</v>
      </c>
      <c r="AN483" s="615">
        <v>0</v>
      </c>
      <c r="AO483" s="615">
        <v>0</v>
      </c>
      <c r="AP483" s="615">
        <v>0</v>
      </c>
      <c r="AQ483" s="615">
        <v>0</v>
      </c>
      <c r="AR483" s="615">
        <v>0</v>
      </c>
      <c r="AS483" s="615">
        <v>0</v>
      </c>
      <c r="AT483" s="615">
        <v>0</v>
      </c>
      <c r="AU483" s="615">
        <v>0</v>
      </c>
      <c r="AV483" s="615">
        <v>311515294</v>
      </c>
      <c r="AW483" s="615">
        <v>0</v>
      </c>
      <c r="AX483" s="615">
        <v>0</v>
      </c>
      <c r="AY483" s="615">
        <v>0</v>
      </c>
      <c r="AZ483" s="615">
        <v>0</v>
      </c>
      <c r="BA483" s="615">
        <v>0</v>
      </c>
      <c r="BB483" s="615">
        <v>0</v>
      </c>
      <c r="BC483" s="615">
        <v>0</v>
      </c>
      <c r="BD483" s="615">
        <v>0</v>
      </c>
      <c r="BE483" s="615">
        <v>0</v>
      </c>
      <c r="BF483" s="615">
        <v>0</v>
      </c>
      <c r="BG483" s="615">
        <v>0</v>
      </c>
      <c r="BH483" s="615">
        <v>0</v>
      </c>
      <c r="BI483" s="615">
        <v>0</v>
      </c>
      <c r="BJ483" s="615">
        <v>0</v>
      </c>
      <c r="BK483" s="615">
        <v>0</v>
      </c>
      <c r="BL483" s="615">
        <v>0</v>
      </c>
      <c r="BM483" s="615">
        <v>0</v>
      </c>
      <c r="BN483" s="615">
        <v>0</v>
      </c>
      <c r="BO483" s="615">
        <v>0</v>
      </c>
      <c r="BP483" s="615">
        <v>0</v>
      </c>
      <c r="BQ483" s="615">
        <v>0</v>
      </c>
      <c r="BR483" s="615">
        <v>0</v>
      </c>
      <c r="BS483" s="615">
        <v>0</v>
      </c>
      <c r="BT483" s="615">
        <v>0</v>
      </c>
      <c r="BU483" s="615">
        <v>0</v>
      </c>
      <c r="BV483" s="615">
        <v>0</v>
      </c>
      <c r="BW483" s="615">
        <v>0</v>
      </c>
      <c r="BX483" s="607">
        <f t="shared" si="17"/>
        <v>311515294</v>
      </c>
    </row>
    <row r="484" spans="1:76" ht="12" customHeight="1" x14ac:dyDescent="0.2">
      <c r="A484" s="902"/>
      <c r="B484" s="611" t="s">
        <v>1100</v>
      </c>
      <c r="C484" s="641" t="s">
        <v>3615</v>
      </c>
      <c r="D484" s="585"/>
      <c r="E484" s="585"/>
      <c r="F484" s="585"/>
      <c r="G484" s="585"/>
      <c r="H484" s="585"/>
      <c r="I484" s="585"/>
      <c r="J484" s="585"/>
      <c r="K484" s="585"/>
      <c r="L484" s="585"/>
      <c r="M484" s="585"/>
      <c r="N484" s="585"/>
      <c r="O484" s="585"/>
      <c r="P484" s="585"/>
      <c r="Q484" s="585"/>
      <c r="R484" s="585"/>
      <c r="S484" s="585"/>
      <c r="T484" s="585"/>
      <c r="U484" s="585"/>
      <c r="V484" s="585">
        <v>0</v>
      </c>
      <c r="W484" s="585">
        <v>0</v>
      </c>
      <c r="X484" s="585">
        <v>0</v>
      </c>
      <c r="Y484" s="615">
        <v>0</v>
      </c>
      <c r="Z484" s="615">
        <v>0</v>
      </c>
      <c r="AA484" s="615">
        <v>0</v>
      </c>
      <c r="AB484" s="615">
        <v>0</v>
      </c>
      <c r="AC484" s="615">
        <v>0</v>
      </c>
      <c r="AD484" s="615">
        <v>0</v>
      </c>
      <c r="AE484" s="615">
        <v>0</v>
      </c>
      <c r="AF484" s="615">
        <v>0</v>
      </c>
      <c r="AG484" s="615">
        <v>0</v>
      </c>
      <c r="AH484" s="615">
        <v>0</v>
      </c>
      <c r="AI484" s="615">
        <v>0</v>
      </c>
      <c r="AJ484" s="615">
        <v>0</v>
      </c>
      <c r="AK484" s="615">
        <v>0</v>
      </c>
      <c r="AL484" s="615">
        <v>0</v>
      </c>
      <c r="AM484" s="615">
        <v>0</v>
      </c>
      <c r="AN484" s="615">
        <v>0</v>
      </c>
      <c r="AO484" s="615">
        <v>0</v>
      </c>
      <c r="AP484" s="615">
        <v>0</v>
      </c>
      <c r="AQ484" s="615">
        <v>0</v>
      </c>
      <c r="AR484" s="615">
        <v>0</v>
      </c>
      <c r="AS484" s="615">
        <v>0</v>
      </c>
      <c r="AT484" s="615">
        <v>0</v>
      </c>
      <c r="AU484" s="615">
        <v>0</v>
      </c>
      <c r="AV484" s="615">
        <v>0</v>
      </c>
      <c r="AW484" s="615">
        <v>0</v>
      </c>
      <c r="AX484" s="615">
        <v>0</v>
      </c>
      <c r="AY484" s="615">
        <v>0</v>
      </c>
      <c r="AZ484" s="615">
        <v>0</v>
      </c>
      <c r="BA484" s="615">
        <v>0</v>
      </c>
      <c r="BB484" s="615">
        <v>0</v>
      </c>
      <c r="BC484" s="615">
        <v>0</v>
      </c>
      <c r="BD484" s="615">
        <v>0</v>
      </c>
      <c r="BE484" s="615">
        <v>0</v>
      </c>
      <c r="BF484" s="615">
        <v>0</v>
      </c>
      <c r="BG484" s="615">
        <v>0</v>
      </c>
      <c r="BH484" s="615">
        <v>0</v>
      </c>
      <c r="BI484" s="615">
        <v>0</v>
      </c>
      <c r="BJ484" s="615">
        <v>0</v>
      </c>
      <c r="BK484" s="615">
        <v>0</v>
      </c>
      <c r="BL484" s="615">
        <v>0</v>
      </c>
      <c r="BM484" s="615">
        <v>0</v>
      </c>
      <c r="BN484" s="615">
        <v>0</v>
      </c>
      <c r="BO484" s="615">
        <v>0</v>
      </c>
      <c r="BP484" s="615">
        <v>0</v>
      </c>
      <c r="BQ484" s="615">
        <v>0</v>
      </c>
      <c r="BR484" s="615">
        <v>0</v>
      </c>
      <c r="BS484" s="615">
        <v>0</v>
      </c>
      <c r="BT484" s="615">
        <v>0</v>
      </c>
      <c r="BU484" s="615">
        <v>0</v>
      </c>
      <c r="BV484" s="615">
        <v>0</v>
      </c>
      <c r="BW484" s="615">
        <v>0</v>
      </c>
      <c r="BX484" s="607">
        <f t="shared" si="17"/>
        <v>0</v>
      </c>
    </row>
    <row r="485" spans="1:76" ht="12" customHeight="1" x14ac:dyDescent="0.2">
      <c r="A485" s="902"/>
      <c r="B485" s="611" t="s">
        <v>1150</v>
      </c>
      <c r="C485" s="641" t="s">
        <v>3616</v>
      </c>
      <c r="D485" s="585"/>
      <c r="E485" s="585"/>
      <c r="F485" s="585"/>
      <c r="G485" s="585"/>
      <c r="H485" s="585"/>
      <c r="I485" s="585"/>
      <c r="J485" s="585"/>
      <c r="K485" s="585"/>
      <c r="L485" s="585"/>
      <c r="M485" s="585"/>
      <c r="N485" s="585"/>
      <c r="O485" s="585"/>
      <c r="P485" s="585"/>
      <c r="Q485" s="585"/>
      <c r="R485" s="585"/>
      <c r="S485" s="585"/>
      <c r="T485" s="585"/>
      <c r="U485" s="585"/>
      <c r="V485" s="585"/>
      <c r="W485" s="585"/>
      <c r="X485" s="585"/>
      <c r="Y485" s="615"/>
      <c r="Z485" s="615"/>
      <c r="AA485" s="615"/>
      <c r="AB485" s="615">
        <v>0</v>
      </c>
      <c r="AC485" s="615">
        <v>0</v>
      </c>
      <c r="AD485" s="615">
        <v>0</v>
      </c>
      <c r="AE485" s="615">
        <v>0</v>
      </c>
      <c r="AF485" s="615">
        <v>0</v>
      </c>
      <c r="AG485" s="615">
        <v>0</v>
      </c>
      <c r="AH485" s="615">
        <v>0</v>
      </c>
      <c r="AI485" s="615">
        <v>0</v>
      </c>
      <c r="AJ485" s="615">
        <v>0</v>
      </c>
      <c r="AK485" s="615">
        <v>0</v>
      </c>
      <c r="AL485" s="615">
        <v>0</v>
      </c>
      <c r="AM485" s="615">
        <v>0</v>
      </c>
      <c r="AN485" s="615">
        <v>0</v>
      </c>
      <c r="AO485" s="615">
        <v>0</v>
      </c>
      <c r="AP485" s="615">
        <v>0</v>
      </c>
      <c r="AQ485" s="615">
        <v>0</v>
      </c>
      <c r="AR485" s="615">
        <v>0</v>
      </c>
      <c r="AS485" s="615">
        <v>0</v>
      </c>
      <c r="AT485" s="615">
        <v>0</v>
      </c>
      <c r="AU485" s="615">
        <v>96573</v>
      </c>
      <c r="AV485" s="615">
        <v>0</v>
      </c>
      <c r="AW485" s="615">
        <v>0</v>
      </c>
      <c r="AX485" s="615">
        <v>0</v>
      </c>
      <c r="AY485" s="615">
        <v>0</v>
      </c>
      <c r="AZ485" s="615">
        <v>0</v>
      </c>
      <c r="BA485" s="615">
        <v>0</v>
      </c>
      <c r="BB485" s="615">
        <v>0</v>
      </c>
      <c r="BC485" s="615">
        <v>0</v>
      </c>
      <c r="BD485" s="615">
        <v>0</v>
      </c>
      <c r="BE485" s="615">
        <v>0</v>
      </c>
      <c r="BF485" s="615">
        <v>0</v>
      </c>
      <c r="BG485" s="615">
        <v>0</v>
      </c>
      <c r="BH485" s="615">
        <v>0</v>
      </c>
      <c r="BI485" s="615">
        <v>0</v>
      </c>
      <c r="BJ485" s="615">
        <v>0</v>
      </c>
      <c r="BK485" s="615">
        <v>0</v>
      </c>
      <c r="BL485" s="615">
        <v>0</v>
      </c>
      <c r="BM485" s="615">
        <v>0</v>
      </c>
      <c r="BN485" s="615">
        <v>0</v>
      </c>
      <c r="BO485" s="615">
        <v>0</v>
      </c>
      <c r="BP485" s="615">
        <v>0</v>
      </c>
      <c r="BQ485" s="615">
        <v>0</v>
      </c>
      <c r="BR485" s="615">
        <v>0</v>
      </c>
      <c r="BS485" s="615">
        <v>0</v>
      </c>
      <c r="BT485" s="615">
        <v>0</v>
      </c>
      <c r="BU485" s="615">
        <v>0</v>
      </c>
      <c r="BV485" s="615">
        <v>0</v>
      </c>
      <c r="BW485" s="615">
        <v>0</v>
      </c>
      <c r="BX485" s="607">
        <f t="shared" si="17"/>
        <v>96573</v>
      </c>
    </row>
    <row r="486" spans="1:76" ht="12" customHeight="1" x14ac:dyDescent="0.2">
      <c r="A486" s="902"/>
      <c r="B486" s="611" t="s">
        <v>1378</v>
      </c>
      <c r="C486" s="641" t="s">
        <v>3617</v>
      </c>
      <c r="D486" s="585"/>
      <c r="E486" s="585"/>
      <c r="F486" s="585"/>
      <c r="G486" s="585"/>
      <c r="H486" s="585"/>
      <c r="I486" s="585"/>
      <c r="J486" s="585"/>
      <c r="K486" s="585"/>
      <c r="L486" s="585"/>
      <c r="M486" s="585"/>
      <c r="N486" s="585"/>
      <c r="O486" s="585"/>
      <c r="P486" s="585"/>
      <c r="Q486" s="585"/>
      <c r="R486" s="585"/>
      <c r="S486" s="585"/>
      <c r="T486" s="585"/>
      <c r="U486" s="585"/>
      <c r="V486" s="585"/>
      <c r="W486" s="585"/>
      <c r="X486" s="585"/>
      <c r="Y486" s="615"/>
      <c r="Z486" s="615"/>
      <c r="AA486" s="615"/>
      <c r="AB486" s="615">
        <v>0</v>
      </c>
      <c r="AC486" s="615">
        <v>0</v>
      </c>
      <c r="AD486" s="615">
        <v>0</v>
      </c>
      <c r="AE486" s="615">
        <v>0</v>
      </c>
      <c r="AF486" s="615">
        <v>0</v>
      </c>
      <c r="AG486" s="615">
        <v>0</v>
      </c>
      <c r="AH486" s="615">
        <v>0</v>
      </c>
      <c r="AI486" s="615">
        <v>0</v>
      </c>
      <c r="AJ486" s="615">
        <v>0</v>
      </c>
      <c r="AK486" s="615">
        <v>0</v>
      </c>
      <c r="AL486" s="615">
        <v>0</v>
      </c>
      <c r="AM486" s="615">
        <v>0</v>
      </c>
      <c r="AN486" s="615">
        <v>0</v>
      </c>
      <c r="AO486" s="615">
        <v>0</v>
      </c>
      <c r="AP486" s="615">
        <v>0</v>
      </c>
      <c r="AQ486" s="615">
        <v>0</v>
      </c>
      <c r="AR486" s="615">
        <v>0</v>
      </c>
      <c r="AS486" s="615">
        <v>0</v>
      </c>
      <c r="AT486" s="615">
        <v>0</v>
      </c>
      <c r="AU486" s="615">
        <v>99977</v>
      </c>
      <c r="AV486" s="615">
        <v>0</v>
      </c>
      <c r="AW486" s="615">
        <v>0</v>
      </c>
      <c r="AX486" s="615">
        <v>0</v>
      </c>
      <c r="AY486" s="615">
        <v>0</v>
      </c>
      <c r="AZ486" s="615">
        <v>0</v>
      </c>
      <c r="BA486" s="615">
        <v>0</v>
      </c>
      <c r="BB486" s="615">
        <v>0</v>
      </c>
      <c r="BC486" s="615">
        <v>0</v>
      </c>
      <c r="BD486" s="615">
        <v>0</v>
      </c>
      <c r="BE486" s="615">
        <v>0</v>
      </c>
      <c r="BF486" s="615">
        <v>0</v>
      </c>
      <c r="BG486" s="615">
        <v>0</v>
      </c>
      <c r="BH486" s="615">
        <v>0</v>
      </c>
      <c r="BI486" s="615">
        <v>0</v>
      </c>
      <c r="BJ486" s="615">
        <v>0</v>
      </c>
      <c r="BK486" s="615">
        <v>0</v>
      </c>
      <c r="BL486" s="615">
        <v>0</v>
      </c>
      <c r="BM486" s="615">
        <v>0</v>
      </c>
      <c r="BN486" s="615">
        <v>0</v>
      </c>
      <c r="BO486" s="615">
        <v>0</v>
      </c>
      <c r="BP486" s="615">
        <v>0</v>
      </c>
      <c r="BQ486" s="615">
        <v>0</v>
      </c>
      <c r="BR486" s="615">
        <v>0</v>
      </c>
      <c r="BS486" s="615">
        <v>0</v>
      </c>
      <c r="BT486" s="615">
        <v>0</v>
      </c>
      <c r="BU486" s="615">
        <v>0</v>
      </c>
      <c r="BV486" s="615">
        <v>0</v>
      </c>
      <c r="BW486" s="615">
        <v>0</v>
      </c>
      <c r="BX486" s="607">
        <f t="shared" si="17"/>
        <v>99977</v>
      </c>
    </row>
    <row r="487" spans="1:76" ht="12" customHeight="1" x14ac:dyDescent="0.2">
      <c r="A487" s="902"/>
      <c r="B487" s="611" t="s">
        <v>4243</v>
      </c>
      <c r="C487" s="641" t="s">
        <v>4242</v>
      </c>
      <c r="D487" s="585"/>
      <c r="E487" s="585"/>
      <c r="F487" s="585"/>
      <c r="G487" s="585"/>
      <c r="H487" s="585"/>
      <c r="I487" s="585"/>
      <c r="J487" s="585"/>
      <c r="K487" s="585"/>
      <c r="L487" s="585"/>
      <c r="M487" s="585"/>
      <c r="N487" s="585"/>
      <c r="O487" s="585"/>
      <c r="P487" s="585"/>
      <c r="Q487" s="585"/>
      <c r="R487" s="585"/>
      <c r="S487" s="585"/>
      <c r="T487" s="585"/>
      <c r="U487" s="585"/>
      <c r="V487" s="585"/>
      <c r="W487" s="585"/>
      <c r="X487" s="585"/>
      <c r="Y487" s="615"/>
      <c r="Z487" s="615"/>
      <c r="AA487" s="615"/>
      <c r="AB487" s="615">
        <v>0</v>
      </c>
      <c r="AC487" s="615">
        <v>0</v>
      </c>
      <c r="AD487" s="615">
        <v>0</v>
      </c>
      <c r="AE487" s="615">
        <v>0</v>
      </c>
      <c r="AF487" s="615">
        <v>0</v>
      </c>
      <c r="AG487" s="615">
        <v>0</v>
      </c>
      <c r="AH487" s="615">
        <v>0</v>
      </c>
      <c r="AI487" s="615">
        <v>0</v>
      </c>
      <c r="AJ487" s="615">
        <v>0</v>
      </c>
      <c r="AK487" s="615">
        <v>0</v>
      </c>
      <c r="AL487" s="615">
        <v>0</v>
      </c>
      <c r="AM487" s="615">
        <v>0</v>
      </c>
      <c r="AN487" s="615">
        <v>0</v>
      </c>
      <c r="AO487" s="615">
        <v>0</v>
      </c>
      <c r="AP487" s="615">
        <v>0</v>
      </c>
      <c r="AQ487" s="615">
        <v>0</v>
      </c>
      <c r="AR487" s="615">
        <v>0</v>
      </c>
      <c r="AS487" s="615">
        <v>0</v>
      </c>
      <c r="AT487" s="615">
        <v>0</v>
      </c>
      <c r="AU487" s="615">
        <v>0</v>
      </c>
      <c r="AV487" s="615">
        <v>0</v>
      </c>
      <c r="AW487" s="615">
        <v>2257060</v>
      </c>
      <c r="AX487" s="615">
        <v>2257061</v>
      </c>
      <c r="AY487" s="615">
        <v>2257061</v>
      </c>
      <c r="AZ487" s="615">
        <v>2257061</v>
      </c>
      <c r="BA487" s="615">
        <v>7000000</v>
      </c>
      <c r="BB487" s="615">
        <v>2257067</v>
      </c>
      <c r="BC487" s="615">
        <v>391881341</v>
      </c>
      <c r="BD487" s="615">
        <v>0</v>
      </c>
      <c r="BE487" s="615">
        <v>0</v>
      </c>
      <c r="BF487" s="615">
        <v>0</v>
      </c>
      <c r="BG487" s="615">
        <v>0</v>
      </c>
      <c r="BH487" s="615">
        <v>0</v>
      </c>
      <c r="BI487" s="615">
        <v>0</v>
      </c>
      <c r="BJ487" s="615">
        <v>0</v>
      </c>
      <c r="BK487" s="615">
        <v>0</v>
      </c>
      <c r="BL487" s="615">
        <v>0</v>
      </c>
      <c r="BM487" s="615">
        <v>0</v>
      </c>
      <c r="BN487" s="615">
        <v>0</v>
      </c>
      <c r="BO487" s="615">
        <v>0</v>
      </c>
      <c r="BP487" s="615">
        <v>0</v>
      </c>
      <c r="BQ487" s="615">
        <v>0</v>
      </c>
      <c r="BR487" s="615">
        <v>0</v>
      </c>
      <c r="BS487" s="615">
        <v>0</v>
      </c>
      <c r="BT487" s="615">
        <v>0</v>
      </c>
      <c r="BU487" s="615">
        <v>0</v>
      </c>
      <c r="BV487" s="615">
        <v>0</v>
      </c>
      <c r="BW487" s="615">
        <v>0</v>
      </c>
      <c r="BX487" s="607">
        <f t="shared" si="17"/>
        <v>410166651</v>
      </c>
    </row>
    <row r="488" spans="1:76" ht="12" customHeight="1" x14ac:dyDescent="0.2">
      <c r="A488" s="902"/>
      <c r="B488" s="611" t="s">
        <v>1432</v>
      </c>
      <c r="C488" s="641" t="s">
        <v>3618</v>
      </c>
      <c r="D488" s="585"/>
      <c r="E488" s="585"/>
      <c r="F488" s="585"/>
      <c r="G488" s="585"/>
      <c r="H488" s="585"/>
      <c r="I488" s="585"/>
      <c r="J488" s="585"/>
      <c r="K488" s="585"/>
      <c r="L488" s="585"/>
      <c r="M488" s="585"/>
      <c r="N488" s="585"/>
      <c r="O488" s="585"/>
      <c r="P488" s="585"/>
      <c r="Q488" s="585"/>
      <c r="R488" s="585"/>
      <c r="S488" s="585"/>
      <c r="T488" s="585"/>
      <c r="U488" s="585"/>
      <c r="V488" s="585"/>
      <c r="W488" s="585"/>
      <c r="X488" s="585"/>
      <c r="Y488" s="615"/>
      <c r="Z488" s="615"/>
      <c r="AA488" s="615"/>
      <c r="AB488" s="615">
        <v>0</v>
      </c>
      <c r="AC488" s="615">
        <v>0</v>
      </c>
      <c r="AD488" s="615">
        <v>0</v>
      </c>
      <c r="AE488" s="615">
        <v>0</v>
      </c>
      <c r="AF488" s="615">
        <v>0</v>
      </c>
      <c r="AG488" s="615">
        <v>0</v>
      </c>
      <c r="AH488" s="615">
        <v>0</v>
      </c>
      <c r="AI488" s="615">
        <v>0</v>
      </c>
      <c r="AJ488" s="615">
        <v>0</v>
      </c>
      <c r="AK488" s="615">
        <v>0</v>
      </c>
      <c r="AL488" s="615">
        <v>0</v>
      </c>
      <c r="AM488" s="615">
        <v>0</v>
      </c>
      <c r="AN488" s="615">
        <v>0</v>
      </c>
      <c r="AO488" s="615">
        <v>0</v>
      </c>
      <c r="AP488" s="615">
        <v>0</v>
      </c>
      <c r="AQ488" s="615">
        <v>0</v>
      </c>
      <c r="AR488" s="615">
        <v>0</v>
      </c>
      <c r="AS488" s="615">
        <v>0</v>
      </c>
      <c r="AT488" s="615">
        <v>254408908</v>
      </c>
      <c r="AU488" s="615">
        <v>0</v>
      </c>
      <c r="AV488" s="615">
        <v>0</v>
      </c>
      <c r="AW488" s="615">
        <v>0</v>
      </c>
      <c r="AX488" s="615">
        <v>0</v>
      </c>
      <c r="AY488" s="615">
        <v>0</v>
      </c>
      <c r="AZ488" s="615">
        <v>0</v>
      </c>
      <c r="BA488" s="615">
        <v>0</v>
      </c>
      <c r="BB488" s="615">
        <v>0</v>
      </c>
      <c r="BC488" s="615">
        <v>0</v>
      </c>
      <c r="BD488" s="615">
        <v>0</v>
      </c>
      <c r="BE488" s="615">
        <v>0</v>
      </c>
      <c r="BF488" s="615">
        <v>0</v>
      </c>
      <c r="BG488" s="615">
        <v>0</v>
      </c>
      <c r="BH488" s="615">
        <v>0</v>
      </c>
      <c r="BI488" s="615">
        <v>0</v>
      </c>
      <c r="BJ488" s="615">
        <v>0</v>
      </c>
      <c r="BK488" s="615">
        <v>0</v>
      </c>
      <c r="BL488" s="615">
        <v>0</v>
      </c>
      <c r="BM488" s="615">
        <v>0</v>
      </c>
      <c r="BN488" s="615">
        <v>0</v>
      </c>
      <c r="BO488" s="615">
        <v>0</v>
      </c>
      <c r="BP488" s="615">
        <v>0</v>
      </c>
      <c r="BQ488" s="615">
        <v>0</v>
      </c>
      <c r="BR488" s="615">
        <v>0</v>
      </c>
      <c r="BS488" s="615">
        <v>0</v>
      </c>
      <c r="BT488" s="615">
        <v>0</v>
      </c>
      <c r="BU488" s="615">
        <v>0</v>
      </c>
      <c r="BV488" s="615">
        <v>0</v>
      </c>
      <c r="BW488" s="615">
        <v>0</v>
      </c>
      <c r="BX488" s="607">
        <f t="shared" si="17"/>
        <v>254408908</v>
      </c>
    </row>
    <row r="489" spans="1:76" ht="12" customHeight="1" x14ac:dyDescent="0.2">
      <c r="A489" s="902"/>
      <c r="B489" s="611" t="s">
        <v>1126</v>
      </c>
      <c r="C489" s="641" t="s">
        <v>3619</v>
      </c>
      <c r="D489" s="585"/>
      <c r="E489" s="585"/>
      <c r="F489" s="585"/>
      <c r="G489" s="585"/>
      <c r="H489" s="585"/>
      <c r="I489" s="585"/>
      <c r="J489" s="585"/>
      <c r="K489" s="585"/>
      <c r="L489" s="585"/>
      <c r="M489" s="585"/>
      <c r="N489" s="585"/>
      <c r="O489" s="585"/>
      <c r="P489" s="585"/>
      <c r="Q489" s="585"/>
      <c r="R489" s="585"/>
      <c r="S489" s="585"/>
      <c r="T489" s="585"/>
      <c r="U489" s="585"/>
      <c r="V489" s="585"/>
      <c r="W489" s="585"/>
      <c r="X489" s="585"/>
      <c r="Y489" s="615"/>
      <c r="Z489" s="615"/>
      <c r="AA489" s="615"/>
      <c r="AB489" s="615">
        <v>0</v>
      </c>
      <c r="AC489" s="615">
        <v>0</v>
      </c>
      <c r="AD489" s="615">
        <v>0</v>
      </c>
      <c r="AE489" s="615">
        <v>0</v>
      </c>
      <c r="AF489" s="615">
        <v>0</v>
      </c>
      <c r="AG489" s="615">
        <v>0</v>
      </c>
      <c r="AH489" s="615">
        <v>0</v>
      </c>
      <c r="AI489" s="615">
        <v>0</v>
      </c>
      <c r="AJ489" s="615">
        <v>0</v>
      </c>
      <c r="AK489" s="615">
        <v>0</v>
      </c>
      <c r="AL489" s="615">
        <v>0</v>
      </c>
      <c r="AM489" s="615">
        <v>0</v>
      </c>
      <c r="AN489" s="615">
        <v>0</v>
      </c>
      <c r="AO489" s="615">
        <v>0</v>
      </c>
      <c r="AP489" s="615">
        <v>0</v>
      </c>
      <c r="AQ489" s="615">
        <v>0</v>
      </c>
      <c r="AR489" s="615">
        <v>0</v>
      </c>
      <c r="AS489" s="615">
        <v>0</v>
      </c>
      <c r="AT489" s="615">
        <v>228043896</v>
      </c>
      <c r="AU489" s="615">
        <v>0</v>
      </c>
      <c r="AV489" s="615">
        <v>0</v>
      </c>
      <c r="AW489" s="615">
        <v>0</v>
      </c>
      <c r="AX489" s="615">
        <v>0</v>
      </c>
      <c r="AY489" s="615">
        <v>0</v>
      </c>
      <c r="AZ489" s="615">
        <v>0</v>
      </c>
      <c r="BA489" s="615">
        <v>0</v>
      </c>
      <c r="BB489" s="615">
        <v>0</v>
      </c>
      <c r="BC489" s="615">
        <v>0</v>
      </c>
      <c r="BD489" s="615">
        <v>0</v>
      </c>
      <c r="BE489" s="615">
        <v>0</v>
      </c>
      <c r="BF489" s="615">
        <v>0</v>
      </c>
      <c r="BG489" s="615">
        <v>0</v>
      </c>
      <c r="BH489" s="615">
        <v>0</v>
      </c>
      <c r="BI489" s="615">
        <v>0</v>
      </c>
      <c r="BJ489" s="615">
        <v>0</v>
      </c>
      <c r="BK489" s="615">
        <v>0</v>
      </c>
      <c r="BL489" s="615">
        <v>0</v>
      </c>
      <c r="BM489" s="615">
        <v>0</v>
      </c>
      <c r="BN489" s="615">
        <v>0</v>
      </c>
      <c r="BO489" s="615">
        <v>0</v>
      </c>
      <c r="BP489" s="615">
        <v>0</v>
      </c>
      <c r="BQ489" s="615">
        <v>0</v>
      </c>
      <c r="BR489" s="615">
        <v>0</v>
      </c>
      <c r="BS489" s="615">
        <v>0</v>
      </c>
      <c r="BT489" s="615">
        <v>0</v>
      </c>
      <c r="BU489" s="615">
        <v>0</v>
      </c>
      <c r="BV489" s="615">
        <v>0</v>
      </c>
      <c r="BW489" s="615">
        <v>0</v>
      </c>
      <c r="BX489" s="607">
        <f t="shared" si="17"/>
        <v>228043896</v>
      </c>
    </row>
    <row r="490" spans="1:76" ht="12" customHeight="1" x14ac:dyDescent="0.2">
      <c r="A490" s="902"/>
      <c r="B490" s="611" t="s">
        <v>1243</v>
      </c>
      <c r="C490" s="641" t="s">
        <v>3620</v>
      </c>
      <c r="D490" s="585"/>
      <c r="E490" s="585"/>
      <c r="F490" s="585"/>
      <c r="G490" s="585"/>
      <c r="H490" s="585"/>
      <c r="I490" s="585"/>
      <c r="J490" s="585"/>
      <c r="K490" s="585"/>
      <c r="L490" s="585"/>
      <c r="M490" s="585"/>
      <c r="N490" s="585"/>
      <c r="O490" s="585"/>
      <c r="P490" s="585"/>
      <c r="Q490" s="585"/>
      <c r="R490" s="585"/>
      <c r="S490" s="585"/>
      <c r="T490" s="585"/>
      <c r="U490" s="585"/>
      <c r="V490" s="585"/>
      <c r="W490" s="585"/>
      <c r="X490" s="585"/>
      <c r="Y490" s="615"/>
      <c r="Z490" s="615"/>
      <c r="AA490" s="615"/>
      <c r="AB490" s="615">
        <v>0</v>
      </c>
      <c r="AC490" s="615">
        <v>0</v>
      </c>
      <c r="AD490" s="615">
        <v>0</v>
      </c>
      <c r="AE490" s="615">
        <v>0</v>
      </c>
      <c r="AF490" s="615">
        <v>0</v>
      </c>
      <c r="AG490" s="615">
        <v>0</v>
      </c>
      <c r="AH490" s="615">
        <v>0</v>
      </c>
      <c r="AI490" s="615">
        <v>0</v>
      </c>
      <c r="AJ490" s="615">
        <v>0</v>
      </c>
      <c r="AK490" s="615">
        <v>0</v>
      </c>
      <c r="AL490" s="615">
        <v>0</v>
      </c>
      <c r="AM490" s="615">
        <v>0</v>
      </c>
      <c r="AN490" s="615">
        <v>0</v>
      </c>
      <c r="AO490" s="615">
        <v>0</v>
      </c>
      <c r="AP490" s="615">
        <v>0</v>
      </c>
      <c r="AQ490" s="615">
        <v>0</v>
      </c>
      <c r="AR490" s="615">
        <v>0</v>
      </c>
      <c r="AS490" s="615">
        <v>0</v>
      </c>
      <c r="AT490" s="615">
        <v>282050872</v>
      </c>
      <c r="AU490" s="615">
        <v>0</v>
      </c>
      <c r="AV490" s="615">
        <v>0</v>
      </c>
      <c r="AW490" s="615">
        <v>0</v>
      </c>
      <c r="AX490" s="615">
        <v>0</v>
      </c>
      <c r="AY490" s="615">
        <v>0</v>
      </c>
      <c r="AZ490" s="615">
        <v>0</v>
      </c>
      <c r="BA490" s="615">
        <v>0</v>
      </c>
      <c r="BB490" s="615">
        <v>0</v>
      </c>
      <c r="BC490" s="615">
        <v>0</v>
      </c>
      <c r="BD490" s="615">
        <v>0</v>
      </c>
      <c r="BE490" s="615">
        <v>0</v>
      </c>
      <c r="BF490" s="615">
        <v>0</v>
      </c>
      <c r="BG490" s="615">
        <v>0</v>
      </c>
      <c r="BH490" s="615">
        <v>0</v>
      </c>
      <c r="BI490" s="615">
        <v>0</v>
      </c>
      <c r="BJ490" s="615">
        <v>0</v>
      </c>
      <c r="BK490" s="615">
        <v>0</v>
      </c>
      <c r="BL490" s="615">
        <v>0</v>
      </c>
      <c r="BM490" s="615">
        <v>0</v>
      </c>
      <c r="BN490" s="615">
        <v>0</v>
      </c>
      <c r="BO490" s="615">
        <v>0</v>
      </c>
      <c r="BP490" s="615">
        <v>0</v>
      </c>
      <c r="BQ490" s="615">
        <v>0</v>
      </c>
      <c r="BR490" s="615">
        <v>0</v>
      </c>
      <c r="BS490" s="615">
        <v>0</v>
      </c>
      <c r="BT490" s="615">
        <v>0</v>
      </c>
      <c r="BU490" s="615">
        <v>0</v>
      </c>
      <c r="BV490" s="615">
        <v>0</v>
      </c>
      <c r="BW490" s="615">
        <v>0</v>
      </c>
      <c r="BX490" s="607">
        <f t="shared" si="17"/>
        <v>282050872</v>
      </c>
    </row>
    <row r="491" spans="1:76" ht="12" customHeight="1" x14ac:dyDescent="0.2">
      <c r="A491" s="902"/>
      <c r="B491" s="611" t="s">
        <v>1379</v>
      </c>
      <c r="C491" s="641" t="s">
        <v>3621</v>
      </c>
      <c r="D491" s="585"/>
      <c r="E491" s="585"/>
      <c r="F491" s="585"/>
      <c r="G491" s="585"/>
      <c r="H491" s="585"/>
      <c r="I491" s="585"/>
      <c r="J491" s="585"/>
      <c r="K491" s="585"/>
      <c r="L491" s="585"/>
      <c r="M491" s="585"/>
      <c r="N491" s="585"/>
      <c r="O491" s="585"/>
      <c r="P491" s="585"/>
      <c r="Q491" s="585"/>
      <c r="R491" s="585"/>
      <c r="S491" s="585"/>
      <c r="T491" s="585"/>
      <c r="U491" s="585"/>
      <c r="V491" s="585"/>
      <c r="W491" s="585"/>
      <c r="X491" s="585"/>
      <c r="Y491" s="615"/>
      <c r="Z491" s="615"/>
      <c r="AA491" s="615"/>
      <c r="AB491" s="615">
        <v>0</v>
      </c>
      <c r="AC491" s="615">
        <v>0</v>
      </c>
      <c r="AD491" s="615">
        <v>0</v>
      </c>
      <c r="AE491" s="615">
        <v>0</v>
      </c>
      <c r="AF491" s="615">
        <v>0</v>
      </c>
      <c r="AG491" s="615">
        <v>0</v>
      </c>
      <c r="AH491" s="615">
        <v>0</v>
      </c>
      <c r="AI491" s="615">
        <v>0</v>
      </c>
      <c r="AJ491" s="615">
        <v>0</v>
      </c>
      <c r="AK491" s="615">
        <v>0</v>
      </c>
      <c r="AL491" s="615">
        <v>0</v>
      </c>
      <c r="AM491" s="615">
        <v>0</v>
      </c>
      <c r="AN491" s="615">
        <v>0</v>
      </c>
      <c r="AO491" s="615">
        <v>0</v>
      </c>
      <c r="AP491" s="615">
        <v>0</v>
      </c>
      <c r="AQ491" s="615">
        <v>4800702</v>
      </c>
      <c r="AR491" s="615">
        <v>0</v>
      </c>
      <c r="AS491" s="615">
        <v>0</v>
      </c>
      <c r="AT491" s="615">
        <v>295447035</v>
      </c>
      <c r="AU491" s="615">
        <v>0</v>
      </c>
      <c r="AV491" s="615">
        <v>0</v>
      </c>
      <c r="AW491" s="615">
        <v>0</v>
      </c>
      <c r="AX491" s="615">
        <v>0</v>
      </c>
      <c r="AY491" s="615">
        <v>0</v>
      </c>
      <c r="AZ491" s="615">
        <v>0</v>
      </c>
      <c r="BA491" s="615">
        <v>0</v>
      </c>
      <c r="BB491" s="615">
        <v>0</v>
      </c>
      <c r="BC491" s="615">
        <v>0</v>
      </c>
      <c r="BD491" s="615">
        <v>0</v>
      </c>
      <c r="BE491" s="615">
        <v>0</v>
      </c>
      <c r="BF491" s="615">
        <v>0</v>
      </c>
      <c r="BG491" s="615">
        <v>0</v>
      </c>
      <c r="BH491" s="615">
        <v>0</v>
      </c>
      <c r="BI491" s="615">
        <v>0</v>
      </c>
      <c r="BJ491" s="615">
        <v>0</v>
      </c>
      <c r="BK491" s="615">
        <v>0</v>
      </c>
      <c r="BL491" s="615">
        <v>0</v>
      </c>
      <c r="BM491" s="615">
        <v>0</v>
      </c>
      <c r="BN491" s="615">
        <v>0</v>
      </c>
      <c r="BO491" s="615">
        <v>0</v>
      </c>
      <c r="BP491" s="615">
        <v>0</v>
      </c>
      <c r="BQ491" s="615">
        <v>0</v>
      </c>
      <c r="BR491" s="615">
        <v>0</v>
      </c>
      <c r="BS491" s="615">
        <v>0</v>
      </c>
      <c r="BT491" s="615">
        <v>0</v>
      </c>
      <c r="BU491" s="615">
        <v>0</v>
      </c>
      <c r="BV491" s="615">
        <v>0</v>
      </c>
      <c r="BW491" s="615">
        <v>0</v>
      </c>
      <c r="BX491" s="607">
        <f t="shared" si="17"/>
        <v>300247737</v>
      </c>
    </row>
    <row r="492" spans="1:76" ht="12" customHeight="1" x14ac:dyDescent="0.2">
      <c r="A492" s="902"/>
      <c r="B492" s="611" t="s">
        <v>3441</v>
      </c>
      <c r="C492" s="641" t="s">
        <v>3622</v>
      </c>
      <c r="D492" s="585"/>
      <c r="E492" s="585"/>
      <c r="F492" s="585"/>
      <c r="G492" s="585"/>
      <c r="H492" s="585"/>
      <c r="I492" s="585"/>
      <c r="J492" s="585"/>
      <c r="K492" s="585"/>
      <c r="L492" s="585"/>
      <c r="M492" s="585"/>
      <c r="N492" s="585"/>
      <c r="O492" s="585"/>
      <c r="P492" s="585"/>
      <c r="Q492" s="585"/>
      <c r="R492" s="585"/>
      <c r="S492" s="585"/>
      <c r="T492" s="585"/>
      <c r="U492" s="585"/>
      <c r="V492" s="585"/>
      <c r="W492" s="585"/>
      <c r="X492" s="585"/>
      <c r="Y492" s="615"/>
      <c r="Z492" s="615"/>
      <c r="AA492" s="615"/>
      <c r="AB492" s="615">
        <v>0</v>
      </c>
      <c r="AC492" s="615">
        <v>0</v>
      </c>
      <c r="AD492" s="615">
        <v>0</v>
      </c>
      <c r="AE492" s="615">
        <v>0</v>
      </c>
      <c r="AF492" s="615">
        <v>0</v>
      </c>
      <c r="AG492" s="615">
        <v>0</v>
      </c>
      <c r="AH492" s="615">
        <v>0</v>
      </c>
      <c r="AI492" s="615">
        <v>0</v>
      </c>
      <c r="AJ492" s="615">
        <v>0</v>
      </c>
      <c r="AK492" s="615">
        <v>0</v>
      </c>
      <c r="AL492" s="615">
        <v>0</v>
      </c>
      <c r="AM492" s="615">
        <v>0</v>
      </c>
      <c r="AN492" s="615">
        <v>0</v>
      </c>
      <c r="AO492" s="615">
        <v>0</v>
      </c>
      <c r="AP492" s="615">
        <v>0</v>
      </c>
      <c r="AQ492" s="615">
        <v>0</v>
      </c>
      <c r="AR492" s="615">
        <v>0</v>
      </c>
      <c r="AS492" s="615">
        <v>0</v>
      </c>
      <c r="AT492" s="615">
        <v>31342</v>
      </c>
      <c r="AU492" s="615">
        <v>79100000</v>
      </c>
      <c r="AV492" s="615">
        <v>0</v>
      </c>
      <c r="AW492" s="615">
        <v>0</v>
      </c>
      <c r="AX492" s="615">
        <v>43592371</v>
      </c>
      <c r="AY492" s="615">
        <v>300000000</v>
      </c>
      <c r="AZ492" s="615">
        <v>0</v>
      </c>
      <c r="BA492" s="615">
        <v>0</v>
      </c>
      <c r="BB492" s="615">
        <v>0</v>
      </c>
      <c r="BC492" s="615">
        <v>0</v>
      </c>
      <c r="BD492" s="615">
        <v>0</v>
      </c>
      <c r="BE492" s="615">
        <v>0</v>
      </c>
      <c r="BF492" s="615">
        <v>0</v>
      </c>
      <c r="BG492" s="615">
        <v>0</v>
      </c>
      <c r="BH492" s="615">
        <v>0</v>
      </c>
      <c r="BI492" s="615">
        <v>0</v>
      </c>
      <c r="BJ492" s="615">
        <v>0</v>
      </c>
      <c r="BK492" s="615">
        <v>0</v>
      </c>
      <c r="BL492" s="615">
        <v>0</v>
      </c>
      <c r="BM492" s="615">
        <v>0</v>
      </c>
      <c r="BN492" s="615">
        <v>0</v>
      </c>
      <c r="BO492" s="615">
        <v>0</v>
      </c>
      <c r="BP492" s="615">
        <v>0</v>
      </c>
      <c r="BQ492" s="615">
        <v>0</v>
      </c>
      <c r="BR492" s="615">
        <v>0</v>
      </c>
      <c r="BS492" s="615">
        <v>0</v>
      </c>
      <c r="BT492" s="615">
        <v>0</v>
      </c>
      <c r="BU492" s="615">
        <v>0</v>
      </c>
      <c r="BV492" s="615">
        <v>0</v>
      </c>
      <c r="BW492" s="615">
        <v>0</v>
      </c>
      <c r="BX492" s="607">
        <f t="shared" si="17"/>
        <v>422723713</v>
      </c>
    </row>
    <row r="493" spans="1:76" ht="12" customHeight="1" x14ac:dyDescent="0.2">
      <c r="A493" s="902"/>
      <c r="B493" s="611" t="s">
        <v>3010</v>
      </c>
      <c r="C493" s="641" t="s">
        <v>3623</v>
      </c>
      <c r="D493" s="585"/>
      <c r="E493" s="585"/>
      <c r="F493" s="585"/>
      <c r="G493" s="585"/>
      <c r="H493" s="585"/>
      <c r="I493" s="585"/>
      <c r="J493" s="585"/>
      <c r="K493" s="585"/>
      <c r="L493" s="585"/>
      <c r="M493" s="585"/>
      <c r="N493" s="585"/>
      <c r="O493" s="585"/>
      <c r="P493" s="585"/>
      <c r="Q493" s="585"/>
      <c r="R493" s="585"/>
      <c r="S493" s="585"/>
      <c r="T493" s="585"/>
      <c r="U493" s="585"/>
      <c r="V493" s="585"/>
      <c r="W493" s="585"/>
      <c r="X493" s="585"/>
      <c r="Y493" s="615"/>
      <c r="Z493" s="615"/>
      <c r="AA493" s="615"/>
      <c r="AB493" s="615">
        <v>0</v>
      </c>
      <c r="AC493" s="615">
        <v>0</v>
      </c>
      <c r="AD493" s="615">
        <v>0</v>
      </c>
      <c r="AE493" s="615">
        <v>0</v>
      </c>
      <c r="AF493" s="615">
        <v>0</v>
      </c>
      <c r="AG493" s="615">
        <v>0</v>
      </c>
      <c r="AH493" s="615">
        <v>0</v>
      </c>
      <c r="AI493" s="615">
        <v>0</v>
      </c>
      <c r="AJ493" s="615">
        <v>0</v>
      </c>
      <c r="AK493" s="615">
        <v>0</v>
      </c>
      <c r="AL493" s="615">
        <v>0</v>
      </c>
      <c r="AM493" s="615">
        <v>0</v>
      </c>
      <c r="AN493" s="615">
        <v>0</v>
      </c>
      <c r="AO493" s="615">
        <v>0</v>
      </c>
      <c r="AP493" s="615">
        <v>0</v>
      </c>
      <c r="AQ493" s="615">
        <v>0</v>
      </c>
      <c r="AR493" s="615">
        <v>1024378</v>
      </c>
      <c r="AS493" s="615">
        <v>314995100</v>
      </c>
      <c r="AT493" s="615">
        <v>0</v>
      </c>
      <c r="AU493" s="615">
        <v>0</v>
      </c>
      <c r="AV493" s="615">
        <v>0</v>
      </c>
      <c r="AW493" s="615">
        <v>0</v>
      </c>
      <c r="AX493" s="615">
        <v>0</v>
      </c>
      <c r="AY493" s="615">
        <v>0</v>
      </c>
      <c r="AZ493" s="615">
        <v>0</v>
      </c>
      <c r="BA493" s="615">
        <v>0</v>
      </c>
      <c r="BB493" s="615">
        <v>0</v>
      </c>
      <c r="BC493" s="615">
        <v>0</v>
      </c>
      <c r="BD493" s="615">
        <v>0</v>
      </c>
      <c r="BE493" s="615">
        <v>0</v>
      </c>
      <c r="BF493" s="615">
        <v>0</v>
      </c>
      <c r="BG493" s="615">
        <v>0</v>
      </c>
      <c r="BH493" s="615">
        <v>0</v>
      </c>
      <c r="BI493" s="615">
        <v>0</v>
      </c>
      <c r="BJ493" s="615">
        <v>0</v>
      </c>
      <c r="BK493" s="615">
        <v>0</v>
      </c>
      <c r="BL493" s="615">
        <v>0</v>
      </c>
      <c r="BM493" s="615">
        <v>0</v>
      </c>
      <c r="BN493" s="615">
        <v>0</v>
      </c>
      <c r="BO493" s="615">
        <v>0</v>
      </c>
      <c r="BP493" s="615">
        <v>0</v>
      </c>
      <c r="BQ493" s="615">
        <v>0</v>
      </c>
      <c r="BR493" s="615">
        <v>0</v>
      </c>
      <c r="BS493" s="615">
        <v>0</v>
      </c>
      <c r="BT493" s="615">
        <v>0</v>
      </c>
      <c r="BU493" s="615">
        <v>0</v>
      </c>
      <c r="BV493" s="615">
        <v>0</v>
      </c>
      <c r="BW493" s="615">
        <v>0</v>
      </c>
      <c r="BX493" s="607">
        <f t="shared" si="17"/>
        <v>316019478</v>
      </c>
    </row>
    <row r="494" spans="1:76" ht="12" customHeight="1" x14ac:dyDescent="0.2">
      <c r="A494" s="902"/>
      <c r="B494" s="611" t="s">
        <v>1625</v>
      </c>
      <c r="C494" s="641" t="s">
        <v>3624</v>
      </c>
      <c r="D494" s="585"/>
      <c r="E494" s="585"/>
      <c r="F494" s="585"/>
      <c r="G494" s="585"/>
      <c r="H494" s="585"/>
      <c r="I494" s="585"/>
      <c r="J494" s="585"/>
      <c r="K494" s="585"/>
      <c r="L494" s="585"/>
      <c r="M494" s="585"/>
      <c r="N494" s="585"/>
      <c r="O494" s="585"/>
      <c r="P494" s="585"/>
      <c r="Q494" s="585"/>
      <c r="R494" s="585"/>
      <c r="S494" s="585"/>
      <c r="T494" s="585"/>
      <c r="U494" s="585"/>
      <c r="V494" s="585"/>
      <c r="W494" s="585"/>
      <c r="X494" s="585"/>
      <c r="Y494" s="615"/>
      <c r="Z494" s="615"/>
      <c r="AA494" s="615"/>
      <c r="AB494" s="615">
        <v>0</v>
      </c>
      <c r="AC494" s="615">
        <v>0</v>
      </c>
      <c r="AD494" s="615">
        <v>0</v>
      </c>
      <c r="AE494" s="615">
        <v>0</v>
      </c>
      <c r="AF494" s="615">
        <v>0</v>
      </c>
      <c r="AG494" s="615">
        <v>0</v>
      </c>
      <c r="AH494" s="615">
        <v>0</v>
      </c>
      <c r="AI494" s="615">
        <v>0</v>
      </c>
      <c r="AJ494" s="615">
        <v>0</v>
      </c>
      <c r="AK494" s="615">
        <v>0</v>
      </c>
      <c r="AL494" s="615">
        <v>0</v>
      </c>
      <c r="AM494" s="615">
        <v>0</v>
      </c>
      <c r="AN494" s="615">
        <v>0</v>
      </c>
      <c r="AO494" s="615">
        <v>0</v>
      </c>
      <c r="AP494" s="615">
        <v>0</v>
      </c>
      <c r="AQ494" s="615">
        <v>0</v>
      </c>
      <c r="AR494" s="615">
        <v>0</v>
      </c>
      <c r="AS494" s="615">
        <v>0</v>
      </c>
      <c r="AT494" s="615">
        <v>0</v>
      </c>
      <c r="AU494" s="615">
        <v>0</v>
      </c>
      <c r="AV494" s="615">
        <v>216838462</v>
      </c>
      <c r="AW494" s="615">
        <v>0</v>
      </c>
      <c r="AX494" s="615">
        <v>0</v>
      </c>
      <c r="AY494" s="615">
        <v>0</v>
      </c>
      <c r="AZ494" s="615">
        <v>0</v>
      </c>
      <c r="BA494" s="615">
        <v>0</v>
      </c>
      <c r="BB494" s="615">
        <v>0</v>
      </c>
      <c r="BC494" s="615">
        <v>0</v>
      </c>
      <c r="BD494" s="615">
        <v>0</v>
      </c>
      <c r="BE494" s="615">
        <v>0</v>
      </c>
      <c r="BF494" s="615">
        <v>0</v>
      </c>
      <c r="BG494" s="615">
        <v>0</v>
      </c>
      <c r="BH494" s="615">
        <v>0</v>
      </c>
      <c r="BI494" s="615">
        <v>0</v>
      </c>
      <c r="BJ494" s="615">
        <v>0</v>
      </c>
      <c r="BK494" s="615">
        <v>0</v>
      </c>
      <c r="BL494" s="615">
        <v>0</v>
      </c>
      <c r="BM494" s="615">
        <v>0</v>
      </c>
      <c r="BN494" s="615">
        <v>0</v>
      </c>
      <c r="BO494" s="615">
        <v>0</v>
      </c>
      <c r="BP494" s="615">
        <v>0</v>
      </c>
      <c r="BQ494" s="615">
        <v>0</v>
      </c>
      <c r="BR494" s="615">
        <v>0</v>
      </c>
      <c r="BS494" s="615">
        <v>0</v>
      </c>
      <c r="BT494" s="615">
        <v>0</v>
      </c>
      <c r="BU494" s="615">
        <v>0</v>
      </c>
      <c r="BV494" s="615">
        <v>0</v>
      </c>
      <c r="BW494" s="615">
        <v>0</v>
      </c>
      <c r="BX494" s="607">
        <f t="shared" si="17"/>
        <v>216838462</v>
      </c>
    </row>
    <row r="495" spans="1:76" ht="12" customHeight="1" x14ac:dyDescent="0.2">
      <c r="A495" s="902"/>
      <c r="B495" s="611" t="s">
        <v>1087</v>
      </c>
      <c r="C495" s="641" t="s">
        <v>3625</v>
      </c>
      <c r="D495" s="585"/>
      <c r="E495" s="585"/>
      <c r="F495" s="585"/>
      <c r="G495" s="585"/>
      <c r="H495" s="585"/>
      <c r="I495" s="585"/>
      <c r="J495" s="585"/>
      <c r="K495" s="585"/>
      <c r="L495" s="585"/>
      <c r="M495" s="585"/>
      <c r="N495" s="585"/>
      <c r="O495" s="585"/>
      <c r="P495" s="585"/>
      <c r="Q495" s="585"/>
      <c r="R495" s="585"/>
      <c r="S495" s="585"/>
      <c r="T495" s="585"/>
      <c r="U495" s="585"/>
      <c r="V495" s="585"/>
      <c r="W495" s="585"/>
      <c r="X495" s="585"/>
      <c r="Y495" s="615"/>
      <c r="Z495" s="615"/>
      <c r="AA495" s="615"/>
      <c r="AB495" s="615">
        <v>0</v>
      </c>
      <c r="AC495" s="615">
        <v>0</v>
      </c>
      <c r="AD495" s="615">
        <v>0</v>
      </c>
      <c r="AE495" s="615">
        <v>0</v>
      </c>
      <c r="AF495" s="615">
        <v>0</v>
      </c>
      <c r="AG495" s="615">
        <v>0</v>
      </c>
      <c r="AH495" s="615">
        <v>0</v>
      </c>
      <c r="AI495" s="615">
        <v>0</v>
      </c>
      <c r="AJ495" s="615">
        <v>0</v>
      </c>
      <c r="AK495" s="615">
        <v>0</v>
      </c>
      <c r="AL495" s="615">
        <v>0</v>
      </c>
      <c r="AM495" s="615">
        <v>0</v>
      </c>
      <c r="AN495" s="615">
        <v>0</v>
      </c>
      <c r="AO495" s="615">
        <v>0</v>
      </c>
      <c r="AP495" s="615">
        <v>0</v>
      </c>
      <c r="AQ495" s="615">
        <v>0</v>
      </c>
      <c r="AR495" s="615">
        <v>0</v>
      </c>
      <c r="AS495" s="615">
        <v>0</v>
      </c>
      <c r="AT495" s="615">
        <v>0</v>
      </c>
      <c r="AU495" s="615">
        <v>0</v>
      </c>
      <c r="AV495" s="615">
        <v>284466993</v>
      </c>
      <c r="AW495" s="615">
        <v>0</v>
      </c>
      <c r="AX495" s="615">
        <v>0</v>
      </c>
      <c r="AY495" s="615">
        <v>0</v>
      </c>
      <c r="AZ495" s="615">
        <v>0</v>
      </c>
      <c r="BA495" s="615">
        <v>0</v>
      </c>
      <c r="BB495" s="615">
        <v>0</v>
      </c>
      <c r="BC495" s="615">
        <v>0</v>
      </c>
      <c r="BD495" s="615">
        <v>0</v>
      </c>
      <c r="BE495" s="615">
        <v>0</v>
      </c>
      <c r="BF495" s="615">
        <v>0</v>
      </c>
      <c r="BG495" s="615">
        <v>0</v>
      </c>
      <c r="BH495" s="615">
        <v>0</v>
      </c>
      <c r="BI495" s="615">
        <v>0</v>
      </c>
      <c r="BJ495" s="615">
        <v>0</v>
      </c>
      <c r="BK495" s="615">
        <v>0</v>
      </c>
      <c r="BL495" s="615">
        <v>0</v>
      </c>
      <c r="BM495" s="615">
        <v>0</v>
      </c>
      <c r="BN495" s="615">
        <v>0</v>
      </c>
      <c r="BO495" s="615">
        <v>0</v>
      </c>
      <c r="BP495" s="615">
        <v>0</v>
      </c>
      <c r="BQ495" s="615">
        <v>0</v>
      </c>
      <c r="BR495" s="615">
        <v>0</v>
      </c>
      <c r="BS495" s="615">
        <v>0</v>
      </c>
      <c r="BT495" s="615">
        <v>0</v>
      </c>
      <c r="BU495" s="615">
        <v>0</v>
      </c>
      <c r="BV495" s="615">
        <v>0</v>
      </c>
      <c r="BW495" s="615">
        <v>0</v>
      </c>
      <c r="BX495" s="607">
        <f t="shared" si="17"/>
        <v>284466993</v>
      </c>
    </row>
    <row r="496" spans="1:76" ht="12" customHeight="1" x14ac:dyDescent="0.2">
      <c r="A496" s="902"/>
      <c r="B496" s="611" t="s">
        <v>3226</v>
      </c>
      <c r="C496" s="641" t="s">
        <v>3626</v>
      </c>
      <c r="D496" s="585"/>
      <c r="E496" s="585"/>
      <c r="F496" s="585"/>
      <c r="G496" s="585"/>
      <c r="H496" s="585"/>
      <c r="I496" s="585"/>
      <c r="J496" s="585"/>
      <c r="K496" s="585"/>
      <c r="L496" s="585"/>
      <c r="M496" s="585"/>
      <c r="N496" s="585"/>
      <c r="O496" s="585"/>
      <c r="P496" s="585"/>
      <c r="Q496" s="585"/>
      <c r="R496" s="585"/>
      <c r="S496" s="585"/>
      <c r="T496" s="585"/>
      <c r="U496" s="585"/>
      <c r="V496" s="585"/>
      <c r="W496" s="585"/>
      <c r="X496" s="585"/>
      <c r="Y496" s="615"/>
      <c r="Z496" s="615"/>
      <c r="AA496" s="615"/>
      <c r="AB496" s="615"/>
      <c r="AC496" s="615"/>
      <c r="AD496" s="615"/>
      <c r="AE496" s="615"/>
      <c r="AF496" s="615"/>
      <c r="AG496" s="615">
        <v>0</v>
      </c>
      <c r="AH496" s="615">
        <v>0</v>
      </c>
      <c r="AI496" s="615">
        <v>0</v>
      </c>
      <c r="AJ496" s="615">
        <v>0</v>
      </c>
      <c r="AK496" s="615">
        <v>0</v>
      </c>
      <c r="AL496" s="615">
        <v>0</v>
      </c>
      <c r="AM496" s="615">
        <v>0</v>
      </c>
      <c r="AN496" s="615">
        <v>0</v>
      </c>
      <c r="AO496" s="615">
        <v>0</v>
      </c>
      <c r="AP496" s="615">
        <v>0</v>
      </c>
      <c r="AQ496" s="615">
        <v>0</v>
      </c>
      <c r="AR496" s="615">
        <v>0</v>
      </c>
      <c r="AS496" s="615">
        <v>0</v>
      </c>
      <c r="AT496" s="615">
        <v>0</v>
      </c>
      <c r="AU496" s="615">
        <v>0</v>
      </c>
      <c r="AV496" s="615">
        <v>332935200</v>
      </c>
      <c r="AW496" s="615">
        <v>0</v>
      </c>
      <c r="AX496" s="615">
        <v>0</v>
      </c>
      <c r="AY496" s="615">
        <v>0</v>
      </c>
      <c r="AZ496" s="615">
        <v>0</v>
      </c>
      <c r="BA496" s="615">
        <v>0</v>
      </c>
      <c r="BB496" s="615">
        <v>0</v>
      </c>
      <c r="BC496" s="615">
        <v>0</v>
      </c>
      <c r="BD496" s="615">
        <v>0</v>
      </c>
      <c r="BE496" s="615">
        <v>0</v>
      </c>
      <c r="BF496" s="615">
        <v>0</v>
      </c>
      <c r="BG496" s="615">
        <v>0</v>
      </c>
      <c r="BH496" s="615">
        <v>0</v>
      </c>
      <c r="BI496" s="615">
        <v>0</v>
      </c>
      <c r="BJ496" s="615">
        <v>0</v>
      </c>
      <c r="BK496" s="615">
        <v>0</v>
      </c>
      <c r="BL496" s="615">
        <v>0</v>
      </c>
      <c r="BM496" s="615">
        <v>0</v>
      </c>
      <c r="BN496" s="615">
        <v>0</v>
      </c>
      <c r="BO496" s="615">
        <v>0</v>
      </c>
      <c r="BP496" s="615">
        <v>0</v>
      </c>
      <c r="BQ496" s="615">
        <v>0</v>
      </c>
      <c r="BR496" s="615">
        <v>0</v>
      </c>
      <c r="BS496" s="615">
        <v>0</v>
      </c>
      <c r="BT496" s="615">
        <v>0</v>
      </c>
      <c r="BU496" s="615">
        <v>0</v>
      </c>
      <c r="BV496" s="615">
        <v>0</v>
      </c>
      <c r="BW496" s="615">
        <v>0</v>
      </c>
      <c r="BX496" s="607">
        <f t="shared" si="17"/>
        <v>332935200</v>
      </c>
    </row>
    <row r="497" spans="1:76" ht="12" customHeight="1" x14ac:dyDescent="0.2">
      <c r="A497" s="902"/>
      <c r="B497" s="611" t="s">
        <v>1174</v>
      </c>
      <c r="C497" s="641" t="s">
        <v>3627</v>
      </c>
      <c r="D497" s="585"/>
      <c r="E497" s="585"/>
      <c r="F497" s="585"/>
      <c r="G497" s="585"/>
      <c r="H497" s="585"/>
      <c r="I497" s="585"/>
      <c r="J497" s="585"/>
      <c r="K497" s="585"/>
      <c r="L497" s="585"/>
      <c r="M497" s="585"/>
      <c r="N497" s="585"/>
      <c r="O497" s="585"/>
      <c r="P497" s="585"/>
      <c r="Q497" s="585"/>
      <c r="R497" s="585"/>
      <c r="S497" s="585"/>
      <c r="T497" s="585"/>
      <c r="U497" s="585"/>
      <c r="V497" s="585"/>
      <c r="W497" s="585"/>
      <c r="X497" s="585"/>
      <c r="Y497" s="615"/>
      <c r="Z497" s="615"/>
      <c r="AA497" s="615"/>
      <c r="AB497" s="615"/>
      <c r="AC497" s="615"/>
      <c r="AD497" s="615"/>
      <c r="AE497" s="615"/>
      <c r="AF497" s="615"/>
      <c r="AG497" s="615">
        <v>0</v>
      </c>
      <c r="AH497" s="615">
        <v>0</v>
      </c>
      <c r="AI497" s="615">
        <v>0</v>
      </c>
      <c r="AJ497" s="615">
        <v>0</v>
      </c>
      <c r="AK497" s="615">
        <v>0</v>
      </c>
      <c r="AL497" s="615">
        <v>0</v>
      </c>
      <c r="AM497" s="615">
        <v>0</v>
      </c>
      <c r="AN497" s="615">
        <v>0</v>
      </c>
      <c r="AO497" s="615">
        <v>0</v>
      </c>
      <c r="AP497" s="615">
        <v>0</v>
      </c>
      <c r="AQ497" s="615">
        <v>0</v>
      </c>
      <c r="AR497" s="615">
        <v>0</v>
      </c>
      <c r="AS497" s="615">
        <v>0</v>
      </c>
      <c r="AT497" s="615">
        <v>283632765</v>
      </c>
      <c r="AU497" s="615">
        <v>0</v>
      </c>
      <c r="AV497" s="615">
        <v>0</v>
      </c>
      <c r="AW497" s="615">
        <v>0</v>
      </c>
      <c r="AX497" s="615">
        <v>0</v>
      </c>
      <c r="AY497" s="615">
        <v>0</v>
      </c>
      <c r="AZ497" s="615">
        <v>0</v>
      </c>
      <c r="BA497" s="615">
        <v>0</v>
      </c>
      <c r="BB497" s="615">
        <v>0</v>
      </c>
      <c r="BC497" s="615">
        <v>0</v>
      </c>
      <c r="BD497" s="615">
        <v>0</v>
      </c>
      <c r="BE497" s="615">
        <v>0</v>
      </c>
      <c r="BF497" s="615">
        <v>0</v>
      </c>
      <c r="BG497" s="615">
        <v>0</v>
      </c>
      <c r="BH497" s="615">
        <v>0</v>
      </c>
      <c r="BI497" s="615">
        <v>0</v>
      </c>
      <c r="BJ497" s="615">
        <v>0</v>
      </c>
      <c r="BK497" s="615">
        <v>0</v>
      </c>
      <c r="BL497" s="615">
        <v>0</v>
      </c>
      <c r="BM497" s="615">
        <v>0</v>
      </c>
      <c r="BN497" s="615">
        <v>0</v>
      </c>
      <c r="BO497" s="615">
        <v>0</v>
      </c>
      <c r="BP497" s="615">
        <v>0</v>
      </c>
      <c r="BQ497" s="615">
        <v>0</v>
      </c>
      <c r="BR497" s="615">
        <v>0</v>
      </c>
      <c r="BS497" s="615">
        <v>0</v>
      </c>
      <c r="BT497" s="615">
        <v>0</v>
      </c>
      <c r="BU497" s="615">
        <v>0</v>
      </c>
      <c r="BV497" s="615">
        <v>0</v>
      </c>
      <c r="BW497" s="615">
        <v>0</v>
      </c>
      <c r="BX497" s="607">
        <f t="shared" si="17"/>
        <v>283632765</v>
      </c>
    </row>
    <row r="498" spans="1:76" ht="12" customHeight="1" x14ac:dyDescent="0.2">
      <c r="A498" s="902"/>
      <c r="B498" s="611" t="s">
        <v>1227</v>
      </c>
      <c r="C498" s="641" t="s">
        <v>3628</v>
      </c>
      <c r="D498" s="585"/>
      <c r="E498" s="585"/>
      <c r="F498" s="585"/>
      <c r="G498" s="585"/>
      <c r="H498" s="585"/>
      <c r="I498" s="585"/>
      <c r="J498" s="585"/>
      <c r="K498" s="585"/>
      <c r="L498" s="585"/>
      <c r="M498" s="585"/>
      <c r="N498" s="585"/>
      <c r="O498" s="585"/>
      <c r="P498" s="585"/>
      <c r="Q498" s="585"/>
      <c r="R498" s="585"/>
      <c r="S498" s="585"/>
      <c r="T498" s="585"/>
      <c r="U498" s="585"/>
      <c r="V498" s="585"/>
      <c r="W498" s="585"/>
      <c r="X498" s="585"/>
      <c r="Y498" s="615"/>
      <c r="Z498" s="615"/>
      <c r="AA498" s="615"/>
      <c r="AB498" s="615"/>
      <c r="AC498" s="615"/>
      <c r="AD498" s="615"/>
      <c r="AE498" s="615"/>
      <c r="AF498" s="615"/>
      <c r="AG498" s="615">
        <v>0</v>
      </c>
      <c r="AH498" s="615">
        <v>0</v>
      </c>
      <c r="AI498" s="615">
        <v>0</v>
      </c>
      <c r="AJ498" s="615">
        <v>0</v>
      </c>
      <c r="AK498" s="615">
        <v>0</v>
      </c>
      <c r="AL498" s="615">
        <v>0</v>
      </c>
      <c r="AM498" s="615">
        <v>0</v>
      </c>
      <c r="AN498" s="615">
        <v>0</v>
      </c>
      <c r="AO498" s="615">
        <v>0</v>
      </c>
      <c r="AP498" s="615">
        <v>0</v>
      </c>
      <c r="AQ498" s="615">
        <v>0</v>
      </c>
      <c r="AR498" s="615">
        <v>0</v>
      </c>
      <c r="AS498" s="615">
        <v>0</v>
      </c>
      <c r="AT498" s="615">
        <v>280206890</v>
      </c>
      <c r="AU498" s="615">
        <v>0</v>
      </c>
      <c r="AV498" s="615">
        <v>0</v>
      </c>
      <c r="AW498" s="615">
        <v>0</v>
      </c>
      <c r="AX498" s="615">
        <v>0</v>
      </c>
      <c r="AY498" s="615">
        <v>0</v>
      </c>
      <c r="AZ498" s="615">
        <v>0</v>
      </c>
      <c r="BA498" s="615">
        <v>0</v>
      </c>
      <c r="BB498" s="615">
        <v>0</v>
      </c>
      <c r="BC498" s="615">
        <v>0</v>
      </c>
      <c r="BD498" s="615">
        <v>0</v>
      </c>
      <c r="BE498" s="615">
        <v>0</v>
      </c>
      <c r="BF498" s="615">
        <v>0</v>
      </c>
      <c r="BG498" s="615">
        <v>0</v>
      </c>
      <c r="BH498" s="615">
        <v>0</v>
      </c>
      <c r="BI498" s="615">
        <v>0</v>
      </c>
      <c r="BJ498" s="615">
        <v>0</v>
      </c>
      <c r="BK498" s="615">
        <v>0</v>
      </c>
      <c r="BL498" s="615">
        <v>0</v>
      </c>
      <c r="BM498" s="615">
        <v>0</v>
      </c>
      <c r="BN498" s="615">
        <v>0</v>
      </c>
      <c r="BO498" s="615">
        <v>0</v>
      </c>
      <c r="BP498" s="615">
        <v>0</v>
      </c>
      <c r="BQ498" s="615">
        <v>0</v>
      </c>
      <c r="BR498" s="615">
        <v>0</v>
      </c>
      <c r="BS498" s="615">
        <v>0</v>
      </c>
      <c r="BT498" s="615">
        <v>0</v>
      </c>
      <c r="BU498" s="615">
        <v>0</v>
      </c>
      <c r="BV498" s="615">
        <v>0</v>
      </c>
      <c r="BW498" s="615">
        <v>0</v>
      </c>
      <c r="BX498" s="607">
        <f t="shared" si="17"/>
        <v>280206890</v>
      </c>
    </row>
    <row r="499" spans="1:76" ht="12" customHeight="1" x14ac:dyDescent="0.2">
      <c r="A499" s="902"/>
      <c r="B499" s="611" t="s">
        <v>1086</v>
      </c>
      <c r="C499" s="641" t="s">
        <v>3629</v>
      </c>
      <c r="D499" s="585"/>
      <c r="E499" s="585"/>
      <c r="F499" s="585"/>
      <c r="G499" s="585"/>
      <c r="H499" s="585"/>
      <c r="I499" s="585"/>
      <c r="J499" s="585"/>
      <c r="K499" s="585"/>
      <c r="L499" s="585"/>
      <c r="M499" s="585"/>
      <c r="N499" s="585"/>
      <c r="O499" s="585"/>
      <c r="P499" s="585"/>
      <c r="Q499" s="585"/>
      <c r="R499" s="585"/>
      <c r="S499" s="585"/>
      <c r="T499" s="585"/>
      <c r="U499" s="585"/>
      <c r="V499" s="585"/>
      <c r="W499" s="585"/>
      <c r="X499" s="585"/>
      <c r="Y499" s="615"/>
      <c r="Z499" s="615"/>
      <c r="AA499" s="615"/>
      <c r="AB499" s="615"/>
      <c r="AC499" s="615"/>
      <c r="AD499" s="615"/>
      <c r="AE499" s="615"/>
      <c r="AF499" s="615"/>
      <c r="AG499" s="615">
        <v>0</v>
      </c>
      <c r="AH499" s="615">
        <v>0</v>
      </c>
      <c r="AI499" s="615">
        <v>0</v>
      </c>
      <c r="AJ499" s="615">
        <v>0</v>
      </c>
      <c r="AK499" s="615">
        <v>0</v>
      </c>
      <c r="AL499" s="615">
        <v>0</v>
      </c>
      <c r="AM499" s="615">
        <v>0</v>
      </c>
      <c r="AN499" s="615">
        <v>0</v>
      </c>
      <c r="AO499" s="615">
        <v>0</v>
      </c>
      <c r="AP499" s="615">
        <v>0</v>
      </c>
      <c r="AQ499" s="615">
        <v>0</v>
      </c>
      <c r="AR499" s="615">
        <v>0</v>
      </c>
      <c r="AS499" s="615">
        <v>0</v>
      </c>
      <c r="AT499" s="615">
        <v>0</v>
      </c>
      <c r="AU499" s="615">
        <v>0</v>
      </c>
      <c r="AV499" s="615">
        <v>100000000</v>
      </c>
      <c r="AW499" s="615">
        <v>0</v>
      </c>
      <c r="AX499" s="615">
        <v>0</v>
      </c>
      <c r="AY499" s="615">
        <v>0</v>
      </c>
      <c r="AZ499" s="615">
        <v>0</v>
      </c>
      <c r="BA499" s="615">
        <v>0</v>
      </c>
      <c r="BB499" s="615">
        <v>0</v>
      </c>
      <c r="BC499" s="615">
        <v>0</v>
      </c>
      <c r="BD499" s="615">
        <v>0</v>
      </c>
      <c r="BE499" s="615">
        <v>0</v>
      </c>
      <c r="BF499" s="615">
        <v>0</v>
      </c>
      <c r="BG499" s="615">
        <v>0</v>
      </c>
      <c r="BH499" s="615">
        <v>0</v>
      </c>
      <c r="BI499" s="615">
        <v>0</v>
      </c>
      <c r="BJ499" s="615">
        <v>0</v>
      </c>
      <c r="BK499" s="615">
        <v>0</v>
      </c>
      <c r="BL499" s="615">
        <v>0</v>
      </c>
      <c r="BM499" s="615">
        <v>0</v>
      </c>
      <c r="BN499" s="615">
        <v>0</v>
      </c>
      <c r="BO499" s="615">
        <v>0</v>
      </c>
      <c r="BP499" s="615">
        <v>0</v>
      </c>
      <c r="BQ499" s="615">
        <v>0</v>
      </c>
      <c r="BR499" s="615">
        <v>0</v>
      </c>
      <c r="BS499" s="615">
        <v>0</v>
      </c>
      <c r="BT499" s="615">
        <v>0</v>
      </c>
      <c r="BU499" s="615">
        <v>0</v>
      </c>
      <c r="BV499" s="615">
        <v>0</v>
      </c>
      <c r="BW499" s="615">
        <v>0</v>
      </c>
      <c r="BX499" s="607">
        <f t="shared" si="17"/>
        <v>100000000</v>
      </c>
    </row>
    <row r="500" spans="1:76" ht="12" customHeight="1" x14ac:dyDescent="0.2">
      <c r="A500" s="902"/>
      <c r="B500" s="611" t="s">
        <v>1085</v>
      </c>
      <c r="C500" s="641" t="s">
        <v>3630</v>
      </c>
      <c r="D500" s="585"/>
      <c r="E500" s="585"/>
      <c r="F500" s="585"/>
      <c r="G500" s="585"/>
      <c r="H500" s="585"/>
      <c r="I500" s="585"/>
      <c r="J500" s="585"/>
      <c r="K500" s="585"/>
      <c r="L500" s="585"/>
      <c r="M500" s="585"/>
      <c r="N500" s="585"/>
      <c r="O500" s="585"/>
      <c r="P500" s="585"/>
      <c r="Q500" s="585"/>
      <c r="R500" s="585"/>
      <c r="S500" s="585"/>
      <c r="T500" s="585"/>
      <c r="U500" s="585"/>
      <c r="V500" s="585"/>
      <c r="W500" s="585"/>
      <c r="X500" s="585"/>
      <c r="Y500" s="615"/>
      <c r="Z500" s="615"/>
      <c r="AA500" s="615"/>
      <c r="AB500" s="615"/>
      <c r="AC500" s="615"/>
      <c r="AD500" s="615"/>
      <c r="AE500" s="615"/>
      <c r="AF500" s="615"/>
      <c r="AG500" s="615">
        <v>0</v>
      </c>
      <c r="AH500" s="615">
        <v>0</v>
      </c>
      <c r="AI500" s="615">
        <v>0</v>
      </c>
      <c r="AJ500" s="615">
        <v>0</v>
      </c>
      <c r="AK500" s="615">
        <v>0</v>
      </c>
      <c r="AL500" s="615">
        <v>0</v>
      </c>
      <c r="AM500" s="615">
        <v>0</v>
      </c>
      <c r="AN500" s="615">
        <v>0</v>
      </c>
      <c r="AO500" s="615">
        <v>0</v>
      </c>
      <c r="AP500" s="615">
        <v>0</v>
      </c>
      <c r="AQ500" s="615">
        <v>0</v>
      </c>
      <c r="AR500" s="615">
        <v>0</v>
      </c>
      <c r="AS500" s="615">
        <v>0</v>
      </c>
      <c r="AT500" s="615">
        <v>0</v>
      </c>
      <c r="AU500" s="615">
        <v>0</v>
      </c>
      <c r="AV500" s="615">
        <v>27409213</v>
      </c>
      <c r="AW500" s="615">
        <v>27409213</v>
      </c>
      <c r="AX500" s="615">
        <v>27409213</v>
      </c>
      <c r="AY500" s="615">
        <v>27409213</v>
      </c>
      <c r="AZ500" s="615">
        <v>26472808</v>
      </c>
      <c r="BA500" s="615">
        <v>0</v>
      </c>
      <c r="BB500" s="615">
        <v>0</v>
      </c>
      <c r="BC500" s="615">
        <v>0</v>
      </c>
      <c r="BD500" s="615">
        <v>0</v>
      </c>
      <c r="BE500" s="615">
        <v>0</v>
      </c>
      <c r="BF500" s="615">
        <v>0</v>
      </c>
      <c r="BG500" s="615">
        <v>0</v>
      </c>
      <c r="BH500" s="615">
        <v>0</v>
      </c>
      <c r="BI500" s="615">
        <v>0</v>
      </c>
      <c r="BJ500" s="615">
        <v>0</v>
      </c>
      <c r="BK500" s="615">
        <v>0</v>
      </c>
      <c r="BL500" s="615">
        <v>0</v>
      </c>
      <c r="BM500" s="615">
        <v>0</v>
      </c>
      <c r="BN500" s="615">
        <v>0</v>
      </c>
      <c r="BO500" s="615">
        <v>0</v>
      </c>
      <c r="BP500" s="615">
        <v>0</v>
      </c>
      <c r="BQ500" s="615">
        <v>0</v>
      </c>
      <c r="BR500" s="615">
        <v>0</v>
      </c>
      <c r="BS500" s="615">
        <v>0</v>
      </c>
      <c r="BT500" s="615">
        <v>0</v>
      </c>
      <c r="BU500" s="615">
        <v>0</v>
      </c>
      <c r="BV500" s="615">
        <v>0</v>
      </c>
      <c r="BW500" s="615">
        <v>0</v>
      </c>
      <c r="BX500" s="607">
        <f t="shared" si="17"/>
        <v>136109660</v>
      </c>
    </row>
    <row r="501" spans="1:76" ht="12" customHeight="1" x14ac:dyDescent="0.2">
      <c r="A501" s="902"/>
      <c r="B501" s="611" t="s">
        <v>1101</v>
      </c>
      <c r="C501" s="641" t="s">
        <v>3631</v>
      </c>
      <c r="D501" s="585"/>
      <c r="E501" s="585"/>
      <c r="F501" s="585"/>
      <c r="G501" s="585"/>
      <c r="H501" s="585"/>
      <c r="I501" s="585"/>
      <c r="J501" s="585"/>
      <c r="K501" s="585"/>
      <c r="L501" s="585"/>
      <c r="M501" s="585"/>
      <c r="N501" s="585"/>
      <c r="O501" s="585"/>
      <c r="P501" s="585"/>
      <c r="Q501" s="585"/>
      <c r="R501" s="585"/>
      <c r="S501" s="585"/>
      <c r="T501" s="585"/>
      <c r="U501" s="585"/>
      <c r="V501" s="585"/>
      <c r="W501" s="585"/>
      <c r="X501" s="585"/>
      <c r="Y501" s="615"/>
      <c r="Z501" s="615"/>
      <c r="AA501" s="615"/>
      <c r="AB501" s="615"/>
      <c r="AC501" s="615"/>
      <c r="AD501" s="615"/>
      <c r="AE501" s="615"/>
      <c r="AF501" s="615"/>
      <c r="AG501" s="615">
        <v>0</v>
      </c>
      <c r="AH501" s="615">
        <v>0</v>
      </c>
      <c r="AI501" s="615">
        <v>0</v>
      </c>
      <c r="AJ501" s="615">
        <v>0</v>
      </c>
      <c r="AK501" s="615">
        <v>0</v>
      </c>
      <c r="AL501" s="615">
        <v>0</v>
      </c>
      <c r="AM501" s="615">
        <v>0</v>
      </c>
      <c r="AN501" s="615">
        <v>0</v>
      </c>
      <c r="AO501" s="615">
        <v>0</v>
      </c>
      <c r="AP501" s="615">
        <v>0</v>
      </c>
      <c r="AQ501" s="615">
        <v>0</v>
      </c>
      <c r="AR501" s="615">
        <v>0</v>
      </c>
      <c r="AS501" s="615">
        <v>0</v>
      </c>
      <c r="AT501" s="615">
        <v>0</v>
      </c>
      <c r="AU501" s="615">
        <v>0</v>
      </c>
      <c r="AV501" s="615">
        <v>275000000</v>
      </c>
      <c r="AW501" s="615">
        <v>0</v>
      </c>
      <c r="AX501" s="615">
        <v>0</v>
      </c>
      <c r="AY501" s="615">
        <v>0</v>
      </c>
      <c r="AZ501" s="615">
        <v>0</v>
      </c>
      <c r="BA501" s="615">
        <v>0</v>
      </c>
      <c r="BB501" s="615">
        <v>0</v>
      </c>
      <c r="BC501" s="615">
        <v>0</v>
      </c>
      <c r="BD501" s="615">
        <v>0</v>
      </c>
      <c r="BE501" s="615">
        <v>0</v>
      </c>
      <c r="BF501" s="615">
        <v>0</v>
      </c>
      <c r="BG501" s="615">
        <v>0</v>
      </c>
      <c r="BH501" s="615">
        <v>0</v>
      </c>
      <c r="BI501" s="615">
        <v>0</v>
      </c>
      <c r="BJ501" s="615">
        <v>0</v>
      </c>
      <c r="BK501" s="615">
        <v>0</v>
      </c>
      <c r="BL501" s="615">
        <v>0</v>
      </c>
      <c r="BM501" s="615">
        <v>0</v>
      </c>
      <c r="BN501" s="615">
        <v>0</v>
      </c>
      <c r="BO501" s="615">
        <v>0</v>
      </c>
      <c r="BP501" s="615">
        <v>0</v>
      </c>
      <c r="BQ501" s="615">
        <v>0</v>
      </c>
      <c r="BR501" s="615">
        <v>0</v>
      </c>
      <c r="BS501" s="615">
        <v>0</v>
      </c>
      <c r="BT501" s="615">
        <v>0</v>
      </c>
      <c r="BU501" s="615">
        <v>0</v>
      </c>
      <c r="BV501" s="615">
        <v>0</v>
      </c>
      <c r="BW501" s="615">
        <v>0</v>
      </c>
      <c r="BX501" s="607">
        <f t="shared" si="17"/>
        <v>275000000</v>
      </c>
    </row>
    <row r="502" spans="1:76" ht="12" customHeight="1" x14ac:dyDescent="0.2">
      <c r="A502" s="902"/>
      <c r="B502" s="611" t="s">
        <v>3633</v>
      </c>
      <c r="C502" s="641" t="s">
        <v>3632</v>
      </c>
      <c r="D502" s="585"/>
      <c r="E502" s="585"/>
      <c r="F502" s="585"/>
      <c r="G502" s="585"/>
      <c r="H502" s="585"/>
      <c r="I502" s="585"/>
      <c r="J502" s="585"/>
      <c r="K502" s="585"/>
      <c r="L502" s="585"/>
      <c r="M502" s="585"/>
      <c r="N502" s="585"/>
      <c r="O502" s="585"/>
      <c r="P502" s="585"/>
      <c r="Q502" s="585"/>
      <c r="R502" s="585"/>
      <c r="S502" s="585"/>
      <c r="T502" s="585"/>
      <c r="U502" s="585"/>
      <c r="V502" s="585"/>
      <c r="W502" s="585"/>
      <c r="X502" s="585"/>
      <c r="Y502" s="615"/>
      <c r="Z502" s="615"/>
      <c r="AA502" s="615"/>
      <c r="AB502" s="615"/>
      <c r="AC502" s="615"/>
      <c r="AD502" s="615"/>
      <c r="AE502" s="615"/>
      <c r="AF502" s="615"/>
      <c r="AG502" s="615"/>
      <c r="AH502" s="615">
        <v>0</v>
      </c>
      <c r="AI502" s="615">
        <v>0</v>
      </c>
      <c r="AJ502" s="615">
        <v>0</v>
      </c>
      <c r="AK502" s="615">
        <v>0</v>
      </c>
      <c r="AL502" s="615">
        <v>0</v>
      </c>
      <c r="AM502" s="615">
        <v>0</v>
      </c>
      <c r="AN502" s="615">
        <v>0</v>
      </c>
      <c r="AO502" s="615">
        <v>0</v>
      </c>
      <c r="AP502" s="615">
        <v>0</v>
      </c>
      <c r="AQ502" s="615">
        <v>0</v>
      </c>
      <c r="AR502" s="615">
        <v>0</v>
      </c>
      <c r="AS502" s="615">
        <v>0</v>
      </c>
      <c r="AT502" s="615">
        <v>0</v>
      </c>
      <c r="AU502" s="615">
        <v>0</v>
      </c>
      <c r="AV502" s="615">
        <v>0</v>
      </c>
      <c r="AW502" s="615">
        <v>0</v>
      </c>
      <c r="AX502" s="615">
        <v>0</v>
      </c>
      <c r="AY502" s="615">
        <v>0</v>
      </c>
      <c r="AZ502" s="615">
        <v>0</v>
      </c>
      <c r="BA502" s="615">
        <v>0</v>
      </c>
      <c r="BB502" s="615">
        <v>0</v>
      </c>
      <c r="BC502" s="615">
        <v>0</v>
      </c>
      <c r="BD502" s="615">
        <v>0</v>
      </c>
      <c r="BE502" s="615">
        <v>0</v>
      </c>
      <c r="BF502" s="615">
        <v>0</v>
      </c>
      <c r="BG502" s="615">
        <v>0</v>
      </c>
      <c r="BH502" s="615">
        <v>0</v>
      </c>
      <c r="BI502" s="615">
        <v>0</v>
      </c>
      <c r="BJ502" s="615">
        <v>0</v>
      </c>
      <c r="BK502" s="615">
        <v>0</v>
      </c>
      <c r="BL502" s="615">
        <v>0</v>
      </c>
      <c r="BM502" s="615">
        <v>0</v>
      </c>
      <c r="BN502" s="615">
        <v>0</v>
      </c>
      <c r="BO502" s="615">
        <v>0</v>
      </c>
      <c r="BP502" s="615">
        <v>0</v>
      </c>
      <c r="BQ502" s="615">
        <v>0</v>
      </c>
      <c r="BR502" s="615">
        <v>0</v>
      </c>
      <c r="BS502" s="615">
        <v>0</v>
      </c>
      <c r="BT502" s="615">
        <v>0</v>
      </c>
      <c r="BU502" s="615">
        <v>0</v>
      </c>
      <c r="BV502" s="615">
        <v>0</v>
      </c>
      <c r="BW502" s="615">
        <v>0</v>
      </c>
      <c r="BX502" s="607">
        <f t="shared" si="17"/>
        <v>0</v>
      </c>
    </row>
    <row r="503" spans="1:76" ht="12" customHeight="1" x14ac:dyDescent="0.2">
      <c r="A503" s="902"/>
      <c r="B503" s="611" t="s">
        <v>3011</v>
      </c>
      <c r="C503" s="641" t="s">
        <v>3634</v>
      </c>
      <c r="D503" s="585"/>
      <c r="E503" s="585"/>
      <c r="F503" s="585"/>
      <c r="G503" s="585"/>
      <c r="H503" s="585"/>
      <c r="I503" s="585"/>
      <c r="J503" s="585"/>
      <c r="K503" s="585"/>
      <c r="L503" s="585"/>
      <c r="M503" s="585"/>
      <c r="N503" s="585"/>
      <c r="O503" s="585"/>
      <c r="P503" s="585"/>
      <c r="Q503" s="585"/>
      <c r="R503" s="585"/>
      <c r="S503" s="585"/>
      <c r="T503" s="585"/>
      <c r="U503" s="585"/>
      <c r="V503" s="585"/>
      <c r="W503" s="585"/>
      <c r="X503" s="585"/>
      <c r="Y503" s="615"/>
      <c r="Z503" s="615"/>
      <c r="AA503" s="615"/>
      <c r="AB503" s="615"/>
      <c r="AC503" s="615"/>
      <c r="AD503" s="615"/>
      <c r="AE503" s="615"/>
      <c r="AF503" s="615"/>
      <c r="AG503" s="615"/>
      <c r="AH503" s="615">
        <v>0</v>
      </c>
      <c r="AI503" s="615">
        <v>0</v>
      </c>
      <c r="AJ503" s="615">
        <v>0</v>
      </c>
      <c r="AK503" s="615">
        <v>0</v>
      </c>
      <c r="AL503" s="615">
        <v>0</v>
      </c>
      <c r="AM503" s="615">
        <v>0</v>
      </c>
      <c r="AN503" s="615">
        <v>0</v>
      </c>
      <c r="AO503" s="615">
        <v>0</v>
      </c>
      <c r="AP503" s="615">
        <v>0</v>
      </c>
      <c r="AQ503" s="615">
        <v>0</v>
      </c>
      <c r="AR503" s="615">
        <v>0</v>
      </c>
      <c r="AS503" s="615">
        <v>0</v>
      </c>
      <c r="AT503" s="615">
        <v>0</v>
      </c>
      <c r="AU503" s="615">
        <v>0</v>
      </c>
      <c r="AV503" s="615">
        <v>0</v>
      </c>
      <c r="AW503" s="615">
        <v>0</v>
      </c>
      <c r="AX503" s="615">
        <v>0</v>
      </c>
      <c r="AY503" s="615">
        <v>273603604</v>
      </c>
      <c r="AZ503" s="615">
        <v>0</v>
      </c>
      <c r="BA503" s="615">
        <v>0</v>
      </c>
      <c r="BB503" s="615">
        <v>0</v>
      </c>
      <c r="BC503" s="615">
        <v>0</v>
      </c>
      <c r="BD503" s="615">
        <v>0</v>
      </c>
      <c r="BE503" s="615">
        <v>0</v>
      </c>
      <c r="BF503" s="615">
        <v>0</v>
      </c>
      <c r="BG503" s="615">
        <v>0</v>
      </c>
      <c r="BH503" s="615">
        <v>0</v>
      </c>
      <c r="BI503" s="615">
        <v>0</v>
      </c>
      <c r="BJ503" s="615">
        <v>0</v>
      </c>
      <c r="BK503" s="615">
        <v>0</v>
      </c>
      <c r="BL503" s="615">
        <v>0</v>
      </c>
      <c r="BM503" s="615">
        <v>0</v>
      </c>
      <c r="BN503" s="615">
        <v>0</v>
      </c>
      <c r="BO503" s="615">
        <v>0</v>
      </c>
      <c r="BP503" s="615">
        <v>0</v>
      </c>
      <c r="BQ503" s="615">
        <v>0</v>
      </c>
      <c r="BR503" s="615">
        <v>0</v>
      </c>
      <c r="BS503" s="615">
        <v>0</v>
      </c>
      <c r="BT503" s="615">
        <v>0</v>
      </c>
      <c r="BU503" s="615">
        <v>0</v>
      </c>
      <c r="BV503" s="615">
        <v>0</v>
      </c>
      <c r="BW503" s="615">
        <v>0</v>
      </c>
      <c r="BX503" s="607">
        <f t="shared" si="17"/>
        <v>273603604</v>
      </c>
    </row>
    <row r="504" spans="1:76" ht="12" customHeight="1" x14ac:dyDescent="0.2">
      <c r="A504" s="902"/>
      <c r="B504" s="611" t="s">
        <v>1127</v>
      </c>
      <c r="C504" s="641" t="s">
        <v>3635</v>
      </c>
      <c r="D504" s="585"/>
      <c r="E504" s="585"/>
      <c r="F504" s="585"/>
      <c r="G504" s="585"/>
      <c r="H504" s="585"/>
      <c r="I504" s="585"/>
      <c r="J504" s="585"/>
      <c r="K504" s="585"/>
      <c r="L504" s="585"/>
      <c r="M504" s="585"/>
      <c r="N504" s="585"/>
      <c r="O504" s="585"/>
      <c r="P504" s="585"/>
      <c r="Q504" s="585"/>
      <c r="R504" s="585"/>
      <c r="S504" s="585"/>
      <c r="T504" s="585"/>
      <c r="U504" s="585"/>
      <c r="V504" s="585"/>
      <c r="W504" s="585"/>
      <c r="X504" s="585"/>
      <c r="Y504" s="615"/>
      <c r="Z504" s="615"/>
      <c r="AA504" s="615"/>
      <c r="AB504" s="615"/>
      <c r="AC504" s="615"/>
      <c r="AD504" s="615"/>
      <c r="AE504" s="615"/>
      <c r="AF504" s="615"/>
      <c r="AG504" s="615"/>
      <c r="AH504" s="615">
        <v>0</v>
      </c>
      <c r="AI504" s="615">
        <v>0</v>
      </c>
      <c r="AJ504" s="615">
        <v>0</v>
      </c>
      <c r="AK504" s="615">
        <v>0</v>
      </c>
      <c r="AL504" s="615">
        <v>0</v>
      </c>
      <c r="AM504" s="615">
        <v>0</v>
      </c>
      <c r="AN504" s="615">
        <v>0</v>
      </c>
      <c r="AO504" s="615">
        <v>0</v>
      </c>
      <c r="AP504" s="615">
        <v>0</v>
      </c>
      <c r="AQ504" s="615">
        <v>0</v>
      </c>
      <c r="AR504" s="615">
        <v>0</v>
      </c>
      <c r="AS504" s="615">
        <v>0</v>
      </c>
      <c r="AT504" s="615">
        <v>41554030</v>
      </c>
      <c r="AU504" s="615">
        <v>0</v>
      </c>
      <c r="AV504" s="615">
        <v>0</v>
      </c>
      <c r="AW504" s="615">
        <v>0</v>
      </c>
      <c r="AX504" s="615">
        <v>0</v>
      </c>
      <c r="AY504" s="615">
        <v>0</v>
      </c>
      <c r="AZ504" s="615">
        <v>0</v>
      </c>
      <c r="BA504" s="615">
        <v>0</v>
      </c>
      <c r="BB504" s="615">
        <v>0</v>
      </c>
      <c r="BC504" s="615">
        <v>0</v>
      </c>
      <c r="BD504" s="615">
        <v>0</v>
      </c>
      <c r="BE504" s="615">
        <v>0</v>
      </c>
      <c r="BF504" s="615">
        <v>0</v>
      </c>
      <c r="BG504" s="615">
        <v>0</v>
      </c>
      <c r="BH504" s="615">
        <v>0</v>
      </c>
      <c r="BI504" s="615">
        <v>0</v>
      </c>
      <c r="BJ504" s="615">
        <v>0</v>
      </c>
      <c r="BK504" s="615">
        <v>0</v>
      </c>
      <c r="BL504" s="615">
        <v>0</v>
      </c>
      <c r="BM504" s="615">
        <v>0</v>
      </c>
      <c r="BN504" s="615">
        <v>0</v>
      </c>
      <c r="BO504" s="615">
        <v>0</v>
      </c>
      <c r="BP504" s="615">
        <v>0</v>
      </c>
      <c r="BQ504" s="615">
        <v>0</v>
      </c>
      <c r="BR504" s="615">
        <v>0</v>
      </c>
      <c r="BS504" s="615">
        <v>0</v>
      </c>
      <c r="BT504" s="615">
        <v>0</v>
      </c>
      <c r="BU504" s="615">
        <v>0</v>
      </c>
      <c r="BV504" s="615">
        <v>0</v>
      </c>
      <c r="BW504" s="615">
        <v>0</v>
      </c>
      <c r="BX504" s="607">
        <f t="shared" si="17"/>
        <v>41554030</v>
      </c>
    </row>
    <row r="505" spans="1:76" ht="12" customHeight="1" x14ac:dyDescent="0.2">
      <c r="A505" s="902"/>
      <c r="B505" s="611" t="s">
        <v>1087</v>
      </c>
      <c r="C505" s="641" t="s">
        <v>3636</v>
      </c>
      <c r="D505" s="585"/>
      <c r="E505" s="585"/>
      <c r="F505" s="585"/>
      <c r="G505" s="585"/>
      <c r="H505" s="585"/>
      <c r="I505" s="585"/>
      <c r="J505" s="585"/>
      <c r="K505" s="585"/>
      <c r="L505" s="585"/>
      <c r="M505" s="585"/>
      <c r="N505" s="585"/>
      <c r="O505" s="585"/>
      <c r="P505" s="585"/>
      <c r="Q505" s="585"/>
      <c r="R505" s="585"/>
      <c r="S505" s="585"/>
      <c r="T505" s="585"/>
      <c r="U505" s="585"/>
      <c r="V505" s="585"/>
      <c r="W505" s="585"/>
      <c r="X505" s="585"/>
      <c r="Y505" s="615"/>
      <c r="Z505" s="615"/>
      <c r="AA505" s="615"/>
      <c r="AB505" s="615"/>
      <c r="AC505" s="615"/>
      <c r="AD505" s="615"/>
      <c r="AE505" s="615"/>
      <c r="AF505" s="615"/>
      <c r="AG505" s="615"/>
      <c r="AH505" s="615">
        <v>0</v>
      </c>
      <c r="AI505" s="615">
        <v>0</v>
      </c>
      <c r="AJ505" s="615">
        <v>0</v>
      </c>
      <c r="AK505" s="615">
        <v>0</v>
      </c>
      <c r="AL505" s="615">
        <v>0</v>
      </c>
      <c r="AM505" s="615">
        <v>0</v>
      </c>
      <c r="AN505" s="615">
        <v>0</v>
      </c>
      <c r="AO505" s="615">
        <v>0</v>
      </c>
      <c r="AP505" s="615">
        <v>0</v>
      </c>
      <c r="AQ505" s="615">
        <v>0</v>
      </c>
      <c r="AR505" s="615">
        <v>0</v>
      </c>
      <c r="AS505" s="615">
        <v>0</v>
      </c>
      <c r="AT505" s="615">
        <v>0</v>
      </c>
      <c r="AU505" s="615">
        <v>0</v>
      </c>
      <c r="AV505" s="615">
        <v>278331098</v>
      </c>
      <c r="AW505" s="615">
        <v>0</v>
      </c>
      <c r="AX505" s="615">
        <v>0</v>
      </c>
      <c r="AY505" s="615">
        <v>0</v>
      </c>
      <c r="AZ505" s="615">
        <v>0</v>
      </c>
      <c r="BA505" s="615">
        <v>0</v>
      </c>
      <c r="BB505" s="615">
        <v>0</v>
      </c>
      <c r="BC505" s="615">
        <v>0</v>
      </c>
      <c r="BD505" s="615">
        <v>0</v>
      </c>
      <c r="BE505" s="615">
        <v>0</v>
      </c>
      <c r="BF505" s="615">
        <v>0</v>
      </c>
      <c r="BG505" s="615">
        <v>0</v>
      </c>
      <c r="BH505" s="615">
        <v>0</v>
      </c>
      <c r="BI505" s="615">
        <v>0</v>
      </c>
      <c r="BJ505" s="615">
        <v>0</v>
      </c>
      <c r="BK505" s="615">
        <v>0</v>
      </c>
      <c r="BL505" s="615">
        <v>0</v>
      </c>
      <c r="BM505" s="615">
        <v>0</v>
      </c>
      <c r="BN505" s="615">
        <v>0</v>
      </c>
      <c r="BO505" s="615">
        <v>0</v>
      </c>
      <c r="BP505" s="615">
        <v>0</v>
      </c>
      <c r="BQ505" s="615">
        <v>0</v>
      </c>
      <c r="BR505" s="615">
        <v>0</v>
      </c>
      <c r="BS505" s="615">
        <v>0</v>
      </c>
      <c r="BT505" s="615">
        <v>0</v>
      </c>
      <c r="BU505" s="615">
        <v>0</v>
      </c>
      <c r="BV505" s="615">
        <v>0</v>
      </c>
      <c r="BW505" s="615">
        <v>0</v>
      </c>
      <c r="BX505" s="607">
        <f t="shared" si="17"/>
        <v>278331098</v>
      </c>
    </row>
    <row r="506" spans="1:76" ht="12" customHeight="1" x14ac:dyDescent="0.2">
      <c r="A506" s="902"/>
      <c r="B506" s="611" t="s">
        <v>1088</v>
      </c>
      <c r="C506" s="641" t="s">
        <v>3637</v>
      </c>
      <c r="D506" s="585"/>
      <c r="E506" s="585"/>
      <c r="F506" s="585"/>
      <c r="G506" s="585"/>
      <c r="H506" s="585"/>
      <c r="I506" s="585"/>
      <c r="J506" s="585"/>
      <c r="K506" s="585"/>
      <c r="L506" s="585"/>
      <c r="M506" s="585"/>
      <c r="N506" s="585"/>
      <c r="O506" s="585"/>
      <c r="P506" s="585"/>
      <c r="Q506" s="585"/>
      <c r="R506" s="585"/>
      <c r="S506" s="585"/>
      <c r="T506" s="585"/>
      <c r="U506" s="585"/>
      <c r="V506" s="585"/>
      <c r="W506" s="585"/>
      <c r="X506" s="585"/>
      <c r="Y506" s="615"/>
      <c r="Z506" s="615"/>
      <c r="AA506" s="615"/>
      <c r="AB506" s="615"/>
      <c r="AC506" s="615"/>
      <c r="AD506" s="615"/>
      <c r="AE506" s="615"/>
      <c r="AF506" s="615"/>
      <c r="AG506" s="615"/>
      <c r="AH506" s="615">
        <v>0</v>
      </c>
      <c r="AI506" s="615">
        <v>0</v>
      </c>
      <c r="AJ506" s="615">
        <v>0</v>
      </c>
      <c r="AK506" s="615">
        <v>0</v>
      </c>
      <c r="AL506" s="615">
        <v>0</v>
      </c>
      <c r="AM506" s="615">
        <v>0</v>
      </c>
      <c r="AN506" s="615">
        <v>0</v>
      </c>
      <c r="AO506" s="615">
        <v>0</v>
      </c>
      <c r="AP506" s="615">
        <v>0</v>
      </c>
      <c r="AQ506" s="615">
        <v>0</v>
      </c>
      <c r="AR506" s="615">
        <v>0</v>
      </c>
      <c r="AS506" s="615">
        <v>0</v>
      </c>
      <c r="AT506" s="615">
        <v>339619192</v>
      </c>
      <c r="AU506" s="615">
        <v>0</v>
      </c>
      <c r="AV506" s="615">
        <v>0</v>
      </c>
      <c r="AW506" s="615">
        <v>0</v>
      </c>
      <c r="AX506" s="615">
        <v>0</v>
      </c>
      <c r="AY506" s="615">
        <v>0</v>
      </c>
      <c r="AZ506" s="615">
        <v>0</v>
      </c>
      <c r="BA506" s="615">
        <v>0</v>
      </c>
      <c r="BB506" s="615">
        <v>0</v>
      </c>
      <c r="BC506" s="615">
        <v>0</v>
      </c>
      <c r="BD506" s="615">
        <v>0</v>
      </c>
      <c r="BE506" s="615">
        <v>0</v>
      </c>
      <c r="BF506" s="615">
        <v>0</v>
      </c>
      <c r="BG506" s="615">
        <v>0</v>
      </c>
      <c r="BH506" s="615">
        <v>0</v>
      </c>
      <c r="BI506" s="615">
        <v>0</v>
      </c>
      <c r="BJ506" s="615">
        <v>0</v>
      </c>
      <c r="BK506" s="615">
        <v>0</v>
      </c>
      <c r="BL506" s="615">
        <v>0</v>
      </c>
      <c r="BM506" s="615">
        <v>0</v>
      </c>
      <c r="BN506" s="615">
        <v>0</v>
      </c>
      <c r="BO506" s="615">
        <v>0</v>
      </c>
      <c r="BP506" s="615">
        <v>0</v>
      </c>
      <c r="BQ506" s="615">
        <v>0</v>
      </c>
      <c r="BR506" s="615">
        <v>0</v>
      </c>
      <c r="BS506" s="615">
        <v>0</v>
      </c>
      <c r="BT506" s="615">
        <v>0</v>
      </c>
      <c r="BU506" s="615">
        <v>0</v>
      </c>
      <c r="BV506" s="615">
        <v>0</v>
      </c>
      <c r="BW506" s="615">
        <v>0</v>
      </c>
      <c r="BX506" s="607">
        <f t="shared" si="17"/>
        <v>339619192</v>
      </c>
    </row>
    <row r="507" spans="1:76" ht="12" customHeight="1" x14ac:dyDescent="0.2">
      <c r="A507" s="902"/>
      <c r="B507" s="611" t="s">
        <v>1717</v>
      </c>
      <c r="C507" s="641" t="s">
        <v>3638</v>
      </c>
      <c r="D507" s="585"/>
      <c r="E507" s="585"/>
      <c r="F507" s="585"/>
      <c r="G507" s="585"/>
      <c r="H507" s="585"/>
      <c r="I507" s="585"/>
      <c r="J507" s="585"/>
      <c r="K507" s="585"/>
      <c r="L507" s="585"/>
      <c r="M507" s="585"/>
      <c r="N507" s="585"/>
      <c r="O507" s="585"/>
      <c r="P507" s="585"/>
      <c r="Q507" s="585"/>
      <c r="R507" s="585"/>
      <c r="S507" s="585"/>
      <c r="T507" s="585"/>
      <c r="U507" s="585"/>
      <c r="V507" s="585"/>
      <c r="W507" s="585"/>
      <c r="X507" s="585"/>
      <c r="Y507" s="615"/>
      <c r="Z507" s="615"/>
      <c r="AA507" s="615"/>
      <c r="AB507" s="615"/>
      <c r="AC507" s="615"/>
      <c r="AD507" s="615"/>
      <c r="AE507" s="615"/>
      <c r="AF507" s="615"/>
      <c r="AG507" s="615"/>
      <c r="AH507" s="615">
        <v>0</v>
      </c>
      <c r="AI507" s="615">
        <v>0</v>
      </c>
      <c r="AJ507" s="615">
        <v>0</v>
      </c>
      <c r="AK507" s="615">
        <v>0</v>
      </c>
      <c r="AL507" s="615">
        <v>0</v>
      </c>
      <c r="AM507" s="615">
        <v>0</v>
      </c>
      <c r="AN507" s="615">
        <v>0</v>
      </c>
      <c r="AO507" s="615">
        <v>0</v>
      </c>
      <c r="AP507" s="615">
        <v>0</v>
      </c>
      <c r="AQ507" s="615">
        <v>0</v>
      </c>
      <c r="AR507" s="615">
        <v>0</v>
      </c>
      <c r="AS507" s="615">
        <v>0</v>
      </c>
      <c r="AT507" s="615">
        <v>0</v>
      </c>
      <c r="AU507" s="615">
        <v>0</v>
      </c>
      <c r="AV507" s="615">
        <v>0</v>
      </c>
      <c r="AW507" s="615">
        <v>0</v>
      </c>
      <c r="AX507" s="615">
        <v>0</v>
      </c>
      <c r="AY507" s="615">
        <v>0</v>
      </c>
      <c r="AZ507" s="615">
        <v>0</v>
      </c>
      <c r="BA507" s="615">
        <v>0</v>
      </c>
      <c r="BB507" s="615">
        <v>0</v>
      </c>
      <c r="BC507" s="615">
        <v>0</v>
      </c>
      <c r="BD507" s="615">
        <v>0</v>
      </c>
      <c r="BE507" s="615">
        <v>0</v>
      </c>
      <c r="BF507" s="615">
        <v>0</v>
      </c>
      <c r="BG507" s="615">
        <v>0</v>
      </c>
      <c r="BH507" s="615">
        <v>0</v>
      </c>
      <c r="BI507" s="615">
        <v>0</v>
      </c>
      <c r="BJ507" s="615">
        <v>0</v>
      </c>
      <c r="BK507" s="615">
        <v>0</v>
      </c>
      <c r="BL507" s="615">
        <v>0</v>
      </c>
      <c r="BM507" s="615">
        <v>0</v>
      </c>
      <c r="BN507" s="615">
        <v>0</v>
      </c>
      <c r="BO507" s="615">
        <v>0</v>
      </c>
      <c r="BP507" s="615">
        <v>0</v>
      </c>
      <c r="BQ507" s="615">
        <v>0</v>
      </c>
      <c r="BR507" s="615">
        <v>0</v>
      </c>
      <c r="BS507" s="615">
        <v>0</v>
      </c>
      <c r="BT507" s="615">
        <v>0</v>
      </c>
      <c r="BU507" s="615">
        <v>0</v>
      </c>
      <c r="BV507" s="615">
        <v>0</v>
      </c>
      <c r="BW507" s="615">
        <v>0</v>
      </c>
      <c r="BX507" s="607">
        <f t="shared" si="17"/>
        <v>0</v>
      </c>
    </row>
    <row r="508" spans="1:76" ht="12" customHeight="1" x14ac:dyDescent="0.2">
      <c r="A508" s="902"/>
      <c r="B508" s="611" t="s">
        <v>1008</v>
      </c>
      <c r="C508" s="641" t="s">
        <v>3639</v>
      </c>
      <c r="D508" s="585"/>
      <c r="E508" s="585"/>
      <c r="F508" s="585"/>
      <c r="G508" s="585"/>
      <c r="H508" s="585"/>
      <c r="I508" s="585"/>
      <c r="J508" s="585"/>
      <c r="K508" s="585"/>
      <c r="L508" s="585"/>
      <c r="M508" s="585"/>
      <c r="N508" s="585"/>
      <c r="O508" s="585"/>
      <c r="P508" s="585"/>
      <c r="Q508" s="585"/>
      <c r="R508" s="585"/>
      <c r="S508" s="585"/>
      <c r="T508" s="585"/>
      <c r="U508" s="585"/>
      <c r="V508" s="585"/>
      <c r="W508" s="585"/>
      <c r="X508" s="585"/>
      <c r="Y508" s="615"/>
      <c r="Z508" s="615"/>
      <c r="AA508" s="615"/>
      <c r="AB508" s="615"/>
      <c r="AC508" s="615"/>
      <c r="AD508" s="615"/>
      <c r="AE508" s="615"/>
      <c r="AF508" s="615"/>
      <c r="AG508" s="615"/>
      <c r="AH508" s="615">
        <v>0</v>
      </c>
      <c r="AI508" s="615">
        <v>0</v>
      </c>
      <c r="AJ508" s="615">
        <v>0</v>
      </c>
      <c r="AK508" s="615">
        <v>0</v>
      </c>
      <c r="AL508" s="615">
        <v>0</v>
      </c>
      <c r="AM508" s="615">
        <v>0</v>
      </c>
      <c r="AN508" s="615">
        <v>0</v>
      </c>
      <c r="AO508" s="615">
        <v>0</v>
      </c>
      <c r="AP508" s="615">
        <v>0</v>
      </c>
      <c r="AQ508" s="615">
        <v>0</v>
      </c>
      <c r="AR508" s="615">
        <v>0</v>
      </c>
      <c r="AS508" s="615">
        <v>0</v>
      </c>
      <c r="AT508" s="615">
        <v>0</v>
      </c>
      <c r="AU508" s="615">
        <v>0</v>
      </c>
      <c r="AV508" s="615">
        <v>0</v>
      </c>
      <c r="AW508" s="615">
        <v>0</v>
      </c>
      <c r="AX508" s="615">
        <v>0</v>
      </c>
      <c r="AY508" s="615">
        <v>0</v>
      </c>
      <c r="AZ508" s="615">
        <v>0</v>
      </c>
      <c r="BA508" s="615">
        <v>0</v>
      </c>
      <c r="BB508" s="615">
        <v>0</v>
      </c>
      <c r="BC508" s="615">
        <v>0</v>
      </c>
      <c r="BD508" s="615">
        <v>0</v>
      </c>
      <c r="BE508" s="615">
        <v>0</v>
      </c>
      <c r="BF508" s="615">
        <v>0</v>
      </c>
      <c r="BG508" s="615">
        <v>0</v>
      </c>
      <c r="BH508" s="615">
        <v>0</v>
      </c>
      <c r="BI508" s="615">
        <v>0</v>
      </c>
      <c r="BJ508" s="615">
        <v>0</v>
      </c>
      <c r="BK508" s="615">
        <v>0</v>
      </c>
      <c r="BL508" s="615">
        <v>0</v>
      </c>
      <c r="BM508" s="615">
        <v>0</v>
      </c>
      <c r="BN508" s="615">
        <v>0</v>
      </c>
      <c r="BO508" s="615">
        <v>0</v>
      </c>
      <c r="BP508" s="615">
        <v>0</v>
      </c>
      <c r="BQ508" s="615">
        <v>0</v>
      </c>
      <c r="BR508" s="615">
        <v>0</v>
      </c>
      <c r="BS508" s="615">
        <v>0</v>
      </c>
      <c r="BT508" s="615">
        <v>0</v>
      </c>
      <c r="BU508" s="615">
        <v>0</v>
      </c>
      <c r="BV508" s="615">
        <v>0</v>
      </c>
      <c r="BW508" s="615">
        <v>0</v>
      </c>
      <c r="BX508" s="607">
        <f t="shared" si="17"/>
        <v>0</v>
      </c>
    </row>
    <row r="509" spans="1:76" ht="12" customHeight="1" x14ac:dyDescent="0.2">
      <c r="A509" s="902"/>
      <c r="B509" s="611" t="s">
        <v>1082</v>
      </c>
      <c r="C509" s="641" t="s">
        <v>4244</v>
      </c>
      <c r="D509" s="585"/>
      <c r="E509" s="585"/>
      <c r="F509" s="585"/>
      <c r="G509" s="585"/>
      <c r="H509" s="585"/>
      <c r="I509" s="585"/>
      <c r="J509" s="585"/>
      <c r="K509" s="585"/>
      <c r="L509" s="585"/>
      <c r="M509" s="585"/>
      <c r="N509" s="585"/>
      <c r="O509" s="585"/>
      <c r="P509" s="585"/>
      <c r="Q509" s="585">
        <v>0</v>
      </c>
      <c r="R509" s="585">
        <v>0</v>
      </c>
      <c r="S509" s="585">
        <v>0</v>
      </c>
      <c r="T509" s="585">
        <v>0</v>
      </c>
      <c r="U509" s="585">
        <v>0</v>
      </c>
      <c r="V509" s="585">
        <v>0</v>
      </c>
      <c r="W509" s="585">
        <v>0</v>
      </c>
      <c r="X509" s="585">
        <v>0</v>
      </c>
      <c r="Y509" s="615">
        <v>0</v>
      </c>
      <c r="Z509" s="615">
        <v>0</v>
      </c>
      <c r="AA509" s="615">
        <v>0</v>
      </c>
      <c r="AB509" s="615">
        <v>0</v>
      </c>
      <c r="AC509" s="615">
        <v>0</v>
      </c>
      <c r="AD509" s="615">
        <v>0</v>
      </c>
      <c r="AE509" s="615">
        <v>0</v>
      </c>
      <c r="AF509" s="615">
        <v>0</v>
      </c>
      <c r="AG509" s="615">
        <v>0</v>
      </c>
      <c r="AH509" s="615">
        <v>0</v>
      </c>
      <c r="AI509" s="615">
        <v>0</v>
      </c>
      <c r="AJ509" s="615">
        <v>0</v>
      </c>
      <c r="AK509" s="615">
        <v>0</v>
      </c>
      <c r="AL509" s="615">
        <v>0</v>
      </c>
      <c r="AM509" s="615">
        <v>0</v>
      </c>
      <c r="AN509" s="615">
        <v>0</v>
      </c>
      <c r="AO509" s="615">
        <v>0</v>
      </c>
      <c r="AP509" s="615">
        <v>0</v>
      </c>
      <c r="AQ509" s="615">
        <v>0</v>
      </c>
      <c r="AR509" s="615">
        <v>0</v>
      </c>
      <c r="AS509" s="615">
        <v>0</v>
      </c>
      <c r="AT509" s="615">
        <v>0</v>
      </c>
      <c r="AU509" s="615">
        <v>0</v>
      </c>
      <c r="AV509" s="615">
        <v>3000000</v>
      </c>
      <c r="AW509" s="615">
        <v>3000000</v>
      </c>
      <c r="AX509" s="615">
        <v>3000000</v>
      </c>
      <c r="AY509" s="615">
        <v>0</v>
      </c>
      <c r="AZ509" s="615">
        <v>0</v>
      </c>
      <c r="BA509" s="615">
        <v>0</v>
      </c>
      <c r="BB509" s="615">
        <v>0</v>
      </c>
      <c r="BC509" s="615">
        <v>0</v>
      </c>
      <c r="BD509" s="615">
        <v>0</v>
      </c>
      <c r="BE509" s="615">
        <v>0</v>
      </c>
      <c r="BF509" s="615">
        <v>0</v>
      </c>
      <c r="BG509" s="615">
        <v>0</v>
      </c>
      <c r="BH509" s="615">
        <v>0</v>
      </c>
      <c r="BI509" s="615">
        <v>0</v>
      </c>
      <c r="BJ509" s="615">
        <v>0</v>
      </c>
      <c r="BK509" s="615">
        <v>0</v>
      </c>
      <c r="BL509" s="615">
        <v>0</v>
      </c>
      <c r="BM509" s="615">
        <v>0</v>
      </c>
      <c r="BN509" s="615">
        <v>0</v>
      </c>
      <c r="BO509" s="615">
        <v>0</v>
      </c>
      <c r="BP509" s="615">
        <v>0</v>
      </c>
      <c r="BQ509" s="615">
        <v>0</v>
      </c>
      <c r="BR509" s="615">
        <v>0</v>
      </c>
      <c r="BS509" s="615">
        <v>0</v>
      </c>
      <c r="BT509" s="615">
        <v>0</v>
      </c>
      <c r="BU509" s="615">
        <v>0</v>
      </c>
      <c r="BV509" s="615">
        <v>0</v>
      </c>
      <c r="BW509" s="615">
        <v>0</v>
      </c>
      <c r="BX509" s="607">
        <f t="shared" si="17"/>
        <v>9000000</v>
      </c>
    </row>
    <row r="510" spans="1:76" ht="12" customHeight="1" x14ac:dyDescent="0.2">
      <c r="A510" s="902"/>
      <c r="B510" s="611" t="s">
        <v>1594</v>
      </c>
      <c r="C510" s="641" t="s">
        <v>4245</v>
      </c>
      <c r="D510" s="585"/>
      <c r="E510" s="585"/>
      <c r="F510" s="585"/>
      <c r="G510" s="585"/>
      <c r="H510" s="585"/>
      <c r="I510" s="585"/>
      <c r="J510" s="585"/>
      <c r="K510" s="585"/>
      <c r="L510" s="585"/>
      <c r="M510" s="585"/>
      <c r="N510" s="585"/>
      <c r="O510" s="585"/>
      <c r="P510" s="585"/>
      <c r="Q510" s="585">
        <v>0</v>
      </c>
      <c r="R510" s="585">
        <v>0</v>
      </c>
      <c r="S510" s="585">
        <v>0</v>
      </c>
      <c r="T510" s="585">
        <v>0</v>
      </c>
      <c r="U510" s="585">
        <v>0</v>
      </c>
      <c r="V510" s="585">
        <v>0</v>
      </c>
      <c r="W510" s="585">
        <v>0</v>
      </c>
      <c r="X510" s="585">
        <v>0</v>
      </c>
      <c r="Y510" s="615">
        <v>0</v>
      </c>
      <c r="Z510" s="615">
        <v>0</v>
      </c>
      <c r="AA510" s="615">
        <v>0</v>
      </c>
      <c r="AB510" s="615">
        <v>0</v>
      </c>
      <c r="AC510" s="615">
        <v>0</v>
      </c>
      <c r="AD510" s="615">
        <v>0</v>
      </c>
      <c r="AE510" s="615">
        <v>0</v>
      </c>
      <c r="AF510" s="615">
        <v>0</v>
      </c>
      <c r="AG510" s="615">
        <v>0</v>
      </c>
      <c r="AH510" s="615">
        <v>0</v>
      </c>
      <c r="AI510" s="615">
        <v>0</v>
      </c>
      <c r="AJ510" s="615">
        <v>0</v>
      </c>
      <c r="AK510" s="615">
        <v>0</v>
      </c>
      <c r="AL510" s="615">
        <v>0</v>
      </c>
      <c r="AM510" s="615">
        <v>0</v>
      </c>
      <c r="AN510" s="615">
        <v>0</v>
      </c>
      <c r="AO510" s="615">
        <v>0</v>
      </c>
      <c r="AP510" s="615">
        <v>0</v>
      </c>
      <c r="AQ510" s="615">
        <v>0</v>
      </c>
      <c r="AR510" s="615">
        <v>0</v>
      </c>
      <c r="AS510" s="615">
        <v>0</v>
      </c>
      <c r="AT510" s="615">
        <v>0</v>
      </c>
      <c r="AU510" s="615">
        <v>7000000</v>
      </c>
      <c r="AV510" s="615">
        <v>0</v>
      </c>
      <c r="AW510" s="615">
        <v>0</v>
      </c>
      <c r="AX510" s="615">
        <v>0</v>
      </c>
      <c r="AY510" s="615">
        <v>0</v>
      </c>
      <c r="AZ510" s="615">
        <v>0</v>
      </c>
      <c r="BA510" s="615">
        <v>0</v>
      </c>
      <c r="BB510" s="615">
        <v>0</v>
      </c>
      <c r="BC510" s="615">
        <v>0</v>
      </c>
      <c r="BD510" s="615">
        <v>0</v>
      </c>
      <c r="BE510" s="615">
        <v>0</v>
      </c>
      <c r="BF510" s="615">
        <v>0</v>
      </c>
      <c r="BG510" s="615">
        <v>0</v>
      </c>
      <c r="BH510" s="615">
        <v>0</v>
      </c>
      <c r="BI510" s="615">
        <v>0</v>
      </c>
      <c r="BJ510" s="615">
        <v>0</v>
      </c>
      <c r="BK510" s="615">
        <v>0</v>
      </c>
      <c r="BL510" s="615">
        <v>0</v>
      </c>
      <c r="BM510" s="615">
        <v>0</v>
      </c>
      <c r="BN510" s="615">
        <v>0</v>
      </c>
      <c r="BO510" s="615">
        <v>0</v>
      </c>
      <c r="BP510" s="615">
        <v>0</v>
      </c>
      <c r="BQ510" s="615">
        <v>0</v>
      </c>
      <c r="BR510" s="615">
        <v>0</v>
      </c>
      <c r="BS510" s="615">
        <v>0</v>
      </c>
      <c r="BT510" s="615">
        <v>0</v>
      </c>
      <c r="BU510" s="615">
        <v>0</v>
      </c>
      <c r="BV510" s="615">
        <v>0</v>
      </c>
      <c r="BW510" s="615">
        <v>0</v>
      </c>
      <c r="BX510" s="607">
        <f t="shared" si="17"/>
        <v>7000000</v>
      </c>
    </row>
    <row r="511" spans="1:76" ht="12" customHeight="1" x14ac:dyDescent="0.2">
      <c r="A511" s="902"/>
      <c r="B511" s="611" t="s">
        <v>3335</v>
      </c>
      <c r="C511" s="641" t="s">
        <v>4289</v>
      </c>
      <c r="D511" s="585"/>
      <c r="E511" s="585"/>
      <c r="F511" s="585"/>
      <c r="G511" s="585"/>
      <c r="H511" s="585"/>
      <c r="I511" s="585"/>
      <c r="J511" s="585"/>
      <c r="K511" s="585"/>
      <c r="L511" s="585"/>
      <c r="M511" s="585"/>
      <c r="N511" s="585"/>
      <c r="O511" s="585"/>
      <c r="P511" s="585"/>
      <c r="Q511" s="585"/>
      <c r="R511" s="585"/>
      <c r="S511" s="585"/>
      <c r="T511" s="585"/>
      <c r="U511" s="585"/>
      <c r="V511" s="585">
        <v>0</v>
      </c>
      <c r="W511" s="585">
        <v>0</v>
      </c>
      <c r="X511" s="585">
        <v>0</v>
      </c>
      <c r="Y511" s="615">
        <v>0</v>
      </c>
      <c r="Z511" s="615">
        <v>0</v>
      </c>
      <c r="AA511" s="615">
        <v>0</v>
      </c>
      <c r="AB511" s="615">
        <v>0</v>
      </c>
      <c r="AC511" s="615">
        <v>0</v>
      </c>
      <c r="AD511" s="615">
        <v>0</v>
      </c>
      <c r="AE511" s="615">
        <v>0</v>
      </c>
      <c r="AF511" s="615">
        <v>0</v>
      </c>
      <c r="AG511" s="615">
        <v>0</v>
      </c>
      <c r="AH511" s="615">
        <v>0</v>
      </c>
      <c r="AI511" s="615">
        <v>0</v>
      </c>
      <c r="AJ511" s="615">
        <v>0</v>
      </c>
      <c r="AK511" s="615">
        <v>0</v>
      </c>
      <c r="AL511" s="615">
        <v>0</v>
      </c>
      <c r="AM511" s="615">
        <v>0</v>
      </c>
      <c r="AN511" s="615">
        <v>0</v>
      </c>
      <c r="AO511" s="615">
        <v>0</v>
      </c>
      <c r="AP511" s="615">
        <v>0</v>
      </c>
      <c r="AQ511" s="615">
        <v>0</v>
      </c>
      <c r="AR511" s="615">
        <v>0</v>
      </c>
      <c r="AS511" s="615">
        <v>0</v>
      </c>
      <c r="AT511" s="615">
        <v>0</v>
      </c>
      <c r="AU511" s="615">
        <v>0</v>
      </c>
      <c r="AV511" s="615">
        <v>0</v>
      </c>
      <c r="AW511" s="615">
        <v>0</v>
      </c>
      <c r="AX511" s="615">
        <v>0</v>
      </c>
      <c r="AY511" s="615">
        <v>0</v>
      </c>
      <c r="AZ511" s="615">
        <v>0</v>
      </c>
      <c r="BA511" s="615">
        <v>0</v>
      </c>
      <c r="BB511" s="615">
        <v>0</v>
      </c>
      <c r="BC511" s="615">
        <v>0</v>
      </c>
      <c r="BD511" s="615">
        <v>0</v>
      </c>
      <c r="BE511" s="615">
        <v>0</v>
      </c>
      <c r="BF511" s="615">
        <v>0</v>
      </c>
      <c r="BG511" s="615">
        <v>0</v>
      </c>
      <c r="BH511" s="615">
        <v>0</v>
      </c>
      <c r="BI511" s="615">
        <v>0</v>
      </c>
      <c r="BJ511" s="615">
        <v>0</v>
      </c>
      <c r="BK511" s="615">
        <v>0</v>
      </c>
      <c r="BL511" s="615">
        <v>0</v>
      </c>
      <c r="BM511" s="615">
        <v>0</v>
      </c>
      <c r="BN511" s="615">
        <v>0</v>
      </c>
      <c r="BO511" s="615">
        <v>0</v>
      </c>
      <c r="BP511" s="615">
        <v>0</v>
      </c>
      <c r="BQ511" s="615">
        <v>0</v>
      </c>
      <c r="BR511" s="615">
        <v>0</v>
      </c>
      <c r="BS511" s="615">
        <v>0</v>
      </c>
      <c r="BT511" s="615">
        <v>0</v>
      </c>
      <c r="BU511" s="615">
        <v>0</v>
      </c>
      <c r="BV511" s="615">
        <v>0</v>
      </c>
      <c r="BW511" s="615">
        <v>0</v>
      </c>
      <c r="BX511" s="607">
        <f t="shared" si="17"/>
        <v>0</v>
      </c>
    </row>
    <row r="512" spans="1:76" x14ac:dyDescent="0.2">
      <c r="A512" s="606" t="s">
        <v>1011</v>
      </c>
      <c r="B512" s="605"/>
      <c r="C512" s="604">
        <f>COUNTA(C374:C511)</f>
        <v>138</v>
      </c>
      <c r="D512" s="603">
        <f t="shared" ref="D512:AI512" si="18">SUM(D374:D511)</f>
        <v>0</v>
      </c>
      <c r="E512" s="603">
        <f t="shared" si="18"/>
        <v>0</v>
      </c>
      <c r="F512" s="603">
        <f t="shared" si="18"/>
        <v>0</v>
      </c>
      <c r="G512" s="603">
        <f t="shared" si="18"/>
        <v>0</v>
      </c>
      <c r="H512" s="603">
        <f t="shared" si="18"/>
        <v>0</v>
      </c>
      <c r="I512" s="603">
        <f t="shared" si="18"/>
        <v>0</v>
      </c>
      <c r="J512" s="603">
        <f t="shared" si="18"/>
        <v>0</v>
      </c>
      <c r="K512" s="603">
        <f t="shared" si="18"/>
        <v>0</v>
      </c>
      <c r="L512" s="603">
        <f t="shared" si="18"/>
        <v>0</v>
      </c>
      <c r="M512" s="603">
        <f t="shared" si="18"/>
        <v>0</v>
      </c>
      <c r="N512" s="603">
        <f t="shared" si="18"/>
        <v>0</v>
      </c>
      <c r="O512" s="603">
        <f t="shared" si="18"/>
        <v>0</v>
      </c>
      <c r="P512" s="603">
        <f t="shared" si="18"/>
        <v>0</v>
      </c>
      <c r="Q512" s="603">
        <f t="shared" si="18"/>
        <v>0</v>
      </c>
      <c r="R512" s="603">
        <f t="shared" si="18"/>
        <v>0</v>
      </c>
      <c r="S512" s="603">
        <f t="shared" si="18"/>
        <v>0</v>
      </c>
      <c r="T512" s="603">
        <f t="shared" si="18"/>
        <v>0</v>
      </c>
      <c r="U512" s="603">
        <f t="shared" si="18"/>
        <v>0</v>
      </c>
      <c r="V512" s="603">
        <f t="shared" si="18"/>
        <v>0</v>
      </c>
      <c r="W512" s="603">
        <f t="shared" si="18"/>
        <v>0</v>
      </c>
      <c r="X512" s="603">
        <f t="shared" si="18"/>
        <v>0</v>
      </c>
      <c r="Y512" s="603">
        <f t="shared" si="18"/>
        <v>0</v>
      </c>
      <c r="Z512" s="603">
        <f t="shared" si="18"/>
        <v>0</v>
      </c>
      <c r="AA512" s="603">
        <f t="shared" si="18"/>
        <v>0</v>
      </c>
      <c r="AB512" s="603">
        <f t="shared" si="18"/>
        <v>0</v>
      </c>
      <c r="AC512" s="603">
        <f t="shared" si="18"/>
        <v>0</v>
      </c>
      <c r="AD512" s="603">
        <f t="shared" si="18"/>
        <v>0</v>
      </c>
      <c r="AE512" s="603">
        <f t="shared" si="18"/>
        <v>0</v>
      </c>
      <c r="AF512" s="603">
        <f t="shared" si="18"/>
        <v>0</v>
      </c>
      <c r="AG512" s="603">
        <f t="shared" si="18"/>
        <v>0</v>
      </c>
      <c r="AH512" s="603">
        <f t="shared" si="18"/>
        <v>0</v>
      </c>
      <c r="AI512" s="603">
        <f t="shared" si="18"/>
        <v>0</v>
      </c>
      <c r="AJ512" s="603">
        <f t="shared" ref="AJ512:BO512" si="19">SUM(AJ374:AJ511)</f>
        <v>0</v>
      </c>
      <c r="AK512" s="603">
        <f t="shared" si="19"/>
        <v>0</v>
      </c>
      <c r="AL512" s="603">
        <f t="shared" si="19"/>
        <v>0</v>
      </c>
      <c r="AM512" s="603">
        <f t="shared" si="19"/>
        <v>0</v>
      </c>
      <c r="AN512" s="603">
        <f t="shared" si="19"/>
        <v>0</v>
      </c>
      <c r="AO512" s="603">
        <f t="shared" si="19"/>
        <v>17173329</v>
      </c>
      <c r="AP512" s="603">
        <f t="shared" si="19"/>
        <v>0</v>
      </c>
      <c r="AQ512" s="603">
        <f t="shared" si="19"/>
        <v>4800702</v>
      </c>
      <c r="AR512" s="603">
        <f t="shared" si="19"/>
        <v>13151152</v>
      </c>
      <c r="AS512" s="603">
        <f t="shared" si="19"/>
        <v>654544695</v>
      </c>
      <c r="AT512" s="603">
        <f t="shared" si="19"/>
        <v>8717446214</v>
      </c>
      <c r="AU512" s="603">
        <f t="shared" si="19"/>
        <v>86768808</v>
      </c>
      <c r="AV512" s="603">
        <f t="shared" si="19"/>
        <v>10260273431</v>
      </c>
      <c r="AW512" s="603">
        <f t="shared" si="19"/>
        <v>96783643</v>
      </c>
      <c r="AX512" s="603">
        <f t="shared" si="19"/>
        <v>158631288</v>
      </c>
      <c r="AY512" s="603">
        <f t="shared" si="19"/>
        <v>1644940599</v>
      </c>
      <c r="AZ512" s="603">
        <f t="shared" si="19"/>
        <v>1224561065</v>
      </c>
      <c r="BA512" s="603">
        <f t="shared" si="19"/>
        <v>420130835</v>
      </c>
      <c r="BB512" s="603">
        <f t="shared" si="19"/>
        <v>524017220</v>
      </c>
      <c r="BC512" s="603">
        <f t="shared" si="19"/>
        <v>4414229060</v>
      </c>
      <c r="BD512" s="603">
        <f t="shared" si="19"/>
        <v>394606866</v>
      </c>
      <c r="BE512" s="603">
        <f t="shared" si="19"/>
        <v>11128936</v>
      </c>
      <c r="BF512" s="603">
        <f t="shared" si="19"/>
        <v>857567990</v>
      </c>
      <c r="BG512" s="603">
        <f t="shared" si="19"/>
        <v>0</v>
      </c>
      <c r="BH512" s="603">
        <f t="shared" si="19"/>
        <v>0</v>
      </c>
      <c r="BI512" s="603">
        <f t="shared" si="19"/>
        <v>0</v>
      </c>
      <c r="BJ512" s="603">
        <f t="shared" si="19"/>
        <v>0</v>
      </c>
      <c r="BK512" s="603">
        <f t="shared" si="19"/>
        <v>0</v>
      </c>
      <c r="BL512" s="603">
        <f t="shared" si="19"/>
        <v>0</v>
      </c>
      <c r="BM512" s="603">
        <f t="shared" si="19"/>
        <v>0</v>
      </c>
      <c r="BN512" s="603">
        <f t="shared" si="19"/>
        <v>0</v>
      </c>
      <c r="BO512" s="603">
        <f t="shared" si="19"/>
        <v>0</v>
      </c>
      <c r="BP512" s="603">
        <f t="shared" ref="BP512:BX512" si="20">SUM(BP374:BP511)</f>
        <v>0</v>
      </c>
      <c r="BQ512" s="603">
        <f t="shared" si="20"/>
        <v>0</v>
      </c>
      <c r="BR512" s="603">
        <f t="shared" si="20"/>
        <v>0</v>
      </c>
      <c r="BS512" s="603">
        <f t="shared" si="20"/>
        <v>0</v>
      </c>
      <c r="BT512" s="603">
        <f t="shared" si="20"/>
        <v>0</v>
      </c>
      <c r="BU512" s="603">
        <f t="shared" si="20"/>
        <v>0</v>
      </c>
      <c r="BV512" s="603">
        <f t="shared" si="20"/>
        <v>0</v>
      </c>
      <c r="BW512" s="603">
        <f t="shared" si="20"/>
        <v>0</v>
      </c>
      <c r="BX512" s="603">
        <f t="shared" si="20"/>
        <v>29500755833</v>
      </c>
    </row>
    <row r="513" spans="1:76" x14ac:dyDescent="0.2">
      <c r="A513" s="901" t="s">
        <v>1216</v>
      </c>
      <c r="B513" s="610" t="s">
        <v>4290</v>
      </c>
      <c r="C513" s="608" t="s">
        <v>3640</v>
      </c>
      <c r="D513" s="609">
        <v>0</v>
      </c>
      <c r="E513" s="609">
        <v>0</v>
      </c>
      <c r="F513" s="609">
        <v>0</v>
      </c>
      <c r="G513" s="609">
        <v>0</v>
      </c>
      <c r="H513" s="609">
        <v>0</v>
      </c>
      <c r="I513" s="609">
        <v>0</v>
      </c>
      <c r="J513" s="609">
        <v>0</v>
      </c>
      <c r="K513" s="609">
        <v>0</v>
      </c>
      <c r="L513" s="609">
        <v>0</v>
      </c>
      <c r="M513" s="609">
        <v>0</v>
      </c>
      <c r="N513" s="609">
        <v>0</v>
      </c>
      <c r="O513" s="609">
        <v>0</v>
      </c>
      <c r="P513" s="609">
        <v>0</v>
      </c>
      <c r="Q513" s="609">
        <v>0</v>
      </c>
      <c r="R513" s="609">
        <v>0</v>
      </c>
      <c r="S513" s="609">
        <v>0</v>
      </c>
      <c r="T513" s="609">
        <v>0</v>
      </c>
      <c r="U513" s="609">
        <v>0</v>
      </c>
      <c r="V513" s="609">
        <v>0</v>
      </c>
      <c r="W513" s="609">
        <v>0</v>
      </c>
      <c r="X513" s="609">
        <v>0</v>
      </c>
      <c r="Y513" s="609">
        <v>0</v>
      </c>
      <c r="Z513" s="609">
        <v>0</v>
      </c>
      <c r="AA513" s="609">
        <v>0</v>
      </c>
      <c r="AB513" s="609">
        <v>0</v>
      </c>
      <c r="AC513" s="609">
        <v>0</v>
      </c>
      <c r="AD513" s="609">
        <v>0</v>
      </c>
      <c r="AE513" s="609">
        <v>0</v>
      </c>
      <c r="AF513" s="609">
        <v>0</v>
      </c>
      <c r="AG513" s="609">
        <v>0</v>
      </c>
      <c r="AH513" s="609">
        <v>0</v>
      </c>
      <c r="AI513" s="609">
        <v>0</v>
      </c>
      <c r="AJ513" s="609">
        <v>0</v>
      </c>
      <c r="AK513" s="609">
        <v>0</v>
      </c>
      <c r="AL513" s="609">
        <v>0</v>
      </c>
      <c r="AM513" s="609">
        <v>0</v>
      </c>
      <c r="AN513" s="609">
        <v>0</v>
      </c>
      <c r="AO513" s="609">
        <v>0</v>
      </c>
      <c r="AP513" s="609">
        <v>0</v>
      </c>
      <c r="AQ513" s="609">
        <v>0</v>
      </c>
      <c r="AR513" s="609">
        <v>0</v>
      </c>
      <c r="AS513" s="609">
        <v>0</v>
      </c>
      <c r="AT513" s="609">
        <v>0</v>
      </c>
      <c r="AU513" s="609">
        <v>0</v>
      </c>
      <c r="AV513" s="609">
        <v>0</v>
      </c>
      <c r="AW513" s="609">
        <v>4107482</v>
      </c>
      <c r="AX513" s="609">
        <v>345005500</v>
      </c>
      <c r="AY513" s="609">
        <v>0</v>
      </c>
      <c r="AZ513" s="615">
        <v>0</v>
      </c>
      <c r="BA513" s="615">
        <v>0</v>
      </c>
      <c r="BB513" s="615">
        <v>0</v>
      </c>
      <c r="BC513" s="615">
        <v>0</v>
      </c>
      <c r="BD513" s="615">
        <v>0</v>
      </c>
      <c r="BE513" s="615">
        <v>0</v>
      </c>
      <c r="BF513" s="615">
        <v>0</v>
      </c>
      <c r="BG513" s="615">
        <v>0</v>
      </c>
      <c r="BH513" s="615">
        <v>0</v>
      </c>
      <c r="BI513" s="615">
        <v>0</v>
      </c>
      <c r="BJ513" s="615">
        <v>0</v>
      </c>
      <c r="BK513" s="615">
        <v>0</v>
      </c>
      <c r="BL513" s="615">
        <v>0</v>
      </c>
      <c r="BM513" s="615">
        <v>0</v>
      </c>
      <c r="BN513" s="615">
        <v>0</v>
      </c>
      <c r="BO513" s="615">
        <v>0</v>
      </c>
      <c r="BP513" s="615">
        <v>0</v>
      </c>
      <c r="BQ513" s="615">
        <v>0</v>
      </c>
      <c r="BR513" s="615">
        <v>0</v>
      </c>
      <c r="BS513" s="615">
        <v>0</v>
      </c>
      <c r="BT513" s="615">
        <v>0</v>
      </c>
      <c r="BU513" s="615">
        <v>0</v>
      </c>
      <c r="BV513" s="615">
        <v>0</v>
      </c>
      <c r="BW513" s="615">
        <v>0</v>
      </c>
      <c r="BX513" s="607">
        <f>SUM(K513:BW513)</f>
        <v>349112982</v>
      </c>
    </row>
    <row r="514" spans="1:76" x14ac:dyDescent="0.2">
      <c r="A514" s="902"/>
      <c r="B514" s="610" t="s">
        <v>3281</v>
      </c>
      <c r="C514" s="608" t="s">
        <v>3641</v>
      </c>
      <c r="D514" s="609">
        <v>0</v>
      </c>
      <c r="E514" s="609">
        <v>0</v>
      </c>
      <c r="F514" s="609">
        <v>0</v>
      </c>
      <c r="G514" s="609">
        <v>0</v>
      </c>
      <c r="H514" s="609">
        <v>0</v>
      </c>
      <c r="I514" s="609">
        <v>0</v>
      </c>
      <c r="J514" s="609">
        <v>0</v>
      </c>
      <c r="K514" s="609">
        <v>0</v>
      </c>
      <c r="L514" s="609">
        <v>0</v>
      </c>
      <c r="M514" s="609">
        <v>0</v>
      </c>
      <c r="N514" s="609">
        <v>0</v>
      </c>
      <c r="O514" s="609">
        <v>0</v>
      </c>
      <c r="P514" s="609">
        <v>0</v>
      </c>
      <c r="Q514" s="609">
        <v>0</v>
      </c>
      <c r="R514" s="609">
        <v>0</v>
      </c>
      <c r="S514" s="609">
        <v>0</v>
      </c>
      <c r="T514" s="609">
        <v>0</v>
      </c>
      <c r="U514" s="609">
        <v>0</v>
      </c>
      <c r="V514" s="609">
        <v>0</v>
      </c>
      <c r="W514" s="609">
        <v>0</v>
      </c>
      <c r="X514" s="609">
        <v>0</v>
      </c>
      <c r="Y514" s="609">
        <v>0</v>
      </c>
      <c r="Z514" s="609">
        <v>0</v>
      </c>
      <c r="AA514" s="609">
        <v>0</v>
      </c>
      <c r="AB514" s="609">
        <v>0</v>
      </c>
      <c r="AC514" s="609">
        <v>0</v>
      </c>
      <c r="AD514" s="609">
        <v>0</v>
      </c>
      <c r="AE514" s="609">
        <v>0</v>
      </c>
      <c r="AF514" s="609">
        <v>0</v>
      </c>
      <c r="AG514" s="609">
        <v>0</v>
      </c>
      <c r="AH514" s="609">
        <v>0</v>
      </c>
      <c r="AI514" s="609">
        <v>0</v>
      </c>
      <c r="AJ514" s="609">
        <v>0</v>
      </c>
      <c r="AK514" s="609">
        <v>0</v>
      </c>
      <c r="AL514" s="609">
        <v>0</v>
      </c>
      <c r="AM514" s="609">
        <v>0</v>
      </c>
      <c r="AN514" s="609">
        <v>0</v>
      </c>
      <c r="AO514" s="609">
        <v>0</v>
      </c>
      <c r="AP514" s="609">
        <v>0</v>
      </c>
      <c r="AQ514" s="609">
        <v>0</v>
      </c>
      <c r="AR514" s="609">
        <v>0</v>
      </c>
      <c r="AS514" s="609">
        <v>0</v>
      </c>
      <c r="AT514" s="609">
        <v>0</v>
      </c>
      <c r="AU514" s="609">
        <v>0</v>
      </c>
      <c r="AV514" s="609">
        <v>500000</v>
      </c>
      <c r="AW514" s="609">
        <v>2062500</v>
      </c>
      <c r="AX514" s="609">
        <v>230123853</v>
      </c>
      <c r="AY514" s="609">
        <v>0</v>
      </c>
      <c r="AZ514" s="615">
        <v>0</v>
      </c>
      <c r="BA514" s="615">
        <v>0</v>
      </c>
      <c r="BB514" s="615">
        <v>0</v>
      </c>
      <c r="BC514" s="615">
        <v>0</v>
      </c>
      <c r="BD514" s="615">
        <v>0</v>
      </c>
      <c r="BE514" s="615">
        <v>0</v>
      </c>
      <c r="BF514" s="615">
        <v>0</v>
      </c>
      <c r="BG514" s="615">
        <v>0</v>
      </c>
      <c r="BH514" s="615">
        <v>0</v>
      </c>
      <c r="BI514" s="615">
        <v>0</v>
      </c>
      <c r="BJ514" s="615">
        <v>0</v>
      </c>
      <c r="BK514" s="615">
        <v>0</v>
      </c>
      <c r="BL514" s="615">
        <v>0</v>
      </c>
      <c r="BM514" s="615">
        <v>0</v>
      </c>
      <c r="BN514" s="615">
        <v>0</v>
      </c>
      <c r="BO514" s="615">
        <v>0</v>
      </c>
      <c r="BP514" s="615">
        <v>0</v>
      </c>
      <c r="BQ514" s="615">
        <v>0</v>
      </c>
      <c r="BR514" s="615">
        <v>0</v>
      </c>
      <c r="BS514" s="615">
        <v>0</v>
      </c>
      <c r="BT514" s="615">
        <v>0</v>
      </c>
      <c r="BU514" s="615">
        <v>0</v>
      </c>
      <c r="BV514" s="615">
        <v>0</v>
      </c>
      <c r="BW514" s="615">
        <v>0</v>
      </c>
      <c r="BX514" s="607">
        <f t="shared" ref="BX514:BX577" si="21">SUM(K514:BW514)</f>
        <v>232686353</v>
      </c>
    </row>
    <row r="515" spans="1:76" x14ac:dyDescent="0.2">
      <c r="A515" s="902"/>
      <c r="B515" s="610" t="s">
        <v>1469</v>
      </c>
      <c r="C515" s="608" t="s">
        <v>3642</v>
      </c>
      <c r="D515" s="609">
        <v>0</v>
      </c>
      <c r="E515" s="609">
        <v>0</v>
      </c>
      <c r="F515" s="609">
        <v>0</v>
      </c>
      <c r="G515" s="609">
        <v>0</v>
      </c>
      <c r="H515" s="609">
        <v>0</v>
      </c>
      <c r="I515" s="609">
        <v>0</v>
      </c>
      <c r="J515" s="609">
        <v>0</v>
      </c>
      <c r="K515" s="609">
        <v>0</v>
      </c>
      <c r="L515" s="609">
        <v>0</v>
      </c>
      <c r="M515" s="609">
        <v>0</v>
      </c>
      <c r="N515" s="609">
        <v>0</v>
      </c>
      <c r="O515" s="609">
        <v>0</v>
      </c>
      <c r="P515" s="609">
        <v>0</v>
      </c>
      <c r="Q515" s="609">
        <v>0</v>
      </c>
      <c r="R515" s="609">
        <v>0</v>
      </c>
      <c r="S515" s="609">
        <v>0</v>
      </c>
      <c r="T515" s="609">
        <v>0</v>
      </c>
      <c r="U515" s="609">
        <v>0</v>
      </c>
      <c r="V515" s="609">
        <v>0</v>
      </c>
      <c r="W515" s="609">
        <v>0</v>
      </c>
      <c r="X515" s="609">
        <v>0</v>
      </c>
      <c r="Y515" s="609">
        <v>0</v>
      </c>
      <c r="Z515" s="609">
        <v>0</v>
      </c>
      <c r="AA515" s="609">
        <v>0</v>
      </c>
      <c r="AB515" s="609">
        <v>0</v>
      </c>
      <c r="AC515" s="609">
        <v>0</v>
      </c>
      <c r="AD515" s="609">
        <v>0</v>
      </c>
      <c r="AE515" s="609">
        <v>0</v>
      </c>
      <c r="AF515" s="609">
        <v>0</v>
      </c>
      <c r="AG515" s="609">
        <v>0</v>
      </c>
      <c r="AH515" s="609">
        <v>0</v>
      </c>
      <c r="AI515" s="609">
        <v>0</v>
      </c>
      <c r="AJ515" s="609">
        <v>0</v>
      </c>
      <c r="AK515" s="609">
        <v>0</v>
      </c>
      <c r="AL515" s="609">
        <v>0</v>
      </c>
      <c r="AM515" s="609">
        <v>0</v>
      </c>
      <c r="AN515" s="609">
        <v>0</v>
      </c>
      <c r="AO515" s="609">
        <v>0</v>
      </c>
      <c r="AP515" s="609">
        <v>0</v>
      </c>
      <c r="AQ515" s="609">
        <v>0</v>
      </c>
      <c r="AR515" s="609">
        <v>0</v>
      </c>
      <c r="AS515" s="609">
        <v>0</v>
      </c>
      <c r="AT515" s="609">
        <v>0</v>
      </c>
      <c r="AU515" s="609">
        <v>0</v>
      </c>
      <c r="AV515" s="609">
        <v>0</v>
      </c>
      <c r="AW515" s="609">
        <v>2800000</v>
      </c>
      <c r="AX515" s="609">
        <v>2800000</v>
      </c>
      <c r="AY515" s="609">
        <v>265298050</v>
      </c>
      <c r="AZ515" s="615">
        <v>0</v>
      </c>
      <c r="BA515" s="615">
        <v>0</v>
      </c>
      <c r="BB515" s="615">
        <v>0</v>
      </c>
      <c r="BC515" s="615">
        <v>0</v>
      </c>
      <c r="BD515" s="615">
        <v>0</v>
      </c>
      <c r="BE515" s="615">
        <v>0</v>
      </c>
      <c r="BF515" s="615">
        <v>0</v>
      </c>
      <c r="BG515" s="615">
        <v>0</v>
      </c>
      <c r="BH515" s="615">
        <v>0</v>
      </c>
      <c r="BI515" s="615">
        <v>0</v>
      </c>
      <c r="BJ515" s="615">
        <v>0</v>
      </c>
      <c r="BK515" s="615">
        <v>0</v>
      </c>
      <c r="BL515" s="615">
        <v>0</v>
      </c>
      <c r="BM515" s="615">
        <v>0</v>
      </c>
      <c r="BN515" s="615">
        <v>0</v>
      </c>
      <c r="BO515" s="615">
        <v>0</v>
      </c>
      <c r="BP515" s="615">
        <v>0</v>
      </c>
      <c r="BQ515" s="615">
        <v>0</v>
      </c>
      <c r="BR515" s="615">
        <v>0</v>
      </c>
      <c r="BS515" s="615">
        <v>0</v>
      </c>
      <c r="BT515" s="615">
        <v>0</v>
      </c>
      <c r="BU515" s="615">
        <v>0</v>
      </c>
      <c r="BV515" s="615">
        <v>0</v>
      </c>
      <c r="BW515" s="615">
        <v>0</v>
      </c>
      <c r="BX515" s="607">
        <f t="shared" si="21"/>
        <v>270898050</v>
      </c>
    </row>
    <row r="516" spans="1:76" x14ac:dyDescent="0.2">
      <c r="A516" s="902"/>
      <c r="B516" s="610" t="s">
        <v>2292</v>
      </c>
      <c r="C516" s="608" t="s">
        <v>3643</v>
      </c>
      <c r="D516" s="609"/>
      <c r="E516" s="609"/>
      <c r="F516" s="609"/>
      <c r="G516" s="609"/>
      <c r="H516" s="609">
        <v>0</v>
      </c>
      <c r="I516" s="609">
        <v>0</v>
      </c>
      <c r="J516" s="609">
        <v>0</v>
      </c>
      <c r="K516" s="609">
        <v>0</v>
      </c>
      <c r="L516" s="609">
        <v>0</v>
      </c>
      <c r="M516" s="609">
        <v>0</v>
      </c>
      <c r="N516" s="609">
        <v>0</v>
      </c>
      <c r="O516" s="609">
        <v>0</v>
      </c>
      <c r="P516" s="609">
        <v>0</v>
      </c>
      <c r="Q516" s="609">
        <v>0</v>
      </c>
      <c r="R516" s="609">
        <v>0</v>
      </c>
      <c r="S516" s="609">
        <v>0</v>
      </c>
      <c r="T516" s="609">
        <v>0</v>
      </c>
      <c r="U516" s="609">
        <v>0</v>
      </c>
      <c r="V516" s="609">
        <v>0</v>
      </c>
      <c r="W516" s="609">
        <v>0</v>
      </c>
      <c r="X516" s="609">
        <v>0</v>
      </c>
      <c r="Y516" s="609">
        <v>0</v>
      </c>
      <c r="Z516" s="609">
        <v>0</v>
      </c>
      <c r="AA516" s="609">
        <v>0</v>
      </c>
      <c r="AB516" s="609">
        <v>0</v>
      </c>
      <c r="AC516" s="609">
        <v>0</v>
      </c>
      <c r="AD516" s="609">
        <v>0</v>
      </c>
      <c r="AE516" s="609">
        <v>0</v>
      </c>
      <c r="AF516" s="609">
        <v>0</v>
      </c>
      <c r="AG516" s="609">
        <v>0</v>
      </c>
      <c r="AH516" s="609">
        <v>0</v>
      </c>
      <c r="AI516" s="609">
        <v>0</v>
      </c>
      <c r="AJ516" s="609">
        <v>0</v>
      </c>
      <c r="AK516" s="609">
        <v>0</v>
      </c>
      <c r="AL516" s="609">
        <v>0</v>
      </c>
      <c r="AM516" s="609">
        <v>0</v>
      </c>
      <c r="AN516" s="609">
        <v>0</v>
      </c>
      <c r="AO516" s="609">
        <v>0</v>
      </c>
      <c r="AP516" s="609">
        <v>0</v>
      </c>
      <c r="AQ516" s="609">
        <v>0</v>
      </c>
      <c r="AR516" s="609">
        <v>0</v>
      </c>
      <c r="AS516" s="609">
        <v>0</v>
      </c>
      <c r="AT516" s="609">
        <v>0</v>
      </c>
      <c r="AU516" s="609">
        <v>0</v>
      </c>
      <c r="AV516" s="609">
        <v>4932800</v>
      </c>
      <c r="AW516" s="609">
        <v>7466400</v>
      </c>
      <c r="AX516" s="609">
        <v>7466400</v>
      </c>
      <c r="AY516" s="609">
        <v>7466400</v>
      </c>
      <c r="AZ516" s="615">
        <v>7466405</v>
      </c>
      <c r="BA516" s="615">
        <v>322922145</v>
      </c>
      <c r="BB516" s="615">
        <v>0</v>
      </c>
      <c r="BC516" s="615">
        <v>0</v>
      </c>
      <c r="BD516" s="615">
        <v>0</v>
      </c>
      <c r="BE516" s="615">
        <v>0</v>
      </c>
      <c r="BF516" s="615">
        <v>0</v>
      </c>
      <c r="BG516" s="615">
        <v>0</v>
      </c>
      <c r="BH516" s="615">
        <v>0</v>
      </c>
      <c r="BI516" s="615">
        <v>0</v>
      </c>
      <c r="BJ516" s="615">
        <v>0</v>
      </c>
      <c r="BK516" s="615">
        <v>0</v>
      </c>
      <c r="BL516" s="615">
        <v>0</v>
      </c>
      <c r="BM516" s="615">
        <v>0</v>
      </c>
      <c r="BN516" s="615">
        <v>0</v>
      </c>
      <c r="BO516" s="615">
        <v>0</v>
      </c>
      <c r="BP516" s="615">
        <v>0</v>
      </c>
      <c r="BQ516" s="615">
        <v>0</v>
      </c>
      <c r="BR516" s="615">
        <v>0</v>
      </c>
      <c r="BS516" s="615">
        <v>0</v>
      </c>
      <c r="BT516" s="615">
        <v>0</v>
      </c>
      <c r="BU516" s="615">
        <v>0</v>
      </c>
      <c r="BV516" s="615">
        <v>0</v>
      </c>
      <c r="BW516" s="615">
        <v>0</v>
      </c>
      <c r="BX516" s="607">
        <f t="shared" si="21"/>
        <v>357720550</v>
      </c>
    </row>
    <row r="517" spans="1:76" x14ac:dyDescent="0.2">
      <c r="A517" s="902"/>
      <c r="B517" s="610" t="s">
        <v>1984</v>
      </c>
      <c r="C517" s="608" t="s">
        <v>3644</v>
      </c>
      <c r="D517" s="609"/>
      <c r="E517" s="609"/>
      <c r="F517" s="609"/>
      <c r="G517" s="609"/>
      <c r="H517" s="609">
        <v>0</v>
      </c>
      <c r="I517" s="609">
        <v>0</v>
      </c>
      <c r="J517" s="609">
        <v>0</v>
      </c>
      <c r="K517" s="609">
        <v>0</v>
      </c>
      <c r="L517" s="609">
        <v>0</v>
      </c>
      <c r="M517" s="609">
        <v>0</v>
      </c>
      <c r="N517" s="609">
        <v>0</v>
      </c>
      <c r="O517" s="609">
        <v>0</v>
      </c>
      <c r="P517" s="609">
        <v>0</v>
      </c>
      <c r="Q517" s="609">
        <v>0</v>
      </c>
      <c r="R517" s="609">
        <v>0</v>
      </c>
      <c r="S517" s="609">
        <v>0</v>
      </c>
      <c r="T517" s="609">
        <v>0</v>
      </c>
      <c r="U517" s="609">
        <v>0</v>
      </c>
      <c r="V517" s="609">
        <v>0</v>
      </c>
      <c r="W517" s="609">
        <v>0</v>
      </c>
      <c r="X517" s="609">
        <v>0</v>
      </c>
      <c r="Y517" s="609">
        <v>0</v>
      </c>
      <c r="Z517" s="609">
        <v>0</v>
      </c>
      <c r="AA517" s="609">
        <v>0</v>
      </c>
      <c r="AB517" s="609">
        <v>0</v>
      </c>
      <c r="AC517" s="609">
        <v>0</v>
      </c>
      <c r="AD517" s="609">
        <v>0</v>
      </c>
      <c r="AE517" s="609">
        <v>0</v>
      </c>
      <c r="AF517" s="609">
        <v>0</v>
      </c>
      <c r="AG517" s="609">
        <v>0</v>
      </c>
      <c r="AH517" s="609">
        <v>0</v>
      </c>
      <c r="AI517" s="609">
        <v>0</v>
      </c>
      <c r="AJ517" s="609">
        <v>0</v>
      </c>
      <c r="AK517" s="609">
        <v>0</v>
      </c>
      <c r="AL517" s="609">
        <v>0</v>
      </c>
      <c r="AM517" s="609">
        <v>0</v>
      </c>
      <c r="AN517" s="609">
        <v>0</v>
      </c>
      <c r="AO517" s="609">
        <v>0</v>
      </c>
      <c r="AP517" s="609">
        <v>0</v>
      </c>
      <c r="AQ517" s="609">
        <v>0</v>
      </c>
      <c r="AR517" s="609">
        <v>0</v>
      </c>
      <c r="AS517" s="609">
        <v>0</v>
      </c>
      <c r="AT517" s="609">
        <v>0</v>
      </c>
      <c r="AU517" s="609">
        <v>0</v>
      </c>
      <c r="AV517" s="609">
        <v>6829680</v>
      </c>
      <c r="AW517" s="609">
        <v>6839678</v>
      </c>
      <c r="AX517" s="609">
        <v>6839678</v>
      </c>
      <c r="AY517" s="609">
        <v>335357968</v>
      </c>
      <c r="AZ517" s="615">
        <v>0</v>
      </c>
      <c r="BA517" s="615">
        <v>0</v>
      </c>
      <c r="BB517" s="615">
        <v>0</v>
      </c>
      <c r="BC517" s="615">
        <v>0</v>
      </c>
      <c r="BD517" s="615">
        <v>0</v>
      </c>
      <c r="BE517" s="615">
        <v>0</v>
      </c>
      <c r="BF517" s="615">
        <v>0</v>
      </c>
      <c r="BG517" s="615">
        <v>0</v>
      </c>
      <c r="BH517" s="615">
        <v>0</v>
      </c>
      <c r="BI517" s="615">
        <v>0</v>
      </c>
      <c r="BJ517" s="615">
        <v>0</v>
      </c>
      <c r="BK517" s="615">
        <v>0</v>
      </c>
      <c r="BL517" s="615">
        <v>0</v>
      </c>
      <c r="BM517" s="615">
        <v>0</v>
      </c>
      <c r="BN517" s="615">
        <v>0</v>
      </c>
      <c r="BO517" s="615">
        <v>0</v>
      </c>
      <c r="BP517" s="615">
        <v>0</v>
      </c>
      <c r="BQ517" s="615">
        <v>0</v>
      </c>
      <c r="BR517" s="615">
        <v>0</v>
      </c>
      <c r="BS517" s="615">
        <v>0</v>
      </c>
      <c r="BT517" s="615">
        <v>0</v>
      </c>
      <c r="BU517" s="615">
        <v>0</v>
      </c>
      <c r="BV517" s="615">
        <v>0</v>
      </c>
      <c r="BW517" s="615">
        <v>0</v>
      </c>
      <c r="BX517" s="607">
        <f t="shared" si="21"/>
        <v>355867004</v>
      </c>
    </row>
    <row r="518" spans="1:76" x14ac:dyDescent="0.2">
      <c r="A518" s="902"/>
      <c r="B518" s="610" t="s">
        <v>3012</v>
      </c>
      <c r="C518" s="608" t="s">
        <v>3645</v>
      </c>
      <c r="D518" s="609"/>
      <c r="E518" s="609"/>
      <c r="F518" s="609"/>
      <c r="G518" s="609"/>
      <c r="H518" s="609">
        <v>0</v>
      </c>
      <c r="I518" s="609">
        <v>0</v>
      </c>
      <c r="J518" s="609">
        <v>0</v>
      </c>
      <c r="K518" s="609">
        <v>0</v>
      </c>
      <c r="L518" s="609">
        <v>0</v>
      </c>
      <c r="M518" s="609">
        <v>0</v>
      </c>
      <c r="N518" s="609">
        <v>0</v>
      </c>
      <c r="O518" s="609">
        <v>0</v>
      </c>
      <c r="P518" s="609">
        <v>0</v>
      </c>
      <c r="Q518" s="609">
        <v>0</v>
      </c>
      <c r="R518" s="609">
        <v>0</v>
      </c>
      <c r="S518" s="609">
        <v>0</v>
      </c>
      <c r="T518" s="609">
        <v>0</v>
      </c>
      <c r="U518" s="609">
        <v>0</v>
      </c>
      <c r="V518" s="609">
        <v>0</v>
      </c>
      <c r="W518" s="609">
        <v>0</v>
      </c>
      <c r="X518" s="609">
        <v>0</v>
      </c>
      <c r="Y518" s="609">
        <v>0</v>
      </c>
      <c r="Z518" s="609">
        <v>0</v>
      </c>
      <c r="AA518" s="609">
        <v>0</v>
      </c>
      <c r="AB518" s="609">
        <v>0</v>
      </c>
      <c r="AC518" s="609">
        <v>0</v>
      </c>
      <c r="AD518" s="609">
        <v>0</v>
      </c>
      <c r="AE518" s="609">
        <v>0</v>
      </c>
      <c r="AF518" s="609">
        <v>0</v>
      </c>
      <c r="AG518" s="609">
        <v>0</v>
      </c>
      <c r="AH518" s="609">
        <v>0</v>
      </c>
      <c r="AI518" s="609">
        <v>0</v>
      </c>
      <c r="AJ518" s="609">
        <v>0</v>
      </c>
      <c r="AK518" s="609">
        <v>0</v>
      </c>
      <c r="AL518" s="609">
        <v>0</v>
      </c>
      <c r="AM518" s="609">
        <v>0</v>
      </c>
      <c r="AN518" s="609">
        <v>0</v>
      </c>
      <c r="AO518" s="609">
        <v>0</v>
      </c>
      <c r="AP518" s="609">
        <v>0</v>
      </c>
      <c r="AQ518" s="609">
        <v>0</v>
      </c>
      <c r="AR518" s="609">
        <v>0</v>
      </c>
      <c r="AS518" s="609">
        <v>0</v>
      </c>
      <c r="AT518" s="609">
        <v>0</v>
      </c>
      <c r="AU518" s="609">
        <v>0</v>
      </c>
      <c r="AV518" s="609">
        <v>0</v>
      </c>
      <c r="AW518" s="609">
        <v>0</v>
      </c>
      <c r="AX518" s="609">
        <v>0</v>
      </c>
      <c r="AY518" s="609">
        <v>279156941</v>
      </c>
      <c r="AZ518" s="615">
        <v>0</v>
      </c>
      <c r="BA518" s="615">
        <v>0</v>
      </c>
      <c r="BB518" s="615">
        <v>0</v>
      </c>
      <c r="BC518" s="615">
        <v>0</v>
      </c>
      <c r="BD518" s="615">
        <v>0</v>
      </c>
      <c r="BE518" s="615">
        <v>0</v>
      </c>
      <c r="BF518" s="615">
        <v>0</v>
      </c>
      <c r="BG518" s="615">
        <v>0</v>
      </c>
      <c r="BH518" s="615">
        <v>0</v>
      </c>
      <c r="BI518" s="615">
        <v>0</v>
      </c>
      <c r="BJ518" s="615">
        <v>0</v>
      </c>
      <c r="BK518" s="615">
        <v>0</v>
      </c>
      <c r="BL518" s="615">
        <v>0</v>
      </c>
      <c r="BM518" s="615">
        <v>0</v>
      </c>
      <c r="BN518" s="615">
        <v>0</v>
      </c>
      <c r="BO518" s="615">
        <v>0</v>
      </c>
      <c r="BP518" s="615">
        <v>0</v>
      </c>
      <c r="BQ518" s="615">
        <v>0</v>
      </c>
      <c r="BR518" s="615">
        <v>0</v>
      </c>
      <c r="BS518" s="615">
        <v>0</v>
      </c>
      <c r="BT518" s="615">
        <v>0</v>
      </c>
      <c r="BU518" s="615">
        <v>0</v>
      </c>
      <c r="BV518" s="615">
        <v>0</v>
      </c>
      <c r="BW518" s="615">
        <v>0</v>
      </c>
      <c r="BX518" s="607">
        <f t="shared" si="21"/>
        <v>279156941</v>
      </c>
    </row>
    <row r="519" spans="1:76" x14ac:dyDescent="0.2">
      <c r="A519" s="902"/>
      <c r="B519" s="610" t="s">
        <v>1749</v>
      </c>
      <c r="C519" s="608" t="s">
        <v>3646</v>
      </c>
      <c r="D519" s="609"/>
      <c r="E519" s="609"/>
      <c r="F519" s="609"/>
      <c r="G519" s="609"/>
      <c r="H519" s="609">
        <v>0</v>
      </c>
      <c r="I519" s="609">
        <v>0</v>
      </c>
      <c r="J519" s="609">
        <v>0</v>
      </c>
      <c r="K519" s="609">
        <v>0</v>
      </c>
      <c r="L519" s="609">
        <v>0</v>
      </c>
      <c r="M519" s="609">
        <v>0</v>
      </c>
      <c r="N519" s="609">
        <v>0</v>
      </c>
      <c r="O519" s="609">
        <v>0</v>
      </c>
      <c r="P519" s="609">
        <v>0</v>
      </c>
      <c r="Q519" s="609">
        <v>0</v>
      </c>
      <c r="R519" s="609">
        <v>0</v>
      </c>
      <c r="S519" s="609">
        <v>0</v>
      </c>
      <c r="T519" s="609">
        <v>0</v>
      </c>
      <c r="U519" s="609">
        <v>0</v>
      </c>
      <c r="V519" s="609">
        <v>0</v>
      </c>
      <c r="W519" s="609">
        <v>0</v>
      </c>
      <c r="X519" s="609">
        <v>0</v>
      </c>
      <c r="Y519" s="609">
        <v>0</v>
      </c>
      <c r="Z519" s="609">
        <v>0</v>
      </c>
      <c r="AA519" s="609">
        <v>0</v>
      </c>
      <c r="AB519" s="609">
        <v>0</v>
      </c>
      <c r="AC519" s="609">
        <v>0</v>
      </c>
      <c r="AD519" s="609">
        <v>0</v>
      </c>
      <c r="AE519" s="609">
        <v>0</v>
      </c>
      <c r="AF519" s="609">
        <v>0</v>
      </c>
      <c r="AG519" s="609">
        <v>0</v>
      </c>
      <c r="AH519" s="609">
        <v>0</v>
      </c>
      <c r="AI519" s="609">
        <v>0</v>
      </c>
      <c r="AJ519" s="609">
        <v>0</v>
      </c>
      <c r="AK519" s="609">
        <v>0</v>
      </c>
      <c r="AL519" s="609">
        <v>0</v>
      </c>
      <c r="AM519" s="609">
        <v>0</v>
      </c>
      <c r="AN519" s="609">
        <v>0</v>
      </c>
      <c r="AO519" s="609">
        <v>0</v>
      </c>
      <c r="AP519" s="609">
        <v>0</v>
      </c>
      <c r="AQ519" s="609">
        <v>0</v>
      </c>
      <c r="AR519" s="609">
        <v>0</v>
      </c>
      <c r="AS519" s="609">
        <v>0</v>
      </c>
      <c r="AT519" s="609">
        <v>0</v>
      </c>
      <c r="AU519" s="609">
        <v>0</v>
      </c>
      <c r="AV519" s="609">
        <v>0</v>
      </c>
      <c r="AW519" s="609">
        <v>0</v>
      </c>
      <c r="AX519" s="609">
        <v>0</v>
      </c>
      <c r="AY519" s="609">
        <v>0</v>
      </c>
      <c r="AZ519" s="615">
        <v>312546595</v>
      </c>
      <c r="BA519" s="615">
        <v>0</v>
      </c>
      <c r="BB519" s="615">
        <v>0</v>
      </c>
      <c r="BC519" s="615">
        <v>0</v>
      </c>
      <c r="BD519" s="615">
        <v>0</v>
      </c>
      <c r="BE519" s="615">
        <v>0</v>
      </c>
      <c r="BF519" s="615">
        <v>0</v>
      </c>
      <c r="BG519" s="615">
        <v>0</v>
      </c>
      <c r="BH519" s="615">
        <v>0</v>
      </c>
      <c r="BI519" s="615">
        <v>0</v>
      </c>
      <c r="BJ519" s="615">
        <v>0</v>
      </c>
      <c r="BK519" s="615">
        <v>0</v>
      </c>
      <c r="BL519" s="615">
        <v>0</v>
      </c>
      <c r="BM519" s="615">
        <v>0</v>
      </c>
      <c r="BN519" s="615">
        <v>0</v>
      </c>
      <c r="BO519" s="615">
        <v>0</v>
      </c>
      <c r="BP519" s="615">
        <v>0</v>
      </c>
      <c r="BQ519" s="615">
        <v>0</v>
      </c>
      <c r="BR519" s="615">
        <v>0</v>
      </c>
      <c r="BS519" s="615">
        <v>0</v>
      </c>
      <c r="BT519" s="615">
        <v>0</v>
      </c>
      <c r="BU519" s="615">
        <v>0</v>
      </c>
      <c r="BV519" s="615">
        <v>0</v>
      </c>
      <c r="BW519" s="615">
        <v>0</v>
      </c>
      <c r="BX519" s="607">
        <f t="shared" si="21"/>
        <v>312546595</v>
      </c>
    </row>
    <row r="520" spans="1:76" x14ac:dyDescent="0.2">
      <c r="A520" s="902"/>
      <c r="B520" s="610" t="s">
        <v>1749</v>
      </c>
      <c r="C520" s="608" t="s">
        <v>3647</v>
      </c>
      <c r="D520" s="609"/>
      <c r="E520" s="609"/>
      <c r="F520" s="609"/>
      <c r="G520" s="609"/>
      <c r="H520" s="609"/>
      <c r="I520" s="609"/>
      <c r="J520" s="609"/>
      <c r="K520" s="609"/>
      <c r="L520" s="609">
        <v>0</v>
      </c>
      <c r="M520" s="609">
        <v>0</v>
      </c>
      <c r="N520" s="609">
        <v>0</v>
      </c>
      <c r="O520" s="609">
        <v>0</v>
      </c>
      <c r="P520" s="609">
        <v>0</v>
      </c>
      <c r="Q520" s="609">
        <v>0</v>
      </c>
      <c r="R520" s="609">
        <v>0</v>
      </c>
      <c r="S520" s="609">
        <v>0</v>
      </c>
      <c r="T520" s="609">
        <v>0</v>
      </c>
      <c r="U520" s="609">
        <v>0</v>
      </c>
      <c r="V520" s="609">
        <v>0</v>
      </c>
      <c r="W520" s="609">
        <v>0</v>
      </c>
      <c r="X520" s="609">
        <v>0</v>
      </c>
      <c r="Y520" s="609">
        <v>0</v>
      </c>
      <c r="Z520" s="609">
        <v>0</v>
      </c>
      <c r="AA520" s="609">
        <v>0</v>
      </c>
      <c r="AB520" s="609">
        <v>0</v>
      </c>
      <c r="AC520" s="609">
        <v>0</v>
      </c>
      <c r="AD520" s="609">
        <v>0</v>
      </c>
      <c r="AE520" s="609">
        <v>0</v>
      </c>
      <c r="AF520" s="609">
        <v>0</v>
      </c>
      <c r="AG520" s="609">
        <v>0</v>
      </c>
      <c r="AH520" s="609">
        <v>0</v>
      </c>
      <c r="AI520" s="609">
        <v>0</v>
      </c>
      <c r="AJ520" s="609">
        <v>0</v>
      </c>
      <c r="AK520" s="609">
        <v>0</v>
      </c>
      <c r="AL520" s="609">
        <v>0</v>
      </c>
      <c r="AM520" s="609">
        <v>0</v>
      </c>
      <c r="AN520" s="609">
        <v>0</v>
      </c>
      <c r="AO520" s="609">
        <v>0</v>
      </c>
      <c r="AP520" s="609">
        <v>0</v>
      </c>
      <c r="AQ520" s="609">
        <v>0</v>
      </c>
      <c r="AR520" s="609">
        <v>0</v>
      </c>
      <c r="AS520" s="609">
        <v>0</v>
      </c>
      <c r="AT520" s="609">
        <v>0</v>
      </c>
      <c r="AU520" s="609">
        <v>0</v>
      </c>
      <c r="AV520" s="609">
        <v>0</v>
      </c>
      <c r="AW520" s="609">
        <v>0</v>
      </c>
      <c r="AX520" s="609">
        <v>6743000</v>
      </c>
      <c r="AY520" s="609">
        <v>6743000</v>
      </c>
      <c r="AZ520" s="615">
        <v>316927477</v>
      </c>
      <c r="BA520" s="615">
        <v>0</v>
      </c>
      <c r="BB520" s="615">
        <v>0</v>
      </c>
      <c r="BC520" s="615">
        <v>0</v>
      </c>
      <c r="BD520" s="615">
        <v>0</v>
      </c>
      <c r="BE520" s="615">
        <v>0</v>
      </c>
      <c r="BF520" s="615">
        <v>0</v>
      </c>
      <c r="BG520" s="615">
        <v>0</v>
      </c>
      <c r="BH520" s="615">
        <v>0</v>
      </c>
      <c r="BI520" s="615">
        <v>0</v>
      </c>
      <c r="BJ520" s="615">
        <v>0</v>
      </c>
      <c r="BK520" s="615">
        <v>0</v>
      </c>
      <c r="BL520" s="615">
        <v>0</v>
      </c>
      <c r="BM520" s="615">
        <v>0</v>
      </c>
      <c r="BN520" s="615">
        <v>0</v>
      </c>
      <c r="BO520" s="615">
        <v>0</v>
      </c>
      <c r="BP520" s="615">
        <v>0</v>
      </c>
      <c r="BQ520" s="615">
        <v>0</v>
      </c>
      <c r="BR520" s="615">
        <v>0</v>
      </c>
      <c r="BS520" s="615">
        <v>0</v>
      </c>
      <c r="BT520" s="615">
        <v>0</v>
      </c>
      <c r="BU520" s="615">
        <v>0</v>
      </c>
      <c r="BV520" s="615">
        <v>0</v>
      </c>
      <c r="BW520" s="615">
        <v>0</v>
      </c>
      <c r="BX520" s="607">
        <f t="shared" si="21"/>
        <v>330413477</v>
      </c>
    </row>
    <row r="521" spans="1:76" x14ac:dyDescent="0.2">
      <c r="A521" s="902"/>
      <c r="B521" s="610" t="s">
        <v>3227</v>
      </c>
      <c r="C521" s="608" t="s">
        <v>3648</v>
      </c>
      <c r="D521" s="609"/>
      <c r="E521" s="609"/>
      <c r="F521" s="609"/>
      <c r="G521" s="609"/>
      <c r="H521" s="609"/>
      <c r="I521" s="609"/>
      <c r="J521" s="609"/>
      <c r="K521" s="609"/>
      <c r="L521" s="609">
        <v>0</v>
      </c>
      <c r="M521" s="609">
        <v>0</v>
      </c>
      <c r="N521" s="609">
        <v>0</v>
      </c>
      <c r="O521" s="609">
        <v>0</v>
      </c>
      <c r="P521" s="609">
        <v>0</v>
      </c>
      <c r="Q521" s="609">
        <v>0</v>
      </c>
      <c r="R521" s="609">
        <v>0</v>
      </c>
      <c r="S521" s="609">
        <v>0</v>
      </c>
      <c r="T521" s="609">
        <v>0</v>
      </c>
      <c r="U521" s="609">
        <v>0</v>
      </c>
      <c r="V521" s="609">
        <v>0</v>
      </c>
      <c r="W521" s="609">
        <v>0</v>
      </c>
      <c r="X521" s="609">
        <v>0</v>
      </c>
      <c r="Y521" s="609">
        <v>0</v>
      </c>
      <c r="Z521" s="609">
        <v>0</v>
      </c>
      <c r="AA521" s="609">
        <v>0</v>
      </c>
      <c r="AB521" s="609">
        <v>0</v>
      </c>
      <c r="AC521" s="609">
        <v>0</v>
      </c>
      <c r="AD521" s="609">
        <v>0</v>
      </c>
      <c r="AE521" s="609">
        <v>0</v>
      </c>
      <c r="AF521" s="609">
        <v>0</v>
      </c>
      <c r="AG521" s="609">
        <v>0</v>
      </c>
      <c r="AH521" s="609">
        <v>0</v>
      </c>
      <c r="AI521" s="609">
        <v>0</v>
      </c>
      <c r="AJ521" s="609">
        <v>0</v>
      </c>
      <c r="AK521" s="609">
        <v>0</v>
      </c>
      <c r="AL521" s="609">
        <v>0</v>
      </c>
      <c r="AM521" s="609">
        <v>0</v>
      </c>
      <c r="AN521" s="609">
        <v>0</v>
      </c>
      <c r="AO521" s="609">
        <v>0</v>
      </c>
      <c r="AP521" s="609">
        <v>0</v>
      </c>
      <c r="AQ521" s="609">
        <v>0</v>
      </c>
      <c r="AR521" s="609">
        <v>0</v>
      </c>
      <c r="AS521" s="609">
        <v>0</v>
      </c>
      <c r="AT521" s="609">
        <v>0</v>
      </c>
      <c r="AU521" s="609">
        <v>0</v>
      </c>
      <c r="AV521" s="609">
        <v>0</v>
      </c>
      <c r="AW521" s="609">
        <v>12592889</v>
      </c>
      <c r="AX521" s="609">
        <v>12592888</v>
      </c>
      <c r="AY521" s="609">
        <v>273784000</v>
      </c>
      <c r="AZ521" s="615">
        <v>0</v>
      </c>
      <c r="BA521" s="615">
        <v>0</v>
      </c>
      <c r="BB521" s="615">
        <v>0</v>
      </c>
      <c r="BC521" s="615">
        <v>0</v>
      </c>
      <c r="BD521" s="615">
        <v>0</v>
      </c>
      <c r="BE521" s="615">
        <v>0</v>
      </c>
      <c r="BF521" s="615">
        <v>0</v>
      </c>
      <c r="BG521" s="615">
        <v>0</v>
      </c>
      <c r="BH521" s="615">
        <v>0</v>
      </c>
      <c r="BI521" s="615">
        <v>0</v>
      </c>
      <c r="BJ521" s="615">
        <v>0</v>
      </c>
      <c r="BK521" s="615">
        <v>0</v>
      </c>
      <c r="BL521" s="615">
        <v>0</v>
      </c>
      <c r="BM521" s="615">
        <v>0</v>
      </c>
      <c r="BN521" s="615">
        <v>0</v>
      </c>
      <c r="BO521" s="615">
        <v>0</v>
      </c>
      <c r="BP521" s="615">
        <v>0</v>
      </c>
      <c r="BQ521" s="615">
        <v>0</v>
      </c>
      <c r="BR521" s="615">
        <v>0</v>
      </c>
      <c r="BS521" s="615">
        <v>0</v>
      </c>
      <c r="BT521" s="615">
        <v>0</v>
      </c>
      <c r="BU521" s="615">
        <v>0</v>
      </c>
      <c r="BV521" s="615">
        <v>0</v>
      </c>
      <c r="BW521" s="615">
        <v>0</v>
      </c>
      <c r="BX521" s="607">
        <f t="shared" si="21"/>
        <v>298969777</v>
      </c>
    </row>
    <row r="522" spans="1:76" x14ac:dyDescent="0.2">
      <c r="A522" s="902"/>
      <c r="B522" s="610" t="s">
        <v>1562</v>
      </c>
      <c r="C522" s="608" t="s">
        <v>3649</v>
      </c>
      <c r="D522" s="609"/>
      <c r="E522" s="609"/>
      <c r="F522" s="609"/>
      <c r="G522" s="609"/>
      <c r="H522" s="609"/>
      <c r="I522" s="609"/>
      <c r="J522" s="609"/>
      <c r="K522" s="609"/>
      <c r="L522" s="609">
        <v>0</v>
      </c>
      <c r="M522" s="609">
        <v>0</v>
      </c>
      <c r="N522" s="609">
        <v>0</v>
      </c>
      <c r="O522" s="609">
        <v>0</v>
      </c>
      <c r="P522" s="609">
        <v>0</v>
      </c>
      <c r="Q522" s="609">
        <v>0</v>
      </c>
      <c r="R522" s="609">
        <v>0</v>
      </c>
      <c r="S522" s="609">
        <v>0</v>
      </c>
      <c r="T522" s="609">
        <v>0</v>
      </c>
      <c r="U522" s="609">
        <v>0</v>
      </c>
      <c r="V522" s="609">
        <v>0</v>
      </c>
      <c r="W522" s="609">
        <v>0</v>
      </c>
      <c r="X522" s="609">
        <v>0</v>
      </c>
      <c r="Y522" s="609">
        <v>0</v>
      </c>
      <c r="Z522" s="609">
        <v>0</v>
      </c>
      <c r="AA522" s="609">
        <v>0</v>
      </c>
      <c r="AB522" s="609">
        <v>0</v>
      </c>
      <c r="AC522" s="609">
        <v>0</v>
      </c>
      <c r="AD522" s="609">
        <v>0</v>
      </c>
      <c r="AE522" s="609">
        <v>0</v>
      </c>
      <c r="AF522" s="609">
        <v>0</v>
      </c>
      <c r="AG522" s="609">
        <v>0</v>
      </c>
      <c r="AH522" s="609">
        <v>0</v>
      </c>
      <c r="AI522" s="609">
        <v>0</v>
      </c>
      <c r="AJ522" s="609">
        <v>0</v>
      </c>
      <c r="AK522" s="609">
        <v>0</v>
      </c>
      <c r="AL522" s="609">
        <v>0</v>
      </c>
      <c r="AM522" s="609">
        <v>0</v>
      </c>
      <c r="AN522" s="609">
        <v>0</v>
      </c>
      <c r="AO522" s="609">
        <v>0</v>
      </c>
      <c r="AP522" s="609">
        <v>0</v>
      </c>
      <c r="AQ522" s="609">
        <v>0</v>
      </c>
      <c r="AR522" s="609">
        <v>0</v>
      </c>
      <c r="AS522" s="609">
        <v>0</v>
      </c>
      <c r="AT522" s="609">
        <v>0</v>
      </c>
      <c r="AU522" s="609">
        <v>0</v>
      </c>
      <c r="AV522" s="609">
        <v>0</v>
      </c>
      <c r="AW522" s="609">
        <v>4788613</v>
      </c>
      <c r="AX522" s="609">
        <v>4788613</v>
      </c>
      <c r="AY522" s="609">
        <v>4788599</v>
      </c>
      <c r="AZ522" s="615">
        <v>322189350</v>
      </c>
      <c r="BA522" s="615">
        <v>0</v>
      </c>
      <c r="BB522" s="615">
        <v>0</v>
      </c>
      <c r="BC522" s="615">
        <v>0</v>
      </c>
      <c r="BD522" s="615">
        <v>0</v>
      </c>
      <c r="BE522" s="615">
        <v>0</v>
      </c>
      <c r="BF522" s="615">
        <v>0</v>
      </c>
      <c r="BG522" s="615">
        <v>0</v>
      </c>
      <c r="BH522" s="615">
        <v>0</v>
      </c>
      <c r="BI522" s="615">
        <v>0</v>
      </c>
      <c r="BJ522" s="615">
        <v>0</v>
      </c>
      <c r="BK522" s="615">
        <v>0</v>
      </c>
      <c r="BL522" s="615">
        <v>0</v>
      </c>
      <c r="BM522" s="615">
        <v>0</v>
      </c>
      <c r="BN522" s="615">
        <v>0</v>
      </c>
      <c r="BO522" s="615">
        <v>0</v>
      </c>
      <c r="BP522" s="615">
        <v>0</v>
      </c>
      <c r="BQ522" s="615">
        <v>0</v>
      </c>
      <c r="BR522" s="615">
        <v>0</v>
      </c>
      <c r="BS522" s="615">
        <v>0</v>
      </c>
      <c r="BT522" s="615">
        <v>0</v>
      </c>
      <c r="BU522" s="615">
        <v>0</v>
      </c>
      <c r="BV522" s="615">
        <v>0</v>
      </c>
      <c r="BW522" s="615">
        <v>0</v>
      </c>
      <c r="BX522" s="607">
        <f t="shared" si="21"/>
        <v>336555175</v>
      </c>
    </row>
    <row r="523" spans="1:76" x14ac:dyDescent="0.2">
      <c r="A523" s="902"/>
      <c r="B523" s="610" t="s">
        <v>3651</v>
      </c>
      <c r="C523" s="608" t="s">
        <v>3650</v>
      </c>
      <c r="D523" s="609"/>
      <c r="E523" s="609"/>
      <c r="F523" s="609"/>
      <c r="G523" s="609"/>
      <c r="H523" s="609"/>
      <c r="I523" s="609"/>
      <c r="J523" s="609"/>
      <c r="K523" s="609"/>
      <c r="L523" s="609">
        <v>0</v>
      </c>
      <c r="M523" s="609">
        <v>0</v>
      </c>
      <c r="N523" s="609">
        <v>0</v>
      </c>
      <c r="O523" s="609">
        <v>0</v>
      </c>
      <c r="P523" s="609">
        <v>0</v>
      </c>
      <c r="Q523" s="609">
        <v>0</v>
      </c>
      <c r="R523" s="609">
        <v>0</v>
      </c>
      <c r="S523" s="609">
        <v>0</v>
      </c>
      <c r="T523" s="609">
        <v>0</v>
      </c>
      <c r="U523" s="609">
        <v>0</v>
      </c>
      <c r="V523" s="609">
        <v>0</v>
      </c>
      <c r="W523" s="609">
        <v>0</v>
      </c>
      <c r="X523" s="609">
        <v>0</v>
      </c>
      <c r="Y523" s="609">
        <v>0</v>
      </c>
      <c r="Z523" s="609">
        <v>0</v>
      </c>
      <c r="AA523" s="609">
        <v>0</v>
      </c>
      <c r="AB523" s="609">
        <v>0</v>
      </c>
      <c r="AC523" s="609">
        <v>0</v>
      </c>
      <c r="AD523" s="609">
        <v>0</v>
      </c>
      <c r="AE523" s="609">
        <v>0</v>
      </c>
      <c r="AF523" s="609">
        <v>0</v>
      </c>
      <c r="AG523" s="609">
        <v>0</v>
      </c>
      <c r="AH523" s="609">
        <v>0</v>
      </c>
      <c r="AI523" s="609">
        <v>0</v>
      </c>
      <c r="AJ523" s="609">
        <v>0</v>
      </c>
      <c r="AK523" s="609">
        <v>0</v>
      </c>
      <c r="AL523" s="609">
        <v>0</v>
      </c>
      <c r="AM523" s="609">
        <v>0</v>
      </c>
      <c r="AN523" s="609">
        <v>0</v>
      </c>
      <c r="AO523" s="609">
        <v>0</v>
      </c>
      <c r="AP523" s="609">
        <v>0</v>
      </c>
      <c r="AQ523" s="609">
        <v>0</v>
      </c>
      <c r="AR523" s="609">
        <v>0</v>
      </c>
      <c r="AS523" s="609">
        <v>0</v>
      </c>
      <c r="AT523" s="609">
        <v>6390923</v>
      </c>
      <c r="AU523" s="609">
        <v>7376017</v>
      </c>
      <c r="AV523" s="609">
        <v>7376017</v>
      </c>
      <c r="AW523" s="609">
        <v>7376017</v>
      </c>
      <c r="AX523" s="609">
        <v>7376017</v>
      </c>
      <c r="AY523" s="609">
        <v>7376018</v>
      </c>
      <c r="AZ523" s="615">
        <v>59008136</v>
      </c>
      <c r="BA523" s="615">
        <v>472065091</v>
      </c>
      <c r="BB523" s="615">
        <v>0</v>
      </c>
      <c r="BC523" s="615">
        <v>0</v>
      </c>
      <c r="BD523" s="615">
        <v>0</v>
      </c>
      <c r="BE523" s="615">
        <v>0</v>
      </c>
      <c r="BF523" s="615">
        <v>0</v>
      </c>
      <c r="BG523" s="615">
        <v>0</v>
      </c>
      <c r="BH523" s="615">
        <v>0</v>
      </c>
      <c r="BI523" s="615">
        <v>0</v>
      </c>
      <c r="BJ523" s="615">
        <v>0</v>
      </c>
      <c r="BK523" s="615">
        <v>0</v>
      </c>
      <c r="BL523" s="615">
        <v>0</v>
      </c>
      <c r="BM523" s="615">
        <v>0</v>
      </c>
      <c r="BN523" s="615">
        <v>0</v>
      </c>
      <c r="BO523" s="615">
        <v>0</v>
      </c>
      <c r="BP523" s="615">
        <v>0</v>
      </c>
      <c r="BQ523" s="615">
        <v>0</v>
      </c>
      <c r="BR523" s="615">
        <v>0</v>
      </c>
      <c r="BS523" s="615">
        <v>0</v>
      </c>
      <c r="BT523" s="615">
        <v>0</v>
      </c>
      <c r="BU523" s="615">
        <v>0</v>
      </c>
      <c r="BV523" s="615">
        <v>0</v>
      </c>
      <c r="BW523" s="615">
        <v>0</v>
      </c>
      <c r="BX523" s="607">
        <f t="shared" si="21"/>
        <v>574344236</v>
      </c>
    </row>
    <row r="524" spans="1:76" x14ac:dyDescent="0.2">
      <c r="A524" s="902"/>
      <c r="B524" s="610" t="s">
        <v>1433</v>
      </c>
      <c r="C524" s="608" t="s">
        <v>3652</v>
      </c>
      <c r="D524" s="609"/>
      <c r="E524" s="609"/>
      <c r="F524" s="609"/>
      <c r="G524" s="609"/>
      <c r="H524" s="609"/>
      <c r="I524" s="609"/>
      <c r="J524" s="609"/>
      <c r="K524" s="609"/>
      <c r="L524" s="609">
        <v>0</v>
      </c>
      <c r="M524" s="609">
        <v>0</v>
      </c>
      <c r="N524" s="609">
        <v>0</v>
      </c>
      <c r="O524" s="609">
        <v>0</v>
      </c>
      <c r="P524" s="609">
        <v>0</v>
      </c>
      <c r="Q524" s="609">
        <v>0</v>
      </c>
      <c r="R524" s="609">
        <v>0</v>
      </c>
      <c r="S524" s="609">
        <v>0</v>
      </c>
      <c r="T524" s="609">
        <v>0</v>
      </c>
      <c r="U524" s="609">
        <v>0</v>
      </c>
      <c r="V524" s="609">
        <v>0</v>
      </c>
      <c r="W524" s="609">
        <v>0</v>
      </c>
      <c r="X524" s="609">
        <v>0</v>
      </c>
      <c r="Y524" s="609">
        <v>0</v>
      </c>
      <c r="Z524" s="609">
        <v>0</v>
      </c>
      <c r="AA524" s="609">
        <v>0</v>
      </c>
      <c r="AB524" s="609">
        <v>0</v>
      </c>
      <c r="AC524" s="609">
        <v>0</v>
      </c>
      <c r="AD524" s="609">
        <v>0</v>
      </c>
      <c r="AE524" s="609">
        <v>0</v>
      </c>
      <c r="AF524" s="609">
        <v>0</v>
      </c>
      <c r="AG524" s="609">
        <v>0</v>
      </c>
      <c r="AH524" s="609">
        <v>0</v>
      </c>
      <c r="AI524" s="609">
        <v>0</v>
      </c>
      <c r="AJ524" s="609">
        <v>0</v>
      </c>
      <c r="AK524" s="609">
        <v>0</v>
      </c>
      <c r="AL524" s="609">
        <v>0</v>
      </c>
      <c r="AM524" s="609">
        <v>0</v>
      </c>
      <c r="AN524" s="609">
        <v>0</v>
      </c>
      <c r="AO524" s="609">
        <v>0</v>
      </c>
      <c r="AP524" s="609">
        <v>0</v>
      </c>
      <c r="AQ524" s="609">
        <v>0</v>
      </c>
      <c r="AR524" s="609">
        <v>0</v>
      </c>
      <c r="AS524" s="609">
        <v>0</v>
      </c>
      <c r="AT524" s="609">
        <v>0</v>
      </c>
      <c r="AU524" s="609">
        <v>26079</v>
      </c>
      <c r="AV524" s="609">
        <v>4026079</v>
      </c>
      <c r="AW524" s="609">
        <v>4026079</v>
      </c>
      <c r="AX524" s="609">
        <v>4026072</v>
      </c>
      <c r="AY524" s="609">
        <v>319341400</v>
      </c>
      <c r="AZ524" s="615">
        <v>0</v>
      </c>
      <c r="BA524" s="615">
        <v>0</v>
      </c>
      <c r="BB524" s="615">
        <v>0</v>
      </c>
      <c r="BC524" s="615">
        <v>0</v>
      </c>
      <c r="BD524" s="615">
        <v>0</v>
      </c>
      <c r="BE524" s="615">
        <v>0</v>
      </c>
      <c r="BF524" s="615">
        <v>0</v>
      </c>
      <c r="BG524" s="615">
        <v>0</v>
      </c>
      <c r="BH524" s="615">
        <v>0</v>
      </c>
      <c r="BI524" s="615">
        <v>0</v>
      </c>
      <c r="BJ524" s="615">
        <v>0</v>
      </c>
      <c r="BK524" s="615">
        <v>0</v>
      </c>
      <c r="BL524" s="615">
        <v>0</v>
      </c>
      <c r="BM524" s="615">
        <v>0</v>
      </c>
      <c r="BN524" s="615">
        <v>0</v>
      </c>
      <c r="BO524" s="615">
        <v>0</v>
      </c>
      <c r="BP524" s="615">
        <v>0</v>
      </c>
      <c r="BQ524" s="615">
        <v>0</v>
      </c>
      <c r="BR524" s="615">
        <v>0</v>
      </c>
      <c r="BS524" s="615">
        <v>0</v>
      </c>
      <c r="BT524" s="615">
        <v>0</v>
      </c>
      <c r="BU524" s="615">
        <v>0</v>
      </c>
      <c r="BV524" s="615">
        <v>0</v>
      </c>
      <c r="BW524" s="615">
        <v>0</v>
      </c>
      <c r="BX524" s="607">
        <f t="shared" si="21"/>
        <v>331445709</v>
      </c>
    </row>
    <row r="525" spans="1:76" x14ac:dyDescent="0.2">
      <c r="A525" s="902"/>
      <c r="B525" s="610" t="s">
        <v>1307</v>
      </c>
      <c r="C525" s="608" t="s">
        <v>3653</v>
      </c>
      <c r="D525" s="609"/>
      <c r="E525" s="609"/>
      <c r="F525" s="609"/>
      <c r="G525" s="609"/>
      <c r="H525" s="609"/>
      <c r="I525" s="609"/>
      <c r="J525" s="609"/>
      <c r="K525" s="609"/>
      <c r="L525" s="609">
        <v>0</v>
      </c>
      <c r="M525" s="609">
        <v>0</v>
      </c>
      <c r="N525" s="609">
        <v>0</v>
      </c>
      <c r="O525" s="609">
        <v>0</v>
      </c>
      <c r="P525" s="609">
        <v>0</v>
      </c>
      <c r="Q525" s="609">
        <v>0</v>
      </c>
      <c r="R525" s="609">
        <v>0</v>
      </c>
      <c r="S525" s="609">
        <v>0</v>
      </c>
      <c r="T525" s="609">
        <v>0</v>
      </c>
      <c r="U525" s="609">
        <v>0</v>
      </c>
      <c r="V525" s="609">
        <v>0</v>
      </c>
      <c r="W525" s="609">
        <v>0</v>
      </c>
      <c r="X525" s="609">
        <v>0</v>
      </c>
      <c r="Y525" s="609">
        <v>0</v>
      </c>
      <c r="Z525" s="609">
        <v>0</v>
      </c>
      <c r="AA525" s="609">
        <v>0</v>
      </c>
      <c r="AB525" s="609">
        <v>0</v>
      </c>
      <c r="AC525" s="609">
        <v>0</v>
      </c>
      <c r="AD525" s="609">
        <v>0</v>
      </c>
      <c r="AE525" s="609">
        <v>0</v>
      </c>
      <c r="AF525" s="609">
        <v>0</v>
      </c>
      <c r="AG525" s="609">
        <v>0</v>
      </c>
      <c r="AH525" s="609">
        <v>0</v>
      </c>
      <c r="AI525" s="609">
        <v>0</v>
      </c>
      <c r="AJ525" s="609">
        <v>0</v>
      </c>
      <c r="AK525" s="609">
        <v>0</v>
      </c>
      <c r="AL525" s="609">
        <v>0</v>
      </c>
      <c r="AM525" s="609">
        <v>0</v>
      </c>
      <c r="AN525" s="609">
        <v>0</v>
      </c>
      <c r="AO525" s="609">
        <v>0</v>
      </c>
      <c r="AP525" s="609">
        <v>0</v>
      </c>
      <c r="AQ525" s="609">
        <v>23312</v>
      </c>
      <c r="AR525" s="609">
        <v>5235681</v>
      </c>
      <c r="AS525" s="609">
        <v>5235681</v>
      </c>
      <c r="AT525" s="609">
        <v>5235681</v>
      </c>
      <c r="AU525" s="609">
        <v>5235681</v>
      </c>
      <c r="AV525" s="609">
        <v>5235681</v>
      </c>
      <c r="AW525" s="609">
        <v>5235681</v>
      </c>
      <c r="AX525" s="609">
        <v>5235674</v>
      </c>
      <c r="AY525" s="609">
        <v>328306658</v>
      </c>
      <c r="AZ525" s="615">
        <v>0</v>
      </c>
      <c r="BA525" s="615">
        <v>0</v>
      </c>
      <c r="BB525" s="615">
        <v>0</v>
      </c>
      <c r="BC525" s="615">
        <v>0</v>
      </c>
      <c r="BD525" s="615">
        <v>0</v>
      </c>
      <c r="BE525" s="615">
        <v>0</v>
      </c>
      <c r="BF525" s="615">
        <v>0</v>
      </c>
      <c r="BG525" s="615">
        <v>0</v>
      </c>
      <c r="BH525" s="615">
        <v>0</v>
      </c>
      <c r="BI525" s="615">
        <v>0</v>
      </c>
      <c r="BJ525" s="615">
        <v>0</v>
      </c>
      <c r="BK525" s="615">
        <v>0</v>
      </c>
      <c r="BL525" s="615">
        <v>0</v>
      </c>
      <c r="BM525" s="615">
        <v>0</v>
      </c>
      <c r="BN525" s="615">
        <v>0</v>
      </c>
      <c r="BO525" s="615">
        <v>0</v>
      </c>
      <c r="BP525" s="615">
        <v>0</v>
      </c>
      <c r="BQ525" s="615">
        <v>0</v>
      </c>
      <c r="BR525" s="615">
        <v>0</v>
      </c>
      <c r="BS525" s="615">
        <v>0</v>
      </c>
      <c r="BT525" s="615">
        <v>0</v>
      </c>
      <c r="BU525" s="615">
        <v>0</v>
      </c>
      <c r="BV525" s="615">
        <v>0</v>
      </c>
      <c r="BW525" s="615">
        <v>0</v>
      </c>
      <c r="BX525" s="607">
        <f t="shared" si="21"/>
        <v>364979730</v>
      </c>
    </row>
    <row r="526" spans="1:76" x14ac:dyDescent="0.2">
      <c r="A526" s="902"/>
      <c r="B526" s="610" t="s">
        <v>1244</v>
      </c>
      <c r="C526" s="608" t="s">
        <v>3654</v>
      </c>
      <c r="D526" s="609"/>
      <c r="E526" s="609"/>
      <c r="F526" s="609"/>
      <c r="G526" s="609"/>
      <c r="H526" s="609"/>
      <c r="I526" s="609"/>
      <c r="J526" s="609"/>
      <c r="K526" s="609"/>
      <c r="L526" s="609">
        <v>0</v>
      </c>
      <c r="M526" s="609">
        <v>0</v>
      </c>
      <c r="N526" s="609">
        <v>0</v>
      </c>
      <c r="O526" s="609">
        <v>0</v>
      </c>
      <c r="P526" s="609">
        <v>0</v>
      </c>
      <c r="Q526" s="609">
        <v>0</v>
      </c>
      <c r="R526" s="609">
        <v>0</v>
      </c>
      <c r="S526" s="609">
        <v>0</v>
      </c>
      <c r="T526" s="609">
        <v>0</v>
      </c>
      <c r="U526" s="609">
        <v>0</v>
      </c>
      <c r="V526" s="609">
        <v>0</v>
      </c>
      <c r="W526" s="609">
        <v>0</v>
      </c>
      <c r="X526" s="609">
        <v>0</v>
      </c>
      <c r="Y526" s="609">
        <v>0</v>
      </c>
      <c r="Z526" s="609">
        <v>0</v>
      </c>
      <c r="AA526" s="609">
        <v>0</v>
      </c>
      <c r="AB526" s="609">
        <v>0</v>
      </c>
      <c r="AC526" s="609">
        <v>0</v>
      </c>
      <c r="AD526" s="609">
        <v>0</v>
      </c>
      <c r="AE526" s="609">
        <v>0</v>
      </c>
      <c r="AF526" s="609">
        <v>0</v>
      </c>
      <c r="AG526" s="609">
        <v>0</v>
      </c>
      <c r="AH526" s="609">
        <v>0</v>
      </c>
      <c r="AI526" s="609">
        <v>0</v>
      </c>
      <c r="AJ526" s="609">
        <v>0</v>
      </c>
      <c r="AK526" s="609">
        <v>0</v>
      </c>
      <c r="AL526" s="609">
        <v>0</v>
      </c>
      <c r="AM526" s="609">
        <v>0</v>
      </c>
      <c r="AN526" s="609">
        <v>0</v>
      </c>
      <c r="AO526" s="609">
        <v>0</v>
      </c>
      <c r="AP526" s="609">
        <v>0</v>
      </c>
      <c r="AQ526" s="609">
        <v>0</v>
      </c>
      <c r="AR526" s="609">
        <v>0</v>
      </c>
      <c r="AS526" s="609">
        <v>0</v>
      </c>
      <c r="AT526" s="609">
        <v>0</v>
      </c>
      <c r="AU526" s="609">
        <v>0</v>
      </c>
      <c r="AV526" s="609">
        <v>3965522</v>
      </c>
      <c r="AW526" s="609">
        <v>4912741</v>
      </c>
      <c r="AX526" s="609">
        <v>311021725</v>
      </c>
      <c r="AY526" s="609">
        <v>0</v>
      </c>
      <c r="AZ526" s="615">
        <v>0</v>
      </c>
      <c r="BA526" s="615">
        <v>0</v>
      </c>
      <c r="BB526" s="615">
        <v>0</v>
      </c>
      <c r="BC526" s="615">
        <v>0</v>
      </c>
      <c r="BD526" s="615">
        <v>0</v>
      </c>
      <c r="BE526" s="615">
        <v>0</v>
      </c>
      <c r="BF526" s="615">
        <v>0</v>
      </c>
      <c r="BG526" s="615">
        <v>0</v>
      </c>
      <c r="BH526" s="615">
        <v>0</v>
      </c>
      <c r="BI526" s="615">
        <v>0</v>
      </c>
      <c r="BJ526" s="615">
        <v>0</v>
      </c>
      <c r="BK526" s="615">
        <v>0</v>
      </c>
      <c r="BL526" s="615">
        <v>0</v>
      </c>
      <c r="BM526" s="615">
        <v>0</v>
      </c>
      <c r="BN526" s="615">
        <v>0</v>
      </c>
      <c r="BO526" s="615">
        <v>0</v>
      </c>
      <c r="BP526" s="615">
        <v>0</v>
      </c>
      <c r="BQ526" s="615">
        <v>0</v>
      </c>
      <c r="BR526" s="615">
        <v>0</v>
      </c>
      <c r="BS526" s="615">
        <v>0</v>
      </c>
      <c r="BT526" s="615">
        <v>0</v>
      </c>
      <c r="BU526" s="615">
        <v>0</v>
      </c>
      <c r="BV526" s="615">
        <v>0</v>
      </c>
      <c r="BW526" s="615">
        <v>0</v>
      </c>
      <c r="BX526" s="607">
        <f t="shared" si="21"/>
        <v>319899988</v>
      </c>
    </row>
    <row r="527" spans="1:76" x14ac:dyDescent="0.2">
      <c r="A527" s="902"/>
      <c r="B527" s="610" t="s">
        <v>4292</v>
      </c>
      <c r="C527" s="608" t="s">
        <v>4291</v>
      </c>
      <c r="D527" s="609"/>
      <c r="E527" s="609"/>
      <c r="F527" s="609"/>
      <c r="G527" s="609"/>
      <c r="H527" s="609"/>
      <c r="I527" s="609"/>
      <c r="J527" s="609"/>
      <c r="K527" s="609"/>
      <c r="L527" s="609">
        <v>0</v>
      </c>
      <c r="M527" s="609">
        <v>0</v>
      </c>
      <c r="N527" s="609">
        <v>0</v>
      </c>
      <c r="O527" s="609">
        <v>0</v>
      </c>
      <c r="P527" s="609">
        <v>0</v>
      </c>
      <c r="Q527" s="609">
        <v>0</v>
      </c>
      <c r="R527" s="609">
        <v>0</v>
      </c>
      <c r="S527" s="609">
        <v>0</v>
      </c>
      <c r="T527" s="609">
        <v>0</v>
      </c>
      <c r="U527" s="609">
        <v>0</v>
      </c>
      <c r="V527" s="609">
        <v>0</v>
      </c>
      <c r="W527" s="609">
        <v>0</v>
      </c>
      <c r="X527" s="609">
        <v>0</v>
      </c>
      <c r="Y527" s="609">
        <v>0</v>
      </c>
      <c r="Z527" s="609">
        <v>0</v>
      </c>
      <c r="AA527" s="609">
        <v>0</v>
      </c>
      <c r="AB527" s="609">
        <v>0</v>
      </c>
      <c r="AC527" s="609">
        <v>0</v>
      </c>
      <c r="AD527" s="609">
        <v>0</v>
      </c>
      <c r="AE527" s="609">
        <v>0</v>
      </c>
      <c r="AF527" s="609">
        <v>0</v>
      </c>
      <c r="AG527" s="609">
        <v>0</v>
      </c>
      <c r="AH527" s="609">
        <v>0</v>
      </c>
      <c r="AI527" s="609">
        <v>0</v>
      </c>
      <c r="AJ527" s="609">
        <v>0</v>
      </c>
      <c r="AK527" s="609">
        <v>0</v>
      </c>
      <c r="AL527" s="609">
        <v>0</v>
      </c>
      <c r="AM527" s="609">
        <v>0</v>
      </c>
      <c r="AN527" s="609">
        <v>0</v>
      </c>
      <c r="AO527" s="609">
        <v>0</v>
      </c>
      <c r="AP527" s="609">
        <v>0</v>
      </c>
      <c r="AQ527" s="609">
        <v>0</v>
      </c>
      <c r="AR527" s="609">
        <v>0</v>
      </c>
      <c r="AS527" s="609">
        <v>0</v>
      </c>
      <c r="AT527" s="609">
        <v>0</v>
      </c>
      <c r="AU527" s="609">
        <v>0</v>
      </c>
      <c r="AV527" s="609">
        <v>0</v>
      </c>
      <c r="AW527" s="609">
        <v>6729586</v>
      </c>
      <c r="AX527" s="609">
        <v>6729793</v>
      </c>
      <c r="AY527" s="609">
        <v>6729793</v>
      </c>
      <c r="AZ527" s="615">
        <v>6729793</v>
      </c>
      <c r="BA527" s="615">
        <v>6729793</v>
      </c>
      <c r="BB527" s="615">
        <v>67297929</v>
      </c>
      <c r="BC527" s="615">
        <v>484545091</v>
      </c>
      <c r="BD527" s="615">
        <v>0</v>
      </c>
      <c r="BE527" s="615">
        <v>0</v>
      </c>
      <c r="BF527" s="615">
        <v>0</v>
      </c>
      <c r="BG527" s="615">
        <v>0</v>
      </c>
      <c r="BH527" s="615">
        <v>0</v>
      </c>
      <c r="BI527" s="615">
        <v>0</v>
      </c>
      <c r="BJ527" s="615">
        <v>0</v>
      </c>
      <c r="BK527" s="615">
        <v>0</v>
      </c>
      <c r="BL527" s="615">
        <v>0</v>
      </c>
      <c r="BM527" s="615">
        <v>0</v>
      </c>
      <c r="BN527" s="615">
        <v>0</v>
      </c>
      <c r="BO527" s="615">
        <v>0</v>
      </c>
      <c r="BP527" s="615">
        <v>0</v>
      </c>
      <c r="BQ527" s="615">
        <v>0</v>
      </c>
      <c r="BR527" s="615">
        <v>0</v>
      </c>
      <c r="BS527" s="615">
        <v>0</v>
      </c>
      <c r="BT527" s="615">
        <v>0</v>
      </c>
      <c r="BU527" s="615">
        <v>0</v>
      </c>
      <c r="BV527" s="615">
        <v>0</v>
      </c>
      <c r="BW527" s="615">
        <v>0</v>
      </c>
      <c r="BX527" s="607">
        <f t="shared" si="21"/>
        <v>585491778</v>
      </c>
    </row>
    <row r="528" spans="1:76" x14ac:dyDescent="0.2">
      <c r="A528" s="902"/>
      <c r="B528" s="610" t="s">
        <v>1530</v>
      </c>
      <c r="C528" s="608" t="s">
        <v>3655</v>
      </c>
      <c r="D528" s="609"/>
      <c r="E528" s="609"/>
      <c r="F528" s="609"/>
      <c r="G528" s="609"/>
      <c r="H528" s="609"/>
      <c r="I528" s="609"/>
      <c r="J528" s="609"/>
      <c r="K528" s="609"/>
      <c r="L528" s="609">
        <v>0</v>
      </c>
      <c r="M528" s="609">
        <v>0</v>
      </c>
      <c r="N528" s="609">
        <v>0</v>
      </c>
      <c r="O528" s="609">
        <v>0</v>
      </c>
      <c r="P528" s="609">
        <v>0</v>
      </c>
      <c r="Q528" s="609">
        <v>0</v>
      </c>
      <c r="R528" s="609">
        <v>0</v>
      </c>
      <c r="S528" s="609">
        <v>0</v>
      </c>
      <c r="T528" s="609">
        <v>0</v>
      </c>
      <c r="U528" s="609">
        <v>0</v>
      </c>
      <c r="V528" s="609">
        <v>0</v>
      </c>
      <c r="W528" s="609">
        <v>0</v>
      </c>
      <c r="X528" s="609">
        <v>0</v>
      </c>
      <c r="Y528" s="609">
        <v>0</v>
      </c>
      <c r="Z528" s="609">
        <v>0</v>
      </c>
      <c r="AA528" s="609">
        <v>0</v>
      </c>
      <c r="AB528" s="609">
        <v>0</v>
      </c>
      <c r="AC528" s="609">
        <v>0</v>
      </c>
      <c r="AD528" s="609">
        <v>0</v>
      </c>
      <c r="AE528" s="609">
        <v>0</v>
      </c>
      <c r="AF528" s="609">
        <v>0</v>
      </c>
      <c r="AG528" s="609">
        <v>0</v>
      </c>
      <c r="AH528" s="609">
        <v>0</v>
      </c>
      <c r="AI528" s="609">
        <v>0</v>
      </c>
      <c r="AJ528" s="609">
        <v>0</v>
      </c>
      <c r="AK528" s="609">
        <v>0</v>
      </c>
      <c r="AL528" s="609">
        <v>0</v>
      </c>
      <c r="AM528" s="609">
        <v>0</v>
      </c>
      <c r="AN528" s="609">
        <v>0</v>
      </c>
      <c r="AO528" s="609">
        <v>0</v>
      </c>
      <c r="AP528" s="609">
        <v>0</v>
      </c>
      <c r="AQ528" s="609">
        <v>0</v>
      </c>
      <c r="AR528" s="609">
        <v>0</v>
      </c>
      <c r="AS528" s="609">
        <v>0</v>
      </c>
      <c r="AT528" s="609">
        <v>0</v>
      </c>
      <c r="AU528" s="609">
        <v>0</v>
      </c>
      <c r="AV528" s="609">
        <v>0</v>
      </c>
      <c r="AW528" s="609">
        <v>0</v>
      </c>
      <c r="AX528" s="609">
        <v>0</v>
      </c>
      <c r="AY528" s="609">
        <v>159361279</v>
      </c>
      <c r="AZ528" s="615">
        <v>0</v>
      </c>
      <c r="BA528" s="615">
        <v>0</v>
      </c>
      <c r="BB528" s="615">
        <v>0</v>
      </c>
      <c r="BC528" s="615">
        <v>0</v>
      </c>
      <c r="BD528" s="615">
        <v>0</v>
      </c>
      <c r="BE528" s="615">
        <v>0</v>
      </c>
      <c r="BF528" s="615">
        <v>0</v>
      </c>
      <c r="BG528" s="615">
        <v>0</v>
      </c>
      <c r="BH528" s="615">
        <v>0</v>
      </c>
      <c r="BI528" s="615">
        <v>0</v>
      </c>
      <c r="BJ528" s="615">
        <v>0</v>
      </c>
      <c r="BK528" s="615">
        <v>0</v>
      </c>
      <c r="BL528" s="615">
        <v>0</v>
      </c>
      <c r="BM528" s="615">
        <v>0</v>
      </c>
      <c r="BN528" s="615">
        <v>0</v>
      </c>
      <c r="BO528" s="615">
        <v>0</v>
      </c>
      <c r="BP528" s="615">
        <v>0</v>
      </c>
      <c r="BQ528" s="615">
        <v>0</v>
      </c>
      <c r="BR528" s="615">
        <v>0</v>
      </c>
      <c r="BS528" s="615">
        <v>0</v>
      </c>
      <c r="BT528" s="615">
        <v>0</v>
      </c>
      <c r="BU528" s="615">
        <v>0</v>
      </c>
      <c r="BV528" s="615">
        <v>0</v>
      </c>
      <c r="BW528" s="615">
        <v>0</v>
      </c>
      <c r="BX528" s="607">
        <f t="shared" si="21"/>
        <v>159361279</v>
      </c>
    </row>
    <row r="529" spans="1:76" x14ac:dyDescent="0.2">
      <c r="A529" s="902"/>
      <c r="B529" s="610" t="s">
        <v>1670</v>
      </c>
      <c r="C529" s="608" t="s">
        <v>3656</v>
      </c>
      <c r="D529" s="609"/>
      <c r="E529" s="609"/>
      <c r="F529" s="609"/>
      <c r="G529" s="609"/>
      <c r="H529" s="609"/>
      <c r="I529" s="609"/>
      <c r="J529" s="609"/>
      <c r="K529" s="609"/>
      <c r="L529" s="609">
        <v>0</v>
      </c>
      <c r="M529" s="609">
        <v>0</v>
      </c>
      <c r="N529" s="609">
        <v>0</v>
      </c>
      <c r="O529" s="609">
        <v>0</v>
      </c>
      <c r="P529" s="609">
        <v>0</v>
      </c>
      <c r="Q529" s="609">
        <v>0</v>
      </c>
      <c r="R529" s="609">
        <v>0</v>
      </c>
      <c r="S529" s="609">
        <v>0</v>
      </c>
      <c r="T529" s="609">
        <v>0</v>
      </c>
      <c r="U529" s="609">
        <v>0</v>
      </c>
      <c r="V529" s="609">
        <v>0</v>
      </c>
      <c r="W529" s="609">
        <v>0</v>
      </c>
      <c r="X529" s="609">
        <v>0</v>
      </c>
      <c r="Y529" s="609">
        <v>0</v>
      </c>
      <c r="Z529" s="609">
        <v>0</v>
      </c>
      <c r="AA529" s="609">
        <v>0</v>
      </c>
      <c r="AB529" s="609">
        <v>0</v>
      </c>
      <c r="AC529" s="609">
        <v>0</v>
      </c>
      <c r="AD529" s="609">
        <v>0</v>
      </c>
      <c r="AE529" s="609">
        <v>0</v>
      </c>
      <c r="AF529" s="609">
        <v>0</v>
      </c>
      <c r="AG529" s="609">
        <v>0</v>
      </c>
      <c r="AH529" s="609">
        <v>0</v>
      </c>
      <c r="AI529" s="609">
        <v>0</v>
      </c>
      <c r="AJ529" s="609">
        <v>0</v>
      </c>
      <c r="AK529" s="609">
        <v>0</v>
      </c>
      <c r="AL529" s="609">
        <v>0</v>
      </c>
      <c r="AM529" s="609">
        <v>0</v>
      </c>
      <c r="AN529" s="609">
        <v>0</v>
      </c>
      <c r="AO529" s="609">
        <v>0</v>
      </c>
      <c r="AP529" s="609">
        <v>0</v>
      </c>
      <c r="AQ529" s="609">
        <v>0</v>
      </c>
      <c r="AR529" s="609">
        <v>0</v>
      </c>
      <c r="AS529" s="609">
        <v>0</v>
      </c>
      <c r="AT529" s="609">
        <v>0</v>
      </c>
      <c r="AU529" s="609">
        <v>1125916</v>
      </c>
      <c r="AV529" s="609">
        <v>4385436</v>
      </c>
      <c r="AW529" s="609">
        <v>4385436</v>
      </c>
      <c r="AX529" s="609">
        <v>4385436</v>
      </c>
      <c r="AY529" s="609">
        <v>4385436</v>
      </c>
      <c r="AZ529" s="615">
        <v>4385436</v>
      </c>
      <c r="BA529" s="615">
        <v>4385436</v>
      </c>
      <c r="BB529" s="615">
        <v>4385428</v>
      </c>
      <c r="BC529" s="615">
        <v>318059474</v>
      </c>
      <c r="BD529" s="615">
        <v>0</v>
      </c>
      <c r="BE529" s="615">
        <v>0</v>
      </c>
      <c r="BF529" s="615">
        <v>0</v>
      </c>
      <c r="BG529" s="615">
        <v>0</v>
      </c>
      <c r="BH529" s="615">
        <v>0</v>
      </c>
      <c r="BI529" s="615">
        <v>0</v>
      </c>
      <c r="BJ529" s="615">
        <v>0</v>
      </c>
      <c r="BK529" s="615">
        <v>0</v>
      </c>
      <c r="BL529" s="615">
        <v>0</v>
      </c>
      <c r="BM529" s="615">
        <v>0</v>
      </c>
      <c r="BN529" s="615">
        <v>0</v>
      </c>
      <c r="BO529" s="615">
        <v>0</v>
      </c>
      <c r="BP529" s="615">
        <v>0</v>
      </c>
      <c r="BQ529" s="615">
        <v>0</v>
      </c>
      <c r="BR529" s="615">
        <v>0</v>
      </c>
      <c r="BS529" s="615">
        <v>0</v>
      </c>
      <c r="BT529" s="615">
        <v>0</v>
      </c>
      <c r="BU529" s="615">
        <v>0</v>
      </c>
      <c r="BV529" s="615">
        <v>0</v>
      </c>
      <c r="BW529" s="615">
        <v>0</v>
      </c>
      <c r="BX529" s="607">
        <f t="shared" si="21"/>
        <v>349883434</v>
      </c>
    </row>
    <row r="530" spans="1:76" x14ac:dyDescent="0.2">
      <c r="A530" s="902"/>
      <c r="B530" s="610" t="s">
        <v>3658</v>
      </c>
      <c r="C530" s="608" t="s">
        <v>3657</v>
      </c>
      <c r="D530" s="609"/>
      <c r="E530" s="609"/>
      <c r="F530" s="609"/>
      <c r="G530" s="609"/>
      <c r="H530" s="609"/>
      <c r="I530" s="609"/>
      <c r="J530" s="609"/>
      <c r="K530" s="609"/>
      <c r="L530" s="609">
        <v>0</v>
      </c>
      <c r="M530" s="609">
        <v>0</v>
      </c>
      <c r="N530" s="609">
        <v>0</v>
      </c>
      <c r="O530" s="609">
        <v>0</v>
      </c>
      <c r="P530" s="609">
        <v>0</v>
      </c>
      <c r="Q530" s="609">
        <v>0</v>
      </c>
      <c r="R530" s="609">
        <v>0</v>
      </c>
      <c r="S530" s="609">
        <v>0</v>
      </c>
      <c r="T530" s="609">
        <v>0</v>
      </c>
      <c r="U530" s="609">
        <v>0</v>
      </c>
      <c r="V530" s="609">
        <v>0</v>
      </c>
      <c r="W530" s="609">
        <v>0</v>
      </c>
      <c r="X530" s="609">
        <v>0</v>
      </c>
      <c r="Y530" s="609">
        <v>0</v>
      </c>
      <c r="Z530" s="609">
        <v>0</v>
      </c>
      <c r="AA530" s="609">
        <v>0</v>
      </c>
      <c r="AB530" s="609">
        <v>0</v>
      </c>
      <c r="AC530" s="609">
        <v>0</v>
      </c>
      <c r="AD530" s="609">
        <v>0</v>
      </c>
      <c r="AE530" s="609">
        <v>0</v>
      </c>
      <c r="AF530" s="609">
        <v>0</v>
      </c>
      <c r="AG530" s="609">
        <v>0</v>
      </c>
      <c r="AH530" s="609">
        <v>0</v>
      </c>
      <c r="AI530" s="609">
        <v>0</v>
      </c>
      <c r="AJ530" s="609">
        <v>0</v>
      </c>
      <c r="AK530" s="609">
        <v>0</v>
      </c>
      <c r="AL530" s="609">
        <v>0</v>
      </c>
      <c r="AM530" s="609">
        <v>0</v>
      </c>
      <c r="AN530" s="609">
        <v>0</v>
      </c>
      <c r="AO530" s="609">
        <v>0</v>
      </c>
      <c r="AP530" s="609">
        <v>0</v>
      </c>
      <c r="AQ530" s="609">
        <v>0</v>
      </c>
      <c r="AR530" s="609">
        <v>0</v>
      </c>
      <c r="AS530" s="609">
        <v>0</v>
      </c>
      <c r="AT530" s="609">
        <v>0</v>
      </c>
      <c r="AU530" s="609">
        <v>0</v>
      </c>
      <c r="AV530" s="609">
        <v>0</v>
      </c>
      <c r="AW530" s="609">
        <v>4894420</v>
      </c>
      <c r="AX530" s="609">
        <v>5958884</v>
      </c>
      <c r="AY530" s="609">
        <v>5958884</v>
      </c>
      <c r="AZ530" s="615">
        <v>5958884</v>
      </c>
      <c r="BA530" s="615">
        <v>5958883</v>
      </c>
      <c r="BB530" s="615">
        <v>542258400</v>
      </c>
      <c r="BC530" s="615">
        <v>0</v>
      </c>
      <c r="BD530" s="615">
        <v>0</v>
      </c>
      <c r="BE530" s="615">
        <v>0</v>
      </c>
      <c r="BF530" s="615">
        <v>0</v>
      </c>
      <c r="BG530" s="615">
        <v>0</v>
      </c>
      <c r="BH530" s="615">
        <v>0</v>
      </c>
      <c r="BI530" s="615">
        <v>0</v>
      </c>
      <c r="BJ530" s="615">
        <v>0</v>
      </c>
      <c r="BK530" s="615">
        <v>0</v>
      </c>
      <c r="BL530" s="615">
        <v>0</v>
      </c>
      <c r="BM530" s="615">
        <v>0</v>
      </c>
      <c r="BN530" s="615">
        <v>0</v>
      </c>
      <c r="BO530" s="615">
        <v>0</v>
      </c>
      <c r="BP530" s="615">
        <v>0</v>
      </c>
      <c r="BQ530" s="615">
        <v>0</v>
      </c>
      <c r="BR530" s="615">
        <v>0</v>
      </c>
      <c r="BS530" s="615">
        <v>0</v>
      </c>
      <c r="BT530" s="615">
        <v>0</v>
      </c>
      <c r="BU530" s="615">
        <v>0</v>
      </c>
      <c r="BV530" s="615">
        <v>0</v>
      </c>
      <c r="BW530" s="615">
        <v>0</v>
      </c>
      <c r="BX530" s="607">
        <f t="shared" si="21"/>
        <v>570988355</v>
      </c>
    </row>
    <row r="531" spans="1:76" x14ac:dyDescent="0.2">
      <c r="A531" s="902"/>
      <c r="B531" s="610" t="s">
        <v>1531</v>
      </c>
      <c r="C531" s="608" t="s">
        <v>3659</v>
      </c>
      <c r="D531" s="609"/>
      <c r="E531" s="609"/>
      <c r="F531" s="609"/>
      <c r="G531" s="609"/>
      <c r="H531" s="609"/>
      <c r="I531" s="609"/>
      <c r="J531" s="609"/>
      <c r="K531" s="609"/>
      <c r="L531" s="609">
        <v>0</v>
      </c>
      <c r="M531" s="609">
        <v>0</v>
      </c>
      <c r="N531" s="609">
        <v>0</v>
      </c>
      <c r="O531" s="609">
        <v>0</v>
      </c>
      <c r="P531" s="609">
        <v>0</v>
      </c>
      <c r="Q531" s="609">
        <v>0</v>
      </c>
      <c r="R531" s="609">
        <v>0</v>
      </c>
      <c r="S531" s="609">
        <v>0</v>
      </c>
      <c r="T531" s="609">
        <v>0</v>
      </c>
      <c r="U531" s="609">
        <v>0</v>
      </c>
      <c r="V531" s="609">
        <v>0</v>
      </c>
      <c r="W531" s="609">
        <v>0</v>
      </c>
      <c r="X531" s="609">
        <v>0</v>
      </c>
      <c r="Y531" s="609">
        <v>0</v>
      </c>
      <c r="Z531" s="609">
        <v>0</v>
      </c>
      <c r="AA531" s="609">
        <v>0</v>
      </c>
      <c r="AB531" s="609">
        <v>0</v>
      </c>
      <c r="AC531" s="609">
        <v>0</v>
      </c>
      <c r="AD531" s="609">
        <v>0</v>
      </c>
      <c r="AE531" s="609">
        <v>0</v>
      </c>
      <c r="AF531" s="609">
        <v>0</v>
      </c>
      <c r="AG531" s="609">
        <v>0</v>
      </c>
      <c r="AH531" s="609">
        <v>0</v>
      </c>
      <c r="AI531" s="609">
        <v>0</v>
      </c>
      <c r="AJ531" s="609">
        <v>0</v>
      </c>
      <c r="AK531" s="609">
        <v>0</v>
      </c>
      <c r="AL531" s="609">
        <v>0</v>
      </c>
      <c r="AM531" s="609">
        <v>0</v>
      </c>
      <c r="AN531" s="609">
        <v>0</v>
      </c>
      <c r="AO531" s="609">
        <v>0</v>
      </c>
      <c r="AP531" s="609">
        <v>0</v>
      </c>
      <c r="AQ531" s="609">
        <v>0</v>
      </c>
      <c r="AR531" s="609">
        <v>0</v>
      </c>
      <c r="AS531" s="609">
        <v>0</v>
      </c>
      <c r="AT531" s="609">
        <v>0</v>
      </c>
      <c r="AU531" s="609">
        <v>0</v>
      </c>
      <c r="AV531" s="609">
        <v>1905885</v>
      </c>
      <c r="AW531" s="609">
        <v>2647059</v>
      </c>
      <c r="AX531" s="609">
        <v>2647059</v>
      </c>
      <c r="AY531" s="609">
        <v>3426931</v>
      </c>
      <c r="AZ531" s="615">
        <v>273134850</v>
      </c>
      <c r="BA531" s="615">
        <v>0</v>
      </c>
      <c r="BB531" s="615">
        <v>0</v>
      </c>
      <c r="BC531" s="615">
        <v>0</v>
      </c>
      <c r="BD531" s="615">
        <v>0</v>
      </c>
      <c r="BE531" s="615">
        <v>0</v>
      </c>
      <c r="BF531" s="615">
        <v>0</v>
      </c>
      <c r="BG531" s="615">
        <v>0</v>
      </c>
      <c r="BH531" s="615">
        <v>0</v>
      </c>
      <c r="BI531" s="615">
        <v>0</v>
      </c>
      <c r="BJ531" s="615">
        <v>0</v>
      </c>
      <c r="BK531" s="615">
        <v>0</v>
      </c>
      <c r="BL531" s="615">
        <v>0</v>
      </c>
      <c r="BM531" s="615">
        <v>0</v>
      </c>
      <c r="BN531" s="615">
        <v>0</v>
      </c>
      <c r="BO531" s="615">
        <v>0</v>
      </c>
      <c r="BP531" s="615">
        <v>0</v>
      </c>
      <c r="BQ531" s="615">
        <v>0</v>
      </c>
      <c r="BR531" s="615">
        <v>0</v>
      </c>
      <c r="BS531" s="615">
        <v>0</v>
      </c>
      <c r="BT531" s="615">
        <v>0</v>
      </c>
      <c r="BU531" s="615">
        <v>0</v>
      </c>
      <c r="BV531" s="615">
        <v>0</v>
      </c>
      <c r="BW531" s="615">
        <v>0</v>
      </c>
      <c r="BX531" s="607">
        <f t="shared" si="21"/>
        <v>283761784</v>
      </c>
    </row>
    <row r="532" spans="1:76" x14ac:dyDescent="0.2">
      <c r="A532" s="902"/>
      <c r="B532" s="610" t="s">
        <v>1576</v>
      </c>
      <c r="C532" s="608" t="s">
        <v>3660</v>
      </c>
      <c r="D532" s="609"/>
      <c r="E532" s="609"/>
      <c r="F532" s="609"/>
      <c r="G532" s="609"/>
      <c r="H532" s="609"/>
      <c r="I532" s="609"/>
      <c r="J532" s="609"/>
      <c r="K532" s="609"/>
      <c r="L532" s="609">
        <v>0</v>
      </c>
      <c r="M532" s="609">
        <v>0</v>
      </c>
      <c r="N532" s="609">
        <v>0</v>
      </c>
      <c r="O532" s="609">
        <v>0</v>
      </c>
      <c r="P532" s="609">
        <v>0</v>
      </c>
      <c r="Q532" s="609">
        <v>0</v>
      </c>
      <c r="R532" s="609">
        <v>0</v>
      </c>
      <c r="S532" s="609">
        <v>0</v>
      </c>
      <c r="T532" s="609">
        <v>0</v>
      </c>
      <c r="U532" s="609">
        <v>0</v>
      </c>
      <c r="V532" s="609">
        <v>0</v>
      </c>
      <c r="W532" s="609">
        <v>0</v>
      </c>
      <c r="X532" s="609">
        <v>0</v>
      </c>
      <c r="Y532" s="609">
        <v>0</v>
      </c>
      <c r="Z532" s="609">
        <v>0</v>
      </c>
      <c r="AA532" s="609">
        <v>0</v>
      </c>
      <c r="AB532" s="609">
        <v>0</v>
      </c>
      <c r="AC532" s="609">
        <v>0</v>
      </c>
      <c r="AD532" s="609">
        <v>0</v>
      </c>
      <c r="AE532" s="609">
        <v>0</v>
      </c>
      <c r="AF532" s="609">
        <v>0</v>
      </c>
      <c r="AG532" s="609">
        <v>0</v>
      </c>
      <c r="AH532" s="609">
        <v>0</v>
      </c>
      <c r="AI532" s="609">
        <v>0</v>
      </c>
      <c r="AJ532" s="609">
        <v>0</v>
      </c>
      <c r="AK532" s="609">
        <v>0</v>
      </c>
      <c r="AL532" s="609">
        <v>0</v>
      </c>
      <c r="AM532" s="609">
        <v>0</v>
      </c>
      <c r="AN532" s="609">
        <v>0</v>
      </c>
      <c r="AO532" s="609">
        <v>0</v>
      </c>
      <c r="AP532" s="609">
        <v>0</v>
      </c>
      <c r="AQ532" s="609">
        <v>0</v>
      </c>
      <c r="AR532" s="609">
        <v>0</v>
      </c>
      <c r="AS532" s="609">
        <v>0</v>
      </c>
      <c r="AT532" s="609">
        <v>0</v>
      </c>
      <c r="AU532" s="609">
        <v>0</v>
      </c>
      <c r="AV532" s="609">
        <v>5015969</v>
      </c>
      <c r="AW532" s="609">
        <v>5015969</v>
      </c>
      <c r="AX532" s="609">
        <v>5015969</v>
      </c>
      <c r="AY532" s="609">
        <v>5015956</v>
      </c>
      <c r="AZ532" s="615">
        <v>325339350</v>
      </c>
      <c r="BA532" s="615">
        <v>0</v>
      </c>
      <c r="BB532" s="615">
        <v>0</v>
      </c>
      <c r="BC532" s="615">
        <v>0</v>
      </c>
      <c r="BD532" s="615">
        <v>0</v>
      </c>
      <c r="BE532" s="615">
        <v>0</v>
      </c>
      <c r="BF532" s="615">
        <v>0</v>
      </c>
      <c r="BG532" s="615">
        <v>0</v>
      </c>
      <c r="BH532" s="615">
        <v>0</v>
      </c>
      <c r="BI532" s="615">
        <v>0</v>
      </c>
      <c r="BJ532" s="615">
        <v>0</v>
      </c>
      <c r="BK532" s="615">
        <v>0</v>
      </c>
      <c r="BL532" s="615">
        <v>0</v>
      </c>
      <c r="BM532" s="615">
        <v>0</v>
      </c>
      <c r="BN532" s="615">
        <v>0</v>
      </c>
      <c r="BO532" s="615">
        <v>0</v>
      </c>
      <c r="BP532" s="615">
        <v>0</v>
      </c>
      <c r="BQ532" s="615">
        <v>0</v>
      </c>
      <c r="BR532" s="615">
        <v>0</v>
      </c>
      <c r="BS532" s="615">
        <v>0</v>
      </c>
      <c r="BT532" s="615">
        <v>0</v>
      </c>
      <c r="BU532" s="615">
        <v>0</v>
      </c>
      <c r="BV532" s="615">
        <v>0</v>
      </c>
      <c r="BW532" s="615">
        <v>0</v>
      </c>
      <c r="BX532" s="607">
        <f t="shared" si="21"/>
        <v>345403213</v>
      </c>
    </row>
    <row r="533" spans="1:76" x14ac:dyDescent="0.2">
      <c r="A533" s="902"/>
      <c r="B533" s="610" t="s">
        <v>1575</v>
      </c>
      <c r="C533" s="608" t="s">
        <v>3661</v>
      </c>
      <c r="D533" s="609"/>
      <c r="E533" s="609"/>
      <c r="F533" s="609"/>
      <c r="G533" s="609"/>
      <c r="H533" s="609"/>
      <c r="I533" s="609"/>
      <c r="J533" s="609"/>
      <c r="K533" s="609"/>
      <c r="L533" s="609">
        <v>0</v>
      </c>
      <c r="M533" s="609">
        <v>0</v>
      </c>
      <c r="N533" s="609">
        <v>0</v>
      </c>
      <c r="O533" s="609">
        <v>0</v>
      </c>
      <c r="P533" s="609">
        <v>0</v>
      </c>
      <c r="Q533" s="609">
        <v>0</v>
      </c>
      <c r="R533" s="609">
        <v>0</v>
      </c>
      <c r="S533" s="609">
        <v>0</v>
      </c>
      <c r="T533" s="609">
        <v>0</v>
      </c>
      <c r="U533" s="609">
        <v>0</v>
      </c>
      <c r="V533" s="609">
        <v>0</v>
      </c>
      <c r="W533" s="609">
        <v>0</v>
      </c>
      <c r="X533" s="609">
        <v>0</v>
      </c>
      <c r="Y533" s="609">
        <v>0</v>
      </c>
      <c r="Z533" s="609">
        <v>0</v>
      </c>
      <c r="AA533" s="609">
        <v>0</v>
      </c>
      <c r="AB533" s="609">
        <v>0</v>
      </c>
      <c r="AC533" s="609">
        <v>0</v>
      </c>
      <c r="AD533" s="609">
        <v>0</v>
      </c>
      <c r="AE533" s="609">
        <v>0</v>
      </c>
      <c r="AF533" s="609">
        <v>0</v>
      </c>
      <c r="AG533" s="609">
        <v>0</v>
      </c>
      <c r="AH533" s="609">
        <v>0</v>
      </c>
      <c r="AI533" s="609">
        <v>0</v>
      </c>
      <c r="AJ533" s="609">
        <v>0</v>
      </c>
      <c r="AK533" s="609">
        <v>0</v>
      </c>
      <c r="AL533" s="609">
        <v>0</v>
      </c>
      <c r="AM533" s="609">
        <v>0</v>
      </c>
      <c r="AN533" s="609">
        <v>0</v>
      </c>
      <c r="AO533" s="609">
        <v>0</v>
      </c>
      <c r="AP533" s="609">
        <v>0</v>
      </c>
      <c r="AQ533" s="609">
        <v>0</v>
      </c>
      <c r="AR533" s="609">
        <v>0</v>
      </c>
      <c r="AS533" s="609">
        <v>0</v>
      </c>
      <c r="AT533" s="609">
        <v>0</v>
      </c>
      <c r="AU533" s="609">
        <v>0</v>
      </c>
      <c r="AV533" s="609">
        <v>0</v>
      </c>
      <c r="AW533" s="609">
        <v>0</v>
      </c>
      <c r="AX533" s="609">
        <v>0</v>
      </c>
      <c r="AY533" s="609">
        <v>0</v>
      </c>
      <c r="AZ533" s="615">
        <v>232444706</v>
      </c>
      <c r="BA533" s="615">
        <v>0</v>
      </c>
      <c r="BB533" s="615">
        <v>0</v>
      </c>
      <c r="BC533" s="615">
        <v>0</v>
      </c>
      <c r="BD533" s="615">
        <v>0</v>
      </c>
      <c r="BE533" s="615">
        <v>0</v>
      </c>
      <c r="BF533" s="615">
        <v>0</v>
      </c>
      <c r="BG533" s="615">
        <v>0</v>
      </c>
      <c r="BH533" s="615">
        <v>0</v>
      </c>
      <c r="BI533" s="615">
        <v>0</v>
      </c>
      <c r="BJ533" s="615">
        <v>0</v>
      </c>
      <c r="BK533" s="615">
        <v>0</v>
      </c>
      <c r="BL533" s="615">
        <v>0</v>
      </c>
      <c r="BM533" s="615">
        <v>0</v>
      </c>
      <c r="BN533" s="615">
        <v>0</v>
      </c>
      <c r="BO533" s="615">
        <v>0</v>
      </c>
      <c r="BP533" s="615">
        <v>0</v>
      </c>
      <c r="BQ533" s="615">
        <v>0</v>
      </c>
      <c r="BR533" s="615">
        <v>0</v>
      </c>
      <c r="BS533" s="615">
        <v>0</v>
      </c>
      <c r="BT533" s="615">
        <v>0</v>
      </c>
      <c r="BU533" s="615">
        <v>0</v>
      </c>
      <c r="BV533" s="615">
        <v>0</v>
      </c>
      <c r="BW533" s="615">
        <v>0</v>
      </c>
      <c r="BX533" s="607">
        <f t="shared" si="21"/>
        <v>232444706</v>
      </c>
    </row>
    <row r="534" spans="1:76" x14ac:dyDescent="0.2">
      <c r="A534" s="902"/>
      <c r="B534" s="610" t="s">
        <v>1614</v>
      </c>
      <c r="C534" s="608" t="s">
        <v>3662</v>
      </c>
      <c r="D534" s="609"/>
      <c r="E534" s="609"/>
      <c r="F534" s="609"/>
      <c r="G534" s="609"/>
      <c r="H534" s="609"/>
      <c r="I534" s="609"/>
      <c r="J534" s="609"/>
      <c r="K534" s="609"/>
      <c r="L534" s="609">
        <v>0</v>
      </c>
      <c r="M534" s="609">
        <v>0</v>
      </c>
      <c r="N534" s="609">
        <v>0</v>
      </c>
      <c r="O534" s="609">
        <v>0</v>
      </c>
      <c r="P534" s="609">
        <v>0</v>
      </c>
      <c r="Q534" s="609">
        <v>0</v>
      </c>
      <c r="R534" s="609">
        <v>0</v>
      </c>
      <c r="S534" s="609">
        <v>0</v>
      </c>
      <c r="T534" s="609">
        <v>0</v>
      </c>
      <c r="U534" s="609">
        <v>0</v>
      </c>
      <c r="V534" s="609">
        <v>0</v>
      </c>
      <c r="W534" s="609">
        <v>0</v>
      </c>
      <c r="X534" s="609">
        <v>0</v>
      </c>
      <c r="Y534" s="609">
        <v>0</v>
      </c>
      <c r="Z534" s="609">
        <v>0</v>
      </c>
      <c r="AA534" s="609">
        <v>0</v>
      </c>
      <c r="AB534" s="609">
        <v>0</v>
      </c>
      <c r="AC534" s="609">
        <v>0</v>
      </c>
      <c r="AD534" s="609">
        <v>0</v>
      </c>
      <c r="AE534" s="609">
        <v>0</v>
      </c>
      <c r="AF534" s="609">
        <v>0</v>
      </c>
      <c r="AG534" s="609">
        <v>0</v>
      </c>
      <c r="AH534" s="609">
        <v>0</v>
      </c>
      <c r="AI534" s="609">
        <v>0</v>
      </c>
      <c r="AJ534" s="609">
        <v>0</v>
      </c>
      <c r="AK534" s="609">
        <v>0</v>
      </c>
      <c r="AL534" s="609">
        <v>0</v>
      </c>
      <c r="AM534" s="609">
        <v>0</v>
      </c>
      <c r="AN534" s="609">
        <v>0</v>
      </c>
      <c r="AO534" s="609">
        <v>0</v>
      </c>
      <c r="AP534" s="609">
        <v>0</v>
      </c>
      <c r="AQ534" s="609">
        <v>0</v>
      </c>
      <c r="AR534" s="609">
        <v>0</v>
      </c>
      <c r="AS534" s="609">
        <v>0</v>
      </c>
      <c r="AT534" s="609">
        <v>0</v>
      </c>
      <c r="AU534" s="609">
        <v>0</v>
      </c>
      <c r="AV534" s="609">
        <v>0</v>
      </c>
      <c r="AW534" s="609">
        <v>4590560</v>
      </c>
      <c r="AX534" s="609">
        <v>4590560</v>
      </c>
      <c r="AY534" s="609">
        <v>277116000</v>
      </c>
      <c r="AZ534" s="615">
        <v>0</v>
      </c>
      <c r="BA534" s="615">
        <v>0</v>
      </c>
      <c r="BB534" s="615">
        <v>0</v>
      </c>
      <c r="BC534" s="615">
        <v>0</v>
      </c>
      <c r="BD534" s="615">
        <v>0</v>
      </c>
      <c r="BE534" s="615">
        <v>0</v>
      </c>
      <c r="BF534" s="615">
        <v>0</v>
      </c>
      <c r="BG534" s="615">
        <v>0</v>
      </c>
      <c r="BH534" s="615">
        <v>0</v>
      </c>
      <c r="BI534" s="615">
        <v>0</v>
      </c>
      <c r="BJ534" s="615">
        <v>0</v>
      </c>
      <c r="BK534" s="615">
        <v>0</v>
      </c>
      <c r="BL534" s="615">
        <v>0</v>
      </c>
      <c r="BM534" s="615">
        <v>0</v>
      </c>
      <c r="BN534" s="615">
        <v>0</v>
      </c>
      <c r="BO534" s="615">
        <v>0</v>
      </c>
      <c r="BP534" s="615">
        <v>0</v>
      </c>
      <c r="BQ534" s="615">
        <v>0</v>
      </c>
      <c r="BR534" s="615">
        <v>0</v>
      </c>
      <c r="BS534" s="615">
        <v>0</v>
      </c>
      <c r="BT534" s="615">
        <v>0</v>
      </c>
      <c r="BU534" s="615">
        <v>0</v>
      </c>
      <c r="BV534" s="615">
        <v>0</v>
      </c>
      <c r="BW534" s="615">
        <v>0</v>
      </c>
      <c r="BX534" s="607">
        <f t="shared" si="21"/>
        <v>286297120</v>
      </c>
    </row>
    <row r="535" spans="1:76" x14ac:dyDescent="0.2">
      <c r="A535" s="902"/>
      <c r="B535" s="610" t="s">
        <v>1720</v>
      </c>
      <c r="C535" s="608" t="s">
        <v>3663</v>
      </c>
      <c r="D535" s="609"/>
      <c r="E535" s="609"/>
      <c r="F535" s="609"/>
      <c r="G535" s="609"/>
      <c r="H535" s="609"/>
      <c r="I535" s="609"/>
      <c r="J535" s="609"/>
      <c r="K535" s="609"/>
      <c r="L535" s="609">
        <v>0</v>
      </c>
      <c r="M535" s="609">
        <v>0</v>
      </c>
      <c r="N535" s="609">
        <v>0</v>
      </c>
      <c r="O535" s="609">
        <v>0</v>
      </c>
      <c r="P535" s="609">
        <v>0</v>
      </c>
      <c r="Q535" s="609">
        <v>0</v>
      </c>
      <c r="R535" s="609">
        <v>0</v>
      </c>
      <c r="S535" s="609">
        <v>0</v>
      </c>
      <c r="T535" s="609">
        <v>0</v>
      </c>
      <c r="U535" s="609">
        <v>0</v>
      </c>
      <c r="V535" s="609">
        <v>0</v>
      </c>
      <c r="W535" s="609">
        <v>0</v>
      </c>
      <c r="X535" s="609">
        <v>0</v>
      </c>
      <c r="Y535" s="609">
        <v>0</v>
      </c>
      <c r="Z535" s="609">
        <v>0</v>
      </c>
      <c r="AA535" s="609">
        <v>0</v>
      </c>
      <c r="AB535" s="609">
        <v>0</v>
      </c>
      <c r="AC535" s="609">
        <v>0</v>
      </c>
      <c r="AD535" s="609">
        <v>0</v>
      </c>
      <c r="AE535" s="609">
        <v>0</v>
      </c>
      <c r="AF535" s="609">
        <v>0</v>
      </c>
      <c r="AG535" s="609">
        <v>0</v>
      </c>
      <c r="AH535" s="609">
        <v>0</v>
      </c>
      <c r="AI535" s="609">
        <v>0</v>
      </c>
      <c r="AJ535" s="609">
        <v>0</v>
      </c>
      <c r="AK535" s="609">
        <v>0</v>
      </c>
      <c r="AL535" s="609">
        <v>0</v>
      </c>
      <c r="AM535" s="609">
        <v>0</v>
      </c>
      <c r="AN535" s="609">
        <v>0</v>
      </c>
      <c r="AO535" s="609">
        <v>0</v>
      </c>
      <c r="AP535" s="609">
        <v>0</v>
      </c>
      <c r="AQ535" s="609">
        <v>0</v>
      </c>
      <c r="AR535" s="609">
        <v>0</v>
      </c>
      <c r="AS535" s="609">
        <v>0</v>
      </c>
      <c r="AT535" s="609">
        <v>0</v>
      </c>
      <c r="AU535" s="609">
        <v>0</v>
      </c>
      <c r="AV535" s="609">
        <v>5331850</v>
      </c>
      <c r="AW535" s="609">
        <v>5500000</v>
      </c>
      <c r="AX535" s="609">
        <v>5500000</v>
      </c>
      <c r="AY535" s="609">
        <v>5500000</v>
      </c>
      <c r="AZ535" s="615">
        <v>5500000</v>
      </c>
      <c r="BA535" s="615">
        <v>5500000</v>
      </c>
      <c r="BB535" s="615">
        <v>5500000</v>
      </c>
      <c r="BC535" s="615">
        <v>12640546</v>
      </c>
      <c r="BD535" s="615">
        <v>318920700</v>
      </c>
      <c r="BE535" s="615">
        <v>0</v>
      </c>
      <c r="BF535" s="615">
        <v>0</v>
      </c>
      <c r="BG535" s="615">
        <v>0</v>
      </c>
      <c r="BH535" s="615">
        <v>0</v>
      </c>
      <c r="BI535" s="615">
        <v>0</v>
      </c>
      <c r="BJ535" s="615">
        <v>0</v>
      </c>
      <c r="BK535" s="615">
        <v>0</v>
      </c>
      <c r="BL535" s="615">
        <v>0</v>
      </c>
      <c r="BM535" s="615">
        <v>0</v>
      </c>
      <c r="BN535" s="615">
        <v>0</v>
      </c>
      <c r="BO535" s="615">
        <v>0</v>
      </c>
      <c r="BP535" s="615">
        <v>0</v>
      </c>
      <c r="BQ535" s="615">
        <v>0</v>
      </c>
      <c r="BR535" s="615">
        <v>0</v>
      </c>
      <c r="BS535" s="615">
        <v>0</v>
      </c>
      <c r="BT535" s="615">
        <v>0</v>
      </c>
      <c r="BU535" s="615">
        <v>0</v>
      </c>
      <c r="BV535" s="615">
        <v>0</v>
      </c>
      <c r="BW535" s="615">
        <v>0</v>
      </c>
      <c r="BX535" s="607">
        <f t="shared" si="21"/>
        <v>369893096</v>
      </c>
    </row>
    <row r="536" spans="1:76" x14ac:dyDescent="0.2">
      <c r="A536" s="902"/>
      <c r="B536" s="610" t="s">
        <v>2579</v>
      </c>
      <c r="C536" s="608" t="s">
        <v>3664</v>
      </c>
      <c r="D536" s="609"/>
      <c r="E536" s="609"/>
      <c r="F536" s="609"/>
      <c r="G536" s="609"/>
      <c r="H536" s="609"/>
      <c r="I536" s="609"/>
      <c r="J536" s="609"/>
      <c r="K536" s="609"/>
      <c r="L536" s="609">
        <v>0</v>
      </c>
      <c r="M536" s="609">
        <v>0</v>
      </c>
      <c r="N536" s="609">
        <v>0</v>
      </c>
      <c r="O536" s="609">
        <v>0</v>
      </c>
      <c r="P536" s="609">
        <v>0</v>
      </c>
      <c r="Q536" s="609">
        <v>0</v>
      </c>
      <c r="R536" s="609">
        <v>0</v>
      </c>
      <c r="S536" s="609">
        <v>0</v>
      </c>
      <c r="T536" s="609">
        <v>0</v>
      </c>
      <c r="U536" s="609">
        <v>0</v>
      </c>
      <c r="V536" s="609">
        <v>0</v>
      </c>
      <c r="W536" s="609">
        <v>0</v>
      </c>
      <c r="X536" s="609">
        <v>0</v>
      </c>
      <c r="Y536" s="609">
        <v>0</v>
      </c>
      <c r="Z536" s="609">
        <v>0</v>
      </c>
      <c r="AA536" s="609">
        <v>0</v>
      </c>
      <c r="AB536" s="609">
        <v>0</v>
      </c>
      <c r="AC536" s="609">
        <v>0</v>
      </c>
      <c r="AD536" s="609">
        <v>0</v>
      </c>
      <c r="AE536" s="609">
        <v>0</v>
      </c>
      <c r="AF536" s="609">
        <v>0</v>
      </c>
      <c r="AG536" s="609">
        <v>0</v>
      </c>
      <c r="AH536" s="609">
        <v>0</v>
      </c>
      <c r="AI536" s="609">
        <v>0</v>
      </c>
      <c r="AJ536" s="609">
        <v>0</v>
      </c>
      <c r="AK536" s="609">
        <v>0</v>
      </c>
      <c r="AL536" s="609">
        <v>0</v>
      </c>
      <c r="AM536" s="609">
        <v>0</v>
      </c>
      <c r="AN536" s="609">
        <v>0</v>
      </c>
      <c r="AO536" s="609">
        <v>0</v>
      </c>
      <c r="AP536" s="609">
        <v>0</v>
      </c>
      <c r="AQ536" s="609">
        <v>0</v>
      </c>
      <c r="AR536" s="609">
        <v>0</v>
      </c>
      <c r="AS536" s="609">
        <v>0</v>
      </c>
      <c r="AT536" s="609">
        <v>0</v>
      </c>
      <c r="AU536" s="609">
        <v>0</v>
      </c>
      <c r="AV536" s="609">
        <v>0</v>
      </c>
      <c r="AW536" s="609">
        <v>6019971</v>
      </c>
      <c r="AX536" s="609">
        <v>6019976</v>
      </c>
      <c r="AY536" s="609">
        <v>377198280</v>
      </c>
      <c r="AZ536" s="615">
        <v>0</v>
      </c>
      <c r="BA536" s="615">
        <v>0</v>
      </c>
      <c r="BB536" s="615">
        <v>0</v>
      </c>
      <c r="BC536" s="615">
        <v>0</v>
      </c>
      <c r="BD536" s="615">
        <v>0</v>
      </c>
      <c r="BE536" s="615">
        <v>0</v>
      </c>
      <c r="BF536" s="615">
        <v>0</v>
      </c>
      <c r="BG536" s="615">
        <v>0</v>
      </c>
      <c r="BH536" s="615">
        <v>0</v>
      </c>
      <c r="BI536" s="615">
        <v>0</v>
      </c>
      <c r="BJ536" s="615">
        <v>0</v>
      </c>
      <c r="BK536" s="615">
        <v>0</v>
      </c>
      <c r="BL536" s="615">
        <v>0</v>
      </c>
      <c r="BM536" s="615">
        <v>0</v>
      </c>
      <c r="BN536" s="615">
        <v>0</v>
      </c>
      <c r="BO536" s="615">
        <v>0</v>
      </c>
      <c r="BP536" s="615">
        <v>0</v>
      </c>
      <c r="BQ536" s="615">
        <v>0</v>
      </c>
      <c r="BR536" s="615">
        <v>0</v>
      </c>
      <c r="BS536" s="615">
        <v>0</v>
      </c>
      <c r="BT536" s="615">
        <v>0</v>
      </c>
      <c r="BU536" s="615">
        <v>0</v>
      </c>
      <c r="BV536" s="615">
        <v>0</v>
      </c>
      <c r="BW536" s="615">
        <v>0</v>
      </c>
      <c r="BX536" s="607">
        <f t="shared" si="21"/>
        <v>389238227</v>
      </c>
    </row>
    <row r="537" spans="1:76" x14ac:dyDescent="0.2">
      <c r="A537" s="902"/>
      <c r="B537" s="610" t="s">
        <v>1380</v>
      </c>
      <c r="C537" s="608" t="s">
        <v>3665</v>
      </c>
      <c r="D537" s="609"/>
      <c r="E537" s="609"/>
      <c r="F537" s="609"/>
      <c r="G537" s="609"/>
      <c r="H537" s="609"/>
      <c r="I537" s="609"/>
      <c r="J537" s="609"/>
      <c r="K537" s="609"/>
      <c r="L537" s="609">
        <v>0</v>
      </c>
      <c r="M537" s="609">
        <v>0</v>
      </c>
      <c r="N537" s="609">
        <v>0</v>
      </c>
      <c r="O537" s="609">
        <v>0</v>
      </c>
      <c r="P537" s="609">
        <v>0</v>
      </c>
      <c r="Q537" s="609">
        <v>0</v>
      </c>
      <c r="R537" s="609">
        <v>0</v>
      </c>
      <c r="S537" s="609">
        <v>0</v>
      </c>
      <c r="T537" s="609">
        <v>0</v>
      </c>
      <c r="U537" s="609">
        <v>0</v>
      </c>
      <c r="V537" s="609">
        <v>0</v>
      </c>
      <c r="W537" s="609">
        <v>0</v>
      </c>
      <c r="X537" s="609">
        <v>0</v>
      </c>
      <c r="Y537" s="609">
        <v>0</v>
      </c>
      <c r="Z537" s="609">
        <v>0</v>
      </c>
      <c r="AA537" s="609">
        <v>0</v>
      </c>
      <c r="AB537" s="609">
        <v>0</v>
      </c>
      <c r="AC537" s="609">
        <v>0</v>
      </c>
      <c r="AD537" s="609">
        <v>0</v>
      </c>
      <c r="AE537" s="609">
        <v>0</v>
      </c>
      <c r="AF537" s="609">
        <v>0</v>
      </c>
      <c r="AG537" s="609">
        <v>0</v>
      </c>
      <c r="AH537" s="609">
        <v>0</v>
      </c>
      <c r="AI537" s="609">
        <v>0</v>
      </c>
      <c r="AJ537" s="609">
        <v>0</v>
      </c>
      <c r="AK537" s="609">
        <v>0</v>
      </c>
      <c r="AL537" s="609">
        <v>0</v>
      </c>
      <c r="AM537" s="609">
        <v>0</v>
      </c>
      <c r="AN537" s="609">
        <v>0</v>
      </c>
      <c r="AO537" s="609">
        <v>0</v>
      </c>
      <c r="AP537" s="609">
        <v>0</v>
      </c>
      <c r="AQ537" s="609">
        <v>0</v>
      </c>
      <c r="AR537" s="609">
        <v>0</v>
      </c>
      <c r="AS537" s="609">
        <v>0</v>
      </c>
      <c r="AT537" s="609">
        <v>0</v>
      </c>
      <c r="AU537" s="609">
        <v>0</v>
      </c>
      <c r="AV537" s="609">
        <v>0</v>
      </c>
      <c r="AW537" s="609">
        <v>0</v>
      </c>
      <c r="AX537" s="609">
        <v>0</v>
      </c>
      <c r="AY537" s="609">
        <v>241557581</v>
      </c>
      <c r="AZ537" s="615">
        <v>0</v>
      </c>
      <c r="BA537" s="615">
        <v>0</v>
      </c>
      <c r="BB537" s="615">
        <v>0</v>
      </c>
      <c r="BC537" s="615">
        <v>0</v>
      </c>
      <c r="BD537" s="615">
        <v>0</v>
      </c>
      <c r="BE537" s="615">
        <v>0</v>
      </c>
      <c r="BF537" s="615">
        <v>0</v>
      </c>
      <c r="BG537" s="615">
        <v>0</v>
      </c>
      <c r="BH537" s="615">
        <v>0</v>
      </c>
      <c r="BI537" s="615">
        <v>0</v>
      </c>
      <c r="BJ537" s="615">
        <v>0</v>
      </c>
      <c r="BK537" s="615">
        <v>0</v>
      </c>
      <c r="BL537" s="615">
        <v>0</v>
      </c>
      <c r="BM537" s="615">
        <v>0</v>
      </c>
      <c r="BN537" s="615">
        <v>0</v>
      </c>
      <c r="BO537" s="615">
        <v>0</v>
      </c>
      <c r="BP537" s="615">
        <v>0</v>
      </c>
      <c r="BQ537" s="615">
        <v>0</v>
      </c>
      <c r="BR537" s="615">
        <v>0</v>
      </c>
      <c r="BS537" s="615">
        <v>0</v>
      </c>
      <c r="BT537" s="615">
        <v>0</v>
      </c>
      <c r="BU537" s="615">
        <v>0</v>
      </c>
      <c r="BV537" s="615">
        <v>0</v>
      </c>
      <c r="BW537" s="615">
        <v>0</v>
      </c>
      <c r="BX537" s="607">
        <f t="shared" si="21"/>
        <v>241557581</v>
      </c>
    </row>
    <row r="538" spans="1:76" x14ac:dyDescent="0.2">
      <c r="A538" s="902"/>
      <c r="B538" s="610" t="s">
        <v>1629</v>
      </c>
      <c r="C538" s="608" t="s">
        <v>3666</v>
      </c>
      <c r="D538" s="609"/>
      <c r="E538" s="609"/>
      <c r="F538" s="609"/>
      <c r="G538" s="609"/>
      <c r="H538" s="609"/>
      <c r="I538" s="609"/>
      <c r="J538" s="609"/>
      <c r="K538" s="609"/>
      <c r="L538" s="609">
        <v>0</v>
      </c>
      <c r="M538" s="609">
        <v>0</v>
      </c>
      <c r="N538" s="609">
        <v>0</v>
      </c>
      <c r="O538" s="609">
        <v>0</v>
      </c>
      <c r="P538" s="609">
        <v>0</v>
      </c>
      <c r="Q538" s="609">
        <v>0</v>
      </c>
      <c r="R538" s="609">
        <v>0</v>
      </c>
      <c r="S538" s="609">
        <v>0</v>
      </c>
      <c r="T538" s="609">
        <v>0</v>
      </c>
      <c r="U538" s="609">
        <v>0</v>
      </c>
      <c r="V538" s="609">
        <v>0</v>
      </c>
      <c r="W538" s="609">
        <v>0</v>
      </c>
      <c r="X538" s="609">
        <v>0</v>
      </c>
      <c r="Y538" s="609">
        <v>0</v>
      </c>
      <c r="Z538" s="609">
        <v>0</v>
      </c>
      <c r="AA538" s="609">
        <v>0</v>
      </c>
      <c r="AB538" s="609">
        <v>0</v>
      </c>
      <c r="AC538" s="609">
        <v>0</v>
      </c>
      <c r="AD538" s="609">
        <v>0</v>
      </c>
      <c r="AE538" s="609">
        <v>0</v>
      </c>
      <c r="AF538" s="609">
        <v>0</v>
      </c>
      <c r="AG538" s="609">
        <v>0</v>
      </c>
      <c r="AH538" s="609">
        <v>0</v>
      </c>
      <c r="AI538" s="609">
        <v>0</v>
      </c>
      <c r="AJ538" s="609">
        <v>0</v>
      </c>
      <c r="AK538" s="609">
        <v>0</v>
      </c>
      <c r="AL538" s="609">
        <v>0</v>
      </c>
      <c r="AM538" s="609">
        <v>0</v>
      </c>
      <c r="AN538" s="609">
        <v>0</v>
      </c>
      <c r="AO538" s="609">
        <v>0</v>
      </c>
      <c r="AP538" s="609">
        <v>0</v>
      </c>
      <c r="AQ538" s="609">
        <v>0</v>
      </c>
      <c r="AR538" s="609">
        <v>0</v>
      </c>
      <c r="AS538" s="609">
        <v>0</v>
      </c>
      <c r="AT538" s="609">
        <v>0</v>
      </c>
      <c r="AU538" s="609">
        <v>5058628</v>
      </c>
      <c r="AV538" s="609">
        <v>9261166</v>
      </c>
      <c r="AW538" s="609">
        <v>9261166</v>
      </c>
      <c r="AX538" s="609">
        <v>9261166</v>
      </c>
      <c r="AY538" s="609">
        <v>9261165</v>
      </c>
      <c r="AZ538" s="615">
        <v>332720745</v>
      </c>
      <c r="BA538" s="615">
        <v>0</v>
      </c>
      <c r="BB538" s="615">
        <v>0</v>
      </c>
      <c r="BC538" s="615">
        <v>0</v>
      </c>
      <c r="BD538" s="615">
        <v>0</v>
      </c>
      <c r="BE538" s="615">
        <v>0</v>
      </c>
      <c r="BF538" s="615">
        <v>0</v>
      </c>
      <c r="BG538" s="615">
        <v>0</v>
      </c>
      <c r="BH538" s="615">
        <v>0</v>
      </c>
      <c r="BI538" s="615">
        <v>0</v>
      </c>
      <c r="BJ538" s="615">
        <v>0</v>
      </c>
      <c r="BK538" s="615">
        <v>0</v>
      </c>
      <c r="BL538" s="615">
        <v>0</v>
      </c>
      <c r="BM538" s="615">
        <v>0</v>
      </c>
      <c r="BN538" s="615">
        <v>0</v>
      </c>
      <c r="BO538" s="615">
        <v>0</v>
      </c>
      <c r="BP538" s="615">
        <v>0</v>
      </c>
      <c r="BQ538" s="615">
        <v>0</v>
      </c>
      <c r="BR538" s="615">
        <v>0</v>
      </c>
      <c r="BS538" s="615">
        <v>0</v>
      </c>
      <c r="BT538" s="615">
        <v>0</v>
      </c>
      <c r="BU538" s="615">
        <v>0</v>
      </c>
      <c r="BV538" s="615">
        <v>0</v>
      </c>
      <c r="BW538" s="615">
        <v>0</v>
      </c>
      <c r="BX538" s="607">
        <f t="shared" si="21"/>
        <v>374824036</v>
      </c>
    </row>
    <row r="539" spans="1:76" x14ac:dyDescent="0.2">
      <c r="A539" s="902"/>
      <c r="B539" s="610" t="s">
        <v>1470</v>
      </c>
      <c r="C539" s="608" t="s">
        <v>3667</v>
      </c>
      <c r="D539" s="609"/>
      <c r="E539" s="609"/>
      <c r="F539" s="609"/>
      <c r="G539" s="609"/>
      <c r="H539" s="609"/>
      <c r="I539" s="609"/>
      <c r="J539" s="609"/>
      <c r="K539" s="609"/>
      <c r="L539" s="609">
        <v>0</v>
      </c>
      <c r="M539" s="609">
        <v>0</v>
      </c>
      <c r="N539" s="609">
        <v>0</v>
      </c>
      <c r="O539" s="609">
        <v>0</v>
      </c>
      <c r="P539" s="609">
        <v>0</v>
      </c>
      <c r="Q539" s="609">
        <v>0</v>
      </c>
      <c r="R539" s="609">
        <v>0</v>
      </c>
      <c r="S539" s="609">
        <v>0</v>
      </c>
      <c r="T539" s="609">
        <v>0</v>
      </c>
      <c r="U539" s="609">
        <v>0</v>
      </c>
      <c r="V539" s="609">
        <v>0</v>
      </c>
      <c r="W539" s="609">
        <v>0</v>
      </c>
      <c r="X539" s="609">
        <v>0</v>
      </c>
      <c r="Y539" s="609">
        <v>0</v>
      </c>
      <c r="Z539" s="609">
        <v>0</v>
      </c>
      <c r="AA539" s="609">
        <v>0</v>
      </c>
      <c r="AB539" s="609">
        <v>0</v>
      </c>
      <c r="AC539" s="609">
        <v>0</v>
      </c>
      <c r="AD539" s="609">
        <v>0</v>
      </c>
      <c r="AE539" s="609">
        <v>0</v>
      </c>
      <c r="AF539" s="609">
        <v>0</v>
      </c>
      <c r="AG539" s="609">
        <v>0</v>
      </c>
      <c r="AH539" s="609">
        <v>0</v>
      </c>
      <c r="AI539" s="609">
        <v>0</v>
      </c>
      <c r="AJ539" s="609">
        <v>0</v>
      </c>
      <c r="AK539" s="609">
        <v>0</v>
      </c>
      <c r="AL539" s="609">
        <v>0</v>
      </c>
      <c r="AM539" s="609">
        <v>0</v>
      </c>
      <c r="AN539" s="609">
        <v>0</v>
      </c>
      <c r="AO539" s="609">
        <v>0</v>
      </c>
      <c r="AP539" s="609">
        <v>0</v>
      </c>
      <c r="AQ539" s="609">
        <v>0</v>
      </c>
      <c r="AR539" s="609">
        <v>0</v>
      </c>
      <c r="AS539" s="609">
        <v>0</v>
      </c>
      <c r="AT539" s="609">
        <v>0</v>
      </c>
      <c r="AU539" s="609">
        <v>0</v>
      </c>
      <c r="AV539" s="609">
        <v>4281035</v>
      </c>
      <c r="AW539" s="609">
        <v>4281035</v>
      </c>
      <c r="AX539" s="609">
        <v>4281020</v>
      </c>
      <c r="AY539" s="609">
        <v>318994830</v>
      </c>
      <c r="AZ539" s="615">
        <v>0</v>
      </c>
      <c r="BA539" s="615">
        <v>0</v>
      </c>
      <c r="BB539" s="615">
        <v>0</v>
      </c>
      <c r="BC539" s="615">
        <v>0</v>
      </c>
      <c r="BD539" s="615">
        <v>0</v>
      </c>
      <c r="BE539" s="615">
        <v>0</v>
      </c>
      <c r="BF539" s="615">
        <v>0</v>
      </c>
      <c r="BG539" s="615">
        <v>0</v>
      </c>
      <c r="BH539" s="615">
        <v>0</v>
      </c>
      <c r="BI539" s="615">
        <v>0</v>
      </c>
      <c r="BJ539" s="615">
        <v>0</v>
      </c>
      <c r="BK539" s="615">
        <v>0</v>
      </c>
      <c r="BL539" s="615">
        <v>0</v>
      </c>
      <c r="BM539" s="615">
        <v>0</v>
      </c>
      <c r="BN539" s="615">
        <v>0</v>
      </c>
      <c r="BO539" s="615">
        <v>0</v>
      </c>
      <c r="BP539" s="615">
        <v>0</v>
      </c>
      <c r="BQ539" s="615">
        <v>0</v>
      </c>
      <c r="BR539" s="615">
        <v>0</v>
      </c>
      <c r="BS539" s="615">
        <v>0</v>
      </c>
      <c r="BT539" s="615">
        <v>0</v>
      </c>
      <c r="BU539" s="615">
        <v>0</v>
      </c>
      <c r="BV539" s="615">
        <v>0</v>
      </c>
      <c r="BW539" s="615">
        <v>0</v>
      </c>
      <c r="BX539" s="607">
        <f t="shared" si="21"/>
        <v>331837920</v>
      </c>
    </row>
    <row r="540" spans="1:76" x14ac:dyDescent="0.2">
      <c r="A540" s="902"/>
      <c r="B540" s="610" t="s">
        <v>1434</v>
      </c>
      <c r="C540" s="608" t="s">
        <v>3668</v>
      </c>
      <c r="D540" s="609"/>
      <c r="E540" s="609"/>
      <c r="F540" s="609"/>
      <c r="G540" s="609"/>
      <c r="H540" s="609"/>
      <c r="I540" s="609"/>
      <c r="J540" s="609"/>
      <c r="K540" s="609"/>
      <c r="L540" s="609">
        <v>0</v>
      </c>
      <c r="M540" s="609">
        <v>0</v>
      </c>
      <c r="N540" s="609">
        <v>0</v>
      </c>
      <c r="O540" s="609">
        <v>0</v>
      </c>
      <c r="P540" s="609">
        <v>0</v>
      </c>
      <c r="Q540" s="609">
        <v>0</v>
      </c>
      <c r="R540" s="609">
        <v>0</v>
      </c>
      <c r="S540" s="609">
        <v>0</v>
      </c>
      <c r="T540" s="609">
        <v>0</v>
      </c>
      <c r="U540" s="609">
        <v>0</v>
      </c>
      <c r="V540" s="609">
        <v>0</v>
      </c>
      <c r="W540" s="609">
        <v>0</v>
      </c>
      <c r="X540" s="609">
        <v>0</v>
      </c>
      <c r="Y540" s="609">
        <v>0</v>
      </c>
      <c r="Z540" s="609">
        <v>0</v>
      </c>
      <c r="AA540" s="609">
        <v>0</v>
      </c>
      <c r="AB540" s="609">
        <v>0</v>
      </c>
      <c r="AC540" s="609">
        <v>0</v>
      </c>
      <c r="AD540" s="609">
        <v>0</v>
      </c>
      <c r="AE540" s="609">
        <v>0</v>
      </c>
      <c r="AF540" s="609">
        <v>0</v>
      </c>
      <c r="AG540" s="609">
        <v>0</v>
      </c>
      <c r="AH540" s="609">
        <v>0</v>
      </c>
      <c r="AI540" s="609">
        <v>0</v>
      </c>
      <c r="AJ540" s="609">
        <v>0</v>
      </c>
      <c r="AK540" s="609">
        <v>0</v>
      </c>
      <c r="AL540" s="609">
        <v>0</v>
      </c>
      <c r="AM540" s="609">
        <v>0</v>
      </c>
      <c r="AN540" s="609">
        <v>0</v>
      </c>
      <c r="AO540" s="609">
        <v>0</v>
      </c>
      <c r="AP540" s="609">
        <v>0</v>
      </c>
      <c r="AQ540" s="609">
        <v>0</v>
      </c>
      <c r="AR540" s="609">
        <v>0</v>
      </c>
      <c r="AS540" s="609">
        <v>0</v>
      </c>
      <c r="AT540" s="609">
        <v>0</v>
      </c>
      <c r="AU540" s="609">
        <v>0</v>
      </c>
      <c r="AV540" s="609">
        <v>0</v>
      </c>
      <c r="AW540" s="609">
        <v>2061792</v>
      </c>
      <c r="AX540" s="609">
        <v>4048808</v>
      </c>
      <c r="AY540" s="609">
        <v>321091400</v>
      </c>
      <c r="AZ540" s="615">
        <v>0</v>
      </c>
      <c r="BA540" s="615">
        <v>0</v>
      </c>
      <c r="BB540" s="615">
        <v>0</v>
      </c>
      <c r="BC540" s="615">
        <v>0</v>
      </c>
      <c r="BD540" s="615">
        <v>0</v>
      </c>
      <c r="BE540" s="615">
        <v>0</v>
      </c>
      <c r="BF540" s="615">
        <v>0</v>
      </c>
      <c r="BG540" s="615">
        <v>0</v>
      </c>
      <c r="BH540" s="615">
        <v>0</v>
      </c>
      <c r="BI540" s="615">
        <v>0</v>
      </c>
      <c r="BJ540" s="615">
        <v>0</v>
      </c>
      <c r="BK540" s="615">
        <v>0</v>
      </c>
      <c r="BL540" s="615">
        <v>0</v>
      </c>
      <c r="BM540" s="615">
        <v>0</v>
      </c>
      <c r="BN540" s="615">
        <v>0</v>
      </c>
      <c r="BO540" s="615">
        <v>0</v>
      </c>
      <c r="BP540" s="615">
        <v>0</v>
      </c>
      <c r="BQ540" s="615">
        <v>0</v>
      </c>
      <c r="BR540" s="615">
        <v>0</v>
      </c>
      <c r="BS540" s="615">
        <v>0</v>
      </c>
      <c r="BT540" s="615">
        <v>0</v>
      </c>
      <c r="BU540" s="615">
        <v>0</v>
      </c>
      <c r="BV540" s="615">
        <v>0</v>
      </c>
      <c r="BW540" s="615">
        <v>0</v>
      </c>
      <c r="BX540" s="607">
        <f t="shared" si="21"/>
        <v>327202000</v>
      </c>
    </row>
    <row r="541" spans="1:76" x14ac:dyDescent="0.2">
      <c r="A541" s="902"/>
      <c r="B541" s="610" t="s">
        <v>1245</v>
      </c>
      <c r="C541" s="608" t="s">
        <v>3669</v>
      </c>
      <c r="D541" s="609"/>
      <c r="E541" s="609"/>
      <c r="F541" s="609"/>
      <c r="G541" s="609"/>
      <c r="H541" s="609"/>
      <c r="I541" s="609"/>
      <c r="J541" s="609"/>
      <c r="K541" s="609"/>
      <c r="L541" s="609">
        <v>0</v>
      </c>
      <c r="M541" s="609">
        <v>0</v>
      </c>
      <c r="N541" s="609">
        <v>0</v>
      </c>
      <c r="O541" s="609">
        <v>0</v>
      </c>
      <c r="P541" s="609">
        <v>0</v>
      </c>
      <c r="Q541" s="609">
        <v>0</v>
      </c>
      <c r="R541" s="609">
        <v>0</v>
      </c>
      <c r="S541" s="609">
        <v>0</v>
      </c>
      <c r="T541" s="609">
        <v>0</v>
      </c>
      <c r="U541" s="609">
        <v>0</v>
      </c>
      <c r="V541" s="609">
        <v>0</v>
      </c>
      <c r="W541" s="609">
        <v>0</v>
      </c>
      <c r="X541" s="609">
        <v>0</v>
      </c>
      <c r="Y541" s="609">
        <v>0</v>
      </c>
      <c r="Z541" s="609">
        <v>0</v>
      </c>
      <c r="AA541" s="609">
        <v>0</v>
      </c>
      <c r="AB541" s="609">
        <v>0</v>
      </c>
      <c r="AC541" s="609">
        <v>0</v>
      </c>
      <c r="AD541" s="609">
        <v>0</v>
      </c>
      <c r="AE541" s="609">
        <v>0</v>
      </c>
      <c r="AF541" s="609">
        <v>0</v>
      </c>
      <c r="AG541" s="609">
        <v>0</v>
      </c>
      <c r="AH541" s="609">
        <v>0</v>
      </c>
      <c r="AI541" s="609">
        <v>0</v>
      </c>
      <c r="AJ541" s="609">
        <v>0</v>
      </c>
      <c r="AK541" s="609">
        <v>0</v>
      </c>
      <c r="AL541" s="609">
        <v>0</v>
      </c>
      <c r="AM541" s="609">
        <v>0</v>
      </c>
      <c r="AN541" s="609">
        <v>0</v>
      </c>
      <c r="AO541" s="609">
        <v>0</v>
      </c>
      <c r="AP541" s="609">
        <v>0</v>
      </c>
      <c r="AQ541" s="609">
        <v>0</v>
      </c>
      <c r="AR541" s="609">
        <v>0</v>
      </c>
      <c r="AS541" s="609">
        <v>0</v>
      </c>
      <c r="AT541" s="609">
        <v>0</v>
      </c>
      <c r="AU541" s="609">
        <v>0</v>
      </c>
      <c r="AV541" s="609">
        <v>0</v>
      </c>
      <c r="AW541" s="609">
        <v>3885997</v>
      </c>
      <c r="AX541" s="609">
        <v>327337033</v>
      </c>
      <c r="AY541" s="609">
        <v>0</v>
      </c>
      <c r="AZ541" s="615">
        <v>0</v>
      </c>
      <c r="BA541" s="615">
        <v>0</v>
      </c>
      <c r="BB541" s="615">
        <v>0</v>
      </c>
      <c r="BC541" s="615">
        <v>0</v>
      </c>
      <c r="BD541" s="615">
        <v>0</v>
      </c>
      <c r="BE541" s="615">
        <v>0</v>
      </c>
      <c r="BF541" s="615">
        <v>0</v>
      </c>
      <c r="BG541" s="615">
        <v>0</v>
      </c>
      <c r="BH541" s="615">
        <v>0</v>
      </c>
      <c r="BI541" s="615">
        <v>0</v>
      </c>
      <c r="BJ541" s="615">
        <v>0</v>
      </c>
      <c r="BK541" s="615">
        <v>0</v>
      </c>
      <c r="BL541" s="615">
        <v>0</v>
      </c>
      <c r="BM541" s="615">
        <v>0</v>
      </c>
      <c r="BN541" s="615">
        <v>0</v>
      </c>
      <c r="BO541" s="615">
        <v>0</v>
      </c>
      <c r="BP541" s="615">
        <v>0</v>
      </c>
      <c r="BQ541" s="615">
        <v>0</v>
      </c>
      <c r="BR541" s="615">
        <v>0</v>
      </c>
      <c r="BS541" s="615">
        <v>0</v>
      </c>
      <c r="BT541" s="615">
        <v>0</v>
      </c>
      <c r="BU541" s="615">
        <v>0</v>
      </c>
      <c r="BV541" s="615">
        <v>0</v>
      </c>
      <c r="BW541" s="615">
        <v>0</v>
      </c>
      <c r="BX541" s="607">
        <f t="shared" si="21"/>
        <v>331223030</v>
      </c>
    </row>
    <row r="542" spans="1:76" x14ac:dyDescent="0.2">
      <c r="A542" s="902"/>
      <c r="B542" s="610" t="s">
        <v>1577</v>
      </c>
      <c r="C542" s="608" t="s">
        <v>3670</v>
      </c>
      <c r="D542" s="609"/>
      <c r="E542" s="609"/>
      <c r="F542" s="609"/>
      <c r="G542" s="609"/>
      <c r="H542" s="609"/>
      <c r="I542" s="609"/>
      <c r="J542" s="609"/>
      <c r="K542" s="609"/>
      <c r="L542" s="609">
        <v>0</v>
      </c>
      <c r="M542" s="609">
        <v>0</v>
      </c>
      <c r="N542" s="609">
        <v>0</v>
      </c>
      <c r="O542" s="609">
        <v>0</v>
      </c>
      <c r="P542" s="609">
        <v>0</v>
      </c>
      <c r="Q542" s="609">
        <v>0</v>
      </c>
      <c r="R542" s="609">
        <v>0</v>
      </c>
      <c r="S542" s="609">
        <v>0</v>
      </c>
      <c r="T542" s="609">
        <v>0</v>
      </c>
      <c r="U542" s="609">
        <v>0</v>
      </c>
      <c r="V542" s="609">
        <v>0</v>
      </c>
      <c r="W542" s="609">
        <v>0</v>
      </c>
      <c r="X542" s="609">
        <v>0</v>
      </c>
      <c r="Y542" s="609">
        <v>0</v>
      </c>
      <c r="Z542" s="609">
        <v>0</v>
      </c>
      <c r="AA542" s="609">
        <v>0</v>
      </c>
      <c r="AB542" s="609">
        <v>0</v>
      </c>
      <c r="AC542" s="609">
        <v>0</v>
      </c>
      <c r="AD542" s="609">
        <v>0</v>
      </c>
      <c r="AE542" s="609">
        <v>0</v>
      </c>
      <c r="AF542" s="609">
        <v>0</v>
      </c>
      <c r="AG542" s="609">
        <v>0</v>
      </c>
      <c r="AH542" s="609">
        <v>0</v>
      </c>
      <c r="AI542" s="609">
        <v>0</v>
      </c>
      <c r="AJ542" s="609">
        <v>0</v>
      </c>
      <c r="AK542" s="609">
        <v>0</v>
      </c>
      <c r="AL542" s="609">
        <v>0</v>
      </c>
      <c r="AM542" s="609">
        <v>0</v>
      </c>
      <c r="AN542" s="609">
        <v>0</v>
      </c>
      <c r="AO542" s="609">
        <v>0</v>
      </c>
      <c r="AP542" s="609">
        <v>0</v>
      </c>
      <c r="AQ542" s="609">
        <v>0</v>
      </c>
      <c r="AR542" s="609">
        <v>0</v>
      </c>
      <c r="AS542" s="609">
        <v>0</v>
      </c>
      <c r="AT542" s="609">
        <v>0</v>
      </c>
      <c r="AU542" s="609">
        <v>0</v>
      </c>
      <c r="AV542" s="609">
        <v>0</v>
      </c>
      <c r="AW542" s="609">
        <v>5032635</v>
      </c>
      <c r="AX542" s="609">
        <v>5032635</v>
      </c>
      <c r="AY542" s="609">
        <v>5032640</v>
      </c>
      <c r="AZ542" s="615">
        <v>326389350</v>
      </c>
      <c r="BA542" s="615">
        <v>0</v>
      </c>
      <c r="BB542" s="615">
        <v>0</v>
      </c>
      <c r="BC542" s="615">
        <v>0</v>
      </c>
      <c r="BD542" s="615">
        <v>0</v>
      </c>
      <c r="BE542" s="615">
        <v>0</v>
      </c>
      <c r="BF542" s="615">
        <v>0</v>
      </c>
      <c r="BG542" s="615">
        <v>0</v>
      </c>
      <c r="BH542" s="615">
        <v>0</v>
      </c>
      <c r="BI542" s="615">
        <v>0</v>
      </c>
      <c r="BJ542" s="615">
        <v>0</v>
      </c>
      <c r="BK542" s="615">
        <v>0</v>
      </c>
      <c r="BL542" s="615">
        <v>0</v>
      </c>
      <c r="BM542" s="615">
        <v>0</v>
      </c>
      <c r="BN542" s="615">
        <v>0</v>
      </c>
      <c r="BO542" s="615">
        <v>0</v>
      </c>
      <c r="BP542" s="615">
        <v>0</v>
      </c>
      <c r="BQ542" s="615">
        <v>0</v>
      </c>
      <c r="BR542" s="615">
        <v>0</v>
      </c>
      <c r="BS542" s="615">
        <v>0</v>
      </c>
      <c r="BT542" s="615">
        <v>0</v>
      </c>
      <c r="BU542" s="615">
        <v>0</v>
      </c>
      <c r="BV542" s="615">
        <v>0</v>
      </c>
      <c r="BW542" s="615">
        <v>0</v>
      </c>
      <c r="BX542" s="607">
        <f t="shared" si="21"/>
        <v>341487260</v>
      </c>
    </row>
    <row r="543" spans="1:76" x14ac:dyDescent="0.2">
      <c r="A543" s="902"/>
      <c r="B543" s="610" t="s">
        <v>4247</v>
      </c>
      <c r="C543" s="608" t="s">
        <v>4246</v>
      </c>
      <c r="D543" s="609"/>
      <c r="E543" s="609"/>
      <c r="F543" s="609"/>
      <c r="G543" s="609"/>
      <c r="H543" s="609"/>
      <c r="I543" s="609"/>
      <c r="J543" s="609"/>
      <c r="K543" s="609"/>
      <c r="L543" s="609">
        <v>0</v>
      </c>
      <c r="M543" s="609">
        <v>0</v>
      </c>
      <c r="N543" s="609">
        <v>0</v>
      </c>
      <c r="O543" s="609">
        <v>0</v>
      </c>
      <c r="P543" s="609">
        <v>0</v>
      </c>
      <c r="Q543" s="609">
        <v>0</v>
      </c>
      <c r="R543" s="609">
        <v>0</v>
      </c>
      <c r="S543" s="609">
        <v>0</v>
      </c>
      <c r="T543" s="609">
        <v>0</v>
      </c>
      <c r="U543" s="609">
        <v>0</v>
      </c>
      <c r="V543" s="609">
        <v>0</v>
      </c>
      <c r="W543" s="609">
        <v>0</v>
      </c>
      <c r="X543" s="609">
        <v>0</v>
      </c>
      <c r="Y543" s="609">
        <v>0</v>
      </c>
      <c r="Z543" s="609">
        <v>0</v>
      </c>
      <c r="AA543" s="609">
        <v>0</v>
      </c>
      <c r="AB543" s="609">
        <v>0</v>
      </c>
      <c r="AC543" s="609">
        <v>0</v>
      </c>
      <c r="AD543" s="609">
        <v>0</v>
      </c>
      <c r="AE543" s="609">
        <v>0</v>
      </c>
      <c r="AF543" s="609">
        <v>0</v>
      </c>
      <c r="AG543" s="609">
        <v>0</v>
      </c>
      <c r="AH543" s="609">
        <v>0</v>
      </c>
      <c r="AI543" s="609">
        <v>0</v>
      </c>
      <c r="AJ543" s="609">
        <v>0</v>
      </c>
      <c r="AK543" s="609">
        <v>0</v>
      </c>
      <c r="AL543" s="609">
        <v>0</v>
      </c>
      <c r="AM543" s="609">
        <v>0</v>
      </c>
      <c r="AN543" s="609">
        <v>0</v>
      </c>
      <c r="AO543" s="609">
        <v>0</v>
      </c>
      <c r="AP543" s="609">
        <v>0</v>
      </c>
      <c r="AQ543" s="609">
        <v>0</v>
      </c>
      <c r="AR543" s="609">
        <v>0</v>
      </c>
      <c r="AS543" s="609">
        <v>0</v>
      </c>
      <c r="AT543" s="609">
        <v>0</v>
      </c>
      <c r="AU543" s="609">
        <v>0</v>
      </c>
      <c r="AV543" s="609">
        <v>0</v>
      </c>
      <c r="AW543" s="609">
        <v>0</v>
      </c>
      <c r="AX543" s="609">
        <v>0</v>
      </c>
      <c r="AY543" s="609">
        <v>0</v>
      </c>
      <c r="AZ543" s="615">
        <v>6422159</v>
      </c>
      <c r="BA543" s="615">
        <v>6631737</v>
      </c>
      <c r="BB543" s="615">
        <v>6631741</v>
      </c>
      <c r="BC543" s="615">
        <v>536913060</v>
      </c>
      <c r="BD543" s="615">
        <v>0</v>
      </c>
      <c r="BE543" s="615">
        <v>0</v>
      </c>
      <c r="BF543" s="615">
        <v>0</v>
      </c>
      <c r="BG543" s="615">
        <v>0</v>
      </c>
      <c r="BH543" s="615">
        <v>0</v>
      </c>
      <c r="BI543" s="615">
        <v>0</v>
      </c>
      <c r="BJ543" s="615">
        <v>0</v>
      </c>
      <c r="BK543" s="615">
        <v>0</v>
      </c>
      <c r="BL543" s="615">
        <v>0</v>
      </c>
      <c r="BM543" s="615">
        <v>0</v>
      </c>
      <c r="BN543" s="615">
        <v>0</v>
      </c>
      <c r="BO543" s="615">
        <v>0</v>
      </c>
      <c r="BP543" s="615">
        <v>0</v>
      </c>
      <c r="BQ543" s="615">
        <v>0</v>
      </c>
      <c r="BR543" s="615">
        <v>0</v>
      </c>
      <c r="BS543" s="615">
        <v>0</v>
      </c>
      <c r="BT543" s="615">
        <v>0</v>
      </c>
      <c r="BU543" s="615">
        <v>0</v>
      </c>
      <c r="BV543" s="615">
        <v>0</v>
      </c>
      <c r="BW543" s="615">
        <v>0</v>
      </c>
      <c r="BX543" s="607">
        <f t="shared" si="21"/>
        <v>556598697</v>
      </c>
    </row>
    <row r="544" spans="1:76" x14ac:dyDescent="0.2">
      <c r="A544" s="902"/>
      <c r="B544" s="610" t="s">
        <v>1615</v>
      </c>
      <c r="C544" s="608" t="s">
        <v>3671</v>
      </c>
      <c r="D544" s="609"/>
      <c r="E544" s="609"/>
      <c r="F544" s="609"/>
      <c r="G544" s="609"/>
      <c r="H544" s="609"/>
      <c r="I544" s="609"/>
      <c r="J544" s="609"/>
      <c r="K544" s="609"/>
      <c r="L544" s="609">
        <v>0</v>
      </c>
      <c r="M544" s="609">
        <v>0</v>
      </c>
      <c r="N544" s="609">
        <v>0</v>
      </c>
      <c r="O544" s="609">
        <v>0</v>
      </c>
      <c r="P544" s="609">
        <v>0</v>
      </c>
      <c r="Q544" s="609">
        <v>0</v>
      </c>
      <c r="R544" s="609">
        <v>0</v>
      </c>
      <c r="S544" s="609">
        <v>0</v>
      </c>
      <c r="T544" s="609">
        <v>0</v>
      </c>
      <c r="U544" s="609">
        <v>0</v>
      </c>
      <c r="V544" s="609">
        <v>0</v>
      </c>
      <c r="W544" s="609">
        <v>0</v>
      </c>
      <c r="X544" s="609">
        <v>0</v>
      </c>
      <c r="Y544" s="609">
        <v>0</v>
      </c>
      <c r="Z544" s="609">
        <v>0</v>
      </c>
      <c r="AA544" s="609">
        <v>0</v>
      </c>
      <c r="AB544" s="609">
        <v>0</v>
      </c>
      <c r="AC544" s="609">
        <v>0</v>
      </c>
      <c r="AD544" s="609">
        <v>0</v>
      </c>
      <c r="AE544" s="609">
        <v>0</v>
      </c>
      <c r="AF544" s="609">
        <v>0</v>
      </c>
      <c r="AG544" s="609">
        <v>0</v>
      </c>
      <c r="AH544" s="609">
        <v>0</v>
      </c>
      <c r="AI544" s="609">
        <v>0</v>
      </c>
      <c r="AJ544" s="609">
        <v>0</v>
      </c>
      <c r="AK544" s="609">
        <v>0</v>
      </c>
      <c r="AL544" s="609">
        <v>0</v>
      </c>
      <c r="AM544" s="609">
        <v>0</v>
      </c>
      <c r="AN544" s="609">
        <v>0</v>
      </c>
      <c r="AO544" s="609">
        <v>0</v>
      </c>
      <c r="AP544" s="609">
        <v>0</v>
      </c>
      <c r="AQ544" s="609">
        <v>0</v>
      </c>
      <c r="AR544" s="609">
        <v>0</v>
      </c>
      <c r="AS544" s="609">
        <v>0</v>
      </c>
      <c r="AT544" s="609">
        <v>0</v>
      </c>
      <c r="AU544" s="609">
        <v>0</v>
      </c>
      <c r="AV544" s="609">
        <v>4825583</v>
      </c>
      <c r="AW544" s="609">
        <v>4825583</v>
      </c>
      <c r="AX544" s="609">
        <v>4825591</v>
      </c>
      <c r="AY544" s="609">
        <v>279566000</v>
      </c>
      <c r="AZ544" s="615">
        <v>0</v>
      </c>
      <c r="BA544" s="615">
        <v>0</v>
      </c>
      <c r="BB544" s="615">
        <v>0</v>
      </c>
      <c r="BC544" s="615">
        <v>0</v>
      </c>
      <c r="BD544" s="615">
        <v>0</v>
      </c>
      <c r="BE544" s="615">
        <v>0</v>
      </c>
      <c r="BF544" s="615">
        <v>0</v>
      </c>
      <c r="BG544" s="615">
        <v>0</v>
      </c>
      <c r="BH544" s="615">
        <v>0</v>
      </c>
      <c r="BI544" s="615">
        <v>0</v>
      </c>
      <c r="BJ544" s="615">
        <v>0</v>
      </c>
      <c r="BK544" s="615">
        <v>0</v>
      </c>
      <c r="BL544" s="615">
        <v>0</v>
      </c>
      <c r="BM544" s="615">
        <v>0</v>
      </c>
      <c r="BN544" s="615">
        <v>0</v>
      </c>
      <c r="BO544" s="615">
        <v>0</v>
      </c>
      <c r="BP544" s="615">
        <v>0</v>
      </c>
      <c r="BQ544" s="615">
        <v>0</v>
      </c>
      <c r="BR544" s="615">
        <v>0</v>
      </c>
      <c r="BS544" s="615">
        <v>0</v>
      </c>
      <c r="BT544" s="615">
        <v>0</v>
      </c>
      <c r="BU544" s="615">
        <v>0</v>
      </c>
      <c r="BV544" s="615">
        <v>0</v>
      </c>
      <c r="BW544" s="615">
        <v>0</v>
      </c>
      <c r="BX544" s="607">
        <f t="shared" si="21"/>
        <v>294042757</v>
      </c>
    </row>
    <row r="545" spans="1:76" x14ac:dyDescent="0.2">
      <c r="A545" s="902"/>
      <c r="B545" s="610" t="s">
        <v>1721</v>
      </c>
      <c r="C545" s="608" t="s">
        <v>3672</v>
      </c>
      <c r="D545" s="609"/>
      <c r="E545" s="609"/>
      <c r="F545" s="609"/>
      <c r="G545" s="609"/>
      <c r="H545" s="609"/>
      <c r="I545" s="609"/>
      <c r="J545" s="609"/>
      <c r="K545" s="609"/>
      <c r="L545" s="609">
        <v>0</v>
      </c>
      <c r="M545" s="609">
        <v>0</v>
      </c>
      <c r="N545" s="609">
        <v>0</v>
      </c>
      <c r="O545" s="609">
        <v>0</v>
      </c>
      <c r="P545" s="609">
        <v>0</v>
      </c>
      <c r="Q545" s="609">
        <v>0</v>
      </c>
      <c r="R545" s="609">
        <v>0</v>
      </c>
      <c r="S545" s="609">
        <v>0</v>
      </c>
      <c r="T545" s="609">
        <v>0</v>
      </c>
      <c r="U545" s="609">
        <v>0</v>
      </c>
      <c r="V545" s="609">
        <v>0</v>
      </c>
      <c r="W545" s="609">
        <v>0</v>
      </c>
      <c r="X545" s="609">
        <v>0</v>
      </c>
      <c r="Y545" s="609">
        <v>0</v>
      </c>
      <c r="Z545" s="609">
        <v>0</v>
      </c>
      <c r="AA545" s="609">
        <v>0</v>
      </c>
      <c r="AB545" s="609">
        <v>0</v>
      </c>
      <c r="AC545" s="609">
        <v>0</v>
      </c>
      <c r="AD545" s="609">
        <v>0</v>
      </c>
      <c r="AE545" s="609">
        <v>0</v>
      </c>
      <c r="AF545" s="609">
        <v>0</v>
      </c>
      <c r="AG545" s="609">
        <v>0</v>
      </c>
      <c r="AH545" s="609">
        <v>0</v>
      </c>
      <c r="AI545" s="609">
        <v>0</v>
      </c>
      <c r="AJ545" s="609">
        <v>0</v>
      </c>
      <c r="AK545" s="609">
        <v>0</v>
      </c>
      <c r="AL545" s="609">
        <v>0</v>
      </c>
      <c r="AM545" s="609">
        <v>0</v>
      </c>
      <c r="AN545" s="609">
        <v>0</v>
      </c>
      <c r="AO545" s="609">
        <v>0</v>
      </c>
      <c r="AP545" s="609">
        <v>0</v>
      </c>
      <c r="AQ545" s="609">
        <v>0</v>
      </c>
      <c r="AR545" s="609">
        <v>0</v>
      </c>
      <c r="AS545" s="609">
        <v>0</v>
      </c>
      <c r="AT545" s="609">
        <v>0</v>
      </c>
      <c r="AU545" s="609">
        <v>0</v>
      </c>
      <c r="AV545" s="609">
        <v>1931850</v>
      </c>
      <c r="AW545" s="609">
        <v>5293473</v>
      </c>
      <c r="AX545" s="609">
        <v>5293473</v>
      </c>
      <c r="AY545" s="609">
        <v>5293473</v>
      </c>
      <c r="AZ545" s="615">
        <v>5293473</v>
      </c>
      <c r="BA545" s="615">
        <v>5293473</v>
      </c>
      <c r="BB545" s="615">
        <v>5293473</v>
      </c>
      <c r="BC545" s="615">
        <v>5293475</v>
      </c>
      <c r="BD545" s="615">
        <v>330470700</v>
      </c>
      <c r="BE545" s="615">
        <v>0</v>
      </c>
      <c r="BF545" s="615">
        <v>0</v>
      </c>
      <c r="BG545" s="615">
        <v>0</v>
      </c>
      <c r="BH545" s="615">
        <v>0</v>
      </c>
      <c r="BI545" s="615">
        <v>0</v>
      </c>
      <c r="BJ545" s="615">
        <v>0</v>
      </c>
      <c r="BK545" s="615">
        <v>0</v>
      </c>
      <c r="BL545" s="615">
        <v>0</v>
      </c>
      <c r="BM545" s="615">
        <v>0</v>
      </c>
      <c r="BN545" s="615">
        <v>0</v>
      </c>
      <c r="BO545" s="615">
        <v>0</v>
      </c>
      <c r="BP545" s="615">
        <v>0</v>
      </c>
      <c r="BQ545" s="615">
        <v>0</v>
      </c>
      <c r="BR545" s="615">
        <v>0</v>
      </c>
      <c r="BS545" s="615">
        <v>0</v>
      </c>
      <c r="BT545" s="615">
        <v>0</v>
      </c>
      <c r="BU545" s="615">
        <v>0</v>
      </c>
      <c r="BV545" s="615">
        <v>0</v>
      </c>
      <c r="BW545" s="615">
        <v>0</v>
      </c>
      <c r="BX545" s="607">
        <f t="shared" si="21"/>
        <v>369456863</v>
      </c>
    </row>
    <row r="546" spans="1:76" x14ac:dyDescent="0.2">
      <c r="A546" s="902"/>
      <c r="B546" s="610" t="s">
        <v>1381</v>
      </c>
      <c r="C546" s="608" t="s">
        <v>3673</v>
      </c>
      <c r="D546" s="609"/>
      <c r="E546" s="609"/>
      <c r="F546" s="609"/>
      <c r="G546" s="609"/>
      <c r="H546" s="609"/>
      <c r="I546" s="609"/>
      <c r="J546" s="609"/>
      <c r="K546" s="609"/>
      <c r="L546" s="609">
        <v>0</v>
      </c>
      <c r="M546" s="609">
        <v>0</v>
      </c>
      <c r="N546" s="609">
        <v>0</v>
      </c>
      <c r="O546" s="609">
        <v>0</v>
      </c>
      <c r="P546" s="609">
        <v>0</v>
      </c>
      <c r="Q546" s="609">
        <v>0</v>
      </c>
      <c r="R546" s="609">
        <v>0</v>
      </c>
      <c r="S546" s="609">
        <v>0</v>
      </c>
      <c r="T546" s="609">
        <v>0</v>
      </c>
      <c r="U546" s="609">
        <v>0</v>
      </c>
      <c r="V546" s="609">
        <v>0</v>
      </c>
      <c r="W546" s="609">
        <v>0</v>
      </c>
      <c r="X546" s="609">
        <v>0</v>
      </c>
      <c r="Y546" s="609">
        <v>0</v>
      </c>
      <c r="Z546" s="609">
        <v>0</v>
      </c>
      <c r="AA546" s="609">
        <v>0</v>
      </c>
      <c r="AB546" s="609">
        <v>0</v>
      </c>
      <c r="AC546" s="609">
        <v>0</v>
      </c>
      <c r="AD546" s="609">
        <v>0</v>
      </c>
      <c r="AE546" s="609">
        <v>0</v>
      </c>
      <c r="AF546" s="609">
        <v>0</v>
      </c>
      <c r="AG546" s="609">
        <v>0</v>
      </c>
      <c r="AH546" s="609">
        <v>0</v>
      </c>
      <c r="AI546" s="609">
        <v>0</v>
      </c>
      <c r="AJ546" s="609">
        <v>0</v>
      </c>
      <c r="AK546" s="609">
        <v>0</v>
      </c>
      <c r="AL546" s="609">
        <v>0</v>
      </c>
      <c r="AM546" s="609">
        <v>0</v>
      </c>
      <c r="AN546" s="609">
        <v>0</v>
      </c>
      <c r="AO546" s="609">
        <v>0</v>
      </c>
      <c r="AP546" s="609">
        <v>0</v>
      </c>
      <c r="AQ546" s="609">
        <v>0</v>
      </c>
      <c r="AR546" s="609">
        <v>0</v>
      </c>
      <c r="AS546" s="609">
        <v>0</v>
      </c>
      <c r="AT546" s="609">
        <v>0</v>
      </c>
      <c r="AU546" s="609">
        <v>0</v>
      </c>
      <c r="AV546" s="609">
        <v>0</v>
      </c>
      <c r="AW546" s="609">
        <v>2872704</v>
      </c>
      <c r="AX546" s="609">
        <v>4057896</v>
      </c>
      <c r="AY546" s="609">
        <v>321791400</v>
      </c>
      <c r="AZ546" s="615">
        <v>0</v>
      </c>
      <c r="BA546" s="615">
        <v>0</v>
      </c>
      <c r="BB546" s="615">
        <v>0</v>
      </c>
      <c r="BC546" s="615">
        <v>0</v>
      </c>
      <c r="BD546" s="615">
        <v>0</v>
      </c>
      <c r="BE546" s="615">
        <v>0</v>
      </c>
      <c r="BF546" s="615">
        <v>0</v>
      </c>
      <c r="BG546" s="615">
        <v>0</v>
      </c>
      <c r="BH546" s="615">
        <v>0</v>
      </c>
      <c r="BI546" s="615">
        <v>0</v>
      </c>
      <c r="BJ546" s="615">
        <v>0</v>
      </c>
      <c r="BK546" s="615">
        <v>0</v>
      </c>
      <c r="BL546" s="615">
        <v>0</v>
      </c>
      <c r="BM546" s="615">
        <v>0</v>
      </c>
      <c r="BN546" s="615">
        <v>0</v>
      </c>
      <c r="BO546" s="615">
        <v>0</v>
      </c>
      <c r="BP546" s="615">
        <v>0</v>
      </c>
      <c r="BQ546" s="615">
        <v>0</v>
      </c>
      <c r="BR546" s="615">
        <v>0</v>
      </c>
      <c r="BS546" s="615">
        <v>0</v>
      </c>
      <c r="BT546" s="615">
        <v>0</v>
      </c>
      <c r="BU546" s="615">
        <v>0</v>
      </c>
      <c r="BV546" s="615">
        <v>0</v>
      </c>
      <c r="BW546" s="615">
        <v>0</v>
      </c>
      <c r="BX546" s="607">
        <f t="shared" si="21"/>
        <v>328722000</v>
      </c>
    </row>
    <row r="547" spans="1:76" x14ac:dyDescent="0.2">
      <c r="A547" s="902"/>
      <c r="B547" s="610" t="s">
        <v>1471</v>
      </c>
      <c r="C547" s="608" t="s">
        <v>3674</v>
      </c>
      <c r="D547" s="609"/>
      <c r="E547" s="609"/>
      <c r="F547" s="609"/>
      <c r="G547" s="609"/>
      <c r="H547" s="609"/>
      <c r="I547" s="609"/>
      <c r="J547" s="609"/>
      <c r="K547" s="609"/>
      <c r="L547" s="609">
        <v>0</v>
      </c>
      <c r="M547" s="609">
        <v>0</v>
      </c>
      <c r="N547" s="609">
        <v>0</v>
      </c>
      <c r="O547" s="609">
        <v>0</v>
      </c>
      <c r="P547" s="609">
        <v>0</v>
      </c>
      <c r="Q547" s="609">
        <v>0</v>
      </c>
      <c r="R547" s="609">
        <v>0</v>
      </c>
      <c r="S547" s="609">
        <v>0</v>
      </c>
      <c r="T547" s="609">
        <v>0</v>
      </c>
      <c r="U547" s="609">
        <v>0</v>
      </c>
      <c r="V547" s="609">
        <v>0</v>
      </c>
      <c r="W547" s="609">
        <v>0</v>
      </c>
      <c r="X547" s="609">
        <v>0</v>
      </c>
      <c r="Y547" s="609">
        <v>0</v>
      </c>
      <c r="Z547" s="609">
        <v>0</v>
      </c>
      <c r="AA547" s="609">
        <v>0</v>
      </c>
      <c r="AB547" s="609">
        <v>0</v>
      </c>
      <c r="AC547" s="609">
        <v>0</v>
      </c>
      <c r="AD547" s="609">
        <v>0</v>
      </c>
      <c r="AE547" s="609">
        <v>0</v>
      </c>
      <c r="AF547" s="609">
        <v>0</v>
      </c>
      <c r="AG547" s="609">
        <v>0</v>
      </c>
      <c r="AH547" s="609">
        <v>0</v>
      </c>
      <c r="AI547" s="609">
        <v>0</v>
      </c>
      <c r="AJ547" s="609">
        <v>0</v>
      </c>
      <c r="AK547" s="609">
        <v>0</v>
      </c>
      <c r="AL547" s="609">
        <v>0</v>
      </c>
      <c r="AM547" s="609">
        <v>0</v>
      </c>
      <c r="AN547" s="609">
        <v>0</v>
      </c>
      <c r="AO547" s="609">
        <v>0</v>
      </c>
      <c r="AP547" s="609">
        <v>0</v>
      </c>
      <c r="AQ547" s="609">
        <v>0</v>
      </c>
      <c r="AR547" s="609">
        <v>0</v>
      </c>
      <c r="AS547" s="609">
        <v>0</v>
      </c>
      <c r="AT547" s="609">
        <v>0</v>
      </c>
      <c r="AU547" s="609">
        <v>0</v>
      </c>
      <c r="AV547" s="609">
        <v>3671418</v>
      </c>
      <c r="AW547" s="609">
        <v>3671418</v>
      </c>
      <c r="AX547" s="609">
        <v>3671420</v>
      </c>
      <c r="AY547" s="609">
        <v>274899240</v>
      </c>
      <c r="AZ547" s="615">
        <v>0</v>
      </c>
      <c r="BA547" s="615">
        <v>0</v>
      </c>
      <c r="BB547" s="615">
        <v>0</v>
      </c>
      <c r="BC547" s="615">
        <v>0</v>
      </c>
      <c r="BD547" s="615">
        <v>0</v>
      </c>
      <c r="BE547" s="615">
        <v>0</v>
      </c>
      <c r="BF547" s="615">
        <v>0</v>
      </c>
      <c r="BG547" s="615">
        <v>0</v>
      </c>
      <c r="BH547" s="615">
        <v>0</v>
      </c>
      <c r="BI547" s="615">
        <v>0</v>
      </c>
      <c r="BJ547" s="615">
        <v>0</v>
      </c>
      <c r="BK547" s="615">
        <v>0</v>
      </c>
      <c r="BL547" s="615">
        <v>0</v>
      </c>
      <c r="BM547" s="615">
        <v>0</v>
      </c>
      <c r="BN547" s="615">
        <v>0</v>
      </c>
      <c r="BO547" s="615">
        <v>0</v>
      </c>
      <c r="BP547" s="615">
        <v>0</v>
      </c>
      <c r="BQ547" s="615">
        <v>0</v>
      </c>
      <c r="BR547" s="615">
        <v>0</v>
      </c>
      <c r="BS547" s="615">
        <v>0</v>
      </c>
      <c r="BT547" s="615">
        <v>0</v>
      </c>
      <c r="BU547" s="615">
        <v>0</v>
      </c>
      <c r="BV547" s="615">
        <v>0</v>
      </c>
      <c r="BW547" s="615">
        <v>0</v>
      </c>
      <c r="BX547" s="607">
        <f t="shared" si="21"/>
        <v>285913496</v>
      </c>
    </row>
    <row r="548" spans="1:76" x14ac:dyDescent="0.2">
      <c r="A548" s="902"/>
      <c r="B548" s="610" t="s">
        <v>1671</v>
      </c>
      <c r="C548" s="608" t="s">
        <v>3675</v>
      </c>
      <c r="D548" s="609"/>
      <c r="E548" s="609"/>
      <c r="F548" s="609"/>
      <c r="G548" s="609"/>
      <c r="H548" s="609"/>
      <c r="I548" s="609"/>
      <c r="J548" s="609"/>
      <c r="K548" s="609"/>
      <c r="L548" s="609">
        <v>0</v>
      </c>
      <c r="M548" s="609">
        <v>0</v>
      </c>
      <c r="N548" s="609">
        <v>0</v>
      </c>
      <c r="O548" s="609">
        <v>0</v>
      </c>
      <c r="P548" s="609">
        <v>0</v>
      </c>
      <c r="Q548" s="609">
        <v>0</v>
      </c>
      <c r="R548" s="609">
        <v>0</v>
      </c>
      <c r="S548" s="609">
        <v>0</v>
      </c>
      <c r="T548" s="609">
        <v>0</v>
      </c>
      <c r="U548" s="609">
        <v>0</v>
      </c>
      <c r="V548" s="609">
        <v>0</v>
      </c>
      <c r="W548" s="609">
        <v>0</v>
      </c>
      <c r="X548" s="609">
        <v>0</v>
      </c>
      <c r="Y548" s="609">
        <v>0</v>
      </c>
      <c r="Z548" s="609">
        <v>0</v>
      </c>
      <c r="AA548" s="609">
        <v>0</v>
      </c>
      <c r="AB548" s="609">
        <v>0</v>
      </c>
      <c r="AC548" s="609">
        <v>0</v>
      </c>
      <c r="AD548" s="609">
        <v>0</v>
      </c>
      <c r="AE548" s="609">
        <v>0</v>
      </c>
      <c r="AF548" s="609">
        <v>0</v>
      </c>
      <c r="AG548" s="609">
        <v>0</v>
      </c>
      <c r="AH548" s="609">
        <v>0</v>
      </c>
      <c r="AI548" s="609">
        <v>0</v>
      </c>
      <c r="AJ548" s="609">
        <v>0</v>
      </c>
      <c r="AK548" s="609">
        <v>0</v>
      </c>
      <c r="AL548" s="609">
        <v>0</v>
      </c>
      <c r="AM548" s="609">
        <v>0</v>
      </c>
      <c r="AN548" s="609">
        <v>0</v>
      </c>
      <c r="AO548" s="609">
        <v>0</v>
      </c>
      <c r="AP548" s="609">
        <v>0</v>
      </c>
      <c r="AQ548" s="609">
        <v>0</v>
      </c>
      <c r="AR548" s="609">
        <v>0</v>
      </c>
      <c r="AS548" s="609">
        <v>0</v>
      </c>
      <c r="AT548" s="609">
        <v>0</v>
      </c>
      <c r="AU548" s="609">
        <v>0</v>
      </c>
      <c r="AV548" s="609">
        <v>0</v>
      </c>
      <c r="AW548" s="609">
        <v>5096000</v>
      </c>
      <c r="AX548" s="609">
        <v>5126000</v>
      </c>
      <c r="AY548" s="609">
        <v>5126000</v>
      </c>
      <c r="AZ548" s="615">
        <v>5126000</v>
      </c>
      <c r="BA548" s="615">
        <v>5126000</v>
      </c>
      <c r="BB548" s="615">
        <v>5126000</v>
      </c>
      <c r="BC548" s="615">
        <v>5130300</v>
      </c>
      <c r="BD548" s="615">
        <v>320320700</v>
      </c>
      <c r="BE548" s="615">
        <v>0</v>
      </c>
      <c r="BF548" s="615">
        <v>0</v>
      </c>
      <c r="BG548" s="615">
        <v>0</v>
      </c>
      <c r="BH548" s="615">
        <v>0</v>
      </c>
      <c r="BI548" s="615">
        <v>0</v>
      </c>
      <c r="BJ548" s="615">
        <v>0</v>
      </c>
      <c r="BK548" s="615">
        <v>0</v>
      </c>
      <c r="BL548" s="615">
        <v>0</v>
      </c>
      <c r="BM548" s="615">
        <v>0</v>
      </c>
      <c r="BN548" s="615">
        <v>0</v>
      </c>
      <c r="BO548" s="615">
        <v>0</v>
      </c>
      <c r="BP548" s="615">
        <v>0</v>
      </c>
      <c r="BQ548" s="615">
        <v>0</v>
      </c>
      <c r="BR548" s="615">
        <v>0</v>
      </c>
      <c r="BS548" s="615">
        <v>0</v>
      </c>
      <c r="BT548" s="615">
        <v>0</v>
      </c>
      <c r="BU548" s="615">
        <v>0</v>
      </c>
      <c r="BV548" s="615">
        <v>0</v>
      </c>
      <c r="BW548" s="615">
        <v>0</v>
      </c>
      <c r="BX548" s="607">
        <f t="shared" si="21"/>
        <v>356177000</v>
      </c>
    </row>
    <row r="549" spans="1:76" x14ac:dyDescent="0.2">
      <c r="A549" s="902"/>
      <c r="B549" s="610" t="s">
        <v>2541</v>
      </c>
      <c r="C549" s="608" t="s">
        <v>3676</v>
      </c>
      <c r="D549" s="609"/>
      <c r="E549" s="609"/>
      <c r="F549" s="609"/>
      <c r="G549" s="609"/>
      <c r="H549" s="609"/>
      <c r="I549" s="609"/>
      <c r="J549" s="609"/>
      <c r="K549" s="609"/>
      <c r="L549" s="609">
        <v>0</v>
      </c>
      <c r="M549" s="609">
        <v>0</v>
      </c>
      <c r="N549" s="609">
        <v>0</v>
      </c>
      <c r="O549" s="609">
        <v>0</v>
      </c>
      <c r="P549" s="609">
        <v>0</v>
      </c>
      <c r="Q549" s="609">
        <v>0</v>
      </c>
      <c r="R549" s="609">
        <v>0</v>
      </c>
      <c r="S549" s="609">
        <v>0</v>
      </c>
      <c r="T549" s="609">
        <v>0</v>
      </c>
      <c r="U549" s="609">
        <v>0</v>
      </c>
      <c r="V549" s="609">
        <v>0</v>
      </c>
      <c r="W549" s="609">
        <v>0</v>
      </c>
      <c r="X549" s="609">
        <v>0</v>
      </c>
      <c r="Y549" s="609">
        <v>0</v>
      </c>
      <c r="Z549" s="609">
        <v>0</v>
      </c>
      <c r="AA549" s="609">
        <v>0</v>
      </c>
      <c r="AB549" s="609">
        <v>0</v>
      </c>
      <c r="AC549" s="609">
        <v>0</v>
      </c>
      <c r="AD549" s="609">
        <v>0</v>
      </c>
      <c r="AE549" s="609">
        <v>0</v>
      </c>
      <c r="AF549" s="609">
        <v>0</v>
      </c>
      <c r="AG549" s="609">
        <v>0</v>
      </c>
      <c r="AH549" s="609">
        <v>0</v>
      </c>
      <c r="AI549" s="609">
        <v>0</v>
      </c>
      <c r="AJ549" s="609">
        <v>0</v>
      </c>
      <c r="AK549" s="609">
        <v>0</v>
      </c>
      <c r="AL549" s="609">
        <v>0</v>
      </c>
      <c r="AM549" s="609">
        <v>0</v>
      </c>
      <c r="AN549" s="609">
        <v>0</v>
      </c>
      <c r="AO549" s="609">
        <v>0</v>
      </c>
      <c r="AP549" s="609">
        <v>0</v>
      </c>
      <c r="AQ549" s="609">
        <v>0</v>
      </c>
      <c r="AR549" s="609">
        <v>0</v>
      </c>
      <c r="AS549" s="609">
        <v>0</v>
      </c>
      <c r="AT549" s="609">
        <v>0</v>
      </c>
      <c r="AU549" s="609">
        <v>754970</v>
      </c>
      <c r="AV549" s="609">
        <v>13063886</v>
      </c>
      <c r="AW549" s="609">
        <v>13063886</v>
      </c>
      <c r="AX549" s="609">
        <v>13063886</v>
      </c>
      <c r="AY549" s="609">
        <v>385815531</v>
      </c>
      <c r="AZ549" s="615">
        <v>0</v>
      </c>
      <c r="BA549" s="615">
        <v>0</v>
      </c>
      <c r="BB549" s="615">
        <v>0</v>
      </c>
      <c r="BC549" s="615">
        <v>0</v>
      </c>
      <c r="BD549" s="615">
        <v>0</v>
      </c>
      <c r="BE549" s="615">
        <v>0</v>
      </c>
      <c r="BF549" s="615">
        <v>0</v>
      </c>
      <c r="BG549" s="615">
        <v>0</v>
      </c>
      <c r="BH549" s="615">
        <v>0</v>
      </c>
      <c r="BI549" s="615">
        <v>0</v>
      </c>
      <c r="BJ549" s="615">
        <v>0</v>
      </c>
      <c r="BK549" s="615">
        <v>0</v>
      </c>
      <c r="BL549" s="615">
        <v>0</v>
      </c>
      <c r="BM549" s="615">
        <v>0</v>
      </c>
      <c r="BN549" s="615">
        <v>0</v>
      </c>
      <c r="BO549" s="615">
        <v>0</v>
      </c>
      <c r="BP549" s="615">
        <v>0</v>
      </c>
      <c r="BQ549" s="615">
        <v>0</v>
      </c>
      <c r="BR549" s="615">
        <v>0</v>
      </c>
      <c r="BS549" s="615">
        <v>0</v>
      </c>
      <c r="BT549" s="615">
        <v>0</v>
      </c>
      <c r="BU549" s="615">
        <v>0</v>
      </c>
      <c r="BV549" s="615">
        <v>0</v>
      </c>
      <c r="BW549" s="615">
        <v>0</v>
      </c>
      <c r="BX549" s="607">
        <f t="shared" si="21"/>
        <v>425762159</v>
      </c>
    </row>
    <row r="550" spans="1:76" x14ac:dyDescent="0.2">
      <c r="A550" s="902"/>
      <c r="B550" s="610" t="s">
        <v>1246</v>
      </c>
      <c r="C550" s="608" t="s">
        <v>3677</v>
      </c>
      <c r="D550" s="609"/>
      <c r="E550" s="609"/>
      <c r="F550" s="609"/>
      <c r="G550" s="609"/>
      <c r="H550" s="609"/>
      <c r="I550" s="609"/>
      <c r="J550" s="609"/>
      <c r="K550" s="609"/>
      <c r="L550" s="609"/>
      <c r="M550" s="609">
        <v>0</v>
      </c>
      <c r="N550" s="609">
        <v>0</v>
      </c>
      <c r="O550" s="609">
        <v>0</v>
      </c>
      <c r="P550" s="609">
        <v>0</v>
      </c>
      <c r="Q550" s="609">
        <v>0</v>
      </c>
      <c r="R550" s="609">
        <v>0</v>
      </c>
      <c r="S550" s="609">
        <v>0</v>
      </c>
      <c r="T550" s="609">
        <v>0</v>
      </c>
      <c r="U550" s="609">
        <v>0</v>
      </c>
      <c r="V550" s="609">
        <v>0</v>
      </c>
      <c r="W550" s="609">
        <v>0</v>
      </c>
      <c r="X550" s="609">
        <v>0</v>
      </c>
      <c r="Y550" s="609">
        <v>0</v>
      </c>
      <c r="Z550" s="609">
        <v>0</v>
      </c>
      <c r="AA550" s="609">
        <v>0</v>
      </c>
      <c r="AB550" s="609">
        <v>0</v>
      </c>
      <c r="AC550" s="609">
        <v>0</v>
      </c>
      <c r="AD550" s="609">
        <v>0</v>
      </c>
      <c r="AE550" s="609">
        <v>0</v>
      </c>
      <c r="AF550" s="609">
        <v>0</v>
      </c>
      <c r="AG550" s="609">
        <v>0</v>
      </c>
      <c r="AH550" s="609">
        <v>0</v>
      </c>
      <c r="AI550" s="609">
        <v>0</v>
      </c>
      <c r="AJ550" s="609">
        <v>0</v>
      </c>
      <c r="AK550" s="609">
        <v>0</v>
      </c>
      <c r="AL550" s="609">
        <v>0</v>
      </c>
      <c r="AM550" s="609">
        <v>0</v>
      </c>
      <c r="AN550" s="609">
        <v>0</v>
      </c>
      <c r="AO550" s="609">
        <v>0</v>
      </c>
      <c r="AP550" s="609">
        <v>0</v>
      </c>
      <c r="AQ550" s="609">
        <v>0</v>
      </c>
      <c r="AR550" s="609">
        <v>0</v>
      </c>
      <c r="AS550" s="609">
        <v>0</v>
      </c>
      <c r="AT550" s="609">
        <v>0</v>
      </c>
      <c r="AU550" s="609">
        <v>3224286</v>
      </c>
      <c r="AV550" s="609">
        <v>3224286</v>
      </c>
      <c r="AW550" s="609">
        <v>3224276</v>
      </c>
      <c r="AX550" s="609">
        <v>272650000</v>
      </c>
      <c r="AY550" s="609">
        <v>0</v>
      </c>
      <c r="AZ550" s="615">
        <v>0</v>
      </c>
      <c r="BA550" s="615">
        <v>0</v>
      </c>
      <c r="BB550" s="615">
        <v>0</v>
      </c>
      <c r="BC550" s="615">
        <v>0</v>
      </c>
      <c r="BD550" s="615">
        <v>0</v>
      </c>
      <c r="BE550" s="615">
        <v>0</v>
      </c>
      <c r="BF550" s="615">
        <v>0</v>
      </c>
      <c r="BG550" s="615">
        <v>0</v>
      </c>
      <c r="BH550" s="615">
        <v>0</v>
      </c>
      <c r="BI550" s="615">
        <v>0</v>
      </c>
      <c r="BJ550" s="615">
        <v>0</v>
      </c>
      <c r="BK550" s="615">
        <v>0</v>
      </c>
      <c r="BL550" s="615">
        <v>0</v>
      </c>
      <c r="BM550" s="615">
        <v>0</v>
      </c>
      <c r="BN550" s="615">
        <v>0</v>
      </c>
      <c r="BO550" s="615">
        <v>0</v>
      </c>
      <c r="BP550" s="615">
        <v>0</v>
      </c>
      <c r="BQ550" s="615">
        <v>0</v>
      </c>
      <c r="BR550" s="615">
        <v>0</v>
      </c>
      <c r="BS550" s="615">
        <v>0</v>
      </c>
      <c r="BT550" s="615">
        <v>0</v>
      </c>
      <c r="BU550" s="615">
        <v>0</v>
      </c>
      <c r="BV550" s="615">
        <v>0</v>
      </c>
      <c r="BW550" s="615">
        <v>0</v>
      </c>
      <c r="BX550" s="607">
        <f t="shared" si="21"/>
        <v>282322848</v>
      </c>
    </row>
    <row r="551" spans="1:76" x14ac:dyDescent="0.2">
      <c r="A551" s="902"/>
      <c r="B551" s="610" t="s">
        <v>1472</v>
      </c>
      <c r="C551" s="608" t="s">
        <v>3678</v>
      </c>
      <c r="D551" s="609"/>
      <c r="E551" s="609"/>
      <c r="F551" s="609"/>
      <c r="G551" s="609"/>
      <c r="H551" s="609"/>
      <c r="I551" s="609"/>
      <c r="J551" s="609"/>
      <c r="K551" s="609"/>
      <c r="L551" s="609"/>
      <c r="M551" s="609">
        <v>0</v>
      </c>
      <c r="N551" s="609">
        <v>0</v>
      </c>
      <c r="O551" s="609">
        <v>0</v>
      </c>
      <c r="P551" s="609">
        <v>0</v>
      </c>
      <c r="Q551" s="609">
        <v>0</v>
      </c>
      <c r="R551" s="609">
        <v>0</v>
      </c>
      <c r="S551" s="609">
        <v>0</v>
      </c>
      <c r="T551" s="609">
        <v>0</v>
      </c>
      <c r="U551" s="609">
        <v>0</v>
      </c>
      <c r="V551" s="609">
        <v>0</v>
      </c>
      <c r="W551" s="609">
        <v>0</v>
      </c>
      <c r="X551" s="609">
        <v>0</v>
      </c>
      <c r="Y551" s="609">
        <v>0</v>
      </c>
      <c r="Z551" s="609">
        <v>0</v>
      </c>
      <c r="AA551" s="609">
        <v>0</v>
      </c>
      <c r="AB551" s="609">
        <v>0</v>
      </c>
      <c r="AC551" s="609">
        <v>0</v>
      </c>
      <c r="AD551" s="609">
        <v>0</v>
      </c>
      <c r="AE551" s="609">
        <v>0</v>
      </c>
      <c r="AF551" s="609">
        <v>0</v>
      </c>
      <c r="AG551" s="609">
        <v>0</v>
      </c>
      <c r="AH551" s="609">
        <v>0</v>
      </c>
      <c r="AI551" s="609">
        <v>0</v>
      </c>
      <c r="AJ551" s="609">
        <v>0</v>
      </c>
      <c r="AK551" s="609">
        <v>0</v>
      </c>
      <c r="AL551" s="609">
        <v>0</v>
      </c>
      <c r="AM551" s="609">
        <v>0</v>
      </c>
      <c r="AN551" s="609">
        <v>0</v>
      </c>
      <c r="AO551" s="609">
        <v>0</v>
      </c>
      <c r="AP551" s="609">
        <v>0</v>
      </c>
      <c r="AQ551" s="609">
        <v>0</v>
      </c>
      <c r="AR551" s="609">
        <v>0</v>
      </c>
      <c r="AS551" s="609">
        <v>0</v>
      </c>
      <c r="AT551" s="609">
        <v>0</v>
      </c>
      <c r="AU551" s="609">
        <v>0</v>
      </c>
      <c r="AV551" s="609">
        <v>3000000</v>
      </c>
      <c r="AW551" s="609">
        <v>3000000</v>
      </c>
      <c r="AX551" s="609">
        <v>1797011</v>
      </c>
      <c r="AY551" s="609">
        <v>321526359</v>
      </c>
      <c r="AZ551" s="615">
        <v>0</v>
      </c>
      <c r="BA551" s="615">
        <v>0</v>
      </c>
      <c r="BB551" s="615">
        <v>0</v>
      </c>
      <c r="BC551" s="615">
        <v>0</v>
      </c>
      <c r="BD551" s="615">
        <v>0</v>
      </c>
      <c r="BE551" s="615">
        <v>0</v>
      </c>
      <c r="BF551" s="615">
        <v>0</v>
      </c>
      <c r="BG551" s="615">
        <v>0</v>
      </c>
      <c r="BH551" s="615">
        <v>0</v>
      </c>
      <c r="BI551" s="615">
        <v>0</v>
      </c>
      <c r="BJ551" s="615">
        <v>0</v>
      </c>
      <c r="BK551" s="615">
        <v>0</v>
      </c>
      <c r="BL551" s="615">
        <v>0</v>
      </c>
      <c r="BM551" s="615">
        <v>0</v>
      </c>
      <c r="BN551" s="615">
        <v>0</v>
      </c>
      <c r="BO551" s="615">
        <v>0</v>
      </c>
      <c r="BP551" s="615">
        <v>0</v>
      </c>
      <c r="BQ551" s="615">
        <v>0</v>
      </c>
      <c r="BR551" s="615">
        <v>0</v>
      </c>
      <c r="BS551" s="615">
        <v>0</v>
      </c>
      <c r="BT551" s="615">
        <v>0</v>
      </c>
      <c r="BU551" s="615">
        <v>0</v>
      </c>
      <c r="BV551" s="615">
        <v>0</v>
      </c>
      <c r="BW551" s="615">
        <v>0</v>
      </c>
      <c r="BX551" s="607">
        <f t="shared" si="21"/>
        <v>329323370</v>
      </c>
    </row>
    <row r="552" spans="1:76" x14ac:dyDescent="0.2">
      <c r="A552" s="902"/>
      <c r="B552" s="610" t="s">
        <v>3680</v>
      </c>
      <c r="C552" s="608" t="s">
        <v>3679</v>
      </c>
      <c r="D552" s="609"/>
      <c r="E552" s="609"/>
      <c r="F552" s="609"/>
      <c r="G552" s="609"/>
      <c r="H552" s="609"/>
      <c r="I552" s="609"/>
      <c r="J552" s="609"/>
      <c r="K552" s="609"/>
      <c r="L552" s="609"/>
      <c r="M552" s="609">
        <v>0</v>
      </c>
      <c r="N552" s="609">
        <v>0</v>
      </c>
      <c r="O552" s="609">
        <v>0</v>
      </c>
      <c r="P552" s="609">
        <v>0</v>
      </c>
      <c r="Q552" s="609">
        <v>0</v>
      </c>
      <c r="R552" s="609">
        <v>0</v>
      </c>
      <c r="S552" s="609">
        <v>0</v>
      </c>
      <c r="T552" s="609">
        <v>0</v>
      </c>
      <c r="U552" s="609">
        <v>0</v>
      </c>
      <c r="V552" s="609">
        <v>0</v>
      </c>
      <c r="W552" s="609">
        <v>0</v>
      </c>
      <c r="X552" s="609">
        <v>0</v>
      </c>
      <c r="Y552" s="609">
        <v>0</v>
      </c>
      <c r="Z552" s="609">
        <v>0</v>
      </c>
      <c r="AA552" s="609">
        <v>0</v>
      </c>
      <c r="AB552" s="609">
        <v>0</v>
      </c>
      <c r="AC552" s="609">
        <v>0</v>
      </c>
      <c r="AD552" s="609">
        <v>0</v>
      </c>
      <c r="AE552" s="609">
        <v>0</v>
      </c>
      <c r="AF552" s="609">
        <v>0</v>
      </c>
      <c r="AG552" s="609">
        <v>0</v>
      </c>
      <c r="AH552" s="609">
        <v>0</v>
      </c>
      <c r="AI552" s="609">
        <v>0</v>
      </c>
      <c r="AJ552" s="609">
        <v>0</v>
      </c>
      <c r="AK552" s="609">
        <v>0</v>
      </c>
      <c r="AL552" s="609">
        <v>0</v>
      </c>
      <c r="AM552" s="609">
        <v>0</v>
      </c>
      <c r="AN552" s="609">
        <v>0</v>
      </c>
      <c r="AO552" s="609">
        <v>0</v>
      </c>
      <c r="AP552" s="609">
        <v>0</v>
      </c>
      <c r="AQ552" s="609">
        <v>0</v>
      </c>
      <c r="AR552" s="609">
        <v>0</v>
      </c>
      <c r="AS552" s="609">
        <v>0</v>
      </c>
      <c r="AT552" s="609">
        <v>0</v>
      </c>
      <c r="AU552" s="609">
        <v>0</v>
      </c>
      <c r="AV552" s="609">
        <v>0</v>
      </c>
      <c r="AW552" s="609">
        <v>5723070</v>
      </c>
      <c r="AX552" s="609">
        <v>5945814</v>
      </c>
      <c r="AY552" s="609">
        <v>5945814</v>
      </c>
      <c r="AZ552" s="615">
        <v>5945814</v>
      </c>
      <c r="BA552" s="615">
        <v>5945814</v>
      </c>
      <c r="BB552" s="615">
        <v>5945811</v>
      </c>
      <c r="BC552" s="615">
        <v>535123227</v>
      </c>
      <c r="BD552" s="615">
        <v>0</v>
      </c>
      <c r="BE552" s="615">
        <v>0</v>
      </c>
      <c r="BF552" s="615">
        <v>0</v>
      </c>
      <c r="BG552" s="615">
        <v>0</v>
      </c>
      <c r="BH552" s="615">
        <v>0</v>
      </c>
      <c r="BI552" s="615">
        <v>0</v>
      </c>
      <c r="BJ552" s="615">
        <v>0</v>
      </c>
      <c r="BK552" s="615">
        <v>0</v>
      </c>
      <c r="BL552" s="615">
        <v>0</v>
      </c>
      <c r="BM552" s="615">
        <v>0</v>
      </c>
      <c r="BN552" s="615">
        <v>0</v>
      </c>
      <c r="BO552" s="615">
        <v>0</v>
      </c>
      <c r="BP552" s="615">
        <v>0</v>
      </c>
      <c r="BQ552" s="615">
        <v>0</v>
      </c>
      <c r="BR552" s="615">
        <v>0</v>
      </c>
      <c r="BS552" s="615">
        <v>0</v>
      </c>
      <c r="BT552" s="615">
        <v>0</v>
      </c>
      <c r="BU552" s="615">
        <v>0</v>
      </c>
      <c r="BV552" s="615">
        <v>0</v>
      </c>
      <c r="BW552" s="615">
        <v>0</v>
      </c>
      <c r="BX552" s="607">
        <f t="shared" si="21"/>
        <v>570575364</v>
      </c>
    </row>
    <row r="553" spans="1:76" x14ac:dyDescent="0.2">
      <c r="A553" s="902"/>
      <c r="B553" s="610" t="s">
        <v>2580</v>
      </c>
      <c r="C553" s="608" t="s">
        <v>3681</v>
      </c>
      <c r="D553" s="609"/>
      <c r="E553" s="609"/>
      <c r="F553" s="609"/>
      <c r="G553" s="609"/>
      <c r="H553" s="609"/>
      <c r="I553" s="609"/>
      <c r="J553" s="609"/>
      <c r="K553" s="609"/>
      <c r="L553" s="609"/>
      <c r="M553" s="609">
        <v>0</v>
      </c>
      <c r="N553" s="609">
        <v>0</v>
      </c>
      <c r="O553" s="609">
        <v>0</v>
      </c>
      <c r="P553" s="609">
        <v>0</v>
      </c>
      <c r="Q553" s="609">
        <v>0</v>
      </c>
      <c r="R553" s="609">
        <v>0</v>
      </c>
      <c r="S553" s="609">
        <v>0</v>
      </c>
      <c r="T553" s="609">
        <v>0</v>
      </c>
      <c r="U553" s="609">
        <v>0</v>
      </c>
      <c r="V553" s="609">
        <v>0</v>
      </c>
      <c r="W553" s="609">
        <v>0</v>
      </c>
      <c r="X553" s="609">
        <v>0</v>
      </c>
      <c r="Y553" s="609">
        <v>0</v>
      </c>
      <c r="Z553" s="609">
        <v>0</v>
      </c>
      <c r="AA553" s="609">
        <v>0</v>
      </c>
      <c r="AB553" s="609">
        <v>0</v>
      </c>
      <c r="AC553" s="609">
        <v>0</v>
      </c>
      <c r="AD553" s="609">
        <v>0</v>
      </c>
      <c r="AE553" s="609">
        <v>0</v>
      </c>
      <c r="AF553" s="609">
        <v>0</v>
      </c>
      <c r="AG553" s="609">
        <v>0</v>
      </c>
      <c r="AH553" s="609">
        <v>0</v>
      </c>
      <c r="AI553" s="609">
        <v>0</v>
      </c>
      <c r="AJ553" s="609">
        <v>0</v>
      </c>
      <c r="AK553" s="609">
        <v>0</v>
      </c>
      <c r="AL553" s="609">
        <v>0</v>
      </c>
      <c r="AM553" s="609">
        <v>0</v>
      </c>
      <c r="AN553" s="609">
        <v>0</v>
      </c>
      <c r="AO553" s="609">
        <v>0</v>
      </c>
      <c r="AP553" s="609">
        <v>0</v>
      </c>
      <c r="AQ553" s="609">
        <v>0</v>
      </c>
      <c r="AR553" s="609">
        <v>0</v>
      </c>
      <c r="AS553" s="609">
        <v>0</v>
      </c>
      <c r="AT553" s="609">
        <v>0</v>
      </c>
      <c r="AU553" s="609">
        <v>314421</v>
      </c>
      <c r="AV553" s="609">
        <v>4378768</v>
      </c>
      <c r="AW553" s="609">
        <v>4378768</v>
      </c>
      <c r="AX553" s="609">
        <v>4378768</v>
      </c>
      <c r="AY553" s="609">
        <v>4378760</v>
      </c>
      <c r="AZ553" s="615">
        <v>326064200</v>
      </c>
      <c r="BA553" s="615">
        <v>0</v>
      </c>
      <c r="BB553" s="615">
        <v>0</v>
      </c>
      <c r="BC553" s="615">
        <v>0</v>
      </c>
      <c r="BD553" s="615">
        <v>0</v>
      </c>
      <c r="BE553" s="615">
        <v>0</v>
      </c>
      <c r="BF553" s="615">
        <v>0</v>
      </c>
      <c r="BG553" s="615">
        <v>0</v>
      </c>
      <c r="BH553" s="615">
        <v>0</v>
      </c>
      <c r="BI553" s="615">
        <v>0</v>
      </c>
      <c r="BJ553" s="615">
        <v>0</v>
      </c>
      <c r="BK553" s="615">
        <v>0</v>
      </c>
      <c r="BL553" s="615">
        <v>0</v>
      </c>
      <c r="BM553" s="615">
        <v>0</v>
      </c>
      <c r="BN553" s="615">
        <v>0</v>
      </c>
      <c r="BO553" s="615">
        <v>0</v>
      </c>
      <c r="BP553" s="615">
        <v>0</v>
      </c>
      <c r="BQ553" s="615">
        <v>0</v>
      </c>
      <c r="BR553" s="615">
        <v>0</v>
      </c>
      <c r="BS553" s="615">
        <v>0</v>
      </c>
      <c r="BT553" s="615">
        <v>0</v>
      </c>
      <c r="BU553" s="615">
        <v>0</v>
      </c>
      <c r="BV553" s="615">
        <v>0</v>
      </c>
      <c r="BW553" s="615">
        <v>0</v>
      </c>
      <c r="BX553" s="607">
        <f t="shared" si="21"/>
        <v>343893685</v>
      </c>
    </row>
    <row r="554" spans="1:76" x14ac:dyDescent="0.2">
      <c r="A554" s="902"/>
      <c r="B554" s="610" t="s">
        <v>1247</v>
      </c>
      <c r="C554" s="608" t="s">
        <v>3682</v>
      </c>
      <c r="D554" s="609"/>
      <c r="E554" s="609"/>
      <c r="F554" s="609"/>
      <c r="G554" s="609"/>
      <c r="H554" s="609"/>
      <c r="I554" s="609"/>
      <c r="J554" s="609"/>
      <c r="K554" s="609"/>
      <c r="L554" s="609"/>
      <c r="M554" s="609">
        <v>0</v>
      </c>
      <c r="N554" s="609">
        <v>0</v>
      </c>
      <c r="O554" s="609">
        <v>0</v>
      </c>
      <c r="P554" s="609">
        <v>0</v>
      </c>
      <c r="Q554" s="609">
        <v>0</v>
      </c>
      <c r="R554" s="609">
        <v>0</v>
      </c>
      <c r="S554" s="609">
        <v>0</v>
      </c>
      <c r="T554" s="609">
        <v>0</v>
      </c>
      <c r="U554" s="609">
        <v>0</v>
      </c>
      <c r="V554" s="609">
        <v>0</v>
      </c>
      <c r="W554" s="609">
        <v>0</v>
      </c>
      <c r="X554" s="609">
        <v>0</v>
      </c>
      <c r="Y554" s="609">
        <v>0</v>
      </c>
      <c r="Z554" s="609">
        <v>0</v>
      </c>
      <c r="AA554" s="609">
        <v>0</v>
      </c>
      <c r="AB554" s="609">
        <v>0</v>
      </c>
      <c r="AC554" s="609">
        <v>0</v>
      </c>
      <c r="AD554" s="609">
        <v>0</v>
      </c>
      <c r="AE554" s="609">
        <v>0</v>
      </c>
      <c r="AF554" s="609">
        <v>0</v>
      </c>
      <c r="AG554" s="609">
        <v>0</v>
      </c>
      <c r="AH554" s="609">
        <v>0</v>
      </c>
      <c r="AI554" s="609">
        <v>0</v>
      </c>
      <c r="AJ554" s="609">
        <v>0</v>
      </c>
      <c r="AK554" s="609">
        <v>0</v>
      </c>
      <c r="AL554" s="609">
        <v>0</v>
      </c>
      <c r="AM554" s="609">
        <v>0</v>
      </c>
      <c r="AN554" s="609">
        <v>0</v>
      </c>
      <c r="AO554" s="609">
        <v>0</v>
      </c>
      <c r="AP554" s="609">
        <v>0</v>
      </c>
      <c r="AQ554" s="609">
        <v>0</v>
      </c>
      <c r="AR554" s="609">
        <v>0</v>
      </c>
      <c r="AS554" s="609">
        <v>0</v>
      </c>
      <c r="AT554" s="609">
        <v>0</v>
      </c>
      <c r="AU554" s="609">
        <v>0</v>
      </c>
      <c r="AV554" s="609">
        <v>0</v>
      </c>
      <c r="AW554" s="609">
        <v>0</v>
      </c>
      <c r="AX554" s="609">
        <v>246638732</v>
      </c>
      <c r="AY554" s="609">
        <v>0</v>
      </c>
      <c r="AZ554" s="615">
        <v>0</v>
      </c>
      <c r="BA554" s="615">
        <v>0</v>
      </c>
      <c r="BB554" s="615">
        <v>0</v>
      </c>
      <c r="BC554" s="615">
        <v>0</v>
      </c>
      <c r="BD554" s="615">
        <v>0</v>
      </c>
      <c r="BE554" s="615">
        <v>0</v>
      </c>
      <c r="BF554" s="615">
        <v>0</v>
      </c>
      <c r="BG554" s="615">
        <v>0</v>
      </c>
      <c r="BH554" s="615">
        <v>0</v>
      </c>
      <c r="BI554" s="615">
        <v>0</v>
      </c>
      <c r="BJ554" s="615">
        <v>0</v>
      </c>
      <c r="BK554" s="615">
        <v>0</v>
      </c>
      <c r="BL554" s="615">
        <v>0</v>
      </c>
      <c r="BM554" s="615">
        <v>0</v>
      </c>
      <c r="BN554" s="615">
        <v>0</v>
      </c>
      <c r="BO554" s="615">
        <v>0</v>
      </c>
      <c r="BP554" s="615">
        <v>0</v>
      </c>
      <c r="BQ554" s="615">
        <v>0</v>
      </c>
      <c r="BR554" s="615">
        <v>0</v>
      </c>
      <c r="BS554" s="615">
        <v>0</v>
      </c>
      <c r="BT554" s="615">
        <v>0</v>
      </c>
      <c r="BU554" s="615">
        <v>0</v>
      </c>
      <c r="BV554" s="615">
        <v>0</v>
      </c>
      <c r="BW554" s="615">
        <v>0</v>
      </c>
      <c r="BX554" s="607">
        <f t="shared" si="21"/>
        <v>246638732</v>
      </c>
    </row>
    <row r="555" spans="1:76" x14ac:dyDescent="0.2">
      <c r="A555" s="902"/>
      <c r="B555" s="610" t="s">
        <v>1722</v>
      </c>
      <c r="C555" s="608" t="s">
        <v>3683</v>
      </c>
      <c r="D555" s="609"/>
      <c r="E555" s="609"/>
      <c r="F555" s="609"/>
      <c r="G555" s="609"/>
      <c r="H555" s="609"/>
      <c r="I555" s="609"/>
      <c r="J555" s="609"/>
      <c r="K555" s="609"/>
      <c r="L555" s="609"/>
      <c r="M555" s="609"/>
      <c r="N555" s="609">
        <v>0</v>
      </c>
      <c r="O555" s="609">
        <v>0</v>
      </c>
      <c r="P555" s="609">
        <v>0</v>
      </c>
      <c r="Q555" s="609">
        <v>0</v>
      </c>
      <c r="R555" s="609">
        <v>0</v>
      </c>
      <c r="S555" s="609">
        <v>0</v>
      </c>
      <c r="T555" s="609">
        <v>0</v>
      </c>
      <c r="U555" s="609">
        <v>0</v>
      </c>
      <c r="V555" s="609">
        <v>0</v>
      </c>
      <c r="W555" s="609">
        <v>0</v>
      </c>
      <c r="X555" s="609">
        <v>0</v>
      </c>
      <c r="Y555" s="609">
        <v>0</v>
      </c>
      <c r="Z555" s="609">
        <v>0</v>
      </c>
      <c r="AA555" s="609">
        <v>0</v>
      </c>
      <c r="AB555" s="609">
        <v>0</v>
      </c>
      <c r="AC555" s="609">
        <v>0</v>
      </c>
      <c r="AD555" s="609">
        <v>0</v>
      </c>
      <c r="AE555" s="609">
        <v>0</v>
      </c>
      <c r="AF555" s="609">
        <v>0</v>
      </c>
      <c r="AG555" s="609">
        <v>0</v>
      </c>
      <c r="AH555" s="609">
        <v>0</v>
      </c>
      <c r="AI555" s="609">
        <v>0</v>
      </c>
      <c r="AJ555" s="609">
        <v>0</v>
      </c>
      <c r="AK555" s="609">
        <v>0</v>
      </c>
      <c r="AL555" s="609">
        <v>0</v>
      </c>
      <c r="AM555" s="609">
        <v>0</v>
      </c>
      <c r="AN555" s="609">
        <v>0</v>
      </c>
      <c r="AO555" s="609">
        <v>0</v>
      </c>
      <c r="AP555" s="609">
        <v>0</v>
      </c>
      <c r="AQ555" s="609">
        <v>0</v>
      </c>
      <c r="AR555" s="609">
        <v>0</v>
      </c>
      <c r="AS555" s="609">
        <v>0</v>
      </c>
      <c r="AT555" s="609">
        <v>0</v>
      </c>
      <c r="AU555" s="609">
        <v>0</v>
      </c>
      <c r="AV555" s="609">
        <v>0</v>
      </c>
      <c r="AW555" s="609">
        <v>0</v>
      </c>
      <c r="AX555" s="609">
        <v>661445</v>
      </c>
      <c r="AY555" s="609">
        <v>4963281</v>
      </c>
      <c r="AZ555" s="615">
        <v>328334354</v>
      </c>
      <c r="BA555" s="615">
        <v>0</v>
      </c>
      <c r="BB555" s="615">
        <v>0</v>
      </c>
      <c r="BC555" s="615">
        <v>0</v>
      </c>
      <c r="BD555" s="615">
        <v>0</v>
      </c>
      <c r="BE555" s="615">
        <v>0</v>
      </c>
      <c r="BF555" s="615">
        <v>0</v>
      </c>
      <c r="BG555" s="615">
        <v>0</v>
      </c>
      <c r="BH555" s="615">
        <v>0</v>
      </c>
      <c r="BI555" s="615">
        <v>0</v>
      </c>
      <c r="BJ555" s="615">
        <v>0</v>
      </c>
      <c r="BK555" s="615">
        <v>0</v>
      </c>
      <c r="BL555" s="615">
        <v>0</v>
      </c>
      <c r="BM555" s="615">
        <v>0</v>
      </c>
      <c r="BN555" s="615">
        <v>0</v>
      </c>
      <c r="BO555" s="615">
        <v>0</v>
      </c>
      <c r="BP555" s="615">
        <v>0</v>
      </c>
      <c r="BQ555" s="615">
        <v>0</v>
      </c>
      <c r="BR555" s="615">
        <v>0</v>
      </c>
      <c r="BS555" s="615">
        <v>0</v>
      </c>
      <c r="BT555" s="615">
        <v>0</v>
      </c>
      <c r="BU555" s="615">
        <v>0</v>
      </c>
      <c r="BV555" s="615">
        <v>0</v>
      </c>
      <c r="BW555" s="615">
        <v>0</v>
      </c>
      <c r="BX555" s="607">
        <f t="shared" si="21"/>
        <v>333959080</v>
      </c>
    </row>
    <row r="556" spans="1:76" x14ac:dyDescent="0.2">
      <c r="A556" s="902"/>
      <c r="B556" s="610" t="s">
        <v>3685</v>
      </c>
      <c r="C556" s="608" t="s">
        <v>3684</v>
      </c>
      <c r="D556" s="609"/>
      <c r="E556" s="609"/>
      <c r="F556" s="609"/>
      <c r="G556" s="609"/>
      <c r="H556" s="609"/>
      <c r="I556" s="609"/>
      <c r="J556" s="609"/>
      <c r="K556" s="609"/>
      <c r="L556" s="609"/>
      <c r="M556" s="609"/>
      <c r="N556" s="609"/>
      <c r="O556" s="609"/>
      <c r="P556" s="609"/>
      <c r="Q556" s="609">
        <v>0</v>
      </c>
      <c r="R556" s="609">
        <v>0</v>
      </c>
      <c r="S556" s="609">
        <v>0</v>
      </c>
      <c r="T556" s="609">
        <v>0</v>
      </c>
      <c r="U556" s="609">
        <v>0</v>
      </c>
      <c r="V556" s="609">
        <v>0</v>
      </c>
      <c r="W556" s="609">
        <v>0</v>
      </c>
      <c r="X556" s="609">
        <v>0</v>
      </c>
      <c r="Y556" s="609">
        <v>0</v>
      </c>
      <c r="Z556" s="609">
        <v>0</v>
      </c>
      <c r="AA556" s="609">
        <v>0</v>
      </c>
      <c r="AB556" s="609">
        <v>0</v>
      </c>
      <c r="AC556" s="609">
        <v>0</v>
      </c>
      <c r="AD556" s="609">
        <v>0</v>
      </c>
      <c r="AE556" s="609">
        <v>0</v>
      </c>
      <c r="AF556" s="609">
        <v>0</v>
      </c>
      <c r="AG556" s="609">
        <v>0</v>
      </c>
      <c r="AH556" s="609">
        <v>0</v>
      </c>
      <c r="AI556" s="609">
        <v>0</v>
      </c>
      <c r="AJ556" s="609">
        <v>0</v>
      </c>
      <c r="AK556" s="609">
        <v>0</v>
      </c>
      <c r="AL556" s="609">
        <v>0</v>
      </c>
      <c r="AM556" s="609">
        <v>0</v>
      </c>
      <c r="AN556" s="609">
        <v>0</v>
      </c>
      <c r="AO556" s="609">
        <v>0</v>
      </c>
      <c r="AP556" s="609">
        <v>0</v>
      </c>
      <c r="AQ556" s="609">
        <v>0</v>
      </c>
      <c r="AR556" s="609">
        <v>0</v>
      </c>
      <c r="AS556" s="609">
        <v>0</v>
      </c>
      <c r="AT556" s="609">
        <v>0</v>
      </c>
      <c r="AU556" s="609">
        <v>0</v>
      </c>
      <c r="AV556" s="609">
        <v>0</v>
      </c>
      <c r="AW556" s="609">
        <v>3772972</v>
      </c>
      <c r="AX556" s="609">
        <v>5418243</v>
      </c>
      <c r="AY556" s="609">
        <v>5418243</v>
      </c>
      <c r="AZ556" s="615">
        <v>5418243</v>
      </c>
      <c r="BA556" s="615">
        <v>5418243</v>
      </c>
      <c r="BB556" s="615">
        <v>4836490</v>
      </c>
      <c r="BC556" s="615">
        <v>54182435</v>
      </c>
      <c r="BD556" s="615">
        <v>0</v>
      </c>
      <c r="BE556" s="615">
        <v>0</v>
      </c>
      <c r="BF556" s="615">
        <v>0</v>
      </c>
      <c r="BG556" s="615">
        <v>0</v>
      </c>
      <c r="BH556" s="615">
        <v>0</v>
      </c>
      <c r="BI556" s="615">
        <v>0</v>
      </c>
      <c r="BJ556" s="615">
        <v>0</v>
      </c>
      <c r="BK556" s="615">
        <v>0</v>
      </c>
      <c r="BL556" s="615">
        <v>0</v>
      </c>
      <c r="BM556" s="615">
        <v>0</v>
      </c>
      <c r="BN556" s="615">
        <v>0</v>
      </c>
      <c r="BO556" s="615">
        <v>0</v>
      </c>
      <c r="BP556" s="615">
        <v>0</v>
      </c>
      <c r="BQ556" s="615">
        <v>0</v>
      </c>
      <c r="BR556" s="615">
        <v>0</v>
      </c>
      <c r="BS556" s="615">
        <v>0</v>
      </c>
      <c r="BT556" s="615">
        <v>0</v>
      </c>
      <c r="BU556" s="615">
        <v>0</v>
      </c>
      <c r="BV556" s="615">
        <v>433459478</v>
      </c>
      <c r="BW556" s="615">
        <v>0</v>
      </c>
      <c r="BX556" s="607">
        <f t="shared" si="21"/>
        <v>517924347</v>
      </c>
    </row>
    <row r="557" spans="1:76" x14ac:dyDescent="0.2">
      <c r="A557" s="902"/>
      <c r="B557" s="610" t="s">
        <v>1435</v>
      </c>
      <c r="C557" s="608" t="s">
        <v>3686</v>
      </c>
      <c r="D557" s="609"/>
      <c r="E557" s="609"/>
      <c r="F557" s="609"/>
      <c r="G557" s="609"/>
      <c r="H557" s="609"/>
      <c r="I557" s="609"/>
      <c r="J557" s="609"/>
      <c r="K557" s="609"/>
      <c r="L557" s="609"/>
      <c r="M557" s="609"/>
      <c r="N557" s="609"/>
      <c r="O557" s="609"/>
      <c r="P557" s="609"/>
      <c r="Q557" s="609"/>
      <c r="R557" s="609"/>
      <c r="S557" s="609"/>
      <c r="T557" s="609"/>
      <c r="U557" s="609"/>
      <c r="V557" s="609">
        <v>0</v>
      </c>
      <c r="W557" s="609">
        <v>0</v>
      </c>
      <c r="X557" s="609">
        <v>0</v>
      </c>
      <c r="Y557" s="609">
        <v>0</v>
      </c>
      <c r="Z557" s="609">
        <v>0</v>
      </c>
      <c r="AA557" s="609">
        <v>0</v>
      </c>
      <c r="AB557" s="609">
        <v>0</v>
      </c>
      <c r="AC557" s="609">
        <v>0</v>
      </c>
      <c r="AD557" s="609">
        <v>0</v>
      </c>
      <c r="AE557" s="609">
        <v>0</v>
      </c>
      <c r="AF557" s="609">
        <v>0</v>
      </c>
      <c r="AG557" s="609">
        <v>0</v>
      </c>
      <c r="AH557" s="609">
        <v>0</v>
      </c>
      <c r="AI557" s="609">
        <v>0</v>
      </c>
      <c r="AJ557" s="609">
        <v>0</v>
      </c>
      <c r="AK557" s="609">
        <v>0</v>
      </c>
      <c r="AL557" s="609">
        <v>0</v>
      </c>
      <c r="AM557" s="609">
        <v>0</v>
      </c>
      <c r="AN557" s="609">
        <v>0</v>
      </c>
      <c r="AO557" s="609">
        <v>0</v>
      </c>
      <c r="AP557" s="609">
        <v>0</v>
      </c>
      <c r="AQ557" s="609">
        <v>0</v>
      </c>
      <c r="AR557" s="609">
        <v>0</v>
      </c>
      <c r="AS557" s="609">
        <v>0</v>
      </c>
      <c r="AT557" s="609">
        <v>0</v>
      </c>
      <c r="AU557" s="609">
        <v>4141993</v>
      </c>
      <c r="AV557" s="609">
        <v>4200000</v>
      </c>
      <c r="AW557" s="609">
        <v>4200000</v>
      </c>
      <c r="AX557" s="609">
        <v>6295055</v>
      </c>
      <c r="AY557" s="609">
        <v>322841400</v>
      </c>
      <c r="AZ557" s="615">
        <v>0</v>
      </c>
      <c r="BA557" s="615">
        <v>0</v>
      </c>
      <c r="BB557" s="615">
        <v>0</v>
      </c>
      <c r="BC557" s="615">
        <v>0</v>
      </c>
      <c r="BD557" s="615">
        <v>0</v>
      </c>
      <c r="BE557" s="615">
        <v>0</v>
      </c>
      <c r="BF557" s="615">
        <v>0</v>
      </c>
      <c r="BG557" s="615">
        <v>0</v>
      </c>
      <c r="BH557" s="615">
        <v>0</v>
      </c>
      <c r="BI557" s="615">
        <v>0</v>
      </c>
      <c r="BJ557" s="615">
        <v>0</v>
      </c>
      <c r="BK557" s="615">
        <v>0</v>
      </c>
      <c r="BL557" s="615">
        <v>0</v>
      </c>
      <c r="BM557" s="615">
        <v>0</v>
      </c>
      <c r="BN557" s="615">
        <v>0</v>
      </c>
      <c r="BO557" s="615">
        <v>0</v>
      </c>
      <c r="BP557" s="615">
        <v>0</v>
      </c>
      <c r="BQ557" s="615">
        <v>0</v>
      </c>
      <c r="BR557" s="615">
        <v>0</v>
      </c>
      <c r="BS557" s="615">
        <v>0</v>
      </c>
      <c r="BT557" s="615">
        <v>0</v>
      </c>
      <c r="BU557" s="615">
        <v>0</v>
      </c>
      <c r="BV557" s="615">
        <v>0</v>
      </c>
      <c r="BW557" s="615">
        <v>0</v>
      </c>
      <c r="BX557" s="607">
        <f t="shared" si="21"/>
        <v>341678448</v>
      </c>
    </row>
    <row r="558" spans="1:76" x14ac:dyDescent="0.2">
      <c r="A558" s="902"/>
      <c r="B558" s="610" t="s">
        <v>1532</v>
      </c>
      <c r="C558" s="608" t="s">
        <v>3687</v>
      </c>
      <c r="D558" s="609"/>
      <c r="E558" s="609"/>
      <c r="F558" s="609"/>
      <c r="G558" s="609"/>
      <c r="H558" s="609"/>
      <c r="I558" s="609"/>
      <c r="J558" s="609"/>
      <c r="K558" s="609"/>
      <c r="L558" s="609"/>
      <c r="M558" s="609"/>
      <c r="N558" s="609"/>
      <c r="O558" s="609"/>
      <c r="P558" s="609"/>
      <c r="Q558" s="609"/>
      <c r="R558" s="609"/>
      <c r="S558" s="609"/>
      <c r="T558" s="609"/>
      <c r="U558" s="609"/>
      <c r="V558" s="609">
        <v>0</v>
      </c>
      <c r="W558" s="609">
        <v>0</v>
      </c>
      <c r="X558" s="609">
        <v>0</v>
      </c>
      <c r="Y558" s="609">
        <v>0</v>
      </c>
      <c r="Z558" s="609">
        <v>0</v>
      </c>
      <c r="AA558" s="609">
        <v>0</v>
      </c>
      <c r="AB558" s="609">
        <v>0</v>
      </c>
      <c r="AC558" s="609">
        <v>0</v>
      </c>
      <c r="AD558" s="609">
        <v>0</v>
      </c>
      <c r="AE558" s="609">
        <v>0</v>
      </c>
      <c r="AF558" s="609">
        <v>0</v>
      </c>
      <c r="AG558" s="609">
        <v>0</v>
      </c>
      <c r="AH558" s="609">
        <v>0</v>
      </c>
      <c r="AI558" s="609">
        <v>0</v>
      </c>
      <c r="AJ558" s="609">
        <v>0</v>
      </c>
      <c r="AK558" s="609">
        <v>0</v>
      </c>
      <c r="AL558" s="609">
        <v>0</v>
      </c>
      <c r="AM558" s="609">
        <v>0</v>
      </c>
      <c r="AN558" s="609">
        <v>0</v>
      </c>
      <c r="AO558" s="609">
        <v>0</v>
      </c>
      <c r="AP558" s="609">
        <v>0</v>
      </c>
      <c r="AQ558" s="609">
        <v>0</v>
      </c>
      <c r="AR558" s="609">
        <v>0</v>
      </c>
      <c r="AS558" s="609">
        <v>0</v>
      </c>
      <c r="AT558" s="609">
        <v>0</v>
      </c>
      <c r="AU558" s="609">
        <v>6949512</v>
      </c>
      <c r="AV558" s="609">
        <v>7000000</v>
      </c>
      <c r="AW558" s="609">
        <v>7000000</v>
      </c>
      <c r="AX558" s="609">
        <v>12877905</v>
      </c>
      <c r="AY558" s="609">
        <v>275166591</v>
      </c>
      <c r="AZ558" s="615">
        <v>0</v>
      </c>
      <c r="BA558" s="615">
        <v>0</v>
      </c>
      <c r="BB558" s="615">
        <v>0</v>
      </c>
      <c r="BC558" s="615">
        <v>0</v>
      </c>
      <c r="BD558" s="615">
        <v>0</v>
      </c>
      <c r="BE558" s="615">
        <v>0</v>
      </c>
      <c r="BF558" s="615">
        <v>0</v>
      </c>
      <c r="BG558" s="615">
        <v>0</v>
      </c>
      <c r="BH558" s="615">
        <v>0</v>
      </c>
      <c r="BI558" s="615">
        <v>0</v>
      </c>
      <c r="BJ558" s="615">
        <v>0</v>
      </c>
      <c r="BK558" s="615">
        <v>0</v>
      </c>
      <c r="BL558" s="615">
        <v>0</v>
      </c>
      <c r="BM558" s="615">
        <v>0</v>
      </c>
      <c r="BN558" s="615">
        <v>0</v>
      </c>
      <c r="BO558" s="615">
        <v>0</v>
      </c>
      <c r="BP558" s="615">
        <v>0</v>
      </c>
      <c r="BQ558" s="615">
        <v>0</v>
      </c>
      <c r="BR558" s="615">
        <v>0</v>
      </c>
      <c r="BS558" s="615">
        <v>0</v>
      </c>
      <c r="BT558" s="615">
        <v>0</v>
      </c>
      <c r="BU558" s="615">
        <v>0</v>
      </c>
      <c r="BV558" s="615">
        <v>0</v>
      </c>
      <c r="BW558" s="615">
        <v>0</v>
      </c>
      <c r="BX558" s="607">
        <f t="shared" si="21"/>
        <v>308994008</v>
      </c>
    </row>
    <row r="559" spans="1:76" x14ac:dyDescent="0.2">
      <c r="A559" s="902"/>
      <c r="B559" s="610" t="s">
        <v>3013</v>
      </c>
      <c r="C559" s="608" t="s">
        <v>3688</v>
      </c>
      <c r="D559" s="609"/>
      <c r="E559" s="609"/>
      <c r="F559" s="609"/>
      <c r="G559" s="609"/>
      <c r="H559" s="609"/>
      <c r="I559" s="609"/>
      <c r="J559" s="609"/>
      <c r="K559" s="609"/>
      <c r="L559" s="609"/>
      <c r="M559" s="609"/>
      <c r="N559" s="609"/>
      <c r="O559" s="609"/>
      <c r="P559" s="609"/>
      <c r="Q559" s="609"/>
      <c r="R559" s="609"/>
      <c r="S559" s="609"/>
      <c r="T559" s="609"/>
      <c r="U559" s="609"/>
      <c r="V559" s="609">
        <v>0</v>
      </c>
      <c r="W559" s="609">
        <v>0</v>
      </c>
      <c r="X559" s="609">
        <v>0</v>
      </c>
      <c r="Y559" s="609">
        <v>0</v>
      </c>
      <c r="Z559" s="609">
        <v>0</v>
      </c>
      <c r="AA559" s="609">
        <v>0</v>
      </c>
      <c r="AB559" s="609">
        <v>0</v>
      </c>
      <c r="AC559" s="609">
        <v>0</v>
      </c>
      <c r="AD559" s="609">
        <v>0</v>
      </c>
      <c r="AE559" s="609">
        <v>0</v>
      </c>
      <c r="AF559" s="609">
        <v>0</v>
      </c>
      <c r="AG559" s="609">
        <v>0</v>
      </c>
      <c r="AH559" s="609">
        <v>0</v>
      </c>
      <c r="AI559" s="609">
        <v>0</v>
      </c>
      <c r="AJ559" s="609">
        <v>0</v>
      </c>
      <c r="AK559" s="609">
        <v>0</v>
      </c>
      <c r="AL559" s="609">
        <v>0</v>
      </c>
      <c r="AM559" s="609">
        <v>0</v>
      </c>
      <c r="AN559" s="609">
        <v>0</v>
      </c>
      <c r="AO559" s="609">
        <v>0</v>
      </c>
      <c r="AP559" s="609">
        <v>0</v>
      </c>
      <c r="AQ559" s="609">
        <v>0</v>
      </c>
      <c r="AR559" s="609">
        <v>0</v>
      </c>
      <c r="AS559" s="609">
        <v>0</v>
      </c>
      <c r="AT559" s="609">
        <v>0</v>
      </c>
      <c r="AU559" s="609">
        <v>0</v>
      </c>
      <c r="AV559" s="609">
        <v>0</v>
      </c>
      <c r="AW559" s="609">
        <v>1500000</v>
      </c>
      <c r="AX559" s="609">
        <v>4000000</v>
      </c>
      <c r="AY559" s="609">
        <v>4000000</v>
      </c>
      <c r="AZ559" s="615">
        <v>246874479</v>
      </c>
      <c r="BA559" s="615">
        <v>0</v>
      </c>
      <c r="BB559" s="615">
        <v>0</v>
      </c>
      <c r="BC559" s="615">
        <v>0</v>
      </c>
      <c r="BD559" s="615">
        <v>0</v>
      </c>
      <c r="BE559" s="615">
        <v>0</v>
      </c>
      <c r="BF559" s="615">
        <v>0</v>
      </c>
      <c r="BG559" s="615">
        <v>0</v>
      </c>
      <c r="BH559" s="615">
        <v>0</v>
      </c>
      <c r="BI559" s="615">
        <v>0</v>
      </c>
      <c r="BJ559" s="615">
        <v>0</v>
      </c>
      <c r="BK559" s="615">
        <v>0</v>
      </c>
      <c r="BL559" s="615">
        <v>0</v>
      </c>
      <c r="BM559" s="615">
        <v>0</v>
      </c>
      <c r="BN559" s="615">
        <v>0</v>
      </c>
      <c r="BO559" s="615">
        <v>0</v>
      </c>
      <c r="BP559" s="615">
        <v>0</v>
      </c>
      <c r="BQ559" s="615">
        <v>0</v>
      </c>
      <c r="BR559" s="615">
        <v>0</v>
      </c>
      <c r="BS559" s="615">
        <v>0</v>
      </c>
      <c r="BT559" s="615">
        <v>0</v>
      </c>
      <c r="BU559" s="615">
        <v>0</v>
      </c>
      <c r="BV559" s="615">
        <v>0</v>
      </c>
      <c r="BW559" s="615">
        <v>0</v>
      </c>
      <c r="BX559" s="607">
        <f t="shared" si="21"/>
        <v>256374479</v>
      </c>
    </row>
    <row r="560" spans="1:76" x14ac:dyDescent="0.2">
      <c r="A560" s="902"/>
      <c r="B560" s="610" t="s">
        <v>1553</v>
      </c>
      <c r="C560" s="608" t="s">
        <v>3689</v>
      </c>
      <c r="D560" s="609"/>
      <c r="E560" s="609"/>
      <c r="F560" s="609"/>
      <c r="G560" s="609"/>
      <c r="H560" s="609"/>
      <c r="I560" s="609"/>
      <c r="J560" s="609"/>
      <c r="K560" s="609"/>
      <c r="L560" s="609"/>
      <c r="M560" s="609"/>
      <c r="N560" s="609"/>
      <c r="O560" s="609"/>
      <c r="P560" s="609"/>
      <c r="Q560" s="609"/>
      <c r="R560" s="609"/>
      <c r="S560" s="609"/>
      <c r="T560" s="609"/>
      <c r="U560" s="609"/>
      <c r="V560" s="609">
        <v>0</v>
      </c>
      <c r="W560" s="609">
        <v>0</v>
      </c>
      <c r="X560" s="609">
        <v>0</v>
      </c>
      <c r="Y560" s="609">
        <v>0</v>
      </c>
      <c r="Z560" s="609">
        <v>0</v>
      </c>
      <c r="AA560" s="609">
        <v>0</v>
      </c>
      <c r="AB560" s="609">
        <v>0</v>
      </c>
      <c r="AC560" s="609">
        <v>0</v>
      </c>
      <c r="AD560" s="609">
        <v>0</v>
      </c>
      <c r="AE560" s="609">
        <v>0</v>
      </c>
      <c r="AF560" s="609">
        <v>0</v>
      </c>
      <c r="AG560" s="609">
        <v>0</v>
      </c>
      <c r="AH560" s="609">
        <v>0</v>
      </c>
      <c r="AI560" s="609">
        <v>0</v>
      </c>
      <c r="AJ560" s="609">
        <v>0</v>
      </c>
      <c r="AK560" s="609">
        <v>0</v>
      </c>
      <c r="AL560" s="609">
        <v>0</v>
      </c>
      <c r="AM560" s="609">
        <v>0</v>
      </c>
      <c r="AN560" s="609">
        <v>0</v>
      </c>
      <c r="AO560" s="609">
        <v>0</v>
      </c>
      <c r="AP560" s="609">
        <v>0</v>
      </c>
      <c r="AQ560" s="609">
        <v>0</v>
      </c>
      <c r="AR560" s="609">
        <v>0</v>
      </c>
      <c r="AS560" s="609">
        <v>0</v>
      </c>
      <c r="AT560" s="609">
        <v>0</v>
      </c>
      <c r="AU560" s="609">
        <v>0</v>
      </c>
      <c r="AV560" s="609">
        <v>0</v>
      </c>
      <c r="AW560" s="609">
        <v>3737935</v>
      </c>
      <c r="AX560" s="609">
        <v>3737935</v>
      </c>
      <c r="AY560" s="609">
        <v>3737935</v>
      </c>
      <c r="AZ560" s="615">
        <v>325036411</v>
      </c>
      <c r="BA560" s="615">
        <v>0</v>
      </c>
      <c r="BB560" s="615">
        <v>0</v>
      </c>
      <c r="BC560" s="615">
        <v>0</v>
      </c>
      <c r="BD560" s="615">
        <v>0</v>
      </c>
      <c r="BE560" s="615">
        <v>0</v>
      </c>
      <c r="BF560" s="615">
        <v>0</v>
      </c>
      <c r="BG560" s="615">
        <v>0</v>
      </c>
      <c r="BH560" s="615">
        <v>0</v>
      </c>
      <c r="BI560" s="615">
        <v>0</v>
      </c>
      <c r="BJ560" s="615">
        <v>0</v>
      </c>
      <c r="BK560" s="615">
        <v>0</v>
      </c>
      <c r="BL560" s="615">
        <v>0</v>
      </c>
      <c r="BM560" s="615">
        <v>0</v>
      </c>
      <c r="BN560" s="615">
        <v>0</v>
      </c>
      <c r="BO560" s="615">
        <v>0</v>
      </c>
      <c r="BP560" s="615">
        <v>0</v>
      </c>
      <c r="BQ560" s="615">
        <v>0</v>
      </c>
      <c r="BR560" s="615">
        <v>0</v>
      </c>
      <c r="BS560" s="615">
        <v>0</v>
      </c>
      <c r="BT560" s="615">
        <v>0</v>
      </c>
      <c r="BU560" s="615">
        <v>0</v>
      </c>
      <c r="BV560" s="615">
        <v>0</v>
      </c>
      <c r="BW560" s="615">
        <v>0</v>
      </c>
      <c r="BX560" s="607">
        <f t="shared" si="21"/>
        <v>336250216</v>
      </c>
    </row>
    <row r="561" spans="1:76" x14ac:dyDescent="0.2">
      <c r="A561" s="902"/>
      <c r="B561" s="610" t="s">
        <v>1347</v>
      </c>
      <c r="C561" s="608" t="s">
        <v>3690</v>
      </c>
      <c r="D561" s="609"/>
      <c r="E561" s="609"/>
      <c r="F561" s="609"/>
      <c r="G561" s="609"/>
      <c r="H561" s="609"/>
      <c r="I561" s="609"/>
      <c r="J561" s="609"/>
      <c r="K561" s="609"/>
      <c r="L561" s="609"/>
      <c r="M561" s="609"/>
      <c r="N561" s="609"/>
      <c r="O561" s="609"/>
      <c r="P561" s="609"/>
      <c r="Q561" s="609"/>
      <c r="R561" s="609"/>
      <c r="S561" s="609"/>
      <c r="T561" s="609"/>
      <c r="U561" s="609"/>
      <c r="V561" s="609">
        <v>0</v>
      </c>
      <c r="W561" s="609">
        <v>0</v>
      </c>
      <c r="X561" s="609">
        <v>0</v>
      </c>
      <c r="Y561" s="609">
        <v>0</v>
      </c>
      <c r="Z561" s="609">
        <v>0</v>
      </c>
      <c r="AA561" s="609">
        <v>0</v>
      </c>
      <c r="AB561" s="609">
        <v>0</v>
      </c>
      <c r="AC561" s="609">
        <v>0</v>
      </c>
      <c r="AD561" s="609">
        <v>0</v>
      </c>
      <c r="AE561" s="609">
        <v>0</v>
      </c>
      <c r="AF561" s="609">
        <v>0</v>
      </c>
      <c r="AG561" s="609">
        <v>0</v>
      </c>
      <c r="AH561" s="609">
        <v>0</v>
      </c>
      <c r="AI561" s="609">
        <v>0</v>
      </c>
      <c r="AJ561" s="609">
        <v>0</v>
      </c>
      <c r="AK561" s="609">
        <v>0</v>
      </c>
      <c r="AL561" s="609">
        <v>0</v>
      </c>
      <c r="AM561" s="609">
        <v>0</v>
      </c>
      <c r="AN561" s="609">
        <v>0</v>
      </c>
      <c r="AO561" s="609">
        <v>0</v>
      </c>
      <c r="AP561" s="609">
        <v>0</v>
      </c>
      <c r="AQ561" s="609">
        <v>0</v>
      </c>
      <c r="AR561" s="609">
        <v>0</v>
      </c>
      <c r="AS561" s="609">
        <v>0</v>
      </c>
      <c r="AT561" s="609">
        <v>0</v>
      </c>
      <c r="AU561" s="609">
        <v>0</v>
      </c>
      <c r="AV561" s="609">
        <v>0</v>
      </c>
      <c r="AW561" s="609">
        <v>0</v>
      </c>
      <c r="AX561" s="609">
        <v>6711851</v>
      </c>
      <c r="AY561" s="609">
        <v>273117391</v>
      </c>
      <c r="AZ561" s="615">
        <v>0</v>
      </c>
      <c r="BA561" s="615">
        <v>0</v>
      </c>
      <c r="BB561" s="615">
        <v>0</v>
      </c>
      <c r="BC561" s="615">
        <v>0</v>
      </c>
      <c r="BD561" s="615">
        <v>0</v>
      </c>
      <c r="BE561" s="615">
        <v>0</v>
      </c>
      <c r="BF561" s="615">
        <v>0</v>
      </c>
      <c r="BG561" s="615">
        <v>0</v>
      </c>
      <c r="BH561" s="615">
        <v>0</v>
      </c>
      <c r="BI561" s="615">
        <v>0</v>
      </c>
      <c r="BJ561" s="615">
        <v>0</v>
      </c>
      <c r="BK561" s="615">
        <v>0</v>
      </c>
      <c r="BL561" s="615">
        <v>0</v>
      </c>
      <c r="BM561" s="615">
        <v>0</v>
      </c>
      <c r="BN561" s="615">
        <v>0</v>
      </c>
      <c r="BO561" s="615">
        <v>0</v>
      </c>
      <c r="BP561" s="615">
        <v>0</v>
      </c>
      <c r="BQ561" s="615">
        <v>0</v>
      </c>
      <c r="BR561" s="615">
        <v>0</v>
      </c>
      <c r="BS561" s="615">
        <v>0</v>
      </c>
      <c r="BT561" s="615">
        <v>0</v>
      </c>
      <c r="BU561" s="615">
        <v>0</v>
      </c>
      <c r="BV561" s="615">
        <v>0</v>
      </c>
      <c r="BW561" s="615">
        <v>0</v>
      </c>
      <c r="BX561" s="607">
        <f t="shared" si="21"/>
        <v>279829242</v>
      </c>
    </row>
    <row r="562" spans="1:76" x14ac:dyDescent="0.2">
      <c r="A562" s="902"/>
      <c r="B562" s="610" t="s">
        <v>2581</v>
      </c>
      <c r="C562" s="608" t="s">
        <v>3691</v>
      </c>
      <c r="D562" s="609"/>
      <c r="E562" s="609"/>
      <c r="F562" s="609"/>
      <c r="G562" s="609"/>
      <c r="H562" s="609"/>
      <c r="I562" s="609"/>
      <c r="J562" s="609"/>
      <c r="K562" s="609"/>
      <c r="L562" s="609"/>
      <c r="M562" s="609"/>
      <c r="N562" s="609"/>
      <c r="O562" s="609"/>
      <c r="P562" s="609"/>
      <c r="Q562" s="609"/>
      <c r="R562" s="609"/>
      <c r="S562" s="609"/>
      <c r="T562" s="609"/>
      <c r="U562" s="609"/>
      <c r="V562" s="609">
        <v>0</v>
      </c>
      <c r="W562" s="609">
        <v>0</v>
      </c>
      <c r="X562" s="609">
        <v>0</v>
      </c>
      <c r="Y562" s="609">
        <v>0</v>
      </c>
      <c r="Z562" s="609">
        <v>0</v>
      </c>
      <c r="AA562" s="609">
        <v>0</v>
      </c>
      <c r="AB562" s="609">
        <v>0</v>
      </c>
      <c r="AC562" s="609">
        <v>0</v>
      </c>
      <c r="AD562" s="609">
        <v>0</v>
      </c>
      <c r="AE562" s="609">
        <v>0</v>
      </c>
      <c r="AF562" s="609">
        <v>0</v>
      </c>
      <c r="AG562" s="609">
        <v>0</v>
      </c>
      <c r="AH562" s="609">
        <v>0</v>
      </c>
      <c r="AI562" s="609">
        <v>0</v>
      </c>
      <c r="AJ562" s="609">
        <v>0</v>
      </c>
      <c r="AK562" s="609">
        <v>0</v>
      </c>
      <c r="AL562" s="609">
        <v>0</v>
      </c>
      <c r="AM562" s="609">
        <v>0</v>
      </c>
      <c r="AN562" s="609">
        <v>0</v>
      </c>
      <c r="AO562" s="609">
        <v>0</v>
      </c>
      <c r="AP562" s="609">
        <v>0</v>
      </c>
      <c r="AQ562" s="609">
        <v>0</v>
      </c>
      <c r="AR562" s="609">
        <v>0</v>
      </c>
      <c r="AS562" s="609">
        <v>0</v>
      </c>
      <c r="AT562" s="609">
        <v>0</v>
      </c>
      <c r="AU562" s="609">
        <v>6456759</v>
      </c>
      <c r="AV562" s="609">
        <v>6466069</v>
      </c>
      <c r="AW562" s="609">
        <v>6466069</v>
      </c>
      <c r="AX562" s="609">
        <v>6466073</v>
      </c>
      <c r="AY562" s="609">
        <v>378099880</v>
      </c>
      <c r="AZ562" s="615">
        <v>0</v>
      </c>
      <c r="BA562" s="615">
        <v>0</v>
      </c>
      <c r="BB562" s="615">
        <v>0</v>
      </c>
      <c r="BC562" s="615">
        <v>0</v>
      </c>
      <c r="BD562" s="615">
        <v>0</v>
      </c>
      <c r="BE562" s="615">
        <v>0</v>
      </c>
      <c r="BF562" s="615">
        <v>0</v>
      </c>
      <c r="BG562" s="615">
        <v>0</v>
      </c>
      <c r="BH562" s="615">
        <v>0</v>
      </c>
      <c r="BI562" s="615">
        <v>0</v>
      </c>
      <c r="BJ562" s="615">
        <v>0</v>
      </c>
      <c r="BK562" s="615">
        <v>0</v>
      </c>
      <c r="BL562" s="615">
        <v>0</v>
      </c>
      <c r="BM562" s="615">
        <v>0</v>
      </c>
      <c r="BN562" s="615">
        <v>0</v>
      </c>
      <c r="BO562" s="615">
        <v>0</v>
      </c>
      <c r="BP562" s="615">
        <v>0</v>
      </c>
      <c r="BQ562" s="615">
        <v>0</v>
      </c>
      <c r="BR562" s="615">
        <v>0</v>
      </c>
      <c r="BS562" s="615">
        <v>0</v>
      </c>
      <c r="BT562" s="615">
        <v>0</v>
      </c>
      <c r="BU562" s="615">
        <v>0</v>
      </c>
      <c r="BV562" s="615">
        <v>0</v>
      </c>
      <c r="BW562" s="615">
        <v>0</v>
      </c>
      <c r="BX562" s="607">
        <f t="shared" si="21"/>
        <v>403954850</v>
      </c>
    </row>
    <row r="563" spans="1:76" x14ac:dyDescent="0.2">
      <c r="A563" s="902"/>
      <c r="B563" s="610" t="s">
        <v>3282</v>
      </c>
      <c r="C563" s="608" t="s">
        <v>3692</v>
      </c>
      <c r="D563" s="609"/>
      <c r="E563" s="609"/>
      <c r="F563" s="609"/>
      <c r="G563" s="609"/>
      <c r="H563" s="609"/>
      <c r="I563" s="609"/>
      <c r="J563" s="609"/>
      <c r="K563" s="609"/>
      <c r="L563" s="609"/>
      <c r="M563" s="609"/>
      <c r="N563" s="609"/>
      <c r="O563" s="609"/>
      <c r="P563" s="609"/>
      <c r="Q563" s="609"/>
      <c r="R563" s="609"/>
      <c r="S563" s="609"/>
      <c r="T563" s="609"/>
      <c r="U563" s="609"/>
      <c r="V563" s="609">
        <v>0</v>
      </c>
      <c r="W563" s="609">
        <v>0</v>
      </c>
      <c r="X563" s="609">
        <v>0</v>
      </c>
      <c r="Y563" s="609">
        <v>0</v>
      </c>
      <c r="Z563" s="609">
        <v>0</v>
      </c>
      <c r="AA563" s="609">
        <v>0</v>
      </c>
      <c r="AB563" s="609">
        <v>0</v>
      </c>
      <c r="AC563" s="609">
        <v>0</v>
      </c>
      <c r="AD563" s="609">
        <v>0</v>
      </c>
      <c r="AE563" s="609">
        <v>0</v>
      </c>
      <c r="AF563" s="609">
        <v>0</v>
      </c>
      <c r="AG563" s="609">
        <v>0</v>
      </c>
      <c r="AH563" s="609">
        <v>0</v>
      </c>
      <c r="AI563" s="609">
        <v>0</v>
      </c>
      <c r="AJ563" s="609">
        <v>0</v>
      </c>
      <c r="AK563" s="609">
        <v>0</v>
      </c>
      <c r="AL563" s="609">
        <v>0</v>
      </c>
      <c r="AM563" s="609">
        <v>0</v>
      </c>
      <c r="AN563" s="609">
        <v>0</v>
      </c>
      <c r="AO563" s="609">
        <v>0</v>
      </c>
      <c r="AP563" s="609">
        <v>0</v>
      </c>
      <c r="AQ563" s="609">
        <v>0</v>
      </c>
      <c r="AR563" s="609">
        <v>0</v>
      </c>
      <c r="AS563" s="609">
        <v>0</v>
      </c>
      <c r="AT563" s="609">
        <v>0</v>
      </c>
      <c r="AU563" s="609">
        <v>0</v>
      </c>
      <c r="AV563" s="609">
        <v>0</v>
      </c>
      <c r="AW563" s="609">
        <v>0</v>
      </c>
      <c r="AX563" s="609">
        <v>0</v>
      </c>
      <c r="AY563" s="609">
        <v>376323044</v>
      </c>
      <c r="AZ563" s="615">
        <v>0</v>
      </c>
      <c r="BA563" s="615">
        <v>0</v>
      </c>
      <c r="BB563" s="615">
        <v>0</v>
      </c>
      <c r="BC563" s="615">
        <v>0</v>
      </c>
      <c r="BD563" s="615">
        <v>0</v>
      </c>
      <c r="BE563" s="615">
        <v>0</v>
      </c>
      <c r="BF563" s="615">
        <v>0</v>
      </c>
      <c r="BG563" s="615">
        <v>0</v>
      </c>
      <c r="BH563" s="615">
        <v>0</v>
      </c>
      <c r="BI563" s="615">
        <v>0</v>
      </c>
      <c r="BJ563" s="615">
        <v>0</v>
      </c>
      <c r="BK563" s="615">
        <v>0</v>
      </c>
      <c r="BL563" s="615">
        <v>0</v>
      </c>
      <c r="BM563" s="615">
        <v>0</v>
      </c>
      <c r="BN563" s="615">
        <v>0</v>
      </c>
      <c r="BO563" s="615">
        <v>0</v>
      </c>
      <c r="BP563" s="615">
        <v>0</v>
      </c>
      <c r="BQ563" s="615">
        <v>0</v>
      </c>
      <c r="BR563" s="615">
        <v>0</v>
      </c>
      <c r="BS563" s="615">
        <v>0</v>
      </c>
      <c r="BT563" s="615">
        <v>0</v>
      </c>
      <c r="BU563" s="615">
        <v>0</v>
      </c>
      <c r="BV563" s="615">
        <v>0</v>
      </c>
      <c r="BW563" s="615">
        <v>0</v>
      </c>
      <c r="BX563" s="607">
        <f t="shared" si="21"/>
        <v>376323044</v>
      </c>
    </row>
    <row r="564" spans="1:76" x14ac:dyDescent="0.2">
      <c r="A564" s="902"/>
      <c r="B564" s="610" t="s">
        <v>2293</v>
      </c>
      <c r="C564" s="608" t="s">
        <v>3693</v>
      </c>
      <c r="D564" s="609"/>
      <c r="E564" s="609"/>
      <c r="F564" s="609"/>
      <c r="G564" s="609"/>
      <c r="H564" s="609"/>
      <c r="I564" s="609"/>
      <c r="J564" s="609"/>
      <c r="K564" s="609"/>
      <c r="L564" s="609"/>
      <c r="M564" s="609"/>
      <c r="N564" s="609"/>
      <c r="O564" s="609"/>
      <c r="P564" s="609"/>
      <c r="Q564" s="609"/>
      <c r="R564" s="609"/>
      <c r="S564" s="609"/>
      <c r="T564" s="609"/>
      <c r="U564" s="609"/>
      <c r="V564" s="609">
        <v>0</v>
      </c>
      <c r="W564" s="609">
        <v>0</v>
      </c>
      <c r="X564" s="609">
        <v>0</v>
      </c>
      <c r="Y564" s="609">
        <v>0</v>
      </c>
      <c r="Z564" s="609">
        <v>0</v>
      </c>
      <c r="AA564" s="609">
        <v>0</v>
      </c>
      <c r="AB564" s="609">
        <v>0</v>
      </c>
      <c r="AC564" s="609">
        <v>0</v>
      </c>
      <c r="AD564" s="609">
        <v>0</v>
      </c>
      <c r="AE564" s="609">
        <v>0</v>
      </c>
      <c r="AF564" s="609">
        <v>0</v>
      </c>
      <c r="AG564" s="609">
        <v>0</v>
      </c>
      <c r="AH564" s="609">
        <v>0</v>
      </c>
      <c r="AI564" s="609">
        <v>0</v>
      </c>
      <c r="AJ564" s="609">
        <v>0</v>
      </c>
      <c r="AK564" s="609">
        <v>0</v>
      </c>
      <c r="AL564" s="609">
        <v>0</v>
      </c>
      <c r="AM564" s="609">
        <v>0</v>
      </c>
      <c r="AN564" s="609">
        <v>0</v>
      </c>
      <c r="AO564" s="609">
        <v>0</v>
      </c>
      <c r="AP564" s="609">
        <v>0</v>
      </c>
      <c r="AQ564" s="609">
        <v>0</v>
      </c>
      <c r="AR564" s="609">
        <v>0</v>
      </c>
      <c r="AS564" s="609">
        <v>0</v>
      </c>
      <c r="AT564" s="609">
        <v>0</v>
      </c>
      <c r="AU564" s="609">
        <v>8838704</v>
      </c>
      <c r="AV564" s="609">
        <v>8838704</v>
      </c>
      <c r="AW564" s="609">
        <v>8838704</v>
      </c>
      <c r="AX564" s="609">
        <v>8838704</v>
      </c>
      <c r="AY564" s="609">
        <v>8838706</v>
      </c>
      <c r="AZ564" s="615">
        <v>385346216</v>
      </c>
      <c r="BA564" s="615">
        <v>0</v>
      </c>
      <c r="BB564" s="615">
        <v>0</v>
      </c>
      <c r="BC564" s="615">
        <v>0</v>
      </c>
      <c r="BD564" s="615">
        <v>0</v>
      </c>
      <c r="BE564" s="615">
        <v>0</v>
      </c>
      <c r="BF564" s="615">
        <v>0</v>
      </c>
      <c r="BG564" s="615">
        <v>0</v>
      </c>
      <c r="BH564" s="615">
        <v>0</v>
      </c>
      <c r="BI564" s="615">
        <v>0</v>
      </c>
      <c r="BJ564" s="615">
        <v>0</v>
      </c>
      <c r="BK564" s="615">
        <v>0</v>
      </c>
      <c r="BL564" s="615">
        <v>0</v>
      </c>
      <c r="BM564" s="615">
        <v>0</v>
      </c>
      <c r="BN564" s="615">
        <v>0</v>
      </c>
      <c r="BO564" s="615">
        <v>0</v>
      </c>
      <c r="BP564" s="615">
        <v>0</v>
      </c>
      <c r="BQ564" s="615">
        <v>0</v>
      </c>
      <c r="BR564" s="615">
        <v>0</v>
      </c>
      <c r="BS564" s="615">
        <v>0</v>
      </c>
      <c r="BT564" s="615">
        <v>0</v>
      </c>
      <c r="BU564" s="615">
        <v>0</v>
      </c>
      <c r="BV564" s="615">
        <v>0</v>
      </c>
      <c r="BW564" s="615">
        <v>0</v>
      </c>
      <c r="BX564" s="607">
        <f t="shared" si="21"/>
        <v>429539738</v>
      </c>
    </row>
    <row r="565" spans="1:76" x14ac:dyDescent="0.2">
      <c r="A565" s="902"/>
      <c r="B565" s="610" t="s">
        <v>3228</v>
      </c>
      <c r="C565" s="608" t="s">
        <v>3694</v>
      </c>
      <c r="D565" s="609"/>
      <c r="E565" s="609"/>
      <c r="F565" s="609"/>
      <c r="G565" s="609"/>
      <c r="H565" s="609"/>
      <c r="I565" s="609"/>
      <c r="J565" s="609"/>
      <c r="K565" s="609"/>
      <c r="L565" s="609"/>
      <c r="M565" s="609"/>
      <c r="N565" s="609"/>
      <c r="O565" s="609"/>
      <c r="P565" s="609"/>
      <c r="Q565" s="609">
        <v>0</v>
      </c>
      <c r="R565" s="609">
        <v>0</v>
      </c>
      <c r="S565" s="609">
        <v>0</v>
      </c>
      <c r="T565" s="609">
        <v>0</v>
      </c>
      <c r="U565" s="609">
        <v>0</v>
      </c>
      <c r="V565" s="609">
        <v>0</v>
      </c>
      <c r="W565" s="609">
        <v>0</v>
      </c>
      <c r="X565" s="609">
        <v>0</v>
      </c>
      <c r="Y565" s="609">
        <v>0</v>
      </c>
      <c r="Z565" s="609">
        <v>0</v>
      </c>
      <c r="AA565" s="609">
        <v>0</v>
      </c>
      <c r="AB565" s="609">
        <v>0</v>
      </c>
      <c r="AC565" s="609">
        <v>0</v>
      </c>
      <c r="AD565" s="609">
        <v>0</v>
      </c>
      <c r="AE565" s="609">
        <v>0</v>
      </c>
      <c r="AF565" s="609">
        <v>0</v>
      </c>
      <c r="AG565" s="609">
        <v>0</v>
      </c>
      <c r="AH565" s="609">
        <v>0</v>
      </c>
      <c r="AI565" s="609">
        <v>0</v>
      </c>
      <c r="AJ565" s="609">
        <v>0</v>
      </c>
      <c r="AK565" s="609">
        <v>0</v>
      </c>
      <c r="AL565" s="609">
        <v>0</v>
      </c>
      <c r="AM565" s="609">
        <v>0</v>
      </c>
      <c r="AN565" s="609">
        <v>0</v>
      </c>
      <c r="AO565" s="609">
        <v>0</v>
      </c>
      <c r="AP565" s="609">
        <v>0</v>
      </c>
      <c r="AQ565" s="609">
        <v>0</v>
      </c>
      <c r="AR565" s="609">
        <v>0</v>
      </c>
      <c r="AS565" s="609">
        <v>0</v>
      </c>
      <c r="AT565" s="609">
        <v>0</v>
      </c>
      <c r="AU565" s="609">
        <v>0</v>
      </c>
      <c r="AV565" s="609">
        <v>0</v>
      </c>
      <c r="AW565" s="609">
        <v>4164494</v>
      </c>
      <c r="AX565" s="609">
        <v>4164494</v>
      </c>
      <c r="AY565" s="609">
        <v>4164494</v>
      </c>
      <c r="AZ565" s="615">
        <v>4164494</v>
      </c>
      <c r="BA565" s="615">
        <v>4164494</v>
      </c>
      <c r="BB565" s="615">
        <v>4164492</v>
      </c>
      <c r="BC565" s="615">
        <v>385909761</v>
      </c>
      <c r="BD565" s="615">
        <v>0</v>
      </c>
      <c r="BE565" s="615">
        <v>0</v>
      </c>
      <c r="BF565" s="615">
        <v>0</v>
      </c>
      <c r="BG565" s="615">
        <v>0</v>
      </c>
      <c r="BH565" s="615">
        <v>0</v>
      </c>
      <c r="BI565" s="615">
        <v>0</v>
      </c>
      <c r="BJ565" s="615">
        <v>0</v>
      </c>
      <c r="BK565" s="615">
        <v>0</v>
      </c>
      <c r="BL565" s="615">
        <v>0</v>
      </c>
      <c r="BM565" s="615">
        <v>0</v>
      </c>
      <c r="BN565" s="615">
        <v>0</v>
      </c>
      <c r="BO565" s="615">
        <v>0</v>
      </c>
      <c r="BP565" s="615">
        <v>0</v>
      </c>
      <c r="BQ565" s="615">
        <v>0</v>
      </c>
      <c r="BR565" s="615">
        <v>0</v>
      </c>
      <c r="BS565" s="615">
        <v>0</v>
      </c>
      <c r="BT565" s="615">
        <v>0</v>
      </c>
      <c r="BU565" s="615">
        <v>0</v>
      </c>
      <c r="BV565" s="615">
        <v>0</v>
      </c>
      <c r="BW565" s="615">
        <v>0</v>
      </c>
      <c r="BX565" s="607">
        <f t="shared" si="21"/>
        <v>410896723</v>
      </c>
    </row>
    <row r="566" spans="1:76" x14ac:dyDescent="0.2">
      <c r="A566" s="902"/>
      <c r="B566" s="610" t="s">
        <v>1672</v>
      </c>
      <c r="C566" s="608" t="s">
        <v>3695</v>
      </c>
      <c r="D566" s="609"/>
      <c r="E566" s="609"/>
      <c r="F566" s="609"/>
      <c r="G566" s="609"/>
      <c r="H566" s="609"/>
      <c r="I566" s="609"/>
      <c r="J566" s="609"/>
      <c r="K566" s="609"/>
      <c r="L566" s="609"/>
      <c r="M566" s="609"/>
      <c r="N566" s="609"/>
      <c r="O566" s="609"/>
      <c r="P566" s="609"/>
      <c r="Q566" s="609">
        <v>0</v>
      </c>
      <c r="R566" s="609">
        <v>0</v>
      </c>
      <c r="S566" s="609">
        <v>0</v>
      </c>
      <c r="T566" s="609">
        <v>0</v>
      </c>
      <c r="U566" s="609">
        <v>0</v>
      </c>
      <c r="V566" s="609">
        <v>0</v>
      </c>
      <c r="W566" s="609">
        <v>0</v>
      </c>
      <c r="X566" s="609">
        <v>0</v>
      </c>
      <c r="Y566" s="609">
        <v>0</v>
      </c>
      <c r="Z566" s="609">
        <v>0</v>
      </c>
      <c r="AA566" s="609">
        <v>0</v>
      </c>
      <c r="AB566" s="609">
        <v>0</v>
      </c>
      <c r="AC566" s="609">
        <v>0</v>
      </c>
      <c r="AD566" s="609">
        <v>0</v>
      </c>
      <c r="AE566" s="609">
        <v>0</v>
      </c>
      <c r="AF566" s="609">
        <v>0</v>
      </c>
      <c r="AG566" s="609">
        <v>0</v>
      </c>
      <c r="AH566" s="609">
        <v>0</v>
      </c>
      <c r="AI566" s="609">
        <v>0</v>
      </c>
      <c r="AJ566" s="609">
        <v>0</v>
      </c>
      <c r="AK566" s="609">
        <v>0</v>
      </c>
      <c r="AL566" s="609">
        <v>0</v>
      </c>
      <c r="AM566" s="609">
        <v>0</v>
      </c>
      <c r="AN566" s="609">
        <v>0</v>
      </c>
      <c r="AO566" s="609">
        <v>0</v>
      </c>
      <c r="AP566" s="609">
        <v>0</v>
      </c>
      <c r="AQ566" s="609">
        <v>0</v>
      </c>
      <c r="AR566" s="609">
        <v>0</v>
      </c>
      <c r="AS566" s="609">
        <v>0</v>
      </c>
      <c r="AT566" s="609">
        <v>0</v>
      </c>
      <c r="AU566" s="609">
        <v>0</v>
      </c>
      <c r="AV566" s="609">
        <v>3383672</v>
      </c>
      <c r="AW566" s="609">
        <v>5178088</v>
      </c>
      <c r="AX566" s="609">
        <v>5178088</v>
      </c>
      <c r="AY566" s="609">
        <v>5178088</v>
      </c>
      <c r="AZ566" s="615">
        <v>5178088</v>
      </c>
      <c r="BA566" s="615">
        <v>5178088</v>
      </c>
      <c r="BB566" s="615">
        <v>5178088</v>
      </c>
      <c r="BC566" s="615">
        <v>5178100</v>
      </c>
      <c r="BD566" s="615">
        <v>323216591</v>
      </c>
      <c r="BE566" s="615">
        <v>0</v>
      </c>
      <c r="BF566" s="615">
        <v>0</v>
      </c>
      <c r="BG566" s="615">
        <v>0</v>
      </c>
      <c r="BH566" s="615">
        <v>0</v>
      </c>
      <c r="BI566" s="615">
        <v>0</v>
      </c>
      <c r="BJ566" s="615">
        <v>0</v>
      </c>
      <c r="BK566" s="615">
        <v>0</v>
      </c>
      <c r="BL566" s="615">
        <v>0</v>
      </c>
      <c r="BM566" s="615">
        <v>0</v>
      </c>
      <c r="BN566" s="615">
        <v>0</v>
      </c>
      <c r="BO566" s="615">
        <v>0</v>
      </c>
      <c r="BP566" s="615">
        <v>0</v>
      </c>
      <c r="BQ566" s="615">
        <v>0</v>
      </c>
      <c r="BR566" s="615">
        <v>0</v>
      </c>
      <c r="BS566" s="615">
        <v>0</v>
      </c>
      <c r="BT566" s="615">
        <v>0</v>
      </c>
      <c r="BU566" s="615">
        <v>0</v>
      </c>
      <c r="BV566" s="615">
        <v>0</v>
      </c>
      <c r="BW566" s="615">
        <v>0</v>
      </c>
      <c r="BX566" s="607">
        <f t="shared" si="21"/>
        <v>362846891</v>
      </c>
    </row>
    <row r="567" spans="1:76" x14ac:dyDescent="0.2">
      <c r="A567" s="902"/>
      <c r="B567" s="610" t="s">
        <v>3283</v>
      </c>
      <c r="C567" s="608" t="s">
        <v>3696</v>
      </c>
      <c r="D567" s="609"/>
      <c r="E567" s="609"/>
      <c r="F567" s="609"/>
      <c r="G567" s="609"/>
      <c r="H567" s="609"/>
      <c r="I567" s="609"/>
      <c r="J567" s="609"/>
      <c r="K567" s="609"/>
      <c r="L567" s="609"/>
      <c r="M567" s="609"/>
      <c r="N567" s="609"/>
      <c r="O567" s="609"/>
      <c r="P567" s="609"/>
      <c r="Q567" s="609">
        <v>0</v>
      </c>
      <c r="R567" s="609">
        <v>0</v>
      </c>
      <c r="S567" s="609">
        <v>0</v>
      </c>
      <c r="T567" s="609">
        <v>0</v>
      </c>
      <c r="U567" s="609">
        <v>0</v>
      </c>
      <c r="V567" s="609">
        <v>0</v>
      </c>
      <c r="W567" s="609">
        <v>0</v>
      </c>
      <c r="X567" s="609">
        <v>0</v>
      </c>
      <c r="Y567" s="609">
        <v>0</v>
      </c>
      <c r="Z567" s="609">
        <v>0</v>
      </c>
      <c r="AA567" s="609">
        <v>0</v>
      </c>
      <c r="AB567" s="609">
        <v>0</v>
      </c>
      <c r="AC567" s="609">
        <v>0</v>
      </c>
      <c r="AD567" s="609">
        <v>0</v>
      </c>
      <c r="AE567" s="609">
        <v>0</v>
      </c>
      <c r="AF567" s="609">
        <v>0</v>
      </c>
      <c r="AG567" s="609">
        <v>0</v>
      </c>
      <c r="AH567" s="609">
        <v>0</v>
      </c>
      <c r="AI567" s="609">
        <v>0</v>
      </c>
      <c r="AJ567" s="609">
        <v>0</v>
      </c>
      <c r="AK567" s="609">
        <v>0</v>
      </c>
      <c r="AL567" s="609">
        <v>0</v>
      </c>
      <c r="AM567" s="609">
        <v>0</v>
      </c>
      <c r="AN567" s="609">
        <v>0</v>
      </c>
      <c r="AO567" s="609">
        <v>0</v>
      </c>
      <c r="AP567" s="609">
        <v>0</v>
      </c>
      <c r="AQ567" s="609">
        <v>0</v>
      </c>
      <c r="AR567" s="609">
        <v>0</v>
      </c>
      <c r="AS567" s="609">
        <v>0</v>
      </c>
      <c r="AT567" s="609">
        <v>0</v>
      </c>
      <c r="AU567" s="609">
        <v>0</v>
      </c>
      <c r="AV567" s="609">
        <v>0</v>
      </c>
      <c r="AW567" s="609">
        <v>5750910</v>
      </c>
      <c r="AX567" s="609">
        <v>5750910</v>
      </c>
      <c r="AY567" s="609">
        <v>465823665</v>
      </c>
      <c r="AZ567" s="615">
        <v>0</v>
      </c>
      <c r="BA567" s="615">
        <v>0</v>
      </c>
      <c r="BB567" s="615">
        <v>0</v>
      </c>
      <c r="BC567" s="615">
        <v>0</v>
      </c>
      <c r="BD567" s="615">
        <v>0</v>
      </c>
      <c r="BE567" s="615">
        <v>0</v>
      </c>
      <c r="BF567" s="615">
        <v>0</v>
      </c>
      <c r="BG567" s="615">
        <v>0</v>
      </c>
      <c r="BH567" s="615">
        <v>0</v>
      </c>
      <c r="BI567" s="615">
        <v>0</v>
      </c>
      <c r="BJ567" s="615">
        <v>0</v>
      </c>
      <c r="BK567" s="615">
        <v>0</v>
      </c>
      <c r="BL567" s="615">
        <v>0</v>
      </c>
      <c r="BM567" s="615">
        <v>0</v>
      </c>
      <c r="BN567" s="615">
        <v>0</v>
      </c>
      <c r="BO567" s="615">
        <v>0</v>
      </c>
      <c r="BP567" s="615">
        <v>0</v>
      </c>
      <c r="BQ567" s="615">
        <v>0</v>
      </c>
      <c r="BR567" s="615">
        <v>0</v>
      </c>
      <c r="BS567" s="615">
        <v>0</v>
      </c>
      <c r="BT567" s="615">
        <v>0</v>
      </c>
      <c r="BU567" s="615">
        <v>0</v>
      </c>
      <c r="BV567" s="615">
        <v>0</v>
      </c>
      <c r="BW567" s="615">
        <v>0</v>
      </c>
      <c r="BX567" s="607">
        <f t="shared" si="21"/>
        <v>477325485</v>
      </c>
    </row>
    <row r="568" spans="1:76" x14ac:dyDescent="0.2">
      <c r="A568" s="902"/>
      <c r="B568" s="610" t="s">
        <v>2542</v>
      </c>
      <c r="C568" s="608" t="s">
        <v>3697</v>
      </c>
      <c r="D568" s="609"/>
      <c r="E568" s="609"/>
      <c r="F568" s="609"/>
      <c r="G568" s="609"/>
      <c r="H568" s="609"/>
      <c r="I568" s="609"/>
      <c r="J568" s="609"/>
      <c r="K568" s="609"/>
      <c r="L568" s="609"/>
      <c r="M568" s="609"/>
      <c r="N568" s="609"/>
      <c r="O568" s="609"/>
      <c r="P568" s="609"/>
      <c r="Q568" s="609">
        <v>0</v>
      </c>
      <c r="R568" s="609">
        <v>0</v>
      </c>
      <c r="S568" s="609">
        <v>0</v>
      </c>
      <c r="T568" s="609">
        <v>0</v>
      </c>
      <c r="U568" s="609">
        <v>0</v>
      </c>
      <c r="V568" s="609">
        <v>0</v>
      </c>
      <c r="W568" s="609">
        <v>0</v>
      </c>
      <c r="X568" s="609">
        <v>0</v>
      </c>
      <c r="Y568" s="609">
        <v>0</v>
      </c>
      <c r="Z568" s="609">
        <v>0</v>
      </c>
      <c r="AA568" s="609">
        <v>0</v>
      </c>
      <c r="AB568" s="609">
        <v>0</v>
      </c>
      <c r="AC568" s="609">
        <v>0</v>
      </c>
      <c r="AD568" s="609">
        <v>0</v>
      </c>
      <c r="AE568" s="609">
        <v>0</v>
      </c>
      <c r="AF568" s="609">
        <v>0</v>
      </c>
      <c r="AG568" s="609">
        <v>0</v>
      </c>
      <c r="AH568" s="609">
        <v>0</v>
      </c>
      <c r="AI568" s="609">
        <v>0</v>
      </c>
      <c r="AJ568" s="609">
        <v>0</v>
      </c>
      <c r="AK568" s="609">
        <v>0</v>
      </c>
      <c r="AL568" s="609">
        <v>0</v>
      </c>
      <c r="AM568" s="609">
        <v>0</v>
      </c>
      <c r="AN568" s="609">
        <v>0</v>
      </c>
      <c r="AO568" s="609">
        <v>0</v>
      </c>
      <c r="AP568" s="609">
        <v>0</v>
      </c>
      <c r="AQ568" s="609">
        <v>0</v>
      </c>
      <c r="AR568" s="609">
        <v>0</v>
      </c>
      <c r="AS568" s="609">
        <v>0</v>
      </c>
      <c r="AT568" s="609">
        <v>0</v>
      </c>
      <c r="AU568" s="609">
        <v>0</v>
      </c>
      <c r="AV568" s="609">
        <v>0</v>
      </c>
      <c r="AW568" s="609">
        <v>12939246</v>
      </c>
      <c r="AX568" s="609">
        <v>12939246</v>
      </c>
      <c r="AY568" s="609">
        <v>12939253</v>
      </c>
      <c r="AZ568" s="615">
        <v>387016844</v>
      </c>
      <c r="BA568" s="615">
        <v>0</v>
      </c>
      <c r="BB568" s="615">
        <v>0</v>
      </c>
      <c r="BC568" s="615">
        <v>0</v>
      </c>
      <c r="BD568" s="615">
        <v>0</v>
      </c>
      <c r="BE568" s="615">
        <v>0</v>
      </c>
      <c r="BF568" s="615">
        <v>0</v>
      </c>
      <c r="BG568" s="615">
        <v>0</v>
      </c>
      <c r="BH568" s="615">
        <v>0</v>
      </c>
      <c r="BI568" s="615">
        <v>0</v>
      </c>
      <c r="BJ568" s="615">
        <v>0</v>
      </c>
      <c r="BK568" s="615">
        <v>0</v>
      </c>
      <c r="BL568" s="615">
        <v>0</v>
      </c>
      <c r="BM568" s="615">
        <v>0</v>
      </c>
      <c r="BN568" s="615">
        <v>0</v>
      </c>
      <c r="BO568" s="615">
        <v>0</v>
      </c>
      <c r="BP568" s="615">
        <v>0</v>
      </c>
      <c r="BQ568" s="615">
        <v>0</v>
      </c>
      <c r="BR568" s="615">
        <v>0</v>
      </c>
      <c r="BS568" s="615">
        <v>0</v>
      </c>
      <c r="BT568" s="615">
        <v>0</v>
      </c>
      <c r="BU568" s="615">
        <v>0</v>
      </c>
      <c r="BV568" s="615">
        <v>0</v>
      </c>
      <c r="BW568" s="615">
        <v>0</v>
      </c>
      <c r="BX568" s="607">
        <f t="shared" si="21"/>
        <v>425834589</v>
      </c>
    </row>
    <row r="569" spans="1:76" x14ac:dyDescent="0.2">
      <c r="A569" s="902"/>
      <c r="B569" s="610" t="s">
        <v>1473</v>
      </c>
      <c r="C569" s="608" t="s">
        <v>3698</v>
      </c>
      <c r="D569" s="609"/>
      <c r="E569" s="609"/>
      <c r="F569" s="609"/>
      <c r="G569" s="609"/>
      <c r="H569" s="609"/>
      <c r="I569" s="609"/>
      <c r="J569" s="609"/>
      <c r="K569" s="609"/>
      <c r="L569" s="609"/>
      <c r="M569" s="609"/>
      <c r="N569" s="609">
        <v>0</v>
      </c>
      <c r="O569" s="609">
        <v>0</v>
      </c>
      <c r="P569" s="609">
        <v>0</v>
      </c>
      <c r="Q569" s="609">
        <v>0</v>
      </c>
      <c r="R569" s="609">
        <v>0</v>
      </c>
      <c r="S569" s="609">
        <v>0</v>
      </c>
      <c r="T569" s="609">
        <v>0</v>
      </c>
      <c r="U569" s="609">
        <v>0</v>
      </c>
      <c r="V569" s="609">
        <v>0</v>
      </c>
      <c r="W569" s="609">
        <v>0</v>
      </c>
      <c r="X569" s="609">
        <v>0</v>
      </c>
      <c r="Y569" s="609">
        <v>0</v>
      </c>
      <c r="Z569" s="609">
        <v>0</v>
      </c>
      <c r="AA569" s="609">
        <v>0</v>
      </c>
      <c r="AB569" s="609">
        <v>0</v>
      </c>
      <c r="AC569" s="609">
        <v>0</v>
      </c>
      <c r="AD569" s="609">
        <v>0</v>
      </c>
      <c r="AE569" s="609">
        <v>0</v>
      </c>
      <c r="AF569" s="609">
        <v>0</v>
      </c>
      <c r="AG569" s="609">
        <v>0</v>
      </c>
      <c r="AH569" s="609">
        <v>0</v>
      </c>
      <c r="AI569" s="609">
        <v>0</v>
      </c>
      <c r="AJ569" s="609">
        <v>0</v>
      </c>
      <c r="AK569" s="609">
        <v>0</v>
      </c>
      <c r="AL569" s="609">
        <v>0</v>
      </c>
      <c r="AM569" s="609">
        <v>0</v>
      </c>
      <c r="AN569" s="609">
        <v>0</v>
      </c>
      <c r="AO569" s="609">
        <v>0</v>
      </c>
      <c r="AP569" s="609">
        <v>0</v>
      </c>
      <c r="AQ569" s="609">
        <v>0</v>
      </c>
      <c r="AR569" s="609">
        <v>0</v>
      </c>
      <c r="AS569" s="609">
        <v>0</v>
      </c>
      <c r="AT569" s="609">
        <v>0</v>
      </c>
      <c r="AU569" s="609">
        <v>0</v>
      </c>
      <c r="AV569" s="609">
        <v>3622000</v>
      </c>
      <c r="AW569" s="609">
        <v>3622000</v>
      </c>
      <c r="AX569" s="609">
        <v>3622000</v>
      </c>
      <c r="AY569" s="609">
        <v>3622000</v>
      </c>
      <c r="AZ569" s="615">
        <v>279776000</v>
      </c>
      <c r="BA569" s="615">
        <v>0</v>
      </c>
      <c r="BB569" s="615">
        <v>0</v>
      </c>
      <c r="BC569" s="615">
        <v>0</v>
      </c>
      <c r="BD569" s="615">
        <v>0</v>
      </c>
      <c r="BE569" s="615">
        <v>0</v>
      </c>
      <c r="BF569" s="615">
        <v>0</v>
      </c>
      <c r="BG569" s="615">
        <v>0</v>
      </c>
      <c r="BH569" s="615">
        <v>0</v>
      </c>
      <c r="BI569" s="615">
        <v>0</v>
      </c>
      <c r="BJ569" s="615">
        <v>0</v>
      </c>
      <c r="BK569" s="615">
        <v>0</v>
      </c>
      <c r="BL569" s="615">
        <v>0</v>
      </c>
      <c r="BM569" s="615">
        <v>0</v>
      </c>
      <c r="BN569" s="615">
        <v>0</v>
      </c>
      <c r="BO569" s="615">
        <v>0</v>
      </c>
      <c r="BP569" s="615">
        <v>0</v>
      </c>
      <c r="BQ569" s="615">
        <v>0</v>
      </c>
      <c r="BR569" s="615">
        <v>0</v>
      </c>
      <c r="BS569" s="615">
        <v>0</v>
      </c>
      <c r="BT569" s="615">
        <v>0</v>
      </c>
      <c r="BU569" s="615">
        <v>0</v>
      </c>
      <c r="BV569" s="615">
        <v>0</v>
      </c>
      <c r="BW569" s="615">
        <v>0</v>
      </c>
      <c r="BX569" s="607">
        <f t="shared" si="21"/>
        <v>294264000</v>
      </c>
    </row>
    <row r="570" spans="1:76" x14ac:dyDescent="0.2">
      <c r="A570" s="902"/>
      <c r="B570" s="610" t="s">
        <v>1474</v>
      </c>
      <c r="C570" s="608" t="s">
        <v>3699</v>
      </c>
      <c r="D570" s="609"/>
      <c r="E570" s="609"/>
      <c r="F570" s="609"/>
      <c r="G570" s="609"/>
      <c r="H570" s="609"/>
      <c r="I570" s="609"/>
      <c r="J570" s="609"/>
      <c r="K570" s="609"/>
      <c r="L570" s="609"/>
      <c r="M570" s="609">
        <v>0</v>
      </c>
      <c r="N570" s="609">
        <v>0</v>
      </c>
      <c r="O570" s="609">
        <v>0</v>
      </c>
      <c r="P570" s="609">
        <v>0</v>
      </c>
      <c r="Q570" s="609">
        <v>0</v>
      </c>
      <c r="R570" s="609">
        <v>0</v>
      </c>
      <c r="S570" s="609">
        <v>0</v>
      </c>
      <c r="T570" s="609">
        <v>0</v>
      </c>
      <c r="U570" s="609">
        <v>0</v>
      </c>
      <c r="V570" s="609">
        <v>0</v>
      </c>
      <c r="W570" s="609">
        <v>0</v>
      </c>
      <c r="X570" s="609">
        <v>0</v>
      </c>
      <c r="Y570" s="609">
        <v>0</v>
      </c>
      <c r="Z570" s="609">
        <v>0</v>
      </c>
      <c r="AA570" s="609">
        <v>0</v>
      </c>
      <c r="AB570" s="609">
        <v>0</v>
      </c>
      <c r="AC570" s="609">
        <v>0</v>
      </c>
      <c r="AD570" s="609">
        <v>0</v>
      </c>
      <c r="AE570" s="609">
        <v>0</v>
      </c>
      <c r="AF570" s="609">
        <v>0</v>
      </c>
      <c r="AG570" s="609">
        <v>0</v>
      </c>
      <c r="AH570" s="609">
        <v>0</v>
      </c>
      <c r="AI570" s="609">
        <v>0</v>
      </c>
      <c r="AJ570" s="609">
        <v>0</v>
      </c>
      <c r="AK570" s="609">
        <v>0</v>
      </c>
      <c r="AL570" s="609">
        <v>0</v>
      </c>
      <c r="AM570" s="609">
        <v>0</v>
      </c>
      <c r="AN570" s="609">
        <v>0</v>
      </c>
      <c r="AO570" s="609">
        <v>0</v>
      </c>
      <c r="AP570" s="609">
        <v>0</v>
      </c>
      <c r="AQ570" s="609">
        <v>0</v>
      </c>
      <c r="AR570" s="609">
        <v>0</v>
      </c>
      <c r="AS570" s="609">
        <v>0</v>
      </c>
      <c r="AT570" s="609">
        <v>0</v>
      </c>
      <c r="AU570" s="609">
        <v>0</v>
      </c>
      <c r="AV570" s="609">
        <v>1971306</v>
      </c>
      <c r="AW570" s="609">
        <v>4169398</v>
      </c>
      <c r="AX570" s="609">
        <v>4169405</v>
      </c>
      <c r="AY570" s="609">
        <v>320648402</v>
      </c>
      <c r="AZ570" s="615">
        <v>0</v>
      </c>
      <c r="BA570" s="615">
        <v>0</v>
      </c>
      <c r="BB570" s="615">
        <v>0</v>
      </c>
      <c r="BC570" s="615">
        <v>0</v>
      </c>
      <c r="BD570" s="615">
        <v>0</v>
      </c>
      <c r="BE570" s="615">
        <v>0</v>
      </c>
      <c r="BF570" s="615">
        <v>0</v>
      </c>
      <c r="BG570" s="615">
        <v>0</v>
      </c>
      <c r="BH570" s="615">
        <v>0</v>
      </c>
      <c r="BI570" s="615">
        <v>0</v>
      </c>
      <c r="BJ570" s="615">
        <v>0</v>
      </c>
      <c r="BK570" s="615">
        <v>0</v>
      </c>
      <c r="BL570" s="615">
        <v>0</v>
      </c>
      <c r="BM570" s="615">
        <v>0</v>
      </c>
      <c r="BN570" s="615">
        <v>0</v>
      </c>
      <c r="BO570" s="615">
        <v>0</v>
      </c>
      <c r="BP570" s="615">
        <v>0</v>
      </c>
      <c r="BQ570" s="615">
        <v>0</v>
      </c>
      <c r="BR570" s="615">
        <v>0</v>
      </c>
      <c r="BS570" s="615">
        <v>0</v>
      </c>
      <c r="BT570" s="615">
        <v>0</v>
      </c>
      <c r="BU570" s="615">
        <v>0</v>
      </c>
      <c r="BV570" s="615">
        <v>0</v>
      </c>
      <c r="BW570" s="615">
        <v>0</v>
      </c>
      <c r="BX570" s="607">
        <f t="shared" si="21"/>
        <v>330958511</v>
      </c>
    </row>
    <row r="571" spans="1:76" x14ac:dyDescent="0.2">
      <c r="A571" s="902"/>
      <c r="B571" s="610" t="s">
        <v>2543</v>
      </c>
      <c r="C571" s="608" t="s">
        <v>3700</v>
      </c>
      <c r="D571" s="609"/>
      <c r="E571" s="609"/>
      <c r="F571" s="609"/>
      <c r="G571" s="609"/>
      <c r="H571" s="609"/>
      <c r="I571" s="609"/>
      <c r="J571" s="609"/>
      <c r="K571" s="609"/>
      <c r="L571" s="609"/>
      <c r="M571" s="609"/>
      <c r="N571" s="609"/>
      <c r="O571" s="609"/>
      <c r="P571" s="609"/>
      <c r="Q571" s="609"/>
      <c r="R571" s="609"/>
      <c r="S571" s="609"/>
      <c r="T571" s="609"/>
      <c r="U571" s="609"/>
      <c r="V571" s="609">
        <v>0</v>
      </c>
      <c r="W571" s="609">
        <v>0</v>
      </c>
      <c r="X571" s="609">
        <v>0</v>
      </c>
      <c r="Y571" s="609">
        <v>0</v>
      </c>
      <c r="Z571" s="609">
        <v>0</v>
      </c>
      <c r="AA571" s="609">
        <v>0</v>
      </c>
      <c r="AB571" s="609">
        <v>0</v>
      </c>
      <c r="AC571" s="609">
        <v>0</v>
      </c>
      <c r="AD571" s="609">
        <v>0</v>
      </c>
      <c r="AE571" s="609">
        <v>0</v>
      </c>
      <c r="AF571" s="609">
        <v>0</v>
      </c>
      <c r="AG571" s="609">
        <v>0</v>
      </c>
      <c r="AH571" s="609">
        <v>0</v>
      </c>
      <c r="AI571" s="609">
        <v>0</v>
      </c>
      <c r="AJ571" s="609">
        <v>0</v>
      </c>
      <c r="AK571" s="609">
        <v>0</v>
      </c>
      <c r="AL571" s="609">
        <v>0</v>
      </c>
      <c r="AM571" s="609">
        <v>0</v>
      </c>
      <c r="AN571" s="609">
        <v>0</v>
      </c>
      <c r="AO571" s="609">
        <v>0</v>
      </c>
      <c r="AP571" s="609">
        <v>0</v>
      </c>
      <c r="AQ571" s="609">
        <v>0</v>
      </c>
      <c r="AR571" s="609">
        <v>8000000</v>
      </c>
      <c r="AS571" s="609">
        <v>15000000</v>
      </c>
      <c r="AT571" s="609">
        <v>15000000</v>
      </c>
      <c r="AU571" s="609">
        <v>15000000</v>
      </c>
      <c r="AV571" s="609">
        <v>15000000</v>
      </c>
      <c r="AW571" s="609">
        <v>15000000</v>
      </c>
      <c r="AX571" s="609">
        <v>10833333</v>
      </c>
      <c r="AY571" s="609">
        <v>308687595</v>
      </c>
      <c r="AZ571" s="615">
        <v>0</v>
      </c>
      <c r="BA571" s="615">
        <v>0</v>
      </c>
      <c r="BB571" s="615">
        <v>0</v>
      </c>
      <c r="BC571" s="615">
        <v>0</v>
      </c>
      <c r="BD571" s="615">
        <v>0</v>
      </c>
      <c r="BE571" s="615">
        <v>0</v>
      </c>
      <c r="BF571" s="615">
        <v>0</v>
      </c>
      <c r="BG571" s="615">
        <v>0</v>
      </c>
      <c r="BH571" s="615">
        <v>0</v>
      </c>
      <c r="BI571" s="615">
        <v>0</v>
      </c>
      <c r="BJ571" s="615">
        <v>0</v>
      </c>
      <c r="BK571" s="615">
        <v>0</v>
      </c>
      <c r="BL571" s="615">
        <v>0</v>
      </c>
      <c r="BM571" s="615">
        <v>0</v>
      </c>
      <c r="BN571" s="615">
        <v>0</v>
      </c>
      <c r="BO571" s="615">
        <v>0</v>
      </c>
      <c r="BP571" s="615">
        <v>0</v>
      </c>
      <c r="BQ571" s="615">
        <v>0</v>
      </c>
      <c r="BR571" s="615">
        <v>0</v>
      </c>
      <c r="BS571" s="615">
        <v>0</v>
      </c>
      <c r="BT571" s="615">
        <v>0</v>
      </c>
      <c r="BU571" s="615">
        <v>0</v>
      </c>
      <c r="BV571" s="615">
        <v>0</v>
      </c>
      <c r="BW571" s="615">
        <v>0</v>
      </c>
      <c r="BX571" s="607">
        <f t="shared" si="21"/>
        <v>402520928</v>
      </c>
    </row>
    <row r="572" spans="1:76" x14ac:dyDescent="0.2">
      <c r="A572" s="902"/>
      <c r="B572" s="610" t="s">
        <v>2248</v>
      </c>
      <c r="C572" s="608" t="s">
        <v>3701</v>
      </c>
      <c r="D572" s="609"/>
      <c r="E572" s="609"/>
      <c r="F572" s="609"/>
      <c r="G572" s="609"/>
      <c r="H572" s="609"/>
      <c r="I572" s="609"/>
      <c r="J572" s="609"/>
      <c r="K572" s="609"/>
      <c r="L572" s="609"/>
      <c r="M572" s="609"/>
      <c r="N572" s="609"/>
      <c r="O572" s="609"/>
      <c r="P572" s="609"/>
      <c r="Q572" s="609"/>
      <c r="R572" s="609"/>
      <c r="S572" s="609"/>
      <c r="T572" s="609"/>
      <c r="U572" s="609"/>
      <c r="V572" s="609">
        <v>0</v>
      </c>
      <c r="W572" s="609">
        <v>0</v>
      </c>
      <c r="X572" s="609">
        <v>0</v>
      </c>
      <c r="Y572" s="609">
        <v>0</v>
      </c>
      <c r="Z572" s="609">
        <v>0</v>
      </c>
      <c r="AA572" s="609">
        <v>0</v>
      </c>
      <c r="AB572" s="609">
        <v>0</v>
      </c>
      <c r="AC572" s="609">
        <v>0</v>
      </c>
      <c r="AD572" s="609">
        <v>0</v>
      </c>
      <c r="AE572" s="609">
        <v>0</v>
      </c>
      <c r="AF572" s="609">
        <v>0</v>
      </c>
      <c r="AG572" s="609">
        <v>0</v>
      </c>
      <c r="AH572" s="609">
        <v>0</v>
      </c>
      <c r="AI572" s="609">
        <v>0</v>
      </c>
      <c r="AJ572" s="609">
        <v>0</v>
      </c>
      <c r="AK572" s="609">
        <v>0</v>
      </c>
      <c r="AL572" s="609">
        <v>0</v>
      </c>
      <c r="AM572" s="609">
        <v>0</v>
      </c>
      <c r="AN572" s="609">
        <v>0</v>
      </c>
      <c r="AO572" s="609">
        <v>0</v>
      </c>
      <c r="AP572" s="609">
        <v>0</v>
      </c>
      <c r="AQ572" s="609">
        <v>0</v>
      </c>
      <c r="AR572" s="609">
        <v>0</v>
      </c>
      <c r="AS572" s="609">
        <v>0</v>
      </c>
      <c r="AT572" s="609">
        <v>0</v>
      </c>
      <c r="AU572" s="609">
        <v>0</v>
      </c>
      <c r="AV572" s="609">
        <v>0</v>
      </c>
      <c r="AW572" s="609">
        <v>4999233</v>
      </c>
      <c r="AX572" s="609">
        <v>5000000</v>
      </c>
      <c r="AY572" s="609">
        <v>273951128</v>
      </c>
      <c r="AZ572" s="615">
        <v>0</v>
      </c>
      <c r="BA572" s="615">
        <v>0</v>
      </c>
      <c r="BB572" s="615">
        <v>0</v>
      </c>
      <c r="BC572" s="615">
        <v>0</v>
      </c>
      <c r="BD572" s="615">
        <v>0</v>
      </c>
      <c r="BE572" s="615">
        <v>0</v>
      </c>
      <c r="BF572" s="615">
        <v>0</v>
      </c>
      <c r="BG572" s="615">
        <v>0</v>
      </c>
      <c r="BH572" s="615">
        <v>0</v>
      </c>
      <c r="BI572" s="615">
        <v>0</v>
      </c>
      <c r="BJ572" s="615">
        <v>0</v>
      </c>
      <c r="BK572" s="615">
        <v>0</v>
      </c>
      <c r="BL572" s="615">
        <v>0</v>
      </c>
      <c r="BM572" s="615">
        <v>0</v>
      </c>
      <c r="BN572" s="615">
        <v>0</v>
      </c>
      <c r="BO572" s="615">
        <v>0</v>
      </c>
      <c r="BP572" s="615">
        <v>0</v>
      </c>
      <c r="BQ572" s="615">
        <v>0</v>
      </c>
      <c r="BR572" s="615">
        <v>0</v>
      </c>
      <c r="BS572" s="615">
        <v>0</v>
      </c>
      <c r="BT572" s="615">
        <v>0</v>
      </c>
      <c r="BU572" s="615">
        <v>0</v>
      </c>
      <c r="BV572" s="615">
        <v>0</v>
      </c>
      <c r="BW572" s="615">
        <v>0</v>
      </c>
      <c r="BX572" s="607">
        <f t="shared" si="21"/>
        <v>283950361</v>
      </c>
    </row>
    <row r="573" spans="1:76" x14ac:dyDescent="0.2">
      <c r="A573" s="902"/>
      <c r="B573" s="610" t="s">
        <v>1616</v>
      </c>
      <c r="C573" s="608" t="s">
        <v>3702</v>
      </c>
      <c r="D573" s="609"/>
      <c r="E573" s="609"/>
      <c r="F573" s="609"/>
      <c r="G573" s="609"/>
      <c r="H573" s="609"/>
      <c r="I573" s="609"/>
      <c r="J573" s="609"/>
      <c r="K573" s="609"/>
      <c r="L573" s="609"/>
      <c r="M573" s="609"/>
      <c r="N573" s="609"/>
      <c r="O573" s="609"/>
      <c r="P573" s="609"/>
      <c r="Q573" s="609"/>
      <c r="R573" s="609"/>
      <c r="S573" s="609"/>
      <c r="T573" s="609"/>
      <c r="U573" s="609"/>
      <c r="V573" s="609"/>
      <c r="W573" s="609"/>
      <c r="X573" s="609"/>
      <c r="Y573" s="609">
        <v>0</v>
      </c>
      <c r="Z573" s="609">
        <v>0</v>
      </c>
      <c r="AA573" s="609">
        <v>0</v>
      </c>
      <c r="AB573" s="609">
        <v>0</v>
      </c>
      <c r="AC573" s="609">
        <v>0</v>
      </c>
      <c r="AD573" s="609">
        <v>0</v>
      </c>
      <c r="AE573" s="609">
        <v>0</v>
      </c>
      <c r="AF573" s="609">
        <v>0</v>
      </c>
      <c r="AG573" s="609">
        <v>0</v>
      </c>
      <c r="AH573" s="609">
        <v>0</v>
      </c>
      <c r="AI573" s="609">
        <v>0</v>
      </c>
      <c r="AJ573" s="609">
        <v>0</v>
      </c>
      <c r="AK573" s="609">
        <v>0</v>
      </c>
      <c r="AL573" s="609">
        <v>0</v>
      </c>
      <c r="AM573" s="609">
        <v>0</v>
      </c>
      <c r="AN573" s="609">
        <v>0</v>
      </c>
      <c r="AO573" s="609">
        <v>0</v>
      </c>
      <c r="AP573" s="609">
        <v>0</v>
      </c>
      <c r="AQ573" s="609">
        <v>0</v>
      </c>
      <c r="AR573" s="609">
        <v>0</v>
      </c>
      <c r="AS573" s="609">
        <v>0</v>
      </c>
      <c r="AT573" s="609">
        <v>0</v>
      </c>
      <c r="AU573" s="609">
        <v>0</v>
      </c>
      <c r="AV573" s="609">
        <v>2875980</v>
      </c>
      <c r="AW573" s="609">
        <v>5782299</v>
      </c>
      <c r="AX573" s="609">
        <v>12118943</v>
      </c>
      <c r="AY573" s="609">
        <v>329539350</v>
      </c>
      <c r="AZ573" s="615">
        <v>0</v>
      </c>
      <c r="BA573" s="615">
        <v>0</v>
      </c>
      <c r="BB573" s="615">
        <v>0</v>
      </c>
      <c r="BC573" s="615">
        <v>0</v>
      </c>
      <c r="BD573" s="615">
        <v>0</v>
      </c>
      <c r="BE573" s="615">
        <v>0</v>
      </c>
      <c r="BF573" s="615">
        <v>0</v>
      </c>
      <c r="BG573" s="615">
        <v>0</v>
      </c>
      <c r="BH573" s="615">
        <v>0</v>
      </c>
      <c r="BI573" s="615">
        <v>0</v>
      </c>
      <c r="BJ573" s="615">
        <v>0</v>
      </c>
      <c r="BK573" s="615">
        <v>0</v>
      </c>
      <c r="BL573" s="615">
        <v>0</v>
      </c>
      <c r="BM573" s="615">
        <v>0</v>
      </c>
      <c r="BN573" s="615">
        <v>0</v>
      </c>
      <c r="BO573" s="615">
        <v>0</v>
      </c>
      <c r="BP573" s="615">
        <v>0</v>
      </c>
      <c r="BQ573" s="615">
        <v>0</v>
      </c>
      <c r="BR573" s="615">
        <v>0</v>
      </c>
      <c r="BS573" s="615">
        <v>0</v>
      </c>
      <c r="BT573" s="615">
        <v>0</v>
      </c>
      <c r="BU573" s="615">
        <v>0</v>
      </c>
      <c r="BV573" s="615">
        <v>0</v>
      </c>
      <c r="BW573" s="615">
        <v>0</v>
      </c>
      <c r="BX573" s="607">
        <f t="shared" si="21"/>
        <v>350316572</v>
      </c>
    </row>
    <row r="574" spans="1:76" x14ac:dyDescent="0.2">
      <c r="A574" s="902"/>
      <c r="B574" s="610" t="s">
        <v>1533</v>
      </c>
      <c r="C574" s="608" t="s">
        <v>3703</v>
      </c>
      <c r="D574" s="609"/>
      <c r="E574" s="609"/>
      <c r="F574" s="609"/>
      <c r="G574" s="609"/>
      <c r="H574" s="609"/>
      <c r="I574" s="609"/>
      <c r="J574" s="609"/>
      <c r="K574" s="609"/>
      <c r="L574" s="609"/>
      <c r="M574" s="609"/>
      <c r="N574" s="609"/>
      <c r="O574" s="609"/>
      <c r="P574" s="609"/>
      <c r="Q574" s="609"/>
      <c r="R574" s="609"/>
      <c r="S574" s="609"/>
      <c r="T574" s="609"/>
      <c r="U574" s="609"/>
      <c r="V574" s="609"/>
      <c r="W574" s="609"/>
      <c r="X574" s="609"/>
      <c r="Y574" s="609">
        <v>0</v>
      </c>
      <c r="Z574" s="609">
        <v>0</v>
      </c>
      <c r="AA574" s="609">
        <v>0</v>
      </c>
      <c r="AB574" s="609">
        <v>0</v>
      </c>
      <c r="AC574" s="609">
        <v>0</v>
      </c>
      <c r="AD574" s="609">
        <v>0</v>
      </c>
      <c r="AE574" s="609">
        <v>0</v>
      </c>
      <c r="AF574" s="609">
        <v>0</v>
      </c>
      <c r="AG574" s="609">
        <v>0</v>
      </c>
      <c r="AH574" s="609">
        <v>0</v>
      </c>
      <c r="AI574" s="609">
        <v>0</v>
      </c>
      <c r="AJ574" s="609">
        <v>0</v>
      </c>
      <c r="AK574" s="609">
        <v>0</v>
      </c>
      <c r="AL574" s="609">
        <v>0</v>
      </c>
      <c r="AM574" s="609">
        <v>0</v>
      </c>
      <c r="AN574" s="609">
        <v>0</v>
      </c>
      <c r="AO574" s="609">
        <v>0</v>
      </c>
      <c r="AP574" s="609">
        <v>0</v>
      </c>
      <c r="AQ574" s="609">
        <v>0</v>
      </c>
      <c r="AR574" s="609">
        <v>0</v>
      </c>
      <c r="AS574" s="609">
        <v>0</v>
      </c>
      <c r="AT574" s="609">
        <v>0</v>
      </c>
      <c r="AU574" s="609">
        <v>0</v>
      </c>
      <c r="AV574" s="609">
        <v>1158614</v>
      </c>
      <c r="AW574" s="609">
        <v>11000000</v>
      </c>
      <c r="AX574" s="609">
        <v>3432860</v>
      </c>
      <c r="AY574" s="609">
        <v>281520228</v>
      </c>
      <c r="AZ574" s="615">
        <v>0</v>
      </c>
      <c r="BA574" s="615">
        <v>0</v>
      </c>
      <c r="BB574" s="615">
        <v>0</v>
      </c>
      <c r="BC574" s="615">
        <v>0</v>
      </c>
      <c r="BD574" s="615">
        <v>0</v>
      </c>
      <c r="BE574" s="615">
        <v>0</v>
      </c>
      <c r="BF574" s="615">
        <v>0</v>
      </c>
      <c r="BG574" s="615">
        <v>0</v>
      </c>
      <c r="BH574" s="615">
        <v>0</v>
      </c>
      <c r="BI574" s="615">
        <v>0</v>
      </c>
      <c r="BJ574" s="615">
        <v>0</v>
      </c>
      <c r="BK574" s="615">
        <v>0</v>
      </c>
      <c r="BL574" s="615">
        <v>0</v>
      </c>
      <c r="BM574" s="615">
        <v>0</v>
      </c>
      <c r="BN574" s="615">
        <v>0</v>
      </c>
      <c r="BO574" s="615">
        <v>0</v>
      </c>
      <c r="BP574" s="615">
        <v>0</v>
      </c>
      <c r="BQ574" s="615">
        <v>0</v>
      </c>
      <c r="BR574" s="615">
        <v>0</v>
      </c>
      <c r="BS574" s="615">
        <v>0</v>
      </c>
      <c r="BT574" s="615">
        <v>0</v>
      </c>
      <c r="BU574" s="615">
        <v>0</v>
      </c>
      <c r="BV574" s="615">
        <v>0</v>
      </c>
      <c r="BW574" s="615">
        <v>0</v>
      </c>
      <c r="BX574" s="607">
        <f t="shared" si="21"/>
        <v>297111702</v>
      </c>
    </row>
    <row r="575" spans="1:76" x14ac:dyDescent="0.2">
      <c r="A575" s="902"/>
      <c r="B575" s="610" t="s">
        <v>3705</v>
      </c>
      <c r="C575" s="608" t="s">
        <v>3704</v>
      </c>
      <c r="D575" s="609"/>
      <c r="E575" s="609"/>
      <c r="F575" s="609"/>
      <c r="G575" s="609"/>
      <c r="H575" s="609"/>
      <c r="I575" s="609"/>
      <c r="J575" s="609"/>
      <c r="K575" s="609"/>
      <c r="L575" s="609"/>
      <c r="M575" s="609"/>
      <c r="N575" s="609"/>
      <c r="O575" s="609"/>
      <c r="P575" s="609"/>
      <c r="Q575" s="609"/>
      <c r="R575" s="609"/>
      <c r="S575" s="609"/>
      <c r="T575" s="609"/>
      <c r="U575" s="609"/>
      <c r="V575" s="609"/>
      <c r="W575" s="609"/>
      <c r="X575" s="609"/>
      <c r="Y575" s="609">
        <v>0</v>
      </c>
      <c r="Z575" s="609">
        <v>0</v>
      </c>
      <c r="AA575" s="609">
        <v>0</v>
      </c>
      <c r="AB575" s="609">
        <v>0</v>
      </c>
      <c r="AC575" s="609">
        <v>0</v>
      </c>
      <c r="AD575" s="609">
        <v>0</v>
      </c>
      <c r="AE575" s="609">
        <v>0</v>
      </c>
      <c r="AF575" s="609">
        <v>0</v>
      </c>
      <c r="AG575" s="609">
        <v>0</v>
      </c>
      <c r="AH575" s="609">
        <v>0</v>
      </c>
      <c r="AI575" s="609">
        <v>0</v>
      </c>
      <c r="AJ575" s="609">
        <v>0</v>
      </c>
      <c r="AK575" s="609">
        <v>0</v>
      </c>
      <c r="AL575" s="609">
        <v>0</v>
      </c>
      <c r="AM575" s="609">
        <v>0</v>
      </c>
      <c r="AN575" s="609">
        <v>0</v>
      </c>
      <c r="AO575" s="609">
        <v>0</v>
      </c>
      <c r="AP575" s="609">
        <v>0</v>
      </c>
      <c r="AQ575" s="609">
        <v>0</v>
      </c>
      <c r="AR575" s="609">
        <v>0</v>
      </c>
      <c r="AS575" s="609">
        <v>0</v>
      </c>
      <c r="AT575" s="609">
        <v>0</v>
      </c>
      <c r="AU575" s="609">
        <v>0</v>
      </c>
      <c r="AV575" s="609">
        <v>0</v>
      </c>
      <c r="AW575" s="609">
        <v>4428917</v>
      </c>
      <c r="AX575" s="609">
        <v>5328915</v>
      </c>
      <c r="AY575" s="609">
        <v>5328915</v>
      </c>
      <c r="AZ575" s="615">
        <v>5328915</v>
      </c>
      <c r="BA575" s="615">
        <v>5328915</v>
      </c>
      <c r="BB575" s="615">
        <v>484931222</v>
      </c>
      <c r="BC575" s="615">
        <v>0</v>
      </c>
      <c r="BD575" s="615">
        <v>0</v>
      </c>
      <c r="BE575" s="615">
        <v>0</v>
      </c>
      <c r="BF575" s="615">
        <v>0</v>
      </c>
      <c r="BG575" s="615">
        <v>0</v>
      </c>
      <c r="BH575" s="615">
        <v>0</v>
      </c>
      <c r="BI575" s="615">
        <v>0</v>
      </c>
      <c r="BJ575" s="615">
        <v>0</v>
      </c>
      <c r="BK575" s="615">
        <v>0</v>
      </c>
      <c r="BL575" s="615">
        <v>0</v>
      </c>
      <c r="BM575" s="615">
        <v>0</v>
      </c>
      <c r="BN575" s="615">
        <v>0</v>
      </c>
      <c r="BO575" s="615">
        <v>0</v>
      </c>
      <c r="BP575" s="615">
        <v>0</v>
      </c>
      <c r="BQ575" s="615">
        <v>0</v>
      </c>
      <c r="BR575" s="615">
        <v>0</v>
      </c>
      <c r="BS575" s="615">
        <v>0</v>
      </c>
      <c r="BT575" s="615">
        <v>0</v>
      </c>
      <c r="BU575" s="615">
        <v>0</v>
      </c>
      <c r="BV575" s="615">
        <v>0</v>
      </c>
      <c r="BW575" s="615">
        <v>0</v>
      </c>
      <c r="BX575" s="607">
        <f t="shared" si="21"/>
        <v>510675799</v>
      </c>
    </row>
    <row r="576" spans="1:76" x14ac:dyDescent="0.2">
      <c r="A576" s="902"/>
      <c r="B576" s="610" t="s">
        <v>2615</v>
      </c>
      <c r="C576" s="608" t="s">
        <v>3706</v>
      </c>
      <c r="D576" s="609"/>
      <c r="E576" s="609"/>
      <c r="F576" s="609"/>
      <c r="G576" s="609"/>
      <c r="H576" s="609"/>
      <c r="I576" s="609"/>
      <c r="J576" s="609"/>
      <c r="K576" s="609"/>
      <c r="L576" s="609"/>
      <c r="M576" s="609"/>
      <c r="N576" s="609"/>
      <c r="O576" s="609"/>
      <c r="P576" s="609"/>
      <c r="Q576" s="609"/>
      <c r="R576" s="609"/>
      <c r="S576" s="609"/>
      <c r="T576" s="609"/>
      <c r="U576" s="609"/>
      <c r="V576" s="609"/>
      <c r="W576" s="609"/>
      <c r="X576" s="609"/>
      <c r="Y576" s="609">
        <v>0</v>
      </c>
      <c r="Z576" s="609">
        <v>0</v>
      </c>
      <c r="AA576" s="609">
        <v>0</v>
      </c>
      <c r="AB576" s="609">
        <v>0</v>
      </c>
      <c r="AC576" s="609">
        <v>0</v>
      </c>
      <c r="AD576" s="609">
        <v>0</v>
      </c>
      <c r="AE576" s="609">
        <v>0</v>
      </c>
      <c r="AF576" s="609">
        <v>0</v>
      </c>
      <c r="AG576" s="609">
        <v>0</v>
      </c>
      <c r="AH576" s="609">
        <v>0</v>
      </c>
      <c r="AI576" s="609">
        <v>0</v>
      </c>
      <c r="AJ576" s="609">
        <v>0</v>
      </c>
      <c r="AK576" s="609">
        <v>0</v>
      </c>
      <c r="AL576" s="609">
        <v>0</v>
      </c>
      <c r="AM576" s="609">
        <v>0</v>
      </c>
      <c r="AN576" s="609">
        <v>0</v>
      </c>
      <c r="AO576" s="609">
        <v>0</v>
      </c>
      <c r="AP576" s="609">
        <v>0</v>
      </c>
      <c r="AQ576" s="609">
        <v>0</v>
      </c>
      <c r="AR576" s="609">
        <v>0</v>
      </c>
      <c r="AS576" s="609">
        <v>0</v>
      </c>
      <c r="AT576" s="609">
        <v>0</v>
      </c>
      <c r="AU576" s="609">
        <v>0</v>
      </c>
      <c r="AV576" s="609">
        <v>39301746</v>
      </c>
      <c r="AW576" s="609">
        <v>4000000</v>
      </c>
      <c r="AX576" s="609">
        <v>4000000</v>
      </c>
      <c r="AY576" s="609">
        <v>381998280</v>
      </c>
      <c r="AZ576" s="615">
        <v>0</v>
      </c>
      <c r="BA576" s="615">
        <v>0</v>
      </c>
      <c r="BB576" s="615">
        <v>0</v>
      </c>
      <c r="BC576" s="615">
        <v>0</v>
      </c>
      <c r="BD576" s="615">
        <v>0</v>
      </c>
      <c r="BE576" s="615">
        <v>0</v>
      </c>
      <c r="BF576" s="615">
        <v>0</v>
      </c>
      <c r="BG576" s="615">
        <v>0</v>
      </c>
      <c r="BH576" s="615">
        <v>0</v>
      </c>
      <c r="BI576" s="615">
        <v>0</v>
      </c>
      <c r="BJ576" s="615">
        <v>0</v>
      </c>
      <c r="BK576" s="615">
        <v>0</v>
      </c>
      <c r="BL576" s="615">
        <v>0</v>
      </c>
      <c r="BM576" s="615">
        <v>0</v>
      </c>
      <c r="BN576" s="615">
        <v>0</v>
      </c>
      <c r="BO576" s="615">
        <v>0</v>
      </c>
      <c r="BP576" s="615">
        <v>0</v>
      </c>
      <c r="BQ576" s="615">
        <v>0</v>
      </c>
      <c r="BR576" s="615">
        <v>0</v>
      </c>
      <c r="BS576" s="615">
        <v>0</v>
      </c>
      <c r="BT576" s="615">
        <v>0</v>
      </c>
      <c r="BU576" s="615">
        <v>0</v>
      </c>
      <c r="BV576" s="615">
        <v>0</v>
      </c>
      <c r="BW576" s="615">
        <v>0</v>
      </c>
      <c r="BX576" s="607">
        <f t="shared" si="21"/>
        <v>429300026</v>
      </c>
    </row>
    <row r="577" spans="1:76" x14ac:dyDescent="0.2">
      <c r="A577" s="902"/>
      <c r="B577" s="610" t="s">
        <v>1514</v>
      </c>
      <c r="C577" s="608" t="s">
        <v>3707</v>
      </c>
      <c r="D577" s="609"/>
      <c r="E577" s="609"/>
      <c r="F577" s="609"/>
      <c r="G577" s="609"/>
      <c r="H577" s="609"/>
      <c r="I577" s="609"/>
      <c r="J577" s="609"/>
      <c r="K577" s="609"/>
      <c r="L577" s="609"/>
      <c r="M577" s="609"/>
      <c r="N577" s="609"/>
      <c r="O577" s="609"/>
      <c r="P577" s="609"/>
      <c r="Q577" s="609"/>
      <c r="R577" s="609"/>
      <c r="S577" s="609"/>
      <c r="T577" s="609"/>
      <c r="U577" s="609"/>
      <c r="V577" s="609"/>
      <c r="W577" s="609"/>
      <c r="X577" s="609"/>
      <c r="Y577" s="609">
        <v>0</v>
      </c>
      <c r="Z577" s="609">
        <v>0</v>
      </c>
      <c r="AA577" s="609">
        <v>0</v>
      </c>
      <c r="AB577" s="609">
        <v>0</v>
      </c>
      <c r="AC577" s="609">
        <v>0</v>
      </c>
      <c r="AD577" s="609">
        <v>0</v>
      </c>
      <c r="AE577" s="609">
        <v>0</v>
      </c>
      <c r="AF577" s="609">
        <v>0</v>
      </c>
      <c r="AG577" s="609">
        <v>0</v>
      </c>
      <c r="AH577" s="609">
        <v>0</v>
      </c>
      <c r="AI577" s="609">
        <v>0</v>
      </c>
      <c r="AJ577" s="609">
        <v>0</v>
      </c>
      <c r="AK577" s="609">
        <v>0</v>
      </c>
      <c r="AL577" s="609">
        <v>0</v>
      </c>
      <c r="AM577" s="609">
        <v>0</v>
      </c>
      <c r="AN577" s="609">
        <v>0</v>
      </c>
      <c r="AO577" s="609">
        <v>0</v>
      </c>
      <c r="AP577" s="609">
        <v>0</v>
      </c>
      <c r="AQ577" s="609">
        <v>0</v>
      </c>
      <c r="AR577" s="609">
        <v>0</v>
      </c>
      <c r="AS577" s="609">
        <v>0</v>
      </c>
      <c r="AT577" s="609">
        <v>0</v>
      </c>
      <c r="AU577" s="609">
        <v>719667</v>
      </c>
      <c r="AV577" s="609">
        <v>3569497</v>
      </c>
      <c r="AW577" s="609">
        <v>3569497</v>
      </c>
      <c r="AX577" s="609">
        <v>3569503</v>
      </c>
      <c r="AY577" s="609">
        <v>275855790</v>
      </c>
      <c r="AZ577" s="615">
        <v>0</v>
      </c>
      <c r="BA577" s="615">
        <v>0</v>
      </c>
      <c r="BB577" s="615">
        <v>0</v>
      </c>
      <c r="BC577" s="615">
        <v>0</v>
      </c>
      <c r="BD577" s="615">
        <v>0</v>
      </c>
      <c r="BE577" s="615">
        <v>0</v>
      </c>
      <c r="BF577" s="615">
        <v>0</v>
      </c>
      <c r="BG577" s="615">
        <v>0</v>
      </c>
      <c r="BH577" s="615">
        <v>0</v>
      </c>
      <c r="BI577" s="615">
        <v>0</v>
      </c>
      <c r="BJ577" s="615">
        <v>0</v>
      </c>
      <c r="BK577" s="615">
        <v>0</v>
      </c>
      <c r="BL577" s="615">
        <v>0</v>
      </c>
      <c r="BM577" s="615">
        <v>0</v>
      </c>
      <c r="BN577" s="615">
        <v>0</v>
      </c>
      <c r="BO577" s="615">
        <v>0</v>
      </c>
      <c r="BP577" s="615">
        <v>0</v>
      </c>
      <c r="BQ577" s="615">
        <v>0</v>
      </c>
      <c r="BR577" s="615">
        <v>0</v>
      </c>
      <c r="BS577" s="615">
        <v>0</v>
      </c>
      <c r="BT577" s="615">
        <v>0</v>
      </c>
      <c r="BU577" s="615">
        <v>0</v>
      </c>
      <c r="BV577" s="615">
        <v>0</v>
      </c>
      <c r="BW577" s="615">
        <v>0</v>
      </c>
      <c r="BX577" s="607">
        <f t="shared" si="21"/>
        <v>287283954</v>
      </c>
    </row>
    <row r="578" spans="1:76" x14ac:dyDescent="0.2">
      <c r="A578" s="902"/>
      <c r="B578" s="610" t="s">
        <v>1724</v>
      </c>
      <c r="C578" s="608" t="s">
        <v>3708</v>
      </c>
      <c r="D578" s="609"/>
      <c r="E578" s="609"/>
      <c r="F578" s="609"/>
      <c r="G578" s="609"/>
      <c r="H578" s="609"/>
      <c r="I578" s="609"/>
      <c r="J578" s="609"/>
      <c r="K578" s="609"/>
      <c r="L578" s="609"/>
      <c r="M578" s="609"/>
      <c r="N578" s="609"/>
      <c r="O578" s="609"/>
      <c r="P578" s="609"/>
      <c r="Q578" s="609"/>
      <c r="R578" s="609"/>
      <c r="S578" s="609"/>
      <c r="T578" s="609"/>
      <c r="U578" s="609"/>
      <c r="V578" s="609"/>
      <c r="W578" s="609"/>
      <c r="X578" s="609"/>
      <c r="Y578" s="609">
        <v>0</v>
      </c>
      <c r="Z578" s="609">
        <v>0</v>
      </c>
      <c r="AA578" s="609">
        <v>0</v>
      </c>
      <c r="AB578" s="609">
        <v>0</v>
      </c>
      <c r="AC578" s="609">
        <v>0</v>
      </c>
      <c r="AD578" s="609">
        <v>0</v>
      </c>
      <c r="AE578" s="609">
        <v>0</v>
      </c>
      <c r="AF578" s="609">
        <v>0</v>
      </c>
      <c r="AG578" s="609">
        <v>0</v>
      </c>
      <c r="AH578" s="609">
        <v>0</v>
      </c>
      <c r="AI578" s="609">
        <v>0</v>
      </c>
      <c r="AJ578" s="609">
        <v>0</v>
      </c>
      <c r="AK578" s="609">
        <v>0</v>
      </c>
      <c r="AL578" s="609">
        <v>0</v>
      </c>
      <c r="AM578" s="609">
        <v>0</v>
      </c>
      <c r="AN578" s="609">
        <v>0</v>
      </c>
      <c r="AO578" s="609">
        <v>0</v>
      </c>
      <c r="AP578" s="609">
        <v>0</v>
      </c>
      <c r="AQ578" s="609">
        <v>0</v>
      </c>
      <c r="AR578" s="609">
        <v>0</v>
      </c>
      <c r="AS578" s="609">
        <v>0</v>
      </c>
      <c r="AT578" s="609">
        <v>0</v>
      </c>
      <c r="AU578" s="609">
        <v>0</v>
      </c>
      <c r="AV578" s="609">
        <v>0</v>
      </c>
      <c r="AW578" s="609">
        <v>0</v>
      </c>
      <c r="AX578" s="609">
        <v>4376401</v>
      </c>
      <c r="AY578" s="609">
        <v>5160781</v>
      </c>
      <c r="AZ578" s="615">
        <v>5160781</v>
      </c>
      <c r="BA578" s="615">
        <v>5160781</v>
      </c>
      <c r="BB578" s="615">
        <v>5160781</v>
      </c>
      <c r="BC578" s="615">
        <v>5160775</v>
      </c>
      <c r="BD578" s="615">
        <v>322008718</v>
      </c>
      <c r="BE578" s="615">
        <v>0</v>
      </c>
      <c r="BF578" s="615">
        <v>0</v>
      </c>
      <c r="BG578" s="615">
        <v>0</v>
      </c>
      <c r="BH578" s="615">
        <v>0</v>
      </c>
      <c r="BI578" s="615">
        <v>0</v>
      </c>
      <c r="BJ578" s="615">
        <v>0</v>
      </c>
      <c r="BK578" s="615">
        <v>0</v>
      </c>
      <c r="BL578" s="615">
        <v>0</v>
      </c>
      <c r="BM578" s="615">
        <v>0</v>
      </c>
      <c r="BN578" s="615">
        <v>0</v>
      </c>
      <c r="BO578" s="615">
        <v>0</v>
      </c>
      <c r="BP578" s="615">
        <v>0</v>
      </c>
      <c r="BQ578" s="615">
        <v>0</v>
      </c>
      <c r="BR578" s="615">
        <v>0</v>
      </c>
      <c r="BS578" s="615">
        <v>0</v>
      </c>
      <c r="BT578" s="615">
        <v>0</v>
      </c>
      <c r="BU578" s="615">
        <v>0</v>
      </c>
      <c r="BV578" s="615">
        <v>0</v>
      </c>
      <c r="BW578" s="615">
        <v>0</v>
      </c>
      <c r="BX578" s="607">
        <f t="shared" ref="BX578:BX595" si="22">SUM(K578:BW578)</f>
        <v>352189018</v>
      </c>
    </row>
    <row r="579" spans="1:76" x14ac:dyDescent="0.2">
      <c r="A579" s="902"/>
      <c r="B579" s="610" t="s">
        <v>4294</v>
      </c>
      <c r="C579" s="608" t="s">
        <v>4293</v>
      </c>
      <c r="D579" s="609"/>
      <c r="E579" s="609"/>
      <c r="F579" s="609"/>
      <c r="G579" s="609"/>
      <c r="H579" s="609"/>
      <c r="I579" s="609"/>
      <c r="J579" s="609"/>
      <c r="K579" s="609"/>
      <c r="L579" s="609"/>
      <c r="M579" s="609">
        <v>0</v>
      </c>
      <c r="N579" s="609">
        <v>0</v>
      </c>
      <c r="O579" s="609">
        <v>0</v>
      </c>
      <c r="P579" s="609">
        <v>0</v>
      </c>
      <c r="Q579" s="609">
        <v>0</v>
      </c>
      <c r="R579" s="609">
        <v>0</v>
      </c>
      <c r="S579" s="609">
        <v>0</v>
      </c>
      <c r="T579" s="609">
        <v>0</v>
      </c>
      <c r="U579" s="609">
        <v>0</v>
      </c>
      <c r="V579" s="609">
        <v>0</v>
      </c>
      <c r="W579" s="609">
        <v>0</v>
      </c>
      <c r="X579" s="609">
        <v>0</v>
      </c>
      <c r="Y579" s="609">
        <v>0</v>
      </c>
      <c r="Z579" s="609">
        <v>0</v>
      </c>
      <c r="AA579" s="609">
        <v>0</v>
      </c>
      <c r="AB579" s="609">
        <v>0</v>
      </c>
      <c r="AC579" s="609">
        <v>0</v>
      </c>
      <c r="AD579" s="609">
        <v>0</v>
      </c>
      <c r="AE579" s="609">
        <v>0</v>
      </c>
      <c r="AF579" s="609">
        <v>0</v>
      </c>
      <c r="AG579" s="609">
        <v>0</v>
      </c>
      <c r="AH579" s="609">
        <v>0</v>
      </c>
      <c r="AI579" s="609">
        <v>0</v>
      </c>
      <c r="AJ579" s="609">
        <v>0</v>
      </c>
      <c r="AK579" s="609">
        <v>0</v>
      </c>
      <c r="AL579" s="609">
        <v>0</v>
      </c>
      <c r="AM579" s="609">
        <v>0</v>
      </c>
      <c r="AN579" s="609">
        <v>0</v>
      </c>
      <c r="AO579" s="609">
        <v>0</v>
      </c>
      <c r="AP579" s="609">
        <v>0</v>
      </c>
      <c r="AQ579" s="609">
        <v>0</v>
      </c>
      <c r="AR579" s="609">
        <v>0</v>
      </c>
      <c r="AS579" s="609">
        <v>0</v>
      </c>
      <c r="AT579" s="609">
        <v>0</v>
      </c>
      <c r="AU579" s="609">
        <v>0</v>
      </c>
      <c r="AV579" s="609">
        <v>4000000</v>
      </c>
      <c r="AW579" s="609">
        <v>4000000</v>
      </c>
      <c r="AX579" s="609">
        <v>4000000</v>
      </c>
      <c r="AY579" s="609">
        <v>4000000</v>
      </c>
      <c r="AZ579" s="615">
        <v>10000000</v>
      </c>
      <c r="BA579" s="615">
        <v>4000000</v>
      </c>
      <c r="BB579" s="615">
        <v>4000000</v>
      </c>
      <c r="BC579" s="615">
        <v>4000000</v>
      </c>
      <c r="BD579" s="615">
        <v>9097939</v>
      </c>
      <c r="BE579" s="615">
        <v>4000000</v>
      </c>
      <c r="BF579" s="615">
        <v>493824993</v>
      </c>
      <c r="BG579" s="615">
        <v>0</v>
      </c>
      <c r="BH579" s="615">
        <v>0</v>
      </c>
      <c r="BI579" s="615">
        <v>0</v>
      </c>
      <c r="BJ579" s="615">
        <v>0</v>
      </c>
      <c r="BK579" s="615">
        <v>0</v>
      </c>
      <c r="BL579" s="615">
        <v>0</v>
      </c>
      <c r="BM579" s="615">
        <v>0</v>
      </c>
      <c r="BN579" s="615">
        <v>0</v>
      </c>
      <c r="BO579" s="615">
        <v>0</v>
      </c>
      <c r="BP579" s="615">
        <v>0</v>
      </c>
      <c r="BQ579" s="615">
        <v>0</v>
      </c>
      <c r="BR579" s="615">
        <v>0</v>
      </c>
      <c r="BS579" s="615">
        <v>0</v>
      </c>
      <c r="BT579" s="615">
        <v>0</v>
      </c>
      <c r="BU579" s="615">
        <v>0</v>
      </c>
      <c r="BV579" s="615">
        <v>0</v>
      </c>
      <c r="BW579" s="615">
        <v>0</v>
      </c>
      <c r="BX579" s="607">
        <f t="shared" si="22"/>
        <v>544922932</v>
      </c>
    </row>
    <row r="580" spans="1:76" x14ac:dyDescent="0.2">
      <c r="A580" s="902"/>
      <c r="B580" s="610" t="s">
        <v>1723</v>
      </c>
      <c r="C580" s="608" t="s">
        <v>3709</v>
      </c>
      <c r="D580" s="609"/>
      <c r="E580" s="609"/>
      <c r="F580" s="609"/>
      <c r="G580" s="609"/>
      <c r="H580" s="609"/>
      <c r="I580" s="609"/>
      <c r="J580" s="609"/>
      <c r="K580" s="609"/>
      <c r="L580" s="609"/>
      <c r="M580" s="609"/>
      <c r="N580" s="609"/>
      <c r="O580" s="609"/>
      <c r="P580" s="609"/>
      <c r="Q580" s="609"/>
      <c r="R580" s="609"/>
      <c r="S580" s="609"/>
      <c r="T580" s="609"/>
      <c r="U580" s="609"/>
      <c r="V580" s="609"/>
      <c r="W580" s="609"/>
      <c r="X580" s="609"/>
      <c r="Y580" s="609"/>
      <c r="Z580" s="609"/>
      <c r="AA580" s="609"/>
      <c r="AB580" s="609">
        <v>0</v>
      </c>
      <c r="AC580" s="609">
        <v>0</v>
      </c>
      <c r="AD580" s="609">
        <v>0</v>
      </c>
      <c r="AE580" s="609">
        <v>0</v>
      </c>
      <c r="AF580" s="609">
        <v>0</v>
      </c>
      <c r="AG580" s="609">
        <v>0</v>
      </c>
      <c r="AH580" s="609">
        <v>0</v>
      </c>
      <c r="AI580" s="609">
        <v>0</v>
      </c>
      <c r="AJ580" s="609">
        <v>0</v>
      </c>
      <c r="AK580" s="609">
        <v>0</v>
      </c>
      <c r="AL580" s="609">
        <v>0</v>
      </c>
      <c r="AM580" s="609">
        <v>0</v>
      </c>
      <c r="AN580" s="609">
        <v>0</v>
      </c>
      <c r="AO580" s="609">
        <v>0</v>
      </c>
      <c r="AP580" s="609">
        <v>0</v>
      </c>
      <c r="AQ580" s="609">
        <v>0</v>
      </c>
      <c r="AR580" s="609">
        <v>0</v>
      </c>
      <c r="AS580" s="609">
        <v>0</v>
      </c>
      <c r="AT580" s="609">
        <v>0</v>
      </c>
      <c r="AU580" s="609">
        <v>0</v>
      </c>
      <c r="AV580" s="609">
        <v>0</v>
      </c>
      <c r="AW580" s="609">
        <v>0</v>
      </c>
      <c r="AX580" s="609">
        <v>5211100</v>
      </c>
      <c r="AY580" s="609">
        <v>5211100</v>
      </c>
      <c r="AZ580" s="615">
        <v>5211100</v>
      </c>
      <c r="BA580" s="615">
        <v>5211100</v>
      </c>
      <c r="BB580" s="615">
        <v>5211100</v>
      </c>
      <c r="BC580" s="615">
        <v>5211100</v>
      </c>
      <c r="BD580" s="615">
        <v>320818643</v>
      </c>
      <c r="BE580" s="615">
        <v>0</v>
      </c>
      <c r="BF580" s="615">
        <v>0</v>
      </c>
      <c r="BG580" s="615">
        <v>0</v>
      </c>
      <c r="BH580" s="615">
        <v>0</v>
      </c>
      <c r="BI580" s="615">
        <v>0</v>
      </c>
      <c r="BJ580" s="615">
        <v>0</v>
      </c>
      <c r="BK580" s="615">
        <v>0</v>
      </c>
      <c r="BL580" s="615">
        <v>0</v>
      </c>
      <c r="BM580" s="615">
        <v>0</v>
      </c>
      <c r="BN580" s="615">
        <v>0</v>
      </c>
      <c r="BO580" s="615">
        <v>0</v>
      </c>
      <c r="BP580" s="615">
        <v>0</v>
      </c>
      <c r="BQ580" s="615">
        <v>0</v>
      </c>
      <c r="BR580" s="615">
        <v>0</v>
      </c>
      <c r="BS580" s="615">
        <v>0</v>
      </c>
      <c r="BT580" s="615">
        <v>0</v>
      </c>
      <c r="BU580" s="615">
        <v>0</v>
      </c>
      <c r="BV580" s="615">
        <v>0</v>
      </c>
      <c r="BW580" s="615">
        <v>0</v>
      </c>
      <c r="BX580" s="607">
        <f t="shared" si="22"/>
        <v>352085243</v>
      </c>
    </row>
    <row r="581" spans="1:76" x14ac:dyDescent="0.2">
      <c r="A581" s="902"/>
      <c r="B581" s="610" t="s">
        <v>1515</v>
      </c>
      <c r="C581" s="608" t="s">
        <v>3710</v>
      </c>
      <c r="D581" s="609"/>
      <c r="E581" s="609"/>
      <c r="F581" s="609"/>
      <c r="G581" s="609"/>
      <c r="H581" s="609"/>
      <c r="I581" s="609"/>
      <c r="J581" s="609"/>
      <c r="K581" s="609"/>
      <c r="L581" s="609"/>
      <c r="M581" s="609"/>
      <c r="N581" s="609"/>
      <c r="O581" s="609"/>
      <c r="P581" s="609"/>
      <c r="Q581" s="609"/>
      <c r="R581" s="609"/>
      <c r="S581" s="609"/>
      <c r="T581" s="609"/>
      <c r="U581" s="609"/>
      <c r="V581" s="609"/>
      <c r="W581" s="609"/>
      <c r="X581" s="609"/>
      <c r="Y581" s="609"/>
      <c r="Z581" s="609"/>
      <c r="AA581" s="609"/>
      <c r="AB581" s="609">
        <v>0</v>
      </c>
      <c r="AC581" s="609">
        <v>0</v>
      </c>
      <c r="AD581" s="609">
        <v>0</v>
      </c>
      <c r="AE581" s="609">
        <v>0</v>
      </c>
      <c r="AF581" s="609">
        <v>0</v>
      </c>
      <c r="AG581" s="609">
        <v>0</v>
      </c>
      <c r="AH581" s="609">
        <v>0</v>
      </c>
      <c r="AI581" s="609">
        <v>0</v>
      </c>
      <c r="AJ581" s="609">
        <v>0</v>
      </c>
      <c r="AK581" s="609">
        <v>0</v>
      </c>
      <c r="AL581" s="609">
        <v>0</v>
      </c>
      <c r="AM581" s="609">
        <v>0</v>
      </c>
      <c r="AN581" s="609">
        <v>0</v>
      </c>
      <c r="AO581" s="609">
        <v>0</v>
      </c>
      <c r="AP581" s="609">
        <v>0</v>
      </c>
      <c r="AQ581" s="609">
        <v>0</v>
      </c>
      <c r="AR581" s="609">
        <v>0</v>
      </c>
      <c r="AS581" s="609">
        <v>1443063</v>
      </c>
      <c r="AT581" s="609">
        <v>3719321</v>
      </c>
      <c r="AU581" s="609">
        <v>3719321</v>
      </c>
      <c r="AV581" s="609">
        <v>3719321</v>
      </c>
      <c r="AW581" s="609">
        <v>3719321</v>
      </c>
      <c r="AX581" s="609">
        <v>3719330</v>
      </c>
      <c r="AY581" s="609">
        <v>278364240</v>
      </c>
      <c r="AZ581" s="615">
        <v>0</v>
      </c>
      <c r="BA581" s="615">
        <v>0</v>
      </c>
      <c r="BB581" s="615">
        <v>0</v>
      </c>
      <c r="BC581" s="615">
        <v>0</v>
      </c>
      <c r="BD581" s="615">
        <v>0</v>
      </c>
      <c r="BE581" s="615">
        <v>0</v>
      </c>
      <c r="BF581" s="615">
        <v>0</v>
      </c>
      <c r="BG581" s="615">
        <v>0</v>
      </c>
      <c r="BH581" s="615">
        <v>0</v>
      </c>
      <c r="BI581" s="615">
        <v>0</v>
      </c>
      <c r="BJ581" s="615">
        <v>0</v>
      </c>
      <c r="BK581" s="615">
        <v>0</v>
      </c>
      <c r="BL581" s="615">
        <v>0</v>
      </c>
      <c r="BM581" s="615">
        <v>0</v>
      </c>
      <c r="BN581" s="615">
        <v>0</v>
      </c>
      <c r="BO581" s="615">
        <v>0</v>
      </c>
      <c r="BP581" s="615">
        <v>0</v>
      </c>
      <c r="BQ581" s="615">
        <v>0</v>
      </c>
      <c r="BR581" s="615">
        <v>0</v>
      </c>
      <c r="BS581" s="615">
        <v>0</v>
      </c>
      <c r="BT581" s="615">
        <v>0</v>
      </c>
      <c r="BU581" s="615">
        <v>0</v>
      </c>
      <c r="BV581" s="615">
        <v>0</v>
      </c>
      <c r="BW581" s="615">
        <v>0</v>
      </c>
      <c r="BX581" s="607">
        <f t="shared" si="22"/>
        <v>298403917</v>
      </c>
    </row>
    <row r="582" spans="1:76" x14ac:dyDescent="0.2">
      <c r="A582" s="902"/>
      <c r="B582" s="610" t="s">
        <v>1673</v>
      </c>
      <c r="C582" s="608" t="s">
        <v>3711</v>
      </c>
      <c r="D582" s="609"/>
      <c r="E582" s="609"/>
      <c r="F582" s="609"/>
      <c r="G582" s="609"/>
      <c r="H582" s="609"/>
      <c r="I582" s="609"/>
      <c r="J582" s="609"/>
      <c r="K582" s="609"/>
      <c r="L582" s="609"/>
      <c r="M582" s="609"/>
      <c r="N582" s="609"/>
      <c r="O582" s="609"/>
      <c r="P582" s="609"/>
      <c r="Q582" s="609"/>
      <c r="R582" s="609"/>
      <c r="S582" s="609"/>
      <c r="T582" s="609"/>
      <c r="U582" s="609"/>
      <c r="V582" s="609"/>
      <c r="W582" s="609"/>
      <c r="X582" s="609"/>
      <c r="Y582" s="609"/>
      <c r="Z582" s="609"/>
      <c r="AA582" s="609"/>
      <c r="AB582" s="609">
        <v>0</v>
      </c>
      <c r="AC582" s="609">
        <v>0</v>
      </c>
      <c r="AD582" s="609">
        <v>0</v>
      </c>
      <c r="AE582" s="609">
        <v>0</v>
      </c>
      <c r="AF582" s="609">
        <v>0</v>
      </c>
      <c r="AG582" s="609">
        <v>0</v>
      </c>
      <c r="AH582" s="609">
        <v>0</v>
      </c>
      <c r="AI582" s="609">
        <v>0</v>
      </c>
      <c r="AJ582" s="609">
        <v>0</v>
      </c>
      <c r="AK582" s="609">
        <v>0</v>
      </c>
      <c r="AL582" s="609">
        <v>0</v>
      </c>
      <c r="AM582" s="609">
        <v>0</v>
      </c>
      <c r="AN582" s="609">
        <v>0</v>
      </c>
      <c r="AO582" s="609">
        <v>0</v>
      </c>
      <c r="AP582" s="609">
        <v>0</v>
      </c>
      <c r="AQ582" s="609">
        <v>0</v>
      </c>
      <c r="AR582" s="609">
        <v>0</v>
      </c>
      <c r="AS582" s="609">
        <v>0</v>
      </c>
      <c r="AT582" s="609">
        <v>0</v>
      </c>
      <c r="AU582" s="609">
        <v>0</v>
      </c>
      <c r="AV582" s="609">
        <v>4564450</v>
      </c>
      <c r="AW582" s="609">
        <v>5166550</v>
      </c>
      <c r="AX582" s="609">
        <v>5166550</v>
      </c>
      <c r="AY582" s="609">
        <v>5166550</v>
      </c>
      <c r="AZ582" s="615">
        <v>5166550</v>
      </c>
      <c r="BA582" s="615">
        <v>5166550</v>
      </c>
      <c r="BB582" s="615">
        <v>5166550</v>
      </c>
      <c r="BC582" s="615">
        <v>5166550</v>
      </c>
      <c r="BD582" s="615">
        <v>322770700</v>
      </c>
      <c r="BE582" s="615">
        <v>0</v>
      </c>
      <c r="BF582" s="615">
        <v>0</v>
      </c>
      <c r="BG582" s="615">
        <v>0</v>
      </c>
      <c r="BH582" s="615">
        <v>0</v>
      </c>
      <c r="BI582" s="615">
        <v>0</v>
      </c>
      <c r="BJ582" s="615">
        <v>0</v>
      </c>
      <c r="BK582" s="615">
        <v>0</v>
      </c>
      <c r="BL582" s="615">
        <v>0</v>
      </c>
      <c r="BM582" s="615">
        <v>0</v>
      </c>
      <c r="BN582" s="615">
        <v>0</v>
      </c>
      <c r="BO582" s="615">
        <v>0</v>
      </c>
      <c r="BP582" s="615">
        <v>0</v>
      </c>
      <c r="BQ582" s="615">
        <v>0</v>
      </c>
      <c r="BR582" s="615">
        <v>0</v>
      </c>
      <c r="BS582" s="615">
        <v>0</v>
      </c>
      <c r="BT582" s="615">
        <v>0</v>
      </c>
      <c r="BU582" s="615">
        <v>0</v>
      </c>
      <c r="BV582" s="615">
        <v>0</v>
      </c>
      <c r="BW582" s="615">
        <v>0</v>
      </c>
      <c r="BX582" s="607">
        <f t="shared" si="22"/>
        <v>363501000</v>
      </c>
    </row>
    <row r="583" spans="1:76" x14ac:dyDescent="0.2">
      <c r="A583" s="902"/>
      <c r="B583" s="610" t="s">
        <v>3284</v>
      </c>
      <c r="C583" s="608" t="s">
        <v>3712</v>
      </c>
      <c r="D583" s="609"/>
      <c r="E583" s="609"/>
      <c r="F583" s="609"/>
      <c r="G583" s="609"/>
      <c r="H583" s="609"/>
      <c r="I583" s="609"/>
      <c r="J583" s="609"/>
      <c r="K583" s="609"/>
      <c r="L583" s="609">
        <v>0</v>
      </c>
      <c r="M583" s="609">
        <v>0</v>
      </c>
      <c r="N583" s="609">
        <v>0</v>
      </c>
      <c r="O583" s="609">
        <v>0</v>
      </c>
      <c r="P583" s="609">
        <v>0</v>
      </c>
      <c r="Q583" s="609">
        <v>0</v>
      </c>
      <c r="R583" s="609">
        <v>0</v>
      </c>
      <c r="S583" s="609">
        <v>0</v>
      </c>
      <c r="T583" s="609">
        <v>0</v>
      </c>
      <c r="U583" s="609">
        <v>0</v>
      </c>
      <c r="V583" s="609">
        <v>0</v>
      </c>
      <c r="W583" s="609">
        <v>0</v>
      </c>
      <c r="X583" s="609">
        <v>0</v>
      </c>
      <c r="Y583" s="609">
        <v>0</v>
      </c>
      <c r="Z583" s="609">
        <v>0</v>
      </c>
      <c r="AA583" s="609">
        <v>0</v>
      </c>
      <c r="AB583" s="609">
        <v>0</v>
      </c>
      <c r="AC583" s="609">
        <v>0</v>
      </c>
      <c r="AD583" s="609">
        <v>0</v>
      </c>
      <c r="AE583" s="609">
        <v>0</v>
      </c>
      <c r="AF583" s="609">
        <v>0</v>
      </c>
      <c r="AG583" s="609">
        <v>0</v>
      </c>
      <c r="AH583" s="609">
        <v>0</v>
      </c>
      <c r="AI583" s="609">
        <v>0</v>
      </c>
      <c r="AJ583" s="609">
        <v>0</v>
      </c>
      <c r="AK583" s="609">
        <v>0</v>
      </c>
      <c r="AL583" s="609">
        <v>0</v>
      </c>
      <c r="AM583" s="609">
        <v>0</v>
      </c>
      <c r="AN583" s="609">
        <v>0</v>
      </c>
      <c r="AO583" s="609">
        <v>0</v>
      </c>
      <c r="AP583" s="609">
        <v>0</v>
      </c>
      <c r="AQ583" s="609">
        <v>0</v>
      </c>
      <c r="AR583" s="609">
        <v>0</v>
      </c>
      <c r="AS583" s="609">
        <v>0</v>
      </c>
      <c r="AT583" s="609">
        <v>0</v>
      </c>
      <c r="AU583" s="609">
        <v>0</v>
      </c>
      <c r="AV583" s="609">
        <v>0</v>
      </c>
      <c r="AW583" s="609">
        <v>0</v>
      </c>
      <c r="AX583" s="609">
        <v>0</v>
      </c>
      <c r="AY583" s="609">
        <v>311689324</v>
      </c>
      <c r="AZ583" s="615">
        <v>0</v>
      </c>
      <c r="BA583" s="615">
        <v>0</v>
      </c>
      <c r="BB583" s="615">
        <v>0</v>
      </c>
      <c r="BC583" s="615">
        <v>0</v>
      </c>
      <c r="BD583" s="615">
        <v>0</v>
      </c>
      <c r="BE583" s="615">
        <v>0</v>
      </c>
      <c r="BF583" s="615">
        <v>0</v>
      </c>
      <c r="BG583" s="615">
        <v>0</v>
      </c>
      <c r="BH583" s="615">
        <v>0</v>
      </c>
      <c r="BI583" s="615">
        <v>0</v>
      </c>
      <c r="BJ583" s="615">
        <v>0</v>
      </c>
      <c r="BK583" s="615">
        <v>0</v>
      </c>
      <c r="BL583" s="615">
        <v>0</v>
      </c>
      <c r="BM583" s="615">
        <v>0</v>
      </c>
      <c r="BN583" s="615">
        <v>0</v>
      </c>
      <c r="BO583" s="615">
        <v>0</v>
      </c>
      <c r="BP583" s="615">
        <v>0</v>
      </c>
      <c r="BQ583" s="615">
        <v>0</v>
      </c>
      <c r="BR583" s="615">
        <v>0</v>
      </c>
      <c r="BS583" s="615">
        <v>0</v>
      </c>
      <c r="BT583" s="615">
        <v>0</v>
      </c>
      <c r="BU583" s="615">
        <v>0</v>
      </c>
      <c r="BV583" s="615">
        <v>0</v>
      </c>
      <c r="BW583" s="615">
        <v>0</v>
      </c>
      <c r="BX583" s="607">
        <f t="shared" si="22"/>
        <v>311689324</v>
      </c>
    </row>
    <row r="584" spans="1:76" x14ac:dyDescent="0.2">
      <c r="A584" s="902"/>
      <c r="B584" s="610" t="s">
        <v>2249</v>
      </c>
      <c r="C584" s="608" t="s">
        <v>3713</v>
      </c>
      <c r="D584" s="609"/>
      <c r="E584" s="609"/>
      <c r="F584" s="609"/>
      <c r="G584" s="609"/>
      <c r="H584" s="609"/>
      <c r="I584" s="609"/>
      <c r="J584" s="609"/>
      <c r="K584" s="609"/>
      <c r="L584" s="609"/>
      <c r="M584" s="609"/>
      <c r="N584" s="609"/>
      <c r="O584" s="609"/>
      <c r="P584" s="609"/>
      <c r="Q584" s="609"/>
      <c r="R584" s="609"/>
      <c r="S584" s="609"/>
      <c r="T584" s="609"/>
      <c r="U584" s="609"/>
      <c r="V584" s="609"/>
      <c r="W584" s="609"/>
      <c r="X584" s="609"/>
      <c r="Y584" s="609"/>
      <c r="Z584" s="609"/>
      <c r="AA584" s="609"/>
      <c r="AB584" s="609"/>
      <c r="AC584" s="609"/>
      <c r="AD584" s="609"/>
      <c r="AE584" s="609"/>
      <c r="AF584" s="609"/>
      <c r="AG584" s="609">
        <v>0</v>
      </c>
      <c r="AH584" s="609">
        <v>0</v>
      </c>
      <c r="AI584" s="609">
        <v>0</v>
      </c>
      <c r="AJ584" s="609">
        <v>0</v>
      </c>
      <c r="AK584" s="609">
        <v>0</v>
      </c>
      <c r="AL584" s="609">
        <v>0</v>
      </c>
      <c r="AM584" s="609">
        <v>0</v>
      </c>
      <c r="AN584" s="609">
        <v>0</v>
      </c>
      <c r="AO584" s="609">
        <v>0</v>
      </c>
      <c r="AP584" s="609">
        <v>0</v>
      </c>
      <c r="AQ584" s="609">
        <v>0</v>
      </c>
      <c r="AR584" s="609">
        <v>0</v>
      </c>
      <c r="AS584" s="609">
        <v>0</v>
      </c>
      <c r="AT584" s="609">
        <v>0</v>
      </c>
      <c r="AU584" s="609">
        <v>0</v>
      </c>
      <c r="AV584" s="609">
        <v>0</v>
      </c>
      <c r="AW584" s="609">
        <v>6499328</v>
      </c>
      <c r="AX584" s="609">
        <v>6665989</v>
      </c>
      <c r="AY584" s="609">
        <v>6665989</v>
      </c>
      <c r="AZ584" s="615">
        <v>289304873</v>
      </c>
      <c r="BA584" s="615">
        <v>0</v>
      </c>
      <c r="BB584" s="615">
        <v>0</v>
      </c>
      <c r="BC584" s="615">
        <v>0</v>
      </c>
      <c r="BD584" s="615">
        <v>0</v>
      </c>
      <c r="BE584" s="615">
        <v>0</v>
      </c>
      <c r="BF584" s="615">
        <v>0</v>
      </c>
      <c r="BG584" s="615">
        <v>0</v>
      </c>
      <c r="BH584" s="615">
        <v>0</v>
      </c>
      <c r="BI584" s="615">
        <v>0</v>
      </c>
      <c r="BJ584" s="615">
        <v>0</v>
      </c>
      <c r="BK584" s="615">
        <v>0</v>
      </c>
      <c r="BL584" s="615">
        <v>0</v>
      </c>
      <c r="BM584" s="615">
        <v>0</v>
      </c>
      <c r="BN584" s="615">
        <v>0</v>
      </c>
      <c r="BO584" s="615">
        <v>0</v>
      </c>
      <c r="BP584" s="615">
        <v>0</v>
      </c>
      <c r="BQ584" s="615">
        <v>0</v>
      </c>
      <c r="BR584" s="615">
        <v>0</v>
      </c>
      <c r="BS584" s="615">
        <v>0</v>
      </c>
      <c r="BT584" s="615">
        <v>0</v>
      </c>
      <c r="BU584" s="615">
        <v>0</v>
      </c>
      <c r="BV584" s="615">
        <v>0</v>
      </c>
      <c r="BW584" s="615">
        <v>0</v>
      </c>
      <c r="BX584" s="607">
        <f t="shared" si="22"/>
        <v>309136179</v>
      </c>
    </row>
    <row r="585" spans="1:76" x14ac:dyDescent="0.2">
      <c r="A585" s="902"/>
      <c r="B585" s="610" t="s">
        <v>1750</v>
      </c>
      <c r="C585" s="608" t="s">
        <v>3714</v>
      </c>
      <c r="D585" s="609"/>
      <c r="E585" s="609"/>
      <c r="F585" s="609"/>
      <c r="G585" s="609"/>
      <c r="H585" s="609"/>
      <c r="I585" s="609"/>
      <c r="J585" s="609"/>
      <c r="K585" s="609"/>
      <c r="L585" s="609"/>
      <c r="M585" s="609"/>
      <c r="N585" s="609"/>
      <c r="O585" s="609"/>
      <c r="P585" s="609"/>
      <c r="Q585" s="609"/>
      <c r="R585" s="609"/>
      <c r="S585" s="609"/>
      <c r="T585" s="609"/>
      <c r="U585" s="609"/>
      <c r="V585" s="609"/>
      <c r="W585" s="609"/>
      <c r="X585" s="609"/>
      <c r="Y585" s="609"/>
      <c r="Z585" s="609"/>
      <c r="AA585" s="609"/>
      <c r="AB585" s="609"/>
      <c r="AC585" s="609"/>
      <c r="AD585" s="609"/>
      <c r="AE585" s="609"/>
      <c r="AF585" s="609"/>
      <c r="AG585" s="609">
        <v>0</v>
      </c>
      <c r="AH585" s="609">
        <v>0</v>
      </c>
      <c r="AI585" s="609">
        <v>0</v>
      </c>
      <c r="AJ585" s="609">
        <v>0</v>
      </c>
      <c r="AK585" s="609">
        <v>0</v>
      </c>
      <c r="AL585" s="609">
        <v>0</v>
      </c>
      <c r="AM585" s="609">
        <v>0</v>
      </c>
      <c r="AN585" s="609">
        <v>0</v>
      </c>
      <c r="AO585" s="609">
        <v>0</v>
      </c>
      <c r="AP585" s="609">
        <v>0</v>
      </c>
      <c r="AQ585" s="609">
        <v>0</v>
      </c>
      <c r="AR585" s="609">
        <v>0</v>
      </c>
      <c r="AS585" s="609">
        <v>0</v>
      </c>
      <c r="AT585" s="609">
        <v>0</v>
      </c>
      <c r="AU585" s="609">
        <v>0</v>
      </c>
      <c r="AV585" s="609">
        <v>0</v>
      </c>
      <c r="AW585" s="609">
        <v>3419075</v>
      </c>
      <c r="AX585" s="609">
        <v>3419076</v>
      </c>
      <c r="AY585" s="609">
        <v>3419072</v>
      </c>
      <c r="AZ585" s="615">
        <v>331703750</v>
      </c>
      <c r="BA585" s="615">
        <v>0</v>
      </c>
      <c r="BB585" s="615">
        <v>0</v>
      </c>
      <c r="BC585" s="615">
        <v>0</v>
      </c>
      <c r="BD585" s="615">
        <v>0</v>
      </c>
      <c r="BE585" s="615">
        <v>0</v>
      </c>
      <c r="BF585" s="615">
        <v>0</v>
      </c>
      <c r="BG585" s="615">
        <v>0</v>
      </c>
      <c r="BH585" s="615">
        <v>0</v>
      </c>
      <c r="BI585" s="615">
        <v>0</v>
      </c>
      <c r="BJ585" s="615">
        <v>0</v>
      </c>
      <c r="BK585" s="615">
        <v>0</v>
      </c>
      <c r="BL585" s="615">
        <v>0</v>
      </c>
      <c r="BM585" s="615">
        <v>0</v>
      </c>
      <c r="BN585" s="615">
        <v>0</v>
      </c>
      <c r="BO585" s="615">
        <v>0</v>
      </c>
      <c r="BP585" s="615">
        <v>0</v>
      </c>
      <c r="BQ585" s="615">
        <v>0</v>
      </c>
      <c r="BR585" s="615">
        <v>0</v>
      </c>
      <c r="BS585" s="615">
        <v>0</v>
      </c>
      <c r="BT585" s="615">
        <v>0</v>
      </c>
      <c r="BU585" s="615">
        <v>0</v>
      </c>
      <c r="BV585" s="615">
        <v>0</v>
      </c>
      <c r="BW585" s="615">
        <v>0</v>
      </c>
      <c r="BX585" s="607">
        <f t="shared" si="22"/>
        <v>341960973</v>
      </c>
    </row>
    <row r="586" spans="1:76" x14ac:dyDescent="0.2">
      <c r="A586" s="902"/>
      <c r="B586" s="610" t="s">
        <v>2582</v>
      </c>
      <c r="C586" s="608" t="s">
        <v>3715</v>
      </c>
      <c r="D586" s="609"/>
      <c r="E586" s="609"/>
      <c r="F586" s="609"/>
      <c r="G586" s="609"/>
      <c r="H586" s="609"/>
      <c r="I586" s="609"/>
      <c r="J586" s="609"/>
      <c r="K586" s="609"/>
      <c r="L586" s="609"/>
      <c r="M586" s="609"/>
      <c r="N586" s="609"/>
      <c r="O586" s="609"/>
      <c r="P586" s="609"/>
      <c r="Q586" s="609"/>
      <c r="R586" s="609"/>
      <c r="S586" s="609"/>
      <c r="T586" s="609"/>
      <c r="U586" s="609"/>
      <c r="V586" s="609"/>
      <c r="W586" s="609"/>
      <c r="X586" s="609"/>
      <c r="Y586" s="609"/>
      <c r="Z586" s="609"/>
      <c r="AA586" s="609"/>
      <c r="AB586" s="609"/>
      <c r="AC586" s="609"/>
      <c r="AD586" s="609"/>
      <c r="AE586" s="609"/>
      <c r="AF586" s="609"/>
      <c r="AG586" s="609">
        <v>0</v>
      </c>
      <c r="AH586" s="609">
        <v>0</v>
      </c>
      <c r="AI586" s="609">
        <v>0</v>
      </c>
      <c r="AJ586" s="609">
        <v>0</v>
      </c>
      <c r="AK586" s="609">
        <v>0</v>
      </c>
      <c r="AL586" s="609">
        <v>0</v>
      </c>
      <c r="AM586" s="609">
        <v>0</v>
      </c>
      <c r="AN586" s="609">
        <v>0</v>
      </c>
      <c r="AO586" s="609">
        <v>0</v>
      </c>
      <c r="AP586" s="609">
        <v>0</v>
      </c>
      <c r="AQ586" s="609">
        <v>0</v>
      </c>
      <c r="AR586" s="609">
        <v>0</v>
      </c>
      <c r="AS586" s="609">
        <v>0</v>
      </c>
      <c r="AT586" s="609">
        <v>0</v>
      </c>
      <c r="AU586" s="609">
        <v>0</v>
      </c>
      <c r="AV586" s="609">
        <v>0</v>
      </c>
      <c r="AW586" s="609">
        <v>0</v>
      </c>
      <c r="AX586" s="609">
        <v>0</v>
      </c>
      <c r="AY586" s="609">
        <v>386571850</v>
      </c>
      <c r="AZ586" s="615">
        <v>0</v>
      </c>
      <c r="BA586" s="615">
        <v>0</v>
      </c>
      <c r="BB586" s="615">
        <v>0</v>
      </c>
      <c r="BC586" s="615">
        <v>0</v>
      </c>
      <c r="BD586" s="615">
        <v>0</v>
      </c>
      <c r="BE586" s="615">
        <v>0</v>
      </c>
      <c r="BF586" s="615">
        <v>0</v>
      </c>
      <c r="BG586" s="615">
        <v>0</v>
      </c>
      <c r="BH586" s="615">
        <v>0</v>
      </c>
      <c r="BI586" s="615">
        <v>0</v>
      </c>
      <c r="BJ586" s="615">
        <v>0</v>
      </c>
      <c r="BK586" s="615">
        <v>0</v>
      </c>
      <c r="BL586" s="615">
        <v>0</v>
      </c>
      <c r="BM586" s="615">
        <v>0</v>
      </c>
      <c r="BN586" s="615">
        <v>0</v>
      </c>
      <c r="BO586" s="615">
        <v>0</v>
      </c>
      <c r="BP586" s="615">
        <v>0</v>
      </c>
      <c r="BQ586" s="615">
        <v>0</v>
      </c>
      <c r="BR586" s="615">
        <v>0</v>
      </c>
      <c r="BS586" s="615">
        <v>0</v>
      </c>
      <c r="BT586" s="615">
        <v>0</v>
      </c>
      <c r="BU586" s="615">
        <v>0</v>
      </c>
      <c r="BV586" s="615">
        <v>0</v>
      </c>
      <c r="BW586" s="615">
        <v>0</v>
      </c>
      <c r="BX586" s="607">
        <f t="shared" si="22"/>
        <v>386571850</v>
      </c>
    </row>
    <row r="587" spans="1:76" x14ac:dyDescent="0.2">
      <c r="A587" s="902"/>
      <c r="B587" s="610" t="s">
        <v>1436</v>
      </c>
      <c r="C587" s="608" t="s">
        <v>3716</v>
      </c>
      <c r="D587" s="609"/>
      <c r="E587" s="609"/>
      <c r="F587" s="609"/>
      <c r="G587" s="609"/>
      <c r="H587" s="609"/>
      <c r="I587" s="609"/>
      <c r="J587" s="609"/>
      <c r="K587" s="609"/>
      <c r="L587" s="609"/>
      <c r="M587" s="609"/>
      <c r="N587" s="609"/>
      <c r="O587" s="609"/>
      <c r="P587" s="609"/>
      <c r="Q587" s="609"/>
      <c r="R587" s="609"/>
      <c r="S587" s="609"/>
      <c r="T587" s="609"/>
      <c r="U587" s="609"/>
      <c r="V587" s="609"/>
      <c r="W587" s="609"/>
      <c r="X587" s="609"/>
      <c r="Y587" s="609"/>
      <c r="Z587" s="609"/>
      <c r="AA587" s="609"/>
      <c r="AB587" s="609"/>
      <c r="AC587" s="609"/>
      <c r="AD587" s="609"/>
      <c r="AE587" s="609"/>
      <c r="AF587" s="609"/>
      <c r="AG587" s="609">
        <v>0</v>
      </c>
      <c r="AH587" s="609">
        <v>0</v>
      </c>
      <c r="AI587" s="609">
        <v>0</v>
      </c>
      <c r="AJ587" s="609">
        <v>0</v>
      </c>
      <c r="AK587" s="609">
        <v>0</v>
      </c>
      <c r="AL587" s="609">
        <v>0</v>
      </c>
      <c r="AM587" s="609">
        <v>0</v>
      </c>
      <c r="AN587" s="609">
        <v>0</v>
      </c>
      <c r="AO587" s="609">
        <v>0</v>
      </c>
      <c r="AP587" s="609">
        <v>0</v>
      </c>
      <c r="AQ587" s="609">
        <v>0</v>
      </c>
      <c r="AR587" s="609">
        <v>0</v>
      </c>
      <c r="AS587" s="609">
        <v>0</v>
      </c>
      <c r="AT587" s="609">
        <v>0</v>
      </c>
      <c r="AU587" s="609">
        <v>0</v>
      </c>
      <c r="AV587" s="609">
        <v>4149274</v>
      </c>
      <c r="AW587" s="609">
        <v>4219126</v>
      </c>
      <c r="AX587" s="609">
        <v>4219141</v>
      </c>
      <c r="AY587" s="609">
        <v>324361443</v>
      </c>
      <c r="AZ587" s="615">
        <v>0</v>
      </c>
      <c r="BA587" s="615">
        <v>0</v>
      </c>
      <c r="BB587" s="615">
        <v>0</v>
      </c>
      <c r="BC587" s="615">
        <v>0</v>
      </c>
      <c r="BD587" s="615">
        <v>0</v>
      </c>
      <c r="BE587" s="615">
        <v>0</v>
      </c>
      <c r="BF587" s="615">
        <v>0</v>
      </c>
      <c r="BG587" s="615">
        <v>0</v>
      </c>
      <c r="BH587" s="615">
        <v>0</v>
      </c>
      <c r="BI587" s="615">
        <v>0</v>
      </c>
      <c r="BJ587" s="615">
        <v>0</v>
      </c>
      <c r="BK587" s="615">
        <v>0</v>
      </c>
      <c r="BL587" s="615">
        <v>0</v>
      </c>
      <c r="BM587" s="615">
        <v>0</v>
      </c>
      <c r="BN587" s="615">
        <v>0</v>
      </c>
      <c r="BO587" s="615">
        <v>0</v>
      </c>
      <c r="BP587" s="615">
        <v>0</v>
      </c>
      <c r="BQ587" s="615">
        <v>0</v>
      </c>
      <c r="BR587" s="615">
        <v>0</v>
      </c>
      <c r="BS587" s="615">
        <v>0</v>
      </c>
      <c r="BT587" s="615">
        <v>0</v>
      </c>
      <c r="BU587" s="615">
        <v>0</v>
      </c>
      <c r="BV587" s="615">
        <v>0</v>
      </c>
      <c r="BW587" s="615">
        <v>0</v>
      </c>
      <c r="BX587" s="607">
        <f t="shared" si="22"/>
        <v>336948984</v>
      </c>
    </row>
    <row r="588" spans="1:76" x14ac:dyDescent="0.2">
      <c r="A588" s="902"/>
      <c r="B588" s="610" t="s">
        <v>1578</v>
      </c>
      <c r="C588" s="608" t="s">
        <v>3717</v>
      </c>
      <c r="D588" s="609"/>
      <c r="E588" s="609"/>
      <c r="F588" s="609"/>
      <c r="G588" s="609"/>
      <c r="H588" s="609"/>
      <c r="I588" s="609"/>
      <c r="J588" s="609"/>
      <c r="K588" s="609"/>
      <c r="L588" s="609"/>
      <c r="M588" s="609"/>
      <c r="N588" s="609"/>
      <c r="O588" s="609"/>
      <c r="P588" s="609"/>
      <c r="Q588" s="609"/>
      <c r="R588" s="609"/>
      <c r="S588" s="609"/>
      <c r="T588" s="609"/>
      <c r="U588" s="609"/>
      <c r="V588" s="609"/>
      <c r="W588" s="609"/>
      <c r="X588" s="609"/>
      <c r="Y588" s="609"/>
      <c r="Z588" s="609"/>
      <c r="AA588" s="609"/>
      <c r="AB588" s="609"/>
      <c r="AC588" s="609"/>
      <c r="AD588" s="609"/>
      <c r="AE588" s="609"/>
      <c r="AF588" s="609"/>
      <c r="AG588" s="609">
        <v>0</v>
      </c>
      <c r="AH588" s="609">
        <v>0</v>
      </c>
      <c r="AI588" s="609">
        <v>0</v>
      </c>
      <c r="AJ588" s="609">
        <v>0</v>
      </c>
      <c r="AK588" s="609">
        <v>0</v>
      </c>
      <c r="AL588" s="609">
        <v>0</v>
      </c>
      <c r="AM588" s="609">
        <v>0</v>
      </c>
      <c r="AN588" s="609">
        <v>0</v>
      </c>
      <c r="AO588" s="609">
        <v>0</v>
      </c>
      <c r="AP588" s="609">
        <v>0</v>
      </c>
      <c r="AQ588" s="609">
        <v>0</v>
      </c>
      <c r="AR588" s="609">
        <v>0</v>
      </c>
      <c r="AS588" s="609">
        <v>0</v>
      </c>
      <c r="AT588" s="609">
        <v>3718904</v>
      </c>
      <c r="AU588" s="609">
        <v>4173714</v>
      </c>
      <c r="AV588" s="609">
        <v>4173714</v>
      </c>
      <c r="AW588" s="609">
        <v>4173714</v>
      </c>
      <c r="AX588" s="609">
        <v>4173714</v>
      </c>
      <c r="AY588" s="609">
        <v>4173722</v>
      </c>
      <c r="AZ588" s="615">
        <v>282016000</v>
      </c>
      <c r="BA588" s="615">
        <v>0</v>
      </c>
      <c r="BB588" s="615">
        <v>0</v>
      </c>
      <c r="BC588" s="615">
        <v>0</v>
      </c>
      <c r="BD588" s="615">
        <v>0</v>
      </c>
      <c r="BE588" s="615">
        <v>0</v>
      </c>
      <c r="BF588" s="615">
        <v>0</v>
      </c>
      <c r="BG588" s="615">
        <v>0</v>
      </c>
      <c r="BH588" s="615">
        <v>0</v>
      </c>
      <c r="BI588" s="615">
        <v>0</v>
      </c>
      <c r="BJ588" s="615">
        <v>0</v>
      </c>
      <c r="BK588" s="615">
        <v>0</v>
      </c>
      <c r="BL588" s="615">
        <v>0</v>
      </c>
      <c r="BM588" s="615">
        <v>0</v>
      </c>
      <c r="BN588" s="615">
        <v>0</v>
      </c>
      <c r="BO588" s="615">
        <v>0</v>
      </c>
      <c r="BP588" s="615">
        <v>0</v>
      </c>
      <c r="BQ588" s="615">
        <v>0</v>
      </c>
      <c r="BR588" s="615">
        <v>0</v>
      </c>
      <c r="BS588" s="615">
        <v>0</v>
      </c>
      <c r="BT588" s="615">
        <v>0</v>
      </c>
      <c r="BU588" s="615">
        <v>0</v>
      </c>
      <c r="BV588" s="615">
        <v>0</v>
      </c>
      <c r="BW588" s="615">
        <v>0</v>
      </c>
      <c r="BX588" s="607">
        <f t="shared" si="22"/>
        <v>306603482</v>
      </c>
    </row>
    <row r="589" spans="1:76" x14ac:dyDescent="0.2">
      <c r="A589" s="902"/>
      <c r="B589" s="610" t="s">
        <v>1985</v>
      </c>
      <c r="C589" s="608" t="s">
        <v>3718</v>
      </c>
      <c r="D589" s="609"/>
      <c r="E589" s="609"/>
      <c r="F589" s="609"/>
      <c r="G589" s="609"/>
      <c r="H589" s="609"/>
      <c r="I589" s="609"/>
      <c r="J589" s="609"/>
      <c r="K589" s="609"/>
      <c r="L589" s="609"/>
      <c r="M589" s="609"/>
      <c r="N589" s="609"/>
      <c r="O589" s="609"/>
      <c r="P589" s="609"/>
      <c r="Q589" s="609"/>
      <c r="R589" s="609"/>
      <c r="S589" s="609"/>
      <c r="T589" s="609"/>
      <c r="U589" s="609"/>
      <c r="V589" s="609"/>
      <c r="W589" s="609"/>
      <c r="X589" s="609"/>
      <c r="Y589" s="609"/>
      <c r="Z589" s="609"/>
      <c r="AA589" s="609"/>
      <c r="AB589" s="609"/>
      <c r="AC589" s="609"/>
      <c r="AD589" s="609"/>
      <c r="AE589" s="609"/>
      <c r="AF589" s="609"/>
      <c r="AG589" s="609"/>
      <c r="AH589" s="609">
        <v>0</v>
      </c>
      <c r="AI589" s="609">
        <v>0</v>
      </c>
      <c r="AJ589" s="609">
        <v>0</v>
      </c>
      <c r="AK589" s="609">
        <v>0</v>
      </c>
      <c r="AL589" s="609">
        <v>0</v>
      </c>
      <c r="AM589" s="609">
        <v>0</v>
      </c>
      <c r="AN589" s="609">
        <v>0</v>
      </c>
      <c r="AO589" s="609">
        <v>0</v>
      </c>
      <c r="AP589" s="609">
        <v>0</v>
      </c>
      <c r="AQ589" s="609">
        <v>0</v>
      </c>
      <c r="AR589" s="609">
        <v>0</v>
      </c>
      <c r="AS589" s="609">
        <v>0</v>
      </c>
      <c r="AT589" s="609">
        <v>0</v>
      </c>
      <c r="AU589" s="609">
        <v>0</v>
      </c>
      <c r="AV589" s="609">
        <v>0</v>
      </c>
      <c r="AW589" s="609">
        <v>4225541</v>
      </c>
      <c r="AX589" s="609">
        <v>4225541</v>
      </c>
      <c r="AY589" s="609">
        <v>4225541</v>
      </c>
      <c r="AZ589" s="615">
        <v>4225544</v>
      </c>
      <c r="BA589" s="615">
        <v>333239095</v>
      </c>
      <c r="BB589" s="615">
        <v>0</v>
      </c>
      <c r="BC589" s="615">
        <v>0</v>
      </c>
      <c r="BD589" s="615">
        <v>0</v>
      </c>
      <c r="BE589" s="615">
        <v>0</v>
      </c>
      <c r="BF589" s="615">
        <v>0</v>
      </c>
      <c r="BG589" s="615">
        <v>0</v>
      </c>
      <c r="BH589" s="615">
        <v>0</v>
      </c>
      <c r="BI589" s="615">
        <v>0</v>
      </c>
      <c r="BJ589" s="615">
        <v>0</v>
      </c>
      <c r="BK589" s="615">
        <v>0</v>
      </c>
      <c r="BL589" s="615">
        <v>0</v>
      </c>
      <c r="BM589" s="615">
        <v>0</v>
      </c>
      <c r="BN589" s="615">
        <v>0</v>
      </c>
      <c r="BO589" s="615">
        <v>0</v>
      </c>
      <c r="BP589" s="615">
        <v>0</v>
      </c>
      <c r="BQ589" s="615">
        <v>0</v>
      </c>
      <c r="BR589" s="615">
        <v>0</v>
      </c>
      <c r="BS589" s="615">
        <v>0</v>
      </c>
      <c r="BT589" s="615">
        <v>0</v>
      </c>
      <c r="BU589" s="615">
        <v>0</v>
      </c>
      <c r="BV589" s="615">
        <v>0</v>
      </c>
      <c r="BW589" s="615">
        <v>0</v>
      </c>
      <c r="BX589" s="607">
        <f t="shared" si="22"/>
        <v>350141262</v>
      </c>
    </row>
    <row r="590" spans="1:76" x14ac:dyDescent="0.2">
      <c r="A590" s="902"/>
      <c r="B590" s="610" t="s">
        <v>1725</v>
      </c>
      <c r="C590" s="608" t="s">
        <v>3719</v>
      </c>
      <c r="D590" s="609"/>
      <c r="E590" s="609"/>
      <c r="F590" s="609"/>
      <c r="G590" s="609"/>
      <c r="H590" s="609"/>
      <c r="I590" s="609"/>
      <c r="J590" s="609"/>
      <c r="K590" s="609"/>
      <c r="L590" s="609"/>
      <c r="M590" s="609"/>
      <c r="N590" s="609"/>
      <c r="O590" s="609"/>
      <c r="P590" s="609"/>
      <c r="Q590" s="609"/>
      <c r="R590" s="609"/>
      <c r="S590" s="609"/>
      <c r="T590" s="609"/>
      <c r="U590" s="609"/>
      <c r="V590" s="609"/>
      <c r="W590" s="609"/>
      <c r="X590" s="609"/>
      <c r="Y590" s="609"/>
      <c r="Z590" s="609"/>
      <c r="AA590" s="609"/>
      <c r="AB590" s="609"/>
      <c r="AC590" s="609"/>
      <c r="AD590" s="609"/>
      <c r="AE590" s="609"/>
      <c r="AF590" s="609"/>
      <c r="AG590" s="609"/>
      <c r="AH590" s="609">
        <v>0</v>
      </c>
      <c r="AI590" s="609">
        <v>0</v>
      </c>
      <c r="AJ590" s="609">
        <v>0</v>
      </c>
      <c r="AK590" s="609">
        <v>0</v>
      </c>
      <c r="AL590" s="609">
        <v>0</v>
      </c>
      <c r="AM590" s="609">
        <v>0</v>
      </c>
      <c r="AN590" s="609">
        <v>0</v>
      </c>
      <c r="AO590" s="609">
        <v>0</v>
      </c>
      <c r="AP590" s="609">
        <v>0</v>
      </c>
      <c r="AQ590" s="609">
        <v>0</v>
      </c>
      <c r="AR590" s="609">
        <v>0</v>
      </c>
      <c r="AS590" s="609">
        <v>0</v>
      </c>
      <c r="AT590" s="609">
        <v>0</v>
      </c>
      <c r="AU590" s="609">
        <v>0</v>
      </c>
      <c r="AV590" s="609">
        <v>0</v>
      </c>
      <c r="AW590" s="609">
        <v>0</v>
      </c>
      <c r="AX590" s="609">
        <v>0</v>
      </c>
      <c r="AY590" s="609">
        <v>0</v>
      </c>
      <c r="AZ590" s="615">
        <v>5175423</v>
      </c>
      <c r="BA590" s="615">
        <v>5175423</v>
      </c>
      <c r="BB590" s="615">
        <v>5175423</v>
      </c>
      <c r="BC590" s="615">
        <v>5175425</v>
      </c>
      <c r="BD590" s="615">
        <v>322503885</v>
      </c>
      <c r="BE590" s="615">
        <v>0</v>
      </c>
      <c r="BF590" s="615">
        <v>0</v>
      </c>
      <c r="BG590" s="615">
        <v>0</v>
      </c>
      <c r="BH590" s="615">
        <v>0</v>
      </c>
      <c r="BI590" s="615">
        <v>0</v>
      </c>
      <c r="BJ590" s="615">
        <v>0</v>
      </c>
      <c r="BK590" s="615">
        <v>0</v>
      </c>
      <c r="BL590" s="615">
        <v>0</v>
      </c>
      <c r="BM590" s="615">
        <v>0</v>
      </c>
      <c r="BN590" s="615">
        <v>0</v>
      </c>
      <c r="BO590" s="615">
        <v>0</v>
      </c>
      <c r="BP590" s="615">
        <v>0</v>
      </c>
      <c r="BQ590" s="615">
        <v>0</v>
      </c>
      <c r="BR590" s="615">
        <v>0</v>
      </c>
      <c r="BS590" s="615">
        <v>0</v>
      </c>
      <c r="BT590" s="615">
        <v>0</v>
      </c>
      <c r="BU590" s="615">
        <v>0</v>
      </c>
      <c r="BV590" s="615">
        <v>0</v>
      </c>
      <c r="BW590" s="615">
        <v>0</v>
      </c>
      <c r="BX590" s="607">
        <f t="shared" si="22"/>
        <v>343205579</v>
      </c>
    </row>
    <row r="591" spans="1:76" x14ac:dyDescent="0.2">
      <c r="A591" s="902"/>
      <c r="B591" s="610" t="s">
        <v>1248</v>
      </c>
      <c r="C591" s="608" t="s">
        <v>3720</v>
      </c>
      <c r="D591" s="609"/>
      <c r="E591" s="609"/>
      <c r="F591" s="609"/>
      <c r="G591" s="609"/>
      <c r="H591" s="609"/>
      <c r="I591" s="609"/>
      <c r="J591" s="609"/>
      <c r="K591" s="609"/>
      <c r="L591" s="609"/>
      <c r="M591" s="609"/>
      <c r="N591" s="609"/>
      <c r="O591" s="609"/>
      <c r="P591" s="609"/>
      <c r="Q591" s="609"/>
      <c r="R591" s="609"/>
      <c r="S591" s="609"/>
      <c r="T591" s="609"/>
      <c r="U591" s="609"/>
      <c r="V591" s="609"/>
      <c r="W591" s="609"/>
      <c r="X591" s="609"/>
      <c r="Y591" s="609"/>
      <c r="Z591" s="609"/>
      <c r="AA591" s="609"/>
      <c r="AB591" s="609">
        <v>0</v>
      </c>
      <c r="AC591" s="609">
        <v>0</v>
      </c>
      <c r="AD591" s="609">
        <v>0</v>
      </c>
      <c r="AE591" s="609">
        <v>0</v>
      </c>
      <c r="AF591" s="609">
        <v>0</v>
      </c>
      <c r="AG591" s="609">
        <v>0</v>
      </c>
      <c r="AH591" s="609">
        <v>0</v>
      </c>
      <c r="AI591" s="609">
        <v>0</v>
      </c>
      <c r="AJ591" s="609">
        <v>0</v>
      </c>
      <c r="AK591" s="609">
        <v>0</v>
      </c>
      <c r="AL591" s="609">
        <v>0</v>
      </c>
      <c r="AM591" s="609">
        <v>0</v>
      </c>
      <c r="AN591" s="609">
        <v>0</v>
      </c>
      <c r="AO591" s="609">
        <v>0</v>
      </c>
      <c r="AP591" s="609">
        <v>0</v>
      </c>
      <c r="AQ591" s="609">
        <v>0</v>
      </c>
      <c r="AR591" s="609">
        <v>1345965</v>
      </c>
      <c r="AS591" s="609">
        <v>3850000</v>
      </c>
      <c r="AT591" s="609">
        <v>3850000</v>
      </c>
      <c r="AU591" s="609">
        <v>3850000</v>
      </c>
      <c r="AV591" s="609">
        <v>3850000</v>
      </c>
      <c r="AW591" s="609">
        <v>3672746</v>
      </c>
      <c r="AX591" s="609">
        <v>278587236</v>
      </c>
      <c r="AY591" s="609">
        <v>0</v>
      </c>
      <c r="AZ591" s="615">
        <v>0</v>
      </c>
      <c r="BA591" s="615">
        <v>0</v>
      </c>
      <c r="BB591" s="615">
        <v>0</v>
      </c>
      <c r="BC591" s="615">
        <v>0</v>
      </c>
      <c r="BD591" s="615">
        <v>0</v>
      </c>
      <c r="BE591" s="615">
        <v>0</v>
      </c>
      <c r="BF591" s="615">
        <v>0</v>
      </c>
      <c r="BG591" s="615">
        <v>0</v>
      </c>
      <c r="BH591" s="615">
        <v>0</v>
      </c>
      <c r="BI591" s="615">
        <v>0</v>
      </c>
      <c r="BJ591" s="615">
        <v>0</v>
      </c>
      <c r="BK591" s="615">
        <v>0</v>
      </c>
      <c r="BL591" s="615">
        <v>0</v>
      </c>
      <c r="BM591" s="615">
        <v>0</v>
      </c>
      <c r="BN591" s="615">
        <v>0</v>
      </c>
      <c r="BO591" s="615">
        <v>0</v>
      </c>
      <c r="BP591" s="615">
        <v>0</v>
      </c>
      <c r="BQ591" s="615">
        <v>0</v>
      </c>
      <c r="BR591" s="615">
        <v>0</v>
      </c>
      <c r="BS591" s="615">
        <v>0</v>
      </c>
      <c r="BT591" s="615">
        <v>0</v>
      </c>
      <c r="BU591" s="615">
        <v>0</v>
      </c>
      <c r="BV591" s="615">
        <v>0</v>
      </c>
      <c r="BW591" s="615">
        <v>0</v>
      </c>
      <c r="BX591" s="607">
        <f t="shared" si="22"/>
        <v>299005947</v>
      </c>
    </row>
    <row r="592" spans="1:76" x14ac:dyDescent="0.2">
      <c r="A592" s="902"/>
      <c r="B592" s="610" t="s">
        <v>2583</v>
      </c>
      <c r="C592" s="608" t="s">
        <v>3721</v>
      </c>
      <c r="D592" s="609"/>
      <c r="E592" s="609"/>
      <c r="F592" s="609"/>
      <c r="G592" s="609"/>
      <c r="H592" s="609"/>
      <c r="I592" s="609"/>
      <c r="J592" s="609"/>
      <c r="K592" s="609"/>
      <c r="L592" s="609"/>
      <c r="M592" s="609"/>
      <c r="N592" s="609"/>
      <c r="O592" s="609"/>
      <c r="P592" s="609"/>
      <c r="Q592" s="609"/>
      <c r="R592" s="609"/>
      <c r="S592" s="609"/>
      <c r="T592" s="609"/>
      <c r="U592" s="609"/>
      <c r="V592" s="609"/>
      <c r="W592" s="609"/>
      <c r="X592" s="609"/>
      <c r="Y592" s="609"/>
      <c r="Z592" s="609"/>
      <c r="AA592" s="609"/>
      <c r="AB592" s="609"/>
      <c r="AC592" s="609"/>
      <c r="AD592" s="609"/>
      <c r="AE592" s="609"/>
      <c r="AF592" s="609"/>
      <c r="AG592" s="609"/>
      <c r="AH592" s="609">
        <v>0</v>
      </c>
      <c r="AI592" s="609">
        <v>0</v>
      </c>
      <c r="AJ592" s="609">
        <v>0</v>
      </c>
      <c r="AK592" s="609">
        <v>0</v>
      </c>
      <c r="AL592" s="609">
        <v>0</v>
      </c>
      <c r="AM592" s="609">
        <v>0</v>
      </c>
      <c r="AN592" s="609">
        <v>0</v>
      </c>
      <c r="AO592" s="609">
        <v>0</v>
      </c>
      <c r="AP592" s="609">
        <v>0</v>
      </c>
      <c r="AQ592" s="609">
        <v>0</v>
      </c>
      <c r="AR592" s="609">
        <v>0</v>
      </c>
      <c r="AS592" s="609">
        <v>0</v>
      </c>
      <c r="AT592" s="609">
        <v>0</v>
      </c>
      <c r="AU592" s="609">
        <v>4883848</v>
      </c>
      <c r="AV592" s="609">
        <v>4911827</v>
      </c>
      <c r="AW592" s="609">
        <v>4911827</v>
      </c>
      <c r="AX592" s="609">
        <v>4911827</v>
      </c>
      <c r="AY592" s="609">
        <v>4911821</v>
      </c>
      <c r="AZ592" s="615">
        <v>329881326</v>
      </c>
      <c r="BA592" s="615">
        <v>0</v>
      </c>
      <c r="BB592" s="615">
        <v>0</v>
      </c>
      <c r="BC592" s="615">
        <v>0</v>
      </c>
      <c r="BD592" s="615">
        <v>0</v>
      </c>
      <c r="BE592" s="615">
        <v>0</v>
      </c>
      <c r="BF592" s="615">
        <v>0</v>
      </c>
      <c r="BG592" s="615">
        <v>0</v>
      </c>
      <c r="BH592" s="615">
        <v>0</v>
      </c>
      <c r="BI592" s="615">
        <v>0</v>
      </c>
      <c r="BJ592" s="615">
        <v>0</v>
      </c>
      <c r="BK592" s="615">
        <v>0</v>
      </c>
      <c r="BL592" s="615">
        <v>0</v>
      </c>
      <c r="BM592" s="615">
        <v>0</v>
      </c>
      <c r="BN592" s="615">
        <v>0</v>
      </c>
      <c r="BO592" s="615">
        <v>0</v>
      </c>
      <c r="BP592" s="615">
        <v>0</v>
      </c>
      <c r="BQ592" s="615">
        <v>0</v>
      </c>
      <c r="BR592" s="615">
        <v>0</v>
      </c>
      <c r="BS592" s="615">
        <v>0</v>
      </c>
      <c r="BT592" s="615">
        <v>0</v>
      </c>
      <c r="BU592" s="615">
        <v>0</v>
      </c>
      <c r="BV592" s="615">
        <v>0</v>
      </c>
      <c r="BW592" s="615">
        <v>0</v>
      </c>
      <c r="BX592" s="607">
        <f t="shared" si="22"/>
        <v>354412476</v>
      </c>
    </row>
    <row r="593" spans="1:76" x14ac:dyDescent="0.2">
      <c r="A593" s="902"/>
      <c r="B593" s="610" t="s">
        <v>2544</v>
      </c>
      <c r="C593" s="608" t="s">
        <v>3722</v>
      </c>
      <c r="D593" s="609"/>
      <c r="E593" s="609"/>
      <c r="F593" s="609"/>
      <c r="G593" s="609"/>
      <c r="H593" s="609"/>
      <c r="I593" s="609"/>
      <c r="J593" s="609"/>
      <c r="K593" s="609"/>
      <c r="L593" s="609"/>
      <c r="M593" s="609"/>
      <c r="N593" s="609"/>
      <c r="O593" s="609"/>
      <c r="P593" s="609"/>
      <c r="Q593" s="609"/>
      <c r="R593" s="609"/>
      <c r="S593" s="609"/>
      <c r="T593" s="609"/>
      <c r="U593" s="609"/>
      <c r="V593" s="609">
        <v>0</v>
      </c>
      <c r="W593" s="609">
        <v>0</v>
      </c>
      <c r="X593" s="609">
        <v>0</v>
      </c>
      <c r="Y593" s="609">
        <v>0</v>
      </c>
      <c r="Z593" s="609">
        <v>0</v>
      </c>
      <c r="AA593" s="609">
        <v>0</v>
      </c>
      <c r="AB593" s="609">
        <v>0</v>
      </c>
      <c r="AC593" s="609">
        <v>0</v>
      </c>
      <c r="AD593" s="609">
        <v>0</v>
      </c>
      <c r="AE593" s="609">
        <v>0</v>
      </c>
      <c r="AF593" s="609">
        <v>0</v>
      </c>
      <c r="AG593" s="609">
        <v>0</v>
      </c>
      <c r="AH593" s="609">
        <v>0</v>
      </c>
      <c r="AI593" s="609">
        <v>0</v>
      </c>
      <c r="AJ593" s="609">
        <v>0</v>
      </c>
      <c r="AK593" s="609">
        <v>0</v>
      </c>
      <c r="AL593" s="609">
        <v>0</v>
      </c>
      <c r="AM593" s="609">
        <v>0</v>
      </c>
      <c r="AN593" s="609">
        <v>0</v>
      </c>
      <c r="AO593" s="609">
        <v>0</v>
      </c>
      <c r="AP593" s="609">
        <v>0</v>
      </c>
      <c r="AQ593" s="609">
        <v>0</v>
      </c>
      <c r="AR593" s="609">
        <v>0</v>
      </c>
      <c r="AS593" s="609">
        <v>0</v>
      </c>
      <c r="AT593" s="609">
        <v>0</v>
      </c>
      <c r="AU593" s="609">
        <v>4585928</v>
      </c>
      <c r="AV593" s="609">
        <v>15585928</v>
      </c>
      <c r="AW593" s="609">
        <v>15585928</v>
      </c>
      <c r="AX593" s="609">
        <v>15585928</v>
      </c>
      <c r="AY593" s="609">
        <v>380877480</v>
      </c>
      <c r="AZ593" s="615">
        <v>0</v>
      </c>
      <c r="BA593" s="615">
        <v>0</v>
      </c>
      <c r="BB593" s="615">
        <v>0</v>
      </c>
      <c r="BC593" s="615">
        <v>0</v>
      </c>
      <c r="BD593" s="615">
        <v>0</v>
      </c>
      <c r="BE593" s="615">
        <v>0</v>
      </c>
      <c r="BF593" s="615">
        <v>0</v>
      </c>
      <c r="BG593" s="615">
        <v>0</v>
      </c>
      <c r="BH593" s="615">
        <v>0</v>
      </c>
      <c r="BI593" s="615">
        <v>0</v>
      </c>
      <c r="BJ593" s="615">
        <v>0</v>
      </c>
      <c r="BK593" s="615">
        <v>0</v>
      </c>
      <c r="BL593" s="615">
        <v>0</v>
      </c>
      <c r="BM593" s="615">
        <v>0</v>
      </c>
      <c r="BN593" s="615">
        <v>0</v>
      </c>
      <c r="BO593" s="615">
        <v>0</v>
      </c>
      <c r="BP593" s="615">
        <v>0</v>
      </c>
      <c r="BQ593" s="615">
        <v>0</v>
      </c>
      <c r="BR593" s="615">
        <v>0</v>
      </c>
      <c r="BS593" s="615">
        <v>0</v>
      </c>
      <c r="BT593" s="615">
        <v>0</v>
      </c>
      <c r="BU593" s="615">
        <v>0</v>
      </c>
      <c r="BV593" s="615">
        <v>0</v>
      </c>
      <c r="BW593" s="615">
        <v>0</v>
      </c>
      <c r="BX593" s="607">
        <f t="shared" si="22"/>
        <v>432221192</v>
      </c>
    </row>
    <row r="594" spans="1:76" x14ac:dyDescent="0.2">
      <c r="A594" s="902"/>
      <c r="B594" s="610" t="s">
        <v>1475</v>
      </c>
      <c r="C594" s="608" t="s">
        <v>3723</v>
      </c>
      <c r="D594" s="609"/>
      <c r="E594" s="609"/>
      <c r="F594" s="609"/>
      <c r="G594" s="609"/>
      <c r="H594" s="609"/>
      <c r="I594" s="609"/>
      <c r="J594" s="609"/>
      <c r="K594" s="609"/>
      <c r="L594" s="609"/>
      <c r="M594" s="609"/>
      <c r="N594" s="609"/>
      <c r="O594" s="609"/>
      <c r="P594" s="609"/>
      <c r="Q594" s="609"/>
      <c r="R594" s="609"/>
      <c r="S594" s="609"/>
      <c r="T594" s="609"/>
      <c r="U594" s="609"/>
      <c r="V594" s="609">
        <v>0</v>
      </c>
      <c r="W594" s="609">
        <v>0</v>
      </c>
      <c r="X594" s="609">
        <v>0</v>
      </c>
      <c r="Y594" s="609">
        <v>0</v>
      </c>
      <c r="Z594" s="609">
        <v>0</v>
      </c>
      <c r="AA594" s="609">
        <v>0</v>
      </c>
      <c r="AB594" s="609">
        <v>0</v>
      </c>
      <c r="AC594" s="609">
        <v>0</v>
      </c>
      <c r="AD594" s="609">
        <v>0</v>
      </c>
      <c r="AE594" s="609">
        <v>0</v>
      </c>
      <c r="AF594" s="609">
        <v>0</v>
      </c>
      <c r="AG594" s="609">
        <v>0</v>
      </c>
      <c r="AH594" s="609">
        <v>3392140</v>
      </c>
      <c r="AI594" s="609">
        <v>8000000</v>
      </c>
      <c r="AJ594" s="609">
        <v>8000000</v>
      </c>
      <c r="AK594" s="609">
        <v>4300000</v>
      </c>
      <c r="AL594" s="609">
        <v>4300000</v>
      </c>
      <c r="AM594" s="609">
        <v>4300000</v>
      </c>
      <c r="AN594" s="609">
        <v>4300000</v>
      </c>
      <c r="AO594" s="609">
        <v>4300000</v>
      </c>
      <c r="AP594" s="609">
        <v>4300000</v>
      </c>
      <c r="AQ594" s="609">
        <v>4300000</v>
      </c>
      <c r="AR594" s="609">
        <v>4300000</v>
      </c>
      <c r="AS594" s="609">
        <v>4300000</v>
      </c>
      <c r="AT594" s="609">
        <v>8000000</v>
      </c>
      <c r="AU594" s="609">
        <v>11771973</v>
      </c>
      <c r="AV594" s="609">
        <v>8000000</v>
      </c>
      <c r="AW594" s="609">
        <v>10191167</v>
      </c>
      <c r="AX594" s="609">
        <v>10191167</v>
      </c>
      <c r="AY594" s="609">
        <v>325057943</v>
      </c>
      <c r="AZ594" s="615">
        <v>0</v>
      </c>
      <c r="BA594" s="615">
        <v>0</v>
      </c>
      <c r="BB594" s="615">
        <v>0</v>
      </c>
      <c r="BC594" s="615">
        <v>0</v>
      </c>
      <c r="BD594" s="615">
        <v>0</v>
      </c>
      <c r="BE594" s="615">
        <v>0</v>
      </c>
      <c r="BF594" s="615">
        <v>0</v>
      </c>
      <c r="BG594" s="615">
        <v>0</v>
      </c>
      <c r="BH594" s="615">
        <v>0</v>
      </c>
      <c r="BI594" s="615">
        <v>0</v>
      </c>
      <c r="BJ594" s="615">
        <v>0</v>
      </c>
      <c r="BK594" s="615">
        <v>0</v>
      </c>
      <c r="BL594" s="615">
        <v>0</v>
      </c>
      <c r="BM594" s="615">
        <v>0</v>
      </c>
      <c r="BN594" s="615">
        <v>0</v>
      </c>
      <c r="BO594" s="615">
        <v>0</v>
      </c>
      <c r="BP594" s="615">
        <v>0</v>
      </c>
      <c r="BQ594" s="615">
        <v>0</v>
      </c>
      <c r="BR594" s="615">
        <v>0</v>
      </c>
      <c r="BS594" s="615">
        <v>0</v>
      </c>
      <c r="BT594" s="615">
        <v>0</v>
      </c>
      <c r="BU594" s="615">
        <v>0</v>
      </c>
      <c r="BV594" s="615">
        <v>0</v>
      </c>
      <c r="BW594" s="615">
        <v>0</v>
      </c>
      <c r="BX594" s="607">
        <f t="shared" si="22"/>
        <v>431304390</v>
      </c>
    </row>
    <row r="595" spans="1:76" x14ac:dyDescent="0.2">
      <c r="A595" s="902"/>
      <c r="B595" s="610" t="s">
        <v>1986</v>
      </c>
      <c r="C595" s="608" t="s">
        <v>3724</v>
      </c>
      <c r="D595" s="609"/>
      <c r="E595" s="609"/>
      <c r="F595" s="609"/>
      <c r="G595" s="609"/>
      <c r="H595" s="609"/>
      <c r="I595" s="609"/>
      <c r="J595" s="609"/>
      <c r="K595" s="609"/>
      <c r="L595" s="609"/>
      <c r="M595" s="609"/>
      <c r="N595" s="609"/>
      <c r="O595" s="609"/>
      <c r="P595" s="609"/>
      <c r="Q595" s="609"/>
      <c r="R595" s="609"/>
      <c r="S595" s="609"/>
      <c r="T595" s="609"/>
      <c r="U595" s="609"/>
      <c r="V595" s="609">
        <v>0</v>
      </c>
      <c r="W595" s="609">
        <v>0</v>
      </c>
      <c r="X595" s="609">
        <v>0</v>
      </c>
      <c r="Y595" s="609">
        <v>0</v>
      </c>
      <c r="Z595" s="609">
        <v>0</v>
      </c>
      <c r="AA595" s="609">
        <v>0</v>
      </c>
      <c r="AB595" s="609">
        <v>0</v>
      </c>
      <c r="AC595" s="609">
        <v>0</v>
      </c>
      <c r="AD595" s="609">
        <v>0</v>
      </c>
      <c r="AE595" s="609">
        <v>0</v>
      </c>
      <c r="AF595" s="609">
        <v>0</v>
      </c>
      <c r="AG595" s="609">
        <v>0</v>
      </c>
      <c r="AH595" s="609">
        <v>0</v>
      </c>
      <c r="AI595" s="609">
        <v>0</v>
      </c>
      <c r="AJ595" s="609">
        <v>0</v>
      </c>
      <c r="AK595" s="609">
        <v>0</v>
      </c>
      <c r="AL595" s="609">
        <v>0</v>
      </c>
      <c r="AM595" s="609">
        <v>0</v>
      </c>
      <c r="AN595" s="609">
        <v>0</v>
      </c>
      <c r="AO595" s="609">
        <v>0</v>
      </c>
      <c r="AP595" s="609">
        <v>0</v>
      </c>
      <c r="AQ595" s="609">
        <v>0</v>
      </c>
      <c r="AR595" s="609">
        <v>0</v>
      </c>
      <c r="AS595" s="609">
        <v>0</v>
      </c>
      <c r="AT595" s="609">
        <v>0</v>
      </c>
      <c r="AU595" s="609">
        <v>0</v>
      </c>
      <c r="AV595" s="609">
        <v>0</v>
      </c>
      <c r="AW595" s="609">
        <v>28875050</v>
      </c>
      <c r="AX595" s="609">
        <v>271882597</v>
      </c>
      <c r="AY595" s="609">
        <v>0</v>
      </c>
      <c r="AZ595" s="615">
        <v>0</v>
      </c>
      <c r="BA595" s="615">
        <v>0</v>
      </c>
      <c r="BB595" s="615">
        <v>0</v>
      </c>
      <c r="BC595" s="615">
        <v>0</v>
      </c>
      <c r="BD595" s="615">
        <v>0</v>
      </c>
      <c r="BE595" s="615">
        <v>0</v>
      </c>
      <c r="BF595" s="615">
        <v>0</v>
      </c>
      <c r="BG595" s="615">
        <v>0</v>
      </c>
      <c r="BH595" s="615">
        <v>0</v>
      </c>
      <c r="BI595" s="615">
        <v>0</v>
      </c>
      <c r="BJ595" s="615">
        <v>0</v>
      </c>
      <c r="BK595" s="615">
        <v>0</v>
      </c>
      <c r="BL595" s="615">
        <v>0</v>
      </c>
      <c r="BM595" s="615">
        <v>0</v>
      </c>
      <c r="BN595" s="615">
        <v>0</v>
      </c>
      <c r="BO595" s="615">
        <v>0</v>
      </c>
      <c r="BP595" s="615">
        <v>0</v>
      </c>
      <c r="BQ595" s="615">
        <v>0</v>
      </c>
      <c r="BR595" s="615">
        <v>0</v>
      </c>
      <c r="BS595" s="615">
        <v>0</v>
      </c>
      <c r="BT595" s="615">
        <v>0</v>
      </c>
      <c r="BU595" s="615">
        <v>0</v>
      </c>
      <c r="BV595" s="615">
        <v>0</v>
      </c>
      <c r="BW595" s="615">
        <v>0</v>
      </c>
      <c r="BX595" s="607">
        <f t="shared" si="22"/>
        <v>300757647</v>
      </c>
    </row>
    <row r="596" spans="1:76" x14ac:dyDescent="0.2">
      <c r="A596" s="606" t="s">
        <v>1217</v>
      </c>
      <c r="B596" s="605"/>
      <c r="C596" s="604">
        <f>+COUNTA(C513:C595)</f>
        <v>83</v>
      </c>
      <c r="D596" s="603">
        <f t="shared" ref="D596:AI596" si="23">SUM(D513:D595)</f>
        <v>0</v>
      </c>
      <c r="E596" s="603">
        <f t="shared" si="23"/>
        <v>0</v>
      </c>
      <c r="F596" s="603">
        <f t="shared" si="23"/>
        <v>0</v>
      </c>
      <c r="G596" s="603">
        <f t="shared" si="23"/>
        <v>0</v>
      </c>
      <c r="H596" s="603">
        <f t="shared" si="23"/>
        <v>0</v>
      </c>
      <c r="I596" s="603">
        <f t="shared" si="23"/>
        <v>0</v>
      </c>
      <c r="J596" s="603">
        <f t="shared" si="23"/>
        <v>0</v>
      </c>
      <c r="K596" s="603">
        <f t="shared" si="23"/>
        <v>0</v>
      </c>
      <c r="L596" s="603">
        <f t="shared" si="23"/>
        <v>0</v>
      </c>
      <c r="M596" s="603">
        <f t="shared" si="23"/>
        <v>0</v>
      </c>
      <c r="N596" s="603">
        <f t="shared" si="23"/>
        <v>0</v>
      </c>
      <c r="O596" s="603">
        <f t="shared" si="23"/>
        <v>0</v>
      </c>
      <c r="P596" s="603">
        <f t="shared" si="23"/>
        <v>0</v>
      </c>
      <c r="Q596" s="603">
        <f t="shared" si="23"/>
        <v>0</v>
      </c>
      <c r="R596" s="603">
        <f t="shared" si="23"/>
        <v>0</v>
      </c>
      <c r="S596" s="603">
        <f t="shared" si="23"/>
        <v>0</v>
      </c>
      <c r="T596" s="603">
        <f t="shared" si="23"/>
        <v>0</v>
      </c>
      <c r="U596" s="603">
        <f t="shared" si="23"/>
        <v>0</v>
      </c>
      <c r="V596" s="603">
        <f t="shared" si="23"/>
        <v>0</v>
      </c>
      <c r="W596" s="603">
        <f t="shared" si="23"/>
        <v>0</v>
      </c>
      <c r="X596" s="603">
        <f t="shared" si="23"/>
        <v>0</v>
      </c>
      <c r="Y596" s="603">
        <f t="shared" si="23"/>
        <v>0</v>
      </c>
      <c r="Z596" s="603">
        <f t="shared" si="23"/>
        <v>0</v>
      </c>
      <c r="AA596" s="603">
        <f t="shared" si="23"/>
        <v>0</v>
      </c>
      <c r="AB596" s="603">
        <f t="shared" si="23"/>
        <v>0</v>
      </c>
      <c r="AC596" s="603">
        <f t="shared" si="23"/>
        <v>0</v>
      </c>
      <c r="AD596" s="603">
        <f t="shared" si="23"/>
        <v>0</v>
      </c>
      <c r="AE596" s="603">
        <f t="shared" si="23"/>
        <v>0</v>
      </c>
      <c r="AF596" s="603">
        <f t="shared" si="23"/>
        <v>0</v>
      </c>
      <c r="AG596" s="603">
        <f t="shared" si="23"/>
        <v>0</v>
      </c>
      <c r="AH596" s="603">
        <f t="shared" si="23"/>
        <v>3392140</v>
      </c>
      <c r="AI596" s="603">
        <f t="shared" si="23"/>
        <v>8000000</v>
      </c>
      <c r="AJ596" s="603">
        <f t="shared" ref="AJ596:BO596" si="24">SUM(AJ513:AJ595)</f>
        <v>8000000</v>
      </c>
      <c r="AK596" s="603">
        <f t="shared" si="24"/>
        <v>4300000</v>
      </c>
      <c r="AL596" s="603">
        <f t="shared" si="24"/>
        <v>4300000</v>
      </c>
      <c r="AM596" s="603">
        <f t="shared" si="24"/>
        <v>4300000</v>
      </c>
      <c r="AN596" s="603">
        <f t="shared" si="24"/>
        <v>4300000</v>
      </c>
      <c r="AO596" s="603">
        <f t="shared" si="24"/>
        <v>4300000</v>
      </c>
      <c r="AP596" s="603">
        <f t="shared" si="24"/>
        <v>4300000</v>
      </c>
      <c r="AQ596" s="603">
        <f t="shared" si="24"/>
        <v>4323312</v>
      </c>
      <c r="AR596" s="603">
        <f t="shared" si="24"/>
        <v>18881646</v>
      </c>
      <c r="AS596" s="603">
        <f t="shared" si="24"/>
        <v>29828744</v>
      </c>
      <c r="AT596" s="603">
        <f t="shared" si="24"/>
        <v>45914829</v>
      </c>
      <c r="AU596" s="603">
        <f t="shared" si="24"/>
        <v>98207417</v>
      </c>
      <c r="AV596" s="603">
        <f t="shared" si="24"/>
        <v>247485013</v>
      </c>
      <c r="AW596" s="603">
        <f t="shared" si="24"/>
        <v>396442019</v>
      </c>
      <c r="AX596" s="603">
        <f t="shared" si="24"/>
        <v>2663726855</v>
      </c>
      <c r="AY596" s="603">
        <f t="shared" si="24"/>
        <v>11544212301</v>
      </c>
      <c r="AZ596" s="603">
        <f t="shared" si="24"/>
        <v>6119912114</v>
      </c>
      <c r="BA596" s="603">
        <f t="shared" si="24"/>
        <v>1218601061</v>
      </c>
      <c r="BB596" s="603">
        <f t="shared" si="24"/>
        <v>1166262928</v>
      </c>
      <c r="BC596" s="603">
        <f t="shared" si="24"/>
        <v>2367689319</v>
      </c>
      <c r="BD596" s="603">
        <f t="shared" si="24"/>
        <v>2590128576</v>
      </c>
      <c r="BE596" s="603">
        <f t="shared" si="24"/>
        <v>4000000</v>
      </c>
      <c r="BF596" s="603">
        <f t="shared" si="24"/>
        <v>493824993</v>
      </c>
      <c r="BG596" s="603">
        <f t="shared" si="24"/>
        <v>0</v>
      </c>
      <c r="BH596" s="603">
        <f t="shared" si="24"/>
        <v>0</v>
      </c>
      <c r="BI596" s="603">
        <f t="shared" si="24"/>
        <v>0</v>
      </c>
      <c r="BJ596" s="603">
        <f t="shared" si="24"/>
        <v>0</v>
      </c>
      <c r="BK596" s="603">
        <f t="shared" si="24"/>
        <v>0</v>
      </c>
      <c r="BL596" s="603">
        <f t="shared" si="24"/>
        <v>0</v>
      </c>
      <c r="BM596" s="603">
        <f t="shared" si="24"/>
        <v>0</v>
      </c>
      <c r="BN596" s="603">
        <f t="shared" si="24"/>
        <v>0</v>
      </c>
      <c r="BO596" s="603">
        <f t="shared" si="24"/>
        <v>0</v>
      </c>
      <c r="BP596" s="603">
        <f t="shared" ref="BP596:BX596" si="25">SUM(BP513:BP595)</f>
        <v>0</v>
      </c>
      <c r="BQ596" s="603">
        <f t="shared" si="25"/>
        <v>0</v>
      </c>
      <c r="BR596" s="603">
        <f t="shared" si="25"/>
        <v>0</v>
      </c>
      <c r="BS596" s="603">
        <f t="shared" si="25"/>
        <v>0</v>
      </c>
      <c r="BT596" s="603">
        <f t="shared" si="25"/>
        <v>0</v>
      </c>
      <c r="BU596" s="603">
        <f t="shared" si="25"/>
        <v>0</v>
      </c>
      <c r="BV596" s="603">
        <f t="shared" si="25"/>
        <v>433459478</v>
      </c>
      <c r="BW596" s="603">
        <f t="shared" si="25"/>
        <v>0</v>
      </c>
      <c r="BX596" s="603">
        <f t="shared" si="25"/>
        <v>29488092745</v>
      </c>
    </row>
    <row r="597" spans="1:76" x14ac:dyDescent="0.2">
      <c r="A597" s="602"/>
      <c r="B597" s="602" t="s">
        <v>59</v>
      </c>
      <c r="C597" s="602" t="s">
        <v>196</v>
      </c>
      <c r="D597" s="602">
        <f t="shared" ref="D597:X597" si="26">+D596+D512+D256+D153</f>
        <v>0</v>
      </c>
      <c r="E597" s="602">
        <f t="shared" si="26"/>
        <v>0</v>
      </c>
      <c r="F597" s="602">
        <f t="shared" si="26"/>
        <v>0</v>
      </c>
      <c r="G597" s="602">
        <f t="shared" si="26"/>
        <v>0</v>
      </c>
      <c r="H597" s="602">
        <f t="shared" si="26"/>
        <v>0</v>
      </c>
      <c r="I597" s="602">
        <f t="shared" si="26"/>
        <v>0</v>
      </c>
      <c r="J597" s="602">
        <f t="shared" si="26"/>
        <v>0</v>
      </c>
      <c r="K597" s="602">
        <f t="shared" si="26"/>
        <v>0</v>
      </c>
      <c r="L597" s="602">
        <f t="shared" si="26"/>
        <v>0</v>
      </c>
      <c r="M597" s="602">
        <f t="shared" si="26"/>
        <v>0</v>
      </c>
      <c r="N597" s="602">
        <f t="shared" si="26"/>
        <v>0</v>
      </c>
      <c r="O597" s="602">
        <f t="shared" si="26"/>
        <v>0</v>
      </c>
      <c r="P597" s="602">
        <f t="shared" si="26"/>
        <v>0</v>
      </c>
      <c r="Q597" s="602">
        <f t="shared" si="26"/>
        <v>0</v>
      </c>
      <c r="R597" s="602">
        <f t="shared" si="26"/>
        <v>0</v>
      </c>
      <c r="S597" s="602">
        <f t="shared" si="26"/>
        <v>0</v>
      </c>
      <c r="T597" s="602">
        <f t="shared" si="26"/>
        <v>0</v>
      </c>
      <c r="U597" s="602">
        <f t="shared" si="26"/>
        <v>0</v>
      </c>
      <c r="V597" s="602">
        <f t="shared" si="26"/>
        <v>0</v>
      </c>
      <c r="W597" s="602">
        <f t="shared" si="26"/>
        <v>0</v>
      </c>
      <c r="X597" s="602">
        <f t="shared" si="26"/>
        <v>0</v>
      </c>
      <c r="Y597" s="602">
        <f t="shared" ref="Y597:BD597" si="27">+Y596+Y512+Y256+Y153+Y373</f>
        <v>0</v>
      </c>
      <c r="Z597" s="602">
        <f t="shared" si="27"/>
        <v>0</v>
      </c>
      <c r="AA597" s="602">
        <f t="shared" si="27"/>
        <v>0</v>
      </c>
      <c r="AB597" s="602">
        <f t="shared" si="27"/>
        <v>0</v>
      </c>
      <c r="AC597" s="602">
        <f t="shared" si="27"/>
        <v>0</v>
      </c>
      <c r="AD597" s="602">
        <f t="shared" si="27"/>
        <v>0</v>
      </c>
      <c r="AE597" s="602">
        <f t="shared" si="27"/>
        <v>0</v>
      </c>
      <c r="AF597" s="602">
        <f t="shared" si="27"/>
        <v>0</v>
      </c>
      <c r="AG597" s="602">
        <f t="shared" si="27"/>
        <v>0</v>
      </c>
      <c r="AH597" s="602">
        <f t="shared" si="27"/>
        <v>3392140</v>
      </c>
      <c r="AI597" s="602">
        <f t="shared" si="27"/>
        <v>600417395</v>
      </c>
      <c r="AJ597" s="602">
        <f t="shared" si="27"/>
        <v>422071610</v>
      </c>
      <c r="AK597" s="602">
        <f t="shared" si="27"/>
        <v>237816634</v>
      </c>
      <c r="AL597" s="602">
        <f t="shared" si="27"/>
        <v>5305293</v>
      </c>
      <c r="AM597" s="602">
        <f t="shared" si="27"/>
        <v>4300000</v>
      </c>
      <c r="AN597" s="602">
        <f t="shared" si="27"/>
        <v>7207941</v>
      </c>
      <c r="AO597" s="602">
        <f t="shared" si="27"/>
        <v>28570371</v>
      </c>
      <c r="AP597" s="602">
        <f t="shared" si="27"/>
        <v>6532364</v>
      </c>
      <c r="AQ597" s="602">
        <f t="shared" si="27"/>
        <v>24209820</v>
      </c>
      <c r="AR597" s="602">
        <f t="shared" si="27"/>
        <v>244201717</v>
      </c>
      <c r="AS597" s="602">
        <f t="shared" si="27"/>
        <v>1477859281</v>
      </c>
      <c r="AT597" s="602">
        <f t="shared" si="27"/>
        <v>9044564930</v>
      </c>
      <c r="AU597" s="602">
        <f t="shared" si="27"/>
        <v>570668979</v>
      </c>
      <c r="AV597" s="602">
        <f t="shared" si="27"/>
        <v>10753478830</v>
      </c>
      <c r="AW597" s="602">
        <f t="shared" si="27"/>
        <v>1292552484</v>
      </c>
      <c r="AX597" s="602">
        <f t="shared" si="27"/>
        <v>3435595052</v>
      </c>
      <c r="AY597" s="602">
        <f t="shared" si="27"/>
        <v>14257875781</v>
      </c>
      <c r="AZ597" s="602">
        <f t="shared" si="27"/>
        <v>7957921565</v>
      </c>
      <c r="BA597" s="602">
        <f t="shared" si="27"/>
        <v>2222897696</v>
      </c>
      <c r="BB597" s="602">
        <f t="shared" si="27"/>
        <v>2170747800</v>
      </c>
      <c r="BC597" s="602">
        <f t="shared" si="27"/>
        <v>7329381415</v>
      </c>
      <c r="BD597" s="602">
        <f t="shared" si="27"/>
        <v>3476329728</v>
      </c>
      <c r="BE597" s="602">
        <f t="shared" ref="BE597:BX597" si="28">+BE596+BE512+BE256+BE153+BE373</f>
        <v>469849873</v>
      </c>
      <c r="BF597" s="602">
        <f t="shared" si="28"/>
        <v>1864415885</v>
      </c>
      <c r="BG597" s="602">
        <f t="shared" si="28"/>
        <v>479620937</v>
      </c>
      <c r="BH597" s="602">
        <f t="shared" si="28"/>
        <v>455930937</v>
      </c>
      <c r="BI597" s="602">
        <f t="shared" si="28"/>
        <v>473863437</v>
      </c>
      <c r="BJ597" s="602">
        <f t="shared" si="28"/>
        <v>501613437</v>
      </c>
      <c r="BK597" s="602">
        <f t="shared" si="28"/>
        <v>501668188</v>
      </c>
      <c r="BL597" s="602">
        <f t="shared" si="28"/>
        <v>564762401</v>
      </c>
      <c r="BM597" s="602">
        <f t="shared" si="28"/>
        <v>468613436</v>
      </c>
      <c r="BN597" s="602">
        <f t="shared" si="28"/>
        <v>495460436</v>
      </c>
      <c r="BO597" s="602">
        <f t="shared" si="28"/>
        <v>752241515</v>
      </c>
      <c r="BP597" s="602">
        <f t="shared" si="28"/>
        <v>469064158</v>
      </c>
      <c r="BQ597" s="602">
        <f t="shared" si="28"/>
        <v>473064158</v>
      </c>
      <c r="BR597" s="602">
        <f t="shared" si="28"/>
        <v>541313124</v>
      </c>
      <c r="BS597" s="602">
        <f t="shared" si="28"/>
        <v>842174159</v>
      </c>
      <c r="BT597" s="602">
        <f t="shared" si="28"/>
        <v>465246070</v>
      </c>
      <c r="BU597" s="602">
        <f t="shared" si="28"/>
        <v>943469343</v>
      </c>
      <c r="BV597" s="602">
        <f t="shared" si="28"/>
        <v>36556653750</v>
      </c>
      <c r="BW597" s="602">
        <f t="shared" si="28"/>
        <v>2501362750</v>
      </c>
      <c r="BX597" s="602">
        <f t="shared" si="28"/>
        <v>115394286820</v>
      </c>
    </row>
    <row r="598" spans="1:76" s="600" customFormat="1" x14ac:dyDescent="0.2">
      <c r="D598" s="601">
        <f>+D597-'Proyeccion Recaudos'!AO14</f>
        <v>0</v>
      </c>
      <c r="E598" s="601">
        <f>+E597-'Proyeccion Recaudos'!AO15</f>
        <v>0</v>
      </c>
      <c r="F598" s="601">
        <f>+F597-'Proyeccion Recaudos'!AO16</f>
        <v>0</v>
      </c>
      <c r="G598" s="601">
        <f>+G597-'Proyeccion Recaudos'!AO17</f>
        <v>0</v>
      </c>
      <c r="H598" s="601">
        <f>+H597-'Proyeccion Recaudos'!AO18</f>
        <v>0</v>
      </c>
      <c r="I598" s="601">
        <f>+I597-'Proyeccion Recaudos'!AO19</f>
        <v>0</v>
      </c>
      <c r="J598" s="601">
        <f>+J597-'Proyeccion Recaudos'!AO20</f>
        <v>0</v>
      </c>
      <c r="K598" s="601">
        <f>+K597-'Proyeccion Recaudos'!AO21</f>
        <v>0</v>
      </c>
      <c r="L598" s="601">
        <f>+L597-'Proyeccion Recaudos'!AO22</f>
        <v>0</v>
      </c>
      <c r="M598" s="601">
        <f>+M597-'Proyeccion Recaudos'!AO23</f>
        <v>0</v>
      </c>
      <c r="N598" s="601">
        <f>+N597-'Proyeccion Recaudos'!AO24</f>
        <v>0</v>
      </c>
      <c r="O598" s="601">
        <f>+O597-'Proyeccion Recaudos'!AO25</f>
        <v>0</v>
      </c>
      <c r="P598" s="601">
        <f>+P597-'Proyeccion Recaudos'!AO26</f>
        <v>0</v>
      </c>
      <c r="Q598" s="601">
        <f>+Q597-'Proyeccion Recaudos'!AO27</f>
        <v>0</v>
      </c>
      <c r="R598" s="601">
        <f>+R597-'Proyeccion Recaudos'!$AO28</f>
        <v>0</v>
      </c>
      <c r="S598" s="601">
        <f>+S597-'Proyeccion Recaudos'!$AO29</f>
        <v>0</v>
      </c>
      <c r="T598" s="601">
        <f>+T597-'Proyeccion Recaudos'!$AO30</f>
        <v>0</v>
      </c>
      <c r="U598" s="601">
        <f>+U597-'Proyeccion Recaudos'!$AO31</f>
        <v>0</v>
      </c>
      <c r="V598" s="601">
        <f>+V597-'Proyeccion Recaudos'!$AO32</f>
        <v>0</v>
      </c>
      <c r="W598" s="601">
        <f>+W597-'Proyeccion Recaudos'!$AO33</f>
        <v>0</v>
      </c>
      <c r="X598" s="601">
        <f>+X597-'Proyeccion Recaudos'!$AO34</f>
        <v>0</v>
      </c>
      <c r="Y598" s="601">
        <f>+Y597-'Proyeccion Recaudos'!$AO35</f>
        <v>0</v>
      </c>
      <c r="Z598" s="601">
        <f>+Z597-'Proyeccion Recaudos'!$AO36</f>
        <v>0</v>
      </c>
      <c r="AA598" s="601">
        <f>+AA597-'Proyeccion Recaudos'!$AO37</f>
        <v>0</v>
      </c>
      <c r="AB598" s="601">
        <f>+AB597-'Proyeccion Recaudos'!$AO38</f>
        <v>0</v>
      </c>
      <c r="AC598" s="601">
        <f>+AC597-'Proyeccion Recaudos'!$AO39</f>
        <v>0</v>
      </c>
      <c r="AD598" s="601">
        <f>+AD597-'Proyeccion Recaudos'!$AO40</f>
        <v>0</v>
      </c>
      <c r="AE598" s="601">
        <f>+AE597-'Proyeccion Recaudos'!$AO41</f>
        <v>0</v>
      </c>
      <c r="AF598" s="601">
        <f>+AF597-'Proyeccion Recaudos'!$AO42</f>
        <v>0</v>
      </c>
      <c r="AG598" s="601">
        <f>+AG597-'Proyeccion Recaudos'!$AO43</f>
        <v>0</v>
      </c>
      <c r="AH598" s="601">
        <f>+AH597-'Proyeccion Recaudos'!$AO44</f>
        <v>0</v>
      </c>
      <c r="AI598" s="601">
        <f>+AI597-'Proyeccion Recaudos'!$AO45</f>
        <v>0</v>
      </c>
      <c r="AJ598" s="601">
        <f>+AJ597-'Proyeccion Recaudos'!$AO46</f>
        <v>0</v>
      </c>
      <c r="AK598" s="601">
        <f>+AK597-'Proyeccion Recaudos'!$AO47</f>
        <v>0</v>
      </c>
      <c r="AL598" s="601">
        <f>+AL597-'Proyeccion Recaudos'!$AO48</f>
        <v>0</v>
      </c>
      <c r="AM598" s="601">
        <f>+AM597-'Proyeccion Recaudos'!$AO49</f>
        <v>0</v>
      </c>
      <c r="AN598" s="601">
        <f>+AN597-'Proyeccion Recaudos'!$AO50</f>
        <v>0</v>
      </c>
      <c r="AO598" s="601">
        <f>+AO597-'Proyeccion Recaudos'!$AO51</f>
        <v>0</v>
      </c>
      <c r="AP598" s="601">
        <f>+AP597-'Proyeccion Recaudos'!$AO52</f>
        <v>0</v>
      </c>
      <c r="AQ598" s="601">
        <f>+AQ597-'Proyeccion Recaudos'!$AO53</f>
        <v>0</v>
      </c>
      <c r="AR598" s="601">
        <f>+AR597-'Proyeccion Recaudos'!$AO54</f>
        <v>0</v>
      </c>
      <c r="AS598" s="601">
        <f>+AS597-'Proyeccion Recaudos'!$AO55</f>
        <v>0</v>
      </c>
      <c r="AT598" s="601">
        <f>+AT597-'Proyeccion Recaudos'!$AO56</f>
        <v>0</v>
      </c>
      <c r="AU598" s="601">
        <f>+AU597-'Proyeccion Recaudos'!$AO57</f>
        <v>0</v>
      </c>
      <c r="AV598" s="601">
        <f>+AV597-'Proyeccion Recaudos'!$AO58</f>
        <v>0</v>
      </c>
      <c r="AW598" s="601">
        <f>+AW597-'Proyeccion Recaudos'!$AO59</f>
        <v>0</v>
      </c>
      <c r="AX598" s="601">
        <f>+AX597-'Proyeccion Recaudos'!$AO60</f>
        <v>0</v>
      </c>
      <c r="AY598" s="601">
        <f>+AY597-'Proyeccion Recaudos'!$AO61</f>
        <v>0</v>
      </c>
      <c r="AZ598" s="601">
        <f>+AZ597-'Proyeccion Recaudos'!$AO62</f>
        <v>0</v>
      </c>
      <c r="BA598" s="601">
        <f>+BA597-'Proyeccion Recaudos'!$AO63</f>
        <v>0</v>
      </c>
      <c r="BB598" s="601">
        <f>+BB597-'Proyeccion Recaudos'!$AO64</f>
        <v>0</v>
      </c>
      <c r="BC598" s="601">
        <f>+BC597-'Proyeccion Recaudos'!$AO65</f>
        <v>0</v>
      </c>
      <c r="BD598" s="601">
        <f>+BD597-'Proyeccion Recaudos'!$AO66</f>
        <v>0</v>
      </c>
      <c r="BE598" s="601">
        <f>+BE597-'Proyeccion Recaudos'!$AO67</f>
        <v>0</v>
      </c>
      <c r="BF598" s="601">
        <f>+BF597-'Proyeccion Recaudos'!$AO68</f>
        <v>0</v>
      </c>
      <c r="BG598" s="601">
        <f>+BG597-'Proyeccion Recaudos'!$AO69</f>
        <v>0</v>
      </c>
      <c r="BH598" s="601">
        <f>+BH597-'Proyeccion Recaudos'!$AO70</f>
        <v>0</v>
      </c>
      <c r="BI598" s="601">
        <f>+BI597-'Proyeccion Recaudos'!$AO71</f>
        <v>0</v>
      </c>
      <c r="BJ598" s="601">
        <f>+BJ597-'Proyeccion Recaudos'!$AO72</f>
        <v>0</v>
      </c>
      <c r="BK598" s="601">
        <f>+BK597-'Proyeccion Recaudos'!$AO73</f>
        <v>0</v>
      </c>
      <c r="BL598" s="601">
        <f>+BL597-'Proyeccion Recaudos'!$AO74</f>
        <v>0</v>
      </c>
      <c r="BM598" s="601">
        <f>+BM597-'Proyeccion Recaudos'!$AO75</f>
        <v>0</v>
      </c>
      <c r="BN598" s="601">
        <f>+BN597-'Proyeccion Recaudos'!$AO76</f>
        <v>0</v>
      </c>
      <c r="BO598" s="601">
        <f>+BO597-'Proyeccion Recaudos'!$AO77</f>
        <v>0</v>
      </c>
      <c r="BP598" s="601">
        <f>+BP597-'Proyeccion Recaudos'!$AO78</f>
        <v>0</v>
      </c>
      <c r="BQ598" s="601">
        <f>+BQ597-'Proyeccion Recaudos'!$AO79</f>
        <v>0</v>
      </c>
      <c r="BR598" s="601">
        <f>+BR597-'Proyeccion Recaudos'!$AO80</f>
        <v>0</v>
      </c>
      <c r="BS598" s="601">
        <f>+BS597-'Proyeccion Recaudos'!$AO81</f>
        <v>0</v>
      </c>
      <c r="BT598" s="601">
        <f>+BT597-'Proyeccion Recaudos'!$AO82</f>
        <v>0</v>
      </c>
      <c r="BU598" s="601">
        <f>+BU597-'Proyeccion Recaudos'!$AO83</f>
        <v>0</v>
      </c>
      <c r="BV598" s="601">
        <f>+BV597-'Proyeccion Recaudos'!$AO84</f>
        <v>0</v>
      </c>
      <c r="BW598" s="601">
        <f>+BW597-'Proyeccion Recaudos'!$AO85</f>
        <v>0</v>
      </c>
      <c r="BX598" s="601">
        <f>+BX597-'Proyeccion Recaudos'!$AO87</f>
        <v>0</v>
      </c>
    </row>
    <row r="599" spans="1:76" x14ac:dyDescent="0.2">
      <c r="BC599" s="599"/>
      <c r="BX599" s="599"/>
    </row>
  </sheetData>
  <autoFilter ref="A3:BC598" xr:uid="{00000000-0009-0000-0000-000005000000}"/>
  <mergeCells count="6">
    <mergeCell ref="A513:A595"/>
    <mergeCell ref="A2:B2"/>
    <mergeCell ref="A4:A152"/>
    <mergeCell ref="A154:A255"/>
    <mergeCell ref="A374:A511"/>
    <mergeCell ref="A257:A372"/>
  </mergeCells>
  <conditionalFormatting sqref="Y4:BW372 Y374:BW595">
    <cfRule type="cellIs" dxfId="7" priority="1" operator="lessThan">
      <formula>0</formula>
    </cfRule>
  </conditionalFormatting>
  <printOptions horizontalCentered="1" verticalCentered="1"/>
  <pageMargins left="0.51181102362204722" right="0.51181102362204722" top="0.35433070866141736" bottom="0.35433070866141736" header="0.31496062992125984" footer="0.31496062992125984"/>
  <pageSetup scale="35"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9453C-19E1-46F5-9C0B-DEC2B1508620}">
  <sheetPr>
    <tabColor rgb="FFF6FA58"/>
  </sheetPr>
  <dimension ref="A1:XFC1156"/>
  <sheetViews>
    <sheetView zoomScale="115" zoomScaleNormal="115" workbookViewId="0">
      <pane xSplit="3" ySplit="3" topLeftCell="I4" activePane="bottomRight" state="frozen"/>
      <selection pane="topRight" activeCell="D1" sqref="D1"/>
      <selection pane="bottomLeft" activeCell="A4" sqref="A4"/>
      <selection pane="bottomRight" activeCell="D3" sqref="D3"/>
    </sheetView>
  </sheetViews>
  <sheetFormatPr baseColWidth="10" defaultColWidth="0" defaultRowHeight="15" x14ac:dyDescent="0.2"/>
  <cols>
    <col min="1" max="1" width="26.140625" style="729" customWidth="1"/>
    <col min="2" max="2" width="25.7109375" style="598" customWidth="1"/>
    <col min="3" max="3" width="15" style="598" bestFit="1" customWidth="1"/>
    <col min="4" max="4" width="15.5703125" style="598" bestFit="1" customWidth="1"/>
    <col min="5" max="5" width="16.5703125" style="598" bestFit="1" customWidth="1"/>
    <col min="6" max="6" width="15.85546875" style="598" bestFit="1" customWidth="1"/>
    <col min="7" max="7" width="16.5703125" style="598" bestFit="1" customWidth="1"/>
    <col min="8" max="8" width="15.42578125" style="598" bestFit="1" customWidth="1"/>
    <col min="9" max="9" width="15.7109375" style="598" bestFit="1" customWidth="1"/>
    <col min="10" max="10" width="15.42578125" style="598" bestFit="1" customWidth="1"/>
    <col min="11" max="13" width="15.7109375" style="598" bestFit="1" customWidth="1"/>
    <col min="14" max="14" width="15.42578125" style="598" bestFit="1" customWidth="1"/>
    <col min="15" max="15" width="18.140625" style="598" bestFit="1" customWidth="1"/>
    <col min="16" max="16" width="19.140625" style="598" bestFit="1" customWidth="1"/>
    <col min="17" max="17" width="16.5703125" style="598" bestFit="1" customWidth="1"/>
    <col min="18" max="18" width="19.140625" style="598" bestFit="1" customWidth="1"/>
    <col min="19" max="20" width="18.140625" style="598" bestFit="1" customWidth="1"/>
    <col min="21" max="22" width="19.140625" style="598" bestFit="1" customWidth="1"/>
    <col min="23" max="24" width="18.140625" style="598" bestFit="1" customWidth="1"/>
    <col min="25" max="25" width="19.140625" style="598" bestFit="1" customWidth="1"/>
    <col min="26" max="26" width="18.140625" style="598" bestFit="1" customWidth="1"/>
    <col min="27" max="27" width="16.5703125" style="598" bestFit="1" customWidth="1"/>
    <col min="28" max="28" width="18.140625" style="598" bestFit="1" customWidth="1"/>
    <col min="29" max="33" width="16.5703125" style="598" bestFit="1" customWidth="1"/>
    <col min="34" max="34" width="18.140625" style="598" bestFit="1" customWidth="1"/>
    <col min="35" max="36" width="16.5703125" style="598" bestFit="1" customWidth="1"/>
    <col min="37" max="37" width="18.140625" style="598" bestFit="1" customWidth="1"/>
    <col min="38" max="39" width="16.5703125" style="598" bestFit="1" customWidth="1"/>
    <col min="40" max="41" width="18.140625" style="598" bestFit="1" customWidth="1"/>
    <col min="42" max="42" width="16.5703125" style="598" bestFit="1" customWidth="1"/>
    <col min="43" max="43" width="18.140625" style="598" bestFit="1" customWidth="1"/>
    <col min="44" max="44" width="19.140625" style="598" bestFit="1" customWidth="1"/>
    <col min="45" max="45" width="18.140625" style="598" bestFit="1" customWidth="1"/>
    <col min="46" max="46" width="15.85546875" style="732" bestFit="1" customWidth="1"/>
    <col min="47" max="47" width="11.140625" style="598" bestFit="1" customWidth="1"/>
    <col min="48" max="48" width="11.7109375" style="598" customWidth="1"/>
    <col min="49" max="49" width="12.42578125" style="598" customWidth="1"/>
    <col min="50" max="50" width="13.5703125" style="598" customWidth="1"/>
    <col min="51" max="51" width="12.5703125" style="598" customWidth="1"/>
    <col min="52" max="73" width="11.5703125" style="598" customWidth="1"/>
    <col min="74" max="75" width="13.5703125" style="598" customWidth="1"/>
    <col min="76" max="76" width="16.140625" style="598" customWidth="1"/>
    <col min="77" max="77" width="16.140625" style="598" hidden="1" customWidth="1"/>
    <col min="78" max="78" width="0" style="598" hidden="1" customWidth="1"/>
    <col min="79" max="16383" width="16.140625" style="598" hidden="1"/>
    <col min="16384" max="16384" width="6.140625" style="598" customWidth="1"/>
  </cols>
  <sheetData>
    <row r="1" spans="1:76" s="620" customFormat="1" ht="21" x14ac:dyDescent="0.2">
      <c r="A1" s="621" t="s">
        <v>840</v>
      </c>
      <c r="B1" s="621"/>
      <c r="AT1" s="730"/>
    </row>
    <row r="2" spans="1:76" s="620" customFormat="1" ht="18.75" x14ac:dyDescent="0.25">
      <c r="A2" s="903" t="s">
        <v>4459</v>
      </c>
      <c r="B2" s="903"/>
      <c r="AT2" s="730"/>
    </row>
    <row r="3" spans="1:76" s="733" customFormat="1" ht="28.5" customHeight="1" x14ac:dyDescent="0.2">
      <c r="A3" s="722" t="s">
        <v>4511</v>
      </c>
      <c r="B3" s="722" t="s">
        <v>4512</v>
      </c>
      <c r="C3" s="722" t="s">
        <v>4513</v>
      </c>
      <c r="D3" s="728" t="s">
        <v>4468</v>
      </c>
      <c r="E3" s="728" t="s">
        <v>4469</v>
      </c>
      <c r="F3" s="728" t="s">
        <v>4470</v>
      </c>
      <c r="G3" s="728" t="s">
        <v>4471</v>
      </c>
      <c r="H3" s="728" t="s">
        <v>4472</v>
      </c>
      <c r="I3" s="728" t="s">
        <v>4473</v>
      </c>
      <c r="J3" s="728" t="s">
        <v>4474</v>
      </c>
      <c r="K3" s="728" t="s">
        <v>4475</v>
      </c>
      <c r="L3" s="728" t="s">
        <v>4476</v>
      </c>
      <c r="M3" s="728" t="s">
        <v>4477</v>
      </c>
      <c r="N3" s="728" t="s">
        <v>4478</v>
      </c>
      <c r="O3" s="728" t="s">
        <v>4479</v>
      </c>
      <c r="P3" s="728" t="s">
        <v>4480</v>
      </c>
      <c r="Q3" s="728" t="s">
        <v>4481</v>
      </c>
      <c r="R3" s="728" t="s">
        <v>4482</v>
      </c>
      <c r="S3" s="728" t="s">
        <v>4483</v>
      </c>
      <c r="T3" s="728" t="s">
        <v>4484</v>
      </c>
      <c r="U3" s="728" t="s">
        <v>4485</v>
      </c>
      <c r="V3" s="728" t="s">
        <v>4486</v>
      </c>
      <c r="W3" s="728" t="s">
        <v>4487</v>
      </c>
      <c r="X3" s="728" t="s">
        <v>4488</v>
      </c>
      <c r="Y3" s="728" t="s">
        <v>4489</v>
      </c>
      <c r="Z3" s="728" t="s">
        <v>4490</v>
      </c>
      <c r="AA3" s="728" t="s">
        <v>4491</v>
      </c>
      <c r="AB3" s="728" t="s">
        <v>4492</v>
      </c>
      <c r="AC3" s="728" t="s">
        <v>4493</v>
      </c>
      <c r="AD3" s="728" t="s">
        <v>4494</v>
      </c>
      <c r="AE3" s="728" t="s">
        <v>4495</v>
      </c>
      <c r="AF3" s="728" t="s">
        <v>4496</v>
      </c>
      <c r="AG3" s="728" t="s">
        <v>4497</v>
      </c>
      <c r="AH3" s="728" t="s">
        <v>4498</v>
      </c>
      <c r="AI3" s="728" t="s">
        <v>4499</v>
      </c>
      <c r="AJ3" s="728" t="s">
        <v>4500</v>
      </c>
      <c r="AK3" s="728" t="s">
        <v>4501</v>
      </c>
      <c r="AL3" s="728" t="s">
        <v>4502</v>
      </c>
      <c r="AM3" s="728" t="s">
        <v>4503</v>
      </c>
      <c r="AN3" s="728" t="s">
        <v>4504</v>
      </c>
      <c r="AO3" s="728" t="s">
        <v>4505</v>
      </c>
      <c r="AP3" s="728" t="s">
        <v>4506</v>
      </c>
      <c r="AQ3" s="728" t="s">
        <v>4507</v>
      </c>
      <c r="AR3" s="728" t="s">
        <v>4508</v>
      </c>
      <c r="AS3" s="728" t="s">
        <v>4509</v>
      </c>
      <c r="AT3" s="728" t="s">
        <v>4510</v>
      </c>
      <c r="AU3" s="618"/>
      <c r="AV3" s="618"/>
      <c r="AW3" s="618"/>
      <c r="AX3" s="618"/>
      <c r="AY3" s="618"/>
      <c r="AZ3" s="618"/>
      <c r="BA3" s="618"/>
      <c r="BB3" s="618"/>
      <c r="BC3" s="618"/>
      <c r="BD3" s="618"/>
      <c r="BE3" s="618"/>
      <c r="BF3" s="618"/>
      <c r="BG3" s="618"/>
      <c r="BH3" s="618"/>
      <c r="BI3" s="618"/>
      <c r="BJ3" s="618"/>
      <c r="BK3" s="618"/>
      <c r="BL3" s="618"/>
      <c r="BM3" s="618"/>
      <c r="BN3" s="618"/>
      <c r="BO3" s="618"/>
      <c r="BP3" s="618"/>
      <c r="BQ3" s="618"/>
      <c r="BR3" s="618"/>
      <c r="BS3" s="618"/>
      <c r="BT3" s="618"/>
      <c r="BU3" s="618"/>
      <c r="BV3" s="618"/>
      <c r="BW3" s="618"/>
      <c r="BX3" s="618"/>
    </row>
    <row r="4" spans="1:76" s="612" customFormat="1" ht="12.75" x14ac:dyDescent="0.2">
      <c r="A4" s="838" t="s">
        <v>4460</v>
      </c>
      <c r="B4" s="713" t="s">
        <v>992</v>
      </c>
      <c r="C4" s="713" t="s">
        <v>1838</v>
      </c>
      <c r="D4" s="712">
        <v>0</v>
      </c>
      <c r="E4" s="712">
        <v>0</v>
      </c>
      <c r="F4" s="712">
        <v>0</v>
      </c>
      <c r="G4" s="712">
        <v>233516634</v>
      </c>
      <c r="H4" s="712">
        <v>0</v>
      </c>
      <c r="I4" s="712">
        <v>0</v>
      </c>
      <c r="J4" s="712">
        <v>0</v>
      </c>
      <c r="K4" s="712">
        <v>0</v>
      </c>
      <c r="L4" s="712">
        <v>0</v>
      </c>
      <c r="M4" s="712">
        <v>0</v>
      </c>
      <c r="N4" s="712">
        <v>0</v>
      </c>
      <c r="O4" s="712">
        <v>0</v>
      </c>
      <c r="P4" s="712">
        <v>0</v>
      </c>
      <c r="Q4" s="712">
        <v>0</v>
      </c>
      <c r="R4" s="712">
        <v>0</v>
      </c>
      <c r="S4" s="712">
        <v>0</v>
      </c>
      <c r="T4" s="712">
        <v>0</v>
      </c>
      <c r="U4" s="712">
        <v>0</v>
      </c>
      <c r="V4" s="712">
        <v>0</v>
      </c>
      <c r="W4" s="712">
        <v>0</v>
      </c>
      <c r="X4" s="712">
        <v>0</v>
      </c>
      <c r="Y4" s="712">
        <v>0</v>
      </c>
      <c r="Z4" s="712">
        <v>0</v>
      </c>
      <c r="AA4" s="712">
        <v>0</v>
      </c>
      <c r="AB4" s="712">
        <v>0</v>
      </c>
      <c r="AC4" s="712">
        <v>0</v>
      </c>
      <c r="AD4" s="712">
        <v>0</v>
      </c>
      <c r="AE4" s="712">
        <v>0</v>
      </c>
      <c r="AF4" s="712">
        <v>0</v>
      </c>
      <c r="AG4" s="712">
        <v>0</v>
      </c>
      <c r="AH4" s="712">
        <v>0</v>
      </c>
      <c r="AI4" s="712">
        <v>0</v>
      </c>
      <c r="AJ4" s="712">
        <v>0</v>
      </c>
      <c r="AK4" s="712">
        <v>0</v>
      </c>
      <c r="AL4" s="712">
        <v>0</v>
      </c>
      <c r="AM4" s="712">
        <v>0</v>
      </c>
      <c r="AN4" s="712">
        <v>0</v>
      </c>
      <c r="AO4" s="712">
        <v>0</v>
      </c>
      <c r="AP4" s="712">
        <v>0</v>
      </c>
      <c r="AQ4" s="712">
        <v>0</v>
      </c>
      <c r="AR4" s="712">
        <v>0</v>
      </c>
      <c r="AS4" s="712">
        <v>0</v>
      </c>
      <c r="AT4">
        <v>233516634</v>
      </c>
      <c r="AU4" s="609"/>
      <c r="AV4" s="609"/>
      <c r="AW4" s="615"/>
      <c r="AX4" s="615"/>
      <c r="AY4" s="615"/>
      <c r="AZ4" s="615"/>
      <c r="BA4" s="615"/>
      <c r="BB4" s="615"/>
      <c r="BC4" s="615"/>
      <c r="BD4" s="615"/>
      <c r="BE4" s="615"/>
      <c r="BF4" s="615"/>
      <c r="BG4" s="615"/>
      <c r="BH4" s="615"/>
      <c r="BI4" s="615"/>
      <c r="BJ4" s="615"/>
      <c r="BK4" s="615"/>
      <c r="BL4" s="615"/>
      <c r="BM4" s="615"/>
      <c r="BN4" s="615"/>
      <c r="BO4" s="615"/>
      <c r="BP4" s="615"/>
      <c r="BQ4" s="615"/>
      <c r="BR4" s="615"/>
      <c r="BS4" s="615"/>
      <c r="BT4" s="615"/>
      <c r="BU4" s="615"/>
      <c r="BV4" s="615"/>
      <c r="BW4" s="615"/>
      <c r="BX4" s="607"/>
    </row>
    <row r="5" spans="1:76" s="612" customFormat="1" ht="12.75" customHeight="1" x14ac:dyDescent="0.2">
      <c r="A5" s="839"/>
      <c r="B5" s="713" t="s">
        <v>1072</v>
      </c>
      <c r="C5" s="713" t="s">
        <v>1786</v>
      </c>
      <c r="D5" s="712">
        <v>0</v>
      </c>
      <c r="E5" s="712">
        <v>0</v>
      </c>
      <c r="F5" s="712">
        <v>0</v>
      </c>
      <c r="G5" s="712">
        <v>0</v>
      </c>
      <c r="H5" s="712">
        <v>0</v>
      </c>
      <c r="I5" s="712">
        <v>0</v>
      </c>
      <c r="J5" s="712">
        <v>0</v>
      </c>
      <c r="K5" s="712">
        <v>0</v>
      </c>
      <c r="L5" s="712">
        <v>0</v>
      </c>
      <c r="M5" s="712">
        <v>0</v>
      </c>
      <c r="N5" s="712">
        <v>0</v>
      </c>
      <c r="O5" s="712">
        <v>0</v>
      </c>
      <c r="P5" s="712">
        <v>0</v>
      </c>
      <c r="Q5" s="712">
        <v>0</v>
      </c>
      <c r="R5" s="712">
        <v>0</v>
      </c>
      <c r="S5" s="712">
        <v>0</v>
      </c>
      <c r="T5" s="712">
        <v>0</v>
      </c>
      <c r="U5" s="712">
        <v>0</v>
      </c>
      <c r="V5" s="712">
        <v>0</v>
      </c>
      <c r="W5" s="712">
        <v>0</v>
      </c>
      <c r="X5" s="712">
        <v>0</v>
      </c>
      <c r="Y5" s="712">
        <v>0</v>
      </c>
      <c r="Z5" s="712">
        <v>0</v>
      </c>
      <c r="AA5" s="712">
        <v>0</v>
      </c>
      <c r="AB5" s="712">
        <v>0</v>
      </c>
      <c r="AC5" s="712">
        <v>0</v>
      </c>
      <c r="AD5" s="712">
        <v>0</v>
      </c>
      <c r="AE5" s="712">
        <v>0</v>
      </c>
      <c r="AF5" s="712">
        <v>0</v>
      </c>
      <c r="AG5" s="712">
        <v>0</v>
      </c>
      <c r="AH5" s="712">
        <v>0</v>
      </c>
      <c r="AI5" s="712">
        <v>0</v>
      </c>
      <c r="AJ5" s="712">
        <v>0</v>
      </c>
      <c r="AK5" s="712">
        <v>0</v>
      </c>
      <c r="AL5" s="712">
        <v>0</v>
      </c>
      <c r="AM5" s="712">
        <v>0</v>
      </c>
      <c r="AN5" s="712">
        <v>0</v>
      </c>
      <c r="AO5" s="712">
        <v>0</v>
      </c>
      <c r="AP5" s="712">
        <v>0</v>
      </c>
      <c r="AQ5" s="712">
        <v>0</v>
      </c>
      <c r="AR5" s="712">
        <v>0</v>
      </c>
      <c r="AS5" s="712">
        <v>0</v>
      </c>
      <c r="AT5">
        <v>0</v>
      </c>
      <c r="AU5" s="609"/>
      <c r="AV5" s="609"/>
      <c r="AW5" s="615"/>
      <c r="AX5" s="615"/>
      <c r="AY5" s="615"/>
      <c r="AZ5" s="615"/>
      <c r="BA5" s="615"/>
      <c r="BB5" s="615"/>
      <c r="BC5" s="615"/>
      <c r="BD5" s="615"/>
      <c r="BE5" s="615"/>
      <c r="BF5" s="615"/>
      <c r="BG5" s="615"/>
      <c r="BH5" s="615"/>
      <c r="BI5" s="615"/>
      <c r="BJ5" s="615"/>
      <c r="BK5" s="615"/>
      <c r="BL5" s="615"/>
      <c r="BM5" s="615"/>
      <c r="BN5" s="615"/>
      <c r="BO5" s="615"/>
      <c r="BP5" s="615"/>
      <c r="BQ5" s="615"/>
      <c r="BR5" s="615"/>
      <c r="BS5" s="615"/>
      <c r="BT5" s="615"/>
      <c r="BU5" s="615"/>
      <c r="BV5" s="615"/>
      <c r="BW5" s="615"/>
      <c r="BX5" s="607"/>
    </row>
    <row r="6" spans="1:76" s="612" customFormat="1" ht="12.75" customHeight="1" x14ac:dyDescent="0.2">
      <c r="A6" s="839"/>
      <c r="B6" s="713" t="s">
        <v>889</v>
      </c>
      <c r="C6" s="713" t="s">
        <v>1868</v>
      </c>
      <c r="D6" s="712">
        <v>0</v>
      </c>
      <c r="E6" s="712">
        <v>0</v>
      </c>
      <c r="F6" s="712">
        <v>0</v>
      </c>
      <c r="G6" s="712">
        <v>0</v>
      </c>
      <c r="H6" s="712">
        <v>0</v>
      </c>
      <c r="I6" s="712">
        <v>0</v>
      </c>
      <c r="J6" s="712">
        <v>0</v>
      </c>
      <c r="K6" s="712">
        <v>0</v>
      </c>
      <c r="L6" s="712">
        <v>0</v>
      </c>
      <c r="M6" s="712">
        <v>0</v>
      </c>
      <c r="N6" s="712">
        <v>0</v>
      </c>
      <c r="O6" s="712">
        <v>0</v>
      </c>
      <c r="P6" s="712">
        <v>0</v>
      </c>
      <c r="Q6" s="712">
        <v>0</v>
      </c>
      <c r="R6" s="712">
        <v>0</v>
      </c>
      <c r="S6" s="712">
        <v>0</v>
      </c>
      <c r="T6" s="712">
        <v>0</v>
      </c>
      <c r="U6" s="712">
        <v>0</v>
      </c>
      <c r="V6" s="712">
        <v>0</v>
      </c>
      <c r="W6" s="712">
        <v>0</v>
      </c>
      <c r="X6" s="712">
        <v>0</v>
      </c>
      <c r="Y6" s="712">
        <v>0</v>
      </c>
      <c r="Z6" s="712">
        <v>0</v>
      </c>
      <c r="AA6" s="712">
        <v>0</v>
      </c>
      <c r="AB6" s="712">
        <v>0</v>
      </c>
      <c r="AC6" s="712">
        <v>0</v>
      </c>
      <c r="AD6" s="712">
        <v>0</v>
      </c>
      <c r="AE6" s="712">
        <v>0</v>
      </c>
      <c r="AF6" s="712">
        <v>0</v>
      </c>
      <c r="AG6" s="712">
        <v>0</v>
      </c>
      <c r="AH6" s="712">
        <v>0</v>
      </c>
      <c r="AI6" s="712">
        <v>0</v>
      </c>
      <c r="AJ6" s="712">
        <v>0</v>
      </c>
      <c r="AK6" s="712">
        <v>0</v>
      </c>
      <c r="AL6" s="712">
        <v>0</v>
      </c>
      <c r="AM6" s="712">
        <v>0</v>
      </c>
      <c r="AN6" s="712">
        <v>0</v>
      </c>
      <c r="AO6" s="712">
        <v>0</v>
      </c>
      <c r="AP6" s="712">
        <v>0</v>
      </c>
      <c r="AQ6" s="712">
        <v>0</v>
      </c>
      <c r="AR6" s="712">
        <v>0</v>
      </c>
      <c r="AS6" s="712">
        <v>0</v>
      </c>
      <c r="AT6">
        <v>0</v>
      </c>
      <c r="AU6" s="609"/>
      <c r="AV6" s="609"/>
      <c r="AW6" s="615"/>
      <c r="AX6" s="615"/>
      <c r="AY6" s="615"/>
      <c r="AZ6" s="615"/>
      <c r="BA6" s="615"/>
      <c r="BB6" s="615"/>
      <c r="BC6" s="615"/>
      <c r="BD6" s="615"/>
      <c r="BE6" s="615"/>
      <c r="BF6" s="615"/>
      <c r="BG6" s="615"/>
      <c r="BH6" s="615"/>
      <c r="BI6" s="615"/>
      <c r="BJ6" s="615"/>
      <c r="BK6" s="615"/>
      <c r="BL6" s="615"/>
      <c r="BM6" s="615"/>
      <c r="BN6" s="615"/>
      <c r="BO6" s="615"/>
      <c r="BP6" s="615"/>
      <c r="BQ6" s="615"/>
      <c r="BR6" s="615"/>
      <c r="BS6" s="615"/>
      <c r="BT6" s="615"/>
      <c r="BU6" s="615"/>
      <c r="BV6" s="615"/>
      <c r="BW6" s="615"/>
      <c r="BX6" s="607"/>
    </row>
    <row r="7" spans="1:76" s="612" customFormat="1" ht="12.75" customHeight="1" x14ac:dyDescent="0.2">
      <c r="A7" s="839"/>
      <c r="B7" s="713" t="s">
        <v>870</v>
      </c>
      <c r="C7" s="713" t="s">
        <v>1787</v>
      </c>
      <c r="D7" s="712">
        <v>0</v>
      </c>
      <c r="E7" s="712">
        <v>0</v>
      </c>
      <c r="F7" s="712">
        <v>0</v>
      </c>
      <c r="G7" s="712">
        <v>0</v>
      </c>
      <c r="H7" s="712">
        <v>0</v>
      </c>
      <c r="I7" s="712">
        <v>0</v>
      </c>
      <c r="J7" s="712">
        <v>0</v>
      </c>
      <c r="K7" s="712">
        <v>0</v>
      </c>
      <c r="L7" s="712">
        <v>0</v>
      </c>
      <c r="M7" s="712">
        <v>0</v>
      </c>
      <c r="N7" s="712">
        <v>0</v>
      </c>
      <c r="O7" s="712">
        <v>0</v>
      </c>
      <c r="P7" s="712">
        <v>0</v>
      </c>
      <c r="Q7" s="712">
        <v>0</v>
      </c>
      <c r="R7" s="712">
        <v>0</v>
      </c>
      <c r="S7" s="712">
        <v>0</v>
      </c>
      <c r="T7" s="712">
        <v>0</v>
      </c>
      <c r="U7" s="712">
        <v>0</v>
      </c>
      <c r="V7" s="712">
        <v>0</v>
      </c>
      <c r="W7" s="712">
        <v>0</v>
      </c>
      <c r="X7" s="712">
        <v>0</v>
      </c>
      <c r="Y7" s="712">
        <v>0</v>
      </c>
      <c r="Z7" s="712">
        <v>0</v>
      </c>
      <c r="AA7" s="712">
        <v>0</v>
      </c>
      <c r="AB7" s="712">
        <v>0</v>
      </c>
      <c r="AC7" s="712">
        <v>0</v>
      </c>
      <c r="AD7" s="712">
        <v>0</v>
      </c>
      <c r="AE7" s="712">
        <v>0</v>
      </c>
      <c r="AF7" s="712">
        <v>0</v>
      </c>
      <c r="AG7" s="712">
        <v>0</v>
      </c>
      <c r="AH7" s="712">
        <v>0</v>
      </c>
      <c r="AI7" s="712">
        <v>0</v>
      </c>
      <c r="AJ7" s="712">
        <v>0</v>
      </c>
      <c r="AK7" s="712">
        <v>0</v>
      </c>
      <c r="AL7" s="712">
        <v>0</v>
      </c>
      <c r="AM7" s="712">
        <v>0</v>
      </c>
      <c r="AN7" s="712">
        <v>0</v>
      </c>
      <c r="AO7" s="712">
        <v>0</v>
      </c>
      <c r="AP7" s="712">
        <v>0</v>
      </c>
      <c r="AQ7" s="712">
        <v>0</v>
      </c>
      <c r="AR7" s="712">
        <v>0</v>
      </c>
      <c r="AS7" s="712">
        <v>0</v>
      </c>
      <c r="AT7">
        <v>0</v>
      </c>
      <c r="AU7" s="609"/>
      <c r="AV7" s="609"/>
      <c r="AW7" s="615"/>
      <c r="AX7" s="615"/>
      <c r="AY7" s="615"/>
      <c r="AZ7" s="615"/>
      <c r="BA7" s="615"/>
      <c r="BB7" s="615"/>
      <c r="BC7" s="615"/>
      <c r="BD7" s="615"/>
      <c r="BE7" s="615"/>
      <c r="BF7" s="615"/>
      <c r="BG7" s="615"/>
      <c r="BH7" s="615"/>
      <c r="BI7" s="615"/>
      <c r="BJ7" s="615"/>
      <c r="BK7" s="615"/>
      <c r="BL7" s="615"/>
      <c r="BM7" s="615"/>
      <c r="BN7" s="615"/>
      <c r="BO7" s="615"/>
      <c r="BP7" s="615"/>
      <c r="BQ7" s="615"/>
      <c r="BR7" s="615"/>
      <c r="BS7" s="615"/>
      <c r="BT7" s="615"/>
      <c r="BU7" s="615"/>
      <c r="BV7" s="615"/>
      <c r="BW7" s="615"/>
      <c r="BX7" s="607"/>
    </row>
    <row r="8" spans="1:76" s="612" customFormat="1" ht="12.75" customHeight="1" x14ac:dyDescent="0.2">
      <c r="A8" s="839"/>
      <c r="B8" s="713" t="s">
        <v>872</v>
      </c>
      <c r="C8" s="713" t="s">
        <v>1796</v>
      </c>
      <c r="D8" s="712">
        <v>0</v>
      </c>
      <c r="E8" s="712">
        <v>0</v>
      </c>
      <c r="F8" s="712">
        <v>0</v>
      </c>
      <c r="G8" s="712">
        <v>0</v>
      </c>
      <c r="H8" s="712">
        <v>0</v>
      </c>
      <c r="I8" s="712">
        <v>0</v>
      </c>
      <c r="J8" s="712">
        <v>0</v>
      </c>
      <c r="K8" s="712">
        <v>0</v>
      </c>
      <c r="L8" s="712">
        <v>0</v>
      </c>
      <c r="M8" s="712">
        <v>0</v>
      </c>
      <c r="N8" s="712">
        <v>0</v>
      </c>
      <c r="O8" s="712">
        <v>0</v>
      </c>
      <c r="P8" s="712">
        <v>0</v>
      </c>
      <c r="Q8" s="712">
        <v>0</v>
      </c>
      <c r="R8" s="712">
        <v>0</v>
      </c>
      <c r="S8" s="712">
        <v>0</v>
      </c>
      <c r="T8" s="712">
        <v>0</v>
      </c>
      <c r="U8" s="712">
        <v>0</v>
      </c>
      <c r="V8" s="712">
        <v>0</v>
      </c>
      <c r="W8" s="712">
        <v>0</v>
      </c>
      <c r="X8" s="712">
        <v>0</v>
      </c>
      <c r="Y8" s="712">
        <v>0</v>
      </c>
      <c r="Z8" s="712">
        <v>0</v>
      </c>
      <c r="AA8" s="712">
        <v>0</v>
      </c>
      <c r="AB8" s="712">
        <v>0</v>
      </c>
      <c r="AC8" s="712">
        <v>0</v>
      </c>
      <c r="AD8" s="712">
        <v>0</v>
      </c>
      <c r="AE8" s="712">
        <v>0</v>
      </c>
      <c r="AF8" s="712">
        <v>0</v>
      </c>
      <c r="AG8" s="712">
        <v>0</v>
      </c>
      <c r="AH8" s="712">
        <v>0</v>
      </c>
      <c r="AI8" s="712">
        <v>0</v>
      </c>
      <c r="AJ8" s="712">
        <v>0</v>
      </c>
      <c r="AK8" s="712">
        <v>0</v>
      </c>
      <c r="AL8" s="712">
        <v>0</v>
      </c>
      <c r="AM8" s="712">
        <v>0</v>
      </c>
      <c r="AN8" s="712">
        <v>0</v>
      </c>
      <c r="AO8" s="712">
        <v>0</v>
      </c>
      <c r="AP8" s="712">
        <v>0</v>
      </c>
      <c r="AQ8" s="712">
        <v>0</v>
      </c>
      <c r="AR8" s="712">
        <v>0</v>
      </c>
      <c r="AS8" s="712">
        <v>0</v>
      </c>
      <c r="AT8">
        <v>0</v>
      </c>
      <c r="AU8" s="609"/>
      <c r="AV8" s="609"/>
      <c r="AW8" s="615"/>
      <c r="AX8" s="615"/>
      <c r="AY8" s="615"/>
      <c r="AZ8" s="615"/>
      <c r="BA8" s="615"/>
      <c r="BB8" s="615"/>
      <c r="BC8" s="615"/>
      <c r="BD8" s="615"/>
      <c r="BE8" s="615"/>
      <c r="BF8" s="615"/>
      <c r="BG8" s="615"/>
      <c r="BH8" s="615"/>
      <c r="BI8" s="615"/>
      <c r="BJ8" s="615"/>
      <c r="BK8" s="615"/>
      <c r="BL8" s="615"/>
      <c r="BM8" s="615"/>
      <c r="BN8" s="615"/>
      <c r="BO8" s="615"/>
      <c r="BP8" s="615"/>
      <c r="BQ8" s="615"/>
      <c r="BR8" s="615"/>
      <c r="BS8" s="615"/>
      <c r="BT8" s="615"/>
      <c r="BU8" s="615"/>
      <c r="BV8" s="615"/>
      <c r="BW8" s="615"/>
      <c r="BX8" s="607"/>
    </row>
    <row r="9" spans="1:76" s="612" customFormat="1" ht="12.75" customHeight="1" x14ac:dyDescent="0.2">
      <c r="A9" s="839"/>
      <c r="B9" s="713" t="s">
        <v>2603</v>
      </c>
      <c r="C9" s="713" t="s">
        <v>2238</v>
      </c>
      <c r="D9" s="712">
        <v>0</v>
      </c>
      <c r="E9" s="712">
        <v>0</v>
      </c>
      <c r="F9" s="712">
        <v>0</v>
      </c>
      <c r="G9" s="712">
        <v>0</v>
      </c>
      <c r="H9" s="712">
        <v>0</v>
      </c>
      <c r="I9" s="712">
        <v>0</v>
      </c>
      <c r="J9" s="712">
        <v>0</v>
      </c>
      <c r="K9" s="712">
        <v>0</v>
      </c>
      <c r="L9" s="712">
        <v>0</v>
      </c>
      <c r="M9" s="712">
        <v>0</v>
      </c>
      <c r="N9" s="712">
        <v>0</v>
      </c>
      <c r="O9" s="712">
        <v>0</v>
      </c>
      <c r="P9" s="712">
        <v>0</v>
      </c>
      <c r="Q9" s="712">
        <v>0</v>
      </c>
      <c r="R9" s="712">
        <v>0</v>
      </c>
      <c r="S9" s="712">
        <v>0</v>
      </c>
      <c r="T9" s="712">
        <v>0</v>
      </c>
      <c r="U9" s="712">
        <v>0</v>
      </c>
      <c r="V9" s="712">
        <v>0</v>
      </c>
      <c r="W9" s="712">
        <v>0</v>
      </c>
      <c r="X9" s="712">
        <v>0</v>
      </c>
      <c r="Y9" s="712">
        <v>0</v>
      </c>
      <c r="Z9" s="712">
        <v>0</v>
      </c>
      <c r="AA9" s="712">
        <v>0</v>
      </c>
      <c r="AB9" s="712">
        <v>0</v>
      </c>
      <c r="AC9" s="712">
        <v>0</v>
      </c>
      <c r="AD9" s="712">
        <v>0</v>
      </c>
      <c r="AE9" s="712">
        <v>0</v>
      </c>
      <c r="AF9" s="712">
        <v>0</v>
      </c>
      <c r="AG9" s="712">
        <v>0</v>
      </c>
      <c r="AH9" s="712">
        <v>0</v>
      </c>
      <c r="AI9" s="712">
        <v>0</v>
      </c>
      <c r="AJ9" s="712">
        <v>0</v>
      </c>
      <c r="AK9" s="712">
        <v>0</v>
      </c>
      <c r="AL9" s="712">
        <v>0</v>
      </c>
      <c r="AM9" s="712">
        <v>0</v>
      </c>
      <c r="AN9" s="712">
        <v>0</v>
      </c>
      <c r="AO9" s="712">
        <v>0</v>
      </c>
      <c r="AP9" s="712">
        <v>0</v>
      </c>
      <c r="AQ9" s="712">
        <v>0</v>
      </c>
      <c r="AR9" s="712">
        <v>0</v>
      </c>
      <c r="AS9" s="712">
        <v>0</v>
      </c>
      <c r="AT9">
        <v>0</v>
      </c>
      <c r="AU9" s="609"/>
      <c r="AV9" s="609"/>
      <c r="AW9" s="615"/>
      <c r="AX9" s="615"/>
      <c r="AY9" s="615"/>
      <c r="AZ9" s="615"/>
      <c r="BA9" s="615"/>
      <c r="BB9" s="615"/>
      <c r="BC9" s="615"/>
      <c r="BD9" s="615"/>
      <c r="BE9" s="615"/>
      <c r="BF9" s="615"/>
      <c r="BG9" s="615"/>
      <c r="BH9" s="615"/>
      <c r="BI9" s="615"/>
      <c r="BJ9" s="615"/>
      <c r="BK9" s="615"/>
      <c r="BL9" s="615"/>
      <c r="BM9" s="615"/>
      <c r="BN9" s="615"/>
      <c r="BO9" s="615"/>
      <c r="BP9" s="615"/>
      <c r="BQ9" s="615"/>
      <c r="BR9" s="615"/>
      <c r="BS9" s="615"/>
      <c r="BT9" s="615"/>
      <c r="BU9" s="615"/>
      <c r="BV9" s="615"/>
      <c r="BW9" s="615"/>
      <c r="BX9" s="607"/>
    </row>
    <row r="10" spans="1:76" s="612" customFormat="1" ht="12.75" customHeight="1" x14ac:dyDescent="0.2">
      <c r="A10" s="839"/>
      <c r="B10" s="713" t="s">
        <v>2575</v>
      </c>
      <c r="C10" s="713" t="s">
        <v>1806</v>
      </c>
      <c r="D10" s="712">
        <v>0</v>
      </c>
      <c r="E10" s="712">
        <v>0</v>
      </c>
      <c r="F10" s="712">
        <v>0</v>
      </c>
      <c r="G10" s="712">
        <v>0</v>
      </c>
      <c r="H10" s="712">
        <v>0</v>
      </c>
      <c r="I10" s="712">
        <v>0</v>
      </c>
      <c r="J10" s="712">
        <v>0</v>
      </c>
      <c r="K10" s="712">
        <v>0</v>
      </c>
      <c r="L10" s="712">
        <v>0</v>
      </c>
      <c r="M10" s="712">
        <v>89747</v>
      </c>
      <c r="N10" s="712">
        <v>0</v>
      </c>
      <c r="O10" s="712">
        <v>0</v>
      </c>
      <c r="P10" s="712">
        <v>0</v>
      </c>
      <c r="Q10" s="712">
        <v>0</v>
      </c>
      <c r="R10" s="712">
        <v>0</v>
      </c>
      <c r="S10" s="712">
        <v>0</v>
      </c>
      <c r="T10" s="712">
        <v>0</v>
      </c>
      <c r="U10" s="712">
        <v>0</v>
      </c>
      <c r="V10" s="712">
        <v>0</v>
      </c>
      <c r="W10" s="712">
        <v>0</v>
      </c>
      <c r="X10" s="712">
        <v>0</v>
      </c>
      <c r="Y10" s="712">
        <v>0</v>
      </c>
      <c r="Z10" s="712">
        <v>0</v>
      </c>
      <c r="AA10" s="712">
        <v>0</v>
      </c>
      <c r="AB10" s="712">
        <v>0</v>
      </c>
      <c r="AC10" s="712">
        <v>0</v>
      </c>
      <c r="AD10" s="712">
        <v>0</v>
      </c>
      <c r="AE10" s="712">
        <v>0</v>
      </c>
      <c r="AF10" s="712">
        <v>0</v>
      </c>
      <c r="AG10" s="712">
        <v>0</v>
      </c>
      <c r="AH10" s="712">
        <v>0</v>
      </c>
      <c r="AI10" s="712">
        <v>0</v>
      </c>
      <c r="AJ10" s="712">
        <v>0</v>
      </c>
      <c r="AK10" s="712">
        <v>0</v>
      </c>
      <c r="AL10" s="712">
        <v>0</v>
      </c>
      <c r="AM10" s="712">
        <v>0</v>
      </c>
      <c r="AN10" s="712">
        <v>0</v>
      </c>
      <c r="AO10" s="712">
        <v>0</v>
      </c>
      <c r="AP10" s="712">
        <v>0</v>
      </c>
      <c r="AQ10" s="712">
        <v>0</v>
      </c>
      <c r="AR10" s="712">
        <v>0</v>
      </c>
      <c r="AS10" s="712">
        <v>0</v>
      </c>
      <c r="AT10">
        <v>89747</v>
      </c>
      <c r="AU10" s="609"/>
      <c r="AV10" s="609"/>
      <c r="AW10" s="615"/>
      <c r="AX10" s="615"/>
      <c r="AY10" s="615"/>
      <c r="AZ10" s="615"/>
      <c r="BA10" s="615"/>
      <c r="BB10" s="615"/>
      <c r="BC10" s="615"/>
      <c r="BD10" s="615"/>
      <c r="BE10" s="615"/>
      <c r="BF10" s="615"/>
      <c r="BG10" s="615"/>
      <c r="BH10" s="615"/>
      <c r="BI10" s="615"/>
      <c r="BJ10" s="615"/>
      <c r="BK10" s="615"/>
      <c r="BL10" s="615"/>
      <c r="BM10" s="615"/>
      <c r="BN10" s="615"/>
      <c r="BO10" s="615"/>
      <c r="BP10" s="615"/>
      <c r="BQ10" s="615"/>
      <c r="BR10" s="615"/>
      <c r="BS10" s="615"/>
      <c r="BT10" s="615"/>
      <c r="BU10" s="615"/>
      <c r="BV10" s="615"/>
      <c r="BW10" s="615"/>
      <c r="BX10" s="607"/>
    </row>
    <row r="11" spans="1:76" s="612" customFormat="1" ht="12.75" customHeight="1" x14ac:dyDescent="0.2">
      <c r="A11" s="839"/>
      <c r="B11" s="713" t="s">
        <v>863</v>
      </c>
      <c r="C11" s="713" t="s">
        <v>1770</v>
      </c>
      <c r="D11" s="712">
        <v>0</v>
      </c>
      <c r="E11" s="712">
        <v>0</v>
      </c>
      <c r="F11" s="712">
        <v>0</v>
      </c>
      <c r="G11" s="712">
        <v>0</v>
      </c>
      <c r="H11" s="712">
        <v>0</v>
      </c>
      <c r="I11" s="712">
        <v>0</v>
      </c>
      <c r="J11" s="712">
        <v>0</v>
      </c>
      <c r="K11" s="712">
        <v>0</v>
      </c>
      <c r="L11" s="712">
        <v>161653</v>
      </c>
      <c r="M11" s="712">
        <v>0</v>
      </c>
      <c r="N11" s="712">
        <v>0</v>
      </c>
      <c r="O11" s="712">
        <v>0</v>
      </c>
      <c r="P11" s="712">
        <v>0</v>
      </c>
      <c r="Q11" s="712">
        <v>0</v>
      </c>
      <c r="R11" s="712">
        <v>1451128</v>
      </c>
      <c r="S11" s="712">
        <v>0</v>
      </c>
      <c r="T11" s="712">
        <v>0</v>
      </c>
      <c r="U11" s="712">
        <v>0</v>
      </c>
      <c r="V11" s="712">
        <v>0</v>
      </c>
      <c r="W11" s="712">
        <v>0</v>
      </c>
      <c r="X11" s="712">
        <v>0</v>
      </c>
      <c r="Y11" s="712">
        <v>0</v>
      </c>
      <c r="Z11" s="712">
        <v>0</v>
      </c>
      <c r="AA11" s="712">
        <v>0</v>
      </c>
      <c r="AB11" s="712">
        <v>0</v>
      </c>
      <c r="AC11" s="712">
        <v>0</v>
      </c>
      <c r="AD11" s="712">
        <v>0</v>
      </c>
      <c r="AE11" s="712">
        <v>0</v>
      </c>
      <c r="AF11" s="712">
        <v>0</v>
      </c>
      <c r="AG11" s="712">
        <v>0</v>
      </c>
      <c r="AH11" s="712">
        <v>0</v>
      </c>
      <c r="AI11" s="712">
        <v>0</v>
      </c>
      <c r="AJ11" s="712">
        <v>0</v>
      </c>
      <c r="AK11" s="712">
        <v>0</v>
      </c>
      <c r="AL11" s="712">
        <v>0</v>
      </c>
      <c r="AM11" s="712">
        <v>0</v>
      </c>
      <c r="AN11" s="712">
        <v>0</v>
      </c>
      <c r="AO11" s="712">
        <v>0</v>
      </c>
      <c r="AP11" s="712">
        <v>0</v>
      </c>
      <c r="AQ11" s="712">
        <v>0</v>
      </c>
      <c r="AR11" s="712">
        <v>0</v>
      </c>
      <c r="AS11" s="712">
        <v>0</v>
      </c>
      <c r="AT11">
        <v>1612781</v>
      </c>
      <c r="AU11" s="609"/>
      <c r="AV11" s="609"/>
      <c r="AW11" s="615"/>
      <c r="AX11" s="615"/>
      <c r="AY11" s="615"/>
      <c r="AZ11" s="615"/>
      <c r="BA11" s="615"/>
      <c r="BB11" s="615"/>
      <c r="BC11" s="615"/>
      <c r="BD11" s="615"/>
      <c r="BE11" s="615"/>
      <c r="BF11" s="615"/>
      <c r="BG11" s="615"/>
      <c r="BH11" s="615"/>
      <c r="BI11" s="615"/>
      <c r="BJ11" s="615"/>
      <c r="BK11" s="615"/>
      <c r="BL11" s="615"/>
      <c r="BM11" s="615"/>
      <c r="BN11" s="615"/>
      <c r="BO11" s="615"/>
      <c r="BP11" s="615"/>
      <c r="BQ11" s="615"/>
      <c r="BR11" s="615"/>
      <c r="BS11" s="615"/>
      <c r="BT11" s="615"/>
      <c r="BU11" s="615"/>
      <c r="BV11" s="615"/>
      <c r="BW11" s="615"/>
      <c r="BX11" s="607"/>
    </row>
    <row r="12" spans="1:76" s="612" customFormat="1" ht="12.75" customHeight="1" x14ac:dyDescent="0.2">
      <c r="A12" s="839"/>
      <c r="B12" s="713" t="s">
        <v>862</v>
      </c>
      <c r="C12" s="713" t="s">
        <v>1771</v>
      </c>
      <c r="D12" s="712">
        <v>0</v>
      </c>
      <c r="E12" s="712">
        <v>0</v>
      </c>
      <c r="F12" s="712">
        <v>0</v>
      </c>
      <c r="G12" s="712">
        <v>0</v>
      </c>
      <c r="H12" s="712">
        <v>0</v>
      </c>
      <c r="I12" s="712">
        <v>0</v>
      </c>
      <c r="J12" s="712">
        <v>0</v>
      </c>
      <c r="K12" s="712">
        <v>0</v>
      </c>
      <c r="L12" s="712">
        <v>0</v>
      </c>
      <c r="M12" s="712">
        <v>0</v>
      </c>
      <c r="N12" s="712">
        <v>0</v>
      </c>
      <c r="O12" s="712">
        <v>0</v>
      </c>
      <c r="P12" s="712">
        <v>0</v>
      </c>
      <c r="Q12" s="712">
        <v>0</v>
      </c>
      <c r="R12" s="712">
        <v>0</v>
      </c>
      <c r="S12" s="712">
        <v>0</v>
      </c>
      <c r="T12" s="712">
        <v>0</v>
      </c>
      <c r="U12" s="712">
        <v>0</v>
      </c>
      <c r="V12" s="712">
        <v>0</v>
      </c>
      <c r="W12" s="712">
        <v>0</v>
      </c>
      <c r="X12" s="712">
        <v>0</v>
      </c>
      <c r="Y12" s="712">
        <v>0</v>
      </c>
      <c r="Z12" s="712">
        <v>0</v>
      </c>
      <c r="AA12" s="712">
        <v>0</v>
      </c>
      <c r="AB12" s="712">
        <v>0</v>
      </c>
      <c r="AC12" s="712">
        <v>0</v>
      </c>
      <c r="AD12" s="712">
        <v>0</v>
      </c>
      <c r="AE12" s="712">
        <v>0</v>
      </c>
      <c r="AF12" s="712">
        <v>0</v>
      </c>
      <c r="AG12" s="712">
        <v>0</v>
      </c>
      <c r="AH12" s="712">
        <v>0</v>
      </c>
      <c r="AI12" s="712">
        <v>0</v>
      </c>
      <c r="AJ12" s="712">
        <v>0</v>
      </c>
      <c r="AK12" s="712">
        <v>0</v>
      </c>
      <c r="AL12" s="712">
        <v>0</v>
      </c>
      <c r="AM12" s="712">
        <v>0</v>
      </c>
      <c r="AN12" s="712">
        <v>0</v>
      </c>
      <c r="AO12" s="712">
        <v>0</v>
      </c>
      <c r="AP12" s="712">
        <v>0</v>
      </c>
      <c r="AQ12" s="712">
        <v>0</v>
      </c>
      <c r="AR12" s="712">
        <v>0</v>
      </c>
      <c r="AS12" s="712">
        <v>0</v>
      </c>
      <c r="AT12">
        <v>0</v>
      </c>
      <c r="AU12" s="609"/>
      <c r="AV12" s="609"/>
      <c r="AW12" s="615"/>
      <c r="AX12" s="615"/>
      <c r="AY12" s="615"/>
      <c r="AZ12" s="615"/>
      <c r="BA12" s="615"/>
      <c r="BB12" s="615"/>
      <c r="BC12" s="615"/>
      <c r="BD12" s="615"/>
      <c r="BE12" s="615"/>
      <c r="BF12" s="615"/>
      <c r="BG12" s="615"/>
      <c r="BH12" s="615"/>
      <c r="BI12" s="615"/>
      <c r="BJ12" s="615"/>
      <c r="BK12" s="615"/>
      <c r="BL12" s="615"/>
      <c r="BM12" s="615"/>
      <c r="BN12" s="615"/>
      <c r="BO12" s="615"/>
      <c r="BP12" s="615"/>
      <c r="BQ12" s="615"/>
      <c r="BR12" s="615"/>
      <c r="BS12" s="615"/>
      <c r="BT12" s="615"/>
      <c r="BU12" s="615"/>
      <c r="BV12" s="615"/>
      <c r="BW12" s="615"/>
      <c r="BX12" s="607"/>
    </row>
    <row r="13" spans="1:76" s="612" customFormat="1" ht="12.75" customHeight="1" x14ac:dyDescent="0.2">
      <c r="A13" s="839"/>
      <c r="B13" s="713" t="s">
        <v>2605</v>
      </c>
      <c r="C13" s="713" t="s">
        <v>1849</v>
      </c>
      <c r="D13" s="712">
        <v>0</v>
      </c>
      <c r="E13" s="712">
        <v>0</v>
      </c>
      <c r="F13" s="712">
        <v>0</v>
      </c>
      <c r="G13" s="712">
        <v>0</v>
      </c>
      <c r="H13" s="712">
        <v>0</v>
      </c>
      <c r="I13" s="712">
        <v>0</v>
      </c>
      <c r="J13" s="712">
        <v>0</v>
      </c>
      <c r="K13" s="712">
        <v>0</v>
      </c>
      <c r="L13" s="712">
        <v>0</v>
      </c>
      <c r="M13" s="712">
        <v>0</v>
      </c>
      <c r="N13" s="712">
        <v>0</v>
      </c>
      <c r="O13" s="712">
        <v>0</v>
      </c>
      <c r="P13" s="712">
        <v>0</v>
      </c>
      <c r="Q13" s="712">
        <v>0</v>
      </c>
      <c r="R13" s="712">
        <v>0</v>
      </c>
      <c r="S13" s="712">
        <v>0</v>
      </c>
      <c r="T13" s="712">
        <v>0</v>
      </c>
      <c r="U13" s="712">
        <v>0</v>
      </c>
      <c r="V13" s="712">
        <v>0</v>
      </c>
      <c r="W13" s="712">
        <v>0</v>
      </c>
      <c r="X13" s="712">
        <v>0</v>
      </c>
      <c r="Y13" s="712">
        <v>0</v>
      </c>
      <c r="Z13" s="712">
        <v>0</v>
      </c>
      <c r="AA13" s="712">
        <v>0</v>
      </c>
      <c r="AB13" s="712">
        <v>0</v>
      </c>
      <c r="AC13" s="712">
        <v>0</v>
      </c>
      <c r="AD13" s="712">
        <v>0</v>
      </c>
      <c r="AE13" s="712">
        <v>0</v>
      </c>
      <c r="AF13" s="712">
        <v>0</v>
      </c>
      <c r="AG13" s="712">
        <v>0</v>
      </c>
      <c r="AH13" s="712">
        <v>0</v>
      </c>
      <c r="AI13" s="712">
        <v>0</v>
      </c>
      <c r="AJ13" s="712">
        <v>0</v>
      </c>
      <c r="AK13" s="712">
        <v>0</v>
      </c>
      <c r="AL13" s="712">
        <v>0</v>
      </c>
      <c r="AM13" s="712">
        <v>0</v>
      </c>
      <c r="AN13" s="712">
        <v>0</v>
      </c>
      <c r="AO13" s="712">
        <v>0</v>
      </c>
      <c r="AP13" s="712">
        <v>0</v>
      </c>
      <c r="AQ13" s="712">
        <v>0</v>
      </c>
      <c r="AR13" s="712">
        <v>0</v>
      </c>
      <c r="AS13" s="712">
        <v>0</v>
      </c>
      <c r="AT13">
        <v>0</v>
      </c>
      <c r="AU13" s="609"/>
      <c r="AV13" s="609"/>
      <c r="AW13" s="615"/>
      <c r="AX13" s="615"/>
      <c r="AY13" s="615"/>
      <c r="AZ13" s="615"/>
      <c r="BA13" s="615"/>
      <c r="BB13" s="615"/>
      <c r="BC13" s="615"/>
      <c r="BD13" s="615"/>
      <c r="BE13" s="615"/>
      <c r="BF13" s="615"/>
      <c r="BG13" s="615"/>
      <c r="BH13" s="615"/>
      <c r="BI13" s="615"/>
      <c r="BJ13" s="615"/>
      <c r="BK13" s="615"/>
      <c r="BL13" s="615"/>
      <c r="BM13" s="615"/>
      <c r="BN13" s="615"/>
      <c r="BO13" s="615"/>
      <c r="BP13" s="615"/>
      <c r="BQ13" s="615"/>
      <c r="BR13" s="615"/>
      <c r="BS13" s="615"/>
      <c r="BT13" s="615"/>
      <c r="BU13" s="615"/>
      <c r="BV13" s="615"/>
      <c r="BW13" s="615"/>
      <c r="BX13" s="607"/>
    </row>
    <row r="14" spans="1:76" s="612" customFormat="1" ht="12.75" customHeight="1" x14ac:dyDescent="0.2">
      <c r="A14" s="839"/>
      <c r="B14" s="713" t="s">
        <v>920</v>
      </c>
      <c r="C14" s="713" t="s">
        <v>1880</v>
      </c>
      <c r="D14" s="712">
        <v>0</v>
      </c>
      <c r="E14" s="712">
        <v>0</v>
      </c>
      <c r="F14" s="712">
        <v>0</v>
      </c>
      <c r="G14" s="712">
        <v>0</v>
      </c>
      <c r="H14" s="712">
        <v>0</v>
      </c>
      <c r="I14" s="712">
        <v>0</v>
      </c>
      <c r="J14" s="712">
        <v>0</v>
      </c>
      <c r="K14" s="712">
        <v>0</v>
      </c>
      <c r="L14" s="712">
        <v>0</v>
      </c>
      <c r="M14" s="712">
        <v>0</v>
      </c>
      <c r="N14" s="712">
        <v>0</v>
      </c>
      <c r="O14" s="712">
        <v>0</v>
      </c>
      <c r="P14" s="712">
        <v>0</v>
      </c>
      <c r="Q14" s="712">
        <v>0</v>
      </c>
      <c r="R14" s="712">
        <v>0</v>
      </c>
      <c r="S14" s="712">
        <v>0</v>
      </c>
      <c r="T14" s="712">
        <v>0</v>
      </c>
      <c r="U14" s="712">
        <v>0</v>
      </c>
      <c r="V14" s="712">
        <v>0</v>
      </c>
      <c r="W14" s="712">
        <v>0</v>
      </c>
      <c r="X14" s="712">
        <v>0</v>
      </c>
      <c r="Y14" s="712">
        <v>0</v>
      </c>
      <c r="Z14" s="712">
        <v>0</v>
      </c>
      <c r="AA14" s="712">
        <v>0</v>
      </c>
      <c r="AB14" s="712">
        <v>0</v>
      </c>
      <c r="AC14" s="712">
        <v>0</v>
      </c>
      <c r="AD14" s="712">
        <v>0</v>
      </c>
      <c r="AE14" s="712">
        <v>0</v>
      </c>
      <c r="AF14" s="712">
        <v>0</v>
      </c>
      <c r="AG14" s="712">
        <v>0</v>
      </c>
      <c r="AH14" s="712">
        <v>0</v>
      </c>
      <c r="AI14" s="712">
        <v>0</v>
      </c>
      <c r="AJ14" s="712">
        <v>0</v>
      </c>
      <c r="AK14" s="712">
        <v>0</v>
      </c>
      <c r="AL14" s="712">
        <v>0</v>
      </c>
      <c r="AM14" s="712">
        <v>0</v>
      </c>
      <c r="AN14" s="712">
        <v>0</v>
      </c>
      <c r="AO14" s="712">
        <v>0</v>
      </c>
      <c r="AP14" s="712">
        <v>0</v>
      </c>
      <c r="AQ14" s="712">
        <v>0</v>
      </c>
      <c r="AR14" s="712">
        <v>0</v>
      </c>
      <c r="AS14" s="712">
        <v>0</v>
      </c>
      <c r="AT14">
        <v>0</v>
      </c>
      <c r="AU14" s="609"/>
      <c r="AV14" s="609"/>
      <c r="AW14" s="615"/>
      <c r="AX14" s="615"/>
      <c r="AY14" s="615"/>
      <c r="AZ14" s="615"/>
      <c r="BA14" s="615"/>
      <c r="BB14" s="615"/>
      <c r="BC14" s="615"/>
      <c r="BD14" s="615"/>
      <c r="BE14" s="615"/>
      <c r="BF14" s="615"/>
      <c r="BG14" s="615"/>
      <c r="BH14" s="615"/>
      <c r="BI14" s="615"/>
      <c r="BJ14" s="615"/>
      <c r="BK14" s="615"/>
      <c r="BL14" s="615"/>
      <c r="BM14" s="615"/>
      <c r="BN14" s="615"/>
      <c r="BO14" s="615"/>
      <c r="BP14" s="615"/>
      <c r="BQ14" s="615"/>
      <c r="BR14" s="615"/>
      <c r="BS14" s="615"/>
      <c r="BT14" s="615"/>
      <c r="BU14" s="615"/>
      <c r="BV14" s="615"/>
      <c r="BW14" s="615"/>
      <c r="BX14" s="607"/>
    </row>
    <row r="15" spans="1:76" s="612" customFormat="1" ht="12.75" customHeight="1" x14ac:dyDescent="0.2">
      <c r="A15" s="839"/>
      <c r="B15" s="713" t="s">
        <v>1701</v>
      </c>
      <c r="C15" s="713" t="s">
        <v>1801</v>
      </c>
      <c r="D15" s="712">
        <v>0</v>
      </c>
      <c r="E15" s="712">
        <v>0</v>
      </c>
      <c r="F15" s="712">
        <v>0</v>
      </c>
      <c r="G15" s="712">
        <v>0</v>
      </c>
      <c r="H15" s="712">
        <v>0</v>
      </c>
      <c r="I15" s="712">
        <v>0</v>
      </c>
      <c r="J15" s="712">
        <v>0</v>
      </c>
      <c r="K15" s="712">
        <v>0</v>
      </c>
      <c r="L15" s="712">
        <v>0</v>
      </c>
      <c r="M15" s="712">
        <v>0</v>
      </c>
      <c r="N15" s="712">
        <v>0</v>
      </c>
      <c r="O15" s="712">
        <v>0</v>
      </c>
      <c r="P15" s="712">
        <v>0</v>
      </c>
      <c r="Q15" s="712">
        <v>0</v>
      </c>
      <c r="R15" s="712">
        <v>0</v>
      </c>
      <c r="S15" s="712">
        <v>0</v>
      </c>
      <c r="T15" s="712">
        <v>0</v>
      </c>
      <c r="U15" s="712">
        <v>0</v>
      </c>
      <c r="V15" s="712">
        <v>0</v>
      </c>
      <c r="W15" s="712">
        <v>0</v>
      </c>
      <c r="X15" s="712">
        <v>0</v>
      </c>
      <c r="Y15" s="712">
        <v>0</v>
      </c>
      <c r="Z15" s="712">
        <v>0</v>
      </c>
      <c r="AA15" s="712">
        <v>0</v>
      </c>
      <c r="AB15" s="712">
        <v>0</v>
      </c>
      <c r="AC15" s="712">
        <v>0</v>
      </c>
      <c r="AD15" s="712">
        <v>0</v>
      </c>
      <c r="AE15" s="712">
        <v>0</v>
      </c>
      <c r="AF15" s="712">
        <v>0</v>
      </c>
      <c r="AG15" s="712">
        <v>0</v>
      </c>
      <c r="AH15" s="712">
        <v>0</v>
      </c>
      <c r="AI15" s="712">
        <v>0</v>
      </c>
      <c r="AJ15" s="712">
        <v>0</v>
      </c>
      <c r="AK15" s="712">
        <v>0</v>
      </c>
      <c r="AL15" s="712">
        <v>0</v>
      </c>
      <c r="AM15" s="712">
        <v>0</v>
      </c>
      <c r="AN15" s="712">
        <v>0</v>
      </c>
      <c r="AO15" s="712">
        <v>0</v>
      </c>
      <c r="AP15" s="712">
        <v>0</v>
      </c>
      <c r="AQ15" s="712">
        <v>0</v>
      </c>
      <c r="AR15" s="712">
        <v>0</v>
      </c>
      <c r="AS15" s="712">
        <v>0</v>
      </c>
      <c r="AT15">
        <v>0</v>
      </c>
      <c r="AU15" s="609"/>
      <c r="AV15" s="609"/>
      <c r="AW15" s="615"/>
      <c r="AX15" s="615"/>
      <c r="AY15" s="615"/>
      <c r="AZ15" s="615"/>
      <c r="BA15" s="615"/>
      <c r="BB15" s="615"/>
      <c r="BC15" s="615"/>
      <c r="BD15" s="615"/>
      <c r="BE15" s="615"/>
      <c r="BF15" s="615"/>
      <c r="BG15" s="615"/>
      <c r="BH15" s="615"/>
      <c r="BI15" s="615"/>
      <c r="BJ15" s="615"/>
      <c r="BK15" s="615"/>
      <c r="BL15" s="615"/>
      <c r="BM15" s="615"/>
      <c r="BN15" s="615"/>
      <c r="BO15" s="615"/>
      <c r="BP15" s="615"/>
      <c r="BQ15" s="615"/>
      <c r="BR15" s="615"/>
      <c r="BS15" s="615"/>
      <c r="BT15" s="615"/>
      <c r="BU15" s="615"/>
      <c r="BV15" s="615"/>
      <c r="BW15" s="615"/>
      <c r="BX15" s="607"/>
    </row>
    <row r="16" spans="1:76" s="612" customFormat="1" ht="12.75" customHeight="1" x14ac:dyDescent="0.2">
      <c r="A16" s="839"/>
      <c r="B16" s="838" t="s">
        <v>2608</v>
      </c>
      <c r="C16" s="713" t="s">
        <v>1773</v>
      </c>
      <c r="D16" s="712">
        <v>0</v>
      </c>
      <c r="E16" s="712">
        <v>0</v>
      </c>
      <c r="F16" s="712">
        <v>0</v>
      </c>
      <c r="G16" s="712">
        <v>0</v>
      </c>
      <c r="H16" s="712">
        <v>0</v>
      </c>
      <c r="I16" s="712">
        <v>0</v>
      </c>
      <c r="J16" s="712">
        <v>0</v>
      </c>
      <c r="K16" s="712">
        <v>0</v>
      </c>
      <c r="L16" s="712">
        <v>0</v>
      </c>
      <c r="M16" s="712">
        <v>0</v>
      </c>
      <c r="N16" s="712">
        <v>0</v>
      </c>
      <c r="O16" s="712">
        <v>0</v>
      </c>
      <c r="P16" s="712">
        <v>0</v>
      </c>
      <c r="Q16" s="712">
        <v>0</v>
      </c>
      <c r="R16" s="712">
        <v>0</v>
      </c>
      <c r="S16" s="712">
        <v>613226</v>
      </c>
      <c r="T16" s="712">
        <v>0</v>
      </c>
      <c r="U16" s="712">
        <v>0</v>
      </c>
      <c r="V16" s="712">
        <v>0</v>
      </c>
      <c r="W16" s="712">
        <v>0</v>
      </c>
      <c r="X16" s="712">
        <v>0</v>
      </c>
      <c r="Y16" s="712">
        <v>0</v>
      </c>
      <c r="Z16" s="712">
        <v>0</v>
      </c>
      <c r="AA16" s="712">
        <v>0</v>
      </c>
      <c r="AB16" s="712">
        <v>0</v>
      </c>
      <c r="AC16" s="712">
        <v>0</v>
      </c>
      <c r="AD16" s="712">
        <v>0</v>
      </c>
      <c r="AE16" s="712">
        <v>0</v>
      </c>
      <c r="AF16" s="712">
        <v>0</v>
      </c>
      <c r="AG16" s="712">
        <v>0</v>
      </c>
      <c r="AH16" s="712">
        <v>0</v>
      </c>
      <c r="AI16" s="712">
        <v>0</v>
      </c>
      <c r="AJ16" s="712">
        <v>0</v>
      </c>
      <c r="AK16" s="712">
        <v>0</v>
      </c>
      <c r="AL16" s="712">
        <v>0</v>
      </c>
      <c r="AM16" s="712">
        <v>0</v>
      </c>
      <c r="AN16" s="712">
        <v>0</v>
      </c>
      <c r="AO16" s="712">
        <v>0</v>
      </c>
      <c r="AP16" s="712">
        <v>0</v>
      </c>
      <c r="AQ16" s="712">
        <v>0</v>
      </c>
      <c r="AR16" s="712">
        <v>0</v>
      </c>
      <c r="AS16" s="712">
        <v>0</v>
      </c>
      <c r="AT16">
        <v>613226</v>
      </c>
      <c r="AU16" s="609"/>
      <c r="AV16" s="609"/>
      <c r="AW16" s="615"/>
      <c r="AX16" s="615"/>
      <c r="AY16" s="615"/>
      <c r="AZ16" s="615"/>
      <c r="BA16" s="615"/>
      <c r="BB16" s="615"/>
      <c r="BC16" s="615"/>
      <c r="BD16" s="615"/>
      <c r="BE16" s="615"/>
      <c r="BF16" s="615"/>
      <c r="BG16" s="615"/>
      <c r="BH16" s="615"/>
      <c r="BI16" s="615"/>
      <c r="BJ16" s="615"/>
      <c r="BK16" s="615"/>
      <c r="BL16" s="615"/>
      <c r="BM16" s="615"/>
      <c r="BN16" s="615"/>
      <c r="BO16" s="615"/>
      <c r="BP16" s="615"/>
      <c r="BQ16" s="615"/>
      <c r="BR16" s="615"/>
      <c r="BS16" s="615"/>
      <c r="BT16" s="615"/>
      <c r="BU16" s="615"/>
      <c r="BV16" s="615"/>
      <c r="BW16" s="615"/>
      <c r="BX16" s="607"/>
    </row>
    <row r="17" spans="1:76" s="612" customFormat="1" ht="12.75" customHeight="1" x14ac:dyDescent="0.2">
      <c r="A17" s="839"/>
      <c r="B17" s="839"/>
      <c r="C17" s="713" t="s">
        <v>1774</v>
      </c>
      <c r="D17" s="712">
        <v>0</v>
      </c>
      <c r="E17" s="712">
        <v>0</v>
      </c>
      <c r="F17" s="712">
        <v>0</v>
      </c>
      <c r="G17" s="712">
        <v>0</v>
      </c>
      <c r="H17" s="712">
        <v>0</v>
      </c>
      <c r="I17" s="712">
        <v>0</v>
      </c>
      <c r="J17" s="712">
        <v>0</v>
      </c>
      <c r="K17" s="712">
        <v>0</v>
      </c>
      <c r="L17" s="712">
        <v>0</v>
      </c>
      <c r="M17" s="712">
        <v>0</v>
      </c>
      <c r="N17" s="712">
        <v>0</v>
      </c>
      <c r="O17" s="712">
        <v>0</v>
      </c>
      <c r="P17" s="712">
        <v>0</v>
      </c>
      <c r="Q17" s="712">
        <v>0</v>
      </c>
      <c r="R17" s="712">
        <v>0</v>
      </c>
      <c r="S17" s="712">
        <v>0</v>
      </c>
      <c r="T17" s="712">
        <v>0</v>
      </c>
      <c r="U17" s="712">
        <v>0</v>
      </c>
      <c r="V17" s="712">
        <v>0</v>
      </c>
      <c r="W17" s="712">
        <v>0</v>
      </c>
      <c r="X17" s="712">
        <v>0</v>
      </c>
      <c r="Y17" s="712">
        <v>0</v>
      </c>
      <c r="Z17" s="712">
        <v>0</v>
      </c>
      <c r="AA17" s="712">
        <v>0</v>
      </c>
      <c r="AB17" s="712">
        <v>0</v>
      </c>
      <c r="AC17" s="712">
        <v>0</v>
      </c>
      <c r="AD17" s="712">
        <v>0</v>
      </c>
      <c r="AE17" s="712">
        <v>0</v>
      </c>
      <c r="AF17" s="712">
        <v>0</v>
      </c>
      <c r="AG17" s="712">
        <v>0</v>
      </c>
      <c r="AH17" s="712">
        <v>0</v>
      </c>
      <c r="AI17" s="712">
        <v>0</v>
      </c>
      <c r="AJ17" s="712">
        <v>0</v>
      </c>
      <c r="AK17" s="712">
        <v>0</v>
      </c>
      <c r="AL17" s="712">
        <v>0</v>
      </c>
      <c r="AM17" s="712">
        <v>0</v>
      </c>
      <c r="AN17" s="712">
        <v>0</v>
      </c>
      <c r="AO17" s="712">
        <v>0</v>
      </c>
      <c r="AP17" s="712">
        <v>0</v>
      </c>
      <c r="AQ17" s="712">
        <v>0</v>
      </c>
      <c r="AR17" s="712">
        <v>0</v>
      </c>
      <c r="AS17" s="712">
        <v>0</v>
      </c>
      <c r="AT17">
        <v>0</v>
      </c>
      <c r="AU17" s="609"/>
      <c r="AV17" s="609"/>
      <c r="AW17" s="615"/>
      <c r="AX17" s="615"/>
      <c r="AY17" s="615"/>
      <c r="AZ17" s="615"/>
      <c r="BA17" s="615"/>
      <c r="BB17" s="615"/>
      <c r="BC17" s="615"/>
      <c r="BD17" s="615"/>
      <c r="BE17" s="615"/>
      <c r="BF17" s="615"/>
      <c r="BG17" s="615"/>
      <c r="BH17" s="615"/>
      <c r="BI17" s="615"/>
      <c r="BJ17" s="615"/>
      <c r="BK17" s="615"/>
      <c r="BL17" s="615"/>
      <c r="BM17" s="615"/>
      <c r="BN17" s="615"/>
      <c r="BO17" s="615"/>
      <c r="BP17" s="615"/>
      <c r="BQ17" s="615"/>
      <c r="BR17" s="615"/>
      <c r="BS17" s="615"/>
      <c r="BT17" s="615"/>
      <c r="BU17" s="615"/>
      <c r="BV17" s="615"/>
      <c r="BW17" s="615"/>
      <c r="BX17" s="607"/>
    </row>
    <row r="18" spans="1:76" s="612" customFormat="1" ht="12.75" customHeight="1" x14ac:dyDescent="0.2">
      <c r="A18" s="839"/>
      <c r="B18" s="839"/>
      <c r="C18" s="713" t="s">
        <v>1794</v>
      </c>
      <c r="D18" s="712">
        <v>0</v>
      </c>
      <c r="E18" s="712">
        <v>0</v>
      </c>
      <c r="F18" s="712">
        <v>0</v>
      </c>
      <c r="G18" s="712">
        <v>0</v>
      </c>
      <c r="H18" s="712">
        <v>0</v>
      </c>
      <c r="I18" s="712">
        <v>0</v>
      </c>
      <c r="J18" s="712">
        <v>0</v>
      </c>
      <c r="K18" s="712">
        <v>0</v>
      </c>
      <c r="L18" s="712">
        <v>0</v>
      </c>
      <c r="M18" s="712">
        <v>2995326</v>
      </c>
      <c r="N18" s="712">
        <v>0</v>
      </c>
      <c r="O18" s="712">
        <v>0</v>
      </c>
      <c r="P18" s="712">
        <v>0</v>
      </c>
      <c r="Q18" s="712">
        <v>0</v>
      </c>
      <c r="R18" s="712">
        <v>0</v>
      </c>
      <c r="S18" s="712">
        <v>0</v>
      </c>
      <c r="T18" s="712">
        <v>0</v>
      </c>
      <c r="U18" s="712">
        <v>0</v>
      </c>
      <c r="V18" s="712">
        <v>0</v>
      </c>
      <c r="W18" s="712">
        <v>0</v>
      </c>
      <c r="X18" s="712">
        <v>0</v>
      </c>
      <c r="Y18" s="712">
        <v>0</v>
      </c>
      <c r="Z18" s="712">
        <v>0</v>
      </c>
      <c r="AA18" s="712">
        <v>0</v>
      </c>
      <c r="AB18" s="712">
        <v>0</v>
      </c>
      <c r="AC18" s="712">
        <v>0</v>
      </c>
      <c r="AD18" s="712">
        <v>0</v>
      </c>
      <c r="AE18" s="712">
        <v>0</v>
      </c>
      <c r="AF18" s="712">
        <v>0</v>
      </c>
      <c r="AG18" s="712">
        <v>0</v>
      </c>
      <c r="AH18" s="712">
        <v>0</v>
      </c>
      <c r="AI18" s="712">
        <v>0</v>
      </c>
      <c r="AJ18" s="712">
        <v>0</v>
      </c>
      <c r="AK18" s="712">
        <v>0</v>
      </c>
      <c r="AL18" s="712">
        <v>0</v>
      </c>
      <c r="AM18" s="712">
        <v>0</v>
      </c>
      <c r="AN18" s="712">
        <v>0</v>
      </c>
      <c r="AO18" s="712">
        <v>0</v>
      </c>
      <c r="AP18" s="712">
        <v>0</v>
      </c>
      <c r="AQ18" s="712">
        <v>0</v>
      </c>
      <c r="AR18" s="712">
        <v>0</v>
      </c>
      <c r="AS18" s="712">
        <v>0</v>
      </c>
      <c r="AT18">
        <v>2995326</v>
      </c>
      <c r="AU18" s="609"/>
      <c r="AV18" s="609"/>
      <c r="AW18" s="615"/>
      <c r="AX18" s="615"/>
      <c r="AY18" s="615"/>
      <c r="AZ18" s="615"/>
      <c r="BA18" s="615"/>
      <c r="BB18" s="615"/>
      <c r="BC18" s="615"/>
      <c r="BD18" s="615"/>
      <c r="BE18" s="615"/>
      <c r="BF18" s="615"/>
      <c r="BG18" s="615"/>
      <c r="BH18" s="615"/>
      <c r="BI18" s="615"/>
      <c r="BJ18" s="615"/>
      <c r="BK18" s="615"/>
      <c r="BL18" s="615"/>
      <c r="BM18" s="615"/>
      <c r="BN18" s="615"/>
      <c r="BO18" s="615"/>
      <c r="BP18" s="615"/>
      <c r="BQ18" s="615"/>
      <c r="BR18" s="615"/>
      <c r="BS18" s="615"/>
      <c r="BT18" s="615"/>
      <c r="BU18" s="615"/>
      <c r="BV18" s="615"/>
      <c r="BW18" s="615"/>
      <c r="BX18" s="607"/>
    </row>
    <row r="19" spans="1:76" s="612" customFormat="1" ht="12.75" customHeight="1" x14ac:dyDescent="0.2">
      <c r="A19" s="839"/>
      <c r="B19" s="839"/>
      <c r="C19" s="713" t="s">
        <v>2679</v>
      </c>
      <c r="D19" s="712">
        <v>0</v>
      </c>
      <c r="E19" s="712">
        <v>0</v>
      </c>
      <c r="F19" s="712">
        <v>0</v>
      </c>
      <c r="G19" s="712">
        <v>0</v>
      </c>
      <c r="H19" s="712">
        <v>0</v>
      </c>
      <c r="I19" s="712">
        <v>0</v>
      </c>
      <c r="J19" s="712">
        <v>0</v>
      </c>
      <c r="K19" s="712">
        <v>0</v>
      </c>
      <c r="L19" s="712">
        <v>0</v>
      </c>
      <c r="M19" s="712">
        <v>0</v>
      </c>
      <c r="N19" s="712">
        <v>0</v>
      </c>
      <c r="O19" s="712">
        <v>0</v>
      </c>
      <c r="P19" s="712">
        <v>0</v>
      </c>
      <c r="Q19" s="712">
        <v>0</v>
      </c>
      <c r="R19" s="712">
        <v>0</v>
      </c>
      <c r="S19" s="712">
        <v>0</v>
      </c>
      <c r="T19" s="712">
        <v>0</v>
      </c>
      <c r="U19" s="712">
        <v>0</v>
      </c>
      <c r="V19" s="712">
        <v>0</v>
      </c>
      <c r="W19" s="712">
        <v>0</v>
      </c>
      <c r="X19" s="712">
        <v>0</v>
      </c>
      <c r="Y19" s="712">
        <v>0</v>
      </c>
      <c r="Z19" s="712">
        <v>0</v>
      </c>
      <c r="AA19" s="712">
        <v>0</v>
      </c>
      <c r="AB19" s="712">
        <v>0</v>
      </c>
      <c r="AC19" s="712">
        <v>0</v>
      </c>
      <c r="AD19" s="712">
        <v>0</v>
      </c>
      <c r="AE19" s="712">
        <v>0</v>
      </c>
      <c r="AF19" s="712">
        <v>0</v>
      </c>
      <c r="AG19" s="712">
        <v>0</v>
      </c>
      <c r="AH19" s="712">
        <v>0</v>
      </c>
      <c r="AI19" s="712">
        <v>0</v>
      </c>
      <c r="AJ19" s="712">
        <v>0</v>
      </c>
      <c r="AK19" s="712">
        <v>0</v>
      </c>
      <c r="AL19" s="712">
        <v>0</v>
      </c>
      <c r="AM19" s="712">
        <v>0</v>
      </c>
      <c r="AN19" s="712">
        <v>0</v>
      </c>
      <c r="AO19" s="712">
        <v>0</v>
      </c>
      <c r="AP19" s="712">
        <v>0</v>
      </c>
      <c r="AQ19" s="712">
        <v>0</v>
      </c>
      <c r="AR19" s="712">
        <v>0</v>
      </c>
      <c r="AS19" s="712">
        <v>0</v>
      </c>
      <c r="AT19">
        <v>0</v>
      </c>
      <c r="AU19" s="609"/>
      <c r="AV19" s="609"/>
      <c r="AW19" s="615"/>
      <c r="AX19" s="615"/>
      <c r="AY19" s="615"/>
      <c r="AZ19" s="615"/>
      <c r="BA19" s="615"/>
      <c r="BB19" s="615"/>
      <c r="BC19" s="615"/>
      <c r="BD19" s="615"/>
      <c r="BE19" s="615"/>
      <c r="BF19" s="615"/>
      <c r="BG19" s="615"/>
      <c r="BH19" s="615"/>
      <c r="BI19" s="615"/>
      <c r="BJ19" s="615"/>
      <c r="BK19" s="615"/>
      <c r="BL19" s="615"/>
      <c r="BM19" s="615"/>
      <c r="BN19" s="615"/>
      <c r="BO19" s="615"/>
      <c r="BP19" s="615"/>
      <c r="BQ19" s="615"/>
      <c r="BR19" s="615"/>
      <c r="BS19" s="615"/>
      <c r="BT19" s="615"/>
      <c r="BU19" s="615"/>
      <c r="BV19" s="615"/>
      <c r="BW19" s="615"/>
      <c r="BX19" s="607"/>
    </row>
    <row r="20" spans="1:76" s="612" customFormat="1" ht="12.75" customHeight="1" x14ac:dyDescent="0.2">
      <c r="A20" s="839"/>
      <c r="B20" s="839"/>
      <c r="C20" s="713" t="s">
        <v>1834</v>
      </c>
      <c r="D20" s="712">
        <v>0</v>
      </c>
      <c r="E20" s="712">
        <v>0</v>
      </c>
      <c r="F20" s="712">
        <v>0</v>
      </c>
      <c r="G20" s="712">
        <v>0</v>
      </c>
      <c r="H20" s="712">
        <v>0</v>
      </c>
      <c r="I20" s="712">
        <v>0</v>
      </c>
      <c r="J20" s="712">
        <v>0</v>
      </c>
      <c r="K20" s="712">
        <v>0</v>
      </c>
      <c r="L20" s="712">
        <v>0</v>
      </c>
      <c r="M20" s="712">
        <v>0</v>
      </c>
      <c r="N20" s="712">
        <v>0</v>
      </c>
      <c r="O20" s="712">
        <v>0</v>
      </c>
      <c r="P20" s="712">
        <v>0</v>
      </c>
      <c r="Q20" s="712">
        <v>0</v>
      </c>
      <c r="R20" s="712">
        <v>0</v>
      </c>
      <c r="S20" s="712">
        <v>0</v>
      </c>
      <c r="T20" s="712">
        <v>0</v>
      </c>
      <c r="U20" s="712">
        <v>0</v>
      </c>
      <c r="V20" s="712">
        <v>0</v>
      </c>
      <c r="W20" s="712">
        <v>0</v>
      </c>
      <c r="X20" s="712">
        <v>0</v>
      </c>
      <c r="Y20" s="712">
        <v>0</v>
      </c>
      <c r="Z20" s="712">
        <v>0</v>
      </c>
      <c r="AA20" s="712">
        <v>0</v>
      </c>
      <c r="AB20" s="712">
        <v>0</v>
      </c>
      <c r="AC20" s="712">
        <v>0</v>
      </c>
      <c r="AD20" s="712">
        <v>0</v>
      </c>
      <c r="AE20" s="712">
        <v>0</v>
      </c>
      <c r="AF20" s="712">
        <v>0</v>
      </c>
      <c r="AG20" s="712">
        <v>0</v>
      </c>
      <c r="AH20" s="712">
        <v>0</v>
      </c>
      <c r="AI20" s="712">
        <v>0</v>
      </c>
      <c r="AJ20" s="712">
        <v>0</v>
      </c>
      <c r="AK20" s="712">
        <v>0</v>
      </c>
      <c r="AL20" s="712">
        <v>0</v>
      </c>
      <c r="AM20" s="712">
        <v>0</v>
      </c>
      <c r="AN20" s="712">
        <v>0</v>
      </c>
      <c r="AO20" s="712">
        <v>0</v>
      </c>
      <c r="AP20" s="712">
        <v>0</v>
      </c>
      <c r="AQ20" s="712">
        <v>0</v>
      </c>
      <c r="AR20" s="712">
        <v>0</v>
      </c>
      <c r="AS20" s="712">
        <v>0</v>
      </c>
      <c r="AT20">
        <v>0</v>
      </c>
      <c r="AU20" s="609"/>
      <c r="AV20" s="609"/>
      <c r="AW20" s="615"/>
      <c r="AX20" s="615"/>
      <c r="AY20" s="615"/>
      <c r="AZ20" s="615"/>
      <c r="BA20" s="615"/>
      <c r="BB20" s="615"/>
      <c r="BC20" s="615"/>
      <c r="BD20" s="615"/>
      <c r="BE20" s="615"/>
      <c r="BF20" s="615"/>
      <c r="BG20" s="615"/>
      <c r="BH20" s="615"/>
      <c r="BI20" s="615"/>
      <c r="BJ20" s="615"/>
      <c r="BK20" s="615"/>
      <c r="BL20" s="615"/>
      <c r="BM20" s="615"/>
      <c r="BN20" s="615"/>
      <c r="BO20" s="615"/>
      <c r="BP20" s="615"/>
      <c r="BQ20" s="615"/>
      <c r="BR20" s="615"/>
      <c r="BS20" s="615"/>
      <c r="BT20" s="615"/>
      <c r="BU20" s="615"/>
      <c r="BV20" s="615"/>
      <c r="BW20" s="615"/>
      <c r="BX20" s="607"/>
    </row>
    <row r="21" spans="1:76" s="612" customFormat="1" ht="12.75" customHeight="1" x14ac:dyDescent="0.2">
      <c r="A21" s="839"/>
      <c r="B21" s="839"/>
      <c r="C21" s="713" t="s">
        <v>1840</v>
      </c>
      <c r="D21" s="712">
        <v>0</v>
      </c>
      <c r="E21" s="712">
        <v>0</v>
      </c>
      <c r="F21" s="712">
        <v>0</v>
      </c>
      <c r="G21" s="712">
        <v>0</v>
      </c>
      <c r="H21" s="712">
        <v>0</v>
      </c>
      <c r="I21" s="712">
        <v>0</v>
      </c>
      <c r="J21" s="712">
        <v>0</v>
      </c>
      <c r="K21" s="712">
        <v>0</v>
      </c>
      <c r="L21" s="712">
        <v>0</v>
      </c>
      <c r="M21" s="712">
        <v>0</v>
      </c>
      <c r="N21" s="712">
        <v>0</v>
      </c>
      <c r="O21" s="712">
        <v>0</v>
      </c>
      <c r="P21" s="712">
        <v>0</v>
      </c>
      <c r="Q21" s="712">
        <v>0</v>
      </c>
      <c r="R21" s="712">
        <v>0</v>
      </c>
      <c r="S21" s="712">
        <v>0</v>
      </c>
      <c r="T21" s="712">
        <v>0</v>
      </c>
      <c r="U21" s="712">
        <v>0</v>
      </c>
      <c r="V21" s="712">
        <v>0</v>
      </c>
      <c r="W21" s="712">
        <v>0</v>
      </c>
      <c r="X21" s="712">
        <v>0</v>
      </c>
      <c r="Y21" s="712">
        <v>0</v>
      </c>
      <c r="Z21" s="712">
        <v>0</v>
      </c>
      <c r="AA21" s="712">
        <v>0</v>
      </c>
      <c r="AB21" s="712">
        <v>0</v>
      </c>
      <c r="AC21" s="712">
        <v>0</v>
      </c>
      <c r="AD21" s="712">
        <v>0</v>
      </c>
      <c r="AE21" s="712">
        <v>0</v>
      </c>
      <c r="AF21" s="712">
        <v>0</v>
      </c>
      <c r="AG21" s="712">
        <v>0</v>
      </c>
      <c r="AH21" s="712">
        <v>0</v>
      </c>
      <c r="AI21" s="712">
        <v>0</v>
      </c>
      <c r="AJ21" s="712">
        <v>0</v>
      </c>
      <c r="AK21" s="712">
        <v>0</v>
      </c>
      <c r="AL21" s="712">
        <v>0</v>
      </c>
      <c r="AM21" s="712">
        <v>0</v>
      </c>
      <c r="AN21" s="712">
        <v>0</v>
      </c>
      <c r="AO21" s="712">
        <v>0</v>
      </c>
      <c r="AP21" s="712">
        <v>0</v>
      </c>
      <c r="AQ21" s="712">
        <v>0</v>
      </c>
      <c r="AR21" s="712">
        <v>0</v>
      </c>
      <c r="AS21" s="712">
        <v>0</v>
      </c>
      <c r="AT21">
        <v>0</v>
      </c>
      <c r="AU21" s="609"/>
      <c r="AV21" s="609"/>
      <c r="AW21" s="615"/>
      <c r="AX21" s="615"/>
      <c r="AY21" s="615"/>
      <c r="AZ21" s="615"/>
      <c r="BA21" s="615"/>
      <c r="BB21" s="615"/>
      <c r="BC21" s="615"/>
      <c r="BD21" s="615"/>
      <c r="BE21" s="615"/>
      <c r="BF21" s="615"/>
      <c r="BG21" s="615"/>
      <c r="BH21" s="615"/>
      <c r="BI21" s="615"/>
      <c r="BJ21" s="615"/>
      <c r="BK21" s="615"/>
      <c r="BL21" s="615"/>
      <c r="BM21" s="615"/>
      <c r="BN21" s="615"/>
      <c r="BO21" s="615"/>
      <c r="BP21" s="615"/>
      <c r="BQ21" s="615"/>
      <c r="BR21" s="615"/>
      <c r="BS21" s="615"/>
      <c r="BT21" s="615"/>
      <c r="BU21" s="615"/>
      <c r="BV21" s="615"/>
      <c r="BW21" s="615"/>
      <c r="BX21" s="607"/>
    </row>
    <row r="22" spans="1:76" s="612" customFormat="1" ht="12.75" customHeight="1" x14ac:dyDescent="0.2">
      <c r="A22" s="839"/>
      <c r="B22" s="839"/>
      <c r="C22" s="713" t="s">
        <v>2534</v>
      </c>
      <c r="D22" s="712">
        <v>0</v>
      </c>
      <c r="E22" s="712">
        <v>0</v>
      </c>
      <c r="F22" s="712">
        <v>0</v>
      </c>
      <c r="G22" s="712">
        <v>0</v>
      </c>
      <c r="H22" s="712">
        <v>0</v>
      </c>
      <c r="I22" s="712">
        <v>0</v>
      </c>
      <c r="J22" s="712">
        <v>0</v>
      </c>
      <c r="K22" s="712">
        <v>0</v>
      </c>
      <c r="L22" s="712">
        <v>0</v>
      </c>
      <c r="M22" s="712">
        <v>0</v>
      </c>
      <c r="N22" s="712">
        <v>1434902</v>
      </c>
      <c r="O22" s="712">
        <v>0</v>
      </c>
      <c r="P22" s="712">
        <v>0</v>
      </c>
      <c r="Q22" s="712">
        <v>0</v>
      </c>
      <c r="R22" s="712">
        <v>0</v>
      </c>
      <c r="S22" s="712">
        <v>0</v>
      </c>
      <c r="T22" s="712">
        <v>0</v>
      </c>
      <c r="U22" s="712">
        <v>0</v>
      </c>
      <c r="V22" s="712">
        <v>0</v>
      </c>
      <c r="W22" s="712">
        <v>0</v>
      </c>
      <c r="X22" s="712">
        <v>0</v>
      </c>
      <c r="Y22" s="712">
        <v>0</v>
      </c>
      <c r="Z22" s="712">
        <v>0</v>
      </c>
      <c r="AA22" s="712">
        <v>0</v>
      </c>
      <c r="AB22" s="712">
        <v>0</v>
      </c>
      <c r="AC22" s="712">
        <v>0</v>
      </c>
      <c r="AD22" s="712">
        <v>0</v>
      </c>
      <c r="AE22" s="712">
        <v>0</v>
      </c>
      <c r="AF22" s="712">
        <v>0</v>
      </c>
      <c r="AG22" s="712">
        <v>0</v>
      </c>
      <c r="AH22" s="712">
        <v>0</v>
      </c>
      <c r="AI22" s="712">
        <v>0</v>
      </c>
      <c r="AJ22" s="712">
        <v>0</v>
      </c>
      <c r="AK22" s="712">
        <v>0</v>
      </c>
      <c r="AL22" s="712">
        <v>0</v>
      </c>
      <c r="AM22" s="712">
        <v>0</v>
      </c>
      <c r="AN22" s="712">
        <v>0</v>
      </c>
      <c r="AO22" s="712">
        <v>0</v>
      </c>
      <c r="AP22" s="712">
        <v>0</v>
      </c>
      <c r="AQ22" s="712">
        <v>0</v>
      </c>
      <c r="AR22" s="712">
        <v>0</v>
      </c>
      <c r="AS22" s="712">
        <v>0</v>
      </c>
      <c r="AT22">
        <v>1434902</v>
      </c>
      <c r="AU22" s="609"/>
      <c r="AV22" s="609"/>
      <c r="AW22" s="615"/>
      <c r="AX22" s="615"/>
      <c r="AY22" s="615"/>
      <c r="AZ22" s="615"/>
      <c r="BA22" s="615"/>
      <c r="BB22" s="615"/>
      <c r="BC22" s="615"/>
      <c r="BD22" s="615"/>
      <c r="BE22" s="615"/>
      <c r="BF22" s="615"/>
      <c r="BG22" s="615"/>
      <c r="BH22" s="615"/>
      <c r="BI22" s="615"/>
      <c r="BJ22" s="615"/>
      <c r="BK22" s="615"/>
      <c r="BL22" s="615"/>
      <c r="BM22" s="615"/>
      <c r="BN22" s="615"/>
      <c r="BO22" s="615"/>
      <c r="BP22" s="615"/>
      <c r="BQ22" s="615"/>
      <c r="BR22" s="615"/>
      <c r="BS22" s="615"/>
      <c r="BT22" s="615"/>
      <c r="BU22" s="615"/>
      <c r="BV22" s="615"/>
      <c r="BW22" s="615"/>
      <c r="BX22" s="607"/>
    </row>
    <row r="23" spans="1:76" s="612" customFormat="1" ht="12.75" x14ac:dyDescent="0.2">
      <c r="A23" s="839"/>
      <c r="B23" s="839"/>
      <c r="C23" s="713" t="s">
        <v>1891</v>
      </c>
      <c r="D23" s="712">
        <v>0</v>
      </c>
      <c r="E23" s="712">
        <v>0</v>
      </c>
      <c r="F23" s="712">
        <v>0</v>
      </c>
      <c r="G23" s="712">
        <v>0</v>
      </c>
      <c r="H23" s="712">
        <v>0</v>
      </c>
      <c r="I23" s="712">
        <v>0</v>
      </c>
      <c r="J23" s="712">
        <v>0</v>
      </c>
      <c r="K23" s="712">
        <v>0</v>
      </c>
      <c r="L23" s="712">
        <v>0</v>
      </c>
      <c r="M23" s="712">
        <v>118449</v>
      </c>
      <c r="N23" s="712">
        <v>0</v>
      </c>
      <c r="O23" s="712">
        <v>0</v>
      </c>
      <c r="P23" s="712">
        <v>0</v>
      </c>
      <c r="Q23" s="712">
        <v>0</v>
      </c>
      <c r="R23" s="712">
        <v>0</v>
      </c>
      <c r="S23" s="712">
        <v>0</v>
      </c>
      <c r="T23" s="712">
        <v>0</v>
      </c>
      <c r="U23" s="712">
        <v>0</v>
      </c>
      <c r="V23" s="712">
        <v>0</v>
      </c>
      <c r="W23" s="712">
        <v>0</v>
      </c>
      <c r="X23" s="712">
        <v>0</v>
      </c>
      <c r="Y23" s="712">
        <v>0</v>
      </c>
      <c r="Z23" s="712">
        <v>0</v>
      </c>
      <c r="AA23" s="712">
        <v>0</v>
      </c>
      <c r="AB23" s="712">
        <v>0</v>
      </c>
      <c r="AC23" s="712">
        <v>0</v>
      </c>
      <c r="AD23" s="712">
        <v>0</v>
      </c>
      <c r="AE23" s="712">
        <v>0</v>
      </c>
      <c r="AF23" s="712">
        <v>0</v>
      </c>
      <c r="AG23" s="712">
        <v>0</v>
      </c>
      <c r="AH23" s="712">
        <v>0</v>
      </c>
      <c r="AI23" s="712">
        <v>0</v>
      </c>
      <c r="AJ23" s="712">
        <v>0</v>
      </c>
      <c r="AK23" s="712">
        <v>0</v>
      </c>
      <c r="AL23" s="712">
        <v>0</v>
      </c>
      <c r="AM23" s="712">
        <v>0</v>
      </c>
      <c r="AN23" s="712">
        <v>0</v>
      </c>
      <c r="AO23" s="712">
        <v>0</v>
      </c>
      <c r="AP23" s="712">
        <v>0</v>
      </c>
      <c r="AQ23" s="712">
        <v>0</v>
      </c>
      <c r="AR23" s="712">
        <v>0</v>
      </c>
      <c r="AS23" s="712">
        <v>0</v>
      </c>
      <c r="AT23">
        <v>87212</v>
      </c>
      <c r="AU23" s="609"/>
      <c r="AV23" s="609"/>
      <c r="AW23" s="615"/>
      <c r="AX23" s="615"/>
      <c r="AY23" s="615"/>
      <c r="AZ23" s="615"/>
      <c r="BA23" s="615"/>
      <c r="BB23" s="615"/>
      <c r="BC23" s="615"/>
      <c r="BD23" s="615"/>
      <c r="BE23" s="615"/>
      <c r="BF23" s="615"/>
      <c r="BG23" s="615"/>
      <c r="BH23" s="615"/>
      <c r="BI23" s="615"/>
      <c r="BJ23" s="615"/>
      <c r="BK23" s="615"/>
      <c r="BL23" s="615"/>
      <c r="BM23" s="615"/>
      <c r="BN23" s="615"/>
      <c r="BO23" s="615"/>
      <c r="BP23" s="615"/>
      <c r="BQ23" s="615"/>
      <c r="BR23" s="615"/>
      <c r="BS23" s="615"/>
      <c r="BT23" s="615"/>
      <c r="BU23" s="615"/>
      <c r="BV23" s="615"/>
      <c r="BW23" s="615"/>
      <c r="BX23" s="607"/>
    </row>
    <row r="24" spans="1:76" s="612" customFormat="1" ht="12.75" x14ac:dyDescent="0.2">
      <c r="A24" s="839"/>
      <c r="B24" s="839"/>
      <c r="C24" s="713" t="s">
        <v>1894</v>
      </c>
      <c r="D24" s="712">
        <v>0</v>
      </c>
      <c r="E24" s="712">
        <v>0</v>
      </c>
      <c r="F24" s="712">
        <v>0</v>
      </c>
      <c r="G24" s="712">
        <v>0</v>
      </c>
      <c r="H24" s="712">
        <v>0</v>
      </c>
      <c r="I24" s="712">
        <v>0</v>
      </c>
      <c r="J24" s="712">
        <v>0</v>
      </c>
      <c r="K24" s="712">
        <v>0</v>
      </c>
      <c r="L24" s="712">
        <v>0</v>
      </c>
      <c r="M24" s="712">
        <v>0</v>
      </c>
      <c r="N24" s="712">
        <v>0</v>
      </c>
      <c r="O24" s="712">
        <v>0</v>
      </c>
      <c r="P24" s="712">
        <v>0</v>
      </c>
      <c r="Q24" s="712">
        <v>0</v>
      </c>
      <c r="R24" s="712">
        <v>0</v>
      </c>
      <c r="S24" s="712">
        <v>0</v>
      </c>
      <c r="T24" s="712">
        <v>0</v>
      </c>
      <c r="U24" s="712">
        <v>0</v>
      </c>
      <c r="V24" s="712">
        <v>0</v>
      </c>
      <c r="W24" s="712">
        <v>0</v>
      </c>
      <c r="X24" s="712">
        <v>0</v>
      </c>
      <c r="Y24" s="712">
        <v>0</v>
      </c>
      <c r="Z24" s="712">
        <v>0</v>
      </c>
      <c r="AA24" s="712">
        <v>0</v>
      </c>
      <c r="AB24" s="712">
        <v>0</v>
      </c>
      <c r="AC24" s="712">
        <v>0</v>
      </c>
      <c r="AD24" s="712">
        <v>0</v>
      </c>
      <c r="AE24" s="712">
        <v>0</v>
      </c>
      <c r="AF24" s="712">
        <v>0</v>
      </c>
      <c r="AG24" s="712">
        <v>0</v>
      </c>
      <c r="AH24" s="712">
        <v>0</v>
      </c>
      <c r="AI24" s="712">
        <v>0</v>
      </c>
      <c r="AJ24" s="712">
        <v>0</v>
      </c>
      <c r="AK24" s="712">
        <v>0</v>
      </c>
      <c r="AL24" s="712">
        <v>0</v>
      </c>
      <c r="AM24" s="712">
        <v>0</v>
      </c>
      <c r="AN24" s="712">
        <v>0</v>
      </c>
      <c r="AO24" s="712">
        <v>0</v>
      </c>
      <c r="AP24" s="712">
        <v>0</v>
      </c>
      <c r="AQ24" s="712">
        <v>0</v>
      </c>
      <c r="AR24" s="712">
        <v>0</v>
      </c>
      <c r="AS24" s="712">
        <v>0</v>
      </c>
      <c r="AT24">
        <v>0</v>
      </c>
      <c r="AU24" s="609"/>
      <c r="AV24" s="609"/>
      <c r="AW24" s="615"/>
      <c r="AX24" s="615"/>
      <c r="AY24" s="615"/>
      <c r="AZ24" s="615"/>
      <c r="BA24" s="615"/>
      <c r="BB24" s="615"/>
      <c r="BC24" s="615"/>
      <c r="BD24" s="615"/>
      <c r="BE24" s="615"/>
      <c r="BF24" s="615"/>
      <c r="BG24" s="615"/>
      <c r="BH24" s="615"/>
      <c r="BI24" s="615"/>
      <c r="BJ24" s="615"/>
      <c r="BK24" s="615"/>
      <c r="BL24" s="615"/>
      <c r="BM24" s="615"/>
      <c r="BN24" s="615"/>
      <c r="BO24" s="615"/>
      <c r="BP24" s="615"/>
      <c r="BQ24" s="615"/>
      <c r="BR24" s="615"/>
      <c r="BS24" s="615"/>
      <c r="BT24" s="615"/>
      <c r="BU24" s="615"/>
      <c r="BV24" s="615"/>
      <c r="BW24" s="615"/>
      <c r="BX24" s="607"/>
    </row>
    <row r="25" spans="1:76" s="612" customFormat="1" ht="12.75" x14ac:dyDescent="0.2">
      <c r="A25" s="839"/>
      <c r="B25" s="838" t="s">
        <v>3131</v>
      </c>
      <c r="C25" s="713" t="s">
        <v>2289</v>
      </c>
      <c r="D25" s="712">
        <v>0</v>
      </c>
      <c r="E25" s="712">
        <v>0</v>
      </c>
      <c r="F25" s="712">
        <v>0</v>
      </c>
      <c r="G25" s="712">
        <v>0</v>
      </c>
      <c r="H25" s="712">
        <v>0</v>
      </c>
      <c r="I25" s="712">
        <v>0</v>
      </c>
      <c r="J25" s="712">
        <v>0</v>
      </c>
      <c r="K25" s="712">
        <v>0</v>
      </c>
      <c r="L25" s="712">
        <v>0</v>
      </c>
      <c r="M25" s="712">
        <v>0</v>
      </c>
      <c r="N25" s="712">
        <v>0</v>
      </c>
      <c r="O25" s="712">
        <v>0</v>
      </c>
      <c r="P25" s="712">
        <v>0</v>
      </c>
      <c r="Q25" s="712">
        <v>0</v>
      </c>
      <c r="R25" s="712">
        <v>0</v>
      </c>
      <c r="S25" s="712">
        <v>0</v>
      </c>
      <c r="T25" s="712">
        <v>0</v>
      </c>
      <c r="U25" s="712">
        <v>0</v>
      </c>
      <c r="V25" s="712">
        <v>0</v>
      </c>
      <c r="W25" s="712">
        <v>0</v>
      </c>
      <c r="X25" s="712">
        <v>0</v>
      </c>
      <c r="Y25" s="712">
        <v>0</v>
      </c>
      <c r="Z25" s="712">
        <v>0</v>
      </c>
      <c r="AA25" s="712">
        <v>0</v>
      </c>
      <c r="AB25" s="712">
        <v>0</v>
      </c>
      <c r="AC25" s="712">
        <v>0</v>
      </c>
      <c r="AD25" s="712">
        <v>0</v>
      </c>
      <c r="AE25" s="712">
        <v>0</v>
      </c>
      <c r="AF25" s="712">
        <v>0</v>
      </c>
      <c r="AG25" s="712">
        <v>0</v>
      </c>
      <c r="AH25" s="712">
        <v>0</v>
      </c>
      <c r="AI25" s="712">
        <v>0</v>
      </c>
      <c r="AJ25" s="712">
        <v>0</v>
      </c>
      <c r="AK25" s="712">
        <v>0</v>
      </c>
      <c r="AL25" s="712">
        <v>0</v>
      </c>
      <c r="AM25" s="712">
        <v>0</v>
      </c>
      <c r="AN25" s="712">
        <v>0</v>
      </c>
      <c r="AO25" s="712">
        <v>0</v>
      </c>
      <c r="AP25" s="712">
        <v>0</v>
      </c>
      <c r="AQ25" s="712">
        <v>0</v>
      </c>
      <c r="AR25" s="712">
        <v>0</v>
      </c>
      <c r="AS25" s="712">
        <v>0</v>
      </c>
      <c r="AT25">
        <v>0</v>
      </c>
      <c r="AU25" s="609"/>
      <c r="AV25" s="609"/>
      <c r="AW25" s="615"/>
      <c r="AX25" s="615"/>
      <c r="AY25" s="615"/>
      <c r="AZ25" s="615"/>
      <c r="BA25" s="615"/>
      <c r="BB25" s="615"/>
      <c r="BC25" s="615"/>
      <c r="BD25" s="615"/>
      <c r="BE25" s="615"/>
      <c r="BF25" s="615"/>
      <c r="BG25" s="615"/>
      <c r="BH25" s="615"/>
      <c r="BI25" s="615"/>
      <c r="BJ25" s="615"/>
      <c r="BK25" s="615"/>
      <c r="BL25" s="615"/>
      <c r="BM25" s="615"/>
      <c r="BN25" s="615"/>
      <c r="BO25" s="615"/>
      <c r="BP25" s="615"/>
      <c r="BQ25" s="615"/>
      <c r="BR25" s="615"/>
      <c r="BS25" s="615"/>
      <c r="BT25" s="615"/>
      <c r="BU25" s="615"/>
      <c r="BV25" s="615"/>
      <c r="BW25" s="615"/>
      <c r="BX25" s="607"/>
    </row>
    <row r="26" spans="1:76" s="612" customFormat="1" ht="12.75" x14ac:dyDescent="0.2">
      <c r="A26" s="839"/>
      <c r="B26" s="839"/>
      <c r="C26" s="713" t="s">
        <v>1850</v>
      </c>
      <c r="D26" s="712">
        <v>0</v>
      </c>
      <c r="E26" s="712">
        <v>0</v>
      </c>
      <c r="F26" s="712">
        <v>0</v>
      </c>
      <c r="G26" s="712">
        <v>0</v>
      </c>
      <c r="H26" s="712">
        <v>0</v>
      </c>
      <c r="I26" s="712">
        <v>0</v>
      </c>
      <c r="J26" s="712">
        <v>2000000</v>
      </c>
      <c r="K26" s="712">
        <v>0</v>
      </c>
      <c r="L26" s="712">
        <v>0</v>
      </c>
      <c r="M26" s="712">
        <v>0</v>
      </c>
      <c r="N26" s="712">
        <v>0</v>
      </c>
      <c r="O26" s="712">
        <v>0</v>
      </c>
      <c r="P26" s="712">
        <v>1406367</v>
      </c>
      <c r="Q26" s="712">
        <v>0</v>
      </c>
      <c r="R26" s="712">
        <v>1146768</v>
      </c>
      <c r="S26" s="712">
        <v>0</v>
      </c>
      <c r="T26" s="712">
        <v>0</v>
      </c>
      <c r="U26" s="712">
        <v>0</v>
      </c>
      <c r="V26" s="712">
        <v>0</v>
      </c>
      <c r="W26" s="712">
        <v>0</v>
      </c>
      <c r="X26" s="712">
        <v>0</v>
      </c>
      <c r="Y26" s="712">
        <v>0</v>
      </c>
      <c r="Z26" s="712">
        <v>0</v>
      </c>
      <c r="AA26" s="712">
        <v>0</v>
      </c>
      <c r="AB26" s="712">
        <v>0</v>
      </c>
      <c r="AC26" s="712">
        <v>0</v>
      </c>
      <c r="AD26" s="712">
        <v>0</v>
      </c>
      <c r="AE26" s="712">
        <v>0</v>
      </c>
      <c r="AF26" s="712">
        <v>0</v>
      </c>
      <c r="AG26" s="712">
        <v>0</v>
      </c>
      <c r="AH26" s="712">
        <v>0</v>
      </c>
      <c r="AI26" s="712">
        <v>0</v>
      </c>
      <c r="AJ26" s="712">
        <v>0</v>
      </c>
      <c r="AK26" s="712">
        <v>0</v>
      </c>
      <c r="AL26" s="712">
        <v>0</v>
      </c>
      <c r="AM26" s="712">
        <v>0</v>
      </c>
      <c r="AN26" s="712">
        <v>0</v>
      </c>
      <c r="AO26" s="712">
        <v>0</v>
      </c>
      <c r="AP26" s="712">
        <v>0</v>
      </c>
      <c r="AQ26" s="712">
        <v>0</v>
      </c>
      <c r="AR26" s="712">
        <v>0</v>
      </c>
      <c r="AS26" s="712">
        <v>0</v>
      </c>
      <c r="AT26">
        <v>4553135</v>
      </c>
      <c r="AU26" s="609"/>
      <c r="AV26" s="609"/>
      <c r="AW26" s="615"/>
      <c r="AX26" s="615"/>
      <c r="AY26" s="615"/>
      <c r="AZ26" s="615"/>
      <c r="BA26" s="615"/>
      <c r="BB26" s="615"/>
      <c r="BC26" s="615"/>
      <c r="BD26" s="615"/>
      <c r="BE26" s="615"/>
      <c r="BF26" s="615"/>
      <c r="BG26" s="615"/>
      <c r="BH26" s="615"/>
      <c r="BI26" s="615"/>
      <c r="BJ26" s="615"/>
      <c r="BK26" s="615"/>
      <c r="BL26" s="615"/>
      <c r="BM26" s="615"/>
      <c r="BN26" s="615"/>
      <c r="BO26" s="615"/>
      <c r="BP26" s="615"/>
      <c r="BQ26" s="615"/>
      <c r="BR26" s="615"/>
      <c r="BS26" s="615"/>
      <c r="BT26" s="615"/>
      <c r="BU26" s="615"/>
      <c r="BV26" s="615"/>
      <c r="BW26" s="615"/>
      <c r="BX26" s="607"/>
    </row>
    <row r="27" spans="1:76" s="612" customFormat="1" ht="25.5" x14ac:dyDescent="0.2">
      <c r="A27" s="839"/>
      <c r="B27" s="713" t="s">
        <v>892</v>
      </c>
      <c r="C27" s="713" t="s">
        <v>1873</v>
      </c>
      <c r="D27" s="712">
        <v>0</v>
      </c>
      <c r="E27" s="712">
        <v>188636280</v>
      </c>
      <c r="F27" s="712">
        <v>0</v>
      </c>
      <c r="G27" s="712">
        <v>0</v>
      </c>
      <c r="H27" s="712">
        <v>0</v>
      </c>
      <c r="I27" s="712">
        <v>0</v>
      </c>
      <c r="J27" s="712">
        <v>0</v>
      </c>
      <c r="K27" s="712">
        <v>0</v>
      </c>
      <c r="L27" s="712">
        <v>0</v>
      </c>
      <c r="M27" s="712">
        <v>0</v>
      </c>
      <c r="N27" s="712">
        <v>0</v>
      </c>
      <c r="O27" s="712">
        <v>0</v>
      </c>
      <c r="P27" s="712">
        <v>0</v>
      </c>
      <c r="Q27" s="712">
        <v>0</v>
      </c>
      <c r="R27" s="712">
        <v>0</v>
      </c>
      <c r="S27" s="712">
        <v>0</v>
      </c>
      <c r="T27" s="712">
        <v>0</v>
      </c>
      <c r="U27" s="712">
        <v>0</v>
      </c>
      <c r="V27" s="712">
        <v>0</v>
      </c>
      <c r="W27" s="712">
        <v>0</v>
      </c>
      <c r="X27" s="712">
        <v>0</v>
      </c>
      <c r="Y27" s="712">
        <v>0</v>
      </c>
      <c r="Z27" s="712">
        <v>0</v>
      </c>
      <c r="AA27" s="712">
        <v>0</v>
      </c>
      <c r="AB27" s="712">
        <v>0</v>
      </c>
      <c r="AC27" s="712">
        <v>0</v>
      </c>
      <c r="AD27" s="712">
        <v>0</v>
      </c>
      <c r="AE27" s="712">
        <v>0</v>
      </c>
      <c r="AF27" s="712">
        <v>0</v>
      </c>
      <c r="AG27" s="712">
        <v>0</v>
      </c>
      <c r="AH27" s="712">
        <v>0</v>
      </c>
      <c r="AI27" s="712">
        <v>0</v>
      </c>
      <c r="AJ27" s="712">
        <v>0</v>
      </c>
      <c r="AK27" s="712">
        <v>0</v>
      </c>
      <c r="AL27" s="712">
        <v>0</v>
      </c>
      <c r="AM27" s="712">
        <v>0</v>
      </c>
      <c r="AN27" s="712">
        <v>0</v>
      </c>
      <c r="AO27" s="712">
        <v>0</v>
      </c>
      <c r="AP27" s="712">
        <v>0</v>
      </c>
      <c r="AQ27" s="712">
        <v>0</v>
      </c>
      <c r="AR27" s="712">
        <v>0</v>
      </c>
      <c r="AS27" s="712">
        <v>0</v>
      </c>
      <c r="AT27">
        <v>188636280</v>
      </c>
      <c r="AU27" s="609"/>
      <c r="AV27" s="609"/>
      <c r="AW27" s="615"/>
      <c r="AX27" s="615"/>
      <c r="AY27" s="615"/>
      <c r="AZ27" s="615"/>
      <c r="BA27" s="615"/>
      <c r="BB27" s="615"/>
      <c r="BC27" s="615"/>
      <c r="BD27" s="615"/>
      <c r="BE27" s="615"/>
      <c r="BF27" s="615"/>
      <c r="BG27" s="615"/>
      <c r="BH27" s="615"/>
      <c r="BI27" s="615"/>
      <c r="BJ27" s="615"/>
      <c r="BK27" s="615"/>
      <c r="BL27" s="615"/>
      <c r="BM27" s="615"/>
      <c r="BN27" s="615"/>
      <c r="BO27" s="615"/>
      <c r="BP27" s="615"/>
      <c r="BQ27" s="615"/>
      <c r="BR27" s="615"/>
      <c r="BS27" s="615"/>
      <c r="BT27" s="615"/>
      <c r="BU27" s="615"/>
      <c r="BV27" s="615"/>
      <c r="BW27" s="615"/>
      <c r="BX27" s="607"/>
    </row>
    <row r="28" spans="1:76" s="612" customFormat="1" ht="25.5" x14ac:dyDescent="0.2">
      <c r="A28" s="839"/>
      <c r="B28" s="713" t="s">
        <v>4275</v>
      </c>
      <c r="C28" s="713" t="s">
        <v>1810</v>
      </c>
      <c r="D28" s="712">
        <v>0</v>
      </c>
      <c r="E28" s="712">
        <v>0</v>
      </c>
      <c r="F28" s="712">
        <v>0</v>
      </c>
      <c r="G28" s="712">
        <v>0</v>
      </c>
      <c r="H28" s="712">
        <v>0</v>
      </c>
      <c r="I28" s="712">
        <v>0</v>
      </c>
      <c r="J28" s="712">
        <v>0</v>
      </c>
      <c r="K28" s="712">
        <v>0</v>
      </c>
      <c r="L28" s="712">
        <v>0</v>
      </c>
      <c r="M28" s="712">
        <v>0</v>
      </c>
      <c r="N28" s="712">
        <v>0</v>
      </c>
      <c r="O28" s="712">
        <v>0</v>
      </c>
      <c r="P28" s="712">
        <v>0</v>
      </c>
      <c r="Q28" s="712">
        <v>0</v>
      </c>
      <c r="R28" s="712">
        <v>0</v>
      </c>
      <c r="S28" s="712">
        <v>0</v>
      </c>
      <c r="T28" s="712">
        <v>0</v>
      </c>
      <c r="U28" s="712">
        <v>0</v>
      </c>
      <c r="V28" s="712">
        <v>0</v>
      </c>
      <c r="W28" s="712">
        <v>0</v>
      </c>
      <c r="X28" s="712">
        <v>0</v>
      </c>
      <c r="Y28" s="712">
        <v>0</v>
      </c>
      <c r="Z28" s="712">
        <v>0</v>
      </c>
      <c r="AA28" s="712">
        <v>0</v>
      </c>
      <c r="AB28" s="712">
        <v>0</v>
      </c>
      <c r="AC28" s="712">
        <v>0</v>
      </c>
      <c r="AD28" s="712">
        <v>0</v>
      </c>
      <c r="AE28" s="712">
        <v>0</v>
      </c>
      <c r="AF28" s="712">
        <v>0</v>
      </c>
      <c r="AG28" s="712">
        <v>0</v>
      </c>
      <c r="AH28" s="712">
        <v>0</v>
      </c>
      <c r="AI28" s="712">
        <v>0</v>
      </c>
      <c r="AJ28" s="712">
        <v>0</v>
      </c>
      <c r="AK28" s="712">
        <v>0</v>
      </c>
      <c r="AL28" s="712">
        <v>0</v>
      </c>
      <c r="AM28" s="712">
        <v>0</v>
      </c>
      <c r="AN28" s="712">
        <v>0</v>
      </c>
      <c r="AO28" s="712">
        <v>0</v>
      </c>
      <c r="AP28" s="712">
        <v>0</v>
      </c>
      <c r="AQ28" s="712">
        <v>0</v>
      </c>
      <c r="AR28" s="712">
        <v>0</v>
      </c>
      <c r="AS28" s="712">
        <v>0</v>
      </c>
      <c r="AT28">
        <v>0</v>
      </c>
      <c r="AU28" s="609"/>
      <c r="AV28" s="609"/>
      <c r="AW28" s="615"/>
      <c r="AX28" s="615"/>
      <c r="AY28" s="615"/>
      <c r="AZ28" s="615"/>
      <c r="BA28" s="615"/>
      <c r="BB28" s="615"/>
      <c r="BC28" s="615"/>
      <c r="BD28" s="615"/>
      <c r="BE28" s="615"/>
      <c r="BF28" s="615"/>
      <c r="BG28" s="615"/>
      <c r="BH28" s="615"/>
      <c r="BI28" s="615"/>
      <c r="BJ28" s="615"/>
      <c r="BK28" s="615"/>
      <c r="BL28" s="615"/>
      <c r="BM28" s="615"/>
      <c r="BN28" s="615"/>
      <c r="BO28" s="615"/>
      <c r="BP28" s="615"/>
      <c r="BQ28" s="615"/>
      <c r="BR28" s="615"/>
      <c r="BS28" s="615"/>
      <c r="BT28" s="615"/>
      <c r="BU28" s="615"/>
      <c r="BV28" s="615"/>
      <c r="BW28" s="615"/>
      <c r="BX28" s="607"/>
    </row>
    <row r="29" spans="1:76" s="612" customFormat="1" ht="25.5" x14ac:dyDescent="0.2">
      <c r="A29" s="839"/>
      <c r="B29" s="713" t="s">
        <v>874</v>
      </c>
      <c r="C29" s="713" t="s">
        <v>1800</v>
      </c>
      <c r="D29" s="712">
        <v>0</v>
      </c>
      <c r="E29" s="712">
        <v>0</v>
      </c>
      <c r="F29" s="712">
        <v>0</v>
      </c>
      <c r="G29" s="712">
        <v>0</v>
      </c>
      <c r="H29" s="712">
        <v>0</v>
      </c>
      <c r="I29" s="712">
        <v>0</v>
      </c>
      <c r="J29" s="712">
        <v>0</v>
      </c>
      <c r="K29" s="712">
        <v>0</v>
      </c>
      <c r="L29" s="712">
        <v>0</v>
      </c>
      <c r="M29" s="712">
        <v>81280</v>
      </c>
      <c r="N29" s="712">
        <v>0</v>
      </c>
      <c r="O29" s="712">
        <v>0</v>
      </c>
      <c r="P29" s="712">
        <v>0</v>
      </c>
      <c r="Q29" s="712">
        <v>0</v>
      </c>
      <c r="R29" s="712">
        <v>0</v>
      </c>
      <c r="S29" s="712">
        <v>0</v>
      </c>
      <c r="T29" s="712">
        <v>0</v>
      </c>
      <c r="U29" s="712">
        <v>0</v>
      </c>
      <c r="V29" s="712">
        <v>0</v>
      </c>
      <c r="W29" s="712">
        <v>0</v>
      </c>
      <c r="X29" s="712">
        <v>0</v>
      </c>
      <c r="Y29" s="712">
        <v>0</v>
      </c>
      <c r="Z29" s="712">
        <v>0</v>
      </c>
      <c r="AA29" s="712">
        <v>0</v>
      </c>
      <c r="AB29" s="712">
        <v>0</v>
      </c>
      <c r="AC29" s="712">
        <v>0</v>
      </c>
      <c r="AD29" s="712">
        <v>0</v>
      </c>
      <c r="AE29" s="712">
        <v>0</v>
      </c>
      <c r="AF29" s="712">
        <v>0</v>
      </c>
      <c r="AG29" s="712">
        <v>0</v>
      </c>
      <c r="AH29" s="712">
        <v>0</v>
      </c>
      <c r="AI29" s="712">
        <v>0</v>
      </c>
      <c r="AJ29" s="712">
        <v>0</v>
      </c>
      <c r="AK29" s="712">
        <v>0</v>
      </c>
      <c r="AL29" s="712">
        <v>0</v>
      </c>
      <c r="AM29" s="712">
        <v>0</v>
      </c>
      <c r="AN29" s="712">
        <v>0</v>
      </c>
      <c r="AO29" s="712">
        <v>0</v>
      </c>
      <c r="AP29" s="712">
        <v>0</v>
      </c>
      <c r="AQ29" s="712">
        <v>0</v>
      </c>
      <c r="AR29" s="712">
        <v>0</v>
      </c>
      <c r="AS29" s="712">
        <v>0</v>
      </c>
      <c r="AT29">
        <v>81256</v>
      </c>
      <c r="AU29" s="609"/>
      <c r="AV29" s="609"/>
      <c r="AW29" s="615"/>
      <c r="AX29" s="615"/>
      <c r="AY29" s="615"/>
      <c r="AZ29" s="615"/>
      <c r="BA29" s="615"/>
      <c r="BB29" s="615"/>
      <c r="BC29" s="615"/>
      <c r="BD29" s="615"/>
      <c r="BE29" s="615"/>
      <c r="BF29" s="615"/>
      <c r="BG29" s="615"/>
      <c r="BH29" s="615"/>
      <c r="BI29" s="615"/>
      <c r="BJ29" s="615"/>
      <c r="BK29" s="615"/>
      <c r="BL29" s="615"/>
      <c r="BM29" s="615"/>
      <c r="BN29" s="615"/>
      <c r="BO29" s="615"/>
      <c r="BP29" s="615"/>
      <c r="BQ29" s="615"/>
      <c r="BR29" s="615"/>
      <c r="BS29" s="615"/>
      <c r="BT29" s="615"/>
      <c r="BU29" s="615"/>
      <c r="BV29" s="615"/>
      <c r="BW29" s="615"/>
      <c r="BX29" s="607"/>
    </row>
    <row r="30" spans="1:76" s="612" customFormat="1" ht="25.5" x14ac:dyDescent="0.2">
      <c r="A30" s="839"/>
      <c r="B30" s="713" t="s">
        <v>887</v>
      </c>
      <c r="C30" s="713" t="s">
        <v>1865</v>
      </c>
      <c r="D30" s="712">
        <v>0</v>
      </c>
      <c r="E30" s="712">
        <v>0</v>
      </c>
      <c r="F30" s="712">
        <v>0</v>
      </c>
      <c r="G30" s="712">
        <v>0</v>
      </c>
      <c r="H30" s="712">
        <v>0</v>
      </c>
      <c r="I30" s="712">
        <v>0</v>
      </c>
      <c r="J30" s="712">
        <v>0</v>
      </c>
      <c r="K30" s="712">
        <v>0</v>
      </c>
      <c r="L30" s="712">
        <v>1</v>
      </c>
      <c r="M30" s="712">
        <v>0</v>
      </c>
      <c r="N30" s="712">
        <v>0</v>
      </c>
      <c r="O30" s="712">
        <v>0</v>
      </c>
      <c r="P30" s="712">
        <v>1227080</v>
      </c>
      <c r="Q30" s="712">
        <v>0</v>
      </c>
      <c r="R30" s="712">
        <v>0</v>
      </c>
      <c r="S30" s="712">
        <v>0</v>
      </c>
      <c r="T30" s="712">
        <v>0</v>
      </c>
      <c r="U30" s="712">
        <v>0</v>
      </c>
      <c r="V30" s="712">
        <v>0</v>
      </c>
      <c r="W30" s="712">
        <v>0</v>
      </c>
      <c r="X30" s="712">
        <v>0</v>
      </c>
      <c r="Y30" s="712">
        <v>0</v>
      </c>
      <c r="Z30" s="712">
        <v>0</v>
      </c>
      <c r="AA30" s="712">
        <v>0</v>
      </c>
      <c r="AB30" s="712">
        <v>0</v>
      </c>
      <c r="AC30" s="712">
        <v>0</v>
      </c>
      <c r="AD30" s="712">
        <v>0</v>
      </c>
      <c r="AE30" s="712">
        <v>0</v>
      </c>
      <c r="AF30" s="712">
        <v>0</v>
      </c>
      <c r="AG30" s="712">
        <v>0</v>
      </c>
      <c r="AH30" s="712">
        <v>0</v>
      </c>
      <c r="AI30" s="712">
        <v>0</v>
      </c>
      <c r="AJ30" s="712">
        <v>0</v>
      </c>
      <c r="AK30" s="712">
        <v>0</v>
      </c>
      <c r="AL30" s="712">
        <v>0</v>
      </c>
      <c r="AM30" s="712">
        <v>0</v>
      </c>
      <c r="AN30" s="712">
        <v>0</v>
      </c>
      <c r="AO30" s="712">
        <v>0</v>
      </c>
      <c r="AP30" s="712">
        <v>0</v>
      </c>
      <c r="AQ30" s="712">
        <v>0</v>
      </c>
      <c r="AR30" s="712">
        <v>0</v>
      </c>
      <c r="AS30" s="712">
        <v>0</v>
      </c>
      <c r="AT30">
        <v>1227081</v>
      </c>
      <c r="AU30" s="609"/>
      <c r="AV30" s="609"/>
      <c r="AW30" s="615"/>
      <c r="AX30" s="615"/>
      <c r="AY30" s="615"/>
      <c r="AZ30" s="615"/>
      <c r="BA30" s="615"/>
      <c r="BB30" s="615"/>
      <c r="BC30" s="615"/>
      <c r="BD30" s="615"/>
      <c r="BE30" s="615"/>
      <c r="BF30" s="615"/>
      <c r="BG30" s="615"/>
      <c r="BH30" s="615"/>
      <c r="BI30" s="615"/>
      <c r="BJ30" s="615"/>
      <c r="BK30" s="615"/>
      <c r="BL30" s="615"/>
      <c r="BM30" s="615"/>
      <c r="BN30" s="615"/>
      <c r="BO30" s="615"/>
      <c r="BP30" s="615"/>
      <c r="BQ30" s="615"/>
      <c r="BR30" s="615"/>
      <c r="BS30" s="615"/>
      <c r="BT30" s="615"/>
      <c r="BU30" s="615"/>
      <c r="BV30" s="615"/>
      <c r="BW30" s="615"/>
      <c r="BX30" s="607"/>
    </row>
    <row r="31" spans="1:76" s="612" customFormat="1" ht="25.5" x14ac:dyDescent="0.2">
      <c r="A31" s="839"/>
      <c r="B31" s="713" t="s">
        <v>2604</v>
      </c>
      <c r="C31" s="713" t="s">
        <v>1798</v>
      </c>
      <c r="D31" s="712">
        <v>0</v>
      </c>
      <c r="E31" s="712">
        <v>0</v>
      </c>
      <c r="F31" s="712">
        <v>0</v>
      </c>
      <c r="G31" s="712">
        <v>0</v>
      </c>
      <c r="H31" s="712">
        <v>0</v>
      </c>
      <c r="I31" s="712">
        <v>0</v>
      </c>
      <c r="J31" s="712">
        <v>0</v>
      </c>
      <c r="K31" s="712">
        <v>0</v>
      </c>
      <c r="L31" s="712">
        <v>0</v>
      </c>
      <c r="M31" s="712">
        <v>87187</v>
      </c>
      <c r="N31" s="712">
        <v>0</v>
      </c>
      <c r="O31" s="712">
        <v>0</v>
      </c>
      <c r="P31" s="712">
        <v>0</v>
      </c>
      <c r="Q31" s="712">
        <v>0</v>
      </c>
      <c r="R31" s="712">
        <v>0</v>
      </c>
      <c r="S31" s="712">
        <v>0</v>
      </c>
      <c r="T31" s="712">
        <v>0</v>
      </c>
      <c r="U31" s="712">
        <v>0</v>
      </c>
      <c r="V31" s="712">
        <v>0</v>
      </c>
      <c r="W31" s="712">
        <v>0</v>
      </c>
      <c r="X31" s="712">
        <v>0</v>
      </c>
      <c r="Y31" s="712">
        <v>0</v>
      </c>
      <c r="Z31" s="712">
        <v>0</v>
      </c>
      <c r="AA31" s="712">
        <v>0</v>
      </c>
      <c r="AB31" s="712">
        <v>0</v>
      </c>
      <c r="AC31" s="712">
        <v>0</v>
      </c>
      <c r="AD31" s="712">
        <v>0</v>
      </c>
      <c r="AE31" s="712">
        <v>0</v>
      </c>
      <c r="AF31" s="712">
        <v>0</v>
      </c>
      <c r="AG31" s="712">
        <v>0</v>
      </c>
      <c r="AH31" s="712">
        <v>0</v>
      </c>
      <c r="AI31" s="712">
        <v>0</v>
      </c>
      <c r="AJ31" s="712">
        <v>0</v>
      </c>
      <c r="AK31" s="712">
        <v>0</v>
      </c>
      <c r="AL31" s="712">
        <v>0</v>
      </c>
      <c r="AM31" s="712">
        <v>0</v>
      </c>
      <c r="AN31" s="712">
        <v>0</v>
      </c>
      <c r="AO31" s="712">
        <v>0</v>
      </c>
      <c r="AP31" s="712">
        <v>0</v>
      </c>
      <c r="AQ31" s="712">
        <v>0</v>
      </c>
      <c r="AR31" s="712">
        <v>0</v>
      </c>
      <c r="AS31" s="712">
        <v>0</v>
      </c>
      <c r="AT31">
        <v>87187</v>
      </c>
      <c r="AU31" s="609"/>
      <c r="AV31" s="609"/>
      <c r="AW31" s="615"/>
      <c r="AX31" s="615"/>
      <c r="AY31" s="615"/>
      <c r="AZ31" s="615"/>
      <c r="BA31" s="615"/>
      <c r="BB31" s="615"/>
      <c r="BC31" s="615"/>
      <c r="BD31" s="615"/>
      <c r="BE31" s="615"/>
      <c r="BF31" s="615"/>
      <c r="BG31" s="615"/>
      <c r="BH31" s="615"/>
      <c r="BI31" s="615"/>
      <c r="BJ31" s="615"/>
      <c r="BK31" s="615"/>
      <c r="BL31" s="615"/>
      <c r="BM31" s="615"/>
      <c r="BN31" s="615"/>
      <c r="BO31" s="615"/>
      <c r="BP31" s="615"/>
      <c r="BQ31" s="615"/>
      <c r="BR31" s="615"/>
      <c r="BS31" s="615"/>
      <c r="BT31" s="615"/>
      <c r="BU31" s="615"/>
      <c r="BV31" s="615"/>
      <c r="BW31" s="615"/>
      <c r="BX31" s="607"/>
    </row>
    <row r="32" spans="1:76" s="612" customFormat="1" ht="25.5" x14ac:dyDescent="0.2">
      <c r="A32" s="839"/>
      <c r="B32" s="713" t="s">
        <v>1571</v>
      </c>
      <c r="C32" s="713" t="s">
        <v>1764</v>
      </c>
      <c r="D32" s="712">
        <v>0</v>
      </c>
      <c r="E32" s="712">
        <v>0</v>
      </c>
      <c r="F32" s="712">
        <v>0</v>
      </c>
      <c r="G32" s="712">
        <v>0</v>
      </c>
      <c r="H32" s="712">
        <v>0</v>
      </c>
      <c r="I32" s="712">
        <v>0</v>
      </c>
      <c r="J32" s="712">
        <v>0</v>
      </c>
      <c r="K32" s="712">
        <v>0</v>
      </c>
      <c r="L32" s="712">
        <v>0</v>
      </c>
      <c r="M32" s="712">
        <v>0</v>
      </c>
      <c r="N32" s="712">
        <v>0</v>
      </c>
      <c r="O32" s="712">
        <v>0</v>
      </c>
      <c r="P32" s="712">
        <v>0</v>
      </c>
      <c r="Q32" s="712">
        <v>0</v>
      </c>
      <c r="R32" s="712">
        <v>0</v>
      </c>
      <c r="S32" s="712">
        <v>0</v>
      </c>
      <c r="T32" s="712">
        <v>0</v>
      </c>
      <c r="U32" s="712">
        <v>0</v>
      </c>
      <c r="V32" s="712">
        <v>0</v>
      </c>
      <c r="W32" s="712">
        <v>0</v>
      </c>
      <c r="X32" s="712">
        <v>0</v>
      </c>
      <c r="Y32" s="712">
        <v>0</v>
      </c>
      <c r="Z32" s="712">
        <v>0</v>
      </c>
      <c r="AA32" s="712">
        <v>0</v>
      </c>
      <c r="AB32" s="712">
        <v>0</v>
      </c>
      <c r="AC32" s="712">
        <v>0</v>
      </c>
      <c r="AD32" s="712">
        <v>0</v>
      </c>
      <c r="AE32" s="712">
        <v>0</v>
      </c>
      <c r="AF32" s="712">
        <v>0</v>
      </c>
      <c r="AG32" s="712">
        <v>0</v>
      </c>
      <c r="AH32" s="712">
        <v>0</v>
      </c>
      <c r="AI32" s="712">
        <v>0</v>
      </c>
      <c r="AJ32" s="712">
        <v>0</v>
      </c>
      <c r="AK32" s="712">
        <v>0</v>
      </c>
      <c r="AL32" s="712">
        <v>0</v>
      </c>
      <c r="AM32" s="712">
        <v>0</v>
      </c>
      <c r="AN32" s="712">
        <v>0</v>
      </c>
      <c r="AO32" s="712">
        <v>0</v>
      </c>
      <c r="AP32" s="712">
        <v>0</v>
      </c>
      <c r="AQ32" s="712">
        <v>0</v>
      </c>
      <c r="AR32" s="712">
        <v>0</v>
      </c>
      <c r="AS32" s="712">
        <v>0</v>
      </c>
      <c r="AT32">
        <v>0</v>
      </c>
      <c r="AU32" s="609"/>
      <c r="AV32" s="609"/>
      <c r="AW32" s="615"/>
      <c r="AX32" s="615"/>
      <c r="AY32" s="615"/>
      <c r="AZ32" s="615"/>
      <c r="BA32" s="615"/>
      <c r="BB32" s="615"/>
      <c r="BC32" s="615"/>
      <c r="BD32" s="615"/>
      <c r="BE32" s="615"/>
      <c r="BF32" s="615"/>
      <c r="BG32" s="615"/>
      <c r="BH32" s="615"/>
      <c r="BI32" s="615"/>
      <c r="BJ32" s="615"/>
      <c r="BK32" s="615"/>
      <c r="BL32" s="615"/>
      <c r="BM32" s="615"/>
      <c r="BN32" s="615"/>
      <c r="BO32" s="615"/>
      <c r="BP32" s="615"/>
      <c r="BQ32" s="615"/>
      <c r="BR32" s="615"/>
      <c r="BS32" s="615"/>
      <c r="BT32" s="615"/>
      <c r="BU32" s="615"/>
      <c r="BV32" s="615"/>
      <c r="BW32" s="615"/>
      <c r="BX32" s="607"/>
    </row>
    <row r="33" spans="1:76" s="612" customFormat="1" ht="25.5" x14ac:dyDescent="0.2">
      <c r="A33" s="839"/>
      <c r="B33" s="713" t="s">
        <v>890</v>
      </c>
      <c r="C33" s="713" t="s">
        <v>1866</v>
      </c>
      <c r="D33" s="712">
        <v>0</v>
      </c>
      <c r="E33" s="712">
        <v>0</v>
      </c>
      <c r="F33" s="712">
        <v>0</v>
      </c>
      <c r="G33" s="712">
        <v>0</v>
      </c>
      <c r="H33" s="712">
        <v>0</v>
      </c>
      <c r="I33" s="712">
        <v>0</v>
      </c>
      <c r="J33" s="712">
        <v>0</v>
      </c>
      <c r="K33" s="712">
        <v>0</v>
      </c>
      <c r="L33" s="712">
        <v>0</v>
      </c>
      <c r="M33" s="712">
        <v>0</v>
      </c>
      <c r="N33" s="712">
        <v>0</v>
      </c>
      <c r="O33" s="712">
        <v>0</v>
      </c>
      <c r="P33" s="712">
        <v>0</v>
      </c>
      <c r="Q33" s="712">
        <v>0</v>
      </c>
      <c r="R33" s="712">
        <v>0</v>
      </c>
      <c r="S33" s="712">
        <v>0</v>
      </c>
      <c r="T33" s="712">
        <v>0</v>
      </c>
      <c r="U33" s="712">
        <v>0</v>
      </c>
      <c r="V33" s="712">
        <v>0</v>
      </c>
      <c r="W33" s="712">
        <v>0</v>
      </c>
      <c r="X33" s="712">
        <v>0</v>
      </c>
      <c r="Y33" s="712">
        <v>0</v>
      </c>
      <c r="Z33" s="712">
        <v>0</v>
      </c>
      <c r="AA33" s="712">
        <v>0</v>
      </c>
      <c r="AB33" s="712">
        <v>0</v>
      </c>
      <c r="AC33" s="712">
        <v>0</v>
      </c>
      <c r="AD33" s="712">
        <v>0</v>
      </c>
      <c r="AE33" s="712">
        <v>0</v>
      </c>
      <c r="AF33" s="712">
        <v>0</v>
      </c>
      <c r="AG33" s="712">
        <v>0</v>
      </c>
      <c r="AH33" s="712">
        <v>0</v>
      </c>
      <c r="AI33" s="712">
        <v>0</v>
      </c>
      <c r="AJ33" s="712">
        <v>0</v>
      </c>
      <c r="AK33" s="712">
        <v>0</v>
      </c>
      <c r="AL33" s="712">
        <v>0</v>
      </c>
      <c r="AM33" s="712">
        <v>0</v>
      </c>
      <c r="AN33" s="712">
        <v>0</v>
      </c>
      <c r="AO33" s="712">
        <v>0</v>
      </c>
      <c r="AP33" s="712">
        <v>0</v>
      </c>
      <c r="AQ33" s="712">
        <v>0</v>
      </c>
      <c r="AR33" s="712">
        <v>0</v>
      </c>
      <c r="AS33" s="712">
        <v>0</v>
      </c>
      <c r="AT33">
        <v>0</v>
      </c>
      <c r="AU33" s="609"/>
      <c r="AV33" s="609"/>
      <c r="AW33" s="615"/>
      <c r="AX33" s="615"/>
      <c r="AY33" s="615"/>
      <c r="AZ33" s="615"/>
      <c r="BA33" s="615"/>
      <c r="BB33" s="615"/>
      <c r="BC33" s="615"/>
      <c r="BD33" s="615"/>
      <c r="BE33" s="615"/>
      <c r="BF33" s="615"/>
      <c r="BG33" s="615"/>
      <c r="BH33" s="615"/>
      <c r="BI33" s="615"/>
      <c r="BJ33" s="615"/>
      <c r="BK33" s="615"/>
      <c r="BL33" s="615"/>
      <c r="BM33" s="615"/>
      <c r="BN33" s="615"/>
      <c r="BO33" s="615"/>
      <c r="BP33" s="615"/>
      <c r="BQ33" s="615"/>
      <c r="BR33" s="615"/>
      <c r="BS33" s="615"/>
      <c r="BT33" s="615"/>
      <c r="BU33" s="615"/>
      <c r="BV33" s="615"/>
      <c r="BW33" s="615"/>
      <c r="BX33" s="607"/>
    </row>
    <row r="34" spans="1:76" s="612" customFormat="1" ht="25.5" x14ac:dyDescent="0.2">
      <c r="A34" s="839"/>
      <c r="B34" s="713" t="s">
        <v>1644</v>
      </c>
      <c r="C34" s="713" t="s">
        <v>1878</v>
      </c>
      <c r="D34" s="712">
        <v>0</v>
      </c>
      <c r="E34" s="712">
        <v>0</v>
      </c>
      <c r="F34" s="712">
        <v>0</v>
      </c>
      <c r="G34" s="712">
        <v>0</v>
      </c>
      <c r="H34" s="712">
        <v>0</v>
      </c>
      <c r="I34" s="712">
        <v>0</v>
      </c>
      <c r="J34" s="712">
        <v>0</v>
      </c>
      <c r="K34" s="712">
        <v>0</v>
      </c>
      <c r="L34" s="712">
        <v>0</v>
      </c>
      <c r="M34" s="712">
        <v>0</v>
      </c>
      <c r="N34" s="712">
        <v>0</v>
      </c>
      <c r="O34" s="712">
        <v>0</v>
      </c>
      <c r="P34" s="712">
        <v>0</v>
      </c>
      <c r="Q34" s="712">
        <v>0</v>
      </c>
      <c r="R34" s="712">
        <v>0</v>
      </c>
      <c r="S34" s="712">
        <v>0</v>
      </c>
      <c r="T34" s="712">
        <v>0</v>
      </c>
      <c r="U34" s="712">
        <v>0</v>
      </c>
      <c r="V34" s="712">
        <v>0</v>
      </c>
      <c r="W34" s="712">
        <v>0</v>
      </c>
      <c r="X34" s="712">
        <v>0</v>
      </c>
      <c r="Y34" s="712">
        <v>0</v>
      </c>
      <c r="Z34" s="712">
        <v>0</v>
      </c>
      <c r="AA34" s="712">
        <v>0</v>
      </c>
      <c r="AB34" s="712">
        <v>0</v>
      </c>
      <c r="AC34" s="712">
        <v>0</v>
      </c>
      <c r="AD34" s="712">
        <v>0</v>
      </c>
      <c r="AE34" s="712">
        <v>0</v>
      </c>
      <c r="AF34" s="712">
        <v>0</v>
      </c>
      <c r="AG34" s="712">
        <v>0</v>
      </c>
      <c r="AH34" s="712">
        <v>0</v>
      </c>
      <c r="AI34" s="712">
        <v>0</v>
      </c>
      <c r="AJ34" s="712">
        <v>0</v>
      </c>
      <c r="AK34" s="712">
        <v>0</v>
      </c>
      <c r="AL34" s="712">
        <v>0</v>
      </c>
      <c r="AM34" s="712">
        <v>0</v>
      </c>
      <c r="AN34" s="712">
        <v>0</v>
      </c>
      <c r="AO34" s="712">
        <v>0</v>
      </c>
      <c r="AP34" s="712">
        <v>0</v>
      </c>
      <c r="AQ34" s="712">
        <v>0</v>
      </c>
      <c r="AR34" s="712">
        <v>0</v>
      </c>
      <c r="AS34" s="712">
        <v>0</v>
      </c>
      <c r="AT34">
        <v>0</v>
      </c>
      <c r="AU34" s="609"/>
      <c r="AV34" s="609"/>
      <c r="AW34" s="615"/>
      <c r="AX34" s="615"/>
      <c r="AY34" s="615"/>
      <c r="AZ34" s="615"/>
      <c r="BA34" s="615"/>
      <c r="BB34" s="615"/>
      <c r="BC34" s="615"/>
      <c r="BD34" s="615"/>
      <c r="BE34" s="615"/>
      <c r="BF34" s="615"/>
      <c r="BG34" s="615"/>
      <c r="BH34" s="615"/>
      <c r="BI34" s="615"/>
      <c r="BJ34" s="615"/>
      <c r="BK34" s="615"/>
      <c r="BL34" s="615"/>
      <c r="BM34" s="615"/>
      <c r="BN34" s="615"/>
      <c r="BO34" s="615"/>
      <c r="BP34" s="615"/>
      <c r="BQ34" s="615"/>
      <c r="BR34" s="615"/>
      <c r="BS34" s="615"/>
      <c r="BT34" s="615"/>
      <c r="BU34" s="615"/>
      <c r="BV34" s="615"/>
      <c r="BW34" s="615"/>
      <c r="BX34" s="607"/>
    </row>
    <row r="35" spans="1:76" s="612" customFormat="1" ht="25.5" x14ac:dyDescent="0.2">
      <c r="A35" s="839"/>
      <c r="B35" s="713" t="s">
        <v>919</v>
      </c>
      <c r="C35" s="713" t="s">
        <v>1815</v>
      </c>
      <c r="D35" s="712">
        <v>0</v>
      </c>
      <c r="E35" s="712">
        <v>0</v>
      </c>
      <c r="F35" s="712">
        <v>0</v>
      </c>
      <c r="G35" s="712">
        <v>0</v>
      </c>
      <c r="H35" s="712">
        <v>0</v>
      </c>
      <c r="I35" s="712">
        <v>0</v>
      </c>
      <c r="J35" s="712">
        <v>0</v>
      </c>
      <c r="K35" s="712">
        <v>0</v>
      </c>
      <c r="L35" s="712">
        <v>0</v>
      </c>
      <c r="M35" s="712">
        <v>0</v>
      </c>
      <c r="N35" s="712">
        <v>0</v>
      </c>
      <c r="O35" s="712">
        <v>0</v>
      </c>
      <c r="P35" s="712">
        <v>0</v>
      </c>
      <c r="Q35" s="712">
        <v>0</v>
      </c>
      <c r="R35" s="712">
        <v>0</v>
      </c>
      <c r="S35" s="712">
        <v>0</v>
      </c>
      <c r="T35" s="712">
        <v>0</v>
      </c>
      <c r="U35" s="712">
        <v>0</v>
      </c>
      <c r="V35" s="712">
        <v>0</v>
      </c>
      <c r="W35" s="712">
        <v>0</v>
      </c>
      <c r="X35" s="712">
        <v>0</v>
      </c>
      <c r="Y35" s="712">
        <v>0</v>
      </c>
      <c r="Z35" s="712">
        <v>0</v>
      </c>
      <c r="AA35" s="712">
        <v>0</v>
      </c>
      <c r="AB35" s="712">
        <v>0</v>
      </c>
      <c r="AC35" s="712">
        <v>0</v>
      </c>
      <c r="AD35" s="712">
        <v>0</v>
      </c>
      <c r="AE35" s="712">
        <v>0</v>
      </c>
      <c r="AF35" s="712">
        <v>0</v>
      </c>
      <c r="AG35" s="712">
        <v>0</v>
      </c>
      <c r="AH35" s="712">
        <v>0</v>
      </c>
      <c r="AI35" s="712">
        <v>0</v>
      </c>
      <c r="AJ35" s="712">
        <v>0</v>
      </c>
      <c r="AK35" s="712">
        <v>0</v>
      </c>
      <c r="AL35" s="712">
        <v>0</v>
      </c>
      <c r="AM35" s="712">
        <v>0</v>
      </c>
      <c r="AN35" s="712">
        <v>0</v>
      </c>
      <c r="AO35" s="712">
        <v>0</v>
      </c>
      <c r="AP35" s="712">
        <v>0</v>
      </c>
      <c r="AQ35" s="712">
        <v>0</v>
      </c>
      <c r="AR35" s="712">
        <v>0</v>
      </c>
      <c r="AS35" s="712">
        <v>0</v>
      </c>
      <c r="AT35">
        <v>0</v>
      </c>
      <c r="AU35" s="609"/>
      <c r="AV35" s="609"/>
      <c r="AW35" s="615"/>
      <c r="AX35" s="615"/>
      <c r="AY35" s="615"/>
      <c r="AZ35" s="615"/>
      <c r="BA35" s="615"/>
      <c r="BB35" s="615"/>
      <c r="BC35" s="615"/>
      <c r="BD35" s="615"/>
      <c r="BE35" s="615"/>
      <c r="BF35" s="615"/>
      <c r="BG35" s="615"/>
      <c r="BH35" s="615"/>
      <c r="BI35" s="615"/>
      <c r="BJ35" s="615"/>
      <c r="BK35" s="615"/>
      <c r="BL35" s="615"/>
      <c r="BM35" s="615"/>
      <c r="BN35" s="615"/>
      <c r="BO35" s="615"/>
      <c r="BP35" s="615"/>
      <c r="BQ35" s="615"/>
      <c r="BR35" s="615"/>
      <c r="BS35" s="615"/>
      <c r="BT35" s="615"/>
      <c r="BU35" s="615"/>
      <c r="BV35" s="615"/>
      <c r="BW35" s="615"/>
      <c r="BX35" s="607"/>
    </row>
    <row r="36" spans="1:76" s="612" customFormat="1" ht="25.5" x14ac:dyDescent="0.2">
      <c r="A36" s="839"/>
      <c r="B36" s="713" t="s">
        <v>2677</v>
      </c>
      <c r="C36" s="713" t="s">
        <v>1791</v>
      </c>
      <c r="D36" s="712">
        <v>0</v>
      </c>
      <c r="E36" s="712">
        <v>0</v>
      </c>
      <c r="F36" s="712">
        <v>0</v>
      </c>
      <c r="G36" s="712">
        <v>0</v>
      </c>
      <c r="H36" s="712">
        <v>0</v>
      </c>
      <c r="I36" s="712">
        <v>0</v>
      </c>
      <c r="J36" s="712">
        <v>0</v>
      </c>
      <c r="K36" s="712">
        <v>0</v>
      </c>
      <c r="L36" s="712">
        <v>0</v>
      </c>
      <c r="M36" s="712">
        <v>0</v>
      </c>
      <c r="N36" s="712">
        <v>0</v>
      </c>
      <c r="O36" s="712">
        <v>0</v>
      </c>
      <c r="P36" s="712">
        <v>0</v>
      </c>
      <c r="Q36" s="712">
        <v>0</v>
      </c>
      <c r="R36" s="712">
        <v>0</v>
      </c>
      <c r="S36" s="712">
        <v>0</v>
      </c>
      <c r="T36" s="712">
        <v>0</v>
      </c>
      <c r="U36" s="712">
        <v>0</v>
      </c>
      <c r="V36" s="712">
        <v>0</v>
      </c>
      <c r="W36" s="712">
        <v>0</v>
      </c>
      <c r="X36" s="712">
        <v>0</v>
      </c>
      <c r="Y36" s="712">
        <v>0</v>
      </c>
      <c r="Z36" s="712">
        <v>0</v>
      </c>
      <c r="AA36" s="712">
        <v>0</v>
      </c>
      <c r="AB36" s="712">
        <v>0</v>
      </c>
      <c r="AC36" s="712">
        <v>0</v>
      </c>
      <c r="AD36" s="712">
        <v>0</v>
      </c>
      <c r="AE36" s="712">
        <v>0</v>
      </c>
      <c r="AF36" s="712">
        <v>0</v>
      </c>
      <c r="AG36" s="712">
        <v>0</v>
      </c>
      <c r="AH36" s="712">
        <v>0</v>
      </c>
      <c r="AI36" s="712">
        <v>0</v>
      </c>
      <c r="AJ36" s="712">
        <v>0</v>
      </c>
      <c r="AK36" s="712">
        <v>0</v>
      </c>
      <c r="AL36" s="712">
        <v>0</v>
      </c>
      <c r="AM36" s="712">
        <v>0</v>
      </c>
      <c r="AN36" s="712">
        <v>0</v>
      </c>
      <c r="AO36" s="712">
        <v>0</v>
      </c>
      <c r="AP36" s="712">
        <v>0</v>
      </c>
      <c r="AQ36" s="712">
        <v>0</v>
      </c>
      <c r="AR36" s="712">
        <v>0</v>
      </c>
      <c r="AS36" s="712">
        <v>0</v>
      </c>
      <c r="AT36">
        <v>0</v>
      </c>
      <c r="AU36" s="609"/>
      <c r="AV36" s="609"/>
      <c r="AW36" s="615"/>
      <c r="AX36" s="615"/>
      <c r="AY36" s="615"/>
      <c r="AZ36" s="615"/>
      <c r="BA36" s="615"/>
      <c r="BB36" s="615"/>
      <c r="BC36" s="615"/>
      <c r="BD36" s="615"/>
      <c r="BE36" s="615"/>
      <c r="BF36" s="615"/>
      <c r="BG36" s="615"/>
      <c r="BH36" s="615"/>
      <c r="BI36" s="615"/>
      <c r="BJ36" s="615"/>
      <c r="BK36" s="615"/>
      <c r="BL36" s="615"/>
      <c r="BM36" s="615"/>
      <c r="BN36" s="615"/>
      <c r="BO36" s="615"/>
      <c r="BP36" s="615"/>
      <c r="BQ36" s="615"/>
      <c r="BR36" s="615"/>
      <c r="BS36" s="615"/>
      <c r="BT36" s="615"/>
      <c r="BU36" s="615"/>
      <c r="BV36" s="615"/>
      <c r="BW36" s="615"/>
      <c r="BX36" s="607"/>
    </row>
    <row r="37" spans="1:76" s="612" customFormat="1" ht="25.5" x14ac:dyDescent="0.2">
      <c r="A37" s="839"/>
      <c r="B37" s="713" t="s">
        <v>888</v>
      </c>
      <c r="C37" s="713" t="s">
        <v>1863</v>
      </c>
      <c r="D37" s="712">
        <v>0</v>
      </c>
      <c r="E37" s="712">
        <v>0</v>
      </c>
      <c r="F37" s="712">
        <v>0</v>
      </c>
      <c r="G37" s="712">
        <v>0</v>
      </c>
      <c r="H37" s="712">
        <v>0</v>
      </c>
      <c r="I37" s="712">
        <v>0</v>
      </c>
      <c r="J37" s="712">
        <v>0</v>
      </c>
      <c r="K37" s="712">
        <v>0</v>
      </c>
      <c r="L37" s="712">
        <v>0</v>
      </c>
      <c r="M37" s="712">
        <v>94986</v>
      </c>
      <c r="N37" s="712">
        <v>0</v>
      </c>
      <c r="O37" s="712">
        <v>0</v>
      </c>
      <c r="P37" s="712">
        <v>0</v>
      </c>
      <c r="Q37" s="712">
        <v>0</v>
      </c>
      <c r="R37" s="712">
        <v>0</v>
      </c>
      <c r="S37" s="712">
        <v>0</v>
      </c>
      <c r="T37" s="712">
        <v>0</v>
      </c>
      <c r="U37" s="712">
        <v>0</v>
      </c>
      <c r="V37" s="712">
        <v>0</v>
      </c>
      <c r="W37" s="712">
        <v>0</v>
      </c>
      <c r="X37" s="712">
        <v>0</v>
      </c>
      <c r="Y37" s="712">
        <v>0</v>
      </c>
      <c r="Z37" s="712">
        <v>0</v>
      </c>
      <c r="AA37" s="712">
        <v>0</v>
      </c>
      <c r="AB37" s="712">
        <v>0</v>
      </c>
      <c r="AC37" s="712">
        <v>0</v>
      </c>
      <c r="AD37" s="712">
        <v>0</v>
      </c>
      <c r="AE37" s="712">
        <v>0</v>
      </c>
      <c r="AF37" s="712">
        <v>0</v>
      </c>
      <c r="AG37" s="712">
        <v>0</v>
      </c>
      <c r="AH37" s="712">
        <v>0</v>
      </c>
      <c r="AI37" s="712">
        <v>0</v>
      </c>
      <c r="AJ37" s="712">
        <v>0</v>
      </c>
      <c r="AK37" s="712">
        <v>0</v>
      </c>
      <c r="AL37" s="712">
        <v>0</v>
      </c>
      <c r="AM37" s="712">
        <v>0</v>
      </c>
      <c r="AN37" s="712">
        <v>0</v>
      </c>
      <c r="AO37" s="712">
        <v>0</v>
      </c>
      <c r="AP37" s="712">
        <v>0</v>
      </c>
      <c r="AQ37" s="712">
        <v>0</v>
      </c>
      <c r="AR37" s="712">
        <v>0</v>
      </c>
      <c r="AS37" s="712">
        <v>0</v>
      </c>
      <c r="AT37">
        <v>94839</v>
      </c>
      <c r="AU37" s="609"/>
      <c r="AV37" s="609"/>
      <c r="AW37" s="615"/>
      <c r="AX37" s="615"/>
      <c r="AY37" s="615"/>
      <c r="AZ37" s="615"/>
      <c r="BA37" s="615"/>
      <c r="BB37" s="615"/>
      <c r="BC37" s="615"/>
      <c r="BD37" s="615"/>
      <c r="BE37" s="615"/>
      <c r="BF37" s="615"/>
      <c r="BG37" s="615"/>
      <c r="BH37" s="615"/>
      <c r="BI37" s="615"/>
      <c r="BJ37" s="615"/>
      <c r="BK37" s="615"/>
      <c r="BL37" s="615"/>
      <c r="BM37" s="615"/>
      <c r="BN37" s="615"/>
      <c r="BO37" s="615"/>
      <c r="BP37" s="615"/>
      <c r="BQ37" s="615"/>
      <c r="BR37" s="615"/>
      <c r="BS37" s="615"/>
      <c r="BT37" s="615"/>
      <c r="BU37" s="615"/>
      <c r="BV37" s="615"/>
      <c r="BW37" s="615"/>
      <c r="BX37" s="607"/>
    </row>
    <row r="38" spans="1:76" s="612" customFormat="1" ht="25.5" x14ac:dyDescent="0.2">
      <c r="A38" s="839"/>
      <c r="B38" s="713" t="s">
        <v>3332</v>
      </c>
      <c r="C38" s="713" t="s">
        <v>1836</v>
      </c>
      <c r="D38" s="712">
        <v>0</v>
      </c>
      <c r="E38" s="712">
        <v>0</v>
      </c>
      <c r="F38" s="712">
        <v>0</v>
      </c>
      <c r="G38" s="712">
        <v>0</v>
      </c>
      <c r="H38" s="712">
        <v>0</v>
      </c>
      <c r="I38" s="712">
        <v>0</v>
      </c>
      <c r="J38" s="712">
        <v>0</v>
      </c>
      <c r="K38" s="712">
        <v>0</v>
      </c>
      <c r="L38" s="712">
        <v>0</v>
      </c>
      <c r="M38" s="712">
        <v>0</v>
      </c>
      <c r="N38" s="712">
        <v>0</v>
      </c>
      <c r="O38" s="712">
        <v>56227345</v>
      </c>
      <c r="P38" s="712">
        <v>0</v>
      </c>
      <c r="Q38" s="712">
        <v>0</v>
      </c>
      <c r="R38" s="712">
        <v>0</v>
      </c>
      <c r="S38" s="712">
        <v>0</v>
      </c>
      <c r="T38" s="712">
        <v>0</v>
      </c>
      <c r="U38" s="712">
        <v>0</v>
      </c>
      <c r="V38" s="712">
        <v>0</v>
      </c>
      <c r="W38" s="712">
        <v>0</v>
      </c>
      <c r="X38" s="712">
        <v>0</v>
      </c>
      <c r="Y38" s="712">
        <v>0</v>
      </c>
      <c r="Z38" s="712">
        <v>0</v>
      </c>
      <c r="AA38" s="712">
        <v>0</v>
      </c>
      <c r="AB38" s="712">
        <v>0</v>
      </c>
      <c r="AC38" s="712">
        <v>0</v>
      </c>
      <c r="AD38" s="712">
        <v>0</v>
      </c>
      <c r="AE38" s="712">
        <v>0</v>
      </c>
      <c r="AF38" s="712">
        <v>0</v>
      </c>
      <c r="AG38" s="712">
        <v>0</v>
      </c>
      <c r="AH38" s="712">
        <v>0</v>
      </c>
      <c r="AI38" s="712">
        <v>0</v>
      </c>
      <c r="AJ38" s="712">
        <v>0</v>
      </c>
      <c r="AK38" s="712">
        <v>0</v>
      </c>
      <c r="AL38" s="712">
        <v>0</v>
      </c>
      <c r="AM38" s="712">
        <v>0</v>
      </c>
      <c r="AN38" s="712">
        <v>0</v>
      </c>
      <c r="AO38" s="712">
        <v>0</v>
      </c>
      <c r="AP38" s="712">
        <v>0</v>
      </c>
      <c r="AQ38" s="712">
        <v>0</v>
      </c>
      <c r="AR38" s="712">
        <v>0</v>
      </c>
      <c r="AS38" s="712">
        <v>0</v>
      </c>
      <c r="AT38">
        <v>56227345</v>
      </c>
      <c r="AU38" s="609"/>
      <c r="AV38" s="609"/>
      <c r="AW38" s="615"/>
      <c r="AX38" s="615"/>
      <c r="AY38" s="615"/>
      <c r="AZ38" s="615"/>
      <c r="BA38" s="615"/>
      <c r="BB38" s="615"/>
      <c r="BC38" s="615"/>
      <c r="BD38" s="615"/>
      <c r="BE38" s="615"/>
      <c r="BF38" s="615"/>
      <c r="BG38" s="615"/>
      <c r="BH38" s="615"/>
      <c r="BI38" s="615"/>
      <c r="BJ38" s="615"/>
      <c r="BK38" s="615"/>
      <c r="BL38" s="615"/>
      <c r="BM38" s="615"/>
      <c r="BN38" s="615"/>
      <c r="BO38" s="615"/>
      <c r="BP38" s="615"/>
      <c r="BQ38" s="615"/>
      <c r="BR38" s="615"/>
      <c r="BS38" s="615"/>
      <c r="BT38" s="615"/>
      <c r="BU38" s="615"/>
      <c r="BV38" s="615"/>
      <c r="BW38" s="615"/>
      <c r="BX38" s="607"/>
    </row>
    <row r="39" spans="1:76" s="612" customFormat="1" ht="25.5" x14ac:dyDescent="0.2">
      <c r="A39" s="839"/>
      <c r="B39" s="713" t="s">
        <v>1222</v>
      </c>
      <c r="C39" s="713" t="s">
        <v>1807</v>
      </c>
      <c r="D39" s="712">
        <v>0</v>
      </c>
      <c r="E39" s="712">
        <v>0</v>
      </c>
      <c r="F39" s="712">
        <v>0</v>
      </c>
      <c r="G39" s="712">
        <v>0</v>
      </c>
      <c r="H39" s="712">
        <v>0</v>
      </c>
      <c r="I39" s="712">
        <v>0</v>
      </c>
      <c r="J39" s="712">
        <v>0</v>
      </c>
      <c r="K39" s="712">
        <v>0</v>
      </c>
      <c r="L39" s="712">
        <v>0</v>
      </c>
      <c r="M39" s="712">
        <v>0</v>
      </c>
      <c r="N39" s="712">
        <v>0</v>
      </c>
      <c r="O39" s="712">
        <v>0</v>
      </c>
      <c r="P39" s="712">
        <v>0</v>
      </c>
      <c r="Q39" s="712">
        <v>0</v>
      </c>
      <c r="R39" s="712">
        <v>0</v>
      </c>
      <c r="S39" s="712">
        <v>0</v>
      </c>
      <c r="T39" s="712">
        <v>0</v>
      </c>
      <c r="U39" s="712">
        <v>0</v>
      </c>
      <c r="V39" s="712">
        <v>0</v>
      </c>
      <c r="W39" s="712">
        <v>0</v>
      </c>
      <c r="X39" s="712">
        <v>0</v>
      </c>
      <c r="Y39" s="712">
        <v>0</v>
      </c>
      <c r="Z39" s="712">
        <v>0</v>
      </c>
      <c r="AA39" s="712">
        <v>0</v>
      </c>
      <c r="AB39" s="712">
        <v>0</v>
      </c>
      <c r="AC39" s="712">
        <v>0</v>
      </c>
      <c r="AD39" s="712">
        <v>0</v>
      </c>
      <c r="AE39" s="712">
        <v>0</v>
      </c>
      <c r="AF39" s="712">
        <v>0</v>
      </c>
      <c r="AG39" s="712">
        <v>0</v>
      </c>
      <c r="AH39" s="712">
        <v>0</v>
      </c>
      <c r="AI39" s="712">
        <v>0</v>
      </c>
      <c r="AJ39" s="712">
        <v>0</v>
      </c>
      <c r="AK39" s="712">
        <v>0</v>
      </c>
      <c r="AL39" s="712">
        <v>0</v>
      </c>
      <c r="AM39" s="712">
        <v>0</v>
      </c>
      <c r="AN39" s="712">
        <v>0</v>
      </c>
      <c r="AO39" s="712">
        <v>0</v>
      </c>
      <c r="AP39" s="712">
        <v>0</v>
      </c>
      <c r="AQ39" s="712">
        <v>0</v>
      </c>
      <c r="AR39" s="712">
        <v>0</v>
      </c>
      <c r="AS39" s="712">
        <v>0</v>
      </c>
      <c r="AT39">
        <v>0</v>
      </c>
      <c r="AU39" s="609"/>
      <c r="AV39" s="609"/>
      <c r="AW39" s="615"/>
      <c r="AX39" s="615"/>
      <c r="AY39" s="615"/>
      <c r="AZ39" s="615"/>
      <c r="BA39" s="615"/>
      <c r="BB39" s="615"/>
      <c r="BC39" s="615"/>
      <c r="BD39" s="615"/>
      <c r="BE39" s="615"/>
      <c r="BF39" s="615"/>
      <c r="BG39" s="615"/>
      <c r="BH39" s="615"/>
      <c r="BI39" s="615"/>
      <c r="BJ39" s="615"/>
      <c r="BK39" s="615"/>
      <c r="BL39" s="615"/>
      <c r="BM39" s="615"/>
      <c r="BN39" s="615"/>
      <c r="BO39" s="615"/>
      <c r="BP39" s="615"/>
      <c r="BQ39" s="615"/>
      <c r="BR39" s="615"/>
      <c r="BS39" s="615"/>
      <c r="BT39" s="615"/>
      <c r="BU39" s="615"/>
      <c r="BV39" s="615"/>
      <c r="BW39" s="615"/>
      <c r="BX39" s="607"/>
    </row>
    <row r="40" spans="1:76" s="612" customFormat="1" ht="25.5" x14ac:dyDescent="0.2">
      <c r="A40" s="839"/>
      <c r="B40" s="713" t="s">
        <v>2531</v>
      </c>
      <c r="C40" s="713" t="s">
        <v>1826</v>
      </c>
      <c r="D40" s="712">
        <v>0</v>
      </c>
      <c r="E40" s="712">
        <v>0</v>
      </c>
      <c r="F40" s="712">
        <v>0</v>
      </c>
      <c r="G40" s="712">
        <v>0</v>
      </c>
      <c r="H40" s="712">
        <v>0</v>
      </c>
      <c r="I40" s="712">
        <v>0</v>
      </c>
      <c r="J40" s="712">
        <v>0</v>
      </c>
      <c r="K40" s="712">
        <v>0</v>
      </c>
      <c r="L40" s="712">
        <v>0</v>
      </c>
      <c r="M40" s="712">
        <v>0</v>
      </c>
      <c r="N40" s="712">
        <v>0</v>
      </c>
      <c r="O40" s="712">
        <v>0</v>
      </c>
      <c r="P40" s="712">
        <v>0</v>
      </c>
      <c r="Q40" s="712">
        <v>0</v>
      </c>
      <c r="R40" s="712">
        <v>0</v>
      </c>
      <c r="S40" s="712">
        <v>0</v>
      </c>
      <c r="T40" s="712">
        <v>0</v>
      </c>
      <c r="U40" s="712">
        <v>0</v>
      </c>
      <c r="V40" s="712">
        <v>0</v>
      </c>
      <c r="W40" s="712">
        <v>0</v>
      </c>
      <c r="X40" s="712">
        <v>0</v>
      </c>
      <c r="Y40" s="712">
        <v>0</v>
      </c>
      <c r="Z40" s="712">
        <v>0</v>
      </c>
      <c r="AA40" s="712">
        <v>0</v>
      </c>
      <c r="AB40" s="712">
        <v>0</v>
      </c>
      <c r="AC40" s="712">
        <v>0</v>
      </c>
      <c r="AD40" s="712">
        <v>0</v>
      </c>
      <c r="AE40" s="712">
        <v>0</v>
      </c>
      <c r="AF40" s="712">
        <v>0</v>
      </c>
      <c r="AG40" s="712">
        <v>0</v>
      </c>
      <c r="AH40" s="712">
        <v>0</v>
      </c>
      <c r="AI40" s="712">
        <v>0</v>
      </c>
      <c r="AJ40" s="712">
        <v>0</v>
      </c>
      <c r="AK40" s="712">
        <v>0</v>
      </c>
      <c r="AL40" s="712">
        <v>0</v>
      </c>
      <c r="AM40" s="712">
        <v>0</v>
      </c>
      <c r="AN40" s="712">
        <v>0</v>
      </c>
      <c r="AO40" s="712">
        <v>0</v>
      </c>
      <c r="AP40" s="712">
        <v>0</v>
      </c>
      <c r="AQ40" s="712">
        <v>0</v>
      </c>
      <c r="AR40" s="712">
        <v>0</v>
      </c>
      <c r="AS40" s="712">
        <v>0</v>
      </c>
      <c r="AT40">
        <v>0</v>
      </c>
      <c r="AU40" s="609"/>
      <c r="AV40" s="609"/>
      <c r="AW40" s="615"/>
      <c r="AX40" s="615"/>
      <c r="AY40" s="615"/>
      <c r="AZ40" s="615"/>
      <c r="BA40" s="615"/>
      <c r="BB40" s="615"/>
      <c r="BC40" s="615"/>
      <c r="BD40" s="615"/>
      <c r="BE40" s="615"/>
      <c r="BF40" s="615"/>
      <c r="BG40" s="615"/>
      <c r="BH40" s="615"/>
      <c r="BI40" s="615"/>
      <c r="BJ40" s="615"/>
      <c r="BK40" s="615"/>
      <c r="BL40" s="615"/>
      <c r="BM40" s="615"/>
      <c r="BN40" s="615"/>
      <c r="BO40" s="615"/>
      <c r="BP40" s="615"/>
      <c r="BQ40" s="615"/>
      <c r="BR40" s="615"/>
      <c r="BS40" s="615"/>
      <c r="BT40" s="615"/>
      <c r="BU40" s="615"/>
      <c r="BV40" s="615"/>
      <c r="BW40" s="615"/>
      <c r="BX40" s="607"/>
    </row>
    <row r="41" spans="1:76" s="612" customFormat="1" ht="25.5" x14ac:dyDescent="0.2">
      <c r="A41" s="839"/>
      <c r="B41" s="713" t="s">
        <v>981</v>
      </c>
      <c r="C41" s="713" t="s">
        <v>1884</v>
      </c>
      <c r="D41" s="712">
        <v>0</v>
      </c>
      <c r="E41" s="712">
        <v>0</v>
      </c>
      <c r="F41" s="712">
        <v>0</v>
      </c>
      <c r="G41" s="712">
        <v>0</v>
      </c>
      <c r="H41" s="712">
        <v>0</v>
      </c>
      <c r="I41" s="712">
        <v>0</v>
      </c>
      <c r="J41" s="712">
        <v>0</v>
      </c>
      <c r="K41" s="712">
        <v>0</v>
      </c>
      <c r="L41" s="712">
        <v>0</v>
      </c>
      <c r="M41" s="712">
        <v>0</v>
      </c>
      <c r="N41" s="712">
        <v>0</v>
      </c>
      <c r="O41" s="712">
        <v>0</v>
      </c>
      <c r="P41" s="712">
        <v>0</v>
      </c>
      <c r="Q41" s="712">
        <v>0</v>
      </c>
      <c r="R41" s="712">
        <v>0</v>
      </c>
      <c r="S41" s="712">
        <v>0</v>
      </c>
      <c r="T41" s="712">
        <v>0</v>
      </c>
      <c r="U41" s="712">
        <v>0</v>
      </c>
      <c r="V41" s="712">
        <v>0</v>
      </c>
      <c r="W41" s="712">
        <v>0</v>
      </c>
      <c r="X41" s="712">
        <v>0</v>
      </c>
      <c r="Y41" s="712">
        <v>0</v>
      </c>
      <c r="Z41" s="712">
        <v>0</v>
      </c>
      <c r="AA41" s="712">
        <v>0</v>
      </c>
      <c r="AB41" s="712">
        <v>0</v>
      </c>
      <c r="AC41" s="712">
        <v>0</v>
      </c>
      <c r="AD41" s="712">
        <v>0</v>
      </c>
      <c r="AE41" s="712">
        <v>0</v>
      </c>
      <c r="AF41" s="712">
        <v>0</v>
      </c>
      <c r="AG41" s="712">
        <v>0</v>
      </c>
      <c r="AH41" s="712">
        <v>0</v>
      </c>
      <c r="AI41" s="712">
        <v>0</v>
      </c>
      <c r="AJ41" s="712">
        <v>0</v>
      </c>
      <c r="AK41" s="712">
        <v>0</v>
      </c>
      <c r="AL41" s="712">
        <v>0</v>
      </c>
      <c r="AM41" s="712">
        <v>0</v>
      </c>
      <c r="AN41" s="712">
        <v>0</v>
      </c>
      <c r="AO41" s="712">
        <v>0</v>
      </c>
      <c r="AP41" s="712">
        <v>0</v>
      </c>
      <c r="AQ41" s="712">
        <v>0</v>
      </c>
      <c r="AR41" s="712">
        <v>0</v>
      </c>
      <c r="AS41" s="712">
        <v>0</v>
      </c>
      <c r="AT41">
        <v>0</v>
      </c>
      <c r="AU41" s="609"/>
      <c r="AV41" s="609"/>
      <c r="AW41" s="615"/>
      <c r="AX41" s="615"/>
      <c r="AY41" s="615"/>
      <c r="AZ41" s="615"/>
      <c r="BA41" s="615"/>
      <c r="BB41" s="615"/>
      <c r="BC41" s="615"/>
      <c r="BD41" s="615"/>
      <c r="BE41" s="615"/>
      <c r="BF41" s="615"/>
      <c r="BG41" s="615"/>
      <c r="BH41" s="615"/>
      <c r="BI41" s="615"/>
      <c r="BJ41" s="615"/>
      <c r="BK41" s="615"/>
      <c r="BL41" s="615"/>
      <c r="BM41" s="615"/>
      <c r="BN41" s="615"/>
      <c r="BO41" s="615"/>
      <c r="BP41" s="615"/>
      <c r="BQ41" s="615"/>
      <c r="BR41" s="615"/>
      <c r="BS41" s="615"/>
      <c r="BT41" s="615"/>
      <c r="BU41" s="615"/>
      <c r="BV41" s="615"/>
      <c r="BW41" s="615"/>
      <c r="BX41" s="607"/>
    </row>
    <row r="42" spans="1:76" s="612" customFormat="1" ht="25.5" x14ac:dyDescent="0.2">
      <c r="A42" s="839"/>
      <c r="B42" s="713" t="s">
        <v>878</v>
      </c>
      <c r="C42" s="713" t="s">
        <v>1820</v>
      </c>
      <c r="D42" s="712">
        <v>0</v>
      </c>
      <c r="E42" s="712">
        <v>0</v>
      </c>
      <c r="F42" s="712">
        <v>0</v>
      </c>
      <c r="G42" s="712">
        <v>0</v>
      </c>
      <c r="H42" s="712">
        <v>0</v>
      </c>
      <c r="I42" s="712">
        <v>0</v>
      </c>
      <c r="J42" s="712">
        <v>0</v>
      </c>
      <c r="K42" s="712">
        <v>0</v>
      </c>
      <c r="L42" s="712">
        <v>0</v>
      </c>
      <c r="M42" s="712">
        <v>105226</v>
      </c>
      <c r="N42" s="712">
        <v>0</v>
      </c>
      <c r="O42" s="712">
        <v>0</v>
      </c>
      <c r="P42" s="712">
        <v>0</v>
      </c>
      <c r="Q42" s="712">
        <v>0</v>
      </c>
      <c r="R42" s="712">
        <v>0</v>
      </c>
      <c r="S42" s="712">
        <v>0</v>
      </c>
      <c r="T42" s="712">
        <v>0</v>
      </c>
      <c r="U42" s="712">
        <v>0</v>
      </c>
      <c r="V42" s="712">
        <v>0</v>
      </c>
      <c r="W42" s="712">
        <v>0</v>
      </c>
      <c r="X42" s="712">
        <v>0</v>
      </c>
      <c r="Y42" s="712">
        <v>0</v>
      </c>
      <c r="Z42" s="712">
        <v>0</v>
      </c>
      <c r="AA42" s="712">
        <v>0</v>
      </c>
      <c r="AB42" s="712">
        <v>0</v>
      </c>
      <c r="AC42" s="712">
        <v>0</v>
      </c>
      <c r="AD42" s="712">
        <v>0</v>
      </c>
      <c r="AE42" s="712">
        <v>0</v>
      </c>
      <c r="AF42" s="712">
        <v>0</v>
      </c>
      <c r="AG42" s="712">
        <v>0</v>
      </c>
      <c r="AH42" s="712">
        <v>0</v>
      </c>
      <c r="AI42" s="712">
        <v>0</v>
      </c>
      <c r="AJ42" s="712">
        <v>0</v>
      </c>
      <c r="AK42" s="712">
        <v>0</v>
      </c>
      <c r="AL42" s="712">
        <v>0</v>
      </c>
      <c r="AM42" s="712">
        <v>0</v>
      </c>
      <c r="AN42" s="712">
        <v>0</v>
      </c>
      <c r="AO42" s="712">
        <v>0</v>
      </c>
      <c r="AP42" s="712">
        <v>0</v>
      </c>
      <c r="AQ42" s="712">
        <v>0</v>
      </c>
      <c r="AR42" s="712">
        <v>0</v>
      </c>
      <c r="AS42" s="712">
        <v>0</v>
      </c>
      <c r="AT42">
        <v>105226</v>
      </c>
      <c r="AU42" s="609"/>
      <c r="AV42" s="609"/>
      <c r="AW42" s="615"/>
      <c r="AX42" s="615"/>
      <c r="AY42" s="615"/>
      <c r="AZ42" s="615"/>
      <c r="BA42" s="615"/>
      <c r="BB42" s="615"/>
      <c r="BC42" s="615"/>
      <c r="BD42" s="615"/>
      <c r="BE42" s="615"/>
      <c r="BF42" s="615"/>
      <c r="BG42" s="615"/>
      <c r="BH42" s="615"/>
      <c r="BI42" s="615"/>
      <c r="BJ42" s="615"/>
      <c r="BK42" s="615"/>
      <c r="BL42" s="615"/>
      <c r="BM42" s="615"/>
      <c r="BN42" s="615"/>
      <c r="BO42" s="615"/>
      <c r="BP42" s="615"/>
      <c r="BQ42" s="615"/>
      <c r="BR42" s="615"/>
      <c r="BS42" s="615"/>
      <c r="BT42" s="615"/>
      <c r="BU42" s="615"/>
      <c r="BV42" s="615"/>
      <c r="BW42" s="615"/>
      <c r="BX42" s="607"/>
    </row>
    <row r="43" spans="1:76" s="612" customFormat="1" ht="25.5" x14ac:dyDescent="0.2">
      <c r="A43" s="839"/>
      <c r="B43" s="713" t="s">
        <v>865</v>
      </c>
      <c r="C43" s="713" t="s">
        <v>1780</v>
      </c>
      <c r="D43" s="712">
        <v>0</v>
      </c>
      <c r="E43" s="712">
        <v>0</v>
      </c>
      <c r="F43" s="712">
        <v>0</v>
      </c>
      <c r="G43" s="712">
        <v>0</v>
      </c>
      <c r="H43" s="712">
        <v>0</v>
      </c>
      <c r="I43" s="712">
        <v>0</v>
      </c>
      <c r="J43" s="712">
        <v>0</v>
      </c>
      <c r="K43" s="712">
        <v>0</v>
      </c>
      <c r="L43" s="712">
        <v>0</v>
      </c>
      <c r="M43" s="712">
        <v>0</v>
      </c>
      <c r="N43" s="712">
        <v>0</v>
      </c>
      <c r="O43" s="712">
        <v>0</v>
      </c>
      <c r="P43" s="712">
        <v>0</v>
      </c>
      <c r="Q43" s="712">
        <v>0</v>
      </c>
      <c r="R43" s="712">
        <v>0</v>
      </c>
      <c r="S43" s="712">
        <v>0</v>
      </c>
      <c r="T43" s="712">
        <v>0</v>
      </c>
      <c r="U43" s="712">
        <v>0</v>
      </c>
      <c r="V43" s="712">
        <v>0</v>
      </c>
      <c r="W43" s="712">
        <v>0</v>
      </c>
      <c r="X43" s="712">
        <v>0</v>
      </c>
      <c r="Y43" s="712">
        <v>0</v>
      </c>
      <c r="Z43" s="712">
        <v>0</v>
      </c>
      <c r="AA43" s="712">
        <v>0</v>
      </c>
      <c r="AB43" s="712">
        <v>0</v>
      </c>
      <c r="AC43" s="712">
        <v>0</v>
      </c>
      <c r="AD43" s="712">
        <v>0</v>
      </c>
      <c r="AE43" s="712">
        <v>0</v>
      </c>
      <c r="AF43" s="712">
        <v>0</v>
      </c>
      <c r="AG43" s="712">
        <v>0</v>
      </c>
      <c r="AH43" s="712">
        <v>0</v>
      </c>
      <c r="AI43" s="712">
        <v>0</v>
      </c>
      <c r="AJ43" s="712">
        <v>0</v>
      </c>
      <c r="AK43" s="712">
        <v>0</v>
      </c>
      <c r="AL43" s="712">
        <v>0</v>
      </c>
      <c r="AM43" s="712">
        <v>0</v>
      </c>
      <c r="AN43" s="712">
        <v>0</v>
      </c>
      <c r="AO43" s="712">
        <v>0</v>
      </c>
      <c r="AP43" s="712">
        <v>0</v>
      </c>
      <c r="AQ43" s="712">
        <v>0</v>
      </c>
      <c r="AR43" s="712">
        <v>0</v>
      </c>
      <c r="AS43" s="712">
        <v>0</v>
      </c>
      <c r="AT43">
        <v>0</v>
      </c>
      <c r="AU43" s="609"/>
      <c r="AV43" s="609"/>
      <c r="AW43" s="615"/>
      <c r="AX43" s="615"/>
      <c r="AY43" s="615"/>
      <c r="AZ43" s="615"/>
      <c r="BA43" s="615"/>
      <c r="BB43" s="615"/>
      <c r="BC43" s="615"/>
      <c r="BD43" s="615"/>
      <c r="BE43" s="615"/>
      <c r="BF43" s="615"/>
      <c r="BG43" s="615"/>
      <c r="BH43" s="615"/>
      <c r="BI43" s="615"/>
      <c r="BJ43" s="615"/>
      <c r="BK43" s="615"/>
      <c r="BL43" s="615"/>
      <c r="BM43" s="615"/>
      <c r="BN43" s="615"/>
      <c r="BO43" s="615"/>
      <c r="BP43" s="615"/>
      <c r="BQ43" s="615"/>
      <c r="BR43" s="615"/>
      <c r="BS43" s="615"/>
      <c r="BT43" s="615"/>
      <c r="BU43" s="615"/>
      <c r="BV43" s="615"/>
      <c r="BW43" s="615"/>
      <c r="BX43" s="607"/>
    </row>
    <row r="44" spans="1:76" s="612" customFormat="1" ht="25.5" x14ac:dyDescent="0.2">
      <c r="A44" s="839"/>
      <c r="B44" s="713" t="s">
        <v>877</v>
      </c>
      <c r="C44" s="713" t="s">
        <v>1814</v>
      </c>
      <c r="D44" s="712">
        <v>0</v>
      </c>
      <c r="E44" s="712">
        <v>0</v>
      </c>
      <c r="F44" s="712">
        <v>0</v>
      </c>
      <c r="G44" s="712">
        <v>0</v>
      </c>
      <c r="H44" s="712">
        <v>0</v>
      </c>
      <c r="I44" s="712">
        <v>0</v>
      </c>
      <c r="J44" s="712">
        <v>0</v>
      </c>
      <c r="K44" s="712">
        <v>767999</v>
      </c>
      <c r="L44" s="712">
        <v>0</v>
      </c>
      <c r="M44" s="712">
        <v>103264</v>
      </c>
      <c r="N44" s="712">
        <v>0</v>
      </c>
      <c r="O44" s="712">
        <v>0</v>
      </c>
      <c r="P44" s="712">
        <v>0</v>
      </c>
      <c r="Q44" s="712">
        <v>0</v>
      </c>
      <c r="R44" s="712">
        <v>0</v>
      </c>
      <c r="S44" s="712">
        <v>0</v>
      </c>
      <c r="T44" s="712">
        <v>0</v>
      </c>
      <c r="U44" s="712">
        <v>0</v>
      </c>
      <c r="V44" s="712">
        <v>0</v>
      </c>
      <c r="W44" s="712">
        <v>0</v>
      </c>
      <c r="X44" s="712">
        <v>0</v>
      </c>
      <c r="Y44" s="712">
        <v>0</v>
      </c>
      <c r="Z44" s="712">
        <v>0</v>
      </c>
      <c r="AA44" s="712">
        <v>0</v>
      </c>
      <c r="AB44" s="712">
        <v>0</v>
      </c>
      <c r="AC44" s="712">
        <v>0</v>
      </c>
      <c r="AD44" s="712">
        <v>0</v>
      </c>
      <c r="AE44" s="712">
        <v>0</v>
      </c>
      <c r="AF44" s="712">
        <v>0</v>
      </c>
      <c r="AG44" s="712">
        <v>0</v>
      </c>
      <c r="AH44" s="712">
        <v>0</v>
      </c>
      <c r="AI44" s="712">
        <v>0</v>
      </c>
      <c r="AJ44" s="712">
        <v>0</v>
      </c>
      <c r="AK44" s="712">
        <v>0</v>
      </c>
      <c r="AL44" s="712">
        <v>0</v>
      </c>
      <c r="AM44" s="712">
        <v>0</v>
      </c>
      <c r="AN44" s="712">
        <v>0</v>
      </c>
      <c r="AO44" s="712">
        <v>0</v>
      </c>
      <c r="AP44" s="712">
        <v>0</v>
      </c>
      <c r="AQ44" s="712">
        <v>0</v>
      </c>
      <c r="AR44" s="712">
        <v>0</v>
      </c>
      <c r="AS44" s="712">
        <v>0</v>
      </c>
      <c r="AT44">
        <v>871263</v>
      </c>
      <c r="AU44" s="609"/>
      <c r="AV44" s="609"/>
      <c r="AW44" s="615"/>
      <c r="AX44" s="615"/>
      <c r="AY44" s="615"/>
      <c r="AZ44" s="615"/>
      <c r="BA44" s="615"/>
      <c r="BB44" s="615"/>
      <c r="BC44" s="615"/>
      <c r="BD44" s="615"/>
      <c r="BE44" s="615"/>
      <c r="BF44" s="615"/>
      <c r="BG44" s="615"/>
      <c r="BH44" s="615"/>
      <c r="BI44" s="615"/>
      <c r="BJ44" s="615"/>
      <c r="BK44" s="615"/>
      <c r="BL44" s="615"/>
      <c r="BM44" s="615"/>
      <c r="BN44" s="615"/>
      <c r="BO44" s="615"/>
      <c r="BP44" s="615"/>
      <c r="BQ44" s="615"/>
      <c r="BR44" s="615"/>
      <c r="BS44" s="615"/>
      <c r="BT44" s="615"/>
      <c r="BU44" s="615"/>
      <c r="BV44" s="615"/>
      <c r="BW44" s="615"/>
      <c r="BX44" s="607"/>
    </row>
    <row r="45" spans="1:76" s="612" customFormat="1" ht="25.5" x14ac:dyDescent="0.2">
      <c r="A45" s="839"/>
      <c r="B45" s="713" t="s">
        <v>1431</v>
      </c>
      <c r="C45" s="713" t="s">
        <v>1825</v>
      </c>
      <c r="D45" s="712">
        <v>0</v>
      </c>
      <c r="E45" s="712">
        <v>0</v>
      </c>
      <c r="F45" s="712">
        <v>0</v>
      </c>
      <c r="G45" s="712">
        <v>0</v>
      </c>
      <c r="H45" s="712">
        <v>0</v>
      </c>
      <c r="I45" s="712">
        <v>0</v>
      </c>
      <c r="J45" s="712">
        <v>0</v>
      </c>
      <c r="K45" s="712">
        <v>0</v>
      </c>
      <c r="L45" s="712">
        <v>0</v>
      </c>
      <c r="M45" s="712">
        <v>0</v>
      </c>
      <c r="N45" s="712">
        <v>0</v>
      </c>
      <c r="O45" s="712">
        <v>0</v>
      </c>
      <c r="P45" s="712">
        <v>0</v>
      </c>
      <c r="Q45" s="712">
        <v>0</v>
      </c>
      <c r="R45" s="712">
        <v>0</v>
      </c>
      <c r="S45" s="712">
        <v>0</v>
      </c>
      <c r="T45" s="712">
        <v>0</v>
      </c>
      <c r="U45" s="712">
        <v>0</v>
      </c>
      <c r="V45" s="712">
        <v>0</v>
      </c>
      <c r="W45" s="712">
        <v>0</v>
      </c>
      <c r="X45" s="712">
        <v>0</v>
      </c>
      <c r="Y45" s="712">
        <v>0</v>
      </c>
      <c r="Z45" s="712">
        <v>0</v>
      </c>
      <c r="AA45" s="712">
        <v>0</v>
      </c>
      <c r="AB45" s="712">
        <v>0</v>
      </c>
      <c r="AC45" s="712">
        <v>0</v>
      </c>
      <c r="AD45" s="712">
        <v>0</v>
      </c>
      <c r="AE45" s="712">
        <v>0</v>
      </c>
      <c r="AF45" s="712">
        <v>0</v>
      </c>
      <c r="AG45" s="712">
        <v>0</v>
      </c>
      <c r="AH45" s="712">
        <v>0</v>
      </c>
      <c r="AI45" s="712">
        <v>0</v>
      </c>
      <c r="AJ45" s="712">
        <v>0</v>
      </c>
      <c r="AK45" s="712">
        <v>0</v>
      </c>
      <c r="AL45" s="712">
        <v>0</v>
      </c>
      <c r="AM45" s="712">
        <v>0</v>
      </c>
      <c r="AN45" s="712">
        <v>0</v>
      </c>
      <c r="AO45" s="712">
        <v>0</v>
      </c>
      <c r="AP45" s="712">
        <v>0</v>
      </c>
      <c r="AQ45" s="712">
        <v>0</v>
      </c>
      <c r="AR45" s="712">
        <v>0</v>
      </c>
      <c r="AS45" s="712">
        <v>0</v>
      </c>
      <c r="AT45">
        <v>0</v>
      </c>
      <c r="AU45" s="609"/>
      <c r="AV45" s="609"/>
      <c r="AW45" s="615"/>
      <c r="AX45" s="615"/>
      <c r="AY45" s="615"/>
      <c r="AZ45" s="615"/>
      <c r="BA45" s="615"/>
      <c r="BB45" s="615"/>
      <c r="BC45" s="615"/>
      <c r="BD45" s="615"/>
      <c r="BE45" s="615"/>
      <c r="BF45" s="615"/>
      <c r="BG45" s="615"/>
      <c r="BH45" s="615"/>
      <c r="BI45" s="615"/>
      <c r="BJ45" s="615"/>
      <c r="BK45" s="615"/>
      <c r="BL45" s="615"/>
      <c r="BM45" s="615"/>
      <c r="BN45" s="615"/>
      <c r="BO45" s="615"/>
      <c r="BP45" s="615"/>
      <c r="BQ45" s="615"/>
      <c r="BR45" s="615"/>
      <c r="BS45" s="615"/>
      <c r="BT45" s="615"/>
      <c r="BU45" s="615"/>
      <c r="BV45" s="615"/>
      <c r="BW45" s="615"/>
      <c r="BX45" s="607"/>
    </row>
    <row r="46" spans="1:76" s="612" customFormat="1" ht="25.5" x14ac:dyDescent="0.2">
      <c r="A46" s="839"/>
      <c r="B46" s="713" t="s">
        <v>1707</v>
      </c>
      <c r="C46" s="713" t="s">
        <v>1869</v>
      </c>
      <c r="D46" s="712">
        <v>0</v>
      </c>
      <c r="E46" s="712">
        <v>0</v>
      </c>
      <c r="F46" s="712">
        <v>0</v>
      </c>
      <c r="G46" s="712">
        <v>0</v>
      </c>
      <c r="H46" s="712">
        <v>0</v>
      </c>
      <c r="I46" s="712">
        <v>0</v>
      </c>
      <c r="J46" s="712">
        <v>0</v>
      </c>
      <c r="K46" s="712">
        <v>0</v>
      </c>
      <c r="L46" s="712">
        <v>0</v>
      </c>
      <c r="M46" s="712">
        <v>0</v>
      </c>
      <c r="N46" s="712">
        <v>0</v>
      </c>
      <c r="O46" s="712">
        <v>0</v>
      </c>
      <c r="P46" s="712">
        <v>0</v>
      </c>
      <c r="Q46" s="712">
        <v>0</v>
      </c>
      <c r="R46" s="712">
        <v>0</v>
      </c>
      <c r="S46" s="712">
        <v>0</v>
      </c>
      <c r="T46" s="712">
        <v>0</v>
      </c>
      <c r="U46" s="712">
        <v>0</v>
      </c>
      <c r="V46" s="712">
        <v>0</v>
      </c>
      <c r="W46" s="712">
        <v>0</v>
      </c>
      <c r="X46" s="712">
        <v>0</v>
      </c>
      <c r="Y46" s="712">
        <v>0</v>
      </c>
      <c r="Z46" s="712">
        <v>0</v>
      </c>
      <c r="AA46" s="712">
        <v>0</v>
      </c>
      <c r="AB46" s="712">
        <v>0</v>
      </c>
      <c r="AC46" s="712">
        <v>0</v>
      </c>
      <c r="AD46" s="712">
        <v>0</v>
      </c>
      <c r="AE46" s="712">
        <v>0</v>
      </c>
      <c r="AF46" s="712">
        <v>0</v>
      </c>
      <c r="AG46" s="712">
        <v>0</v>
      </c>
      <c r="AH46" s="712">
        <v>0</v>
      </c>
      <c r="AI46" s="712">
        <v>0</v>
      </c>
      <c r="AJ46" s="712">
        <v>0</v>
      </c>
      <c r="AK46" s="712">
        <v>0</v>
      </c>
      <c r="AL46" s="712">
        <v>0</v>
      </c>
      <c r="AM46" s="712">
        <v>0</v>
      </c>
      <c r="AN46" s="712">
        <v>0</v>
      </c>
      <c r="AO46" s="712">
        <v>0</v>
      </c>
      <c r="AP46" s="712">
        <v>0</v>
      </c>
      <c r="AQ46" s="712">
        <v>0</v>
      </c>
      <c r="AR46" s="712">
        <v>0</v>
      </c>
      <c r="AS46" s="712">
        <v>0</v>
      </c>
      <c r="AT46">
        <v>0</v>
      </c>
      <c r="AU46" s="609"/>
      <c r="AV46" s="609"/>
      <c r="AW46" s="615"/>
      <c r="AX46" s="615"/>
      <c r="AY46" s="615"/>
      <c r="AZ46" s="615"/>
      <c r="BA46" s="615"/>
      <c r="BB46" s="615"/>
      <c r="BC46" s="615"/>
      <c r="BD46" s="615"/>
      <c r="BE46" s="615"/>
      <c r="BF46" s="615"/>
      <c r="BG46" s="615"/>
      <c r="BH46" s="615"/>
      <c r="BI46" s="615"/>
      <c r="BJ46" s="615"/>
      <c r="BK46" s="615"/>
      <c r="BL46" s="615"/>
      <c r="BM46" s="615"/>
      <c r="BN46" s="615"/>
      <c r="BO46" s="615"/>
      <c r="BP46" s="615"/>
      <c r="BQ46" s="615"/>
      <c r="BR46" s="615"/>
      <c r="BS46" s="615"/>
      <c r="BT46" s="615"/>
      <c r="BU46" s="615"/>
      <c r="BV46" s="615"/>
      <c r="BW46" s="615"/>
      <c r="BX46" s="607"/>
    </row>
    <row r="47" spans="1:76" s="612" customFormat="1" ht="25.5" x14ac:dyDescent="0.2">
      <c r="A47" s="839"/>
      <c r="B47" s="713" t="s">
        <v>1223</v>
      </c>
      <c r="C47" s="713" t="s">
        <v>1830</v>
      </c>
      <c r="D47" s="712">
        <v>0</v>
      </c>
      <c r="E47" s="712">
        <v>0</v>
      </c>
      <c r="F47" s="712">
        <v>0</v>
      </c>
      <c r="G47" s="712">
        <v>0</v>
      </c>
      <c r="H47" s="712">
        <v>0</v>
      </c>
      <c r="I47" s="712">
        <v>0</v>
      </c>
      <c r="J47" s="712">
        <v>0</v>
      </c>
      <c r="K47" s="712">
        <v>0</v>
      </c>
      <c r="L47" s="712">
        <v>0</v>
      </c>
      <c r="M47" s="712">
        <v>674667</v>
      </c>
      <c r="N47" s="712">
        <v>0</v>
      </c>
      <c r="O47" s="712">
        <v>0</v>
      </c>
      <c r="P47" s="712">
        <v>0</v>
      </c>
      <c r="Q47" s="712">
        <v>0</v>
      </c>
      <c r="R47" s="712">
        <v>0</v>
      </c>
      <c r="S47" s="712">
        <v>0</v>
      </c>
      <c r="T47" s="712">
        <v>0</v>
      </c>
      <c r="U47" s="712">
        <v>0</v>
      </c>
      <c r="V47" s="712">
        <v>0</v>
      </c>
      <c r="W47" s="712">
        <v>0</v>
      </c>
      <c r="X47" s="712">
        <v>0</v>
      </c>
      <c r="Y47" s="712">
        <v>0</v>
      </c>
      <c r="Z47" s="712">
        <v>0</v>
      </c>
      <c r="AA47" s="712">
        <v>0</v>
      </c>
      <c r="AB47" s="712">
        <v>0</v>
      </c>
      <c r="AC47" s="712">
        <v>0</v>
      </c>
      <c r="AD47" s="712">
        <v>0</v>
      </c>
      <c r="AE47" s="712">
        <v>0</v>
      </c>
      <c r="AF47" s="712">
        <v>0</v>
      </c>
      <c r="AG47" s="712">
        <v>0</v>
      </c>
      <c r="AH47" s="712">
        <v>0</v>
      </c>
      <c r="AI47" s="712">
        <v>0</v>
      </c>
      <c r="AJ47" s="712">
        <v>0</v>
      </c>
      <c r="AK47" s="712">
        <v>0</v>
      </c>
      <c r="AL47" s="712">
        <v>0</v>
      </c>
      <c r="AM47" s="712">
        <v>0</v>
      </c>
      <c r="AN47" s="712">
        <v>0</v>
      </c>
      <c r="AO47" s="712">
        <v>0</v>
      </c>
      <c r="AP47" s="712">
        <v>0</v>
      </c>
      <c r="AQ47" s="712">
        <v>0</v>
      </c>
      <c r="AR47" s="712">
        <v>0</v>
      </c>
      <c r="AS47" s="712">
        <v>0</v>
      </c>
      <c r="AT47">
        <v>674667</v>
      </c>
      <c r="AU47" s="609"/>
      <c r="AV47" s="609"/>
      <c r="AW47" s="615"/>
      <c r="AX47" s="615"/>
      <c r="AY47" s="615"/>
      <c r="AZ47" s="615"/>
      <c r="BA47" s="615"/>
      <c r="BB47" s="615"/>
      <c r="BC47" s="615"/>
      <c r="BD47" s="615"/>
      <c r="BE47" s="615"/>
      <c r="BF47" s="615"/>
      <c r="BG47" s="615"/>
      <c r="BH47" s="615"/>
      <c r="BI47" s="615"/>
      <c r="BJ47" s="615"/>
      <c r="BK47" s="615"/>
      <c r="BL47" s="615"/>
      <c r="BM47" s="615"/>
      <c r="BN47" s="615"/>
      <c r="BO47" s="615"/>
      <c r="BP47" s="615"/>
      <c r="BQ47" s="615"/>
      <c r="BR47" s="615"/>
      <c r="BS47" s="615"/>
      <c r="BT47" s="615"/>
      <c r="BU47" s="615"/>
      <c r="BV47" s="615"/>
      <c r="BW47" s="615"/>
      <c r="BX47" s="607"/>
    </row>
    <row r="48" spans="1:76" s="612" customFormat="1" ht="12.75" x14ac:dyDescent="0.2">
      <c r="A48" s="839"/>
      <c r="B48" s="713" t="s">
        <v>1624</v>
      </c>
      <c r="C48" s="713" t="s">
        <v>1867</v>
      </c>
      <c r="D48" s="712">
        <v>0</v>
      </c>
      <c r="E48" s="712">
        <v>0</v>
      </c>
      <c r="F48" s="712">
        <v>0</v>
      </c>
      <c r="G48" s="712">
        <v>0</v>
      </c>
      <c r="H48" s="712">
        <v>0</v>
      </c>
      <c r="I48" s="712">
        <v>0</v>
      </c>
      <c r="J48" s="712">
        <v>0</v>
      </c>
      <c r="K48" s="712">
        <v>0</v>
      </c>
      <c r="L48" s="712">
        <v>0</v>
      </c>
      <c r="M48" s="712">
        <v>0</v>
      </c>
      <c r="N48" s="712">
        <v>0</v>
      </c>
      <c r="O48" s="712">
        <v>0</v>
      </c>
      <c r="P48" s="712">
        <v>0</v>
      </c>
      <c r="Q48" s="712">
        <v>0</v>
      </c>
      <c r="R48" s="712">
        <v>0</v>
      </c>
      <c r="S48" s="712">
        <v>0</v>
      </c>
      <c r="T48" s="712">
        <v>0</v>
      </c>
      <c r="U48" s="712">
        <v>0</v>
      </c>
      <c r="V48" s="712">
        <v>0</v>
      </c>
      <c r="W48" s="712">
        <v>0</v>
      </c>
      <c r="X48" s="712">
        <v>0</v>
      </c>
      <c r="Y48" s="712">
        <v>0</v>
      </c>
      <c r="Z48" s="712">
        <v>0</v>
      </c>
      <c r="AA48" s="712">
        <v>0</v>
      </c>
      <c r="AB48" s="712">
        <v>0</v>
      </c>
      <c r="AC48" s="712">
        <v>0</v>
      </c>
      <c r="AD48" s="712">
        <v>0</v>
      </c>
      <c r="AE48" s="712">
        <v>0</v>
      </c>
      <c r="AF48" s="712">
        <v>0</v>
      </c>
      <c r="AG48" s="712">
        <v>0</v>
      </c>
      <c r="AH48" s="712">
        <v>0</v>
      </c>
      <c r="AI48" s="712">
        <v>0</v>
      </c>
      <c r="AJ48" s="712">
        <v>0</v>
      </c>
      <c r="AK48" s="712">
        <v>0</v>
      </c>
      <c r="AL48" s="712">
        <v>0</v>
      </c>
      <c r="AM48" s="712">
        <v>0</v>
      </c>
      <c r="AN48" s="712">
        <v>0</v>
      </c>
      <c r="AO48" s="712">
        <v>0</v>
      </c>
      <c r="AP48" s="712">
        <v>0</v>
      </c>
      <c r="AQ48" s="712">
        <v>0</v>
      </c>
      <c r="AR48" s="712">
        <v>0</v>
      </c>
      <c r="AS48" s="712">
        <v>0</v>
      </c>
      <c r="AT48">
        <v>0</v>
      </c>
      <c r="AU48" s="609"/>
      <c r="AV48" s="609"/>
      <c r="AW48" s="615"/>
      <c r="AX48" s="615"/>
      <c r="AY48" s="615"/>
      <c r="AZ48" s="615"/>
      <c r="BA48" s="615"/>
      <c r="BB48" s="615"/>
      <c r="BC48" s="615"/>
      <c r="BD48" s="615"/>
      <c r="BE48" s="615"/>
      <c r="BF48" s="615"/>
      <c r="BG48" s="615"/>
      <c r="BH48" s="615"/>
      <c r="BI48" s="615"/>
      <c r="BJ48" s="615"/>
      <c r="BK48" s="615"/>
      <c r="BL48" s="615"/>
      <c r="BM48" s="615"/>
      <c r="BN48" s="615"/>
      <c r="BO48" s="615"/>
      <c r="BP48" s="615"/>
      <c r="BQ48" s="615"/>
      <c r="BR48" s="615"/>
      <c r="BS48" s="615"/>
      <c r="BT48" s="615"/>
      <c r="BU48" s="615"/>
      <c r="BV48" s="615"/>
      <c r="BW48" s="615"/>
      <c r="BX48" s="607"/>
    </row>
    <row r="49" spans="1:76" s="612" customFormat="1" ht="25.5" x14ac:dyDescent="0.2">
      <c r="A49" s="839"/>
      <c r="B49" s="713" t="s">
        <v>873</v>
      </c>
      <c r="C49" s="713" t="s">
        <v>1795</v>
      </c>
      <c r="D49" s="712">
        <v>0</v>
      </c>
      <c r="E49" s="712">
        <v>0</v>
      </c>
      <c r="F49" s="712">
        <v>0</v>
      </c>
      <c r="G49" s="712">
        <v>0</v>
      </c>
      <c r="H49" s="712">
        <v>0</v>
      </c>
      <c r="I49" s="712">
        <v>0</v>
      </c>
      <c r="J49" s="712">
        <v>0</v>
      </c>
      <c r="K49" s="712">
        <v>0</v>
      </c>
      <c r="L49" s="712">
        <v>0</v>
      </c>
      <c r="M49" s="712">
        <v>0</v>
      </c>
      <c r="N49" s="712">
        <v>0</v>
      </c>
      <c r="O49" s="712">
        <v>0</v>
      </c>
      <c r="P49" s="712">
        <v>0</v>
      </c>
      <c r="Q49" s="712">
        <v>0</v>
      </c>
      <c r="R49" s="712">
        <v>0</v>
      </c>
      <c r="S49" s="712">
        <v>0</v>
      </c>
      <c r="T49" s="712">
        <v>0</v>
      </c>
      <c r="U49" s="712">
        <v>0</v>
      </c>
      <c r="V49" s="712">
        <v>0</v>
      </c>
      <c r="W49" s="712">
        <v>0</v>
      </c>
      <c r="X49" s="712">
        <v>0</v>
      </c>
      <c r="Y49" s="712">
        <v>0</v>
      </c>
      <c r="Z49" s="712">
        <v>0</v>
      </c>
      <c r="AA49" s="712">
        <v>0</v>
      </c>
      <c r="AB49" s="712">
        <v>0</v>
      </c>
      <c r="AC49" s="712">
        <v>0</v>
      </c>
      <c r="AD49" s="712">
        <v>0</v>
      </c>
      <c r="AE49" s="712">
        <v>0</v>
      </c>
      <c r="AF49" s="712">
        <v>0</v>
      </c>
      <c r="AG49" s="712">
        <v>0</v>
      </c>
      <c r="AH49" s="712">
        <v>0</v>
      </c>
      <c r="AI49" s="712">
        <v>0</v>
      </c>
      <c r="AJ49" s="712">
        <v>0</v>
      </c>
      <c r="AK49" s="712">
        <v>0</v>
      </c>
      <c r="AL49" s="712">
        <v>0</v>
      </c>
      <c r="AM49" s="712">
        <v>0</v>
      </c>
      <c r="AN49" s="712">
        <v>0</v>
      </c>
      <c r="AO49" s="712">
        <v>0</v>
      </c>
      <c r="AP49" s="712">
        <v>0</v>
      </c>
      <c r="AQ49" s="712">
        <v>0</v>
      </c>
      <c r="AR49" s="712">
        <v>0</v>
      </c>
      <c r="AS49" s="712">
        <v>0</v>
      </c>
      <c r="AT49">
        <v>0</v>
      </c>
      <c r="AU49" s="609"/>
      <c r="AV49" s="609"/>
      <c r="AW49" s="615"/>
      <c r="AX49" s="615"/>
      <c r="AY49" s="615"/>
      <c r="AZ49" s="615"/>
      <c r="BA49" s="615"/>
      <c r="BB49" s="615"/>
      <c r="BC49" s="615"/>
      <c r="BD49" s="615"/>
      <c r="BE49" s="615"/>
      <c r="BF49" s="615"/>
      <c r="BG49" s="615"/>
      <c r="BH49" s="615"/>
      <c r="BI49" s="615"/>
      <c r="BJ49" s="615"/>
      <c r="BK49" s="615"/>
      <c r="BL49" s="615"/>
      <c r="BM49" s="615"/>
      <c r="BN49" s="615"/>
      <c r="BO49" s="615"/>
      <c r="BP49" s="615"/>
      <c r="BQ49" s="615"/>
      <c r="BR49" s="615"/>
      <c r="BS49" s="615"/>
      <c r="BT49" s="615"/>
      <c r="BU49" s="615"/>
      <c r="BV49" s="615"/>
      <c r="BW49" s="615"/>
      <c r="BX49" s="607"/>
    </row>
    <row r="50" spans="1:76" s="612" customFormat="1" ht="25.5" x14ac:dyDescent="0.2">
      <c r="A50" s="839"/>
      <c r="B50" s="713" t="s">
        <v>1192</v>
      </c>
      <c r="C50" s="713" t="s">
        <v>1762</v>
      </c>
      <c r="D50" s="712">
        <v>0</v>
      </c>
      <c r="E50" s="712">
        <v>0</v>
      </c>
      <c r="F50" s="712">
        <v>0</v>
      </c>
      <c r="G50" s="712">
        <v>0</v>
      </c>
      <c r="H50" s="712">
        <v>0</v>
      </c>
      <c r="I50" s="712">
        <v>0</v>
      </c>
      <c r="J50" s="712">
        <v>0</v>
      </c>
      <c r="K50" s="712">
        <v>0</v>
      </c>
      <c r="L50" s="712">
        <v>0</v>
      </c>
      <c r="M50" s="712">
        <v>132437</v>
      </c>
      <c r="N50" s="712">
        <v>0</v>
      </c>
      <c r="O50" s="712">
        <v>0</v>
      </c>
      <c r="P50" s="712">
        <v>0</v>
      </c>
      <c r="Q50" s="712">
        <v>0</v>
      </c>
      <c r="R50" s="712">
        <v>0</v>
      </c>
      <c r="S50" s="712">
        <v>0</v>
      </c>
      <c r="T50" s="712">
        <v>0</v>
      </c>
      <c r="U50" s="712">
        <v>0</v>
      </c>
      <c r="V50" s="712">
        <v>0</v>
      </c>
      <c r="W50" s="712">
        <v>0</v>
      </c>
      <c r="X50" s="712">
        <v>0</v>
      </c>
      <c r="Y50" s="712">
        <v>0</v>
      </c>
      <c r="Z50" s="712">
        <v>0</v>
      </c>
      <c r="AA50" s="712">
        <v>0</v>
      </c>
      <c r="AB50" s="712">
        <v>0</v>
      </c>
      <c r="AC50" s="712">
        <v>0</v>
      </c>
      <c r="AD50" s="712">
        <v>0</v>
      </c>
      <c r="AE50" s="712">
        <v>0</v>
      </c>
      <c r="AF50" s="712">
        <v>0</v>
      </c>
      <c r="AG50" s="712">
        <v>0</v>
      </c>
      <c r="AH50" s="712">
        <v>0</v>
      </c>
      <c r="AI50" s="712">
        <v>0</v>
      </c>
      <c r="AJ50" s="712">
        <v>0</v>
      </c>
      <c r="AK50" s="712">
        <v>0</v>
      </c>
      <c r="AL50" s="712">
        <v>0</v>
      </c>
      <c r="AM50" s="712">
        <v>0</v>
      </c>
      <c r="AN50" s="712">
        <v>0</v>
      </c>
      <c r="AO50" s="712">
        <v>0</v>
      </c>
      <c r="AP50" s="712">
        <v>0</v>
      </c>
      <c r="AQ50" s="712">
        <v>0</v>
      </c>
      <c r="AR50" s="712">
        <v>0</v>
      </c>
      <c r="AS50" s="712">
        <v>0</v>
      </c>
      <c r="AT50">
        <v>132437</v>
      </c>
      <c r="AU50" s="609"/>
      <c r="AV50" s="609"/>
      <c r="AW50" s="615"/>
      <c r="AX50" s="615"/>
      <c r="AY50" s="615"/>
      <c r="AZ50" s="615"/>
      <c r="BA50" s="615"/>
      <c r="BB50" s="615"/>
      <c r="BC50" s="615"/>
      <c r="BD50" s="615"/>
      <c r="BE50" s="615"/>
      <c r="BF50" s="615"/>
      <c r="BG50" s="615"/>
      <c r="BH50" s="615"/>
      <c r="BI50" s="615"/>
      <c r="BJ50" s="615"/>
      <c r="BK50" s="615"/>
      <c r="BL50" s="615"/>
      <c r="BM50" s="615"/>
      <c r="BN50" s="615"/>
      <c r="BO50" s="615"/>
      <c r="BP50" s="615"/>
      <c r="BQ50" s="615"/>
      <c r="BR50" s="615"/>
      <c r="BS50" s="615"/>
      <c r="BT50" s="615"/>
      <c r="BU50" s="615"/>
      <c r="BV50" s="615"/>
      <c r="BW50" s="615"/>
      <c r="BX50" s="607"/>
    </row>
    <row r="51" spans="1:76" s="612" customFormat="1" ht="25.5" x14ac:dyDescent="0.2">
      <c r="A51" s="839"/>
      <c r="B51" s="713" t="s">
        <v>1527</v>
      </c>
      <c r="C51" s="713" t="s">
        <v>1835</v>
      </c>
      <c r="D51" s="712">
        <v>0</v>
      </c>
      <c r="E51" s="712">
        <v>0</v>
      </c>
      <c r="F51" s="712">
        <v>0</v>
      </c>
      <c r="G51" s="712">
        <v>0</v>
      </c>
      <c r="H51" s="712">
        <v>0</v>
      </c>
      <c r="I51" s="712">
        <v>0</v>
      </c>
      <c r="J51" s="712">
        <v>0</v>
      </c>
      <c r="K51" s="712">
        <v>0</v>
      </c>
      <c r="L51" s="712">
        <v>116363</v>
      </c>
      <c r="M51" s="712">
        <v>0</v>
      </c>
      <c r="N51" s="712">
        <v>0</v>
      </c>
      <c r="O51" s="712">
        <v>0</v>
      </c>
      <c r="P51" s="712">
        <v>0</v>
      </c>
      <c r="Q51" s="712">
        <v>0</v>
      </c>
      <c r="R51" s="712">
        <v>0</v>
      </c>
      <c r="S51" s="712">
        <v>0</v>
      </c>
      <c r="T51" s="712">
        <v>0</v>
      </c>
      <c r="U51" s="712">
        <v>0</v>
      </c>
      <c r="V51" s="712">
        <v>0</v>
      </c>
      <c r="W51" s="712">
        <v>0</v>
      </c>
      <c r="X51" s="712">
        <v>0</v>
      </c>
      <c r="Y51" s="712">
        <v>0</v>
      </c>
      <c r="Z51" s="712">
        <v>0</v>
      </c>
      <c r="AA51" s="712">
        <v>0</v>
      </c>
      <c r="AB51" s="712">
        <v>0</v>
      </c>
      <c r="AC51" s="712">
        <v>0</v>
      </c>
      <c r="AD51" s="712">
        <v>0</v>
      </c>
      <c r="AE51" s="712">
        <v>0</v>
      </c>
      <c r="AF51" s="712">
        <v>0</v>
      </c>
      <c r="AG51" s="712">
        <v>0</v>
      </c>
      <c r="AH51" s="712">
        <v>0</v>
      </c>
      <c r="AI51" s="712">
        <v>0</v>
      </c>
      <c r="AJ51" s="712">
        <v>0</v>
      </c>
      <c r="AK51" s="712">
        <v>0</v>
      </c>
      <c r="AL51" s="712">
        <v>0</v>
      </c>
      <c r="AM51" s="712">
        <v>0</v>
      </c>
      <c r="AN51" s="712">
        <v>0</v>
      </c>
      <c r="AO51" s="712">
        <v>0</v>
      </c>
      <c r="AP51" s="712">
        <v>0</v>
      </c>
      <c r="AQ51" s="712">
        <v>0</v>
      </c>
      <c r="AR51" s="712">
        <v>0</v>
      </c>
      <c r="AS51" s="712">
        <v>0</v>
      </c>
      <c r="AT51">
        <v>116363</v>
      </c>
      <c r="AU51" s="609"/>
      <c r="AV51" s="609"/>
      <c r="AW51" s="615"/>
      <c r="AX51" s="615"/>
      <c r="AY51" s="615"/>
      <c r="AZ51" s="615"/>
      <c r="BA51" s="615"/>
      <c r="BB51" s="615"/>
      <c r="BC51" s="615"/>
      <c r="BD51" s="615"/>
      <c r="BE51" s="615"/>
      <c r="BF51" s="615"/>
      <c r="BG51" s="615"/>
      <c r="BH51" s="615"/>
      <c r="BI51" s="615"/>
      <c r="BJ51" s="615"/>
      <c r="BK51" s="615"/>
      <c r="BL51" s="615"/>
      <c r="BM51" s="615"/>
      <c r="BN51" s="615"/>
      <c r="BO51" s="615"/>
      <c r="BP51" s="615"/>
      <c r="BQ51" s="615"/>
      <c r="BR51" s="615"/>
      <c r="BS51" s="615"/>
      <c r="BT51" s="615"/>
      <c r="BU51" s="615"/>
      <c r="BV51" s="615"/>
      <c r="BW51" s="615"/>
      <c r="BX51" s="607"/>
    </row>
    <row r="52" spans="1:76" s="612" customFormat="1" ht="25.5" x14ac:dyDescent="0.2">
      <c r="A52" s="839"/>
      <c r="B52" s="713" t="s">
        <v>866</v>
      </c>
      <c r="C52" s="713" t="s">
        <v>1782</v>
      </c>
      <c r="D52" s="712">
        <v>0</v>
      </c>
      <c r="E52" s="712">
        <v>0</v>
      </c>
      <c r="F52" s="712">
        <v>0</v>
      </c>
      <c r="G52" s="712">
        <v>0</v>
      </c>
      <c r="H52" s="712">
        <v>0</v>
      </c>
      <c r="I52" s="712">
        <v>0</v>
      </c>
      <c r="J52" s="712">
        <v>0</v>
      </c>
      <c r="K52" s="712">
        <v>0</v>
      </c>
      <c r="L52" s="712">
        <v>0</v>
      </c>
      <c r="M52" s="712">
        <v>0</v>
      </c>
      <c r="N52" s="712">
        <v>0</v>
      </c>
      <c r="O52" s="712">
        <v>0</v>
      </c>
      <c r="P52" s="712">
        <v>0</v>
      </c>
      <c r="Q52" s="712">
        <v>0</v>
      </c>
      <c r="R52" s="712">
        <v>0</v>
      </c>
      <c r="S52" s="712">
        <v>0</v>
      </c>
      <c r="T52" s="712">
        <v>0</v>
      </c>
      <c r="U52" s="712">
        <v>0</v>
      </c>
      <c r="V52" s="712">
        <v>0</v>
      </c>
      <c r="W52" s="712">
        <v>0</v>
      </c>
      <c r="X52" s="712">
        <v>0</v>
      </c>
      <c r="Y52" s="712">
        <v>0</v>
      </c>
      <c r="Z52" s="712">
        <v>0</v>
      </c>
      <c r="AA52" s="712">
        <v>0</v>
      </c>
      <c r="AB52" s="712">
        <v>0</v>
      </c>
      <c r="AC52" s="712">
        <v>0</v>
      </c>
      <c r="AD52" s="712">
        <v>0</v>
      </c>
      <c r="AE52" s="712">
        <v>0</v>
      </c>
      <c r="AF52" s="712">
        <v>0</v>
      </c>
      <c r="AG52" s="712">
        <v>0</v>
      </c>
      <c r="AH52" s="712">
        <v>0</v>
      </c>
      <c r="AI52" s="712">
        <v>0</v>
      </c>
      <c r="AJ52" s="712">
        <v>0</v>
      </c>
      <c r="AK52" s="712">
        <v>0</v>
      </c>
      <c r="AL52" s="712">
        <v>0</v>
      </c>
      <c r="AM52" s="712">
        <v>0</v>
      </c>
      <c r="AN52" s="712">
        <v>0</v>
      </c>
      <c r="AO52" s="712">
        <v>0</v>
      </c>
      <c r="AP52" s="712">
        <v>0</v>
      </c>
      <c r="AQ52" s="712">
        <v>0</v>
      </c>
      <c r="AR52" s="712">
        <v>0</v>
      </c>
      <c r="AS52" s="712">
        <v>0</v>
      </c>
      <c r="AT52">
        <v>0</v>
      </c>
      <c r="AU52" s="609"/>
      <c r="AV52" s="609"/>
      <c r="AW52" s="615"/>
      <c r="AX52" s="615"/>
      <c r="AY52" s="615"/>
      <c r="AZ52" s="615"/>
      <c r="BA52" s="615"/>
      <c r="BB52" s="615"/>
      <c r="BC52" s="615"/>
      <c r="BD52" s="615"/>
      <c r="BE52" s="615"/>
      <c r="BF52" s="615"/>
      <c r="BG52" s="615"/>
      <c r="BH52" s="615"/>
      <c r="BI52" s="615"/>
      <c r="BJ52" s="615"/>
      <c r="BK52" s="615"/>
      <c r="BL52" s="615"/>
      <c r="BM52" s="615"/>
      <c r="BN52" s="615"/>
      <c r="BO52" s="615"/>
      <c r="BP52" s="615"/>
      <c r="BQ52" s="615"/>
      <c r="BR52" s="615"/>
      <c r="BS52" s="615"/>
      <c r="BT52" s="615"/>
      <c r="BU52" s="615"/>
      <c r="BV52" s="615"/>
      <c r="BW52" s="615"/>
      <c r="BX52" s="607"/>
    </row>
    <row r="53" spans="1:76" s="612" customFormat="1" ht="25.5" x14ac:dyDescent="0.2">
      <c r="A53" s="839"/>
      <c r="B53" s="713" t="s">
        <v>1705</v>
      </c>
      <c r="C53" s="713" t="s">
        <v>1856</v>
      </c>
      <c r="D53" s="712">
        <v>0</v>
      </c>
      <c r="E53" s="712">
        <v>0</v>
      </c>
      <c r="F53" s="712">
        <v>0</v>
      </c>
      <c r="G53" s="712">
        <v>0</v>
      </c>
      <c r="H53" s="712">
        <v>0</v>
      </c>
      <c r="I53" s="712">
        <v>0</v>
      </c>
      <c r="J53" s="712">
        <v>0</v>
      </c>
      <c r="K53" s="712">
        <v>0</v>
      </c>
      <c r="L53" s="712">
        <v>0</v>
      </c>
      <c r="M53" s="712">
        <v>0</v>
      </c>
      <c r="N53" s="712">
        <v>0</v>
      </c>
      <c r="O53" s="712">
        <v>0</v>
      </c>
      <c r="P53" s="712">
        <v>0</v>
      </c>
      <c r="Q53" s="712">
        <v>0</v>
      </c>
      <c r="R53" s="712">
        <v>0</v>
      </c>
      <c r="S53" s="712">
        <v>0</v>
      </c>
      <c r="T53" s="712">
        <v>0</v>
      </c>
      <c r="U53" s="712">
        <v>0</v>
      </c>
      <c r="V53" s="712">
        <v>0</v>
      </c>
      <c r="W53" s="712">
        <v>0</v>
      </c>
      <c r="X53" s="712">
        <v>0</v>
      </c>
      <c r="Y53" s="712">
        <v>0</v>
      </c>
      <c r="Z53" s="712">
        <v>0</v>
      </c>
      <c r="AA53" s="712">
        <v>0</v>
      </c>
      <c r="AB53" s="712">
        <v>0</v>
      </c>
      <c r="AC53" s="712">
        <v>0</v>
      </c>
      <c r="AD53" s="712">
        <v>0</v>
      </c>
      <c r="AE53" s="712">
        <v>0</v>
      </c>
      <c r="AF53" s="712">
        <v>0</v>
      </c>
      <c r="AG53" s="712">
        <v>0</v>
      </c>
      <c r="AH53" s="712">
        <v>0</v>
      </c>
      <c r="AI53" s="712">
        <v>0</v>
      </c>
      <c r="AJ53" s="712">
        <v>0</v>
      </c>
      <c r="AK53" s="712">
        <v>0</v>
      </c>
      <c r="AL53" s="712">
        <v>0</v>
      </c>
      <c r="AM53" s="712">
        <v>0</v>
      </c>
      <c r="AN53" s="712">
        <v>0</v>
      </c>
      <c r="AO53" s="712">
        <v>0</v>
      </c>
      <c r="AP53" s="712">
        <v>0</v>
      </c>
      <c r="AQ53" s="712">
        <v>0</v>
      </c>
      <c r="AR53" s="712">
        <v>0</v>
      </c>
      <c r="AS53" s="712">
        <v>0</v>
      </c>
      <c r="AT53">
        <v>0</v>
      </c>
      <c r="AU53" s="609"/>
      <c r="AV53" s="609"/>
      <c r="AW53" s="615"/>
      <c r="AX53" s="615"/>
      <c r="AY53" s="615"/>
      <c r="AZ53" s="615"/>
      <c r="BA53" s="615"/>
      <c r="BB53" s="615"/>
      <c r="BC53" s="615"/>
      <c r="BD53" s="615"/>
      <c r="BE53" s="615"/>
      <c r="BF53" s="615"/>
      <c r="BG53" s="615"/>
      <c r="BH53" s="615"/>
      <c r="BI53" s="615"/>
      <c r="BJ53" s="615"/>
      <c r="BK53" s="615"/>
      <c r="BL53" s="615"/>
      <c r="BM53" s="615"/>
      <c r="BN53" s="615"/>
      <c r="BO53" s="615"/>
      <c r="BP53" s="615"/>
      <c r="BQ53" s="615"/>
      <c r="BR53" s="615"/>
      <c r="BS53" s="615"/>
      <c r="BT53" s="615"/>
      <c r="BU53" s="615"/>
      <c r="BV53" s="615"/>
      <c r="BW53" s="615"/>
      <c r="BX53" s="607"/>
    </row>
    <row r="54" spans="1:76" s="612" customFormat="1" ht="25.5" x14ac:dyDescent="0.2">
      <c r="A54" s="839"/>
      <c r="B54" s="713" t="s">
        <v>1704</v>
      </c>
      <c r="C54" s="713" t="s">
        <v>1839</v>
      </c>
      <c r="D54" s="712">
        <v>0</v>
      </c>
      <c r="E54" s="712">
        <v>0</v>
      </c>
      <c r="F54" s="712">
        <v>0</v>
      </c>
      <c r="G54" s="712">
        <v>0</v>
      </c>
      <c r="H54" s="712">
        <v>0</v>
      </c>
      <c r="I54" s="712">
        <v>0</v>
      </c>
      <c r="J54" s="712">
        <v>0</v>
      </c>
      <c r="K54" s="712">
        <v>0</v>
      </c>
      <c r="L54" s="712">
        <v>0</v>
      </c>
      <c r="M54" s="712">
        <v>0</v>
      </c>
      <c r="N54" s="712">
        <v>0</v>
      </c>
      <c r="O54" s="712">
        <v>0</v>
      </c>
      <c r="P54" s="712">
        <v>0</v>
      </c>
      <c r="Q54" s="712">
        <v>0</v>
      </c>
      <c r="R54" s="712">
        <v>0</v>
      </c>
      <c r="S54" s="712">
        <v>0</v>
      </c>
      <c r="T54" s="712">
        <v>0</v>
      </c>
      <c r="U54" s="712">
        <v>0</v>
      </c>
      <c r="V54" s="712">
        <v>0</v>
      </c>
      <c r="W54" s="712">
        <v>0</v>
      </c>
      <c r="X54" s="712">
        <v>0</v>
      </c>
      <c r="Y54" s="712">
        <v>0</v>
      </c>
      <c r="Z54" s="712">
        <v>0</v>
      </c>
      <c r="AA54" s="712">
        <v>0</v>
      </c>
      <c r="AB54" s="712">
        <v>0</v>
      </c>
      <c r="AC54" s="712">
        <v>0</v>
      </c>
      <c r="AD54" s="712">
        <v>0</v>
      </c>
      <c r="AE54" s="712">
        <v>0</v>
      </c>
      <c r="AF54" s="712">
        <v>0</v>
      </c>
      <c r="AG54" s="712">
        <v>0</v>
      </c>
      <c r="AH54" s="712">
        <v>0</v>
      </c>
      <c r="AI54" s="712">
        <v>0</v>
      </c>
      <c r="AJ54" s="712">
        <v>0</v>
      </c>
      <c r="AK54" s="712">
        <v>0</v>
      </c>
      <c r="AL54" s="712">
        <v>0</v>
      </c>
      <c r="AM54" s="712">
        <v>0</v>
      </c>
      <c r="AN54" s="712">
        <v>0</v>
      </c>
      <c r="AO54" s="712">
        <v>0</v>
      </c>
      <c r="AP54" s="712">
        <v>0</v>
      </c>
      <c r="AQ54" s="712">
        <v>0</v>
      </c>
      <c r="AR54" s="712">
        <v>0</v>
      </c>
      <c r="AS54" s="712">
        <v>0</v>
      </c>
      <c r="AT54">
        <v>0</v>
      </c>
      <c r="AU54" s="609"/>
      <c r="AV54" s="609"/>
      <c r="AW54" s="615"/>
      <c r="AX54" s="615"/>
      <c r="AY54" s="615"/>
      <c r="AZ54" s="615"/>
      <c r="BA54" s="615"/>
      <c r="BB54" s="615"/>
      <c r="BC54" s="615"/>
      <c r="BD54" s="615"/>
      <c r="BE54" s="615"/>
      <c r="BF54" s="615"/>
      <c r="BG54" s="615"/>
      <c r="BH54" s="615"/>
      <c r="BI54" s="615"/>
      <c r="BJ54" s="615"/>
      <c r="BK54" s="615"/>
      <c r="BL54" s="615"/>
      <c r="BM54" s="615"/>
      <c r="BN54" s="615"/>
      <c r="BO54" s="615"/>
      <c r="BP54" s="615"/>
      <c r="BQ54" s="615"/>
      <c r="BR54" s="615"/>
      <c r="BS54" s="615"/>
      <c r="BT54" s="615"/>
      <c r="BU54" s="615"/>
      <c r="BV54" s="615"/>
      <c r="BW54" s="615"/>
      <c r="BX54" s="607"/>
    </row>
    <row r="55" spans="1:76" s="612" customFormat="1" ht="25.5" x14ac:dyDescent="0.2">
      <c r="A55" s="839"/>
      <c r="B55" s="713" t="s">
        <v>1641</v>
      </c>
      <c r="C55" s="713" t="s">
        <v>1862</v>
      </c>
      <c r="D55" s="712">
        <v>0</v>
      </c>
      <c r="E55" s="712">
        <v>0</v>
      </c>
      <c r="F55" s="712">
        <v>0</v>
      </c>
      <c r="G55" s="712">
        <v>0</v>
      </c>
      <c r="H55" s="712">
        <v>0</v>
      </c>
      <c r="I55" s="712">
        <v>0</v>
      </c>
      <c r="J55" s="712">
        <v>504237</v>
      </c>
      <c r="K55" s="712">
        <v>0</v>
      </c>
      <c r="L55" s="712">
        <v>0</v>
      </c>
      <c r="M55" s="712">
        <v>0</v>
      </c>
      <c r="N55" s="712">
        <v>0</v>
      </c>
      <c r="O55" s="712">
        <v>0</v>
      </c>
      <c r="P55" s="712">
        <v>0</v>
      </c>
      <c r="Q55" s="712">
        <v>0</v>
      </c>
      <c r="R55" s="712">
        <v>0</v>
      </c>
      <c r="S55" s="712">
        <v>0</v>
      </c>
      <c r="T55" s="712">
        <v>0</v>
      </c>
      <c r="U55" s="712">
        <v>0</v>
      </c>
      <c r="V55" s="712">
        <v>0</v>
      </c>
      <c r="W55" s="712">
        <v>0</v>
      </c>
      <c r="X55" s="712">
        <v>0</v>
      </c>
      <c r="Y55" s="712">
        <v>0</v>
      </c>
      <c r="Z55" s="712">
        <v>0</v>
      </c>
      <c r="AA55" s="712">
        <v>0</v>
      </c>
      <c r="AB55" s="712">
        <v>0</v>
      </c>
      <c r="AC55" s="712">
        <v>0</v>
      </c>
      <c r="AD55" s="712">
        <v>0</v>
      </c>
      <c r="AE55" s="712">
        <v>0</v>
      </c>
      <c r="AF55" s="712">
        <v>0</v>
      </c>
      <c r="AG55" s="712">
        <v>0</v>
      </c>
      <c r="AH55" s="712">
        <v>0</v>
      </c>
      <c r="AI55" s="712">
        <v>0</v>
      </c>
      <c r="AJ55" s="712">
        <v>0</v>
      </c>
      <c r="AK55" s="712">
        <v>0</v>
      </c>
      <c r="AL55" s="712">
        <v>0</v>
      </c>
      <c r="AM55" s="712">
        <v>0</v>
      </c>
      <c r="AN55" s="712">
        <v>0</v>
      </c>
      <c r="AO55" s="712">
        <v>0</v>
      </c>
      <c r="AP55" s="712">
        <v>0</v>
      </c>
      <c r="AQ55" s="712">
        <v>0</v>
      </c>
      <c r="AR55" s="712">
        <v>0</v>
      </c>
      <c r="AS55" s="712">
        <v>0</v>
      </c>
      <c r="AT55">
        <v>504237</v>
      </c>
      <c r="AU55" s="609"/>
      <c r="AV55" s="609"/>
      <c r="AW55" s="615"/>
      <c r="AX55" s="615"/>
      <c r="AY55" s="615"/>
      <c r="AZ55" s="615"/>
      <c r="BA55" s="615"/>
      <c r="BB55" s="615"/>
      <c r="BC55" s="615"/>
      <c r="BD55" s="615"/>
      <c r="BE55" s="615"/>
      <c r="BF55" s="615"/>
      <c r="BG55" s="615"/>
      <c r="BH55" s="615"/>
      <c r="BI55" s="615"/>
      <c r="BJ55" s="615"/>
      <c r="BK55" s="615"/>
      <c r="BL55" s="615"/>
      <c r="BM55" s="615"/>
      <c r="BN55" s="615"/>
      <c r="BO55" s="615"/>
      <c r="BP55" s="615"/>
      <c r="BQ55" s="615"/>
      <c r="BR55" s="615"/>
      <c r="BS55" s="615"/>
      <c r="BT55" s="615"/>
      <c r="BU55" s="615"/>
      <c r="BV55" s="615"/>
      <c r="BW55" s="615"/>
      <c r="BX55" s="607"/>
    </row>
    <row r="56" spans="1:76" s="612" customFormat="1" ht="25.5" x14ac:dyDescent="0.2">
      <c r="A56" s="839"/>
      <c r="B56" s="713" t="s">
        <v>1699</v>
      </c>
      <c r="C56" s="713" t="s">
        <v>1789</v>
      </c>
      <c r="D56" s="712">
        <v>0</v>
      </c>
      <c r="E56" s="712">
        <v>0</v>
      </c>
      <c r="F56" s="712">
        <v>0</v>
      </c>
      <c r="G56" s="712">
        <v>0</v>
      </c>
      <c r="H56" s="712">
        <v>0</v>
      </c>
      <c r="I56" s="712">
        <v>0</v>
      </c>
      <c r="J56" s="712">
        <v>0</v>
      </c>
      <c r="K56" s="712">
        <v>0</v>
      </c>
      <c r="L56" s="712">
        <v>0</v>
      </c>
      <c r="M56" s="712">
        <v>0</v>
      </c>
      <c r="N56" s="712">
        <v>0</v>
      </c>
      <c r="O56" s="712">
        <v>0</v>
      </c>
      <c r="P56" s="712">
        <v>0</v>
      </c>
      <c r="Q56" s="712">
        <v>0</v>
      </c>
      <c r="R56" s="712">
        <v>0</v>
      </c>
      <c r="S56" s="712">
        <v>0</v>
      </c>
      <c r="T56" s="712">
        <v>0</v>
      </c>
      <c r="U56" s="712">
        <v>0</v>
      </c>
      <c r="V56" s="712">
        <v>0</v>
      </c>
      <c r="W56" s="712">
        <v>0</v>
      </c>
      <c r="X56" s="712">
        <v>0</v>
      </c>
      <c r="Y56" s="712">
        <v>0</v>
      </c>
      <c r="Z56" s="712">
        <v>0</v>
      </c>
      <c r="AA56" s="712">
        <v>0</v>
      </c>
      <c r="AB56" s="712">
        <v>0</v>
      </c>
      <c r="AC56" s="712">
        <v>0</v>
      </c>
      <c r="AD56" s="712">
        <v>0</v>
      </c>
      <c r="AE56" s="712">
        <v>0</v>
      </c>
      <c r="AF56" s="712">
        <v>0</v>
      </c>
      <c r="AG56" s="712">
        <v>0</v>
      </c>
      <c r="AH56" s="712">
        <v>0</v>
      </c>
      <c r="AI56" s="712">
        <v>0</v>
      </c>
      <c r="AJ56" s="712">
        <v>0</v>
      </c>
      <c r="AK56" s="712">
        <v>0</v>
      </c>
      <c r="AL56" s="712">
        <v>0</v>
      </c>
      <c r="AM56" s="712">
        <v>0</v>
      </c>
      <c r="AN56" s="712">
        <v>0</v>
      </c>
      <c r="AO56" s="712">
        <v>0</v>
      </c>
      <c r="AP56" s="712">
        <v>0</v>
      </c>
      <c r="AQ56" s="712">
        <v>0</v>
      </c>
      <c r="AR56" s="712">
        <v>0</v>
      </c>
      <c r="AS56" s="712">
        <v>0</v>
      </c>
      <c r="AT56">
        <v>0</v>
      </c>
      <c r="AU56" s="609"/>
      <c r="AV56" s="609"/>
      <c r="AW56" s="615"/>
      <c r="AX56" s="615"/>
      <c r="AY56" s="615"/>
      <c r="AZ56" s="615"/>
      <c r="BA56" s="615"/>
      <c r="BB56" s="615"/>
      <c r="BC56" s="615"/>
      <c r="BD56" s="615"/>
      <c r="BE56" s="615"/>
      <c r="BF56" s="615"/>
      <c r="BG56" s="615"/>
      <c r="BH56" s="615"/>
      <c r="BI56" s="615"/>
      <c r="BJ56" s="615"/>
      <c r="BK56" s="615"/>
      <c r="BL56" s="615"/>
      <c r="BM56" s="615"/>
      <c r="BN56" s="615"/>
      <c r="BO56" s="615"/>
      <c r="BP56" s="615"/>
      <c r="BQ56" s="615"/>
      <c r="BR56" s="615"/>
      <c r="BS56" s="615"/>
      <c r="BT56" s="615"/>
      <c r="BU56" s="615"/>
      <c r="BV56" s="615"/>
      <c r="BW56" s="615"/>
      <c r="BX56" s="607"/>
    </row>
    <row r="57" spans="1:76" s="612" customFormat="1" ht="25.5" x14ac:dyDescent="0.2">
      <c r="A57" s="839"/>
      <c r="B57" s="713" t="s">
        <v>4274</v>
      </c>
      <c r="C57" s="713" t="s">
        <v>4273</v>
      </c>
      <c r="D57" s="712">
        <v>0</v>
      </c>
      <c r="E57" s="712">
        <v>0</v>
      </c>
      <c r="F57" s="712">
        <v>0</v>
      </c>
      <c r="G57" s="712">
        <v>0</v>
      </c>
      <c r="H57" s="712">
        <v>0</v>
      </c>
      <c r="I57" s="712">
        <v>0</v>
      </c>
      <c r="J57" s="712">
        <v>0</v>
      </c>
      <c r="K57" s="712">
        <v>0</v>
      </c>
      <c r="L57" s="712">
        <v>0</v>
      </c>
      <c r="M57" s="712">
        <v>0</v>
      </c>
      <c r="N57" s="712">
        <v>0</v>
      </c>
      <c r="O57" s="712">
        <v>0</v>
      </c>
      <c r="P57" s="712">
        <v>0</v>
      </c>
      <c r="Q57" s="712">
        <v>0</v>
      </c>
      <c r="R57" s="712">
        <v>0</v>
      </c>
      <c r="S57" s="712">
        <v>12000000</v>
      </c>
      <c r="T57" s="712">
        <v>24000000</v>
      </c>
      <c r="U57" s="712">
        <v>317882392</v>
      </c>
      <c r="V57" s="712">
        <v>0</v>
      </c>
      <c r="W57" s="712">
        <v>0</v>
      </c>
      <c r="X57" s="712">
        <v>0</v>
      </c>
      <c r="Y57" s="712">
        <v>0</v>
      </c>
      <c r="Z57" s="712">
        <v>0</v>
      </c>
      <c r="AA57" s="712">
        <v>0</v>
      </c>
      <c r="AB57" s="712">
        <v>0</v>
      </c>
      <c r="AC57" s="712">
        <v>0</v>
      </c>
      <c r="AD57" s="712">
        <v>0</v>
      </c>
      <c r="AE57" s="712">
        <v>0</v>
      </c>
      <c r="AF57" s="712">
        <v>0</v>
      </c>
      <c r="AG57" s="712">
        <v>0</v>
      </c>
      <c r="AH57" s="712">
        <v>0</v>
      </c>
      <c r="AI57" s="712">
        <v>0</v>
      </c>
      <c r="AJ57" s="712">
        <v>0</v>
      </c>
      <c r="AK57" s="712">
        <v>0</v>
      </c>
      <c r="AL57" s="712">
        <v>0</v>
      </c>
      <c r="AM57" s="712">
        <v>0</v>
      </c>
      <c r="AN57" s="712">
        <v>0</v>
      </c>
      <c r="AO57" s="712">
        <v>0</v>
      </c>
      <c r="AP57" s="712">
        <v>0</v>
      </c>
      <c r="AQ57" s="712">
        <v>0</v>
      </c>
      <c r="AR57" s="712">
        <v>0</v>
      </c>
      <c r="AS57" s="712">
        <v>0</v>
      </c>
      <c r="AT57">
        <v>353882392</v>
      </c>
      <c r="AU57" s="609"/>
      <c r="AV57" s="609"/>
      <c r="AW57" s="615"/>
      <c r="AX57" s="615"/>
      <c r="AY57" s="615"/>
      <c r="AZ57" s="615"/>
      <c r="BA57" s="615"/>
      <c r="BB57" s="615"/>
      <c r="BC57" s="615"/>
      <c r="BD57" s="615"/>
      <c r="BE57" s="615"/>
      <c r="BF57" s="615"/>
      <c r="BG57" s="615"/>
      <c r="BH57" s="615"/>
      <c r="BI57" s="615"/>
      <c r="BJ57" s="615"/>
      <c r="BK57" s="615"/>
      <c r="BL57" s="615"/>
      <c r="BM57" s="615"/>
      <c r="BN57" s="615"/>
      <c r="BO57" s="615"/>
      <c r="BP57" s="615"/>
      <c r="BQ57" s="615"/>
      <c r="BR57" s="615"/>
      <c r="BS57" s="615"/>
      <c r="BT57" s="615"/>
      <c r="BU57" s="615"/>
      <c r="BV57" s="615"/>
      <c r="BW57" s="615"/>
      <c r="BX57" s="607"/>
    </row>
    <row r="58" spans="1:76" s="612" customFormat="1" ht="12.75" x14ac:dyDescent="0.2">
      <c r="A58" s="839"/>
      <c r="B58" s="713" t="s">
        <v>883</v>
      </c>
      <c r="C58" s="713" t="s">
        <v>1843</v>
      </c>
      <c r="D58" s="712">
        <v>0</v>
      </c>
      <c r="E58" s="712">
        <v>0</v>
      </c>
      <c r="F58" s="712">
        <v>0</v>
      </c>
      <c r="G58" s="712">
        <v>0</v>
      </c>
      <c r="H58" s="712">
        <v>0</v>
      </c>
      <c r="I58" s="712">
        <v>0</v>
      </c>
      <c r="J58" s="712">
        <v>0</v>
      </c>
      <c r="K58" s="712">
        <v>0</v>
      </c>
      <c r="L58" s="712">
        <v>0</v>
      </c>
      <c r="M58" s="712">
        <v>0</v>
      </c>
      <c r="N58" s="712">
        <v>0</v>
      </c>
      <c r="O58" s="712">
        <v>0</v>
      </c>
      <c r="P58" s="712">
        <v>0</v>
      </c>
      <c r="Q58" s="712">
        <v>0</v>
      </c>
      <c r="R58" s="712">
        <v>0</v>
      </c>
      <c r="S58" s="712">
        <v>0</v>
      </c>
      <c r="T58" s="712">
        <v>0</v>
      </c>
      <c r="U58" s="712">
        <v>0</v>
      </c>
      <c r="V58" s="712">
        <v>0</v>
      </c>
      <c r="W58" s="712">
        <v>0</v>
      </c>
      <c r="X58" s="712">
        <v>0</v>
      </c>
      <c r="Y58" s="712">
        <v>0</v>
      </c>
      <c r="Z58" s="712">
        <v>0</v>
      </c>
      <c r="AA58" s="712">
        <v>0</v>
      </c>
      <c r="AB58" s="712">
        <v>0</v>
      </c>
      <c r="AC58" s="712">
        <v>0</v>
      </c>
      <c r="AD58" s="712">
        <v>0</v>
      </c>
      <c r="AE58" s="712">
        <v>0</v>
      </c>
      <c r="AF58" s="712">
        <v>0</v>
      </c>
      <c r="AG58" s="712">
        <v>0</v>
      </c>
      <c r="AH58" s="712">
        <v>0</v>
      </c>
      <c r="AI58" s="712">
        <v>0</v>
      </c>
      <c r="AJ58" s="712">
        <v>0</v>
      </c>
      <c r="AK58" s="712">
        <v>0</v>
      </c>
      <c r="AL58" s="712">
        <v>0</v>
      </c>
      <c r="AM58" s="712">
        <v>0</v>
      </c>
      <c r="AN58" s="712">
        <v>0</v>
      </c>
      <c r="AO58" s="712">
        <v>0</v>
      </c>
      <c r="AP58" s="712">
        <v>0</v>
      </c>
      <c r="AQ58" s="712">
        <v>0</v>
      </c>
      <c r="AR58" s="712">
        <v>0</v>
      </c>
      <c r="AS58" s="712">
        <v>0</v>
      </c>
      <c r="AT58">
        <v>0</v>
      </c>
      <c r="AU58" s="609"/>
      <c r="AV58" s="609"/>
      <c r="AW58" s="615"/>
      <c r="AX58" s="615"/>
      <c r="AY58" s="615"/>
      <c r="AZ58" s="615"/>
      <c r="BA58" s="615"/>
      <c r="BB58" s="615"/>
      <c r="BC58" s="615"/>
      <c r="BD58" s="615"/>
      <c r="BE58" s="615"/>
      <c r="BF58" s="615"/>
      <c r="BG58" s="615"/>
      <c r="BH58" s="615"/>
      <c r="BI58" s="615"/>
      <c r="BJ58" s="615"/>
      <c r="BK58" s="615"/>
      <c r="BL58" s="615"/>
      <c r="BM58" s="615"/>
      <c r="BN58" s="615"/>
      <c r="BO58" s="615"/>
      <c r="BP58" s="615"/>
      <c r="BQ58" s="615"/>
      <c r="BR58" s="615"/>
      <c r="BS58" s="615"/>
      <c r="BT58" s="615"/>
      <c r="BU58" s="615"/>
      <c r="BV58" s="615"/>
      <c r="BW58" s="615"/>
      <c r="BX58" s="607"/>
    </row>
    <row r="59" spans="1:76" s="612" customFormat="1" ht="12.75" x14ac:dyDescent="0.2">
      <c r="A59" s="839"/>
      <c r="B59" s="713" t="s">
        <v>2577</v>
      </c>
      <c r="C59" s="713" t="s">
        <v>1842</v>
      </c>
      <c r="D59" s="712">
        <v>0</v>
      </c>
      <c r="E59" s="712">
        <v>0</v>
      </c>
      <c r="F59" s="712">
        <v>0</v>
      </c>
      <c r="G59" s="712">
        <v>0</v>
      </c>
      <c r="H59" s="712">
        <v>0</v>
      </c>
      <c r="I59" s="712">
        <v>0</v>
      </c>
      <c r="J59" s="712">
        <v>0</v>
      </c>
      <c r="K59" s="712">
        <v>0</v>
      </c>
      <c r="L59" s="712">
        <v>0</v>
      </c>
      <c r="M59" s="712">
        <v>120754</v>
      </c>
      <c r="N59" s="712">
        <v>0</v>
      </c>
      <c r="O59" s="712">
        <v>0</v>
      </c>
      <c r="P59" s="712">
        <v>0</v>
      </c>
      <c r="Q59" s="712">
        <v>0</v>
      </c>
      <c r="R59" s="712">
        <v>0</v>
      </c>
      <c r="S59" s="712">
        <v>0</v>
      </c>
      <c r="T59" s="712">
        <v>0</v>
      </c>
      <c r="U59" s="712">
        <v>0</v>
      </c>
      <c r="V59" s="712">
        <v>0</v>
      </c>
      <c r="W59" s="712">
        <v>0</v>
      </c>
      <c r="X59" s="712">
        <v>0</v>
      </c>
      <c r="Y59" s="712">
        <v>0</v>
      </c>
      <c r="Z59" s="712">
        <v>0</v>
      </c>
      <c r="AA59" s="712">
        <v>0</v>
      </c>
      <c r="AB59" s="712">
        <v>0</v>
      </c>
      <c r="AC59" s="712">
        <v>0</v>
      </c>
      <c r="AD59" s="712">
        <v>0</v>
      </c>
      <c r="AE59" s="712">
        <v>0</v>
      </c>
      <c r="AF59" s="712">
        <v>0</v>
      </c>
      <c r="AG59" s="712">
        <v>0</v>
      </c>
      <c r="AH59" s="712">
        <v>0</v>
      </c>
      <c r="AI59" s="712">
        <v>0</v>
      </c>
      <c r="AJ59" s="712">
        <v>0</v>
      </c>
      <c r="AK59" s="712">
        <v>0</v>
      </c>
      <c r="AL59" s="712">
        <v>0</v>
      </c>
      <c r="AM59" s="712">
        <v>0</v>
      </c>
      <c r="AN59" s="712">
        <v>0</v>
      </c>
      <c r="AO59" s="712">
        <v>0</v>
      </c>
      <c r="AP59" s="712">
        <v>0</v>
      </c>
      <c r="AQ59" s="712">
        <v>0</v>
      </c>
      <c r="AR59" s="712">
        <v>0</v>
      </c>
      <c r="AS59" s="712">
        <v>0</v>
      </c>
      <c r="AT59">
        <v>120754</v>
      </c>
      <c r="AU59" s="609"/>
      <c r="AV59" s="609"/>
      <c r="AW59" s="615"/>
      <c r="AX59" s="615"/>
      <c r="AY59" s="615"/>
      <c r="AZ59" s="615"/>
      <c r="BA59" s="615"/>
      <c r="BB59" s="615"/>
      <c r="BC59" s="615"/>
      <c r="BD59" s="615"/>
      <c r="BE59" s="615"/>
      <c r="BF59" s="615"/>
      <c r="BG59" s="615"/>
      <c r="BH59" s="615"/>
      <c r="BI59" s="615"/>
      <c r="BJ59" s="615"/>
      <c r="BK59" s="615"/>
      <c r="BL59" s="615"/>
      <c r="BM59" s="615"/>
      <c r="BN59" s="615"/>
      <c r="BO59" s="615"/>
      <c r="BP59" s="615"/>
      <c r="BQ59" s="615"/>
      <c r="BR59" s="615"/>
      <c r="BS59" s="615"/>
      <c r="BT59" s="615"/>
      <c r="BU59" s="615"/>
      <c r="BV59" s="615"/>
      <c r="BW59" s="615"/>
      <c r="BX59" s="607"/>
    </row>
    <row r="60" spans="1:76" s="612" customFormat="1" ht="25.5" x14ac:dyDescent="0.2">
      <c r="A60" s="839"/>
      <c r="B60" s="713" t="s">
        <v>2607</v>
      </c>
      <c r="C60" s="713" t="s">
        <v>1875</v>
      </c>
      <c r="D60" s="712">
        <v>0</v>
      </c>
      <c r="E60" s="712">
        <v>0</v>
      </c>
      <c r="F60" s="712">
        <v>0</v>
      </c>
      <c r="G60" s="712">
        <v>0</v>
      </c>
      <c r="H60" s="712">
        <v>0</v>
      </c>
      <c r="I60" s="712">
        <v>0</v>
      </c>
      <c r="J60" s="712">
        <v>0</v>
      </c>
      <c r="K60" s="712">
        <v>0</v>
      </c>
      <c r="L60" s="712">
        <v>0</v>
      </c>
      <c r="M60" s="712">
        <v>0</v>
      </c>
      <c r="N60" s="712">
        <v>0</v>
      </c>
      <c r="O60" s="712">
        <v>0</v>
      </c>
      <c r="P60" s="712">
        <v>0</v>
      </c>
      <c r="Q60" s="712">
        <v>0</v>
      </c>
      <c r="R60" s="712">
        <v>0</v>
      </c>
      <c r="S60" s="712">
        <v>0</v>
      </c>
      <c r="T60" s="712">
        <v>0</v>
      </c>
      <c r="U60" s="712">
        <v>0</v>
      </c>
      <c r="V60" s="712">
        <v>0</v>
      </c>
      <c r="W60" s="712">
        <v>0</v>
      </c>
      <c r="X60" s="712">
        <v>0</v>
      </c>
      <c r="Y60" s="712">
        <v>0</v>
      </c>
      <c r="Z60" s="712">
        <v>0</v>
      </c>
      <c r="AA60" s="712">
        <v>0</v>
      </c>
      <c r="AB60" s="712">
        <v>0</v>
      </c>
      <c r="AC60" s="712">
        <v>0</v>
      </c>
      <c r="AD60" s="712">
        <v>0</v>
      </c>
      <c r="AE60" s="712">
        <v>0</v>
      </c>
      <c r="AF60" s="712">
        <v>0</v>
      </c>
      <c r="AG60" s="712">
        <v>0</v>
      </c>
      <c r="AH60" s="712">
        <v>0</v>
      </c>
      <c r="AI60" s="712">
        <v>0</v>
      </c>
      <c r="AJ60" s="712">
        <v>0</v>
      </c>
      <c r="AK60" s="712">
        <v>0</v>
      </c>
      <c r="AL60" s="712">
        <v>0</v>
      </c>
      <c r="AM60" s="712">
        <v>0</v>
      </c>
      <c r="AN60" s="712">
        <v>0</v>
      </c>
      <c r="AO60" s="712">
        <v>0</v>
      </c>
      <c r="AP60" s="712">
        <v>0</v>
      </c>
      <c r="AQ60" s="712">
        <v>0</v>
      </c>
      <c r="AR60" s="712">
        <v>0</v>
      </c>
      <c r="AS60" s="712">
        <v>0</v>
      </c>
      <c r="AT60">
        <v>0</v>
      </c>
      <c r="AU60" s="609"/>
      <c r="AV60" s="609"/>
      <c r="AW60" s="615"/>
      <c r="AX60" s="615"/>
      <c r="AY60" s="615"/>
      <c r="AZ60" s="615"/>
      <c r="BA60" s="615"/>
      <c r="BB60" s="615"/>
      <c r="BC60" s="615"/>
      <c r="BD60" s="615"/>
      <c r="BE60" s="615"/>
      <c r="BF60" s="615"/>
      <c r="BG60" s="615"/>
      <c r="BH60" s="615"/>
      <c r="BI60" s="615"/>
      <c r="BJ60" s="615"/>
      <c r="BK60" s="615"/>
      <c r="BL60" s="615"/>
      <c r="BM60" s="615"/>
      <c r="BN60" s="615"/>
      <c r="BO60" s="615"/>
      <c r="BP60" s="615"/>
      <c r="BQ60" s="615"/>
      <c r="BR60" s="615"/>
      <c r="BS60" s="615"/>
      <c r="BT60" s="615"/>
      <c r="BU60" s="615"/>
      <c r="BV60" s="615"/>
      <c r="BW60" s="615"/>
      <c r="BX60" s="607"/>
    </row>
    <row r="61" spans="1:76" s="612" customFormat="1" ht="25.5" x14ac:dyDescent="0.2">
      <c r="A61" s="839"/>
      <c r="B61" s="713" t="s">
        <v>3485</v>
      </c>
      <c r="C61" s="713" t="s">
        <v>1805</v>
      </c>
      <c r="D61" s="712">
        <v>0</v>
      </c>
      <c r="E61" s="712">
        <v>0</v>
      </c>
      <c r="F61" s="712">
        <v>0</v>
      </c>
      <c r="G61" s="712">
        <v>0</v>
      </c>
      <c r="H61" s="712">
        <v>0</v>
      </c>
      <c r="I61" s="712">
        <v>0</v>
      </c>
      <c r="J61" s="712">
        <v>0</v>
      </c>
      <c r="K61" s="712">
        <v>0</v>
      </c>
      <c r="L61" s="712">
        <v>0</v>
      </c>
      <c r="M61" s="712">
        <v>0</v>
      </c>
      <c r="N61" s="712">
        <v>0</v>
      </c>
      <c r="O61" s="712">
        <v>0</v>
      </c>
      <c r="P61" s="712">
        <v>0</v>
      </c>
      <c r="Q61" s="712">
        <v>0</v>
      </c>
      <c r="R61" s="712">
        <v>925180</v>
      </c>
      <c r="S61" s="712">
        <v>0</v>
      </c>
      <c r="T61" s="712">
        <v>0</v>
      </c>
      <c r="U61" s="712">
        <v>0</v>
      </c>
      <c r="V61" s="712">
        <v>0</v>
      </c>
      <c r="W61" s="712">
        <v>0</v>
      </c>
      <c r="X61" s="712">
        <v>0</v>
      </c>
      <c r="Y61" s="712">
        <v>0</v>
      </c>
      <c r="Z61" s="712">
        <v>0</v>
      </c>
      <c r="AA61" s="712">
        <v>0</v>
      </c>
      <c r="AB61" s="712">
        <v>0</v>
      </c>
      <c r="AC61" s="712">
        <v>0</v>
      </c>
      <c r="AD61" s="712">
        <v>0</v>
      </c>
      <c r="AE61" s="712">
        <v>0</v>
      </c>
      <c r="AF61" s="712">
        <v>0</v>
      </c>
      <c r="AG61" s="712">
        <v>0</v>
      </c>
      <c r="AH61" s="712">
        <v>0</v>
      </c>
      <c r="AI61" s="712">
        <v>0</v>
      </c>
      <c r="AJ61" s="712">
        <v>0</v>
      </c>
      <c r="AK61" s="712">
        <v>0</v>
      </c>
      <c r="AL61" s="712">
        <v>0</v>
      </c>
      <c r="AM61" s="712">
        <v>0</v>
      </c>
      <c r="AN61" s="712">
        <v>0</v>
      </c>
      <c r="AO61" s="712">
        <v>0</v>
      </c>
      <c r="AP61" s="712">
        <v>0</v>
      </c>
      <c r="AQ61" s="712">
        <v>0</v>
      </c>
      <c r="AR61" s="712">
        <v>0</v>
      </c>
      <c r="AS61" s="712">
        <v>0</v>
      </c>
      <c r="AT61">
        <v>925180</v>
      </c>
      <c r="AU61" s="609"/>
      <c r="AV61" s="609"/>
      <c r="AW61" s="615"/>
      <c r="AX61" s="615"/>
      <c r="AY61" s="615"/>
      <c r="AZ61" s="615"/>
      <c r="BA61" s="615"/>
      <c r="BB61" s="615"/>
      <c r="BC61" s="615"/>
      <c r="BD61" s="615"/>
      <c r="BE61" s="615"/>
      <c r="BF61" s="615"/>
      <c r="BG61" s="615"/>
      <c r="BH61" s="615"/>
      <c r="BI61" s="615"/>
      <c r="BJ61" s="615"/>
      <c r="BK61" s="615"/>
      <c r="BL61" s="615"/>
      <c r="BM61" s="615"/>
      <c r="BN61" s="615"/>
      <c r="BO61" s="615"/>
      <c r="BP61" s="615"/>
      <c r="BQ61" s="615"/>
      <c r="BR61" s="615"/>
      <c r="BS61" s="615"/>
      <c r="BT61" s="615"/>
      <c r="BU61" s="615"/>
      <c r="BV61" s="615"/>
      <c r="BW61" s="615"/>
      <c r="BX61" s="607"/>
    </row>
    <row r="62" spans="1:76" s="612" customFormat="1" ht="25.5" x14ac:dyDescent="0.2">
      <c r="A62" s="839"/>
      <c r="B62" s="713" t="s">
        <v>3486</v>
      </c>
      <c r="C62" s="713" t="s">
        <v>1859</v>
      </c>
      <c r="D62" s="712">
        <v>0</v>
      </c>
      <c r="E62" s="712">
        <v>0</v>
      </c>
      <c r="F62" s="712">
        <v>0</v>
      </c>
      <c r="G62" s="712">
        <v>0</v>
      </c>
      <c r="H62" s="712">
        <v>0</v>
      </c>
      <c r="I62" s="712">
        <v>0</v>
      </c>
      <c r="J62" s="712">
        <v>0</v>
      </c>
      <c r="K62" s="712">
        <v>0</v>
      </c>
      <c r="L62" s="712">
        <v>0</v>
      </c>
      <c r="M62" s="712">
        <v>0</v>
      </c>
      <c r="N62" s="712">
        <v>0</v>
      </c>
      <c r="O62" s="712">
        <v>0</v>
      </c>
      <c r="P62" s="712">
        <v>0</v>
      </c>
      <c r="Q62" s="712">
        <v>0</v>
      </c>
      <c r="R62" s="712">
        <v>0</v>
      </c>
      <c r="S62" s="712">
        <v>0</v>
      </c>
      <c r="T62" s="712">
        <v>0</v>
      </c>
      <c r="U62" s="712">
        <v>0</v>
      </c>
      <c r="V62" s="712">
        <v>0</v>
      </c>
      <c r="W62" s="712">
        <v>0</v>
      </c>
      <c r="X62" s="712">
        <v>0</v>
      </c>
      <c r="Y62" s="712">
        <v>0</v>
      </c>
      <c r="Z62" s="712">
        <v>0</v>
      </c>
      <c r="AA62" s="712">
        <v>0</v>
      </c>
      <c r="AB62" s="712">
        <v>0</v>
      </c>
      <c r="AC62" s="712">
        <v>0</v>
      </c>
      <c r="AD62" s="712">
        <v>0</v>
      </c>
      <c r="AE62" s="712">
        <v>0</v>
      </c>
      <c r="AF62" s="712">
        <v>0</v>
      </c>
      <c r="AG62" s="712">
        <v>0</v>
      </c>
      <c r="AH62" s="712">
        <v>0</v>
      </c>
      <c r="AI62" s="712">
        <v>0</v>
      </c>
      <c r="AJ62" s="712">
        <v>0</v>
      </c>
      <c r="AK62" s="712">
        <v>0</v>
      </c>
      <c r="AL62" s="712">
        <v>0</v>
      </c>
      <c r="AM62" s="712">
        <v>0</v>
      </c>
      <c r="AN62" s="712">
        <v>0</v>
      </c>
      <c r="AO62" s="712">
        <v>0</v>
      </c>
      <c r="AP62" s="712">
        <v>0</v>
      </c>
      <c r="AQ62" s="712">
        <v>0</v>
      </c>
      <c r="AR62" s="712">
        <v>0</v>
      </c>
      <c r="AS62" s="712">
        <v>0</v>
      </c>
      <c r="AT62">
        <v>0</v>
      </c>
      <c r="AU62" s="609"/>
      <c r="AV62" s="609"/>
      <c r="AW62" s="615"/>
      <c r="AX62" s="615"/>
      <c r="AY62" s="615"/>
      <c r="AZ62" s="615"/>
      <c r="BA62" s="615"/>
      <c r="BB62" s="615"/>
      <c r="BC62" s="615"/>
      <c r="BD62" s="615"/>
      <c r="BE62" s="615"/>
      <c r="BF62" s="615"/>
      <c r="BG62" s="615"/>
      <c r="BH62" s="615"/>
      <c r="BI62" s="615"/>
      <c r="BJ62" s="615"/>
      <c r="BK62" s="615"/>
      <c r="BL62" s="615"/>
      <c r="BM62" s="615"/>
      <c r="BN62" s="615"/>
      <c r="BO62" s="615"/>
      <c r="BP62" s="615"/>
      <c r="BQ62" s="615"/>
      <c r="BR62" s="615"/>
      <c r="BS62" s="615"/>
      <c r="BT62" s="615"/>
      <c r="BU62" s="615"/>
      <c r="BV62" s="615"/>
      <c r="BW62" s="615"/>
      <c r="BX62" s="607"/>
    </row>
    <row r="63" spans="1:76" s="612" customFormat="1" ht="25.5" x14ac:dyDescent="0.2">
      <c r="A63" s="839"/>
      <c r="B63" s="713" t="s">
        <v>921</v>
      </c>
      <c r="C63" s="713" t="s">
        <v>1886</v>
      </c>
      <c r="D63" s="712">
        <v>0</v>
      </c>
      <c r="E63" s="712">
        <v>0</v>
      </c>
      <c r="F63" s="712">
        <v>0</v>
      </c>
      <c r="G63" s="712">
        <v>0</v>
      </c>
      <c r="H63" s="712">
        <v>0</v>
      </c>
      <c r="I63" s="712">
        <v>0</v>
      </c>
      <c r="J63" s="712">
        <v>0</v>
      </c>
      <c r="K63" s="712">
        <v>0</v>
      </c>
      <c r="L63" s="712">
        <v>0</v>
      </c>
      <c r="M63" s="712">
        <v>0</v>
      </c>
      <c r="N63" s="712">
        <v>0</v>
      </c>
      <c r="O63" s="712">
        <v>0</v>
      </c>
      <c r="P63" s="712">
        <v>0</v>
      </c>
      <c r="Q63" s="712">
        <v>0</v>
      </c>
      <c r="R63" s="712">
        <v>0</v>
      </c>
      <c r="S63" s="712">
        <v>0</v>
      </c>
      <c r="T63" s="712">
        <v>0</v>
      </c>
      <c r="U63" s="712">
        <v>0</v>
      </c>
      <c r="V63" s="712">
        <v>0</v>
      </c>
      <c r="W63" s="712">
        <v>0</v>
      </c>
      <c r="X63" s="712">
        <v>0</v>
      </c>
      <c r="Y63" s="712">
        <v>0</v>
      </c>
      <c r="Z63" s="712">
        <v>0</v>
      </c>
      <c r="AA63" s="712">
        <v>0</v>
      </c>
      <c r="AB63" s="712">
        <v>0</v>
      </c>
      <c r="AC63" s="712">
        <v>0</v>
      </c>
      <c r="AD63" s="712">
        <v>0</v>
      </c>
      <c r="AE63" s="712">
        <v>0</v>
      </c>
      <c r="AF63" s="712">
        <v>0</v>
      </c>
      <c r="AG63" s="712">
        <v>0</v>
      </c>
      <c r="AH63" s="712">
        <v>0</v>
      </c>
      <c r="AI63" s="712">
        <v>0</v>
      </c>
      <c r="AJ63" s="712">
        <v>0</v>
      </c>
      <c r="AK63" s="712">
        <v>0</v>
      </c>
      <c r="AL63" s="712">
        <v>0</v>
      </c>
      <c r="AM63" s="712">
        <v>0</v>
      </c>
      <c r="AN63" s="712">
        <v>0</v>
      </c>
      <c r="AO63" s="712">
        <v>0</v>
      </c>
      <c r="AP63" s="712">
        <v>0</v>
      </c>
      <c r="AQ63" s="712">
        <v>0</v>
      </c>
      <c r="AR63" s="712">
        <v>0</v>
      </c>
      <c r="AS63" s="712">
        <v>0</v>
      </c>
      <c r="AT63">
        <v>0</v>
      </c>
      <c r="AU63" s="609"/>
      <c r="AV63" s="609"/>
      <c r="AW63" s="615"/>
      <c r="AX63" s="615"/>
      <c r="AY63" s="615"/>
      <c r="AZ63" s="615"/>
      <c r="BA63" s="615"/>
      <c r="BB63" s="615"/>
      <c r="BC63" s="615"/>
      <c r="BD63" s="615"/>
      <c r="BE63" s="615"/>
      <c r="BF63" s="615"/>
      <c r="BG63" s="615"/>
      <c r="BH63" s="615"/>
      <c r="BI63" s="615"/>
      <c r="BJ63" s="615"/>
      <c r="BK63" s="615"/>
      <c r="BL63" s="615"/>
      <c r="BM63" s="615"/>
      <c r="BN63" s="615"/>
      <c r="BO63" s="615"/>
      <c r="BP63" s="615"/>
      <c r="BQ63" s="615"/>
      <c r="BR63" s="615"/>
      <c r="BS63" s="615"/>
      <c r="BT63" s="615"/>
      <c r="BU63" s="615"/>
      <c r="BV63" s="615"/>
      <c r="BW63" s="615"/>
      <c r="BX63" s="607"/>
    </row>
    <row r="64" spans="1:76" s="612" customFormat="1" ht="25.5" x14ac:dyDescent="0.2">
      <c r="A64" s="839"/>
      <c r="B64" s="713" t="s">
        <v>876</v>
      </c>
      <c r="C64" s="713" t="s">
        <v>1812</v>
      </c>
      <c r="D64" s="712">
        <v>0</v>
      </c>
      <c r="E64" s="712">
        <v>0</v>
      </c>
      <c r="F64" s="712">
        <v>0</v>
      </c>
      <c r="G64" s="712">
        <v>0</v>
      </c>
      <c r="H64" s="712">
        <v>0</v>
      </c>
      <c r="I64" s="712">
        <v>0</v>
      </c>
      <c r="J64" s="712">
        <v>0</v>
      </c>
      <c r="K64" s="712">
        <v>0</v>
      </c>
      <c r="L64" s="712">
        <v>0</v>
      </c>
      <c r="M64" s="712">
        <v>0</v>
      </c>
      <c r="N64" s="712">
        <v>0</v>
      </c>
      <c r="O64" s="712">
        <v>0</v>
      </c>
      <c r="P64" s="712">
        <v>0</v>
      </c>
      <c r="Q64" s="712">
        <v>0</v>
      </c>
      <c r="R64" s="712">
        <v>0</v>
      </c>
      <c r="S64" s="712">
        <v>0</v>
      </c>
      <c r="T64" s="712">
        <v>0</v>
      </c>
      <c r="U64" s="712">
        <v>0</v>
      </c>
      <c r="V64" s="712">
        <v>0</v>
      </c>
      <c r="W64" s="712">
        <v>0</v>
      </c>
      <c r="X64" s="712">
        <v>0</v>
      </c>
      <c r="Y64" s="712">
        <v>0</v>
      </c>
      <c r="Z64" s="712">
        <v>0</v>
      </c>
      <c r="AA64" s="712">
        <v>0</v>
      </c>
      <c r="AB64" s="712">
        <v>0</v>
      </c>
      <c r="AC64" s="712">
        <v>0</v>
      </c>
      <c r="AD64" s="712">
        <v>0</v>
      </c>
      <c r="AE64" s="712">
        <v>0</v>
      </c>
      <c r="AF64" s="712">
        <v>0</v>
      </c>
      <c r="AG64" s="712">
        <v>0</v>
      </c>
      <c r="AH64" s="712">
        <v>0</v>
      </c>
      <c r="AI64" s="712">
        <v>0</v>
      </c>
      <c r="AJ64" s="712">
        <v>0</v>
      </c>
      <c r="AK64" s="712">
        <v>0</v>
      </c>
      <c r="AL64" s="712">
        <v>0</v>
      </c>
      <c r="AM64" s="712">
        <v>0</v>
      </c>
      <c r="AN64" s="712">
        <v>0</v>
      </c>
      <c r="AO64" s="712">
        <v>0</v>
      </c>
      <c r="AP64" s="712">
        <v>0</v>
      </c>
      <c r="AQ64" s="712">
        <v>0</v>
      </c>
      <c r="AR64" s="712">
        <v>0</v>
      </c>
      <c r="AS64" s="712">
        <v>0</v>
      </c>
      <c r="AT64">
        <v>0</v>
      </c>
      <c r="AU64" s="609"/>
      <c r="AV64" s="609"/>
      <c r="AW64" s="615"/>
      <c r="AX64" s="615"/>
      <c r="AY64" s="615"/>
      <c r="AZ64" s="615"/>
      <c r="BA64" s="615"/>
      <c r="BB64" s="615"/>
      <c r="BC64" s="615"/>
      <c r="BD64" s="615"/>
      <c r="BE64" s="615"/>
      <c r="BF64" s="615"/>
      <c r="BG64" s="615"/>
      <c r="BH64" s="615"/>
      <c r="BI64" s="615"/>
      <c r="BJ64" s="615"/>
      <c r="BK64" s="615"/>
      <c r="BL64" s="615"/>
      <c r="BM64" s="615"/>
      <c r="BN64" s="615"/>
      <c r="BO64" s="615"/>
      <c r="BP64" s="615"/>
      <c r="BQ64" s="615"/>
      <c r="BR64" s="615"/>
      <c r="BS64" s="615"/>
      <c r="BT64" s="615"/>
      <c r="BU64" s="615"/>
      <c r="BV64" s="615"/>
      <c r="BW64" s="615"/>
      <c r="BX64" s="607"/>
    </row>
    <row r="65" spans="1:76" s="612" customFormat="1" ht="25.5" x14ac:dyDescent="0.2">
      <c r="A65" s="839"/>
      <c r="B65" s="713" t="s">
        <v>1001</v>
      </c>
      <c r="C65" s="713" t="s">
        <v>1861</v>
      </c>
      <c r="D65" s="712">
        <v>0</v>
      </c>
      <c r="E65" s="712">
        <v>0</v>
      </c>
      <c r="F65" s="712">
        <v>0</v>
      </c>
      <c r="G65" s="712">
        <v>0</v>
      </c>
      <c r="H65" s="712">
        <v>0</v>
      </c>
      <c r="I65" s="712">
        <v>0</v>
      </c>
      <c r="J65" s="712">
        <v>0</v>
      </c>
      <c r="K65" s="712">
        <v>0</v>
      </c>
      <c r="L65" s="712">
        <v>0</v>
      </c>
      <c r="M65" s="712">
        <v>0</v>
      </c>
      <c r="N65" s="712">
        <v>0</v>
      </c>
      <c r="O65" s="712">
        <v>0</v>
      </c>
      <c r="P65" s="712">
        <v>0</v>
      </c>
      <c r="Q65" s="712">
        <v>0</v>
      </c>
      <c r="R65" s="712">
        <v>0</v>
      </c>
      <c r="S65" s="712">
        <v>0</v>
      </c>
      <c r="T65" s="712">
        <v>0</v>
      </c>
      <c r="U65" s="712">
        <v>0</v>
      </c>
      <c r="V65" s="712">
        <v>0</v>
      </c>
      <c r="W65" s="712">
        <v>0</v>
      </c>
      <c r="X65" s="712">
        <v>0</v>
      </c>
      <c r="Y65" s="712">
        <v>0</v>
      </c>
      <c r="Z65" s="712">
        <v>0</v>
      </c>
      <c r="AA65" s="712">
        <v>0</v>
      </c>
      <c r="AB65" s="712">
        <v>0</v>
      </c>
      <c r="AC65" s="712">
        <v>0</v>
      </c>
      <c r="AD65" s="712">
        <v>0</v>
      </c>
      <c r="AE65" s="712">
        <v>0</v>
      </c>
      <c r="AF65" s="712">
        <v>0</v>
      </c>
      <c r="AG65" s="712">
        <v>0</v>
      </c>
      <c r="AH65" s="712">
        <v>0</v>
      </c>
      <c r="AI65" s="712">
        <v>0</v>
      </c>
      <c r="AJ65" s="712">
        <v>0</v>
      </c>
      <c r="AK65" s="712">
        <v>0</v>
      </c>
      <c r="AL65" s="712">
        <v>0</v>
      </c>
      <c r="AM65" s="712">
        <v>0</v>
      </c>
      <c r="AN65" s="712">
        <v>0</v>
      </c>
      <c r="AO65" s="712">
        <v>0</v>
      </c>
      <c r="AP65" s="712">
        <v>0</v>
      </c>
      <c r="AQ65" s="712">
        <v>0</v>
      </c>
      <c r="AR65" s="712">
        <v>0</v>
      </c>
      <c r="AS65" s="712">
        <v>0</v>
      </c>
      <c r="AT65">
        <v>0</v>
      </c>
      <c r="AU65" s="609"/>
      <c r="AV65" s="609"/>
      <c r="AW65" s="615"/>
      <c r="AX65" s="615"/>
      <c r="AY65" s="615"/>
      <c r="AZ65" s="615"/>
      <c r="BA65" s="615"/>
      <c r="BB65" s="615"/>
      <c r="BC65" s="615"/>
      <c r="BD65" s="615"/>
      <c r="BE65" s="615"/>
      <c r="BF65" s="615"/>
      <c r="BG65" s="615"/>
      <c r="BH65" s="615"/>
      <c r="BI65" s="615"/>
      <c r="BJ65" s="615"/>
      <c r="BK65" s="615"/>
      <c r="BL65" s="615"/>
      <c r="BM65" s="615"/>
      <c r="BN65" s="615"/>
      <c r="BO65" s="615"/>
      <c r="BP65" s="615"/>
      <c r="BQ65" s="615"/>
      <c r="BR65" s="615"/>
      <c r="BS65" s="615"/>
      <c r="BT65" s="615"/>
      <c r="BU65" s="615"/>
      <c r="BV65" s="615"/>
      <c r="BW65" s="615"/>
      <c r="BX65" s="607"/>
    </row>
    <row r="66" spans="1:76" s="612" customFormat="1" ht="25.5" x14ac:dyDescent="0.2">
      <c r="A66" s="839"/>
      <c r="B66" s="713" t="s">
        <v>1700</v>
      </c>
      <c r="C66" s="713" t="s">
        <v>1799</v>
      </c>
      <c r="D66" s="712">
        <v>0</v>
      </c>
      <c r="E66" s="712">
        <v>0</v>
      </c>
      <c r="F66" s="712">
        <v>0</v>
      </c>
      <c r="G66" s="712">
        <v>0</v>
      </c>
      <c r="H66" s="712">
        <v>0</v>
      </c>
      <c r="I66" s="712">
        <v>0</v>
      </c>
      <c r="J66" s="712">
        <v>0</v>
      </c>
      <c r="K66" s="712">
        <v>0</v>
      </c>
      <c r="L66" s="712">
        <v>0</v>
      </c>
      <c r="M66" s="712">
        <v>0</v>
      </c>
      <c r="N66" s="712">
        <v>0</v>
      </c>
      <c r="O66" s="712">
        <v>0</v>
      </c>
      <c r="P66" s="712">
        <v>0</v>
      </c>
      <c r="Q66" s="712">
        <v>0</v>
      </c>
      <c r="R66" s="712">
        <v>0</v>
      </c>
      <c r="S66" s="712">
        <v>0</v>
      </c>
      <c r="T66" s="712">
        <v>0</v>
      </c>
      <c r="U66" s="712">
        <v>0</v>
      </c>
      <c r="V66" s="712">
        <v>0</v>
      </c>
      <c r="W66" s="712">
        <v>0</v>
      </c>
      <c r="X66" s="712">
        <v>0</v>
      </c>
      <c r="Y66" s="712">
        <v>0</v>
      </c>
      <c r="Z66" s="712">
        <v>0</v>
      </c>
      <c r="AA66" s="712">
        <v>0</v>
      </c>
      <c r="AB66" s="712">
        <v>0</v>
      </c>
      <c r="AC66" s="712">
        <v>0</v>
      </c>
      <c r="AD66" s="712">
        <v>0</v>
      </c>
      <c r="AE66" s="712">
        <v>0</v>
      </c>
      <c r="AF66" s="712">
        <v>0</v>
      </c>
      <c r="AG66" s="712">
        <v>0</v>
      </c>
      <c r="AH66" s="712">
        <v>0</v>
      </c>
      <c r="AI66" s="712">
        <v>0</v>
      </c>
      <c r="AJ66" s="712">
        <v>0</v>
      </c>
      <c r="AK66" s="712">
        <v>0</v>
      </c>
      <c r="AL66" s="712">
        <v>0</v>
      </c>
      <c r="AM66" s="712">
        <v>0</v>
      </c>
      <c r="AN66" s="712">
        <v>0</v>
      </c>
      <c r="AO66" s="712">
        <v>0</v>
      </c>
      <c r="AP66" s="712">
        <v>0</v>
      </c>
      <c r="AQ66" s="712">
        <v>0</v>
      </c>
      <c r="AR66" s="712">
        <v>0</v>
      </c>
      <c r="AS66" s="712">
        <v>0</v>
      </c>
      <c r="AT66">
        <v>0</v>
      </c>
      <c r="AU66" s="609"/>
      <c r="AV66" s="609"/>
      <c r="AW66" s="615"/>
      <c r="AX66" s="615"/>
      <c r="AY66" s="615"/>
      <c r="AZ66" s="615"/>
      <c r="BA66" s="615"/>
      <c r="BB66" s="615"/>
      <c r="BC66" s="615"/>
      <c r="BD66" s="615"/>
      <c r="BE66" s="615"/>
      <c r="BF66" s="615"/>
      <c r="BG66" s="615"/>
      <c r="BH66" s="615"/>
      <c r="BI66" s="615"/>
      <c r="BJ66" s="615"/>
      <c r="BK66" s="615"/>
      <c r="BL66" s="615"/>
      <c r="BM66" s="615"/>
      <c r="BN66" s="615"/>
      <c r="BO66" s="615"/>
      <c r="BP66" s="615"/>
      <c r="BQ66" s="615"/>
      <c r="BR66" s="615"/>
      <c r="BS66" s="615"/>
      <c r="BT66" s="615"/>
      <c r="BU66" s="615"/>
      <c r="BV66" s="615"/>
      <c r="BW66" s="615"/>
      <c r="BX66" s="607"/>
    </row>
    <row r="67" spans="1:76" s="612" customFormat="1" ht="25.5" x14ac:dyDescent="0.2">
      <c r="A67" s="839"/>
      <c r="B67" s="713" t="s">
        <v>1611</v>
      </c>
      <c r="C67" s="713" t="s">
        <v>1857</v>
      </c>
      <c r="D67" s="712">
        <v>0</v>
      </c>
      <c r="E67" s="712">
        <v>0</v>
      </c>
      <c r="F67" s="712">
        <v>0</v>
      </c>
      <c r="G67" s="712">
        <v>0</v>
      </c>
      <c r="H67" s="712">
        <v>493419</v>
      </c>
      <c r="I67" s="712">
        <v>0</v>
      </c>
      <c r="J67" s="712">
        <v>0</v>
      </c>
      <c r="K67" s="712">
        <v>0</v>
      </c>
      <c r="L67" s="712">
        <v>0</v>
      </c>
      <c r="M67" s="712">
        <v>127338</v>
      </c>
      <c r="N67" s="712">
        <v>0</v>
      </c>
      <c r="O67" s="712">
        <v>0</v>
      </c>
      <c r="P67" s="712">
        <v>0</v>
      </c>
      <c r="Q67" s="712">
        <v>0</v>
      </c>
      <c r="R67" s="712">
        <v>0</v>
      </c>
      <c r="S67" s="712">
        <v>0</v>
      </c>
      <c r="T67" s="712">
        <v>0</v>
      </c>
      <c r="U67" s="712">
        <v>0</v>
      </c>
      <c r="V67" s="712">
        <v>0</v>
      </c>
      <c r="W67" s="712">
        <v>0</v>
      </c>
      <c r="X67" s="712">
        <v>0</v>
      </c>
      <c r="Y67" s="712">
        <v>0</v>
      </c>
      <c r="Z67" s="712">
        <v>0</v>
      </c>
      <c r="AA67" s="712">
        <v>0</v>
      </c>
      <c r="AB67" s="712">
        <v>0</v>
      </c>
      <c r="AC67" s="712">
        <v>0</v>
      </c>
      <c r="AD67" s="712">
        <v>0</v>
      </c>
      <c r="AE67" s="712">
        <v>0</v>
      </c>
      <c r="AF67" s="712">
        <v>0</v>
      </c>
      <c r="AG67" s="712">
        <v>0</v>
      </c>
      <c r="AH67" s="712">
        <v>0</v>
      </c>
      <c r="AI67" s="712">
        <v>0</v>
      </c>
      <c r="AJ67" s="712">
        <v>0</v>
      </c>
      <c r="AK67" s="712">
        <v>0</v>
      </c>
      <c r="AL67" s="712">
        <v>0</v>
      </c>
      <c r="AM67" s="712">
        <v>0</v>
      </c>
      <c r="AN67" s="712">
        <v>0</v>
      </c>
      <c r="AO67" s="712">
        <v>0</v>
      </c>
      <c r="AP67" s="712">
        <v>0</v>
      </c>
      <c r="AQ67" s="712">
        <v>0</v>
      </c>
      <c r="AR67" s="712">
        <v>0</v>
      </c>
      <c r="AS67" s="712">
        <v>0</v>
      </c>
      <c r="AT67">
        <v>620757</v>
      </c>
      <c r="AU67" s="609"/>
      <c r="AV67" s="609"/>
      <c r="AW67" s="615"/>
      <c r="AX67" s="615"/>
      <c r="AY67" s="615"/>
      <c r="AZ67" s="615"/>
      <c r="BA67" s="615"/>
      <c r="BB67" s="615"/>
      <c r="BC67" s="615"/>
      <c r="BD67" s="615"/>
      <c r="BE67" s="615"/>
      <c r="BF67" s="615"/>
      <c r="BG67" s="615"/>
      <c r="BH67" s="615"/>
      <c r="BI67" s="615"/>
      <c r="BJ67" s="615"/>
      <c r="BK67" s="615"/>
      <c r="BL67" s="615"/>
      <c r="BM67" s="615"/>
      <c r="BN67" s="615"/>
      <c r="BO67" s="615"/>
      <c r="BP67" s="615"/>
      <c r="BQ67" s="615"/>
      <c r="BR67" s="615"/>
      <c r="BS67" s="615"/>
      <c r="BT67" s="615"/>
      <c r="BU67" s="615"/>
      <c r="BV67" s="615"/>
      <c r="BW67" s="615"/>
      <c r="BX67" s="607"/>
    </row>
    <row r="68" spans="1:76" s="612" customFormat="1" ht="12.75" x14ac:dyDescent="0.2">
      <c r="A68" s="839"/>
      <c r="B68" s="838" t="s">
        <v>1745</v>
      </c>
      <c r="C68" s="713" t="s">
        <v>1817</v>
      </c>
      <c r="D68" s="712">
        <v>0</v>
      </c>
      <c r="E68" s="712">
        <v>0</v>
      </c>
      <c r="F68" s="712">
        <v>0</v>
      </c>
      <c r="G68" s="712">
        <v>0</v>
      </c>
      <c r="H68" s="712">
        <v>0</v>
      </c>
      <c r="I68" s="712">
        <v>0</v>
      </c>
      <c r="J68" s="712">
        <v>0</v>
      </c>
      <c r="K68" s="712">
        <v>0</v>
      </c>
      <c r="L68" s="712">
        <v>0</v>
      </c>
      <c r="M68" s="712">
        <v>0</v>
      </c>
      <c r="N68" s="712">
        <v>0</v>
      </c>
      <c r="O68" s="712">
        <v>0</v>
      </c>
      <c r="P68" s="712">
        <v>0</v>
      </c>
      <c r="Q68" s="712">
        <v>0</v>
      </c>
      <c r="R68" s="712">
        <v>0</v>
      </c>
      <c r="S68" s="712">
        <v>0</v>
      </c>
      <c r="T68" s="712">
        <v>0</v>
      </c>
      <c r="U68" s="712">
        <v>0</v>
      </c>
      <c r="V68" s="712">
        <v>0</v>
      </c>
      <c r="W68" s="712">
        <v>0</v>
      </c>
      <c r="X68" s="712">
        <v>0</v>
      </c>
      <c r="Y68" s="712">
        <v>0</v>
      </c>
      <c r="Z68" s="712">
        <v>0</v>
      </c>
      <c r="AA68" s="712">
        <v>0</v>
      </c>
      <c r="AB68" s="712">
        <v>0</v>
      </c>
      <c r="AC68" s="712">
        <v>0</v>
      </c>
      <c r="AD68" s="712">
        <v>0</v>
      </c>
      <c r="AE68" s="712">
        <v>0</v>
      </c>
      <c r="AF68" s="712">
        <v>0</v>
      </c>
      <c r="AG68" s="712">
        <v>0</v>
      </c>
      <c r="AH68" s="712">
        <v>0</v>
      </c>
      <c r="AI68" s="712">
        <v>0</v>
      </c>
      <c r="AJ68" s="712">
        <v>0</v>
      </c>
      <c r="AK68" s="712">
        <v>0</v>
      </c>
      <c r="AL68" s="712">
        <v>0</v>
      </c>
      <c r="AM68" s="712">
        <v>0</v>
      </c>
      <c r="AN68" s="712">
        <v>0</v>
      </c>
      <c r="AO68" s="712">
        <v>0</v>
      </c>
      <c r="AP68" s="712">
        <v>0</v>
      </c>
      <c r="AQ68" s="712">
        <v>0</v>
      </c>
      <c r="AR68" s="712">
        <v>0</v>
      </c>
      <c r="AS68" s="712">
        <v>0</v>
      </c>
      <c r="AT68">
        <v>0</v>
      </c>
      <c r="AU68" s="609"/>
      <c r="AV68" s="609"/>
      <c r="AW68" s="615"/>
      <c r="AX68" s="615"/>
      <c r="AY68" s="615"/>
      <c r="AZ68" s="615"/>
      <c r="BA68" s="615"/>
      <c r="BB68" s="615"/>
      <c r="BC68" s="615"/>
      <c r="BD68" s="615"/>
      <c r="BE68" s="615"/>
      <c r="BF68" s="615"/>
      <c r="BG68" s="615"/>
      <c r="BH68" s="615"/>
      <c r="BI68" s="615"/>
      <c r="BJ68" s="615"/>
      <c r="BK68" s="615"/>
      <c r="BL68" s="615"/>
      <c r="BM68" s="615"/>
      <c r="BN68" s="615"/>
      <c r="BO68" s="615"/>
      <c r="BP68" s="615"/>
      <c r="BQ68" s="615"/>
      <c r="BR68" s="615"/>
      <c r="BS68" s="615"/>
      <c r="BT68" s="615"/>
      <c r="BU68" s="615"/>
      <c r="BV68" s="615"/>
      <c r="BW68" s="615"/>
      <c r="BX68" s="607"/>
    </row>
    <row r="69" spans="1:76" s="612" customFormat="1" ht="12.75" x14ac:dyDescent="0.2">
      <c r="A69" s="839"/>
      <c r="B69" s="839"/>
      <c r="C69" s="713" t="s">
        <v>1824</v>
      </c>
      <c r="D69" s="712">
        <v>0</v>
      </c>
      <c r="E69" s="712">
        <v>0</v>
      </c>
      <c r="F69" s="712">
        <v>0</v>
      </c>
      <c r="G69" s="712">
        <v>0</v>
      </c>
      <c r="H69" s="712">
        <v>0</v>
      </c>
      <c r="I69" s="712">
        <v>0</v>
      </c>
      <c r="J69" s="712">
        <v>0</v>
      </c>
      <c r="K69" s="712">
        <v>0</v>
      </c>
      <c r="L69" s="712">
        <v>0</v>
      </c>
      <c r="M69" s="712">
        <v>0</v>
      </c>
      <c r="N69" s="712">
        <v>0</v>
      </c>
      <c r="O69" s="712">
        <v>0</v>
      </c>
      <c r="P69" s="712">
        <v>0</v>
      </c>
      <c r="Q69" s="712">
        <v>0</v>
      </c>
      <c r="R69" s="712">
        <v>0</v>
      </c>
      <c r="S69" s="712">
        <v>0</v>
      </c>
      <c r="T69" s="712">
        <v>0</v>
      </c>
      <c r="U69" s="712">
        <v>0</v>
      </c>
      <c r="V69" s="712">
        <v>0</v>
      </c>
      <c r="W69" s="712">
        <v>0</v>
      </c>
      <c r="X69" s="712">
        <v>0</v>
      </c>
      <c r="Y69" s="712">
        <v>0</v>
      </c>
      <c r="Z69" s="712">
        <v>0</v>
      </c>
      <c r="AA69" s="712">
        <v>0</v>
      </c>
      <c r="AB69" s="712">
        <v>0</v>
      </c>
      <c r="AC69" s="712">
        <v>0</v>
      </c>
      <c r="AD69" s="712">
        <v>0</v>
      </c>
      <c r="AE69" s="712">
        <v>0</v>
      </c>
      <c r="AF69" s="712">
        <v>0</v>
      </c>
      <c r="AG69" s="712">
        <v>0</v>
      </c>
      <c r="AH69" s="712">
        <v>0</v>
      </c>
      <c r="AI69" s="712">
        <v>0</v>
      </c>
      <c r="AJ69" s="712">
        <v>0</v>
      </c>
      <c r="AK69" s="712">
        <v>0</v>
      </c>
      <c r="AL69" s="712">
        <v>0</v>
      </c>
      <c r="AM69" s="712">
        <v>0</v>
      </c>
      <c r="AN69" s="712">
        <v>0</v>
      </c>
      <c r="AO69" s="712">
        <v>0</v>
      </c>
      <c r="AP69" s="712">
        <v>0</v>
      </c>
      <c r="AQ69" s="712">
        <v>0</v>
      </c>
      <c r="AR69" s="712">
        <v>0</v>
      </c>
      <c r="AS69" s="712">
        <v>0</v>
      </c>
      <c r="AT69">
        <v>0</v>
      </c>
      <c r="AU69" s="609"/>
      <c r="AV69" s="609"/>
      <c r="AW69" s="615"/>
      <c r="AX69" s="615"/>
      <c r="AY69" s="615"/>
      <c r="AZ69" s="615"/>
      <c r="BA69" s="615"/>
      <c r="BB69" s="615"/>
      <c r="BC69" s="615"/>
      <c r="BD69" s="615"/>
      <c r="BE69" s="615"/>
      <c r="BF69" s="615"/>
      <c r="BG69" s="615"/>
      <c r="BH69" s="615"/>
      <c r="BI69" s="615"/>
      <c r="BJ69" s="615"/>
      <c r="BK69" s="615"/>
      <c r="BL69" s="615"/>
      <c r="BM69" s="615"/>
      <c r="BN69" s="615"/>
      <c r="BO69" s="615"/>
      <c r="BP69" s="615"/>
      <c r="BQ69" s="615"/>
      <c r="BR69" s="615"/>
      <c r="BS69" s="615"/>
      <c r="BT69" s="615"/>
      <c r="BU69" s="615"/>
      <c r="BV69" s="615"/>
      <c r="BW69" s="615"/>
      <c r="BX69" s="607"/>
    </row>
    <row r="70" spans="1:76" s="612" customFormat="1" ht="25.5" x14ac:dyDescent="0.2">
      <c r="A70" s="839"/>
      <c r="B70" s="713" t="s">
        <v>2576</v>
      </c>
      <c r="C70" s="713" t="s">
        <v>1831</v>
      </c>
      <c r="D70" s="712">
        <v>0</v>
      </c>
      <c r="E70" s="712">
        <v>0</v>
      </c>
      <c r="F70" s="712">
        <v>0</v>
      </c>
      <c r="G70" s="712">
        <v>0</v>
      </c>
      <c r="H70" s="712">
        <v>0</v>
      </c>
      <c r="I70" s="712">
        <v>0</v>
      </c>
      <c r="J70" s="712">
        <v>0</v>
      </c>
      <c r="K70" s="712">
        <v>0</v>
      </c>
      <c r="L70" s="712">
        <v>0</v>
      </c>
      <c r="M70" s="712">
        <v>0</v>
      </c>
      <c r="N70" s="712">
        <v>0</v>
      </c>
      <c r="O70" s="712">
        <v>0</v>
      </c>
      <c r="P70" s="712">
        <v>0</v>
      </c>
      <c r="Q70" s="712">
        <v>0</v>
      </c>
      <c r="R70" s="712">
        <v>0</v>
      </c>
      <c r="S70" s="712">
        <v>0</v>
      </c>
      <c r="T70" s="712">
        <v>0</v>
      </c>
      <c r="U70" s="712">
        <v>0</v>
      </c>
      <c r="V70" s="712">
        <v>0</v>
      </c>
      <c r="W70" s="712">
        <v>0</v>
      </c>
      <c r="X70" s="712">
        <v>0</v>
      </c>
      <c r="Y70" s="712">
        <v>0</v>
      </c>
      <c r="Z70" s="712">
        <v>0</v>
      </c>
      <c r="AA70" s="712">
        <v>0</v>
      </c>
      <c r="AB70" s="712">
        <v>0</v>
      </c>
      <c r="AC70" s="712">
        <v>0</v>
      </c>
      <c r="AD70" s="712">
        <v>0</v>
      </c>
      <c r="AE70" s="712">
        <v>0</v>
      </c>
      <c r="AF70" s="712">
        <v>0</v>
      </c>
      <c r="AG70" s="712">
        <v>0</v>
      </c>
      <c r="AH70" s="712">
        <v>0</v>
      </c>
      <c r="AI70" s="712">
        <v>0</v>
      </c>
      <c r="AJ70" s="712">
        <v>0</v>
      </c>
      <c r="AK70" s="712">
        <v>0</v>
      </c>
      <c r="AL70" s="712">
        <v>0</v>
      </c>
      <c r="AM70" s="712">
        <v>0</v>
      </c>
      <c r="AN70" s="712">
        <v>0</v>
      </c>
      <c r="AO70" s="712">
        <v>0</v>
      </c>
      <c r="AP70" s="712">
        <v>0</v>
      </c>
      <c r="AQ70" s="712">
        <v>0</v>
      </c>
      <c r="AR70" s="712">
        <v>0</v>
      </c>
      <c r="AS70" s="712">
        <v>0</v>
      </c>
      <c r="AT70">
        <v>0</v>
      </c>
      <c r="AU70" s="609"/>
      <c r="AV70" s="609"/>
      <c r="AW70" s="615"/>
      <c r="AX70" s="615"/>
      <c r="AY70" s="615"/>
      <c r="AZ70" s="615"/>
      <c r="BA70" s="615"/>
      <c r="BB70" s="615"/>
      <c r="BC70" s="615"/>
      <c r="BD70" s="615"/>
      <c r="BE70" s="615"/>
      <c r="BF70" s="615"/>
      <c r="BG70" s="615"/>
      <c r="BH70" s="615"/>
      <c r="BI70" s="615"/>
      <c r="BJ70" s="615"/>
      <c r="BK70" s="615"/>
      <c r="BL70" s="615"/>
      <c r="BM70" s="615"/>
      <c r="BN70" s="615"/>
      <c r="BO70" s="615"/>
      <c r="BP70" s="615"/>
      <c r="BQ70" s="615"/>
      <c r="BR70" s="615"/>
      <c r="BS70" s="615"/>
      <c r="BT70" s="615"/>
      <c r="BU70" s="615"/>
      <c r="BV70" s="615"/>
      <c r="BW70" s="615"/>
      <c r="BX70" s="607"/>
    </row>
    <row r="71" spans="1:76" s="612" customFormat="1" ht="12.75" x14ac:dyDescent="0.2">
      <c r="A71" s="839"/>
      <c r="B71" s="838" t="s">
        <v>3425</v>
      </c>
      <c r="C71" s="713" t="s">
        <v>3424</v>
      </c>
      <c r="D71" s="712">
        <v>0</v>
      </c>
      <c r="E71" s="712">
        <v>0</v>
      </c>
      <c r="F71" s="712">
        <v>0</v>
      </c>
      <c r="G71" s="712">
        <v>0</v>
      </c>
      <c r="H71" s="712">
        <v>0</v>
      </c>
      <c r="I71" s="712">
        <v>0</v>
      </c>
      <c r="J71" s="712">
        <v>0</v>
      </c>
      <c r="K71" s="712">
        <v>0</v>
      </c>
      <c r="L71" s="712">
        <v>0</v>
      </c>
      <c r="M71" s="712">
        <v>0</v>
      </c>
      <c r="N71" s="712">
        <v>0</v>
      </c>
      <c r="O71" s="712">
        <v>0</v>
      </c>
      <c r="P71" s="712">
        <v>1191026</v>
      </c>
      <c r="Q71" s="712">
        <v>0</v>
      </c>
      <c r="R71" s="712">
        <v>0</v>
      </c>
      <c r="S71" s="712">
        <v>0</v>
      </c>
      <c r="T71" s="712">
        <v>0</v>
      </c>
      <c r="U71" s="712">
        <v>0</v>
      </c>
      <c r="V71" s="712">
        <v>0</v>
      </c>
      <c r="W71" s="712">
        <v>0</v>
      </c>
      <c r="X71" s="712">
        <v>0</v>
      </c>
      <c r="Y71" s="712">
        <v>0</v>
      </c>
      <c r="Z71" s="712">
        <v>0</v>
      </c>
      <c r="AA71" s="712">
        <v>0</v>
      </c>
      <c r="AB71" s="712">
        <v>0</v>
      </c>
      <c r="AC71" s="712">
        <v>0</v>
      </c>
      <c r="AD71" s="712">
        <v>0</v>
      </c>
      <c r="AE71" s="712">
        <v>0</v>
      </c>
      <c r="AF71" s="712">
        <v>0</v>
      </c>
      <c r="AG71" s="712">
        <v>0</v>
      </c>
      <c r="AH71" s="712">
        <v>0</v>
      </c>
      <c r="AI71" s="712">
        <v>0</v>
      </c>
      <c r="AJ71" s="712">
        <v>0</v>
      </c>
      <c r="AK71" s="712">
        <v>0</v>
      </c>
      <c r="AL71" s="712">
        <v>0</v>
      </c>
      <c r="AM71" s="712">
        <v>0</v>
      </c>
      <c r="AN71" s="712">
        <v>0</v>
      </c>
      <c r="AO71" s="712">
        <v>0</v>
      </c>
      <c r="AP71" s="712">
        <v>0</v>
      </c>
      <c r="AQ71" s="712">
        <v>0</v>
      </c>
      <c r="AR71" s="712">
        <v>0</v>
      </c>
      <c r="AS71" s="712">
        <v>0</v>
      </c>
      <c r="AT71">
        <v>1191026</v>
      </c>
      <c r="AU71" s="609"/>
      <c r="AV71" s="609"/>
      <c r="AW71" s="615"/>
      <c r="AX71" s="615"/>
      <c r="AY71" s="615"/>
      <c r="AZ71" s="615"/>
      <c r="BA71" s="615"/>
      <c r="BB71" s="615"/>
      <c r="BC71" s="615"/>
      <c r="BD71" s="615"/>
      <c r="BE71" s="615"/>
      <c r="BF71" s="615"/>
      <c r="BG71" s="615"/>
      <c r="BH71" s="615"/>
      <c r="BI71" s="615"/>
      <c r="BJ71" s="615"/>
      <c r="BK71" s="615"/>
      <c r="BL71" s="615"/>
      <c r="BM71" s="615"/>
      <c r="BN71" s="615"/>
      <c r="BO71" s="615"/>
      <c r="BP71" s="615"/>
      <c r="BQ71" s="615"/>
      <c r="BR71" s="615"/>
      <c r="BS71" s="615"/>
      <c r="BT71" s="615"/>
      <c r="BU71" s="615"/>
      <c r="BV71" s="615"/>
      <c r="BW71" s="615"/>
      <c r="BX71" s="607"/>
    </row>
    <row r="72" spans="1:76" s="612" customFormat="1" ht="12.75" x14ac:dyDescent="0.2">
      <c r="A72" s="839"/>
      <c r="B72" s="839"/>
      <c r="C72" s="713" t="s">
        <v>3426</v>
      </c>
      <c r="D72" s="712">
        <v>0</v>
      </c>
      <c r="E72" s="712">
        <v>0</v>
      </c>
      <c r="F72" s="712">
        <v>0</v>
      </c>
      <c r="G72" s="712">
        <v>0</v>
      </c>
      <c r="H72" s="712">
        <v>0</v>
      </c>
      <c r="I72" s="712">
        <v>0</v>
      </c>
      <c r="J72" s="712">
        <v>0</v>
      </c>
      <c r="K72" s="712">
        <v>0</v>
      </c>
      <c r="L72" s="712">
        <v>0</v>
      </c>
      <c r="M72" s="712">
        <v>0</v>
      </c>
      <c r="N72" s="712">
        <v>0</v>
      </c>
      <c r="O72" s="712">
        <v>0</v>
      </c>
      <c r="P72" s="712">
        <v>1292417</v>
      </c>
      <c r="Q72" s="712">
        <v>0</v>
      </c>
      <c r="R72" s="712">
        <v>0</v>
      </c>
      <c r="S72" s="712">
        <v>0</v>
      </c>
      <c r="T72" s="712">
        <v>0</v>
      </c>
      <c r="U72" s="712">
        <v>0</v>
      </c>
      <c r="V72" s="712">
        <v>0</v>
      </c>
      <c r="W72" s="712">
        <v>0</v>
      </c>
      <c r="X72" s="712">
        <v>0</v>
      </c>
      <c r="Y72" s="712">
        <v>0</v>
      </c>
      <c r="Z72" s="712">
        <v>0</v>
      </c>
      <c r="AA72" s="712">
        <v>0</v>
      </c>
      <c r="AB72" s="712">
        <v>0</v>
      </c>
      <c r="AC72" s="712">
        <v>0</v>
      </c>
      <c r="AD72" s="712">
        <v>0</v>
      </c>
      <c r="AE72" s="712">
        <v>0</v>
      </c>
      <c r="AF72" s="712">
        <v>0</v>
      </c>
      <c r="AG72" s="712">
        <v>0</v>
      </c>
      <c r="AH72" s="712">
        <v>0</v>
      </c>
      <c r="AI72" s="712">
        <v>0</v>
      </c>
      <c r="AJ72" s="712">
        <v>0</v>
      </c>
      <c r="AK72" s="712">
        <v>0</v>
      </c>
      <c r="AL72" s="712">
        <v>0</v>
      </c>
      <c r="AM72" s="712">
        <v>0</v>
      </c>
      <c r="AN72" s="712">
        <v>0</v>
      </c>
      <c r="AO72" s="712">
        <v>0</v>
      </c>
      <c r="AP72" s="712">
        <v>0</v>
      </c>
      <c r="AQ72" s="712">
        <v>0</v>
      </c>
      <c r="AR72" s="712">
        <v>0</v>
      </c>
      <c r="AS72" s="712">
        <v>0</v>
      </c>
      <c r="AT72">
        <v>1292417</v>
      </c>
      <c r="AU72" s="609"/>
      <c r="AV72" s="609"/>
      <c r="AW72" s="615"/>
      <c r="AX72" s="615"/>
      <c r="AY72" s="615"/>
      <c r="AZ72" s="615"/>
      <c r="BA72" s="615"/>
      <c r="BB72" s="615"/>
      <c r="BC72" s="615"/>
      <c r="BD72" s="615"/>
      <c r="BE72" s="615"/>
      <c r="BF72" s="615"/>
      <c r="BG72" s="615"/>
      <c r="BH72" s="615"/>
      <c r="BI72" s="615"/>
      <c r="BJ72" s="615"/>
      <c r="BK72" s="615"/>
      <c r="BL72" s="615"/>
      <c r="BM72" s="615"/>
      <c r="BN72" s="615"/>
      <c r="BO72" s="615"/>
      <c r="BP72" s="615"/>
      <c r="BQ72" s="615"/>
      <c r="BR72" s="615"/>
      <c r="BS72" s="615"/>
      <c r="BT72" s="615"/>
      <c r="BU72" s="615"/>
      <c r="BV72" s="615"/>
      <c r="BW72" s="615"/>
      <c r="BX72" s="607"/>
    </row>
    <row r="73" spans="1:76" s="612" customFormat="1" ht="12.75" x14ac:dyDescent="0.2">
      <c r="A73" s="839"/>
      <c r="B73" s="839"/>
      <c r="C73" s="713" t="s">
        <v>3428</v>
      </c>
      <c r="D73" s="712">
        <v>0</v>
      </c>
      <c r="E73" s="712">
        <v>0</v>
      </c>
      <c r="F73" s="712">
        <v>0</v>
      </c>
      <c r="G73" s="712">
        <v>0</v>
      </c>
      <c r="H73" s="712">
        <v>0</v>
      </c>
      <c r="I73" s="712">
        <v>0</v>
      </c>
      <c r="J73" s="712">
        <v>0</v>
      </c>
      <c r="K73" s="712">
        <v>0</v>
      </c>
      <c r="L73" s="712">
        <v>0</v>
      </c>
      <c r="M73" s="712">
        <v>0</v>
      </c>
      <c r="N73" s="712">
        <v>0</v>
      </c>
      <c r="O73" s="712">
        <v>0</v>
      </c>
      <c r="P73" s="712">
        <v>0</v>
      </c>
      <c r="Q73" s="712">
        <v>0</v>
      </c>
      <c r="R73" s="712">
        <v>0</v>
      </c>
      <c r="S73" s="712">
        <v>0</v>
      </c>
      <c r="T73" s="712">
        <v>0</v>
      </c>
      <c r="U73" s="712">
        <v>0</v>
      </c>
      <c r="V73" s="712">
        <v>0</v>
      </c>
      <c r="W73" s="712">
        <v>0</v>
      </c>
      <c r="X73" s="712">
        <v>0</v>
      </c>
      <c r="Y73" s="712">
        <v>0</v>
      </c>
      <c r="Z73" s="712">
        <v>0</v>
      </c>
      <c r="AA73" s="712">
        <v>0</v>
      </c>
      <c r="AB73" s="712">
        <v>0</v>
      </c>
      <c r="AC73" s="712">
        <v>0</v>
      </c>
      <c r="AD73" s="712">
        <v>0</v>
      </c>
      <c r="AE73" s="712">
        <v>0</v>
      </c>
      <c r="AF73" s="712">
        <v>0</v>
      </c>
      <c r="AG73" s="712">
        <v>0</v>
      </c>
      <c r="AH73" s="712">
        <v>0</v>
      </c>
      <c r="AI73" s="712">
        <v>0</v>
      </c>
      <c r="AJ73" s="712">
        <v>0</v>
      </c>
      <c r="AK73" s="712">
        <v>0</v>
      </c>
      <c r="AL73" s="712">
        <v>0</v>
      </c>
      <c r="AM73" s="712">
        <v>0</v>
      </c>
      <c r="AN73" s="712">
        <v>0</v>
      </c>
      <c r="AO73" s="712">
        <v>0</v>
      </c>
      <c r="AP73" s="712">
        <v>0</v>
      </c>
      <c r="AQ73" s="712">
        <v>0</v>
      </c>
      <c r="AR73" s="712">
        <v>0</v>
      </c>
      <c r="AS73" s="712">
        <v>0</v>
      </c>
      <c r="AT73">
        <v>0</v>
      </c>
      <c r="AU73" s="609"/>
      <c r="AV73" s="609"/>
      <c r="AW73" s="615"/>
      <c r="AX73" s="615"/>
      <c r="AY73" s="615"/>
      <c r="AZ73" s="615"/>
      <c r="BA73" s="615"/>
      <c r="BB73" s="615"/>
      <c r="BC73" s="615"/>
      <c r="BD73" s="615"/>
      <c r="BE73" s="615"/>
      <c r="BF73" s="615"/>
      <c r="BG73" s="615"/>
      <c r="BH73" s="615"/>
      <c r="BI73" s="615"/>
      <c r="BJ73" s="615"/>
      <c r="BK73" s="615"/>
      <c r="BL73" s="615"/>
      <c r="BM73" s="615"/>
      <c r="BN73" s="615"/>
      <c r="BO73" s="615"/>
      <c r="BP73" s="615"/>
      <c r="BQ73" s="615"/>
      <c r="BR73" s="615"/>
      <c r="BS73" s="615"/>
      <c r="BT73" s="615"/>
      <c r="BU73" s="615"/>
      <c r="BV73" s="615"/>
      <c r="BW73" s="615"/>
      <c r="BX73" s="607"/>
    </row>
    <row r="74" spans="1:76" s="612" customFormat="1" ht="25.5" x14ac:dyDescent="0.2">
      <c r="A74" s="839"/>
      <c r="B74" s="713" t="s">
        <v>1702</v>
      </c>
      <c r="C74" s="713" t="s">
        <v>1821</v>
      </c>
      <c r="D74" s="712">
        <v>0</v>
      </c>
      <c r="E74" s="712">
        <v>0</v>
      </c>
      <c r="F74" s="712">
        <v>0</v>
      </c>
      <c r="G74" s="712">
        <v>0</v>
      </c>
      <c r="H74" s="712">
        <v>0</v>
      </c>
      <c r="I74" s="712">
        <v>0</v>
      </c>
      <c r="J74" s="712">
        <v>0</v>
      </c>
      <c r="K74" s="712">
        <v>0</v>
      </c>
      <c r="L74" s="712">
        <v>0</v>
      </c>
      <c r="M74" s="712">
        <v>0</v>
      </c>
      <c r="N74" s="712">
        <v>0</v>
      </c>
      <c r="O74" s="712">
        <v>0</v>
      </c>
      <c r="P74" s="712">
        <v>0</v>
      </c>
      <c r="Q74" s="712">
        <v>0</v>
      </c>
      <c r="R74" s="712">
        <v>0</v>
      </c>
      <c r="S74" s="712">
        <v>0</v>
      </c>
      <c r="T74" s="712">
        <v>0</v>
      </c>
      <c r="U74" s="712">
        <v>0</v>
      </c>
      <c r="V74" s="712">
        <v>0</v>
      </c>
      <c r="W74" s="712">
        <v>0</v>
      </c>
      <c r="X74" s="712">
        <v>0</v>
      </c>
      <c r="Y74" s="712">
        <v>0</v>
      </c>
      <c r="Z74" s="712">
        <v>0</v>
      </c>
      <c r="AA74" s="712">
        <v>0</v>
      </c>
      <c r="AB74" s="712">
        <v>0</v>
      </c>
      <c r="AC74" s="712">
        <v>0</v>
      </c>
      <c r="AD74" s="712">
        <v>0</v>
      </c>
      <c r="AE74" s="712">
        <v>0</v>
      </c>
      <c r="AF74" s="712">
        <v>0</v>
      </c>
      <c r="AG74" s="712">
        <v>0</v>
      </c>
      <c r="AH74" s="712">
        <v>0</v>
      </c>
      <c r="AI74" s="712">
        <v>0</v>
      </c>
      <c r="AJ74" s="712">
        <v>0</v>
      </c>
      <c r="AK74" s="712">
        <v>0</v>
      </c>
      <c r="AL74" s="712">
        <v>0</v>
      </c>
      <c r="AM74" s="712">
        <v>0</v>
      </c>
      <c r="AN74" s="712">
        <v>0</v>
      </c>
      <c r="AO74" s="712">
        <v>0</v>
      </c>
      <c r="AP74" s="712">
        <v>0</v>
      </c>
      <c r="AQ74" s="712">
        <v>0</v>
      </c>
      <c r="AR74" s="712">
        <v>0</v>
      </c>
      <c r="AS74" s="712">
        <v>0</v>
      </c>
      <c r="AT74">
        <v>0</v>
      </c>
      <c r="AU74" s="609"/>
      <c r="AV74" s="609"/>
      <c r="AW74" s="615"/>
      <c r="AX74" s="615"/>
      <c r="AY74" s="615"/>
      <c r="AZ74" s="615"/>
      <c r="BA74" s="615"/>
      <c r="BB74" s="615"/>
      <c r="BC74" s="615"/>
      <c r="BD74" s="615"/>
      <c r="BE74" s="615"/>
      <c r="BF74" s="615"/>
      <c r="BG74" s="615"/>
      <c r="BH74" s="615"/>
      <c r="BI74" s="615"/>
      <c r="BJ74" s="615"/>
      <c r="BK74" s="615"/>
      <c r="BL74" s="615"/>
      <c r="BM74" s="615"/>
      <c r="BN74" s="615"/>
      <c r="BO74" s="615"/>
      <c r="BP74" s="615"/>
      <c r="BQ74" s="615"/>
      <c r="BR74" s="615"/>
      <c r="BS74" s="615"/>
      <c r="BT74" s="615"/>
      <c r="BU74" s="615"/>
      <c r="BV74" s="615"/>
      <c r="BW74" s="615"/>
      <c r="BX74" s="607"/>
    </row>
    <row r="75" spans="1:76" s="612" customFormat="1" ht="25.5" x14ac:dyDescent="0.2">
      <c r="A75" s="839"/>
      <c r="B75" s="713" t="s">
        <v>1703</v>
      </c>
      <c r="C75" s="713" t="s">
        <v>1833</v>
      </c>
      <c r="D75" s="712">
        <v>0</v>
      </c>
      <c r="E75" s="712">
        <v>0</v>
      </c>
      <c r="F75" s="712">
        <v>0</v>
      </c>
      <c r="G75" s="712">
        <v>0</v>
      </c>
      <c r="H75" s="712">
        <v>0</v>
      </c>
      <c r="I75" s="712">
        <v>0</v>
      </c>
      <c r="J75" s="712">
        <v>0</v>
      </c>
      <c r="K75" s="712">
        <v>0</v>
      </c>
      <c r="L75" s="712">
        <v>0</v>
      </c>
      <c r="M75" s="712">
        <v>58596</v>
      </c>
      <c r="N75" s="712">
        <v>0</v>
      </c>
      <c r="O75" s="712">
        <v>0</v>
      </c>
      <c r="P75" s="712">
        <v>0</v>
      </c>
      <c r="Q75" s="712">
        <v>0</v>
      </c>
      <c r="R75" s="712">
        <v>0</v>
      </c>
      <c r="S75" s="712">
        <v>0</v>
      </c>
      <c r="T75" s="712">
        <v>0</v>
      </c>
      <c r="U75" s="712">
        <v>0</v>
      </c>
      <c r="V75" s="712">
        <v>0</v>
      </c>
      <c r="W75" s="712">
        <v>0</v>
      </c>
      <c r="X75" s="712">
        <v>0</v>
      </c>
      <c r="Y75" s="712">
        <v>0</v>
      </c>
      <c r="Z75" s="712">
        <v>0</v>
      </c>
      <c r="AA75" s="712">
        <v>0</v>
      </c>
      <c r="AB75" s="712">
        <v>0</v>
      </c>
      <c r="AC75" s="712">
        <v>0</v>
      </c>
      <c r="AD75" s="712">
        <v>0</v>
      </c>
      <c r="AE75" s="712">
        <v>0</v>
      </c>
      <c r="AF75" s="712">
        <v>0</v>
      </c>
      <c r="AG75" s="712">
        <v>0</v>
      </c>
      <c r="AH75" s="712">
        <v>0</v>
      </c>
      <c r="AI75" s="712">
        <v>0</v>
      </c>
      <c r="AJ75" s="712">
        <v>0</v>
      </c>
      <c r="AK75" s="712">
        <v>0</v>
      </c>
      <c r="AL75" s="712">
        <v>0</v>
      </c>
      <c r="AM75" s="712">
        <v>0</v>
      </c>
      <c r="AN75" s="712">
        <v>0</v>
      </c>
      <c r="AO75" s="712">
        <v>0</v>
      </c>
      <c r="AP75" s="712">
        <v>0</v>
      </c>
      <c r="AQ75" s="712">
        <v>0</v>
      </c>
      <c r="AR75" s="712">
        <v>0</v>
      </c>
      <c r="AS75" s="712">
        <v>0</v>
      </c>
      <c r="AT75">
        <v>58596</v>
      </c>
      <c r="AU75" s="609"/>
      <c r="AV75" s="609"/>
      <c r="AW75" s="615"/>
      <c r="AX75" s="615"/>
      <c r="AY75" s="615"/>
      <c r="AZ75" s="615"/>
      <c r="BA75" s="615"/>
      <c r="BB75" s="615"/>
      <c r="BC75" s="615"/>
      <c r="BD75" s="615"/>
      <c r="BE75" s="615"/>
      <c r="BF75" s="615"/>
      <c r="BG75" s="615"/>
      <c r="BH75" s="615"/>
      <c r="BI75" s="615"/>
      <c r="BJ75" s="615"/>
      <c r="BK75" s="615"/>
      <c r="BL75" s="615"/>
      <c r="BM75" s="615"/>
      <c r="BN75" s="615"/>
      <c r="BO75" s="615"/>
      <c r="BP75" s="615"/>
      <c r="BQ75" s="615"/>
      <c r="BR75" s="615"/>
      <c r="BS75" s="615"/>
      <c r="BT75" s="615"/>
      <c r="BU75" s="615"/>
      <c r="BV75" s="615"/>
      <c r="BW75" s="615"/>
      <c r="BX75" s="607"/>
    </row>
    <row r="76" spans="1:76" s="612" customFormat="1" ht="25.5" x14ac:dyDescent="0.2">
      <c r="A76" s="839"/>
      <c r="B76" s="713" t="s">
        <v>1643</v>
      </c>
      <c r="C76" s="713" t="s">
        <v>1872</v>
      </c>
      <c r="D76" s="712">
        <v>0</v>
      </c>
      <c r="E76" s="712">
        <v>0</v>
      </c>
      <c r="F76" s="712">
        <v>0</v>
      </c>
      <c r="G76" s="712">
        <v>0</v>
      </c>
      <c r="H76" s="712">
        <v>0</v>
      </c>
      <c r="I76" s="712">
        <v>0</v>
      </c>
      <c r="J76" s="712">
        <v>0</v>
      </c>
      <c r="K76" s="712">
        <v>0</v>
      </c>
      <c r="L76" s="712">
        <v>0</v>
      </c>
      <c r="M76" s="712">
        <v>0</v>
      </c>
      <c r="N76" s="712">
        <v>0</v>
      </c>
      <c r="O76" s="712">
        <v>0</v>
      </c>
      <c r="P76" s="712">
        <v>0</v>
      </c>
      <c r="Q76" s="712">
        <v>0</v>
      </c>
      <c r="R76" s="712">
        <v>0</v>
      </c>
      <c r="S76" s="712">
        <v>0</v>
      </c>
      <c r="T76" s="712">
        <v>0</v>
      </c>
      <c r="U76" s="712">
        <v>0</v>
      </c>
      <c r="V76" s="712">
        <v>0</v>
      </c>
      <c r="W76" s="712">
        <v>0</v>
      </c>
      <c r="X76" s="712">
        <v>0</v>
      </c>
      <c r="Y76" s="712">
        <v>0</v>
      </c>
      <c r="Z76" s="712">
        <v>0</v>
      </c>
      <c r="AA76" s="712">
        <v>0</v>
      </c>
      <c r="AB76" s="712">
        <v>0</v>
      </c>
      <c r="AC76" s="712">
        <v>0</v>
      </c>
      <c r="AD76" s="712">
        <v>0</v>
      </c>
      <c r="AE76" s="712">
        <v>0</v>
      </c>
      <c r="AF76" s="712">
        <v>0</v>
      </c>
      <c r="AG76" s="712">
        <v>0</v>
      </c>
      <c r="AH76" s="712">
        <v>0</v>
      </c>
      <c r="AI76" s="712">
        <v>0</v>
      </c>
      <c r="AJ76" s="712">
        <v>0</v>
      </c>
      <c r="AK76" s="712">
        <v>0</v>
      </c>
      <c r="AL76" s="712">
        <v>0</v>
      </c>
      <c r="AM76" s="712">
        <v>0</v>
      </c>
      <c r="AN76" s="712">
        <v>0</v>
      </c>
      <c r="AO76" s="712">
        <v>0</v>
      </c>
      <c r="AP76" s="712">
        <v>0</v>
      </c>
      <c r="AQ76" s="712">
        <v>0</v>
      </c>
      <c r="AR76" s="712">
        <v>0</v>
      </c>
      <c r="AS76" s="712">
        <v>0</v>
      </c>
      <c r="AT76">
        <v>0</v>
      </c>
      <c r="AU76" s="609"/>
      <c r="AV76" s="609"/>
      <c r="AW76" s="615"/>
      <c r="AX76" s="615"/>
      <c r="AY76" s="615"/>
      <c r="AZ76" s="615"/>
      <c r="BA76" s="615"/>
      <c r="BB76" s="615"/>
      <c r="BC76" s="615"/>
      <c r="BD76" s="615"/>
      <c r="BE76" s="615"/>
      <c r="BF76" s="615"/>
      <c r="BG76" s="615"/>
      <c r="BH76" s="615"/>
      <c r="BI76" s="615"/>
      <c r="BJ76" s="615"/>
      <c r="BK76" s="615"/>
      <c r="BL76" s="615"/>
      <c r="BM76" s="615"/>
      <c r="BN76" s="615"/>
      <c r="BO76" s="615"/>
      <c r="BP76" s="615"/>
      <c r="BQ76" s="615"/>
      <c r="BR76" s="615"/>
      <c r="BS76" s="615"/>
      <c r="BT76" s="615"/>
      <c r="BU76" s="615"/>
      <c r="BV76" s="615"/>
      <c r="BW76" s="615"/>
      <c r="BX76" s="607"/>
    </row>
    <row r="77" spans="1:76" s="612" customFormat="1" ht="25.5" x14ac:dyDescent="0.2">
      <c r="A77" s="839"/>
      <c r="B77" s="713" t="s">
        <v>1636</v>
      </c>
      <c r="C77" s="713" t="s">
        <v>1784</v>
      </c>
      <c r="D77" s="712">
        <v>0</v>
      </c>
      <c r="E77" s="712">
        <v>0</v>
      </c>
      <c r="F77" s="712">
        <v>0</v>
      </c>
      <c r="G77" s="712">
        <v>0</v>
      </c>
      <c r="H77" s="712">
        <v>0</v>
      </c>
      <c r="I77" s="712">
        <v>0</v>
      </c>
      <c r="J77" s="712">
        <v>0</v>
      </c>
      <c r="K77" s="712">
        <v>0</v>
      </c>
      <c r="L77" s="712">
        <v>0</v>
      </c>
      <c r="M77" s="712">
        <v>0</v>
      </c>
      <c r="N77" s="712">
        <v>0</v>
      </c>
      <c r="O77" s="712">
        <v>0</v>
      </c>
      <c r="P77" s="712">
        <v>0</v>
      </c>
      <c r="Q77" s="712">
        <v>0</v>
      </c>
      <c r="R77" s="712">
        <v>0</v>
      </c>
      <c r="S77" s="712">
        <v>0</v>
      </c>
      <c r="T77" s="712">
        <v>0</v>
      </c>
      <c r="U77" s="712">
        <v>0</v>
      </c>
      <c r="V77" s="712">
        <v>0</v>
      </c>
      <c r="W77" s="712">
        <v>0</v>
      </c>
      <c r="X77" s="712">
        <v>0</v>
      </c>
      <c r="Y77" s="712">
        <v>0</v>
      </c>
      <c r="Z77" s="712">
        <v>0</v>
      </c>
      <c r="AA77" s="712">
        <v>0</v>
      </c>
      <c r="AB77" s="712">
        <v>0</v>
      </c>
      <c r="AC77" s="712">
        <v>0</v>
      </c>
      <c r="AD77" s="712">
        <v>0</v>
      </c>
      <c r="AE77" s="712">
        <v>0</v>
      </c>
      <c r="AF77" s="712">
        <v>0</v>
      </c>
      <c r="AG77" s="712">
        <v>0</v>
      </c>
      <c r="AH77" s="712">
        <v>0</v>
      </c>
      <c r="AI77" s="712">
        <v>0</v>
      </c>
      <c r="AJ77" s="712">
        <v>0</v>
      </c>
      <c r="AK77" s="712">
        <v>0</v>
      </c>
      <c r="AL77" s="712">
        <v>0</v>
      </c>
      <c r="AM77" s="712">
        <v>0</v>
      </c>
      <c r="AN77" s="712">
        <v>0</v>
      </c>
      <c r="AO77" s="712">
        <v>0</v>
      </c>
      <c r="AP77" s="712">
        <v>0</v>
      </c>
      <c r="AQ77" s="712">
        <v>0</v>
      </c>
      <c r="AR77" s="712">
        <v>0</v>
      </c>
      <c r="AS77" s="712">
        <v>0</v>
      </c>
      <c r="AT77">
        <v>0</v>
      </c>
      <c r="AU77" s="609"/>
      <c r="AV77" s="609"/>
      <c r="AW77" s="615"/>
      <c r="AX77" s="615"/>
      <c r="AY77" s="615"/>
      <c r="AZ77" s="615"/>
      <c r="BA77" s="615"/>
      <c r="BB77" s="615"/>
      <c r="BC77" s="615"/>
      <c r="BD77" s="615"/>
      <c r="BE77" s="615"/>
      <c r="BF77" s="615"/>
      <c r="BG77" s="615"/>
      <c r="BH77" s="615"/>
      <c r="BI77" s="615"/>
      <c r="BJ77" s="615"/>
      <c r="BK77" s="615"/>
      <c r="BL77" s="615"/>
      <c r="BM77" s="615"/>
      <c r="BN77" s="615"/>
      <c r="BO77" s="615"/>
      <c r="BP77" s="615"/>
      <c r="BQ77" s="615"/>
      <c r="BR77" s="615"/>
      <c r="BS77" s="615"/>
      <c r="BT77" s="615"/>
      <c r="BU77" s="615"/>
      <c r="BV77" s="615"/>
      <c r="BW77" s="615"/>
      <c r="BX77" s="607"/>
    </row>
    <row r="78" spans="1:76" s="612" customFormat="1" ht="25.5" x14ac:dyDescent="0.2">
      <c r="A78" s="839"/>
      <c r="B78" s="713" t="s">
        <v>1114</v>
      </c>
      <c r="C78" s="713" t="s">
        <v>1778</v>
      </c>
      <c r="D78" s="712">
        <v>0</v>
      </c>
      <c r="E78" s="712">
        <v>0</v>
      </c>
      <c r="F78" s="712">
        <v>0</v>
      </c>
      <c r="G78" s="712">
        <v>0</v>
      </c>
      <c r="H78" s="712">
        <v>0</v>
      </c>
      <c r="I78" s="712">
        <v>0</v>
      </c>
      <c r="J78" s="712">
        <v>0</v>
      </c>
      <c r="K78" s="712">
        <v>0</v>
      </c>
      <c r="L78" s="712">
        <v>0</v>
      </c>
      <c r="M78" s="712">
        <v>0</v>
      </c>
      <c r="N78" s="712">
        <v>0</v>
      </c>
      <c r="O78" s="712">
        <v>0</v>
      </c>
      <c r="P78" s="712">
        <v>0</v>
      </c>
      <c r="Q78" s="712">
        <v>0</v>
      </c>
      <c r="R78" s="712">
        <v>0</v>
      </c>
      <c r="S78" s="712">
        <v>0</v>
      </c>
      <c r="T78" s="712">
        <v>0</v>
      </c>
      <c r="U78" s="712">
        <v>0</v>
      </c>
      <c r="V78" s="712">
        <v>0</v>
      </c>
      <c r="W78" s="712">
        <v>0</v>
      </c>
      <c r="X78" s="712">
        <v>0</v>
      </c>
      <c r="Y78" s="712">
        <v>0</v>
      </c>
      <c r="Z78" s="712">
        <v>0</v>
      </c>
      <c r="AA78" s="712">
        <v>0</v>
      </c>
      <c r="AB78" s="712">
        <v>0</v>
      </c>
      <c r="AC78" s="712">
        <v>0</v>
      </c>
      <c r="AD78" s="712">
        <v>0</v>
      </c>
      <c r="AE78" s="712">
        <v>0</v>
      </c>
      <c r="AF78" s="712">
        <v>0</v>
      </c>
      <c r="AG78" s="712">
        <v>0</v>
      </c>
      <c r="AH78" s="712">
        <v>0</v>
      </c>
      <c r="AI78" s="712">
        <v>0</v>
      </c>
      <c r="AJ78" s="712">
        <v>0</v>
      </c>
      <c r="AK78" s="712">
        <v>0</v>
      </c>
      <c r="AL78" s="712">
        <v>0</v>
      </c>
      <c r="AM78" s="712">
        <v>0</v>
      </c>
      <c r="AN78" s="712">
        <v>0</v>
      </c>
      <c r="AO78" s="712">
        <v>0</v>
      </c>
      <c r="AP78" s="712">
        <v>0</v>
      </c>
      <c r="AQ78" s="712">
        <v>0</v>
      </c>
      <c r="AR78" s="712">
        <v>0</v>
      </c>
      <c r="AS78" s="712">
        <v>0</v>
      </c>
      <c r="AT78">
        <v>0</v>
      </c>
      <c r="AU78" s="609"/>
      <c r="AV78" s="609"/>
      <c r="AW78" s="615"/>
      <c r="AX78" s="615"/>
      <c r="AY78" s="615"/>
      <c r="AZ78" s="615"/>
      <c r="BA78" s="615"/>
      <c r="BB78" s="615"/>
      <c r="BC78" s="615"/>
      <c r="BD78" s="615"/>
      <c r="BE78" s="615"/>
      <c r="BF78" s="615"/>
      <c r="BG78" s="615"/>
      <c r="BH78" s="615"/>
      <c r="BI78" s="615"/>
      <c r="BJ78" s="615"/>
      <c r="BK78" s="615"/>
      <c r="BL78" s="615"/>
      <c r="BM78" s="615"/>
      <c r="BN78" s="615"/>
      <c r="BO78" s="615"/>
      <c r="BP78" s="615"/>
      <c r="BQ78" s="615"/>
      <c r="BR78" s="615"/>
      <c r="BS78" s="615"/>
      <c r="BT78" s="615"/>
      <c r="BU78" s="615"/>
      <c r="BV78" s="615"/>
      <c r="BW78" s="615"/>
      <c r="BX78" s="607"/>
    </row>
    <row r="79" spans="1:76" s="612" customFormat="1" ht="25.5" x14ac:dyDescent="0.2">
      <c r="A79" s="839"/>
      <c r="B79" s="713" t="s">
        <v>1633</v>
      </c>
      <c r="C79" s="713" t="s">
        <v>1769</v>
      </c>
      <c r="D79" s="712">
        <v>0</v>
      </c>
      <c r="E79" s="712">
        <v>0</v>
      </c>
      <c r="F79" s="712">
        <v>0</v>
      </c>
      <c r="G79" s="712">
        <v>0</v>
      </c>
      <c r="H79" s="712">
        <v>0</v>
      </c>
      <c r="I79" s="712">
        <v>0</v>
      </c>
      <c r="J79" s="712">
        <v>0</v>
      </c>
      <c r="K79" s="712">
        <v>0</v>
      </c>
      <c r="L79" s="712">
        <v>0</v>
      </c>
      <c r="M79" s="712">
        <v>3100101</v>
      </c>
      <c r="N79" s="712">
        <v>0</v>
      </c>
      <c r="O79" s="712">
        <v>0</v>
      </c>
      <c r="P79" s="712">
        <v>0</v>
      </c>
      <c r="Q79" s="712">
        <v>0</v>
      </c>
      <c r="R79" s="712">
        <v>0</v>
      </c>
      <c r="S79" s="712">
        <v>0</v>
      </c>
      <c r="T79" s="712">
        <v>0</v>
      </c>
      <c r="U79" s="712">
        <v>0</v>
      </c>
      <c r="V79" s="712">
        <v>0</v>
      </c>
      <c r="W79" s="712">
        <v>0</v>
      </c>
      <c r="X79" s="712">
        <v>0</v>
      </c>
      <c r="Y79" s="712">
        <v>0</v>
      </c>
      <c r="Z79" s="712">
        <v>0</v>
      </c>
      <c r="AA79" s="712">
        <v>0</v>
      </c>
      <c r="AB79" s="712">
        <v>0</v>
      </c>
      <c r="AC79" s="712">
        <v>0</v>
      </c>
      <c r="AD79" s="712">
        <v>0</v>
      </c>
      <c r="AE79" s="712">
        <v>0</v>
      </c>
      <c r="AF79" s="712">
        <v>0</v>
      </c>
      <c r="AG79" s="712">
        <v>0</v>
      </c>
      <c r="AH79" s="712">
        <v>0</v>
      </c>
      <c r="AI79" s="712">
        <v>0</v>
      </c>
      <c r="AJ79" s="712">
        <v>0</v>
      </c>
      <c r="AK79" s="712">
        <v>0</v>
      </c>
      <c r="AL79" s="712">
        <v>0</v>
      </c>
      <c r="AM79" s="712">
        <v>0</v>
      </c>
      <c r="AN79" s="712">
        <v>0</v>
      </c>
      <c r="AO79" s="712">
        <v>0</v>
      </c>
      <c r="AP79" s="712">
        <v>0</v>
      </c>
      <c r="AQ79" s="712">
        <v>0</v>
      </c>
      <c r="AR79" s="712">
        <v>0</v>
      </c>
      <c r="AS79" s="712">
        <v>0</v>
      </c>
      <c r="AT79">
        <v>3100101</v>
      </c>
      <c r="AU79" s="609"/>
      <c r="AV79" s="609"/>
      <c r="AW79" s="615"/>
      <c r="AX79" s="615"/>
      <c r="AY79" s="615"/>
      <c r="AZ79" s="615"/>
      <c r="BA79" s="615"/>
      <c r="BB79" s="615"/>
      <c r="BC79" s="615"/>
      <c r="BD79" s="615"/>
      <c r="BE79" s="615"/>
      <c r="BF79" s="615"/>
      <c r="BG79" s="615"/>
      <c r="BH79" s="615"/>
      <c r="BI79" s="615"/>
      <c r="BJ79" s="615"/>
      <c r="BK79" s="615"/>
      <c r="BL79" s="615"/>
      <c r="BM79" s="615"/>
      <c r="BN79" s="615"/>
      <c r="BO79" s="615"/>
      <c r="BP79" s="615"/>
      <c r="BQ79" s="615"/>
      <c r="BR79" s="615"/>
      <c r="BS79" s="615"/>
      <c r="BT79" s="615"/>
      <c r="BU79" s="615"/>
      <c r="BV79" s="615"/>
      <c r="BW79" s="615"/>
      <c r="BX79" s="607"/>
    </row>
    <row r="80" spans="1:76" s="612" customFormat="1" ht="25.5" x14ac:dyDescent="0.2">
      <c r="A80" s="839"/>
      <c r="B80" s="713" t="s">
        <v>1674</v>
      </c>
      <c r="C80" s="713" t="s">
        <v>1871</v>
      </c>
      <c r="D80" s="712">
        <v>0</v>
      </c>
      <c r="E80" s="712">
        <v>0</v>
      </c>
      <c r="F80" s="712">
        <v>0</v>
      </c>
      <c r="G80" s="712">
        <v>0</v>
      </c>
      <c r="H80" s="712">
        <v>0</v>
      </c>
      <c r="I80" s="712">
        <v>0</v>
      </c>
      <c r="J80" s="712">
        <v>0</v>
      </c>
      <c r="K80" s="712">
        <v>0</v>
      </c>
      <c r="L80" s="712">
        <v>0</v>
      </c>
      <c r="M80" s="712">
        <v>0</v>
      </c>
      <c r="N80" s="712">
        <v>0</v>
      </c>
      <c r="O80" s="712">
        <v>0</v>
      </c>
      <c r="P80" s="712">
        <v>0</v>
      </c>
      <c r="Q80" s="712">
        <v>0</v>
      </c>
      <c r="R80" s="712">
        <v>0</v>
      </c>
      <c r="S80" s="712">
        <v>0</v>
      </c>
      <c r="T80" s="712">
        <v>0</v>
      </c>
      <c r="U80" s="712">
        <v>0</v>
      </c>
      <c r="V80" s="712">
        <v>0</v>
      </c>
      <c r="W80" s="712">
        <v>0</v>
      </c>
      <c r="X80" s="712">
        <v>0</v>
      </c>
      <c r="Y80" s="712">
        <v>0</v>
      </c>
      <c r="Z80" s="712">
        <v>0</v>
      </c>
      <c r="AA80" s="712">
        <v>0</v>
      </c>
      <c r="AB80" s="712">
        <v>0</v>
      </c>
      <c r="AC80" s="712">
        <v>0</v>
      </c>
      <c r="AD80" s="712">
        <v>0</v>
      </c>
      <c r="AE80" s="712">
        <v>0</v>
      </c>
      <c r="AF80" s="712">
        <v>0</v>
      </c>
      <c r="AG80" s="712">
        <v>0</v>
      </c>
      <c r="AH80" s="712">
        <v>0</v>
      </c>
      <c r="AI80" s="712">
        <v>0</v>
      </c>
      <c r="AJ80" s="712">
        <v>0</v>
      </c>
      <c r="AK80" s="712">
        <v>0</v>
      </c>
      <c r="AL80" s="712">
        <v>0</v>
      </c>
      <c r="AM80" s="712">
        <v>0</v>
      </c>
      <c r="AN80" s="712">
        <v>0</v>
      </c>
      <c r="AO80" s="712">
        <v>0</v>
      </c>
      <c r="AP80" s="712">
        <v>0</v>
      </c>
      <c r="AQ80" s="712">
        <v>0</v>
      </c>
      <c r="AR80" s="712">
        <v>0</v>
      </c>
      <c r="AS80" s="712">
        <v>0</v>
      </c>
      <c r="AT80">
        <v>0</v>
      </c>
      <c r="AU80" s="609"/>
      <c r="AV80" s="609"/>
      <c r="AW80" s="615"/>
      <c r="AX80" s="615"/>
      <c r="AY80" s="615"/>
      <c r="AZ80" s="615"/>
      <c r="BA80" s="615"/>
      <c r="BB80" s="615"/>
      <c r="BC80" s="615"/>
      <c r="BD80" s="615"/>
      <c r="BE80" s="615"/>
      <c r="BF80" s="615"/>
      <c r="BG80" s="615"/>
      <c r="BH80" s="615"/>
      <c r="BI80" s="615"/>
      <c r="BJ80" s="615"/>
      <c r="BK80" s="615"/>
      <c r="BL80" s="615"/>
      <c r="BM80" s="615"/>
      <c r="BN80" s="615"/>
      <c r="BO80" s="615"/>
      <c r="BP80" s="615"/>
      <c r="BQ80" s="615"/>
      <c r="BR80" s="615"/>
      <c r="BS80" s="615"/>
      <c r="BT80" s="615"/>
      <c r="BU80" s="615"/>
      <c r="BV80" s="615"/>
      <c r="BW80" s="615"/>
      <c r="BX80" s="607"/>
    </row>
    <row r="81" spans="1:76" s="612" customFormat="1" ht="25.5" x14ac:dyDescent="0.2">
      <c r="A81" s="839"/>
      <c r="B81" s="713" t="s">
        <v>1637</v>
      </c>
      <c r="C81" s="713" t="s">
        <v>1797</v>
      </c>
      <c r="D81" s="712">
        <v>0</v>
      </c>
      <c r="E81" s="712">
        <v>0</v>
      </c>
      <c r="F81" s="712">
        <v>0</v>
      </c>
      <c r="G81" s="712">
        <v>0</v>
      </c>
      <c r="H81" s="712">
        <v>0</v>
      </c>
      <c r="I81" s="712">
        <v>0</v>
      </c>
      <c r="J81" s="712">
        <v>0</v>
      </c>
      <c r="K81" s="712">
        <v>0</v>
      </c>
      <c r="L81" s="712">
        <v>0</v>
      </c>
      <c r="M81" s="712">
        <v>88396</v>
      </c>
      <c r="N81" s="712">
        <v>0</v>
      </c>
      <c r="O81" s="712">
        <v>0</v>
      </c>
      <c r="P81" s="712">
        <v>0</v>
      </c>
      <c r="Q81" s="712">
        <v>0</v>
      </c>
      <c r="R81" s="712">
        <v>0</v>
      </c>
      <c r="S81" s="712">
        <v>0</v>
      </c>
      <c r="T81" s="712">
        <v>0</v>
      </c>
      <c r="U81" s="712">
        <v>0</v>
      </c>
      <c r="V81" s="712">
        <v>0</v>
      </c>
      <c r="W81" s="712">
        <v>0</v>
      </c>
      <c r="X81" s="712">
        <v>0</v>
      </c>
      <c r="Y81" s="712">
        <v>0</v>
      </c>
      <c r="Z81" s="712">
        <v>0</v>
      </c>
      <c r="AA81" s="712">
        <v>0</v>
      </c>
      <c r="AB81" s="712">
        <v>0</v>
      </c>
      <c r="AC81" s="712">
        <v>0</v>
      </c>
      <c r="AD81" s="712">
        <v>0</v>
      </c>
      <c r="AE81" s="712">
        <v>0</v>
      </c>
      <c r="AF81" s="712">
        <v>0</v>
      </c>
      <c r="AG81" s="712">
        <v>0</v>
      </c>
      <c r="AH81" s="712">
        <v>0</v>
      </c>
      <c r="AI81" s="712">
        <v>0</v>
      </c>
      <c r="AJ81" s="712">
        <v>0</v>
      </c>
      <c r="AK81" s="712">
        <v>0</v>
      </c>
      <c r="AL81" s="712">
        <v>0</v>
      </c>
      <c r="AM81" s="712">
        <v>0</v>
      </c>
      <c r="AN81" s="712">
        <v>0</v>
      </c>
      <c r="AO81" s="712">
        <v>0</v>
      </c>
      <c r="AP81" s="712">
        <v>0</v>
      </c>
      <c r="AQ81" s="712">
        <v>0</v>
      </c>
      <c r="AR81" s="712">
        <v>0</v>
      </c>
      <c r="AS81" s="712">
        <v>0</v>
      </c>
      <c r="AT81">
        <v>88396</v>
      </c>
      <c r="AU81" s="609"/>
      <c r="AV81" s="609"/>
      <c r="AW81" s="615"/>
      <c r="AX81" s="615"/>
      <c r="AY81" s="615"/>
      <c r="AZ81" s="615"/>
      <c r="BA81" s="615"/>
      <c r="BB81" s="615"/>
      <c r="BC81" s="615"/>
      <c r="BD81" s="615"/>
      <c r="BE81" s="615"/>
      <c r="BF81" s="615"/>
      <c r="BG81" s="615"/>
      <c r="BH81" s="615"/>
      <c r="BI81" s="615"/>
      <c r="BJ81" s="615"/>
      <c r="BK81" s="615"/>
      <c r="BL81" s="615"/>
      <c r="BM81" s="615"/>
      <c r="BN81" s="615"/>
      <c r="BO81" s="615"/>
      <c r="BP81" s="615"/>
      <c r="BQ81" s="615"/>
      <c r="BR81" s="615"/>
      <c r="BS81" s="615"/>
      <c r="BT81" s="615"/>
      <c r="BU81" s="615"/>
      <c r="BV81" s="615"/>
      <c r="BW81" s="615"/>
      <c r="BX81" s="607"/>
    </row>
    <row r="82" spans="1:76" s="612" customFormat="1" ht="25.5" x14ac:dyDescent="0.2">
      <c r="A82" s="839"/>
      <c r="B82" s="713" t="s">
        <v>898</v>
      </c>
      <c r="C82" s="713" t="s">
        <v>1895</v>
      </c>
      <c r="D82" s="712">
        <v>0</v>
      </c>
      <c r="E82" s="712">
        <v>0</v>
      </c>
      <c r="F82" s="712">
        <v>0</v>
      </c>
      <c r="G82" s="712">
        <v>0</v>
      </c>
      <c r="H82" s="712">
        <v>0</v>
      </c>
      <c r="I82" s="712">
        <v>0</v>
      </c>
      <c r="J82" s="712">
        <v>0</v>
      </c>
      <c r="K82" s="712">
        <v>0</v>
      </c>
      <c r="L82" s="712">
        <v>0</v>
      </c>
      <c r="M82" s="712">
        <v>0</v>
      </c>
      <c r="N82" s="712">
        <v>0</v>
      </c>
      <c r="O82" s="712">
        <v>0</v>
      </c>
      <c r="P82" s="712">
        <v>1247231</v>
      </c>
      <c r="Q82" s="712">
        <v>0</v>
      </c>
      <c r="R82" s="712">
        <v>1382542</v>
      </c>
      <c r="S82" s="712">
        <v>0</v>
      </c>
      <c r="T82" s="712">
        <v>0</v>
      </c>
      <c r="U82" s="712">
        <v>0</v>
      </c>
      <c r="V82" s="712">
        <v>0</v>
      </c>
      <c r="W82" s="712">
        <v>0</v>
      </c>
      <c r="X82" s="712">
        <v>0</v>
      </c>
      <c r="Y82" s="712">
        <v>0</v>
      </c>
      <c r="Z82" s="712">
        <v>0</v>
      </c>
      <c r="AA82" s="712">
        <v>0</v>
      </c>
      <c r="AB82" s="712">
        <v>0</v>
      </c>
      <c r="AC82" s="712">
        <v>0</v>
      </c>
      <c r="AD82" s="712">
        <v>0</v>
      </c>
      <c r="AE82" s="712">
        <v>0</v>
      </c>
      <c r="AF82" s="712">
        <v>0</v>
      </c>
      <c r="AG82" s="712">
        <v>0</v>
      </c>
      <c r="AH82" s="712">
        <v>0</v>
      </c>
      <c r="AI82" s="712">
        <v>0</v>
      </c>
      <c r="AJ82" s="712">
        <v>0</v>
      </c>
      <c r="AK82" s="712">
        <v>0</v>
      </c>
      <c r="AL82" s="712">
        <v>0</v>
      </c>
      <c r="AM82" s="712">
        <v>0</v>
      </c>
      <c r="AN82" s="712">
        <v>0</v>
      </c>
      <c r="AO82" s="712">
        <v>0</v>
      </c>
      <c r="AP82" s="712">
        <v>0</v>
      </c>
      <c r="AQ82" s="712">
        <v>0</v>
      </c>
      <c r="AR82" s="712">
        <v>0</v>
      </c>
      <c r="AS82" s="712">
        <v>0</v>
      </c>
      <c r="AT82">
        <v>2629773</v>
      </c>
      <c r="AU82" s="609"/>
      <c r="AV82" s="609"/>
      <c r="AW82" s="615"/>
      <c r="AX82" s="615"/>
      <c r="AY82" s="615"/>
      <c r="AZ82" s="615"/>
      <c r="BA82" s="615"/>
      <c r="BB82" s="615"/>
      <c r="BC82" s="615"/>
      <c r="BD82" s="615"/>
      <c r="BE82" s="615"/>
      <c r="BF82" s="615"/>
      <c r="BG82" s="615"/>
      <c r="BH82" s="615"/>
      <c r="BI82" s="615"/>
      <c r="BJ82" s="615"/>
      <c r="BK82" s="615"/>
      <c r="BL82" s="615"/>
      <c r="BM82" s="615"/>
      <c r="BN82" s="615"/>
      <c r="BO82" s="615"/>
      <c r="BP82" s="615"/>
      <c r="BQ82" s="615"/>
      <c r="BR82" s="615"/>
      <c r="BS82" s="615"/>
      <c r="BT82" s="615"/>
      <c r="BU82" s="615"/>
      <c r="BV82" s="615"/>
      <c r="BW82" s="615"/>
      <c r="BX82" s="607"/>
    </row>
    <row r="83" spans="1:76" s="612" customFormat="1" ht="25.5" x14ac:dyDescent="0.2">
      <c r="A83" s="839"/>
      <c r="B83" s="713" t="s">
        <v>2602</v>
      </c>
      <c r="C83" s="713" t="s">
        <v>1775</v>
      </c>
      <c r="D83" s="712">
        <v>0</v>
      </c>
      <c r="E83" s="712">
        <v>0</v>
      </c>
      <c r="F83" s="712">
        <v>0</v>
      </c>
      <c r="G83" s="712">
        <v>0</v>
      </c>
      <c r="H83" s="712">
        <v>0</v>
      </c>
      <c r="I83" s="712">
        <v>0</v>
      </c>
      <c r="J83" s="712">
        <v>0</v>
      </c>
      <c r="K83" s="712">
        <v>0</v>
      </c>
      <c r="L83" s="712">
        <v>0</v>
      </c>
      <c r="M83" s="712">
        <v>0</v>
      </c>
      <c r="N83" s="712">
        <v>0</v>
      </c>
      <c r="O83" s="712">
        <v>0</v>
      </c>
      <c r="P83" s="712">
        <v>0</v>
      </c>
      <c r="Q83" s="712">
        <v>0</v>
      </c>
      <c r="R83" s="712">
        <v>0</v>
      </c>
      <c r="S83" s="712">
        <v>0</v>
      </c>
      <c r="T83" s="712">
        <v>0</v>
      </c>
      <c r="U83" s="712">
        <v>0</v>
      </c>
      <c r="V83" s="712">
        <v>0</v>
      </c>
      <c r="W83" s="712">
        <v>0</v>
      </c>
      <c r="X83" s="712">
        <v>0</v>
      </c>
      <c r="Y83" s="712">
        <v>0</v>
      </c>
      <c r="Z83" s="712">
        <v>0</v>
      </c>
      <c r="AA83" s="712">
        <v>0</v>
      </c>
      <c r="AB83" s="712">
        <v>0</v>
      </c>
      <c r="AC83" s="712">
        <v>0</v>
      </c>
      <c r="AD83" s="712">
        <v>0</v>
      </c>
      <c r="AE83" s="712">
        <v>0</v>
      </c>
      <c r="AF83" s="712">
        <v>0</v>
      </c>
      <c r="AG83" s="712">
        <v>0</v>
      </c>
      <c r="AH83" s="712">
        <v>0</v>
      </c>
      <c r="AI83" s="712">
        <v>0</v>
      </c>
      <c r="AJ83" s="712">
        <v>0</v>
      </c>
      <c r="AK83" s="712">
        <v>0</v>
      </c>
      <c r="AL83" s="712">
        <v>0</v>
      </c>
      <c r="AM83" s="712">
        <v>0</v>
      </c>
      <c r="AN83" s="712">
        <v>0</v>
      </c>
      <c r="AO83" s="712">
        <v>0</v>
      </c>
      <c r="AP83" s="712">
        <v>0</v>
      </c>
      <c r="AQ83" s="712">
        <v>0</v>
      </c>
      <c r="AR83" s="712">
        <v>0</v>
      </c>
      <c r="AS83" s="712">
        <v>0</v>
      </c>
      <c r="AT83">
        <v>0</v>
      </c>
      <c r="AU83" s="609"/>
      <c r="AV83" s="609"/>
      <c r="AW83" s="615"/>
      <c r="AX83" s="615"/>
      <c r="AY83" s="615"/>
      <c r="AZ83" s="615"/>
      <c r="BA83" s="615"/>
      <c r="BB83" s="615"/>
      <c r="BC83" s="615"/>
      <c r="BD83" s="615"/>
      <c r="BE83" s="615"/>
      <c r="BF83" s="615"/>
      <c r="BG83" s="615"/>
      <c r="BH83" s="615"/>
      <c r="BI83" s="615"/>
      <c r="BJ83" s="615"/>
      <c r="BK83" s="615"/>
      <c r="BL83" s="615"/>
      <c r="BM83" s="615"/>
      <c r="BN83" s="615"/>
      <c r="BO83" s="615"/>
      <c r="BP83" s="615"/>
      <c r="BQ83" s="615"/>
      <c r="BR83" s="615"/>
      <c r="BS83" s="615"/>
      <c r="BT83" s="615"/>
      <c r="BU83" s="615"/>
      <c r="BV83" s="615"/>
      <c r="BW83" s="615"/>
      <c r="BX83" s="607"/>
    </row>
    <row r="84" spans="1:76" s="612" customFormat="1" ht="25.5" x14ac:dyDescent="0.2">
      <c r="A84" s="839"/>
      <c r="B84" s="713" t="s">
        <v>891</v>
      </c>
      <c r="C84" s="713" t="s">
        <v>1870</v>
      </c>
      <c r="D84" s="712">
        <v>0</v>
      </c>
      <c r="E84" s="712">
        <v>0</v>
      </c>
      <c r="F84" s="712">
        <v>0</v>
      </c>
      <c r="G84" s="712">
        <v>0</v>
      </c>
      <c r="H84" s="712">
        <v>0</v>
      </c>
      <c r="I84" s="712">
        <v>0</v>
      </c>
      <c r="J84" s="712">
        <v>0</v>
      </c>
      <c r="K84" s="712">
        <v>0</v>
      </c>
      <c r="L84" s="712">
        <v>0</v>
      </c>
      <c r="M84" s="712">
        <v>0</v>
      </c>
      <c r="N84" s="712">
        <v>0</v>
      </c>
      <c r="O84" s="712">
        <v>0</v>
      </c>
      <c r="P84" s="712">
        <v>0</v>
      </c>
      <c r="Q84" s="712">
        <v>0</v>
      </c>
      <c r="R84" s="712">
        <v>0</v>
      </c>
      <c r="S84" s="712">
        <v>0</v>
      </c>
      <c r="T84" s="712">
        <v>0</v>
      </c>
      <c r="U84" s="712">
        <v>0</v>
      </c>
      <c r="V84" s="712">
        <v>0</v>
      </c>
      <c r="W84" s="712">
        <v>0</v>
      </c>
      <c r="X84" s="712">
        <v>0</v>
      </c>
      <c r="Y84" s="712">
        <v>0</v>
      </c>
      <c r="Z84" s="712">
        <v>0</v>
      </c>
      <c r="AA84" s="712">
        <v>0</v>
      </c>
      <c r="AB84" s="712">
        <v>0</v>
      </c>
      <c r="AC84" s="712">
        <v>0</v>
      </c>
      <c r="AD84" s="712">
        <v>0</v>
      </c>
      <c r="AE84" s="712">
        <v>0</v>
      </c>
      <c r="AF84" s="712">
        <v>0</v>
      </c>
      <c r="AG84" s="712">
        <v>0</v>
      </c>
      <c r="AH84" s="712">
        <v>0</v>
      </c>
      <c r="AI84" s="712">
        <v>0</v>
      </c>
      <c r="AJ84" s="712">
        <v>0</v>
      </c>
      <c r="AK84" s="712">
        <v>0</v>
      </c>
      <c r="AL84" s="712">
        <v>0</v>
      </c>
      <c r="AM84" s="712">
        <v>0</v>
      </c>
      <c r="AN84" s="712">
        <v>0</v>
      </c>
      <c r="AO84" s="712">
        <v>0</v>
      </c>
      <c r="AP84" s="712">
        <v>0</v>
      </c>
      <c r="AQ84" s="712">
        <v>0</v>
      </c>
      <c r="AR84" s="712">
        <v>0</v>
      </c>
      <c r="AS84" s="712">
        <v>0</v>
      </c>
      <c r="AT84">
        <v>0</v>
      </c>
      <c r="AU84" s="609"/>
      <c r="AV84" s="609"/>
      <c r="AW84" s="615"/>
      <c r="AX84" s="615"/>
      <c r="AY84" s="615"/>
      <c r="AZ84" s="615"/>
      <c r="BA84" s="615"/>
      <c r="BB84" s="615"/>
      <c r="BC84" s="615"/>
      <c r="BD84" s="615"/>
      <c r="BE84" s="615"/>
      <c r="BF84" s="615"/>
      <c r="BG84" s="615"/>
      <c r="BH84" s="615"/>
      <c r="BI84" s="615"/>
      <c r="BJ84" s="615"/>
      <c r="BK84" s="615"/>
      <c r="BL84" s="615"/>
      <c r="BM84" s="615"/>
      <c r="BN84" s="615"/>
      <c r="BO84" s="615"/>
      <c r="BP84" s="615"/>
      <c r="BQ84" s="615"/>
      <c r="BR84" s="615"/>
      <c r="BS84" s="615"/>
      <c r="BT84" s="615"/>
      <c r="BU84" s="615"/>
      <c r="BV84" s="615"/>
      <c r="BW84" s="615"/>
      <c r="BX84" s="607"/>
    </row>
    <row r="85" spans="1:76" s="612" customFormat="1" ht="25.5" x14ac:dyDescent="0.2">
      <c r="A85" s="839"/>
      <c r="B85" s="713" t="s">
        <v>1698</v>
      </c>
      <c r="C85" s="713" t="s">
        <v>1781</v>
      </c>
      <c r="D85" s="712">
        <v>0</v>
      </c>
      <c r="E85" s="712">
        <v>0</v>
      </c>
      <c r="F85" s="712">
        <v>0</v>
      </c>
      <c r="G85" s="712">
        <v>0</v>
      </c>
      <c r="H85" s="712">
        <v>0</v>
      </c>
      <c r="I85" s="712">
        <v>0</v>
      </c>
      <c r="J85" s="712">
        <v>0</v>
      </c>
      <c r="K85" s="712">
        <v>0</v>
      </c>
      <c r="L85" s="712">
        <v>0</v>
      </c>
      <c r="M85" s="712">
        <v>0</v>
      </c>
      <c r="N85" s="712">
        <v>0</v>
      </c>
      <c r="O85" s="712">
        <v>0</v>
      </c>
      <c r="P85" s="712">
        <v>0</v>
      </c>
      <c r="Q85" s="712">
        <v>0</v>
      </c>
      <c r="R85" s="712">
        <v>0</v>
      </c>
      <c r="S85" s="712">
        <v>0</v>
      </c>
      <c r="T85" s="712">
        <v>0</v>
      </c>
      <c r="U85" s="712">
        <v>0</v>
      </c>
      <c r="V85" s="712">
        <v>0</v>
      </c>
      <c r="W85" s="712">
        <v>0</v>
      </c>
      <c r="X85" s="712">
        <v>0</v>
      </c>
      <c r="Y85" s="712">
        <v>0</v>
      </c>
      <c r="Z85" s="712">
        <v>0</v>
      </c>
      <c r="AA85" s="712">
        <v>0</v>
      </c>
      <c r="AB85" s="712">
        <v>0</v>
      </c>
      <c r="AC85" s="712">
        <v>0</v>
      </c>
      <c r="AD85" s="712">
        <v>0</v>
      </c>
      <c r="AE85" s="712">
        <v>0</v>
      </c>
      <c r="AF85" s="712">
        <v>0</v>
      </c>
      <c r="AG85" s="712">
        <v>0</v>
      </c>
      <c r="AH85" s="712">
        <v>0</v>
      </c>
      <c r="AI85" s="712">
        <v>0</v>
      </c>
      <c r="AJ85" s="712">
        <v>0</v>
      </c>
      <c r="AK85" s="712">
        <v>0</v>
      </c>
      <c r="AL85" s="712">
        <v>0</v>
      </c>
      <c r="AM85" s="712">
        <v>0</v>
      </c>
      <c r="AN85" s="712">
        <v>0</v>
      </c>
      <c r="AO85" s="712">
        <v>0</v>
      </c>
      <c r="AP85" s="712">
        <v>0</v>
      </c>
      <c r="AQ85" s="712">
        <v>0</v>
      </c>
      <c r="AR85" s="712">
        <v>0</v>
      </c>
      <c r="AS85" s="712">
        <v>0</v>
      </c>
      <c r="AT85">
        <v>0</v>
      </c>
      <c r="AU85" s="609"/>
      <c r="AV85" s="609"/>
      <c r="AW85" s="615"/>
      <c r="AX85" s="615"/>
      <c r="AY85" s="615"/>
      <c r="AZ85" s="615"/>
      <c r="BA85" s="615"/>
      <c r="BB85" s="615"/>
      <c r="BC85" s="615"/>
      <c r="BD85" s="615"/>
      <c r="BE85" s="615"/>
      <c r="BF85" s="615"/>
      <c r="BG85" s="615"/>
      <c r="BH85" s="615"/>
      <c r="BI85" s="615"/>
      <c r="BJ85" s="615"/>
      <c r="BK85" s="615"/>
      <c r="BL85" s="615"/>
      <c r="BM85" s="615"/>
      <c r="BN85" s="615"/>
      <c r="BO85" s="615"/>
      <c r="BP85" s="615"/>
      <c r="BQ85" s="615"/>
      <c r="BR85" s="615"/>
      <c r="BS85" s="615"/>
      <c r="BT85" s="615"/>
      <c r="BU85" s="615"/>
      <c r="BV85" s="615"/>
      <c r="BW85" s="615"/>
      <c r="BX85" s="607"/>
    </row>
    <row r="86" spans="1:76" s="612" customFormat="1" ht="25.5" x14ac:dyDescent="0.2">
      <c r="A86" s="839"/>
      <c r="B86" s="713" t="s">
        <v>1635</v>
      </c>
      <c r="C86" s="713" t="s">
        <v>1779</v>
      </c>
      <c r="D86" s="712">
        <v>0</v>
      </c>
      <c r="E86" s="712">
        <v>0</v>
      </c>
      <c r="F86" s="712">
        <v>0</v>
      </c>
      <c r="G86" s="712">
        <v>0</v>
      </c>
      <c r="H86" s="712">
        <v>0</v>
      </c>
      <c r="I86" s="712">
        <v>0</v>
      </c>
      <c r="J86" s="712">
        <v>0</v>
      </c>
      <c r="K86" s="712">
        <v>0</v>
      </c>
      <c r="L86" s="712">
        <v>0</v>
      </c>
      <c r="M86" s="712">
        <v>114713</v>
      </c>
      <c r="N86" s="712">
        <v>0</v>
      </c>
      <c r="O86" s="712">
        <v>0</v>
      </c>
      <c r="P86" s="712">
        <v>0</v>
      </c>
      <c r="Q86" s="712">
        <v>0</v>
      </c>
      <c r="R86" s="712">
        <v>0</v>
      </c>
      <c r="S86" s="712">
        <v>0</v>
      </c>
      <c r="T86" s="712">
        <v>0</v>
      </c>
      <c r="U86" s="712">
        <v>0</v>
      </c>
      <c r="V86" s="712">
        <v>0</v>
      </c>
      <c r="W86" s="712">
        <v>0</v>
      </c>
      <c r="X86" s="712">
        <v>0</v>
      </c>
      <c r="Y86" s="712">
        <v>0</v>
      </c>
      <c r="Z86" s="712">
        <v>0</v>
      </c>
      <c r="AA86" s="712">
        <v>0</v>
      </c>
      <c r="AB86" s="712">
        <v>0</v>
      </c>
      <c r="AC86" s="712">
        <v>0</v>
      </c>
      <c r="AD86" s="712">
        <v>0</v>
      </c>
      <c r="AE86" s="712">
        <v>0</v>
      </c>
      <c r="AF86" s="712">
        <v>0</v>
      </c>
      <c r="AG86" s="712">
        <v>0</v>
      </c>
      <c r="AH86" s="712">
        <v>0</v>
      </c>
      <c r="AI86" s="712">
        <v>0</v>
      </c>
      <c r="AJ86" s="712">
        <v>0</v>
      </c>
      <c r="AK86" s="712">
        <v>0</v>
      </c>
      <c r="AL86" s="712">
        <v>0</v>
      </c>
      <c r="AM86" s="712">
        <v>0</v>
      </c>
      <c r="AN86" s="712">
        <v>0</v>
      </c>
      <c r="AO86" s="712">
        <v>0</v>
      </c>
      <c r="AP86" s="712">
        <v>0</v>
      </c>
      <c r="AQ86" s="712">
        <v>0</v>
      </c>
      <c r="AR86" s="712">
        <v>0</v>
      </c>
      <c r="AS86" s="712">
        <v>0</v>
      </c>
      <c r="AT86">
        <v>114713</v>
      </c>
      <c r="AU86" s="609"/>
      <c r="AV86" s="609"/>
      <c r="AW86" s="615"/>
      <c r="AX86" s="615"/>
      <c r="AY86" s="615"/>
      <c r="AZ86" s="615"/>
      <c r="BA86" s="615"/>
      <c r="BB86" s="615"/>
      <c r="BC86" s="615"/>
      <c r="BD86" s="615"/>
      <c r="BE86" s="615"/>
      <c r="BF86" s="615"/>
      <c r="BG86" s="615"/>
      <c r="BH86" s="615"/>
      <c r="BI86" s="615"/>
      <c r="BJ86" s="615"/>
      <c r="BK86" s="615"/>
      <c r="BL86" s="615"/>
      <c r="BM86" s="615"/>
      <c r="BN86" s="615"/>
      <c r="BO86" s="615"/>
      <c r="BP86" s="615"/>
      <c r="BQ86" s="615"/>
      <c r="BR86" s="615"/>
      <c r="BS86" s="615"/>
      <c r="BT86" s="615"/>
      <c r="BU86" s="615"/>
      <c r="BV86" s="615"/>
      <c r="BW86" s="615"/>
      <c r="BX86" s="607"/>
    </row>
    <row r="87" spans="1:76" s="612" customFormat="1" ht="25.5" x14ac:dyDescent="0.2">
      <c r="A87" s="839"/>
      <c r="B87" s="713" t="s">
        <v>1647</v>
      </c>
      <c r="C87" s="713" t="s">
        <v>1897</v>
      </c>
      <c r="D87" s="712">
        <v>0</v>
      </c>
      <c r="E87" s="712">
        <v>0</v>
      </c>
      <c r="F87" s="712">
        <v>0</v>
      </c>
      <c r="G87" s="712">
        <v>0</v>
      </c>
      <c r="H87" s="712">
        <v>0</v>
      </c>
      <c r="I87" s="712">
        <v>0</v>
      </c>
      <c r="J87" s="712">
        <v>0</v>
      </c>
      <c r="K87" s="712">
        <v>0</v>
      </c>
      <c r="L87" s="712">
        <v>0</v>
      </c>
      <c r="M87" s="712">
        <v>66952</v>
      </c>
      <c r="N87" s="712">
        <v>0</v>
      </c>
      <c r="O87" s="712">
        <v>0</v>
      </c>
      <c r="P87" s="712">
        <v>0</v>
      </c>
      <c r="Q87" s="712">
        <v>0</v>
      </c>
      <c r="R87" s="712">
        <v>0</v>
      </c>
      <c r="S87" s="712">
        <v>0</v>
      </c>
      <c r="T87" s="712">
        <v>0</v>
      </c>
      <c r="U87" s="712">
        <v>0</v>
      </c>
      <c r="V87" s="712">
        <v>0</v>
      </c>
      <c r="W87" s="712">
        <v>0</v>
      </c>
      <c r="X87" s="712">
        <v>0</v>
      </c>
      <c r="Y87" s="712">
        <v>0</v>
      </c>
      <c r="Z87" s="712">
        <v>0</v>
      </c>
      <c r="AA87" s="712">
        <v>0</v>
      </c>
      <c r="AB87" s="712">
        <v>0</v>
      </c>
      <c r="AC87" s="712">
        <v>0</v>
      </c>
      <c r="AD87" s="712">
        <v>0</v>
      </c>
      <c r="AE87" s="712">
        <v>0</v>
      </c>
      <c r="AF87" s="712">
        <v>0</v>
      </c>
      <c r="AG87" s="712">
        <v>0</v>
      </c>
      <c r="AH87" s="712">
        <v>0</v>
      </c>
      <c r="AI87" s="712">
        <v>0</v>
      </c>
      <c r="AJ87" s="712">
        <v>0</v>
      </c>
      <c r="AK87" s="712">
        <v>0</v>
      </c>
      <c r="AL87" s="712">
        <v>0</v>
      </c>
      <c r="AM87" s="712">
        <v>0</v>
      </c>
      <c r="AN87" s="712">
        <v>0</v>
      </c>
      <c r="AO87" s="712">
        <v>0</v>
      </c>
      <c r="AP87" s="712">
        <v>0</v>
      </c>
      <c r="AQ87" s="712">
        <v>0</v>
      </c>
      <c r="AR87" s="712">
        <v>0</v>
      </c>
      <c r="AS87" s="712">
        <v>0</v>
      </c>
      <c r="AT87">
        <v>66952</v>
      </c>
      <c r="AU87" s="609"/>
      <c r="AV87" s="609"/>
      <c r="AW87" s="615"/>
      <c r="AX87" s="615"/>
      <c r="AY87" s="615"/>
      <c r="AZ87" s="615"/>
      <c r="BA87" s="615"/>
      <c r="BB87" s="615"/>
      <c r="BC87" s="615"/>
      <c r="BD87" s="615"/>
      <c r="BE87" s="615"/>
      <c r="BF87" s="615"/>
      <c r="BG87" s="615"/>
      <c r="BH87" s="615"/>
      <c r="BI87" s="615"/>
      <c r="BJ87" s="615"/>
      <c r="BK87" s="615"/>
      <c r="BL87" s="615"/>
      <c r="BM87" s="615"/>
      <c r="BN87" s="615"/>
      <c r="BO87" s="615"/>
      <c r="BP87" s="615"/>
      <c r="BQ87" s="615"/>
      <c r="BR87" s="615"/>
      <c r="BS87" s="615"/>
      <c r="BT87" s="615"/>
      <c r="BU87" s="615"/>
      <c r="BV87" s="615"/>
      <c r="BW87" s="615"/>
      <c r="BX87" s="607"/>
    </row>
    <row r="88" spans="1:76" s="612" customFormat="1" ht="25.5" x14ac:dyDescent="0.2">
      <c r="A88" s="839"/>
      <c r="B88" s="713" t="s">
        <v>1638</v>
      </c>
      <c r="C88" s="713" t="s">
        <v>1848</v>
      </c>
      <c r="D88" s="712">
        <v>0</v>
      </c>
      <c r="E88" s="712">
        <v>0</v>
      </c>
      <c r="F88" s="712">
        <v>0</v>
      </c>
      <c r="G88" s="712">
        <v>0</v>
      </c>
      <c r="H88" s="712">
        <v>463557</v>
      </c>
      <c r="I88" s="712">
        <v>0</v>
      </c>
      <c r="J88" s="712">
        <v>0</v>
      </c>
      <c r="K88" s="712">
        <v>0</v>
      </c>
      <c r="L88" s="712">
        <v>0</v>
      </c>
      <c r="M88" s="712">
        <v>108020</v>
      </c>
      <c r="N88" s="712">
        <v>0</v>
      </c>
      <c r="O88" s="712">
        <v>0</v>
      </c>
      <c r="P88" s="712">
        <v>0</v>
      </c>
      <c r="Q88" s="712">
        <v>0</v>
      </c>
      <c r="R88" s="712">
        <v>0</v>
      </c>
      <c r="S88" s="712">
        <v>0</v>
      </c>
      <c r="T88" s="712">
        <v>0</v>
      </c>
      <c r="U88" s="712">
        <v>0</v>
      </c>
      <c r="V88" s="712">
        <v>0</v>
      </c>
      <c r="W88" s="712">
        <v>0</v>
      </c>
      <c r="X88" s="712">
        <v>0</v>
      </c>
      <c r="Y88" s="712">
        <v>0</v>
      </c>
      <c r="Z88" s="712">
        <v>0</v>
      </c>
      <c r="AA88" s="712">
        <v>0</v>
      </c>
      <c r="AB88" s="712">
        <v>0</v>
      </c>
      <c r="AC88" s="712">
        <v>0</v>
      </c>
      <c r="AD88" s="712">
        <v>0</v>
      </c>
      <c r="AE88" s="712">
        <v>0</v>
      </c>
      <c r="AF88" s="712">
        <v>0</v>
      </c>
      <c r="AG88" s="712">
        <v>0</v>
      </c>
      <c r="AH88" s="712">
        <v>0</v>
      </c>
      <c r="AI88" s="712">
        <v>0</v>
      </c>
      <c r="AJ88" s="712">
        <v>0</v>
      </c>
      <c r="AK88" s="712">
        <v>0</v>
      </c>
      <c r="AL88" s="712">
        <v>0</v>
      </c>
      <c r="AM88" s="712">
        <v>0</v>
      </c>
      <c r="AN88" s="712">
        <v>0</v>
      </c>
      <c r="AO88" s="712">
        <v>0</v>
      </c>
      <c r="AP88" s="712">
        <v>0</v>
      </c>
      <c r="AQ88" s="712">
        <v>0</v>
      </c>
      <c r="AR88" s="712">
        <v>0</v>
      </c>
      <c r="AS88" s="712">
        <v>0</v>
      </c>
      <c r="AT88">
        <v>571577</v>
      </c>
      <c r="AU88" s="609"/>
      <c r="AV88" s="609"/>
      <c r="AW88" s="615"/>
      <c r="AX88" s="615"/>
      <c r="AY88" s="615"/>
      <c r="AZ88" s="615"/>
      <c r="BA88" s="615"/>
      <c r="BB88" s="615"/>
      <c r="BC88" s="615"/>
      <c r="BD88" s="615"/>
      <c r="BE88" s="615"/>
      <c r="BF88" s="615"/>
      <c r="BG88" s="615"/>
      <c r="BH88" s="615"/>
      <c r="BI88" s="615"/>
      <c r="BJ88" s="615"/>
      <c r="BK88" s="615"/>
      <c r="BL88" s="615"/>
      <c r="BM88" s="615"/>
      <c r="BN88" s="615"/>
      <c r="BO88" s="615"/>
      <c r="BP88" s="615"/>
      <c r="BQ88" s="615"/>
      <c r="BR88" s="615"/>
      <c r="BS88" s="615"/>
      <c r="BT88" s="615"/>
      <c r="BU88" s="615"/>
      <c r="BV88" s="615"/>
      <c r="BW88" s="615"/>
      <c r="BX88" s="607"/>
    </row>
    <row r="89" spans="1:76" s="612" customFormat="1" ht="25.5" x14ac:dyDescent="0.2">
      <c r="A89" s="839"/>
      <c r="B89" s="713" t="s">
        <v>897</v>
      </c>
      <c r="C89" s="713" t="s">
        <v>1896</v>
      </c>
      <c r="D89" s="712">
        <v>0</v>
      </c>
      <c r="E89" s="712">
        <v>0</v>
      </c>
      <c r="F89" s="712">
        <v>0</v>
      </c>
      <c r="G89" s="712">
        <v>0</v>
      </c>
      <c r="H89" s="712">
        <v>0</v>
      </c>
      <c r="I89" s="712">
        <v>0</v>
      </c>
      <c r="J89" s="712">
        <v>0</v>
      </c>
      <c r="K89" s="712">
        <v>0</v>
      </c>
      <c r="L89" s="712">
        <v>0</v>
      </c>
      <c r="M89" s="712">
        <v>0</v>
      </c>
      <c r="N89" s="712">
        <v>0</v>
      </c>
      <c r="O89" s="712">
        <v>0</v>
      </c>
      <c r="P89" s="712">
        <v>0</v>
      </c>
      <c r="Q89" s="712">
        <v>0</v>
      </c>
      <c r="R89" s="712">
        <v>0</v>
      </c>
      <c r="S89" s="712">
        <v>0</v>
      </c>
      <c r="T89" s="712">
        <v>0</v>
      </c>
      <c r="U89" s="712">
        <v>0</v>
      </c>
      <c r="V89" s="712">
        <v>0</v>
      </c>
      <c r="W89" s="712">
        <v>0</v>
      </c>
      <c r="X89" s="712">
        <v>0</v>
      </c>
      <c r="Y89" s="712">
        <v>0</v>
      </c>
      <c r="Z89" s="712">
        <v>0</v>
      </c>
      <c r="AA89" s="712">
        <v>0</v>
      </c>
      <c r="AB89" s="712">
        <v>0</v>
      </c>
      <c r="AC89" s="712">
        <v>0</v>
      </c>
      <c r="AD89" s="712">
        <v>0</v>
      </c>
      <c r="AE89" s="712">
        <v>0</v>
      </c>
      <c r="AF89" s="712">
        <v>0</v>
      </c>
      <c r="AG89" s="712">
        <v>0</v>
      </c>
      <c r="AH89" s="712">
        <v>0</v>
      </c>
      <c r="AI89" s="712">
        <v>0</v>
      </c>
      <c r="AJ89" s="712">
        <v>0</v>
      </c>
      <c r="AK89" s="712">
        <v>0</v>
      </c>
      <c r="AL89" s="712">
        <v>0</v>
      </c>
      <c r="AM89" s="712">
        <v>0</v>
      </c>
      <c r="AN89" s="712">
        <v>0</v>
      </c>
      <c r="AO89" s="712">
        <v>0</v>
      </c>
      <c r="AP89" s="712">
        <v>0</v>
      </c>
      <c r="AQ89" s="712">
        <v>0</v>
      </c>
      <c r="AR89" s="712">
        <v>0</v>
      </c>
      <c r="AS89" s="712">
        <v>0</v>
      </c>
      <c r="AT89">
        <v>0</v>
      </c>
      <c r="AU89" s="609"/>
      <c r="AV89" s="609"/>
      <c r="AW89" s="615"/>
      <c r="AX89" s="615"/>
      <c r="AY89" s="615"/>
      <c r="AZ89" s="615"/>
      <c r="BA89" s="615"/>
      <c r="BB89" s="615"/>
      <c r="BC89" s="615"/>
      <c r="BD89" s="615"/>
      <c r="BE89" s="615"/>
      <c r="BF89" s="615"/>
      <c r="BG89" s="615"/>
      <c r="BH89" s="615"/>
      <c r="BI89" s="615"/>
      <c r="BJ89" s="615"/>
      <c r="BK89" s="615"/>
      <c r="BL89" s="615"/>
      <c r="BM89" s="615"/>
      <c r="BN89" s="615"/>
      <c r="BO89" s="615"/>
      <c r="BP89" s="615"/>
      <c r="BQ89" s="615"/>
      <c r="BR89" s="615"/>
      <c r="BS89" s="615"/>
      <c r="BT89" s="615"/>
      <c r="BU89" s="615"/>
      <c r="BV89" s="615"/>
      <c r="BW89" s="615"/>
      <c r="BX89" s="607"/>
    </row>
    <row r="90" spans="1:76" s="612" customFormat="1" ht="25.5" x14ac:dyDescent="0.2">
      <c r="A90" s="839"/>
      <c r="B90" s="713" t="s">
        <v>875</v>
      </c>
      <c r="C90" s="713" t="s">
        <v>1808</v>
      </c>
      <c r="D90" s="712">
        <v>0</v>
      </c>
      <c r="E90" s="712">
        <v>0</v>
      </c>
      <c r="F90" s="712">
        <v>0</v>
      </c>
      <c r="G90" s="712">
        <v>0</v>
      </c>
      <c r="H90" s="712">
        <v>0</v>
      </c>
      <c r="I90" s="712">
        <v>0</v>
      </c>
      <c r="J90" s="712">
        <v>0</v>
      </c>
      <c r="K90" s="712">
        <v>0</v>
      </c>
      <c r="L90" s="712">
        <v>0</v>
      </c>
      <c r="M90" s="712">
        <v>0</v>
      </c>
      <c r="N90" s="712">
        <v>0</v>
      </c>
      <c r="O90" s="712">
        <v>0</v>
      </c>
      <c r="P90" s="712">
        <v>0</v>
      </c>
      <c r="Q90" s="712">
        <v>0</v>
      </c>
      <c r="R90" s="712">
        <v>0</v>
      </c>
      <c r="S90" s="712">
        <v>0</v>
      </c>
      <c r="T90" s="712">
        <v>0</v>
      </c>
      <c r="U90" s="712">
        <v>0</v>
      </c>
      <c r="V90" s="712">
        <v>0</v>
      </c>
      <c r="W90" s="712">
        <v>0</v>
      </c>
      <c r="X90" s="712">
        <v>0</v>
      </c>
      <c r="Y90" s="712">
        <v>0</v>
      </c>
      <c r="Z90" s="712">
        <v>0</v>
      </c>
      <c r="AA90" s="712">
        <v>0</v>
      </c>
      <c r="AB90" s="712">
        <v>0</v>
      </c>
      <c r="AC90" s="712">
        <v>0</v>
      </c>
      <c r="AD90" s="712">
        <v>0</v>
      </c>
      <c r="AE90" s="712">
        <v>0</v>
      </c>
      <c r="AF90" s="712">
        <v>0</v>
      </c>
      <c r="AG90" s="712">
        <v>0</v>
      </c>
      <c r="AH90" s="712">
        <v>0</v>
      </c>
      <c r="AI90" s="712">
        <v>0</v>
      </c>
      <c r="AJ90" s="712">
        <v>0</v>
      </c>
      <c r="AK90" s="712">
        <v>0</v>
      </c>
      <c r="AL90" s="712">
        <v>0</v>
      </c>
      <c r="AM90" s="712">
        <v>0</v>
      </c>
      <c r="AN90" s="712">
        <v>0</v>
      </c>
      <c r="AO90" s="712">
        <v>0</v>
      </c>
      <c r="AP90" s="712">
        <v>0</v>
      </c>
      <c r="AQ90" s="712">
        <v>0</v>
      </c>
      <c r="AR90" s="712">
        <v>0</v>
      </c>
      <c r="AS90" s="712">
        <v>0</v>
      </c>
      <c r="AT90">
        <v>0</v>
      </c>
      <c r="AU90" s="609"/>
      <c r="AV90" s="609"/>
      <c r="AW90" s="615"/>
      <c r="AX90" s="615"/>
      <c r="AY90" s="615"/>
      <c r="AZ90" s="615"/>
      <c r="BA90" s="615"/>
      <c r="BB90" s="615"/>
      <c r="BC90" s="615"/>
      <c r="BD90" s="615"/>
      <c r="BE90" s="615"/>
      <c r="BF90" s="615"/>
      <c r="BG90" s="615"/>
      <c r="BH90" s="615"/>
      <c r="BI90" s="615"/>
      <c r="BJ90" s="615"/>
      <c r="BK90" s="615"/>
      <c r="BL90" s="615"/>
      <c r="BM90" s="615"/>
      <c r="BN90" s="615"/>
      <c r="BO90" s="615"/>
      <c r="BP90" s="615"/>
      <c r="BQ90" s="615"/>
      <c r="BR90" s="615"/>
      <c r="BS90" s="615"/>
      <c r="BT90" s="615"/>
      <c r="BU90" s="615"/>
      <c r="BV90" s="615"/>
      <c r="BW90" s="615"/>
      <c r="BX90" s="607"/>
    </row>
    <row r="91" spans="1:76" s="612" customFormat="1" ht="25.5" x14ac:dyDescent="0.2">
      <c r="A91" s="839"/>
      <c r="B91" s="713" t="s">
        <v>2533</v>
      </c>
      <c r="C91" s="713" t="s">
        <v>1855</v>
      </c>
      <c r="D91" s="712">
        <v>0</v>
      </c>
      <c r="E91" s="712">
        <v>0</v>
      </c>
      <c r="F91" s="712">
        <v>0</v>
      </c>
      <c r="G91" s="712">
        <v>0</v>
      </c>
      <c r="H91" s="712">
        <v>0</v>
      </c>
      <c r="I91" s="712">
        <v>0</v>
      </c>
      <c r="J91" s="712">
        <v>0</v>
      </c>
      <c r="K91" s="712">
        <v>0</v>
      </c>
      <c r="L91" s="712">
        <v>0</v>
      </c>
      <c r="M91" s="712">
        <v>0</v>
      </c>
      <c r="N91" s="712">
        <v>0</v>
      </c>
      <c r="O91" s="712">
        <v>0</v>
      </c>
      <c r="P91" s="712">
        <v>0</v>
      </c>
      <c r="Q91" s="712">
        <v>0</v>
      </c>
      <c r="R91" s="712">
        <v>0</v>
      </c>
      <c r="S91" s="712">
        <v>0</v>
      </c>
      <c r="T91" s="712">
        <v>0</v>
      </c>
      <c r="U91" s="712">
        <v>0</v>
      </c>
      <c r="V91" s="712">
        <v>0</v>
      </c>
      <c r="W91" s="712">
        <v>0</v>
      </c>
      <c r="X91" s="712">
        <v>0</v>
      </c>
      <c r="Y91" s="712">
        <v>0</v>
      </c>
      <c r="Z91" s="712">
        <v>0</v>
      </c>
      <c r="AA91" s="712">
        <v>0</v>
      </c>
      <c r="AB91" s="712">
        <v>0</v>
      </c>
      <c r="AC91" s="712">
        <v>0</v>
      </c>
      <c r="AD91" s="712">
        <v>0</v>
      </c>
      <c r="AE91" s="712">
        <v>0</v>
      </c>
      <c r="AF91" s="712">
        <v>0</v>
      </c>
      <c r="AG91" s="712">
        <v>0</v>
      </c>
      <c r="AH91" s="712">
        <v>0</v>
      </c>
      <c r="AI91" s="712">
        <v>0</v>
      </c>
      <c r="AJ91" s="712">
        <v>0</v>
      </c>
      <c r="AK91" s="712">
        <v>0</v>
      </c>
      <c r="AL91" s="712">
        <v>0</v>
      </c>
      <c r="AM91" s="712">
        <v>0</v>
      </c>
      <c r="AN91" s="712">
        <v>0</v>
      </c>
      <c r="AO91" s="712">
        <v>0</v>
      </c>
      <c r="AP91" s="712">
        <v>0</v>
      </c>
      <c r="AQ91" s="712">
        <v>0</v>
      </c>
      <c r="AR91" s="712">
        <v>0</v>
      </c>
      <c r="AS91" s="712">
        <v>0</v>
      </c>
      <c r="AT91">
        <v>0</v>
      </c>
      <c r="AU91" s="609"/>
      <c r="AV91" s="609"/>
      <c r="AW91" s="615"/>
      <c r="AX91" s="615"/>
      <c r="AY91" s="615"/>
      <c r="AZ91" s="615"/>
      <c r="BA91" s="615"/>
      <c r="BB91" s="615"/>
      <c r="BC91" s="615"/>
      <c r="BD91" s="615"/>
      <c r="BE91" s="615"/>
      <c r="BF91" s="615"/>
      <c r="BG91" s="615"/>
      <c r="BH91" s="615"/>
      <c r="BI91" s="615"/>
      <c r="BJ91" s="615"/>
      <c r="BK91" s="615"/>
      <c r="BL91" s="615"/>
      <c r="BM91" s="615"/>
      <c r="BN91" s="615"/>
      <c r="BO91" s="615"/>
      <c r="BP91" s="615"/>
      <c r="BQ91" s="615"/>
      <c r="BR91" s="615"/>
      <c r="BS91" s="615"/>
      <c r="BT91" s="615"/>
      <c r="BU91" s="615"/>
      <c r="BV91" s="615"/>
      <c r="BW91" s="615"/>
      <c r="BX91" s="607"/>
    </row>
    <row r="92" spans="1:76" s="612" customFormat="1" ht="25.5" x14ac:dyDescent="0.2">
      <c r="A92" s="839"/>
      <c r="B92" s="713" t="s">
        <v>2606</v>
      </c>
      <c r="C92" s="713" t="s">
        <v>1860</v>
      </c>
      <c r="D92" s="712">
        <v>0</v>
      </c>
      <c r="E92" s="712">
        <v>0</v>
      </c>
      <c r="F92" s="712">
        <v>0</v>
      </c>
      <c r="G92" s="712">
        <v>0</v>
      </c>
      <c r="H92" s="712">
        <v>0</v>
      </c>
      <c r="I92" s="712">
        <v>0</v>
      </c>
      <c r="J92" s="712">
        <v>0</v>
      </c>
      <c r="K92" s="712">
        <v>0</v>
      </c>
      <c r="L92" s="712">
        <v>0</v>
      </c>
      <c r="M92" s="712">
        <v>66052</v>
      </c>
      <c r="N92" s="712">
        <v>0</v>
      </c>
      <c r="O92" s="712">
        <v>0</v>
      </c>
      <c r="P92" s="712">
        <v>0</v>
      </c>
      <c r="Q92" s="712">
        <v>0</v>
      </c>
      <c r="R92" s="712">
        <v>0</v>
      </c>
      <c r="S92" s="712">
        <v>0</v>
      </c>
      <c r="T92" s="712">
        <v>0</v>
      </c>
      <c r="U92" s="712">
        <v>0</v>
      </c>
      <c r="V92" s="712">
        <v>0</v>
      </c>
      <c r="W92" s="712">
        <v>0</v>
      </c>
      <c r="X92" s="712">
        <v>0</v>
      </c>
      <c r="Y92" s="712">
        <v>0</v>
      </c>
      <c r="Z92" s="712">
        <v>0</v>
      </c>
      <c r="AA92" s="712">
        <v>0</v>
      </c>
      <c r="AB92" s="712">
        <v>0</v>
      </c>
      <c r="AC92" s="712">
        <v>0</v>
      </c>
      <c r="AD92" s="712">
        <v>0</v>
      </c>
      <c r="AE92" s="712">
        <v>0</v>
      </c>
      <c r="AF92" s="712">
        <v>0</v>
      </c>
      <c r="AG92" s="712">
        <v>0</v>
      </c>
      <c r="AH92" s="712">
        <v>0</v>
      </c>
      <c r="AI92" s="712">
        <v>0</v>
      </c>
      <c r="AJ92" s="712">
        <v>0</v>
      </c>
      <c r="AK92" s="712">
        <v>0</v>
      </c>
      <c r="AL92" s="712">
        <v>0</v>
      </c>
      <c r="AM92" s="712">
        <v>0</v>
      </c>
      <c r="AN92" s="712">
        <v>0</v>
      </c>
      <c r="AO92" s="712">
        <v>0</v>
      </c>
      <c r="AP92" s="712">
        <v>0</v>
      </c>
      <c r="AQ92" s="712">
        <v>0</v>
      </c>
      <c r="AR92" s="712">
        <v>0</v>
      </c>
      <c r="AS92" s="712">
        <v>0</v>
      </c>
      <c r="AT92">
        <v>66052</v>
      </c>
      <c r="AU92" s="609"/>
      <c r="AV92" s="609"/>
      <c r="AW92" s="615"/>
      <c r="AX92" s="615"/>
      <c r="AY92" s="615"/>
      <c r="AZ92" s="615"/>
      <c r="BA92" s="615"/>
      <c r="BB92" s="615"/>
      <c r="BC92" s="615"/>
      <c r="BD92" s="615"/>
      <c r="BE92" s="615"/>
      <c r="BF92" s="615"/>
      <c r="BG92" s="615"/>
      <c r="BH92" s="615"/>
      <c r="BI92" s="615"/>
      <c r="BJ92" s="615"/>
      <c r="BK92" s="615"/>
      <c r="BL92" s="615"/>
      <c r="BM92" s="615"/>
      <c r="BN92" s="615"/>
      <c r="BO92" s="615"/>
      <c r="BP92" s="615"/>
      <c r="BQ92" s="615"/>
      <c r="BR92" s="615"/>
      <c r="BS92" s="615"/>
      <c r="BT92" s="615"/>
      <c r="BU92" s="615"/>
      <c r="BV92" s="615"/>
      <c r="BW92" s="615"/>
      <c r="BX92" s="607"/>
    </row>
    <row r="93" spans="1:76" s="612" customFormat="1" ht="25.5" x14ac:dyDescent="0.2">
      <c r="A93" s="839"/>
      <c r="B93" s="713" t="s">
        <v>1645</v>
      </c>
      <c r="C93" s="713" t="s">
        <v>1883</v>
      </c>
      <c r="D93" s="712">
        <v>0</v>
      </c>
      <c r="E93" s="712">
        <v>0</v>
      </c>
      <c r="F93" s="712">
        <v>0</v>
      </c>
      <c r="G93" s="712">
        <v>0</v>
      </c>
      <c r="H93" s="712">
        <v>0</v>
      </c>
      <c r="I93" s="712">
        <v>0</v>
      </c>
      <c r="J93" s="712">
        <v>0</v>
      </c>
      <c r="K93" s="712">
        <v>0</v>
      </c>
      <c r="L93" s="712">
        <v>0</v>
      </c>
      <c r="M93" s="712">
        <v>109783</v>
      </c>
      <c r="N93" s="712">
        <v>0</v>
      </c>
      <c r="O93" s="712">
        <v>0</v>
      </c>
      <c r="P93" s="712">
        <v>0</v>
      </c>
      <c r="Q93" s="712">
        <v>0</v>
      </c>
      <c r="R93" s="712">
        <v>0</v>
      </c>
      <c r="S93" s="712">
        <v>0</v>
      </c>
      <c r="T93" s="712">
        <v>0</v>
      </c>
      <c r="U93" s="712">
        <v>0</v>
      </c>
      <c r="V93" s="712">
        <v>0</v>
      </c>
      <c r="W93" s="712">
        <v>0</v>
      </c>
      <c r="X93" s="712">
        <v>0</v>
      </c>
      <c r="Y93" s="712">
        <v>0</v>
      </c>
      <c r="Z93" s="712">
        <v>0</v>
      </c>
      <c r="AA93" s="712">
        <v>0</v>
      </c>
      <c r="AB93" s="712">
        <v>0</v>
      </c>
      <c r="AC93" s="712">
        <v>0</v>
      </c>
      <c r="AD93" s="712">
        <v>0</v>
      </c>
      <c r="AE93" s="712">
        <v>0</v>
      </c>
      <c r="AF93" s="712">
        <v>0</v>
      </c>
      <c r="AG93" s="712">
        <v>0</v>
      </c>
      <c r="AH93" s="712">
        <v>0</v>
      </c>
      <c r="AI93" s="712">
        <v>0</v>
      </c>
      <c r="AJ93" s="712">
        <v>0</v>
      </c>
      <c r="AK93" s="712">
        <v>0</v>
      </c>
      <c r="AL93" s="712">
        <v>0</v>
      </c>
      <c r="AM93" s="712">
        <v>0</v>
      </c>
      <c r="AN93" s="712">
        <v>0</v>
      </c>
      <c r="AO93" s="712">
        <v>0</v>
      </c>
      <c r="AP93" s="712">
        <v>0</v>
      </c>
      <c r="AQ93" s="712">
        <v>0</v>
      </c>
      <c r="AR93" s="712">
        <v>0</v>
      </c>
      <c r="AS93" s="712">
        <v>0</v>
      </c>
      <c r="AT93">
        <v>109758</v>
      </c>
      <c r="AU93" s="609"/>
      <c r="AV93" s="609"/>
      <c r="AW93" s="615"/>
      <c r="AX93" s="615"/>
      <c r="AY93" s="615"/>
      <c r="AZ93" s="615"/>
      <c r="BA93" s="615"/>
      <c r="BB93" s="615"/>
      <c r="BC93" s="615"/>
      <c r="BD93" s="615"/>
      <c r="BE93" s="615"/>
      <c r="BF93" s="615"/>
      <c r="BG93" s="615"/>
      <c r="BH93" s="615"/>
      <c r="BI93" s="615"/>
      <c r="BJ93" s="615"/>
      <c r="BK93" s="615"/>
      <c r="BL93" s="615"/>
      <c r="BM93" s="615"/>
      <c r="BN93" s="615"/>
      <c r="BO93" s="615"/>
      <c r="BP93" s="615"/>
      <c r="BQ93" s="615"/>
      <c r="BR93" s="615"/>
      <c r="BS93" s="615"/>
      <c r="BT93" s="615"/>
      <c r="BU93" s="615"/>
      <c r="BV93" s="615"/>
      <c r="BW93" s="615"/>
      <c r="BX93" s="607"/>
    </row>
    <row r="94" spans="1:76" s="612" customFormat="1" ht="25.5" x14ac:dyDescent="0.2">
      <c r="A94" s="839"/>
      <c r="B94" s="713" t="s">
        <v>1696</v>
      </c>
      <c r="C94" s="713" t="s">
        <v>1765</v>
      </c>
      <c r="D94" s="712">
        <v>0</v>
      </c>
      <c r="E94" s="712">
        <v>0</v>
      </c>
      <c r="F94" s="712">
        <v>0</v>
      </c>
      <c r="G94" s="712">
        <v>0</v>
      </c>
      <c r="H94" s="712">
        <v>0</v>
      </c>
      <c r="I94" s="712">
        <v>0</v>
      </c>
      <c r="J94" s="712">
        <v>0</v>
      </c>
      <c r="K94" s="712">
        <v>0</v>
      </c>
      <c r="L94" s="712">
        <v>0</v>
      </c>
      <c r="M94" s="712">
        <v>0</v>
      </c>
      <c r="N94" s="712">
        <v>0</v>
      </c>
      <c r="O94" s="712">
        <v>0</v>
      </c>
      <c r="P94" s="712">
        <v>0</v>
      </c>
      <c r="Q94" s="712">
        <v>0</v>
      </c>
      <c r="R94" s="712">
        <v>0</v>
      </c>
      <c r="S94" s="712">
        <v>0</v>
      </c>
      <c r="T94" s="712">
        <v>0</v>
      </c>
      <c r="U94" s="712">
        <v>0</v>
      </c>
      <c r="V94" s="712">
        <v>0</v>
      </c>
      <c r="W94" s="712">
        <v>0</v>
      </c>
      <c r="X94" s="712">
        <v>0</v>
      </c>
      <c r="Y94" s="712">
        <v>0</v>
      </c>
      <c r="Z94" s="712">
        <v>0</v>
      </c>
      <c r="AA94" s="712">
        <v>0</v>
      </c>
      <c r="AB94" s="712">
        <v>0</v>
      </c>
      <c r="AC94" s="712">
        <v>0</v>
      </c>
      <c r="AD94" s="712">
        <v>0</v>
      </c>
      <c r="AE94" s="712">
        <v>0</v>
      </c>
      <c r="AF94" s="712">
        <v>0</v>
      </c>
      <c r="AG94" s="712">
        <v>0</v>
      </c>
      <c r="AH94" s="712">
        <v>0</v>
      </c>
      <c r="AI94" s="712">
        <v>0</v>
      </c>
      <c r="AJ94" s="712">
        <v>0</v>
      </c>
      <c r="AK94" s="712">
        <v>0</v>
      </c>
      <c r="AL94" s="712">
        <v>0</v>
      </c>
      <c r="AM94" s="712">
        <v>0</v>
      </c>
      <c r="AN94" s="712">
        <v>0</v>
      </c>
      <c r="AO94" s="712">
        <v>0</v>
      </c>
      <c r="AP94" s="712">
        <v>0</v>
      </c>
      <c r="AQ94" s="712">
        <v>0</v>
      </c>
      <c r="AR94" s="712">
        <v>0</v>
      </c>
      <c r="AS94" s="712">
        <v>0</v>
      </c>
      <c r="AT94">
        <v>0</v>
      </c>
      <c r="AU94" s="609"/>
      <c r="AV94" s="609"/>
      <c r="AW94" s="615"/>
      <c r="AX94" s="615"/>
      <c r="AY94" s="615"/>
      <c r="AZ94" s="615"/>
      <c r="BA94" s="615"/>
      <c r="BB94" s="615"/>
      <c r="BC94" s="615"/>
      <c r="BD94" s="615"/>
      <c r="BE94" s="615"/>
      <c r="BF94" s="615"/>
      <c r="BG94" s="615"/>
      <c r="BH94" s="615"/>
      <c r="BI94" s="615"/>
      <c r="BJ94" s="615"/>
      <c r="BK94" s="615"/>
      <c r="BL94" s="615"/>
      <c r="BM94" s="615"/>
      <c r="BN94" s="615"/>
      <c r="BO94" s="615"/>
      <c r="BP94" s="615"/>
      <c r="BQ94" s="615"/>
      <c r="BR94" s="615"/>
      <c r="BS94" s="615"/>
      <c r="BT94" s="615"/>
      <c r="BU94" s="615"/>
      <c r="BV94" s="615"/>
      <c r="BW94" s="615"/>
      <c r="BX94" s="607"/>
    </row>
    <row r="95" spans="1:76" s="612" customFormat="1" ht="25.5" x14ac:dyDescent="0.2">
      <c r="A95" s="839"/>
      <c r="B95" s="713" t="s">
        <v>2288</v>
      </c>
      <c r="C95" s="713" t="s">
        <v>1763</v>
      </c>
      <c r="D95" s="712">
        <v>0</v>
      </c>
      <c r="E95" s="712">
        <v>0</v>
      </c>
      <c r="F95" s="712">
        <v>0</v>
      </c>
      <c r="G95" s="712">
        <v>0</v>
      </c>
      <c r="H95" s="712">
        <v>0</v>
      </c>
      <c r="I95" s="712">
        <v>0</v>
      </c>
      <c r="J95" s="712">
        <v>0</v>
      </c>
      <c r="K95" s="712">
        <v>0</v>
      </c>
      <c r="L95" s="712">
        <v>0</v>
      </c>
      <c r="M95" s="712">
        <v>0</v>
      </c>
      <c r="N95" s="712">
        <v>0</v>
      </c>
      <c r="O95" s="712">
        <v>0</v>
      </c>
      <c r="P95" s="712">
        <v>0</v>
      </c>
      <c r="Q95" s="712">
        <v>0</v>
      </c>
      <c r="R95" s="712">
        <v>0</v>
      </c>
      <c r="S95" s="712">
        <v>0</v>
      </c>
      <c r="T95" s="712">
        <v>0</v>
      </c>
      <c r="U95" s="712">
        <v>0</v>
      </c>
      <c r="V95" s="712">
        <v>0</v>
      </c>
      <c r="W95" s="712">
        <v>0</v>
      </c>
      <c r="X95" s="712">
        <v>0</v>
      </c>
      <c r="Y95" s="712">
        <v>0</v>
      </c>
      <c r="Z95" s="712">
        <v>0</v>
      </c>
      <c r="AA95" s="712">
        <v>0</v>
      </c>
      <c r="AB95" s="712">
        <v>0</v>
      </c>
      <c r="AC95" s="712">
        <v>0</v>
      </c>
      <c r="AD95" s="712">
        <v>0</v>
      </c>
      <c r="AE95" s="712">
        <v>0</v>
      </c>
      <c r="AF95" s="712">
        <v>0</v>
      </c>
      <c r="AG95" s="712">
        <v>0</v>
      </c>
      <c r="AH95" s="712">
        <v>0</v>
      </c>
      <c r="AI95" s="712">
        <v>0</v>
      </c>
      <c r="AJ95" s="712">
        <v>0</v>
      </c>
      <c r="AK95" s="712">
        <v>0</v>
      </c>
      <c r="AL95" s="712">
        <v>0</v>
      </c>
      <c r="AM95" s="712">
        <v>0</v>
      </c>
      <c r="AN95" s="712">
        <v>0</v>
      </c>
      <c r="AO95" s="712">
        <v>0</v>
      </c>
      <c r="AP95" s="712">
        <v>0</v>
      </c>
      <c r="AQ95" s="712">
        <v>0</v>
      </c>
      <c r="AR95" s="712">
        <v>0</v>
      </c>
      <c r="AS95" s="712">
        <v>0</v>
      </c>
      <c r="AT95">
        <v>0</v>
      </c>
      <c r="AU95" s="609"/>
      <c r="AV95" s="609"/>
      <c r="AW95" s="615"/>
      <c r="AX95" s="615"/>
      <c r="AY95" s="615"/>
      <c r="AZ95" s="615"/>
      <c r="BA95" s="615"/>
      <c r="BB95" s="615"/>
      <c r="BC95" s="615"/>
      <c r="BD95" s="615"/>
      <c r="BE95" s="615"/>
      <c r="BF95" s="615"/>
      <c r="BG95" s="615"/>
      <c r="BH95" s="615"/>
      <c r="BI95" s="615"/>
      <c r="BJ95" s="615"/>
      <c r="BK95" s="615"/>
      <c r="BL95" s="615"/>
      <c r="BM95" s="615"/>
      <c r="BN95" s="615"/>
      <c r="BO95" s="615"/>
      <c r="BP95" s="615"/>
      <c r="BQ95" s="615"/>
      <c r="BR95" s="615"/>
      <c r="BS95" s="615"/>
      <c r="BT95" s="615"/>
      <c r="BU95" s="615"/>
      <c r="BV95" s="615"/>
      <c r="BW95" s="615"/>
      <c r="BX95" s="607"/>
    </row>
    <row r="96" spans="1:76" s="612" customFormat="1" ht="38.25" x14ac:dyDescent="0.2">
      <c r="A96" s="839"/>
      <c r="B96" s="713" t="s">
        <v>1000</v>
      </c>
      <c r="C96" s="713" t="s">
        <v>1841</v>
      </c>
      <c r="D96" s="712">
        <v>0</v>
      </c>
      <c r="E96" s="712">
        <v>0</v>
      </c>
      <c r="F96" s="712">
        <v>0</v>
      </c>
      <c r="G96" s="712">
        <v>0</v>
      </c>
      <c r="H96" s="712">
        <v>0</v>
      </c>
      <c r="I96" s="712">
        <v>0</v>
      </c>
      <c r="J96" s="712">
        <v>0</v>
      </c>
      <c r="K96" s="712">
        <v>0</v>
      </c>
      <c r="L96" s="712">
        <v>0</v>
      </c>
      <c r="M96" s="712">
        <v>0</v>
      </c>
      <c r="N96" s="712">
        <v>0</v>
      </c>
      <c r="O96" s="712">
        <v>0</v>
      </c>
      <c r="P96" s="712">
        <v>0</v>
      </c>
      <c r="Q96" s="712">
        <v>0</v>
      </c>
      <c r="R96" s="712">
        <v>0</v>
      </c>
      <c r="S96" s="712">
        <v>0</v>
      </c>
      <c r="T96" s="712">
        <v>0</v>
      </c>
      <c r="U96" s="712">
        <v>0</v>
      </c>
      <c r="V96" s="712">
        <v>0</v>
      </c>
      <c r="W96" s="712">
        <v>0</v>
      </c>
      <c r="X96" s="712">
        <v>0</v>
      </c>
      <c r="Y96" s="712">
        <v>0</v>
      </c>
      <c r="Z96" s="712">
        <v>0</v>
      </c>
      <c r="AA96" s="712">
        <v>0</v>
      </c>
      <c r="AB96" s="712">
        <v>0</v>
      </c>
      <c r="AC96" s="712">
        <v>0</v>
      </c>
      <c r="AD96" s="712">
        <v>0</v>
      </c>
      <c r="AE96" s="712">
        <v>0</v>
      </c>
      <c r="AF96" s="712">
        <v>0</v>
      </c>
      <c r="AG96" s="712">
        <v>0</v>
      </c>
      <c r="AH96" s="712">
        <v>0</v>
      </c>
      <c r="AI96" s="712">
        <v>0</v>
      </c>
      <c r="AJ96" s="712">
        <v>0</v>
      </c>
      <c r="AK96" s="712">
        <v>0</v>
      </c>
      <c r="AL96" s="712">
        <v>0</v>
      </c>
      <c r="AM96" s="712">
        <v>0</v>
      </c>
      <c r="AN96" s="712">
        <v>0</v>
      </c>
      <c r="AO96" s="712">
        <v>0</v>
      </c>
      <c r="AP96" s="712">
        <v>0</v>
      </c>
      <c r="AQ96" s="712">
        <v>0</v>
      </c>
      <c r="AR96" s="712">
        <v>0</v>
      </c>
      <c r="AS96" s="712">
        <v>0</v>
      </c>
      <c r="AT96">
        <v>0</v>
      </c>
      <c r="AU96" s="609"/>
      <c r="AV96" s="609"/>
      <c r="AW96" s="615"/>
      <c r="AX96" s="615"/>
      <c r="AY96" s="615"/>
      <c r="AZ96" s="615"/>
      <c r="BA96" s="615"/>
      <c r="BB96" s="615"/>
      <c r="BC96" s="615"/>
      <c r="BD96" s="615"/>
      <c r="BE96" s="615"/>
      <c r="BF96" s="615"/>
      <c r="BG96" s="615"/>
      <c r="BH96" s="615"/>
      <c r="BI96" s="615"/>
      <c r="BJ96" s="615"/>
      <c r="BK96" s="615"/>
      <c r="BL96" s="615"/>
      <c r="BM96" s="615"/>
      <c r="BN96" s="615"/>
      <c r="BO96" s="615"/>
      <c r="BP96" s="615"/>
      <c r="BQ96" s="615"/>
      <c r="BR96" s="615"/>
      <c r="BS96" s="615"/>
      <c r="BT96" s="615"/>
      <c r="BU96" s="615"/>
      <c r="BV96" s="615"/>
      <c r="BW96" s="615"/>
      <c r="BX96" s="607"/>
    </row>
    <row r="97" spans="1:76" s="612" customFormat="1" ht="25.5" x14ac:dyDescent="0.2">
      <c r="A97" s="839"/>
      <c r="B97" s="713" t="s">
        <v>1634</v>
      </c>
      <c r="C97" s="713" t="s">
        <v>1772</v>
      </c>
      <c r="D97" s="712">
        <v>0</v>
      </c>
      <c r="E97" s="712">
        <v>0</v>
      </c>
      <c r="F97" s="712">
        <v>0</v>
      </c>
      <c r="G97" s="712">
        <v>0</v>
      </c>
      <c r="H97" s="712">
        <v>0</v>
      </c>
      <c r="I97" s="712">
        <v>0</v>
      </c>
      <c r="J97" s="712">
        <v>0</v>
      </c>
      <c r="K97" s="712">
        <v>0</v>
      </c>
      <c r="L97" s="712">
        <v>0</v>
      </c>
      <c r="M97" s="712">
        <v>0</v>
      </c>
      <c r="N97" s="712">
        <v>0</v>
      </c>
      <c r="O97" s="712">
        <v>0</v>
      </c>
      <c r="P97" s="712">
        <v>0</v>
      </c>
      <c r="Q97" s="712">
        <v>0</v>
      </c>
      <c r="R97" s="712">
        <v>0</v>
      </c>
      <c r="S97" s="712">
        <v>0</v>
      </c>
      <c r="T97" s="712">
        <v>0</v>
      </c>
      <c r="U97" s="712">
        <v>0</v>
      </c>
      <c r="V97" s="712">
        <v>0</v>
      </c>
      <c r="W97" s="712">
        <v>0</v>
      </c>
      <c r="X97" s="712">
        <v>0</v>
      </c>
      <c r="Y97" s="712">
        <v>0</v>
      </c>
      <c r="Z97" s="712">
        <v>0</v>
      </c>
      <c r="AA97" s="712">
        <v>0</v>
      </c>
      <c r="AB97" s="712">
        <v>0</v>
      </c>
      <c r="AC97" s="712">
        <v>0</v>
      </c>
      <c r="AD97" s="712">
        <v>0</v>
      </c>
      <c r="AE97" s="712">
        <v>0</v>
      </c>
      <c r="AF97" s="712">
        <v>0</v>
      </c>
      <c r="AG97" s="712">
        <v>0</v>
      </c>
      <c r="AH97" s="712">
        <v>0</v>
      </c>
      <c r="AI97" s="712">
        <v>0</v>
      </c>
      <c r="AJ97" s="712">
        <v>0</v>
      </c>
      <c r="AK97" s="712">
        <v>0</v>
      </c>
      <c r="AL97" s="712">
        <v>0</v>
      </c>
      <c r="AM97" s="712">
        <v>0</v>
      </c>
      <c r="AN97" s="712">
        <v>0</v>
      </c>
      <c r="AO97" s="712">
        <v>0</v>
      </c>
      <c r="AP97" s="712">
        <v>0</v>
      </c>
      <c r="AQ97" s="712">
        <v>0</v>
      </c>
      <c r="AR97" s="712">
        <v>0</v>
      </c>
      <c r="AS97" s="712">
        <v>0</v>
      </c>
      <c r="AT97">
        <v>0</v>
      </c>
      <c r="AU97" s="609"/>
      <c r="AV97" s="609"/>
      <c r="AW97" s="615"/>
      <c r="AX97" s="615"/>
      <c r="AY97" s="615"/>
      <c r="AZ97" s="615"/>
      <c r="BA97" s="615"/>
      <c r="BB97" s="615"/>
      <c r="BC97" s="615"/>
      <c r="BD97" s="615"/>
      <c r="BE97" s="615"/>
      <c r="BF97" s="615"/>
      <c r="BG97" s="615"/>
      <c r="BH97" s="615"/>
      <c r="BI97" s="615"/>
      <c r="BJ97" s="615"/>
      <c r="BK97" s="615"/>
      <c r="BL97" s="615"/>
      <c r="BM97" s="615"/>
      <c r="BN97" s="615"/>
      <c r="BO97" s="615"/>
      <c r="BP97" s="615"/>
      <c r="BQ97" s="615"/>
      <c r="BR97" s="615"/>
      <c r="BS97" s="615"/>
      <c r="BT97" s="615"/>
      <c r="BU97" s="615"/>
      <c r="BV97" s="615"/>
      <c r="BW97" s="615"/>
      <c r="BX97" s="607"/>
    </row>
    <row r="98" spans="1:76" s="612" customFormat="1" ht="12.75" x14ac:dyDescent="0.2">
      <c r="A98" s="839"/>
      <c r="B98" s="838" t="s">
        <v>1430</v>
      </c>
      <c r="C98" s="713" t="s">
        <v>1819</v>
      </c>
      <c r="D98" s="712">
        <v>0</v>
      </c>
      <c r="E98" s="712">
        <v>0</v>
      </c>
      <c r="F98" s="712">
        <v>0</v>
      </c>
      <c r="G98" s="712">
        <v>0</v>
      </c>
      <c r="H98" s="712">
        <v>0</v>
      </c>
      <c r="I98" s="712">
        <v>0</v>
      </c>
      <c r="J98" s="712">
        <v>0</v>
      </c>
      <c r="K98" s="712">
        <v>0</v>
      </c>
      <c r="L98" s="712">
        <v>0</v>
      </c>
      <c r="M98" s="712">
        <v>0</v>
      </c>
      <c r="N98" s="712">
        <v>0</v>
      </c>
      <c r="O98" s="712">
        <v>0</v>
      </c>
      <c r="P98" s="712">
        <v>0</v>
      </c>
      <c r="Q98" s="712">
        <v>0</v>
      </c>
      <c r="R98" s="712">
        <v>0</v>
      </c>
      <c r="S98" s="712">
        <v>0</v>
      </c>
      <c r="T98" s="712">
        <v>0</v>
      </c>
      <c r="U98" s="712">
        <v>0</v>
      </c>
      <c r="V98" s="712">
        <v>0</v>
      </c>
      <c r="W98" s="712">
        <v>0</v>
      </c>
      <c r="X98" s="712">
        <v>0</v>
      </c>
      <c r="Y98" s="712">
        <v>0</v>
      </c>
      <c r="Z98" s="712">
        <v>0</v>
      </c>
      <c r="AA98" s="712">
        <v>0</v>
      </c>
      <c r="AB98" s="712">
        <v>0</v>
      </c>
      <c r="AC98" s="712">
        <v>0</v>
      </c>
      <c r="AD98" s="712">
        <v>0</v>
      </c>
      <c r="AE98" s="712">
        <v>0</v>
      </c>
      <c r="AF98" s="712">
        <v>0</v>
      </c>
      <c r="AG98" s="712">
        <v>0</v>
      </c>
      <c r="AH98" s="712">
        <v>0</v>
      </c>
      <c r="AI98" s="712">
        <v>0</v>
      </c>
      <c r="AJ98" s="712">
        <v>0</v>
      </c>
      <c r="AK98" s="712">
        <v>0</v>
      </c>
      <c r="AL98" s="712">
        <v>0</v>
      </c>
      <c r="AM98" s="712">
        <v>0</v>
      </c>
      <c r="AN98" s="712">
        <v>0</v>
      </c>
      <c r="AO98" s="712">
        <v>0</v>
      </c>
      <c r="AP98" s="712">
        <v>0</v>
      </c>
      <c r="AQ98" s="712">
        <v>0</v>
      </c>
      <c r="AR98" s="712">
        <v>0</v>
      </c>
      <c r="AS98" s="712">
        <v>0</v>
      </c>
      <c r="AT98">
        <v>0</v>
      </c>
      <c r="AU98" s="609"/>
      <c r="AV98" s="609"/>
      <c r="AW98" s="615"/>
      <c r="AX98" s="615"/>
      <c r="AY98" s="615"/>
      <c r="AZ98" s="615"/>
      <c r="BA98" s="615"/>
      <c r="BB98" s="615"/>
      <c r="BC98" s="615"/>
      <c r="BD98" s="615"/>
      <c r="BE98" s="615"/>
      <c r="BF98" s="615"/>
      <c r="BG98" s="615"/>
      <c r="BH98" s="615"/>
      <c r="BI98" s="615"/>
      <c r="BJ98" s="615"/>
      <c r="BK98" s="615"/>
      <c r="BL98" s="615"/>
      <c r="BM98" s="615"/>
      <c r="BN98" s="615"/>
      <c r="BO98" s="615"/>
      <c r="BP98" s="615"/>
      <c r="BQ98" s="615"/>
      <c r="BR98" s="615"/>
      <c r="BS98" s="615"/>
      <c r="BT98" s="615"/>
      <c r="BU98" s="615"/>
      <c r="BV98" s="615"/>
      <c r="BW98" s="615"/>
      <c r="BX98" s="607"/>
    </row>
    <row r="99" spans="1:76" s="612" customFormat="1" ht="12.75" x14ac:dyDescent="0.2">
      <c r="A99" s="839"/>
      <c r="B99" s="839"/>
      <c r="C99" s="713" t="s">
        <v>1827</v>
      </c>
      <c r="D99" s="712">
        <v>0</v>
      </c>
      <c r="E99" s="712">
        <v>0</v>
      </c>
      <c r="F99" s="712">
        <v>0</v>
      </c>
      <c r="G99" s="712">
        <v>0</v>
      </c>
      <c r="H99" s="712">
        <v>0</v>
      </c>
      <c r="I99" s="712">
        <v>0</v>
      </c>
      <c r="J99" s="712">
        <v>0</v>
      </c>
      <c r="K99" s="712">
        <v>0</v>
      </c>
      <c r="L99" s="712">
        <v>0</v>
      </c>
      <c r="M99" s="712">
        <v>0</v>
      </c>
      <c r="N99" s="712">
        <v>0</v>
      </c>
      <c r="O99" s="712">
        <v>0</v>
      </c>
      <c r="P99" s="712">
        <v>0</v>
      </c>
      <c r="Q99" s="712">
        <v>0</v>
      </c>
      <c r="R99" s="712">
        <v>0</v>
      </c>
      <c r="S99" s="712">
        <v>0</v>
      </c>
      <c r="T99" s="712">
        <v>0</v>
      </c>
      <c r="U99" s="712">
        <v>0</v>
      </c>
      <c r="V99" s="712">
        <v>0</v>
      </c>
      <c r="W99" s="712">
        <v>0</v>
      </c>
      <c r="X99" s="712">
        <v>0</v>
      </c>
      <c r="Y99" s="712">
        <v>0</v>
      </c>
      <c r="Z99" s="712">
        <v>0</v>
      </c>
      <c r="AA99" s="712">
        <v>0</v>
      </c>
      <c r="AB99" s="712">
        <v>0</v>
      </c>
      <c r="AC99" s="712">
        <v>0</v>
      </c>
      <c r="AD99" s="712">
        <v>0</v>
      </c>
      <c r="AE99" s="712">
        <v>0</v>
      </c>
      <c r="AF99" s="712">
        <v>0</v>
      </c>
      <c r="AG99" s="712">
        <v>0</v>
      </c>
      <c r="AH99" s="712">
        <v>0</v>
      </c>
      <c r="AI99" s="712">
        <v>0</v>
      </c>
      <c r="AJ99" s="712">
        <v>0</v>
      </c>
      <c r="AK99" s="712">
        <v>0</v>
      </c>
      <c r="AL99" s="712">
        <v>0</v>
      </c>
      <c r="AM99" s="712">
        <v>0</v>
      </c>
      <c r="AN99" s="712">
        <v>0</v>
      </c>
      <c r="AO99" s="712">
        <v>0</v>
      </c>
      <c r="AP99" s="712">
        <v>0</v>
      </c>
      <c r="AQ99" s="712">
        <v>0</v>
      </c>
      <c r="AR99" s="712">
        <v>0</v>
      </c>
      <c r="AS99" s="712">
        <v>0</v>
      </c>
      <c r="AT99">
        <v>0</v>
      </c>
      <c r="AU99" s="609"/>
      <c r="AV99" s="609"/>
      <c r="AW99" s="615"/>
      <c r="AX99" s="615"/>
      <c r="AY99" s="615"/>
      <c r="AZ99" s="615"/>
      <c r="BA99" s="615"/>
      <c r="BB99" s="615"/>
      <c r="BC99" s="615"/>
      <c r="BD99" s="615"/>
      <c r="BE99" s="615"/>
      <c r="BF99" s="615"/>
      <c r="BG99" s="615"/>
      <c r="BH99" s="615"/>
      <c r="BI99" s="615"/>
      <c r="BJ99" s="615"/>
      <c r="BK99" s="615"/>
      <c r="BL99" s="615"/>
      <c r="BM99" s="615"/>
      <c r="BN99" s="615"/>
      <c r="BO99" s="615"/>
      <c r="BP99" s="615"/>
      <c r="BQ99" s="615"/>
      <c r="BR99" s="615"/>
      <c r="BS99" s="615"/>
      <c r="BT99" s="615"/>
      <c r="BU99" s="615"/>
      <c r="BV99" s="615"/>
      <c r="BW99" s="615"/>
      <c r="BX99" s="607"/>
    </row>
    <row r="100" spans="1:76" s="612" customFormat="1" ht="12.75" x14ac:dyDescent="0.2">
      <c r="A100" s="839"/>
      <c r="B100" s="713" t="s">
        <v>1639</v>
      </c>
      <c r="C100" s="713" t="s">
        <v>1853</v>
      </c>
      <c r="D100" s="712">
        <v>0</v>
      </c>
      <c r="E100" s="712">
        <v>0</v>
      </c>
      <c r="F100" s="712">
        <v>0</v>
      </c>
      <c r="G100" s="712">
        <v>0</v>
      </c>
      <c r="H100" s="712">
        <v>0</v>
      </c>
      <c r="I100" s="712">
        <v>0</v>
      </c>
      <c r="J100" s="712">
        <v>0</v>
      </c>
      <c r="K100" s="712">
        <v>2227210</v>
      </c>
      <c r="L100" s="712">
        <v>0</v>
      </c>
      <c r="M100" s="712">
        <v>109173</v>
      </c>
      <c r="N100" s="712">
        <v>0</v>
      </c>
      <c r="O100" s="712">
        <v>0</v>
      </c>
      <c r="P100" s="712">
        <v>0</v>
      </c>
      <c r="Q100" s="712">
        <v>0</v>
      </c>
      <c r="R100" s="712">
        <v>0</v>
      </c>
      <c r="S100" s="712">
        <v>0</v>
      </c>
      <c r="T100" s="712">
        <v>0</v>
      </c>
      <c r="U100" s="712">
        <v>0</v>
      </c>
      <c r="V100" s="712">
        <v>0</v>
      </c>
      <c r="W100" s="712">
        <v>0</v>
      </c>
      <c r="X100" s="712">
        <v>0</v>
      </c>
      <c r="Y100" s="712">
        <v>0</v>
      </c>
      <c r="Z100" s="712">
        <v>0</v>
      </c>
      <c r="AA100" s="712">
        <v>0</v>
      </c>
      <c r="AB100" s="712">
        <v>0</v>
      </c>
      <c r="AC100" s="712">
        <v>0</v>
      </c>
      <c r="AD100" s="712">
        <v>0</v>
      </c>
      <c r="AE100" s="712">
        <v>0</v>
      </c>
      <c r="AF100" s="712">
        <v>0</v>
      </c>
      <c r="AG100" s="712">
        <v>0</v>
      </c>
      <c r="AH100" s="712">
        <v>0</v>
      </c>
      <c r="AI100" s="712">
        <v>0</v>
      </c>
      <c r="AJ100" s="712">
        <v>0</v>
      </c>
      <c r="AK100" s="712">
        <v>0</v>
      </c>
      <c r="AL100" s="712">
        <v>0</v>
      </c>
      <c r="AM100" s="712">
        <v>0</v>
      </c>
      <c r="AN100" s="712">
        <v>0</v>
      </c>
      <c r="AO100" s="712">
        <v>0</v>
      </c>
      <c r="AP100" s="712">
        <v>0</v>
      </c>
      <c r="AQ100" s="712">
        <v>0</v>
      </c>
      <c r="AR100" s="712">
        <v>0</v>
      </c>
      <c r="AS100" s="712">
        <v>0</v>
      </c>
      <c r="AT100">
        <v>2336383</v>
      </c>
      <c r="AU100" s="609"/>
      <c r="AV100" s="609"/>
      <c r="AW100" s="615"/>
      <c r="AX100" s="615"/>
      <c r="AY100" s="615"/>
      <c r="AZ100" s="615"/>
      <c r="BA100" s="615"/>
      <c r="BB100" s="615"/>
      <c r="BC100" s="615"/>
      <c r="BD100" s="615"/>
      <c r="BE100" s="615"/>
      <c r="BF100" s="615"/>
      <c r="BG100" s="615"/>
      <c r="BH100" s="615"/>
      <c r="BI100" s="615"/>
      <c r="BJ100" s="615"/>
      <c r="BK100" s="615"/>
      <c r="BL100" s="615"/>
      <c r="BM100" s="615"/>
      <c r="BN100" s="615"/>
      <c r="BO100" s="615"/>
      <c r="BP100" s="615"/>
      <c r="BQ100" s="615"/>
      <c r="BR100" s="615"/>
      <c r="BS100" s="615"/>
      <c r="BT100" s="615"/>
      <c r="BU100" s="615"/>
      <c r="BV100" s="615"/>
      <c r="BW100" s="615"/>
      <c r="BX100" s="607"/>
    </row>
    <row r="101" spans="1:76" s="612" customFormat="1" ht="25.5" x14ac:dyDescent="0.2">
      <c r="A101" s="839"/>
      <c r="B101" s="713" t="s">
        <v>2237</v>
      </c>
      <c r="C101" s="713" t="s">
        <v>2236</v>
      </c>
      <c r="D101" s="712">
        <v>0</v>
      </c>
      <c r="E101" s="712">
        <v>0</v>
      </c>
      <c r="F101" s="712">
        <v>0</v>
      </c>
      <c r="G101" s="712">
        <v>0</v>
      </c>
      <c r="H101" s="712">
        <v>0</v>
      </c>
      <c r="I101" s="712">
        <v>0</v>
      </c>
      <c r="J101" s="712">
        <v>0</v>
      </c>
      <c r="K101" s="712">
        <v>0</v>
      </c>
      <c r="L101" s="712">
        <v>0</v>
      </c>
      <c r="M101" s="712">
        <v>0</v>
      </c>
      <c r="N101" s="712">
        <v>0</v>
      </c>
      <c r="O101" s="712">
        <v>0</v>
      </c>
      <c r="P101" s="712">
        <v>0</v>
      </c>
      <c r="Q101" s="712">
        <v>0</v>
      </c>
      <c r="R101" s="712">
        <v>0</v>
      </c>
      <c r="S101" s="712">
        <v>0</v>
      </c>
      <c r="T101" s="712">
        <v>0</v>
      </c>
      <c r="U101" s="712">
        <v>0</v>
      </c>
      <c r="V101" s="712">
        <v>0</v>
      </c>
      <c r="W101" s="712">
        <v>0</v>
      </c>
      <c r="X101" s="712">
        <v>0</v>
      </c>
      <c r="Y101" s="712">
        <v>0</v>
      </c>
      <c r="Z101" s="712">
        <v>0</v>
      </c>
      <c r="AA101" s="712">
        <v>0</v>
      </c>
      <c r="AB101" s="712">
        <v>0</v>
      </c>
      <c r="AC101" s="712">
        <v>0</v>
      </c>
      <c r="AD101" s="712">
        <v>0</v>
      </c>
      <c r="AE101" s="712">
        <v>0</v>
      </c>
      <c r="AF101" s="712">
        <v>0</v>
      </c>
      <c r="AG101" s="712">
        <v>0</v>
      </c>
      <c r="AH101" s="712">
        <v>0</v>
      </c>
      <c r="AI101" s="712">
        <v>0</v>
      </c>
      <c r="AJ101" s="712">
        <v>0</v>
      </c>
      <c r="AK101" s="712">
        <v>0</v>
      </c>
      <c r="AL101" s="712">
        <v>0</v>
      </c>
      <c r="AM101" s="712">
        <v>0</v>
      </c>
      <c r="AN101" s="712">
        <v>0</v>
      </c>
      <c r="AO101" s="712">
        <v>0</v>
      </c>
      <c r="AP101" s="712">
        <v>0</v>
      </c>
      <c r="AQ101" s="712">
        <v>0</v>
      </c>
      <c r="AR101" s="712">
        <v>0</v>
      </c>
      <c r="AS101" s="712">
        <v>0</v>
      </c>
      <c r="AT101">
        <v>0</v>
      </c>
      <c r="AU101" s="609"/>
      <c r="AV101" s="609"/>
      <c r="AW101" s="615"/>
      <c r="AX101" s="615"/>
      <c r="AY101" s="615"/>
      <c r="AZ101" s="615"/>
      <c r="BA101" s="615"/>
      <c r="BB101" s="615"/>
      <c r="BC101" s="615"/>
      <c r="BD101" s="615"/>
      <c r="BE101" s="615"/>
      <c r="BF101" s="615"/>
      <c r="BG101" s="615"/>
      <c r="BH101" s="615"/>
      <c r="BI101" s="615"/>
      <c r="BJ101" s="615"/>
      <c r="BK101" s="615"/>
      <c r="BL101" s="615"/>
      <c r="BM101" s="615"/>
      <c r="BN101" s="615"/>
      <c r="BO101" s="615"/>
      <c r="BP101" s="615"/>
      <c r="BQ101" s="615"/>
      <c r="BR101" s="615"/>
      <c r="BS101" s="615"/>
      <c r="BT101" s="615"/>
      <c r="BU101" s="615"/>
      <c r="BV101" s="615"/>
      <c r="BW101" s="615"/>
      <c r="BX101" s="607"/>
    </row>
    <row r="102" spans="1:76" s="612" customFormat="1" ht="25.5" x14ac:dyDescent="0.2">
      <c r="A102" s="839"/>
      <c r="B102" s="713" t="s">
        <v>979</v>
      </c>
      <c r="C102" s="713" t="s">
        <v>1792</v>
      </c>
      <c r="D102" s="712">
        <v>0</v>
      </c>
      <c r="E102" s="712">
        <v>0</v>
      </c>
      <c r="F102" s="712">
        <v>0</v>
      </c>
      <c r="G102" s="712">
        <v>0</v>
      </c>
      <c r="H102" s="712">
        <v>0</v>
      </c>
      <c r="I102" s="712">
        <v>0</v>
      </c>
      <c r="J102" s="712">
        <v>0</v>
      </c>
      <c r="K102" s="712">
        <v>0</v>
      </c>
      <c r="L102" s="712">
        <v>0</v>
      </c>
      <c r="M102" s="712">
        <v>0</v>
      </c>
      <c r="N102" s="712">
        <v>0</v>
      </c>
      <c r="O102" s="712">
        <v>0</v>
      </c>
      <c r="P102" s="712">
        <v>0</v>
      </c>
      <c r="Q102" s="712">
        <v>0</v>
      </c>
      <c r="R102" s="712">
        <v>0</v>
      </c>
      <c r="S102" s="712">
        <v>0</v>
      </c>
      <c r="T102" s="712">
        <v>0</v>
      </c>
      <c r="U102" s="712">
        <v>0</v>
      </c>
      <c r="V102" s="712">
        <v>0</v>
      </c>
      <c r="W102" s="712">
        <v>0</v>
      </c>
      <c r="X102" s="712">
        <v>0</v>
      </c>
      <c r="Y102" s="712">
        <v>0</v>
      </c>
      <c r="Z102" s="712">
        <v>0</v>
      </c>
      <c r="AA102" s="712">
        <v>0</v>
      </c>
      <c r="AB102" s="712">
        <v>0</v>
      </c>
      <c r="AC102" s="712">
        <v>0</v>
      </c>
      <c r="AD102" s="712">
        <v>0</v>
      </c>
      <c r="AE102" s="712">
        <v>0</v>
      </c>
      <c r="AF102" s="712">
        <v>0</v>
      </c>
      <c r="AG102" s="712">
        <v>0</v>
      </c>
      <c r="AH102" s="712">
        <v>0</v>
      </c>
      <c r="AI102" s="712">
        <v>0</v>
      </c>
      <c r="AJ102" s="712">
        <v>0</v>
      </c>
      <c r="AK102" s="712">
        <v>0</v>
      </c>
      <c r="AL102" s="712">
        <v>0</v>
      </c>
      <c r="AM102" s="712">
        <v>0</v>
      </c>
      <c r="AN102" s="712">
        <v>0</v>
      </c>
      <c r="AO102" s="712">
        <v>0</v>
      </c>
      <c r="AP102" s="712">
        <v>0</v>
      </c>
      <c r="AQ102" s="712">
        <v>0</v>
      </c>
      <c r="AR102" s="712">
        <v>0</v>
      </c>
      <c r="AS102" s="712">
        <v>0</v>
      </c>
      <c r="AT102">
        <v>0</v>
      </c>
      <c r="AU102" s="609"/>
      <c r="AV102" s="609"/>
      <c r="AW102" s="615"/>
      <c r="AX102" s="615"/>
      <c r="AY102" s="615"/>
      <c r="AZ102" s="615"/>
      <c r="BA102" s="615"/>
      <c r="BB102" s="615"/>
      <c r="BC102" s="615"/>
      <c r="BD102" s="615"/>
      <c r="BE102" s="615"/>
      <c r="BF102" s="615"/>
      <c r="BG102" s="615"/>
      <c r="BH102" s="615"/>
      <c r="BI102" s="615"/>
      <c r="BJ102" s="615"/>
      <c r="BK102" s="615"/>
      <c r="BL102" s="615"/>
      <c r="BM102" s="615"/>
      <c r="BN102" s="615"/>
      <c r="BO102" s="615"/>
      <c r="BP102" s="615"/>
      <c r="BQ102" s="615"/>
      <c r="BR102" s="615"/>
      <c r="BS102" s="615"/>
      <c r="BT102" s="615"/>
      <c r="BU102" s="615"/>
      <c r="BV102" s="615"/>
      <c r="BW102" s="615"/>
      <c r="BX102" s="607"/>
    </row>
    <row r="103" spans="1:76" s="612" customFormat="1" ht="25.5" x14ac:dyDescent="0.2">
      <c r="A103" s="839"/>
      <c r="B103" s="713" t="s">
        <v>995</v>
      </c>
      <c r="C103" s="713" t="s">
        <v>1854</v>
      </c>
      <c r="D103" s="712">
        <v>0</v>
      </c>
      <c r="E103" s="712">
        <v>0</v>
      </c>
      <c r="F103" s="712">
        <v>0</v>
      </c>
      <c r="G103" s="712">
        <v>0</v>
      </c>
      <c r="H103" s="712">
        <v>0</v>
      </c>
      <c r="I103" s="712">
        <v>0</v>
      </c>
      <c r="J103" s="712">
        <v>0</v>
      </c>
      <c r="K103" s="712">
        <v>0</v>
      </c>
      <c r="L103" s="712">
        <v>158993</v>
      </c>
      <c r="M103" s="712">
        <v>0</v>
      </c>
      <c r="N103" s="712">
        <v>0</v>
      </c>
      <c r="O103" s="712">
        <v>0</v>
      </c>
      <c r="P103" s="712">
        <v>0</v>
      </c>
      <c r="Q103" s="712">
        <v>0</v>
      </c>
      <c r="R103" s="712">
        <v>0</v>
      </c>
      <c r="S103" s="712">
        <v>0</v>
      </c>
      <c r="T103" s="712">
        <v>0</v>
      </c>
      <c r="U103" s="712">
        <v>0</v>
      </c>
      <c r="V103" s="712">
        <v>0</v>
      </c>
      <c r="W103" s="712">
        <v>0</v>
      </c>
      <c r="X103" s="712">
        <v>0</v>
      </c>
      <c r="Y103" s="712">
        <v>0</v>
      </c>
      <c r="Z103" s="712">
        <v>0</v>
      </c>
      <c r="AA103" s="712">
        <v>0</v>
      </c>
      <c r="AB103" s="712">
        <v>0</v>
      </c>
      <c r="AC103" s="712">
        <v>0</v>
      </c>
      <c r="AD103" s="712">
        <v>0</v>
      </c>
      <c r="AE103" s="712">
        <v>0</v>
      </c>
      <c r="AF103" s="712">
        <v>0</v>
      </c>
      <c r="AG103" s="712">
        <v>0</v>
      </c>
      <c r="AH103" s="712">
        <v>0</v>
      </c>
      <c r="AI103" s="712">
        <v>0</v>
      </c>
      <c r="AJ103" s="712">
        <v>0</v>
      </c>
      <c r="AK103" s="712">
        <v>0</v>
      </c>
      <c r="AL103" s="712">
        <v>0</v>
      </c>
      <c r="AM103" s="712">
        <v>0</v>
      </c>
      <c r="AN103" s="712">
        <v>0</v>
      </c>
      <c r="AO103" s="712">
        <v>0</v>
      </c>
      <c r="AP103" s="712">
        <v>0</v>
      </c>
      <c r="AQ103" s="712">
        <v>0</v>
      </c>
      <c r="AR103" s="712">
        <v>0</v>
      </c>
      <c r="AS103" s="712">
        <v>0</v>
      </c>
      <c r="AT103">
        <v>158993</v>
      </c>
      <c r="AU103" s="609"/>
      <c r="AV103" s="609"/>
      <c r="AW103" s="615"/>
      <c r="AX103" s="615"/>
      <c r="AY103" s="615"/>
      <c r="AZ103" s="615"/>
      <c r="BA103" s="615"/>
      <c r="BB103" s="615"/>
      <c r="BC103" s="615"/>
      <c r="BD103" s="615"/>
      <c r="BE103" s="615"/>
      <c r="BF103" s="615"/>
      <c r="BG103" s="615"/>
      <c r="BH103" s="615"/>
      <c r="BI103" s="615"/>
      <c r="BJ103" s="615"/>
      <c r="BK103" s="615"/>
      <c r="BL103" s="615"/>
      <c r="BM103" s="615"/>
      <c r="BN103" s="615"/>
      <c r="BO103" s="615"/>
      <c r="BP103" s="615"/>
      <c r="BQ103" s="615"/>
      <c r="BR103" s="615"/>
      <c r="BS103" s="615"/>
      <c r="BT103" s="615"/>
      <c r="BU103" s="615"/>
      <c r="BV103" s="615"/>
      <c r="BW103" s="615"/>
      <c r="BX103" s="607"/>
    </row>
    <row r="104" spans="1:76" s="612" customFormat="1" ht="25.5" x14ac:dyDescent="0.2">
      <c r="A104" s="839"/>
      <c r="B104" s="713" t="s">
        <v>895</v>
      </c>
      <c r="C104" s="713" t="s">
        <v>1885</v>
      </c>
      <c r="D104" s="712">
        <v>0</v>
      </c>
      <c r="E104" s="712">
        <v>0</v>
      </c>
      <c r="F104" s="712">
        <v>0</v>
      </c>
      <c r="G104" s="712">
        <v>0</v>
      </c>
      <c r="H104" s="712">
        <v>0</v>
      </c>
      <c r="I104" s="712">
        <v>0</v>
      </c>
      <c r="J104" s="712">
        <v>0</v>
      </c>
      <c r="K104" s="712">
        <v>0</v>
      </c>
      <c r="L104" s="712">
        <v>0</v>
      </c>
      <c r="M104" s="712">
        <v>0</v>
      </c>
      <c r="N104" s="712">
        <v>0</v>
      </c>
      <c r="O104" s="712">
        <v>0</v>
      </c>
      <c r="P104" s="712">
        <v>0</v>
      </c>
      <c r="Q104" s="712">
        <v>0</v>
      </c>
      <c r="R104" s="712">
        <v>0</v>
      </c>
      <c r="S104" s="712">
        <v>0</v>
      </c>
      <c r="T104" s="712">
        <v>0</v>
      </c>
      <c r="U104" s="712">
        <v>0</v>
      </c>
      <c r="V104" s="712">
        <v>0</v>
      </c>
      <c r="W104" s="712">
        <v>0</v>
      </c>
      <c r="X104" s="712">
        <v>0</v>
      </c>
      <c r="Y104" s="712">
        <v>0</v>
      </c>
      <c r="Z104" s="712">
        <v>0</v>
      </c>
      <c r="AA104" s="712">
        <v>0</v>
      </c>
      <c r="AB104" s="712">
        <v>0</v>
      </c>
      <c r="AC104" s="712">
        <v>0</v>
      </c>
      <c r="AD104" s="712">
        <v>0</v>
      </c>
      <c r="AE104" s="712">
        <v>0</v>
      </c>
      <c r="AF104" s="712">
        <v>0</v>
      </c>
      <c r="AG104" s="712">
        <v>0</v>
      </c>
      <c r="AH104" s="712">
        <v>0</v>
      </c>
      <c r="AI104" s="712">
        <v>0</v>
      </c>
      <c r="AJ104" s="712">
        <v>0</v>
      </c>
      <c r="AK104" s="712">
        <v>0</v>
      </c>
      <c r="AL104" s="712">
        <v>0</v>
      </c>
      <c r="AM104" s="712">
        <v>0</v>
      </c>
      <c r="AN104" s="712">
        <v>0</v>
      </c>
      <c r="AO104" s="712">
        <v>0</v>
      </c>
      <c r="AP104" s="712">
        <v>0</v>
      </c>
      <c r="AQ104" s="712">
        <v>0</v>
      </c>
      <c r="AR104" s="712">
        <v>0</v>
      </c>
      <c r="AS104" s="712">
        <v>0</v>
      </c>
      <c r="AT104">
        <v>0</v>
      </c>
      <c r="AU104" s="609"/>
      <c r="AV104" s="609"/>
      <c r="AW104" s="615"/>
      <c r="AX104" s="615"/>
      <c r="AY104" s="615"/>
      <c r="AZ104" s="615"/>
      <c r="BA104" s="615"/>
      <c r="BB104" s="615"/>
      <c r="BC104" s="615"/>
      <c r="BD104" s="615"/>
      <c r="BE104" s="615"/>
      <c r="BF104" s="615"/>
      <c r="BG104" s="615"/>
      <c r="BH104" s="615"/>
      <c r="BI104" s="615"/>
      <c r="BJ104" s="615"/>
      <c r="BK104" s="615"/>
      <c r="BL104" s="615"/>
      <c r="BM104" s="615"/>
      <c r="BN104" s="615"/>
      <c r="BO104" s="615"/>
      <c r="BP104" s="615"/>
      <c r="BQ104" s="615"/>
      <c r="BR104" s="615"/>
      <c r="BS104" s="615"/>
      <c r="BT104" s="615"/>
      <c r="BU104" s="615"/>
      <c r="BV104" s="615"/>
      <c r="BW104" s="615"/>
      <c r="BX104" s="607"/>
    </row>
    <row r="105" spans="1:76" s="612" customFormat="1" ht="25.5" x14ac:dyDescent="0.2">
      <c r="A105" s="839"/>
      <c r="B105" s="713" t="s">
        <v>867</v>
      </c>
      <c r="C105" s="713" t="s">
        <v>1785</v>
      </c>
      <c r="D105" s="712">
        <v>0</v>
      </c>
      <c r="E105" s="712">
        <v>0</v>
      </c>
      <c r="F105" s="712">
        <v>0</v>
      </c>
      <c r="G105" s="712">
        <v>0</v>
      </c>
      <c r="H105" s="712">
        <v>0</v>
      </c>
      <c r="I105" s="712">
        <v>0</v>
      </c>
      <c r="J105" s="712">
        <v>0</v>
      </c>
      <c r="K105" s="712">
        <v>0</v>
      </c>
      <c r="L105" s="712">
        <v>0</v>
      </c>
      <c r="M105" s="712">
        <v>0</v>
      </c>
      <c r="N105" s="712">
        <v>0</v>
      </c>
      <c r="O105" s="712">
        <v>0</v>
      </c>
      <c r="P105" s="712">
        <v>0</v>
      </c>
      <c r="Q105" s="712">
        <v>0</v>
      </c>
      <c r="R105" s="712">
        <v>0</v>
      </c>
      <c r="S105" s="712">
        <v>0</v>
      </c>
      <c r="T105" s="712">
        <v>0</v>
      </c>
      <c r="U105" s="712">
        <v>0</v>
      </c>
      <c r="V105" s="712">
        <v>0</v>
      </c>
      <c r="W105" s="712">
        <v>0</v>
      </c>
      <c r="X105" s="712">
        <v>0</v>
      </c>
      <c r="Y105" s="712">
        <v>0</v>
      </c>
      <c r="Z105" s="712">
        <v>0</v>
      </c>
      <c r="AA105" s="712">
        <v>0</v>
      </c>
      <c r="AB105" s="712">
        <v>0</v>
      </c>
      <c r="AC105" s="712">
        <v>0</v>
      </c>
      <c r="AD105" s="712">
        <v>0</v>
      </c>
      <c r="AE105" s="712">
        <v>0</v>
      </c>
      <c r="AF105" s="712">
        <v>0</v>
      </c>
      <c r="AG105" s="712">
        <v>0</v>
      </c>
      <c r="AH105" s="712">
        <v>0</v>
      </c>
      <c r="AI105" s="712">
        <v>0</v>
      </c>
      <c r="AJ105" s="712">
        <v>0</v>
      </c>
      <c r="AK105" s="712">
        <v>0</v>
      </c>
      <c r="AL105" s="712">
        <v>0</v>
      </c>
      <c r="AM105" s="712">
        <v>0</v>
      </c>
      <c r="AN105" s="712">
        <v>0</v>
      </c>
      <c r="AO105" s="712">
        <v>0</v>
      </c>
      <c r="AP105" s="712">
        <v>0</v>
      </c>
      <c r="AQ105" s="712">
        <v>0</v>
      </c>
      <c r="AR105" s="712">
        <v>0</v>
      </c>
      <c r="AS105" s="712">
        <v>0</v>
      </c>
      <c r="AT105">
        <v>0</v>
      </c>
      <c r="AU105" s="609"/>
      <c r="AV105" s="609"/>
      <c r="AW105" s="615"/>
      <c r="AX105" s="615"/>
      <c r="AY105" s="615"/>
      <c r="AZ105" s="615"/>
      <c r="BA105" s="615"/>
      <c r="BB105" s="615"/>
      <c r="BC105" s="615"/>
      <c r="BD105" s="615"/>
      <c r="BE105" s="615"/>
      <c r="BF105" s="615"/>
      <c r="BG105" s="615"/>
      <c r="BH105" s="615"/>
      <c r="BI105" s="615"/>
      <c r="BJ105" s="615"/>
      <c r="BK105" s="615"/>
      <c r="BL105" s="615"/>
      <c r="BM105" s="615"/>
      <c r="BN105" s="615"/>
      <c r="BO105" s="615"/>
      <c r="BP105" s="615"/>
      <c r="BQ105" s="615"/>
      <c r="BR105" s="615"/>
      <c r="BS105" s="615"/>
      <c r="BT105" s="615"/>
      <c r="BU105" s="615"/>
      <c r="BV105" s="615"/>
      <c r="BW105" s="615"/>
      <c r="BX105" s="607"/>
    </row>
    <row r="106" spans="1:76" s="612" customFormat="1" ht="25.5" x14ac:dyDescent="0.2">
      <c r="A106" s="839"/>
      <c r="B106" s="713" t="s">
        <v>1376</v>
      </c>
      <c r="C106" s="713" t="s">
        <v>1890</v>
      </c>
      <c r="D106" s="712">
        <v>0</v>
      </c>
      <c r="E106" s="712">
        <v>0</v>
      </c>
      <c r="F106" s="712">
        <v>0</v>
      </c>
      <c r="G106" s="712">
        <v>0</v>
      </c>
      <c r="H106" s="712">
        <v>0</v>
      </c>
      <c r="I106" s="712">
        <v>0</v>
      </c>
      <c r="J106" s="712">
        <v>0</v>
      </c>
      <c r="K106" s="712">
        <v>0</v>
      </c>
      <c r="L106" s="712">
        <v>0</v>
      </c>
      <c r="M106" s="712">
        <v>93534</v>
      </c>
      <c r="N106" s="712">
        <v>0</v>
      </c>
      <c r="O106" s="712">
        <v>0</v>
      </c>
      <c r="P106" s="712">
        <v>0</v>
      </c>
      <c r="Q106" s="712">
        <v>0</v>
      </c>
      <c r="R106" s="712">
        <v>0</v>
      </c>
      <c r="S106" s="712">
        <v>0</v>
      </c>
      <c r="T106" s="712">
        <v>0</v>
      </c>
      <c r="U106" s="712">
        <v>0</v>
      </c>
      <c r="V106" s="712">
        <v>0</v>
      </c>
      <c r="W106" s="712">
        <v>0</v>
      </c>
      <c r="X106" s="712">
        <v>0</v>
      </c>
      <c r="Y106" s="712">
        <v>0</v>
      </c>
      <c r="Z106" s="712">
        <v>0</v>
      </c>
      <c r="AA106" s="712">
        <v>0</v>
      </c>
      <c r="AB106" s="712">
        <v>0</v>
      </c>
      <c r="AC106" s="712">
        <v>0</v>
      </c>
      <c r="AD106" s="712">
        <v>0</v>
      </c>
      <c r="AE106" s="712">
        <v>0</v>
      </c>
      <c r="AF106" s="712">
        <v>0</v>
      </c>
      <c r="AG106" s="712">
        <v>0</v>
      </c>
      <c r="AH106" s="712">
        <v>0</v>
      </c>
      <c r="AI106" s="712">
        <v>0</v>
      </c>
      <c r="AJ106" s="712">
        <v>0</v>
      </c>
      <c r="AK106" s="712">
        <v>0</v>
      </c>
      <c r="AL106" s="712">
        <v>0</v>
      </c>
      <c r="AM106" s="712">
        <v>0</v>
      </c>
      <c r="AN106" s="712">
        <v>0</v>
      </c>
      <c r="AO106" s="712">
        <v>0</v>
      </c>
      <c r="AP106" s="712">
        <v>0</v>
      </c>
      <c r="AQ106" s="712">
        <v>0</v>
      </c>
      <c r="AR106" s="712">
        <v>0</v>
      </c>
      <c r="AS106" s="712">
        <v>0</v>
      </c>
      <c r="AT106">
        <v>93534</v>
      </c>
      <c r="AU106" s="609"/>
      <c r="AV106" s="609"/>
      <c r="AW106" s="615"/>
      <c r="AX106" s="615"/>
      <c r="AY106" s="615"/>
      <c r="AZ106" s="615"/>
      <c r="BA106" s="615"/>
      <c r="BB106" s="615"/>
      <c r="BC106" s="615"/>
      <c r="BD106" s="615"/>
      <c r="BE106" s="615"/>
      <c r="BF106" s="615"/>
      <c r="BG106" s="615"/>
      <c r="BH106" s="615"/>
      <c r="BI106" s="615"/>
      <c r="BJ106" s="615"/>
      <c r="BK106" s="615"/>
      <c r="BL106" s="615"/>
      <c r="BM106" s="615"/>
      <c r="BN106" s="615"/>
      <c r="BO106" s="615"/>
      <c r="BP106" s="615"/>
      <c r="BQ106" s="615"/>
      <c r="BR106" s="615"/>
      <c r="BS106" s="615"/>
      <c r="BT106" s="615"/>
      <c r="BU106" s="615"/>
      <c r="BV106" s="615"/>
      <c r="BW106" s="615"/>
      <c r="BX106" s="607"/>
    </row>
    <row r="107" spans="1:76" s="612" customFormat="1" ht="25.5" x14ac:dyDescent="0.2">
      <c r="A107" s="839"/>
      <c r="B107" s="713" t="s">
        <v>4226</v>
      </c>
      <c r="C107" s="713" t="s">
        <v>1809</v>
      </c>
      <c r="D107" s="712">
        <v>0</v>
      </c>
      <c r="E107" s="712">
        <v>0</v>
      </c>
      <c r="F107" s="712">
        <v>0</v>
      </c>
      <c r="G107" s="712">
        <v>0</v>
      </c>
      <c r="H107" s="712">
        <v>0</v>
      </c>
      <c r="I107" s="712">
        <v>0</v>
      </c>
      <c r="J107" s="712">
        <v>0</v>
      </c>
      <c r="K107" s="712">
        <v>0</v>
      </c>
      <c r="L107" s="712">
        <v>0</v>
      </c>
      <c r="M107" s="712">
        <v>0</v>
      </c>
      <c r="N107" s="712">
        <v>0</v>
      </c>
      <c r="O107" s="712">
        <v>0</v>
      </c>
      <c r="P107" s="712">
        <v>0</v>
      </c>
      <c r="Q107" s="712">
        <v>0</v>
      </c>
      <c r="R107" s="712">
        <v>0</v>
      </c>
      <c r="S107" s="712">
        <v>0</v>
      </c>
      <c r="T107" s="712">
        <v>0</v>
      </c>
      <c r="U107" s="712">
        <v>0</v>
      </c>
      <c r="V107" s="712">
        <v>0</v>
      </c>
      <c r="W107" s="712">
        <v>0</v>
      </c>
      <c r="X107" s="712">
        <v>0</v>
      </c>
      <c r="Y107" s="712">
        <v>0</v>
      </c>
      <c r="Z107" s="712">
        <v>0</v>
      </c>
      <c r="AA107" s="712">
        <v>0</v>
      </c>
      <c r="AB107" s="712">
        <v>0</v>
      </c>
      <c r="AC107" s="712">
        <v>0</v>
      </c>
      <c r="AD107" s="712">
        <v>0</v>
      </c>
      <c r="AE107" s="712">
        <v>0</v>
      </c>
      <c r="AF107" s="712">
        <v>0</v>
      </c>
      <c r="AG107" s="712">
        <v>0</v>
      </c>
      <c r="AH107" s="712">
        <v>0</v>
      </c>
      <c r="AI107" s="712">
        <v>0</v>
      </c>
      <c r="AJ107" s="712">
        <v>0</v>
      </c>
      <c r="AK107" s="712">
        <v>0</v>
      </c>
      <c r="AL107" s="712">
        <v>0</v>
      </c>
      <c r="AM107" s="712">
        <v>0</v>
      </c>
      <c r="AN107" s="712">
        <v>0</v>
      </c>
      <c r="AO107" s="712">
        <v>0</v>
      </c>
      <c r="AP107" s="712">
        <v>0</v>
      </c>
      <c r="AQ107" s="712">
        <v>0</v>
      </c>
      <c r="AR107" s="712">
        <v>0</v>
      </c>
      <c r="AS107" s="712">
        <v>0</v>
      </c>
      <c r="AT107">
        <v>0</v>
      </c>
      <c r="AU107" s="609"/>
      <c r="AV107" s="609"/>
      <c r="AW107" s="615"/>
      <c r="AX107" s="615"/>
      <c r="AY107" s="615"/>
      <c r="AZ107" s="615"/>
      <c r="BA107" s="615"/>
      <c r="BB107" s="615"/>
      <c r="BC107" s="615"/>
      <c r="BD107" s="615"/>
      <c r="BE107" s="615"/>
      <c r="BF107" s="615"/>
      <c r="BG107" s="615"/>
      <c r="BH107" s="615"/>
      <c r="BI107" s="615"/>
      <c r="BJ107" s="615"/>
      <c r="BK107" s="615"/>
      <c r="BL107" s="615"/>
      <c r="BM107" s="615"/>
      <c r="BN107" s="615"/>
      <c r="BO107" s="615"/>
      <c r="BP107" s="615"/>
      <c r="BQ107" s="615"/>
      <c r="BR107" s="615"/>
      <c r="BS107" s="615"/>
      <c r="BT107" s="615"/>
      <c r="BU107" s="615"/>
      <c r="BV107" s="615"/>
      <c r="BW107" s="615"/>
      <c r="BX107" s="607"/>
    </row>
    <row r="108" spans="1:76" s="612" customFormat="1" ht="25.5" x14ac:dyDescent="0.2">
      <c r="A108" s="839"/>
      <c r="B108" s="713" t="s">
        <v>879</v>
      </c>
      <c r="C108" s="713" t="s">
        <v>1823</v>
      </c>
      <c r="D108" s="712">
        <v>0</v>
      </c>
      <c r="E108" s="712">
        <v>0</v>
      </c>
      <c r="F108" s="712">
        <v>0</v>
      </c>
      <c r="G108" s="712">
        <v>0</v>
      </c>
      <c r="H108" s="712">
        <v>0</v>
      </c>
      <c r="I108" s="712">
        <v>0</v>
      </c>
      <c r="J108" s="712">
        <v>0</v>
      </c>
      <c r="K108" s="712">
        <v>0</v>
      </c>
      <c r="L108" s="712">
        <v>0</v>
      </c>
      <c r="M108" s="712">
        <v>0</v>
      </c>
      <c r="N108" s="712">
        <v>0</v>
      </c>
      <c r="O108" s="712">
        <v>0</v>
      </c>
      <c r="P108" s="712">
        <v>0</v>
      </c>
      <c r="Q108" s="712">
        <v>0</v>
      </c>
      <c r="R108" s="712">
        <v>0</v>
      </c>
      <c r="S108" s="712">
        <v>0</v>
      </c>
      <c r="T108" s="712">
        <v>0</v>
      </c>
      <c r="U108" s="712">
        <v>0</v>
      </c>
      <c r="V108" s="712">
        <v>0</v>
      </c>
      <c r="W108" s="712">
        <v>0</v>
      </c>
      <c r="X108" s="712">
        <v>0</v>
      </c>
      <c r="Y108" s="712">
        <v>0</v>
      </c>
      <c r="Z108" s="712">
        <v>0</v>
      </c>
      <c r="AA108" s="712">
        <v>0</v>
      </c>
      <c r="AB108" s="712">
        <v>0</v>
      </c>
      <c r="AC108" s="712">
        <v>0</v>
      </c>
      <c r="AD108" s="712">
        <v>0</v>
      </c>
      <c r="AE108" s="712">
        <v>0</v>
      </c>
      <c r="AF108" s="712">
        <v>0</v>
      </c>
      <c r="AG108" s="712">
        <v>0</v>
      </c>
      <c r="AH108" s="712">
        <v>0</v>
      </c>
      <c r="AI108" s="712">
        <v>0</v>
      </c>
      <c r="AJ108" s="712">
        <v>0</v>
      </c>
      <c r="AK108" s="712">
        <v>0</v>
      </c>
      <c r="AL108" s="712">
        <v>0</v>
      </c>
      <c r="AM108" s="712">
        <v>0</v>
      </c>
      <c r="AN108" s="712">
        <v>0</v>
      </c>
      <c r="AO108" s="712">
        <v>0</v>
      </c>
      <c r="AP108" s="712">
        <v>0</v>
      </c>
      <c r="AQ108" s="712">
        <v>0</v>
      </c>
      <c r="AR108" s="712">
        <v>0</v>
      </c>
      <c r="AS108" s="712">
        <v>0</v>
      </c>
      <c r="AT108">
        <v>0</v>
      </c>
      <c r="AU108" s="609"/>
      <c r="AV108" s="609"/>
      <c r="AW108" s="615"/>
      <c r="AX108" s="615"/>
      <c r="AY108" s="615"/>
      <c r="AZ108" s="615"/>
      <c r="BA108" s="615"/>
      <c r="BB108" s="615"/>
      <c r="BC108" s="615"/>
      <c r="BD108" s="615"/>
      <c r="BE108" s="615"/>
      <c r="BF108" s="615"/>
      <c r="BG108" s="615"/>
      <c r="BH108" s="615"/>
      <c r="BI108" s="615"/>
      <c r="BJ108" s="615"/>
      <c r="BK108" s="615"/>
      <c r="BL108" s="615"/>
      <c r="BM108" s="615"/>
      <c r="BN108" s="615"/>
      <c r="BO108" s="615"/>
      <c r="BP108" s="615"/>
      <c r="BQ108" s="615"/>
      <c r="BR108" s="615"/>
      <c r="BS108" s="615"/>
      <c r="BT108" s="615"/>
      <c r="BU108" s="615"/>
      <c r="BV108" s="615"/>
      <c r="BW108" s="615"/>
      <c r="BX108" s="607"/>
    </row>
    <row r="109" spans="1:76" s="612" customFormat="1" ht="12.75" x14ac:dyDescent="0.2">
      <c r="A109" s="839"/>
      <c r="B109" s="713" t="s">
        <v>3333</v>
      </c>
      <c r="C109" s="713" t="s">
        <v>1844</v>
      </c>
      <c r="D109" s="712">
        <v>0</v>
      </c>
      <c r="E109" s="712">
        <v>0</v>
      </c>
      <c r="F109" s="712">
        <v>0</v>
      </c>
      <c r="G109" s="712">
        <v>0</v>
      </c>
      <c r="H109" s="712">
        <v>0</v>
      </c>
      <c r="I109" s="712">
        <v>0</v>
      </c>
      <c r="J109" s="712">
        <v>0</v>
      </c>
      <c r="K109" s="712">
        <v>0</v>
      </c>
      <c r="L109" s="712">
        <v>0</v>
      </c>
      <c r="M109" s="712">
        <v>0</v>
      </c>
      <c r="N109" s="712">
        <v>0</v>
      </c>
      <c r="O109" s="712">
        <v>0</v>
      </c>
      <c r="P109" s="712">
        <v>0</v>
      </c>
      <c r="Q109" s="712">
        <v>0</v>
      </c>
      <c r="R109" s="712">
        <v>0</v>
      </c>
      <c r="S109" s="712">
        <v>0</v>
      </c>
      <c r="T109" s="712">
        <v>0</v>
      </c>
      <c r="U109" s="712">
        <v>0</v>
      </c>
      <c r="V109" s="712">
        <v>0</v>
      </c>
      <c r="W109" s="712">
        <v>0</v>
      </c>
      <c r="X109" s="712">
        <v>0</v>
      </c>
      <c r="Y109" s="712">
        <v>0</v>
      </c>
      <c r="Z109" s="712">
        <v>0</v>
      </c>
      <c r="AA109" s="712">
        <v>0</v>
      </c>
      <c r="AB109" s="712">
        <v>0</v>
      </c>
      <c r="AC109" s="712">
        <v>0</v>
      </c>
      <c r="AD109" s="712">
        <v>0</v>
      </c>
      <c r="AE109" s="712">
        <v>0</v>
      </c>
      <c r="AF109" s="712">
        <v>0</v>
      </c>
      <c r="AG109" s="712">
        <v>0</v>
      </c>
      <c r="AH109" s="712">
        <v>0</v>
      </c>
      <c r="AI109" s="712">
        <v>0</v>
      </c>
      <c r="AJ109" s="712">
        <v>0</v>
      </c>
      <c r="AK109" s="712">
        <v>0</v>
      </c>
      <c r="AL109" s="712">
        <v>0</v>
      </c>
      <c r="AM109" s="712">
        <v>0</v>
      </c>
      <c r="AN109" s="712">
        <v>0</v>
      </c>
      <c r="AO109" s="712">
        <v>0</v>
      </c>
      <c r="AP109" s="712">
        <v>0</v>
      </c>
      <c r="AQ109" s="712">
        <v>0</v>
      </c>
      <c r="AR109" s="712">
        <v>0</v>
      </c>
      <c r="AS109" s="712">
        <v>0</v>
      </c>
      <c r="AT109">
        <v>0</v>
      </c>
      <c r="AU109" s="609"/>
      <c r="AV109" s="609"/>
      <c r="AW109" s="615"/>
      <c r="AX109" s="615"/>
      <c r="AY109" s="615"/>
      <c r="AZ109" s="615"/>
      <c r="BA109" s="615"/>
      <c r="BB109" s="615"/>
      <c r="BC109" s="615"/>
      <c r="BD109" s="615"/>
      <c r="BE109" s="615"/>
      <c r="BF109" s="615"/>
      <c r="BG109" s="615"/>
      <c r="BH109" s="615"/>
      <c r="BI109" s="615"/>
      <c r="BJ109" s="615"/>
      <c r="BK109" s="615"/>
      <c r="BL109" s="615"/>
      <c r="BM109" s="615"/>
      <c r="BN109" s="615"/>
      <c r="BO109" s="615"/>
      <c r="BP109" s="615"/>
      <c r="BQ109" s="615"/>
      <c r="BR109" s="615"/>
      <c r="BS109" s="615"/>
      <c r="BT109" s="615"/>
      <c r="BU109" s="615"/>
      <c r="BV109" s="615"/>
      <c r="BW109" s="615"/>
      <c r="BX109" s="607"/>
    </row>
    <row r="110" spans="1:76" s="612" customFormat="1" ht="25.5" x14ac:dyDescent="0.2">
      <c r="A110" s="839"/>
      <c r="B110" s="713" t="s">
        <v>2678</v>
      </c>
      <c r="C110" s="713" t="s">
        <v>1793</v>
      </c>
      <c r="D110" s="712">
        <v>0</v>
      </c>
      <c r="E110" s="712">
        <v>0</v>
      </c>
      <c r="F110" s="712">
        <v>0</v>
      </c>
      <c r="G110" s="712">
        <v>0</v>
      </c>
      <c r="H110" s="712">
        <v>0</v>
      </c>
      <c r="I110" s="712">
        <v>0</v>
      </c>
      <c r="J110" s="712">
        <v>0</v>
      </c>
      <c r="K110" s="712">
        <v>0</v>
      </c>
      <c r="L110" s="712">
        <v>0</v>
      </c>
      <c r="M110" s="712">
        <v>0</v>
      </c>
      <c r="N110" s="712">
        <v>0</v>
      </c>
      <c r="O110" s="712">
        <v>0</v>
      </c>
      <c r="P110" s="712">
        <v>0</v>
      </c>
      <c r="Q110" s="712">
        <v>0</v>
      </c>
      <c r="R110" s="712">
        <v>0</v>
      </c>
      <c r="S110" s="712">
        <v>0</v>
      </c>
      <c r="T110" s="712">
        <v>0</v>
      </c>
      <c r="U110" s="712">
        <v>0</v>
      </c>
      <c r="V110" s="712">
        <v>0</v>
      </c>
      <c r="W110" s="712">
        <v>0</v>
      </c>
      <c r="X110" s="712">
        <v>0</v>
      </c>
      <c r="Y110" s="712">
        <v>0</v>
      </c>
      <c r="Z110" s="712">
        <v>0</v>
      </c>
      <c r="AA110" s="712">
        <v>0</v>
      </c>
      <c r="AB110" s="712">
        <v>0</v>
      </c>
      <c r="AC110" s="712">
        <v>0</v>
      </c>
      <c r="AD110" s="712">
        <v>0</v>
      </c>
      <c r="AE110" s="712">
        <v>0</v>
      </c>
      <c r="AF110" s="712">
        <v>0</v>
      </c>
      <c r="AG110" s="712">
        <v>0</v>
      </c>
      <c r="AH110" s="712">
        <v>0</v>
      </c>
      <c r="AI110" s="712">
        <v>0</v>
      </c>
      <c r="AJ110" s="712">
        <v>0</v>
      </c>
      <c r="AK110" s="712">
        <v>0</v>
      </c>
      <c r="AL110" s="712">
        <v>0</v>
      </c>
      <c r="AM110" s="712">
        <v>0</v>
      </c>
      <c r="AN110" s="712">
        <v>0</v>
      </c>
      <c r="AO110" s="712">
        <v>0</v>
      </c>
      <c r="AP110" s="712">
        <v>0</v>
      </c>
      <c r="AQ110" s="712">
        <v>0</v>
      </c>
      <c r="AR110" s="712">
        <v>0</v>
      </c>
      <c r="AS110" s="712">
        <v>0</v>
      </c>
      <c r="AT110">
        <v>0</v>
      </c>
      <c r="AU110" s="609"/>
      <c r="AV110" s="609"/>
      <c r="AW110" s="615"/>
      <c r="AX110" s="615"/>
      <c r="AY110" s="615"/>
      <c r="AZ110" s="615"/>
      <c r="BA110" s="615"/>
      <c r="BB110" s="615"/>
      <c r="BC110" s="615"/>
      <c r="BD110" s="615"/>
      <c r="BE110" s="615"/>
      <c r="BF110" s="615"/>
      <c r="BG110" s="615"/>
      <c r="BH110" s="615"/>
      <c r="BI110" s="615"/>
      <c r="BJ110" s="615"/>
      <c r="BK110" s="615"/>
      <c r="BL110" s="615"/>
      <c r="BM110" s="615"/>
      <c r="BN110" s="615"/>
      <c r="BO110" s="615"/>
      <c r="BP110" s="615"/>
      <c r="BQ110" s="615"/>
      <c r="BR110" s="615"/>
      <c r="BS110" s="615"/>
      <c r="BT110" s="615"/>
      <c r="BU110" s="615"/>
      <c r="BV110" s="615"/>
      <c r="BW110" s="615"/>
      <c r="BX110" s="607"/>
    </row>
    <row r="111" spans="1:76" s="612" customFormat="1" ht="25.5" x14ac:dyDescent="0.2">
      <c r="A111" s="839"/>
      <c r="B111" s="713" t="s">
        <v>2290</v>
      </c>
      <c r="C111" s="713" t="s">
        <v>1802</v>
      </c>
      <c r="D111" s="712">
        <v>0</v>
      </c>
      <c r="E111" s="712">
        <v>0</v>
      </c>
      <c r="F111" s="712">
        <v>0</v>
      </c>
      <c r="G111" s="712">
        <v>0</v>
      </c>
      <c r="H111" s="712">
        <v>0</v>
      </c>
      <c r="I111" s="712">
        <v>0</v>
      </c>
      <c r="J111" s="712">
        <v>0</v>
      </c>
      <c r="K111" s="712">
        <v>0</v>
      </c>
      <c r="L111" s="712">
        <v>0</v>
      </c>
      <c r="M111" s="712">
        <v>0</v>
      </c>
      <c r="N111" s="712">
        <v>0</v>
      </c>
      <c r="O111" s="712">
        <v>0</v>
      </c>
      <c r="P111" s="712">
        <v>0</v>
      </c>
      <c r="Q111" s="712">
        <v>0</v>
      </c>
      <c r="R111" s="712">
        <v>0</v>
      </c>
      <c r="S111" s="712">
        <v>0</v>
      </c>
      <c r="T111" s="712">
        <v>0</v>
      </c>
      <c r="U111" s="712">
        <v>0</v>
      </c>
      <c r="V111" s="712">
        <v>0</v>
      </c>
      <c r="W111" s="712">
        <v>0</v>
      </c>
      <c r="X111" s="712">
        <v>0</v>
      </c>
      <c r="Y111" s="712">
        <v>0</v>
      </c>
      <c r="Z111" s="712">
        <v>0</v>
      </c>
      <c r="AA111" s="712">
        <v>0</v>
      </c>
      <c r="AB111" s="712">
        <v>0</v>
      </c>
      <c r="AC111" s="712">
        <v>0</v>
      </c>
      <c r="AD111" s="712">
        <v>0</v>
      </c>
      <c r="AE111" s="712">
        <v>0</v>
      </c>
      <c r="AF111" s="712">
        <v>0</v>
      </c>
      <c r="AG111" s="712">
        <v>0</v>
      </c>
      <c r="AH111" s="712">
        <v>0</v>
      </c>
      <c r="AI111" s="712">
        <v>0</v>
      </c>
      <c r="AJ111" s="712">
        <v>0</v>
      </c>
      <c r="AK111" s="712">
        <v>0</v>
      </c>
      <c r="AL111" s="712">
        <v>0</v>
      </c>
      <c r="AM111" s="712">
        <v>0</v>
      </c>
      <c r="AN111" s="712">
        <v>0</v>
      </c>
      <c r="AO111" s="712">
        <v>0</v>
      </c>
      <c r="AP111" s="712">
        <v>0</v>
      </c>
      <c r="AQ111" s="712">
        <v>0</v>
      </c>
      <c r="AR111" s="712">
        <v>0</v>
      </c>
      <c r="AS111" s="712">
        <v>0</v>
      </c>
      <c r="AT111">
        <v>0</v>
      </c>
      <c r="AU111" s="609"/>
      <c r="AV111" s="609"/>
      <c r="AW111" s="615"/>
      <c r="AX111" s="615"/>
      <c r="AY111" s="615"/>
      <c r="AZ111" s="615"/>
      <c r="BA111" s="615"/>
      <c r="BB111" s="615"/>
      <c r="BC111" s="615"/>
      <c r="BD111" s="615"/>
      <c r="BE111" s="615"/>
      <c r="BF111" s="615"/>
      <c r="BG111" s="615"/>
      <c r="BH111" s="615"/>
      <c r="BI111" s="615"/>
      <c r="BJ111" s="615"/>
      <c r="BK111" s="615"/>
      <c r="BL111" s="615"/>
      <c r="BM111" s="615"/>
      <c r="BN111" s="615"/>
      <c r="BO111" s="615"/>
      <c r="BP111" s="615"/>
      <c r="BQ111" s="615"/>
      <c r="BR111" s="615"/>
      <c r="BS111" s="615"/>
      <c r="BT111" s="615"/>
      <c r="BU111" s="615"/>
      <c r="BV111" s="615"/>
      <c r="BW111" s="615"/>
      <c r="BX111" s="607"/>
    </row>
    <row r="112" spans="1:76" s="612" customFormat="1" ht="25.5" x14ac:dyDescent="0.2">
      <c r="A112" s="839"/>
      <c r="B112" s="713" t="s">
        <v>869</v>
      </c>
      <c r="C112" s="713" t="s">
        <v>1788</v>
      </c>
      <c r="D112" s="712">
        <v>0</v>
      </c>
      <c r="E112" s="712">
        <v>0</v>
      </c>
      <c r="F112" s="712">
        <v>0</v>
      </c>
      <c r="G112" s="712">
        <v>0</v>
      </c>
      <c r="H112" s="712">
        <v>0</v>
      </c>
      <c r="I112" s="712">
        <v>0</v>
      </c>
      <c r="J112" s="712">
        <v>0</v>
      </c>
      <c r="K112" s="712">
        <v>0</v>
      </c>
      <c r="L112" s="712">
        <v>0</v>
      </c>
      <c r="M112" s="712">
        <v>0</v>
      </c>
      <c r="N112" s="712">
        <v>0</v>
      </c>
      <c r="O112" s="712">
        <v>0</v>
      </c>
      <c r="P112" s="712">
        <v>0</v>
      </c>
      <c r="Q112" s="712">
        <v>0</v>
      </c>
      <c r="R112" s="712">
        <v>0</v>
      </c>
      <c r="S112" s="712">
        <v>0</v>
      </c>
      <c r="T112" s="712">
        <v>0</v>
      </c>
      <c r="U112" s="712">
        <v>0</v>
      </c>
      <c r="V112" s="712">
        <v>0</v>
      </c>
      <c r="W112" s="712">
        <v>0</v>
      </c>
      <c r="X112" s="712">
        <v>0</v>
      </c>
      <c r="Y112" s="712">
        <v>0</v>
      </c>
      <c r="Z112" s="712">
        <v>0</v>
      </c>
      <c r="AA112" s="712">
        <v>0</v>
      </c>
      <c r="AB112" s="712">
        <v>0</v>
      </c>
      <c r="AC112" s="712">
        <v>0</v>
      </c>
      <c r="AD112" s="712">
        <v>0</v>
      </c>
      <c r="AE112" s="712">
        <v>0</v>
      </c>
      <c r="AF112" s="712">
        <v>0</v>
      </c>
      <c r="AG112" s="712">
        <v>0</v>
      </c>
      <c r="AH112" s="712">
        <v>0</v>
      </c>
      <c r="AI112" s="712">
        <v>0</v>
      </c>
      <c r="AJ112" s="712">
        <v>0</v>
      </c>
      <c r="AK112" s="712">
        <v>0</v>
      </c>
      <c r="AL112" s="712">
        <v>0</v>
      </c>
      <c r="AM112" s="712">
        <v>0</v>
      </c>
      <c r="AN112" s="712">
        <v>0</v>
      </c>
      <c r="AO112" s="712">
        <v>0</v>
      </c>
      <c r="AP112" s="712">
        <v>0</v>
      </c>
      <c r="AQ112" s="712">
        <v>0</v>
      </c>
      <c r="AR112" s="712">
        <v>0</v>
      </c>
      <c r="AS112" s="712">
        <v>0</v>
      </c>
      <c r="AT112">
        <v>0</v>
      </c>
      <c r="AU112" s="609"/>
      <c r="AV112" s="609"/>
      <c r="AW112" s="615"/>
      <c r="AX112" s="615"/>
      <c r="AY112" s="615"/>
      <c r="AZ112" s="615"/>
      <c r="BA112" s="615"/>
      <c r="BB112" s="615"/>
      <c r="BC112" s="615"/>
      <c r="BD112" s="615"/>
      <c r="BE112" s="615"/>
      <c r="BF112" s="615"/>
      <c r="BG112" s="615"/>
      <c r="BH112" s="615"/>
      <c r="BI112" s="615"/>
      <c r="BJ112" s="615"/>
      <c r="BK112" s="615"/>
      <c r="BL112" s="615"/>
      <c r="BM112" s="615"/>
      <c r="BN112" s="615"/>
      <c r="BO112" s="615"/>
      <c r="BP112" s="615"/>
      <c r="BQ112" s="615"/>
      <c r="BR112" s="615"/>
      <c r="BS112" s="615"/>
      <c r="BT112" s="615"/>
      <c r="BU112" s="615"/>
      <c r="BV112" s="615"/>
      <c r="BW112" s="615"/>
      <c r="BX112" s="607"/>
    </row>
    <row r="113" spans="1:76" s="612" customFormat="1" ht="25.5" x14ac:dyDescent="0.2">
      <c r="A113" s="839"/>
      <c r="B113" s="713" t="s">
        <v>882</v>
      </c>
      <c r="C113" s="713" t="s">
        <v>1837</v>
      </c>
      <c r="D113" s="712">
        <v>0</v>
      </c>
      <c r="E113" s="712">
        <v>0</v>
      </c>
      <c r="F113" s="712">
        <v>0</v>
      </c>
      <c r="G113" s="712">
        <v>0</v>
      </c>
      <c r="H113" s="712">
        <v>0</v>
      </c>
      <c r="I113" s="712">
        <v>0</v>
      </c>
      <c r="J113" s="712">
        <v>0</v>
      </c>
      <c r="K113" s="712">
        <v>0</v>
      </c>
      <c r="L113" s="712">
        <v>0</v>
      </c>
      <c r="M113" s="712">
        <v>0</v>
      </c>
      <c r="N113" s="712">
        <v>0</v>
      </c>
      <c r="O113" s="712">
        <v>0</v>
      </c>
      <c r="P113" s="712">
        <v>0</v>
      </c>
      <c r="Q113" s="712">
        <v>0</v>
      </c>
      <c r="R113" s="712">
        <v>0</v>
      </c>
      <c r="S113" s="712">
        <v>0</v>
      </c>
      <c r="T113" s="712">
        <v>0</v>
      </c>
      <c r="U113" s="712">
        <v>0</v>
      </c>
      <c r="V113" s="712">
        <v>0</v>
      </c>
      <c r="W113" s="712">
        <v>0</v>
      </c>
      <c r="X113" s="712">
        <v>0</v>
      </c>
      <c r="Y113" s="712">
        <v>0</v>
      </c>
      <c r="Z113" s="712">
        <v>0</v>
      </c>
      <c r="AA113" s="712">
        <v>0</v>
      </c>
      <c r="AB113" s="712">
        <v>0</v>
      </c>
      <c r="AC113" s="712">
        <v>0</v>
      </c>
      <c r="AD113" s="712">
        <v>0</v>
      </c>
      <c r="AE113" s="712">
        <v>0</v>
      </c>
      <c r="AF113" s="712">
        <v>0</v>
      </c>
      <c r="AG113" s="712">
        <v>0</v>
      </c>
      <c r="AH113" s="712">
        <v>0</v>
      </c>
      <c r="AI113" s="712">
        <v>0</v>
      </c>
      <c r="AJ113" s="712">
        <v>0</v>
      </c>
      <c r="AK113" s="712">
        <v>0</v>
      </c>
      <c r="AL113" s="712">
        <v>0</v>
      </c>
      <c r="AM113" s="712">
        <v>0</v>
      </c>
      <c r="AN113" s="712">
        <v>0</v>
      </c>
      <c r="AO113" s="712">
        <v>0</v>
      </c>
      <c r="AP113" s="712">
        <v>0</v>
      </c>
      <c r="AQ113" s="712">
        <v>0</v>
      </c>
      <c r="AR113" s="712">
        <v>0</v>
      </c>
      <c r="AS113" s="712">
        <v>0</v>
      </c>
      <c r="AT113">
        <v>0</v>
      </c>
      <c r="AU113" s="609"/>
      <c r="AV113" s="609"/>
      <c r="AW113" s="615"/>
      <c r="AX113" s="615"/>
      <c r="AY113" s="615"/>
      <c r="AZ113" s="615"/>
      <c r="BA113" s="615"/>
      <c r="BB113" s="615"/>
      <c r="BC113" s="615"/>
      <c r="BD113" s="615"/>
      <c r="BE113" s="615"/>
      <c r="BF113" s="615"/>
      <c r="BG113" s="615"/>
      <c r="BH113" s="615"/>
      <c r="BI113" s="615"/>
      <c r="BJ113" s="615"/>
      <c r="BK113" s="615"/>
      <c r="BL113" s="615"/>
      <c r="BM113" s="615"/>
      <c r="BN113" s="615"/>
      <c r="BO113" s="615"/>
      <c r="BP113" s="615"/>
      <c r="BQ113" s="615"/>
      <c r="BR113" s="615"/>
      <c r="BS113" s="615"/>
      <c r="BT113" s="615"/>
      <c r="BU113" s="615"/>
      <c r="BV113" s="615"/>
      <c r="BW113" s="615"/>
      <c r="BX113" s="607"/>
    </row>
    <row r="114" spans="1:76" s="612" customFormat="1" ht="25.5" x14ac:dyDescent="0.2">
      <c r="A114" s="839"/>
      <c r="B114" s="713" t="s">
        <v>1115</v>
      </c>
      <c r="C114" s="713" t="s">
        <v>1845</v>
      </c>
      <c r="D114" s="712">
        <v>0</v>
      </c>
      <c r="E114" s="712">
        <v>0</v>
      </c>
      <c r="F114" s="712">
        <v>0</v>
      </c>
      <c r="G114" s="712">
        <v>0</v>
      </c>
      <c r="H114" s="712">
        <v>0</v>
      </c>
      <c r="I114" s="712">
        <v>0</v>
      </c>
      <c r="J114" s="712">
        <v>0</v>
      </c>
      <c r="K114" s="712">
        <v>293852</v>
      </c>
      <c r="L114" s="712">
        <v>148178</v>
      </c>
      <c r="M114" s="712">
        <v>0</v>
      </c>
      <c r="N114" s="712">
        <v>0</v>
      </c>
      <c r="O114" s="712">
        <v>0</v>
      </c>
      <c r="P114" s="712">
        <v>0</v>
      </c>
      <c r="Q114" s="712">
        <v>0</v>
      </c>
      <c r="R114" s="712">
        <v>0</v>
      </c>
      <c r="S114" s="712">
        <v>0</v>
      </c>
      <c r="T114" s="712">
        <v>0</v>
      </c>
      <c r="U114" s="712">
        <v>0</v>
      </c>
      <c r="V114" s="712">
        <v>0</v>
      </c>
      <c r="W114" s="712">
        <v>0</v>
      </c>
      <c r="X114" s="712">
        <v>0</v>
      </c>
      <c r="Y114" s="712">
        <v>0</v>
      </c>
      <c r="Z114" s="712">
        <v>0</v>
      </c>
      <c r="AA114" s="712">
        <v>0</v>
      </c>
      <c r="AB114" s="712">
        <v>0</v>
      </c>
      <c r="AC114" s="712">
        <v>0</v>
      </c>
      <c r="AD114" s="712">
        <v>0</v>
      </c>
      <c r="AE114" s="712">
        <v>0</v>
      </c>
      <c r="AF114" s="712">
        <v>0</v>
      </c>
      <c r="AG114" s="712">
        <v>0</v>
      </c>
      <c r="AH114" s="712">
        <v>0</v>
      </c>
      <c r="AI114" s="712">
        <v>0</v>
      </c>
      <c r="AJ114" s="712">
        <v>0</v>
      </c>
      <c r="AK114" s="712">
        <v>0</v>
      </c>
      <c r="AL114" s="712">
        <v>0</v>
      </c>
      <c r="AM114" s="712">
        <v>0</v>
      </c>
      <c r="AN114" s="712">
        <v>0</v>
      </c>
      <c r="AO114" s="712">
        <v>0</v>
      </c>
      <c r="AP114" s="712">
        <v>0</v>
      </c>
      <c r="AQ114" s="712">
        <v>0</v>
      </c>
      <c r="AR114" s="712">
        <v>0</v>
      </c>
      <c r="AS114" s="712">
        <v>0</v>
      </c>
      <c r="AT114">
        <v>442030</v>
      </c>
      <c r="AU114" s="609"/>
      <c r="AV114" s="609"/>
      <c r="AW114" s="615"/>
      <c r="AX114" s="615"/>
      <c r="AY114" s="615"/>
      <c r="AZ114" s="615"/>
      <c r="BA114" s="615"/>
      <c r="BB114" s="615"/>
      <c r="BC114" s="615"/>
      <c r="BD114" s="615"/>
      <c r="BE114" s="615"/>
      <c r="BF114" s="615"/>
      <c r="BG114" s="615"/>
      <c r="BH114" s="615"/>
      <c r="BI114" s="615"/>
      <c r="BJ114" s="615"/>
      <c r="BK114" s="615"/>
      <c r="BL114" s="615"/>
      <c r="BM114" s="615"/>
      <c r="BN114" s="615"/>
      <c r="BO114" s="615"/>
      <c r="BP114" s="615"/>
      <c r="BQ114" s="615"/>
      <c r="BR114" s="615"/>
      <c r="BS114" s="615"/>
      <c r="BT114" s="615"/>
      <c r="BU114" s="615"/>
      <c r="BV114" s="615"/>
      <c r="BW114" s="615"/>
      <c r="BX114" s="607"/>
    </row>
    <row r="115" spans="1:76" s="612" customFormat="1" ht="25.5" x14ac:dyDescent="0.2">
      <c r="A115" s="839"/>
      <c r="B115" s="713" t="s">
        <v>884</v>
      </c>
      <c r="C115" s="713" t="s">
        <v>1852</v>
      </c>
      <c r="D115" s="712">
        <v>0</v>
      </c>
      <c r="E115" s="712">
        <v>0</v>
      </c>
      <c r="F115" s="712">
        <v>0</v>
      </c>
      <c r="G115" s="712">
        <v>0</v>
      </c>
      <c r="H115" s="712">
        <v>0</v>
      </c>
      <c r="I115" s="712">
        <v>0</v>
      </c>
      <c r="J115" s="712">
        <v>403704</v>
      </c>
      <c r="K115" s="712">
        <v>0</v>
      </c>
      <c r="L115" s="712">
        <v>0</v>
      </c>
      <c r="M115" s="712">
        <v>0</v>
      </c>
      <c r="N115" s="712">
        <v>0</v>
      </c>
      <c r="O115" s="712">
        <v>0</v>
      </c>
      <c r="P115" s="712">
        <v>0</v>
      </c>
      <c r="Q115" s="712">
        <v>0</v>
      </c>
      <c r="R115" s="712">
        <v>0</v>
      </c>
      <c r="S115" s="712">
        <v>0</v>
      </c>
      <c r="T115" s="712">
        <v>0</v>
      </c>
      <c r="U115" s="712">
        <v>0</v>
      </c>
      <c r="V115" s="712">
        <v>0</v>
      </c>
      <c r="W115" s="712">
        <v>0</v>
      </c>
      <c r="X115" s="712">
        <v>0</v>
      </c>
      <c r="Y115" s="712">
        <v>0</v>
      </c>
      <c r="Z115" s="712">
        <v>0</v>
      </c>
      <c r="AA115" s="712">
        <v>0</v>
      </c>
      <c r="AB115" s="712">
        <v>0</v>
      </c>
      <c r="AC115" s="712">
        <v>0</v>
      </c>
      <c r="AD115" s="712">
        <v>0</v>
      </c>
      <c r="AE115" s="712">
        <v>0</v>
      </c>
      <c r="AF115" s="712">
        <v>0</v>
      </c>
      <c r="AG115" s="712">
        <v>0</v>
      </c>
      <c r="AH115" s="712">
        <v>0</v>
      </c>
      <c r="AI115" s="712">
        <v>0</v>
      </c>
      <c r="AJ115" s="712">
        <v>0</v>
      </c>
      <c r="AK115" s="712">
        <v>0</v>
      </c>
      <c r="AL115" s="712">
        <v>0</v>
      </c>
      <c r="AM115" s="712">
        <v>0</v>
      </c>
      <c r="AN115" s="712">
        <v>0</v>
      </c>
      <c r="AO115" s="712">
        <v>0</v>
      </c>
      <c r="AP115" s="712">
        <v>0</v>
      </c>
      <c r="AQ115" s="712">
        <v>0</v>
      </c>
      <c r="AR115" s="712">
        <v>0</v>
      </c>
      <c r="AS115" s="712">
        <v>0</v>
      </c>
      <c r="AT115">
        <v>402873</v>
      </c>
      <c r="AU115" s="609"/>
      <c r="AV115" s="609"/>
      <c r="AW115" s="615"/>
      <c r="AX115" s="615"/>
      <c r="AY115" s="615"/>
      <c r="AZ115" s="615"/>
      <c r="BA115" s="615"/>
      <c r="BB115" s="615"/>
      <c r="BC115" s="615"/>
      <c r="BD115" s="615"/>
      <c r="BE115" s="615"/>
      <c r="BF115" s="615"/>
      <c r="BG115" s="615"/>
      <c r="BH115" s="615"/>
      <c r="BI115" s="615"/>
      <c r="BJ115" s="615"/>
      <c r="BK115" s="615"/>
      <c r="BL115" s="615"/>
      <c r="BM115" s="615"/>
      <c r="BN115" s="615"/>
      <c r="BO115" s="615"/>
      <c r="BP115" s="615"/>
      <c r="BQ115" s="615"/>
      <c r="BR115" s="615"/>
      <c r="BS115" s="615"/>
      <c r="BT115" s="615"/>
      <c r="BU115" s="615"/>
      <c r="BV115" s="615"/>
      <c r="BW115" s="615"/>
      <c r="BX115" s="607"/>
    </row>
    <row r="116" spans="1:76" s="612" customFormat="1" ht="25.5" x14ac:dyDescent="0.2">
      <c r="A116" s="839"/>
      <c r="B116" s="713" t="s">
        <v>1746</v>
      </c>
      <c r="C116" s="713" t="s">
        <v>1846</v>
      </c>
      <c r="D116" s="712">
        <v>0</v>
      </c>
      <c r="E116" s="712">
        <v>0</v>
      </c>
      <c r="F116" s="712">
        <v>0</v>
      </c>
      <c r="G116" s="712">
        <v>0</v>
      </c>
      <c r="H116" s="712">
        <v>0</v>
      </c>
      <c r="I116" s="712">
        <v>0</v>
      </c>
      <c r="J116" s="712">
        <v>0</v>
      </c>
      <c r="K116" s="712">
        <v>0</v>
      </c>
      <c r="L116" s="712">
        <v>0</v>
      </c>
      <c r="M116" s="712">
        <v>0</v>
      </c>
      <c r="N116" s="712">
        <v>0</v>
      </c>
      <c r="O116" s="712">
        <v>0</v>
      </c>
      <c r="P116" s="712">
        <v>0</v>
      </c>
      <c r="Q116" s="712">
        <v>0</v>
      </c>
      <c r="R116" s="712">
        <v>599076</v>
      </c>
      <c r="S116" s="712">
        <v>0</v>
      </c>
      <c r="T116" s="712">
        <v>0</v>
      </c>
      <c r="U116" s="712">
        <v>0</v>
      </c>
      <c r="V116" s="712">
        <v>0</v>
      </c>
      <c r="W116" s="712">
        <v>0</v>
      </c>
      <c r="X116" s="712">
        <v>0</v>
      </c>
      <c r="Y116" s="712">
        <v>0</v>
      </c>
      <c r="Z116" s="712">
        <v>0</v>
      </c>
      <c r="AA116" s="712">
        <v>0</v>
      </c>
      <c r="AB116" s="712">
        <v>0</v>
      </c>
      <c r="AC116" s="712">
        <v>0</v>
      </c>
      <c r="AD116" s="712">
        <v>0</v>
      </c>
      <c r="AE116" s="712">
        <v>0</v>
      </c>
      <c r="AF116" s="712">
        <v>0</v>
      </c>
      <c r="AG116" s="712">
        <v>0</v>
      </c>
      <c r="AH116" s="712">
        <v>0</v>
      </c>
      <c r="AI116" s="712">
        <v>0</v>
      </c>
      <c r="AJ116" s="712">
        <v>0</v>
      </c>
      <c r="AK116" s="712">
        <v>0</v>
      </c>
      <c r="AL116" s="712">
        <v>0</v>
      </c>
      <c r="AM116" s="712">
        <v>0</v>
      </c>
      <c r="AN116" s="712">
        <v>0</v>
      </c>
      <c r="AO116" s="712">
        <v>0</v>
      </c>
      <c r="AP116" s="712">
        <v>0</v>
      </c>
      <c r="AQ116" s="712">
        <v>0</v>
      </c>
      <c r="AR116" s="712">
        <v>0</v>
      </c>
      <c r="AS116" s="712">
        <v>0</v>
      </c>
      <c r="AT116">
        <v>599076</v>
      </c>
      <c r="AU116" s="609"/>
      <c r="AV116" s="609"/>
      <c r="AW116" s="615"/>
      <c r="AX116" s="615"/>
      <c r="AY116" s="615"/>
      <c r="AZ116" s="615"/>
      <c r="BA116" s="615"/>
      <c r="BB116" s="615"/>
      <c r="BC116" s="615"/>
      <c r="BD116" s="615"/>
      <c r="BE116" s="615"/>
      <c r="BF116" s="615"/>
      <c r="BG116" s="615"/>
      <c r="BH116" s="615"/>
      <c r="BI116" s="615"/>
      <c r="BJ116" s="615"/>
      <c r="BK116" s="615"/>
      <c r="BL116" s="615"/>
      <c r="BM116" s="615"/>
      <c r="BN116" s="615"/>
      <c r="BO116" s="615"/>
      <c r="BP116" s="615"/>
      <c r="BQ116" s="615"/>
      <c r="BR116" s="615"/>
      <c r="BS116" s="615"/>
      <c r="BT116" s="615"/>
      <c r="BU116" s="615"/>
      <c r="BV116" s="615"/>
      <c r="BW116" s="615"/>
      <c r="BX116" s="607"/>
    </row>
    <row r="117" spans="1:76" s="612" customFormat="1" ht="25.5" x14ac:dyDescent="0.2">
      <c r="A117" s="839"/>
      <c r="B117" s="713" t="s">
        <v>1697</v>
      </c>
      <c r="C117" s="713" t="s">
        <v>1777</v>
      </c>
      <c r="D117" s="712">
        <v>0</v>
      </c>
      <c r="E117" s="712">
        <v>0</v>
      </c>
      <c r="F117" s="712">
        <v>0</v>
      </c>
      <c r="G117" s="712">
        <v>0</v>
      </c>
      <c r="H117" s="712">
        <v>0</v>
      </c>
      <c r="I117" s="712">
        <v>0</v>
      </c>
      <c r="J117" s="712">
        <v>0</v>
      </c>
      <c r="K117" s="712">
        <v>0</v>
      </c>
      <c r="L117" s="712">
        <v>0</v>
      </c>
      <c r="M117" s="712">
        <v>0</v>
      </c>
      <c r="N117" s="712">
        <v>0</v>
      </c>
      <c r="O117" s="712">
        <v>0</v>
      </c>
      <c r="P117" s="712">
        <v>0</v>
      </c>
      <c r="Q117" s="712">
        <v>0</v>
      </c>
      <c r="R117" s="712">
        <v>0</v>
      </c>
      <c r="S117" s="712">
        <v>0</v>
      </c>
      <c r="T117" s="712">
        <v>0</v>
      </c>
      <c r="U117" s="712">
        <v>0</v>
      </c>
      <c r="V117" s="712">
        <v>0</v>
      </c>
      <c r="W117" s="712">
        <v>0</v>
      </c>
      <c r="X117" s="712">
        <v>0</v>
      </c>
      <c r="Y117" s="712">
        <v>0</v>
      </c>
      <c r="Z117" s="712">
        <v>0</v>
      </c>
      <c r="AA117" s="712">
        <v>0</v>
      </c>
      <c r="AB117" s="712">
        <v>0</v>
      </c>
      <c r="AC117" s="712">
        <v>0</v>
      </c>
      <c r="AD117" s="712">
        <v>0</v>
      </c>
      <c r="AE117" s="712">
        <v>0</v>
      </c>
      <c r="AF117" s="712">
        <v>0</v>
      </c>
      <c r="AG117" s="712">
        <v>0</v>
      </c>
      <c r="AH117" s="712">
        <v>0</v>
      </c>
      <c r="AI117" s="712">
        <v>0</v>
      </c>
      <c r="AJ117" s="712">
        <v>0</v>
      </c>
      <c r="AK117" s="712">
        <v>0</v>
      </c>
      <c r="AL117" s="712">
        <v>0</v>
      </c>
      <c r="AM117" s="712">
        <v>0</v>
      </c>
      <c r="AN117" s="712">
        <v>0</v>
      </c>
      <c r="AO117" s="712">
        <v>0</v>
      </c>
      <c r="AP117" s="712">
        <v>0</v>
      </c>
      <c r="AQ117" s="712">
        <v>0</v>
      </c>
      <c r="AR117" s="712">
        <v>0</v>
      </c>
      <c r="AS117" s="712">
        <v>0</v>
      </c>
      <c r="AT117">
        <v>0</v>
      </c>
      <c r="AU117" s="609"/>
      <c r="AV117" s="609"/>
      <c r="AW117" s="615"/>
      <c r="AX117" s="615"/>
      <c r="AY117" s="615"/>
      <c r="AZ117" s="615"/>
      <c r="BA117" s="615"/>
      <c r="BB117" s="615"/>
      <c r="BC117" s="615"/>
      <c r="BD117" s="615"/>
      <c r="BE117" s="615"/>
      <c r="BF117" s="615"/>
      <c r="BG117" s="615"/>
      <c r="BH117" s="615"/>
      <c r="BI117" s="615"/>
      <c r="BJ117" s="615"/>
      <c r="BK117" s="615"/>
      <c r="BL117" s="615"/>
      <c r="BM117" s="615"/>
      <c r="BN117" s="615"/>
      <c r="BO117" s="615"/>
      <c r="BP117" s="615"/>
      <c r="BQ117" s="615"/>
      <c r="BR117" s="615"/>
      <c r="BS117" s="615"/>
      <c r="BT117" s="615"/>
      <c r="BU117" s="615"/>
      <c r="BV117" s="615"/>
      <c r="BW117" s="615"/>
      <c r="BX117" s="607"/>
    </row>
    <row r="118" spans="1:76" s="612" customFormat="1" ht="25.5" x14ac:dyDescent="0.2">
      <c r="A118" s="839"/>
      <c r="B118" s="713" t="s">
        <v>3484</v>
      </c>
      <c r="C118" s="713" t="s">
        <v>1768</v>
      </c>
      <c r="D118" s="712">
        <v>0</v>
      </c>
      <c r="E118" s="712">
        <v>0</v>
      </c>
      <c r="F118" s="712">
        <v>0</v>
      </c>
      <c r="G118" s="712">
        <v>0</v>
      </c>
      <c r="H118" s="712">
        <v>0</v>
      </c>
      <c r="I118" s="712">
        <v>0</v>
      </c>
      <c r="J118" s="712">
        <v>0</v>
      </c>
      <c r="K118" s="712">
        <v>0</v>
      </c>
      <c r="L118" s="712">
        <v>0</v>
      </c>
      <c r="M118" s="712">
        <v>0</v>
      </c>
      <c r="N118" s="712">
        <v>0</v>
      </c>
      <c r="O118" s="712">
        <v>0</v>
      </c>
      <c r="P118" s="712">
        <v>0</v>
      </c>
      <c r="Q118" s="712">
        <v>0</v>
      </c>
      <c r="R118" s="712">
        <v>0</v>
      </c>
      <c r="S118" s="712">
        <v>0</v>
      </c>
      <c r="T118" s="712">
        <v>0</v>
      </c>
      <c r="U118" s="712">
        <v>0</v>
      </c>
      <c r="V118" s="712">
        <v>0</v>
      </c>
      <c r="W118" s="712">
        <v>0</v>
      </c>
      <c r="X118" s="712">
        <v>0</v>
      </c>
      <c r="Y118" s="712">
        <v>0</v>
      </c>
      <c r="Z118" s="712">
        <v>0</v>
      </c>
      <c r="AA118" s="712">
        <v>0</v>
      </c>
      <c r="AB118" s="712">
        <v>0</v>
      </c>
      <c r="AC118" s="712">
        <v>0</v>
      </c>
      <c r="AD118" s="712">
        <v>0</v>
      </c>
      <c r="AE118" s="712">
        <v>0</v>
      </c>
      <c r="AF118" s="712">
        <v>0</v>
      </c>
      <c r="AG118" s="712">
        <v>0</v>
      </c>
      <c r="AH118" s="712">
        <v>0</v>
      </c>
      <c r="AI118" s="712">
        <v>0</v>
      </c>
      <c r="AJ118" s="712">
        <v>0</v>
      </c>
      <c r="AK118" s="712">
        <v>0</v>
      </c>
      <c r="AL118" s="712">
        <v>0</v>
      </c>
      <c r="AM118" s="712">
        <v>0</v>
      </c>
      <c r="AN118" s="712">
        <v>0</v>
      </c>
      <c r="AO118" s="712">
        <v>0</v>
      </c>
      <c r="AP118" s="712">
        <v>0</v>
      </c>
      <c r="AQ118" s="712">
        <v>0</v>
      </c>
      <c r="AR118" s="712">
        <v>0</v>
      </c>
      <c r="AS118" s="712">
        <v>0</v>
      </c>
      <c r="AT118">
        <v>0</v>
      </c>
      <c r="AU118" s="609"/>
      <c r="AV118" s="609"/>
      <c r="AW118" s="615"/>
      <c r="AX118" s="615"/>
      <c r="AY118" s="615"/>
      <c r="AZ118" s="615"/>
      <c r="BA118" s="615"/>
      <c r="BB118" s="615"/>
      <c r="BC118" s="615"/>
      <c r="BD118" s="615"/>
      <c r="BE118" s="615"/>
      <c r="BF118" s="615"/>
      <c r="BG118" s="615"/>
      <c r="BH118" s="615"/>
      <c r="BI118" s="615"/>
      <c r="BJ118" s="615"/>
      <c r="BK118" s="615"/>
      <c r="BL118" s="615"/>
      <c r="BM118" s="615"/>
      <c r="BN118" s="615"/>
      <c r="BO118" s="615"/>
      <c r="BP118" s="615"/>
      <c r="BQ118" s="615"/>
      <c r="BR118" s="615"/>
      <c r="BS118" s="615"/>
      <c r="BT118" s="615"/>
      <c r="BU118" s="615"/>
      <c r="BV118" s="615"/>
      <c r="BW118" s="615"/>
      <c r="BX118" s="607"/>
    </row>
    <row r="119" spans="1:76" s="612" customFormat="1" ht="25.5" x14ac:dyDescent="0.2">
      <c r="A119" s="839"/>
      <c r="B119" s="713" t="s">
        <v>880</v>
      </c>
      <c r="C119" s="713" t="s">
        <v>1829</v>
      </c>
      <c r="D119" s="712">
        <v>0</v>
      </c>
      <c r="E119" s="712">
        <v>0</v>
      </c>
      <c r="F119" s="712">
        <v>0</v>
      </c>
      <c r="G119" s="712">
        <v>0</v>
      </c>
      <c r="H119" s="712">
        <v>0</v>
      </c>
      <c r="I119" s="712">
        <v>0</v>
      </c>
      <c r="J119" s="712">
        <v>0</v>
      </c>
      <c r="K119" s="712">
        <v>0</v>
      </c>
      <c r="L119" s="712">
        <v>0</v>
      </c>
      <c r="M119" s="712">
        <v>0</v>
      </c>
      <c r="N119" s="712">
        <v>0</v>
      </c>
      <c r="O119" s="712">
        <v>0</v>
      </c>
      <c r="P119" s="712">
        <v>0</v>
      </c>
      <c r="Q119" s="712">
        <v>0</v>
      </c>
      <c r="R119" s="712">
        <v>0</v>
      </c>
      <c r="S119" s="712">
        <v>0</v>
      </c>
      <c r="T119" s="712">
        <v>0</v>
      </c>
      <c r="U119" s="712">
        <v>0</v>
      </c>
      <c r="V119" s="712">
        <v>0</v>
      </c>
      <c r="W119" s="712">
        <v>0</v>
      </c>
      <c r="X119" s="712">
        <v>0</v>
      </c>
      <c r="Y119" s="712">
        <v>0</v>
      </c>
      <c r="Z119" s="712">
        <v>0</v>
      </c>
      <c r="AA119" s="712">
        <v>0</v>
      </c>
      <c r="AB119" s="712">
        <v>0</v>
      </c>
      <c r="AC119" s="712">
        <v>0</v>
      </c>
      <c r="AD119" s="712">
        <v>0</v>
      </c>
      <c r="AE119" s="712">
        <v>0</v>
      </c>
      <c r="AF119" s="712">
        <v>0</v>
      </c>
      <c r="AG119" s="712">
        <v>0</v>
      </c>
      <c r="AH119" s="712">
        <v>0</v>
      </c>
      <c r="AI119" s="712">
        <v>0</v>
      </c>
      <c r="AJ119" s="712">
        <v>0</v>
      </c>
      <c r="AK119" s="712">
        <v>0</v>
      </c>
      <c r="AL119" s="712">
        <v>0</v>
      </c>
      <c r="AM119" s="712">
        <v>0</v>
      </c>
      <c r="AN119" s="712">
        <v>0</v>
      </c>
      <c r="AO119" s="712">
        <v>0</v>
      </c>
      <c r="AP119" s="712">
        <v>0</v>
      </c>
      <c r="AQ119" s="712">
        <v>0</v>
      </c>
      <c r="AR119" s="712">
        <v>0</v>
      </c>
      <c r="AS119" s="712">
        <v>0</v>
      </c>
      <c r="AT119">
        <v>0</v>
      </c>
      <c r="AU119" s="609"/>
      <c r="AV119" s="609"/>
      <c r="AW119" s="615"/>
      <c r="AX119" s="615"/>
      <c r="AY119" s="615"/>
      <c r="AZ119" s="615"/>
      <c r="BA119" s="615"/>
      <c r="BB119" s="615"/>
      <c r="BC119" s="615"/>
      <c r="BD119" s="615"/>
      <c r="BE119" s="615"/>
      <c r="BF119" s="615"/>
      <c r="BG119" s="615"/>
      <c r="BH119" s="615"/>
      <c r="BI119" s="615"/>
      <c r="BJ119" s="615"/>
      <c r="BK119" s="615"/>
      <c r="BL119" s="615"/>
      <c r="BM119" s="615"/>
      <c r="BN119" s="615"/>
      <c r="BO119" s="615"/>
      <c r="BP119" s="615"/>
      <c r="BQ119" s="615"/>
      <c r="BR119" s="615"/>
      <c r="BS119" s="615"/>
      <c r="BT119" s="615"/>
      <c r="BU119" s="615"/>
      <c r="BV119" s="615"/>
      <c r="BW119" s="615"/>
      <c r="BX119" s="607"/>
    </row>
    <row r="120" spans="1:76" s="612" customFormat="1" ht="25.5" x14ac:dyDescent="0.2">
      <c r="A120" s="839"/>
      <c r="B120" s="713" t="s">
        <v>1526</v>
      </c>
      <c r="C120" s="713" t="s">
        <v>1766</v>
      </c>
      <c r="D120" s="712">
        <v>0</v>
      </c>
      <c r="E120" s="712">
        <v>186919823</v>
      </c>
      <c r="F120" s="712">
        <v>0</v>
      </c>
      <c r="G120" s="712">
        <v>0</v>
      </c>
      <c r="H120" s="712">
        <v>0</v>
      </c>
      <c r="I120" s="712">
        <v>0</v>
      </c>
      <c r="J120" s="712">
        <v>0</v>
      </c>
      <c r="K120" s="712">
        <v>0</v>
      </c>
      <c r="L120" s="712">
        <v>0</v>
      </c>
      <c r="M120" s="712">
        <v>0</v>
      </c>
      <c r="N120" s="712">
        <v>0</v>
      </c>
      <c r="O120" s="712">
        <v>0</v>
      </c>
      <c r="P120" s="712">
        <v>0</v>
      </c>
      <c r="Q120" s="712">
        <v>0</v>
      </c>
      <c r="R120" s="712">
        <v>0</v>
      </c>
      <c r="S120" s="712">
        <v>0</v>
      </c>
      <c r="T120" s="712">
        <v>0</v>
      </c>
      <c r="U120" s="712">
        <v>0</v>
      </c>
      <c r="V120" s="712">
        <v>0</v>
      </c>
      <c r="W120" s="712">
        <v>0</v>
      </c>
      <c r="X120" s="712">
        <v>0</v>
      </c>
      <c r="Y120" s="712">
        <v>0</v>
      </c>
      <c r="Z120" s="712">
        <v>0</v>
      </c>
      <c r="AA120" s="712">
        <v>0</v>
      </c>
      <c r="AB120" s="712">
        <v>0</v>
      </c>
      <c r="AC120" s="712">
        <v>0</v>
      </c>
      <c r="AD120" s="712">
        <v>0</v>
      </c>
      <c r="AE120" s="712">
        <v>0</v>
      </c>
      <c r="AF120" s="712">
        <v>0</v>
      </c>
      <c r="AG120" s="712">
        <v>0</v>
      </c>
      <c r="AH120" s="712">
        <v>0</v>
      </c>
      <c r="AI120" s="712">
        <v>0</v>
      </c>
      <c r="AJ120" s="712">
        <v>0</v>
      </c>
      <c r="AK120" s="712">
        <v>0</v>
      </c>
      <c r="AL120" s="712">
        <v>0</v>
      </c>
      <c r="AM120" s="712">
        <v>0</v>
      </c>
      <c r="AN120" s="712">
        <v>0</v>
      </c>
      <c r="AO120" s="712">
        <v>0</v>
      </c>
      <c r="AP120" s="712">
        <v>0</v>
      </c>
      <c r="AQ120" s="712">
        <v>0</v>
      </c>
      <c r="AR120" s="712">
        <v>0</v>
      </c>
      <c r="AS120" s="712">
        <v>0</v>
      </c>
      <c r="AT120">
        <v>186919823</v>
      </c>
      <c r="AU120" s="609"/>
      <c r="AV120" s="609"/>
      <c r="AW120" s="615"/>
      <c r="AX120" s="615"/>
      <c r="AY120" s="615"/>
      <c r="AZ120" s="615"/>
      <c r="BA120" s="615"/>
      <c r="BB120" s="615"/>
      <c r="BC120" s="615"/>
      <c r="BD120" s="615"/>
      <c r="BE120" s="615"/>
      <c r="BF120" s="615"/>
      <c r="BG120" s="615"/>
      <c r="BH120" s="615"/>
      <c r="BI120" s="615"/>
      <c r="BJ120" s="615"/>
      <c r="BK120" s="615"/>
      <c r="BL120" s="615"/>
      <c r="BM120" s="615"/>
      <c r="BN120" s="615"/>
      <c r="BO120" s="615"/>
      <c r="BP120" s="615"/>
      <c r="BQ120" s="615"/>
      <c r="BR120" s="615"/>
      <c r="BS120" s="615"/>
      <c r="BT120" s="615"/>
      <c r="BU120" s="615"/>
      <c r="BV120" s="615"/>
      <c r="BW120" s="615"/>
      <c r="BX120" s="607"/>
    </row>
    <row r="121" spans="1:76" s="612" customFormat="1" ht="25.5" x14ac:dyDescent="0.2">
      <c r="A121" s="839"/>
      <c r="B121" s="713" t="s">
        <v>894</v>
      </c>
      <c r="C121" s="713" t="s">
        <v>1881</v>
      </c>
      <c r="D121" s="712">
        <v>0</v>
      </c>
      <c r="E121" s="712">
        <v>0</v>
      </c>
      <c r="F121" s="712">
        <v>0</v>
      </c>
      <c r="G121" s="712">
        <v>0</v>
      </c>
      <c r="H121" s="712">
        <v>0</v>
      </c>
      <c r="I121" s="712">
        <v>0</v>
      </c>
      <c r="J121" s="712">
        <v>0</v>
      </c>
      <c r="K121" s="712">
        <v>0</v>
      </c>
      <c r="L121" s="712">
        <v>134205</v>
      </c>
      <c r="M121" s="712">
        <v>0</v>
      </c>
      <c r="N121" s="712">
        <v>0</v>
      </c>
      <c r="O121" s="712">
        <v>0</v>
      </c>
      <c r="P121" s="712">
        <v>0</v>
      </c>
      <c r="Q121" s="712">
        <v>0</v>
      </c>
      <c r="R121" s="712">
        <v>0</v>
      </c>
      <c r="S121" s="712">
        <v>0</v>
      </c>
      <c r="T121" s="712">
        <v>0</v>
      </c>
      <c r="U121" s="712">
        <v>0</v>
      </c>
      <c r="V121" s="712">
        <v>0</v>
      </c>
      <c r="W121" s="712">
        <v>0</v>
      </c>
      <c r="X121" s="712">
        <v>0</v>
      </c>
      <c r="Y121" s="712">
        <v>0</v>
      </c>
      <c r="Z121" s="712">
        <v>0</v>
      </c>
      <c r="AA121" s="712">
        <v>0</v>
      </c>
      <c r="AB121" s="712">
        <v>0</v>
      </c>
      <c r="AC121" s="712">
        <v>0</v>
      </c>
      <c r="AD121" s="712">
        <v>0</v>
      </c>
      <c r="AE121" s="712">
        <v>0</v>
      </c>
      <c r="AF121" s="712">
        <v>0</v>
      </c>
      <c r="AG121" s="712">
        <v>0</v>
      </c>
      <c r="AH121" s="712">
        <v>0</v>
      </c>
      <c r="AI121" s="712">
        <v>0</v>
      </c>
      <c r="AJ121" s="712">
        <v>0</v>
      </c>
      <c r="AK121" s="712">
        <v>0</v>
      </c>
      <c r="AL121" s="712">
        <v>0</v>
      </c>
      <c r="AM121" s="712">
        <v>0</v>
      </c>
      <c r="AN121" s="712">
        <v>0</v>
      </c>
      <c r="AO121" s="712">
        <v>0</v>
      </c>
      <c r="AP121" s="712">
        <v>0</v>
      </c>
      <c r="AQ121" s="712">
        <v>0</v>
      </c>
      <c r="AR121" s="712">
        <v>0</v>
      </c>
      <c r="AS121" s="712">
        <v>0</v>
      </c>
      <c r="AT121">
        <v>134205</v>
      </c>
      <c r="AU121" s="609"/>
      <c r="AV121" s="609"/>
      <c r="AW121" s="615"/>
      <c r="AX121" s="615"/>
      <c r="AY121" s="615"/>
      <c r="AZ121" s="615"/>
      <c r="BA121" s="615"/>
      <c r="BB121" s="615"/>
      <c r="BC121" s="615"/>
      <c r="BD121" s="615"/>
      <c r="BE121" s="615"/>
      <c r="BF121" s="615"/>
      <c r="BG121" s="615"/>
      <c r="BH121" s="615"/>
      <c r="BI121" s="615"/>
      <c r="BJ121" s="615"/>
      <c r="BK121" s="615"/>
      <c r="BL121" s="615"/>
      <c r="BM121" s="615"/>
      <c r="BN121" s="615"/>
      <c r="BO121" s="615"/>
      <c r="BP121" s="615"/>
      <c r="BQ121" s="615"/>
      <c r="BR121" s="615"/>
      <c r="BS121" s="615"/>
      <c r="BT121" s="615"/>
      <c r="BU121" s="615"/>
      <c r="BV121" s="615"/>
      <c r="BW121" s="615"/>
      <c r="BX121" s="607"/>
    </row>
    <row r="122" spans="1:76" s="612" customFormat="1" ht="25.5" x14ac:dyDescent="0.2">
      <c r="A122" s="839"/>
      <c r="B122" s="713" t="s">
        <v>1183</v>
      </c>
      <c r="C122" s="713" t="s">
        <v>1811</v>
      </c>
      <c r="D122" s="712">
        <v>0</v>
      </c>
      <c r="E122" s="712">
        <v>0</v>
      </c>
      <c r="F122" s="712">
        <v>0</v>
      </c>
      <c r="G122" s="712">
        <v>0</v>
      </c>
      <c r="H122" s="712">
        <v>0</v>
      </c>
      <c r="I122" s="712">
        <v>0</v>
      </c>
      <c r="J122" s="712">
        <v>0</v>
      </c>
      <c r="K122" s="712">
        <v>0</v>
      </c>
      <c r="L122" s="712">
        <v>171008</v>
      </c>
      <c r="M122" s="712">
        <v>0</v>
      </c>
      <c r="N122" s="712">
        <v>0</v>
      </c>
      <c r="O122" s="712">
        <v>0</v>
      </c>
      <c r="P122" s="712">
        <v>0</v>
      </c>
      <c r="Q122" s="712">
        <v>0</v>
      </c>
      <c r="R122" s="712">
        <v>0</v>
      </c>
      <c r="S122" s="712">
        <v>0</v>
      </c>
      <c r="T122" s="712">
        <v>0</v>
      </c>
      <c r="U122" s="712">
        <v>0</v>
      </c>
      <c r="V122" s="712">
        <v>0</v>
      </c>
      <c r="W122" s="712">
        <v>0</v>
      </c>
      <c r="X122" s="712">
        <v>0</v>
      </c>
      <c r="Y122" s="712">
        <v>0</v>
      </c>
      <c r="Z122" s="712">
        <v>0</v>
      </c>
      <c r="AA122" s="712">
        <v>0</v>
      </c>
      <c r="AB122" s="712">
        <v>0</v>
      </c>
      <c r="AC122" s="712">
        <v>0</v>
      </c>
      <c r="AD122" s="712">
        <v>0</v>
      </c>
      <c r="AE122" s="712">
        <v>0</v>
      </c>
      <c r="AF122" s="712">
        <v>0</v>
      </c>
      <c r="AG122" s="712">
        <v>0</v>
      </c>
      <c r="AH122" s="712">
        <v>0</v>
      </c>
      <c r="AI122" s="712">
        <v>0</v>
      </c>
      <c r="AJ122" s="712">
        <v>0</v>
      </c>
      <c r="AK122" s="712">
        <v>0</v>
      </c>
      <c r="AL122" s="712">
        <v>0</v>
      </c>
      <c r="AM122" s="712">
        <v>0</v>
      </c>
      <c r="AN122" s="712">
        <v>0</v>
      </c>
      <c r="AO122" s="712">
        <v>0</v>
      </c>
      <c r="AP122" s="712">
        <v>0</v>
      </c>
      <c r="AQ122" s="712">
        <v>0</v>
      </c>
      <c r="AR122" s="712">
        <v>0</v>
      </c>
      <c r="AS122" s="712">
        <v>0</v>
      </c>
      <c r="AT122">
        <v>170962</v>
      </c>
      <c r="AU122" s="609"/>
      <c r="AV122" s="609"/>
      <c r="AW122" s="615"/>
      <c r="AX122" s="615"/>
      <c r="AY122" s="615"/>
      <c r="AZ122" s="615"/>
      <c r="BA122" s="615"/>
      <c r="BB122" s="615"/>
      <c r="BC122" s="615"/>
      <c r="BD122" s="615"/>
      <c r="BE122" s="615"/>
      <c r="BF122" s="615"/>
      <c r="BG122" s="615"/>
      <c r="BH122" s="615"/>
      <c r="BI122" s="615"/>
      <c r="BJ122" s="615"/>
      <c r="BK122" s="615"/>
      <c r="BL122" s="615"/>
      <c r="BM122" s="615"/>
      <c r="BN122" s="615"/>
      <c r="BO122" s="615"/>
      <c r="BP122" s="615"/>
      <c r="BQ122" s="615"/>
      <c r="BR122" s="615"/>
      <c r="BS122" s="615"/>
      <c r="BT122" s="615"/>
      <c r="BU122" s="615"/>
      <c r="BV122" s="615"/>
      <c r="BW122" s="615"/>
      <c r="BX122" s="607"/>
    </row>
    <row r="123" spans="1:76" s="612" customFormat="1" ht="25.5" x14ac:dyDescent="0.2">
      <c r="A123" s="839"/>
      <c r="B123" s="713" t="s">
        <v>864</v>
      </c>
      <c r="C123" s="713" t="s">
        <v>1776</v>
      </c>
      <c r="D123" s="712">
        <v>0</v>
      </c>
      <c r="E123" s="712">
        <v>0</v>
      </c>
      <c r="F123" s="712">
        <v>0</v>
      </c>
      <c r="G123" s="712">
        <v>0</v>
      </c>
      <c r="H123" s="712">
        <v>0</v>
      </c>
      <c r="I123" s="712">
        <v>0</v>
      </c>
      <c r="J123" s="712">
        <v>0</v>
      </c>
      <c r="K123" s="712">
        <v>0</v>
      </c>
      <c r="L123" s="712">
        <v>0</v>
      </c>
      <c r="M123" s="712">
        <v>0</v>
      </c>
      <c r="N123" s="712">
        <v>0</v>
      </c>
      <c r="O123" s="712">
        <v>0</v>
      </c>
      <c r="P123" s="712">
        <v>0</v>
      </c>
      <c r="Q123" s="712">
        <v>0</v>
      </c>
      <c r="R123" s="712">
        <v>0</v>
      </c>
      <c r="S123" s="712">
        <v>0</v>
      </c>
      <c r="T123" s="712">
        <v>0</v>
      </c>
      <c r="U123" s="712">
        <v>0</v>
      </c>
      <c r="V123" s="712">
        <v>0</v>
      </c>
      <c r="W123" s="712">
        <v>0</v>
      </c>
      <c r="X123" s="712">
        <v>0</v>
      </c>
      <c r="Y123" s="712">
        <v>0</v>
      </c>
      <c r="Z123" s="712">
        <v>0</v>
      </c>
      <c r="AA123" s="712">
        <v>0</v>
      </c>
      <c r="AB123" s="712">
        <v>0</v>
      </c>
      <c r="AC123" s="712">
        <v>0</v>
      </c>
      <c r="AD123" s="712">
        <v>0</v>
      </c>
      <c r="AE123" s="712">
        <v>0</v>
      </c>
      <c r="AF123" s="712">
        <v>0</v>
      </c>
      <c r="AG123" s="712">
        <v>0</v>
      </c>
      <c r="AH123" s="712">
        <v>0</v>
      </c>
      <c r="AI123" s="712">
        <v>0</v>
      </c>
      <c r="AJ123" s="712">
        <v>0</v>
      </c>
      <c r="AK123" s="712">
        <v>0</v>
      </c>
      <c r="AL123" s="712">
        <v>0</v>
      </c>
      <c r="AM123" s="712">
        <v>0</v>
      </c>
      <c r="AN123" s="712">
        <v>0</v>
      </c>
      <c r="AO123" s="712">
        <v>0</v>
      </c>
      <c r="AP123" s="712">
        <v>0</v>
      </c>
      <c r="AQ123" s="712">
        <v>0</v>
      </c>
      <c r="AR123" s="712">
        <v>0</v>
      </c>
      <c r="AS123" s="712">
        <v>0</v>
      </c>
      <c r="AT123">
        <v>0</v>
      </c>
      <c r="AU123" s="609"/>
      <c r="AV123" s="609"/>
      <c r="AW123" s="615"/>
      <c r="AX123" s="615"/>
      <c r="AY123" s="615"/>
      <c r="AZ123" s="615"/>
      <c r="BA123" s="615"/>
      <c r="BB123" s="615"/>
      <c r="BC123" s="615"/>
      <c r="BD123" s="615"/>
      <c r="BE123" s="615"/>
      <c r="BF123" s="615"/>
      <c r="BG123" s="615"/>
      <c r="BH123" s="615"/>
      <c r="BI123" s="615"/>
      <c r="BJ123" s="615"/>
      <c r="BK123" s="615"/>
      <c r="BL123" s="615"/>
      <c r="BM123" s="615"/>
      <c r="BN123" s="615"/>
      <c r="BO123" s="615"/>
      <c r="BP123" s="615"/>
      <c r="BQ123" s="615"/>
      <c r="BR123" s="615"/>
      <c r="BS123" s="615"/>
      <c r="BT123" s="615"/>
      <c r="BU123" s="615"/>
      <c r="BV123" s="615"/>
      <c r="BW123" s="615"/>
      <c r="BX123" s="607"/>
    </row>
    <row r="124" spans="1:76" s="612" customFormat="1" ht="25.5" x14ac:dyDescent="0.2">
      <c r="A124" s="839"/>
      <c r="B124" s="713" t="s">
        <v>871</v>
      </c>
      <c r="C124" s="713" t="s">
        <v>1790</v>
      </c>
      <c r="D124" s="712">
        <v>0</v>
      </c>
      <c r="E124" s="712">
        <v>0</v>
      </c>
      <c r="F124" s="712">
        <v>0</v>
      </c>
      <c r="G124" s="712">
        <v>0</v>
      </c>
      <c r="H124" s="712">
        <v>0</v>
      </c>
      <c r="I124" s="712">
        <v>0</v>
      </c>
      <c r="J124" s="712">
        <v>0</v>
      </c>
      <c r="K124" s="712">
        <v>0</v>
      </c>
      <c r="L124" s="712">
        <v>0</v>
      </c>
      <c r="M124" s="712">
        <v>0</v>
      </c>
      <c r="N124" s="712">
        <v>0</v>
      </c>
      <c r="O124" s="712">
        <v>0</v>
      </c>
      <c r="P124" s="712">
        <v>0</v>
      </c>
      <c r="Q124" s="712">
        <v>0</v>
      </c>
      <c r="R124" s="712">
        <v>0</v>
      </c>
      <c r="S124" s="712">
        <v>0</v>
      </c>
      <c r="T124" s="712">
        <v>0</v>
      </c>
      <c r="U124" s="712">
        <v>0</v>
      </c>
      <c r="V124" s="712">
        <v>0</v>
      </c>
      <c r="W124" s="712">
        <v>0</v>
      </c>
      <c r="X124" s="712">
        <v>0</v>
      </c>
      <c r="Y124" s="712">
        <v>0</v>
      </c>
      <c r="Z124" s="712">
        <v>0</v>
      </c>
      <c r="AA124" s="712">
        <v>0</v>
      </c>
      <c r="AB124" s="712">
        <v>0</v>
      </c>
      <c r="AC124" s="712">
        <v>0</v>
      </c>
      <c r="AD124" s="712">
        <v>0</v>
      </c>
      <c r="AE124" s="712">
        <v>0</v>
      </c>
      <c r="AF124" s="712">
        <v>0</v>
      </c>
      <c r="AG124" s="712">
        <v>0</v>
      </c>
      <c r="AH124" s="712">
        <v>0</v>
      </c>
      <c r="AI124" s="712">
        <v>0</v>
      </c>
      <c r="AJ124" s="712">
        <v>0</v>
      </c>
      <c r="AK124" s="712">
        <v>0</v>
      </c>
      <c r="AL124" s="712">
        <v>0</v>
      </c>
      <c r="AM124" s="712">
        <v>0</v>
      </c>
      <c r="AN124" s="712">
        <v>0</v>
      </c>
      <c r="AO124" s="712">
        <v>0</v>
      </c>
      <c r="AP124" s="712">
        <v>0</v>
      </c>
      <c r="AQ124" s="712">
        <v>0</v>
      </c>
      <c r="AR124" s="712">
        <v>0</v>
      </c>
      <c r="AS124" s="712">
        <v>0</v>
      </c>
      <c r="AT124">
        <v>0</v>
      </c>
      <c r="AU124" s="609"/>
      <c r="AV124" s="609"/>
      <c r="AW124" s="615"/>
      <c r="AX124" s="615"/>
      <c r="AY124" s="615"/>
      <c r="AZ124" s="615"/>
      <c r="BA124" s="615"/>
      <c r="BB124" s="615"/>
      <c r="BC124" s="615"/>
      <c r="BD124" s="615"/>
      <c r="BE124" s="615"/>
      <c r="BF124" s="615"/>
      <c r="BG124" s="615"/>
      <c r="BH124" s="615"/>
      <c r="BI124" s="615"/>
      <c r="BJ124" s="615"/>
      <c r="BK124" s="615"/>
      <c r="BL124" s="615"/>
      <c r="BM124" s="615"/>
      <c r="BN124" s="615"/>
      <c r="BO124" s="615"/>
      <c r="BP124" s="615"/>
      <c r="BQ124" s="615"/>
      <c r="BR124" s="615"/>
      <c r="BS124" s="615"/>
      <c r="BT124" s="615"/>
      <c r="BU124" s="615"/>
      <c r="BV124" s="615"/>
      <c r="BW124" s="615"/>
      <c r="BX124" s="607"/>
    </row>
    <row r="125" spans="1:76" s="612" customFormat="1" ht="25.5" x14ac:dyDescent="0.2">
      <c r="A125" s="839"/>
      <c r="B125" s="713" t="s">
        <v>886</v>
      </c>
      <c r="C125" s="713" t="s">
        <v>1858</v>
      </c>
      <c r="D125" s="712">
        <v>0</v>
      </c>
      <c r="E125" s="712">
        <v>0</v>
      </c>
      <c r="F125" s="712">
        <v>0</v>
      </c>
      <c r="G125" s="712">
        <v>0</v>
      </c>
      <c r="H125" s="712">
        <v>0</v>
      </c>
      <c r="I125" s="712">
        <v>0</v>
      </c>
      <c r="J125" s="712">
        <v>0</v>
      </c>
      <c r="K125" s="712">
        <v>0</v>
      </c>
      <c r="L125" s="712">
        <v>0</v>
      </c>
      <c r="M125" s="712">
        <v>0</v>
      </c>
      <c r="N125" s="712">
        <v>0</v>
      </c>
      <c r="O125" s="712">
        <v>0</v>
      </c>
      <c r="P125" s="712">
        <v>0</v>
      </c>
      <c r="Q125" s="712">
        <v>0</v>
      </c>
      <c r="R125" s="712">
        <v>0</v>
      </c>
      <c r="S125" s="712">
        <v>0</v>
      </c>
      <c r="T125" s="712">
        <v>0</v>
      </c>
      <c r="U125" s="712">
        <v>0</v>
      </c>
      <c r="V125" s="712">
        <v>0</v>
      </c>
      <c r="W125" s="712">
        <v>0</v>
      </c>
      <c r="X125" s="712">
        <v>0</v>
      </c>
      <c r="Y125" s="712">
        <v>0</v>
      </c>
      <c r="Z125" s="712">
        <v>0</v>
      </c>
      <c r="AA125" s="712">
        <v>0</v>
      </c>
      <c r="AB125" s="712">
        <v>0</v>
      </c>
      <c r="AC125" s="712">
        <v>0</v>
      </c>
      <c r="AD125" s="712">
        <v>0</v>
      </c>
      <c r="AE125" s="712">
        <v>0</v>
      </c>
      <c r="AF125" s="712">
        <v>0</v>
      </c>
      <c r="AG125" s="712">
        <v>0</v>
      </c>
      <c r="AH125" s="712">
        <v>0</v>
      </c>
      <c r="AI125" s="712">
        <v>0</v>
      </c>
      <c r="AJ125" s="712">
        <v>0</v>
      </c>
      <c r="AK125" s="712">
        <v>0</v>
      </c>
      <c r="AL125" s="712">
        <v>0</v>
      </c>
      <c r="AM125" s="712">
        <v>0</v>
      </c>
      <c r="AN125" s="712">
        <v>0</v>
      </c>
      <c r="AO125" s="712">
        <v>0</v>
      </c>
      <c r="AP125" s="712">
        <v>0</v>
      </c>
      <c r="AQ125" s="712">
        <v>0</v>
      </c>
      <c r="AR125" s="712">
        <v>0</v>
      </c>
      <c r="AS125" s="712">
        <v>0</v>
      </c>
      <c r="AT125">
        <v>0</v>
      </c>
      <c r="AU125" s="609"/>
      <c r="AV125" s="609"/>
      <c r="AW125" s="615"/>
      <c r="AX125" s="615"/>
      <c r="AY125" s="615"/>
      <c r="AZ125" s="615"/>
      <c r="BA125" s="615"/>
      <c r="BB125" s="615"/>
      <c r="BC125" s="615"/>
      <c r="BD125" s="615"/>
      <c r="BE125" s="615"/>
      <c r="BF125" s="615"/>
      <c r="BG125" s="615"/>
      <c r="BH125" s="615"/>
      <c r="BI125" s="615"/>
      <c r="BJ125" s="615"/>
      <c r="BK125" s="615"/>
      <c r="BL125" s="615"/>
      <c r="BM125" s="615"/>
      <c r="BN125" s="615"/>
      <c r="BO125" s="615"/>
      <c r="BP125" s="615"/>
      <c r="BQ125" s="615"/>
      <c r="BR125" s="615"/>
      <c r="BS125" s="615"/>
      <c r="BT125" s="615"/>
      <c r="BU125" s="615"/>
      <c r="BV125" s="615"/>
      <c r="BW125" s="615"/>
      <c r="BX125" s="607"/>
    </row>
    <row r="126" spans="1:76" s="612" customFormat="1" ht="12.75" x14ac:dyDescent="0.2">
      <c r="A126" s="839"/>
      <c r="B126" s="838" t="s">
        <v>896</v>
      </c>
      <c r="C126" s="713" t="s">
        <v>1887</v>
      </c>
      <c r="D126" s="712">
        <v>0</v>
      </c>
      <c r="E126" s="712">
        <v>0</v>
      </c>
      <c r="F126" s="712">
        <v>0</v>
      </c>
      <c r="G126" s="712">
        <v>0</v>
      </c>
      <c r="H126" s="712">
        <v>0</v>
      </c>
      <c r="I126" s="712">
        <v>0</v>
      </c>
      <c r="J126" s="712">
        <v>0</v>
      </c>
      <c r="K126" s="712">
        <v>0</v>
      </c>
      <c r="L126" s="712">
        <v>0</v>
      </c>
      <c r="M126" s="712">
        <v>0</v>
      </c>
      <c r="N126" s="712">
        <v>0</v>
      </c>
      <c r="O126" s="712">
        <v>0</v>
      </c>
      <c r="P126" s="712">
        <v>0</v>
      </c>
      <c r="Q126" s="712">
        <v>0</v>
      </c>
      <c r="R126" s="712">
        <v>0</v>
      </c>
      <c r="S126" s="712">
        <v>0</v>
      </c>
      <c r="T126" s="712">
        <v>0</v>
      </c>
      <c r="U126" s="712">
        <v>0</v>
      </c>
      <c r="V126" s="712">
        <v>0</v>
      </c>
      <c r="W126" s="712">
        <v>0</v>
      </c>
      <c r="X126" s="712">
        <v>0</v>
      </c>
      <c r="Y126" s="712">
        <v>0</v>
      </c>
      <c r="Z126" s="712">
        <v>0</v>
      </c>
      <c r="AA126" s="712">
        <v>0</v>
      </c>
      <c r="AB126" s="712">
        <v>0</v>
      </c>
      <c r="AC126" s="712">
        <v>0</v>
      </c>
      <c r="AD126" s="712">
        <v>0</v>
      </c>
      <c r="AE126" s="712">
        <v>0</v>
      </c>
      <c r="AF126" s="712">
        <v>0</v>
      </c>
      <c r="AG126" s="712">
        <v>0</v>
      </c>
      <c r="AH126" s="712">
        <v>0</v>
      </c>
      <c r="AI126" s="712">
        <v>0</v>
      </c>
      <c r="AJ126" s="712">
        <v>0</v>
      </c>
      <c r="AK126" s="712">
        <v>0</v>
      </c>
      <c r="AL126" s="712">
        <v>0</v>
      </c>
      <c r="AM126" s="712">
        <v>0</v>
      </c>
      <c r="AN126" s="712">
        <v>0</v>
      </c>
      <c r="AO126" s="712">
        <v>0</v>
      </c>
      <c r="AP126" s="712">
        <v>0</v>
      </c>
      <c r="AQ126" s="712">
        <v>0</v>
      </c>
      <c r="AR126" s="712">
        <v>0</v>
      </c>
      <c r="AS126" s="712">
        <v>0</v>
      </c>
      <c r="AT126">
        <v>0</v>
      </c>
      <c r="AU126" s="609"/>
      <c r="AV126" s="609"/>
      <c r="AW126" s="615"/>
      <c r="AX126" s="615"/>
      <c r="AY126" s="615"/>
      <c r="AZ126" s="615"/>
      <c r="BA126" s="615"/>
      <c r="BB126" s="615"/>
      <c r="BC126" s="615"/>
      <c r="BD126" s="615"/>
      <c r="BE126" s="615"/>
      <c r="BF126" s="615"/>
      <c r="BG126" s="615"/>
      <c r="BH126" s="615"/>
      <c r="BI126" s="615"/>
      <c r="BJ126" s="615"/>
      <c r="BK126" s="615"/>
      <c r="BL126" s="615"/>
      <c r="BM126" s="615"/>
      <c r="BN126" s="615"/>
      <c r="BO126" s="615"/>
      <c r="BP126" s="615"/>
      <c r="BQ126" s="615"/>
      <c r="BR126" s="615"/>
      <c r="BS126" s="615"/>
      <c r="BT126" s="615"/>
      <c r="BU126" s="615"/>
      <c r="BV126" s="615"/>
      <c r="BW126" s="615"/>
      <c r="BX126" s="607"/>
    </row>
    <row r="127" spans="1:76" s="612" customFormat="1" ht="12.75" x14ac:dyDescent="0.2">
      <c r="A127" s="839"/>
      <c r="B127" s="839"/>
      <c r="C127" s="713" t="s">
        <v>1893</v>
      </c>
      <c r="D127" s="712">
        <v>0</v>
      </c>
      <c r="E127" s="712">
        <v>0</v>
      </c>
      <c r="F127" s="712">
        <v>0</v>
      </c>
      <c r="G127" s="712">
        <v>0</v>
      </c>
      <c r="H127" s="712">
        <v>0</v>
      </c>
      <c r="I127" s="712">
        <v>0</v>
      </c>
      <c r="J127" s="712">
        <v>0</v>
      </c>
      <c r="K127" s="712">
        <v>0</v>
      </c>
      <c r="L127" s="712">
        <v>0</v>
      </c>
      <c r="M127" s="712">
        <v>521547</v>
      </c>
      <c r="N127" s="712">
        <v>0</v>
      </c>
      <c r="O127" s="712">
        <v>0</v>
      </c>
      <c r="P127" s="712">
        <v>0</v>
      </c>
      <c r="Q127" s="712">
        <v>0</v>
      </c>
      <c r="R127" s="712">
        <v>0</v>
      </c>
      <c r="S127" s="712">
        <v>0</v>
      </c>
      <c r="T127" s="712">
        <v>0</v>
      </c>
      <c r="U127" s="712">
        <v>0</v>
      </c>
      <c r="V127" s="712">
        <v>0</v>
      </c>
      <c r="W127" s="712">
        <v>0</v>
      </c>
      <c r="X127" s="712">
        <v>0</v>
      </c>
      <c r="Y127" s="712">
        <v>0</v>
      </c>
      <c r="Z127" s="712">
        <v>0</v>
      </c>
      <c r="AA127" s="712">
        <v>0</v>
      </c>
      <c r="AB127" s="712">
        <v>0</v>
      </c>
      <c r="AC127" s="712">
        <v>0</v>
      </c>
      <c r="AD127" s="712">
        <v>0</v>
      </c>
      <c r="AE127" s="712">
        <v>0</v>
      </c>
      <c r="AF127" s="712">
        <v>0</v>
      </c>
      <c r="AG127" s="712">
        <v>0</v>
      </c>
      <c r="AH127" s="712">
        <v>0</v>
      </c>
      <c r="AI127" s="712">
        <v>0</v>
      </c>
      <c r="AJ127" s="712">
        <v>0</v>
      </c>
      <c r="AK127" s="712">
        <v>0</v>
      </c>
      <c r="AL127" s="712">
        <v>0</v>
      </c>
      <c r="AM127" s="712">
        <v>0</v>
      </c>
      <c r="AN127" s="712">
        <v>0</v>
      </c>
      <c r="AO127" s="712">
        <v>0</v>
      </c>
      <c r="AP127" s="712">
        <v>0</v>
      </c>
      <c r="AQ127" s="712">
        <v>0</v>
      </c>
      <c r="AR127" s="712">
        <v>0</v>
      </c>
      <c r="AS127" s="712">
        <v>0</v>
      </c>
      <c r="AT127">
        <v>521547</v>
      </c>
      <c r="AU127" s="609"/>
      <c r="AV127" s="609"/>
      <c r="AW127" s="615"/>
      <c r="AX127" s="615"/>
      <c r="AY127" s="615"/>
      <c r="AZ127" s="615"/>
      <c r="BA127" s="615"/>
      <c r="BB127" s="615"/>
      <c r="BC127" s="615"/>
      <c r="BD127" s="615"/>
      <c r="BE127" s="615"/>
      <c r="BF127" s="615"/>
      <c r="BG127" s="615"/>
      <c r="BH127" s="615"/>
      <c r="BI127" s="615"/>
      <c r="BJ127" s="615"/>
      <c r="BK127" s="615"/>
      <c r="BL127" s="615"/>
      <c r="BM127" s="615"/>
      <c r="BN127" s="615"/>
      <c r="BO127" s="615"/>
      <c r="BP127" s="615"/>
      <c r="BQ127" s="615"/>
      <c r="BR127" s="615"/>
      <c r="BS127" s="615"/>
      <c r="BT127" s="615"/>
      <c r="BU127" s="615"/>
      <c r="BV127" s="615"/>
      <c r="BW127" s="615"/>
      <c r="BX127" s="607"/>
    </row>
    <row r="128" spans="1:76" s="612" customFormat="1" ht="12.75" x14ac:dyDescent="0.2">
      <c r="A128" s="839"/>
      <c r="B128" s="839"/>
      <c r="C128" s="713" t="s">
        <v>1898</v>
      </c>
      <c r="D128" s="712">
        <v>0</v>
      </c>
      <c r="E128" s="712">
        <v>0</v>
      </c>
      <c r="F128" s="712">
        <v>0</v>
      </c>
      <c r="G128" s="712">
        <v>0</v>
      </c>
      <c r="H128" s="712">
        <v>0</v>
      </c>
      <c r="I128" s="712">
        <v>0</v>
      </c>
      <c r="J128" s="712">
        <v>0</v>
      </c>
      <c r="K128" s="712">
        <v>0</v>
      </c>
      <c r="L128" s="712">
        <v>0</v>
      </c>
      <c r="M128" s="712">
        <v>639707</v>
      </c>
      <c r="N128" s="712">
        <v>0</v>
      </c>
      <c r="O128" s="712">
        <v>0</v>
      </c>
      <c r="P128" s="712">
        <v>0</v>
      </c>
      <c r="Q128" s="712">
        <v>0</v>
      </c>
      <c r="R128" s="712">
        <v>0</v>
      </c>
      <c r="S128" s="712">
        <v>0</v>
      </c>
      <c r="T128" s="712">
        <v>0</v>
      </c>
      <c r="U128" s="712">
        <v>0</v>
      </c>
      <c r="V128" s="712">
        <v>0</v>
      </c>
      <c r="W128" s="712">
        <v>0</v>
      </c>
      <c r="X128" s="712">
        <v>0</v>
      </c>
      <c r="Y128" s="712">
        <v>0</v>
      </c>
      <c r="Z128" s="712">
        <v>0</v>
      </c>
      <c r="AA128" s="712">
        <v>0</v>
      </c>
      <c r="AB128" s="712">
        <v>0</v>
      </c>
      <c r="AC128" s="712">
        <v>0</v>
      </c>
      <c r="AD128" s="712">
        <v>0</v>
      </c>
      <c r="AE128" s="712">
        <v>0</v>
      </c>
      <c r="AF128" s="712">
        <v>0</v>
      </c>
      <c r="AG128" s="712">
        <v>0</v>
      </c>
      <c r="AH128" s="712">
        <v>0</v>
      </c>
      <c r="AI128" s="712">
        <v>0</v>
      </c>
      <c r="AJ128" s="712">
        <v>0</v>
      </c>
      <c r="AK128" s="712">
        <v>0</v>
      </c>
      <c r="AL128" s="712">
        <v>0</v>
      </c>
      <c r="AM128" s="712">
        <v>0</v>
      </c>
      <c r="AN128" s="712">
        <v>0</v>
      </c>
      <c r="AO128" s="712">
        <v>0</v>
      </c>
      <c r="AP128" s="712">
        <v>0</v>
      </c>
      <c r="AQ128" s="712">
        <v>0</v>
      </c>
      <c r="AR128" s="712">
        <v>0</v>
      </c>
      <c r="AS128" s="712">
        <v>0</v>
      </c>
      <c r="AT128">
        <v>639707</v>
      </c>
      <c r="AU128" s="609"/>
      <c r="AV128" s="609"/>
      <c r="AW128" s="615"/>
      <c r="AX128" s="615"/>
      <c r="AY128" s="615"/>
      <c r="AZ128" s="615"/>
      <c r="BA128" s="615"/>
      <c r="BB128" s="615"/>
      <c r="BC128" s="615"/>
      <c r="BD128" s="615"/>
      <c r="BE128" s="615"/>
      <c r="BF128" s="615"/>
      <c r="BG128" s="615"/>
      <c r="BH128" s="615"/>
      <c r="BI128" s="615"/>
      <c r="BJ128" s="615"/>
      <c r="BK128" s="615"/>
      <c r="BL128" s="615"/>
      <c r="BM128" s="615"/>
      <c r="BN128" s="615"/>
      <c r="BO128" s="615"/>
      <c r="BP128" s="615"/>
      <c r="BQ128" s="615"/>
      <c r="BR128" s="615"/>
      <c r="BS128" s="615"/>
      <c r="BT128" s="615"/>
      <c r="BU128" s="615"/>
      <c r="BV128" s="615"/>
      <c r="BW128" s="615"/>
      <c r="BX128" s="607"/>
    </row>
    <row r="129" spans="1:76" s="612" customFormat="1" ht="12.75" x14ac:dyDescent="0.2">
      <c r="A129" s="839"/>
      <c r="B129" s="838" t="s">
        <v>918</v>
      </c>
      <c r="C129" s="713" t="s">
        <v>1767</v>
      </c>
      <c r="D129" s="712">
        <v>0</v>
      </c>
      <c r="E129" s="712">
        <v>0</v>
      </c>
      <c r="F129" s="712">
        <v>0</v>
      </c>
      <c r="G129" s="712">
        <v>0</v>
      </c>
      <c r="H129" s="712">
        <v>0</v>
      </c>
      <c r="I129" s="712">
        <v>0</v>
      </c>
      <c r="J129" s="712">
        <v>0</v>
      </c>
      <c r="K129" s="712">
        <v>0</v>
      </c>
      <c r="L129" s="712">
        <v>0</v>
      </c>
      <c r="M129" s="712">
        <v>0</v>
      </c>
      <c r="N129" s="712">
        <v>0</v>
      </c>
      <c r="O129" s="712">
        <v>0</v>
      </c>
      <c r="P129" s="712">
        <v>0</v>
      </c>
      <c r="Q129" s="712">
        <v>0</v>
      </c>
      <c r="R129" s="712">
        <v>0</v>
      </c>
      <c r="S129" s="712">
        <v>0</v>
      </c>
      <c r="T129" s="712">
        <v>0</v>
      </c>
      <c r="U129" s="712">
        <v>0</v>
      </c>
      <c r="V129" s="712">
        <v>0</v>
      </c>
      <c r="W129" s="712">
        <v>0</v>
      </c>
      <c r="X129" s="712">
        <v>0</v>
      </c>
      <c r="Y129" s="712">
        <v>0</v>
      </c>
      <c r="Z129" s="712">
        <v>0</v>
      </c>
      <c r="AA129" s="712">
        <v>0</v>
      </c>
      <c r="AB129" s="712">
        <v>0</v>
      </c>
      <c r="AC129" s="712">
        <v>0</v>
      </c>
      <c r="AD129" s="712">
        <v>0</v>
      </c>
      <c r="AE129" s="712">
        <v>0</v>
      </c>
      <c r="AF129" s="712">
        <v>0</v>
      </c>
      <c r="AG129" s="712">
        <v>0</v>
      </c>
      <c r="AH129" s="712">
        <v>0</v>
      </c>
      <c r="AI129" s="712">
        <v>0</v>
      </c>
      <c r="AJ129" s="712">
        <v>0</v>
      </c>
      <c r="AK129" s="712">
        <v>0</v>
      </c>
      <c r="AL129" s="712">
        <v>0</v>
      </c>
      <c r="AM129" s="712">
        <v>0</v>
      </c>
      <c r="AN129" s="712">
        <v>0</v>
      </c>
      <c r="AO129" s="712">
        <v>0</v>
      </c>
      <c r="AP129" s="712">
        <v>0</v>
      </c>
      <c r="AQ129" s="712">
        <v>0</v>
      </c>
      <c r="AR129" s="712">
        <v>0</v>
      </c>
      <c r="AS129" s="712">
        <v>0</v>
      </c>
      <c r="AT129">
        <v>0</v>
      </c>
      <c r="AU129" s="609"/>
      <c r="AV129" s="609"/>
      <c r="AW129" s="615"/>
      <c r="AX129" s="615"/>
      <c r="AY129" s="615"/>
      <c r="AZ129" s="615"/>
      <c r="BA129" s="615"/>
      <c r="BB129" s="615"/>
      <c r="BC129" s="615"/>
      <c r="BD129" s="615"/>
      <c r="BE129" s="615"/>
      <c r="BF129" s="615"/>
      <c r="BG129" s="615"/>
      <c r="BH129" s="615"/>
      <c r="BI129" s="615"/>
      <c r="BJ129" s="615"/>
      <c r="BK129" s="615"/>
      <c r="BL129" s="615"/>
      <c r="BM129" s="615"/>
      <c r="BN129" s="615"/>
      <c r="BO129" s="615"/>
      <c r="BP129" s="615"/>
      <c r="BQ129" s="615"/>
      <c r="BR129" s="615"/>
      <c r="BS129" s="615"/>
      <c r="BT129" s="615"/>
      <c r="BU129" s="615"/>
      <c r="BV129" s="615"/>
      <c r="BW129" s="615"/>
      <c r="BX129" s="607"/>
    </row>
    <row r="130" spans="1:76" s="612" customFormat="1" ht="12.75" x14ac:dyDescent="0.2">
      <c r="A130" s="839"/>
      <c r="B130" s="839"/>
      <c r="C130" s="713" t="s">
        <v>1882</v>
      </c>
      <c r="D130" s="712">
        <v>0</v>
      </c>
      <c r="E130" s="712">
        <v>0</v>
      </c>
      <c r="F130" s="712">
        <v>0</v>
      </c>
      <c r="G130" s="712">
        <v>0</v>
      </c>
      <c r="H130" s="712">
        <v>0</v>
      </c>
      <c r="I130" s="712">
        <v>0</v>
      </c>
      <c r="J130" s="712">
        <v>0</v>
      </c>
      <c r="K130" s="712">
        <v>0</v>
      </c>
      <c r="L130" s="712">
        <v>0</v>
      </c>
      <c r="M130" s="712">
        <v>0</v>
      </c>
      <c r="N130" s="712">
        <v>0</v>
      </c>
      <c r="O130" s="712">
        <v>0</v>
      </c>
      <c r="P130" s="712">
        <v>0</v>
      </c>
      <c r="Q130" s="712">
        <v>0</v>
      </c>
      <c r="R130" s="712">
        <v>0</v>
      </c>
      <c r="S130" s="712">
        <v>0</v>
      </c>
      <c r="T130" s="712">
        <v>0</v>
      </c>
      <c r="U130" s="712">
        <v>0</v>
      </c>
      <c r="V130" s="712">
        <v>0</v>
      </c>
      <c r="W130" s="712">
        <v>0</v>
      </c>
      <c r="X130" s="712">
        <v>0</v>
      </c>
      <c r="Y130" s="712">
        <v>0</v>
      </c>
      <c r="Z130" s="712">
        <v>0</v>
      </c>
      <c r="AA130" s="712">
        <v>0</v>
      </c>
      <c r="AB130" s="712">
        <v>0</v>
      </c>
      <c r="AC130" s="712">
        <v>0</v>
      </c>
      <c r="AD130" s="712">
        <v>0</v>
      </c>
      <c r="AE130" s="712">
        <v>0</v>
      </c>
      <c r="AF130" s="712">
        <v>0</v>
      </c>
      <c r="AG130" s="712">
        <v>0</v>
      </c>
      <c r="AH130" s="712">
        <v>0</v>
      </c>
      <c r="AI130" s="712">
        <v>0</v>
      </c>
      <c r="AJ130" s="712">
        <v>0</v>
      </c>
      <c r="AK130" s="712">
        <v>0</v>
      </c>
      <c r="AL130" s="712">
        <v>0</v>
      </c>
      <c r="AM130" s="712">
        <v>0</v>
      </c>
      <c r="AN130" s="712">
        <v>0</v>
      </c>
      <c r="AO130" s="712">
        <v>0</v>
      </c>
      <c r="AP130" s="712">
        <v>0</v>
      </c>
      <c r="AQ130" s="712">
        <v>0</v>
      </c>
      <c r="AR130" s="712">
        <v>0</v>
      </c>
      <c r="AS130" s="712">
        <v>0</v>
      </c>
      <c r="AT130">
        <v>0</v>
      </c>
      <c r="AU130" s="609"/>
      <c r="AV130" s="609"/>
      <c r="AW130" s="615"/>
      <c r="AX130" s="615"/>
      <c r="AY130" s="615"/>
      <c r="AZ130" s="615"/>
      <c r="BA130" s="615"/>
      <c r="BB130" s="615"/>
      <c r="BC130" s="615"/>
      <c r="BD130" s="615"/>
      <c r="BE130" s="615"/>
      <c r="BF130" s="615"/>
      <c r="BG130" s="615"/>
      <c r="BH130" s="615"/>
      <c r="BI130" s="615"/>
      <c r="BJ130" s="615"/>
      <c r="BK130" s="615"/>
      <c r="BL130" s="615"/>
      <c r="BM130" s="615"/>
      <c r="BN130" s="615"/>
      <c r="BO130" s="615"/>
      <c r="BP130" s="615"/>
      <c r="BQ130" s="615"/>
      <c r="BR130" s="615"/>
      <c r="BS130" s="615"/>
      <c r="BT130" s="615"/>
      <c r="BU130" s="615"/>
      <c r="BV130" s="615"/>
      <c r="BW130" s="615"/>
      <c r="BX130" s="607"/>
    </row>
    <row r="131" spans="1:76" s="612" customFormat="1" ht="25.5" x14ac:dyDescent="0.2">
      <c r="A131" s="839"/>
      <c r="B131" s="713" t="s">
        <v>1640</v>
      </c>
      <c r="C131" s="713" t="s">
        <v>1851</v>
      </c>
      <c r="D131" s="712">
        <v>0</v>
      </c>
      <c r="E131" s="712">
        <v>0</v>
      </c>
      <c r="F131" s="712">
        <v>0</v>
      </c>
      <c r="G131" s="712">
        <v>0</v>
      </c>
      <c r="H131" s="712">
        <v>0</v>
      </c>
      <c r="I131" s="712">
        <v>0</v>
      </c>
      <c r="J131" s="712">
        <v>0</v>
      </c>
      <c r="K131" s="712">
        <v>0</v>
      </c>
      <c r="L131" s="712">
        <v>0</v>
      </c>
      <c r="M131" s="712">
        <v>0</v>
      </c>
      <c r="N131" s="712">
        <v>0</v>
      </c>
      <c r="O131" s="712">
        <v>0</v>
      </c>
      <c r="P131" s="712">
        <v>0</v>
      </c>
      <c r="Q131" s="712">
        <v>0</v>
      </c>
      <c r="R131" s="712">
        <v>0</v>
      </c>
      <c r="S131" s="712">
        <v>0</v>
      </c>
      <c r="T131" s="712">
        <v>0</v>
      </c>
      <c r="U131" s="712">
        <v>0</v>
      </c>
      <c r="V131" s="712">
        <v>0</v>
      </c>
      <c r="W131" s="712">
        <v>0</v>
      </c>
      <c r="X131" s="712">
        <v>0</v>
      </c>
      <c r="Y131" s="712">
        <v>0</v>
      </c>
      <c r="Z131" s="712">
        <v>0</v>
      </c>
      <c r="AA131" s="712">
        <v>0</v>
      </c>
      <c r="AB131" s="712">
        <v>0</v>
      </c>
      <c r="AC131" s="712">
        <v>0</v>
      </c>
      <c r="AD131" s="712">
        <v>0</v>
      </c>
      <c r="AE131" s="712">
        <v>0</v>
      </c>
      <c r="AF131" s="712">
        <v>0</v>
      </c>
      <c r="AG131" s="712">
        <v>0</v>
      </c>
      <c r="AH131" s="712">
        <v>0</v>
      </c>
      <c r="AI131" s="712">
        <v>0</v>
      </c>
      <c r="AJ131" s="712">
        <v>0</v>
      </c>
      <c r="AK131" s="712">
        <v>0</v>
      </c>
      <c r="AL131" s="712">
        <v>0</v>
      </c>
      <c r="AM131" s="712">
        <v>0</v>
      </c>
      <c r="AN131" s="712">
        <v>0</v>
      </c>
      <c r="AO131" s="712">
        <v>0</v>
      </c>
      <c r="AP131" s="712">
        <v>0</v>
      </c>
      <c r="AQ131" s="712">
        <v>0</v>
      </c>
      <c r="AR131" s="712">
        <v>0</v>
      </c>
      <c r="AS131" s="712">
        <v>0</v>
      </c>
      <c r="AT131">
        <v>0</v>
      </c>
      <c r="AU131" s="609"/>
      <c r="AV131" s="609"/>
      <c r="AW131" s="615"/>
      <c r="AX131" s="615"/>
      <c r="AY131" s="615"/>
      <c r="AZ131" s="615"/>
      <c r="BA131" s="615"/>
      <c r="BB131" s="615"/>
      <c r="BC131" s="615"/>
      <c r="BD131" s="615"/>
      <c r="BE131" s="615"/>
      <c r="BF131" s="615"/>
      <c r="BG131" s="615"/>
      <c r="BH131" s="615"/>
      <c r="BI131" s="615"/>
      <c r="BJ131" s="615"/>
      <c r="BK131" s="615"/>
      <c r="BL131" s="615"/>
      <c r="BM131" s="615"/>
      <c r="BN131" s="615"/>
      <c r="BO131" s="615"/>
      <c r="BP131" s="615"/>
      <c r="BQ131" s="615"/>
      <c r="BR131" s="615"/>
      <c r="BS131" s="615"/>
      <c r="BT131" s="615"/>
      <c r="BU131" s="615"/>
      <c r="BV131" s="615"/>
      <c r="BW131" s="615"/>
      <c r="BX131" s="607"/>
    </row>
    <row r="132" spans="1:76" s="612" customFormat="1" ht="25.5" x14ac:dyDescent="0.2">
      <c r="A132" s="839"/>
      <c r="B132" s="713" t="s">
        <v>1726</v>
      </c>
      <c r="C132" s="713" t="s">
        <v>1900</v>
      </c>
      <c r="D132" s="712">
        <v>0</v>
      </c>
      <c r="E132" s="712">
        <v>0</v>
      </c>
      <c r="F132" s="712">
        <v>0</v>
      </c>
      <c r="G132" s="712">
        <v>0</v>
      </c>
      <c r="H132" s="712">
        <v>0</v>
      </c>
      <c r="I132" s="712">
        <v>0</v>
      </c>
      <c r="J132" s="712">
        <v>0</v>
      </c>
      <c r="K132" s="712">
        <v>0</v>
      </c>
      <c r="L132" s="712">
        <v>0</v>
      </c>
      <c r="M132" s="712">
        <v>0</v>
      </c>
      <c r="N132" s="712">
        <v>0</v>
      </c>
      <c r="O132" s="712">
        <v>0</v>
      </c>
      <c r="P132" s="712">
        <v>0</v>
      </c>
      <c r="Q132" s="712">
        <v>0</v>
      </c>
      <c r="R132" s="712">
        <v>0</v>
      </c>
      <c r="S132" s="712">
        <v>0</v>
      </c>
      <c r="T132" s="712">
        <v>0</v>
      </c>
      <c r="U132" s="712">
        <v>0</v>
      </c>
      <c r="V132" s="712">
        <v>0</v>
      </c>
      <c r="W132" s="712">
        <v>0</v>
      </c>
      <c r="X132" s="712">
        <v>0</v>
      </c>
      <c r="Y132" s="712">
        <v>0</v>
      </c>
      <c r="Z132" s="712">
        <v>0</v>
      </c>
      <c r="AA132" s="712">
        <v>0</v>
      </c>
      <c r="AB132" s="712">
        <v>0</v>
      </c>
      <c r="AC132" s="712">
        <v>0</v>
      </c>
      <c r="AD132" s="712">
        <v>0</v>
      </c>
      <c r="AE132" s="712">
        <v>0</v>
      </c>
      <c r="AF132" s="712">
        <v>0</v>
      </c>
      <c r="AG132" s="712">
        <v>0</v>
      </c>
      <c r="AH132" s="712">
        <v>0</v>
      </c>
      <c r="AI132" s="712">
        <v>0</v>
      </c>
      <c r="AJ132" s="712">
        <v>0</v>
      </c>
      <c r="AK132" s="712">
        <v>0</v>
      </c>
      <c r="AL132" s="712">
        <v>0</v>
      </c>
      <c r="AM132" s="712">
        <v>0</v>
      </c>
      <c r="AN132" s="712">
        <v>0</v>
      </c>
      <c r="AO132" s="712">
        <v>0</v>
      </c>
      <c r="AP132" s="712">
        <v>0</v>
      </c>
      <c r="AQ132" s="712">
        <v>0</v>
      </c>
      <c r="AR132" s="712">
        <v>0</v>
      </c>
      <c r="AS132" s="712">
        <v>0</v>
      </c>
      <c r="AT132">
        <v>0</v>
      </c>
      <c r="AU132" s="609"/>
      <c r="AV132" s="609"/>
      <c r="AW132" s="615"/>
      <c r="AX132" s="615"/>
      <c r="AY132" s="615"/>
      <c r="AZ132" s="615"/>
      <c r="BA132" s="615"/>
      <c r="BB132" s="615"/>
      <c r="BC132" s="615"/>
      <c r="BD132" s="615"/>
      <c r="BE132" s="615"/>
      <c r="BF132" s="615"/>
      <c r="BG132" s="615"/>
      <c r="BH132" s="615"/>
      <c r="BI132" s="615"/>
      <c r="BJ132" s="615"/>
      <c r="BK132" s="615"/>
      <c r="BL132" s="615"/>
      <c r="BM132" s="615"/>
      <c r="BN132" s="615"/>
      <c r="BO132" s="615"/>
      <c r="BP132" s="615"/>
      <c r="BQ132" s="615"/>
      <c r="BR132" s="615"/>
      <c r="BS132" s="615"/>
      <c r="BT132" s="615"/>
      <c r="BU132" s="615"/>
      <c r="BV132" s="615"/>
      <c r="BW132" s="615"/>
      <c r="BX132" s="607"/>
    </row>
    <row r="133" spans="1:76" s="612" customFormat="1" ht="25.5" x14ac:dyDescent="0.2">
      <c r="A133" s="839"/>
      <c r="B133" s="713" t="s">
        <v>1234</v>
      </c>
      <c r="C133" s="713" t="s">
        <v>1813</v>
      </c>
      <c r="D133" s="712">
        <v>0</v>
      </c>
      <c r="E133" s="712">
        <v>0</v>
      </c>
      <c r="F133" s="712">
        <v>0</v>
      </c>
      <c r="G133" s="712">
        <v>0</v>
      </c>
      <c r="H133" s="712">
        <v>0</v>
      </c>
      <c r="I133" s="712">
        <v>0</v>
      </c>
      <c r="J133" s="712">
        <v>0</v>
      </c>
      <c r="K133" s="712">
        <v>0</v>
      </c>
      <c r="L133" s="712">
        <v>0</v>
      </c>
      <c r="M133" s="712">
        <v>0</v>
      </c>
      <c r="N133" s="712">
        <v>0</v>
      </c>
      <c r="O133" s="712">
        <v>0</v>
      </c>
      <c r="P133" s="712">
        <v>0</v>
      </c>
      <c r="Q133" s="712">
        <v>0</v>
      </c>
      <c r="R133" s="712">
        <v>0</v>
      </c>
      <c r="S133" s="712">
        <v>0</v>
      </c>
      <c r="T133" s="712">
        <v>0</v>
      </c>
      <c r="U133" s="712">
        <v>0</v>
      </c>
      <c r="V133" s="712">
        <v>0</v>
      </c>
      <c r="W133" s="712">
        <v>0</v>
      </c>
      <c r="X133" s="712">
        <v>0</v>
      </c>
      <c r="Y133" s="712">
        <v>0</v>
      </c>
      <c r="Z133" s="712">
        <v>0</v>
      </c>
      <c r="AA133" s="712">
        <v>0</v>
      </c>
      <c r="AB133" s="712">
        <v>0</v>
      </c>
      <c r="AC133" s="712">
        <v>0</v>
      </c>
      <c r="AD133" s="712">
        <v>0</v>
      </c>
      <c r="AE133" s="712">
        <v>0</v>
      </c>
      <c r="AF133" s="712">
        <v>0</v>
      </c>
      <c r="AG133" s="712">
        <v>0</v>
      </c>
      <c r="AH133" s="712">
        <v>0</v>
      </c>
      <c r="AI133" s="712">
        <v>0</v>
      </c>
      <c r="AJ133" s="712">
        <v>0</v>
      </c>
      <c r="AK133" s="712">
        <v>0</v>
      </c>
      <c r="AL133" s="712">
        <v>0</v>
      </c>
      <c r="AM133" s="712">
        <v>0</v>
      </c>
      <c r="AN133" s="712">
        <v>0</v>
      </c>
      <c r="AO133" s="712">
        <v>0</v>
      </c>
      <c r="AP133" s="712">
        <v>0</v>
      </c>
      <c r="AQ133" s="712">
        <v>0</v>
      </c>
      <c r="AR133" s="712">
        <v>0</v>
      </c>
      <c r="AS133" s="712">
        <v>0</v>
      </c>
      <c r="AT133">
        <v>0</v>
      </c>
      <c r="AU133" s="609"/>
      <c r="AV133" s="609"/>
      <c r="AW133" s="615"/>
      <c r="AX133" s="615"/>
      <c r="AY133" s="615"/>
      <c r="AZ133" s="615"/>
      <c r="BA133" s="615"/>
      <c r="BB133" s="615"/>
      <c r="BC133" s="615"/>
      <c r="BD133" s="615"/>
      <c r="BE133" s="615"/>
      <c r="BF133" s="615"/>
      <c r="BG133" s="615"/>
      <c r="BH133" s="615"/>
      <c r="BI133" s="615"/>
      <c r="BJ133" s="615"/>
      <c r="BK133" s="615"/>
      <c r="BL133" s="615"/>
      <c r="BM133" s="615"/>
      <c r="BN133" s="615"/>
      <c r="BO133" s="615"/>
      <c r="BP133" s="615"/>
      <c r="BQ133" s="615"/>
      <c r="BR133" s="615"/>
      <c r="BS133" s="615"/>
      <c r="BT133" s="615"/>
      <c r="BU133" s="615"/>
      <c r="BV133" s="615"/>
      <c r="BW133" s="615"/>
      <c r="BX133" s="607"/>
    </row>
    <row r="134" spans="1:76" s="612" customFormat="1" ht="25.5" x14ac:dyDescent="0.2">
      <c r="A134" s="839"/>
      <c r="B134" s="713" t="s">
        <v>868</v>
      </c>
      <c r="C134" s="713" t="s">
        <v>1783</v>
      </c>
      <c r="D134" s="712">
        <v>0</v>
      </c>
      <c r="E134" s="712">
        <v>0</v>
      </c>
      <c r="F134" s="712">
        <v>0</v>
      </c>
      <c r="G134" s="712">
        <v>0</v>
      </c>
      <c r="H134" s="712">
        <v>0</v>
      </c>
      <c r="I134" s="712">
        <v>0</v>
      </c>
      <c r="J134" s="712">
        <v>0</v>
      </c>
      <c r="K134" s="712">
        <v>0</v>
      </c>
      <c r="L134" s="712">
        <v>0</v>
      </c>
      <c r="M134" s="712">
        <v>0</v>
      </c>
      <c r="N134" s="712">
        <v>0</v>
      </c>
      <c r="O134" s="712">
        <v>0</v>
      </c>
      <c r="P134" s="712">
        <v>0</v>
      </c>
      <c r="Q134" s="712">
        <v>0</v>
      </c>
      <c r="R134" s="712">
        <v>0</v>
      </c>
      <c r="S134" s="712">
        <v>0</v>
      </c>
      <c r="T134" s="712">
        <v>0</v>
      </c>
      <c r="U134" s="712">
        <v>0</v>
      </c>
      <c r="V134" s="712">
        <v>0</v>
      </c>
      <c r="W134" s="712">
        <v>0</v>
      </c>
      <c r="X134" s="712">
        <v>0</v>
      </c>
      <c r="Y134" s="712">
        <v>0</v>
      </c>
      <c r="Z134" s="712">
        <v>0</v>
      </c>
      <c r="AA134" s="712">
        <v>0</v>
      </c>
      <c r="AB134" s="712">
        <v>0</v>
      </c>
      <c r="AC134" s="712">
        <v>0</v>
      </c>
      <c r="AD134" s="712">
        <v>0</v>
      </c>
      <c r="AE134" s="712">
        <v>0</v>
      </c>
      <c r="AF134" s="712">
        <v>0</v>
      </c>
      <c r="AG134" s="712">
        <v>0</v>
      </c>
      <c r="AH134" s="712">
        <v>0</v>
      </c>
      <c r="AI134" s="712">
        <v>0</v>
      </c>
      <c r="AJ134" s="712">
        <v>0</v>
      </c>
      <c r="AK134" s="712">
        <v>0</v>
      </c>
      <c r="AL134" s="712">
        <v>0</v>
      </c>
      <c r="AM134" s="712">
        <v>0</v>
      </c>
      <c r="AN134" s="712">
        <v>0</v>
      </c>
      <c r="AO134" s="712">
        <v>0</v>
      </c>
      <c r="AP134" s="712">
        <v>0</v>
      </c>
      <c r="AQ134" s="712">
        <v>0</v>
      </c>
      <c r="AR134" s="712">
        <v>0</v>
      </c>
      <c r="AS134" s="712">
        <v>0</v>
      </c>
      <c r="AT134">
        <v>0</v>
      </c>
      <c r="AU134" s="609"/>
      <c r="AV134" s="609"/>
      <c r="AW134" s="615"/>
      <c r="AX134" s="615"/>
      <c r="AY134" s="615"/>
      <c r="AZ134" s="615"/>
      <c r="BA134" s="615"/>
      <c r="BB134" s="615"/>
      <c r="BC134" s="615"/>
      <c r="BD134" s="615"/>
      <c r="BE134" s="615"/>
      <c r="BF134" s="615"/>
      <c r="BG134" s="615"/>
      <c r="BH134" s="615"/>
      <c r="BI134" s="615"/>
      <c r="BJ134" s="615"/>
      <c r="BK134" s="615"/>
      <c r="BL134" s="615"/>
      <c r="BM134" s="615"/>
      <c r="BN134" s="615"/>
      <c r="BO134" s="615"/>
      <c r="BP134" s="615"/>
      <c r="BQ134" s="615"/>
      <c r="BR134" s="615"/>
      <c r="BS134" s="615"/>
      <c r="BT134" s="615"/>
      <c r="BU134" s="615"/>
      <c r="BV134" s="615"/>
      <c r="BW134" s="615"/>
      <c r="BX134" s="607"/>
    </row>
    <row r="135" spans="1:76" s="612" customFormat="1" ht="25.5" x14ac:dyDescent="0.2">
      <c r="A135" s="839"/>
      <c r="B135" s="713" t="s">
        <v>893</v>
      </c>
      <c r="C135" s="713" t="s">
        <v>1877</v>
      </c>
      <c r="D135" s="712">
        <v>0</v>
      </c>
      <c r="E135" s="712">
        <v>0</v>
      </c>
      <c r="F135" s="712">
        <v>0</v>
      </c>
      <c r="G135" s="712">
        <v>0</v>
      </c>
      <c r="H135" s="712">
        <v>0</v>
      </c>
      <c r="I135" s="712">
        <v>0</v>
      </c>
      <c r="J135" s="712">
        <v>0</v>
      </c>
      <c r="K135" s="712">
        <v>0</v>
      </c>
      <c r="L135" s="712">
        <v>0</v>
      </c>
      <c r="M135" s="712">
        <v>0</v>
      </c>
      <c r="N135" s="712">
        <v>0</v>
      </c>
      <c r="O135" s="712">
        <v>0</v>
      </c>
      <c r="P135" s="712">
        <v>0</v>
      </c>
      <c r="Q135" s="712">
        <v>0</v>
      </c>
      <c r="R135" s="712">
        <v>0</v>
      </c>
      <c r="S135" s="712">
        <v>0</v>
      </c>
      <c r="T135" s="712">
        <v>0</v>
      </c>
      <c r="U135" s="712">
        <v>0</v>
      </c>
      <c r="V135" s="712">
        <v>0</v>
      </c>
      <c r="W135" s="712">
        <v>0</v>
      </c>
      <c r="X135" s="712">
        <v>0</v>
      </c>
      <c r="Y135" s="712">
        <v>0</v>
      </c>
      <c r="Z135" s="712">
        <v>0</v>
      </c>
      <c r="AA135" s="712">
        <v>0</v>
      </c>
      <c r="AB135" s="712">
        <v>0</v>
      </c>
      <c r="AC135" s="712">
        <v>0</v>
      </c>
      <c r="AD135" s="712">
        <v>0</v>
      </c>
      <c r="AE135" s="712">
        <v>0</v>
      </c>
      <c r="AF135" s="712">
        <v>0</v>
      </c>
      <c r="AG135" s="712">
        <v>0</v>
      </c>
      <c r="AH135" s="712">
        <v>0</v>
      </c>
      <c r="AI135" s="712">
        <v>0</v>
      </c>
      <c r="AJ135" s="712">
        <v>0</v>
      </c>
      <c r="AK135" s="712">
        <v>0</v>
      </c>
      <c r="AL135" s="712">
        <v>0</v>
      </c>
      <c r="AM135" s="712">
        <v>0</v>
      </c>
      <c r="AN135" s="712">
        <v>0</v>
      </c>
      <c r="AO135" s="712">
        <v>0</v>
      </c>
      <c r="AP135" s="712">
        <v>0</v>
      </c>
      <c r="AQ135" s="712">
        <v>0</v>
      </c>
      <c r="AR135" s="712">
        <v>0</v>
      </c>
      <c r="AS135" s="712">
        <v>0</v>
      </c>
      <c r="AT135">
        <v>0</v>
      </c>
      <c r="AU135" s="609"/>
      <c r="AV135" s="609"/>
      <c r="AW135" s="615"/>
      <c r="AX135" s="615"/>
      <c r="AY135" s="615"/>
      <c r="AZ135" s="615"/>
      <c r="BA135" s="615"/>
      <c r="BB135" s="615"/>
      <c r="BC135" s="615"/>
      <c r="BD135" s="615"/>
      <c r="BE135" s="615"/>
      <c r="BF135" s="615"/>
      <c r="BG135" s="615"/>
      <c r="BH135" s="615"/>
      <c r="BI135" s="615"/>
      <c r="BJ135" s="615"/>
      <c r="BK135" s="615"/>
      <c r="BL135" s="615"/>
      <c r="BM135" s="615"/>
      <c r="BN135" s="615"/>
      <c r="BO135" s="615"/>
      <c r="BP135" s="615"/>
      <c r="BQ135" s="615"/>
      <c r="BR135" s="615"/>
      <c r="BS135" s="615"/>
      <c r="BT135" s="615"/>
      <c r="BU135" s="615"/>
      <c r="BV135" s="615"/>
      <c r="BW135" s="615"/>
      <c r="BX135" s="607"/>
    </row>
    <row r="136" spans="1:76" s="612" customFormat="1" ht="12.75" x14ac:dyDescent="0.2">
      <c r="A136" s="839"/>
      <c r="B136" s="713" t="s">
        <v>1744</v>
      </c>
      <c r="C136" s="713" t="s">
        <v>1818</v>
      </c>
      <c r="D136" s="712">
        <v>0</v>
      </c>
      <c r="E136" s="712">
        <v>0</v>
      </c>
      <c r="F136" s="712">
        <v>0</v>
      </c>
      <c r="G136" s="712">
        <v>0</v>
      </c>
      <c r="H136" s="712">
        <v>0</v>
      </c>
      <c r="I136" s="712">
        <v>0</v>
      </c>
      <c r="J136" s="712">
        <v>0</v>
      </c>
      <c r="K136" s="712">
        <v>0</v>
      </c>
      <c r="L136" s="712">
        <v>0</v>
      </c>
      <c r="M136" s="712">
        <v>131332</v>
      </c>
      <c r="N136" s="712">
        <v>0</v>
      </c>
      <c r="O136" s="712">
        <v>0</v>
      </c>
      <c r="P136" s="712">
        <v>0</v>
      </c>
      <c r="Q136" s="712">
        <v>0</v>
      </c>
      <c r="R136" s="712">
        <v>0</v>
      </c>
      <c r="S136" s="712">
        <v>0</v>
      </c>
      <c r="T136" s="712">
        <v>0</v>
      </c>
      <c r="U136" s="712">
        <v>0</v>
      </c>
      <c r="V136" s="712">
        <v>0</v>
      </c>
      <c r="W136" s="712">
        <v>0</v>
      </c>
      <c r="X136" s="712">
        <v>0</v>
      </c>
      <c r="Y136" s="712">
        <v>0</v>
      </c>
      <c r="Z136" s="712">
        <v>0</v>
      </c>
      <c r="AA136" s="712">
        <v>0</v>
      </c>
      <c r="AB136" s="712">
        <v>0</v>
      </c>
      <c r="AC136" s="712">
        <v>0</v>
      </c>
      <c r="AD136" s="712">
        <v>0</v>
      </c>
      <c r="AE136" s="712">
        <v>0</v>
      </c>
      <c r="AF136" s="712">
        <v>0</v>
      </c>
      <c r="AG136" s="712">
        <v>0</v>
      </c>
      <c r="AH136" s="712">
        <v>0</v>
      </c>
      <c r="AI136" s="712">
        <v>0</v>
      </c>
      <c r="AJ136" s="712">
        <v>0</v>
      </c>
      <c r="AK136" s="712">
        <v>0</v>
      </c>
      <c r="AL136" s="712">
        <v>0</v>
      </c>
      <c r="AM136" s="712">
        <v>0</v>
      </c>
      <c r="AN136" s="712">
        <v>0</v>
      </c>
      <c r="AO136" s="712">
        <v>0</v>
      </c>
      <c r="AP136" s="712">
        <v>0</v>
      </c>
      <c r="AQ136" s="712">
        <v>0</v>
      </c>
      <c r="AR136" s="712">
        <v>0</v>
      </c>
      <c r="AS136" s="712">
        <v>0</v>
      </c>
      <c r="AT136">
        <v>131332</v>
      </c>
      <c r="AU136" s="609"/>
      <c r="AV136" s="609"/>
      <c r="AW136" s="615"/>
      <c r="AX136" s="615"/>
      <c r="AY136" s="615"/>
      <c r="AZ136" s="615"/>
      <c r="BA136" s="615"/>
      <c r="BB136" s="615"/>
      <c r="BC136" s="615"/>
      <c r="BD136" s="615"/>
      <c r="BE136" s="615"/>
      <c r="BF136" s="615"/>
      <c r="BG136" s="615"/>
      <c r="BH136" s="615"/>
      <c r="BI136" s="615"/>
      <c r="BJ136" s="615"/>
      <c r="BK136" s="615"/>
      <c r="BL136" s="615"/>
      <c r="BM136" s="615"/>
      <c r="BN136" s="615"/>
      <c r="BO136" s="615"/>
      <c r="BP136" s="615"/>
      <c r="BQ136" s="615"/>
      <c r="BR136" s="615"/>
      <c r="BS136" s="615"/>
      <c r="BT136" s="615"/>
      <c r="BU136" s="615"/>
      <c r="BV136" s="615"/>
      <c r="BW136" s="615"/>
      <c r="BX136" s="607"/>
    </row>
    <row r="137" spans="1:76" s="612" customFormat="1" ht="25.5" x14ac:dyDescent="0.2">
      <c r="A137" s="839"/>
      <c r="B137" s="713" t="s">
        <v>1675</v>
      </c>
      <c r="C137" s="713" t="s">
        <v>1888</v>
      </c>
      <c r="D137" s="712">
        <v>0</v>
      </c>
      <c r="E137" s="712">
        <v>0</v>
      </c>
      <c r="F137" s="712">
        <v>0</v>
      </c>
      <c r="G137" s="712">
        <v>0</v>
      </c>
      <c r="H137" s="712">
        <v>0</v>
      </c>
      <c r="I137" s="712">
        <v>0</v>
      </c>
      <c r="J137" s="712">
        <v>0</v>
      </c>
      <c r="K137" s="712">
        <v>0</v>
      </c>
      <c r="L137" s="712">
        <v>0</v>
      </c>
      <c r="M137" s="712">
        <v>0</v>
      </c>
      <c r="N137" s="712">
        <v>0</v>
      </c>
      <c r="O137" s="712">
        <v>0</v>
      </c>
      <c r="P137" s="712">
        <v>0</v>
      </c>
      <c r="Q137" s="712">
        <v>0</v>
      </c>
      <c r="R137" s="712">
        <v>0</v>
      </c>
      <c r="S137" s="712">
        <v>0</v>
      </c>
      <c r="T137" s="712">
        <v>0</v>
      </c>
      <c r="U137" s="712">
        <v>0</v>
      </c>
      <c r="V137" s="712">
        <v>0</v>
      </c>
      <c r="W137" s="712">
        <v>0</v>
      </c>
      <c r="X137" s="712">
        <v>0</v>
      </c>
      <c r="Y137" s="712">
        <v>0</v>
      </c>
      <c r="Z137" s="712">
        <v>0</v>
      </c>
      <c r="AA137" s="712">
        <v>0</v>
      </c>
      <c r="AB137" s="712">
        <v>0</v>
      </c>
      <c r="AC137" s="712">
        <v>0</v>
      </c>
      <c r="AD137" s="712">
        <v>0</v>
      </c>
      <c r="AE137" s="712">
        <v>0</v>
      </c>
      <c r="AF137" s="712">
        <v>0</v>
      </c>
      <c r="AG137" s="712">
        <v>0</v>
      </c>
      <c r="AH137" s="712">
        <v>0</v>
      </c>
      <c r="AI137" s="712">
        <v>0</v>
      </c>
      <c r="AJ137" s="712">
        <v>0</v>
      </c>
      <c r="AK137" s="712">
        <v>0</v>
      </c>
      <c r="AL137" s="712">
        <v>0</v>
      </c>
      <c r="AM137" s="712">
        <v>0</v>
      </c>
      <c r="AN137" s="712">
        <v>0</v>
      </c>
      <c r="AO137" s="712">
        <v>0</v>
      </c>
      <c r="AP137" s="712">
        <v>0</v>
      </c>
      <c r="AQ137" s="712">
        <v>0</v>
      </c>
      <c r="AR137" s="712">
        <v>0</v>
      </c>
      <c r="AS137" s="712">
        <v>0</v>
      </c>
      <c r="AT137">
        <v>0</v>
      </c>
      <c r="AU137" s="609"/>
      <c r="AV137" s="609"/>
      <c r="AW137" s="615"/>
      <c r="AX137" s="615"/>
      <c r="AY137" s="615"/>
      <c r="AZ137" s="615"/>
      <c r="BA137" s="615"/>
      <c r="BB137" s="615"/>
      <c r="BC137" s="615"/>
      <c r="BD137" s="615"/>
      <c r="BE137" s="615"/>
      <c r="BF137" s="615"/>
      <c r="BG137" s="615"/>
      <c r="BH137" s="615"/>
      <c r="BI137" s="615"/>
      <c r="BJ137" s="615"/>
      <c r="BK137" s="615"/>
      <c r="BL137" s="615"/>
      <c r="BM137" s="615"/>
      <c r="BN137" s="615"/>
      <c r="BO137" s="615"/>
      <c r="BP137" s="615"/>
      <c r="BQ137" s="615"/>
      <c r="BR137" s="615"/>
      <c r="BS137" s="615"/>
      <c r="BT137" s="615"/>
      <c r="BU137" s="615"/>
      <c r="BV137" s="615"/>
      <c r="BW137" s="615"/>
      <c r="BX137" s="607"/>
    </row>
    <row r="138" spans="1:76" s="612" customFormat="1" ht="25.5" x14ac:dyDescent="0.2">
      <c r="A138" s="839"/>
      <c r="B138" s="713" t="s">
        <v>2951</v>
      </c>
      <c r="C138" s="713" t="s">
        <v>1879</v>
      </c>
      <c r="D138" s="712">
        <v>0</v>
      </c>
      <c r="E138" s="712">
        <v>0</v>
      </c>
      <c r="F138" s="712">
        <v>0</v>
      </c>
      <c r="G138" s="712">
        <v>0</v>
      </c>
      <c r="H138" s="712">
        <v>0</v>
      </c>
      <c r="I138" s="712">
        <v>0</v>
      </c>
      <c r="J138" s="712">
        <v>0</v>
      </c>
      <c r="K138" s="712">
        <v>0</v>
      </c>
      <c r="L138" s="712">
        <v>19332</v>
      </c>
      <c r="M138" s="712">
        <v>0</v>
      </c>
      <c r="N138" s="712">
        <v>0</v>
      </c>
      <c r="O138" s="712">
        <v>0</v>
      </c>
      <c r="P138" s="712">
        <v>0</v>
      </c>
      <c r="Q138" s="712">
        <v>0</v>
      </c>
      <c r="R138" s="712">
        <v>0</v>
      </c>
      <c r="S138" s="712">
        <v>0</v>
      </c>
      <c r="T138" s="712">
        <v>0</v>
      </c>
      <c r="U138" s="712">
        <v>0</v>
      </c>
      <c r="V138" s="712">
        <v>0</v>
      </c>
      <c r="W138" s="712">
        <v>0</v>
      </c>
      <c r="X138" s="712">
        <v>0</v>
      </c>
      <c r="Y138" s="712">
        <v>0</v>
      </c>
      <c r="Z138" s="712">
        <v>0</v>
      </c>
      <c r="AA138" s="712">
        <v>0</v>
      </c>
      <c r="AB138" s="712">
        <v>0</v>
      </c>
      <c r="AC138" s="712">
        <v>0</v>
      </c>
      <c r="AD138" s="712">
        <v>0</v>
      </c>
      <c r="AE138" s="712">
        <v>0</v>
      </c>
      <c r="AF138" s="712">
        <v>0</v>
      </c>
      <c r="AG138" s="712">
        <v>0</v>
      </c>
      <c r="AH138" s="712">
        <v>0</v>
      </c>
      <c r="AI138" s="712">
        <v>0</v>
      </c>
      <c r="AJ138" s="712">
        <v>0</v>
      </c>
      <c r="AK138" s="712">
        <v>0</v>
      </c>
      <c r="AL138" s="712">
        <v>0</v>
      </c>
      <c r="AM138" s="712">
        <v>0</v>
      </c>
      <c r="AN138" s="712">
        <v>0</v>
      </c>
      <c r="AO138" s="712">
        <v>0</v>
      </c>
      <c r="AP138" s="712">
        <v>0</v>
      </c>
      <c r="AQ138" s="712">
        <v>0</v>
      </c>
      <c r="AR138" s="712">
        <v>0</v>
      </c>
      <c r="AS138" s="712">
        <v>0</v>
      </c>
      <c r="AT138">
        <v>19332</v>
      </c>
      <c r="AU138" s="609"/>
      <c r="AV138" s="609"/>
      <c r="AW138" s="615"/>
      <c r="AX138" s="615"/>
      <c r="AY138" s="615"/>
      <c r="AZ138" s="615"/>
      <c r="BA138" s="615"/>
      <c r="BB138" s="615"/>
      <c r="BC138" s="615"/>
      <c r="BD138" s="615"/>
      <c r="BE138" s="615"/>
      <c r="BF138" s="615"/>
      <c r="BG138" s="615"/>
      <c r="BH138" s="615"/>
      <c r="BI138" s="615"/>
      <c r="BJ138" s="615"/>
      <c r="BK138" s="615"/>
      <c r="BL138" s="615"/>
      <c r="BM138" s="615"/>
      <c r="BN138" s="615"/>
      <c r="BO138" s="615"/>
      <c r="BP138" s="615"/>
      <c r="BQ138" s="615"/>
      <c r="BR138" s="615"/>
      <c r="BS138" s="615"/>
      <c r="BT138" s="615"/>
      <c r="BU138" s="615"/>
      <c r="BV138" s="615"/>
      <c r="BW138" s="615"/>
      <c r="BX138" s="607"/>
    </row>
    <row r="139" spans="1:76" s="612" customFormat="1" ht="25.5" x14ac:dyDescent="0.2">
      <c r="A139" s="839"/>
      <c r="B139" s="713" t="s">
        <v>1572</v>
      </c>
      <c r="C139" s="713" t="s">
        <v>1803</v>
      </c>
      <c r="D139" s="712">
        <v>0</v>
      </c>
      <c r="E139" s="712">
        <v>0</v>
      </c>
      <c r="F139" s="712">
        <v>0</v>
      </c>
      <c r="G139" s="712">
        <v>0</v>
      </c>
      <c r="H139" s="712">
        <v>0</v>
      </c>
      <c r="I139" s="712">
        <v>0</v>
      </c>
      <c r="J139" s="712">
        <v>0</v>
      </c>
      <c r="K139" s="712">
        <v>0</v>
      </c>
      <c r="L139" s="712">
        <v>870400</v>
      </c>
      <c r="M139" s="712">
        <v>61800</v>
      </c>
      <c r="N139" s="712">
        <v>0</v>
      </c>
      <c r="O139" s="712">
        <v>0</v>
      </c>
      <c r="P139" s="712">
        <v>0</v>
      </c>
      <c r="Q139" s="712">
        <v>0</v>
      </c>
      <c r="R139" s="712">
        <v>0</v>
      </c>
      <c r="S139" s="712">
        <v>0</v>
      </c>
      <c r="T139" s="712">
        <v>0</v>
      </c>
      <c r="U139" s="712">
        <v>0</v>
      </c>
      <c r="V139" s="712">
        <v>0</v>
      </c>
      <c r="W139" s="712">
        <v>0</v>
      </c>
      <c r="X139" s="712">
        <v>0</v>
      </c>
      <c r="Y139" s="712">
        <v>0</v>
      </c>
      <c r="Z139" s="712">
        <v>0</v>
      </c>
      <c r="AA139" s="712">
        <v>0</v>
      </c>
      <c r="AB139" s="712">
        <v>0</v>
      </c>
      <c r="AC139" s="712">
        <v>0</v>
      </c>
      <c r="AD139" s="712">
        <v>0</v>
      </c>
      <c r="AE139" s="712">
        <v>0</v>
      </c>
      <c r="AF139" s="712">
        <v>0</v>
      </c>
      <c r="AG139" s="712">
        <v>0</v>
      </c>
      <c r="AH139" s="712">
        <v>0</v>
      </c>
      <c r="AI139" s="712">
        <v>0</v>
      </c>
      <c r="AJ139" s="712">
        <v>0</v>
      </c>
      <c r="AK139" s="712">
        <v>0</v>
      </c>
      <c r="AL139" s="712">
        <v>0</v>
      </c>
      <c r="AM139" s="712">
        <v>0</v>
      </c>
      <c r="AN139" s="712">
        <v>0</v>
      </c>
      <c r="AO139" s="712">
        <v>0</v>
      </c>
      <c r="AP139" s="712">
        <v>0</v>
      </c>
      <c r="AQ139" s="712">
        <v>0</v>
      </c>
      <c r="AR139" s="712">
        <v>0</v>
      </c>
      <c r="AS139" s="712">
        <v>0</v>
      </c>
      <c r="AT139">
        <v>932200</v>
      </c>
      <c r="AU139" s="609"/>
      <c r="AV139" s="609"/>
      <c r="AW139" s="615"/>
      <c r="AX139" s="615"/>
      <c r="AY139" s="615"/>
      <c r="AZ139" s="615"/>
      <c r="BA139" s="615"/>
      <c r="BB139" s="615"/>
      <c r="BC139" s="615"/>
      <c r="BD139" s="615"/>
      <c r="BE139" s="615"/>
      <c r="BF139" s="615"/>
      <c r="BG139" s="615"/>
      <c r="BH139" s="615"/>
      <c r="BI139" s="615"/>
      <c r="BJ139" s="615"/>
      <c r="BK139" s="615"/>
      <c r="BL139" s="615"/>
      <c r="BM139" s="615"/>
      <c r="BN139" s="615"/>
      <c r="BO139" s="615"/>
      <c r="BP139" s="615"/>
      <c r="BQ139" s="615"/>
      <c r="BR139" s="615"/>
      <c r="BS139" s="615"/>
      <c r="BT139" s="615"/>
      <c r="BU139" s="615"/>
      <c r="BV139" s="615"/>
      <c r="BW139" s="615"/>
      <c r="BX139" s="607"/>
    </row>
    <row r="140" spans="1:76" s="612" customFormat="1" ht="25.5" x14ac:dyDescent="0.2">
      <c r="A140" s="839"/>
      <c r="B140" s="713" t="s">
        <v>3331</v>
      </c>
      <c r="C140" s="713" t="s">
        <v>3330</v>
      </c>
      <c r="D140" s="712">
        <v>0</v>
      </c>
      <c r="E140" s="712">
        <v>0</v>
      </c>
      <c r="F140" s="712">
        <v>0</v>
      </c>
      <c r="G140" s="712">
        <v>0</v>
      </c>
      <c r="H140" s="712">
        <v>0</v>
      </c>
      <c r="I140" s="712">
        <v>0</v>
      </c>
      <c r="J140" s="712">
        <v>0</v>
      </c>
      <c r="K140" s="712">
        <v>0</v>
      </c>
      <c r="L140" s="712">
        <v>0</v>
      </c>
      <c r="M140" s="712">
        <v>0</v>
      </c>
      <c r="N140" s="712">
        <v>0</v>
      </c>
      <c r="O140" s="712">
        <v>0</v>
      </c>
      <c r="P140" s="712">
        <v>0</v>
      </c>
      <c r="Q140" s="712">
        <v>0</v>
      </c>
      <c r="R140" s="712">
        <v>0</v>
      </c>
      <c r="S140" s="712">
        <v>0</v>
      </c>
      <c r="T140" s="712">
        <v>2817802</v>
      </c>
      <c r="U140" s="712">
        <v>2795650</v>
      </c>
      <c r="V140" s="712">
        <v>2764636</v>
      </c>
      <c r="W140" s="712">
        <v>2740712</v>
      </c>
      <c r="X140" s="712">
        <v>2713242</v>
      </c>
      <c r="Y140" s="712">
        <v>2683126</v>
      </c>
      <c r="Z140" s="712">
        <v>0</v>
      </c>
      <c r="AA140" s="712">
        <v>0</v>
      </c>
      <c r="AB140" s="712">
        <v>0</v>
      </c>
      <c r="AC140" s="712">
        <v>0</v>
      </c>
      <c r="AD140" s="712">
        <v>0</v>
      </c>
      <c r="AE140" s="712">
        <v>0</v>
      </c>
      <c r="AF140" s="712">
        <v>0</v>
      </c>
      <c r="AG140" s="712">
        <v>0</v>
      </c>
      <c r="AH140" s="712">
        <v>0</v>
      </c>
      <c r="AI140" s="712">
        <v>0</v>
      </c>
      <c r="AJ140" s="712">
        <v>0</v>
      </c>
      <c r="AK140" s="712">
        <v>0</v>
      </c>
      <c r="AL140" s="712">
        <v>0</v>
      </c>
      <c r="AM140" s="712">
        <v>0</v>
      </c>
      <c r="AN140" s="712">
        <v>0</v>
      </c>
      <c r="AO140" s="712">
        <v>0</v>
      </c>
      <c r="AP140" s="712">
        <v>0</v>
      </c>
      <c r="AQ140" s="712">
        <v>0</v>
      </c>
      <c r="AR140" s="712">
        <v>0</v>
      </c>
      <c r="AS140" s="712">
        <v>0</v>
      </c>
      <c r="AT140">
        <v>16515168</v>
      </c>
      <c r="AU140" s="609"/>
      <c r="AV140" s="609"/>
      <c r="AW140" s="615"/>
      <c r="AX140" s="615"/>
      <c r="AY140" s="615"/>
      <c r="AZ140" s="615"/>
      <c r="BA140" s="615"/>
      <c r="BB140" s="615"/>
      <c r="BC140" s="615"/>
      <c r="BD140" s="615"/>
      <c r="BE140" s="615"/>
      <c r="BF140" s="615"/>
      <c r="BG140" s="615"/>
      <c r="BH140" s="615"/>
      <c r="BI140" s="615"/>
      <c r="BJ140" s="615"/>
      <c r="BK140" s="615"/>
      <c r="BL140" s="615"/>
      <c r="BM140" s="615"/>
      <c r="BN140" s="615"/>
      <c r="BO140" s="615"/>
      <c r="BP140" s="615"/>
      <c r="BQ140" s="615"/>
      <c r="BR140" s="615"/>
      <c r="BS140" s="615"/>
      <c r="BT140" s="615"/>
      <c r="BU140" s="615"/>
      <c r="BV140" s="615"/>
      <c r="BW140" s="615"/>
      <c r="BX140" s="607"/>
    </row>
    <row r="141" spans="1:76" s="612" customFormat="1" ht="25.5" x14ac:dyDescent="0.2">
      <c r="A141" s="839"/>
      <c r="B141" s="713" t="s">
        <v>993</v>
      </c>
      <c r="C141" s="713" t="s">
        <v>1874</v>
      </c>
      <c r="D141" s="712">
        <v>0</v>
      </c>
      <c r="E141" s="712">
        <v>0</v>
      </c>
      <c r="F141" s="712">
        <v>0</v>
      </c>
      <c r="G141" s="712">
        <v>0</v>
      </c>
      <c r="H141" s="712">
        <v>0</v>
      </c>
      <c r="I141" s="712">
        <v>0</v>
      </c>
      <c r="J141" s="712">
        <v>0</v>
      </c>
      <c r="K141" s="712">
        <v>0</v>
      </c>
      <c r="L141" s="712">
        <v>0</v>
      </c>
      <c r="M141" s="712">
        <v>143754</v>
      </c>
      <c r="N141" s="712">
        <v>0</v>
      </c>
      <c r="O141" s="712">
        <v>0</v>
      </c>
      <c r="P141" s="712">
        <v>0</v>
      </c>
      <c r="Q141" s="712">
        <v>0</v>
      </c>
      <c r="R141" s="712">
        <v>0</v>
      </c>
      <c r="S141" s="712">
        <v>0</v>
      </c>
      <c r="T141" s="712">
        <v>0</v>
      </c>
      <c r="U141" s="712">
        <v>0</v>
      </c>
      <c r="V141" s="712">
        <v>0</v>
      </c>
      <c r="W141" s="712">
        <v>0</v>
      </c>
      <c r="X141" s="712">
        <v>0</v>
      </c>
      <c r="Y141" s="712">
        <v>0</v>
      </c>
      <c r="Z141" s="712">
        <v>0</v>
      </c>
      <c r="AA141" s="712">
        <v>0</v>
      </c>
      <c r="AB141" s="712">
        <v>0</v>
      </c>
      <c r="AC141" s="712">
        <v>0</v>
      </c>
      <c r="AD141" s="712">
        <v>0</v>
      </c>
      <c r="AE141" s="712">
        <v>0</v>
      </c>
      <c r="AF141" s="712">
        <v>0</v>
      </c>
      <c r="AG141" s="712">
        <v>0</v>
      </c>
      <c r="AH141" s="712">
        <v>0</v>
      </c>
      <c r="AI141" s="712">
        <v>0</v>
      </c>
      <c r="AJ141" s="712">
        <v>0</v>
      </c>
      <c r="AK141" s="712">
        <v>0</v>
      </c>
      <c r="AL141" s="712">
        <v>0</v>
      </c>
      <c r="AM141" s="712">
        <v>0</v>
      </c>
      <c r="AN141" s="712">
        <v>0</v>
      </c>
      <c r="AO141" s="712">
        <v>0</v>
      </c>
      <c r="AP141" s="712">
        <v>0</v>
      </c>
      <c r="AQ141" s="712">
        <v>0</v>
      </c>
      <c r="AR141" s="712">
        <v>0</v>
      </c>
      <c r="AS141" s="712">
        <v>0</v>
      </c>
      <c r="AT141">
        <v>143754</v>
      </c>
      <c r="AU141" s="609"/>
      <c r="AV141" s="609"/>
      <c r="AW141" s="615"/>
      <c r="AX141" s="615"/>
      <c r="AY141" s="615"/>
      <c r="AZ141" s="615"/>
      <c r="BA141" s="615"/>
      <c r="BB141" s="615"/>
      <c r="BC141" s="615"/>
      <c r="BD141" s="615"/>
      <c r="BE141" s="615"/>
      <c r="BF141" s="615"/>
      <c r="BG141" s="615"/>
      <c r="BH141" s="615"/>
      <c r="BI141" s="615"/>
      <c r="BJ141" s="615"/>
      <c r="BK141" s="615"/>
      <c r="BL141" s="615"/>
      <c r="BM141" s="615"/>
      <c r="BN141" s="615"/>
      <c r="BO141" s="615"/>
      <c r="BP141" s="615"/>
      <c r="BQ141" s="615"/>
      <c r="BR141" s="615"/>
      <c r="BS141" s="615"/>
      <c r="BT141" s="615"/>
      <c r="BU141" s="615"/>
      <c r="BV141" s="615"/>
      <c r="BW141" s="615"/>
      <c r="BX141" s="607"/>
    </row>
    <row r="142" spans="1:76" s="612" customFormat="1" ht="25.5" x14ac:dyDescent="0.2">
      <c r="A142" s="839"/>
      <c r="B142" s="713" t="s">
        <v>3427</v>
      </c>
      <c r="C142" s="713" t="s">
        <v>1822</v>
      </c>
      <c r="D142" s="712">
        <v>0</v>
      </c>
      <c r="E142" s="712">
        <v>0</v>
      </c>
      <c r="F142" s="712">
        <v>0</v>
      </c>
      <c r="G142" s="712">
        <v>0</v>
      </c>
      <c r="H142" s="712">
        <v>0</v>
      </c>
      <c r="I142" s="712">
        <v>0</v>
      </c>
      <c r="J142" s="712">
        <v>0</v>
      </c>
      <c r="K142" s="712">
        <v>0</v>
      </c>
      <c r="L142" s="712">
        <v>0</v>
      </c>
      <c r="M142" s="712">
        <v>0</v>
      </c>
      <c r="N142" s="712">
        <v>0</v>
      </c>
      <c r="O142" s="712">
        <v>0</v>
      </c>
      <c r="P142" s="712">
        <v>0</v>
      </c>
      <c r="Q142" s="712">
        <v>0</v>
      </c>
      <c r="R142" s="712">
        <v>0</v>
      </c>
      <c r="S142" s="712">
        <v>0</v>
      </c>
      <c r="T142" s="712">
        <v>0</v>
      </c>
      <c r="U142" s="712">
        <v>0</v>
      </c>
      <c r="V142" s="712">
        <v>0</v>
      </c>
      <c r="W142" s="712">
        <v>0</v>
      </c>
      <c r="X142" s="712">
        <v>0</v>
      </c>
      <c r="Y142" s="712">
        <v>0</v>
      </c>
      <c r="Z142" s="712">
        <v>0</v>
      </c>
      <c r="AA142" s="712">
        <v>0</v>
      </c>
      <c r="AB142" s="712">
        <v>0</v>
      </c>
      <c r="AC142" s="712">
        <v>0</v>
      </c>
      <c r="AD142" s="712">
        <v>0</v>
      </c>
      <c r="AE142" s="712">
        <v>0</v>
      </c>
      <c r="AF142" s="712">
        <v>0</v>
      </c>
      <c r="AG142" s="712">
        <v>0</v>
      </c>
      <c r="AH142" s="712">
        <v>0</v>
      </c>
      <c r="AI142" s="712">
        <v>0</v>
      </c>
      <c r="AJ142" s="712">
        <v>0</v>
      </c>
      <c r="AK142" s="712">
        <v>0</v>
      </c>
      <c r="AL142" s="712">
        <v>0</v>
      </c>
      <c r="AM142" s="712">
        <v>0</v>
      </c>
      <c r="AN142" s="712">
        <v>0</v>
      </c>
      <c r="AO142" s="712">
        <v>0</v>
      </c>
      <c r="AP142" s="712">
        <v>0</v>
      </c>
      <c r="AQ142" s="712">
        <v>0</v>
      </c>
      <c r="AR142" s="712">
        <v>0</v>
      </c>
      <c r="AS142" s="712">
        <v>0</v>
      </c>
      <c r="AT142">
        <v>0</v>
      </c>
      <c r="AU142" s="609"/>
      <c r="AV142" s="609"/>
      <c r="AW142" s="615"/>
      <c r="AX142" s="615"/>
      <c r="AY142" s="615"/>
      <c r="AZ142" s="615"/>
      <c r="BA142" s="615"/>
      <c r="BB142" s="615"/>
      <c r="BC142" s="615"/>
      <c r="BD142" s="615"/>
      <c r="BE142" s="615"/>
      <c r="BF142" s="615"/>
      <c r="BG142" s="615"/>
      <c r="BH142" s="615"/>
      <c r="BI142" s="615"/>
      <c r="BJ142" s="615"/>
      <c r="BK142" s="615"/>
      <c r="BL142" s="615"/>
      <c r="BM142" s="615"/>
      <c r="BN142" s="615"/>
      <c r="BO142" s="615"/>
      <c r="BP142" s="615"/>
      <c r="BQ142" s="615"/>
      <c r="BR142" s="615"/>
      <c r="BS142" s="615"/>
      <c r="BT142" s="615"/>
      <c r="BU142" s="615"/>
      <c r="BV142" s="615"/>
      <c r="BW142" s="615"/>
      <c r="BX142" s="607"/>
    </row>
    <row r="143" spans="1:76" s="612" customFormat="1" ht="12.75" x14ac:dyDescent="0.2">
      <c r="A143" s="839"/>
      <c r="B143" s="713" t="s">
        <v>1594</v>
      </c>
      <c r="C143" s="713" t="s">
        <v>1892</v>
      </c>
      <c r="D143" s="712">
        <v>0</v>
      </c>
      <c r="E143" s="712">
        <v>0</v>
      </c>
      <c r="F143" s="712">
        <v>0</v>
      </c>
      <c r="G143" s="712">
        <v>0</v>
      </c>
      <c r="H143" s="712">
        <v>0</v>
      </c>
      <c r="I143" s="712">
        <v>0</v>
      </c>
      <c r="J143" s="712">
        <v>0</v>
      </c>
      <c r="K143" s="712">
        <v>0</v>
      </c>
      <c r="L143" s="712">
        <v>0</v>
      </c>
      <c r="M143" s="712">
        <v>0</v>
      </c>
      <c r="N143" s="712">
        <v>0</v>
      </c>
      <c r="O143" s="712">
        <v>0</v>
      </c>
      <c r="P143" s="712">
        <v>0</v>
      </c>
      <c r="Q143" s="712">
        <v>0</v>
      </c>
      <c r="R143" s="712">
        <v>0</v>
      </c>
      <c r="S143" s="712">
        <v>0</v>
      </c>
      <c r="T143" s="712">
        <v>0</v>
      </c>
      <c r="U143" s="712">
        <v>0</v>
      </c>
      <c r="V143" s="712">
        <v>0</v>
      </c>
      <c r="W143" s="712">
        <v>0</v>
      </c>
      <c r="X143" s="712">
        <v>0</v>
      </c>
      <c r="Y143" s="712">
        <v>0</v>
      </c>
      <c r="Z143" s="712">
        <v>0</v>
      </c>
      <c r="AA143" s="712">
        <v>0</v>
      </c>
      <c r="AB143" s="712">
        <v>0</v>
      </c>
      <c r="AC143" s="712">
        <v>0</v>
      </c>
      <c r="AD143" s="712">
        <v>0</v>
      </c>
      <c r="AE143" s="712">
        <v>0</v>
      </c>
      <c r="AF143" s="712">
        <v>0</v>
      </c>
      <c r="AG143" s="712">
        <v>0</v>
      </c>
      <c r="AH143" s="712">
        <v>0</v>
      </c>
      <c r="AI143" s="712">
        <v>0</v>
      </c>
      <c r="AJ143" s="712">
        <v>0</v>
      </c>
      <c r="AK143" s="712">
        <v>0</v>
      </c>
      <c r="AL143" s="712">
        <v>0</v>
      </c>
      <c r="AM143" s="712">
        <v>0</v>
      </c>
      <c r="AN143" s="712">
        <v>0</v>
      </c>
      <c r="AO143" s="712">
        <v>0</v>
      </c>
      <c r="AP143" s="712">
        <v>0</v>
      </c>
      <c r="AQ143" s="712">
        <v>0</v>
      </c>
      <c r="AR143" s="712">
        <v>0</v>
      </c>
      <c r="AS143" s="712">
        <v>0</v>
      </c>
      <c r="AT143">
        <v>0</v>
      </c>
      <c r="AU143" s="609"/>
      <c r="AV143" s="609"/>
      <c r="AW143" s="615"/>
      <c r="AX143" s="615"/>
      <c r="AY143" s="615"/>
      <c r="AZ143" s="615"/>
      <c r="BA143" s="615"/>
      <c r="BB143" s="615"/>
      <c r="BC143" s="615"/>
      <c r="BD143" s="615"/>
      <c r="BE143" s="615"/>
      <c r="BF143" s="615"/>
      <c r="BG143" s="615"/>
      <c r="BH143" s="615"/>
      <c r="BI143" s="615"/>
      <c r="BJ143" s="615"/>
      <c r="BK143" s="615"/>
      <c r="BL143" s="615"/>
      <c r="BM143" s="615"/>
      <c r="BN143" s="615"/>
      <c r="BO143" s="615"/>
      <c r="BP143" s="615"/>
      <c r="BQ143" s="615"/>
      <c r="BR143" s="615"/>
      <c r="BS143" s="615"/>
      <c r="BT143" s="615"/>
      <c r="BU143" s="615"/>
      <c r="BV143" s="615"/>
      <c r="BW143" s="615"/>
      <c r="BX143" s="607"/>
    </row>
    <row r="144" spans="1:76" s="612" customFormat="1" ht="25.5" x14ac:dyDescent="0.2">
      <c r="A144" s="839"/>
      <c r="B144" s="713" t="s">
        <v>1610</v>
      </c>
      <c r="C144" s="713" t="s">
        <v>1804</v>
      </c>
      <c r="D144" s="712">
        <v>0</v>
      </c>
      <c r="E144" s="712">
        <v>0</v>
      </c>
      <c r="F144" s="712">
        <v>0</v>
      </c>
      <c r="G144" s="712">
        <v>0</v>
      </c>
      <c r="H144" s="712">
        <v>0</v>
      </c>
      <c r="I144" s="712">
        <v>0</v>
      </c>
      <c r="J144" s="712">
        <v>0</v>
      </c>
      <c r="K144" s="712">
        <v>0</v>
      </c>
      <c r="L144" s="712">
        <v>0</v>
      </c>
      <c r="M144" s="712">
        <v>0</v>
      </c>
      <c r="N144" s="712">
        <v>0</v>
      </c>
      <c r="O144" s="712">
        <v>0</v>
      </c>
      <c r="P144" s="712">
        <v>0</v>
      </c>
      <c r="Q144" s="712">
        <v>0</v>
      </c>
      <c r="R144" s="712">
        <v>0</v>
      </c>
      <c r="S144" s="712">
        <v>0</v>
      </c>
      <c r="T144" s="712">
        <v>0</v>
      </c>
      <c r="U144" s="712">
        <v>0</v>
      </c>
      <c r="V144" s="712">
        <v>0</v>
      </c>
      <c r="W144" s="712">
        <v>0</v>
      </c>
      <c r="X144" s="712">
        <v>0</v>
      </c>
      <c r="Y144" s="712">
        <v>0</v>
      </c>
      <c r="Z144" s="712">
        <v>0</v>
      </c>
      <c r="AA144" s="712">
        <v>0</v>
      </c>
      <c r="AB144" s="712">
        <v>0</v>
      </c>
      <c r="AC144" s="712">
        <v>0</v>
      </c>
      <c r="AD144" s="712">
        <v>0</v>
      </c>
      <c r="AE144" s="712">
        <v>0</v>
      </c>
      <c r="AF144" s="712">
        <v>0</v>
      </c>
      <c r="AG144" s="712">
        <v>0</v>
      </c>
      <c r="AH144" s="712">
        <v>0</v>
      </c>
      <c r="AI144" s="712">
        <v>0</v>
      </c>
      <c r="AJ144" s="712">
        <v>0</v>
      </c>
      <c r="AK144" s="712">
        <v>0</v>
      </c>
      <c r="AL144" s="712">
        <v>0</v>
      </c>
      <c r="AM144" s="712">
        <v>0</v>
      </c>
      <c r="AN144" s="712">
        <v>0</v>
      </c>
      <c r="AO144" s="712">
        <v>0</v>
      </c>
      <c r="AP144" s="712">
        <v>0</v>
      </c>
      <c r="AQ144" s="712">
        <v>0</v>
      </c>
      <c r="AR144" s="712">
        <v>0</v>
      </c>
      <c r="AS144" s="712">
        <v>0</v>
      </c>
      <c r="AT144">
        <v>0</v>
      </c>
      <c r="AU144" s="609"/>
      <c r="AV144" s="609"/>
      <c r="AW144" s="615"/>
      <c r="AX144" s="615"/>
      <c r="AY144" s="615"/>
      <c r="AZ144" s="615"/>
      <c r="BA144" s="615"/>
      <c r="BB144" s="615"/>
      <c r="BC144" s="615"/>
      <c r="BD144" s="615"/>
      <c r="BE144" s="615"/>
      <c r="BF144" s="615"/>
      <c r="BG144" s="615"/>
      <c r="BH144" s="615"/>
      <c r="BI144" s="615"/>
      <c r="BJ144" s="615"/>
      <c r="BK144" s="615"/>
      <c r="BL144" s="615"/>
      <c r="BM144" s="615"/>
      <c r="BN144" s="615"/>
      <c r="BO144" s="615"/>
      <c r="BP144" s="615"/>
      <c r="BQ144" s="615"/>
      <c r="BR144" s="615"/>
      <c r="BS144" s="615"/>
      <c r="BT144" s="615"/>
      <c r="BU144" s="615"/>
      <c r="BV144" s="615"/>
      <c r="BW144" s="615"/>
      <c r="BX144" s="607"/>
    </row>
    <row r="145" spans="1:76" s="612" customFormat="1" ht="25.5" x14ac:dyDescent="0.2">
      <c r="A145" s="839"/>
      <c r="B145" s="713" t="s">
        <v>1573</v>
      </c>
      <c r="C145" s="713" t="s">
        <v>1889</v>
      </c>
      <c r="D145" s="712">
        <v>0</v>
      </c>
      <c r="E145" s="712">
        <v>0</v>
      </c>
      <c r="F145" s="712">
        <v>0</v>
      </c>
      <c r="G145" s="712">
        <v>0</v>
      </c>
      <c r="H145" s="712">
        <v>0</v>
      </c>
      <c r="I145" s="712">
        <v>0</v>
      </c>
      <c r="J145" s="712">
        <v>0</v>
      </c>
      <c r="K145" s="712">
        <v>0</v>
      </c>
      <c r="L145" s="712">
        <v>0</v>
      </c>
      <c r="M145" s="712">
        <v>0</v>
      </c>
      <c r="N145" s="712">
        <v>0</v>
      </c>
      <c r="O145" s="712">
        <v>0</v>
      </c>
      <c r="P145" s="712">
        <v>0</v>
      </c>
      <c r="Q145" s="712">
        <v>0</v>
      </c>
      <c r="R145" s="712">
        <v>0</v>
      </c>
      <c r="S145" s="712">
        <v>0</v>
      </c>
      <c r="T145" s="712">
        <v>0</v>
      </c>
      <c r="U145" s="712">
        <v>0</v>
      </c>
      <c r="V145" s="712">
        <v>0</v>
      </c>
      <c r="W145" s="712">
        <v>0</v>
      </c>
      <c r="X145" s="712">
        <v>0</v>
      </c>
      <c r="Y145" s="712">
        <v>0</v>
      </c>
      <c r="Z145" s="712">
        <v>0</v>
      </c>
      <c r="AA145" s="712">
        <v>0</v>
      </c>
      <c r="AB145" s="712">
        <v>0</v>
      </c>
      <c r="AC145" s="712">
        <v>0</v>
      </c>
      <c r="AD145" s="712">
        <v>0</v>
      </c>
      <c r="AE145" s="712">
        <v>0</v>
      </c>
      <c r="AF145" s="712">
        <v>0</v>
      </c>
      <c r="AG145" s="712">
        <v>0</v>
      </c>
      <c r="AH145" s="712">
        <v>0</v>
      </c>
      <c r="AI145" s="712">
        <v>0</v>
      </c>
      <c r="AJ145" s="712">
        <v>0</v>
      </c>
      <c r="AK145" s="712">
        <v>0</v>
      </c>
      <c r="AL145" s="712">
        <v>0</v>
      </c>
      <c r="AM145" s="712">
        <v>0</v>
      </c>
      <c r="AN145" s="712">
        <v>0</v>
      </c>
      <c r="AO145" s="712">
        <v>0</v>
      </c>
      <c r="AP145" s="712">
        <v>0</v>
      </c>
      <c r="AQ145" s="712">
        <v>0</v>
      </c>
      <c r="AR145" s="712">
        <v>0</v>
      </c>
      <c r="AS145" s="712">
        <v>0</v>
      </c>
      <c r="AT145">
        <v>0</v>
      </c>
      <c r="AU145" s="609"/>
      <c r="AV145" s="609"/>
      <c r="AW145" s="615"/>
      <c r="AX145" s="615"/>
      <c r="AY145" s="615"/>
      <c r="AZ145" s="615"/>
      <c r="BA145" s="615"/>
      <c r="BB145" s="615"/>
      <c r="BC145" s="615"/>
      <c r="BD145" s="615"/>
      <c r="BE145" s="615"/>
      <c r="BF145" s="615"/>
      <c r="BG145" s="615"/>
      <c r="BH145" s="615"/>
      <c r="BI145" s="615"/>
      <c r="BJ145" s="615"/>
      <c r="BK145" s="615"/>
      <c r="BL145" s="615"/>
      <c r="BM145" s="615"/>
      <c r="BN145" s="615"/>
      <c r="BO145" s="615"/>
      <c r="BP145" s="615"/>
      <c r="BQ145" s="615"/>
      <c r="BR145" s="615"/>
      <c r="BS145" s="615"/>
      <c r="BT145" s="615"/>
      <c r="BU145" s="615"/>
      <c r="BV145" s="615"/>
      <c r="BW145" s="615"/>
      <c r="BX145" s="607"/>
    </row>
    <row r="146" spans="1:76" s="612" customFormat="1" ht="25.5" x14ac:dyDescent="0.2">
      <c r="A146" s="839"/>
      <c r="B146" s="713" t="s">
        <v>1706</v>
      </c>
      <c r="C146" s="713" t="s">
        <v>1864</v>
      </c>
      <c r="D146" s="712">
        <v>0</v>
      </c>
      <c r="E146" s="712">
        <v>0</v>
      </c>
      <c r="F146" s="712">
        <v>0</v>
      </c>
      <c r="G146" s="712">
        <v>0</v>
      </c>
      <c r="H146" s="712">
        <v>0</v>
      </c>
      <c r="I146" s="712">
        <v>0</v>
      </c>
      <c r="J146" s="712">
        <v>0</v>
      </c>
      <c r="K146" s="712">
        <v>0</v>
      </c>
      <c r="L146" s="712">
        <v>0</v>
      </c>
      <c r="M146" s="712">
        <v>96616</v>
      </c>
      <c r="N146" s="712">
        <v>0</v>
      </c>
      <c r="O146" s="712">
        <v>0</v>
      </c>
      <c r="P146" s="712">
        <v>0</v>
      </c>
      <c r="Q146" s="712">
        <v>0</v>
      </c>
      <c r="R146" s="712">
        <v>0</v>
      </c>
      <c r="S146" s="712">
        <v>0</v>
      </c>
      <c r="T146" s="712">
        <v>0</v>
      </c>
      <c r="U146" s="712">
        <v>0</v>
      </c>
      <c r="V146" s="712">
        <v>0</v>
      </c>
      <c r="W146" s="712">
        <v>0</v>
      </c>
      <c r="X146" s="712">
        <v>0</v>
      </c>
      <c r="Y146" s="712">
        <v>0</v>
      </c>
      <c r="Z146" s="712">
        <v>0</v>
      </c>
      <c r="AA146" s="712">
        <v>0</v>
      </c>
      <c r="AB146" s="712">
        <v>0</v>
      </c>
      <c r="AC146" s="712">
        <v>0</v>
      </c>
      <c r="AD146" s="712">
        <v>0</v>
      </c>
      <c r="AE146" s="712">
        <v>0</v>
      </c>
      <c r="AF146" s="712">
        <v>0</v>
      </c>
      <c r="AG146" s="712">
        <v>0</v>
      </c>
      <c r="AH146" s="712">
        <v>0</v>
      </c>
      <c r="AI146" s="712">
        <v>0</v>
      </c>
      <c r="AJ146" s="712">
        <v>0</v>
      </c>
      <c r="AK146" s="712">
        <v>0</v>
      </c>
      <c r="AL146" s="712">
        <v>0</v>
      </c>
      <c r="AM146" s="712">
        <v>0</v>
      </c>
      <c r="AN146" s="712">
        <v>0</v>
      </c>
      <c r="AO146" s="712">
        <v>0</v>
      </c>
      <c r="AP146" s="712">
        <v>0</v>
      </c>
      <c r="AQ146" s="712">
        <v>0</v>
      </c>
      <c r="AR146" s="712">
        <v>0</v>
      </c>
      <c r="AS146" s="712">
        <v>0</v>
      </c>
      <c r="AT146">
        <v>96616</v>
      </c>
      <c r="AU146" s="609"/>
      <c r="AV146" s="609"/>
      <c r="AW146" s="615"/>
      <c r="AX146" s="615"/>
      <c r="AY146" s="615"/>
      <c r="AZ146" s="615"/>
      <c r="BA146" s="615"/>
      <c r="BB146" s="615"/>
      <c r="BC146" s="615"/>
      <c r="BD146" s="615"/>
      <c r="BE146" s="615"/>
      <c r="BF146" s="615"/>
      <c r="BG146" s="615"/>
      <c r="BH146" s="615"/>
      <c r="BI146" s="615"/>
      <c r="BJ146" s="615"/>
      <c r="BK146" s="615"/>
      <c r="BL146" s="615"/>
      <c r="BM146" s="615"/>
      <c r="BN146" s="615"/>
      <c r="BO146" s="615"/>
      <c r="BP146" s="615"/>
      <c r="BQ146" s="615"/>
      <c r="BR146" s="615"/>
      <c r="BS146" s="615"/>
      <c r="BT146" s="615"/>
      <c r="BU146" s="615"/>
      <c r="BV146" s="615"/>
      <c r="BW146" s="615"/>
      <c r="BX146" s="607"/>
    </row>
    <row r="147" spans="1:76" s="612" customFormat="1" ht="25.5" x14ac:dyDescent="0.2">
      <c r="A147" s="839"/>
      <c r="B147" s="713" t="s">
        <v>1708</v>
      </c>
      <c r="C147" s="713" t="s">
        <v>1876</v>
      </c>
      <c r="D147" s="712">
        <v>0</v>
      </c>
      <c r="E147" s="712">
        <v>0</v>
      </c>
      <c r="F147" s="712">
        <v>0</v>
      </c>
      <c r="G147" s="712">
        <v>0</v>
      </c>
      <c r="H147" s="712">
        <v>0</v>
      </c>
      <c r="I147" s="712">
        <v>0</v>
      </c>
      <c r="J147" s="712">
        <v>0</v>
      </c>
      <c r="K147" s="712">
        <v>0</v>
      </c>
      <c r="L147" s="712">
        <v>0</v>
      </c>
      <c r="M147" s="712">
        <v>0</v>
      </c>
      <c r="N147" s="712">
        <v>0</v>
      </c>
      <c r="O147" s="712">
        <v>0</v>
      </c>
      <c r="P147" s="712">
        <v>0</v>
      </c>
      <c r="Q147" s="712">
        <v>0</v>
      </c>
      <c r="R147" s="712">
        <v>0</v>
      </c>
      <c r="S147" s="712">
        <v>0</v>
      </c>
      <c r="T147" s="712">
        <v>0</v>
      </c>
      <c r="U147" s="712">
        <v>0</v>
      </c>
      <c r="V147" s="712">
        <v>0</v>
      </c>
      <c r="W147" s="712">
        <v>0</v>
      </c>
      <c r="X147" s="712">
        <v>0</v>
      </c>
      <c r="Y147" s="712">
        <v>0</v>
      </c>
      <c r="Z147" s="712">
        <v>0</v>
      </c>
      <c r="AA147" s="712">
        <v>0</v>
      </c>
      <c r="AB147" s="712">
        <v>0</v>
      </c>
      <c r="AC147" s="712">
        <v>0</v>
      </c>
      <c r="AD147" s="712">
        <v>0</v>
      </c>
      <c r="AE147" s="712">
        <v>0</v>
      </c>
      <c r="AF147" s="712">
        <v>0</v>
      </c>
      <c r="AG147" s="712">
        <v>0</v>
      </c>
      <c r="AH147" s="712">
        <v>0</v>
      </c>
      <c r="AI147" s="712">
        <v>0</v>
      </c>
      <c r="AJ147" s="712">
        <v>0</v>
      </c>
      <c r="AK147" s="712">
        <v>0</v>
      </c>
      <c r="AL147" s="712">
        <v>0</v>
      </c>
      <c r="AM147" s="712">
        <v>0</v>
      </c>
      <c r="AN147" s="712">
        <v>0</v>
      </c>
      <c r="AO147" s="712">
        <v>0</v>
      </c>
      <c r="AP147" s="712">
        <v>0</v>
      </c>
      <c r="AQ147" s="712">
        <v>0</v>
      </c>
      <c r="AR147" s="712">
        <v>0</v>
      </c>
      <c r="AS147" s="712">
        <v>0</v>
      </c>
      <c r="AT147">
        <v>0</v>
      </c>
      <c r="AU147" s="609"/>
      <c r="AV147" s="609"/>
      <c r="AW147" s="615"/>
      <c r="AX147" s="615"/>
      <c r="AY147" s="615"/>
      <c r="AZ147" s="615"/>
      <c r="BA147" s="615"/>
      <c r="BB147" s="615"/>
      <c r="BC147" s="615"/>
      <c r="BD147" s="615"/>
      <c r="BE147" s="615"/>
      <c r="BF147" s="615"/>
      <c r="BG147" s="615"/>
      <c r="BH147" s="615"/>
      <c r="BI147" s="615"/>
      <c r="BJ147" s="615"/>
      <c r="BK147" s="615"/>
      <c r="BL147" s="615"/>
      <c r="BM147" s="615"/>
      <c r="BN147" s="615"/>
      <c r="BO147" s="615"/>
      <c r="BP147" s="615"/>
      <c r="BQ147" s="615"/>
      <c r="BR147" s="615"/>
      <c r="BS147" s="615"/>
      <c r="BT147" s="615"/>
      <c r="BU147" s="615"/>
      <c r="BV147" s="615"/>
      <c r="BW147" s="615"/>
      <c r="BX147" s="607"/>
    </row>
    <row r="148" spans="1:76" s="612" customFormat="1" ht="25.5" x14ac:dyDescent="0.2">
      <c r="A148" s="839"/>
      <c r="B148" s="713" t="s">
        <v>2294</v>
      </c>
      <c r="C148" s="713" t="s">
        <v>1832</v>
      </c>
      <c r="D148" s="712">
        <v>0</v>
      </c>
      <c r="E148" s="712">
        <v>0</v>
      </c>
      <c r="F148" s="712">
        <v>0</v>
      </c>
      <c r="G148" s="712">
        <v>0</v>
      </c>
      <c r="H148" s="712">
        <v>0</v>
      </c>
      <c r="I148" s="712">
        <v>0</v>
      </c>
      <c r="J148" s="712">
        <v>0</v>
      </c>
      <c r="K148" s="712">
        <v>0</v>
      </c>
      <c r="L148" s="712">
        <v>0</v>
      </c>
      <c r="M148" s="712">
        <v>93919</v>
      </c>
      <c r="N148" s="712">
        <v>0</v>
      </c>
      <c r="O148" s="712">
        <v>0</v>
      </c>
      <c r="P148" s="712">
        <v>0</v>
      </c>
      <c r="Q148" s="712">
        <v>0</v>
      </c>
      <c r="R148" s="712">
        <v>0</v>
      </c>
      <c r="S148" s="712">
        <v>0</v>
      </c>
      <c r="T148" s="712">
        <v>0</v>
      </c>
      <c r="U148" s="712">
        <v>0</v>
      </c>
      <c r="V148" s="712">
        <v>0</v>
      </c>
      <c r="W148" s="712">
        <v>0</v>
      </c>
      <c r="X148" s="712">
        <v>0</v>
      </c>
      <c r="Y148" s="712">
        <v>0</v>
      </c>
      <c r="Z148" s="712">
        <v>0</v>
      </c>
      <c r="AA148" s="712">
        <v>0</v>
      </c>
      <c r="AB148" s="712">
        <v>0</v>
      </c>
      <c r="AC148" s="712">
        <v>0</v>
      </c>
      <c r="AD148" s="712">
        <v>0</v>
      </c>
      <c r="AE148" s="712">
        <v>0</v>
      </c>
      <c r="AF148" s="712">
        <v>0</v>
      </c>
      <c r="AG148" s="712">
        <v>0</v>
      </c>
      <c r="AH148" s="712">
        <v>0</v>
      </c>
      <c r="AI148" s="712">
        <v>0</v>
      </c>
      <c r="AJ148" s="712">
        <v>0</v>
      </c>
      <c r="AK148" s="712">
        <v>0</v>
      </c>
      <c r="AL148" s="712">
        <v>0</v>
      </c>
      <c r="AM148" s="712">
        <v>0</v>
      </c>
      <c r="AN148" s="712">
        <v>0</v>
      </c>
      <c r="AO148" s="712">
        <v>0</v>
      </c>
      <c r="AP148" s="712">
        <v>0</v>
      </c>
      <c r="AQ148" s="712">
        <v>0</v>
      </c>
      <c r="AR148" s="712">
        <v>0</v>
      </c>
      <c r="AS148" s="712">
        <v>0</v>
      </c>
      <c r="AT148">
        <v>93919</v>
      </c>
      <c r="AU148" s="609"/>
      <c r="AV148" s="609"/>
      <c r="AW148" s="615"/>
      <c r="AX148" s="615"/>
      <c r="AY148" s="615"/>
      <c r="AZ148" s="615"/>
      <c r="BA148" s="615"/>
      <c r="BB148" s="615"/>
      <c r="BC148" s="615"/>
      <c r="BD148" s="615"/>
      <c r="BE148" s="615"/>
      <c r="BF148" s="615"/>
      <c r="BG148" s="615"/>
      <c r="BH148" s="615"/>
      <c r="BI148" s="615"/>
      <c r="BJ148" s="615"/>
      <c r="BK148" s="615"/>
      <c r="BL148" s="615"/>
      <c r="BM148" s="615"/>
      <c r="BN148" s="615"/>
      <c r="BO148" s="615"/>
      <c r="BP148" s="615"/>
      <c r="BQ148" s="615"/>
      <c r="BR148" s="615"/>
      <c r="BS148" s="615"/>
      <c r="BT148" s="615"/>
      <c r="BU148" s="615"/>
      <c r="BV148" s="615"/>
      <c r="BW148" s="615"/>
      <c r="BX148" s="607"/>
    </row>
    <row r="149" spans="1:76" s="612" customFormat="1" ht="25.5" x14ac:dyDescent="0.2">
      <c r="A149" s="839"/>
      <c r="B149" s="713" t="s">
        <v>881</v>
      </c>
      <c r="C149" s="713" t="s">
        <v>1828</v>
      </c>
      <c r="D149" s="712">
        <v>0</v>
      </c>
      <c r="E149" s="712">
        <v>0</v>
      </c>
      <c r="F149" s="712">
        <v>0</v>
      </c>
      <c r="G149" s="712">
        <v>0</v>
      </c>
      <c r="H149" s="712">
        <v>0</v>
      </c>
      <c r="I149" s="712">
        <v>0</v>
      </c>
      <c r="J149" s="712">
        <v>0</v>
      </c>
      <c r="K149" s="712">
        <v>0</v>
      </c>
      <c r="L149" s="712">
        <v>0</v>
      </c>
      <c r="M149" s="712">
        <v>127280</v>
      </c>
      <c r="N149" s="712">
        <v>0</v>
      </c>
      <c r="O149" s="712">
        <v>0</v>
      </c>
      <c r="P149" s="712">
        <v>0</v>
      </c>
      <c r="Q149" s="712">
        <v>0</v>
      </c>
      <c r="R149" s="712">
        <v>0</v>
      </c>
      <c r="S149" s="712">
        <v>0</v>
      </c>
      <c r="T149" s="712">
        <v>0</v>
      </c>
      <c r="U149" s="712">
        <v>0</v>
      </c>
      <c r="V149" s="712">
        <v>0</v>
      </c>
      <c r="W149" s="712">
        <v>0</v>
      </c>
      <c r="X149" s="712">
        <v>0</v>
      </c>
      <c r="Y149" s="712">
        <v>0</v>
      </c>
      <c r="Z149" s="712">
        <v>0</v>
      </c>
      <c r="AA149" s="712">
        <v>0</v>
      </c>
      <c r="AB149" s="712">
        <v>0</v>
      </c>
      <c r="AC149" s="712">
        <v>0</v>
      </c>
      <c r="AD149" s="712">
        <v>0</v>
      </c>
      <c r="AE149" s="712">
        <v>0</v>
      </c>
      <c r="AF149" s="712">
        <v>0</v>
      </c>
      <c r="AG149" s="712">
        <v>0</v>
      </c>
      <c r="AH149" s="712">
        <v>0</v>
      </c>
      <c r="AI149" s="712">
        <v>0</v>
      </c>
      <c r="AJ149" s="712">
        <v>0</v>
      </c>
      <c r="AK149" s="712">
        <v>0</v>
      </c>
      <c r="AL149" s="712">
        <v>0</v>
      </c>
      <c r="AM149" s="712">
        <v>0</v>
      </c>
      <c r="AN149" s="712">
        <v>0</v>
      </c>
      <c r="AO149" s="712">
        <v>0</v>
      </c>
      <c r="AP149" s="712">
        <v>0</v>
      </c>
      <c r="AQ149" s="712">
        <v>0</v>
      </c>
      <c r="AR149" s="712">
        <v>0</v>
      </c>
      <c r="AS149" s="712">
        <v>0</v>
      </c>
      <c r="AT149">
        <v>127280</v>
      </c>
      <c r="AU149" s="609"/>
      <c r="AV149" s="609"/>
      <c r="AW149" s="615"/>
      <c r="AX149" s="615"/>
      <c r="AY149" s="615"/>
      <c r="AZ149" s="615"/>
      <c r="BA149" s="615"/>
      <c r="BB149" s="615"/>
      <c r="BC149" s="615"/>
      <c r="BD149" s="615"/>
      <c r="BE149" s="615"/>
      <c r="BF149" s="615"/>
      <c r="BG149" s="615"/>
      <c r="BH149" s="615"/>
      <c r="BI149" s="615"/>
      <c r="BJ149" s="615"/>
      <c r="BK149" s="615"/>
      <c r="BL149" s="615"/>
      <c r="BM149" s="615"/>
      <c r="BN149" s="615"/>
      <c r="BO149" s="615"/>
      <c r="BP149" s="615"/>
      <c r="BQ149" s="615"/>
      <c r="BR149" s="615"/>
      <c r="BS149" s="615"/>
      <c r="BT149" s="615"/>
      <c r="BU149" s="615"/>
      <c r="BV149" s="615"/>
      <c r="BW149" s="615"/>
      <c r="BX149" s="607"/>
    </row>
    <row r="150" spans="1:76" s="612" customFormat="1" ht="12.75" x14ac:dyDescent="0.2">
      <c r="A150" s="839"/>
      <c r="B150" s="713" t="s">
        <v>1175</v>
      </c>
      <c r="C150" s="713" t="s">
        <v>1816</v>
      </c>
      <c r="D150" s="712">
        <v>0</v>
      </c>
      <c r="E150" s="712">
        <v>0</v>
      </c>
      <c r="F150" s="712">
        <v>0</v>
      </c>
      <c r="G150" s="712">
        <v>0</v>
      </c>
      <c r="H150" s="712">
        <v>0</v>
      </c>
      <c r="I150" s="712">
        <v>0</v>
      </c>
      <c r="J150" s="712">
        <v>0</v>
      </c>
      <c r="K150" s="712">
        <v>0</v>
      </c>
      <c r="L150" s="712">
        <v>0</v>
      </c>
      <c r="M150" s="712">
        <v>0</v>
      </c>
      <c r="N150" s="712">
        <v>0</v>
      </c>
      <c r="O150" s="712">
        <v>0</v>
      </c>
      <c r="P150" s="712">
        <v>0</v>
      </c>
      <c r="Q150" s="712">
        <v>0</v>
      </c>
      <c r="R150" s="712">
        <v>0</v>
      </c>
      <c r="S150" s="712">
        <v>0</v>
      </c>
      <c r="T150" s="712">
        <v>0</v>
      </c>
      <c r="U150" s="712">
        <v>0</v>
      </c>
      <c r="V150" s="712">
        <v>0</v>
      </c>
      <c r="W150" s="712">
        <v>0</v>
      </c>
      <c r="X150" s="712">
        <v>0</v>
      </c>
      <c r="Y150" s="712">
        <v>0</v>
      </c>
      <c r="Z150" s="712">
        <v>0</v>
      </c>
      <c r="AA150" s="712">
        <v>0</v>
      </c>
      <c r="AB150" s="712">
        <v>0</v>
      </c>
      <c r="AC150" s="712">
        <v>0</v>
      </c>
      <c r="AD150" s="712">
        <v>0</v>
      </c>
      <c r="AE150" s="712">
        <v>0</v>
      </c>
      <c r="AF150" s="712">
        <v>0</v>
      </c>
      <c r="AG150" s="712">
        <v>0</v>
      </c>
      <c r="AH150" s="712">
        <v>0</v>
      </c>
      <c r="AI150" s="712">
        <v>0</v>
      </c>
      <c r="AJ150" s="712">
        <v>0</v>
      </c>
      <c r="AK150" s="712">
        <v>0</v>
      </c>
      <c r="AL150" s="712">
        <v>0</v>
      </c>
      <c r="AM150" s="712">
        <v>0</v>
      </c>
      <c r="AN150" s="712">
        <v>0</v>
      </c>
      <c r="AO150" s="712">
        <v>0</v>
      </c>
      <c r="AP150" s="712">
        <v>0</v>
      </c>
      <c r="AQ150" s="712">
        <v>0</v>
      </c>
      <c r="AR150" s="712">
        <v>0</v>
      </c>
      <c r="AS150" s="712">
        <v>0</v>
      </c>
      <c r="AT150">
        <v>0</v>
      </c>
      <c r="AU150" s="609"/>
      <c r="AV150" s="609"/>
      <c r="AW150" s="615"/>
      <c r="AX150" s="615"/>
      <c r="AY150" s="615"/>
      <c r="AZ150" s="615"/>
      <c r="BA150" s="615"/>
      <c r="BB150" s="615"/>
      <c r="BC150" s="615"/>
      <c r="BD150" s="615"/>
      <c r="BE150" s="615"/>
      <c r="BF150" s="615"/>
      <c r="BG150" s="615"/>
      <c r="BH150" s="615"/>
      <c r="BI150" s="615"/>
      <c r="BJ150" s="615"/>
      <c r="BK150" s="615"/>
      <c r="BL150" s="615"/>
      <c r="BM150" s="615"/>
      <c r="BN150" s="615"/>
      <c r="BO150" s="615"/>
      <c r="BP150" s="615"/>
      <c r="BQ150" s="615"/>
      <c r="BR150" s="615"/>
      <c r="BS150" s="615"/>
      <c r="BT150" s="615"/>
      <c r="BU150" s="615"/>
      <c r="BV150" s="615"/>
      <c r="BW150" s="615"/>
      <c r="BX150" s="607"/>
    </row>
    <row r="151" spans="1:76" s="612" customFormat="1" ht="25.5" x14ac:dyDescent="0.2">
      <c r="A151" s="839"/>
      <c r="B151" s="713" t="s">
        <v>899</v>
      </c>
      <c r="C151" s="713" t="s">
        <v>1899</v>
      </c>
      <c r="D151" s="712">
        <v>0</v>
      </c>
      <c r="E151" s="712">
        <v>0</v>
      </c>
      <c r="F151" s="712">
        <v>0</v>
      </c>
      <c r="G151" s="712">
        <v>0</v>
      </c>
      <c r="H151" s="712">
        <v>0</v>
      </c>
      <c r="I151" s="712">
        <v>0</v>
      </c>
      <c r="J151" s="712">
        <v>0</v>
      </c>
      <c r="K151" s="712">
        <v>0</v>
      </c>
      <c r="L151" s="712">
        <v>131271</v>
      </c>
      <c r="M151" s="712">
        <v>0</v>
      </c>
      <c r="N151" s="712">
        <v>0</v>
      </c>
      <c r="O151" s="712">
        <v>0</v>
      </c>
      <c r="P151" s="712">
        <v>0</v>
      </c>
      <c r="Q151" s="712">
        <v>0</v>
      </c>
      <c r="R151" s="712">
        <v>0</v>
      </c>
      <c r="S151" s="712">
        <v>0</v>
      </c>
      <c r="T151" s="712">
        <v>0</v>
      </c>
      <c r="U151" s="712">
        <v>0</v>
      </c>
      <c r="V151" s="712">
        <v>0</v>
      </c>
      <c r="W151" s="712">
        <v>0</v>
      </c>
      <c r="X151" s="712">
        <v>0</v>
      </c>
      <c r="Y151" s="712">
        <v>0</v>
      </c>
      <c r="Z151" s="712">
        <v>0</v>
      </c>
      <c r="AA151" s="712">
        <v>0</v>
      </c>
      <c r="AB151" s="712">
        <v>0</v>
      </c>
      <c r="AC151" s="712">
        <v>0</v>
      </c>
      <c r="AD151" s="712">
        <v>0</v>
      </c>
      <c r="AE151" s="712">
        <v>0</v>
      </c>
      <c r="AF151" s="712">
        <v>0</v>
      </c>
      <c r="AG151" s="712">
        <v>0</v>
      </c>
      <c r="AH151" s="712">
        <v>0</v>
      </c>
      <c r="AI151" s="712">
        <v>0</v>
      </c>
      <c r="AJ151" s="712">
        <v>0</v>
      </c>
      <c r="AK151" s="712">
        <v>0</v>
      </c>
      <c r="AL151" s="712">
        <v>0</v>
      </c>
      <c r="AM151" s="712">
        <v>0</v>
      </c>
      <c r="AN151" s="712">
        <v>0</v>
      </c>
      <c r="AO151" s="712">
        <v>0</v>
      </c>
      <c r="AP151" s="712">
        <v>0</v>
      </c>
      <c r="AQ151" s="712">
        <v>0</v>
      </c>
      <c r="AR151" s="712">
        <v>0</v>
      </c>
      <c r="AS151" s="712">
        <v>0</v>
      </c>
      <c r="AT151">
        <v>131271</v>
      </c>
      <c r="AU151" s="609"/>
      <c r="AV151" s="609"/>
      <c r="AW151" s="615"/>
      <c r="AX151" s="615"/>
      <c r="AY151" s="615"/>
      <c r="AZ151" s="615"/>
      <c r="BA151" s="615"/>
      <c r="BB151" s="615"/>
      <c r="BC151" s="615"/>
      <c r="BD151" s="615"/>
      <c r="BE151" s="615"/>
      <c r="BF151" s="615"/>
      <c r="BG151" s="615"/>
      <c r="BH151" s="615"/>
      <c r="BI151" s="615"/>
      <c r="BJ151" s="615"/>
      <c r="BK151" s="615"/>
      <c r="BL151" s="615"/>
      <c r="BM151" s="615"/>
      <c r="BN151" s="615"/>
      <c r="BO151" s="615"/>
      <c r="BP151" s="615"/>
      <c r="BQ151" s="615"/>
      <c r="BR151" s="615"/>
      <c r="BS151" s="615"/>
      <c r="BT151" s="615"/>
      <c r="BU151" s="615"/>
      <c r="BV151" s="615"/>
      <c r="BW151" s="615"/>
      <c r="BX151" s="607"/>
    </row>
    <row r="152" spans="1:76" s="612" customFormat="1" ht="25.5" x14ac:dyDescent="0.2">
      <c r="A152" s="839"/>
      <c r="B152" s="713" t="s">
        <v>2532</v>
      </c>
      <c r="C152" s="713" t="s">
        <v>1847</v>
      </c>
      <c r="D152" s="712">
        <v>0</v>
      </c>
      <c r="E152" s="712">
        <v>0</v>
      </c>
      <c r="F152" s="712">
        <v>0</v>
      </c>
      <c r="G152" s="712">
        <v>0</v>
      </c>
      <c r="H152" s="712">
        <v>0</v>
      </c>
      <c r="I152" s="712">
        <v>0</v>
      </c>
      <c r="J152" s="712">
        <v>0</v>
      </c>
      <c r="K152" s="712">
        <v>2141848</v>
      </c>
      <c r="L152" s="712">
        <v>158208</v>
      </c>
      <c r="M152" s="712">
        <v>0</v>
      </c>
      <c r="N152" s="712">
        <v>0</v>
      </c>
      <c r="O152" s="712">
        <v>0</v>
      </c>
      <c r="P152" s="712">
        <v>0</v>
      </c>
      <c r="Q152" s="712">
        <v>0</v>
      </c>
      <c r="R152" s="712">
        <v>0</v>
      </c>
      <c r="S152" s="712">
        <v>0</v>
      </c>
      <c r="T152" s="712">
        <v>0</v>
      </c>
      <c r="U152" s="712">
        <v>0</v>
      </c>
      <c r="V152" s="712">
        <v>0</v>
      </c>
      <c r="W152" s="712">
        <v>0</v>
      </c>
      <c r="X152" s="712">
        <v>0</v>
      </c>
      <c r="Y152" s="712">
        <v>0</v>
      </c>
      <c r="Z152" s="712">
        <v>0</v>
      </c>
      <c r="AA152" s="712">
        <v>0</v>
      </c>
      <c r="AB152" s="712">
        <v>0</v>
      </c>
      <c r="AC152" s="712">
        <v>0</v>
      </c>
      <c r="AD152" s="712">
        <v>0</v>
      </c>
      <c r="AE152" s="712">
        <v>0</v>
      </c>
      <c r="AF152" s="712">
        <v>0</v>
      </c>
      <c r="AG152" s="712">
        <v>0</v>
      </c>
      <c r="AH152" s="712">
        <v>0</v>
      </c>
      <c r="AI152" s="712">
        <v>0</v>
      </c>
      <c r="AJ152" s="712">
        <v>0</v>
      </c>
      <c r="AK152" s="712">
        <v>0</v>
      </c>
      <c r="AL152" s="712">
        <v>0</v>
      </c>
      <c r="AM152" s="712">
        <v>0</v>
      </c>
      <c r="AN152" s="712">
        <v>0</v>
      </c>
      <c r="AO152" s="712">
        <v>0</v>
      </c>
      <c r="AP152" s="712">
        <v>0</v>
      </c>
      <c r="AQ152" s="712">
        <v>0</v>
      </c>
      <c r="AR152" s="712">
        <v>0</v>
      </c>
      <c r="AS152" s="712">
        <v>0</v>
      </c>
      <c r="AT152">
        <v>2300056</v>
      </c>
      <c r="AU152" s="609"/>
      <c r="AV152" s="609"/>
      <c r="AW152" s="615"/>
      <c r="AX152" s="615"/>
      <c r="AY152" s="615"/>
      <c r="AZ152" s="615"/>
      <c r="BA152" s="615"/>
      <c r="BB152" s="615"/>
      <c r="BC152" s="615"/>
      <c r="BD152" s="615"/>
      <c r="BE152" s="615"/>
      <c r="BF152" s="615"/>
      <c r="BG152" s="615"/>
      <c r="BH152" s="615"/>
      <c r="BI152" s="615"/>
      <c r="BJ152" s="615"/>
      <c r="BK152" s="615"/>
      <c r="BL152" s="615"/>
      <c r="BM152" s="615"/>
      <c r="BN152" s="615"/>
      <c r="BO152" s="615"/>
      <c r="BP152" s="615"/>
      <c r="BQ152" s="615"/>
      <c r="BR152" s="615"/>
      <c r="BS152" s="615"/>
      <c r="BT152" s="615"/>
      <c r="BU152" s="615"/>
      <c r="BV152" s="615"/>
      <c r="BW152" s="615"/>
      <c r="BX152" s="607"/>
    </row>
    <row r="153" spans="1:76" s="612" customFormat="1" ht="25.5" x14ac:dyDescent="0.2">
      <c r="A153" s="838" t="s">
        <v>4461</v>
      </c>
      <c r="B153" s="713" t="s">
        <v>4279</v>
      </c>
      <c r="C153" s="713" t="s">
        <v>4278</v>
      </c>
      <c r="D153" s="712">
        <v>0</v>
      </c>
      <c r="E153" s="712">
        <v>0</v>
      </c>
      <c r="F153" s="712">
        <v>0</v>
      </c>
      <c r="G153" s="712">
        <v>0</v>
      </c>
      <c r="H153" s="712">
        <v>0</v>
      </c>
      <c r="I153" s="712">
        <v>0</v>
      </c>
      <c r="J153" s="712">
        <v>0</v>
      </c>
      <c r="K153" s="712">
        <v>0</v>
      </c>
      <c r="L153" s="712">
        <v>0</v>
      </c>
      <c r="M153" s="712">
        <v>0</v>
      </c>
      <c r="N153" s="712">
        <v>0</v>
      </c>
      <c r="O153" s="712">
        <v>0</v>
      </c>
      <c r="P153" s="712">
        <v>0</v>
      </c>
      <c r="Q153" s="712">
        <v>0</v>
      </c>
      <c r="R153" s="712">
        <v>37663587</v>
      </c>
      <c r="S153" s="712">
        <v>37663587</v>
      </c>
      <c r="T153" s="712">
        <v>37663586</v>
      </c>
      <c r="U153" s="712">
        <v>280000000</v>
      </c>
      <c r="V153" s="712">
        <v>0</v>
      </c>
      <c r="W153" s="712">
        <v>0</v>
      </c>
      <c r="X153" s="712">
        <v>0</v>
      </c>
      <c r="Y153" s="712">
        <v>0</v>
      </c>
      <c r="Z153" s="712">
        <v>0</v>
      </c>
      <c r="AA153" s="712">
        <v>0</v>
      </c>
      <c r="AB153" s="712">
        <v>0</v>
      </c>
      <c r="AC153" s="712">
        <v>0</v>
      </c>
      <c r="AD153" s="712">
        <v>0</v>
      </c>
      <c r="AE153" s="712">
        <v>0</v>
      </c>
      <c r="AF153" s="712">
        <v>0</v>
      </c>
      <c r="AG153" s="712">
        <v>0</v>
      </c>
      <c r="AH153" s="712">
        <v>0</v>
      </c>
      <c r="AI153" s="712">
        <v>0</v>
      </c>
      <c r="AJ153" s="712">
        <v>0</v>
      </c>
      <c r="AK153" s="712">
        <v>0</v>
      </c>
      <c r="AL153" s="712">
        <v>0</v>
      </c>
      <c r="AM153" s="712">
        <v>0</v>
      </c>
      <c r="AN153" s="712">
        <v>0</v>
      </c>
      <c r="AO153" s="712">
        <v>0</v>
      </c>
      <c r="AP153" s="712">
        <v>0</v>
      </c>
      <c r="AQ153" s="712">
        <v>0</v>
      </c>
      <c r="AR153" s="712">
        <v>0</v>
      </c>
      <c r="AS153" s="712">
        <v>0</v>
      </c>
      <c r="AT153">
        <v>392990760</v>
      </c>
      <c r="AU153" s="616"/>
      <c r="AV153" s="616"/>
      <c r="AW153" s="616"/>
      <c r="AX153" s="616"/>
      <c r="AY153" s="616"/>
      <c r="AZ153" s="616"/>
      <c r="BA153" s="616"/>
      <c r="BB153" s="616"/>
      <c r="BC153" s="616"/>
      <c r="BD153" s="616"/>
      <c r="BE153" s="616"/>
      <c r="BF153" s="616"/>
      <c r="BG153" s="616"/>
      <c r="BH153" s="616"/>
      <c r="BI153" s="616"/>
      <c r="BJ153" s="616"/>
      <c r="BK153" s="616"/>
      <c r="BL153" s="616"/>
      <c r="BM153" s="616"/>
      <c r="BN153" s="616"/>
      <c r="BO153" s="616"/>
      <c r="BP153" s="616"/>
      <c r="BQ153" s="616"/>
      <c r="BR153" s="616"/>
      <c r="BS153" s="616"/>
      <c r="BT153" s="616"/>
      <c r="BU153" s="616"/>
      <c r="BV153" s="616"/>
      <c r="BW153" s="616"/>
      <c r="BX153" s="616"/>
    </row>
    <row r="154" spans="1:76" s="612" customFormat="1" ht="25.5" x14ac:dyDescent="0.2">
      <c r="A154" s="839"/>
      <c r="B154" s="713" t="s">
        <v>2955</v>
      </c>
      <c r="C154" s="713" t="s">
        <v>1977</v>
      </c>
      <c r="D154" s="712">
        <v>0</v>
      </c>
      <c r="E154" s="712">
        <v>0</v>
      </c>
      <c r="F154" s="712">
        <v>0</v>
      </c>
      <c r="G154" s="712">
        <v>0</v>
      </c>
      <c r="H154" s="712">
        <v>0</v>
      </c>
      <c r="I154" s="712">
        <v>0</v>
      </c>
      <c r="J154" s="712">
        <v>0</v>
      </c>
      <c r="K154" s="712">
        <v>0</v>
      </c>
      <c r="L154" s="712">
        <v>0</v>
      </c>
      <c r="M154" s="712">
        <v>0</v>
      </c>
      <c r="N154" s="712">
        <v>0</v>
      </c>
      <c r="O154" s="712">
        <v>0</v>
      </c>
      <c r="P154" s="712">
        <v>0</v>
      </c>
      <c r="Q154" s="712">
        <v>0</v>
      </c>
      <c r="R154" s="712">
        <v>0</v>
      </c>
      <c r="S154" s="712">
        <v>0</v>
      </c>
      <c r="T154" s="712">
        <v>0</v>
      </c>
      <c r="U154" s="712">
        <v>0</v>
      </c>
      <c r="V154" s="712">
        <v>0</v>
      </c>
      <c r="W154" s="712">
        <v>0</v>
      </c>
      <c r="X154" s="712">
        <v>0</v>
      </c>
      <c r="Y154" s="712">
        <v>0</v>
      </c>
      <c r="Z154" s="712">
        <v>0</v>
      </c>
      <c r="AA154" s="712">
        <v>0</v>
      </c>
      <c r="AB154" s="712">
        <v>0</v>
      </c>
      <c r="AC154" s="712">
        <v>0</v>
      </c>
      <c r="AD154" s="712">
        <v>0</v>
      </c>
      <c r="AE154" s="712">
        <v>0</v>
      </c>
      <c r="AF154" s="712">
        <v>0</v>
      </c>
      <c r="AG154" s="712">
        <v>0</v>
      </c>
      <c r="AH154" s="712">
        <v>0</v>
      </c>
      <c r="AI154" s="712">
        <v>0</v>
      </c>
      <c r="AJ154" s="712">
        <v>0</v>
      </c>
      <c r="AK154" s="712">
        <v>0</v>
      </c>
      <c r="AL154" s="712">
        <v>0</v>
      </c>
      <c r="AM154" s="712">
        <v>0</v>
      </c>
      <c r="AN154" s="712">
        <v>0</v>
      </c>
      <c r="AO154" s="712">
        <v>0</v>
      </c>
      <c r="AP154" s="712">
        <v>0</v>
      </c>
      <c r="AQ154" s="712">
        <v>0</v>
      </c>
      <c r="AR154" s="712">
        <v>0</v>
      </c>
      <c r="AS154" s="712">
        <v>0</v>
      </c>
      <c r="AT154">
        <v>0</v>
      </c>
      <c r="AU154" s="615"/>
      <c r="AV154" s="615"/>
      <c r="AW154" s="615"/>
      <c r="AX154" s="615"/>
      <c r="AY154" s="615"/>
      <c r="AZ154" s="615"/>
      <c r="BA154" s="615"/>
      <c r="BB154" s="615"/>
      <c r="BC154" s="615"/>
      <c r="BD154" s="615"/>
      <c r="BE154" s="615"/>
      <c r="BF154" s="615"/>
      <c r="BG154" s="615"/>
      <c r="BH154" s="615"/>
      <c r="BI154" s="615"/>
      <c r="BJ154" s="615"/>
      <c r="BK154" s="615"/>
      <c r="BL154" s="615"/>
      <c r="BM154" s="615"/>
      <c r="BN154" s="615"/>
      <c r="BO154" s="615"/>
      <c r="BP154" s="615"/>
      <c r="BQ154" s="615"/>
      <c r="BR154" s="615"/>
      <c r="BS154" s="615"/>
      <c r="BT154" s="615"/>
      <c r="BU154" s="615"/>
      <c r="BV154" s="615"/>
      <c r="BW154" s="615"/>
      <c r="BX154" s="607"/>
    </row>
    <row r="155" spans="1:76" s="612" customFormat="1" ht="25.5" x14ac:dyDescent="0.2">
      <c r="A155" s="839"/>
      <c r="B155" s="713" t="s">
        <v>1710</v>
      </c>
      <c r="C155" s="713" t="s">
        <v>1903</v>
      </c>
      <c r="D155" s="712">
        <v>0</v>
      </c>
      <c r="E155" s="712">
        <v>0</v>
      </c>
      <c r="F155" s="712">
        <v>0</v>
      </c>
      <c r="G155" s="712">
        <v>0</v>
      </c>
      <c r="H155" s="712">
        <v>0</v>
      </c>
      <c r="I155" s="712">
        <v>0</v>
      </c>
      <c r="J155" s="712">
        <v>0</v>
      </c>
      <c r="K155" s="712">
        <v>0</v>
      </c>
      <c r="L155" s="712">
        <v>0</v>
      </c>
      <c r="M155" s="712">
        <v>0</v>
      </c>
      <c r="N155" s="712">
        <v>0</v>
      </c>
      <c r="O155" s="712">
        <v>0</v>
      </c>
      <c r="P155" s="712">
        <v>0</v>
      </c>
      <c r="Q155" s="712">
        <v>0</v>
      </c>
      <c r="R155" s="712">
        <v>0</v>
      </c>
      <c r="S155" s="712">
        <v>0</v>
      </c>
      <c r="T155" s="712">
        <v>0</v>
      </c>
      <c r="U155" s="712">
        <v>0</v>
      </c>
      <c r="V155" s="712">
        <v>0</v>
      </c>
      <c r="W155" s="712">
        <v>0</v>
      </c>
      <c r="X155" s="712">
        <v>0</v>
      </c>
      <c r="Y155" s="712">
        <v>0</v>
      </c>
      <c r="Z155" s="712">
        <v>0</v>
      </c>
      <c r="AA155" s="712">
        <v>0</v>
      </c>
      <c r="AB155" s="712">
        <v>0</v>
      </c>
      <c r="AC155" s="712">
        <v>0</v>
      </c>
      <c r="AD155" s="712">
        <v>0</v>
      </c>
      <c r="AE155" s="712">
        <v>0</v>
      </c>
      <c r="AF155" s="712">
        <v>0</v>
      </c>
      <c r="AG155" s="712">
        <v>0</v>
      </c>
      <c r="AH155" s="712">
        <v>0</v>
      </c>
      <c r="AI155" s="712">
        <v>0</v>
      </c>
      <c r="AJ155" s="712">
        <v>0</v>
      </c>
      <c r="AK155" s="712">
        <v>0</v>
      </c>
      <c r="AL155" s="712">
        <v>0</v>
      </c>
      <c r="AM155" s="712">
        <v>0</v>
      </c>
      <c r="AN155" s="712">
        <v>0</v>
      </c>
      <c r="AO155" s="712">
        <v>0</v>
      </c>
      <c r="AP155" s="712">
        <v>0</v>
      </c>
      <c r="AQ155" s="712">
        <v>0</v>
      </c>
      <c r="AR155" s="712">
        <v>0</v>
      </c>
      <c r="AS155" s="712">
        <v>0</v>
      </c>
      <c r="AT155">
        <v>0</v>
      </c>
      <c r="AU155" s="615"/>
      <c r="AV155" s="615"/>
      <c r="AW155" s="615"/>
      <c r="AX155" s="615"/>
      <c r="AY155" s="615"/>
      <c r="AZ155" s="615"/>
      <c r="BA155" s="615"/>
      <c r="BB155" s="615"/>
      <c r="BC155" s="615"/>
      <c r="BD155" s="615"/>
      <c r="BE155" s="615"/>
      <c r="BF155" s="615"/>
      <c r="BG155" s="615"/>
      <c r="BH155" s="615"/>
      <c r="BI155" s="615"/>
      <c r="BJ155" s="615"/>
      <c r="BK155" s="615"/>
      <c r="BL155" s="615"/>
      <c r="BM155" s="615"/>
      <c r="BN155" s="615"/>
      <c r="BO155" s="615"/>
      <c r="BP155" s="615"/>
      <c r="BQ155" s="615"/>
      <c r="BR155" s="615"/>
      <c r="BS155" s="615"/>
      <c r="BT155" s="615"/>
      <c r="BU155" s="615"/>
      <c r="BV155" s="615"/>
      <c r="BW155" s="615"/>
      <c r="BX155" s="607"/>
    </row>
    <row r="156" spans="1:76" s="612" customFormat="1" ht="25.5" x14ac:dyDescent="0.2">
      <c r="A156" s="839"/>
      <c r="B156" s="713" t="s">
        <v>1713</v>
      </c>
      <c r="C156" s="713" t="s">
        <v>1950</v>
      </c>
      <c r="D156" s="712">
        <v>0</v>
      </c>
      <c r="E156" s="712">
        <v>0</v>
      </c>
      <c r="F156" s="712">
        <v>0</v>
      </c>
      <c r="G156" s="712">
        <v>0</v>
      </c>
      <c r="H156" s="712">
        <v>0</v>
      </c>
      <c r="I156" s="712">
        <v>0</v>
      </c>
      <c r="J156" s="712">
        <v>0</v>
      </c>
      <c r="K156" s="712">
        <v>0</v>
      </c>
      <c r="L156" s="712">
        <v>0</v>
      </c>
      <c r="M156" s="712">
        <v>0</v>
      </c>
      <c r="N156" s="712">
        <v>0</v>
      </c>
      <c r="O156" s="712">
        <v>0</v>
      </c>
      <c r="P156" s="712">
        <v>0</v>
      </c>
      <c r="Q156" s="712">
        <v>0</v>
      </c>
      <c r="R156" s="712">
        <v>0</v>
      </c>
      <c r="S156" s="712">
        <v>0</v>
      </c>
      <c r="T156" s="712">
        <v>0</v>
      </c>
      <c r="U156" s="712">
        <v>0</v>
      </c>
      <c r="V156" s="712">
        <v>0</v>
      </c>
      <c r="W156" s="712">
        <v>0</v>
      </c>
      <c r="X156" s="712">
        <v>0</v>
      </c>
      <c r="Y156" s="712">
        <v>0</v>
      </c>
      <c r="Z156" s="712">
        <v>0</v>
      </c>
      <c r="AA156" s="712">
        <v>0</v>
      </c>
      <c r="AB156" s="712">
        <v>0</v>
      </c>
      <c r="AC156" s="712">
        <v>0</v>
      </c>
      <c r="AD156" s="712">
        <v>0</v>
      </c>
      <c r="AE156" s="712">
        <v>0</v>
      </c>
      <c r="AF156" s="712">
        <v>0</v>
      </c>
      <c r="AG156" s="712">
        <v>0</v>
      </c>
      <c r="AH156" s="712">
        <v>0</v>
      </c>
      <c r="AI156" s="712">
        <v>0</v>
      </c>
      <c r="AJ156" s="712">
        <v>0</v>
      </c>
      <c r="AK156" s="712">
        <v>0</v>
      </c>
      <c r="AL156" s="712">
        <v>0</v>
      </c>
      <c r="AM156" s="712">
        <v>0</v>
      </c>
      <c r="AN156" s="712">
        <v>0</v>
      </c>
      <c r="AO156" s="712">
        <v>0</v>
      </c>
      <c r="AP156" s="712">
        <v>0</v>
      </c>
      <c r="AQ156" s="712">
        <v>0</v>
      </c>
      <c r="AR156" s="712">
        <v>0</v>
      </c>
      <c r="AS156" s="712">
        <v>0</v>
      </c>
      <c r="AT156">
        <v>0</v>
      </c>
      <c r="AU156" s="615"/>
      <c r="AV156" s="615"/>
      <c r="AW156" s="615"/>
      <c r="AX156" s="615"/>
      <c r="AY156" s="615"/>
      <c r="AZ156" s="615"/>
      <c r="BA156" s="615"/>
      <c r="BB156" s="615"/>
      <c r="BC156" s="615"/>
      <c r="BD156" s="615"/>
      <c r="BE156" s="615"/>
      <c r="BF156" s="615"/>
      <c r="BG156" s="615"/>
      <c r="BH156" s="615"/>
      <c r="BI156" s="615"/>
      <c r="BJ156" s="615"/>
      <c r="BK156" s="615"/>
      <c r="BL156" s="615"/>
      <c r="BM156" s="615"/>
      <c r="BN156" s="615"/>
      <c r="BO156" s="615"/>
      <c r="BP156" s="615"/>
      <c r="BQ156" s="615"/>
      <c r="BR156" s="615"/>
      <c r="BS156" s="615"/>
      <c r="BT156" s="615"/>
      <c r="BU156" s="615"/>
      <c r="BV156" s="615"/>
      <c r="BW156" s="615"/>
      <c r="BX156" s="607"/>
    </row>
    <row r="157" spans="1:76" s="612" customFormat="1" ht="25.5" x14ac:dyDescent="0.2">
      <c r="A157" s="839"/>
      <c r="B157" s="713" t="s">
        <v>998</v>
      </c>
      <c r="C157" s="713" t="s">
        <v>1966</v>
      </c>
      <c r="D157" s="712">
        <v>0</v>
      </c>
      <c r="E157" s="712">
        <v>0</v>
      </c>
      <c r="F157" s="712">
        <v>0</v>
      </c>
      <c r="G157" s="712">
        <v>0</v>
      </c>
      <c r="H157" s="712">
        <v>0</v>
      </c>
      <c r="I157" s="712">
        <v>0</v>
      </c>
      <c r="J157" s="712">
        <v>0</v>
      </c>
      <c r="K157" s="712">
        <v>0</v>
      </c>
      <c r="L157" s="712">
        <v>0</v>
      </c>
      <c r="M157" s="712">
        <v>0</v>
      </c>
      <c r="N157" s="712">
        <v>79683</v>
      </c>
      <c r="O157" s="712">
        <v>0</v>
      </c>
      <c r="P157" s="712">
        <v>0</v>
      </c>
      <c r="Q157" s="712">
        <v>0</v>
      </c>
      <c r="R157" s="712">
        <v>0</v>
      </c>
      <c r="S157" s="712">
        <v>0</v>
      </c>
      <c r="T157" s="712">
        <v>0</v>
      </c>
      <c r="U157" s="712">
        <v>0</v>
      </c>
      <c r="V157" s="712">
        <v>0</v>
      </c>
      <c r="W157" s="712">
        <v>0</v>
      </c>
      <c r="X157" s="712">
        <v>0</v>
      </c>
      <c r="Y157" s="712">
        <v>0</v>
      </c>
      <c r="Z157" s="712">
        <v>0</v>
      </c>
      <c r="AA157" s="712">
        <v>0</v>
      </c>
      <c r="AB157" s="712">
        <v>0</v>
      </c>
      <c r="AC157" s="712">
        <v>0</v>
      </c>
      <c r="AD157" s="712">
        <v>0</v>
      </c>
      <c r="AE157" s="712">
        <v>0</v>
      </c>
      <c r="AF157" s="712">
        <v>0</v>
      </c>
      <c r="AG157" s="712">
        <v>0</v>
      </c>
      <c r="AH157" s="712">
        <v>0</v>
      </c>
      <c r="AI157" s="712">
        <v>0</v>
      </c>
      <c r="AJ157" s="712">
        <v>0</v>
      </c>
      <c r="AK157" s="712">
        <v>0</v>
      </c>
      <c r="AL157" s="712">
        <v>0</v>
      </c>
      <c r="AM157" s="712">
        <v>0</v>
      </c>
      <c r="AN157" s="712">
        <v>0</v>
      </c>
      <c r="AO157" s="712">
        <v>0</v>
      </c>
      <c r="AP157" s="712">
        <v>0</v>
      </c>
      <c r="AQ157" s="712">
        <v>0</v>
      </c>
      <c r="AR157" s="712">
        <v>0</v>
      </c>
      <c r="AS157" s="712">
        <v>0</v>
      </c>
      <c r="AT157">
        <v>79648</v>
      </c>
      <c r="AU157" s="615"/>
      <c r="AV157" s="615"/>
      <c r="AW157" s="615"/>
      <c r="AX157" s="615"/>
      <c r="AY157" s="615"/>
      <c r="AZ157" s="615"/>
      <c r="BA157" s="615"/>
      <c r="BB157" s="615"/>
      <c r="BC157" s="615"/>
      <c r="BD157" s="615"/>
      <c r="BE157" s="615"/>
      <c r="BF157" s="615"/>
      <c r="BG157" s="615"/>
      <c r="BH157" s="615"/>
      <c r="BI157" s="615"/>
      <c r="BJ157" s="615"/>
      <c r="BK157" s="615"/>
      <c r="BL157" s="615"/>
      <c r="BM157" s="615"/>
      <c r="BN157" s="615"/>
      <c r="BO157" s="615"/>
      <c r="BP157" s="615"/>
      <c r="BQ157" s="615"/>
      <c r="BR157" s="615"/>
      <c r="BS157" s="615"/>
      <c r="BT157" s="615"/>
      <c r="BU157" s="615"/>
      <c r="BV157" s="615"/>
      <c r="BW157" s="615"/>
      <c r="BX157" s="607"/>
    </row>
    <row r="158" spans="1:76" s="612" customFormat="1" ht="25.5" x14ac:dyDescent="0.2">
      <c r="A158" s="839"/>
      <c r="B158" s="713" t="s">
        <v>1662</v>
      </c>
      <c r="C158" s="713" t="s">
        <v>1960</v>
      </c>
      <c r="D158" s="712">
        <v>0</v>
      </c>
      <c r="E158" s="712">
        <v>0</v>
      </c>
      <c r="F158" s="712">
        <v>0</v>
      </c>
      <c r="G158" s="712">
        <v>0</v>
      </c>
      <c r="H158" s="712">
        <v>0</v>
      </c>
      <c r="I158" s="712">
        <v>0</v>
      </c>
      <c r="J158" s="712">
        <v>0</v>
      </c>
      <c r="K158" s="712">
        <v>0</v>
      </c>
      <c r="L158" s="712">
        <v>0</v>
      </c>
      <c r="M158" s="712">
        <v>0</v>
      </c>
      <c r="N158" s="712">
        <v>0</v>
      </c>
      <c r="O158" s="712">
        <v>0</v>
      </c>
      <c r="P158" s="712">
        <v>1316035</v>
      </c>
      <c r="Q158" s="712">
        <v>0</v>
      </c>
      <c r="R158" s="712">
        <v>0</v>
      </c>
      <c r="S158" s="712">
        <v>0</v>
      </c>
      <c r="T158" s="712">
        <v>0</v>
      </c>
      <c r="U158" s="712">
        <v>0</v>
      </c>
      <c r="V158" s="712">
        <v>0</v>
      </c>
      <c r="W158" s="712">
        <v>0</v>
      </c>
      <c r="X158" s="712">
        <v>0</v>
      </c>
      <c r="Y158" s="712">
        <v>0</v>
      </c>
      <c r="Z158" s="712">
        <v>0</v>
      </c>
      <c r="AA158" s="712">
        <v>0</v>
      </c>
      <c r="AB158" s="712">
        <v>0</v>
      </c>
      <c r="AC158" s="712">
        <v>0</v>
      </c>
      <c r="AD158" s="712">
        <v>0</v>
      </c>
      <c r="AE158" s="712">
        <v>0</v>
      </c>
      <c r="AF158" s="712">
        <v>0</v>
      </c>
      <c r="AG158" s="712">
        <v>0</v>
      </c>
      <c r="AH158" s="712">
        <v>0</v>
      </c>
      <c r="AI158" s="712">
        <v>0</v>
      </c>
      <c r="AJ158" s="712">
        <v>0</v>
      </c>
      <c r="AK158" s="712">
        <v>0</v>
      </c>
      <c r="AL158" s="712">
        <v>0</v>
      </c>
      <c r="AM158" s="712">
        <v>0</v>
      </c>
      <c r="AN158" s="712">
        <v>0</v>
      </c>
      <c r="AO158" s="712">
        <v>0</v>
      </c>
      <c r="AP158" s="712">
        <v>0</v>
      </c>
      <c r="AQ158" s="712">
        <v>0</v>
      </c>
      <c r="AR158" s="712">
        <v>0</v>
      </c>
      <c r="AS158" s="712">
        <v>0</v>
      </c>
      <c r="AT158">
        <v>1316035</v>
      </c>
      <c r="AU158" s="615"/>
      <c r="AV158" s="615"/>
      <c r="AW158" s="615"/>
      <c r="AX158" s="615"/>
      <c r="AY158" s="615"/>
      <c r="AZ158" s="615"/>
      <c r="BA158" s="615"/>
      <c r="BB158" s="615"/>
      <c r="BC158" s="615"/>
      <c r="BD158" s="615"/>
      <c r="BE158" s="615"/>
      <c r="BF158" s="615"/>
      <c r="BG158" s="615"/>
      <c r="BH158" s="615"/>
      <c r="BI158" s="615"/>
      <c r="BJ158" s="615"/>
      <c r="BK158" s="615"/>
      <c r="BL158" s="615"/>
      <c r="BM158" s="615"/>
      <c r="BN158" s="615"/>
      <c r="BO158" s="615"/>
      <c r="BP158" s="615"/>
      <c r="BQ158" s="615"/>
      <c r="BR158" s="615"/>
      <c r="BS158" s="615"/>
      <c r="BT158" s="615"/>
      <c r="BU158" s="615"/>
      <c r="BV158" s="615"/>
      <c r="BW158" s="615"/>
      <c r="BX158" s="607"/>
    </row>
    <row r="159" spans="1:76" s="612" customFormat="1" ht="25.5" x14ac:dyDescent="0.2">
      <c r="A159" s="839"/>
      <c r="B159" s="713" t="s">
        <v>1668</v>
      </c>
      <c r="C159" s="713" t="s">
        <v>1978</v>
      </c>
      <c r="D159" s="712">
        <v>0</v>
      </c>
      <c r="E159" s="712">
        <v>0</v>
      </c>
      <c r="F159" s="712">
        <v>0</v>
      </c>
      <c r="G159" s="712">
        <v>0</v>
      </c>
      <c r="H159" s="712">
        <v>0</v>
      </c>
      <c r="I159" s="712">
        <v>0</v>
      </c>
      <c r="J159" s="712">
        <v>0</v>
      </c>
      <c r="K159" s="712">
        <v>0</v>
      </c>
      <c r="L159" s="712">
        <v>0</v>
      </c>
      <c r="M159" s="712">
        <v>0</v>
      </c>
      <c r="N159" s="712">
        <v>0</v>
      </c>
      <c r="O159" s="712">
        <v>0</v>
      </c>
      <c r="P159" s="712">
        <v>0</v>
      </c>
      <c r="Q159" s="712">
        <v>0</v>
      </c>
      <c r="R159" s="712">
        <v>0</v>
      </c>
      <c r="S159" s="712">
        <v>0</v>
      </c>
      <c r="T159" s="712">
        <v>0</v>
      </c>
      <c r="U159" s="712">
        <v>0</v>
      </c>
      <c r="V159" s="712">
        <v>0</v>
      </c>
      <c r="W159" s="712">
        <v>0</v>
      </c>
      <c r="X159" s="712">
        <v>0</v>
      </c>
      <c r="Y159" s="712">
        <v>0</v>
      </c>
      <c r="Z159" s="712">
        <v>0</v>
      </c>
      <c r="AA159" s="712">
        <v>0</v>
      </c>
      <c r="AB159" s="712">
        <v>0</v>
      </c>
      <c r="AC159" s="712">
        <v>0</v>
      </c>
      <c r="AD159" s="712">
        <v>0</v>
      </c>
      <c r="AE159" s="712">
        <v>0</v>
      </c>
      <c r="AF159" s="712">
        <v>0</v>
      </c>
      <c r="AG159" s="712">
        <v>0</v>
      </c>
      <c r="AH159" s="712">
        <v>0</v>
      </c>
      <c r="AI159" s="712">
        <v>0</v>
      </c>
      <c r="AJ159" s="712">
        <v>0</v>
      </c>
      <c r="AK159" s="712">
        <v>0</v>
      </c>
      <c r="AL159" s="712">
        <v>0</v>
      </c>
      <c r="AM159" s="712">
        <v>0</v>
      </c>
      <c r="AN159" s="712">
        <v>0</v>
      </c>
      <c r="AO159" s="712">
        <v>0</v>
      </c>
      <c r="AP159" s="712">
        <v>0</v>
      </c>
      <c r="AQ159" s="712">
        <v>0</v>
      </c>
      <c r="AR159" s="712">
        <v>0</v>
      </c>
      <c r="AS159" s="712">
        <v>0</v>
      </c>
      <c r="AT159">
        <v>0</v>
      </c>
      <c r="AU159" s="615"/>
      <c r="AV159" s="615"/>
      <c r="AW159" s="615"/>
      <c r="AX159" s="615"/>
      <c r="AY159" s="615"/>
      <c r="AZ159" s="615"/>
      <c r="BA159" s="615"/>
      <c r="BB159" s="615"/>
      <c r="BC159" s="615"/>
      <c r="BD159" s="615"/>
      <c r="BE159" s="615"/>
      <c r="BF159" s="615"/>
      <c r="BG159" s="615"/>
      <c r="BH159" s="615"/>
      <c r="BI159" s="615"/>
      <c r="BJ159" s="615"/>
      <c r="BK159" s="615"/>
      <c r="BL159" s="615"/>
      <c r="BM159" s="615"/>
      <c r="BN159" s="615"/>
      <c r="BO159" s="615"/>
      <c r="BP159" s="615"/>
      <c r="BQ159" s="615"/>
      <c r="BR159" s="615"/>
      <c r="BS159" s="615"/>
      <c r="BT159" s="615"/>
      <c r="BU159" s="615"/>
      <c r="BV159" s="615"/>
      <c r="BW159" s="615"/>
      <c r="BX159" s="607"/>
    </row>
    <row r="160" spans="1:76" s="612" customFormat="1" ht="25.5" x14ac:dyDescent="0.2">
      <c r="A160" s="839"/>
      <c r="B160" s="713" t="s">
        <v>1659</v>
      </c>
      <c r="C160" s="713" t="s">
        <v>1945</v>
      </c>
      <c r="D160" s="712">
        <v>0</v>
      </c>
      <c r="E160" s="712">
        <v>0</v>
      </c>
      <c r="F160" s="712">
        <v>0</v>
      </c>
      <c r="G160" s="712">
        <v>0</v>
      </c>
      <c r="H160" s="712">
        <v>0</v>
      </c>
      <c r="I160" s="712">
        <v>0</v>
      </c>
      <c r="J160" s="712">
        <v>0</v>
      </c>
      <c r="K160" s="712">
        <v>0</v>
      </c>
      <c r="L160" s="712">
        <v>0</v>
      </c>
      <c r="M160" s="712">
        <v>0</v>
      </c>
      <c r="N160" s="712">
        <v>0</v>
      </c>
      <c r="O160" s="712">
        <v>0</v>
      </c>
      <c r="P160" s="712">
        <v>0</v>
      </c>
      <c r="Q160" s="712">
        <v>543898</v>
      </c>
      <c r="R160" s="712">
        <v>0</v>
      </c>
      <c r="S160" s="712">
        <v>0</v>
      </c>
      <c r="T160" s="712">
        <v>0</v>
      </c>
      <c r="U160" s="712">
        <v>0</v>
      </c>
      <c r="V160" s="712">
        <v>0</v>
      </c>
      <c r="W160" s="712">
        <v>0</v>
      </c>
      <c r="X160" s="712">
        <v>0</v>
      </c>
      <c r="Y160" s="712">
        <v>0</v>
      </c>
      <c r="Z160" s="712">
        <v>0</v>
      </c>
      <c r="AA160" s="712">
        <v>0</v>
      </c>
      <c r="AB160" s="712">
        <v>0</v>
      </c>
      <c r="AC160" s="712">
        <v>0</v>
      </c>
      <c r="AD160" s="712">
        <v>0</v>
      </c>
      <c r="AE160" s="712">
        <v>0</v>
      </c>
      <c r="AF160" s="712">
        <v>0</v>
      </c>
      <c r="AG160" s="712">
        <v>0</v>
      </c>
      <c r="AH160" s="712">
        <v>0</v>
      </c>
      <c r="AI160" s="712">
        <v>0</v>
      </c>
      <c r="AJ160" s="712">
        <v>0</v>
      </c>
      <c r="AK160" s="712">
        <v>0</v>
      </c>
      <c r="AL160" s="712">
        <v>0</v>
      </c>
      <c r="AM160" s="712">
        <v>0</v>
      </c>
      <c r="AN160" s="712">
        <v>0</v>
      </c>
      <c r="AO160" s="712">
        <v>0</v>
      </c>
      <c r="AP160" s="712">
        <v>0</v>
      </c>
      <c r="AQ160" s="712">
        <v>0</v>
      </c>
      <c r="AR160" s="712">
        <v>0</v>
      </c>
      <c r="AS160" s="712">
        <v>0</v>
      </c>
      <c r="AT160">
        <v>543693</v>
      </c>
      <c r="AU160" s="615"/>
      <c r="AV160" s="615"/>
      <c r="AW160" s="615"/>
      <c r="AX160" s="615"/>
      <c r="AY160" s="615"/>
      <c r="AZ160" s="615"/>
      <c r="BA160" s="615"/>
      <c r="BB160" s="615"/>
      <c r="BC160" s="615"/>
      <c r="BD160" s="615"/>
      <c r="BE160" s="615"/>
      <c r="BF160" s="615"/>
      <c r="BG160" s="615"/>
      <c r="BH160" s="615"/>
      <c r="BI160" s="615"/>
      <c r="BJ160" s="615"/>
      <c r="BK160" s="615"/>
      <c r="BL160" s="615"/>
      <c r="BM160" s="615"/>
      <c r="BN160" s="615"/>
      <c r="BO160" s="615"/>
      <c r="BP160" s="615"/>
      <c r="BQ160" s="615"/>
      <c r="BR160" s="615"/>
      <c r="BS160" s="615"/>
      <c r="BT160" s="615"/>
      <c r="BU160" s="615"/>
      <c r="BV160" s="615"/>
      <c r="BW160" s="615"/>
      <c r="BX160" s="607"/>
    </row>
    <row r="161" spans="1:76" s="612" customFormat="1" ht="25.5" x14ac:dyDescent="0.2">
      <c r="A161" s="839"/>
      <c r="B161" s="713" t="s">
        <v>1628</v>
      </c>
      <c r="C161" s="713" t="s">
        <v>1910</v>
      </c>
      <c r="D161" s="712">
        <v>0</v>
      </c>
      <c r="E161" s="712">
        <v>0</v>
      </c>
      <c r="F161" s="712">
        <v>0</v>
      </c>
      <c r="G161" s="712">
        <v>0</v>
      </c>
      <c r="H161" s="712">
        <v>0</v>
      </c>
      <c r="I161" s="712">
        <v>0</v>
      </c>
      <c r="J161" s="712">
        <v>0</v>
      </c>
      <c r="K161" s="712">
        <v>0</v>
      </c>
      <c r="L161" s="712">
        <v>0</v>
      </c>
      <c r="M161" s="712">
        <v>0</v>
      </c>
      <c r="N161" s="712">
        <v>0</v>
      </c>
      <c r="O161" s="712">
        <v>0</v>
      </c>
      <c r="P161" s="712">
        <v>0</v>
      </c>
      <c r="Q161" s="712">
        <v>0</v>
      </c>
      <c r="R161" s="712">
        <v>0</v>
      </c>
      <c r="S161" s="712">
        <v>0</v>
      </c>
      <c r="T161" s="712">
        <v>0</v>
      </c>
      <c r="U161" s="712">
        <v>0</v>
      </c>
      <c r="V161" s="712">
        <v>0</v>
      </c>
      <c r="W161" s="712">
        <v>0</v>
      </c>
      <c r="X161" s="712">
        <v>0</v>
      </c>
      <c r="Y161" s="712">
        <v>0</v>
      </c>
      <c r="Z161" s="712">
        <v>0</v>
      </c>
      <c r="AA161" s="712">
        <v>0</v>
      </c>
      <c r="AB161" s="712">
        <v>0</v>
      </c>
      <c r="AC161" s="712">
        <v>0</v>
      </c>
      <c r="AD161" s="712">
        <v>0</v>
      </c>
      <c r="AE161" s="712">
        <v>0</v>
      </c>
      <c r="AF161" s="712">
        <v>0</v>
      </c>
      <c r="AG161" s="712">
        <v>0</v>
      </c>
      <c r="AH161" s="712">
        <v>0</v>
      </c>
      <c r="AI161" s="712">
        <v>0</v>
      </c>
      <c r="AJ161" s="712">
        <v>0</v>
      </c>
      <c r="AK161" s="712">
        <v>0</v>
      </c>
      <c r="AL161" s="712">
        <v>0</v>
      </c>
      <c r="AM161" s="712">
        <v>0</v>
      </c>
      <c r="AN161" s="712">
        <v>0</v>
      </c>
      <c r="AO161" s="712">
        <v>0</v>
      </c>
      <c r="AP161" s="712">
        <v>0</v>
      </c>
      <c r="AQ161" s="712">
        <v>0</v>
      </c>
      <c r="AR161" s="712">
        <v>0</v>
      </c>
      <c r="AS161" s="712">
        <v>0</v>
      </c>
      <c r="AT161">
        <v>0</v>
      </c>
      <c r="AU161" s="615"/>
      <c r="AV161" s="615"/>
      <c r="AW161" s="615"/>
      <c r="AX161" s="615"/>
      <c r="AY161" s="615"/>
      <c r="AZ161" s="615"/>
      <c r="BA161" s="615"/>
      <c r="BB161" s="615"/>
      <c r="BC161" s="615"/>
      <c r="BD161" s="615"/>
      <c r="BE161" s="615"/>
      <c r="BF161" s="615"/>
      <c r="BG161" s="615"/>
      <c r="BH161" s="615"/>
      <c r="BI161" s="615"/>
      <c r="BJ161" s="615"/>
      <c r="BK161" s="615"/>
      <c r="BL161" s="615"/>
      <c r="BM161" s="615"/>
      <c r="BN161" s="615"/>
      <c r="BO161" s="615"/>
      <c r="BP161" s="615"/>
      <c r="BQ161" s="615"/>
      <c r="BR161" s="615"/>
      <c r="BS161" s="615"/>
      <c r="BT161" s="615"/>
      <c r="BU161" s="615"/>
      <c r="BV161" s="615"/>
      <c r="BW161" s="615"/>
      <c r="BX161" s="607"/>
    </row>
    <row r="162" spans="1:76" s="612" customFormat="1" ht="12.75" x14ac:dyDescent="0.2">
      <c r="A162" s="839"/>
      <c r="B162" s="838" t="s">
        <v>2608</v>
      </c>
      <c r="C162" s="713" t="s">
        <v>1909</v>
      </c>
      <c r="D162" s="712">
        <v>0</v>
      </c>
      <c r="E162" s="712">
        <v>0</v>
      </c>
      <c r="F162" s="712">
        <v>0</v>
      </c>
      <c r="G162" s="712">
        <v>0</v>
      </c>
      <c r="H162" s="712">
        <v>0</v>
      </c>
      <c r="I162" s="712">
        <v>0</v>
      </c>
      <c r="J162" s="712">
        <v>0</v>
      </c>
      <c r="K162" s="712">
        <v>0</v>
      </c>
      <c r="L162" s="712">
        <v>0</v>
      </c>
      <c r="M162" s="712">
        <v>0</v>
      </c>
      <c r="N162" s="712">
        <v>0</v>
      </c>
      <c r="O162" s="712">
        <v>0</v>
      </c>
      <c r="P162" s="712">
        <v>0</v>
      </c>
      <c r="Q162" s="712">
        <v>0</v>
      </c>
      <c r="R162" s="712">
        <v>0</v>
      </c>
      <c r="S162" s="712">
        <v>0</v>
      </c>
      <c r="T162" s="712">
        <v>0</v>
      </c>
      <c r="U162" s="712">
        <v>0</v>
      </c>
      <c r="V162" s="712">
        <v>0</v>
      </c>
      <c r="W162" s="712">
        <v>0</v>
      </c>
      <c r="X162" s="712">
        <v>0</v>
      </c>
      <c r="Y162" s="712">
        <v>0</v>
      </c>
      <c r="Z162" s="712">
        <v>0</v>
      </c>
      <c r="AA162" s="712">
        <v>0</v>
      </c>
      <c r="AB162" s="712">
        <v>0</v>
      </c>
      <c r="AC162" s="712">
        <v>0</v>
      </c>
      <c r="AD162" s="712">
        <v>0</v>
      </c>
      <c r="AE162" s="712">
        <v>0</v>
      </c>
      <c r="AF162" s="712">
        <v>0</v>
      </c>
      <c r="AG162" s="712">
        <v>0</v>
      </c>
      <c r="AH162" s="712">
        <v>0</v>
      </c>
      <c r="AI162" s="712">
        <v>0</v>
      </c>
      <c r="AJ162" s="712">
        <v>0</v>
      </c>
      <c r="AK162" s="712">
        <v>0</v>
      </c>
      <c r="AL162" s="712">
        <v>0</v>
      </c>
      <c r="AM162" s="712">
        <v>0</v>
      </c>
      <c r="AN162" s="712">
        <v>0</v>
      </c>
      <c r="AO162" s="712">
        <v>0</v>
      </c>
      <c r="AP162" s="712">
        <v>0</v>
      </c>
      <c r="AQ162" s="712">
        <v>0</v>
      </c>
      <c r="AR162" s="712">
        <v>0</v>
      </c>
      <c r="AS162" s="712">
        <v>0</v>
      </c>
      <c r="AT162">
        <v>0</v>
      </c>
      <c r="AU162" s="615"/>
      <c r="AV162" s="615"/>
      <c r="AW162" s="615"/>
      <c r="AX162" s="615"/>
      <c r="AY162" s="615"/>
      <c r="AZ162" s="615"/>
      <c r="BA162" s="615"/>
      <c r="BB162" s="615"/>
      <c r="BC162" s="615"/>
      <c r="BD162" s="615"/>
      <c r="BE162" s="615"/>
      <c r="BF162" s="615"/>
      <c r="BG162" s="615"/>
      <c r="BH162" s="615"/>
      <c r="BI162" s="615"/>
      <c r="BJ162" s="615"/>
      <c r="BK162" s="615"/>
      <c r="BL162" s="615"/>
      <c r="BM162" s="615"/>
      <c r="BN162" s="615"/>
      <c r="BO162" s="615"/>
      <c r="BP162" s="615"/>
      <c r="BQ162" s="615"/>
      <c r="BR162" s="615"/>
      <c r="BS162" s="615"/>
      <c r="BT162" s="615"/>
      <c r="BU162" s="615"/>
      <c r="BV162" s="615"/>
      <c r="BW162" s="615"/>
      <c r="BX162" s="607"/>
    </row>
    <row r="163" spans="1:76" s="612" customFormat="1" ht="12.75" x14ac:dyDescent="0.2">
      <c r="A163" s="839"/>
      <c r="B163" s="839"/>
      <c r="C163" s="713" t="s">
        <v>1915</v>
      </c>
      <c r="D163" s="712">
        <v>0</v>
      </c>
      <c r="E163" s="712">
        <v>0</v>
      </c>
      <c r="F163" s="712">
        <v>0</v>
      </c>
      <c r="G163" s="712">
        <v>0</v>
      </c>
      <c r="H163" s="712">
        <v>0</v>
      </c>
      <c r="I163" s="712">
        <v>0</v>
      </c>
      <c r="J163" s="712">
        <v>0</v>
      </c>
      <c r="K163" s="712">
        <v>0</v>
      </c>
      <c r="L163" s="712">
        <v>0</v>
      </c>
      <c r="M163" s="712">
        <v>0</v>
      </c>
      <c r="N163" s="712">
        <v>0</v>
      </c>
      <c r="O163" s="712">
        <v>0</v>
      </c>
      <c r="P163" s="712">
        <v>0</v>
      </c>
      <c r="Q163" s="712">
        <v>0</v>
      </c>
      <c r="R163" s="712">
        <v>0</v>
      </c>
      <c r="S163" s="712">
        <v>0</v>
      </c>
      <c r="T163" s="712">
        <v>0</v>
      </c>
      <c r="U163" s="712">
        <v>0</v>
      </c>
      <c r="V163" s="712">
        <v>0</v>
      </c>
      <c r="W163" s="712">
        <v>0</v>
      </c>
      <c r="X163" s="712">
        <v>0</v>
      </c>
      <c r="Y163" s="712">
        <v>0</v>
      </c>
      <c r="Z163" s="712">
        <v>0</v>
      </c>
      <c r="AA163" s="712">
        <v>0</v>
      </c>
      <c r="AB163" s="712">
        <v>0</v>
      </c>
      <c r="AC163" s="712">
        <v>0</v>
      </c>
      <c r="AD163" s="712">
        <v>0</v>
      </c>
      <c r="AE163" s="712">
        <v>0</v>
      </c>
      <c r="AF163" s="712">
        <v>0</v>
      </c>
      <c r="AG163" s="712">
        <v>0</v>
      </c>
      <c r="AH163" s="712">
        <v>0</v>
      </c>
      <c r="AI163" s="712">
        <v>0</v>
      </c>
      <c r="AJ163" s="712">
        <v>0</v>
      </c>
      <c r="AK163" s="712">
        <v>0</v>
      </c>
      <c r="AL163" s="712">
        <v>0</v>
      </c>
      <c r="AM163" s="712">
        <v>0</v>
      </c>
      <c r="AN163" s="712">
        <v>0</v>
      </c>
      <c r="AO163" s="712">
        <v>0</v>
      </c>
      <c r="AP163" s="712">
        <v>0</v>
      </c>
      <c r="AQ163" s="712">
        <v>0</v>
      </c>
      <c r="AR163" s="712">
        <v>0</v>
      </c>
      <c r="AS163" s="712">
        <v>0</v>
      </c>
      <c r="AT163">
        <v>0</v>
      </c>
      <c r="AU163" s="615"/>
      <c r="AV163" s="615"/>
      <c r="AW163" s="615"/>
      <c r="AX163" s="615"/>
      <c r="AY163" s="615"/>
      <c r="AZ163" s="615"/>
      <c r="BA163" s="615"/>
      <c r="BB163" s="615"/>
      <c r="BC163" s="615"/>
      <c r="BD163" s="615"/>
      <c r="BE163" s="615"/>
      <c r="BF163" s="615"/>
      <c r="BG163" s="615"/>
      <c r="BH163" s="615"/>
      <c r="BI163" s="615"/>
      <c r="BJ163" s="615"/>
      <c r="BK163" s="615"/>
      <c r="BL163" s="615"/>
      <c r="BM163" s="615"/>
      <c r="BN163" s="615"/>
      <c r="BO163" s="615"/>
      <c r="BP163" s="615"/>
      <c r="BQ163" s="615"/>
      <c r="BR163" s="615"/>
      <c r="BS163" s="615"/>
      <c r="BT163" s="615"/>
      <c r="BU163" s="615"/>
      <c r="BV163" s="615"/>
      <c r="BW163" s="615"/>
      <c r="BX163" s="607"/>
    </row>
    <row r="164" spans="1:76" s="612" customFormat="1" ht="12.75" x14ac:dyDescent="0.2">
      <c r="A164" s="839"/>
      <c r="B164" s="839"/>
      <c r="C164" s="713" t="s">
        <v>1928</v>
      </c>
      <c r="D164" s="712">
        <v>0</v>
      </c>
      <c r="E164" s="712">
        <v>0</v>
      </c>
      <c r="F164" s="712">
        <v>0</v>
      </c>
      <c r="G164" s="712">
        <v>0</v>
      </c>
      <c r="H164" s="712">
        <v>0</v>
      </c>
      <c r="I164" s="712">
        <v>0</v>
      </c>
      <c r="J164" s="712">
        <v>0</v>
      </c>
      <c r="K164" s="712">
        <v>0</v>
      </c>
      <c r="L164" s="712">
        <v>0</v>
      </c>
      <c r="M164" s="712">
        <v>0</v>
      </c>
      <c r="N164" s="712">
        <v>0</v>
      </c>
      <c r="O164" s="712">
        <v>0</v>
      </c>
      <c r="P164" s="712">
        <v>0</v>
      </c>
      <c r="Q164" s="712">
        <v>0</v>
      </c>
      <c r="R164" s="712">
        <v>0</v>
      </c>
      <c r="S164" s="712">
        <v>563450</v>
      </c>
      <c r="T164" s="712">
        <v>0</v>
      </c>
      <c r="U164" s="712">
        <v>0</v>
      </c>
      <c r="V164" s="712">
        <v>0</v>
      </c>
      <c r="W164" s="712">
        <v>0</v>
      </c>
      <c r="X164" s="712">
        <v>0</v>
      </c>
      <c r="Y164" s="712">
        <v>0</v>
      </c>
      <c r="Z164" s="712">
        <v>0</v>
      </c>
      <c r="AA164" s="712">
        <v>0</v>
      </c>
      <c r="AB164" s="712">
        <v>0</v>
      </c>
      <c r="AC164" s="712">
        <v>0</v>
      </c>
      <c r="AD164" s="712">
        <v>0</v>
      </c>
      <c r="AE164" s="712">
        <v>0</v>
      </c>
      <c r="AF164" s="712">
        <v>0</v>
      </c>
      <c r="AG164" s="712">
        <v>0</v>
      </c>
      <c r="AH164" s="712">
        <v>0</v>
      </c>
      <c r="AI164" s="712">
        <v>0</v>
      </c>
      <c r="AJ164" s="712">
        <v>0</v>
      </c>
      <c r="AK164" s="712">
        <v>0</v>
      </c>
      <c r="AL164" s="712">
        <v>0</v>
      </c>
      <c r="AM164" s="712">
        <v>0</v>
      </c>
      <c r="AN164" s="712">
        <v>0</v>
      </c>
      <c r="AO164" s="712">
        <v>0</v>
      </c>
      <c r="AP164" s="712">
        <v>0</v>
      </c>
      <c r="AQ164" s="712">
        <v>0</v>
      </c>
      <c r="AR164" s="712">
        <v>0</v>
      </c>
      <c r="AS164" s="712">
        <v>0</v>
      </c>
      <c r="AT164">
        <v>563450</v>
      </c>
      <c r="AU164" s="615"/>
      <c r="AV164" s="615"/>
      <c r="AW164" s="615"/>
      <c r="AX164" s="615"/>
      <c r="AY164" s="615"/>
      <c r="AZ164" s="615"/>
      <c r="BA164" s="615"/>
      <c r="BB164" s="615"/>
      <c r="BC164" s="615"/>
      <c r="BD164" s="615"/>
      <c r="BE164" s="615"/>
      <c r="BF164" s="615"/>
      <c r="BG164" s="615"/>
      <c r="BH164" s="615"/>
      <c r="BI164" s="615"/>
      <c r="BJ164" s="615"/>
      <c r="BK164" s="615"/>
      <c r="BL164" s="615"/>
      <c r="BM164" s="615"/>
      <c r="BN164" s="615"/>
      <c r="BO164" s="615"/>
      <c r="BP164" s="615"/>
      <c r="BQ164" s="615"/>
      <c r="BR164" s="615"/>
      <c r="BS164" s="615"/>
      <c r="BT164" s="615"/>
      <c r="BU164" s="615"/>
      <c r="BV164" s="615"/>
      <c r="BW164" s="615"/>
      <c r="BX164" s="607"/>
    </row>
    <row r="165" spans="1:76" s="612" customFormat="1" ht="12.75" x14ac:dyDescent="0.2">
      <c r="A165" s="839"/>
      <c r="B165" s="839"/>
      <c r="C165" s="713" t="s">
        <v>2611</v>
      </c>
      <c r="D165" s="712">
        <v>0</v>
      </c>
      <c r="E165" s="712">
        <v>0</v>
      </c>
      <c r="F165" s="712">
        <v>0</v>
      </c>
      <c r="G165" s="712">
        <v>0</v>
      </c>
      <c r="H165" s="712">
        <v>0</v>
      </c>
      <c r="I165" s="712">
        <v>0</v>
      </c>
      <c r="J165" s="712">
        <v>0</v>
      </c>
      <c r="K165" s="712">
        <v>0</v>
      </c>
      <c r="L165" s="712">
        <v>0</v>
      </c>
      <c r="M165" s="712">
        <v>0</v>
      </c>
      <c r="N165" s="712">
        <v>0</v>
      </c>
      <c r="O165" s="712">
        <v>0</v>
      </c>
      <c r="P165" s="712">
        <v>1298367</v>
      </c>
      <c r="Q165" s="712">
        <v>0</v>
      </c>
      <c r="R165" s="712">
        <v>733867</v>
      </c>
      <c r="S165" s="712">
        <v>0</v>
      </c>
      <c r="T165" s="712">
        <v>0</v>
      </c>
      <c r="U165" s="712">
        <v>0</v>
      </c>
      <c r="V165" s="712">
        <v>0</v>
      </c>
      <c r="W165" s="712">
        <v>0</v>
      </c>
      <c r="X165" s="712">
        <v>0</v>
      </c>
      <c r="Y165" s="712">
        <v>0</v>
      </c>
      <c r="Z165" s="712">
        <v>0</v>
      </c>
      <c r="AA165" s="712">
        <v>0</v>
      </c>
      <c r="AB165" s="712">
        <v>0</v>
      </c>
      <c r="AC165" s="712">
        <v>0</v>
      </c>
      <c r="AD165" s="712">
        <v>0</v>
      </c>
      <c r="AE165" s="712">
        <v>0</v>
      </c>
      <c r="AF165" s="712">
        <v>0</v>
      </c>
      <c r="AG165" s="712">
        <v>0</v>
      </c>
      <c r="AH165" s="712">
        <v>0</v>
      </c>
      <c r="AI165" s="712">
        <v>0</v>
      </c>
      <c r="AJ165" s="712">
        <v>0</v>
      </c>
      <c r="AK165" s="712">
        <v>0</v>
      </c>
      <c r="AL165" s="712">
        <v>0</v>
      </c>
      <c r="AM165" s="712">
        <v>0</v>
      </c>
      <c r="AN165" s="712">
        <v>0</v>
      </c>
      <c r="AO165" s="712">
        <v>0</v>
      </c>
      <c r="AP165" s="712">
        <v>0</v>
      </c>
      <c r="AQ165" s="712">
        <v>0</v>
      </c>
      <c r="AR165" s="712">
        <v>0</v>
      </c>
      <c r="AS165" s="712">
        <v>0</v>
      </c>
      <c r="AT165">
        <v>2032234</v>
      </c>
      <c r="AU165" s="615"/>
      <c r="AV165" s="615"/>
      <c r="AW165" s="615"/>
      <c r="AX165" s="615"/>
      <c r="AY165" s="615"/>
      <c r="AZ165" s="615"/>
      <c r="BA165" s="615"/>
      <c r="BB165" s="615"/>
      <c r="BC165" s="615"/>
      <c r="BD165" s="615"/>
      <c r="BE165" s="615"/>
      <c r="BF165" s="615"/>
      <c r="BG165" s="615"/>
      <c r="BH165" s="615"/>
      <c r="BI165" s="615"/>
      <c r="BJ165" s="615"/>
      <c r="BK165" s="615"/>
      <c r="BL165" s="615"/>
      <c r="BM165" s="615"/>
      <c r="BN165" s="615"/>
      <c r="BO165" s="615"/>
      <c r="BP165" s="615"/>
      <c r="BQ165" s="615"/>
      <c r="BR165" s="615"/>
      <c r="BS165" s="615"/>
      <c r="BT165" s="615"/>
      <c r="BU165" s="615"/>
      <c r="BV165" s="615"/>
      <c r="BW165" s="615"/>
      <c r="BX165" s="607"/>
    </row>
    <row r="166" spans="1:76" s="612" customFormat="1" ht="25.5" x14ac:dyDescent="0.2">
      <c r="A166" s="839"/>
      <c r="B166" s="713" t="s">
        <v>1075</v>
      </c>
      <c r="C166" s="713" t="s">
        <v>1935</v>
      </c>
      <c r="D166" s="712">
        <v>0</v>
      </c>
      <c r="E166" s="712">
        <v>0</v>
      </c>
      <c r="F166" s="712">
        <v>0</v>
      </c>
      <c r="G166" s="712">
        <v>0</v>
      </c>
      <c r="H166" s="712">
        <v>0</v>
      </c>
      <c r="I166" s="712">
        <v>0</v>
      </c>
      <c r="J166" s="712">
        <v>0</v>
      </c>
      <c r="K166" s="712">
        <v>0</v>
      </c>
      <c r="L166" s="712">
        <v>0</v>
      </c>
      <c r="M166" s="712">
        <v>0</v>
      </c>
      <c r="N166" s="712">
        <v>0</v>
      </c>
      <c r="O166" s="712">
        <v>0</v>
      </c>
      <c r="P166" s="712">
        <v>0</v>
      </c>
      <c r="Q166" s="712">
        <v>0</v>
      </c>
      <c r="R166" s="712">
        <v>0</v>
      </c>
      <c r="S166" s="712">
        <v>0</v>
      </c>
      <c r="T166" s="712">
        <v>0</v>
      </c>
      <c r="U166" s="712">
        <v>0</v>
      </c>
      <c r="V166" s="712">
        <v>0</v>
      </c>
      <c r="W166" s="712">
        <v>0</v>
      </c>
      <c r="X166" s="712">
        <v>0</v>
      </c>
      <c r="Y166" s="712">
        <v>0</v>
      </c>
      <c r="Z166" s="712">
        <v>0</v>
      </c>
      <c r="AA166" s="712">
        <v>0</v>
      </c>
      <c r="AB166" s="712">
        <v>0</v>
      </c>
      <c r="AC166" s="712">
        <v>0</v>
      </c>
      <c r="AD166" s="712">
        <v>0</v>
      </c>
      <c r="AE166" s="712">
        <v>0</v>
      </c>
      <c r="AF166" s="712">
        <v>0</v>
      </c>
      <c r="AG166" s="712">
        <v>0</v>
      </c>
      <c r="AH166" s="712">
        <v>0</v>
      </c>
      <c r="AI166" s="712">
        <v>0</v>
      </c>
      <c r="AJ166" s="712">
        <v>0</v>
      </c>
      <c r="AK166" s="712">
        <v>0</v>
      </c>
      <c r="AL166" s="712">
        <v>0</v>
      </c>
      <c r="AM166" s="712">
        <v>0</v>
      </c>
      <c r="AN166" s="712">
        <v>0</v>
      </c>
      <c r="AO166" s="712">
        <v>0</v>
      </c>
      <c r="AP166" s="712">
        <v>0</v>
      </c>
      <c r="AQ166" s="712">
        <v>0</v>
      </c>
      <c r="AR166" s="712">
        <v>0</v>
      </c>
      <c r="AS166" s="712">
        <v>0</v>
      </c>
      <c r="AT166">
        <v>0</v>
      </c>
      <c r="AU166" s="615"/>
      <c r="AV166" s="615"/>
      <c r="AW166" s="615"/>
      <c r="AX166" s="615"/>
      <c r="AY166" s="615"/>
      <c r="AZ166" s="615"/>
      <c r="BA166" s="615"/>
      <c r="BB166" s="615"/>
      <c r="BC166" s="615"/>
      <c r="BD166" s="615"/>
      <c r="BE166" s="615"/>
      <c r="BF166" s="615"/>
      <c r="BG166" s="615"/>
      <c r="BH166" s="615"/>
      <c r="BI166" s="615"/>
      <c r="BJ166" s="615"/>
      <c r="BK166" s="615"/>
      <c r="BL166" s="615"/>
      <c r="BM166" s="615"/>
      <c r="BN166" s="615"/>
      <c r="BO166" s="615"/>
      <c r="BP166" s="615"/>
      <c r="BQ166" s="615"/>
      <c r="BR166" s="615"/>
      <c r="BS166" s="615"/>
      <c r="BT166" s="615"/>
      <c r="BU166" s="615"/>
      <c r="BV166" s="615"/>
      <c r="BW166" s="615"/>
      <c r="BX166" s="607"/>
    </row>
    <row r="167" spans="1:76" s="612" customFormat="1" ht="25.5" x14ac:dyDescent="0.2">
      <c r="A167" s="839"/>
      <c r="B167" s="713" t="s">
        <v>4277</v>
      </c>
      <c r="C167" s="713" t="s">
        <v>4276</v>
      </c>
      <c r="D167" s="712">
        <v>0</v>
      </c>
      <c r="E167" s="712">
        <v>0</v>
      </c>
      <c r="F167" s="712">
        <v>0</v>
      </c>
      <c r="G167" s="712">
        <v>0</v>
      </c>
      <c r="H167" s="712">
        <v>0</v>
      </c>
      <c r="I167" s="712">
        <v>0</v>
      </c>
      <c r="J167" s="712">
        <v>0</v>
      </c>
      <c r="K167" s="712">
        <v>0</v>
      </c>
      <c r="L167" s="712">
        <v>0</v>
      </c>
      <c r="M167" s="712">
        <v>0</v>
      </c>
      <c r="N167" s="712">
        <v>0</v>
      </c>
      <c r="O167" s="712">
        <v>0</v>
      </c>
      <c r="P167" s="712">
        <v>0</v>
      </c>
      <c r="Q167" s="712">
        <v>0</v>
      </c>
      <c r="R167" s="712">
        <v>0</v>
      </c>
      <c r="S167" s="712">
        <v>0</v>
      </c>
      <c r="T167" s="712">
        <v>0</v>
      </c>
      <c r="U167" s="712">
        <v>0</v>
      </c>
      <c r="V167" s="712">
        <v>0</v>
      </c>
      <c r="W167" s="712">
        <v>0</v>
      </c>
      <c r="X167" s="712">
        <v>0</v>
      </c>
      <c r="Y167" s="712">
        <v>0</v>
      </c>
      <c r="Z167" s="712">
        <v>0</v>
      </c>
      <c r="AA167" s="712">
        <v>0</v>
      </c>
      <c r="AB167" s="712">
        <v>0</v>
      </c>
      <c r="AC167" s="712">
        <v>0</v>
      </c>
      <c r="AD167" s="712">
        <v>0</v>
      </c>
      <c r="AE167" s="712">
        <v>0</v>
      </c>
      <c r="AF167" s="712">
        <v>0</v>
      </c>
      <c r="AG167" s="712">
        <v>0</v>
      </c>
      <c r="AH167" s="712">
        <v>0</v>
      </c>
      <c r="AI167" s="712">
        <v>0</v>
      </c>
      <c r="AJ167" s="712">
        <v>0</v>
      </c>
      <c r="AK167" s="712">
        <v>0</v>
      </c>
      <c r="AL167" s="712">
        <v>0</v>
      </c>
      <c r="AM167" s="712">
        <v>0</v>
      </c>
      <c r="AN167" s="712">
        <v>0</v>
      </c>
      <c r="AO167" s="712">
        <v>0</v>
      </c>
      <c r="AP167" s="712">
        <v>0</v>
      </c>
      <c r="AQ167" s="712">
        <v>0</v>
      </c>
      <c r="AR167" s="712">
        <v>0</v>
      </c>
      <c r="AS167" s="712">
        <v>0</v>
      </c>
      <c r="AT167">
        <v>0</v>
      </c>
      <c r="AU167" s="615"/>
      <c r="AV167" s="615"/>
      <c r="AW167" s="615"/>
      <c r="AX167" s="615"/>
      <c r="AY167" s="615"/>
      <c r="AZ167" s="615"/>
      <c r="BA167" s="615"/>
      <c r="BB167" s="615"/>
      <c r="BC167" s="615"/>
      <c r="BD167" s="615"/>
      <c r="BE167" s="615"/>
      <c r="BF167" s="615"/>
      <c r="BG167" s="615"/>
      <c r="BH167" s="615"/>
      <c r="BI167" s="615"/>
      <c r="BJ167" s="615"/>
      <c r="BK167" s="615"/>
      <c r="BL167" s="615"/>
      <c r="BM167" s="615"/>
      <c r="BN167" s="615"/>
      <c r="BO167" s="615"/>
      <c r="BP167" s="615"/>
      <c r="BQ167" s="615"/>
      <c r="BR167" s="615"/>
      <c r="BS167" s="615"/>
      <c r="BT167" s="615"/>
      <c r="BU167" s="615"/>
      <c r="BV167" s="615"/>
      <c r="BW167" s="615"/>
      <c r="BX167" s="607"/>
    </row>
    <row r="168" spans="1:76" s="612" customFormat="1" ht="25.5" x14ac:dyDescent="0.2">
      <c r="A168" s="839"/>
      <c r="B168" s="713" t="s">
        <v>3132</v>
      </c>
      <c r="C168" s="713" t="s">
        <v>2953</v>
      </c>
      <c r="D168" s="712">
        <v>0</v>
      </c>
      <c r="E168" s="712">
        <v>0</v>
      </c>
      <c r="F168" s="712">
        <v>0</v>
      </c>
      <c r="G168" s="712">
        <v>0</v>
      </c>
      <c r="H168" s="712">
        <v>0</v>
      </c>
      <c r="I168" s="712">
        <v>0</v>
      </c>
      <c r="J168" s="712">
        <v>0</v>
      </c>
      <c r="K168" s="712">
        <v>0</v>
      </c>
      <c r="L168" s="712">
        <v>0</v>
      </c>
      <c r="M168" s="712">
        <v>0</v>
      </c>
      <c r="N168" s="712">
        <v>0</v>
      </c>
      <c r="O168" s="712">
        <v>0</v>
      </c>
      <c r="P168" s="712">
        <v>0</v>
      </c>
      <c r="Q168" s="712">
        <v>0</v>
      </c>
      <c r="R168" s="712">
        <v>0</v>
      </c>
      <c r="S168" s="712">
        <v>0</v>
      </c>
      <c r="T168" s="712">
        <v>0</v>
      </c>
      <c r="U168" s="712">
        <v>0</v>
      </c>
      <c r="V168" s="712">
        <v>0</v>
      </c>
      <c r="W168" s="712">
        <v>0</v>
      </c>
      <c r="X168" s="712">
        <v>0</v>
      </c>
      <c r="Y168" s="712">
        <v>0</v>
      </c>
      <c r="Z168" s="712">
        <v>0</v>
      </c>
      <c r="AA168" s="712">
        <v>0</v>
      </c>
      <c r="AB168" s="712">
        <v>0</v>
      </c>
      <c r="AC168" s="712">
        <v>0</v>
      </c>
      <c r="AD168" s="712">
        <v>0</v>
      </c>
      <c r="AE168" s="712">
        <v>0</v>
      </c>
      <c r="AF168" s="712">
        <v>0</v>
      </c>
      <c r="AG168" s="712">
        <v>0</v>
      </c>
      <c r="AH168" s="712">
        <v>0</v>
      </c>
      <c r="AI168" s="712">
        <v>0</v>
      </c>
      <c r="AJ168" s="712">
        <v>0</v>
      </c>
      <c r="AK168" s="712">
        <v>0</v>
      </c>
      <c r="AL168" s="712">
        <v>0</v>
      </c>
      <c r="AM168" s="712">
        <v>0</v>
      </c>
      <c r="AN168" s="712">
        <v>0</v>
      </c>
      <c r="AO168" s="712">
        <v>0</v>
      </c>
      <c r="AP168" s="712">
        <v>0</v>
      </c>
      <c r="AQ168" s="712">
        <v>0</v>
      </c>
      <c r="AR168" s="712">
        <v>0</v>
      </c>
      <c r="AS168" s="712">
        <v>0</v>
      </c>
      <c r="AT168">
        <v>0</v>
      </c>
      <c r="AU168" s="615"/>
      <c r="AV168" s="615"/>
      <c r="AW168" s="615"/>
      <c r="AX168" s="615"/>
      <c r="AY168" s="615"/>
      <c r="AZ168" s="615"/>
      <c r="BA168" s="615"/>
      <c r="BB168" s="615"/>
      <c r="BC168" s="615"/>
      <c r="BD168" s="615"/>
      <c r="BE168" s="615"/>
      <c r="BF168" s="615"/>
      <c r="BG168" s="615"/>
      <c r="BH168" s="615"/>
      <c r="BI168" s="615"/>
      <c r="BJ168" s="615"/>
      <c r="BK168" s="615"/>
      <c r="BL168" s="615"/>
      <c r="BM168" s="615"/>
      <c r="BN168" s="615"/>
      <c r="BO168" s="615"/>
      <c r="BP168" s="615"/>
      <c r="BQ168" s="615"/>
      <c r="BR168" s="615"/>
      <c r="BS168" s="615"/>
      <c r="BT168" s="615"/>
      <c r="BU168" s="615"/>
      <c r="BV168" s="615"/>
      <c r="BW168" s="615"/>
      <c r="BX168" s="607"/>
    </row>
    <row r="169" spans="1:76" s="612" customFormat="1" ht="25.5" x14ac:dyDescent="0.2">
      <c r="A169" s="839"/>
      <c r="B169" s="713" t="s">
        <v>3213</v>
      </c>
      <c r="C169" s="713" t="s">
        <v>1917</v>
      </c>
      <c r="D169" s="712">
        <v>0</v>
      </c>
      <c r="E169" s="712">
        <v>0</v>
      </c>
      <c r="F169" s="712">
        <v>0</v>
      </c>
      <c r="G169" s="712">
        <v>0</v>
      </c>
      <c r="H169" s="712">
        <v>0</v>
      </c>
      <c r="I169" s="712">
        <v>0</v>
      </c>
      <c r="J169" s="712">
        <v>0</v>
      </c>
      <c r="K169" s="712">
        <v>0</v>
      </c>
      <c r="L169" s="712">
        <v>0</v>
      </c>
      <c r="M169" s="712">
        <v>0</v>
      </c>
      <c r="N169" s="712">
        <v>0</v>
      </c>
      <c r="O169" s="712">
        <v>0</v>
      </c>
      <c r="P169" s="712">
        <v>0</v>
      </c>
      <c r="Q169" s="712">
        <v>0</v>
      </c>
      <c r="R169" s="712">
        <v>0</v>
      </c>
      <c r="S169" s="712">
        <v>0</v>
      </c>
      <c r="T169" s="712">
        <v>0</v>
      </c>
      <c r="U169" s="712">
        <v>0</v>
      </c>
      <c r="V169" s="712">
        <v>0</v>
      </c>
      <c r="W169" s="712">
        <v>0</v>
      </c>
      <c r="X169" s="712">
        <v>0</v>
      </c>
      <c r="Y169" s="712">
        <v>0</v>
      </c>
      <c r="Z169" s="712">
        <v>0</v>
      </c>
      <c r="AA169" s="712">
        <v>0</v>
      </c>
      <c r="AB169" s="712">
        <v>0</v>
      </c>
      <c r="AC169" s="712">
        <v>0</v>
      </c>
      <c r="AD169" s="712">
        <v>0</v>
      </c>
      <c r="AE169" s="712">
        <v>0</v>
      </c>
      <c r="AF169" s="712">
        <v>0</v>
      </c>
      <c r="AG169" s="712">
        <v>0</v>
      </c>
      <c r="AH169" s="712">
        <v>0</v>
      </c>
      <c r="AI169" s="712">
        <v>0</v>
      </c>
      <c r="AJ169" s="712">
        <v>0</v>
      </c>
      <c r="AK169" s="712">
        <v>0</v>
      </c>
      <c r="AL169" s="712">
        <v>0</v>
      </c>
      <c r="AM169" s="712">
        <v>0</v>
      </c>
      <c r="AN169" s="712">
        <v>0</v>
      </c>
      <c r="AO169" s="712">
        <v>0</v>
      </c>
      <c r="AP169" s="712">
        <v>0</v>
      </c>
      <c r="AQ169" s="712">
        <v>0</v>
      </c>
      <c r="AR169" s="712">
        <v>0</v>
      </c>
      <c r="AS169" s="712">
        <v>0</v>
      </c>
      <c r="AT169">
        <v>0</v>
      </c>
      <c r="AU169" s="615"/>
      <c r="AV169" s="615"/>
      <c r="AW169" s="615"/>
      <c r="AX169" s="615"/>
      <c r="AY169" s="615"/>
      <c r="AZ169" s="615"/>
      <c r="BA169" s="615"/>
      <c r="BB169" s="615"/>
      <c r="BC169" s="615"/>
      <c r="BD169" s="615"/>
      <c r="BE169" s="615"/>
      <c r="BF169" s="615"/>
      <c r="BG169" s="615"/>
      <c r="BH169" s="615"/>
      <c r="BI169" s="615"/>
      <c r="BJ169" s="615"/>
      <c r="BK169" s="615"/>
      <c r="BL169" s="615"/>
      <c r="BM169" s="615"/>
      <c r="BN169" s="615"/>
      <c r="BO169" s="615"/>
      <c r="BP169" s="615"/>
      <c r="BQ169" s="615"/>
      <c r="BR169" s="615"/>
      <c r="BS169" s="615"/>
      <c r="BT169" s="615"/>
      <c r="BU169" s="615"/>
      <c r="BV169" s="615"/>
      <c r="BW169" s="615"/>
      <c r="BX169" s="607"/>
    </row>
    <row r="170" spans="1:76" s="612" customFormat="1" ht="25.5" x14ac:dyDescent="0.2">
      <c r="A170" s="839"/>
      <c r="B170" s="713" t="s">
        <v>2613</v>
      </c>
      <c r="C170" s="713" t="s">
        <v>2612</v>
      </c>
      <c r="D170" s="712">
        <v>0</v>
      </c>
      <c r="E170" s="712">
        <v>0</v>
      </c>
      <c r="F170" s="712">
        <v>0</v>
      </c>
      <c r="G170" s="712">
        <v>0</v>
      </c>
      <c r="H170" s="712">
        <v>0</v>
      </c>
      <c r="I170" s="712">
        <v>0</v>
      </c>
      <c r="J170" s="712">
        <v>0</v>
      </c>
      <c r="K170" s="712">
        <v>0</v>
      </c>
      <c r="L170" s="712">
        <v>0</v>
      </c>
      <c r="M170" s="712">
        <v>0</v>
      </c>
      <c r="N170" s="712">
        <v>0</v>
      </c>
      <c r="O170" s="712">
        <v>0</v>
      </c>
      <c r="P170" s="712">
        <v>0</v>
      </c>
      <c r="Q170" s="712">
        <v>0</v>
      </c>
      <c r="R170" s="712">
        <v>0</v>
      </c>
      <c r="S170" s="712">
        <v>0</v>
      </c>
      <c r="T170" s="712">
        <v>0</v>
      </c>
      <c r="U170" s="712">
        <v>0</v>
      </c>
      <c r="V170" s="712">
        <v>0</v>
      </c>
      <c r="W170" s="712">
        <v>0</v>
      </c>
      <c r="X170" s="712">
        <v>0</v>
      </c>
      <c r="Y170" s="712">
        <v>0</v>
      </c>
      <c r="Z170" s="712">
        <v>0</v>
      </c>
      <c r="AA170" s="712">
        <v>0</v>
      </c>
      <c r="AB170" s="712">
        <v>0</v>
      </c>
      <c r="AC170" s="712">
        <v>0</v>
      </c>
      <c r="AD170" s="712">
        <v>0</v>
      </c>
      <c r="AE170" s="712">
        <v>0</v>
      </c>
      <c r="AF170" s="712">
        <v>0</v>
      </c>
      <c r="AG170" s="712">
        <v>0</v>
      </c>
      <c r="AH170" s="712">
        <v>0</v>
      </c>
      <c r="AI170" s="712">
        <v>0</v>
      </c>
      <c r="AJ170" s="712">
        <v>0</v>
      </c>
      <c r="AK170" s="712">
        <v>0</v>
      </c>
      <c r="AL170" s="712">
        <v>0</v>
      </c>
      <c r="AM170" s="712">
        <v>0</v>
      </c>
      <c r="AN170" s="712">
        <v>0</v>
      </c>
      <c r="AO170" s="712">
        <v>0</v>
      </c>
      <c r="AP170" s="712">
        <v>0</v>
      </c>
      <c r="AQ170" s="712">
        <v>0</v>
      </c>
      <c r="AR170" s="712">
        <v>0</v>
      </c>
      <c r="AS170" s="712">
        <v>0</v>
      </c>
      <c r="AT170">
        <v>0</v>
      </c>
      <c r="AU170" s="615"/>
      <c r="AV170" s="615"/>
      <c r="AW170" s="615"/>
      <c r="AX170" s="615"/>
      <c r="AY170" s="615"/>
      <c r="AZ170" s="615"/>
      <c r="BA170" s="615"/>
      <c r="BB170" s="615"/>
      <c r="BC170" s="615"/>
      <c r="BD170" s="615"/>
      <c r="BE170" s="615"/>
      <c r="BF170" s="615"/>
      <c r="BG170" s="615"/>
      <c r="BH170" s="615"/>
      <c r="BI170" s="615"/>
      <c r="BJ170" s="615"/>
      <c r="BK170" s="615"/>
      <c r="BL170" s="615"/>
      <c r="BM170" s="615"/>
      <c r="BN170" s="615"/>
      <c r="BO170" s="615"/>
      <c r="BP170" s="615"/>
      <c r="BQ170" s="615"/>
      <c r="BR170" s="615"/>
      <c r="BS170" s="615"/>
      <c r="BT170" s="615"/>
      <c r="BU170" s="615"/>
      <c r="BV170" s="615"/>
      <c r="BW170" s="615"/>
      <c r="BX170" s="607"/>
    </row>
    <row r="171" spans="1:76" s="612" customFormat="1" ht="25.5" x14ac:dyDescent="0.2">
      <c r="A171" s="839"/>
      <c r="B171" s="713" t="s">
        <v>2295</v>
      </c>
      <c r="C171" s="713" t="s">
        <v>2243</v>
      </c>
      <c r="D171" s="712">
        <v>0</v>
      </c>
      <c r="E171" s="712">
        <v>0</v>
      </c>
      <c r="F171" s="712">
        <v>0</v>
      </c>
      <c r="G171" s="712">
        <v>0</v>
      </c>
      <c r="H171" s="712">
        <v>0</v>
      </c>
      <c r="I171" s="712">
        <v>0</v>
      </c>
      <c r="J171" s="712">
        <v>0</v>
      </c>
      <c r="K171" s="712">
        <v>0</v>
      </c>
      <c r="L171" s="712">
        <v>0</v>
      </c>
      <c r="M171" s="712">
        <v>0</v>
      </c>
      <c r="N171" s="712">
        <v>0</v>
      </c>
      <c r="O171" s="712">
        <v>0</v>
      </c>
      <c r="P171" s="712">
        <v>0</v>
      </c>
      <c r="Q171" s="712">
        <v>0</v>
      </c>
      <c r="R171" s="712">
        <v>0</v>
      </c>
      <c r="S171" s="712">
        <v>0</v>
      </c>
      <c r="T171" s="712">
        <v>0</v>
      </c>
      <c r="U171" s="712">
        <v>0</v>
      </c>
      <c r="V171" s="712">
        <v>0</v>
      </c>
      <c r="W171" s="712">
        <v>0</v>
      </c>
      <c r="X171" s="712">
        <v>0</v>
      </c>
      <c r="Y171" s="712">
        <v>0</v>
      </c>
      <c r="Z171" s="712">
        <v>0</v>
      </c>
      <c r="AA171" s="712">
        <v>0</v>
      </c>
      <c r="AB171" s="712">
        <v>0</v>
      </c>
      <c r="AC171" s="712">
        <v>0</v>
      </c>
      <c r="AD171" s="712">
        <v>0</v>
      </c>
      <c r="AE171" s="712">
        <v>0</v>
      </c>
      <c r="AF171" s="712">
        <v>0</v>
      </c>
      <c r="AG171" s="712">
        <v>0</v>
      </c>
      <c r="AH171" s="712">
        <v>0</v>
      </c>
      <c r="AI171" s="712">
        <v>0</v>
      </c>
      <c r="AJ171" s="712">
        <v>0</v>
      </c>
      <c r="AK171" s="712">
        <v>0</v>
      </c>
      <c r="AL171" s="712">
        <v>0</v>
      </c>
      <c r="AM171" s="712">
        <v>0</v>
      </c>
      <c r="AN171" s="712">
        <v>0</v>
      </c>
      <c r="AO171" s="712">
        <v>0</v>
      </c>
      <c r="AP171" s="712">
        <v>0</v>
      </c>
      <c r="AQ171" s="712">
        <v>0</v>
      </c>
      <c r="AR171" s="712">
        <v>0</v>
      </c>
      <c r="AS171" s="712">
        <v>0</v>
      </c>
      <c r="AT171">
        <v>0</v>
      </c>
      <c r="AU171" s="615"/>
      <c r="AV171" s="615"/>
      <c r="AW171" s="615"/>
      <c r="AX171" s="615"/>
      <c r="AY171" s="615"/>
      <c r="AZ171" s="615"/>
      <c r="BA171" s="615"/>
      <c r="BB171" s="615"/>
      <c r="BC171" s="615"/>
      <c r="BD171" s="615"/>
      <c r="BE171" s="615"/>
      <c r="BF171" s="615"/>
      <c r="BG171" s="615"/>
      <c r="BH171" s="615"/>
      <c r="BI171" s="615"/>
      <c r="BJ171" s="615"/>
      <c r="BK171" s="615"/>
      <c r="BL171" s="615"/>
      <c r="BM171" s="615"/>
      <c r="BN171" s="615"/>
      <c r="BO171" s="615"/>
      <c r="BP171" s="615"/>
      <c r="BQ171" s="615"/>
      <c r="BR171" s="615"/>
      <c r="BS171" s="615"/>
      <c r="BT171" s="615"/>
      <c r="BU171" s="615"/>
      <c r="BV171" s="615"/>
      <c r="BW171" s="615"/>
      <c r="BX171" s="607"/>
    </row>
    <row r="172" spans="1:76" s="612" customFormat="1" ht="25.5" x14ac:dyDescent="0.2">
      <c r="A172" s="839"/>
      <c r="B172" s="713" t="s">
        <v>1680</v>
      </c>
      <c r="C172" s="713" t="s">
        <v>1963</v>
      </c>
      <c r="D172" s="712">
        <v>0</v>
      </c>
      <c r="E172" s="712">
        <v>0</v>
      </c>
      <c r="F172" s="712">
        <v>0</v>
      </c>
      <c r="G172" s="712">
        <v>0</v>
      </c>
      <c r="H172" s="712">
        <v>0</v>
      </c>
      <c r="I172" s="712">
        <v>0</v>
      </c>
      <c r="J172" s="712">
        <v>0</v>
      </c>
      <c r="K172" s="712">
        <v>0</v>
      </c>
      <c r="L172" s="712">
        <v>0</v>
      </c>
      <c r="M172" s="712">
        <v>0</v>
      </c>
      <c r="N172" s="712">
        <v>0</v>
      </c>
      <c r="O172" s="712">
        <v>0</v>
      </c>
      <c r="P172" s="712">
        <v>0</v>
      </c>
      <c r="Q172" s="712">
        <v>0</v>
      </c>
      <c r="R172" s="712">
        <v>0</v>
      </c>
      <c r="S172" s="712">
        <v>0</v>
      </c>
      <c r="T172" s="712">
        <v>0</v>
      </c>
      <c r="U172" s="712">
        <v>0</v>
      </c>
      <c r="V172" s="712">
        <v>0</v>
      </c>
      <c r="W172" s="712">
        <v>0</v>
      </c>
      <c r="X172" s="712">
        <v>0</v>
      </c>
      <c r="Y172" s="712">
        <v>0</v>
      </c>
      <c r="Z172" s="712">
        <v>0</v>
      </c>
      <c r="AA172" s="712">
        <v>0</v>
      </c>
      <c r="AB172" s="712">
        <v>0</v>
      </c>
      <c r="AC172" s="712">
        <v>0</v>
      </c>
      <c r="AD172" s="712">
        <v>0</v>
      </c>
      <c r="AE172" s="712">
        <v>0</v>
      </c>
      <c r="AF172" s="712">
        <v>0</v>
      </c>
      <c r="AG172" s="712">
        <v>0</v>
      </c>
      <c r="AH172" s="712">
        <v>0</v>
      </c>
      <c r="AI172" s="712">
        <v>0</v>
      </c>
      <c r="AJ172" s="712">
        <v>0</v>
      </c>
      <c r="AK172" s="712">
        <v>0</v>
      </c>
      <c r="AL172" s="712">
        <v>0</v>
      </c>
      <c r="AM172" s="712">
        <v>0</v>
      </c>
      <c r="AN172" s="712">
        <v>0</v>
      </c>
      <c r="AO172" s="712">
        <v>0</v>
      </c>
      <c r="AP172" s="712">
        <v>0</v>
      </c>
      <c r="AQ172" s="712">
        <v>0</v>
      </c>
      <c r="AR172" s="712">
        <v>0</v>
      </c>
      <c r="AS172" s="712">
        <v>0</v>
      </c>
      <c r="AT172">
        <v>0</v>
      </c>
      <c r="AU172" s="615"/>
      <c r="AV172" s="615"/>
      <c r="AW172" s="615"/>
      <c r="AX172" s="615"/>
      <c r="AY172" s="615"/>
      <c r="AZ172" s="615"/>
      <c r="BA172" s="615"/>
      <c r="BB172" s="615"/>
      <c r="BC172" s="615"/>
      <c r="BD172" s="615"/>
      <c r="BE172" s="615"/>
      <c r="BF172" s="615"/>
      <c r="BG172" s="615"/>
      <c r="BH172" s="615"/>
      <c r="BI172" s="615"/>
      <c r="BJ172" s="615"/>
      <c r="BK172" s="615"/>
      <c r="BL172" s="615"/>
      <c r="BM172" s="615"/>
      <c r="BN172" s="615"/>
      <c r="BO172" s="615"/>
      <c r="BP172" s="615"/>
      <c r="BQ172" s="615"/>
      <c r="BR172" s="615"/>
      <c r="BS172" s="615"/>
      <c r="BT172" s="615"/>
      <c r="BU172" s="615"/>
      <c r="BV172" s="615"/>
      <c r="BW172" s="615"/>
      <c r="BX172" s="607"/>
    </row>
    <row r="173" spans="1:76" s="612" customFormat="1" ht="25.5" x14ac:dyDescent="0.2">
      <c r="A173" s="839"/>
      <c r="B173" s="713" t="s">
        <v>3488</v>
      </c>
      <c r="C173" s="713" t="s">
        <v>1949</v>
      </c>
      <c r="D173" s="712">
        <v>0</v>
      </c>
      <c r="E173" s="712">
        <v>0</v>
      </c>
      <c r="F173" s="712">
        <v>0</v>
      </c>
      <c r="G173" s="712">
        <v>0</v>
      </c>
      <c r="H173" s="712">
        <v>0</v>
      </c>
      <c r="I173" s="712">
        <v>0</v>
      </c>
      <c r="J173" s="712">
        <v>0</v>
      </c>
      <c r="K173" s="712">
        <v>0</v>
      </c>
      <c r="L173" s="712">
        <v>0</v>
      </c>
      <c r="M173" s="712">
        <v>0</v>
      </c>
      <c r="N173" s="712">
        <v>0</v>
      </c>
      <c r="O173" s="712">
        <v>0</v>
      </c>
      <c r="P173" s="712">
        <v>0</v>
      </c>
      <c r="Q173" s="712">
        <v>0</v>
      </c>
      <c r="R173" s="712">
        <v>0</v>
      </c>
      <c r="S173" s="712">
        <v>0</v>
      </c>
      <c r="T173" s="712">
        <v>0</v>
      </c>
      <c r="U173" s="712">
        <v>0</v>
      </c>
      <c r="V173" s="712">
        <v>0</v>
      </c>
      <c r="W173" s="712">
        <v>0</v>
      </c>
      <c r="X173" s="712">
        <v>0</v>
      </c>
      <c r="Y173" s="712">
        <v>0</v>
      </c>
      <c r="Z173" s="712">
        <v>0</v>
      </c>
      <c r="AA173" s="712">
        <v>0</v>
      </c>
      <c r="AB173" s="712">
        <v>0</v>
      </c>
      <c r="AC173" s="712">
        <v>0</v>
      </c>
      <c r="AD173" s="712">
        <v>0</v>
      </c>
      <c r="AE173" s="712">
        <v>0</v>
      </c>
      <c r="AF173" s="712">
        <v>0</v>
      </c>
      <c r="AG173" s="712">
        <v>0</v>
      </c>
      <c r="AH173" s="712">
        <v>0</v>
      </c>
      <c r="AI173" s="712">
        <v>0</v>
      </c>
      <c r="AJ173" s="712">
        <v>0</v>
      </c>
      <c r="AK173" s="712">
        <v>0</v>
      </c>
      <c r="AL173" s="712">
        <v>0</v>
      </c>
      <c r="AM173" s="712">
        <v>0</v>
      </c>
      <c r="AN173" s="712">
        <v>0</v>
      </c>
      <c r="AO173" s="712">
        <v>0</v>
      </c>
      <c r="AP173" s="712">
        <v>0</v>
      </c>
      <c r="AQ173" s="712">
        <v>0</v>
      </c>
      <c r="AR173" s="712">
        <v>0</v>
      </c>
      <c r="AS173" s="712">
        <v>0</v>
      </c>
      <c r="AT173">
        <v>0</v>
      </c>
      <c r="AU173" s="615"/>
      <c r="AV173" s="615"/>
      <c r="AW173" s="615"/>
      <c r="AX173" s="615"/>
      <c r="AY173" s="615"/>
      <c r="AZ173" s="615"/>
      <c r="BA173" s="615"/>
      <c r="BB173" s="615"/>
      <c r="BC173" s="615"/>
      <c r="BD173" s="615"/>
      <c r="BE173" s="615"/>
      <c r="BF173" s="615"/>
      <c r="BG173" s="615"/>
      <c r="BH173" s="615"/>
      <c r="BI173" s="615"/>
      <c r="BJ173" s="615"/>
      <c r="BK173" s="615"/>
      <c r="BL173" s="615"/>
      <c r="BM173" s="615"/>
      <c r="BN173" s="615"/>
      <c r="BO173" s="615"/>
      <c r="BP173" s="615"/>
      <c r="BQ173" s="615"/>
      <c r="BR173" s="615"/>
      <c r="BS173" s="615"/>
      <c r="BT173" s="615"/>
      <c r="BU173" s="615"/>
      <c r="BV173" s="615"/>
      <c r="BW173" s="615"/>
      <c r="BX173" s="607"/>
    </row>
    <row r="174" spans="1:76" s="612" customFormat="1" ht="25.5" x14ac:dyDescent="0.2">
      <c r="A174" s="839"/>
      <c r="B174" s="713" t="s">
        <v>3489</v>
      </c>
      <c r="C174" s="713" t="s">
        <v>1979</v>
      </c>
      <c r="D174" s="712">
        <v>0</v>
      </c>
      <c r="E174" s="712">
        <v>0</v>
      </c>
      <c r="F174" s="712">
        <v>0</v>
      </c>
      <c r="G174" s="712">
        <v>0</v>
      </c>
      <c r="H174" s="712">
        <v>0</v>
      </c>
      <c r="I174" s="712">
        <v>0</v>
      </c>
      <c r="J174" s="712">
        <v>0</v>
      </c>
      <c r="K174" s="712">
        <v>0</v>
      </c>
      <c r="L174" s="712">
        <v>0</v>
      </c>
      <c r="M174" s="712">
        <v>0</v>
      </c>
      <c r="N174" s="712">
        <v>0</v>
      </c>
      <c r="O174" s="712">
        <v>0</v>
      </c>
      <c r="P174" s="712">
        <v>0</v>
      </c>
      <c r="Q174" s="712">
        <v>0</v>
      </c>
      <c r="R174" s="712">
        <v>0</v>
      </c>
      <c r="S174" s="712">
        <v>0</v>
      </c>
      <c r="T174" s="712">
        <v>0</v>
      </c>
      <c r="U174" s="712">
        <v>0</v>
      </c>
      <c r="V174" s="712">
        <v>0</v>
      </c>
      <c r="W174" s="712">
        <v>0</v>
      </c>
      <c r="X174" s="712">
        <v>0</v>
      </c>
      <c r="Y174" s="712">
        <v>0</v>
      </c>
      <c r="Z174" s="712">
        <v>0</v>
      </c>
      <c r="AA174" s="712">
        <v>0</v>
      </c>
      <c r="AB174" s="712">
        <v>0</v>
      </c>
      <c r="AC174" s="712">
        <v>0</v>
      </c>
      <c r="AD174" s="712">
        <v>0</v>
      </c>
      <c r="AE174" s="712">
        <v>0</v>
      </c>
      <c r="AF174" s="712">
        <v>0</v>
      </c>
      <c r="AG174" s="712">
        <v>0</v>
      </c>
      <c r="AH174" s="712">
        <v>0</v>
      </c>
      <c r="AI174" s="712">
        <v>0</v>
      </c>
      <c r="AJ174" s="712">
        <v>0</v>
      </c>
      <c r="AK174" s="712">
        <v>0</v>
      </c>
      <c r="AL174" s="712">
        <v>0</v>
      </c>
      <c r="AM174" s="712">
        <v>0</v>
      </c>
      <c r="AN174" s="712">
        <v>0</v>
      </c>
      <c r="AO174" s="712">
        <v>0</v>
      </c>
      <c r="AP174" s="712">
        <v>0</v>
      </c>
      <c r="AQ174" s="712">
        <v>0</v>
      </c>
      <c r="AR174" s="712">
        <v>0</v>
      </c>
      <c r="AS174" s="712">
        <v>0</v>
      </c>
      <c r="AT174">
        <v>0</v>
      </c>
      <c r="AU174" s="615"/>
      <c r="AV174" s="615"/>
      <c r="AW174" s="615"/>
      <c r="AX174" s="615"/>
      <c r="AY174" s="615"/>
      <c r="AZ174" s="615"/>
      <c r="BA174" s="615"/>
      <c r="BB174" s="615"/>
      <c r="BC174" s="615"/>
      <c r="BD174" s="615"/>
      <c r="BE174" s="615"/>
      <c r="BF174" s="615"/>
      <c r="BG174" s="615"/>
      <c r="BH174" s="615"/>
      <c r="BI174" s="615"/>
      <c r="BJ174" s="615"/>
      <c r="BK174" s="615"/>
      <c r="BL174" s="615"/>
      <c r="BM174" s="615"/>
      <c r="BN174" s="615"/>
      <c r="BO174" s="615"/>
      <c r="BP174" s="615"/>
      <c r="BQ174" s="615"/>
      <c r="BR174" s="615"/>
      <c r="BS174" s="615"/>
      <c r="BT174" s="615"/>
      <c r="BU174" s="615"/>
      <c r="BV174" s="615"/>
      <c r="BW174" s="615"/>
      <c r="BX174" s="607"/>
    </row>
    <row r="175" spans="1:76" s="612" customFormat="1" ht="25.5" x14ac:dyDescent="0.2">
      <c r="A175" s="839"/>
      <c r="B175" s="713" t="s">
        <v>1074</v>
      </c>
      <c r="C175" s="713" t="s">
        <v>1922</v>
      </c>
      <c r="D175" s="712">
        <v>0</v>
      </c>
      <c r="E175" s="712">
        <v>0</v>
      </c>
      <c r="F175" s="712">
        <v>0</v>
      </c>
      <c r="G175" s="712">
        <v>0</v>
      </c>
      <c r="H175" s="712">
        <v>0</v>
      </c>
      <c r="I175" s="712">
        <v>0</v>
      </c>
      <c r="J175" s="712">
        <v>0</v>
      </c>
      <c r="K175" s="712">
        <v>0</v>
      </c>
      <c r="L175" s="712">
        <v>0</v>
      </c>
      <c r="M175" s="712">
        <v>0</v>
      </c>
      <c r="N175" s="712">
        <v>0</v>
      </c>
      <c r="O175" s="712">
        <v>0</v>
      </c>
      <c r="P175" s="712">
        <v>0</v>
      </c>
      <c r="Q175" s="712">
        <v>0</v>
      </c>
      <c r="R175" s="712">
        <v>0</v>
      </c>
      <c r="S175" s="712">
        <v>0</v>
      </c>
      <c r="T175" s="712">
        <v>0</v>
      </c>
      <c r="U175" s="712">
        <v>0</v>
      </c>
      <c r="V175" s="712">
        <v>0</v>
      </c>
      <c r="W175" s="712">
        <v>0</v>
      </c>
      <c r="X175" s="712">
        <v>0</v>
      </c>
      <c r="Y175" s="712">
        <v>0</v>
      </c>
      <c r="Z175" s="712">
        <v>0</v>
      </c>
      <c r="AA175" s="712">
        <v>0</v>
      </c>
      <c r="AB175" s="712">
        <v>0</v>
      </c>
      <c r="AC175" s="712">
        <v>0</v>
      </c>
      <c r="AD175" s="712">
        <v>0</v>
      </c>
      <c r="AE175" s="712">
        <v>0</v>
      </c>
      <c r="AF175" s="712">
        <v>0</v>
      </c>
      <c r="AG175" s="712">
        <v>0</v>
      </c>
      <c r="AH175" s="712">
        <v>0</v>
      </c>
      <c r="AI175" s="712">
        <v>0</v>
      </c>
      <c r="AJ175" s="712">
        <v>0</v>
      </c>
      <c r="AK175" s="712">
        <v>0</v>
      </c>
      <c r="AL175" s="712">
        <v>0</v>
      </c>
      <c r="AM175" s="712">
        <v>0</v>
      </c>
      <c r="AN175" s="712">
        <v>0</v>
      </c>
      <c r="AO175" s="712">
        <v>0</v>
      </c>
      <c r="AP175" s="712">
        <v>0</v>
      </c>
      <c r="AQ175" s="712">
        <v>0</v>
      </c>
      <c r="AR175" s="712">
        <v>0</v>
      </c>
      <c r="AS175" s="712">
        <v>0</v>
      </c>
      <c r="AT175">
        <v>0</v>
      </c>
      <c r="AU175" s="615"/>
      <c r="AV175" s="615"/>
      <c r="AW175" s="615"/>
      <c r="AX175" s="615"/>
      <c r="AY175" s="615"/>
      <c r="AZ175" s="615"/>
      <c r="BA175" s="615"/>
      <c r="BB175" s="615"/>
      <c r="BC175" s="615"/>
      <c r="BD175" s="615"/>
      <c r="BE175" s="615"/>
      <c r="BF175" s="615"/>
      <c r="BG175" s="615"/>
      <c r="BH175" s="615"/>
      <c r="BI175" s="615"/>
      <c r="BJ175" s="615"/>
      <c r="BK175" s="615"/>
      <c r="BL175" s="615"/>
      <c r="BM175" s="615"/>
      <c r="BN175" s="615"/>
      <c r="BO175" s="615"/>
      <c r="BP175" s="615"/>
      <c r="BQ175" s="615"/>
      <c r="BR175" s="615"/>
      <c r="BS175" s="615"/>
      <c r="BT175" s="615"/>
      <c r="BU175" s="615"/>
      <c r="BV175" s="615"/>
      <c r="BW175" s="615"/>
      <c r="BX175" s="607"/>
    </row>
    <row r="176" spans="1:76" s="612" customFormat="1" ht="12.75" x14ac:dyDescent="0.2">
      <c r="A176" s="839"/>
      <c r="B176" s="713" t="s">
        <v>1677</v>
      </c>
      <c r="C176" s="713" t="s">
        <v>1930</v>
      </c>
      <c r="D176" s="712">
        <v>0</v>
      </c>
      <c r="E176" s="712">
        <v>0</v>
      </c>
      <c r="F176" s="712">
        <v>0</v>
      </c>
      <c r="G176" s="712">
        <v>0</v>
      </c>
      <c r="H176" s="712">
        <v>0</v>
      </c>
      <c r="I176" s="712">
        <v>0</v>
      </c>
      <c r="J176" s="712">
        <v>0</v>
      </c>
      <c r="K176" s="712">
        <v>0</v>
      </c>
      <c r="L176" s="712">
        <v>0</v>
      </c>
      <c r="M176" s="712">
        <v>0</v>
      </c>
      <c r="N176" s="712">
        <v>0</v>
      </c>
      <c r="O176" s="712">
        <v>0</v>
      </c>
      <c r="P176" s="712">
        <v>0</v>
      </c>
      <c r="Q176" s="712">
        <v>0</v>
      </c>
      <c r="R176" s="712">
        <v>0</v>
      </c>
      <c r="S176" s="712">
        <v>0</v>
      </c>
      <c r="T176" s="712">
        <v>0</v>
      </c>
      <c r="U176" s="712">
        <v>0</v>
      </c>
      <c r="V176" s="712">
        <v>0</v>
      </c>
      <c r="W176" s="712">
        <v>0</v>
      </c>
      <c r="X176" s="712">
        <v>0</v>
      </c>
      <c r="Y176" s="712">
        <v>0</v>
      </c>
      <c r="Z176" s="712">
        <v>0</v>
      </c>
      <c r="AA176" s="712">
        <v>0</v>
      </c>
      <c r="AB176" s="712">
        <v>0</v>
      </c>
      <c r="AC176" s="712">
        <v>0</v>
      </c>
      <c r="AD176" s="712">
        <v>0</v>
      </c>
      <c r="AE176" s="712">
        <v>0</v>
      </c>
      <c r="AF176" s="712">
        <v>0</v>
      </c>
      <c r="AG176" s="712">
        <v>0</v>
      </c>
      <c r="AH176" s="712">
        <v>0</v>
      </c>
      <c r="AI176" s="712">
        <v>0</v>
      </c>
      <c r="AJ176" s="712">
        <v>0</v>
      </c>
      <c r="AK176" s="712">
        <v>0</v>
      </c>
      <c r="AL176" s="712">
        <v>0</v>
      </c>
      <c r="AM176" s="712">
        <v>0</v>
      </c>
      <c r="AN176" s="712">
        <v>0</v>
      </c>
      <c r="AO176" s="712">
        <v>0</v>
      </c>
      <c r="AP176" s="712">
        <v>0</v>
      </c>
      <c r="AQ176" s="712">
        <v>0</v>
      </c>
      <c r="AR176" s="712">
        <v>0</v>
      </c>
      <c r="AS176" s="712">
        <v>0</v>
      </c>
      <c r="AT176">
        <v>0</v>
      </c>
      <c r="AU176" s="615"/>
      <c r="AV176" s="615"/>
      <c r="AW176" s="615"/>
      <c r="AX176" s="615"/>
      <c r="AY176" s="615"/>
      <c r="AZ176" s="615"/>
      <c r="BA176" s="615"/>
      <c r="BB176" s="615"/>
      <c r="BC176" s="615"/>
      <c r="BD176" s="615"/>
      <c r="BE176" s="615"/>
      <c r="BF176" s="615"/>
      <c r="BG176" s="615"/>
      <c r="BH176" s="615"/>
      <c r="BI176" s="615"/>
      <c r="BJ176" s="615"/>
      <c r="BK176" s="615"/>
      <c r="BL176" s="615"/>
      <c r="BM176" s="615"/>
      <c r="BN176" s="615"/>
      <c r="BO176" s="615"/>
      <c r="BP176" s="615"/>
      <c r="BQ176" s="615"/>
      <c r="BR176" s="615"/>
      <c r="BS176" s="615"/>
      <c r="BT176" s="615"/>
      <c r="BU176" s="615"/>
      <c r="BV176" s="615"/>
      <c r="BW176" s="615"/>
      <c r="BX176" s="607"/>
    </row>
    <row r="177" spans="1:76" s="612" customFormat="1" ht="25.5" x14ac:dyDescent="0.2">
      <c r="A177" s="839"/>
      <c r="B177" s="713" t="s">
        <v>1176</v>
      </c>
      <c r="C177" s="713" t="s">
        <v>1943</v>
      </c>
      <c r="D177" s="712">
        <v>0</v>
      </c>
      <c r="E177" s="712">
        <v>0</v>
      </c>
      <c r="F177" s="712">
        <v>0</v>
      </c>
      <c r="G177" s="712">
        <v>0</v>
      </c>
      <c r="H177" s="712">
        <v>0</v>
      </c>
      <c r="I177" s="712">
        <v>0</v>
      </c>
      <c r="J177" s="712">
        <v>0</v>
      </c>
      <c r="K177" s="712">
        <v>0</v>
      </c>
      <c r="L177" s="712">
        <v>0</v>
      </c>
      <c r="M177" s="712">
        <v>0</v>
      </c>
      <c r="N177" s="712">
        <v>0</v>
      </c>
      <c r="O177" s="712">
        <v>0</v>
      </c>
      <c r="P177" s="712">
        <v>0</v>
      </c>
      <c r="Q177" s="712">
        <v>0</v>
      </c>
      <c r="R177" s="712">
        <v>0</v>
      </c>
      <c r="S177" s="712">
        <v>0</v>
      </c>
      <c r="T177" s="712">
        <v>0</v>
      </c>
      <c r="U177" s="712">
        <v>0</v>
      </c>
      <c r="V177" s="712">
        <v>0</v>
      </c>
      <c r="W177" s="712">
        <v>0</v>
      </c>
      <c r="X177" s="712">
        <v>0</v>
      </c>
      <c r="Y177" s="712">
        <v>0</v>
      </c>
      <c r="Z177" s="712">
        <v>0</v>
      </c>
      <c r="AA177" s="712">
        <v>0</v>
      </c>
      <c r="AB177" s="712">
        <v>0</v>
      </c>
      <c r="AC177" s="712">
        <v>0</v>
      </c>
      <c r="AD177" s="712">
        <v>0</v>
      </c>
      <c r="AE177" s="712">
        <v>0</v>
      </c>
      <c r="AF177" s="712">
        <v>0</v>
      </c>
      <c r="AG177" s="712">
        <v>0</v>
      </c>
      <c r="AH177" s="712">
        <v>0</v>
      </c>
      <c r="AI177" s="712">
        <v>0</v>
      </c>
      <c r="AJ177" s="712">
        <v>0</v>
      </c>
      <c r="AK177" s="712">
        <v>0</v>
      </c>
      <c r="AL177" s="712">
        <v>0</v>
      </c>
      <c r="AM177" s="712">
        <v>0</v>
      </c>
      <c r="AN177" s="712">
        <v>0</v>
      </c>
      <c r="AO177" s="712">
        <v>0</v>
      </c>
      <c r="AP177" s="712">
        <v>0</v>
      </c>
      <c r="AQ177" s="712">
        <v>0</v>
      </c>
      <c r="AR177" s="712">
        <v>0</v>
      </c>
      <c r="AS177" s="712">
        <v>0</v>
      </c>
      <c r="AT177">
        <v>0</v>
      </c>
      <c r="AU177" s="615"/>
      <c r="AV177" s="615"/>
      <c r="AW177" s="615"/>
      <c r="AX177" s="615"/>
      <c r="AY177" s="615"/>
      <c r="AZ177" s="615"/>
      <c r="BA177" s="615"/>
      <c r="BB177" s="615"/>
      <c r="BC177" s="615"/>
      <c r="BD177" s="615"/>
      <c r="BE177" s="615"/>
      <c r="BF177" s="615"/>
      <c r="BG177" s="615"/>
      <c r="BH177" s="615"/>
      <c r="BI177" s="615"/>
      <c r="BJ177" s="615"/>
      <c r="BK177" s="615"/>
      <c r="BL177" s="615"/>
      <c r="BM177" s="615"/>
      <c r="BN177" s="615"/>
      <c r="BO177" s="615"/>
      <c r="BP177" s="615"/>
      <c r="BQ177" s="615"/>
      <c r="BR177" s="615"/>
      <c r="BS177" s="615"/>
      <c r="BT177" s="615"/>
      <c r="BU177" s="615"/>
      <c r="BV177" s="615"/>
      <c r="BW177" s="615"/>
      <c r="BX177" s="607"/>
    </row>
    <row r="178" spans="1:76" s="612" customFormat="1" ht="25.5" x14ac:dyDescent="0.2">
      <c r="A178" s="839"/>
      <c r="B178" s="713" t="s">
        <v>1682</v>
      </c>
      <c r="C178" s="713" t="s">
        <v>1973</v>
      </c>
      <c r="D178" s="712">
        <v>0</v>
      </c>
      <c r="E178" s="712">
        <v>0</v>
      </c>
      <c r="F178" s="712">
        <v>0</v>
      </c>
      <c r="G178" s="712">
        <v>0</v>
      </c>
      <c r="H178" s="712">
        <v>0</v>
      </c>
      <c r="I178" s="712">
        <v>0</v>
      </c>
      <c r="J178" s="712">
        <v>0</v>
      </c>
      <c r="K178" s="712">
        <v>0</v>
      </c>
      <c r="L178" s="712">
        <v>0</v>
      </c>
      <c r="M178" s="712">
        <v>0</v>
      </c>
      <c r="N178" s="712">
        <v>0</v>
      </c>
      <c r="O178" s="712">
        <v>0</v>
      </c>
      <c r="P178" s="712">
        <v>0</v>
      </c>
      <c r="Q178" s="712">
        <v>0</v>
      </c>
      <c r="R178" s="712">
        <v>0</v>
      </c>
      <c r="S178" s="712">
        <v>0</v>
      </c>
      <c r="T178" s="712">
        <v>0</v>
      </c>
      <c r="U178" s="712">
        <v>0</v>
      </c>
      <c r="V178" s="712">
        <v>0</v>
      </c>
      <c r="W178" s="712">
        <v>0</v>
      </c>
      <c r="X178" s="712">
        <v>0</v>
      </c>
      <c r="Y178" s="712">
        <v>0</v>
      </c>
      <c r="Z178" s="712">
        <v>0</v>
      </c>
      <c r="AA178" s="712">
        <v>0</v>
      </c>
      <c r="AB178" s="712">
        <v>0</v>
      </c>
      <c r="AC178" s="712">
        <v>0</v>
      </c>
      <c r="AD178" s="712">
        <v>0</v>
      </c>
      <c r="AE178" s="712">
        <v>0</v>
      </c>
      <c r="AF178" s="712">
        <v>0</v>
      </c>
      <c r="AG178" s="712">
        <v>0</v>
      </c>
      <c r="AH178" s="712">
        <v>0</v>
      </c>
      <c r="AI178" s="712">
        <v>0</v>
      </c>
      <c r="AJ178" s="712">
        <v>0</v>
      </c>
      <c r="AK178" s="712">
        <v>0</v>
      </c>
      <c r="AL178" s="712">
        <v>0</v>
      </c>
      <c r="AM178" s="712">
        <v>0</v>
      </c>
      <c r="AN178" s="712">
        <v>0</v>
      </c>
      <c r="AO178" s="712">
        <v>0</v>
      </c>
      <c r="AP178" s="712">
        <v>0</v>
      </c>
      <c r="AQ178" s="712">
        <v>0</v>
      </c>
      <c r="AR178" s="712">
        <v>0</v>
      </c>
      <c r="AS178" s="712">
        <v>0</v>
      </c>
      <c r="AT178">
        <v>0</v>
      </c>
      <c r="AU178" s="615"/>
      <c r="AV178" s="615"/>
      <c r="AW178" s="615"/>
      <c r="AX178" s="615"/>
      <c r="AY178" s="615"/>
      <c r="AZ178" s="615"/>
      <c r="BA178" s="615"/>
      <c r="BB178" s="615"/>
      <c r="BC178" s="615"/>
      <c r="BD178" s="615"/>
      <c r="BE178" s="615"/>
      <c r="BF178" s="615"/>
      <c r="BG178" s="615"/>
      <c r="BH178" s="615"/>
      <c r="BI178" s="615"/>
      <c r="BJ178" s="615"/>
      <c r="BK178" s="615"/>
      <c r="BL178" s="615"/>
      <c r="BM178" s="615"/>
      <c r="BN178" s="615"/>
      <c r="BO178" s="615"/>
      <c r="BP178" s="615"/>
      <c r="BQ178" s="615"/>
      <c r="BR178" s="615"/>
      <c r="BS178" s="615"/>
      <c r="BT178" s="615"/>
      <c r="BU178" s="615"/>
      <c r="BV178" s="615"/>
      <c r="BW178" s="615"/>
      <c r="BX178" s="607"/>
    </row>
    <row r="179" spans="1:76" s="612" customFormat="1" ht="12.75" x14ac:dyDescent="0.2">
      <c r="A179" s="839"/>
      <c r="B179" s="838" t="s">
        <v>3261</v>
      </c>
      <c r="C179" s="713" t="s">
        <v>1933</v>
      </c>
      <c r="D179" s="712">
        <v>0</v>
      </c>
      <c r="E179" s="712">
        <v>0</v>
      </c>
      <c r="F179" s="712">
        <v>0</v>
      </c>
      <c r="G179" s="712">
        <v>0</v>
      </c>
      <c r="H179" s="712">
        <v>0</v>
      </c>
      <c r="I179" s="712">
        <v>0</v>
      </c>
      <c r="J179" s="712">
        <v>0</v>
      </c>
      <c r="K179" s="712">
        <v>0</v>
      </c>
      <c r="L179" s="712">
        <v>0</v>
      </c>
      <c r="M179" s="712">
        <v>58313</v>
      </c>
      <c r="N179" s="712">
        <v>0</v>
      </c>
      <c r="O179" s="712">
        <v>0</v>
      </c>
      <c r="P179" s="712">
        <v>0</v>
      </c>
      <c r="Q179" s="712">
        <v>0</v>
      </c>
      <c r="R179" s="712">
        <v>0</v>
      </c>
      <c r="S179" s="712">
        <v>0</v>
      </c>
      <c r="T179" s="712">
        <v>0</v>
      </c>
      <c r="U179" s="712">
        <v>0</v>
      </c>
      <c r="V179" s="712">
        <v>0</v>
      </c>
      <c r="W179" s="712">
        <v>0</v>
      </c>
      <c r="X179" s="712">
        <v>0</v>
      </c>
      <c r="Y179" s="712">
        <v>0</v>
      </c>
      <c r="Z179" s="712">
        <v>0</v>
      </c>
      <c r="AA179" s="712">
        <v>0</v>
      </c>
      <c r="AB179" s="712">
        <v>0</v>
      </c>
      <c r="AC179" s="712">
        <v>0</v>
      </c>
      <c r="AD179" s="712">
        <v>0</v>
      </c>
      <c r="AE179" s="712">
        <v>0</v>
      </c>
      <c r="AF179" s="712">
        <v>0</v>
      </c>
      <c r="AG179" s="712">
        <v>0</v>
      </c>
      <c r="AH179" s="712">
        <v>0</v>
      </c>
      <c r="AI179" s="712">
        <v>0</v>
      </c>
      <c r="AJ179" s="712">
        <v>0</v>
      </c>
      <c r="AK179" s="712">
        <v>0</v>
      </c>
      <c r="AL179" s="712">
        <v>0</v>
      </c>
      <c r="AM179" s="712">
        <v>0</v>
      </c>
      <c r="AN179" s="712">
        <v>0</v>
      </c>
      <c r="AO179" s="712">
        <v>0</v>
      </c>
      <c r="AP179" s="712">
        <v>0</v>
      </c>
      <c r="AQ179" s="712">
        <v>0</v>
      </c>
      <c r="AR179" s="712">
        <v>0</v>
      </c>
      <c r="AS179" s="712">
        <v>0</v>
      </c>
      <c r="AT179">
        <v>58313</v>
      </c>
      <c r="AU179" s="615"/>
      <c r="AV179" s="615"/>
      <c r="AW179" s="615"/>
      <c r="AX179" s="615"/>
      <c r="AY179" s="615"/>
      <c r="AZ179" s="615"/>
      <c r="BA179" s="615"/>
      <c r="BB179" s="615"/>
      <c r="BC179" s="615"/>
      <c r="BD179" s="615"/>
      <c r="BE179" s="615"/>
      <c r="BF179" s="615"/>
      <c r="BG179" s="615"/>
      <c r="BH179" s="615"/>
      <c r="BI179" s="615"/>
      <c r="BJ179" s="615"/>
      <c r="BK179" s="615"/>
      <c r="BL179" s="615"/>
      <c r="BM179" s="615"/>
      <c r="BN179" s="615"/>
      <c r="BO179" s="615"/>
      <c r="BP179" s="615"/>
      <c r="BQ179" s="615"/>
      <c r="BR179" s="615"/>
      <c r="BS179" s="615"/>
      <c r="BT179" s="615"/>
      <c r="BU179" s="615"/>
      <c r="BV179" s="615"/>
      <c r="BW179" s="615"/>
      <c r="BX179" s="607"/>
    </row>
    <row r="180" spans="1:76" s="612" customFormat="1" ht="12.75" x14ac:dyDescent="0.2">
      <c r="A180" s="839"/>
      <c r="B180" s="839"/>
      <c r="C180" s="713" t="s">
        <v>3135</v>
      </c>
      <c r="D180" s="712">
        <v>0</v>
      </c>
      <c r="E180" s="712">
        <v>0</v>
      </c>
      <c r="F180" s="712">
        <v>0</v>
      </c>
      <c r="G180" s="712">
        <v>0</v>
      </c>
      <c r="H180" s="712">
        <v>0</v>
      </c>
      <c r="I180" s="712">
        <v>0</v>
      </c>
      <c r="J180" s="712">
        <v>0</v>
      </c>
      <c r="K180" s="712">
        <v>0</v>
      </c>
      <c r="L180" s="712">
        <v>0</v>
      </c>
      <c r="M180" s="712">
        <v>0</v>
      </c>
      <c r="N180" s="712">
        <v>0</v>
      </c>
      <c r="O180" s="712">
        <v>0</v>
      </c>
      <c r="P180" s="712">
        <v>0</v>
      </c>
      <c r="Q180" s="712">
        <v>0</v>
      </c>
      <c r="R180" s="712">
        <v>0</v>
      </c>
      <c r="S180" s="712">
        <v>0</v>
      </c>
      <c r="T180" s="712">
        <v>0</v>
      </c>
      <c r="U180" s="712">
        <v>0</v>
      </c>
      <c r="V180" s="712">
        <v>0</v>
      </c>
      <c r="W180" s="712">
        <v>0</v>
      </c>
      <c r="X180" s="712">
        <v>0</v>
      </c>
      <c r="Y180" s="712">
        <v>0</v>
      </c>
      <c r="Z180" s="712">
        <v>0</v>
      </c>
      <c r="AA180" s="712">
        <v>0</v>
      </c>
      <c r="AB180" s="712">
        <v>0</v>
      </c>
      <c r="AC180" s="712">
        <v>0</v>
      </c>
      <c r="AD180" s="712">
        <v>0</v>
      </c>
      <c r="AE180" s="712">
        <v>0</v>
      </c>
      <c r="AF180" s="712">
        <v>0</v>
      </c>
      <c r="AG180" s="712">
        <v>0</v>
      </c>
      <c r="AH180" s="712">
        <v>0</v>
      </c>
      <c r="AI180" s="712">
        <v>0</v>
      </c>
      <c r="AJ180" s="712">
        <v>0</v>
      </c>
      <c r="AK180" s="712">
        <v>0</v>
      </c>
      <c r="AL180" s="712">
        <v>0</v>
      </c>
      <c r="AM180" s="712">
        <v>0</v>
      </c>
      <c r="AN180" s="712">
        <v>0</v>
      </c>
      <c r="AO180" s="712">
        <v>0</v>
      </c>
      <c r="AP180" s="712">
        <v>0</v>
      </c>
      <c r="AQ180" s="712">
        <v>0</v>
      </c>
      <c r="AR180" s="712">
        <v>0</v>
      </c>
      <c r="AS180" s="712">
        <v>0</v>
      </c>
      <c r="AT180">
        <v>0</v>
      </c>
      <c r="AU180" s="615"/>
      <c r="AV180" s="615"/>
      <c r="AW180" s="615"/>
      <c r="AX180" s="615"/>
      <c r="AY180" s="615"/>
      <c r="AZ180" s="615"/>
      <c r="BA180" s="615"/>
      <c r="BB180" s="615"/>
      <c r="BC180" s="615"/>
      <c r="BD180" s="615"/>
      <c r="BE180" s="615"/>
      <c r="BF180" s="615"/>
      <c r="BG180" s="615"/>
      <c r="BH180" s="615"/>
      <c r="BI180" s="615"/>
      <c r="BJ180" s="615"/>
      <c r="BK180" s="615"/>
      <c r="BL180" s="615"/>
      <c r="BM180" s="615"/>
      <c r="BN180" s="615"/>
      <c r="BO180" s="615"/>
      <c r="BP180" s="615"/>
      <c r="BQ180" s="615"/>
      <c r="BR180" s="615"/>
      <c r="BS180" s="615"/>
      <c r="BT180" s="615"/>
      <c r="BU180" s="615"/>
      <c r="BV180" s="615"/>
      <c r="BW180" s="615"/>
      <c r="BX180" s="607"/>
    </row>
    <row r="181" spans="1:76" s="612" customFormat="1" ht="25.5" x14ac:dyDescent="0.2">
      <c r="A181" s="839"/>
      <c r="B181" s="713" t="s">
        <v>1679</v>
      </c>
      <c r="C181" s="713" t="s">
        <v>1956</v>
      </c>
      <c r="D181" s="712">
        <v>0</v>
      </c>
      <c r="E181" s="712">
        <v>0</v>
      </c>
      <c r="F181" s="712">
        <v>0</v>
      </c>
      <c r="G181" s="712">
        <v>0</v>
      </c>
      <c r="H181" s="712">
        <v>0</v>
      </c>
      <c r="I181" s="712">
        <v>0</v>
      </c>
      <c r="J181" s="712">
        <v>0</v>
      </c>
      <c r="K181" s="712">
        <v>0</v>
      </c>
      <c r="L181" s="712">
        <v>0</v>
      </c>
      <c r="M181" s="712">
        <v>0</v>
      </c>
      <c r="N181" s="712">
        <v>0</v>
      </c>
      <c r="O181" s="712">
        <v>0</v>
      </c>
      <c r="P181" s="712">
        <v>0</v>
      </c>
      <c r="Q181" s="712">
        <v>0</v>
      </c>
      <c r="R181" s="712">
        <v>0</v>
      </c>
      <c r="S181" s="712">
        <v>0</v>
      </c>
      <c r="T181" s="712">
        <v>0</v>
      </c>
      <c r="U181" s="712">
        <v>0</v>
      </c>
      <c r="V181" s="712">
        <v>0</v>
      </c>
      <c r="W181" s="712">
        <v>0</v>
      </c>
      <c r="X181" s="712">
        <v>0</v>
      </c>
      <c r="Y181" s="712">
        <v>0</v>
      </c>
      <c r="Z181" s="712">
        <v>0</v>
      </c>
      <c r="AA181" s="712">
        <v>0</v>
      </c>
      <c r="AB181" s="712">
        <v>0</v>
      </c>
      <c r="AC181" s="712">
        <v>0</v>
      </c>
      <c r="AD181" s="712">
        <v>0</v>
      </c>
      <c r="AE181" s="712">
        <v>0</v>
      </c>
      <c r="AF181" s="712">
        <v>0</v>
      </c>
      <c r="AG181" s="712">
        <v>0</v>
      </c>
      <c r="AH181" s="712">
        <v>0</v>
      </c>
      <c r="AI181" s="712">
        <v>0</v>
      </c>
      <c r="AJ181" s="712">
        <v>0</v>
      </c>
      <c r="AK181" s="712">
        <v>0</v>
      </c>
      <c r="AL181" s="712">
        <v>0</v>
      </c>
      <c r="AM181" s="712">
        <v>0</v>
      </c>
      <c r="AN181" s="712">
        <v>0</v>
      </c>
      <c r="AO181" s="712">
        <v>0</v>
      </c>
      <c r="AP181" s="712">
        <v>0</v>
      </c>
      <c r="AQ181" s="712">
        <v>0</v>
      </c>
      <c r="AR181" s="712">
        <v>0</v>
      </c>
      <c r="AS181" s="712">
        <v>0</v>
      </c>
      <c r="AT181">
        <v>0</v>
      </c>
      <c r="AU181" s="615"/>
      <c r="AV181" s="615"/>
      <c r="AW181" s="615"/>
      <c r="AX181" s="615"/>
      <c r="AY181" s="615"/>
      <c r="AZ181" s="615"/>
      <c r="BA181" s="615"/>
      <c r="BB181" s="615"/>
      <c r="BC181" s="615"/>
      <c r="BD181" s="615"/>
      <c r="BE181" s="615"/>
      <c r="BF181" s="615"/>
      <c r="BG181" s="615"/>
      <c r="BH181" s="615"/>
      <c r="BI181" s="615"/>
      <c r="BJ181" s="615"/>
      <c r="BK181" s="615"/>
      <c r="BL181" s="615"/>
      <c r="BM181" s="615"/>
      <c r="BN181" s="615"/>
      <c r="BO181" s="615"/>
      <c r="BP181" s="615"/>
      <c r="BQ181" s="615"/>
      <c r="BR181" s="615"/>
      <c r="BS181" s="615"/>
      <c r="BT181" s="615"/>
      <c r="BU181" s="615"/>
      <c r="BV181" s="615"/>
      <c r="BW181" s="615"/>
      <c r="BX181" s="607"/>
    </row>
    <row r="182" spans="1:76" s="612" customFormat="1" ht="25.5" x14ac:dyDescent="0.2">
      <c r="A182" s="839"/>
      <c r="B182" s="713" t="s">
        <v>1678</v>
      </c>
      <c r="C182" s="713" t="s">
        <v>1942</v>
      </c>
      <c r="D182" s="712">
        <v>0</v>
      </c>
      <c r="E182" s="712">
        <v>0</v>
      </c>
      <c r="F182" s="712">
        <v>0</v>
      </c>
      <c r="G182" s="712">
        <v>0</v>
      </c>
      <c r="H182" s="712">
        <v>0</v>
      </c>
      <c r="I182" s="712">
        <v>0</v>
      </c>
      <c r="J182" s="712">
        <v>0</v>
      </c>
      <c r="K182" s="712">
        <v>0</v>
      </c>
      <c r="L182" s="712">
        <v>0</v>
      </c>
      <c r="M182" s="712">
        <v>1277687</v>
      </c>
      <c r="N182" s="712">
        <v>0</v>
      </c>
      <c r="O182" s="712">
        <v>0</v>
      </c>
      <c r="P182" s="712">
        <v>0</v>
      </c>
      <c r="Q182" s="712">
        <v>0</v>
      </c>
      <c r="R182" s="712">
        <v>0</v>
      </c>
      <c r="S182" s="712">
        <v>0</v>
      </c>
      <c r="T182" s="712">
        <v>0</v>
      </c>
      <c r="U182" s="712">
        <v>0</v>
      </c>
      <c r="V182" s="712">
        <v>0</v>
      </c>
      <c r="W182" s="712">
        <v>0</v>
      </c>
      <c r="X182" s="712">
        <v>0</v>
      </c>
      <c r="Y182" s="712">
        <v>0</v>
      </c>
      <c r="Z182" s="712">
        <v>0</v>
      </c>
      <c r="AA182" s="712">
        <v>0</v>
      </c>
      <c r="AB182" s="712">
        <v>0</v>
      </c>
      <c r="AC182" s="712">
        <v>0</v>
      </c>
      <c r="AD182" s="712">
        <v>0</v>
      </c>
      <c r="AE182" s="712">
        <v>0</v>
      </c>
      <c r="AF182" s="712">
        <v>0</v>
      </c>
      <c r="AG182" s="712">
        <v>0</v>
      </c>
      <c r="AH182" s="712">
        <v>0</v>
      </c>
      <c r="AI182" s="712">
        <v>0</v>
      </c>
      <c r="AJ182" s="712">
        <v>0</v>
      </c>
      <c r="AK182" s="712">
        <v>0</v>
      </c>
      <c r="AL182" s="712">
        <v>0</v>
      </c>
      <c r="AM182" s="712">
        <v>0</v>
      </c>
      <c r="AN182" s="712">
        <v>0</v>
      </c>
      <c r="AO182" s="712">
        <v>0</v>
      </c>
      <c r="AP182" s="712">
        <v>0</v>
      </c>
      <c r="AQ182" s="712">
        <v>0</v>
      </c>
      <c r="AR182" s="712">
        <v>0</v>
      </c>
      <c r="AS182" s="712">
        <v>0</v>
      </c>
      <c r="AT182">
        <v>1277687</v>
      </c>
      <c r="AU182" s="615"/>
      <c r="AV182" s="615"/>
      <c r="AW182" s="615"/>
      <c r="AX182" s="615"/>
      <c r="AY182" s="615"/>
      <c r="AZ182" s="615"/>
      <c r="BA182" s="615"/>
      <c r="BB182" s="615"/>
      <c r="BC182" s="615"/>
      <c r="BD182" s="615"/>
      <c r="BE182" s="615"/>
      <c r="BF182" s="615"/>
      <c r="BG182" s="615"/>
      <c r="BH182" s="615"/>
      <c r="BI182" s="615"/>
      <c r="BJ182" s="615"/>
      <c r="BK182" s="615"/>
      <c r="BL182" s="615"/>
      <c r="BM182" s="615"/>
      <c r="BN182" s="615"/>
      <c r="BO182" s="615"/>
      <c r="BP182" s="615"/>
      <c r="BQ182" s="615"/>
      <c r="BR182" s="615"/>
      <c r="BS182" s="615"/>
      <c r="BT182" s="615"/>
      <c r="BU182" s="615"/>
      <c r="BV182" s="615"/>
      <c r="BW182" s="615"/>
      <c r="BX182" s="607"/>
    </row>
    <row r="183" spans="1:76" s="612" customFormat="1" ht="25.5" x14ac:dyDescent="0.2">
      <c r="A183" s="839"/>
      <c r="B183" s="713" t="s">
        <v>1073</v>
      </c>
      <c r="C183" s="713" t="s">
        <v>1906</v>
      </c>
      <c r="D183" s="712">
        <v>0</v>
      </c>
      <c r="E183" s="712">
        <v>0</v>
      </c>
      <c r="F183" s="712">
        <v>0</v>
      </c>
      <c r="G183" s="712">
        <v>0</v>
      </c>
      <c r="H183" s="712">
        <v>0</v>
      </c>
      <c r="I183" s="712">
        <v>0</v>
      </c>
      <c r="J183" s="712">
        <v>0</v>
      </c>
      <c r="K183" s="712">
        <v>0</v>
      </c>
      <c r="L183" s="712">
        <v>0</v>
      </c>
      <c r="M183" s="712">
        <v>0</v>
      </c>
      <c r="N183" s="712">
        <v>0</v>
      </c>
      <c r="O183" s="712">
        <v>0</v>
      </c>
      <c r="P183" s="712">
        <v>0</v>
      </c>
      <c r="Q183" s="712">
        <v>0</v>
      </c>
      <c r="R183" s="712">
        <v>0</v>
      </c>
      <c r="S183" s="712">
        <v>0</v>
      </c>
      <c r="T183" s="712">
        <v>0</v>
      </c>
      <c r="U183" s="712">
        <v>0</v>
      </c>
      <c r="V183" s="712">
        <v>0</v>
      </c>
      <c r="W183" s="712">
        <v>0</v>
      </c>
      <c r="X183" s="712">
        <v>0</v>
      </c>
      <c r="Y183" s="712">
        <v>0</v>
      </c>
      <c r="Z183" s="712">
        <v>0</v>
      </c>
      <c r="AA183" s="712">
        <v>0</v>
      </c>
      <c r="AB183" s="712">
        <v>0</v>
      </c>
      <c r="AC183" s="712">
        <v>0</v>
      </c>
      <c r="AD183" s="712">
        <v>0</v>
      </c>
      <c r="AE183" s="712">
        <v>0</v>
      </c>
      <c r="AF183" s="712">
        <v>0</v>
      </c>
      <c r="AG183" s="712">
        <v>0</v>
      </c>
      <c r="AH183" s="712">
        <v>0</v>
      </c>
      <c r="AI183" s="712">
        <v>0</v>
      </c>
      <c r="AJ183" s="712">
        <v>0</v>
      </c>
      <c r="AK183" s="712">
        <v>0</v>
      </c>
      <c r="AL183" s="712">
        <v>0</v>
      </c>
      <c r="AM183" s="712">
        <v>0</v>
      </c>
      <c r="AN183" s="712">
        <v>0</v>
      </c>
      <c r="AO183" s="712">
        <v>0</v>
      </c>
      <c r="AP183" s="712">
        <v>0</v>
      </c>
      <c r="AQ183" s="712">
        <v>0</v>
      </c>
      <c r="AR183" s="712">
        <v>0</v>
      </c>
      <c r="AS183" s="712">
        <v>0</v>
      </c>
      <c r="AT183">
        <v>0</v>
      </c>
      <c r="AU183" s="615"/>
      <c r="AV183" s="615"/>
      <c r="AW183" s="615"/>
      <c r="AX183" s="615"/>
      <c r="AY183" s="615"/>
      <c r="AZ183" s="615"/>
      <c r="BA183" s="615"/>
      <c r="BB183" s="615"/>
      <c r="BC183" s="615"/>
      <c r="BD183" s="615"/>
      <c r="BE183" s="615"/>
      <c r="BF183" s="615"/>
      <c r="BG183" s="615"/>
      <c r="BH183" s="615"/>
      <c r="BI183" s="615"/>
      <c r="BJ183" s="615"/>
      <c r="BK183" s="615"/>
      <c r="BL183" s="615"/>
      <c r="BM183" s="615"/>
      <c r="BN183" s="615"/>
      <c r="BO183" s="615"/>
      <c r="BP183" s="615"/>
      <c r="BQ183" s="615"/>
      <c r="BR183" s="615"/>
      <c r="BS183" s="615"/>
      <c r="BT183" s="615"/>
      <c r="BU183" s="615"/>
      <c r="BV183" s="615"/>
      <c r="BW183" s="615"/>
      <c r="BX183" s="607"/>
    </row>
    <row r="184" spans="1:76" s="612" customFormat="1" ht="25.5" x14ac:dyDescent="0.2">
      <c r="A184" s="839"/>
      <c r="B184" s="713" t="s">
        <v>3262</v>
      </c>
      <c r="C184" s="713" t="s">
        <v>1936</v>
      </c>
      <c r="D184" s="712">
        <v>0</v>
      </c>
      <c r="E184" s="712">
        <v>0</v>
      </c>
      <c r="F184" s="712">
        <v>0</v>
      </c>
      <c r="G184" s="712">
        <v>0</v>
      </c>
      <c r="H184" s="712">
        <v>0</v>
      </c>
      <c r="I184" s="712">
        <v>0</v>
      </c>
      <c r="J184" s="712">
        <v>0</v>
      </c>
      <c r="K184" s="712">
        <v>0</v>
      </c>
      <c r="L184" s="712">
        <v>0</v>
      </c>
      <c r="M184" s="712">
        <v>0</v>
      </c>
      <c r="N184" s="712">
        <v>0</v>
      </c>
      <c r="O184" s="712">
        <v>0</v>
      </c>
      <c r="P184" s="712">
        <v>0</v>
      </c>
      <c r="Q184" s="712">
        <v>0</v>
      </c>
      <c r="R184" s="712">
        <v>0</v>
      </c>
      <c r="S184" s="712">
        <v>0</v>
      </c>
      <c r="T184" s="712">
        <v>0</v>
      </c>
      <c r="U184" s="712">
        <v>0</v>
      </c>
      <c r="V184" s="712">
        <v>0</v>
      </c>
      <c r="W184" s="712">
        <v>0</v>
      </c>
      <c r="X184" s="712">
        <v>0</v>
      </c>
      <c r="Y184" s="712">
        <v>0</v>
      </c>
      <c r="Z184" s="712">
        <v>0</v>
      </c>
      <c r="AA184" s="712">
        <v>0</v>
      </c>
      <c r="AB184" s="712">
        <v>0</v>
      </c>
      <c r="AC184" s="712">
        <v>0</v>
      </c>
      <c r="AD184" s="712">
        <v>0</v>
      </c>
      <c r="AE184" s="712">
        <v>0</v>
      </c>
      <c r="AF184" s="712">
        <v>0</v>
      </c>
      <c r="AG184" s="712">
        <v>0</v>
      </c>
      <c r="AH184" s="712">
        <v>0</v>
      </c>
      <c r="AI184" s="712">
        <v>0</v>
      </c>
      <c r="AJ184" s="712">
        <v>0</v>
      </c>
      <c r="AK184" s="712">
        <v>0</v>
      </c>
      <c r="AL184" s="712">
        <v>0</v>
      </c>
      <c r="AM184" s="712">
        <v>0</v>
      </c>
      <c r="AN184" s="712">
        <v>0</v>
      </c>
      <c r="AO184" s="712">
        <v>0</v>
      </c>
      <c r="AP184" s="712">
        <v>0</v>
      </c>
      <c r="AQ184" s="712">
        <v>0</v>
      </c>
      <c r="AR184" s="712">
        <v>0</v>
      </c>
      <c r="AS184" s="712">
        <v>0</v>
      </c>
      <c r="AT184">
        <v>0</v>
      </c>
      <c r="AU184" s="615"/>
      <c r="AV184" s="615"/>
      <c r="AW184" s="615"/>
      <c r="AX184" s="615"/>
      <c r="AY184" s="615"/>
      <c r="AZ184" s="615"/>
      <c r="BA184" s="615"/>
      <c r="BB184" s="615"/>
      <c r="BC184" s="615"/>
      <c r="BD184" s="615"/>
      <c r="BE184" s="615"/>
      <c r="BF184" s="615"/>
      <c r="BG184" s="615"/>
      <c r="BH184" s="615"/>
      <c r="BI184" s="615"/>
      <c r="BJ184" s="615"/>
      <c r="BK184" s="615"/>
      <c r="BL184" s="615"/>
      <c r="BM184" s="615"/>
      <c r="BN184" s="615"/>
      <c r="BO184" s="615"/>
      <c r="BP184" s="615"/>
      <c r="BQ184" s="615"/>
      <c r="BR184" s="615"/>
      <c r="BS184" s="615"/>
      <c r="BT184" s="615"/>
      <c r="BU184" s="615"/>
      <c r="BV184" s="615"/>
      <c r="BW184" s="615"/>
      <c r="BX184" s="607"/>
    </row>
    <row r="185" spans="1:76" s="612" customFormat="1" ht="12.75" x14ac:dyDescent="0.2">
      <c r="A185" s="839"/>
      <c r="B185" s="838" t="s">
        <v>3134</v>
      </c>
      <c r="C185" s="713" t="s">
        <v>1904</v>
      </c>
      <c r="D185" s="712">
        <v>0</v>
      </c>
      <c r="E185" s="712">
        <v>0</v>
      </c>
      <c r="F185" s="712">
        <v>0</v>
      </c>
      <c r="G185" s="712">
        <v>0</v>
      </c>
      <c r="H185" s="712">
        <v>0</v>
      </c>
      <c r="I185" s="712">
        <v>0</v>
      </c>
      <c r="J185" s="712">
        <v>0</v>
      </c>
      <c r="K185" s="712">
        <v>0</v>
      </c>
      <c r="L185" s="712">
        <v>0</v>
      </c>
      <c r="M185" s="712">
        <v>0</v>
      </c>
      <c r="N185" s="712">
        <v>0</v>
      </c>
      <c r="O185" s="712">
        <v>0</v>
      </c>
      <c r="P185" s="712">
        <v>1299233</v>
      </c>
      <c r="Q185" s="712">
        <v>0</v>
      </c>
      <c r="R185" s="712">
        <v>0</v>
      </c>
      <c r="S185" s="712">
        <v>0</v>
      </c>
      <c r="T185" s="712">
        <v>0</v>
      </c>
      <c r="U185" s="712">
        <v>0</v>
      </c>
      <c r="V185" s="712">
        <v>0</v>
      </c>
      <c r="W185" s="712">
        <v>0</v>
      </c>
      <c r="X185" s="712">
        <v>0</v>
      </c>
      <c r="Y185" s="712">
        <v>0</v>
      </c>
      <c r="Z185" s="712">
        <v>0</v>
      </c>
      <c r="AA185" s="712">
        <v>0</v>
      </c>
      <c r="AB185" s="712">
        <v>0</v>
      </c>
      <c r="AC185" s="712">
        <v>0</v>
      </c>
      <c r="AD185" s="712">
        <v>0</v>
      </c>
      <c r="AE185" s="712">
        <v>0</v>
      </c>
      <c r="AF185" s="712">
        <v>0</v>
      </c>
      <c r="AG185" s="712">
        <v>0</v>
      </c>
      <c r="AH185" s="712">
        <v>0</v>
      </c>
      <c r="AI185" s="712">
        <v>0</v>
      </c>
      <c r="AJ185" s="712">
        <v>0</v>
      </c>
      <c r="AK185" s="712">
        <v>0</v>
      </c>
      <c r="AL185" s="712">
        <v>0</v>
      </c>
      <c r="AM185" s="712">
        <v>0</v>
      </c>
      <c r="AN185" s="712">
        <v>0</v>
      </c>
      <c r="AO185" s="712">
        <v>0</v>
      </c>
      <c r="AP185" s="712">
        <v>0</v>
      </c>
      <c r="AQ185" s="712">
        <v>0</v>
      </c>
      <c r="AR185" s="712">
        <v>0</v>
      </c>
      <c r="AS185" s="712">
        <v>0</v>
      </c>
      <c r="AT185">
        <v>1299233</v>
      </c>
      <c r="AU185" s="615"/>
      <c r="AV185" s="615"/>
      <c r="AW185" s="615"/>
      <c r="AX185" s="615"/>
      <c r="AY185" s="615"/>
      <c r="AZ185" s="615"/>
      <c r="BA185" s="615"/>
      <c r="BB185" s="615"/>
      <c r="BC185" s="615"/>
      <c r="BD185" s="615"/>
      <c r="BE185" s="615"/>
      <c r="BF185" s="615"/>
      <c r="BG185" s="615"/>
      <c r="BH185" s="615"/>
      <c r="BI185" s="615"/>
      <c r="BJ185" s="615"/>
      <c r="BK185" s="615"/>
      <c r="BL185" s="615"/>
      <c r="BM185" s="615"/>
      <c r="BN185" s="615"/>
      <c r="BO185" s="615"/>
      <c r="BP185" s="615"/>
      <c r="BQ185" s="615"/>
      <c r="BR185" s="615"/>
      <c r="BS185" s="615"/>
      <c r="BT185" s="615"/>
      <c r="BU185" s="615"/>
      <c r="BV185" s="615"/>
      <c r="BW185" s="615"/>
      <c r="BX185" s="607"/>
    </row>
    <row r="186" spans="1:76" s="612" customFormat="1" ht="12.75" x14ac:dyDescent="0.2">
      <c r="A186" s="839"/>
      <c r="B186" s="839"/>
      <c r="C186" s="713" t="s">
        <v>3133</v>
      </c>
      <c r="D186" s="712">
        <v>0</v>
      </c>
      <c r="E186" s="712">
        <v>0</v>
      </c>
      <c r="F186" s="712">
        <v>0</v>
      </c>
      <c r="G186" s="712">
        <v>0</v>
      </c>
      <c r="H186" s="712">
        <v>0</v>
      </c>
      <c r="I186" s="712">
        <v>0</v>
      </c>
      <c r="J186" s="712">
        <v>0</v>
      </c>
      <c r="K186" s="712">
        <v>0</v>
      </c>
      <c r="L186" s="712">
        <v>0</v>
      </c>
      <c r="M186" s="712">
        <v>0</v>
      </c>
      <c r="N186" s="712">
        <v>0</v>
      </c>
      <c r="O186" s="712">
        <v>0</v>
      </c>
      <c r="P186" s="712">
        <v>0</v>
      </c>
      <c r="Q186" s="712">
        <v>0</v>
      </c>
      <c r="R186" s="712">
        <v>0</v>
      </c>
      <c r="S186" s="712">
        <v>0</v>
      </c>
      <c r="T186" s="712">
        <v>0</v>
      </c>
      <c r="U186" s="712">
        <v>0</v>
      </c>
      <c r="V186" s="712">
        <v>0</v>
      </c>
      <c r="W186" s="712">
        <v>0</v>
      </c>
      <c r="X186" s="712">
        <v>0</v>
      </c>
      <c r="Y186" s="712">
        <v>0</v>
      </c>
      <c r="Z186" s="712">
        <v>0</v>
      </c>
      <c r="AA186" s="712">
        <v>0</v>
      </c>
      <c r="AB186" s="712">
        <v>0</v>
      </c>
      <c r="AC186" s="712">
        <v>0</v>
      </c>
      <c r="AD186" s="712">
        <v>0</v>
      </c>
      <c r="AE186" s="712">
        <v>0</v>
      </c>
      <c r="AF186" s="712">
        <v>0</v>
      </c>
      <c r="AG186" s="712">
        <v>0</v>
      </c>
      <c r="AH186" s="712">
        <v>0</v>
      </c>
      <c r="AI186" s="712">
        <v>0</v>
      </c>
      <c r="AJ186" s="712">
        <v>0</v>
      </c>
      <c r="AK186" s="712">
        <v>0</v>
      </c>
      <c r="AL186" s="712">
        <v>0</v>
      </c>
      <c r="AM186" s="712">
        <v>0</v>
      </c>
      <c r="AN186" s="712">
        <v>0</v>
      </c>
      <c r="AO186" s="712">
        <v>0</v>
      </c>
      <c r="AP186" s="712">
        <v>0</v>
      </c>
      <c r="AQ186" s="712">
        <v>0</v>
      </c>
      <c r="AR186" s="712">
        <v>0</v>
      </c>
      <c r="AS186" s="712">
        <v>0</v>
      </c>
      <c r="AT186">
        <v>0</v>
      </c>
      <c r="AU186" s="615"/>
      <c r="AV186" s="615"/>
      <c r="AW186" s="615"/>
      <c r="AX186" s="615"/>
      <c r="AY186" s="615"/>
      <c r="AZ186" s="615"/>
      <c r="BA186" s="615"/>
      <c r="BB186" s="615"/>
      <c r="BC186" s="615"/>
      <c r="BD186" s="615"/>
      <c r="BE186" s="615"/>
      <c r="BF186" s="615"/>
      <c r="BG186" s="615"/>
      <c r="BH186" s="615"/>
      <c r="BI186" s="615"/>
      <c r="BJ186" s="615"/>
      <c r="BK186" s="615"/>
      <c r="BL186" s="615"/>
      <c r="BM186" s="615"/>
      <c r="BN186" s="615"/>
      <c r="BO186" s="615"/>
      <c r="BP186" s="615"/>
      <c r="BQ186" s="615"/>
      <c r="BR186" s="615"/>
      <c r="BS186" s="615"/>
      <c r="BT186" s="615"/>
      <c r="BU186" s="615"/>
      <c r="BV186" s="615"/>
      <c r="BW186" s="615"/>
      <c r="BX186" s="607"/>
    </row>
    <row r="187" spans="1:76" s="612" customFormat="1" ht="25.5" x14ac:dyDescent="0.2">
      <c r="A187" s="839"/>
      <c r="B187" s="713" t="s">
        <v>999</v>
      </c>
      <c r="C187" s="713" t="s">
        <v>1971</v>
      </c>
      <c r="D187" s="712">
        <v>0</v>
      </c>
      <c r="E187" s="712">
        <v>0</v>
      </c>
      <c r="F187" s="712">
        <v>0</v>
      </c>
      <c r="G187" s="712">
        <v>0</v>
      </c>
      <c r="H187" s="712">
        <v>0</v>
      </c>
      <c r="I187" s="712">
        <v>0</v>
      </c>
      <c r="J187" s="712">
        <v>0</v>
      </c>
      <c r="K187" s="712">
        <v>0</v>
      </c>
      <c r="L187" s="712">
        <v>0</v>
      </c>
      <c r="M187" s="712">
        <v>0</v>
      </c>
      <c r="N187" s="712">
        <v>0</v>
      </c>
      <c r="O187" s="712">
        <v>0</v>
      </c>
      <c r="P187" s="712">
        <v>0</v>
      </c>
      <c r="Q187" s="712">
        <v>0</v>
      </c>
      <c r="R187" s="712">
        <v>0</v>
      </c>
      <c r="S187" s="712">
        <v>0</v>
      </c>
      <c r="T187" s="712">
        <v>0</v>
      </c>
      <c r="U187" s="712">
        <v>0</v>
      </c>
      <c r="V187" s="712">
        <v>0</v>
      </c>
      <c r="W187" s="712">
        <v>0</v>
      </c>
      <c r="X187" s="712">
        <v>0</v>
      </c>
      <c r="Y187" s="712">
        <v>0</v>
      </c>
      <c r="Z187" s="712">
        <v>0</v>
      </c>
      <c r="AA187" s="712">
        <v>0</v>
      </c>
      <c r="AB187" s="712">
        <v>0</v>
      </c>
      <c r="AC187" s="712">
        <v>0</v>
      </c>
      <c r="AD187" s="712">
        <v>0</v>
      </c>
      <c r="AE187" s="712">
        <v>0</v>
      </c>
      <c r="AF187" s="712">
        <v>0</v>
      </c>
      <c r="AG187" s="712">
        <v>0</v>
      </c>
      <c r="AH187" s="712">
        <v>0</v>
      </c>
      <c r="AI187" s="712">
        <v>0</v>
      </c>
      <c r="AJ187" s="712">
        <v>0</v>
      </c>
      <c r="AK187" s="712">
        <v>0</v>
      </c>
      <c r="AL187" s="712">
        <v>0</v>
      </c>
      <c r="AM187" s="712">
        <v>0</v>
      </c>
      <c r="AN187" s="712">
        <v>0</v>
      </c>
      <c r="AO187" s="712">
        <v>0</v>
      </c>
      <c r="AP187" s="712">
        <v>0</v>
      </c>
      <c r="AQ187" s="712">
        <v>0</v>
      </c>
      <c r="AR187" s="712">
        <v>0</v>
      </c>
      <c r="AS187" s="712">
        <v>0</v>
      </c>
      <c r="AT187">
        <v>0</v>
      </c>
      <c r="AU187" s="615"/>
      <c r="AV187" s="615"/>
      <c r="AW187" s="615"/>
      <c r="AX187" s="615"/>
      <c r="AY187" s="615"/>
      <c r="AZ187" s="615"/>
      <c r="BA187" s="615"/>
      <c r="BB187" s="615"/>
      <c r="BC187" s="615"/>
      <c r="BD187" s="615"/>
      <c r="BE187" s="615"/>
      <c r="BF187" s="615"/>
      <c r="BG187" s="615"/>
      <c r="BH187" s="615"/>
      <c r="BI187" s="615"/>
      <c r="BJ187" s="615"/>
      <c r="BK187" s="615"/>
      <c r="BL187" s="615"/>
      <c r="BM187" s="615"/>
      <c r="BN187" s="615"/>
      <c r="BO187" s="615"/>
      <c r="BP187" s="615"/>
      <c r="BQ187" s="615"/>
      <c r="BR187" s="615"/>
      <c r="BS187" s="615"/>
      <c r="BT187" s="615"/>
      <c r="BU187" s="615"/>
      <c r="BV187" s="615"/>
      <c r="BW187" s="615"/>
      <c r="BX187" s="607"/>
    </row>
    <row r="188" spans="1:76" s="612" customFormat="1" ht="25.5" x14ac:dyDescent="0.2">
      <c r="A188" s="839"/>
      <c r="B188" s="713" t="s">
        <v>3335</v>
      </c>
      <c r="C188" s="713" t="s">
        <v>1965</v>
      </c>
      <c r="D188" s="712">
        <v>0</v>
      </c>
      <c r="E188" s="712">
        <v>0</v>
      </c>
      <c r="F188" s="712">
        <v>0</v>
      </c>
      <c r="G188" s="712">
        <v>0</v>
      </c>
      <c r="H188" s="712">
        <v>0</v>
      </c>
      <c r="I188" s="712">
        <v>0</v>
      </c>
      <c r="J188" s="712">
        <v>0</v>
      </c>
      <c r="K188" s="712">
        <v>0</v>
      </c>
      <c r="L188" s="712">
        <v>0</v>
      </c>
      <c r="M188" s="712">
        <v>0</v>
      </c>
      <c r="N188" s="712">
        <v>0</v>
      </c>
      <c r="O188" s="712">
        <v>0</v>
      </c>
      <c r="P188" s="712">
        <v>0</v>
      </c>
      <c r="Q188" s="712">
        <v>0</v>
      </c>
      <c r="R188" s="712">
        <v>0</v>
      </c>
      <c r="S188" s="712">
        <v>0</v>
      </c>
      <c r="T188" s="712">
        <v>0</v>
      </c>
      <c r="U188" s="712">
        <v>0</v>
      </c>
      <c r="V188" s="712">
        <v>0</v>
      </c>
      <c r="W188" s="712">
        <v>0</v>
      </c>
      <c r="X188" s="712">
        <v>0</v>
      </c>
      <c r="Y188" s="712">
        <v>0</v>
      </c>
      <c r="Z188" s="712">
        <v>0</v>
      </c>
      <c r="AA188" s="712">
        <v>0</v>
      </c>
      <c r="AB188" s="712">
        <v>0</v>
      </c>
      <c r="AC188" s="712">
        <v>0</v>
      </c>
      <c r="AD188" s="712">
        <v>0</v>
      </c>
      <c r="AE188" s="712">
        <v>0</v>
      </c>
      <c r="AF188" s="712">
        <v>0</v>
      </c>
      <c r="AG188" s="712">
        <v>0</v>
      </c>
      <c r="AH188" s="712">
        <v>0</v>
      </c>
      <c r="AI188" s="712">
        <v>0</v>
      </c>
      <c r="AJ188" s="712">
        <v>0</v>
      </c>
      <c r="AK188" s="712">
        <v>0</v>
      </c>
      <c r="AL188" s="712">
        <v>0</v>
      </c>
      <c r="AM188" s="712">
        <v>0</v>
      </c>
      <c r="AN188" s="712">
        <v>0</v>
      </c>
      <c r="AO188" s="712">
        <v>0</v>
      </c>
      <c r="AP188" s="712">
        <v>0</v>
      </c>
      <c r="AQ188" s="712">
        <v>0</v>
      </c>
      <c r="AR188" s="712">
        <v>0</v>
      </c>
      <c r="AS188" s="712">
        <v>0</v>
      </c>
      <c r="AT188">
        <v>0</v>
      </c>
      <c r="AU188" s="615"/>
      <c r="AV188" s="615"/>
      <c r="AW188" s="615"/>
      <c r="AX188" s="615"/>
      <c r="AY188" s="615"/>
      <c r="AZ188" s="615"/>
      <c r="BA188" s="615"/>
      <c r="BB188" s="615"/>
      <c r="BC188" s="615"/>
      <c r="BD188" s="615"/>
      <c r="BE188" s="615"/>
      <c r="BF188" s="615"/>
      <c r="BG188" s="615"/>
      <c r="BH188" s="615"/>
      <c r="BI188" s="615"/>
      <c r="BJ188" s="615"/>
      <c r="BK188" s="615"/>
      <c r="BL188" s="615"/>
      <c r="BM188" s="615"/>
      <c r="BN188" s="615"/>
      <c r="BO188" s="615"/>
      <c r="BP188" s="615"/>
      <c r="BQ188" s="615"/>
      <c r="BR188" s="615"/>
      <c r="BS188" s="615"/>
      <c r="BT188" s="615"/>
      <c r="BU188" s="615"/>
      <c r="BV188" s="615"/>
      <c r="BW188" s="615"/>
      <c r="BX188" s="607"/>
    </row>
    <row r="189" spans="1:76" s="612" customFormat="1" ht="25.5" x14ac:dyDescent="0.2">
      <c r="A189" s="839"/>
      <c r="B189" s="713" t="s">
        <v>1627</v>
      </c>
      <c r="C189" s="713" t="s">
        <v>1908</v>
      </c>
      <c r="D189" s="712">
        <v>0</v>
      </c>
      <c r="E189" s="712">
        <v>0</v>
      </c>
      <c r="F189" s="712">
        <v>0</v>
      </c>
      <c r="G189" s="712">
        <v>0</v>
      </c>
      <c r="H189" s="712">
        <v>0</v>
      </c>
      <c r="I189" s="712">
        <v>0</v>
      </c>
      <c r="J189" s="712">
        <v>0</v>
      </c>
      <c r="K189" s="712">
        <v>0</v>
      </c>
      <c r="L189" s="712">
        <v>0</v>
      </c>
      <c r="M189" s="712">
        <v>0</v>
      </c>
      <c r="N189" s="712">
        <v>0</v>
      </c>
      <c r="O189" s="712">
        <v>0</v>
      </c>
      <c r="P189" s="712">
        <v>0</v>
      </c>
      <c r="Q189" s="712">
        <v>0</v>
      </c>
      <c r="R189" s="712">
        <v>0</v>
      </c>
      <c r="S189" s="712">
        <v>0</v>
      </c>
      <c r="T189" s="712">
        <v>0</v>
      </c>
      <c r="U189" s="712">
        <v>0</v>
      </c>
      <c r="V189" s="712">
        <v>0</v>
      </c>
      <c r="W189" s="712">
        <v>0</v>
      </c>
      <c r="X189" s="712">
        <v>0</v>
      </c>
      <c r="Y189" s="712">
        <v>0</v>
      </c>
      <c r="Z189" s="712">
        <v>0</v>
      </c>
      <c r="AA189" s="712">
        <v>0</v>
      </c>
      <c r="AB189" s="712">
        <v>0</v>
      </c>
      <c r="AC189" s="712">
        <v>0</v>
      </c>
      <c r="AD189" s="712">
        <v>0</v>
      </c>
      <c r="AE189" s="712">
        <v>0</v>
      </c>
      <c r="AF189" s="712">
        <v>0</v>
      </c>
      <c r="AG189" s="712">
        <v>0</v>
      </c>
      <c r="AH189" s="712">
        <v>0</v>
      </c>
      <c r="AI189" s="712">
        <v>0</v>
      </c>
      <c r="AJ189" s="712">
        <v>0</v>
      </c>
      <c r="AK189" s="712">
        <v>0</v>
      </c>
      <c r="AL189" s="712">
        <v>0</v>
      </c>
      <c r="AM189" s="712">
        <v>0</v>
      </c>
      <c r="AN189" s="712">
        <v>0</v>
      </c>
      <c r="AO189" s="712">
        <v>0</v>
      </c>
      <c r="AP189" s="712">
        <v>0</v>
      </c>
      <c r="AQ189" s="712">
        <v>0</v>
      </c>
      <c r="AR189" s="712">
        <v>0</v>
      </c>
      <c r="AS189" s="712">
        <v>0</v>
      </c>
      <c r="AT189">
        <v>0</v>
      </c>
      <c r="AU189" s="615"/>
      <c r="AV189" s="615"/>
      <c r="AW189" s="615"/>
      <c r="AX189" s="615"/>
      <c r="AY189" s="615"/>
      <c r="AZ189" s="615"/>
      <c r="BA189" s="615"/>
      <c r="BB189" s="615"/>
      <c r="BC189" s="615"/>
      <c r="BD189" s="615"/>
      <c r="BE189" s="615"/>
      <c r="BF189" s="615"/>
      <c r="BG189" s="615"/>
      <c r="BH189" s="615"/>
      <c r="BI189" s="615"/>
      <c r="BJ189" s="615"/>
      <c r="BK189" s="615"/>
      <c r="BL189" s="615"/>
      <c r="BM189" s="615"/>
      <c r="BN189" s="615"/>
      <c r="BO189" s="615"/>
      <c r="BP189" s="615"/>
      <c r="BQ189" s="615"/>
      <c r="BR189" s="615"/>
      <c r="BS189" s="615"/>
      <c r="BT189" s="615"/>
      <c r="BU189" s="615"/>
      <c r="BV189" s="615"/>
      <c r="BW189" s="615"/>
      <c r="BX189" s="607"/>
    </row>
    <row r="190" spans="1:76" s="612" customFormat="1" ht="25.5" x14ac:dyDescent="0.2">
      <c r="A190" s="839"/>
      <c r="B190" s="713" t="s">
        <v>1558</v>
      </c>
      <c r="C190" s="713" t="s">
        <v>1901</v>
      </c>
      <c r="D190" s="712">
        <v>0</v>
      </c>
      <c r="E190" s="712">
        <v>0</v>
      </c>
      <c r="F190" s="712">
        <v>0</v>
      </c>
      <c r="G190" s="712">
        <v>0</v>
      </c>
      <c r="H190" s="712">
        <v>0</v>
      </c>
      <c r="I190" s="712">
        <v>0</v>
      </c>
      <c r="J190" s="712">
        <v>0</v>
      </c>
      <c r="K190" s="712">
        <v>0</v>
      </c>
      <c r="L190" s="712">
        <v>0</v>
      </c>
      <c r="M190" s="712">
        <v>0</v>
      </c>
      <c r="N190" s="712">
        <v>0</v>
      </c>
      <c r="O190" s="712">
        <v>0</v>
      </c>
      <c r="P190" s="712">
        <v>0</v>
      </c>
      <c r="Q190" s="712">
        <v>574272</v>
      </c>
      <c r="R190" s="712">
        <v>0</v>
      </c>
      <c r="S190" s="712">
        <v>0</v>
      </c>
      <c r="T190" s="712">
        <v>0</v>
      </c>
      <c r="U190" s="712">
        <v>0</v>
      </c>
      <c r="V190" s="712">
        <v>0</v>
      </c>
      <c r="W190" s="712">
        <v>0</v>
      </c>
      <c r="X190" s="712">
        <v>0</v>
      </c>
      <c r="Y190" s="712">
        <v>0</v>
      </c>
      <c r="Z190" s="712">
        <v>0</v>
      </c>
      <c r="AA190" s="712">
        <v>0</v>
      </c>
      <c r="AB190" s="712">
        <v>0</v>
      </c>
      <c r="AC190" s="712">
        <v>0</v>
      </c>
      <c r="AD190" s="712">
        <v>0</v>
      </c>
      <c r="AE190" s="712">
        <v>0</v>
      </c>
      <c r="AF190" s="712">
        <v>0</v>
      </c>
      <c r="AG190" s="712">
        <v>0</v>
      </c>
      <c r="AH190" s="712">
        <v>0</v>
      </c>
      <c r="AI190" s="712">
        <v>0</v>
      </c>
      <c r="AJ190" s="712">
        <v>0</v>
      </c>
      <c r="AK190" s="712">
        <v>0</v>
      </c>
      <c r="AL190" s="712">
        <v>0</v>
      </c>
      <c r="AM190" s="712">
        <v>0</v>
      </c>
      <c r="AN190" s="712">
        <v>0</v>
      </c>
      <c r="AO190" s="712">
        <v>0</v>
      </c>
      <c r="AP190" s="712">
        <v>0</v>
      </c>
      <c r="AQ190" s="712">
        <v>0</v>
      </c>
      <c r="AR190" s="712">
        <v>0</v>
      </c>
      <c r="AS190" s="712">
        <v>0</v>
      </c>
      <c r="AT190">
        <v>574272</v>
      </c>
      <c r="AU190" s="615"/>
      <c r="AV190" s="615"/>
      <c r="AW190" s="615"/>
      <c r="AX190" s="615"/>
      <c r="AY190" s="615"/>
      <c r="AZ190" s="615"/>
      <c r="BA190" s="615"/>
      <c r="BB190" s="615"/>
      <c r="BC190" s="615"/>
      <c r="BD190" s="615"/>
      <c r="BE190" s="615"/>
      <c r="BF190" s="615"/>
      <c r="BG190" s="615"/>
      <c r="BH190" s="615"/>
      <c r="BI190" s="615"/>
      <c r="BJ190" s="615"/>
      <c r="BK190" s="615"/>
      <c r="BL190" s="615"/>
      <c r="BM190" s="615"/>
      <c r="BN190" s="615"/>
      <c r="BO190" s="615"/>
      <c r="BP190" s="615"/>
      <c r="BQ190" s="615"/>
      <c r="BR190" s="615"/>
      <c r="BS190" s="615"/>
      <c r="BT190" s="615"/>
      <c r="BU190" s="615"/>
      <c r="BV190" s="615"/>
      <c r="BW190" s="615"/>
      <c r="BX190" s="607"/>
    </row>
    <row r="191" spans="1:76" s="612" customFormat="1" ht="25.5" x14ac:dyDescent="0.2">
      <c r="A191" s="839"/>
      <c r="B191" s="713" t="s">
        <v>1970</v>
      </c>
      <c r="C191" s="713" t="s">
        <v>1969</v>
      </c>
      <c r="D191" s="712">
        <v>0</v>
      </c>
      <c r="E191" s="712">
        <v>0</v>
      </c>
      <c r="F191" s="712">
        <v>0</v>
      </c>
      <c r="G191" s="712">
        <v>0</v>
      </c>
      <c r="H191" s="712">
        <v>0</v>
      </c>
      <c r="I191" s="712">
        <v>0</v>
      </c>
      <c r="J191" s="712">
        <v>0</v>
      </c>
      <c r="K191" s="712">
        <v>0</v>
      </c>
      <c r="L191" s="712">
        <v>0</v>
      </c>
      <c r="M191" s="712">
        <v>0</v>
      </c>
      <c r="N191" s="712">
        <v>0</v>
      </c>
      <c r="O191" s="712">
        <v>0</v>
      </c>
      <c r="P191" s="712">
        <v>0</v>
      </c>
      <c r="Q191" s="712">
        <v>0</v>
      </c>
      <c r="R191" s="712">
        <v>0</v>
      </c>
      <c r="S191" s="712">
        <v>0</v>
      </c>
      <c r="T191" s="712">
        <v>0</v>
      </c>
      <c r="U191" s="712">
        <v>0</v>
      </c>
      <c r="V191" s="712">
        <v>0</v>
      </c>
      <c r="W191" s="712">
        <v>0</v>
      </c>
      <c r="X191" s="712">
        <v>0</v>
      </c>
      <c r="Y191" s="712">
        <v>0</v>
      </c>
      <c r="Z191" s="712">
        <v>0</v>
      </c>
      <c r="AA191" s="712">
        <v>0</v>
      </c>
      <c r="AB191" s="712">
        <v>0</v>
      </c>
      <c r="AC191" s="712">
        <v>0</v>
      </c>
      <c r="AD191" s="712">
        <v>0</v>
      </c>
      <c r="AE191" s="712">
        <v>0</v>
      </c>
      <c r="AF191" s="712">
        <v>0</v>
      </c>
      <c r="AG191" s="712">
        <v>0</v>
      </c>
      <c r="AH191" s="712">
        <v>0</v>
      </c>
      <c r="AI191" s="712">
        <v>0</v>
      </c>
      <c r="AJ191" s="712">
        <v>0</v>
      </c>
      <c r="AK191" s="712">
        <v>0</v>
      </c>
      <c r="AL191" s="712">
        <v>0</v>
      </c>
      <c r="AM191" s="712">
        <v>0</v>
      </c>
      <c r="AN191" s="712">
        <v>0</v>
      </c>
      <c r="AO191" s="712">
        <v>0</v>
      </c>
      <c r="AP191" s="712">
        <v>0</v>
      </c>
      <c r="AQ191" s="712">
        <v>0</v>
      </c>
      <c r="AR191" s="712">
        <v>0</v>
      </c>
      <c r="AS191" s="712">
        <v>0</v>
      </c>
      <c r="AT191">
        <v>0</v>
      </c>
      <c r="AU191" s="615"/>
      <c r="AV191" s="615"/>
      <c r="AW191" s="615"/>
      <c r="AX191" s="615"/>
      <c r="AY191" s="615"/>
      <c r="AZ191" s="615"/>
      <c r="BA191" s="615"/>
      <c r="BB191" s="615"/>
      <c r="BC191" s="615"/>
      <c r="BD191" s="615"/>
      <c r="BE191" s="615"/>
      <c r="BF191" s="615"/>
      <c r="BG191" s="615"/>
      <c r="BH191" s="615"/>
      <c r="BI191" s="615"/>
      <c r="BJ191" s="615"/>
      <c r="BK191" s="615"/>
      <c r="BL191" s="615"/>
      <c r="BM191" s="615"/>
      <c r="BN191" s="615"/>
      <c r="BO191" s="615"/>
      <c r="BP191" s="615"/>
      <c r="BQ191" s="615"/>
      <c r="BR191" s="615"/>
      <c r="BS191" s="615"/>
      <c r="BT191" s="615"/>
      <c r="BU191" s="615"/>
      <c r="BV191" s="615"/>
      <c r="BW191" s="615"/>
      <c r="BX191" s="607"/>
    </row>
    <row r="192" spans="1:76" s="612" customFormat="1" ht="25.5" x14ac:dyDescent="0.2">
      <c r="A192" s="839"/>
      <c r="B192" s="713" t="s">
        <v>3337</v>
      </c>
      <c r="C192" s="713" t="s">
        <v>3336</v>
      </c>
      <c r="D192" s="712">
        <v>0</v>
      </c>
      <c r="E192" s="712">
        <v>0</v>
      </c>
      <c r="F192" s="712">
        <v>0</v>
      </c>
      <c r="G192" s="712">
        <v>0</v>
      </c>
      <c r="H192" s="712">
        <v>0</v>
      </c>
      <c r="I192" s="712">
        <v>0</v>
      </c>
      <c r="J192" s="712">
        <v>0</v>
      </c>
      <c r="K192" s="712">
        <v>0</v>
      </c>
      <c r="L192" s="712">
        <v>0</v>
      </c>
      <c r="M192" s="712">
        <v>0</v>
      </c>
      <c r="N192" s="712">
        <v>0</v>
      </c>
      <c r="O192" s="712">
        <v>0</v>
      </c>
      <c r="P192" s="712">
        <v>0</v>
      </c>
      <c r="Q192" s="712">
        <v>356869512</v>
      </c>
      <c r="R192" s="712">
        <v>0</v>
      </c>
      <c r="S192" s="712">
        <v>0</v>
      </c>
      <c r="T192" s="712">
        <v>0</v>
      </c>
      <c r="U192" s="712">
        <v>0</v>
      </c>
      <c r="V192" s="712">
        <v>0</v>
      </c>
      <c r="W192" s="712">
        <v>0</v>
      </c>
      <c r="X192" s="712">
        <v>0</v>
      </c>
      <c r="Y192" s="712">
        <v>0</v>
      </c>
      <c r="Z192" s="712">
        <v>0</v>
      </c>
      <c r="AA192" s="712">
        <v>0</v>
      </c>
      <c r="AB192" s="712">
        <v>0</v>
      </c>
      <c r="AC192" s="712">
        <v>0</v>
      </c>
      <c r="AD192" s="712">
        <v>0</v>
      </c>
      <c r="AE192" s="712">
        <v>0</v>
      </c>
      <c r="AF192" s="712">
        <v>0</v>
      </c>
      <c r="AG192" s="712">
        <v>0</v>
      </c>
      <c r="AH192" s="712">
        <v>0</v>
      </c>
      <c r="AI192" s="712">
        <v>0</v>
      </c>
      <c r="AJ192" s="712">
        <v>0</v>
      </c>
      <c r="AK192" s="712">
        <v>0</v>
      </c>
      <c r="AL192" s="712">
        <v>0</v>
      </c>
      <c r="AM192" s="712">
        <v>0</v>
      </c>
      <c r="AN192" s="712">
        <v>0</v>
      </c>
      <c r="AO192" s="712">
        <v>0</v>
      </c>
      <c r="AP192" s="712">
        <v>0</v>
      </c>
      <c r="AQ192" s="712">
        <v>0</v>
      </c>
      <c r="AR192" s="712">
        <v>0</v>
      </c>
      <c r="AS192" s="712">
        <v>0</v>
      </c>
      <c r="AT192">
        <v>356869512</v>
      </c>
      <c r="AU192" s="615"/>
      <c r="AV192" s="615"/>
      <c r="AW192" s="615"/>
      <c r="AX192" s="615"/>
      <c r="AY192" s="615"/>
      <c r="AZ192" s="615"/>
      <c r="BA192" s="615"/>
      <c r="BB192" s="615"/>
      <c r="BC192" s="615"/>
      <c r="BD192" s="615"/>
      <c r="BE192" s="615"/>
      <c r="BF192" s="615"/>
      <c r="BG192" s="615"/>
      <c r="BH192" s="615"/>
      <c r="BI192" s="615"/>
      <c r="BJ192" s="615"/>
      <c r="BK192" s="615"/>
      <c r="BL192" s="615"/>
      <c r="BM192" s="615"/>
      <c r="BN192" s="615"/>
      <c r="BO192" s="615"/>
      <c r="BP192" s="615"/>
      <c r="BQ192" s="615"/>
      <c r="BR192" s="615"/>
      <c r="BS192" s="615"/>
      <c r="BT192" s="615"/>
      <c r="BU192" s="615"/>
      <c r="BV192" s="615"/>
      <c r="BW192" s="615"/>
      <c r="BX192" s="607"/>
    </row>
    <row r="193" spans="1:76" s="612" customFormat="1" ht="25.5" x14ac:dyDescent="0.2">
      <c r="A193" s="839"/>
      <c r="B193" s="713" t="s">
        <v>1660</v>
      </c>
      <c r="C193" s="713" t="s">
        <v>1952</v>
      </c>
      <c r="D193" s="712">
        <v>0</v>
      </c>
      <c r="E193" s="712">
        <v>0</v>
      </c>
      <c r="F193" s="712">
        <v>0</v>
      </c>
      <c r="G193" s="712">
        <v>0</v>
      </c>
      <c r="H193" s="712">
        <v>0</v>
      </c>
      <c r="I193" s="712">
        <v>0</v>
      </c>
      <c r="J193" s="712">
        <v>0</v>
      </c>
      <c r="K193" s="712">
        <v>0</v>
      </c>
      <c r="L193" s="712">
        <v>0</v>
      </c>
      <c r="M193" s="712">
        <v>0</v>
      </c>
      <c r="N193" s="712">
        <v>0</v>
      </c>
      <c r="O193" s="712">
        <v>0</v>
      </c>
      <c r="P193" s="712">
        <v>0</v>
      </c>
      <c r="Q193" s="712">
        <v>0</v>
      </c>
      <c r="R193" s="712">
        <v>0</v>
      </c>
      <c r="S193" s="712">
        <v>0</v>
      </c>
      <c r="T193" s="712">
        <v>0</v>
      </c>
      <c r="U193" s="712">
        <v>0</v>
      </c>
      <c r="V193" s="712">
        <v>0</v>
      </c>
      <c r="W193" s="712">
        <v>0</v>
      </c>
      <c r="X193" s="712">
        <v>0</v>
      </c>
      <c r="Y193" s="712">
        <v>0</v>
      </c>
      <c r="Z193" s="712">
        <v>0</v>
      </c>
      <c r="AA193" s="712">
        <v>0</v>
      </c>
      <c r="AB193" s="712">
        <v>0</v>
      </c>
      <c r="AC193" s="712">
        <v>0</v>
      </c>
      <c r="AD193" s="712">
        <v>0</v>
      </c>
      <c r="AE193" s="712">
        <v>0</v>
      </c>
      <c r="AF193" s="712">
        <v>0</v>
      </c>
      <c r="AG193" s="712">
        <v>0</v>
      </c>
      <c r="AH193" s="712">
        <v>0</v>
      </c>
      <c r="AI193" s="712">
        <v>0</v>
      </c>
      <c r="AJ193" s="712">
        <v>0</v>
      </c>
      <c r="AK193" s="712">
        <v>0</v>
      </c>
      <c r="AL193" s="712">
        <v>0</v>
      </c>
      <c r="AM193" s="712">
        <v>0</v>
      </c>
      <c r="AN193" s="712">
        <v>0</v>
      </c>
      <c r="AO193" s="712">
        <v>0</v>
      </c>
      <c r="AP193" s="712">
        <v>0</v>
      </c>
      <c r="AQ193" s="712">
        <v>0</v>
      </c>
      <c r="AR193" s="712">
        <v>0</v>
      </c>
      <c r="AS193" s="712">
        <v>0</v>
      </c>
      <c r="AT193">
        <v>0</v>
      </c>
      <c r="AU193" s="615"/>
      <c r="AV193" s="615"/>
      <c r="AW193" s="615"/>
      <c r="AX193" s="615"/>
      <c r="AY193" s="615"/>
      <c r="AZ193" s="615"/>
      <c r="BA193" s="615"/>
      <c r="BB193" s="615"/>
      <c r="BC193" s="615"/>
      <c r="BD193" s="615"/>
      <c r="BE193" s="615"/>
      <c r="BF193" s="615"/>
      <c r="BG193" s="615"/>
      <c r="BH193" s="615"/>
      <c r="BI193" s="615"/>
      <c r="BJ193" s="615"/>
      <c r="BK193" s="615"/>
      <c r="BL193" s="615"/>
      <c r="BM193" s="615"/>
      <c r="BN193" s="615"/>
      <c r="BO193" s="615"/>
      <c r="BP193" s="615"/>
      <c r="BQ193" s="615"/>
      <c r="BR193" s="615"/>
      <c r="BS193" s="615"/>
      <c r="BT193" s="615"/>
      <c r="BU193" s="615"/>
      <c r="BV193" s="615"/>
      <c r="BW193" s="615"/>
      <c r="BX193" s="607"/>
    </row>
    <row r="194" spans="1:76" s="612" customFormat="1" ht="25.5" x14ac:dyDescent="0.2">
      <c r="A194" s="839"/>
      <c r="B194" s="713" t="s">
        <v>1002</v>
      </c>
      <c r="C194" s="713" t="s">
        <v>1905</v>
      </c>
      <c r="D194" s="712">
        <v>0</v>
      </c>
      <c r="E194" s="712">
        <v>0</v>
      </c>
      <c r="F194" s="712">
        <v>0</v>
      </c>
      <c r="G194" s="712">
        <v>0</v>
      </c>
      <c r="H194" s="712">
        <v>0</v>
      </c>
      <c r="I194" s="712">
        <v>0</v>
      </c>
      <c r="J194" s="712">
        <v>0</v>
      </c>
      <c r="K194" s="712">
        <v>0</v>
      </c>
      <c r="L194" s="712">
        <v>0</v>
      </c>
      <c r="M194" s="712">
        <v>0</v>
      </c>
      <c r="N194" s="712">
        <v>0</v>
      </c>
      <c r="O194" s="712">
        <v>0</v>
      </c>
      <c r="P194" s="712">
        <v>0</v>
      </c>
      <c r="Q194" s="712">
        <v>0</v>
      </c>
      <c r="R194" s="712">
        <v>0</v>
      </c>
      <c r="S194" s="712">
        <v>0</v>
      </c>
      <c r="T194" s="712">
        <v>0</v>
      </c>
      <c r="U194" s="712">
        <v>0</v>
      </c>
      <c r="V194" s="712">
        <v>0</v>
      </c>
      <c r="W194" s="712">
        <v>0</v>
      </c>
      <c r="X194" s="712">
        <v>0</v>
      </c>
      <c r="Y194" s="712">
        <v>0</v>
      </c>
      <c r="Z194" s="712">
        <v>0</v>
      </c>
      <c r="AA194" s="712">
        <v>0</v>
      </c>
      <c r="AB194" s="712">
        <v>0</v>
      </c>
      <c r="AC194" s="712">
        <v>0</v>
      </c>
      <c r="AD194" s="712">
        <v>0</v>
      </c>
      <c r="AE194" s="712">
        <v>0</v>
      </c>
      <c r="AF194" s="712">
        <v>0</v>
      </c>
      <c r="AG194" s="712">
        <v>0</v>
      </c>
      <c r="AH194" s="712">
        <v>0</v>
      </c>
      <c r="AI194" s="712">
        <v>0</v>
      </c>
      <c r="AJ194" s="712">
        <v>0</v>
      </c>
      <c r="AK194" s="712">
        <v>0</v>
      </c>
      <c r="AL194" s="712">
        <v>0</v>
      </c>
      <c r="AM194" s="712">
        <v>0</v>
      </c>
      <c r="AN194" s="712">
        <v>0</v>
      </c>
      <c r="AO194" s="712">
        <v>0</v>
      </c>
      <c r="AP194" s="712">
        <v>0</v>
      </c>
      <c r="AQ194" s="712">
        <v>0</v>
      </c>
      <c r="AR194" s="712">
        <v>0</v>
      </c>
      <c r="AS194" s="712">
        <v>0</v>
      </c>
      <c r="AT194">
        <v>0</v>
      </c>
      <c r="AU194" s="615"/>
      <c r="AV194" s="615"/>
      <c r="AW194" s="615"/>
      <c r="AX194" s="615"/>
      <c r="AY194" s="615"/>
      <c r="AZ194" s="615"/>
      <c r="BA194" s="615"/>
      <c r="BB194" s="615"/>
      <c r="BC194" s="615"/>
      <c r="BD194" s="615"/>
      <c r="BE194" s="615"/>
      <c r="BF194" s="615"/>
      <c r="BG194" s="615"/>
      <c r="BH194" s="615"/>
      <c r="BI194" s="615"/>
      <c r="BJ194" s="615"/>
      <c r="BK194" s="615"/>
      <c r="BL194" s="615"/>
      <c r="BM194" s="615"/>
      <c r="BN194" s="615"/>
      <c r="BO194" s="615"/>
      <c r="BP194" s="615"/>
      <c r="BQ194" s="615"/>
      <c r="BR194" s="615"/>
      <c r="BS194" s="615"/>
      <c r="BT194" s="615"/>
      <c r="BU194" s="615"/>
      <c r="BV194" s="615"/>
      <c r="BW194" s="615"/>
      <c r="BX194" s="607"/>
    </row>
    <row r="195" spans="1:76" s="612" customFormat="1" ht="25.5" x14ac:dyDescent="0.2">
      <c r="A195" s="839"/>
      <c r="B195" s="713" t="s">
        <v>1714</v>
      </c>
      <c r="C195" s="713" t="s">
        <v>1967</v>
      </c>
      <c r="D195" s="712">
        <v>0</v>
      </c>
      <c r="E195" s="712">
        <v>0</v>
      </c>
      <c r="F195" s="712">
        <v>0</v>
      </c>
      <c r="G195" s="712">
        <v>0</v>
      </c>
      <c r="H195" s="712">
        <v>0</v>
      </c>
      <c r="I195" s="712">
        <v>0</v>
      </c>
      <c r="J195" s="712">
        <v>0</v>
      </c>
      <c r="K195" s="712">
        <v>0</v>
      </c>
      <c r="L195" s="712">
        <v>0</v>
      </c>
      <c r="M195" s="712">
        <v>0</v>
      </c>
      <c r="N195" s="712">
        <v>0</v>
      </c>
      <c r="O195" s="712">
        <v>0</v>
      </c>
      <c r="P195" s="712">
        <v>0</v>
      </c>
      <c r="Q195" s="712">
        <v>0</v>
      </c>
      <c r="R195" s="712">
        <v>0</v>
      </c>
      <c r="S195" s="712">
        <v>0</v>
      </c>
      <c r="T195" s="712">
        <v>0</v>
      </c>
      <c r="U195" s="712">
        <v>0</v>
      </c>
      <c r="V195" s="712">
        <v>0</v>
      </c>
      <c r="W195" s="712">
        <v>0</v>
      </c>
      <c r="X195" s="712">
        <v>0</v>
      </c>
      <c r="Y195" s="712">
        <v>0</v>
      </c>
      <c r="Z195" s="712">
        <v>0</v>
      </c>
      <c r="AA195" s="712">
        <v>0</v>
      </c>
      <c r="AB195" s="712">
        <v>0</v>
      </c>
      <c r="AC195" s="712">
        <v>0</v>
      </c>
      <c r="AD195" s="712">
        <v>0</v>
      </c>
      <c r="AE195" s="712">
        <v>0</v>
      </c>
      <c r="AF195" s="712">
        <v>0</v>
      </c>
      <c r="AG195" s="712">
        <v>0</v>
      </c>
      <c r="AH195" s="712">
        <v>0</v>
      </c>
      <c r="AI195" s="712">
        <v>0</v>
      </c>
      <c r="AJ195" s="712">
        <v>0</v>
      </c>
      <c r="AK195" s="712">
        <v>0</v>
      </c>
      <c r="AL195" s="712">
        <v>0</v>
      </c>
      <c r="AM195" s="712">
        <v>0</v>
      </c>
      <c r="AN195" s="712">
        <v>0</v>
      </c>
      <c r="AO195" s="712">
        <v>0</v>
      </c>
      <c r="AP195" s="712">
        <v>0</v>
      </c>
      <c r="AQ195" s="712">
        <v>0</v>
      </c>
      <c r="AR195" s="712">
        <v>0</v>
      </c>
      <c r="AS195" s="712">
        <v>0</v>
      </c>
      <c r="AT195">
        <v>0</v>
      </c>
      <c r="AU195" s="615"/>
      <c r="AV195" s="615"/>
      <c r="AW195" s="615"/>
      <c r="AX195" s="615"/>
      <c r="AY195" s="615"/>
      <c r="AZ195" s="615"/>
      <c r="BA195" s="615"/>
      <c r="BB195" s="615"/>
      <c r="BC195" s="615"/>
      <c r="BD195" s="615"/>
      <c r="BE195" s="615"/>
      <c r="BF195" s="615"/>
      <c r="BG195" s="615"/>
      <c r="BH195" s="615"/>
      <c r="BI195" s="615"/>
      <c r="BJ195" s="615"/>
      <c r="BK195" s="615"/>
      <c r="BL195" s="615"/>
      <c r="BM195" s="615"/>
      <c r="BN195" s="615"/>
      <c r="BO195" s="615"/>
      <c r="BP195" s="615"/>
      <c r="BQ195" s="615"/>
      <c r="BR195" s="615"/>
      <c r="BS195" s="615"/>
      <c r="BT195" s="615"/>
      <c r="BU195" s="615"/>
      <c r="BV195" s="615"/>
      <c r="BW195" s="615"/>
      <c r="BX195" s="607"/>
    </row>
    <row r="196" spans="1:76" s="612" customFormat="1" ht="12.75" x14ac:dyDescent="0.2">
      <c r="A196" s="839"/>
      <c r="B196" s="838" t="s">
        <v>1717</v>
      </c>
      <c r="C196" s="713" t="s">
        <v>1982</v>
      </c>
      <c r="D196" s="712">
        <v>0</v>
      </c>
      <c r="E196" s="712">
        <v>0</v>
      </c>
      <c r="F196" s="712">
        <v>0</v>
      </c>
      <c r="G196" s="712">
        <v>0</v>
      </c>
      <c r="H196" s="712">
        <v>0</v>
      </c>
      <c r="I196" s="712">
        <v>0</v>
      </c>
      <c r="J196" s="712">
        <v>0</v>
      </c>
      <c r="K196" s="712">
        <v>0</v>
      </c>
      <c r="L196" s="712">
        <v>0</v>
      </c>
      <c r="M196" s="712">
        <v>0</v>
      </c>
      <c r="N196" s="712">
        <v>0</v>
      </c>
      <c r="O196" s="712">
        <v>0</v>
      </c>
      <c r="P196" s="712">
        <v>0</v>
      </c>
      <c r="Q196" s="712">
        <v>0</v>
      </c>
      <c r="R196" s="712">
        <v>0</v>
      </c>
      <c r="S196" s="712">
        <v>0</v>
      </c>
      <c r="T196" s="712">
        <v>0</v>
      </c>
      <c r="U196" s="712">
        <v>0</v>
      </c>
      <c r="V196" s="712">
        <v>0</v>
      </c>
      <c r="W196" s="712">
        <v>0</v>
      </c>
      <c r="X196" s="712">
        <v>0</v>
      </c>
      <c r="Y196" s="712">
        <v>0</v>
      </c>
      <c r="Z196" s="712">
        <v>0</v>
      </c>
      <c r="AA196" s="712">
        <v>0</v>
      </c>
      <c r="AB196" s="712">
        <v>0</v>
      </c>
      <c r="AC196" s="712">
        <v>0</v>
      </c>
      <c r="AD196" s="712">
        <v>0</v>
      </c>
      <c r="AE196" s="712">
        <v>0</v>
      </c>
      <c r="AF196" s="712">
        <v>0</v>
      </c>
      <c r="AG196" s="712">
        <v>0</v>
      </c>
      <c r="AH196" s="712">
        <v>0</v>
      </c>
      <c r="AI196" s="712">
        <v>0</v>
      </c>
      <c r="AJ196" s="712">
        <v>0</v>
      </c>
      <c r="AK196" s="712">
        <v>0</v>
      </c>
      <c r="AL196" s="712">
        <v>0</v>
      </c>
      <c r="AM196" s="712">
        <v>0</v>
      </c>
      <c r="AN196" s="712">
        <v>0</v>
      </c>
      <c r="AO196" s="712">
        <v>0</v>
      </c>
      <c r="AP196" s="712">
        <v>0</v>
      </c>
      <c r="AQ196" s="712">
        <v>0</v>
      </c>
      <c r="AR196" s="712">
        <v>0</v>
      </c>
      <c r="AS196" s="712">
        <v>0</v>
      </c>
      <c r="AT196">
        <v>0</v>
      </c>
      <c r="AU196" s="615"/>
      <c r="AV196" s="615"/>
      <c r="AW196" s="615"/>
      <c r="AX196" s="615"/>
      <c r="AY196" s="615"/>
      <c r="AZ196" s="615"/>
      <c r="BA196" s="615"/>
      <c r="BB196" s="615"/>
      <c r="BC196" s="615"/>
      <c r="BD196" s="615"/>
      <c r="BE196" s="615"/>
      <c r="BF196" s="615"/>
      <c r="BG196" s="615"/>
      <c r="BH196" s="615"/>
      <c r="BI196" s="615"/>
      <c r="BJ196" s="615"/>
      <c r="BK196" s="615"/>
      <c r="BL196" s="615"/>
      <c r="BM196" s="615"/>
      <c r="BN196" s="615"/>
      <c r="BO196" s="615"/>
      <c r="BP196" s="615"/>
      <c r="BQ196" s="615"/>
      <c r="BR196" s="615"/>
      <c r="BS196" s="615"/>
      <c r="BT196" s="615"/>
      <c r="BU196" s="615"/>
      <c r="BV196" s="615"/>
      <c r="BW196" s="615"/>
      <c r="BX196" s="607"/>
    </row>
    <row r="197" spans="1:76" s="612" customFormat="1" ht="12.75" x14ac:dyDescent="0.2">
      <c r="A197" s="839"/>
      <c r="B197" s="839"/>
      <c r="C197" s="713" t="s">
        <v>3429</v>
      </c>
      <c r="D197" s="712">
        <v>0</v>
      </c>
      <c r="E197" s="712">
        <v>0</v>
      </c>
      <c r="F197" s="712">
        <v>0</v>
      </c>
      <c r="G197" s="712">
        <v>0</v>
      </c>
      <c r="H197" s="712">
        <v>0</v>
      </c>
      <c r="I197" s="712">
        <v>0</v>
      </c>
      <c r="J197" s="712">
        <v>0</v>
      </c>
      <c r="K197" s="712">
        <v>0</v>
      </c>
      <c r="L197" s="712">
        <v>0</v>
      </c>
      <c r="M197" s="712">
        <v>0</v>
      </c>
      <c r="N197" s="712">
        <v>0</v>
      </c>
      <c r="O197" s="712">
        <v>0</v>
      </c>
      <c r="P197" s="712">
        <v>0</v>
      </c>
      <c r="Q197" s="712">
        <v>0</v>
      </c>
      <c r="R197" s="712">
        <v>0</v>
      </c>
      <c r="S197" s="712">
        <v>0</v>
      </c>
      <c r="T197" s="712">
        <v>0</v>
      </c>
      <c r="U197" s="712">
        <v>0</v>
      </c>
      <c r="V197" s="712">
        <v>0</v>
      </c>
      <c r="W197" s="712">
        <v>0</v>
      </c>
      <c r="X197" s="712">
        <v>0</v>
      </c>
      <c r="Y197" s="712">
        <v>0</v>
      </c>
      <c r="Z197" s="712">
        <v>0</v>
      </c>
      <c r="AA197" s="712">
        <v>0</v>
      </c>
      <c r="AB197" s="712">
        <v>0</v>
      </c>
      <c r="AC197" s="712">
        <v>0</v>
      </c>
      <c r="AD197" s="712">
        <v>0</v>
      </c>
      <c r="AE197" s="712">
        <v>0</v>
      </c>
      <c r="AF197" s="712">
        <v>0</v>
      </c>
      <c r="AG197" s="712">
        <v>0</v>
      </c>
      <c r="AH197" s="712">
        <v>0</v>
      </c>
      <c r="AI197" s="712">
        <v>0</v>
      </c>
      <c r="AJ197" s="712">
        <v>0</v>
      </c>
      <c r="AK197" s="712">
        <v>0</v>
      </c>
      <c r="AL197" s="712">
        <v>0</v>
      </c>
      <c r="AM197" s="712">
        <v>0</v>
      </c>
      <c r="AN197" s="712">
        <v>0</v>
      </c>
      <c r="AO197" s="712">
        <v>0</v>
      </c>
      <c r="AP197" s="712">
        <v>0</v>
      </c>
      <c r="AQ197" s="712">
        <v>0</v>
      </c>
      <c r="AR197" s="712">
        <v>0</v>
      </c>
      <c r="AS197" s="712">
        <v>0</v>
      </c>
      <c r="AT197">
        <v>0</v>
      </c>
      <c r="AU197" s="615"/>
      <c r="AV197" s="615"/>
      <c r="AW197" s="615"/>
      <c r="AX197" s="615"/>
      <c r="AY197" s="615"/>
      <c r="AZ197" s="615"/>
      <c r="BA197" s="615"/>
      <c r="BB197" s="615"/>
      <c r="BC197" s="615"/>
      <c r="BD197" s="615"/>
      <c r="BE197" s="615"/>
      <c r="BF197" s="615"/>
      <c r="BG197" s="615"/>
      <c r="BH197" s="615"/>
      <c r="BI197" s="615"/>
      <c r="BJ197" s="615"/>
      <c r="BK197" s="615"/>
      <c r="BL197" s="615"/>
      <c r="BM197" s="615"/>
      <c r="BN197" s="615"/>
      <c r="BO197" s="615"/>
      <c r="BP197" s="615"/>
      <c r="BQ197" s="615"/>
      <c r="BR197" s="615"/>
      <c r="BS197" s="615"/>
      <c r="BT197" s="615"/>
      <c r="BU197" s="615"/>
      <c r="BV197" s="615"/>
      <c r="BW197" s="615"/>
      <c r="BX197" s="607"/>
    </row>
    <row r="198" spans="1:76" s="612" customFormat="1" ht="12.75" x14ac:dyDescent="0.2">
      <c r="A198" s="839"/>
      <c r="B198" s="838" t="s">
        <v>1008</v>
      </c>
      <c r="C198" s="713" t="s">
        <v>1968</v>
      </c>
      <c r="D198" s="712">
        <v>0</v>
      </c>
      <c r="E198" s="712">
        <v>0</v>
      </c>
      <c r="F198" s="712">
        <v>0</v>
      </c>
      <c r="G198" s="712">
        <v>0</v>
      </c>
      <c r="H198" s="712">
        <v>0</v>
      </c>
      <c r="I198" s="712">
        <v>0</v>
      </c>
      <c r="J198" s="712">
        <v>0</v>
      </c>
      <c r="K198" s="712">
        <v>0</v>
      </c>
      <c r="L198" s="712">
        <v>0</v>
      </c>
      <c r="M198" s="712">
        <v>0</v>
      </c>
      <c r="N198" s="712">
        <v>0</v>
      </c>
      <c r="O198" s="712">
        <v>0</v>
      </c>
      <c r="P198" s="712">
        <v>0</v>
      </c>
      <c r="Q198" s="712">
        <v>0</v>
      </c>
      <c r="R198" s="712">
        <v>0</v>
      </c>
      <c r="S198" s="712">
        <v>0</v>
      </c>
      <c r="T198" s="712">
        <v>0</v>
      </c>
      <c r="U198" s="712">
        <v>0</v>
      </c>
      <c r="V198" s="712">
        <v>0</v>
      </c>
      <c r="W198" s="712">
        <v>0</v>
      </c>
      <c r="X198" s="712">
        <v>0</v>
      </c>
      <c r="Y198" s="712">
        <v>0</v>
      </c>
      <c r="Z198" s="712">
        <v>0</v>
      </c>
      <c r="AA198" s="712">
        <v>0</v>
      </c>
      <c r="AB198" s="712">
        <v>0</v>
      </c>
      <c r="AC198" s="712">
        <v>0</v>
      </c>
      <c r="AD198" s="712">
        <v>0</v>
      </c>
      <c r="AE198" s="712">
        <v>0</v>
      </c>
      <c r="AF198" s="712">
        <v>0</v>
      </c>
      <c r="AG198" s="712">
        <v>0</v>
      </c>
      <c r="AH198" s="712">
        <v>0</v>
      </c>
      <c r="AI198" s="712">
        <v>0</v>
      </c>
      <c r="AJ198" s="712">
        <v>0</v>
      </c>
      <c r="AK198" s="712">
        <v>0</v>
      </c>
      <c r="AL198" s="712">
        <v>0</v>
      </c>
      <c r="AM198" s="712">
        <v>0</v>
      </c>
      <c r="AN198" s="712">
        <v>0</v>
      </c>
      <c r="AO198" s="712">
        <v>0</v>
      </c>
      <c r="AP198" s="712">
        <v>0</v>
      </c>
      <c r="AQ198" s="712">
        <v>0</v>
      </c>
      <c r="AR198" s="712">
        <v>0</v>
      </c>
      <c r="AS198" s="712">
        <v>0</v>
      </c>
      <c r="AT198">
        <v>0</v>
      </c>
      <c r="AU198" s="615"/>
      <c r="AV198" s="615"/>
      <c r="AW198" s="615"/>
      <c r="AX198" s="615"/>
      <c r="AY198" s="615"/>
      <c r="AZ198" s="615"/>
      <c r="BA198" s="615"/>
      <c r="BB198" s="615"/>
      <c r="BC198" s="615"/>
      <c r="BD198" s="615"/>
      <c r="BE198" s="615"/>
      <c r="BF198" s="615"/>
      <c r="BG198" s="615"/>
      <c r="BH198" s="615"/>
      <c r="BI198" s="615"/>
      <c r="BJ198" s="615"/>
      <c r="BK198" s="615"/>
      <c r="BL198" s="615"/>
      <c r="BM198" s="615"/>
      <c r="BN198" s="615"/>
      <c r="BO198" s="615"/>
      <c r="BP198" s="615"/>
      <c r="BQ198" s="615"/>
      <c r="BR198" s="615"/>
      <c r="BS198" s="615"/>
      <c r="BT198" s="615"/>
      <c r="BU198" s="615"/>
      <c r="BV198" s="615"/>
      <c r="BW198" s="615"/>
      <c r="BX198" s="607"/>
    </row>
    <row r="199" spans="1:76" s="612" customFormat="1" ht="12.75" x14ac:dyDescent="0.2">
      <c r="A199" s="839"/>
      <c r="B199" s="839"/>
      <c r="C199" s="713" t="s">
        <v>3430</v>
      </c>
      <c r="D199" s="712">
        <v>0</v>
      </c>
      <c r="E199" s="712">
        <v>0</v>
      </c>
      <c r="F199" s="712">
        <v>0</v>
      </c>
      <c r="G199" s="712">
        <v>0</v>
      </c>
      <c r="H199" s="712">
        <v>0</v>
      </c>
      <c r="I199" s="712">
        <v>0</v>
      </c>
      <c r="J199" s="712">
        <v>0</v>
      </c>
      <c r="K199" s="712">
        <v>0</v>
      </c>
      <c r="L199" s="712">
        <v>0</v>
      </c>
      <c r="M199" s="712">
        <v>0</v>
      </c>
      <c r="N199" s="712">
        <v>0</v>
      </c>
      <c r="O199" s="712">
        <v>0</v>
      </c>
      <c r="P199" s="712">
        <v>0</v>
      </c>
      <c r="Q199" s="712">
        <v>0</v>
      </c>
      <c r="R199" s="712">
        <v>0</v>
      </c>
      <c r="S199" s="712">
        <v>0</v>
      </c>
      <c r="T199" s="712">
        <v>0</v>
      </c>
      <c r="U199" s="712">
        <v>0</v>
      </c>
      <c r="V199" s="712">
        <v>0</v>
      </c>
      <c r="W199" s="712">
        <v>0</v>
      </c>
      <c r="X199" s="712">
        <v>0</v>
      </c>
      <c r="Y199" s="712">
        <v>0</v>
      </c>
      <c r="Z199" s="712">
        <v>0</v>
      </c>
      <c r="AA199" s="712">
        <v>0</v>
      </c>
      <c r="AB199" s="712">
        <v>0</v>
      </c>
      <c r="AC199" s="712">
        <v>0</v>
      </c>
      <c r="AD199" s="712">
        <v>0</v>
      </c>
      <c r="AE199" s="712">
        <v>0</v>
      </c>
      <c r="AF199" s="712">
        <v>0</v>
      </c>
      <c r="AG199" s="712">
        <v>0</v>
      </c>
      <c r="AH199" s="712">
        <v>0</v>
      </c>
      <c r="AI199" s="712">
        <v>0</v>
      </c>
      <c r="AJ199" s="712">
        <v>0</v>
      </c>
      <c r="AK199" s="712">
        <v>0</v>
      </c>
      <c r="AL199" s="712">
        <v>0</v>
      </c>
      <c r="AM199" s="712">
        <v>0</v>
      </c>
      <c r="AN199" s="712">
        <v>0</v>
      </c>
      <c r="AO199" s="712">
        <v>0</v>
      </c>
      <c r="AP199" s="712">
        <v>0</v>
      </c>
      <c r="AQ199" s="712">
        <v>0</v>
      </c>
      <c r="AR199" s="712">
        <v>0</v>
      </c>
      <c r="AS199" s="712">
        <v>0</v>
      </c>
      <c r="AT199">
        <v>0</v>
      </c>
      <c r="AU199" s="615"/>
      <c r="AV199" s="615"/>
      <c r="AW199" s="615"/>
      <c r="AX199" s="615"/>
      <c r="AY199" s="615"/>
      <c r="AZ199" s="615"/>
      <c r="BA199" s="615"/>
      <c r="BB199" s="615"/>
      <c r="BC199" s="615"/>
      <c r="BD199" s="615"/>
      <c r="BE199" s="615"/>
      <c r="BF199" s="615"/>
      <c r="BG199" s="615"/>
      <c r="BH199" s="615"/>
      <c r="BI199" s="615"/>
      <c r="BJ199" s="615"/>
      <c r="BK199" s="615"/>
      <c r="BL199" s="615"/>
      <c r="BM199" s="615"/>
      <c r="BN199" s="615"/>
      <c r="BO199" s="615"/>
      <c r="BP199" s="615"/>
      <c r="BQ199" s="615"/>
      <c r="BR199" s="615"/>
      <c r="BS199" s="615"/>
      <c r="BT199" s="615"/>
      <c r="BU199" s="615"/>
      <c r="BV199" s="615"/>
      <c r="BW199" s="615"/>
      <c r="BX199" s="607"/>
    </row>
    <row r="200" spans="1:76" s="612" customFormat="1" ht="25.5" x14ac:dyDescent="0.2">
      <c r="A200" s="839"/>
      <c r="B200" s="713" t="s">
        <v>990</v>
      </c>
      <c r="C200" s="713" t="s">
        <v>1954</v>
      </c>
      <c r="D200" s="712">
        <v>0</v>
      </c>
      <c r="E200" s="712">
        <v>0</v>
      </c>
      <c r="F200" s="712">
        <v>0</v>
      </c>
      <c r="G200" s="712">
        <v>0</v>
      </c>
      <c r="H200" s="712">
        <v>0</v>
      </c>
      <c r="I200" s="712">
        <v>0</v>
      </c>
      <c r="J200" s="712">
        <v>0</v>
      </c>
      <c r="K200" s="712">
        <v>0</v>
      </c>
      <c r="L200" s="712">
        <v>0</v>
      </c>
      <c r="M200" s="712">
        <v>0</v>
      </c>
      <c r="N200" s="712">
        <v>0</v>
      </c>
      <c r="O200" s="712">
        <v>0</v>
      </c>
      <c r="P200" s="712">
        <v>0</v>
      </c>
      <c r="Q200" s="712">
        <v>0</v>
      </c>
      <c r="R200" s="712">
        <v>0</v>
      </c>
      <c r="S200" s="712">
        <v>0</v>
      </c>
      <c r="T200" s="712">
        <v>0</v>
      </c>
      <c r="U200" s="712">
        <v>0</v>
      </c>
      <c r="V200" s="712">
        <v>0</v>
      </c>
      <c r="W200" s="712">
        <v>0</v>
      </c>
      <c r="X200" s="712">
        <v>0</v>
      </c>
      <c r="Y200" s="712">
        <v>0</v>
      </c>
      <c r="Z200" s="712">
        <v>0</v>
      </c>
      <c r="AA200" s="712">
        <v>0</v>
      </c>
      <c r="AB200" s="712">
        <v>0</v>
      </c>
      <c r="AC200" s="712">
        <v>0</v>
      </c>
      <c r="AD200" s="712">
        <v>0</v>
      </c>
      <c r="AE200" s="712">
        <v>0</v>
      </c>
      <c r="AF200" s="712">
        <v>0</v>
      </c>
      <c r="AG200" s="712">
        <v>0</v>
      </c>
      <c r="AH200" s="712">
        <v>0</v>
      </c>
      <c r="AI200" s="712">
        <v>0</v>
      </c>
      <c r="AJ200" s="712">
        <v>0</v>
      </c>
      <c r="AK200" s="712">
        <v>0</v>
      </c>
      <c r="AL200" s="712">
        <v>0</v>
      </c>
      <c r="AM200" s="712">
        <v>0</v>
      </c>
      <c r="AN200" s="712">
        <v>0</v>
      </c>
      <c r="AO200" s="712">
        <v>0</v>
      </c>
      <c r="AP200" s="712">
        <v>0</v>
      </c>
      <c r="AQ200" s="712">
        <v>0</v>
      </c>
      <c r="AR200" s="712">
        <v>0</v>
      </c>
      <c r="AS200" s="712">
        <v>0</v>
      </c>
      <c r="AT200">
        <v>0</v>
      </c>
      <c r="AU200" s="615"/>
      <c r="AV200" s="615"/>
      <c r="AW200" s="615"/>
      <c r="AX200" s="615"/>
      <c r="AY200" s="615"/>
      <c r="AZ200" s="615"/>
      <c r="BA200" s="615"/>
      <c r="BB200" s="615"/>
      <c r="BC200" s="615"/>
      <c r="BD200" s="615"/>
      <c r="BE200" s="615"/>
      <c r="BF200" s="615"/>
      <c r="BG200" s="615"/>
      <c r="BH200" s="615"/>
      <c r="BI200" s="615"/>
      <c r="BJ200" s="615"/>
      <c r="BK200" s="615"/>
      <c r="BL200" s="615"/>
      <c r="BM200" s="615"/>
      <c r="BN200" s="615"/>
      <c r="BO200" s="615"/>
      <c r="BP200" s="615"/>
      <c r="BQ200" s="615"/>
      <c r="BR200" s="615"/>
      <c r="BS200" s="615"/>
      <c r="BT200" s="615"/>
      <c r="BU200" s="615"/>
      <c r="BV200" s="615"/>
      <c r="BW200" s="615"/>
      <c r="BX200" s="607"/>
    </row>
    <row r="201" spans="1:76" s="612" customFormat="1" ht="25.5" x14ac:dyDescent="0.2">
      <c r="A201" s="839"/>
      <c r="B201" s="713" t="s">
        <v>2576</v>
      </c>
      <c r="C201" s="713" t="s">
        <v>3216</v>
      </c>
      <c r="D201" s="712">
        <v>0</v>
      </c>
      <c r="E201" s="712">
        <v>0</v>
      </c>
      <c r="F201" s="712">
        <v>0</v>
      </c>
      <c r="G201" s="712">
        <v>0</v>
      </c>
      <c r="H201" s="712">
        <v>0</v>
      </c>
      <c r="I201" s="712">
        <v>0</v>
      </c>
      <c r="J201" s="712">
        <v>0</v>
      </c>
      <c r="K201" s="712">
        <v>0</v>
      </c>
      <c r="L201" s="712">
        <v>0</v>
      </c>
      <c r="M201" s="712">
        <v>0</v>
      </c>
      <c r="N201" s="712">
        <v>0</v>
      </c>
      <c r="O201" s="712">
        <v>0</v>
      </c>
      <c r="P201" s="712">
        <v>0</v>
      </c>
      <c r="Q201" s="712">
        <v>0</v>
      </c>
      <c r="R201" s="712">
        <v>0</v>
      </c>
      <c r="S201" s="712">
        <v>0</v>
      </c>
      <c r="T201" s="712">
        <v>0</v>
      </c>
      <c r="U201" s="712">
        <v>0</v>
      </c>
      <c r="V201" s="712">
        <v>0</v>
      </c>
      <c r="W201" s="712">
        <v>0</v>
      </c>
      <c r="X201" s="712">
        <v>0</v>
      </c>
      <c r="Y201" s="712">
        <v>0</v>
      </c>
      <c r="Z201" s="712">
        <v>0</v>
      </c>
      <c r="AA201" s="712">
        <v>0</v>
      </c>
      <c r="AB201" s="712">
        <v>0</v>
      </c>
      <c r="AC201" s="712">
        <v>0</v>
      </c>
      <c r="AD201" s="712">
        <v>0</v>
      </c>
      <c r="AE201" s="712">
        <v>0</v>
      </c>
      <c r="AF201" s="712">
        <v>0</v>
      </c>
      <c r="AG201" s="712">
        <v>0</v>
      </c>
      <c r="AH201" s="712">
        <v>0</v>
      </c>
      <c r="AI201" s="712">
        <v>0</v>
      </c>
      <c r="AJ201" s="712">
        <v>0</v>
      </c>
      <c r="AK201" s="712">
        <v>0</v>
      </c>
      <c r="AL201" s="712">
        <v>0</v>
      </c>
      <c r="AM201" s="712">
        <v>0</v>
      </c>
      <c r="AN201" s="712">
        <v>0</v>
      </c>
      <c r="AO201" s="712">
        <v>0</v>
      </c>
      <c r="AP201" s="712">
        <v>0</v>
      </c>
      <c r="AQ201" s="712">
        <v>0</v>
      </c>
      <c r="AR201" s="712">
        <v>0</v>
      </c>
      <c r="AS201" s="712">
        <v>0</v>
      </c>
      <c r="AT201">
        <v>0</v>
      </c>
      <c r="AU201" s="615"/>
      <c r="AV201" s="615"/>
      <c r="AW201" s="615"/>
      <c r="AX201" s="615"/>
      <c r="AY201" s="615"/>
      <c r="AZ201" s="615"/>
      <c r="BA201" s="615"/>
      <c r="BB201" s="615"/>
      <c r="BC201" s="615"/>
      <c r="BD201" s="615"/>
      <c r="BE201" s="615"/>
      <c r="BF201" s="615"/>
      <c r="BG201" s="615"/>
      <c r="BH201" s="615"/>
      <c r="BI201" s="615"/>
      <c r="BJ201" s="615"/>
      <c r="BK201" s="615"/>
      <c r="BL201" s="615"/>
      <c r="BM201" s="615"/>
      <c r="BN201" s="615"/>
      <c r="BO201" s="615"/>
      <c r="BP201" s="615"/>
      <c r="BQ201" s="615"/>
      <c r="BR201" s="615"/>
      <c r="BS201" s="615"/>
      <c r="BT201" s="615"/>
      <c r="BU201" s="615"/>
      <c r="BV201" s="615"/>
      <c r="BW201" s="615"/>
      <c r="BX201" s="607"/>
    </row>
    <row r="202" spans="1:76" s="612" customFormat="1" ht="25.5" x14ac:dyDescent="0.2">
      <c r="A202" s="839"/>
      <c r="B202" s="713" t="s">
        <v>980</v>
      </c>
      <c r="C202" s="713" t="s">
        <v>1951</v>
      </c>
      <c r="D202" s="712">
        <v>0</v>
      </c>
      <c r="E202" s="712">
        <v>0</v>
      </c>
      <c r="F202" s="712">
        <v>0</v>
      </c>
      <c r="G202" s="712">
        <v>0</v>
      </c>
      <c r="H202" s="712">
        <v>0</v>
      </c>
      <c r="I202" s="712">
        <v>0</v>
      </c>
      <c r="J202" s="712">
        <v>0</v>
      </c>
      <c r="K202" s="712">
        <v>0</v>
      </c>
      <c r="L202" s="712">
        <v>0</v>
      </c>
      <c r="M202" s="712">
        <v>0</v>
      </c>
      <c r="N202" s="712">
        <v>1466636</v>
      </c>
      <c r="O202" s="712">
        <v>0</v>
      </c>
      <c r="P202" s="712">
        <v>41016636</v>
      </c>
      <c r="Q202" s="712">
        <v>0</v>
      </c>
      <c r="R202" s="712">
        <v>0</v>
      </c>
      <c r="S202" s="712">
        <v>36016636</v>
      </c>
      <c r="T202" s="712">
        <v>0</v>
      </c>
      <c r="U202" s="712">
        <v>26016636</v>
      </c>
      <c r="V202" s="712">
        <v>0</v>
      </c>
      <c r="W202" s="712">
        <v>36016636</v>
      </c>
      <c r="X202" s="712">
        <v>0</v>
      </c>
      <c r="Y202" s="712">
        <v>35546222</v>
      </c>
      <c r="Z202" s="712">
        <v>0</v>
      </c>
      <c r="AA202" s="712">
        <v>0</v>
      </c>
      <c r="AB202" s="712">
        <v>0</v>
      </c>
      <c r="AC202" s="712">
        <v>0</v>
      </c>
      <c r="AD202" s="712">
        <v>0</v>
      </c>
      <c r="AE202" s="712">
        <v>0</v>
      </c>
      <c r="AF202" s="712">
        <v>0</v>
      </c>
      <c r="AG202" s="712">
        <v>0</v>
      </c>
      <c r="AH202" s="712">
        <v>0</v>
      </c>
      <c r="AI202" s="712">
        <v>0</v>
      </c>
      <c r="AJ202" s="712">
        <v>0</v>
      </c>
      <c r="AK202" s="712">
        <v>0</v>
      </c>
      <c r="AL202" s="712">
        <v>0</v>
      </c>
      <c r="AM202" s="712">
        <v>0</v>
      </c>
      <c r="AN202" s="712">
        <v>0</v>
      </c>
      <c r="AO202" s="712">
        <v>0</v>
      </c>
      <c r="AP202" s="712">
        <v>0</v>
      </c>
      <c r="AQ202" s="712">
        <v>0</v>
      </c>
      <c r="AR202" s="712">
        <v>0</v>
      </c>
      <c r="AS202" s="712">
        <v>0</v>
      </c>
      <c r="AT202">
        <v>176079402</v>
      </c>
      <c r="AU202" s="615"/>
      <c r="AV202" s="615"/>
      <c r="AW202" s="615"/>
      <c r="AX202" s="615"/>
      <c r="AY202" s="615"/>
      <c r="AZ202" s="615"/>
      <c r="BA202" s="615"/>
      <c r="BB202" s="615"/>
      <c r="BC202" s="615"/>
      <c r="BD202" s="615"/>
      <c r="BE202" s="615"/>
      <c r="BF202" s="615"/>
      <c r="BG202" s="615"/>
      <c r="BH202" s="615"/>
      <c r="BI202" s="615"/>
      <c r="BJ202" s="615"/>
      <c r="BK202" s="615"/>
      <c r="BL202" s="615"/>
      <c r="BM202" s="615"/>
      <c r="BN202" s="615"/>
      <c r="BO202" s="615"/>
      <c r="BP202" s="615"/>
      <c r="BQ202" s="615"/>
      <c r="BR202" s="615"/>
      <c r="BS202" s="615"/>
      <c r="BT202" s="615"/>
      <c r="BU202" s="615"/>
      <c r="BV202" s="615"/>
      <c r="BW202" s="615"/>
      <c r="BX202" s="607"/>
    </row>
    <row r="203" spans="1:76" s="612" customFormat="1" ht="38.25" x14ac:dyDescent="0.2">
      <c r="A203" s="839"/>
      <c r="B203" s="713" t="s">
        <v>1681</v>
      </c>
      <c r="C203" s="713" t="s">
        <v>1974</v>
      </c>
      <c r="D203" s="712">
        <v>0</v>
      </c>
      <c r="E203" s="712">
        <v>0</v>
      </c>
      <c r="F203" s="712">
        <v>0</v>
      </c>
      <c r="G203" s="712">
        <v>0</v>
      </c>
      <c r="H203" s="712">
        <v>0</v>
      </c>
      <c r="I203" s="712">
        <v>0</v>
      </c>
      <c r="J203" s="712">
        <v>0</v>
      </c>
      <c r="K203" s="712">
        <v>0</v>
      </c>
      <c r="L203" s="712">
        <v>0</v>
      </c>
      <c r="M203" s="712">
        <v>0</v>
      </c>
      <c r="N203" s="712">
        <v>0</v>
      </c>
      <c r="O203" s="712">
        <v>0</v>
      </c>
      <c r="P203" s="712">
        <v>0</v>
      </c>
      <c r="Q203" s="712">
        <v>0</v>
      </c>
      <c r="R203" s="712">
        <v>0</v>
      </c>
      <c r="S203" s="712">
        <v>585812</v>
      </c>
      <c r="T203" s="712">
        <v>0</v>
      </c>
      <c r="U203" s="712">
        <v>0</v>
      </c>
      <c r="V203" s="712">
        <v>0</v>
      </c>
      <c r="W203" s="712">
        <v>0</v>
      </c>
      <c r="X203" s="712">
        <v>0</v>
      </c>
      <c r="Y203" s="712">
        <v>0</v>
      </c>
      <c r="Z203" s="712">
        <v>0</v>
      </c>
      <c r="AA203" s="712">
        <v>0</v>
      </c>
      <c r="AB203" s="712">
        <v>0</v>
      </c>
      <c r="AC203" s="712">
        <v>0</v>
      </c>
      <c r="AD203" s="712">
        <v>0</v>
      </c>
      <c r="AE203" s="712">
        <v>0</v>
      </c>
      <c r="AF203" s="712">
        <v>0</v>
      </c>
      <c r="AG203" s="712">
        <v>0</v>
      </c>
      <c r="AH203" s="712">
        <v>0</v>
      </c>
      <c r="AI203" s="712">
        <v>0</v>
      </c>
      <c r="AJ203" s="712">
        <v>0</v>
      </c>
      <c r="AK203" s="712">
        <v>0</v>
      </c>
      <c r="AL203" s="712">
        <v>0</v>
      </c>
      <c r="AM203" s="712">
        <v>0</v>
      </c>
      <c r="AN203" s="712">
        <v>0</v>
      </c>
      <c r="AO203" s="712">
        <v>0</v>
      </c>
      <c r="AP203" s="712">
        <v>0</v>
      </c>
      <c r="AQ203" s="712">
        <v>0</v>
      </c>
      <c r="AR203" s="712">
        <v>0</v>
      </c>
      <c r="AS203" s="712">
        <v>0</v>
      </c>
      <c r="AT203">
        <v>585812</v>
      </c>
      <c r="AU203" s="615"/>
      <c r="AV203" s="615"/>
      <c r="AW203" s="615"/>
      <c r="AX203" s="615"/>
      <c r="AY203" s="615"/>
      <c r="AZ203" s="615"/>
      <c r="BA203" s="615"/>
      <c r="BB203" s="615"/>
      <c r="BC203" s="615"/>
      <c r="BD203" s="615"/>
      <c r="BE203" s="615"/>
      <c r="BF203" s="615"/>
      <c r="BG203" s="615"/>
      <c r="BH203" s="615"/>
      <c r="BI203" s="615"/>
      <c r="BJ203" s="615"/>
      <c r="BK203" s="615"/>
      <c r="BL203" s="615"/>
      <c r="BM203" s="615"/>
      <c r="BN203" s="615"/>
      <c r="BO203" s="615"/>
      <c r="BP203" s="615"/>
      <c r="BQ203" s="615"/>
      <c r="BR203" s="615"/>
      <c r="BS203" s="615"/>
      <c r="BT203" s="615"/>
      <c r="BU203" s="615"/>
      <c r="BV203" s="615"/>
      <c r="BW203" s="615"/>
      <c r="BX203" s="607"/>
    </row>
    <row r="204" spans="1:76" s="612" customFormat="1" ht="25.5" x14ac:dyDescent="0.2">
      <c r="A204" s="839"/>
      <c r="B204" s="713" t="s">
        <v>1664</v>
      </c>
      <c r="C204" s="713" t="s">
        <v>1964</v>
      </c>
      <c r="D204" s="712">
        <v>0</v>
      </c>
      <c r="E204" s="712">
        <v>0</v>
      </c>
      <c r="F204" s="712">
        <v>0</v>
      </c>
      <c r="G204" s="712">
        <v>0</v>
      </c>
      <c r="H204" s="712">
        <v>0</v>
      </c>
      <c r="I204" s="712">
        <v>0</v>
      </c>
      <c r="J204" s="712">
        <v>0</v>
      </c>
      <c r="K204" s="712">
        <v>0</v>
      </c>
      <c r="L204" s="712">
        <v>0</v>
      </c>
      <c r="M204" s="712">
        <v>0</v>
      </c>
      <c r="N204" s="712">
        <v>0</v>
      </c>
      <c r="O204" s="712">
        <v>0</v>
      </c>
      <c r="P204" s="712">
        <v>0</v>
      </c>
      <c r="Q204" s="712">
        <v>0</v>
      </c>
      <c r="R204" s="712">
        <v>0</v>
      </c>
      <c r="S204" s="712">
        <v>0</v>
      </c>
      <c r="T204" s="712">
        <v>0</v>
      </c>
      <c r="U204" s="712">
        <v>0</v>
      </c>
      <c r="V204" s="712">
        <v>0</v>
      </c>
      <c r="W204" s="712">
        <v>0</v>
      </c>
      <c r="X204" s="712">
        <v>0</v>
      </c>
      <c r="Y204" s="712">
        <v>0</v>
      </c>
      <c r="Z204" s="712">
        <v>0</v>
      </c>
      <c r="AA204" s="712">
        <v>0</v>
      </c>
      <c r="AB204" s="712">
        <v>0</v>
      </c>
      <c r="AC204" s="712">
        <v>0</v>
      </c>
      <c r="AD204" s="712">
        <v>0</v>
      </c>
      <c r="AE204" s="712">
        <v>0</v>
      </c>
      <c r="AF204" s="712">
        <v>0</v>
      </c>
      <c r="AG204" s="712">
        <v>0</v>
      </c>
      <c r="AH204" s="712">
        <v>0</v>
      </c>
      <c r="AI204" s="712">
        <v>0</v>
      </c>
      <c r="AJ204" s="712">
        <v>0</v>
      </c>
      <c r="AK204" s="712">
        <v>0</v>
      </c>
      <c r="AL204" s="712">
        <v>0</v>
      </c>
      <c r="AM204" s="712">
        <v>0</v>
      </c>
      <c r="AN204" s="712">
        <v>0</v>
      </c>
      <c r="AO204" s="712">
        <v>0</v>
      </c>
      <c r="AP204" s="712">
        <v>0</v>
      </c>
      <c r="AQ204" s="712">
        <v>0</v>
      </c>
      <c r="AR204" s="712">
        <v>0</v>
      </c>
      <c r="AS204" s="712">
        <v>0</v>
      </c>
      <c r="AT204">
        <v>0</v>
      </c>
      <c r="AU204" s="615"/>
      <c r="AV204" s="615"/>
      <c r="AW204" s="615"/>
      <c r="AX204" s="615"/>
      <c r="AY204" s="615"/>
      <c r="AZ204" s="615"/>
      <c r="BA204" s="615"/>
      <c r="BB204" s="615"/>
      <c r="BC204" s="615"/>
      <c r="BD204" s="615"/>
      <c r="BE204" s="615"/>
      <c r="BF204" s="615"/>
      <c r="BG204" s="615"/>
      <c r="BH204" s="615"/>
      <c r="BI204" s="615"/>
      <c r="BJ204" s="615"/>
      <c r="BK204" s="615"/>
      <c r="BL204" s="615"/>
      <c r="BM204" s="615"/>
      <c r="BN204" s="615"/>
      <c r="BO204" s="615"/>
      <c r="BP204" s="615"/>
      <c r="BQ204" s="615"/>
      <c r="BR204" s="615"/>
      <c r="BS204" s="615"/>
      <c r="BT204" s="615"/>
      <c r="BU204" s="615"/>
      <c r="BV204" s="615"/>
      <c r="BW204" s="615"/>
      <c r="BX204" s="607"/>
    </row>
    <row r="205" spans="1:76" s="612" customFormat="1" ht="25.5" x14ac:dyDescent="0.2">
      <c r="A205" s="839"/>
      <c r="B205" s="713" t="s">
        <v>1651</v>
      </c>
      <c r="C205" s="713" t="s">
        <v>1911</v>
      </c>
      <c r="D205" s="712">
        <v>0</v>
      </c>
      <c r="E205" s="712">
        <v>0</v>
      </c>
      <c r="F205" s="712">
        <v>0</v>
      </c>
      <c r="G205" s="712">
        <v>0</v>
      </c>
      <c r="H205" s="712">
        <v>0</v>
      </c>
      <c r="I205" s="712">
        <v>0</v>
      </c>
      <c r="J205" s="712">
        <v>0</v>
      </c>
      <c r="K205" s="712">
        <v>0</v>
      </c>
      <c r="L205" s="712">
        <v>0</v>
      </c>
      <c r="M205" s="712">
        <v>0</v>
      </c>
      <c r="N205" s="712">
        <v>0</v>
      </c>
      <c r="O205" s="712">
        <v>0</v>
      </c>
      <c r="P205" s="712">
        <v>1342492</v>
      </c>
      <c r="Q205" s="712">
        <v>0</v>
      </c>
      <c r="R205" s="712">
        <v>0</v>
      </c>
      <c r="S205" s="712">
        <v>0</v>
      </c>
      <c r="T205" s="712">
        <v>0</v>
      </c>
      <c r="U205" s="712">
        <v>0</v>
      </c>
      <c r="V205" s="712">
        <v>0</v>
      </c>
      <c r="W205" s="712">
        <v>0</v>
      </c>
      <c r="X205" s="712">
        <v>0</v>
      </c>
      <c r="Y205" s="712">
        <v>0</v>
      </c>
      <c r="Z205" s="712">
        <v>0</v>
      </c>
      <c r="AA205" s="712">
        <v>0</v>
      </c>
      <c r="AB205" s="712">
        <v>0</v>
      </c>
      <c r="AC205" s="712">
        <v>0</v>
      </c>
      <c r="AD205" s="712">
        <v>0</v>
      </c>
      <c r="AE205" s="712">
        <v>0</v>
      </c>
      <c r="AF205" s="712">
        <v>0</v>
      </c>
      <c r="AG205" s="712">
        <v>0</v>
      </c>
      <c r="AH205" s="712">
        <v>0</v>
      </c>
      <c r="AI205" s="712">
        <v>0</v>
      </c>
      <c r="AJ205" s="712">
        <v>0</v>
      </c>
      <c r="AK205" s="712">
        <v>0</v>
      </c>
      <c r="AL205" s="712">
        <v>0</v>
      </c>
      <c r="AM205" s="712">
        <v>0</v>
      </c>
      <c r="AN205" s="712">
        <v>0</v>
      </c>
      <c r="AO205" s="712">
        <v>0</v>
      </c>
      <c r="AP205" s="712">
        <v>0</v>
      </c>
      <c r="AQ205" s="712">
        <v>0</v>
      </c>
      <c r="AR205" s="712">
        <v>0</v>
      </c>
      <c r="AS205" s="712">
        <v>0</v>
      </c>
      <c r="AT205">
        <v>1342492</v>
      </c>
      <c r="AU205" s="615"/>
      <c r="AV205" s="615"/>
      <c r="AW205" s="615"/>
      <c r="AX205" s="615"/>
      <c r="AY205" s="615"/>
      <c r="AZ205" s="615"/>
      <c r="BA205" s="615"/>
      <c r="BB205" s="615"/>
      <c r="BC205" s="615"/>
      <c r="BD205" s="615"/>
      <c r="BE205" s="615"/>
      <c r="BF205" s="615"/>
      <c r="BG205" s="615"/>
      <c r="BH205" s="615"/>
      <c r="BI205" s="615"/>
      <c r="BJ205" s="615"/>
      <c r="BK205" s="615"/>
      <c r="BL205" s="615"/>
      <c r="BM205" s="615"/>
      <c r="BN205" s="615"/>
      <c r="BO205" s="615"/>
      <c r="BP205" s="615"/>
      <c r="BQ205" s="615"/>
      <c r="BR205" s="615"/>
      <c r="BS205" s="615"/>
      <c r="BT205" s="615"/>
      <c r="BU205" s="615"/>
      <c r="BV205" s="615"/>
      <c r="BW205" s="615"/>
      <c r="BX205" s="607"/>
    </row>
    <row r="206" spans="1:76" s="612" customFormat="1" ht="25.5" x14ac:dyDescent="0.2">
      <c r="A206" s="839"/>
      <c r="B206" s="713" t="s">
        <v>1004</v>
      </c>
      <c r="C206" s="713" t="s">
        <v>1923</v>
      </c>
      <c r="D206" s="712">
        <v>0</v>
      </c>
      <c r="E206" s="712">
        <v>0</v>
      </c>
      <c r="F206" s="712">
        <v>0</v>
      </c>
      <c r="G206" s="712">
        <v>0</v>
      </c>
      <c r="H206" s="712">
        <v>0</v>
      </c>
      <c r="I206" s="712">
        <v>0</v>
      </c>
      <c r="J206" s="712">
        <v>0</v>
      </c>
      <c r="K206" s="712">
        <v>0</v>
      </c>
      <c r="L206" s="712">
        <v>0</v>
      </c>
      <c r="M206" s="712">
        <v>0</v>
      </c>
      <c r="N206" s="712">
        <v>0</v>
      </c>
      <c r="O206" s="712">
        <v>0</v>
      </c>
      <c r="P206" s="712">
        <v>0</v>
      </c>
      <c r="Q206" s="712">
        <v>0</v>
      </c>
      <c r="R206" s="712">
        <v>0</v>
      </c>
      <c r="S206" s="712">
        <v>0</v>
      </c>
      <c r="T206" s="712">
        <v>0</v>
      </c>
      <c r="U206" s="712">
        <v>0</v>
      </c>
      <c r="V206" s="712">
        <v>0</v>
      </c>
      <c r="W206" s="712">
        <v>0</v>
      </c>
      <c r="X206" s="712">
        <v>0</v>
      </c>
      <c r="Y206" s="712">
        <v>0</v>
      </c>
      <c r="Z206" s="712">
        <v>0</v>
      </c>
      <c r="AA206" s="712">
        <v>0</v>
      </c>
      <c r="AB206" s="712">
        <v>0</v>
      </c>
      <c r="AC206" s="712">
        <v>0</v>
      </c>
      <c r="AD206" s="712">
        <v>0</v>
      </c>
      <c r="AE206" s="712">
        <v>0</v>
      </c>
      <c r="AF206" s="712">
        <v>0</v>
      </c>
      <c r="AG206" s="712">
        <v>0</v>
      </c>
      <c r="AH206" s="712">
        <v>0</v>
      </c>
      <c r="AI206" s="712">
        <v>0</v>
      </c>
      <c r="AJ206" s="712">
        <v>0</v>
      </c>
      <c r="AK206" s="712">
        <v>0</v>
      </c>
      <c r="AL206" s="712">
        <v>0</v>
      </c>
      <c r="AM206" s="712">
        <v>0</v>
      </c>
      <c r="AN206" s="712">
        <v>0</v>
      </c>
      <c r="AO206" s="712">
        <v>0</v>
      </c>
      <c r="AP206" s="712">
        <v>0</v>
      </c>
      <c r="AQ206" s="712">
        <v>0</v>
      </c>
      <c r="AR206" s="712">
        <v>0</v>
      </c>
      <c r="AS206" s="712">
        <v>0</v>
      </c>
      <c r="AT206">
        <v>0</v>
      </c>
      <c r="AU206" s="615"/>
      <c r="AV206" s="615"/>
      <c r="AW206" s="615"/>
      <c r="AX206" s="615"/>
      <c r="AY206" s="615"/>
      <c r="AZ206" s="615"/>
      <c r="BA206" s="615"/>
      <c r="BB206" s="615"/>
      <c r="BC206" s="615"/>
      <c r="BD206" s="615"/>
      <c r="BE206" s="615"/>
      <c r="BF206" s="615"/>
      <c r="BG206" s="615"/>
      <c r="BH206" s="615"/>
      <c r="BI206" s="615"/>
      <c r="BJ206" s="615"/>
      <c r="BK206" s="615"/>
      <c r="BL206" s="615"/>
      <c r="BM206" s="615"/>
      <c r="BN206" s="615"/>
      <c r="BO206" s="615"/>
      <c r="BP206" s="615"/>
      <c r="BQ206" s="615"/>
      <c r="BR206" s="615"/>
      <c r="BS206" s="615"/>
      <c r="BT206" s="615"/>
      <c r="BU206" s="615"/>
      <c r="BV206" s="615"/>
      <c r="BW206" s="615"/>
      <c r="BX206" s="607"/>
    </row>
    <row r="207" spans="1:76" s="612" customFormat="1" ht="12.75" x14ac:dyDescent="0.2">
      <c r="A207" s="839"/>
      <c r="B207" s="713" t="s">
        <v>3334</v>
      </c>
      <c r="C207" s="713" t="s">
        <v>1958</v>
      </c>
      <c r="D207" s="712">
        <v>0</v>
      </c>
      <c r="E207" s="712">
        <v>0</v>
      </c>
      <c r="F207" s="712">
        <v>0</v>
      </c>
      <c r="G207" s="712">
        <v>0</v>
      </c>
      <c r="H207" s="712">
        <v>0</v>
      </c>
      <c r="I207" s="712">
        <v>0</v>
      </c>
      <c r="J207" s="712">
        <v>0</v>
      </c>
      <c r="K207" s="712">
        <v>0</v>
      </c>
      <c r="L207" s="712">
        <v>0</v>
      </c>
      <c r="M207" s="712">
        <v>0</v>
      </c>
      <c r="N207" s="712">
        <v>0</v>
      </c>
      <c r="O207" s="712">
        <v>0</v>
      </c>
      <c r="P207" s="712">
        <v>208381169</v>
      </c>
      <c r="Q207" s="712">
        <v>0</v>
      </c>
      <c r="R207" s="712">
        <v>0</v>
      </c>
      <c r="S207" s="712">
        <v>0</v>
      </c>
      <c r="T207" s="712">
        <v>0</v>
      </c>
      <c r="U207" s="712">
        <v>0</v>
      </c>
      <c r="V207" s="712">
        <v>0</v>
      </c>
      <c r="W207" s="712">
        <v>0</v>
      </c>
      <c r="X207" s="712">
        <v>0</v>
      </c>
      <c r="Y207" s="712">
        <v>0</v>
      </c>
      <c r="Z207" s="712">
        <v>0</v>
      </c>
      <c r="AA207" s="712">
        <v>0</v>
      </c>
      <c r="AB207" s="712">
        <v>0</v>
      </c>
      <c r="AC207" s="712">
        <v>0</v>
      </c>
      <c r="AD207" s="712">
        <v>0</v>
      </c>
      <c r="AE207" s="712">
        <v>0</v>
      </c>
      <c r="AF207" s="712">
        <v>0</v>
      </c>
      <c r="AG207" s="712">
        <v>0</v>
      </c>
      <c r="AH207" s="712">
        <v>0</v>
      </c>
      <c r="AI207" s="712">
        <v>0</v>
      </c>
      <c r="AJ207" s="712">
        <v>0</v>
      </c>
      <c r="AK207" s="712">
        <v>0</v>
      </c>
      <c r="AL207" s="712">
        <v>0</v>
      </c>
      <c r="AM207" s="712">
        <v>0</v>
      </c>
      <c r="AN207" s="712">
        <v>0</v>
      </c>
      <c r="AO207" s="712">
        <v>0</v>
      </c>
      <c r="AP207" s="712">
        <v>0</v>
      </c>
      <c r="AQ207" s="712">
        <v>0</v>
      </c>
      <c r="AR207" s="712">
        <v>0</v>
      </c>
      <c r="AS207" s="712">
        <v>0</v>
      </c>
      <c r="AT207">
        <v>208381169</v>
      </c>
      <c r="AU207" s="615"/>
      <c r="AV207" s="615"/>
      <c r="AW207" s="615"/>
      <c r="AX207" s="615"/>
      <c r="AY207" s="615"/>
      <c r="AZ207" s="615"/>
      <c r="BA207" s="615"/>
      <c r="BB207" s="615"/>
      <c r="BC207" s="615"/>
      <c r="BD207" s="615"/>
      <c r="BE207" s="615"/>
      <c r="BF207" s="615"/>
      <c r="BG207" s="615"/>
      <c r="BH207" s="615"/>
      <c r="BI207" s="615"/>
      <c r="BJ207" s="615"/>
      <c r="BK207" s="615"/>
      <c r="BL207" s="615"/>
      <c r="BM207" s="615"/>
      <c r="BN207" s="615"/>
      <c r="BO207" s="615"/>
      <c r="BP207" s="615"/>
      <c r="BQ207" s="615"/>
      <c r="BR207" s="615"/>
      <c r="BS207" s="615"/>
      <c r="BT207" s="615"/>
      <c r="BU207" s="615"/>
      <c r="BV207" s="615"/>
      <c r="BW207" s="615"/>
      <c r="BX207" s="607"/>
    </row>
    <row r="208" spans="1:76" s="612" customFormat="1" ht="25.5" x14ac:dyDescent="0.2">
      <c r="A208" s="839"/>
      <c r="B208" s="713" t="s">
        <v>3260</v>
      </c>
      <c r="C208" s="713" t="s">
        <v>1931</v>
      </c>
      <c r="D208" s="712">
        <v>0</v>
      </c>
      <c r="E208" s="712">
        <v>0</v>
      </c>
      <c r="F208" s="712">
        <v>0</v>
      </c>
      <c r="G208" s="712">
        <v>0</v>
      </c>
      <c r="H208" s="712">
        <v>0</v>
      </c>
      <c r="I208" s="712">
        <v>0</v>
      </c>
      <c r="J208" s="712">
        <v>0</v>
      </c>
      <c r="K208" s="712">
        <v>0</v>
      </c>
      <c r="L208" s="712">
        <v>0</v>
      </c>
      <c r="M208" s="712">
        <v>0</v>
      </c>
      <c r="N208" s="712">
        <v>0</v>
      </c>
      <c r="O208" s="712">
        <v>0</v>
      </c>
      <c r="P208" s="712">
        <v>0</v>
      </c>
      <c r="Q208" s="712">
        <v>0</v>
      </c>
      <c r="R208" s="712">
        <v>0</v>
      </c>
      <c r="S208" s="712">
        <v>0</v>
      </c>
      <c r="T208" s="712">
        <v>0</v>
      </c>
      <c r="U208" s="712">
        <v>0</v>
      </c>
      <c r="V208" s="712">
        <v>0</v>
      </c>
      <c r="W208" s="712">
        <v>0</v>
      </c>
      <c r="X208" s="712">
        <v>0</v>
      </c>
      <c r="Y208" s="712">
        <v>0</v>
      </c>
      <c r="Z208" s="712">
        <v>0</v>
      </c>
      <c r="AA208" s="712">
        <v>0</v>
      </c>
      <c r="AB208" s="712">
        <v>0</v>
      </c>
      <c r="AC208" s="712">
        <v>0</v>
      </c>
      <c r="AD208" s="712">
        <v>0</v>
      </c>
      <c r="AE208" s="712">
        <v>0</v>
      </c>
      <c r="AF208" s="712">
        <v>0</v>
      </c>
      <c r="AG208" s="712">
        <v>0</v>
      </c>
      <c r="AH208" s="712">
        <v>0</v>
      </c>
      <c r="AI208" s="712">
        <v>0</v>
      </c>
      <c r="AJ208" s="712">
        <v>0</v>
      </c>
      <c r="AK208" s="712">
        <v>0</v>
      </c>
      <c r="AL208" s="712">
        <v>0</v>
      </c>
      <c r="AM208" s="712">
        <v>0</v>
      </c>
      <c r="AN208" s="712">
        <v>0</v>
      </c>
      <c r="AO208" s="712">
        <v>0</v>
      </c>
      <c r="AP208" s="712">
        <v>0</v>
      </c>
      <c r="AQ208" s="712">
        <v>0</v>
      </c>
      <c r="AR208" s="712">
        <v>0</v>
      </c>
      <c r="AS208" s="712">
        <v>0</v>
      </c>
      <c r="AT208">
        <v>0</v>
      </c>
      <c r="AU208" s="615"/>
      <c r="AV208" s="615"/>
      <c r="AW208" s="615"/>
      <c r="AX208" s="615"/>
      <c r="AY208" s="615"/>
      <c r="AZ208" s="615"/>
      <c r="BA208" s="615"/>
      <c r="BB208" s="615"/>
      <c r="BC208" s="615"/>
      <c r="BD208" s="615"/>
      <c r="BE208" s="615"/>
      <c r="BF208" s="615"/>
      <c r="BG208" s="615"/>
      <c r="BH208" s="615"/>
      <c r="BI208" s="615"/>
      <c r="BJ208" s="615"/>
      <c r="BK208" s="615"/>
      <c r="BL208" s="615"/>
      <c r="BM208" s="615"/>
      <c r="BN208" s="615"/>
      <c r="BO208" s="615"/>
      <c r="BP208" s="615"/>
      <c r="BQ208" s="615"/>
      <c r="BR208" s="615"/>
      <c r="BS208" s="615"/>
      <c r="BT208" s="615"/>
      <c r="BU208" s="615"/>
      <c r="BV208" s="615"/>
      <c r="BW208" s="615"/>
      <c r="BX208" s="607"/>
    </row>
    <row r="209" spans="1:76" s="612" customFormat="1" ht="25.5" x14ac:dyDescent="0.2">
      <c r="A209" s="839"/>
      <c r="B209" s="713" t="s">
        <v>2241</v>
      </c>
      <c r="C209" s="713" t="s">
        <v>2240</v>
      </c>
      <c r="D209" s="712">
        <v>0</v>
      </c>
      <c r="E209" s="712">
        <v>0</v>
      </c>
      <c r="F209" s="712">
        <v>0</v>
      </c>
      <c r="G209" s="712">
        <v>0</v>
      </c>
      <c r="H209" s="712">
        <v>0</v>
      </c>
      <c r="I209" s="712">
        <v>0</v>
      </c>
      <c r="J209" s="712">
        <v>0</v>
      </c>
      <c r="K209" s="712">
        <v>0</v>
      </c>
      <c r="L209" s="712">
        <v>0</v>
      </c>
      <c r="M209" s="712">
        <v>0</v>
      </c>
      <c r="N209" s="712">
        <v>0</v>
      </c>
      <c r="O209" s="712">
        <v>0</v>
      </c>
      <c r="P209" s="712">
        <v>0</v>
      </c>
      <c r="Q209" s="712">
        <v>0</v>
      </c>
      <c r="R209" s="712">
        <v>0</v>
      </c>
      <c r="S209" s="712">
        <v>0</v>
      </c>
      <c r="T209" s="712">
        <v>0</v>
      </c>
      <c r="U209" s="712">
        <v>0</v>
      </c>
      <c r="V209" s="712">
        <v>0</v>
      </c>
      <c r="W209" s="712">
        <v>0</v>
      </c>
      <c r="X209" s="712">
        <v>0</v>
      </c>
      <c r="Y209" s="712">
        <v>0</v>
      </c>
      <c r="Z209" s="712">
        <v>0</v>
      </c>
      <c r="AA209" s="712">
        <v>0</v>
      </c>
      <c r="AB209" s="712">
        <v>0</v>
      </c>
      <c r="AC209" s="712">
        <v>0</v>
      </c>
      <c r="AD209" s="712">
        <v>0</v>
      </c>
      <c r="AE209" s="712">
        <v>0</v>
      </c>
      <c r="AF209" s="712">
        <v>0</v>
      </c>
      <c r="AG209" s="712">
        <v>0</v>
      </c>
      <c r="AH209" s="712">
        <v>0</v>
      </c>
      <c r="AI209" s="712">
        <v>0</v>
      </c>
      <c r="AJ209" s="712">
        <v>0</v>
      </c>
      <c r="AK209" s="712">
        <v>0</v>
      </c>
      <c r="AL209" s="712">
        <v>0</v>
      </c>
      <c r="AM209" s="712">
        <v>0</v>
      </c>
      <c r="AN209" s="712">
        <v>0</v>
      </c>
      <c r="AO209" s="712">
        <v>0</v>
      </c>
      <c r="AP209" s="712">
        <v>0</v>
      </c>
      <c r="AQ209" s="712">
        <v>0</v>
      </c>
      <c r="AR209" s="712">
        <v>0</v>
      </c>
      <c r="AS209" s="712">
        <v>0</v>
      </c>
      <c r="AT209">
        <v>0</v>
      </c>
      <c r="AU209" s="615"/>
      <c r="AV209" s="615"/>
      <c r="AW209" s="615"/>
      <c r="AX209" s="615"/>
      <c r="AY209" s="615"/>
      <c r="AZ209" s="615"/>
      <c r="BA209" s="615"/>
      <c r="BB209" s="615"/>
      <c r="BC209" s="615"/>
      <c r="BD209" s="615"/>
      <c r="BE209" s="615"/>
      <c r="BF209" s="615"/>
      <c r="BG209" s="615"/>
      <c r="BH209" s="615"/>
      <c r="BI209" s="615"/>
      <c r="BJ209" s="615"/>
      <c r="BK209" s="615"/>
      <c r="BL209" s="615"/>
      <c r="BM209" s="615"/>
      <c r="BN209" s="615"/>
      <c r="BO209" s="615"/>
      <c r="BP209" s="615"/>
      <c r="BQ209" s="615"/>
      <c r="BR209" s="615"/>
      <c r="BS209" s="615"/>
      <c r="BT209" s="615"/>
      <c r="BU209" s="615"/>
      <c r="BV209" s="615"/>
      <c r="BW209" s="615"/>
      <c r="BX209" s="607"/>
    </row>
    <row r="210" spans="1:76" s="612" customFormat="1" ht="25.5" x14ac:dyDescent="0.2">
      <c r="A210" s="839"/>
      <c r="B210" s="713" t="s">
        <v>1650</v>
      </c>
      <c r="C210" s="713" t="s">
        <v>1912</v>
      </c>
      <c r="D210" s="712">
        <v>0</v>
      </c>
      <c r="E210" s="712">
        <v>0</v>
      </c>
      <c r="F210" s="712">
        <v>0</v>
      </c>
      <c r="G210" s="712">
        <v>0</v>
      </c>
      <c r="H210" s="712">
        <v>0</v>
      </c>
      <c r="I210" s="712">
        <v>0</v>
      </c>
      <c r="J210" s="712">
        <v>0</v>
      </c>
      <c r="K210" s="712">
        <v>0</v>
      </c>
      <c r="L210" s="712">
        <v>0</v>
      </c>
      <c r="M210" s="712">
        <v>0</v>
      </c>
      <c r="N210" s="712">
        <v>0</v>
      </c>
      <c r="O210" s="712">
        <v>0</v>
      </c>
      <c r="P210" s="712">
        <v>0</v>
      </c>
      <c r="Q210" s="712">
        <v>0</v>
      </c>
      <c r="R210" s="712">
        <v>0</v>
      </c>
      <c r="S210" s="712">
        <v>0</v>
      </c>
      <c r="T210" s="712">
        <v>0</v>
      </c>
      <c r="U210" s="712">
        <v>0</v>
      </c>
      <c r="V210" s="712">
        <v>0</v>
      </c>
      <c r="W210" s="712">
        <v>0</v>
      </c>
      <c r="X210" s="712">
        <v>0</v>
      </c>
      <c r="Y210" s="712">
        <v>0</v>
      </c>
      <c r="Z210" s="712">
        <v>0</v>
      </c>
      <c r="AA210" s="712">
        <v>0</v>
      </c>
      <c r="AB210" s="712">
        <v>0</v>
      </c>
      <c r="AC210" s="712">
        <v>0</v>
      </c>
      <c r="AD210" s="712">
        <v>0</v>
      </c>
      <c r="AE210" s="712">
        <v>0</v>
      </c>
      <c r="AF210" s="712">
        <v>0</v>
      </c>
      <c r="AG210" s="712">
        <v>0</v>
      </c>
      <c r="AH210" s="712">
        <v>0</v>
      </c>
      <c r="AI210" s="712">
        <v>0</v>
      </c>
      <c r="AJ210" s="712">
        <v>0</v>
      </c>
      <c r="AK210" s="712">
        <v>0</v>
      </c>
      <c r="AL210" s="712">
        <v>0</v>
      </c>
      <c r="AM210" s="712">
        <v>0</v>
      </c>
      <c r="AN210" s="712">
        <v>0</v>
      </c>
      <c r="AO210" s="712">
        <v>0</v>
      </c>
      <c r="AP210" s="712">
        <v>0</v>
      </c>
      <c r="AQ210" s="712">
        <v>0</v>
      </c>
      <c r="AR210" s="712">
        <v>0</v>
      </c>
      <c r="AS210" s="712">
        <v>0</v>
      </c>
      <c r="AT210">
        <v>0</v>
      </c>
      <c r="AU210" s="615"/>
      <c r="AV210" s="615"/>
      <c r="AW210" s="615"/>
      <c r="AX210" s="615"/>
      <c r="AY210" s="615"/>
      <c r="AZ210" s="615"/>
      <c r="BA210" s="615"/>
      <c r="BB210" s="615"/>
      <c r="BC210" s="615"/>
      <c r="BD210" s="615"/>
      <c r="BE210" s="615"/>
      <c r="BF210" s="615"/>
      <c r="BG210" s="615"/>
      <c r="BH210" s="615"/>
      <c r="BI210" s="615"/>
      <c r="BJ210" s="615"/>
      <c r="BK210" s="615"/>
      <c r="BL210" s="615"/>
      <c r="BM210" s="615"/>
      <c r="BN210" s="615"/>
      <c r="BO210" s="615"/>
      <c r="BP210" s="615"/>
      <c r="BQ210" s="615"/>
      <c r="BR210" s="615"/>
      <c r="BS210" s="615"/>
      <c r="BT210" s="615"/>
      <c r="BU210" s="615"/>
      <c r="BV210" s="615"/>
      <c r="BW210" s="615"/>
      <c r="BX210" s="607"/>
    </row>
    <row r="211" spans="1:76" s="612" customFormat="1" ht="25.5" x14ac:dyDescent="0.2">
      <c r="A211" s="839"/>
      <c r="B211" s="713" t="s">
        <v>1712</v>
      </c>
      <c r="C211" s="713" t="s">
        <v>1946</v>
      </c>
      <c r="D211" s="712">
        <v>0</v>
      </c>
      <c r="E211" s="712">
        <v>0</v>
      </c>
      <c r="F211" s="712">
        <v>0</v>
      </c>
      <c r="G211" s="712">
        <v>0</v>
      </c>
      <c r="H211" s="712">
        <v>0</v>
      </c>
      <c r="I211" s="712">
        <v>0</v>
      </c>
      <c r="J211" s="712">
        <v>0</v>
      </c>
      <c r="K211" s="712">
        <v>0</v>
      </c>
      <c r="L211" s="712">
        <v>0</v>
      </c>
      <c r="M211" s="712">
        <v>0</v>
      </c>
      <c r="N211" s="712">
        <v>0</v>
      </c>
      <c r="O211" s="712">
        <v>0</v>
      </c>
      <c r="P211" s="712">
        <v>0</v>
      </c>
      <c r="Q211" s="712">
        <v>0</v>
      </c>
      <c r="R211" s="712">
        <v>0</v>
      </c>
      <c r="S211" s="712">
        <v>0</v>
      </c>
      <c r="T211" s="712">
        <v>0</v>
      </c>
      <c r="U211" s="712">
        <v>0</v>
      </c>
      <c r="V211" s="712">
        <v>0</v>
      </c>
      <c r="W211" s="712">
        <v>0</v>
      </c>
      <c r="X211" s="712">
        <v>0</v>
      </c>
      <c r="Y211" s="712">
        <v>0</v>
      </c>
      <c r="Z211" s="712">
        <v>0</v>
      </c>
      <c r="AA211" s="712">
        <v>0</v>
      </c>
      <c r="AB211" s="712">
        <v>0</v>
      </c>
      <c r="AC211" s="712">
        <v>0</v>
      </c>
      <c r="AD211" s="712">
        <v>0</v>
      </c>
      <c r="AE211" s="712">
        <v>0</v>
      </c>
      <c r="AF211" s="712">
        <v>0</v>
      </c>
      <c r="AG211" s="712">
        <v>0</v>
      </c>
      <c r="AH211" s="712">
        <v>0</v>
      </c>
      <c r="AI211" s="712">
        <v>0</v>
      </c>
      <c r="AJ211" s="712">
        <v>0</v>
      </c>
      <c r="AK211" s="712">
        <v>0</v>
      </c>
      <c r="AL211" s="712">
        <v>0</v>
      </c>
      <c r="AM211" s="712">
        <v>0</v>
      </c>
      <c r="AN211" s="712">
        <v>0</v>
      </c>
      <c r="AO211" s="712">
        <v>0</v>
      </c>
      <c r="AP211" s="712">
        <v>0</v>
      </c>
      <c r="AQ211" s="712">
        <v>0</v>
      </c>
      <c r="AR211" s="712">
        <v>0</v>
      </c>
      <c r="AS211" s="712">
        <v>0</v>
      </c>
      <c r="AT211">
        <v>0</v>
      </c>
      <c r="AU211" s="615"/>
      <c r="AV211" s="615"/>
      <c r="AW211" s="615"/>
      <c r="AX211" s="615"/>
      <c r="AY211" s="615"/>
      <c r="AZ211" s="615"/>
      <c r="BA211" s="615"/>
      <c r="BB211" s="615"/>
      <c r="BC211" s="615"/>
      <c r="BD211" s="615"/>
      <c r="BE211" s="615"/>
      <c r="BF211" s="615"/>
      <c r="BG211" s="615"/>
      <c r="BH211" s="615"/>
      <c r="BI211" s="615"/>
      <c r="BJ211" s="615"/>
      <c r="BK211" s="615"/>
      <c r="BL211" s="615"/>
      <c r="BM211" s="615"/>
      <c r="BN211" s="615"/>
      <c r="BO211" s="615"/>
      <c r="BP211" s="615"/>
      <c r="BQ211" s="615"/>
      <c r="BR211" s="615"/>
      <c r="BS211" s="615"/>
      <c r="BT211" s="615"/>
      <c r="BU211" s="615"/>
      <c r="BV211" s="615"/>
      <c r="BW211" s="615"/>
      <c r="BX211" s="607"/>
    </row>
    <row r="212" spans="1:76" s="612" customFormat="1" ht="25.5" x14ac:dyDescent="0.2">
      <c r="A212" s="839"/>
      <c r="B212" s="713" t="s">
        <v>1656</v>
      </c>
      <c r="C212" s="713" t="s">
        <v>1932</v>
      </c>
      <c r="D212" s="712">
        <v>0</v>
      </c>
      <c r="E212" s="712">
        <v>0</v>
      </c>
      <c r="F212" s="712">
        <v>0</v>
      </c>
      <c r="G212" s="712">
        <v>0</v>
      </c>
      <c r="H212" s="712">
        <v>0</v>
      </c>
      <c r="I212" s="712">
        <v>0</v>
      </c>
      <c r="J212" s="712">
        <v>0</v>
      </c>
      <c r="K212" s="712">
        <v>0</v>
      </c>
      <c r="L212" s="712">
        <v>0</v>
      </c>
      <c r="M212" s="712">
        <v>0</v>
      </c>
      <c r="N212" s="712">
        <v>0</v>
      </c>
      <c r="O212" s="712">
        <v>0</v>
      </c>
      <c r="P212" s="712">
        <v>0</v>
      </c>
      <c r="Q212" s="712">
        <v>0</v>
      </c>
      <c r="R212" s="712">
        <v>0</v>
      </c>
      <c r="S212" s="712">
        <v>0</v>
      </c>
      <c r="T212" s="712">
        <v>0</v>
      </c>
      <c r="U212" s="712">
        <v>0</v>
      </c>
      <c r="V212" s="712">
        <v>0</v>
      </c>
      <c r="W212" s="712">
        <v>0</v>
      </c>
      <c r="X212" s="712">
        <v>0</v>
      </c>
      <c r="Y212" s="712">
        <v>0</v>
      </c>
      <c r="Z212" s="712">
        <v>0</v>
      </c>
      <c r="AA212" s="712">
        <v>0</v>
      </c>
      <c r="AB212" s="712">
        <v>0</v>
      </c>
      <c r="AC212" s="712">
        <v>0</v>
      </c>
      <c r="AD212" s="712">
        <v>0</v>
      </c>
      <c r="AE212" s="712">
        <v>0</v>
      </c>
      <c r="AF212" s="712">
        <v>0</v>
      </c>
      <c r="AG212" s="712">
        <v>0</v>
      </c>
      <c r="AH212" s="712">
        <v>0</v>
      </c>
      <c r="AI212" s="712">
        <v>0</v>
      </c>
      <c r="AJ212" s="712">
        <v>0</v>
      </c>
      <c r="AK212" s="712">
        <v>0</v>
      </c>
      <c r="AL212" s="712">
        <v>0</v>
      </c>
      <c r="AM212" s="712">
        <v>0</v>
      </c>
      <c r="AN212" s="712">
        <v>0</v>
      </c>
      <c r="AO212" s="712">
        <v>0</v>
      </c>
      <c r="AP212" s="712">
        <v>0</v>
      </c>
      <c r="AQ212" s="712">
        <v>0</v>
      </c>
      <c r="AR212" s="712">
        <v>0</v>
      </c>
      <c r="AS212" s="712">
        <v>0</v>
      </c>
      <c r="AT212">
        <v>0</v>
      </c>
      <c r="AU212" s="615"/>
      <c r="AV212" s="615"/>
      <c r="AW212" s="615"/>
      <c r="AX212" s="615"/>
      <c r="AY212" s="615"/>
      <c r="AZ212" s="615"/>
      <c r="BA212" s="615"/>
      <c r="BB212" s="615"/>
      <c r="BC212" s="615"/>
      <c r="BD212" s="615"/>
      <c r="BE212" s="615"/>
      <c r="BF212" s="615"/>
      <c r="BG212" s="615"/>
      <c r="BH212" s="615"/>
      <c r="BI212" s="615"/>
      <c r="BJ212" s="615"/>
      <c r="BK212" s="615"/>
      <c r="BL212" s="615"/>
      <c r="BM212" s="615"/>
      <c r="BN212" s="615"/>
      <c r="BO212" s="615"/>
      <c r="BP212" s="615"/>
      <c r="BQ212" s="615"/>
      <c r="BR212" s="615"/>
      <c r="BS212" s="615"/>
      <c r="BT212" s="615"/>
      <c r="BU212" s="615"/>
      <c r="BV212" s="615"/>
      <c r="BW212" s="615"/>
      <c r="BX212" s="607"/>
    </row>
    <row r="213" spans="1:76" s="612" customFormat="1" ht="25.5" x14ac:dyDescent="0.2">
      <c r="A213" s="839"/>
      <c r="B213" s="713" t="s">
        <v>3214</v>
      </c>
      <c r="C213" s="713" t="s">
        <v>1947</v>
      </c>
      <c r="D213" s="712">
        <v>0</v>
      </c>
      <c r="E213" s="712">
        <v>0</v>
      </c>
      <c r="F213" s="712">
        <v>0</v>
      </c>
      <c r="G213" s="712">
        <v>0</v>
      </c>
      <c r="H213" s="712">
        <v>0</v>
      </c>
      <c r="I213" s="712">
        <v>0</v>
      </c>
      <c r="J213" s="712">
        <v>0</v>
      </c>
      <c r="K213" s="712">
        <v>0</v>
      </c>
      <c r="L213" s="712">
        <v>0</v>
      </c>
      <c r="M213" s="712">
        <v>0</v>
      </c>
      <c r="N213" s="712">
        <v>0</v>
      </c>
      <c r="O213" s="712">
        <v>0</v>
      </c>
      <c r="P213" s="712">
        <v>0</v>
      </c>
      <c r="Q213" s="712">
        <v>0</v>
      </c>
      <c r="R213" s="712">
        <v>0</v>
      </c>
      <c r="S213" s="712">
        <v>0</v>
      </c>
      <c r="T213" s="712">
        <v>0</v>
      </c>
      <c r="U213" s="712">
        <v>0</v>
      </c>
      <c r="V213" s="712">
        <v>0</v>
      </c>
      <c r="W213" s="712">
        <v>0</v>
      </c>
      <c r="X213" s="712">
        <v>0</v>
      </c>
      <c r="Y213" s="712">
        <v>0</v>
      </c>
      <c r="Z213" s="712">
        <v>0</v>
      </c>
      <c r="AA213" s="712">
        <v>0</v>
      </c>
      <c r="AB213" s="712">
        <v>0</v>
      </c>
      <c r="AC213" s="712">
        <v>0</v>
      </c>
      <c r="AD213" s="712">
        <v>0</v>
      </c>
      <c r="AE213" s="712">
        <v>0</v>
      </c>
      <c r="AF213" s="712">
        <v>0</v>
      </c>
      <c r="AG213" s="712">
        <v>0</v>
      </c>
      <c r="AH213" s="712">
        <v>0</v>
      </c>
      <c r="AI213" s="712">
        <v>0</v>
      </c>
      <c r="AJ213" s="712">
        <v>0</v>
      </c>
      <c r="AK213" s="712">
        <v>0</v>
      </c>
      <c r="AL213" s="712">
        <v>0</v>
      </c>
      <c r="AM213" s="712">
        <v>0</v>
      </c>
      <c r="AN213" s="712">
        <v>0</v>
      </c>
      <c r="AO213" s="712">
        <v>0</v>
      </c>
      <c r="AP213" s="712">
        <v>0</v>
      </c>
      <c r="AQ213" s="712">
        <v>0</v>
      </c>
      <c r="AR213" s="712">
        <v>0</v>
      </c>
      <c r="AS213" s="712">
        <v>0</v>
      </c>
      <c r="AT213">
        <v>0</v>
      </c>
      <c r="AU213" s="615"/>
      <c r="AV213" s="615"/>
      <c r="AW213" s="615"/>
      <c r="AX213" s="615"/>
      <c r="AY213" s="615"/>
      <c r="AZ213" s="615"/>
      <c r="BA213" s="615"/>
      <c r="BB213" s="615"/>
      <c r="BC213" s="615"/>
      <c r="BD213" s="615"/>
      <c r="BE213" s="615"/>
      <c r="BF213" s="615"/>
      <c r="BG213" s="615"/>
      <c r="BH213" s="615"/>
      <c r="BI213" s="615"/>
      <c r="BJ213" s="615"/>
      <c r="BK213" s="615"/>
      <c r="BL213" s="615"/>
      <c r="BM213" s="615"/>
      <c r="BN213" s="615"/>
      <c r="BO213" s="615"/>
      <c r="BP213" s="615"/>
      <c r="BQ213" s="615"/>
      <c r="BR213" s="615"/>
      <c r="BS213" s="615"/>
      <c r="BT213" s="615"/>
      <c r="BU213" s="615"/>
      <c r="BV213" s="615"/>
      <c r="BW213" s="615"/>
      <c r="BX213" s="607"/>
    </row>
    <row r="214" spans="1:76" s="612" customFormat="1" ht="25.5" x14ac:dyDescent="0.2">
      <c r="A214" s="839"/>
      <c r="B214" s="713" t="s">
        <v>3490</v>
      </c>
      <c r="C214" s="713" t="s">
        <v>1980</v>
      </c>
      <c r="D214" s="712">
        <v>0</v>
      </c>
      <c r="E214" s="712">
        <v>0</v>
      </c>
      <c r="F214" s="712">
        <v>0</v>
      </c>
      <c r="G214" s="712">
        <v>0</v>
      </c>
      <c r="H214" s="712">
        <v>0</v>
      </c>
      <c r="I214" s="712">
        <v>0</v>
      </c>
      <c r="J214" s="712">
        <v>0</v>
      </c>
      <c r="K214" s="712">
        <v>0</v>
      </c>
      <c r="L214" s="712">
        <v>0</v>
      </c>
      <c r="M214" s="712">
        <v>0</v>
      </c>
      <c r="N214" s="712">
        <v>0</v>
      </c>
      <c r="O214" s="712">
        <v>0</v>
      </c>
      <c r="P214" s="712">
        <v>0</v>
      </c>
      <c r="Q214" s="712">
        <v>0</v>
      </c>
      <c r="R214" s="712">
        <v>0</v>
      </c>
      <c r="S214" s="712">
        <v>0</v>
      </c>
      <c r="T214" s="712">
        <v>0</v>
      </c>
      <c r="U214" s="712">
        <v>0</v>
      </c>
      <c r="V214" s="712">
        <v>0</v>
      </c>
      <c r="W214" s="712">
        <v>0</v>
      </c>
      <c r="X214" s="712">
        <v>0</v>
      </c>
      <c r="Y214" s="712">
        <v>0</v>
      </c>
      <c r="Z214" s="712">
        <v>0</v>
      </c>
      <c r="AA214" s="712">
        <v>0</v>
      </c>
      <c r="AB214" s="712">
        <v>0</v>
      </c>
      <c r="AC214" s="712">
        <v>0</v>
      </c>
      <c r="AD214" s="712">
        <v>0</v>
      </c>
      <c r="AE214" s="712">
        <v>0</v>
      </c>
      <c r="AF214" s="712">
        <v>0</v>
      </c>
      <c r="AG214" s="712">
        <v>0</v>
      </c>
      <c r="AH214" s="712">
        <v>0</v>
      </c>
      <c r="AI214" s="712">
        <v>0</v>
      </c>
      <c r="AJ214" s="712">
        <v>0</v>
      </c>
      <c r="AK214" s="712">
        <v>0</v>
      </c>
      <c r="AL214" s="712">
        <v>0</v>
      </c>
      <c r="AM214" s="712">
        <v>0</v>
      </c>
      <c r="AN214" s="712">
        <v>0</v>
      </c>
      <c r="AO214" s="712">
        <v>0</v>
      </c>
      <c r="AP214" s="712">
        <v>0</v>
      </c>
      <c r="AQ214" s="712">
        <v>0</v>
      </c>
      <c r="AR214" s="712">
        <v>0</v>
      </c>
      <c r="AS214" s="712">
        <v>0</v>
      </c>
      <c r="AT214">
        <v>0</v>
      </c>
      <c r="AU214" s="615"/>
      <c r="AV214" s="615"/>
      <c r="AW214" s="615"/>
      <c r="AX214" s="615"/>
      <c r="AY214" s="615"/>
      <c r="AZ214" s="615"/>
      <c r="BA214" s="615"/>
      <c r="BB214" s="615"/>
      <c r="BC214" s="615"/>
      <c r="BD214" s="615"/>
      <c r="BE214" s="615"/>
      <c r="BF214" s="615"/>
      <c r="BG214" s="615"/>
      <c r="BH214" s="615"/>
      <c r="BI214" s="615"/>
      <c r="BJ214" s="615"/>
      <c r="BK214" s="615"/>
      <c r="BL214" s="615"/>
      <c r="BM214" s="615"/>
      <c r="BN214" s="615"/>
      <c r="BO214" s="615"/>
      <c r="BP214" s="615"/>
      <c r="BQ214" s="615"/>
      <c r="BR214" s="615"/>
      <c r="BS214" s="615"/>
      <c r="BT214" s="615"/>
      <c r="BU214" s="615"/>
      <c r="BV214" s="615"/>
      <c r="BW214" s="615"/>
      <c r="BX214" s="607"/>
    </row>
    <row r="215" spans="1:76" s="612" customFormat="1" ht="25.5" x14ac:dyDescent="0.2">
      <c r="A215" s="839"/>
      <c r="B215" s="713" t="s">
        <v>1711</v>
      </c>
      <c r="C215" s="713" t="s">
        <v>1925</v>
      </c>
      <c r="D215" s="712">
        <v>0</v>
      </c>
      <c r="E215" s="712">
        <v>0</v>
      </c>
      <c r="F215" s="712">
        <v>0</v>
      </c>
      <c r="G215" s="712">
        <v>0</v>
      </c>
      <c r="H215" s="712">
        <v>0</v>
      </c>
      <c r="I215" s="712">
        <v>0</v>
      </c>
      <c r="J215" s="712">
        <v>0</v>
      </c>
      <c r="K215" s="712">
        <v>0</v>
      </c>
      <c r="L215" s="712">
        <v>0</v>
      </c>
      <c r="M215" s="712">
        <v>0</v>
      </c>
      <c r="N215" s="712">
        <v>0</v>
      </c>
      <c r="O215" s="712">
        <v>0</v>
      </c>
      <c r="P215" s="712">
        <v>0</v>
      </c>
      <c r="Q215" s="712">
        <v>0</v>
      </c>
      <c r="R215" s="712">
        <v>0</v>
      </c>
      <c r="S215" s="712">
        <v>0</v>
      </c>
      <c r="T215" s="712">
        <v>0</v>
      </c>
      <c r="U215" s="712">
        <v>0</v>
      </c>
      <c r="V215" s="712">
        <v>0</v>
      </c>
      <c r="W215" s="712">
        <v>0</v>
      </c>
      <c r="X215" s="712">
        <v>0</v>
      </c>
      <c r="Y215" s="712">
        <v>0</v>
      </c>
      <c r="Z215" s="712">
        <v>0</v>
      </c>
      <c r="AA215" s="712">
        <v>0</v>
      </c>
      <c r="AB215" s="712">
        <v>0</v>
      </c>
      <c r="AC215" s="712">
        <v>0</v>
      </c>
      <c r="AD215" s="712">
        <v>0</v>
      </c>
      <c r="AE215" s="712">
        <v>0</v>
      </c>
      <c r="AF215" s="712">
        <v>0</v>
      </c>
      <c r="AG215" s="712">
        <v>0</v>
      </c>
      <c r="AH215" s="712">
        <v>0</v>
      </c>
      <c r="AI215" s="712">
        <v>0</v>
      </c>
      <c r="AJ215" s="712">
        <v>0</v>
      </c>
      <c r="AK215" s="712">
        <v>0</v>
      </c>
      <c r="AL215" s="712">
        <v>0</v>
      </c>
      <c r="AM215" s="712">
        <v>0</v>
      </c>
      <c r="AN215" s="712">
        <v>0</v>
      </c>
      <c r="AO215" s="712">
        <v>0</v>
      </c>
      <c r="AP215" s="712">
        <v>0</v>
      </c>
      <c r="AQ215" s="712">
        <v>0</v>
      </c>
      <c r="AR215" s="712">
        <v>0</v>
      </c>
      <c r="AS215" s="712">
        <v>0</v>
      </c>
      <c r="AT215">
        <v>0</v>
      </c>
      <c r="AU215" s="615"/>
      <c r="AV215" s="615"/>
      <c r="AW215" s="615"/>
      <c r="AX215" s="615"/>
      <c r="AY215" s="615"/>
      <c r="AZ215" s="615"/>
      <c r="BA215" s="615"/>
      <c r="BB215" s="615"/>
      <c r="BC215" s="615"/>
      <c r="BD215" s="615"/>
      <c r="BE215" s="615"/>
      <c r="BF215" s="615"/>
      <c r="BG215" s="615"/>
      <c r="BH215" s="615"/>
      <c r="BI215" s="615"/>
      <c r="BJ215" s="615"/>
      <c r="BK215" s="615"/>
      <c r="BL215" s="615"/>
      <c r="BM215" s="615"/>
      <c r="BN215" s="615"/>
      <c r="BO215" s="615"/>
      <c r="BP215" s="615"/>
      <c r="BQ215" s="615"/>
      <c r="BR215" s="615"/>
      <c r="BS215" s="615"/>
      <c r="BT215" s="615"/>
      <c r="BU215" s="615"/>
      <c r="BV215" s="615"/>
      <c r="BW215" s="615"/>
      <c r="BX215" s="607"/>
    </row>
    <row r="216" spans="1:76" s="612" customFormat="1" ht="25.5" x14ac:dyDescent="0.2">
      <c r="A216" s="839"/>
      <c r="B216" s="713" t="s">
        <v>997</v>
      </c>
      <c r="C216" s="713" t="s">
        <v>1961</v>
      </c>
      <c r="D216" s="712">
        <v>0</v>
      </c>
      <c r="E216" s="712">
        <v>0</v>
      </c>
      <c r="F216" s="712">
        <v>0</v>
      </c>
      <c r="G216" s="712">
        <v>0</v>
      </c>
      <c r="H216" s="712">
        <v>0</v>
      </c>
      <c r="I216" s="712">
        <v>0</v>
      </c>
      <c r="J216" s="712">
        <v>0</v>
      </c>
      <c r="K216" s="712">
        <v>0</v>
      </c>
      <c r="L216" s="712">
        <v>0</v>
      </c>
      <c r="M216" s="712">
        <v>0</v>
      </c>
      <c r="N216" s="712">
        <v>0</v>
      </c>
      <c r="O216" s="712">
        <v>0</v>
      </c>
      <c r="P216" s="712">
        <v>0</v>
      </c>
      <c r="Q216" s="712">
        <v>0</v>
      </c>
      <c r="R216" s="712">
        <v>0</v>
      </c>
      <c r="S216" s="712">
        <v>0</v>
      </c>
      <c r="T216" s="712">
        <v>0</v>
      </c>
      <c r="U216" s="712">
        <v>0</v>
      </c>
      <c r="V216" s="712">
        <v>0</v>
      </c>
      <c r="W216" s="712">
        <v>0</v>
      </c>
      <c r="X216" s="712">
        <v>0</v>
      </c>
      <c r="Y216" s="712">
        <v>0</v>
      </c>
      <c r="Z216" s="712">
        <v>0</v>
      </c>
      <c r="AA216" s="712">
        <v>0</v>
      </c>
      <c r="AB216" s="712">
        <v>0</v>
      </c>
      <c r="AC216" s="712">
        <v>0</v>
      </c>
      <c r="AD216" s="712">
        <v>0</v>
      </c>
      <c r="AE216" s="712">
        <v>0</v>
      </c>
      <c r="AF216" s="712">
        <v>0</v>
      </c>
      <c r="AG216" s="712">
        <v>0</v>
      </c>
      <c r="AH216" s="712">
        <v>0</v>
      </c>
      <c r="AI216" s="712">
        <v>0</v>
      </c>
      <c r="AJ216" s="712">
        <v>0</v>
      </c>
      <c r="AK216" s="712">
        <v>0</v>
      </c>
      <c r="AL216" s="712">
        <v>0</v>
      </c>
      <c r="AM216" s="712">
        <v>0</v>
      </c>
      <c r="AN216" s="712">
        <v>0</v>
      </c>
      <c r="AO216" s="712">
        <v>0</v>
      </c>
      <c r="AP216" s="712">
        <v>0</v>
      </c>
      <c r="AQ216" s="712">
        <v>0</v>
      </c>
      <c r="AR216" s="712">
        <v>0</v>
      </c>
      <c r="AS216" s="712">
        <v>0</v>
      </c>
      <c r="AT216">
        <v>0</v>
      </c>
      <c r="AU216" s="615"/>
      <c r="AV216" s="615"/>
      <c r="AW216" s="615"/>
      <c r="AX216" s="615"/>
      <c r="AY216" s="615"/>
      <c r="AZ216" s="615"/>
      <c r="BA216" s="615"/>
      <c r="BB216" s="615"/>
      <c r="BC216" s="615"/>
      <c r="BD216" s="615"/>
      <c r="BE216" s="615"/>
      <c r="BF216" s="615"/>
      <c r="BG216" s="615"/>
      <c r="BH216" s="615"/>
      <c r="BI216" s="615"/>
      <c r="BJ216" s="615"/>
      <c r="BK216" s="615"/>
      <c r="BL216" s="615"/>
      <c r="BM216" s="615"/>
      <c r="BN216" s="615"/>
      <c r="BO216" s="615"/>
      <c r="BP216" s="615"/>
      <c r="BQ216" s="615"/>
      <c r="BR216" s="615"/>
      <c r="BS216" s="615"/>
      <c r="BT216" s="615"/>
      <c r="BU216" s="615"/>
      <c r="BV216" s="615"/>
      <c r="BW216" s="615"/>
      <c r="BX216" s="607"/>
    </row>
    <row r="217" spans="1:76" s="612" customFormat="1" ht="25.5" x14ac:dyDescent="0.2">
      <c r="A217" s="839"/>
      <c r="B217" s="713" t="s">
        <v>1006</v>
      </c>
      <c r="C217" s="713" t="s">
        <v>1957</v>
      </c>
      <c r="D217" s="712">
        <v>0</v>
      </c>
      <c r="E217" s="712">
        <v>0</v>
      </c>
      <c r="F217" s="712">
        <v>0</v>
      </c>
      <c r="G217" s="712">
        <v>0</v>
      </c>
      <c r="H217" s="712">
        <v>0</v>
      </c>
      <c r="I217" s="712">
        <v>0</v>
      </c>
      <c r="J217" s="712">
        <v>0</v>
      </c>
      <c r="K217" s="712">
        <v>0</v>
      </c>
      <c r="L217" s="712">
        <v>0</v>
      </c>
      <c r="M217" s="712">
        <v>0</v>
      </c>
      <c r="N217" s="712">
        <v>0</v>
      </c>
      <c r="O217" s="712">
        <v>0</v>
      </c>
      <c r="P217" s="712">
        <v>0</v>
      </c>
      <c r="Q217" s="712">
        <v>0</v>
      </c>
      <c r="R217" s="712">
        <v>0</v>
      </c>
      <c r="S217" s="712">
        <v>0</v>
      </c>
      <c r="T217" s="712">
        <v>0</v>
      </c>
      <c r="U217" s="712">
        <v>0</v>
      </c>
      <c r="V217" s="712">
        <v>0</v>
      </c>
      <c r="W217" s="712">
        <v>0</v>
      </c>
      <c r="X217" s="712">
        <v>0</v>
      </c>
      <c r="Y217" s="712">
        <v>0</v>
      </c>
      <c r="Z217" s="712">
        <v>0</v>
      </c>
      <c r="AA217" s="712">
        <v>0</v>
      </c>
      <c r="AB217" s="712">
        <v>0</v>
      </c>
      <c r="AC217" s="712">
        <v>0</v>
      </c>
      <c r="AD217" s="712">
        <v>0</v>
      </c>
      <c r="AE217" s="712">
        <v>0</v>
      </c>
      <c r="AF217" s="712">
        <v>0</v>
      </c>
      <c r="AG217" s="712">
        <v>0</v>
      </c>
      <c r="AH217" s="712">
        <v>0</v>
      </c>
      <c r="AI217" s="712">
        <v>0</v>
      </c>
      <c r="AJ217" s="712">
        <v>0</v>
      </c>
      <c r="AK217" s="712">
        <v>0</v>
      </c>
      <c r="AL217" s="712">
        <v>0</v>
      </c>
      <c r="AM217" s="712">
        <v>0</v>
      </c>
      <c r="AN217" s="712">
        <v>0</v>
      </c>
      <c r="AO217" s="712">
        <v>0</v>
      </c>
      <c r="AP217" s="712">
        <v>0</v>
      </c>
      <c r="AQ217" s="712">
        <v>0</v>
      </c>
      <c r="AR217" s="712">
        <v>0</v>
      </c>
      <c r="AS217" s="712">
        <v>0</v>
      </c>
      <c r="AT217">
        <v>0</v>
      </c>
      <c r="AU217" s="615"/>
      <c r="AV217" s="615"/>
      <c r="AW217" s="615"/>
      <c r="AX217" s="615"/>
      <c r="AY217" s="615"/>
      <c r="AZ217" s="615"/>
      <c r="BA217" s="615"/>
      <c r="BB217" s="615"/>
      <c r="BC217" s="615"/>
      <c r="BD217" s="615"/>
      <c r="BE217" s="615"/>
      <c r="BF217" s="615"/>
      <c r="BG217" s="615"/>
      <c r="BH217" s="615"/>
      <c r="BI217" s="615"/>
      <c r="BJ217" s="615"/>
      <c r="BK217" s="615"/>
      <c r="BL217" s="615"/>
      <c r="BM217" s="615"/>
      <c r="BN217" s="615"/>
      <c r="BO217" s="615"/>
      <c r="BP217" s="615"/>
      <c r="BQ217" s="615"/>
      <c r="BR217" s="615"/>
      <c r="BS217" s="615"/>
      <c r="BT217" s="615"/>
      <c r="BU217" s="615"/>
      <c r="BV217" s="615"/>
      <c r="BW217" s="615"/>
      <c r="BX217" s="607"/>
    </row>
    <row r="218" spans="1:76" s="612" customFormat="1" ht="25.5" x14ac:dyDescent="0.2">
      <c r="A218" s="839"/>
      <c r="B218" s="713" t="s">
        <v>991</v>
      </c>
      <c r="C218" s="713" t="s">
        <v>1972</v>
      </c>
      <c r="D218" s="712">
        <v>0</v>
      </c>
      <c r="E218" s="712">
        <v>0</v>
      </c>
      <c r="F218" s="712">
        <v>0</v>
      </c>
      <c r="G218" s="712">
        <v>0</v>
      </c>
      <c r="H218" s="712">
        <v>0</v>
      </c>
      <c r="I218" s="712">
        <v>0</v>
      </c>
      <c r="J218" s="712">
        <v>0</v>
      </c>
      <c r="K218" s="712">
        <v>0</v>
      </c>
      <c r="L218" s="712">
        <v>0</v>
      </c>
      <c r="M218" s="712">
        <v>0</v>
      </c>
      <c r="N218" s="712">
        <v>0</v>
      </c>
      <c r="O218" s="712">
        <v>0</v>
      </c>
      <c r="P218" s="712">
        <v>0</v>
      </c>
      <c r="Q218" s="712">
        <v>0</v>
      </c>
      <c r="R218" s="712">
        <v>0</v>
      </c>
      <c r="S218" s="712">
        <v>0</v>
      </c>
      <c r="T218" s="712">
        <v>0</v>
      </c>
      <c r="U218" s="712">
        <v>0</v>
      </c>
      <c r="V218" s="712">
        <v>0</v>
      </c>
      <c r="W218" s="712">
        <v>0</v>
      </c>
      <c r="X218" s="712">
        <v>0</v>
      </c>
      <c r="Y218" s="712">
        <v>0</v>
      </c>
      <c r="Z218" s="712">
        <v>0</v>
      </c>
      <c r="AA218" s="712">
        <v>0</v>
      </c>
      <c r="AB218" s="712">
        <v>0</v>
      </c>
      <c r="AC218" s="712">
        <v>0</v>
      </c>
      <c r="AD218" s="712">
        <v>0</v>
      </c>
      <c r="AE218" s="712">
        <v>0</v>
      </c>
      <c r="AF218" s="712">
        <v>0</v>
      </c>
      <c r="AG218" s="712">
        <v>0</v>
      </c>
      <c r="AH218" s="712">
        <v>0</v>
      </c>
      <c r="AI218" s="712">
        <v>0</v>
      </c>
      <c r="AJ218" s="712">
        <v>0</v>
      </c>
      <c r="AK218" s="712">
        <v>0</v>
      </c>
      <c r="AL218" s="712">
        <v>0</v>
      </c>
      <c r="AM218" s="712">
        <v>0</v>
      </c>
      <c r="AN218" s="712">
        <v>0</v>
      </c>
      <c r="AO218" s="712">
        <v>0</v>
      </c>
      <c r="AP218" s="712">
        <v>0</v>
      </c>
      <c r="AQ218" s="712">
        <v>0</v>
      </c>
      <c r="AR218" s="712">
        <v>0</v>
      </c>
      <c r="AS218" s="712">
        <v>0</v>
      </c>
      <c r="AT218">
        <v>0</v>
      </c>
      <c r="AU218" s="615"/>
      <c r="AV218" s="615"/>
      <c r="AW218" s="615"/>
      <c r="AX218" s="615"/>
      <c r="AY218" s="615"/>
      <c r="AZ218" s="615"/>
      <c r="BA218" s="615"/>
      <c r="BB218" s="615"/>
      <c r="BC218" s="615"/>
      <c r="BD218" s="615"/>
      <c r="BE218" s="615"/>
      <c r="BF218" s="615"/>
      <c r="BG218" s="615"/>
      <c r="BH218" s="615"/>
      <c r="BI218" s="615"/>
      <c r="BJ218" s="615"/>
      <c r="BK218" s="615"/>
      <c r="BL218" s="615"/>
      <c r="BM218" s="615"/>
      <c r="BN218" s="615"/>
      <c r="BO218" s="615"/>
      <c r="BP218" s="615"/>
      <c r="BQ218" s="615"/>
      <c r="BR218" s="615"/>
      <c r="BS218" s="615"/>
      <c r="BT218" s="615"/>
      <c r="BU218" s="615"/>
      <c r="BV218" s="615"/>
      <c r="BW218" s="615"/>
      <c r="BX218" s="607"/>
    </row>
    <row r="219" spans="1:76" s="612" customFormat="1" ht="25.5" x14ac:dyDescent="0.2">
      <c r="A219" s="839"/>
      <c r="B219" s="713" t="s">
        <v>1005</v>
      </c>
      <c r="C219" s="713" t="s">
        <v>1938</v>
      </c>
      <c r="D219" s="712">
        <v>0</v>
      </c>
      <c r="E219" s="712">
        <v>0</v>
      </c>
      <c r="F219" s="712">
        <v>0</v>
      </c>
      <c r="G219" s="712">
        <v>0</v>
      </c>
      <c r="H219" s="712">
        <v>0</v>
      </c>
      <c r="I219" s="712">
        <v>0</v>
      </c>
      <c r="J219" s="712">
        <v>0</v>
      </c>
      <c r="K219" s="712">
        <v>0</v>
      </c>
      <c r="L219" s="712">
        <v>0</v>
      </c>
      <c r="M219" s="712">
        <v>0</v>
      </c>
      <c r="N219" s="712">
        <v>0</v>
      </c>
      <c r="O219" s="712">
        <v>0</v>
      </c>
      <c r="P219" s="712">
        <v>0</v>
      </c>
      <c r="Q219" s="712">
        <v>0</v>
      </c>
      <c r="R219" s="712">
        <v>0</v>
      </c>
      <c r="S219" s="712">
        <v>0</v>
      </c>
      <c r="T219" s="712">
        <v>0</v>
      </c>
      <c r="U219" s="712">
        <v>0</v>
      </c>
      <c r="V219" s="712">
        <v>0</v>
      </c>
      <c r="W219" s="712">
        <v>0</v>
      </c>
      <c r="X219" s="712">
        <v>0</v>
      </c>
      <c r="Y219" s="712">
        <v>0</v>
      </c>
      <c r="Z219" s="712">
        <v>0</v>
      </c>
      <c r="AA219" s="712">
        <v>0</v>
      </c>
      <c r="AB219" s="712">
        <v>0</v>
      </c>
      <c r="AC219" s="712">
        <v>0</v>
      </c>
      <c r="AD219" s="712">
        <v>0</v>
      </c>
      <c r="AE219" s="712">
        <v>0</v>
      </c>
      <c r="AF219" s="712">
        <v>0</v>
      </c>
      <c r="AG219" s="712">
        <v>0</v>
      </c>
      <c r="AH219" s="712">
        <v>0</v>
      </c>
      <c r="AI219" s="712">
        <v>0</v>
      </c>
      <c r="AJ219" s="712">
        <v>0</v>
      </c>
      <c r="AK219" s="712">
        <v>0</v>
      </c>
      <c r="AL219" s="712">
        <v>0</v>
      </c>
      <c r="AM219" s="712">
        <v>0</v>
      </c>
      <c r="AN219" s="712">
        <v>0</v>
      </c>
      <c r="AO219" s="712">
        <v>0</v>
      </c>
      <c r="AP219" s="712">
        <v>0</v>
      </c>
      <c r="AQ219" s="712">
        <v>0</v>
      </c>
      <c r="AR219" s="712">
        <v>0</v>
      </c>
      <c r="AS219" s="712">
        <v>0</v>
      </c>
      <c r="AT219">
        <v>0</v>
      </c>
      <c r="AU219" s="615"/>
      <c r="AV219" s="615"/>
      <c r="AW219" s="615"/>
      <c r="AX219" s="615"/>
      <c r="AY219" s="615"/>
      <c r="AZ219" s="615"/>
      <c r="BA219" s="615"/>
      <c r="BB219" s="615"/>
      <c r="BC219" s="615"/>
      <c r="BD219" s="615"/>
      <c r="BE219" s="615"/>
      <c r="BF219" s="615"/>
      <c r="BG219" s="615"/>
      <c r="BH219" s="615"/>
      <c r="BI219" s="615"/>
      <c r="BJ219" s="615"/>
      <c r="BK219" s="615"/>
      <c r="BL219" s="615"/>
      <c r="BM219" s="615"/>
      <c r="BN219" s="615"/>
      <c r="BO219" s="615"/>
      <c r="BP219" s="615"/>
      <c r="BQ219" s="615"/>
      <c r="BR219" s="615"/>
      <c r="BS219" s="615"/>
      <c r="BT219" s="615"/>
      <c r="BU219" s="615"/>
      <c r="BV219" s="615"/>
      <c r="BW219" s="615"/>
      <c r="BX219" s="607"/>
    </row>
    <row r="220" spans="1:76" s="612" customFormat="1" ht="25.5" x14ac:dyDescent="0.2">
      <c r="A220" s="839"/>
      <c r="B220" s="713" t="s">
        <v>994</v>
      </c>
      <c r="C220" s="713" t="s">
        <v>1941</v>
      </c>
      <c r="D220" s="712">
        <v>0</v>
      </c>
      <c r="E220" s="712">
        <v>0</v>
      </c>
      <c r="F220" s="712">
        <v>0</v>
      </c>
      <c r="G220" s="712">
        <v>0</v>
      </c>
      <c r="H220" s="712">
        <v>0</v>
      </c>
      <c r="I220" s="712">
        <v>0</v>
      </c>
      <c r="J220" s="712">
        <v>0</v>
      </c>
      <c r="K220" s="712">
        <v>0</v>
      </c>
      <c r="L220" s="712">
        <v>0</v>
      </c>
      <c r="M220" s="712">
        <v>0</v>
      </c>
      <c r="N220" s="712">
        <v>0</v>
      </c>
      <c r="O220" s="712">
        <v>0</v>
      </c>
      <c r="P220" s="712">
        <v>0</v>
      </c>
      <c r="Q220" s="712">
        <v>0</v>
      </c>
      <c r="R220" s="712">
        <v>0</v>
      </c>
      <c r="S220" s="712">
        <v>0</v>
      </c>
      <c r="T220" s="712">
        <v>0</v>
      </c>
      <c r="U220" s="712">
        <v>0</v>
      </c>
      <c r="V220" s="712">
        <v>0</v>
      </c>
      <c r="W220" s="712">
        <v>0</v>
      </c>
      <c r="X220" s="712">
        <v>0</v>
      </c>
      <c r="Y220" s="712">
        <v>0</v>
      </c>
      <c r="Z220" s="712">
        <v>0</v>
      </c>
      <c r="AA220" s="712">
        <v>0</v>
      </c>
      <c r="AB220" s="712">
        <v>0</v>
      </c>
      <c r="AC220" s="712">
        <v>0</v>
      </c>
      <c r="AD220" s="712">
        <v>0</v>
      </c>
      <c r="AE220" s="712">
        <v>0</v>
      </c>
      <c r="AF220" s="712">
        <v>0</v>
      </c>
      <c r="AG220" s="712">
        <v>0</v>
      </c>
      <c r="AH220" s="712">
        <v>0</v>
      </c>
      <c r="AI220" s="712">
        <v>0</v>
      </c>
      <c r="AJ220" s="712">
        <v>0</v>
      </c>
      <c r="AK220" s="712">
        <v>0</v>
      </c>
      <c r="AL220" s="712">
        <v>0</v>
      </c>
      <c r="AM220" s="712">
        <v>0</v>
      </c>
      <c r="AN220" s="712">
        <v>0</v>
      </c>
      <c r="AO220" s="712">
        <v>0</v>
      </c>
      <c r="AP220" s="712">
        <v>0</v>
      </c>
      <c r="AQ220" s="712">
        <v>0</v>
      </c>
      <c r="AR220" s="712">
        <v>0</v>
      </c>
      <c r="AS220" s="712">
        <v>0</v>
      </c>
      <c r="AT220">
        <v>0</v>
      </c>
      <c r="AU220" s="615"/>
      <c r="AV220" s="615"/>
      <c r="AW220" s="615"/>
      <c r="AX220" s="615"/>
      <c r="AY220" s="615"/>
      <c r="AZ220" s="615"/>
      <c r="BA220" s="615"/>
      <c r="BB220" s="615"/>
      <c r="BC220" s="615"/>
      <c r="BD220" s="615"/>
      <c r="BE220" s="615"/>
      <c r="BF220" s="615"/>
      <c r="BG220" s="615"/>
      <c r="BH220" s="615"/>
      <c r="BI220" s="615"/>
      <c r="BJ220" s="615"/>
      <c r="BK220" s="615"/>
      <c r="BL220" s="615"/>
      <c r="BM220" s="615"/>
      <c r="BN220" s="615"/>
      <c r="BO220" s="615"/>
      <c r="BP220" s="615"/>
      <c r="BQ220" s="615"/>
      <c r="BR220" s="615"/>
      <c r="BS220" s="615"/>
      <c r="BT220" s="615"/>
      <c r="BU220" s="615"/>
      <c r="BV220" s="615"/>
      <c r="BW220" s="615"/>
      <c r="BX220" s="607"/>
    </row>
    <row r="221" spans="1:76" s="612" customFormat="1" ht="25.5" x14ac:dyDescent="0.2">
      <c r="A221" s="839"/>
      <c r="B221" s="713" t="s">
        <v>1305</v>
      </c>
      <c r="C221" s="713" t="s">
        <v>1962</v>
      </c>
      <c r="D221" s="712">
        <v>0</v>
      </c>
      <c r="E221" s="712">
        <v>0</v>
      </c>
      <c r="F221" s="712">
        <v>0</v>
      </c>
      <c r="G221" s="712">
        <v>0</v>
      </c>
      <c r="H221" s="712">
        <v>0</v>
      </c>
      <c r="I221" s="712">
        <v>0</v>
      </c>
      <c r="J221" s="712">
        <v>0</v>
      </c>
      <c r="K221" s="712">
        <v>0</v>
      </c>
      <c r="L221" s="712">
        <v>0</v>
      </c>
      <c r="M221" s="712">
        <v>0</v>
      </c>
      <c r="N221" s="712">
        <v>0</v>
      </c>
      <c r="O221" s="712">
        <v>0</v>
      </c>
      <c r="P221" s="712">
        <v>0</v>
      </c>
      <c r="Q221" s="712">
        <v>0</v>
      </c>
      <c r="R221" s="712">
        <v>0</v>
      </c>
      <c r="S221" s="712">
        <v>0</v>
      </c>
      <c r="T221" s="712">
        <v>0</v>
      </c>
      <c r="U221" s="712">
        <v>0</v>
      </c>
      <c r="V221" s="712">
        <v>0</v>
      </c>
      <c r="W221" s="712">
        <v>0</v>
      </c>
      <c r="X221" s="712">
        <v>0</v>
      </c>
      <c r="Y221" s="712">
        <v>0</v>
      </c>
      <c r="Z221" s="712">
        <v>0</v>
      </c>
      <c r="AA221" s="712">
        <v>0</v>
      </c>
      <c r="AB221" s="712">
        <v>0</v>
      </c>
      <c r="AC221" s="712">
        <v>0</v>
      </c>
      <c r="AD221" s="712">
        <v>0</v>
      </c>
      <c r="AE221" s="712">
        <v>0</v>
      </c>
      <c r="AF221" s="712">
        <v>0</v>
      </c>
      <c r="AG221" s="712">
        <v>0</v>
      </c>
      <c r="AH221" s="712">
        <v>0</v>
      </c>
      <c r="AI221" s="712">
        <v>0</v>
      </c>
      <c r="AJ221" s="712">
        <v>0</v>
      </c>
      <c r="AK221" s="712">
        <v>0</v>
      </c>
      <c r="AL221" s="712">
        <v>0</v>
      </c>
      <c r="AM221" s="712">
        <v>0</v>
      </c>
      <c r="AN221" s="712">
        <v>0</v>
      </c>
      <c r="AO221" s="712">
        <v>0</v>
      </c>
      <c r="AP221" s="712">
        <v>0</v>
      </c>
      <c r="AQ221" s="712">
        <v>0</v>
      </c>
      <c r="AR221" s="712">
        <v>0</v>
      </c>
      <c r="AS221" s="712">
        <v>0</v>
      </c>
      <c r="AT221">
        <v>0</v>
      </c>
      <c r="AU221" s="615"/>
      <c r="AV221" s="615"/>
      <c r="AW221" s="615"/>
      <c r="AX221" s="615"/>
      <c r="AY221" s="615"/>
      <c r="AZ221" s="615"/>
      <c r="BA221" s="615"/>
      <c r="BB221" s="615"/>
      <c r="BC221" s="615"/>
      <c r="BD221" s="615"/>
      <c r="BE221" s="615"/>
      <c r="BF221" s="615"/>
      <c r="BG221" s="615"/>
      <c r="BH221" s="615"/>
      <c r="BI221" s="615"/>
      <c r="BJ221" s="615"/>
      <c r="BK221" s="615"/>
      <c r="BL221" s="615"/>
      <c r="BM221" s="615"/>
      <c r="BN221" s="615"/>
      <c r="BO221" s="615"/>
      <c r="BP221" s="615"/>
      <c r="BQ221" s="615"/>
      <c r="BR221" s="615"/>
      <c r="BS221" s="615"/>
      <c r="BT221" s="615"/>
      <c r="BU221" s="615"/>
      <c r="BV221" s="615"/>
      <c r="BW221" s="615"/>
      <c r="BX221" s="607"/>
    </row>
    <row r="222" spans="1:76" s="612" customFormat="1" ht="25.5" x14ac:dyDescent="0.2">
      <c r="A222" s="839"/>
      <c r="B222" s="713" t="s">
        <v>1653</v>
      </c>
      <c r="C222" s="713" t="s">
        <v>1926</v>
      </c>
      <c r="D222" s="712">
        <v>0</v>
      </c>
      <c r="E222" s="712">
        <v>0</v>
      </c>
      <c r="F222" s="712">
        <v>0</v>
      </c>
      <c r="G222" s="712">
        <v>0</v>
      </c>
      <c r="H222" s="712">
        <v>0</v>
      </c>
      <c r="I222" s="712">
        <v>0</v>
      </c>
      <c r="J222" s="712">
        <v>0</v>
      </c>
      <c r="K222" s="712">
        <v>0</v>
      </c>
      <c r="L222" s="712">
        <v>0</v>
      </c>
      <c r="M222" s="712">
        <v>0</v>
      </c>
      <c r="N222" s="712">
        <v>0</v>
      </c>
      <c r="O222" s="712">
        <v>0</v>
      </c>
      <c r="P222" s="712">
        <v>0</v>
      </c>
      <c r="Q222" s="712">
        <v>0</v>
      </c>
      <c r="R222" s="712">
        <v>0</v>
      </c>
      <c r="S222" s="712">
        <v>0</v>
      </c>
      <c r="T222" s="712">
        <v>0</v>
      </c>
      <c r="U222" s="712">
        <v>0</v>
      </c>
      <c r="V222" s="712">
        <v>0</v>
      </c>
      <c r="W222" s="712">
        <v>0</v>
      </c>
      <c r="X222" s="712">
        <v>0</v>
      </c>
      <c r="Y222" s="712">
        <v>0</v>
      </c>
      <c r="Z222" s="712">
        <v>0</v>
      </c>
      <c r="AA222" s="712">
        <v>0</v>
      </c>
      <c r="AB222" s="712">
        <v>0</v>
      </c>
      <c r="AC222" s="712">
        <v>0</v>
      </c>
      <c r="AD222" s="712">
        <v>0</v>
      </c>
      <c r="AE222" s="712">
        <v>0</v>
      </c>
      <c r="AF222" s="712">
        <v>0</v>
      </c>
      <c r="AG222" s="712">
        <v>0</v>
      </c>
      <c r="AH222" s="712">
        <v>0</v>
      </c>
      <c r="AI222" s="712">
        <v>0</v>
      </c>
      <c r="AJ222" s="712">
        <v>0</v>
      </c>
      <c r="AK222" s="712">
        <v>0</v>
      </c>
      <c r="AL222" s="712">
        <v>0</v>
      </c>
      <c r="AM222" s="712">
        <v>0</v>
      </c>
      <c r="AN222" s="712">
        <v>0</v>
      </c>
      <c r="AO222" s="712">
        <v>0</v>
      </c>
      <c r="AP222" s="712">
        <v>0</v>
      </c>
      <c r="AQ222" s="712">
        <v>0</v>
      </c>
      <c r="AR222" s="712">
        <v>0</v>
      </c>
      <c r="AS222" s="712">
        <v>0</v>
      </c>
      <c r="AT222">
        <v>0</v>
      </c>
      <c r="AU222" s="615"/>
      <c r="AV222" s="615"/>
      <c r="AW222" s="615"/>
      <c r="AX222" s="615"/>
      <c r="AY222" s="615"/>
      <c r="AZ222" s="615"/>
      <c r="BA222" s="615"/>
      <c r="BB222" s="615"/>
      <c r="BC222" s="615"/>
      <c r="BD222" s="615"/>
      <c r="BE222" s="615"/>
      <c r="BF222" s="615"/>
      <c r="BG222" s="615"/>
      <c r="BH222" s="615"/>
      <c r="BI222" s="615"/>
      <c r="BJ222" s="615"/>
      <c r="BK222" s="615"/>
      <c r="BL222" s="615"/>
      <c r="BM222" s="615"/>
      <c r="BN222" s="615"/>
      <c r="BO222" s="615"/>
      <c r="BP222" s="615"/>
      <c r="BQ222" s="615"/>
      <c r="BR222" s="615"/>
      <c r="BS222" s="615"/>
      <c r="BT222" s="615"/>
      <c r="BU222" s="615"/>
      <c r="BV222" s="615"/>
      <c r="BW222" s="615"/>
      <c r="BX222" s="607"/>
    </row>
    <row r="223" spans="1:76" s="612" customFormat="1" ht="25.5" x14ac:dyDescent="0.2">
      <c r="A223" s="839"/>
      <c r="B223" s="713" t="s">
        <v>1512</v>
      </c>
      <c r="C223" s="713" t="s">
        <v>1934</v>
      </c>
      <c r="D223" s="712">
        <v>0</v>
      </c>
      <c r="E223" s="712">
        <v>0</v>
      </c>
      <c r="F223" s="712">
        <v>0</v>
      </c>
      <c r="G223" s="712">
        <v>0</v>
      </c>
      <c r="H223" s="712">
        <v>0</v>
      </c>
      <c r="I223" s="712">
        <v>0</v>
      </c>
      <c r="J223" s="712">
        <v>0</v>
      </c>
      <c r="K223" s="712">
        <v>0</v>
      </c>
      <c r="L223" s="712">
        <v>0</v>
      </c>
      <c r="M223" s="712">
        <v>0</v>
      </c>
      <c r="N223" s="712">
        <v>0</v>
      </c>
      <c r="O223" s="712">
        <v>0</v>
      </c>
      <c r="P223" s="712">
        <v>0</v>
      </c>
      <c r="Q223" s="712">
        <v>0</v>
      </c>
      <c r="R223" s="712">
        <v>0</v>
      </c>
      <c r="S223" s="712">
        <v>0</v>
      </c>
      <c r="T223" s="712">
        <v>0</v>
      </c>
      <c r="U223" s="712">
        <v>0</v>
      </c>
      <c r="V223" s="712">
        <v>0</v>
      </c>
      <c r="W223" s="712">
        <v>0</v>
      </c>
      <c r="X223" s="712">
        <v>0</v>
      </c>
      <c r="Y223" s="712">
        <v>0</v>
      </c>
      <c r="Z223" s="712">
        <v>0</v>
      </c>
      <c r="AA223" s="712">
        <v>0</v>
      </c>
      <c r="AB223" s="712">
        <v>0</v>
      </c>
      <c r="AC223" s="712">
        <v>0</v>
      </c>
      <c r="AD223" s="712">
        <v>0</v>
      </c>
      <c r="AE223" s="712">
        <v>0</v>
      </c>
      <c r="AF223" s="712">
        <v>0</v>
      </c>
      <c r="AG223" s="712">
        <v>0</v>
      </c>
      <c r="AH223" s="712">
        <v>0</v>
      </c>
      <c r="AI223" s="712">
        <v>0</v>
      </c>
      <c r="AJ223" s="712">
        <v>0</v>
      </c>
      <c r="AK223" s="712">
        <v>0</v>
      </c>
      <c r="AL223" s="712">
        <v>0</v>
      </c>
      <c r="AM223" s="712">
        <v>0</v>
      </c>
      <c r="AN223" s="712">
        <v>0</v>
      </c>
      <c r="AO223" s="712">
        <v>0</v>
      </c>
      <c r="AP223" s="712">
        <v>0</v>
      </c>
      <c r="AQ223" s="712">
        <v>0</v>
      </c>
      <c r="AR223" s="712">
        <v>0</v>
      </c>
      <c r="AS223" s="712">
        <v>0</v>
      </c>
      <c r="AT223">
        <v>0</v>
      </c>
      <c r="AU223" s="615"/>
      <c r="AV223" s="615"/>
      <c r="AW223" s="615"/>
      <c r="AX223" s="615"/>
      <c r="AY223" s="615"/>
      <c r="AZ223" s="615"/>
      <c r="BA223" s="615"/>
      <c r="BB223" s="615"/>
      <c r="BC223" s="615"/>
      <c r="BD223" s="615"/>
      <c r="BE223" s="615"/>
      <c r="BF223" s="615"/>
      <c r="BG223" s="615"/>
      <c r="BH223" s="615"/>
      <c r="BI223" s="615"/>
      <c r="BJ223" s="615"/>
      <c r="BK223" s="615"/>
      <c r="BL223" s="615"/>
      <c r="BM223" s="615"/>
      <c r="BN223" s="615"/>
      <c r="BO223" s="615"/>
      <c r="BP223" s="615"/>
      <c r="BQ223" s="615"/>
      <c r="BR223" s="615"/>
      <c r="BS223" s="615"/>
      <c r="BT223" s="615"/>
      <c r="BU223" s="615"/>
      <c r="BV223" s="615"/>
      <c r="BW223" s="615"/>
      <c r="BX223" s="607"/>
    </row>
    <row r="224" spans="1:76" s="612" customFormat="1" ht="25.5" x14ac:dyDescent="0.2">
      <c r="A224" s="839"/>
      <c r="B224" s="713" t="s">
        <v>1007</v>
      </c>
      <c r="C224" s="713" t="s">
        <v>1955</v>
      </c>
      <c r="D224" s="712">
        <v>0</v>
      </c>
      <c r="E224" s="712">
        <v>0</v>
      </c>
      <c r="F224" s="712">
        <v>0</v>
      </c>
      <c r="G224" s="712">
        <v>0</v>
      </c>
      <c r="H224" s="712">
        <v>0</v>
      </c>
      <c r="I224" s="712">
        <v>0</v>
      </c>
      <c r="J224" s="712">
        <v>0</v>
      </c>
      <c r="K224" s="712">
        <v>0</v>
      </c>
      <c r="L224" s="712">
        <v>0</v>
      </c>
      <c r="M224" s="712">
        <v>485932</v>
      </c>
      <c r="N224" s="712">
        <v>1155200</v>
      </c>
      <c r="O224" s="712">
        <v>0</v>
      </c>
      <c r="P224" s="712">
        <v>0</v>
      </c>
      <c r="Q224" s="712">
        <v>0</v>
      </c>
      <c r="R224" s="712">
        <v>0</v>
      </c>
      <c r="S224" s="712">
        <v>0</v>
      </c>
      <c r="T224" s="712">
        <v>0</v>
      </c>
      <c r="U224" s="712">
        <v>0</v>
      </c>
      <c r="V224" s="712">
        <v>0</v>
      </c>
      <c r="W224" s="712">
        <v>0</v>
      </c>
      <c r="X224" s="712">
        <v>0</v>
      </c>
      <c r="Y224" s="712">
        <v>0</v>
      </c>
      <c r="Z224" s="712">
        <v>0</v>
      </c>
      <c r="AA224" s="712">
        <v>0</v>
      </c>
      <c r="AB224" s="712">
        <v>0</v>
      </c>
      <c r="AC224" s="712">
        <v>0</v>
      </c>
      <c r="AD224" s="712">
        <v>0</v>
      </c>
      <c r="AE224" s="712">
        <v>0</v>
      </c>
      <c r="AF224" s="712">
        <v>0</v>
      </c>
      <c r="AG224" s="712">
        <v>0</v>
      </c>
      <c r="AH224" s="712">
        <v>0</v>
      </c>
      <c r="AI224" s="712">
        <v>0</v>
      </c>
      <c r="AJ224" s="712">
        <v>0</v>
      </c>
      <c r="AK224" s="712">
        <v>0</v>
      </c>
      <c r="AL224" s="712">
        <v>0</v>
      </c>
      <c r="AM224" s="712">
        <v>0</v>
      </c>
      <c r="AN224" s="712">
        <v>0</v>
      </c>
      <c r="AO224" s="712">
        <v>0</v>
      </c>
      <c r="AP224" s="712">
        <v>0</v>
      </c>
      <c r="AQ224" s="712">
        <v>0</v>
      </c>
      <c r="AR224" s="712">
        <v>0</v>
      </c>
      <c r="AS224" s="712">
        <v>0</v>
      </c>
      <c r="AT224">
        <v>1641132</v>
      </c>
      <c r="AU224" s="615"/>
      <c r="AV224" s="615"/>
      <c r="AW224" s="615"/>
      <c r="AX224" s="615"/>
      <c r="AY224" s="615"/>
      <c r="AZ224" s="615"/>
      <c r="BA224" s="615"/>
      <c r="BB224" s="615"/>
      <c r="BC224" s="615"/>
      <c r="BD224" s="615"/>
      <c r="BE224" s="615"/>
      <c r="BF224" s="615"/>
      <c r="BG224" s="615"/>
      <c r="BH224" s="615"/>
      <c r="BI224" s="615"/>
      <c r="BJ224" s="615"/>
      <c r="BK224" s="615"/>
      <c r="BL224" s="615"/>
      <c r="BM224" s="615"/>
      <c r="BN224" s="615"/>
      <c r="BO224" s="615"/>
      <c r="BP224" s="615"/>
      <c r="BQ224" s="615"/>
      <c r="BR224" s="615"/>
      <c r="BS224" s="615"/>
      <c r="BT224" s="615"/>
      <c r="BU224" s="615"/>
      <c r="BV224" s="615"/>
      <c r="BW224" s="615"/>
      <c r="BX224" s="607"/>
    </row>
    <row r="225" spans="1:76" s="612" customFormat="1" ht="12.75" x14ac:dyDescent="0.2">
      <c r="A225" s="839"/>
      <c r="B225" s="838" t="s">
        <v>1304</v>
      </c>
      <c r="C225" s="713" t="s">
        <v>1924</v>
      </c>
      <c r="D225" s="712">
        <v>0</v>
      </c>
      <c r="E225" s="712">
        <v>0</v>
      </c>
      <c r="F225" s="712">
        <v>0</v>
      </c>
      <c r="G225" s="712">
        <v>0</v>
      </c>
      <c r="H225" s="712">
        <v>0</v>
      </c>
      <c r="I225" s="712">
        <v>0</v>
      </c>
      <c r="J225" s="712">
        <v>0</v>
      </c>
      <c r="K225" s="712">
        <v>0</v>
      </c>
      <c r="L225" s="712">
        <v>0</v>
      </c>
      <c r="M225" s="712">
        <v>0</v>
      </c>
      <c r="N225" s="712">
        <v>0</v>
      </c>
      <c r="O225" s="712">
        <v>0</v>
      </c>
      <c r="P225" s="712">
        <v>0</v>
      </c>
      <c r="Q225" s="712">
        <v>0</v>
      </c>
      <c r="R225" s="712">
        <v>0</v>
      </c>
      <c r="S225" s="712">
        <v>0</v>
      </c>
      <c r="T225" s="712">
        <v>0</v>
      </c>
      <c r="U225" s="712">
        <v>0</v>
      </c>
      <c r="V225" s="712">
        <v>0</v>
      </c>
      <c r="W225" s="712">
        <v>0</v>
      </c>
      <c r="X225" s="712">
        <v>0</v>
      </c>
      <c r="Y225" s="712">
        <v>0</v>
      </c>
      <c r="Z225" s="712">
        <v>0</v>
      </c>
      <c r="AA225" s="712">
        <v>0</v>
      </c>
      <c r="AB225" s="712">
        <v>0</v>
      </c>
      <c r="AC225" s="712">
        <v>0</v>
      </c>
      <c r="AD225" s="712">
        <v>0</v>
      </c>
      <c r="AE225" s="712">
        <v>0</v>
      </c>
      <c r="AF225" s="712">
        <v>0</v>
      </c>
      <c r="AG225" s="712">
        <v>0</v>
      </c>
      <c r="AH225" s="712">
        <v>0</v>
      </c>
      <c r="AI225" s="712">
        <v>0</v>
      </c>
      <c r="AJ225" s="712">
        <v>0</v>
      </c>
      <c r="AK225" s="712">
        <v>0</v>
      </c>
      <c r="AL225" s="712">
        <v>0</v>
      </c>
      <c r="AM225" s="712">
        <v>0</v>
      </c>
      <c r="AN225" s="712">
        <v>0</v>
      </c>
      <c r="AO225" s="712">
        <v>0</v>
      </c>
      <c r="AP225" s="712">
        <v>0</v>
      </c>
      <c r="AQ225" s="712">
        <v>0</v>
      </c>
      <c r="AR225" s="712">
        <v>0</v>
      </c>
      <c r="AS225" s="712">
        <v>0</v>
      </c>
      <c r="AT225">
        <v>0</v>
      </c>
      <c r="AU225" s="615"/>
      <c r="AV225" s="615"/>
      <c r="AW225" s="615"/>
      <c r="AX225" s="615"/>
      <c r="AY225" s="615"/>
      <c r="AZ225" s="615"/>
      <c r="BA225" s="615"/>
      <c r="BB225" s="615"/>
      <c r="BC225" s="615"/>
      <c r="BD225" s="615"/>
      <c r="BE225" s="615"/>
      <c r="BF225" s="615"/>
      <c r="BG225" s="615"/>
      <c r="BH225" s="615"/>
      <c r="BI225" s="615"/>
      <c r="BJ225" s="615"/>
      <c r="BK225" s="615"/>
      <c r="BL225" s="615"/>
      <c r="BM225" s="615"/>
      <c r="BN225" s="615"/>
      <c r="BO225" s="615"/>
      <c r="BP225" s="615"/>
      <c r="BQ225" s="615"/>
      <c r="BR225" s="615"/>
      <c r="BS225" s="615"/>
      <c r="BT225" s="615"/>
      <c r="BU225" s="615"/>
      <c r="BV225" s="615"/>
      <c r="BW225" s="615"/>
      <c r="BX225" s="607"/>
    </row>
    <row r="226" spans="1:76" s="612" customFormat="1" ht="12.75" x14ac:dyDescent="0.2">
      <c r="A226" s="839"/>
      <c r="B226" s="839"/>
      <c r="C226" s="713" t="s">
        <v>3215</v>
      </c>
      <c r="D226" s="712">
        <v>0</v>
      </c>
      <c r="E226" s="712">
        <v>0</v>
      </c>
      <c r="F226" s="712">
        <v>0</v>
      </c>
      <c r="G226" s="712">
        <v>0</v>
      </c>
      <c r="H226" s="712">
        <v>0</v>
      </c>
      <c r="I226" s="712">
        <v>0</v>
      </c>
      <c r="J226" s="712">
        <v>0</v>
      </c>
      <c r="K226" s="712">
        <v>0</v>
      </c>
      <c r="L226" s="712">
        <v>0</v>
      </c>
      <c r="M226" s="712">
        <v>0</v>
      </c>
      <c r="N226" s="712">
        <v>0</v>
      </c>
      <c r="O226" s="712">
        <v>0</v>
      </c>
      <c r="P226" s="712">
        <v>0</v>
      </c>
      <c r="Q226" s="712">
        <v>0</v>
      </c>
      <c r="R226" s="712">
        <v>0</v>
      </c>
      <c r="S226" s="712">
        <v>0</v>
      </c>
      <c r="T226" s="712">
        <v>0</v>
      </c>
      <c r="U226" s="712">
        <v>0</v>
      </c>
      <c r="V226" s="712">
        <v>0</v>
      </c>
      <c r="W226" s="712">
        <v>0</v>
      </c>
      <c r="X226" s="712">
        <v>0</v>
      </c>
      <c r="Y226" s="712">
        <v>0</v>
      </c>
      <c r="Z226" s="712">
        <v>0</v>
      </c>
      <c r="AA226" s="712">
        <v>0</v>
      </c>
      <c r="AB226" s="712">
        <v>0</v>
      </c>
      <c r="AC226" s="712">
        <v>0</v>
      </c>
      <c r="AD226" s="712">
        <v>0</v>
      </c>
      <c r="AE226" s="712">
        <v>0</v>
      </c>
      <c r="AF226" s="712">
        <v>0</v>
      </c>
      <c r="AG226" s="712">
        <v>0</v>
      </c>
      <c r="AH226" s="712">
        <v>0</v>
      </c>
      <c r="AI226" s="712">
        <v>0</v>
      </c>
      <c r="AJ226" s="712">
        <v>0</v>
      </c>
      <c r="AK226" s="712">
        <v>0</v>
      </c>
      <c r="AL226" s="712">
        <v>0</v>
      </c>
      <c r="AM226" s="712">
        <v>0</v>
      </c>
      <c r="AN226" s="712">
        <v>0</v>
      </c>
      <c r="AO226" s="712">
        <v>0</v>
      </c>
      <c r="AP226" s="712">
        <v>0</v>
      </c>
      <c r="AQ226" s="712">
        <v>0</v>
      </c>
      <c r="AR226" s="712">
        <v>0</v>
      </c>
      <c r="AS226" s="712">
        <v>0</v>
      </c>
      <c r="AT226">
        <v>0</v>
      </c>
      <c r="AU226" s="615"/>
      <c r="AV226" s="615"/>
      <c r="AW226" s="615"/>
      <c r="AX226" s="615"/>
      <c r="AY226" s="615"/>
      <c r="AZ226" s="615"/>
      <c r="BA226" s="615"/>
      <c r="BB226" s="615"/>
      <c r="BC226" s="615"/>
      <c r="BD226" s="615"/>
      <c r="BE226" s="615"/>
      <c r="BF226" s="615"/>
      <c r="BG226" s="615"/>
      <c r="BH226" s="615"/>
      <c r="BI226" s="615"/>
      <c r="BJ226" s="615"/>
      <c r="BK226" s="615"/>
      <c r="BL226" s="615"/>
      <c r="BM226" s="615"/>
      <c r="BN226" s="615"/>
      <c r="BO226" s="615"/>
      <c r="BP226" s="615"/>
      <c r="BQ226" s="615"/>
      <c r="BR226" s="615"/>
      <c r="BS226" s="615"/>
      <c r="BT226" s="615"/>
      <c r="BU226" s="615"/>
      <c r="BV226" s="615"/>
      <c r="BW226" s="615"/>
      <c r="BX226" s="607"/>
    </row>
    <row r="227" spans="1:76" s="612" customFormat="1" ht="25.5" x14ac:dyDescent="0.2">
      <c r="A227" s="839"/>
      <c r="B227" s="713" t="s">
        <v>4438</v>
      </c>
      <c r="C227" s="713" t="s">
        <v>1939</v>
      </c>
      <c r="D227" s="712">
        <v>0</v>
      </c>
      <c r="E227" s="712">
        <v>0</v>
      </c>
      <c r="F227" s="712">
        <v>0</v>
      </c>
      <c r="G227" s="712">
        <v>0</v>
      </c>
      <c r="H227" s="712">
        <v>0</v>
      </c>
      <c r="I227" s="712">
        <v>0</v>
      </c>
      <c r="J227" s="712">
        <v>0</v>
      </c>
      <c r="K227" s="712">
        <v>0</v>
      </c>
      <c r="L227" s="712">
        <v>0</v>
      </c>
      <c r="M227" s="712">
        <v>0</v>
      </c>
      <c r="N227" s="712">
        <v>0</v>
      </c>
      <c r="O227" s="712">
        <v>119420000</v>
      </c>
      <c r="P227" s="712">
        <v>0</v>
      </c>
      <c r="Q227" s="712">
        <v>0</v>
      </c>
      <c r="R227" s="712">
        <v>0</v>
      </c>
      <c r="S227" s="712">
        <v>0</v>
      </c>
      <c r="T227" s="712">
        <v>0</v>
      </c>
      <c r="U227" s="712">
        <v>0</v>
      </c>
      <c r="V227" s="712">
        <v>0</v>
      </c>
      <c r="W227" s="712">
        <v>0</v>
      </c>
      <c r="X227" s="712">
        <v>0</v>
      </c>
      <c r="Y227" s="712">
        <v>0</v>
      </c>
      <c r="Z227" s="712">
        <v>0</v>
      </c>
      <c r="AA227" s="712">
        <v>0</v>
      </c>
      <c r="AB227" s="712">
        <v>0</v>
      </c>
      <c r="AC227" s="712">
        <v>0</v>
      </c>
      <c r="AD227" s="712">
        <v>0</v>
      </c>
      <c r="AE227" s="712">
        <v>0</v>
      </c>
      <c r="AF227" s="712">
        <v>0</v>
      </c>
      <c r="AG227" s="712">
        <v>0</v>
      </c>
      <c r="AH227" s="712">
        <v>0</v>
      </c>
      <c r="AI227" s="712">
        <v>0</v>
      </c>
      <c r="AJ227" s="712">
        <v>0</v>
      </c>
      <c r="AK227" s="712">
        <v>0</v>
      </c>
      <c r="AL227" s="712">
        <v>0</v>
      </c>
      <c r="AM227" s="712">
        <v>0</v>
      </c>
      <c r="AN227" s="712">
        <v>0</v>
      </c>
      <c r="AO227" s="712">
        <v>0</v>
      </c>
      <c r="AP227" s="712">
        <v>0</v>
      </c>
      <c r="AQ227" s="712">
        <v>0</v>
      </c>
      <c r="AR227" s="712">
        <v>0</v>
      </c>
      <c r="AS227" s="712">
        <v>0</v>
      </c>
      <c r="AT227">
        <v>119420000</v>
      </c>
      <c r="AU227" s="615"/>
      <c r="AV227" s="615"/>
      <c r="AW227" s="615"/>
      <c r="AX227" s="615"/>
      <c r="AY227" s="615"/>
      <c r="AZ227" s="615"/>
      <c r="BA227" s="615"/>
      <c r="BB227" s="615"/>
      <c r="BC227" s="615"/>
      <c r="BD227" s="615"/>
      <c r="BE227" s="615"/>
      <c r="BF227" s="615"/>
      <c r="BG227" s="615"/>
      <c r="BH227" s="615"/>
      <c r="BI227" s="615"/>
      <c r="BJ227" s="615"/>
      <c r="BK227" s="615"/>
      <c r="BL227" s="615"/>
      <c r="BM227" s="615"/>
      <c r="BN227" s="615"/>
      <c r="BO227" s="615"/>
      <c r="BP227" s="615"/>
      <c r="BQ227" s="615"/>
      <c r="BR227" s="615"/>
      <c r="BS227" s="615"/>
      <c r="BT227" s="615"/>
      <c r="BU227" s="615"/>
      <c r="BV227" s="615"/>
      <c r="BW227" s="615"/>
      <c r="BX227" s="607"/>
    </row>
    <row r="228" spans="1:76" s="612" customFormat="1" ht="25.5" x14ac:dyDescent="0.2">
      <c r="A228" s="839"/>
      <c r="B228" s="713" t="s">
        <v>1747</v>
      </c>
      <c r="C228" s="713" t="s">
        <v>1921</v>
      </c>
      <c r="D228" s="712">
        <v>0</v>
      </c>
      <c r="E228" s="712">
        <v>0</v>
      </c>
      <c r="F228" s="712">
        <v>0</v>
      </c>
      <c r="G228" s="712">
        <v>0</v>
      </c>
      <c r="H228" s="712">
        <v>0</v>
      </c>
      <c r="I228" s="712">
        <v>0</v>
      </c>
      <c r="J228" s="712">
        <v>0</v>
      </c>
      <c r="K228" s="712">
        <v>0</v>
      </c>
      <c r="L228" s="712">
        <v>0</v>
      </c>
      <c r="M228" s="712">
        <v>0</v>
      </c>
      <c r="N228" s="712">
        <v>0</v>
      </c>
      <c r="O228" s="712">
        <v>0</v>
      </c>
      <c r="P228" s="712">
        <v>0</v>
      </c>
      <c r="Q228" s="712">
        <v>0</v>
      </c>
      <c r="R228" s="712">
        <v>626997</v>
      </c>
      <c r="S228" s="712">
        <v>0</v>
      </c>
      <c r="T228" s="712">
        <v>0</v>
      </c>
      <c r="U228" s="712">
        <v>0</v>
      </c>
      <c r="V228" s="712">
        <v>0</v>
      </c>
      <c r="W228" s="712">
        <v>0</v>
      </c>
      <c r="X228" s="712">
        <v>0</v>
      </c>
      <c r="Y228" s="712">
        <v>0</v>
      </c>
      <c r="Z228" s="712">
        <v>0</v>
      </c>
      <c r="AA228" s="712">
        <v>0</v>
      </c>
      <c r="AB228" s="712">
        <v>0</v>
      </c>
      <c r="AC228" s="712">
        <v>0</v>
      </c>
      <c r="AD228" s="712">
        <v>0</v>
      </c>
      <c r="AE228" s="712">
        <v>0</v>
      </c>
      <c r="AF228" s="712">
        <v>0</v>
      </c>
      <c r="AG228" s="712">
        <v>0</v>
      </c>
      <c r="AH228" s="712">
        <v>0</v>
      </c>
      <c r="AI228" s="712">
        <v>0</v>
      </c>
      <c r="AJ228" s="712">
        <v>0</v>
      </c>
      <c r="AK228" s="712">
        <v>0</v>
      </c>
      <c r="AL228" s="712">
        <v>0</v>
      </c>
      <c r="AM228" s="712">
        <v>0</v>
      </c>
      <c r="AN228" s="712">
        <v>0</v>
      </c>
      <c r="AO228" s="712">
        <v>0</v>
      </c>
      <c r="AP228" s="712">
        <v>0</v>
      </c>
      <c r="AQ228" s="712">
        <v>0</v>
      </c>
      <c r="AR228" s="712">
        <v>0</v>
      </c>
      <c r="AS228" s="712">
        <v>0</v>
      </c>
      <c r="AT228">
        <v>626997</v>
      </c>
      <c r="AU228" s="615"/>
      <c r="AV228" s="615"/>
      <c r="AW228" s="615"/>
      <c r="AX228" s="615"/>
      <c r="AY228" s="615"/>
      <c r="AZ228" s="615"/>
      <c r="BA228" s="615"/>
      <c r="BB228" s="615"/>
      <c r="BC228" s="615"/>
      <c r="BD228" s="615"/>
      <c r="BE228" s="615"/>
      <c r="BF228" s="615"/>
      <c r="BG228" s="615"/>
      <c r="BH228" s="615"/>
      <c r="BI228" s="615"/>
      <c r="BJ228" s="615"/>
      <c r="BK228" s="615"/>
      <c r="BL228" s="615"/>
      <c r="BM228" s="615"/>
      <c r="BN228" s="615"/>
      <c r="BO228" s="615"/>
      <c r="BP228" s="615"/>
      <c r="BQ228" s="615"/>
      <c r="BR228" s="615"/>
      <c r="BS228" s="615"/>
      <c r="BT228" s="615"/>
      <c r="BU228" s="615"/>
      <c r="BV228" s="615"/>
      <c r="BW228" s="615"/>
      <c r="BX228" s="607"/>
    </row>
    <row r="229" spans="1:76" s="612" customFormat="1" ht="25.5" x14ac:dyDescent="0.2">
      <c r="A229" s="839"/>
      <c r="B229" s="713" t="s">
        <v>2536</v>
      </c>
      <c r="C229" s="713" t="s">
        <v>2535</v>
      </c>
      <c r="D229" s="712">
        <v>0</v>
      </c>
      <c r="E229" s="712">
        <v>0</v>
      </c>
      <c r="F229" s="712">
        <v>0</v>
      </c>
      <c r="G229" s="712">
        <v>0</v>
      </c>
      <c r="H229" s="712">
        <v>0</v>
      </c>
      <c r="I229" s="712">
        <v>0</v>
      </c>
      <c r="J229" s="712">
        <v>0</v>
      </c>
      <c r="K229" s="712">
        <v>0</v>
      </c>
      <c r="L229" s="712">
        <v>0</v>
      </c>
      <c r="M229" s="712">
        <v>0</v>
      </c>
      <c r="N229" s="712">
        <v>0</v>
      </c>
      <c r="O229" s="712">
        <v>0</v>
      </c>
      <c r="P229" s="712">
        <v>0</v>
      </c>
      <c r="Q229" s="712">
        <v>0</v>
      </c>
      <c r="R229" s="712">
        <v>0</v>
      </c>
      <c r="S229" s="712">
        <v>0</v>
      </c>
      <c r="T229" s="712">
        <v>0</v>
      </c>
      <c r="U229" s="712">
        <v>0</v>
      </c>
      <c r="V229" s="712">
        <v>0</v>
      </c>
      <c r="W229" s="712">
        <v>0</v>
      </c>
      <c r="X229" s="712">
        <v>0</v>
      </c>
      <c r="Y229" s="712">
        <v>0</v>
      </c>
      <c r="Z229" s="712">
        <v>0</v>
      </c>
      <c r="AA229" s="712">
        <v>0</v>
      </c>
      <c r="AB229" s="712">
        <v>0</v>
      </c>
      <c r="AC229" s="712">
        <v>0</v>
      </c>
      <c r="AD229" s="712">
        <v>0</v>
      </c>
      <c r="AE229" s="712">
        <v>0</v>
      </c>
      <c r="AF229" s="712">
        <v>0</v>
      </c>
      <c r="AG229" s="712">
        <v>0</v>
      </c>
      <c r="AH229" s="712">
        <v>0</v>
      </c>
      <c r="AI229" s="712">
        <v>0</v>
      </c>
      <c r="AJ229" s="712">
        <v>0</v>
      </c>
      <c r="AK229" s="712">
        <v>0</v>
      </c>
      <c r="AL229" s="712">
        <v>0</v>
      </c>
      <c r="AM229" s="712">
        <v>0</v>
      </c>
      <c r="AN229" s="712">
        <v>0</v>
      </c>
      <c r="AO229" s="712">
        <v>0</v>
      </c>
      <c r="AP229" s="712">
        <v>0</v>
      </c>
      <c r="AQ229" s="712">
        <v>0</v>
      </c>
      <c r="AR229" s="712">
        <v>0</v>
      </c>
      <c r="AS229" s="712">
        <v>0</v>
      </c>
      <c r="AT229">
        <v>0</v>
      </c>
      <c r="AU229" s="615"/>
      <c r="AV229" s="615"/>
      <c r="AW229" s="615"/>
      <c r="AX229" s="615"/>
      <c r="AY229" s="615"/>
      <c r="AZ229" s="615"/>
      <c r="BA229" s="615"/>
      <c r="BB229" s="615"/>
      <c r="BC229" s="615"/>
      <c r="BD229" s="615"/>
      <c r="BE229" s="615"/>
      <c r="BF229" s="615"/>
      <c r="BG229" s="615"/>
      <c r="BH229" s="615"/>
      <c r="BI229" s="615"/>
      <c r="BJ229" s="615"/>
      <c r="BK229" s="615"/>
      <c r="BL229" s="615"/>
      <c r="BM229" s="615"/>
      <c r="BN229" s="615"/>
      <c r="BO229" s="615"/>
      <c r="BP229" s="615"/>
      <c r="BQ229" s="615"/>
      <c r="BR229" s="615"/>
      <c r="BS229" s="615"/>
      <c r="BT229" s="615"/>
      <c r="BU229" s="615"/>
      <c r="BV229" s="615"/>
      <c r="BW229" s="615"/>
      <c r="BX229" s="607"/>
    </row>
    <row r="230" spans="1:76" s="612" customFormat="1" ht="25.5" x14ac:dyDescent="0.2">
      <c r="A230" s="839"/>
      <c r="B230" s="713" t="s">
        <v>1727</v>
      </c>
      <c r="C230" s="713" t="s">
        <v>1976</v>
      </c>
      <c r="D230" s="712">
        <v>0</v>
      </c>
      <c r="E230" s="712">
        <v>0</v>
      </c>
      <c r="F230" s="712">
        <v>0</v>
      </c>
      <c r="G230" s="712">
        <v>0</v>
      </c>
      <c r="H230" s="712">
        <v>0</v>
      </c>
      <c r="I230" s="712">
        <v>0</v>
      </c>
      <c r="J230" s="712">
        <v>0</v>
      </c>
      <c r="K230" s="712">
        <v>0</v>
      </c>
      <c r="L230" s="712">
        <v>0</v>
      </c>
      <c r="M230" s="712">
        <v>0</v>
      </c>
      <c r="N230" s="712">
        <v>0</v>
      </c>
      <c r="O230" s="712">
        <v>0</v>
      </c>
      <c r="P230" s="712">
        <v>0</v>
      </c>
      <c r="Q230" s="712">
        <v>0</v>
      </c>
      <c r="R230" s="712">
        <v>0</v>
      </c>
      <c r="S230" s="712">
        <v>0</v>
      </c>
      <c r="T230" s="712">
        <v>0</v>
      </c>
      <c r="U230" s="712">
        <v>0</v>
      </c>
      <c r="V230" s="712">
        <v>0</v>
      </c>
      <c r="W230" s="712">
        <v>0</v>
      </c>
      <c r="X230" s="712">
        <v>0</v>
      </c>
      <c r="Y230" s="712">
        <v>0</v>
      </c>
      <c r="Z230" s="712">
        <v>0</v>
      </c>
      <c r="AA230" s="712">
        <v>0</v>
      </c>
      <c r="AB230" s="712">
        <v>0</v>
      </c>
      <c r="AC230" s="712">
        <v>0</v>
      </c>
      <c r="AD230" s="712">
        <v>0</v>
      </c>
      <c r="AE230" s="712">
        <v>0</v>
      </c>
      <c r="AF230" s="712">
        <v>0</v>
      </c>
      <c r="AG230" s="712">
        <v>0</v>
      </c>
      <c r="AH230" s="712">
        <v>0</v>
      </c>
      <c r="AI230" s="712">
        <v>0</v>
      </c>
      <c r="AJ230" s="712">
        <v>0</v>
      </c>
      <c r="AK230" s="712">
        <v>0</v>
      </c>
      <c r="AL230" s="712">
        <v>0</v>
      </c>
      <c r="AM230" s="712">
        <v>0</v>
      </c>
      <c r="AN230" s="712">
        <v>0</v>
      </c>
      <c r="AO230" s="712">
        <v>0</v>
      </c>
      <c r="AP230" s="712">
        <v>0</v>
      </c>
      <c r="AQ230" s="712">
        <v>0</v>
      </c>
      <c r="AR230" s="712">
        <v>0</v>
      </c>
      <c r="AS230" s="712">
        <v>0</v>
      </c>
      <c r="AT230">
        <v>0</v>
      </c>
      <c r="AU230" s="615"/>
      <c r="AV230" s="615"/>
      <c r="AW230" s="615"/>
      <c r="AX230" s="615"/>
      <c r="AY230" s="615"/>
      <c r="AZ230" s="615"/>
      <c r="BA230" s="615"/>
      <c r="BB230" s="615"/>
      <c r="BC230" s="615"/>
      <c r="BD230" s="615"/>
      <c r="BE230" s="615"/>
      <c r="BF230" s="615"/>
      <c r="BG230" s="615"/>
      <c r="BH230" s="615"/>
      <c r="BI230" s="615"/>
      <c r="BJ230" s="615"/>
      <c r="BK230" s="615"/>
      <c r="BL230" s="615"/>
      <c r="BM230" s="615"/>
      <c r="BN230" s="615"/>
      <c r="BO230" s="615"/>
      <c r="BP230" s="615"/>
      <c r="BQ230" s="615"/>
      <c r="BR230" s="615"/>
      <c r="BS230" s="615"/>
      <c r="BT230" s="615"/>
      <c r="BU230" s="615"/>
      <c r="BV230" s="615"/>
      <c r="BW230" s="615"/>
      <c r="BX230" s="607"/>
    </row>
    <row r="231" spans="1:76" s="612" customFormat="1" ht="25.5" x14ac:dyDescent="0.2">
      <c r="A231" s="839"/>
      <c r="B231" s="713" t="s">
        <v>996</v>
      </c>
      <c r="C231" s="713" t="s">
        <v>1920</v>
      </c>
      <c r="D231" s="712">
        <v>0</v>
      </c>
      <c r="E231" s="712">
        <v>0</v>
      </c>
      <c r="F231" s="712">
        <v>0</v>
      </c>
      <c r="G231" s="712">
        <v>0</v>
      </c>
      <c r="H231" s="712">
        <v>0</v>
      </c>
      <c r="I231" s="712">
        <v>0</v>
      </c>
      <c r="J231" s="712">
        <v>0</v>
      </c>
      <c r="K231" s="712">
        <v>0</v>
      </c>
      <c r="L231" s="712">
        <v>0</v>
      </c>
      <c r="M231" s="712">
        <v>0</v>
      </c>
      <c r="N231" s="712">
        <v>0</v>
      </c>
      <c r="O231" s="712">
        <v>0</v>
      </c>
      <c r="P231" s="712">
        <v>0</v>
      </c>
      <c r="Q231" s="712">
        <v>0</v>
      </c>
      <c r="R231" s="712">
        <v>0</v>
      </c>
      <c r="S231" s="712">
        <v>0</v>
      </c>
      <c r="T231" s="712">
        <v>0</v>
      </c>
      <c r="U231" s="712">
        <v>0</v>
      </c>
      <c r="V231" s="712">
        <v>0</v>
      </c>
      <c r="W231" s="712">
        <v>0</v>
      </c>
      <c r="X231" s="712">
        <v>0</v>
      </c>
      <c r="Y231" s="712">
        <v>0</v>
      </c>
      <c r="Z231" s="712">
        <v>0</v>
      </c>
      <c r="AA231" s="712">
        <v>0</v>
      </c>
      <c r="AB231" s="712">
        <v>0</v>
      </c>
      <c r="AC231" s="712">
        <v>0</v>
      </c>
      <c r="AD231" s="712">
        <v>0</v>
      </c>
      <c r="AE231" s="712">
        <v>0</v>
      </c>
      <c r="AF231" s="712">
        <v>0</v>
      </c>
      <c r="AG231" s="712">
        <v>0</v>
      </c>
      <c r="AH231" s="712">
        <v>0</v>
      </c>
      <c r="AI231" s="712">
        <v>0</v>
      </c>
      <c r="AJ231" s="712">
        <v>0</v>
      </c>
      <c r="AK231" s="712">
        <v>0</v>
      </c>
      <c r="AL231" s="712">
        <v>0</v>
      </c>
      <c r="AM231" s="712">
        <v>0</v>
      </c>
      <c r="AN231" s="712">
        <v>0</v>
      </c>
      <c r="AO231" s="712">
        <v>0</v>
      </c>
      <c r="AP231" s="712">
        <v>0</v>
      </c>
      <c r="AQ231" s="712">
        <v>0</v>
      </c>
      <c r="AR231" s="712">
        <v>0</v>
      </c>
      <c r="AS231" s="712">
        <v>0</v>
      </c>
      <c r="AT231">
        <v>0</v>
      </c>
      <c r="AU231" s="615"/>
      <c r="AV231" s="615"/>
      <c r="AW231" s="615"/>
      <c r="AX231" s="615"/>
      <c r="AY231" s="615"/>
      <c r="AZ231" s="615"/>
      <c r="BA231" s="615"/>
      <c r="BB231" s="615"/>
      <c r="BC231" s="615"/>
      <c r="BD231" s="615"/>
      <c r="BE231" s="615"/>
      <c r="BF231" s="615"/>
      <c r="BG231" s="615"/>
      <c r="BH231" s="615"/>
      <c r="BI231" s="615"/>
      <c r="BJ231" s="615"/>
      <c r="BK231" s="615"/>
      <c r="BL231" s="615"/>
      <c r="BM231" s="615"/>
      <c r="BN231" s="615"/>
      <c r="BO231" s="615"/>
      <c r="BP231" s="615"/>
      <c r="BQ231" s="615"/>
      <c r="BR231" s="615"/>
      <c r="BS231" s="615"/>
      <c r="BT231" s="615"/>
      <c r="BU231" s="615"/>
      <c r="BV231" s="615"/>
      <c r="BW231" s="615"/>
      <c r="BX231" s="607"/>
    </row>
    <row r="232" spans="1:76" s="612" customFormat="1" ht="25.5" x14ac:dyDescent="0.2">
      <c r="A232" s="839"/>
      <c r="B232" s="713" t="s">
        <v>1648</v>
      </c>
      <c r="C232" s="713" t="s">
        <v>1902</v>
      </c>
      <c r="D232" s="712">
        <v>0</v>
      </c>
      <c r="E232" s="712">
        <v>0</v>
      </c>
      <c r="F232" s="712">
        <v>0</v>
      </c>
      <c r="G232" s="712">
        <v>0</v>
      </c>
      <c r="H232" s="712">
        <v>0</v>
      </c>
      <c r="I232" s="712">
        <v>0</v>
      </c>
      <c r="J232" s="712">
        <v>0</v>
      </c>
      <c r="K232" s="712">
        <v>0</v>
      </c>
      <c r="L232" s="712">
        <v>0</v>
      </c>
      <c r="M232" s="712">
        <v>0</v>
      </c>
      <c r="N232" s="712">
        <v>0</v>
      </c>
      <c r="O232" s="712">
        <v>0</v>
      </c>
      <c r="P232" s="712">
        <v>0</v>
      </c>
      <c r="Q232" s="712">
        <v>0</v>
      </c>
      <c r="R232" s="712">
        <v>0</v>
      </c>
      <c r="S232" s="712">
        <v>0</v>
      </c>
      <c r="T232" s="712">
        <v>0</v>
      </c>
      <c r="U232" s="712">
        <v>0</v>
      </c>
      <c r="V232" s="712">
        <v>0</v>
      </c>
      <c r="W232" s="712">
        <v>0</v>
      </c>
      <c r="X232" s="712">
        <v>0</v>
      </c>
      <c r="Y232" s="712">
        <v>0</v>
      </c>
      <c r="Z232" s="712">
        <v>0</v>
      </c>
      <c r="AA232" s="712">
        <v>0</v>
      </c>
      <c r="AB232" s="712">
        <v>0</v>
      </c>
      <c r="AC232" s="712">
        <v>0</v>
      </c>
      <c r="AD232" s="712">
        <v>0</v>
      </c>
      <c r="AE232" s="712">
        <v>0</v>
      </c>
      <c r="AF232" s="712">
        <v>0</v>
      </c>
      <c r="AG232" s="712">
        <v>0</v>
      </c>
      <c r="AH232" s="712">
        <v>0</v>
      </c>
      <c r="AI232" s="712">
        <v>0</v>
      </c>
      <c r="AJ232" s="712">
        <v>0</v>
      </c>
      <c r="AK232" s="712">
        <v>0</v>
      </c>
      <c r="AL232" s="712">
        <v>0</v>
      </c>
      <c r="AM232" s="712">
        <v>0</v>
      </c>
      <c r="AN232" s="712">
        <v>0</v>
      </c>
      <c r="AO232" s="712">
        <v>0</v>
      </c>
      <c r="AP232" s="712">
        <v>0</v>
      </c>
      <c r="AQ232" s="712">
        <v>0</v>
      </c>
      <c r="AR232" s="712">
        <v>0</v>
      </c>
      <c r="AS232" s="712">
        <v>0</v>
      </c>
      <c r="AT232">
        <v>0</v>
      </c>
      <c r="AU232" s="615"/>
      <c r="AV232" s="615"/>
      <c r="AW232" s="615"/>
      <c r="AX232" s="615"/>
      <c r="AY232" s="615"/>
      <c r="AZ232" s="615"/>
      <c r="BA232" s="615"/>
      <c r="BB232" s="615"/>
      <c r="BC232" s="615"/>
      <c r="BD232" s="615"/>
      <c r="BE232" s="615"/>
      <c r="BF232" s="615"/>
      <c r="BG232" s="615"/>
      <c r="BH232" s="615"/>
      <c r="BI232" s="615"/>
      <c r="BJ232" s="615"/>
      <c r="BK232" s="615"/>
      <c r="BL232" s="615"/>
      <c r="BM232" s="615"/>
      <c r="BN232" s="615"/>
      <c r="BO232" s="615"/>
      <c r="BP232" s="615"/>
      <c r="BQ232" s="615"/>
      <c r="BR232" s="615"/>
      <c r="BS232" s="615"/>
      <c r="BT232" s="615"/>
      <c r="BU232" s="615"/>
      <c r="BV232" s="615"/>
      <c r="BW232" s="615"/>
      <c r="BX232" s="607"/>
    </row>
    <row r="233" spans="1:76" s="612" customFormat="1" ht="12.75" x14ac:dyDescent="0.2">
      <c r="A233" s="839"/>
      <c r="B233" s="713" t="s">
        <v>3264</v>
      </c>
      <c r="C233" s="713" t="s">
        <v>3263</v>
      </c>
      <c r="D233" s="712">
        <v>0</v>
      </c>
      <c r="E233" s="712">
        <v>0</v>
      </c>
      <c r="F233" s="712">
        <v>0</v>
      </c>
      <c r="G233" s="712">
        <v>0</v>
      </c>
      <c r="H233" s="712">
        <v>0</v>
      </c>
      <c r="I233" s="712">
        <v>0</v>
      </c>
      <c r="J233" s="712">
        <v>0</v>
      </c>
      <c r="K233" s="712">
        <v>0</v>
      </c>
      <c r="L233" s="712">
        <v>0</v>
      </c>
      <c r="M233" s="712">
        <v>0</v>
      </c>
      <c r="N233" s="712">
        <v>0</v>
      </c>
      <c r="O233" s="712">
        <v>0</v>
      </c>
      <c r="P233" s="712">
        <v>0</v>
      </c>
      <c r="Q233" s="712">
        <v>0</v>
      </c>
      <c r="R233" s="712">
        <v>20000000</v>
      </c>
      <c r="S233" s="712">
        <v>302862000</v>
      </c>
      <c r="T233" s="712">
        <v>0</v>
      </c>
      <c r="U233" s="712">
        <v>0</v>
      </c>
      <c r="V233" s="712">
        <v>0</v>
      </c>
      <c r="W233" s="712">
        <v>0</v>
      </c>
      <c r="X233" s="712">
        <v>0</v>
      </c>
      <c r="Y233" s="712">
        <v>0</v>
      </c>
      <c r="Z233" s="712">
        <v>0</v>
      </c>
      <c r="AA233" s="712">
        <v>0</v>
      </c>
      <c r="AB233" s="712">
        <v>0</v>
      </c>
      <c r="AC233" s="712">
        <v>0</v>
      </c>
      <c r="AD233" s="712">
        <v>0</v>
      </c>
      <c r="AE233" s="712">
        <v>0</v>
      </c>
      <c r="AF233" s="712">
        <v>0</v>
      </c>
      <c r="AG233" s="712">
        <v>0</v>
      </c>
      <c r="AH233" s="712">
        <v>0</v>
      </c>
      <c r="AI233" s="712">
        <v>0</v>
      </c>
      <c r="AJ233" s="712">
        <v>0</v>
      </c>
      <c r="AK233" s="712">
        <v>0</v>
      </c>
      <c r="AL233" s="712">
        <v>0</v>
      </c>
      <c r="AM233" s="712">
        <v>0</v>
      </c>
      <c r="AN233" s="712">
        <v>0</v>
      </c>
      <c r="AO233" s="712">
        <v>0</v>
      </c>
      <c r="AP233" s="712">
        <v>0</v>
      </c>
      <c r="AQ233" s="712">
        <v>0</v>
      </c>
      <c r="AR233" s="712">
        <v>0</v>
      </c>
      <c r="AS233" s="712">
        <v>0</v>
      </c>
      <c r="AT233">
        <v>322862000</v>
      </c>
      <c r="AU233" s="615"/>
      <c r="AV233" s="615"/>
      <c r="AW233" s="615"/>
      <c r="AX233" s="615"/>
      <c r="AY233" s="615"/>
      <c r="AZ233" s="615"/>
      <c r="BA233" s="615"/>
      <c r="BB233" s="615"/>
      <c r="BC233" s="615"/>
      <c r="BD233" s="615"/>
      <c r="BE233" s="615"/>
      <c r="BF233" s="615"/>
      <c r="BG233" s="615"/>
      <c r="BH233" s="615"/>
      <c r="BI233" s="615"/>
      <c r="BJ233" s="615"/>
      <c r="BK233" s="615"/>
      <c r="BL233" s="615"/>
      <c r="BM233" s="615"/>
      <c r="BN233" s="615"/>
      <c r="BO233" s="615"/>
      <c r="BP233" s="615"/>
      <c r="BQ233" s="615"/>
      <c r="BR233" s="615"/>
      <c r="BS233" s="615"/>
      <c r="BT233" s="615"/>
      <c r="BU233" s="615"/>
      <c r="BV233" s="615"/>
      <c r="BW233" s="615"/>
      <c r="BX233" s="607"/>
    </row>
    <row r="234" spans="1:76" s="612" customFormat="1" ht="25.5" x14ac:dyDescent="0.2">
      <c r="A234" s="839"/>
      <c r="B234" s="713" t="s">
        <v>1655</v>
      </c>
      <c r="C234" s="713" t="s">
        <v>1929</v>
      </c>
      <c r="D234" s="712">
        <v>0</v>
      </c>
      <c r="E234" s="712">
        <v>0</v>
      </c>
      <c r="F234" s="712">
        <v>0</v>
      </c>
      <c r="G234" s="712">
        <v>0</v>
      </c>
      <c r="H234" s="712">
        <v>0</v>
      </c>
      <c r="I234" s="712">
        <v>0</v>
      </c>
      <c r="J234" s="712">
        <v>0</v>
      </c>
      <c r="K234" s="712">
        <v>0</v>
      </c>
      <c r="L234" s="712">
        <v>0</v>
      </c>
      <c r="M234" s="712">
        <v>0</v>
      </c>
      <c r="N234" s="712">
        <v>0</v>
      </c>
      <c r="O234" s="712">
        <v>0</v>
      </c>
      <c r="P234" s="712">
        <v>0</v>
      </c>
      <c r="Q234" s="712">
        <v>0</v>
      </c>
      <c r="R234" s="712">
        <v>0</v>
      </c>
      <c r="S234" s="712">
        <v>0</v>
      </c>
      <c r="T234" s="712">
        <v>0</v>
      </c>
      <c r="U234" s="712">
        <v>0</v>
      </c>
      <c r="V234" s="712">
        <v>0</v>
      </c>
      <c r="W234" s="712">
        <v>0</v>
      </c>
      <c r="X234" s="712">
        <v>0</v>
      </c>
      <c r="Y234" s="712">
        <v>0</v>
      </c>
      <c r="Z234" s="712">
        <v>0</v>
      </c>
      <c r="AA234" s="712">
        <v>0</v>
      </c>
      <c r="AB234" s="712">
        <v>0</v>
      </c>
      <c r="AC234" s="712">
        <v>0</v>
      </c>
      <c r="AD234" s="712">
        <v>0</v>
      </c>
      <c r="AE234" s="712">
        <v>0</v>
      </c>
      <c r="AF234" s="712">
        <v>0</v>
      </c>
      <c r="AG234" s="712">
        <v>0</v>
      </c>
      <c r="AH234" s="712">
        <v>0</v>
      </c>
      <c r="AI234" s="712">
        <v>0</v>
      </c>
      <c r="AJ234" s="712">
        <v>0</v>
      </c>
      <c r="AK234" s="712">
        <v>0</v>
      </c>
      <c r="AL234" s="712">
        <v>0</v>
      </c>
      <c r="AM234" s="712">
        <v>0</v>
      </c>
      <c r="AN234" s="712">
        <v>0</v>
      </c>
      <c r="AO234" s="712">
        <v>0</v>
      </c>
      <c r="AP234" s="712">
        <v>0</v>
      </c>
      <c r="AQ234" s="712">
        <v>0</v>
      </c>
      <c r="AR234" s="712">
        <v>0</v>
      </c>
      <c r="AS234" s="712">
        <v>0</v>
      </c>
      <c r="AT234">
        <v>0</v>
      </c>
      <c r="AU234" s="615"/>
      <c r="AV234" s="615"/>
      <c r="AW234" s="615"/>
      <c r="AX234" s="615"/>
      <c r="AY234" s="615"/>
      <c r="AZ234" s="615"/>
      <c r="BA234" s="615"/>
      <c r="BB234" s="615"/>
      <c r="BC234" s="615"/>
      <c r="BD234" s="615"/>
      <c r="BE234" s="615"/>
      <c r="BF234" s="615"/>
      <c r="BG234" s="615"/>
      <c r="BH234" s="615"/>
      <c r="BI234" s="615"/>
      <c r="BJ234" s="615"/>
      <c r="BK234" s="615"/>
      <c r="BL234" s="615"/>
      <c r="BM234" s="615"/>
      <c r="BN234" s="615"/>
      <c r="BO234" s="615"/>
      <c r="BP234" s="615"/>
      <c r="BQ234" s="615"/>
      <c r="BR234" s="615"/>
      <c r="BS234" s="615"/>
      <c r="BT234" s="615"/>
      <c r="BU234" s="615"/>
      <c r="BV234" s="615"/>
      <c r="BW234" s="615"/>
      <c r="BX234" s="607"/>
    </row>
    <row r="235" spans="1:76" s="612" customFormat="1" ht="25.5" x14ac:dyDescent="0.2">
      <c r="A235" s="839"/>
      <c r="B235" s="713" t="s">
        <v>1663</v>
      </c>
      <c r="C235" s="713" t="s">
        <v>1959</v>
      </c>
      <c r="D235" s="712">
        <v>0</v>
      </c>
      <c r="E235" s="712">
        <v>0</v>
      </c>
      <c r="F235" s="712">
        <v>0</v>
      </c>
      <c r="G235" s="712">
        <v>0</v>
      </c>
      <c r="H235" s="712">
        <v>0</v>
      </c>
      <c r="I235" s="712">
        <v>0</v>
      </c>
      <c r="J235" s="712">
        <v>0</v>
      </c>
      <c r="K235" s="712">
        <v>0</v>
      </c>
      <c r="L235" s="712">
        <v>0</v>
      </c>
      <c r="M235" s="712">
        <v>0</v>
      </c>
      <c r="N235" s="712">
        <v>0</v>
      </c>
      <c r="O235" s="712">
        <v>0</v>
      </c>
      <c r="P235" s="712">
        <v>1379784</v>
      </c>
      <c r="Q235" s="712">
        <v>0</v>
      </c>
      <c r="R235" s="712">
        <v>1296746</v>
      </c>
      <c r="S235" s="712">
        <v>0</v>
      </c>
      <c r="T235" s="712">
        <v>0</v>
      </c>
      <c r="U235" s="712">
        <v>0</v>
      </c>
      <c r="V235" s="712">
        <v>0</v>
      </c>
      <c r="W235" s="712">
        <v>0</v>
      </c>
      <c r="X235" s="712">
        <v>0</v>
      </c>
      <c r="Y235" s="712">
        <v>0</v>
      </c>
      <c r="Z235" s="712">
        <v>0</v>
      </c>
      <c r="AA235" s="712">
        <v>0</v>
      </c>
      <c r="AB235" s="712">
        <v>0</v>
      </c>
      <c r="AC235" s="712">
        <v>0</v>
      </c>
      <c r="AD235" s="712">
        <v>0</v>
      </c>
      <c r="AE235" s="712">
        <v>0</v>
      </c>
      <c r="AF235" s="712">
        <v>0</v>
      </c>
      <c r="AG235" s="712">
        <v>0</v>
      </c>
      <c r="AH235" s="712">
        <v>0</v>
      </c>
      <c r="AI235" s="712">
        <v>0</v>
      </c>
      <c r="AJ235" s="712">
        <v>0</v>
      </c>
      <c r="AK235" s="712">
        <v>0</v>
      </c>
      <c r="AL235" s="712">
        <v>0</v>
      </c>
      <c r="AM235" s="712">
        <v>0</v>
      </c>
      <c r="AN235" s="712">
        <v>0</v>
      </c>
      <c r="AO235" s="712">
        <v>0</v>
      </c>
      <c r="AP235" s="712">
        <v>0</v>
      </c>
      <c r="AQ235" s="712">
        <v>0</v>
      </c>
      <c r="AR235" s="712">
        <v>0</v>
      </c>
      <c r="AS235" s="712">
        <v>0</v>
      </c>
      <c r="AT235">
        <v>2676530</v>
      </c>
      <c r="AU235" s="615"/>
      <c r="AV235" s="615"/>
      <c r="AW235" s="615"/>
      <c r="AX235" s="615"/>
      <c r="AY235" s="615"/>
      <c r="AZ235" s="615"/>
      <c r="BA235" s="615"/>
      <c r="BB235" s="615"/>
      <c r="BC235" s="615"/>
      <c r="BD235" s="615"/>
      <c r="BE235" s="615"/>
      <c r="BF235" s="615"/>
      <c r="BG235" s="615"/>
      <c r="BH235" s="615"/>
      <c r="BI235" s="615"/>
      <c r="BJ235" s="615"/>
      <c r="BK235" s="615"/>
      <c r="BL235" s="615"/>
      <c r="BM235" s="615"/>
      <c r="BN235" s="615"/>
      <c r="BO235" s="615"/>
      <c r="BP235" s="615"/>
      <c r="BQ235" s="615"/>
      <c r="BR235" s="615"/>
      <c r="BS235" s="615"/>
      <c r="BT235" s="615"/>
      <c r="BU235" s="615"/>
      <c r="BV235" s="615"/>
      <c r="BW235" s="615"/>
      <c r="BX235" s="607"/>
    </row>
    <row r="236" spans="1:76" s="612" customFormat="1" ht="25.5" x14ac:dyDescent="0.2">
      <c r="A236" s="839"/>
      <c r="B236" s="713" t="s">
        <v>1676</v>
      </c>
      <c r="C236" s="713" t="s">
        <v>1918</v>
      </c>
      <c r="D236" s="712">
        <v>0</v>
      </c>
      <c r="E236" s="712">
        <v>0</v>
      </c>
      <c r="F236" s="712">
        <v>0</v>
      </c>
      <c r="G236" s="712">
        <v>0</v>
      </c>
      <c r="H236" s="712">
        <v>0</v>
      </c>
      <c r="I236" s="712">
        <v>0</v>
      </c>
      <c r="J236" s="712">
        <v>0</v>
      </c>
      <c r="K236" s="712">
        <v>0</v>
      </c>
      <c r="L236" s="712">
        <v>0</v>
      </c>
      <c r="M236" s="712">
        <v>0</v>
      </c>
      <c r="N236" s="712">
        <v>0</v>
      </c>
      <c r="O236" s="712">
        <v>0</v>
      </c>
      <c r="P236" s="712">
        <v>0</v>
      </c>
      <c r="Q236" s="712">
        <v>0</v>
      </c>
      <c r="R236" s="712">
        <v>0</v>
      </c>
      <c r="S236" s="712">
        <v>0</v>
      </c>
      <c r="T236" s="712">
        <v>0</v>
      </c>
      <c r="U236" s="712">
        <v>0</v>
      </c>
      <c r="V236" s="712">
        <v>0</v>
      </c>
      <c r="W236" s="712">
        <v>0</v>
      </c>
      <c r="X236" s="712">
        <v>0</v>
      </c>
      <c r="Y236" s="712">
        <v>0</v>
      </c>
      <c r="Z236" s="712">
        <v>0</v>
      </c>
      <c r="AA236" s="712">
        <v>0</v>
      </c>
      <c r="AB236" s="712">
        <v>0</v>
      </c>
      <c r="AC236" s="712">
        <v>0</v>
      </c>
      <c r="AD236" s="712">
        <v>0</v>
      </c>
      <c r="AE236" s="712">
        <v>0</v>
      </c>
      <c r="AF236" s="712">
        <v>0</v>
      </c>
      <c r="AG236" s="712">
        <v>0</v>
      </c>
      <c r="AH236" s="712">
        <v>0</v>
      </c>
      <c r="AI236" s="712">
        <v>0</v>
      </c>
      <c r="AJ236" s="712">
        <v>0</v>
      </c>
      <c r="AK236" s="712">
        <v>0</v>
      </c>
      <c r="AL236" s="712">
        <v>0</v>
      </c>
      <c r="AM236" s="712">
        <v>0</v>
      </c>
      <c r="AN236" s="712">
        <v>0</v>
      </c>
      <c r="AO236" s="712">
        <v>0</v>
      </c>
      <c r="AP236" s="712">
        <v>0</v>
      </c>
      <c r="AQ236" s="712">
        <v>0</v>
      </c>
      <c r="AR236" s="712">
        <v>0</v>
      </c>
      <c r="AS236" s="712">
        <v>0</v>
      </c>
      <c r="AT236">
        <v>0</v>
      </c>
      <c r="AU236" s="615"/>
      <c r="AV236" s="615"/>
      <c r="AW236" s="615"/>
      <c r="AX236" s="615"/>
      <c r="AY236" s="615"/>
      <c r="AZ236" s="615"/>
      <c r="BA236" s="615"/>
      <c r="BB236" s="615"/>
      <c r="BC236" s="615"/>
      <c r="BD236" s="615"/>
      <c r="BE236" s="615"/>
      <c r="BF236" s="615"/>
      <c r="BG236" s="615"/>
      <c r="BH236" s="615"/>
      <c r="BI236" s="615"/>
      <c r="BJ236" s="615"/>
      <c r="BK236" s="615"/>
      <c r="BL236" s="615"/>
      <c r="BM236" s="615"/>
      <c r="BN236" s="615"/>
      <c r="BO236" s="615"/>
      <c r="BP236" s="615"/>
      <c r="BQ236" s="615"/>
      <c r="BR236" s="615"/>
      <c r="BS236" s="615"/>
      <c r="BT236" s="615"/>
      <c r="BU236" s="615"/>
      <c r="BV236" s="615"/>
      <c r="BW236" s="615"/>
      <c r="BX236" s="607"/>
    </row>
    <row r="237" spans="1:76" s="612" customFormat="1" ht="25.5" x14ac:dyDescent="0.2">
      <c r="A237" s="839"/>
      <c r="B237" s="713" t="s">
        <v>1513</v>
      </c>
      <c r="C237" s="713" t="s">
        <v>1913</v>
      </c>
      <c r="D237" s="712">
        <v>0</v>
      </c>
      <c r="E237" s="712">
        <v>0</v>
      </c>
      <c r="F237" s="712">
        <v>0</v>
      </c>
      <c r="G237" s="712">
        <v>0</v>
      </c>
      <c r="H237" s="712">
        <v>0</v>
      </c>
      <c r="I237" s="712">
        <v>0</v>
      </c>
      <c r="J237" s="712">
        <v>0</v>
      </c>
      <c r="K237" s="712">
        <v>0</v>
      </c>
      <c r="L237" s="712">
        <v>0</v>
      </c>
      <c r="M237" s="712">
        <v>0</v>
      </c>
      <c r="N237" s="712">
        <v>0</v>
      </c>
      <c r="O237" s="712">
        <v>0</v>
      </c>
      <c r="P237" s="712">
        <v>0</v>
      </c>
      <c r="Q237" s="712">
        <v>0</v>
      </c>
      <c r="R237" s="712">
        <v>0</v>
      </c>
      <c r="S237" s="712">
        <v>0</v>
      </c>
      <c r="T237" s="712">
        <v>0</v>
      </c>
      <c r="U237" s="712">
        <v>0</v>
      </c>
      <c r="V237" s="712">
        <v>0</v>
      </c>
      <c r="W237" s="712">
        <v>0</v>
      </c>
      <c r="X237" s="712">
        <v>0</v>
      </c>
      <c r="Y237" s="712">
        <v>0</v>
      </c>
      <c r="Z237" s="712">
        <v>0</v>
      </c>
      <c r="AA237" s="712">
        <v>0</v>
      </c>
      <c r="AB237" s="712">
        <v>0</v>
      </c>
      <c r="AC237" s="712">
        <v>0</v>
      </c>
      <c r="AD237" s="712">
        <v>0</v>
      </c>
      <c r="AE237" s="712">
        <v>0</v>
      </c>
      <c r="AF237" s="712">
        <v>0</v>
      </c>
      <c r="AG237" s="712">
        <v>0</v>
      </c>
      <c r="AH237" s="712">
        <v>0</v>
      </c>
      <c r="AI237" s="712">
        <v>0</v>
      </c>
      <c r="AJ237" s="712">
        <v>0</v>
      </c>
      <c r="AK237" s="712">
        <v>0</v>
      </c>
      <c r="AL237" s="712">
        <v>0</v>
      </c>
      <c r="AM237" s="712">
        <v>0</v>
      </c>
      <c r="AN237" s="712">
        <v>0</v>
      </c>
      <c r="AO237" s="712">
        <v>0</v>
      </c>
      <c r="AP237" s="712">
        <v>0</v>
      </c>
      <c r="AQ237" s="712">
        <v>0</v>
      </c>
      <c r="AR237" s="712">
        <v>0</v>
      </c>
      <c r="AS237" s="712">
        <v>0</v>
      </c>
      <c r="AT237">
        <v>0</v>
      </c>
      <c r="AU237" s="615"/>
      <c r="AV237" s="615"/>
      <c r="AW237" s="615"/>
      <c r="AX237" s="615"/>
      <c r="AY237" s="615"/>
      <c r="AZ237" s="615"/>
      <c r="BA237" s="615"/>
      <c r="BB237" s="615"/>
      <c r="BC237" s="615"/>
      <c r="BD237" s="615"/>
      <c r="BE237" s="615"/>
      <c r="BF237" s="615"/>
      <c r="BG237" s="615"/>
      <c r="BH237" s="615"/>
      <c r="BI237" s="615"/>
      <c r="BJ237" s="615"/>
      <c r="BK237" s="615"/>
      <c r="BL237" s="615"/>
      <c r="BM237" s="615"/>
      <c r="BN237" s="615"/>
      <c r="BO237" s="615"/>
      <c r="BP237" s="615"/>
      <c r="BQ237" s="615"/>
      <c r="BR237" s="615"/>
      <c r="BS237" s="615"/>
      <c r="BT237" s="615"/>
      <c r="BU237" s="615"/>
      <c r="BV237" s="615"/>
      <c r="BW237" s="615"/>
      <c r="BX237" s="607"/>
    </row>
    <row r="238" spans="1:76" s="612" customFormat="1" ht="38.25" x14ac:dyDescent="0.2">
      <c r="A238" s="839"/>
      <c r="B238" s="713" t="s">
        <v>3487</v>
      </c>
      <c r="C238" s="713" t="s">
        <v>1948</v>
      </c>
      <c r="D238" s="712">
        <v>0</v>
      </c>
      <c r="E238" s="712">
        <v>0</v>
      </c>
      <c r="F238" s="712">
        <v>0</v>
      </c>
      <c r="G238" s="712">
        <v>0</v>
      </c>
      <c r="H238" s="712">
        <v>0</v>
      </c>
      <c r="I238" s="712">
        <v>0</v>
      </c>
      <c r="J238" s="712">
        <v>0</v>
      </c>
      <c r="K238" s="712">
        <v>0</v>
      </c>
      <c r="L238" s="712">
        <v>0</v>
      </c>
      <c r="M238" s="712">
        <v>0</v>
      </c>
      <c r="N238" s="712">
        <v>0</v>
      </c>
      <c r="O238" s="712">
        <v>0</v>
      </c>
      <c r="P238" s="712">
        <v>0</v>
      </c>
      <c r="Q238" s="712">
        <v>0</v>
      </c>
      <c r="R238" s="712">
        <v>0</v>
      </c>
      <c r="S238" s="712">
        <v>0</v>
      </c>
      <c r="T238" s="712">
        <v>0</v>
      </c>
      <c r="U238" s="712">
        <v>0</v>
      </c>
      <c r="V238" s="712">
        <v>0</v>
      </c>
      <c r="W238" s="712">
        <v>0</v>
      </c>
      <c r="X238" s="712">
        <v>0</v>
      </c>
      <c r="Y238" s="712">
        <v>0</v>
      </c>
      <c r="Z238" s="712">
        <v>0</v>
      </c>
      <c r="AA238" s="712">
        <v>0</v>
      </c>
      <c r="AB238" s="712">
        <v>0</v>
      </c>
      <c r="AC238" s="712">
        <v>0</v>
      </c>
      <c r="AD238" s="712">
        <v>0</v>
      </c>
      <c r="AE238" s="712">
        <v>0</v>
      </c>
      <c r="AF238" s="712">
        <v>0</v>
      </c>
      <c r="AG238" s="712">
        <v>0</v>
      </c>
      <c r="AH238" s="712">
        <v>0</v>
      </c>
      <c r="AI238" s="712">
        <v>0</v>
      </c>
      <c r="AJ238" s="712">
        <v>0</v>
      </c>
      <c r="AK238" s="712">
        <v>0</v>
      </c>
      <c r="AL238" s="712">
        <v>0</v>
      </c>
      <c r="AM238" s="712">
        <v>0</v>
      </c>
      <c r="AN238" s="712">
        <v>0</v>
      </c>
      <c r="AO238" s="712">
        <v>0</v>
      </c>
      <c r="AP238" s="712">
        <v>0</v>
      </c>
      <c r="AQ238" s="712">
        <v>0</v>
      </c>
      <c r="AR238" s="712">
        <v>0</v>
      </c>
      <c r="AS238" s="712">
        <v>0</v>
      </c>
      <c r="AT238">
        <v>0</v>
      </c>
      <c r="AU238" s="615"/>
      <c r="AV238" s="615"/>
      <c r="AW238" s="615"/>
      <c r="AX238" s="615"/>
      <c r="AY238" s="615"/>
      <c r="AZ238" s="615"/>
      <c r="BA238" s="615"/>
      <c r="BB238" s="615"/>
      <c r="BC238" s="615"/>
      <c r="BD238" s="615"/>
      <c r="BE238" s="615"/>
      <c r="BF238" s="615"/>
      <c r="BG238" s="615"/>
      <c r="BH238" s="615"/>
      <c r="BI238" s="615"/>
      <c r="BJ238" s="615"/>
      <c r="BK238" s="615"/>
      <c r="BL238" s="615"/>
      <c r="BM238" s="615"/>
      <c r="BN238" s="615"/>
      <c r="BO238" s="615"/>
      <c r="BP238" s="615"/>
      <c r="BQ238" s="615"/>
      <c r="BR238" s="615"/>
      <c r="BS238" s="615"/>
      <c r="BT238" s="615"/>
      <c r="BU238" s="615"/>
      <c r="BV238" s="615"/>
      <c r="BW238" s="615"/>
      <c r="BX238" s="607"/>
    </row>
    <row r="239" spans="1:76" s="612" customFormat="1" ht="12.75" x14ac:dyDescent="0.2">
      <c r="A239" s="839"/>
      <c r="B239" s="713" t="s">
        <v>1716</v>
      </c>
      <c r="C239" s="713" t="s">
        <v>1983</v>
      </c>
      <c r="D239" s="712">
        <v>0</v>
      </c>
      <c r="E239" s="712">
        <v>0</v>
      </c>
      <c r="F239" s="712">
        <v>0</v>
      </c>
      <c r="G239" s="712">
        <v>0</v>
      </c>
      <c r="H239" s="712">
        <v>0</v>
      </c>
      <c r="I239" s="712">
        <v>0</v>
      </c>
      <c r="J239" s="712">
        <v>0</v>
      </c>
      <c r="K239" s="712">
        <v>0</v>
      </c>
      <c r="L239" s="712">
        <v>0</v>
      </c>
      <c r="M239" s="712">
        <v>0</v>
      </c>
      <c r="N239" s="712">
        <v>0</v>
      </c>
      <c r="O239" s="712">
        <v>0</v>
      </c>
      <c r="P239" s="712">
        <v>1041502</v>
      </c>
      <c r="Q239" s="712">
        <v>0</v>
      </c>
      <c r="R239" s="712">
        <v>0</v>
      </c>
      <c r="S239" s="712">
        <v>0</v>
      </c>
      <c r="T239" s="712">
        <v>0</v>
      </c>
      <c r="U239" s="712">
        <v>0</v>
      </c>
      <c r="V239" s="712">
        <v>0</v>
      </c>
      <c r="W239" s="712">
        <v>0</v>
      </c>
      <c r="X239" s="712">
        <v>0</v>
      </c>
      <c r="Y239" s="712">
        <v>0</v>
      </c>
      <c r="Z239" s="712">
        <v>0</v>
      </c>
      <c r="AA239" s="712">
        <v>0</v>
      </c>
      <c r="AB239" s="712">
        <v>0</v>
      </c>
      <c r="AC239" s="712">
        <v>0</v>
      </c>
      <c r="AD239" s="712">
        <v>0</v>
      </c>
      <c r="AE239" s="712">
        <v>0</v>
      </c>
      <c r="AF239" s="712">
        <v>0</v>
      </c>
      <c r="AG239" s="712">
        <v>0</v>
      </c>
      <c r="AH239" s="712">
        <v>0</v>
      </c>
      <c r="AI239" s="712">
        <v>0</v>
      </c>
      <c r="AJ239" s="712">
        <v>0</v>
      </c>
      <c r="AK239" s="712">
        <v>0</v>
      </c>
      <c r="AL239" s="712">
        <v>0</v>
      </c>
      <c r="AM239" s="712">
        <v>0</v>
      </c>
      <c r="AN239" s="712">
        <v>0</v>
      </c>
      <c r="AO239" s="712">
        <v>0</v>
      </c>
      <c r="AP239" s="712">
        <v>0</v>
      </c>
      <c r="AQ239" s="712">
        <v>0</v>
      </c>
      <c r="AR239" s="712">
        <v>0</v>
      </c>
      <c r="AS239" s="712">
        <v>0</v>
      </c>
      <c r="AT239">
        <v>1040360</v>
      </c>
      <c r="AU239" s="615"/>
      <c r="AV239" s="615"/>
      <c r="AW239" s="615"/>
      <c r="AX239" s="615"/>
      <c r="AY239" s="615"/>
      <c r="AZ239" s="615"/>
      <c r="BA239" s="615"/>
      <c r="BB239" s="615"/>
      <c r="BC239" s="615"/>
      <c r="BD239" s="615"/>
      <c r="BE239" s="615"/>
      <c r="BF239" s="615"/>
      <c r="BG239" s="615"/>
      <c r="BH239" s="615"/>
      <c r="BI239" s="615"/>
      <c r="BJ239" s="615"/>
      <c r="BK239" s="615"/>
      <c r="BL239" s="615"/>
      <c r="BM239" s="615"/>
      <c r="BN239" s="615"/>
      <c r="BO239" s="615"/>
      <c r="BP239" s="615"/>
      <c r="BQ239" s="615"/>
      <c r="BR239" s="615"/>
      <c r="BS239" s="615"/>
      <c r="BT239" s="615"/>
      <c r="BU239" s="615"/>
      <c r="BV239" s="615"/>
      <c r="BW239" s="615"/>
      <c r="BX239" s="607"/>
    </row>
    <row r="240" spans="1:76" s="612" customFormat="1" ht="25.5" x14ac:dyDescent="0.2">
      <c r="A240" s="839"/>
      <c r="B240" s="713" t="s">
        <v>1595</v>
      </c>
      <c r="C240" s="713" t="s">
        <v>1944</v>
      </c>
      <c r="D240" s="712">
        <v>0</v>
      </c>
      <c r="E240" s="712">
        <v>0</v>
      </c>
      <c r="F240" s="712">
        <v>0</v>
      </c>
      <c r="G240" s="712">
        <v>0</v>
      </c>
      <c r="H240" s="712">
        <v>0</v>
      </c>
      <c r="I240" s="712">
        <v>0</v>
      </c>
      <c r="J240" s="712">
        <v>0</v>
      </c>
      <c r="K240" s="712">
        <v>0</v>
      </c>
      <c r="L240" s="712">
        <v>0</v>
      </c>
      <c r="M240" s="712">
        <v>0</v>
      </c>
      <c r="N240" s="712">
        <v>0</v>
      </c>
      <c r="O240" s="712">
        <v>0</v>
      </c>
      <c r="P240" s="712">
        <v>0</v>
      </c>
      <c r="Q240" s="712">
        <v>0</v>
      </c>
      <c r="R240" s="712">
        <v>0</v>
      </c>
      <c r="S240" s="712">
        <v>0</v>
      </c>
      <c r="T240" s="712">
        <v>0</v>
      </c>
      <c r="U240" s="712">
        <v>0</v>
      </c>
      <c r="V240" s="712">
        <v>0</v>
      </c>
      <c r="W240" s="712">
        <v>0</v>
      </c>
      <c r="X240" s="712">
        <v>0</v>
      </c>
      <c r="Y240" s="712">
        <v>0</v>
      </c>
      <c r="Z240" s="712">
        <v>0</v>
      </c>
      <c r="AA240" s="712">
        <v>0</v>
      </c>
      <c r="AB240" s="712">
        <v>0</v>
      </c>
      <c r="AC240" s="712">
        <v>0</v>
      </c>
      <c r="AD240" s="712">
        <v>0</v>
      </c>
      <c r="AE240" s="712">
        <v>0</v>
      </c>
      <c r="AF240" s="712">
        <v>0</v>
      </c>
      <c r="AG240" s="712">
        <v>0</v>
      </c>
      <c r="AH240" s="712">
        <v>0</v>
      </c>
      <c r="AI240" s="712">
        <v>0</v>
      </c>
      <c r="AJ240" s="712">
        <v>0</v>
      </c>
      <c r="AK240" s="712">
        <v>0</v>
      </c>
      <c r="AL240" s="712">
        <v>0</v>
      </c>
      <c r="AM240" s="712">
        <v>0</v>
      </c>
      <c r="AN240" s="712">
        <v>0</v>
      </c>
      <c r="AO240" s="712">
        <v>0</v>
      </c>
      <c r="AP240" s="712">
        <v>0</v>
      </c>
      <c r="AQ240" s="712">
        <v>0</v>
      </c>
      <c r="AR240" s="712">
        <v>0</v>
      </c>
      <c r="AS240" s="712">
        <v>0</v>
      </c>
      <c r="AT240">
        <v>0</v>
      </c>
      <c r="AU240" s="615"/>
      <c r="AV240" s="615"/>
      <c r="AW240" s="615"/>
      <c r="AX240" s="615"/>
      <c r="AY240" s="615"/>
      <c r="AZ240" s="615"/>
      <c r="BA240" s="615"/>
      <c r="BB240" s="615"/>
      <c r="BC240" s="615"/>
      <c r="BD240" s="615"/>
      <c r="BE240" s="615"/>
      <c r="BF240" s="615"/>
      <c r="BG240" s="615"/>
      <c r="BH240" s="615"/>
      <c r="BI240" s="615"/>
      <c r="BJ240" s="615"/>
      <c r="BK240" s="615"/>
      <c r="BL240" s="615"/>
      <c r="BM240" s="615"/>
      <c r="BN240" s="615"/>
      <c r="BO240" s="615"/>
      <c r="BP240" s="615"/>
      <c r="BQ240" s="615"/>
      <c r="BR240" s="615"/>
      <c r="BS240" s="615"/>
      <c r="BT240" s="615"/>
      <c r="BU240" s="615"/>
      <c r="BV240" s="615"/>
      <c r="BW240" s="615"/>
      <c r="BX240" s="607"/>
    </row>
    <row r="241" spans="1:76" s="612" customFormat="1" ht="25.5" x14ac:dyDescent="0.2">
      <c r="A241" s="839"/>
      <c r="B241" s="713" t="s">
        <v>922</v>
      </c>
      <c r="C241" s="713" t="s">
        <v>1914</v>
      </c>
      <c r="D241" s="712">
        <v>0</v>
      </c>
      <c r="E241" s="712">
        <v>0</v>
      </c>
      <c r="F241" s="712">
        <v>0</v>
      </c>
      <c r="G241" s="712">
        <v>0</v>
      </c>
      <c r="H241" s="712">
        <v>0</v>
      </c>
      <c r="I241" s="712">
        <v>0</v>
      </c>
      <c r="J241" s="712">
        <v>0</v>
      </c>
      <c r="K241" s="712">
        <v>0</v>
      </c>
      <c r="L241" s="712">
        <v>0</v>
      </c>
      <c r="M241" s="712">
        <v>0</v>
      </c>
      <c r="N241" s="712">
        <v>0</v>
      </c>
      <c r="O241" s="712">
        <v>0</v>
      </c>
      <c r="P241" s="712">
        <v>0</v>
      </c>
      <c r="Q241" s="712">
        <v>0</v>
      </c>
      <c r="R241" s="712">
        <v>0</v>
      </c>
      <c r="S241" s="712">
        <v>0</v>
      </c>
      <c r="T241" s="712">
        <v>0</v>
      </c>
      <c r="U241" s="712">
        <v>0</v>
      </c>
      <c r="V241" s="712">
        <v>0</v>
      </c>
      <c r="W241" s="712">
        <v>0</v>
      </c>
      <c r="X241" s="712">
        <v>0</v>
      </c>
      <c r="Y241" s="712">
        <v>0</v>
      </c>
      <c r="Z241" s="712">
        <v>0</v>
      </c>
      <c r="AA241" s="712">
        <v>0</v>
      </c>
      <c r="AB241" s="712">
        <v>0</v>
      </c>
      <c r="AC241" s="712">
        <v>0</v>
      </c>
      <c r="AD241" s="712">
        <v>0</v>
      </c>
      <c r="AE241" s="712">
        <v>0</v>
      </c>
      <c r="AF241" s="712">
        <v>0</v>
      </c>
      <c r="AG241" s="712">
        <v>0</v>
      </c>
      <c r="AH241" s="712">
        <v>0</v>
      </c>
      <c r="AI241" s="712">
        <v>0</v>
      </c>
      <c r="AJ241" s="712">
        <v>0</v>
      </c>
      <c r="AK241" s="712">
        <v>0</v>
      </c>
      <c r="AL241" s="712">
        <v>0</v>
      </c>
      <c r="AM241" s="712">
        <v>0</v>
      </c>
      <c r="AN241" s="712">
        <v>0</v>
      </c>
      <c r="AO241" s="712">
        <v>0</v>
      </c>
      <c r="AP241" s="712">
        <v>0</v>
      </c>
      <c r="AQ241" s="712">
        <v>0</v>
      </c>
      <c r="AR241" s="712">
        <v>0</v>
      </c>
      <c r="AS241" s="712">
        <v>0</v>
      </c>
      <c r="AT241">
        <v>0</v>
      </c>
      <c r="AU241" s="615"/>
      <c r="AV241" s="615"/>
      <c r="AW241" s="615"/>
      <c r="AX241" s="615"/>
      <c r="AY241" s="615"/>
      <c r="AZ241" s="615"/>
      <c r="BA241" s="615"/>
      <c r="BB241" s="615"/>
      <c r="BC241" s="615"/>
      <c r="BD241" s="615"/>
      <c r="BE241" s="615"/>
      <c r="BF241" s="615"/>
      <c r="BG241" s="615"/>
      <c r="BH241" s="615"/>
      <c r="BI241" s="615"/>
      <c r="BJ241" s="615"/>
      <c r="BK241" s="615"/>
      <c r="BL241" s="615"/>
      <c r="BM241" s="615"/>
      <c r="BN241" s="615"/>
      <c r="BO241" s="615"/>
      <c r="BP241" s="615"/>
      <c r="BQ241" s="615"/>
      <c r="BR241" s="615"/>
      <c r="BS241" s="615"/>
      <c r="BT241" s="615"/>
      <c r="BU241" s="615"/>
      <c r="BV241" s="615"/>
      <c r="BW241" s="615"/>
      <c r="BX241" s="607"/>
    </row>
    <row r="242" spans="1:76" s="612" customFormat="1" ht="25.5" x14ac:dyDescent="0.2">
      <c r="A242" s="839"/>
      <c r="B242" s="713" t="s">
        <v>2952</v>
      </c>
      <c r="C242" s="713" t="s">
        <v>1927</v>
      </c>
      <c r="D242" s="712">
        <v>0</v>
      </c>
      <c r="E242" s="712">
        <v>0</v>
      </c>
      <c r="F242" s="712">
        <v>0</v>
      </c>
      <c r="G242" s="712">
        <v>0</v>
      </c>
      <c r="H242" s="712">
        <v>0</v>
      </c>
      <c r="I242" s="712">
        <v>0</v>
      </c>
      <c r="J242" s="712">
        <v>0</v>
      </c>
      <c r="K242" s="712">
        <v>0</v>
      </c>
      <c r="L242" s="712">
        <v>0</v>
      </c>
      <c r="M242" s="712">
        <v>0</v>
      </c>
      <c r="N242" s="712">
        <v>0</v>
      </c>
      <c r="O242" s="712">
        <v>0</v>
      </c>
      <c r="P242" s="712">
        <v>0</v>
      </c>
      <c r="Q242" s="712">
        <v>0</v>
      </c>
      <c r="R242" s="712">
        <v>0</v>
      </c>
      <c r="S242" s="712">
        <v>0</v>
      </c>
      <c r="T242" s="712">
        <v>0</v>
      </c>
      <c r="U242" s="712">
        <v>0</v>
      </c>
      <c r="V242" s="712">
        <v>0</v>
      </c>
      <c r="W242" s="712">
        <v>0</v>
      </c>
      <c r="X242" s="712">
        <v>0</v>
      </c>
      <c r="Y242" s="712">
        <v>0</v>
      </c>
      <c r="Z242" s="712">
        <v>0</v>
      </c>
      <c r="AA242" s="712">
        <v>0</v>
      </c>
      <c r="AB242" s="712">
        <v>0</v>
      </c>
      <c r="AC242" s="712">
        <v>0</v>
      </c>
      <c r="AD242" s="712">
        <v>0</v>
      </c>
      <c r="AE242" s="712">
        <v>0</v>
      </c>
      <c r="AF242" s="712">
        <v>0</v>
      </c>
      <c r="AG242" s="712">
        <v>0</v>
      </c>
      <c r="AH242" s="712">
        <v>0</v>
      </c>
      <c r="AI242" s="712">
        <v>0</v>
      </c>
      <c r="AJ242" s="712">
        <v>0</v>
      </c>
      <c r="AK242" s="712">
        <v>0</v>
      </c>
      <c r="AL242" s="712">
        <v>0</v>
      </c>
      <c r="AM242" s="712">
        <v>0</v>
      </c>
      <c r="AN242" s="712">
        <v>0</v>
      </c>
      <c r="AO242" s="712">
        <v>0</v>
      </c>
      <c r="AP242" s="712">
        <v>0</v>
      </c>
      <c r="AQ242" s="712">
        <v>0</v>
      </c>
      <c r="AR242" s="712">
        <v>0</v>
      </c>
      <c r="AS242" s="712">
        <v>0</v>
      </c>
      <c r="AT242">
        <v>0</v>
      </c>
      <c r="AU242" s="615"/>
      <c r="AV242" s="615"/>
      <c r="AW242" s="615"/>
      <c r="AX242" s="615"/>
      <c r="AY242" s="615"/>
      <c r="AZ242" s="615"/>
      <c r="BA242" s="615"/>
      <c r="BB242" s="615"/>
      <c r="BC242" s="615"/>
      <c r="BD242" s="615"/>
      <c r="BE242" s="615"/>
      <c r="BF242" s="615"/>
      <c r="BG242" s="615"/>
      <c r="BH242" s="615"/>
      <c r="BI242" s="615"/>
      <c r="BJ242" s="615"/>
      <c r="BK242" s="615"/>
      <c r="BL242" s="615"/>
      <c r="BM242" s="615"/>
      <c r="BN242" s="615"/>
      <c r="BO242" s="615"/>
      <c r="BP242" s="615"/>
      <c r="BQ242" s="615"/>
      <c r="BR242" s="615"/>
      <c r="BS242" s="615"/>
      <c r="BT242" s="615"/>
      <c r="BU242" s="615"/>
      <c r="BV242" s="615"/>
      <c r="BW242" s="615"/>
      <c r="BX242" s="607"/>
    </row>
    <row r="243" spans="1:76" s="612" customFormat="1" ht="25.5" x14ac:dyDescent="0.2">
      <c r="A243" s="839"/>
      <c r="B243" s="713" t="s">
        <v>1089</v>
      </c>
      <c r="C243" s="713" t="s">
        <v>1937</v>
      </c>
      <c r="D243" s="712">
        <v>0</v>
      </c>
      <c r="E243" s="712">
        <v>0</v>
      </c>
      <c r="F243" s="712">
        <v>0</v>
      </c>
      <c r="G243" s="712">
        <v>0</v>
      </c>
      <c r="H243" s="712">
        <v>0</v>
      </c>
      <c r="I243" s="712">
        <v>0</v>
      </c>
      <c r="J243" s="712">
        <v>0</v>
      </c>
      <c r="K243" s="712">
        <v>0</v>
      </c>
      <c r="L243" s="712">
        <v>0</v>
      </c>
      <c r="M243" s="712">
        <v>0</v>
      </c>
      <c r="N243" s="712">
        <v>0</v>
      </c>
      <c r="O243" s="712">
        <v>0</v>
      </c>
      <c r="P243" s="712">
        <v>0</v>
      </c>
      <c r="Q243" s="712">
        <v>0</v>
      </c>
      <c r="R243" s="712">
        <v>460779</v>
      </c>
      <c r="S243" s="712">
        <v>0</v>
      </c>
      <c r="T243" s="712">
        <v>0</v>
      </c>
      <c r="U243" s="712">
        <v>0</v>
      </c>
      <c r="V243" s="712">
        <v>0</v>
      </c>
      <c r="W243" s="712">
        <v>0</v>
      </c>
      <c r="X243" s="712">
        <v>0</v>
      </c>
      <c r="Y243" s="712">
        <v>0</v>
      </c>
      <c r="Z243" s="712">
        <v>0</v>
      </c>
      <c r="AA243" s="712">
        <v>0</v>
      </c>
      <c r="AB243" s="712">
        <v>0</v>
      </c>
      <c r="AC243" s="712">
        <v>0</v>
      </c>
      <c r="AD243" s="712">
        <v>0</v>
      </c>
      <c r="AE243" s="712">
        <v>0</v>
      </c>
      <c r="AF243" s="712">
        <v>0</v>
      </c>
      <c r="AG243" s="712">
        <v>0</v>
      </c>
      <c r="AH243" s="712">
        <v>0</v>
      </c>
      <c r="AI243" s="712">
        <v>0</v>
      </c>
      <c r="AJ243" s="712">
        <v>0</v>
      </c>
      <c r="AK243" s="712">
        <v>0</v>
      </c>
      <c r="AL243" s="712">
        <v>0</v>
      </c>
      <c r="AM243" s="712">
        <v>0</v>
      </c>
      <c r="AN243" s="712">
        <v>0</v>
      </c>
      <c r="AO243" s="712">
        <v>0</v>
      </c>
      <c r="AP243" s="712">
        <v>0</v>
      </c>
      <c r="AQ243" s="712">
        <v>0</v>
      </c>
      <c r="AR243" s="712">
        <v>0</v>
      </c>
      <c r="AS243" s="712">
        <v>0</v>
      </c>
      <c r="AT243">
        <v>460779</v>
      </c>
      <c r="AU243" s="615"/>
      <c r="AV243" s="615"/>
      <c r="AW243" s="615"/>
      <c r="AX243" s="615"/>
      <c r="AY243" s="615"/>
      <c r="AZ243" s="615"/>
      <c r="BA243" s="615"/>
      <c r="BB243" s="615"/>
      <c r="BC243" s="615"/>
      <c r="BD243" s="615"/>
      <c r="BE243" s="615"/>
      <c r="BF243" s="615"/>
      <c r="BG243" s="615"/>
      <c r="BH243" s="615"/>
      <c r="BI243" s="615"/>
      <c r="BJ243" s="615"/>
      <c r="BK243" s="615"/>
      <c r="BL243" s="615"/>
      <c r="BM243" s="615"/>
      <c r="BN243" s="615"/>
      <c r="BO243" s="615"/>
      <c r="BP243" s="615"/>
      <c r="BQ243" s="615"/>
      <c r="BR243" s="615"/>
      <c r="BS243" s="615"/>
      <c r="BT243" s="615"/>
      <c r="BU243" s="615"/>
      <c r="BV243" s="615"/>
      <c r="BW243" s="615"/>
      <c r="BX243" s="607"/>
    </row>
    <row r="244" spans="1:76" s="612" customFormat="1" ht="25.5" x14ac:dyDescent="0.2">
      <c r="A244" s="839"/>
      <c r="B244" s="713" t="s">
        <v>3339</v>
      </c>
      <c r="C244" s="713" t="s">
        <v>3338</v>
      </c>
      <c r="D244" s="712">
        <v>0</v>
      </c>
      <c r="E244" s="712">
        <v>0</v>
      </c>
      <c r="F244" s="712">
        <v>0</v>
      </c>
      <c r="G244" s="712">
        <v>0</v>
      </c>
      <c r="H244" s="712">
        <v>0</v>
      </c>
      <c r="I244" s="712">
        <v>0</v>
      </c>
      <c r="J244" s="712">
        <v>0</v>
      </c>
      <c r="K244" s="712">
        <v>0</v>
      </c>
      <c r="L244" s="712">
        <v>0</v>
      </c>
      <c r="M244" s="712">
        <v>0</v>
      </c>
      <c r="N244" s="712">
        <v>0</v>
      </c>
      <c r="O244" s="712">
        <v>0</v>
      </c>
      <c r="P244" s="712">
        <v>0</v>
      </c>
      <c r="Q244" s="712">
        <v>0</v>
      </c>
      <c r="R244" s="712">
        <v>0</v>
      </c>
      <c r="S244" s="712">
        <v>0</v>
      </c>
      <c r="T244" s="712">
        <v>0</v>
      </c>
      <c r="U244" s="712">
        <v>0</v>
      </c>
      <c r="V244" s="712">
        <v>0</v>
      </c>
      <c r="W244" s="712">
        <v>0</v>
      </c>
      <c r="X244" s="712">
        <v>0</v>
      </c>
      <c r="Y244" s="712">
        <v>0</v>
      </c>
      <c r="Z244" s="712">
        <v>0</v>
      </c>
      <c r="AA244" s="712">
        <v>0</v>
      </c>
      <c r="AB244" s="712">
        <v>0</v>
      </c>
      <c r="AC244" s="712">
        <v>0</v>
      </c>
      <c r="AD244" s="712">
        <v>0</v>
      </c>
      <c r="AE244" s="712">
        <v>0</v>
      </c>
      <c r="AF244" s="712">
        <v>0</v>
      </c>
      <c r="AG244" s="712">
        <v>0</v>
      </c>
      <c r="AH244" s="712">
        <v>0</v>
      </c>
      <c r="AI244" s="712">
        <v>0</v>
      </c>
      <c r="AJ244" s="712">
        <v>0</v>
      </c>
      <c r="AK244" s="712">
        <v>0</v>
      </c>
      <c r="AL244" s="712">
        <v>0</v>
      </c>
      <c r="AM244" s="712">
        <v>0</v>
      </c>
      <c r="AN244" s="712">
        <v>0</v>
      </c>
      <c r="AO244" s="712">
        <v>0</v>
      </c>
      <c r="AP244" s="712">
        <v>0</v>
      </c>
      <c r="AQ244" s="712">
        <v>0</v>
      </c>
      <c r="AR244" s="712">
        <v>0</v>
      </c>
      <c r="AS244" s="712">
        <v>0</v>
      </c>
      <c r="AT244">
        <v>0</v>
      </c>
      <c r="AU244" s="615"/>
      <c r="AV244" s="615"/>
      <c r="AW244" s="615"/>
      <c r="AX244" s="615"/>
      <c r="AY244" s="615"/>
      <c r="AZ244" s="615"/>
      <c r="BA244" s="615"/>
      <c r="BB244" s="615"/>
      <c r="BC244" s="615"/>
      <c r="BD244" s="615"/>
      <c r="BE244" s="615"/>
      <c r="BF244" s="615"/>
      <c r="BG244" s="615"/>
      <c r="BH244" s="615"/>
      <c r="BI244" s="615"/>
      <c r="BJ244" s="615"/>
      <c r="BK244" s="615"/>
      <c r="BL244" s="615"/>
      <c r="BM244" s="615"/>
      <c r="BN244" s="615"/>
      <c r="BO244" s="615"/>
      <c r="BP244" s="615"/>
      <c r="BQ244" s="615"/>
      <c r="BR244" s="615"/>
      <c r="BS244" s="615"/>
      <c r="BT244" s="615"/>
      <c r="BU244" s="615"/>
      <c r="BV244" s="615"/>
      <c r="BW244" s="615"/>
      <c r="BX244" s="607"/>
    </row>
    <row r="245" spans="1:76" s="612" customFormat="1" ht="25.5" x14ac:dyDescent="0.2">
      <c r="A245" s="839"/>
      <c r="B245" s="713" t="s">
        <v>2610</v>
      </c>
      <c r="C245" s="713" t="s">
        <v>2609</v>
      </c>
      <c r="D245" s="712">
        <v>0</v>
      </c>
      <c r="E245" s="712">
        <v>0</v>
      </c>
      <c r="F245" s="712">
        <v>0</v>
      </c>
      <c r="G245" s="712">
        <v>0</v>
      </c>
      <c r="H245" s="712">
        <v>0</v>
      </c>
      <c r="I245" s="712">
        <v>0</v>
      </c>
      <c r="J245" s="712">
        <v>0</v>
      </c>
      <c r="K245" s="712">
        <v>0</v>
      </c>
      <c r="L245" s="712">
        <v>0</v>
      </c>
      <c r="M245" s="712">
        <v>0</v>
      </c>
      <c r="N245" s="712">
        <v>0</v>
      </c>
      <c r="O245" s="712">
        <v>0</v>
      </c>
      <c r="P245" s="712">
        <v>0</v>
      </c>
      <c r="Q245" s="712">
        <v>0</v>
      </c>
      <c r="R245" s="712">
        <v>0</v>
      </c>
      <c r="S245" s="712">
        <v>0</v>
      </c>
      <c r="T245" s="712">
        <v>0</v>
      </c>
      <c r="U245" s="712">
        <v>0</v>
      </c>
      <c r="V245" s="712">
        <v>0</v>
      </c>
      <c r="W245" s="712">
        <v>0</v>
      </c>
      <c r="X245" s="712">
        <v>0</v>
      </c>
      <c r="Y245" s="712">
        <v>0</v>
      </c>
      <c r="Z245" s="712">
        <v>0</v>
      </c>
      <c r="AA245" s="712">
        <v>0</v>
      </c>
      <c r="AB245" s="712">
        <v>0</v>
      </c>
      <c r="AC245" s="712">
        <v>0</v>
      </c>
      <c r="AD245" s="712">
        <v>0</v>
      </c>
      <c r="AE245" s="712">
        <v>0</v>
      </c>
      <c r="AF245" s="712">
        <v>0</v>
      </c>
      <c r="AG245" s="712">
        <v>0</v>
      </c>
      <c r="AH245" s="712">
        <v>0</v>
      </c>
      <c r="AI245" s="712">
        <v>0</v>
      </c>
      <c r="AJ245" s="712">
        <v>0</v>
      </c>
      <c r="AK245" s="712">
        <v>0</v>
      </c>
      <c r="AL245" s="712">
        <v>0</v>
      </c>
      <c r="AM245" s="712">
        <v>0</v>
      </c>
      <c r="AN245" s="712">
        <v>0</v>
      </c>
      <c r="AO245" s="712">
        <v>0</v>
      </c>
      <c r="AP245" s="712">
        <v>0</v>
      </c>
      <c r="AQ245" s="712">
        <v>0</v>
      </c>
      <c r="AR245" s="712">
        <v>0</v>
      </c>
      <c r="AS245" s="712">
        <v>0</v>
      </c>
      <c r="AT245">
        <v>0</v>
      </c>
      <c r="AU245" s="615"/>
      <c r="AV245" s="615"/>
      <c r="AW245" s="615"/>
      <c r="AX245" s="615"/>
      <c r="AY245" s="615"/>
      <c r="AZ245" s="615"/>
      <c r="BA245" s="615"/>
      <c r="BB245" s="615"/>
      <c r="BC245" s="615"/>
      <c r="BD245" s="615"/>
      <c r="BE245" s="615"/>
      <c r="BF245" s="615"/>
      <c r="BG245" s="615"/>
      <c r="BH245" s="615"/>
      <c r="BI245" s="615"/>
      <c r="BJ245" s="615"/>
      <c r="BK245" s="615"/>
      <c r="BL245" s="615"/>
      <c r="BM245" s="615"/>
      <c r="BN245" s="615"/>
      <c r="BO245" s="615"/>
      <c r="BP245" s="615"/>
      <c r="BQ245" s="615"/>
      <c r="BR245" s="615"/>
      <c r="BS245" s="615"/>
      <c r="BT245" s="615"/>
      <c r="BU245" s="615"/>
      <c r="BV245" s="615"/>
      <c r="BW245" s="615"/>
      <c r="BX245" s="607"/>
    </row>
    <row r="246" spans="1:76" s="612" customFormat="1" ht="25.5" x14ac:dyDescent="0.2">
      <c r="A246" s="839"/>
      <c r="B246" s="713" t="s">
        <v>1076</v>
      </c>
      <c r="C246" s="713" t="s">
        <v>1919</v>
      </c>
      <c r="D246" s="712">
        <v>0</v>
      </c>
      <c r="E246" s="712">
        <v>0</v>
      </c>
      <c r="F246" s="712">
        <v>0</v>
      </c>
      <c r="G246" s="712">
        <v>0</v>
      </c>
      <c r="H246" s="712">
        <v>0</v>
      </c>
      <c r="I246" s="712">
        <v>0</v>
      </c>
      <c r="J246" s="712">
        <v>0</v>
      </c>
      <c r="K246" s="712">
        <v>0</v>
      </c>
      <c r="L246" s="712">
        <v>0</v>
      </c>
      <c r="M246" s="712">
        <v>0</v>
      </c>
      <c r="N246" s="712">
        <v>0</v>
      </c>
      <c r="O246" s="712">
        <v>0</v>
      </c>
      <c r="P246" s="712">
        <v>0</v>
      </c>
      <c r="Q246" s="712">
        <v>0</v>
      </c>
      <c r="R246" s="712">
        <v>0</v>
      </c>
      <c r="S246" s="712">
        <v>0</v>
      </c>
      <c r="T246" s="712">
        <v>0</v>
      </c>
      <c r="U246" s="712">
        <v>0</v>
      </c>
      <c r="V246" s="712">
        <v>0</v>
      </c>
      <c r="W246" s="712">
        <v>0</v>
      </c>
      <c r="X246" s="712">
        <v>0</v>
      </c>
      <c r="Y246" s="712">
        <v>0</v>
      </c>
      <c r="Z246" s="712">
        <v>0</v>
      </c>
      <c r="AA246" s="712">
        <v>0</v>
      </c>
      <c r="AB246" s="712">
        <v>0</v>
      </c>
      <c r="AC246" s="712">
        <v>0</v>
      </c>
      <c r="AD246" s="712">
        <v>0</v>
      </c>
      <c r="AE246" s="712">
        <v>0</v>
      </c>
      <c r="AF246" s="712">
        <v>0</v>
      </c>
      <c r="AG246" s="712">
        <v>0</v>
      </c>
      <c r="AH246" s="712">
        <v>0</v>
      </c>
      <c r="AI246" s="712">
        <v>0</v>
      </c>
      <c r="AJ246" s="712">
        <v>0</v>
      </c>
      <c r="AK246" s="712">
        <v>0</v>
      </c>
      <c r="AL246" s="712">
        <v>0</v>
      </c>
      <c r="AM246" s="712">
        <v>0</v>
      </c>
      <c r="AN246" s="712">
        <v>0</v>
      </c>
      <c r="AO246" s="712">
        <v>0</v>
      </c>
      <c r="AP246" s="712">
        <v>0</v>
      </c>
      <c r="AQ246" s="712">
        <v>0</v>
      </c>
      <c r="AR246" s="712">
        <v>0</v>
      </c>
      <c r="AS246" s="712">
        <v>0</v>
      </c>
      <c r="AT246">
        <v>0</v>
      </c>
      <c r="AU246" s="615"/>
      <c r="AV246" s="615"/>
      <c r="AW246" s="615"/>
      <c r="AX246" s="615"/>
      <c r="AY246" s="615"/>
      <c r="AZ246" s="615"/>
      <c r="BA246" s="615"/>
      <c r="BB246" s="615"/>
      <c r="BC246" s="615"/>
      <c r="BD246" s="615"/>
      <c r="BE246" s="615"/>
      <c r="BF246" s="615"/>
      <c r="BG246" s="615"/>
      <c r="BH246" s="615"/>
      <c r="BI246" s="615"/>
      <c r="BJ246" s="615"/>
      <c r="BK246" s="615"/>
      <c r="BL246" s="615"/>
      <c r="BM246" s="615"/>
      <c r="BN246" s="615"/>
      <c r="BO246" s="615"/>
      <c r="BP246" s="615"/>
      <c r="BQ246" s="615"/>
      <c r="BR246" s="615"/>
      <c r="BS246" s="615"/>
      <c r="BT246" s="615"/>
      <c r="BU246" s="615"/>
      <c r="BV246" s="615"/>
      <c r="BW246" s="615"/>
      <c r="BX246" s="607"/>
    </row>
    <row r="247" spans="1:76" s="612" customFormat="1" ht="25.5" x14ac:dyDescent="0.2">
      <c r="A247" s="839"/>
      <c r="B247" s="713" t="s">
        <v>2954</v>
      </c>
      <c r="C247" s="713" t="s">
        <v>1975</v>
      </c>
      <c r="D247" s="712">
        <v>0</v>
      </c>
      <c r="E247" s="712">
        <v>0</v>
      </c>
      <c r="F247" s="712">
        <v>0</v>
      </c>
      <c r="G247" s="712">
        <v>0</v>
      </c>
      <c r="H247" s="712">
        <v>0</v>
      </c>
      <c r="I247" s="712">
        <v>0</v>
      </c>
      <c r="J247" s="712">
        <v>0</v>
      </c>
      <c r="K247" s="712">
        <v>0</v>
      </c>
      <c r="L247" s="712">
        <v>0</v>
      </c>
      <c r="M247" s="712">
        <v>0</v>
      </c>
      <c r="N247" s="712">
        <v>0</v>
      </c>
      <c r="O247" s="712">
        <v>0</v>
      </c>
      <c r="P247" s="712">
        <v>0</v>
      </c>
      <c r="Q247" s="712">
        <v>0</v>
      </c>
      <c r="R247" s="712">
        <v>0</v>
      </c>
      <c r="S247" s="712">
        <v>0</v>
      </c>
      <c r="T247" s="712">
        <v>0</v>
      </c>
      <c r="U247" s="712">
        <v>0</v>
      </c>
      <c r="V247" s="712">
        <v>0</v>
      </c>
      <c r="W247" s="712">
        <v>0</v>
      </c>
      <c r="X247" s="712">
        <v>0</v>
      </c>
      <c r="Y247" s="712">
        <v>0</v>
      </c>
      <c r="Z247" s="712">
        <v>0</v>
      </c>
      <c r="AA247" s="712">
        <v>0</v>
      </c>
      <c r="AB247" s="712">
        <v>0</v>
      </c>
      <c r="AC247" s="712">
        <v>0</v>
      </c>
      <c r="AD247" s="712">
        <v>0</v>
      </c>
      <c r="AE247" s="712">
        <v>0</v>
      </c>
      <c r="AF247" s="712">
        <v>0</v>
      </c>
      <c r="AG247" s="712">
        <v>0</v>
      </c>
      <c r="AH247" s="712">
        <v>0</v>
      </c>
      <c r="AI247" s="712">
        <v>0</v>
      </c>
      <c r="AJ247" s="712">
        <v>0</v>
      </c>
      <c r="AK247" s="712">
        <v>0</v>
      </c>
      <c r="AL247" s="712">
        <v>0</v>
      </c>
      <c r="AM247" s="712">
        <v>0</v>
      </c>
      <c r="AN247" s="712">
        <v>0</v>
      </c>
      <c r="AO247" s="712">
        <v>0</v>
      </c>
      <c r="AP247" s="712">
        <v>0</v>
      </c>
      <c r="AQ247" s="712">
        <v>0</v>
      </c>
      <c r="AR247" s="712">
        <v>0</v>
      </c>
      <c r="AS247" s="712">
        <v>0</v>
      </c>
      <c r="AT247">
        <v>0</v>
      </c>
      <c r="AU247" s="615"/>
      <c r="AV247" s="615"/>
      <c r="AW247" s="615"/>
      <c r="AX247" s="615"/>
      <c r="AY247" s="615"/>
      <c r="AZ247" s="615"/>
      <c r="BA247" s="615"/>
      <c r="BB247" s="615"/>
      <c r="BC247" s="615"/>
      <c r="BD247" s="615"/>
      <c r="BE247" s="615"/>
      <c r="BF247" s="615"/>
      <c r="BG247" s="615"/>
      <c r="BH247" s="615"/>
      <c r="BI247" s="615"/>
      <c r="BJ247" s="615"/>
      <c r="BK247" s="615"/>
      <c r="BL247" s="615"/>
      <c r="BM247" s="615"/>
      <c r="BN247" s="615"/>
      <c r="BO247" s="615"/>
      <c r="BP247" s="615"/>
      <c r="BQ247" s="615"/>
      <c r="BR247" s="615"/>
      <c r="BS247" s="615"/>
      <c r="BT247" s="615"/>
      <c r="BU247" s="615"/>
      <c r="BV247" s="615"/>
      <c r="BW247" s="615"/>
      <c r="BX247" s="607"/>
    </row>
    <row r="248" spans="1:76" s="612" customFormat="1" ht="25.5" x14ac:dyDescent="0.2">
      <c r="A248" s="839"/>
      <c r="B248" s="713" t="s">
        <v>2242</v>
      </c>
      <c r="C248" s="713" t="s">
        <v>1953</v>
      </c>
      <c r="D248" s="712">
        <v>0</v>
      </c>
      <c r="E248" s="712">
        <v>0</v>
      </c>
      <c r="F248" s="712">
        <v>0</v>
      </c>
      <c r="G248" s="712">
        <v>0</v>
      </c>
      <c r="H248" s="712">
        <v>0</v>
      </c>
      <c r="I248" s="712">
        <v>0</v>
      </c>
      <c r="J248" s="712">
        <v>0</v>
      </c>
      <c r="K248" s="712">
        <v>0</v>
      </c>
      <c r="L248" s="712">
        <v>0</v>
      </c>
      <c r="M248" s="712">
        <v>0</v>
      </c>
      <c r="N248" s="712">
        <v>0</v>
      </c>
      <c r="O248" s="712">
        <v>0</v>
      </c>
      <c r="P248" s="712">
        <v>0</v>
      </c>
      <c r="Q248" s="712">
        <v>0</v>
      </c>
      <c r="R248" s="712">
        <v>0</v>
      </c>
      <c r="S248" s="712">
        <v>0</v>
      </c>
      <c r="T248" s="712">
        <v>0</v>
      </c>
      <c r="U248" s="712">
        <v>0</v>
      </c>
      <c r="V248" s="712">
        <v>0</v>
      </c>
      <c r="W248" s="712">
        <v>0</v>
      </c>
      <c r="X248" s="712">
        <v>0</v>
      </c>
      <c r="Y248" s="712">
        <v>0</v>
      </c>
      <c r="Z248" s="712">
        <v>0</v>
      </c>
      <c r="AA248" s="712">
        <v>0</v>
      </c>
      <c r="AB248" s="712">
        <v>0</v>
      </c>
      <c r="AC248" s="712">
        <v>0</v>
      </c>
      <c r="AD248" s="712">
        <v>0</v>
      </c>
      <c r="AE248" s="712">
        <v>0</v>
      </c>
      <c r="AF248" s="712">
        <v>0</v>
      </c>
      <c r="AG248" s="712">
        <v>0</v>
      </c>
      <c r="AH248" s="712">
        <v>0</v>
      </c>
      <c r="AI248" s="712">
        <v>0</v>
      </c>
      <c r="AJ248" s="712">
        <v>0</v>
      </c>
      <c r="AK248" s="712">
        <v>0</v>
      </c>
      <c r="AL248" s="712">
        <v>0</v>
      </c>
      <c r="AM248" s="712">
        <v>0</v>
      </c>
      <c r="AN248" s="712">
        <v>0</v>
      </c>
      <c r="AO248" s="712">
        <v>0</v>
      </c>
      <c r="AP248" s="712">
        <v>0</v>
      </c>
      <c r="AQ248" s="712">
        <v>0</v>
      </c>
      <c r="AR248" s="712">
        <v>0</v>
      </c>
      <c r="AS248" s="712">
        <v>0</v>
      </c>
      <c r="AT248">
        <v>0</v>
      </c>
      <c r="AU248" s="615"/>
      <c r="AV248" s="615"/>
      <c r="AW248" s="615"/>
      <c r="AX248" s="615"/>
      <c r="AY248" s="615"/>
      <c r="AZ248" s="615"/>
      <c r="BA248" s="615"/>
      <c r="BB248" s="615"/>
      <c r="BC248" s="615"/>
      <c r="BD248" s="615"/>
      <c r="BE248" s="615"/>
      <c r="BF248" s="615"/>
      <c r="BG248" s="615"/>
      <c r="BH248" s="615"/>
      <c r="BI248" s="615"/>
      <c r="BJ248" s="615"/>
      <c r="BK248" s="615"/>
      <c r="BL248" s="615"/>
      <c r="BM248" s="615"/>
      <c r="BN248" s="615"/>
      <c r="BO248" s="615"/>
      <c r="BP248" s="615"/>
      <c r="BQ248" s="615"/>
      <c r="BR248" s="615"/>
      <c r="BS248" s="615"/>
      <c r="BT248" s="615"/>
      <c r="BU248" s="615"/>
      <c r="BV248" s="615"/>
      <c r="BW248" s="615"/>
      <c r="BX248" s="607"/>
    </row>
    <row r="249" spans="1:76" s="612" customFormat="1" ht="25.5" x14ac:dyDescent="0.2">
      <c r="A249" s="839"/>
      <c r="B249" s="713" t="s">
        <v>2538</v>
      </c>
      <c r="C249" s="713" t="s">
        <v>2537</v>
      </c>
      <c r="D249" s="712">
        <v>0</v>
      </c>
      <c r="E249" s="712">
        <v>0</v>
      </c>
      <c r="F249" s="712">
        <v>0</v>
      </c>
      <c r="G249" s="712">
        <v>0</v>
      </c>
      <c r="H249" s="712">
        <v>0</v>
      </c>
      <c r="I249" s="712">
        <v>0</v>
      </c>
      <c r="J249" s="712">
        <v>0</v>
      </c>
      <c r="K249" s="712">
        <v>0</v>
      </c>
      <c r="L249" s="712">
        <v>0</v>
      </c>
      <c r="M249" s="712">
        <v>0</v>
      </c>
      <c r="N249" s="712">
        <v>0</v>
      </c>
      <c r="O249" s="712">
        <v>0</v>
      </c>
      <c r="P249" s="712">
        <v>0</v>
      </c>
      <c r="Q249" s="712">
        <v>0</v>
      </c>
      <c r="R249" s="712">
        <v>0</v>
      </c>
      <c r="S249" s="712">
        <v>0</v>
      </c>
      <c r="T249" s="712">
        <v>0</v>
      </c>
      <c r="U249" s="712">
        <v>0</v>
      </c>
      <c r="V249" s="712">
        <v>0</v>
      </c>
      <c r="W249" s="712">
        <v>0</v>
      </c>
      <c r="X249" s="712">
        <v>0</v>
      </c>
      <c r="Y249" s="712">
        <v>0</v>
      </c>
      <c r="Z249" s="712">
        <v>0</v>
      </c>
      <c r="AA249" s="712">
        <v>0</v>
      </c>
      <c r="AB249" s="712">
        <v>0</v>
      </c>
      <c r="AC249" s="712">
        <v>0</v>
      </c>
      <c r="AD249" s="712">
        <v>0</v>
      </c>
      <c r="AE249" s="712">
        <v>0</v>
      </c>
      <c r="AF249" s="712">
        <v>0</v>
      </c>
      <c r="AG249" s="712">
        <v>0</v>
      </c>
      <c r="AH249" s="712">
        <v>0</v>
      </c>
      <c r="AI249" s="712">
        <v>0</v>
      </c>
      <c r="AJ249" s="712">
        <v>0</v>
      </c>
      <c r="AK249" s="712">
        <v>0</v>
      </c>
      <c r="AL249" s="712">
        <v>0</v>
      </c>
      <c r="AM249" s="712">
        <v>0</v>
      </c>
      <c r="AN249" s="712">
        <v>0</v>
      </c>
      <c r="AO249" s="712">
        <v>0</v>
      </c>
      <c r="AP249" s="712">
        <v>0</v>
      </c>
      <c r="AQ249" s="712">
        <v>0</v>
      </c>
      <c r="AR249" s="712">
        <v>0</v>
      </c>
      <c r="AS249" s="712">
        <v>0</v>
      </c>
      <c r="AT249">
        <v>0</v>
      </c>
      <c r="AU249" s="615"/>
      <c r="AV249" s="615"/>
      <c r="AW249" s="615"/>
      <c r="AX249" s="615"/>
      <c r="AY249" s="615"/>
      <c r="AZ249" s="615"/>
      <c r="BA249" s="615"/>
      <c r="BB249" s="615"/>
      <c r="BC249" s="615"/>
      <c r="BD249" s="615"/>
      <c r="BE249" s="615"/>
      <c r="BF249" s="615"/>
      <c r="BG249" s="615"/>
      <c r="BH249" s="615"/>
      <c r="BI249" s="615"/>
      <c r="BJ249" s="615"/>
      <c r="BK249" s="615"/>
      <c r="BL249" s="615"/>
      <c r="BM249" s="615"/>
      <c r="BN249" s="615"/>
      <c r="BO249" s="615"/>
      <c r="BP249" s="615"/>
      <c r="BQ249" s="615"/>
      <c r="BR249" s="615"/>
      <c r="BS249" s="615"/>
      <c r="BT249" s="615"/>
      <c r="BU249" s="615"/>
      <c r="BV249" s="615"/>
      <c r="BW249" s="615"/>
      <c r="BX249" s="607"/>
    </row>
    <row r="250" spans="1:76" s="612" customFormat="1" ht="25.5" x14ac:dyDescent="0.2">
      <c r="A250" s="839"/>
      <c r="B250" s="713" t="s">
        <v>1658</v>
      </c>
      <c r="C250" s="713" t="s">
        <v>1940</v>
      </c>
      <c r="D250" s="712">
        <v>0</v>
      </c>
      <c r="E250" s="712">
        <v>0</v>
      </c>
      <c r="F250" s="712">
        <v>0</v>
      </c>
      <c r="G250" s="712">
        <v>0</v>
      </c>
      <c r="H250" s="712">
        <v>0</v>
      </c>
      <c r="I250" s="712">
        <v>0</v>
      </c>
      <c r="J250" s="712">
        <v>0</v>
      </c>
      <c r="K250" s="712">
        <v>0</v>
      </c>
      <c r="L250" s="712">
        <v>0</v>
      </c>
      <c r="M250" s="712">
        <v>0</v>
      </c>
      <c r="N250" s="712">
        <v>0</v>
      </c>
      <c r="O250" s="712">
        <v>0</v>
      </c>
      <c r="P250" s="712">
        <v>1305528</v>
      </c>
      <c r="Q250" s="712">
        <v>0</v>
      </c>
      <c r="R250" s="712">
        <v>0</v>
      </c>
      <c r="S250" s="712">
        <v>0</v>
      </c>
      <c r="T250" s="712">
        <v>0</v>
      </c>
      <c r="U250" s="712">
        <v>0</v>
      </c>
      <c r="V250" s="712">
        <v>0</v>
      </c>
      <c r="W250" s="712">
        <v>0</v>
      </c>
      <c r="X250" s="712">
        <v>0</v>
      </c>
      <c r="Y250" s="712">
        <v>0</v>
      </c>
      <c r="Z250" s="712">
        <v>0</v>
      </c>
      <c r="AA250" s="712">
        <v>0</v>
      </c>
      <c r="AB250" s="712">
        <v>0</v>
      </c>
      <c r="AC250" s="712">
        <v>0</v>
      </c>
      <c r="AD250" s="712">
        <v>0</v>
      </c>
      <c r="AE250" s="712">
        <v>0</v>
      </c>
      <c r="AF250" s="712">
        <v>0</v>
      </c>
      <c r="AG250" s="712">
        <v>0</v>
      </c>
      <c r="AH250" s="712">
        <v>0</v>
      </c>
      <c r="AI250" s="712">
        <v>0</v>
      </c>
      <c r="AJ250" s="712">
        <v>0</v>
      </c>
      <c r="AK250" s="712">
        <v>0</v>
      </c>
      <c r="AL250" s="712">
        <v>0</v>
      </c>
      <c r="AM250" s="712">
        <v>0</v>
      </c>
      <c r="AN250" s="712">
        <v>0</v>
      </c>
      <c r="AO250" s="712">
        <v>0</v>
      </c>
      <c r="AP250" s="712">
        <v>0</v>
      </c>
      <c r="AQ250" s="712">
        <v>0</v>
      </c>
      <c r="AR250" s="712">
        <v>0</v>
      </c>
      <c r="AS250" s="712">
        <v>0</v>
      </c>
      <c r="AT250">
        <v>1305528</v>
      </c>
      <c r="AU250" s="615"/>
      <c r="AV250" s="615"/>
      <c r="AW250" s="615"/>
      <c r="AX250" s="615"/>
      <c r="AY250" s="615"/>
      <c r="AZ250" s="615"/>
      <c r="BA250" s="615"/>
      <c r="BB250" s="615"/>
      <c r="BC250" s="615"/>
      <c r="BD250" s="615"/>
      <c r="BE250" s="615"/>
      <c r="BF250" s="615"/>
      <c r="BG250" s="615"/>
      <c r="BH250" s="615"/>
      <c r="BI250" s="615"/>
      <c r="BJ250" s="615"/>
      <c r="BK250" s="615"/>
      <c r="BL250" s="615"/>
      <c r="BM250" s="615"/>
      <c r="BN250" s="615"/>
      <c r="BO250" s="615"/>
      <c r="BP250" s="615"/>
      <c r="BQ250" s="615"/>
      <c r="BR250" s="615"/>
      <c r="BS250" s="615"/>
      <c r="BT250" s="615"/>
      <c r="BU250" s="615"/>
      <c r="BV250" s="615"/>
      <c r="BW250" s="615"/>
      <c r="BX250" s="607"/>
    </row>
    <row r="251" spans="1:76" s="612" customFormat="1" ht="25.5" x14ac:dyDescent="0.2">
      <c r="A251" s="839"/>
      <c r="B251" s="713" t="s">
        <v>1649</v>
      </c>
      <c r="C251" s="713" t="s">
        <v>1907</v>
      </c>
      <c r="D251" s="712">
        <v>0</v>
      </c>
      <c r="E251" s="712">
        <v>0</v>
      </c>
      <c r="F251" s="712">
        <v>0</v>
      </c>
      <c r="G251" s="712">
        <v>0</v>
      </c>
      <c r="H251" s="712">
        <v>0</v>
      </c>
      <c r="I251" s="712">
        <v>0</v>
      </c>
      <c r="J251" s="712">
        <v>0</v>
      </c>
      <c r="K251" s="712">
        <v>0</v>
      </c>
      <c r="L251" s="712">
        <v>0</v>
      </c>
      <c r="M251" s="712">
        <v>0</v>
      </c>
      <c r="N251" s="712">
        <v>0</v>
      </c>
      <c r="O251" s="712">
        <v>0</v>
      </c>
      <c r="P251" s="712">
        <v>0</v>
      </c>
      <c r="Q251" s="712">
        <v>0</v>
      </c>
      <c r="R251" s="712">
        <v>0</v>
      </c>
      <c r="S251" s="712">
        <v>0</v>
      </c>
      <c r="T251" s="712">
        <v>0</v>
      </c>
      <c r="U251" s="712">
        <v>0</v>
      </c>
      <c r="V251" s="712">
        <v>0</v>
      </c>
      <c r="W251" s="712">
        <v>0</v>
      </c>
      <c r="X251" s="712">
        <v>0</v>
      </c>
      <c r="Y251" s="712">
        <v>0</v>
      </c>
      <c r="Z251" s="712">
        <v>0</v>
      </c>
      <c r="AA251" s="712">
        <v>0</v>
      </c>
      <c r="AB251" s="712">
        <v>0</v>
      </c>
      <c r="AC251" s="712">
        <v>0</v>
      </c>
      <c r="AD251" s="712">
        <v>0</v>
      </c>
      <c r="AE251" s="712">
        <v>0</v>
      </c>
      <c r="AF251" s="712">
        <v>0</v>
      </c>
      <c r="AG251" s="712">
        <v>0</v>
      </c>
      <c r="AH251" s="712">
        <v>0</v>
      </c>
      <c r="AI251" s="712">
        <v>0</v>
      </c>
      <c r="AJ251" s="712">
        <v>0</v>
      </c>
      <c r="AK251" s="712">
        <v>0</v>
      </c>
      <c r="AL251" s="712">
        <v>0</v>
      </c>
      <c r="AM251" s="712">
        <v>0</v>
      </c>
      <c r="AN251" s="712">
        <v>0</v>
      </c>
      <c r="AO251" s="712">
        <v>0</v>
      </c>
      <c r="AP251" s="712">
        <v>0</v>
      </c>
      <c r="AQ251" s="712">
        <v>0</v>
      </c>
      <c r="AR251" s="712">
        <v>0</v>
      </c>
      <c r="AS251" s="712">
        <v>0</v>
      </c>
      <c r="AT251">
        <v>0</v>
      </c>
      <c r="AU251" s="615"/>
      <c r="AV251" s="615"/>
      <c r="AW251" s="615"/>
      <c r="AX251" s="615"/>
      <c r="AY251" s="615"/>
      <c r="AZ251" s="615"/>
      <c r="BA251" s="615"/>
      <c r="BB251" s="615"/>
      <c r="BC251" s="615"/>
      <c r="BD251" s="615"/>
      <c r="BE251" s="615"/>
      <c r="BF251" s="615"/>
      <c r="BG251" s="615"/>
      <c r="BH251" s="615"/>
      <c r="BI251" s="615"/>
      <c r="BJ251" s="615"/>
      <c r="BK251" s="615"/>
      <c r="BL251" s="615"/>
      <c r="BM251" s="615"/>
      <c r="BN251" s="615"/>
      <c r="BO251" s="615"/>
      <c r="BP251" s="615"/>
      <c r="BQ251" s="615"/>
      <c r="BR251" s="615"/>
      <c r="BS251" s="615"/>
      <c r="BT251" s="615"/>
      <c r="BU251" s="615"/>
      <c r="BV251" s="615"/>
      <c r="BW251" s="615"/>
      <c r="BX251" s="607"/>
    </row>
    <row r="252" spans="1:76" s="612" customFormat="1" ht="25.5" x14ac:dyDescent="0.2">
      <c r="A252" s="839"/>
      <c r="B252" s="713" t="s">
        <v>2540</v>
      </c>
      <c r="C252" s="713" t="s">
        <v>2539</v>
      </c>
      <c r="D252" s="712">
        <v>0</v>
      </c>
      <c r="E252" s="712">
        <v>0</v>
      </c>
      <c r="F252" s="712">
        <v>0</v>
      </c>
      <c r="G252" s="712">
        <v>0</v>
      </c>
      <c r="H252" s="712">
        <v>0</v>
      </c>
      <c r="I252" s="712">
        <v>0</v>
      </c>
      <c r="J252" s="712">
        <v>0</v>
      </c>
      <c r="K252" s="712">
        <v>0</v>
      </c>
      <c r="L252" s="712">
        <v>0</v>
      </c>
      <c r="M252" s="712">
        <v>0</v>
      </c>
      <c r="N252" s="712">
        <v>0</v>
      </c>
      <c r="O252" s="712">
        <v>0</v>
      </c>
      <c r="P252" s="712">
        <v>0</v>
      </c>
      <c r="Q252" s="712">
        <v>0</v>
      </c>
      <c r="R252" s="712">
        <v>0</v>
      </c>
      <c r="S252" s="712">
        <v>0</v>
      </c>
      <c r="T252" s="712">
        <v>0</v>
      </c>
      <c r="U252" s="712">
        <v>0</v>
      </c>
      <c r="V252" s="712">
        <v>0</v>
      </c>
      <c r="W252" s="712">
        <v>0</v>
      </c>
      <c r="X252" s="712">
        <v>0</v>
      </c>
      <c r="Y252" s="712">
        <v>0</v>
      </c>
      <c r="Z252" s="712">
        <v>0</v>
      </c>
      <c r="AA252" s="712">
        <v>0</v>
      </c>
      <c r="AB252" s="712">
        <v>0</v>
      </c>
      <c r="AC252" s="712">
        <v>0</v>
      </c>
      <c r="AD252" s="712">
        <v>0</v>
      </c>
      <c r="AE252" s="712">
        <v>0</v>
      </c>
      <c r="AF252" s="712">
        <v>0</v>
      </c>
      <c r="AG252" s="712">
        <v>0</v>
      </c>
      <c r="AH252" s="712">
        <v>0</v>
      </c>
      <c r="AI252" s="712">
        <v>0</v>
      </c>
      <c r="AJ252" s="712">
        <v>0</v>
      </c>
      <c r="AK252" s="712">
        <v>0</v>
      </c>
      <c r="AL252" s="712">
        <v>0</v>
      </c>
      <c r="AM252" s="712">
        <v>0</v>
      </c>
      <c r="AN252" s="712">
        <v>0</v>
      </c>
      <c r="AO252" s="712">
        <v>0</v>
      </c>
      <c r="AP252" s="712">
        <v>0</v>
      </c>
      <c r="AQ252" s="712">
        <v>0</v>
      </c>
      <c r="AR252" s="712">
        <v>0</v>
      </c>
      <c r="AS252" s="712">
        <v>0</v>
      </c>
      <c r="AT252">
        <v>0</v>
      </c>
      <c r="AU252" s="615"/>
      <c r="AV252" s="615"/>
      <c r="AW252" s="615"/>
      <c r="AX252" s="615"/>
      <c r="AY252" s="615"/>
      <c r="AZ252" s="615"/>
      <c r="BA252" s="615"/>
      <c r="BB252" s="615"/>
      <c r="BC252" s="615"/>
      <c r="BD252" s="615"/>
      <c r="BE252" s="615"/>
      <c r="BF252" s="615"/>
      <c r="BG252" s="615"/>
      <c r="BH252" s="615"/>
      <c r="BI252" s="615"/>
      <c r="BJ252" s="615"/>
      <c r="BK252" s="615"/>
      <c r="BL252" s="615"/>
      <c r="BM252" s="615"/>
      <c r="BN252" s="615"/>
      <c r="BO252" s="615"/>
      <c r="BP252" s="615"/>
      <c r="BQ252" s="615"/>
      <c r="BR252" s="615"/>
      <c r="BS252" s="615"/>
      <c r="BT252" s="615"/>
      <c r="BU252" s="615"/>
      <c r="BV252" s="615"/>
      <c r="BW252" s="615"/>
      <c r="BX252" s="607"/>
    </row>
    <row r="253" spans="1:76" s="612" customFormat="1" ht="25.5" x14ac:dyDescent="0.2">
      <c r="A253" s="839"/>
      <c r="B253" s="713" t="s">
        <v>4280</v>
      </c>
      <c r="C253" s="713" t="s">
        <v>1981</v>
      </c>
      <c r="D253" s="712">
        <v>0</v>
      </c>
      <c r="E253" s="712">
        <v>0</v>
      </c>
      <c r="F253" s="712">
        <v>0</v>
      </c>
      <c r="G253" s="712">
        <v>0</v>
      </c>
      <c r="H253" s="712">
        <v>0</v>
      </c>
      <c r="I253" s="712">
        <v>0</v>
      </c>
      <c r="J253" s="712">
        <v>0</v>
      </c>
      <c r="K253" s="712">
        <v>0</v>
      </c>
      <c r="L253" s="712">
        <v>0</v>
      </c>
      <c r="M253" s="712">
        <v>0</v>
      </c>
      <c r="N253" s="712">
        <v>0</v>
      </c>
      <c r="O253" s="712">
        <v>0</v>
      </c>
      <c r="P253" s="712">
        <v>0</v>
      </c>
      <c r="Q253" s="712">
        <v>0</v>
      </c>
      <c r="R253" s="712">
        <v>224071610</v>
      </c>
      <c r="S253" s="712">
        <v>0</v>
      </c>
      <c r="T253" s="712">
        <v>0</v>
      </c>
      <c r="U253" s="712">
        <v>0</v>
      </c>
      <c r="V253" s="712">
        <v>0</v>
      </c>
      <c r="W253" s="712">
        <v>0</v>
      </c>
      <c r="X253" s="712">
        <v>0</v>
      </c>
      <c r="Y253" s="712">
        <v>0</v>
      </c>
      <c r="Z253" s="712">
        <v>0</v>
      </c>
      <c r="AA253" s="712">
        <v>0</v>
      </c>
      <c r="AB253" s="712">
        <v>0</v>
      </c>
      <c r="AC253" s="712">
        <v>0</v>
      </c>
      <c r="AD253" s="712">
        <v>0</v>
      </c>
      <c r="AE253" s="712">
        <v>0</v>
      </c>
      <c r="AF253" s="712">
        <v>0</v>
      </c>
      <c r="AG253" s="712">
        <v>0</v>
      </c>
      <c r="AH253" s="712">
        <v>0</v>
      </c>
      <c r="AI253" s="712">
        <v>0</v>
      </c>
      <c r="AJ253" s="712">
        <v>0</v>
      </c>
      <c r="AK253" s="712">
        <v>0</v>
      </c>
      <c r="AL253" s="712">
        <v>0</v>
      </c>
      <c r="AM253" s="712">
        <v>0</v>
      </c>
      <c r="AN253" s="712">
        <v>0</v>
      </c>
      <c r="AO253" s="712">
        <v>0</v>
      </c>
      <c r="AP253" s="712">
        <v>0</v>
      </c>
      <c r="AQ253" s="712">
        <v>0</v>
      </c>
      <c r="AR253" s="712">
        <v>0</v>
      </c>
      <c r="AS253" s="712">
        <v>0</v>
      </c>
      <c r="AT253">
        <v>224071610</v>
      </c>
      <c r="AU253" s="615"/>
      <c r="AV253" s="615"/>
      <c r="AW253" s="615"/>
      <c r="AX253" s="615"/>
      <c r="AY253" s="615"/>
      <c r="AZ253" s="615"/>
      <c r="BA253" s="615"/>
      <c r="BB253" s="615"/>
      <c r="BC253" s="615"/>
      <c r="BD253" s="615"/>
      <c r="BE253" s="615"/>
      <c r="BF253" s="615"/>
      <c r="BG253" s="615"/>
      <c r="BH253" s="615"/>
      <c r="BI253" s="615"/>
      <c r="BJ253" s="615"/>
      <c r="BK253" s="615"/>
      <c r="BL253" s="615"/>
      <c r="BM253" s="615"/>
      <c r="BN253" s="615"/>
      <c r="BO253" s="615"/>
      <c r="BP253" s="615"/>
      <c r="BQ253" s="615"/>
      <c r="BR253" s="615"/>
      <c r="BS253" s="615"/>
      <c r="BT253" s="615"/>
      <c r="BU253" s="615"/>
      <c r="BV253" s="615"/>
      <c r="BW253" s="615"/>
      <c r="BX253" s="607"/>
    </row>
    <row r="254" spans="1:76" s="612" customFormat="1" ht="12.75" x14ac:dyDescent="0.2">
      <c r="A254" s="839"/>
      <c r="B254" s="713" t="s">
        <v>1003</v>
      </c>
      <c r="C254" s="713" t="s">
        <v>1916</v>
      </c>
      <c r="D254" s="712">
        <v>0</v>
      </c>
      <c r="E254" s="712">
        <v>0</v>
      </c>
      <c r="F254" s="712">
        <v>0</v>
      </c>
      <c r="G254" s="712">
        <v>0</v>
      </c>
      <c r="H254" s="712">
        <v>0</v>
      </c>
      <c r="I254" s="712">
        <v>0</v>
      </c>
      <c r="J254" s="712">
        <v>0</v>
      </c>
      <c r="K254" s="712">
        <v>0</v>
      </c>
      <c r="L254" s="712">
        <v>0</v>
      </c>
      <c r="M254" s="712">
        <v>0</v>
      </c>
      <c r="N254" s="712">
        <v>0</v>
      </c>
      <c r="O254" s="712">
        <v>0</v>
      </c>
      <c r="P254" s="712">
        <v>0</v>
      </c>
      <c r="Q254" s="712">
        <v>0</v>
      </c>
      <c r="R254" s="712">
        <v>0</v>
      </c>
      <c r="S254" s="712">
        <v>0</v>
      </c>
      <c r="T254" s="712">
        <v>0</v>
      </c>
      <c r="U254" s="712">
        <v>0</v>
      </c>
      <c r="V254" s="712">
        <v>0</v>
      </c>
      <c r="W254" s="712">
        <v>0</v>
      </c>
      <c r="X254" s="712">
        <v>0</v>
      </c>
      <c r="Y254" s="712">
        <v>0</v>
      </c>
      <c r="Z254" s="712">
        <v>0</v>
      </c>
      <c r="AA254" s="712">
        <v>0</v>
      </c>
      <c r="AB254" s="712">
        <v>0</v>
      </c>
      <c r="AC254" s="712">
        <v>0</v>
      </c>
      <c r="AD254" s="712">
        <v>0</v>
      </c>
      <c r="AE254" s="712">
        <v>0</v>
      </c>
      <c r="AF254" s="712">
        <v>0</v>
      </c>
      <c r="AG254" s="712">
        <v>0</v>
      </c>
      <c r="AH254" s="712">
        <v>0</v>
      </c>
      <c r="AI254" s="712">
        <v>0</v>
      </c>
      <c r="AJ254" s="712">
        <v>0</v>
      </c>
      <c r="AK254" s="712">
        <v>0</v>
      </c>
      <c r="AL254" s="712">
        <v>0</v>
      </c>
      <c r="AM254" s="712">
        <v>0</v>
      </c>
      <c r="AN254" s="712">
        <v>0</v>
      </c>
      <c r="AO254" s="712">
        <v>0</v>
      </c>
      <c r="AP254" s="712">
        <v>0</v>
      </c>
      <c r="AQ254" s="712">
        <v>0</v>
      </c>
      <c r="AR254" s="712">
        <v>0</v>
      </c>
      <c r="AS254" s="712">
        <v>0</v>
      </c>
      <c r="AT254">
        <v>0</v>
      </c>
      <c r="AU254" s="615"/>
      <c r="AV254" s="615"/>
      <c r="AW254" s="615"/>
      <c r="AX254" s="615"/>
      <c r="AY254" s="615"/>
      <c r="AZ254" s="615"/>
      <c r="BA254" s="615"/>
      <c r="BB254" s="615"/>
      <c r="BC254" s="615"/>
      <c r="BD254" s="615"/>
      <c r="BE254" s="615"/>
      <c r="BF254" s="615"/>
      <c r="BG254" s="615"/>
      <c r="BH254" s="615"/>
      <c r="BI254" s="615"/>
      <c r="BJ254" s="615"/>
      <c r="BK254" s="615"/>
      <c r="BL254" s="615"/>
      <c r="BM254" s="615"/>
      <c r="BN254" s="615"/>
      <c r="BO254" s="615"/>
      <c r="BP254" s="615"/>
      <c r="BQ254" s="615"/>
      <c r="BR254" s="615"/>
      <c r="BS254" s="615"/>
      <c r="BT254" s="615"/>
      <c r="BU254" s="615"/>
      <c r="BV254" s="615"/>
      <c r="BW254" s="615"/>
      <c r="BX254" s="607"/>
    </row>
    <row r="255" spans="1:76" s="612" customFormat="1" ht="25.5" x14ac:dyDescent="0.2">
      <c r="A255" s="838" t="s">
        <v>4462</v>
      </c>
      <c r="B255" s="713" t="s">
        <v>3502</v>
      </c>
      <c r="C255" s="713" t="s">
        <v>4362</v>
      </c>
      <c r="D255" s="712">
        <v>0</v>
      </c>
      <c r="E255" s="712">
        <v>0</v>
      </c>
      <c r="F255" s="712">
        <v>0</v>
      </c>
      <c r="G255" s="712">
        <v>0</v>
      </c>
      <c r="H255" s="712">
        <v>0</v>
      </c>
      <c r="I255" s="712">
        <v>0</v>
      </c>
      <c r="J255" s="712">
        <v>0</v>
      </c>
      <c r="K255" s="712">
        <v>0</v>
      </c>
      <c r="L255" s="712">
        <v>0</v>
      </c>
      <c r="M255" s="712">
        <v>0</v>
      </c>
      <c r="N255" s="712">
        <v>0</v>
      </c>
      <c r="O255" s="712">
        <v>0</v>
      </c>
      <c r="P255" s="712">
        <v>0</v>
      </c>
      <c r="Q255" s="712">
        <v>0</v>
      </c>
      <c r="R255" s="712">
        <v>0</v>
      </c>
      <c r="S255" s="712">
        <v>6052895</v>
      </c>
      <c r="T255" s="712">
        <v>6052913</v>
      </c>
      <c r="U255" s="712">
        <v>6052913</v>
      </c>
      <c r="V255" s="712">
        <v>6052913</v>
      </c>
      <c r="W255" s="712">
        <v>6052913</v>
      </c>
      <c r="X255" s="712">
        <v>6052913</v>
      </c>
      <c r="Y255" s="712">
        <v>6052913</v>
      </c>
      <c r="Z255" s="712">
        <v>6052913</v>
      </c>
      <c r="AA255" s="712">
        <v>6052913</v>
      </c>
      <c r="AB255" s="712">
        <v>6052913</v>
      </c>
      <c r="AC255" s="712">
        <v>6052913</v>
      </c>
      <c r="AD255" s="712">
        <v>6052913</v>
      </c>
      <c r="AE255" s="712">
        <v>6052913</v>
      </c>
      <c r="AF255" s="712">
        <v>6052913</v>
      </c>
      <c r="AG255" s="712">
        <v>6052913</v>
      </c>
      <c r="AH255" s="712">
        <v>6052913</v>
      </c>
      <c r="AI255" s="712">
        <v>6052913</v>
      </c>
      <c r="AJ255" s="712">
        <v>6052913</v>
      </c>
      <c r="AK255" s="712">
        <v>6052913</v>
      </c>
      <c r="AL255" s="712">
        <v>6052913</v>
      </c>
      <c r="AM255" s="712">
        <v>6052913</v>
      </c>
      <c r="AN255" s="712">
        <v>6052913</v>
      </c>
      <c r="AO255" s="712">
        <v>6052913</v>
      </c>
      <c r="AP255" s="712">
        <v>6052913</v>
      </c>
      <c r="AQ255" s="712">
        <v>6052932</v>
      </c>
      <c r="AR255" s="712">
        <v>407279250</v>
      </c>
      <c r="AS255" s="712">
        <v>0</v>
      </c>
      <c r="AT255">
        <v>558602076</v>
      </c>
      <c r="AU255" s="615"/>
      <c r="AV255" s="615"/>
      <c r="AW255" s="615"/>
      <c r="AX255" s="615"/>
      <c r="AY255" s="615"/>
      <c r="AZ255" s="615"/>
      <c r="BA255" s="615"/>
      <c r="BB255" s="615"/>
      <c r="BC255" s="615"/>
      <c r="BD255" s="615"/>
      <c r="BE255" s="615"/>
      <c r="BF255" s="615"/>
      <c r="BG255" s="615"/>
      <c r="BH255" s="615"/>
      <c r="BI255" s="615"/>
      <c r="BJ255" s="615"/>
      <c r="BK255" s="615"/>
      <c r="BL255" s="615"/>
      <c r="BM255" s="615"/>
      <c r="BN255" s="615"/>
      <c r="BO255" s="615"/>
      <c r="BP255" s="615"/>
      <c r="BQ255" s="615"/>
      <c r="BR255" s="615"/>
      <c r="BS255" s="615"/>
      <c r="BT255" s="615"/>
      <c r="BU255" s="615"/>
      <c r="BV255" s="615"/>
      <c r="BW255" s="615"/>
      <c r="BX255" s="607"/>
    </row>
    <row r="256" spans="1:76" s="612" customFormat="1" ht="25.5" x14ac:dyDescent="0.2">
      <c r="A256" s="839"/>
      <c r="B256" s="713" t="s">
        <v>3344</v>
      </c>
      <c r="C256" s="713" t="s">
        <v>3343</v>
      </c>
      <c r="D256" s="712">
        <v>0</v>
      </c>
      <c r="E256" s="712">
        <v>0</v>
      </c>
      <c r="F256" s="712">
        <v>0</v>
      </c>
      <c r="G256" s="712">
        <v>0</v>
      </c>
      <c r="H256" s="712">
        <v>0</v>
      </c>
      <c r="I256" s="712">
        <v>0</v>
      </c>
      <c r="J256" s="712">
        <v>0</v>
      </c>
      <c r="K256" s="712">
        <v>0</v>
      </c>
      <c r="L256" s="712">
        <v>0</v>
      </c>
      <c r="M256" s="712">
        <v>0</v>
      </c>
      <c r="N256" s="712">
        <v>0</v>
      </c>
      <c r="O256" s="712">
        <v>0</v>
      </c>
      <c r="P256" s="712">
        <v>0</v>
      </c>
      <c r="Q256" s="712">
        <v>0</v>
      </c>
      <c r="R256" s="712">
        <v>0</v>
      </c>
      <c r="S256" s="712">
        <v>0</v>
      </c>
      <c r="T256" s="712">
        <v>4045581</v>
      </c>
      <c r="U256" s="712">
        <v>4045583</v>
      </c>
      <c r="V256" s="712">
        <v>4045583</v>
      </c>
      <c r="W256" s="712">
        <v>4045583</v>
      </c>
      <c r="X256" s="712">
        <v>4045583</v>
      </c>
      <c r="Y256" s="712">
        <v>4045583</v>
      </c>
      <c r="Z256" s="712">
        <v>4045583</v>
      </c>
      <c r="AA256" s="712">
        <v>4045583</v>
      </c>
      <c r="AB256" s="712">
        <v>4045583</v>
      </c>
      <c r="AC256" s="712">
        <v>4045583</v>
      </c>
      <c r="AD256" s="712">
        <v>4045583</v>
      </c>
      <c r="AE256" s="712">
        <v>4045583</v>
      </c>
      <c r="AF256" s="712">
        <v>4045583</v>
      </c>
      <c r="AG256" s="712">
        <v>4045583</v>
      </c>
      <c r="AH256" s="712">
        <v>4045583</v>
      </c>
      <c r="AI256" s="712">
        <v>4045583</v>
      </c>
      <c r="AJ256" s="712">
        <v>4045583</v>
      </c>
      <c r="AK256" s="712">
        <v>4045583</v>
      </c>
      <c r="AL256" s="712">
        <v>4045583</v>
      </c>
      <c r="AM256" s="712">
        <v>4045583</v>
      </c>
      <c r="AN256" s="712">
        <v>4045583</v>
      </c>
      <c r="AO256" s="712">
        <v>4045583</v>
      </c>
      <c r="AP256" s="712">
        <v>4045583</v>
      </c>
      <c r="AQ256" s="712">
        <v>4045593</v>
      </c>
      <c r="AR256" s="712">
        <v>294857500</v>
      </c>
      <c r="AS256" s="712">
        <v>0</v>
      </c>
      <c r="AT256">
        <v>391951500</v>
      </c>
      <c r="AU256" s="613"/>
      <c r="AV256" s="613"/>
      <c r="AW256" s="613"/>
      <c r="AX256" s="613"/>
      <c r="AY256" s="613"/>
      <c r="AZ256" s="613"/>
      <c r="BA256" s="613"/>
      <c r="BB256" s="613"/>
      <c r="BC256" s="613"/>
      <c r="BD256" s="613"/>
      <c r="BE256" s="613"/>
      <c r="BF256" s="613"/>
      <c r="BG256" s="613"/>
      <c r="BH256" s="613"/>
      <c r="BI256" s="613"/>
      <c r="BJ256" s="613"/>
      <c r="BK256" s="613"/>
      <c r="BL256" s="613"/>
      <c r="BM256" s="613"/>
      <c r="BN256" s="613"/>
      <c r="BO256" s="613"/>
      <c r="BP256" s="613"/>
      <c r="BQ256" s="613"/>
      <c r="BR256" s="613"/>
      <c r="BS256" s="613"/>
      <c r="BT256" s="613"/>
      <c r="BU256" s="613"/>
      <c r="BV256" s="613"/>
      <c r="BW256" s="613"/>
      <c r="BX256" s="616"/>
    </row>
    <row r="257" spans="1:76" s="612" customFormat="1" ht="25.5" x14ac:dyDescent="0.2">
      <c r="A257" s="839"/>
      <c r="B257" s="713" t="s">
        <v>4367</v>
      </c>
      <c r="C257" s="713" t="s">
        <v>3501</v>
      </c>
      <c r="D257" s="712">
        <v>0</v>
      </c>
      <c r="E257" s="712">
        <v>0</v>
      </c>
      <c r="F257" s="712">
        <v>0</v>
      </c>
      <c r="G257" s="712">
        <v>0</v>
      </c>
      <c r="H257" s="712">
        <v>0</v>
      </c>
      <c r="I257" s="712">
        <v>0</v>
      </c>
      <c r="J257" s="712">
        <v>0</v>
      </c>
      <c r="K257" s="712">
        <v>0</v>
      </c>
      <c r="L257" s="712">
        <v>0</v>
      </c>
      <c r="M257" s="712">
        <v>0</v>
      </c>
      <c r="N257" s="712">
        <v>0</v>
      </c>
      <c r="O257" s="712">
        <v>0</v>
      </c>
      <c r="P257" s="712">
        <v>0</v>
      </c>
      <c r="Q257" s="712">
        <v>0</v>
      </c>
      <c r="R257" s="712">
        <v>0</v>
      </c>
      <c r="S257" s="712">
        <v>6636673</v>
      </c>
      <c r="T257" s="712">
        <v>6636673</v>
      </c>
      <c r="U257" s="712">
        <v>6636673</v>
      </c>
      <c r="V257" s="712">
        <v>6636673</v>
      </c>
      <c r="W257" s="712">
        <v>6636673</v>
      </c>
      <c r="X257" s="712">
        <v>6636673</v>
      </c>
      <c r="Y257" s="712">
        <v>6636673</v>
      </c>
      <c r="Z257" s="712">
        <v>6636673</v>
      </c>
      <c r="AA257" s="712">
        <v>6636673</v>
      </c>
      <c r="AB257" s="712">
        <v>6636673</v>
      </c>
      <c r="AC257" s="712">
        <v>6636673</v>
      </c>
      <c r="AD257" s="712">
        <v>6636673</v>
      </c>
      <c r="AE257" s="712">
        <v>6636673</v>
      </c>
      <c r="AF257" s="712">
        <v>6636673</v>
      </c>
      <c r="AG257" s="712">
        <v>6636673</v>
      </c>
      <c r="AH257" s="712">
        <v>6636673</v>
      </c>
      <c r="AI257" s="712">
        <v>6636673</v>
      </c>
      <c r="AJ257" s="712">
        <v>6636673</v>
      </c>
      <c r="AK257" s="712">
        <v>6636673</v>
      </c>
      <c r="AL257" s="712">
        <v>6636673</v>
      </c>
      <c r="AM257" s="712">
        <v>6636673</v>
      </c>
      <c r="AN257" s="712">
        <v>6636673</v>
      </c>
      <c r="AO257" s="712">
        <v>6636673</v>
      </c>
      <c r="AP257" s="712">
        <v>6636673</v>
      </c>
      <c r="AQ257" s="712">
        <v>6636673</v>
      </c>
      <c r="AR257" s="712">
        <v>6636675</v>
      </c>
      <c r="AS257" s="712">
        <v>414291500</v>
      </c>
      <c r="AT257">
        <v>586845000</v>
      </c>
      <c r="AU257" s="615"/>
      <c r="AV257" s="615"/>
      <c r="AW257" s="615"/>
      <c r="AX257" s="615"/>
      <c r="AY257" s="615"/>
      <c r="AZ257" s="615"/>
      <c r="BA257" s="615"/>
      <c r="BB257" s="615"/>
      <c r="BC257" s="615"/>
      <c r="BD257" s="615"/>
      <c r="BE257" s="615"/>
      <c r="BF257" s="615"/>
      <c r="BG257" s="615"/>
      <c r="BH257" s="615"/>
      <c r="BI257" s="615"/>
      <c r="BJ257" s="615"/>
      <c r="BK257" s="615"/>
      <c r="BL257" s="615"/>
      <c r="BM257" s="615"/>
      <c r="BN257" s="615"/>
      <c r="BO257" s="615"/>
      <c r="BP257" s="615"/>
      <c r="BQ257" s="615"/>
      <c r="BR257" s="615"/>
      <c r="BS257" s="615"/>
      <c r="BT257" s="615"/>
      <c r="BU257" s="615"/>
      <c r="BV257" s="615"/>
      <c r="BW257" s="615"/>
      <c r="BX257" s="607"/>
    </row>
    <row r="258" spans="1:76" s="612" customFormat="1" ht="25.5" x14ac:dyDescent="0.2">
      <c r="A258" s="839"/>
      <c r="B258" s="713" t="s">
        <v>3272</v>
      </c>
      <c r="C258" s="713" t="s">
        <v>3271</v>
      </c>
      <c r="D258" s="712">
        <v>0</v>
      </c>
      <c r="E258" s="712">
        <v>0</v>
      </c>
      <c r="F258" s="712">
        <v>0</v>
      </c>
      <c r="G258" s="712">
        <v>0</v>
      </c>
      <c r="H258" s="712">
        <v>0</v>
      </c>
      <c r="I258" s="712">
        <v>0</v>
      </c>
      <c r="J258" s="712">
        <v>0</v>
      </c>
      <c r="K258" s="712">
        <v>0</v>
      </c>
      <c r="L258" s="712">
        <v>0</v>
      </c>
      <c r="M258" s="712">
        <v>0</v>
      </c>
      <c r="N258" s="712">
        <v>0</v>
      </c>
      <c r="O258" s="712">
        <v>0</v>
      </c>
      <c r="P258" s="712">
        <v>0</v>
      </c>
      <c r="Q258" s="712">
        <v>0</v>
      </c>
      <c r="R258" s="712">
        <v>3148110</v>
      </c>
      <c r="S258" s="712">
        <v>5073359</v>
      </c>
      <c r="T258" s="712">
        <v>5073359</v>
      </c>
      <c r="U258" s="712">
        <v>5073359</v>
      </c>
      <c r="V258" s="712">
        <v>5073359</v>
      </c>
      <c r="W258" s="712">
        <v>5073359</v>
      </c>
      <c r="X258" s="712">
        <v>5073359</v>
      </c>
      <c r="Y258" s="712">
        <v>5073359</v>
      </c>
      <c r="Z258" s="712">
        <v>5073359</v>
      </c>
      <c r="AA258" s="712">
        <v>5073359</v>
      </c>
      <c r="AB258" s="712">
        <v>5073359</v>
      </c>
      <c r="AC258" s="712">
        <v>5073359</v>
      </c>
      <c r="AD258" s="712">
        <v>5073359</v>
      </c>
      <c r="AE258" s="712">
        <v>5073359</v>
      </c>
      <c r="AF258" s="712">
        <v>5073359</v>
      </c>
      <c r="AG258" s="712">
        <v>5073359</v>
      </c>
      <c r="AH258" s="712">
        <v>5073359</v>
      </c>
      <c r="AI258" s="712">
        <v>5073359</v>
      </c>
      <c r="AJ258" s="712">
        <v>5073359</v>
      </c>
      <c r="AK258" s="712">
        <v>5073359</v>
      </c>
      <c r="AL258" s="712">
        <v>5073359</v>
      </c>
      <c r="AM258" s="712">
        <v>5073359</v>
      </c>
      <c r="AN258" s="712">
        <v>5073359</v>
      </c>
      <c r="AO258" s="712">
        <v>5073359</v>
      </c>
      <c r="AP258" s="712">
        <v>5073359</v>
      </c>
      <c r="AQ258" s="712">
        <v>5073371</v>
      </c>
      <c r="AR258" s="712">
        <v>390477500</v>
      </c>
      <c r="AS258" s="712">
        <v>0</v>
      </c>
      <c r="AT258">
        <v>520459597</v>
      </c>
      <c r="AU258" s="615"/>
      <c r="AV258" s="615"/>
      <c r="AW258" s="615"/>
      <c r="AX258" s="615"/>
      <c r="AY258" s="615"/>
      <c r="AZ258" s="615"/>
      <c r="BA258" s="615"/>
      <c r="BB258" s="615"/>
      <c r="BC258" s="615"/>
      <c r="BD258" s="615"/>
      <c r="BE258" s="615"/>
      <c r="BF258" s="615"/>
      <c r="BG258" s="615"/>
      <c r="BH258" s="615"/>
      <c r="BI258" s="615"/>
      <c r="BJ258" s="615"/>
      <c r="BK258" s="615"/>
      <c r="BL258" s="615"/>
      <c r="BM258" s="615"/>
      <c r="BN258" s="615"/>
      <c r="BO258" s="615"/>
      <c r="BP258" s="615"/>
      <c r="BQ258" s="615"/>
      <c r="BR258" s="615"/>
      <c r="BS258" s="615"/>
      <c r="BT258" s="615"/>
      <c r="BU258" s="615"/>
      <c r="BV258" s="615"/>
      <c r="BW258" s="615"/>
      <c r="BX258" s="607"/>
    </row>
    <row r="259" spans="1:76" s="612" customFormat="1" ht="25.5" x14ac:dyDescent="0.2">
      <c r="A259" s="839"/>
      <c r="B259" s="713" t="s">
        <v>3278</v>
      </c>
      <c r="C259" s="713" t="s">
        <v>3277</v>
      </c>
      <c r="D259" s="712">
        <v>0</v>
      </c>
      <c r="E259" s="712">
        <v>0</v>
      </c>
      <c r="F259" s="712">
        <v>0</v>
      </c>
      <c r="G259" s="712">
        <v>0</v>
      </c>
      <c r="H259" s="712">
        <v>0</v>
      </c>
      <c r="I259" s="712">
        <v>0</v>
      </c>
      <c r="J259" s="712">
        <v>0</v>
      </c>
      <c r="K259" s="712">
        <v>0</v>
      </c>
      <c r="L259" s="712">
        <v>0</v>
      </c>
      <c r="M259" s="712">
        <v>0</v>
      </c>
      <c r="N259" s="712">
        <v>0</v>
      </c>
      <c r="O259" s="712">
        <v>0</v>
      </c>
      <c r="P259" s="712">
        <v>0</v>
      </c>
      <c r="Q259" s="712">
        <v>0</v>
      </c>
      <c r="R259" s="712">
        <v>0</v>
      </c>
      <c r="S259" s="712">
        <v>0</v>
      </c>
      <c r="T259" s="712">
        <v>5109872</v>
      </c>
      <c r="U259" s="712">
        <v>5110859</v>
      </c>
      <c r="V259" s="712">
        <v>5110859</v>
      </c>
      <c r="W259" s="712">
        <v>5110859</v>
      </c>
      <c r="X259" s="712">
        <v>5110859</v>
      </c>
      <c r="Y259" s="712">
        <v>5110859</v>
      </c>
      <c r="Z259" s="712">
        <v>5110859</v>
      </c>
      <c r="AA259" s="712">
        <v>5110859</v>
      </c>
      <c r="AB259" s="712">
        <v>5110859</v>
      </c>
      <c r="AC259" s="712">
        <v>5110859</v>
      </c>
      <c r="AD259" s="712">
        <v>5110859</v>
      </c>
      <c r="AE259" s="712">
        <v>5110859</v>
      </c>
      <c r="AF259" s="712">
        <v>5110859</v>
      </c>
      <c r="AG259" s="712">
        <v>5110859</v>
      </c>
      <c r="AH259" s="712">
        <v>5110859</v>
      </c>
      <c r="AI259" s="712">
        <v>5110859</v>
      </c>
      <c r="AJ259" s="712">
        <v>5110859</v>
      </c>
      <c r="AK259" s="712">
        <v>5110859</v>
      </c>
      <c r="AL259" s="712">
        <v>5110859</v>
      </c>
      <c r="AM259" s="712">
        <v>5110859</v>
      </c>
      <c r="AN259" s="712">
        <v>5110859</v>
      </c>
      <c r="AO259" s="712">
        <v>5110859</v>
      </c>
      <c r="AP259" s="712">
        <v>5110859</v>
      </c>
      <c r="AQ259" s="712">
        <v>5110859</v>
      </c>
      <c r="AR259" s="712">
        <v>398388371</v>
      </c>
      <c r="AS259" s="712">
        <v>0</v>
      </c>
      <c r="AT259">
        <v>521048000</v>
      </c>
      <c r="AU259" s="615"/>
      <c r="AV259" s="615"/>
      <c r="AW259" s="615"/>
      <c r="AX259" s="615"/>
      <c r="AY259" s="615"/>
      <c r="AZ259" s="615"/>
      <c r="BA259" s="615"/>
      <c r="BB259" s="615"/>
      <c r="BC259" s="615"/>
      <c r="BD259" s="615"/>
      <c r="BE259" s="615"/>
      <c r="BF259" s="615"/>
      <c r="BG259" s="615"/>
      <c r="BH259" s="615"/>
      <c r="BI259" s="615"/>
      <c r="BJ259" s="615"/>
      <c r="BK259" s="615"/>
      <c r="BL259" s="615"/>
      <c r="BM259" s="615"/>
      <c r="BN259" s="615"/>
      <c r="BO259" s="615"/>
      <c r="BP259" s="615"/>
      <c r="BQ259" s="615"/>
      <c r="BR259" s="615"/>
      <c r="BS259" s="615"/>
      <c r="BT259" s="615"/>
      <c r="BU259" s="615"/>
      <c r="BV259" s="615"/>
      <c r="BW259" s="615"/>
      <c r="BX259" s="607"/>
    </row>
    <row r="260" spans="1:76" s="612" customFormat="1" ht="25.5" x14ac:dyDescent="0.2">
      <c r="A260" s="839"/>
      <c r="B260" s="713" t="s">
        <v>2686</v>
      </c>
      <c r="C260" s="713" t="s">
        <v>2685</v>
      </c>
      <c r="D260" s="712">
        <v>0</v>
      </c>
      <c r="E260" s="712">
        <v>0</v>
      </c>
      <c r="F260" s="712">
        <v>0</v>
      </c>
      <c r="G260" s="712">
        <v>0</v>
      </c>
      <c r="H260" s="712">
        <v>0</v>
      </c>
      <c r="I260" s="712">
        <v>0</v>
      </c>
      <c r="J260" s="712">
        <v>0</v>
      </c>
      <c r="K260" s="712">
        <v>0</v>
      </c>
      <c r="L260" s="712">
        <v>0</v>
      </c>
      <c r="M260" s="712">
        <v>0</v>
      </c>
      <c r="N260" s="712">
        <v>0</v>
      </c>
      <c r="O260" s="712">
        <v>0</v>
      </c>
      <c r="P260" s="712">
        <v>0</v>
      </c>
      <c r="Q260" s="712">
        <v>0</v>
      </c>
      <c r="R260" s="712">
        <v>0</v>
      </c>
      <c r="S260" s="712">
        <v>0</v>
      </c>
      <c r="T260" s="712">
        <v>3000000</v>
      </c>
      <c r="U260" s="712">
        <v>3000000</v>
      </c>
      <c r="V260" s="712">
        <v>10000000</v>
      </c>
      <c r="W260" s="712">
        <v>3000000</v>
      </c>
      <c r="X260" s="712">
        <v>3000000</v>
      </c>
      <c r="Y260" s="712">
        <v>3000000</v>
      </c>
      <c r="Z260" s="712">
        <v>3000000</v>
      </c>
      <c r="AA260" s="712">
        <v>3000000</v>
      </c>
      <c r="AB260" s="712">
        <v>7300000</v>
      </c>
      <c r="AC260" s="712">
        <v>3300000</v>
      </c>
      <c r="AD260" s="712">
        <v>3300000</v>
      </c>
      <c r="AE260" s="712">
        <v>3300000</v>
      </c>
      <c r="AF260" s="712">
        <v>3300000</v>
      </c>
      <c r="AG260" s="712">
        <v>3300000</v>
      </c>
      <c r="AH260" s="712">
        <v>10300000</v>
      </c>
      <c r="AI260" s="712">
        <v>3300000</v>
      </c>
      <c r="AJ260" s="712">
        <v>3300000</v>
      </c>
      <c r="AK260" s="712">
        <v>3300000</v>
      </c>
      <c r="AL260" s="712">
        <v>3300000</v>
      </c>
      <c r="AM260" s="712">
        <v>3300000</v>
      </c>
      <c r="AN260" s="712">
        <v>7300000</v>
      </c>
      <c r="AO260" s="712">
        <v>3300000</v>
      </c>
      <c r="AP260" s="712">
        <v>3300000</v>
      </c>
      <c r="AQ260" s="712">
        <v>1868000</v>
      </c>
      <c r="AR260" s="712">
        <v>353192000</v>
      </c>
      <c r="AS260" s="712">
        <v>0</v>
      </c>
      <c r="AT260">
        <v>450560000</v>
      </c>
      <c r="AU260" s="615"/>
      <c r="AV260" s="615"/>
      <c r="AW260" s="615"/>
      <c r="AX260" s="615"/>
      <c r="AY260" s="615"/>
      <c r="AZ260" s="615"/>
      <c r="BA260" s="615"/>
      <c r="BB260" s="615"/>
      <c r="BC260" s="615"/>
      <c r="BD260" s="615"/>
      <c r="BE260" s="615"/>
      <c r="BF260" s="615"/>
      <c r="BG260" s="615"/>
      <c r="BH260" s="615"/>
      <c r="BI260" s="615"/>
      <c r="BJ260" s="615"/>
      <c r="BK260" s="615"/>
      <c r="BL260" s="615"/>
      <c r="BM260" s="615"/>
      <c r="BN260" s="615"/>
      <c r="BO260" s="615"/>
      <c r="BP260" s="615"/>
      <c r="BQ260" s="615"/>
      <c r="BR260" s="615"/>
      <c r="BS260" s="615"/>
      <c r="BT260" s="615"/>
      <c r="BU260" s="615"/>
      <c r="BV260" s="615"/>
      <c r="BW260" s="615"/>
      <c r="BX260" s="607"/>
    </row>
    <row r="261" spans="1:76" s="612" customFormat="1" ht="12.75" x14ac:dyDescent="0.2">
      <c r="A261" s="839"/>
      <c r="B261" s="713" t="s">
        <v>2961</v>
      </c>
      <c r="C261" s="713" t="s">
        <v>2960</v>
      </c>
      <c r="D261" s="712">
        <v>0</v>
      </c>
      <c r="E261" s="712">
        <v>0</v>
      </c>
      <c r="F261" s="712">
        <v>0</v>
      </c>
      <c r="G261" s="712">
        <v>0</v>
      </c>
      <c r="H261" s="712">
        <v>0</v>
      </c>
      <c r="I261" s="712">
        <v>0</v>
      </c>
      <c r="J261" s="712">
        <v>0</v>
      </c>
      <c r="K261" s="712">
        <v>0</v>
      </c>
      <c r="L261" s="712">
        <v>0</v>
      </c>
      <c r="M261" s="712">
        <v>0</v>
      </c>
      <c r="N261" s="712">
        <v>0</v>
      </c>
      <c r="O261" s="712">
        <v>0</v>
      </c>
      <c r="P261" s="712">
        <v>0</v>
      </c>
      <c r="Q261" s="712">
        <v>0</v>
      </c>
      <c r="R261" s="712">
        <v>0</v>
      </c>
      <c r="S261" s="712">
        <v>3207713</v>
      </c>
      <c r="T261" s="712">
        <v>3207714</v>
      </c>
      <c r="U261" s="712">
        <v>3207714</v>
      </c>
      <c r="V261" s="712">
        <v>3207714</v>
      </c>
      <c r="W261" s="712">
        <v>3207714</v>
      </c>
      <c r="X261" s="712">
        <v>3207714</v>
      </c>
      <c r="Y261" s="712">
        <v>3207714</v>
      </c>
      <c r="Z261" s="712">
        <v>3207714</v>
      </c>
      <c r="AA261" s="712">
        <v>3207714</v>
      </c>
      <c r="AB261" s="712">
        <v>3207714</v>
      </c>
      <c r="AC261" s="712">
        <v>3207714</v>
      </c>
      <c r="AD261" s="712">
        <v>3207714</v>
      </c>
      <c r="AE261" s="712">
        <v>3207714</v>
      </c>
      <c r="AF261" s="712">
        <v>3207714</v>
      </c>
      <c r="AG261" s="712">
        <v>3207714</v>
      </c>
      <c r="AH261" s="712">
        <v>3207714</v>
      </c>
      <c r="AI261" s="712">
        <v>3207714</v>
      </c>
      <c r="AJ261" s="712">
        <v>3207714</v>
      </c>
      <c r="AK261" s="712">
        <v>3207714</v>
      </c>
      <c r="AL261" s="712">
        <v>3207714</v>
      </c>
      <c r="AM261" s="712">
        <v>3207714</v>
      </c>
      <c r="AN261" s="712">
        <v>3207714</v>
      </c>
      <c r="AO261" s="712">
        <v>3207714</v>
      </c>
      <c r="AP261" s="712">
        <v>3207714</v>
      </c>
      <c r="AQ261" s="712">
        <v>3207724</v>
      </c>
      <c r="AR261" s="712">
        <v>273630000</v>
      </c>
      <c r="AS261" s="712">
        <v>0</v>
      </c>
      <c r="AT261">
        <v>353822859</v>
      </c>
      <c r="AU261" s="615"/>
      <c r="AV261" s="615"/>
      <c r="AW261" s="615"/>
      <c r="AX261" s="615"/>
      <c r="AY261" s="615"/>
      <c r="AZ261" s="615"/>
      <c r="BA261" s="615"/>
      <c r="BB261" s="615"/>
      <c r="BC261" s="615"/>
      <c r="BD261" s="615"/>
      <c r="BE261" s="615"/>
      <c r="BF261" s="615"/>
      <c r="BG261" s="615"/>
      <c r="BH261" s="615"/>
      <c r="BI261" s="615"/>
      <c r="BJ261" s="615"/>
      <c r="BK261" s="615"/>
      <c r="BL261" s="615"/>
      <c r="BM261" s="615"/>
      <c r="BN261" s="615"/>
      <c r="BO261" s="615"/>
      <c r="BP261" s="615"/>
      <c r="BQ261" s="615"/>
      <c r="BR261" s="615"/>
      <c r="BS261" s="615"/>
      <c r="BT261" s="615"/>
      <c r="BU261" s="615"/>
      <c r="BV261" s="615"/>
      <c r="BW261" s="615"/>
      <c r="BX261" s="607"/>
    </row>
    <row r="262" spans="1:76" s="612" customFormat="1" ht="25.5" x14ac:dyDescent="0.2">
      <c r="A262" s="839"/>
      <c r="B262" s="713" t="s">
        <v>4234</v>
      </c>
      <c r="C262" s="713" t="s">
        <v>4233</v>
      </c>
      <c r="D262" s="712">
        <v>0</v>
      </c>
      <c r="E262" s="712">
        <v>0</v>
      </c>
      <c r="F262" s="712">
        <v>0</v>
      </c>
      <c r="G262" s="712">
        <v>0</v>
      </c>
      <c r="H262" s="712">
        <v>0</v>
      </c>
      <c r="I262" s="712">
        <v>0</v>
      </c>
      <c r="J262" s="712">
        <v>0</v>
      </c>
      <c r="K262" s="712">
        <v>0</v>
      </c>
      <c r="L262" s="712">
        <v>0</v>
      </c>
      <c r="M262" s="712">
        <v>0</v>
      </c>
      <c r="N262" s="712">
        <v>0</v>
      </c>
      <c r="O262" s="712">
        <v>0</v>
      </c>
      <c r="P262" s="712">
        <v>0</v>
      </c>
      <c r="Q262" s="712">
        <v>0</v>
      </c>
      <c r="R262" s="712">
        <v>0</v>
      </c>
      <c r="S262" s="712">
        <v>0</v>
      </c>
      <c r="T262" s="712">
        <v>3500000</v>
      </c>
      <c r="U262" s="712">
        <v>3500000</v>
      </c>
      <c r="V262" s="712">
        <v>3500000</v>
      </c>
      <c r="W262" s="712">
        <v>3500000</v>
      </c>
      <c r="X262" s="712">
        <v>3500000</v>
      </c>
      <c r="Y262" s="712">
        <v>3500000</v>
      </c>
      <c r="Z262" s="712">
        <v>3500000</v>
      </c>
      <c r="AA262" s="712">
        <v>3500000</v>
      </c>
      <c r="AB262" s="712">
        <v>3500000</v>
      </c>
      <c r="AC262" s="712">
        <v>3500000</v>
      </c>
      <c r="AD262" s="712">
        <v>3500000</v>
      </c>
      <c r="AE262" s="712">
        <v>3500000</v>
      </c>
      <c r="AF262" s="712">
        <v>3500000</v>
      </c>
      <c r="AG262" s="712">
        <v>3500000</v>
      </c>
      <c r="AH262" s="712">
        <v>6300000</v>
      </c>
      <c r="AI262" s="712">
        <v>3500000</v>
      </c>
      <c r="AJ262" s="712">
        <v>3500000</v>
      </c>
      <c r="AK262" s="712">
        <v>3500000</v>
      </c>
      <c r="AL262" s="712">
        <v>3500000</v>
      </c>
      <c r="AM262" s="712">
        <v>3500000</v>
      </c>
      <c r="AN262" s="712">
        <v>3500000</v>
      </c>
      <c r="AO262" s="712">
        <v>3500000</v>
      </c>
      <c r="AP262" s="712">
        <v>3500000</v>
      </c>
      <c r="AQ262" s="712">
        <v>3500000</v>
      </c>
      <c r="AR262" s="712">
        <v>308700000</v>
      </c>
      <c r="AS262" s="712">
        <v>0</v>
      </c>
      <c r="AT262">
        <v>395500000</v>
      </c>
      <c r="AU262" s="615"/>
      <c r="AV262" s="615"/>
      <c r="AW262" s="615"/>
      <c r="AX262" s="615"/>
      <c r="AY262" s="615"/>
      <c r="AZ262" s="615"/>
      <c r="BA262" s="615"/>
      <c r="BB262" s="615"/>
      <c r="BC262" s="615"/>
      <c r="BD262" s="615"/>
      <c r="BE262" s="615"/>
      <c r="BF262" s="615"/>
      <c r="BG262" s="615"/>
      <c r="BH262" s="615"/>
      <c r="BI262" s="615"/>
      <c r="BJ262" s="615"/>
      <c r="BK262" s="615"/>
      <c r="BL262" s="615"/>
      <c r="BM262" s="615"/>
      <c r="BN262" s="615"/>
      <c r="BO262" s="615"/>
      <c r="BP262" s="615"/>
      <c r="BQ262" s="615"/>
      <c r="BR262" s="615"/>
      <c r="BS262" s="615"/>
      <c r="BT262" s="615"/>
      <c r="BU262" s="615"/>
      <c r="BV262" s="615"/>
      <c r="BW262" s="615"/>
      <c r="BX262" s="607"/>
    </row>
    <row r="263" spans="1:76" s="612" customFormat="1" ht="25.5" x14ac:dyDescent="0.2">
      <c r="A263" s="839"/>
      <c r="B263" s="713" t="s">
        <v>2688</v>
      </c>
      <c r="C263" s="713" t="s">
        <v>2687</v>
      </c>
      <c r="D263" s="712">
        <v>0</v>
      </c>
      <c r="E263" s="712">
        <v>0</v>
      </c>
      <c r="F263" s="712">
        <v>0</v>
      </c>
      <c r="G263" s="712">
        <v>0</v>
      </c>
      <c r="H263" s="712">
        <v>0</v>
      </c>
      <c r="I263" s="712">
        <v>0</v>
      </c>
      <c r="J263" s="712">
        <v>0</v>
      </c>
      <c r="K263" s="712">
        <v>0</v>
      </c>
      <c r="L263" s="712">
        <v>0</v>
      </c>
      <c r="M263" s="712">
        <v>0</v>
      </c>
      <c r="N263" s="712">
        <v>0</v>
      </c>
      <c r="O263" s="712">
        <v>0</v>
      </c>
      <c r="P263" s="712">
        <v>0</v>
      </c>
      <c r="Q263" s="712">
        <v>0</v>
      </c>
      <c r="R263" s="712">
        <v>0</v>
      </c>
      <c r="S263" s="712">
        <v>0</v>
      </c>
      <c r="T263" s="712">
        <v>4340000</v>
      </c>
      <c r="U263" s="712">
        <v>4340000</v>
      </c>
      <c r="V263" s="712">
        <v>4340000</v>
      </c>
      <c r="W263" s="712">
        <v>4340000</v>
      </c>
      <c r="X263" s="712">
        <v>4340000</v>
      </c>
      <c r="Y263" s="712">
        <v>4340000</v>
      </c>
      <c r="Z263" s="712">
        <v>4340000</v>
      </c>
      <c r="AA263" s="712">
        <v>4340000</v>
      </c>
      <c r="AB263" s="712">
        <v>4340000</v>
      </c>
      <c r="AC263" s="712">
        <v>4340000</v>
      </c>
      <c r="AD263" s="712">
        <v>4340000</v>
      </c>
      <c r="AE263" s="712">
        <v>4340000</v>
      </c>
      <c r="AF263" s="712">
        <v>4340000</v>
      </c>
      <c r="AG263" s="712">
        <v>4340000</v>
      </c>
      <c r="AH263" s="712">
        <v>4340000</v>
      </c>
      <c r="AI263" s="712">
        <v>4340000</v>
      </c>
      <c r="AJ263" s="712">
        <v>4340000</v>
      </c>
      <c r="AK263" s="712">
        <v>4340000</v>
      </c>
      <c r="AL263" s="712">
        <v>4340000</v>
      </c>
      <c r="AM263" s="712">
        <v>4340000</v>
      </c>
      <c r="AN263" s="712">
        <v>4340000</v>
      </c>
      <c r="AO263" s="712">
        <v>4340000</v>
      </c>
      <c r="AP263" s="712">
        <v>4340000</v>
      </c>
      <c r="AQ263" s="712">
        <v>4340000</v>
      </c>
      <c r="AR263" s="712">
        <v>366100000</v>
      </c>
      <c r="AS263" s="712">
        <v>0</v>
      </c>
      <c r="AT263">
        <v>470260000</v>
      </c>
      <c r="AU263" s="615"/>
      <c r="AV263" s="615"/>
      <c r="AW263" s="615"/>
      <c r="AX263" s="615"/>
      <c r="AY263" s="615"/>
      <c r="AZ263" s="615"/>
      <c r="BA263" s="615"/>
      <c r="BB263" s="615"/>
      <c r="BC263" s="615"/>
      <c r="BD263" s="615"/>
      <c r="BE263" s="615"/>
      <c r="BF263" s="615"/>
      <c r="BG263" s="615"/>
      <c r="BH263" s="615"/>
      <c r="BI263" s="615"/>
      <c r="BJ263" s="615"/>
      <c r="BK263" s="615"/>
      <c r="BL263" s="615"/>
      <c r="BM263" s="615"/>
      <c r="BN263" s="615"/>
      <c r="BO263" s="615"/>
      <c r="BP263" s="615"/>
      <c r="BQ263" s="615"/>
      <c r="BR263" s="615"/>
      <c r="BS263" s="615"/>
      <c r="BT263" s="615"/>
      <c r="BU263" s="615"/>
      <c r="BV263" s="615"/>
      <c r="BW263" s="615"/>
      <c r="BX263" s="607"/>
    </row>
    <row r="264" spans="1:76" s="612" customFormat="1" ht="25.5" x14ac:dyDescent="0.2">
      <c r="A264" s="839"/>
      <c r="B264" s="713" t="s">
        <v>3149</v>
      </c>
      <c r="C264" s="713" t="s">
        <v>3148</v>
      </c>
      <c r="D264" s="712">
        <v>0</v>
      </c>
      <c r="E264" s="712">
        <v>0</v>
      </c>
      <c r="F264" s="712">
        <v>0</v>
      </c>
      <c r="G264" s="712">
        <v>0</v>
      </c>
      <c r="H264" s="712">
        <v>0</v>
      </c>
      <c r="I264" s="712">
        <v>0</v>
      </c>
      <c r="J264" s="712">
        <v>0</v>
      </c>
      <c r="K264" s="712">
        <v>0</v>
      </c>
      <c r="L264" s="712">
        <v>0</v>
      </c>
      <c r="M264" s="712">
        <v>0</v>
      </c>
      <c r="N264" s="712">
        <v>0</v>
      </c>
      <c r="O264" s="712">
        <v>0</v>
      </c>
      <c r="P264" s="712">
        <v>0</v>
      </c>
      <c r="Q264" s="712">
        <v>0</v>
      </c>
      <c r="R264" s="712">
        <v>0</v>
      </c>
      <c r="S264" s="712">
        <v>4472060</v>
      </c>
      <c r="T264" s="712">
        <v>4474706</v>
      </c>
      <c r="U264" s="712">
        <v>4474706</v>
      </c>
      <c r="V264" s="712">
        <v>4474706</v>
      </c>
      <c r="W264" s="712">
        <v>4474706</v>
      </c>
      <c r="X264" s="712">
        <v>4474706</v>
      </c>
      <c r="Y264" s="712">
        <v>4474706</v>
      </c>
      <c r="Z264" s="712">
        <v>4474706</v>
      </c>
      <c r="AA264" s="712">
        <v>4474706</v>
      </c>
      <c r="AB264" s="712">
        <v>4474706</v>
      </c>
      <c r="AC264" s="712">
        <v>4474706</v>
      </c>
      <c r="AD264" s="712">
        <v>4474706</v>
      </c>
      <c r="AE264" s="712">
        <v>4474706</v>
      </c>
      <c r="AF264" s="712">
        <v>4474706</v>
      </c>
      <c r="AG264" s="712">
        <v>4474706</v>
      </c>
      <c r="AH264" s="712">
        <v>4474706</v>
      </c>
      <c r="AI264" s="712">
        <v>4474706</v>
      </c>
      <c r="AJ264" s="712">
        <v>4474706</v>
      </c>
      <c r="AK264" s="712">
        <v>4474706</v>
      </c>
      <c r="AL264" s="712">
        <v>4474706</v>
      </c>
      <c r="AM264" s="712">
        <v>4474706</v>
      </c>
      <c r="AN264" s="712">
        <v>4474706</v>
      </c>
      <c r="AO264" s="712">
        <v>4474706</v>
      </c>
      <c r="AP264" s="712">
        <v>4474706</v>
      </c>
      <c r="AQ264" s="712">
        <v>4474702</v>
      </c>
      <c r="AR264" s="712">
        <v>366660000</v>
      </c>
      <c r="AS264" s="712">
        <v>0</v>
      </c>
      <c r="AT264">
        <v>478525000</v>
      </c>
      <c r="AU264" s="615"/>
      <c r="AV264" s="615"/>
      <c r="AW264" s="615"/>
      <c r="AX264" s="615"/>
      <c r="AY264" s="615"/>
      <c r="AZ264" s="615"/>
      <c r="BA264" s="615"/>
      <c r="BB264" s="615"/>
      <c r="BC264" s="615"/>
      <c r="BD264" s="615"/>
      <c r="BE264" s="615"/>
      <c r="BF264" s="615"/>
      <c r="BG264" s="615"/>
      <c r="BH264" s="615"/>
      <c r="BI264" s="615"/>
      <c r="BJ264" s="615"/>
      <c r="BK264" s="615"/>
      <c r="BL264" s="615"/>
      <c r="BM264" s="615"/>
      <c r="BN264" s="615"/>
      <c r="BO264" s="615"/>
      <c r="BP264" s="615"/>
      <c r="BQ264" s="615"/>
      <c r="BR264" s="615"/>
      <c r="BS264" s="615"/>
      <c r="BT264" s="615"/>
      <c r="BU264" s="615"/>
      <c r="BV264" s="615"/>
      <c r="BW264" s="615"/>
      <c r="BX264" s="607"/>
    </row>
    <row r="265" spans="1:76" s="612" customFormat="1" ht="25.5" x14ac:dyDescent="0.2">
      <c r="A265" s="839"/>
      <c r="B265" s="713" t="s">
        <v>2699</v>
      </c>
      <c r="C265" s="713" t="s">
        <v>2698</v>
      </c>
      <c r="D265" s="712">
        <v>0</v>
      </c>
      <c r="E265" s="712">
        <v>0</v>
      </c>
      <c r="F265" s="712">
        <v>0</v>
      </c>
      <c r="G265" s="712">
        <v>0</v>
      </c>
      <c r="H265" s="712">
        <v>0</v>
      </c>
      <c r="I265" s="712">
        <v>0</v>
      </c>
      <c r="J265" s="712">
        <v>0</v>
      </c>
      <c r="K265" s="712">
        <v>0</v>
      </c>
      <c r="L265" s="712">
        <v>0</v>
      </c>
      <c r="M265" s="712">
        <v>0</v>
      </c>
      <c r="N265" s="712">
        <v>0</v>
      </c>
      <c r="O265" s="712">
        <v>0</v>
      </c>
      <c r="P265" s="712">
        <v>0</v>
      </c>
      <c r="Q265" s="712">
        <v>0</v>
      </c>
      <c r="R265" s="712">
        <v>0</v>
      </c>
      <c r="S265" s="712">
        <v>4381143</v>
      </c>
      <c r="T265" s="712">
        <v>4381143</v>
      </c>
      <c r="U265" s="712">
        <v>4381143</v>
      </c>
      <c r="V265" s="712">
        <v>4381143</v>
      </c>
      <c r="W265" s="712">
        <v>4381143</v>
      </c>
      <c r="X265" s="712">
        <v>4381143</v>
      </c>
      <c r="Y265" s="712">
        <v>4381143</v>
      </c>
      <c r="Z265" s="712">
        <v>4381143</v>
      </c>
      <c r="AA265" s="712">
        <v>4381143</v>
      </c>
      <c r="AB265" s="712">
        <v>4381143</v>
      </c>
      <c r="AC265" s="712">
        <v>4381143</v>
      </c>
      <c r="AD265" s="712">
        <v>4381143</v>
      </c>
      <c r="AE265" s="712">
        <v>4381143</v>
      </c>
      <c r="AF265" s="712">
        <v>4381143</v>
      </c>
      <c r="AG265" s="712">
        <v>4381143</v>
      </c>
      <c r="AH265" s="712">
        <v>4381143</v>
      </c>
      <c r="AI265" s="712">
        <v>4381143</v>
      </c>
      <c r="AJ265" s="712">
        <v>4381143</v>
      </c>
      <c r="AK265" s="712">
        <v>4381143</v>
      </c>
      <c r="AL265" s="712">
        <v>4381143</v>
      </c>
      <c r="AM265" s="712">
        <v>4381143</v>
      </c>
      <c r="AN265" s="712">
        <v>4381143</v>
      </c>
      <c r="AO265" s="712">
        <v>4381143</v>
      </c>
      <c r="AP265" s="712">
        <v>4381143</v>
      </c>
      <c r="AQ265" s="712">
        <v>4391138</v>
      </c>
      <c r="AR265" s="712">
        <v>369450000</v>
      </c>
      <c r="AS265" s="712">
        <v>0</v>
      </c>
      <c r="AT265">
        <v>478988570</v>
      </c>
      <c r="AU265" s="615"/>
      <c r="AV265" s="615"/>
      <c r="AW265" s="615"/>
      <c r="AX265" s="615"/>
      <c r="AY265" s="615"/>
      <c r="AZ265" s="615"/>
      <c r="BA265" s="615"/>
      <c r="BB265" s="615"/>
      <c r="BC265" s="615"/>
      <c r="BD265" s="615"/>
      <c r="BE265" s="615"/>
      <c r="BF265" s="615"/>
      <c r="BG265" s="615"/>
      <c r="BH265" s="615"/>
      <c r="BI265" s="615"/>
      <c r="BJ265" s="615"/>
      <c r="BK265" s="615"/>
      <c r="BL265" s="615"/>
      <c r="BM265" s="615"/>
      <c r="BN265" s="615"/>
      <c r="BO265" s="615"/>
      <c r="BP265" s="615"/>
      <c r="BQ265" s="615"/>
      <c r="BR265" s="615"/>
      <c r="BS265" s="615"/>
      <c r="BT265" s="615"/>
      <c r="BU265" s="615"/>
      <c r="BV265" s="615"/>
      <c r="BW265" s="615"/>
      <c r="BX265" s="607"/>
    </row>
    <row r="266" spans="1:76" s="612" customFormat="1" ht="25.5" x14ac:dyDescent="0.2">
      <c r="A266" s="839"/>
      <c r="B266" s="713" t="s">
        <v>862</v>
      </c>
      <c r="C266" s="713" t="s">
        <v>2689</v>
      </c>
      <c r="D266" s="712">
        <v>0</v>
      </c>
      <c r="E266" s="712">
        <v>0</v>
      </c>
      <c r="F266" s="712">
        <v>0</v>
      </c>
      <c r="G266" s="712">
        <v>0</v>
      </c>
      <c r="H266" s="712">
        <v>0</v>
      </c>
      <c r="I266" s="712">
        <v>0</v>
      </c>
      <c r="J266" s="712">
        <v>0</v>
      </c>
      <c r="K266" s="712">
        <v>0</v>
      </c>
      <c r="L266" s="712">
        <v>0</v>
      </c>
      <c r="M266" s="712">
        <v>0</v>
      </c>
      <c r="N266" s="712">
        <v>0</v>
      </c>
      <c r="O266" s="712">
        <v>0</v>
      </c>
      <c r="P266" s="712">
        <v>0</v>
      </c>
      <c r="Q266" s="712">
        <v>0</v>
      </c>
      <c r="R266" s="712">
        <v>0</v>
      </c>
      <c r="S266" s="712">
        <v>0</v>
      </c>
      <c r="T266" s="712">
        <v>0</v>
      </c>
      <c r="U266" s="712">
        <v>400000</v>
      </c>
      <c r="V266" s="712">
        <v>3200000</v>
      </c>
      <c r="W266" s="712">
        <v>3200000</v>
      </c>
      <c r="X266" s="712">
        <v>3200000</v>
      </c>
      <c r="Y266" s="712">
        <v>3200000</v>
      </c>
      <c r="Z266" s="712">
        <v>3200000</v>
      </c>
      <c r="AA266" s="712">
        <v>3200000</v>
      </c>
      <c r="AB266" s="712">
        <v>3200000</v>
      </c>
      <c r="AC266" s="712">
        <v>3200000</v>
      </c>
      <c r="AD266" s="712">
        <v>3200000</v>
      </c>
      <c r="AE266" s="712">
        <v>3200000</v>
      </c>
      <c r="AF266" s="712">
        <v>3200000</v>
      </c>
      <c r="AG266" s="712">
        <v>3200000</v>
      </c>
      <c r="AH266" s="712">
        <v>3200000</v>
      </c>
      <c r="AI266" s="712">
        <v>3200000</v>
      </c>
      <c r="AJ266" s="712">
        <v>3200000</v>
      </c>
      <c r="AK266" s="712">
        <v>3200000</v>
      </c>
      <c r="AL266" s="712">
        <v>3200000</v>
      </c>
      <c r="AM266" s="712">
        <v>3200000</v>
      </c>
      <c r="AN266" s="712">
        <v>3200000</v>
      </c>
      <c r="AO266" s="712">
        <v>3200000</v>
      </c>
      <c r="AP266" s="712">
        <v>3200000</v>
      </c>
      <c r="AQ266" s="712">
        <v>3200000</v>
      </c>
      <c r="AR266" s="712">
        <v>273000000</v>
      </c>
      <c r="AS266" s="712">
        <v>0</v>
      </c>
      <c r="AT266">
        <v>343800000</v>
      </c>
      <c r="AU266" s="615"/>
      <c r="AV266" s="615"/>
      <c r="AW266" s="615"/>
      <c r="AX266" s="615"/>
      <c r="AY266" s="615"/>
      <c r="AZ266" s="615"/>
      <c r="BA266" s="615"/>
      <c r="BB266" s="615"/>
      <c r="BC266" s="615"/>
      <c r="BD266" s="615"/>
      <c r="BE266" s="615"/>
      <c r="BF266" s="615"/>
      <c r="BG266" s="615"/>
      <c r="BH266" s="615"/>
      <c r="BI266" s="615"/>
      <c r="BJ266" s="615"/>
      <c r="BK266" s="615"/>
      <c r="BL266" s="615"/>
      <c r="BM266" s="615"/>
      <c r="BN266" s="615"/>
      <c r="BO266" s="615"/>
      <c r="BP266" s="615"/>
      <c r="BQ266" s="615"/>
      <c r="BR266" s="615"/>
      <c r="BS266" s="615"/>
      <c r="BT266" s="615"/>
      <c r="BU266" s="615"/>
      <c r="BV266" s="615"/>
      <c r="BW266" s="615"/>
      <c r="BX266" s="607"/>
    </row>
    <row r="267" spans="1:76" s="612" customFormat="1" ht="25.5" x14ac:dyDescent="0.2">
      <c r="A267" s="839"/>
      <c r="B267" s="713" t="s">
        <v>2978</v>
      </c>
      <c r="C267" s="713" t="s">
        <v>2977</v>
      </c>
      <c r="D267" s="712">
        <v>0</v>
      </c>
      <c r="E267" s="712">
        <v>0</v>
      </c>
      <c r="F267" s="712">
        <v>0</v>
      </c>
      <c r="G267" s="712">
        <v>0</v>
      </c>
      <c r="H267" s="712">
        <v>0</v>
      </c>
      <c r="I267" s="712">
        <v>0</v>
      </c>
      <c r="J267" s="712">
        <v>0</v>
      </c>
      <c r="K267" s="712">
        <v>0</v>
      </c>
      <c r="L267" s="712">
        <v>0</v>
      </c>
      <c r="M267" s="712">
        <v>0</v>
      </c>
      <c r="N267" s="712">
        <v>0</v>
      </c>
      <c r="O267" s="712">
        <v>0</v>
      </c>
      <c r="P267" s="712">
        <v>0</v>
      </c>
      <c r="Q267" s="712">
        <v>0</v>
      </c>
      <c r="R267" s="712">
        <v>0</v>
      </c>
      <c r="S267" s="712">
        <v>3208571</v>
      </c>
      <c r="T267" s="712">
        <v>3208571</v>
      </c>
      <c r="U267" s="712">
        <v>3208571</v>
      </c>
      <c r="V267" s="712">
        <v>3208571</v>
      </c>
      <c r="W267" s="712">
        <v>3208571</v>
      </c>
      <c r="X267" s="712">
        <v>3208571</v>
      </c>
      <c r="Y267" s="712">
        <v>3208571</v>
      </c>
      <c r="Z267" s="712">
        <v>3208571</v>
      </c>
      <c r="AA267" s="712">
        <v>3208571</v>
      </c>
      <c r="AB267" s="712">
        <v>3208571</v>
      </c>
      <c r="AC267" s="712">
        <v>3208571</v>
      </c>
      <c r="AD267" s="712">
        <v>3208571</v>
      </c>
      <c r="AE267" s="712">
        <v>3208571</v>
      </c>
      <c r="AF267" s="712">
        <v>3208571</v>
      </c>
      <c r="AG267" s="712">
        <v>3208571</v>
      </c>
      <c r="AH267" s="712">
        <v>3208571</v>
      </c>
      <c r="AI267" s="712">
        <v>3208571</v>
      </c>
      <c r="AJ267" s="712">
        <v>3208571</v>
      </c>
      <c r="AK267" s="712">
        <v>3208571</v>
      </c>
      <c r="AL267" s="712">
        <v>3208571</v>
      </c>
      <c r="AM267" s="712">
        <v>3208571</v>
      </c>
      <c r="AN267" s="712">
        <v>3208571</v>
      </c>
      <c r="AO267" s="712">
        <v>3208571</v>
      </c>
      <c r="AP267" s="712">
        <v>3208571</v>
      </c>
      <c r="AQ267" s="712">
        <v>3208586</v>
      </c>
      <c r="AR267" s="712">
        <v>273700000</v>
      </c>
      <c r="AS267" s="712">
        <v>0</v>
      </c>
      <c r="AT267">
        <v>353914290</v>
      </c>
      <c r="AU267" s="615"/>
      <c r="AV267" s="615"/>
      <c r="AW267" s="615"/>
      <c r="AX267" s="615"/>
      <c r="AY267" s="615"/>
      <c r="AZ267" s="615"/>
      <c r="BA267" s="615"/>
      <c r="BB267" s="615"/>
      <c r="BC267" s="615"/>
      <c r="BD267" s="615"/>
      <c r="BE267" s="615"/>
      <c r="BF267" s="615"/>
      <c r="BG267" s="615"/>
      <c r="BH267" s="615"/>
      <c r="BI267" s="615"/>
      <c r="BJ267" s="615"/>
      <c r="BK267" s="615"/>
      <c r="BL267" s="615"/>
      <c r="BM267" s="615"/>
      <c r="BN267" s="615"/>
      <c r="BO267" s="615"/>
      <c r="BP267" s="615"/>
      <c r="BQ267" s="615"/>
      <c r="BR267" s="615"/>
      <c r="BS267" s="615"/>
      <c r="BT267" s="615"/>
      <c r="BU267" s="615"/>
      <c r="BV267" s="615"/>
      <c r="BW267" s="615"/>
      <c r="BX267" s="607"/>
    </row>
    <row r="268" spans="1:76" s="612" customFormat="1" ht="25.5" x14ac:dyDescent="0.2">
      <c r="A268" s="839"/>
      <c r="B268" s="713" t="s">
        <v>2982</v>
      </c>
      <c r="C268" s="713" t="s">
        <v>2981</v>
      </c>
      <c r="D268" s="712">
        <v>0</v>
      </c>
      <c r="E268" s="712">
        <v>0</v>
      </c>
      <c r="F268" s="712">
        <v>0</v>
      </c>
      <c r="G268" s="712">
        <v>0</v>
      </c>
      <c r="H268" s="712">
        <v>0</v>
      </c>
      <c r="I268" s="712">
        <v>0</v>
      </c>
      <c r="J268" s="712">
        <v>0</v>
      </c>
      <c r="K268" s="712">
        <v>0</v>
      </c>
      <c r="L268" s="712">
        <v>0</v>
      </c>
      <c r="M268" s="712">
        <v>0</v>
      </c>
      <c r="N268" s="712">
        <v>0</v>
      </c>
      <c r="O268" s="712">
        <v>0</v>
      </c>
      <c r="P268" s="712">
        <v>0</v>
      </c>
      <c r="Q268" s="712">
        <v>0</v>
      </c>
      <c r="R268" s="712">
        <v>0</v>
      </c>
      <c r="S268" s="712">
        <v>0</v>
      </c>
      <c r="T268" s="712">
        <v>4299714</v>
      </c>
      <c r="U268" s="712">
        <v>4299714</v>
      </c>
      <c r="V268" s="712">
        <v>4299714</v>
      </c>
      <c r="W268" s="712">
        <v>4299714</v>
      </c>
      <c r="X268" s="712">
        <v>4299714</v>
      </c>
      <c r="Y268" s="712">
        <v>4299714</v>
      </c>
      <c r="Z268" s="712">
        <v>4299714</v>
      </c>
      <c r="AA268" s="712">
        <v>4299714</v>
      </c>
      <c r="AB268" s="712">
        <v>4299714</v>
      </c>
      <c r="AC268" s="712">
        <v>4299714</v>
      </c>
      <c r="AD268" s="712">
        <v>4299714</v>
      </c>
      <c r="AE268" s="712">
        <v>4299714</v>
      </c>
      <c r="AF268" s="712">
        <v>4299714</v>
      </c>
      <c r="AG268" s="712">
        <v>4299714</v>
      </c>
      <c r="AH268" s="712">
        <v>4299714</v>
      </c>
      <c r="AI268" s="712">
        <v>4299714</v>
      </c>
      <c r="AJ268" s="712">
        <v>4299714</v>
      </c>
      <c r="AK268" s="712">
        <v>4299714</v>
      </c>
      <c r="AL268" s="712">
        <v>4299714</v>
      </c>
      <c r="AM268" s="712">
        <v>4299714</v>
      </c>
      <c r="AN268" s="712">
        <v>4299714</v>
      </c>
      <c r="AO268" s="712">
        <v>4299714</v>
      </c>
      <c r="AP268" s="712">
        <v>4299714</v>
      </c>
      <c r="AQ268" s="712">
        <v>4299724</v>
      </c>
      <c r="AR268" s="712">
        <v>362810000</v>
      </c>
      <c r="AS268" s="712">
        <v>0</v>
      </c>
      <c r="AT268">
        <v>466003146</v>
      </c>
      <c r="AU268" s="615"/>
      <c r="AV268" s="615"/>
      <c r="AW268" s="615"/>
      <c r="AX268" s="615"/>
      <c r="AY268" s="615"/>
      <c r="AZ268" s="615"/>
      <c r="BA268" s="615"/>
      <c r="BB268" s="615"/>
      <c r="BC268" s="615"/>
      <c r="BD268" s="615"/>
      <c r="BE268" s="615"/>
      <c r="BF268" s="615"/>
      <c r="BG268" s="615"/>
      <c r="BH268" s="615"/>
      <c r="BI268" s="615"/>
      <c r="BJ268" s="615"/>
      <c r="BK268" s="615"/>
      <c r="BL268" s="615"/>
      <c r="BM268" s="615"/>
      <c r="BN268" s="615"/>
      <c r="BO268" s="615"/>
      <c r="BP268" s="615"/>
      <c r="BQ268" s="615"/>
      <c r="BR268" s="615"/>
      <c r="BS268" s="615"/>
      <c r="BT268" s="615"/>
      <c r="BU268" s="615"/>
      <c r="BV268" s="615"/>
      <c r="BW268" s="615"/>
      <c r="BX268" s="607"/>
    </row>
    <row r="269" spans="1:76" s="612" customFormat="1" ht="25.5" x14ac:dyDescent="0.2">
      <c r="A269" s="839"/>
      <c r="B269" s="713" t="s">
        <v>3354</v>
      </c>
      <c r="C269" s="713" t="s">
        <v>3353</v>
      </c>
      <c r="D269" s="712">
        <v>0</v>
      </c>
      <c r="E269" s="712">
        <v>0</v>
      </c>
      <c r="F269" s="712">
        <v>0</v>
      </c>
      <c r="G269" s="712">
        <v>0</v>
      </c>
      <c r="H269" s="712">
        <v>0</v>
      </c>
      <c r="I269" s="712">
        <v>0</v>
      </c>
      <c r="J269" s="712">
        <v>0</v>
      </c>
      <c r="K269" s="712">
        <v>0</v>
      </c>
      <c r="L269" s="712">
        <v>0</v>
      </c>
      <c r="M269" s="712">
        <v>0</v>
      </c>
      <c r="N269" s="712">
        <v>0</v>
      </c>
      <c r="O269" s="712">
        <v>0</v>
      </c>
      <c r="P269" s="712">
        <v>0</v>
      </c>
      <c r="Q269" s="712">
        <v>0</v>
      </c>
      <c r="R269" s="712">
        <v>0</v>
      </c>
      <c r="S269" s="712">
        <v>0</v>
      </c>
      <c r="T269" s="712">
        <v>4576938</v>
      </c>
      <c r="U269" s="712">
        <v>5212823</v>
      </c>
      <c r="V269" s="712">
        <v>5212823</v>
      </c>
      <c r="W269" s="712">
        <v>5212823</v>
      </c>
      <c r="X269" s="712">
        <v>5212823</v>
      </c>
      <c r="Y269" s="712">
        <v>5212823</v>
      </c>
      <c r="Z269" s="712">
        <v>5212823</v>
      </c>
      <c r="AA269" s="712">
        <v>5212823</v>
      </c>
      <c r="AB269" s="712">
        <v>5212823</v>
      </c>
      <c r="AC269" s="712">
        <v>5212823</v>
      </c>
      <c r="AD269" s="712">
        <v>5212823</v>
      </c>
      <c r="AE269" s="712">
        <v>5212823</v>
      </c>
      <c r="AF269" s="712">
        <v>5212823</v>
      </c>
      <c r="AG269" s="712">
        <v>5212823</v>
      </c>
      <c r="AH269" s="712">
        <v>5212823</v>
      </c>
      <c r="AI269" s="712">
        <v>5212823</v>
      </c>
      <c r="AJ269" s="712">
        <v>5212823</v>
      </c>
      <c r="AK269" s="712">
        <v>5212823</v>
      </c>
      <c r="AL269" s="712">
        <v>5212823</v>
      </c>
      <c r="AM269" s="712">
        <v>5212823</v>
      </c>
      <c r="AN269" s="712">
        <v>5212823</v>
      </c>
      <c r="AO269" s="712">
        <v>5212823</v>
      </c>
      <c r="AP269" s="712">
        <v>5212823</v>
      </c>
      <c r="AQ269" s="712">
        <v>5212810</v>
      </c>
      <c r="AR269" s="712">
        <v>388727500</v>
      </c>
      <c r="AS269" s="712">
        <v>0</v>
      </c>
      <c r="AT269">
        <v>513199354</v>
      </c>
      <c r="AU269" s="615"/>
      <c r="AV269" s="615"/>
      <c r="AW269" s="615"/>
      <c r="AX269" s="615"/>
      <c r="AY269" s="615"/>
      <c r="AZ269" s="615"/>
      <c r="BA269" s="615"/>
      <c r="BB269" s="615"/>
      <c r="BC269" s="615"/>
      <c r="BD269" s="615"/>
      <c r="BE269" s="615"/>
      <c r="BF269" s="615"/>
      <c r="BG269" s="615"/>
      <c r="BH269" s="615"/>
      <c r="BI269" s="615"/>
      <c r="BJ269" s="615"/>
      <c r="BK269" s="615"/>
      <c r="BL269" s="615"/>
      <c r="BM269" s="615"/>
      <c r="BN269" s="615"/>
      <c r="BO269" s="615"/>
      <c r="BP269" s="615"/>
      <c r="BQ269" s="615"/>
      <c r="BR269" s="615"/>
      <c r="BS269" s="615"/>
      <c r="BT269" s="615"/>
      <c r="BU269" s="615"/>
      <c r="BV269" s="615"/>
      <c r="BW269" s="615"/>
      <c r="BX269" s="607"/>
    </row>
    <row r="270" spans="1:76" s="612" customFormat="1" ht="25.5" x14ac:dyDescent="0.2">
      <c r="A270" s="839"/>
      <c r="B270" s="713" t="s">
        <v>3141</v>
      </c>
      <c r="C270" s="713" t="s">
        <v>3140</v>
      </c>
      <c r="D270" s="712">
        <v>0</v>
      </c>
      <c r="E270" s="712">
        <v>0</v>
      </c>
      <c r="F270" s="712">
        <v>0</v>
      </c>
      <c r="G270" s="712">
        <v>0</v>
      </c>
      <c r="H270" s="712">
        <v>0</v>
      </c>
      <c r="I270" s="712">
        <v>0</v>
      </c>
      <c r="J270" s="712">
        <v>0</v>
      </c>
      <c r="K270" s="712">
        <v>0</v>
      </c>
      <c r="L270" s="712">
        <v>0</v>
      </c>
      <c r="M270" s="712">
        <v>0</v>
      </c>
      <c r="N270" s="712">
        <v>14471</v>
      </c>
      <c r="O270" s="712">
        <v>4406857</v>
      </c>
      <c r="P270" s="712">
        <v>4406857</v>
      </c>
      <c r="Q270" s="712">
        <v>4406857</v>
      </c>
      <c r="R270" s="712">
        <v>4406857</v>
      </c>
      <c r="S270" s="712">
        <v>4406857</v>
      </c>
      <c r="T270" s="712">
        <v>4406857</v>
      </c>
      <c r="U270" s="712">
        <v>4406857</v>
      </c>
      <c r="V270" s="712">
        <v>4406857</v>
      </c>
      <c r="W270" s="712">
        <v>4406857</v>
      </c>
      <c r="X270" s="712">
        <v>4406857</v>
      </c>
      <c r="Y270" s="712">
        <v>4406857</v>
      </c>
      <c r="Z270" s="712">
        <v>4406857</v>
      </c>
      <c r="AA270" s="712">
        <v>4406857</v>
      </c>
      <c r="AB270" s="712">
        <v>4406857</v>
      </c>
      <c r="AC270" s="712">
        <v>4406857</v>
      </c>
      <c r="AD270" s="712">
        <v>4406857</v>
      </c>
      <c r="AE270" s="712">
        <v>4406857</v>
      </c>
      <c r="AF270" s="712">
        <v>4406857</v>
      </c>
      <c r="AG270" s="712">
        <v>4406857</v>
      </c>
      <c r="AH270" s="712">
        <v>4406857</v>
      </c>
      <c r="AI270" s="712">
        <v>4406857</v>
      </c>
      <c r="AJ270" s="712">
        <v>4406857</v>
      </c>
      <c r="AK270" s="712">
        <v>4406857</v>
      </c>
      <c r="AL270" s="712">
        <v>4406857</v>
      </c>
      <c r="AM270" s="712">
        <v>4406857</v>
      </c>
      <c r="AN270" s="712">
        <v>4406857</v>
      </c>
      <c r="AO270" s="712">
        <v>4406857</v>
      </c>
      <c r="AP270" s="712">
        <v>4406857</v>
      </c>
      <c r="AQ270" s="712">
        <v>4406862</v>
      </c>
      <c r="AR270" s="712">
        <v>371560000</v>
      </c>
      <c r="AS270" s="712">
        <v>0</v>
      </c>
      <c r="AT270">
        <v>499373329</v>
      </c>
      <c r="AU270" s="615"/>
      <c r="AV270" s="615"/>
      <c r="AW270" s="615"/>
      <c r="AX270" s="615"/>
      <c r="AY270" s="615"/>
      <c r="AZ270" s="615"/>
      <c r="BA270" s="615"/>
      <c r="BB270" s="615"/>
      <c r="BC270" s="615"/>
      <c r="BD270" s="615"/>
      <c r="BE270" s="615"/>
      <c r="BF270" s="615"/>
      <c r="BG270" s="615"/>
      <c r="BH270" s="615"/>
      <c r="BI270" s="615"/>
      <c r="BJ270" s="615"/>
      <c r="BK270" s="615"/>
      <c r="BL270" s="615"/>
      <c r="BM270" s="615"/>
      <c r="BN270" s="615"/>
      <c r="BO270" s="615"/>
      <c r="BP270" s="615"/>
      <c r="BQ270" s="615"/>
      <c r="BR270" s="615"/>
      <c r="BS270" s="615"/>
      <c r="BT270" s="615"/>
      <c r="BU270" s="615"/>
      <c r="BV270" s="615"/>
      <c r="BW270" s="615"/>
      <c r="BX270" s="607"/>
    </row>
    <row r="271" spans="1:76" s="612" customFormat="1" ht="25.5" x14ac:dyDescent="0.2">
      <c r="A271" s="839"/>
      <c r="B271" s="713" t="s">
        <v>2722</v>
      </c>
      <c r="C271" s="713" t="s">
        <v>2721</v>
      </c>
      <c r="D271" s="712">
        <v>0</v>
      </c>
      <c r="E271" s="712">
        <v>0</v>
      </c>
      <c r="F271" s="712">
        <v>0</v>
      </c>
      <c r="G271" s="712">
        <v>0</v>
      </c>
      <c r="H271" s="712">
        <v>0</v>
      </c>
      <c r="I271" s="712">
        <v>0</v>
      </c>
      <c r="J271" s="712">
        <v>0</v>
      </c>
      <c r="K271" s="712">
        <v>0</v>
      </c>
      <c r="L271" s="712">
        <v>0</v>
      </c>
      <c r="M271" s="712">
        <v>0</v>
      </c>
      <c r="N271" s="712">
        <v>0</v>
      </c>
      <c r="O271" s="712">
        <v>0</v>
      </c>
      <c r="P271" s="712">
        <v>0</v>
      </c>
      <c r="Q271" s="712">
        <v>0</v>
      </c>
      <c r="R271" s="712">
        <v>0</v>
      </c>
      <c r="S271" s="712">
        <v>2350000</v>
      </c>
      <c r="T271" s="712">
        <v>3350000</v>
      </c>
      <c r="U271" s="712">
        <v>3350000</v>
      </c>
      <c r="V271" s="712">
        <v>3350000</v>
      </c>
      <c r="W271" s="712">
        <v>3350000</v>
      </c>
      <c r="X271" s="712">
        <v>3350000</v>
      </c>
      <c r="Y271" s="712">
        <v>3350000</v>
      </c>
      <c r="Z271" s="712">
        <v>3350000</v>
      </c>
      <c r="AA271" s="712">
        <v>3350000</v>
      </c>
      <c r="AB271" s="712">
        <v>3350000</v>
      </c>
      <c r="AC271" s="712">
        <v>3350000</v>
      </c>
      <c r="AD271" s="712">
        <v>3350000</v>
      </c>
      <c r="AE271" s="712">
        <v>3350000</v>
      </c>
      <c r="AF271" s="712">
        <v>3350000</v>
      </c>
      <c r="AG271" s="712">
        <v>3350000</v>
      </c>
      <c r="AH271" s="712">
        <v>3350000</v>
      </c>
      <c r="AI271" s="712">
        <v>3350000</v>
      </c>
      <c r="AJ271" s="712">
        <v>3350000</v>
      </c>
      <c r="AK271" s="712">
        <v>3350000</v>
      </c>
      <c r="AL271" s="712">
        <v>3350000</v>
      </c>
      <c r="AM271" s="712">
        <v>3350000</v>
      </c>
      <c r="AN271" s="712">
        <v>3350000</v>
      </c>
      <c r="AO271" s="712">
        <v>3350000</v>
      </c>
      <c r="AP271" s="712">
        <v>3350000</v>
      </c>
      <c r="AQ271" s="712">
        <v>3350000</v>
      </c>
      <c r="AR271" s="712">
        <v>278250000</v>
      </c>
      <c r="AS271" s="712">
        <v>0</v>
      </c>
      <c r="AT271">
        <v>361000000</v>
      </c>
      <c r="AU271" s="615"/>
      <c r="AV271" s="615"/>
      <c r="AW271" s="615"/>
      <c r="AX271" s="615"/>
      <c r="AY271" s="615"/>
      <c r="AZ271" s="615"/>
      <c r="BA271" s="615"/>
      <c r="BB271" s="615"/>
      <c r="BC271" s="615"/>
      <c r="BD271" s="615"/>
      <c r="BE271" s="615"/>
      <c r="BF271" s="615"/>
      <c r="BG271" s="615"/>
      <c r="BH271" s="615"/>
      <c r="BI271" s="615"/>
      <c r="BJ271" s="615"/>
      <c r="BK271" s="615"/>
      <c r="BL271" s="615"/>
      <c r="BM271" s="615"/>
      <c r="BN271" s="615"/>
      <c r="BO271" s="615"/>
      <c r="BP271" s="615"/>
      <c r="BQ271" s="615"/>
      <c r="BR271" s="615"/>
      <c r="BS271" s="615"/>
      <c r="BT271" s="615"/>
      <c r="BU271" s="615"/>
      <c r="BV271" s="615"/>
      <c r="BW271" s="615"/>
      <c r="BX271" s="607"/>
    </row>
    <row r="272" spans="1:76" s="612" customFormat="1" ht="25.5" x14ac:dyDescent="0.2">
      <c r="A272" s="839"/>
      <c r="B272" s="713" t="s">
        <v>3137</v>
      </c>
      <c r="C272" s="713" t="s">
        <v>3136</v>
      </c>
      <c r="D272" s="712">
        <v>0</v>
      </c>
      <c r="E272" s="712">
        <v>0</v>
      </c>
      <c r="F272" s="712">
        <v>0</v>
      </c>
      <c r="G272" s="712">
        <v>0</v>
      </c>
      <c r="H272" s="712">
        <v>0</v>
      </c>
      <c r="I272" s="712">
        <v>0</v>
      </c>
      <c r="J272" s="712">
        <v>0</v>
      </c>
      <c r="K272" s="712">
        <v>0</v>
      </c>
      <c r="L272" s="712">
        <v>0</v>
      </c>
      <c r="M272" s="712">
        <v>0</v>
      </c>
      <c r="N272" s="712">
        <v>0</v>
      </c>
      <c r="O272" s="712">
        <v>0</v>
      </c>
      <c r="P272" s="712">
        <v>0</v>
      </c>
      <c r="Q272" s="712">
        <v>0</v>
      </c>
      <c r="R272" s="712">
        <v>0</v>
      </c>
      <c r="S272" s="712">
        <v>0</v>
      </c>
      <c r="T272" s="712">
        <v>3178571</v>
      </c>
      <c r="U272" s="712">
        <v>3178571</v>
      </c>
      <c r="V272" s="712">
        <v>3178571</v>
      </c>
      <c r="W272" s="712">
        <v>3178571</v>
      </c>
      <c r="X272" s="712">
        <v>3178571</v>
      </c>
      <c r="Y272" s="712">
        <v>3178571</v>
      </c>
      <c r="Z272" s="712">
        <v>3178571</v>
      </c>
      <c r="AA272" s="712">
        <v>3178571</v>
      </c>
      <c r="AB272" s="712">
        <v>3178571</v>
      </c>
      <c r="AC272" s="712">
        <v>3178571</v>
      </c>
      <c r="AD272" s="712">
        <v>3178571</v>
      </c>
      <c r="AE272" s="712">
        <v>3178571</v>
      </c>
      <c r="AF272" s="712">
        <v>3178571</v>
      </c>
      <c r="AG272" s="712">
        <v>3178571</v>
      </c>
      <c r="AH272" s="712">
        <v>3178571</v>
      </c>
      <c r="AI272" s="712">
        <v>3178571</v>
      </c>
      <c r="AJ272" s="712">
        <v>3178571</v>
      </c>
      <c r="AK272" s="712">
        <v>3178571</v>
      </c>
      <c r="AL272" s="712">
        <v>3178571</v>
      </c>
      <c r="AM272" s="712">
        <v>3178571</v>
      </c>
      <c r="AN272" s="712">
        <v>3178571</v>
      </c>
      <c r="AO272" s="712">
        <v>3178571</v>
      </c>
      <c r="AP272" s="712">
        <v>3178571</v>
      </c>
      <c r="AQ272" s="712">
        <v>3178586</v>
      </c>
      <c r="AR272" s="712">
        <v>271250000</v>
      </c>
      <c r="AS272" s="712">
        <v>0</v>
      </c>
      <c r="AT272">
        <v>347535719</v>
      </c>
      <c r="AU272" s="615"/>
      <c r="AV272" s="615"/>
      <c r="AW272" s="615"/>
      <c r="AX272" s="615"/>
      <c r="AY272" s="615"/>
      <c r="AZ272" s="615"/>
      <c r="BA272" s="615"/>
      <c r="BB272" s="615"/>
      <c r="BC272" s="615"/>
      <c r="BD272" s="615"/>
      <c r="BE272" s="615"/>
      <c r="BF272" s="615"/>
      <c r="BG272" s="615"/>
      <c r="BH272" s="615"/>
      <c r="BI272" s="615"/>
      <c r="BJ272" s="615"/>
      <c r="BK272" s="615"/>
      <c r="BL272" s="615"/>
      <c r="BM272" s="615"/>
      <c r="BN272" s="615"/>
      <c r="BO272" s="615"/>
      <c r="BP272" s="615"/>
      <c r="BQ272" s="615"/>
      <c r="BR272" s="615"/>
      <c r="BS272" s="615"/>
      <c r="BT272" s="615"/>
      <c r="BU272" s="615"/>
      <c r="BV272" s="615"/>
      <c r="BW272" s="615"/>
      <c r="BX272" s="607"/>
    </row>
    <row r="273" spans="1:76" s="612" customFormat="1" ht="25.5" x14ac:dyDescent="0.2">
      <c r="A273" s="839"/>
      <c r="B273" s="713" t="s">
        <v>1629</v>
      </c>
      <c r="C273" s="713" t="s">
        <v>4370</v>
      </c>
      <c r="D273" s="712">
        <v>0</v>
      </c>
      <c r="E273" s="712">
        <v>0</v>
      </c>
      <c r="F273" s="712">
        <v>0</v>
      </c>
      <c r="G273" s="712">
        <v>0</v>
      </c>
      <c r="H273" s="712">
        <v>0</v>
      </c>
      <c r="I273" s="712">
        <v>0</v>
      </c>
      <c r="J273" s="712">
        <v>0</v>
      </c>
      <c r="K273" s="712">
        <v>0</v>
      </c>
      <c r="L273" s="712">
        <v>0</v>
      </c>
      <c r="M273" s="712">
        <v>0</v>
      </c>
      <c r="N273" s="712">
        <v>0</v>
      </c>
      <c r="O273" s="712">
        <v>0</v>
      </c>
      <c r="P273" s="712">
        <v>0</v>
      </c>
      <c r="Q273" s="712">
        <v>0</v>
      </c>
      <c r="R273" s="712">
        <v>0</v>
      </c>
      <c r="S273" s="712">
        <v>2608140</v>
      </c>
      <c r="T273" s="712">
        <v>110708140</v>
      </c>
      <c r="U273" s="712">
        <v>2608140</v>
      </c>
      <c r="V273" s="712">
        <v>2608140</v>
      </c>
      <c r="W273" s="712">
        <v>2608140</v>
      </c>
      <c r="X273" s="712">
        <v>2608140</v>
      </c>
      <c r="Y273" s="712">
        <v>2608140</v>
      </c>
      <c r="Z273" s="712">
        <v>2608140</v>
      </c>
      <c r="AA273" s="712">
        <v>2608140</v>
      </c>
      <c r="AB273" s="712">
        <v>2608140</v>
      </c>
      <c r="AC273" s="712">
        <v>2608140</v>
      </c>
      <c r="AD273" s="712">
        <v>2608140</v>
      </c>
      <c r="AE273" s="712">
        <v>2608140</v>
      </c>
      <c r="AF273" s="712">
        <v>2608140</v>
      </c>
      <c r="AG273" s="712">
        <v>2608140</v>
      </c>
      <c r="AH273" s="712">
        <v>2608140</v>
      </c>
      <c r="AI273" s="712">
        <v>2608140</v>
      </c>
      <c r="AJ273" s="712">
        <v>2608140</v>
      </c>
      <c r="AK273" s="712">
        <v>2608140</v>
      </c>
      <c r="AL273" s="712">
        <v>2608140</v>
      </c>
      <c r="AM273" s="712">
        <v>2608140</v>
      </c>
      <c r="AN273" s="712">
        <v>2608140</v>
      </c>
      <c r="AO273" s="712">
        <v>2608140</v>
      </c>
      <c r="AP273" s="712">
        <v>2608140</v>
      </c>
      <c r="AQ273" s="712">
        <v>2608140</v>
      </c>
      <c r="AR273" s="712">
        <v>416041500</v>
      </c>
      <c r="AS273" s="712">
        <v>0</v>
      </c>
      <c r="AT273">
        <v>589345000</v>
      </c>
      <c r="AU273" s="615"/>
      <c r="AV273" s="615"/>
      <c r="AW273" s="615"/>
      <c r="AX273" s="615"/>
      <c r="AY273" s="615"/>
      <c r="AZ273" s="615"/>
      <c r="BA273" s="615"/>
      <c r="BB273" s="615"/>
      <c r="BC273" s="615"/>
      <c r="BD273" s="615"/>
      <c r="BE273" s="615"/>
      <c r="BF273" s="615"/>
      <c r="BG273" s="615"/>
      <c r="BH273" s="615"/>
      <c r="BI273" s="615"/>
      <c r="BJ273" s="615"/>
      <c r="BK273" s="615"/>
      <c r="BL273" s="615"/>
      <c r="BM273" s="615"/>
      <c r="BN273" s="615"/>
      <c r="BO273" s="615"/>
      <c r="BP273" s="615"/>
      <c r="BQ273" s="615"/>
      <c r="BR273" s="615"/>
      <c r="BS273" s="615"/>
      <c r="BT273" s="615"/>
      <c r="BU273" s="615"/>
      <c r="BV273" s="615"/>
      <c r="BW273" s="615"/>
      <c r="BX273" s="607"/>
    </row>
    <row r="274" spans="1:76" s="612" customFormat="1" ht="25.5" x14ac:dyDescent="0.2">
      <c r="A274" s="839"/>
      <c r="B274" s="713" t="s">
        <v>2691</v>
      </c>
      <c r="C274" s="713" t="s">
        <v>2690</v>
      </c>
      <c r="D274" s="712">
        <v>0</v>
      </c>
      <c r="E274" s="712">
        <v>0</v>
      </c>
      <c r="F274" s="712">
        <v>0</v>
      </c>
      <c r="G274" s="712">
        <v>0</v>
      </c>
      <c r="H274" s="712">
        <v>0</v>
      </c>
      <c r="I274" s="712">
        <v>0</v>
      </c>
      <c r="J274" s="712">
        <v>0</v>
      </c>
      <c r="K274" s="712">
        <v>0</v>
      </c>
      <c r="L274" s="712">
        <v>0</v>
      </c>
      <c r="M274" s="712">
        <v>0</v>
      </c>
      <c r="N274" s="712">
        <v>0</v>
      </c>
      <c r="O274" s="712">
        <v>0</v>
      </c>
      <c r="P274" s="712">
        <v>0</v>
      </c>
      <c r="Q274" s="712">
        <v>0</v>
      </c>
      <c r="R274" s="712">
        <v>0</v>
      </c>
      <c r="S274" s="712">
        <v>0</v>
      </c>
      <c r="T274" s="712">
        <v>1547809</v>
      </c>
      <c r="U274" s="712">
        <v>1550000</v>
      </c>
      <c r="V274" s="712">
        <v>46600000</v>
      </c>
      <c r="W274" s="712">
        <v>1550000</v>
      </c>
      <c r="X274" s="712">
        <v>1550000</v>
      </c>
      <c r="Y274" s="712">
        <v>1550000</v>
      </c>
      <c r="Z274" s="712">
        <v>1550000</v>
      </c>
      <c r="AA274" s="712">
        <v>1550000</v>
      </c>
      <c r="AB274" s="712">
        <v>1550000</v>
      </c>
      <c r="AC274" s="712">
        <v>1550000</v>
      </c>
      <c r="AD274" s="712">
        <v>1550000</v>
      </c>
      <c r="AE274" s="712">
        <v>1550000</v>
      </c>
      <c r="AF274" s="712">
        <v>1550000</v>
      </c>
      <c r="AG274" s="712">
        <v>1550000</v>
      </c>
      <c r="AH274" s="712">
        <v>1550000</v>
      </c>
      <c r="AI274" s="712">
        <v>1550000</v>
      </c>
      <c r="AJ274" s="712">
        <v>1550000</v>
      </c>
      <c r="AK274" s="712">
        <v>1550000</v>
      </c>
      <c r="AL274" s="712">
        <v>1550000</v>
      </c>
      <c r="AM274" s="712">
        <v>1550000</v>
      </c>
      <c r="AN274" s="712">
        <v>1550000</v>
      </c>
      <c r="AO274" s="712">
        <v>1550000</v>
      </c>
      <c r="AP274" s="712">
        <v>1550000</v>
      </c>
      <c r="AQ274" s="712">
        <v>3960000</v>
      </c>
      <c r="AR274" s="712">
        <v>272440000</v>
      </c>
      <c r="AS274" s="712">
        <v>0</v>
      </c>
      <c r="AT274">
        <v>357097809</v>
      </c>
      <c r="AU274" s="615"/>
      <c r="AV274" s="615"/>
      <c r="AW274" s="615"/>
      <c r="AX274" s="615"/>
      <c r="AY274" s="615"/>
      <c r="AZ274" s="615"/>
      <c r="BA274" s="615"/>
      <c r="BB274" s="615"/>
      <c r="BC274" s="615"/>
      <c r="BD274" s="615"/>
      <c r="BE274" s="615"/>
      <c r="BF274" s="615"/>
      <c r="BG274" s="615"/>
      <c r="BH274" s="615"/>
      <c r="BI274" s="615"/>
      <c r="BJ274" s="615"/>
      <c r="BK274" s="615"/>
      <c r="BL274" s="615"/>
      <c r="BM274" s="615"/>
      <c r="BN274" s="615"/>
      <c r="BO274" s="615"/>
      <c r="BP274" s="615"/>
      <c r="BQ274" s="615"/>
      <c r="BR274" s="615"/>
      <c r="BS274" s="615"/>
      <c r="BT274" s="615"/>
      <c r="BU274" s="615"/>
      <c r="BV274" s="615"/>
      <c r="BW274" s="615"/>
      <c r="BX274" s="607"/>
    </row>
    <row r="275" spans="1:76" s="612" customFormat="1" ht="25.5" x14ac:dyDescent="0.2">
      <c r="A275" s="839"/>
      <c r="B275" s="713" t="s">
        <v>3270</v>
      </c>
      <c r="C275" s="713" t="s">
        <v>3269</v>
      </c>
      <c r="D275" s="712">
        <v>0</v>
      </c>
      <c r="E275" s="712">
        <v>0</v>
      </c>
      <c r="F275" s="712">
        <v>0</v>
      </c>
      <c r="G275" s="712">
        <v>0</v>
      </c>
      <c r="H275" s="712">
        <v>0</v>
      </c>
      <c r="I275" s="712">
        <v>0</v>
      </c>
      <c r="J275" s="712">
        <v>0</v>
      </c>
      <c r="K275" s="712">
        <v>0</v>
      </c>
      <c r="L275" s="712">
        <v>0</v>
      </c>
      <c r="M275" s="712">
        <v>0</v>
      </c>
      <c r="N275" s="712">
        <v>0</v>
      </c>
      <c r="O275" s="712">
        <v>0</v>
      </c>
      <c r="P275" s="712">
        <v>0</v>
      </c>
      <c r="Q275" s="712">
        <v>0</v>
      </c>
      <c r="R275" s="712">
        <v>0</v>
      </c>
      <c r="S275" s="712">
        <v>0</v>
      </c>
      <c r="T275" s="712">
        <v>3976774</v>
      </c>
      <c r="U275" s="712">
        <v>3976774</v>
      </c>
      <c r="V275" s="712">
        <v>3976774</v>
      </c>
      <c r="W275" s="712">
        <v>3976774</v>
      </c>
      <c r="X275" s="712">
        <v>3976774</v>
      </c>
      <c r="Y275" s="712">
        <v>3976774</v>
      </c>
      <c r="Z275" s="712">
        <v>3976774</v>
      </c>
      <c r="AA275" s="712">
        <v>3976774</v>
      </c>
      <c r="AB275" s="712">
        <v>3976774</v>
      </c>
      <c r="AC275" s="712">
        <v>3976774</v>
      </c>
      <c r="AD275" s="712">
        <v>3976774</v>
      </c>
      <c r="AE275" s="712">
        <v>3976774</v>
      </c>
      <c r="AF275" s="712">
        <v>3976774</v>
      </c>
      <c r="AG275" s="712">
        <v>3976774</v>
      </c>
      <c r="AH275" s="712">
        <v>3976774</v>
      </c>
      <c r="AI275" s="712">
        <v>3976774</v>
      </c>
      <c r="AJ275" s="712">
        <v>3976774</v>
      </c>
      <c r="AK275" s="712">
        <v>3976774</v>
      </c>
      <c r="AL275" s="712">
        <v>3976774</v>
      </c>
      <c r="AM275" s="712">
        <v>3976774</v>
      </c>
      <c r="AN275" s="712">
        <v>3976774</v>
      </c>
      <c r="AO275" s="712">
        <v>3976774</v>
      </c>
      <c r="AP275" s="712">
        <v>3976774</v>
      </c>
      <c r="AQ275" s="712">
        <v>3976780</v>
      </c>
      <c r="AR275" s="712">
        <v>299320000</v>
      </c>
      <c r="AS275" s="712">
        <v>0</v>
      </c>
      <c r="AT275">
        <v>394762582</v>
      </c>
      <c r="AU275" s="615"/>
      <c r="AV275" s="615"/>
      <c r="AW275" s="615"/>
      <c r="AX275" s="615"/>
      <c r="AY275" s="615"/>
      <c r="AZ275" s="615"/>
      <c r="BA275" s="615"/>
      <c r="BB275" s="615"/>
      <c r="BC275" s="615"/>
      <c r="BD275" s="615"/>
      <c r="BE275" s="615"/>
      <c r="BF275" s="615"/>
      <c r="BG275" s="615"/>
      <c r="BH275" s="615"/>
      <c r="BI275" s="615"/>
      <c r="BJ275" s="615"/>
      <c r="BK275" s="615"/>
      <c r="BL275" s="615"/>
      <c r="BM275" s="615"/>
      <c r="BN275" s="615"/>
      <c r="BO275" s="615"/>
      <c r="BP275" s="615"/>
      <c r="BQ275" s="615"/>
      <c r="BR275" s="615"/>
      <c r="BS275" s="615"/>
      <c r="BT275" s="615"/>
      <c r="BU275" s="615"/>
      <c r="BV275" s="615"/>
      <c r="BW275" s="615"/>
      <c r="BX275" s="607"/>
    </row>
    <row r="276" spans="1:76" s="612" customFormat="1" ht="25.5" x14ac:dyDescent="0.2">
      <c r="A276" s="839"/>
      <c r="B276" s="713" t="s">
        <v>2997</v>
      </c>
      <c r="C276" s="713" t="s">
        <v>2996</v>
      </c>
      <c r="D276" s="712">
        <v>0</v>
      </c>
      <c r="E276" s="712">
        <v>0</v>
      </c>
      <c r="F276" s="712">
        <v>0</v>
      </c>
      <c r="G276" s="712">
        <v>0</v>
      </c>
      <c r="H276" s="712">
        <v>0</v>
      </c>
      <c r="I276" s="712">
        <v>0</v>
      </c>
      <c r="J276" s="712">
        <v>0</v>
      </c>
      <c r="K276" s="712">
        <v>0</v>
      </c>
      <c r="L276" s="712">
        <v>0</v>
      </c>
      <c r="M276" s="712">
        <v>0</v>
      </c>
      <c r="N276" s="712">
        <v>0</v>
      </c>
      <c r="O276" s="712">
        <v>0</v>
      </c>
      <c r="P276" s="712">
        <v>0</v>
      </c>
      <c r="Q276" s="712">
        <v>0</v>
      </c>
      <c r="R276" s="712">
        <v>0</v>
      </c>
      <c r="S276" s="712">
        <v>0</v>
      </c>
      <c r="T276" s="712">
        <v>4400000</v>
      </c>
      <c r="U276" s="712">
        <v>4400000</v>
      </c>
      <c r="V276" s="712">
        <v>4400000</v>
      </c>
      <c r="W276" s="712">
        <v>4400000</v>
      </c>
      <c r="X276" s="712">
        <v>4400000</v>
      </c>
      <c r="Y276" s="712">
        <v>4400000</v>
      </c>
      <c r="Z276" s="712">
        <v>4400000</v>
      </c>
      <c r="AA276" s="712">
        <v>4400000</v>
      </c>
      <c r="AB276" s="712">
        <v>4400000</v>
      </c>
      <c r="AC276" s="712">
        <v>4400000</v>
      </c>
      <c r="AD276" s="712">
        <v>4400000</v>
      </c>
      <c r="AE276" s="712">
        <v>4400000</v>
      </c>
      <c r="AF276" s="712">
        <v>4400000</v>
      </c>
      <c r="AG276" s="712">
        <v>4400000</v>
      </c>
      <c r="AH276" s="712">
        <v>4400000</v>
      </c>
      <c r="AI276" s="712">
        <v>4400000</v>
      </c>
      <c r="AJ276" s="712">
        <v>4400000</v>
      </c>
      <c r="AK276" s="712">
        <v>4400000</v>
      </c>
      <c r="AL276" s="712">
        <v>4400000</v>
      </c>
      <c r="AM276" s="712">
        <v>4400000</v>
      </c>
      <c r="AN276" s="712">
        <v>4400000</v>
      </c>
      <c r="AO276" s="712">
        <v>4400000</v>
      </c>
      <c r="AP276" s="712">
        <v>4400000</v>
      </c>
      <c r="AQ276" s="712">
        <v>4400000</v>
      </c>
      <c r="AR276" s="712">
        <v>371000000</v>
      </c>
      <c r="AS276" s="712">
        <v>0</v>
      </c>
      <c r="AT276">
        <v>476600000</v>
      </c>
      <c r="AU276" s="615"/>
      <c r="AV276" s="615"/>
      <c r="AW276" s="615"/>
      <c r="AX276" s="615"/>
      <c r="AY276" s="615"/>
      <c r="AZ276" s="615"/>
      <c r="BA276" s="615"/>
      <c r="BB276" s="615"/>
      <c r="BC276" s="615"/>
      <c r="BD276" s="615"/>
      <c r="BE276" s="615"/>
      <c r="BF276" s="615"/>
      <c r="BG276" s="615"/>
      <c r="BH276" s="615"/>
      <c r="BI276" s="615"/>
      <c r="BJ276" s="615"/>
      <c r="BK276" s="615"/>
      <c r="BL276" s="615"/>
      <c r="BM276" s="615"/>
      <c r="BN276" s="615"/>
      <c r="BO276" s="615"/>
      <c r="BP276" s="615"/>
      <c r="BQ276" s="615"/>
      <c r="BR276" s="615"/>
      <c r="BS276" s="615"/>
      <c r="BT276" s="615"/>
      <c r="BU276" s="615"/>
      <c r="BV276" s="615"/>
      <c r="BW276" s="615"/>
      <c r="BX276" s="607"/>
    </row>
    <row r="277" spans="1:76" s="612" customFormat="1" ht="25.5" x14ac:dyDescent="0.2">
      <c r="A277" s="839"/>
      <c r="B277" s="713" t="s">
        <v>3364</v>
      </c>
      <c r="C277" s="713" t="s">
        <v>3363</v>
      </c>
      <c r="D277" s="712">
        <v>0</v>
      </c>
      <c r="E277" s="712">
        <v>0</v>
      </c>
      <c r="F277" s="712">
        <v>0</v>
      </c>
      <c r="G277" s="712">
        <v>0</v>
      </c>
      <c r="H277" s="712">
        <v>0</v>
      </c>
      <c r="I277" s="712">
        <v>0</v>
      </c>
      <c r="J277" s="712">
        <v>0</v>
      </c>
      <c r="K277" s="712">
        <v>0</v>
      </c>
      <c r="L277" s="712">
        <v>0</v>
      </c>
      <c r="M277" s="712">
        <v>0</v>
      </c>
      <c r="N277" s="712">
        <v>0</v>
      </c>
      <c r="O277" s="712">
        <v>0</v>
      </c>
      <c r="P277" s="712">
        <v>0</v>
      </c>
      <c r="Q277" s="712">
        <v>0</v>
      </c>
      <c r="R277" s="712">
        <v>0</v>
      </c>
      <c r="S277" s="712">
        <v>0</v>
      </c>
      <c r="T277" s="712">
        <v>0</v>
      </c>
      <c r="U277" s="712">
        <v>0</v>
      </c>
      <c r="V277" s="712">
        <v>0</v>
      </c>
      <c r="W277" s="712">
        <v>0</v>
      </c>
      <c r="X277" s="712">
        <v>0</v>
      </c>
      <c r="Y277" s="712">
        <v>0</v>
      </c>
      <c r="Z277" s="712">
        <v>0</v>
      </c>
      <c r="AA277" s="712">
        <v>0</v>
      </c>
      <c r="AB277" s="712">
        <v>0</v>
      </c>
      <c r="AC277" s="712">
        <v>0</v>
      </c>
      <c r="AD277" s="712">
        <v>0</v>
      </c>
      <c r="AE277" s="712">
        <v>0</v>
      </c>
      <c r="AF277" s="712">
        <v>0</v>
      </c>
      <c r="AG277" s="712">
        <v>895500</v>
      </c>
      <c r="AH277" s="712">
        <v>3992500</v>
      </c>
      <c r="AI277" s="712">
        <v>3992500</v>
      </c>
      <c r="AJ277" s="712">
        <v>3992500</v>
      </c>
      <c r="AK277" s="712">
        <v>3992500</v>
      </c>
      <c r="AL277" s="712">
        <v>3992500</v>
      </c>
      <c r="AM277" s="712">
        <v>3992500</v>
      </c>
      <c r="AN277" s="712">
        <v>3992500</v>
      </c>
      <c r="AO277" s="712">
        <v>3992500</v>
      </c>
      <c r="AP277" s="712">
        <v>3992500</v>
      </c>
      <c r="AQ277" s="712">
        <v>3992500</v>
      </c>
      <c r="AR277" s="712">
        <v>300457500</v>
      </c>
      <c r="AS277" s="712">
        <v>0</v>
      </c>
      <c r="AT277">
        <v>341278000</v>
      </c>
      <c r="AU277" s="615"/>
      <c r="AV277" s="615"/>
      <c r="AW277" s="615"/>
      <c r="AX277" s="615"/>
      <c r="AY277" s="615"/>
      <c r="AZ277" s="615"/>
      <c r="BA277" s="615"/>
      <c r="BB277" s="615"/>
      <c r="BC277" s="615"/>
      <c r="BD277" s="615"/>
      <c r="BE277" s="615"/>
      <c r="BF277" s="615"/>
      <c r="BG277" s="615"/>
      <c r="BH277" s="615"/>
      <c r="BI277" s="615"/>
      <c r="BJ277" s="615"/>
      <c r="BK277" s="615"/>
      <c r="BL277" s="615"/>
      <c r="BM277" s="615"/>
      <c r="BN277" s="615"/>
      <c r="BO277" s="615"/>
      <c r="BP277" s="615"/>
      <c r="BQ277" s="615"/>
      <c r="BR277" s="615"/>
      <c r="BS277" s="615"/>
      <c r="BT277" s="615"/>
      <c r="BU277" s="615"/>
      <c r="BV277" s="615"/>
      <c r="BW277" s="615"/>
      <c r="BX277" s="607"/>
    </row>
    <row r="278" spans="1:76" s="612" customFormat="1" ht="25.5" x14ac:dyDescent="0.2">
      <c r="A278" s="839"/>
      <c r="B278" s="713" t="s">
        <v>2986</v>
      </c>
      <c r="C278" s="713" t="s">
        <v>2985</v>
      </c>
      <c r="D278" s="712">
        <v>0</v>
      </c>
      <c r="E278" s="712">
        <v>0</v>
      </c>
      <c r="F278" s="712">
        <v>0</v>
      </c>
      <c r="G278" s="712">
        <v>0</v>
      </c>
      <c r="H278" s="712">
        <v>0</v>
      </c>
      <c r="I278" s="712">
        <v>0</v>
      </c>
      <c r="J278" s="712">
        <v>0</v>
      </c>
      <c r="K278" s="712">
        <v>0</v>
      </c>
      <c r="L278" s="712">
        <v>0</v>
      </c>
      <c r="M278" s="712">
        <v>0</v>
      </c>
      <c r="N278" s="712">
        <v>0</v>
      </c>
      <c r="O278" s="712">
        <v>0</v>
      </c>
      <c r="P278" s="712">
        <v>0</v>
      </c>
      <c r="Q278" s="712">
        <v>0</v>
      </c>
      <c r="R278" s="712">
        <v>0</v>
      </c>
      <c r="S278" s="712">
        <v>0</v>
      </c>
      <c r="T278" s="712">
        <v>0</v>
      </c>
      <c r="U278" s="712">
        <v>2891423</v>
      </c>
      <c r="V278" s="712">
        <v>3268571</v>
      </c>
      <c r="W278" s="712">
        <v>3268571</v>
      </c>
      <c r="X278" s="712">
        <v>3268571</v>
      </c>
      <c r="Y278" s="712">
        <v>3268571</v>
      </c>
      <c r="Z278" s="712">
        <v>3268571</v>
      </c>
      <c r="AA278" s="712">
        <v>3268571</v>
      </c>
      <c r="AB278" s="712">
        <v>3268571</v>
      </c>
      <c r="AC278" s="712">
        <v>3268571</v>
      </c>
      <c r="AD278" s="712">
        <v>3268571</v>
      </c>
      <c r="AE278" s="712">
        <v>3268571</v>
      </c>
      <c r="AF278" s="712">
        <v>3268571</v>
      </c>
      <c r="AG278" s="712">
        <v>3268571</v>
      </c>
      <c r="AH278" s="712">
        <v>3268571</v>
      </c>
      <c r="AI278" s="712">
        <v>3268571</v>
      </c>
      <c r="AJ278" s="712">
        <v>3268571</v>
      </c>
      <c r="AK278" s="712">
        <v>3268571</v>
      </c>
      <c r="AL278" s="712">
        <v>3268571</v>
      </c>
      <c r="AM278" s="712">
        <v>3268571</v>
      </c>
      <c r="AN278" s="712">
        <v>3268571</v>
      </c>
      <c r="AO278" s="712">
        <v>3268571</v>
      </c>
      <c r="AP278" s="712">
        <v>3268571</v>
      </c>
      <c r="AQ278" s="712">
        <v>3268586</v>
      </c>
      <c r="AR278" s="712">
        <v>278600000</v>
      </c>
      <c r="AS278" s="712">
        <v>0</v>
      </c>
      <c r="AT278">
        <v>353400000</v>
      </c>
      <c r="AU278" s="615"/>
      <c r="AV278" s="615"/>
      <c r="AW278" s="615"/>
      <c r="AX278" s="615"/>
      <c r="AY278" s="615"/>
      <c r="AZ278" s="615"/>
      <c r="BA278" s="615"/>
      <c r="BB278" s="615"/>
      <c r="BC278" s="615"/>
      <c r="BD278" s="615"/>
      <c r="BE278" s="615"/>
      <c r="BF278" s="615"/>
      <c r="BG278" s="615"/>
      <c r="BH278" s="615"/>
      <c r="BI278" s="615"/>
      <c r="BJ278" s="615"/>
      <c r="BK278" s="615"/>
      <c r="BL278" s="615"/>
      <c r="BM278" s="615"/>
      <c r="BN278" s="615"/>
      <c r="BO278" s="615"/>
      <c r="BP278" s="615"/>
      <c r="BQ278" s="615"/>
      <c r="BR278" s="615"/>
      <c r="BS278" s="615"/>
      <c r="BT278" s="615"/>
      <c r="BU278" s="615"/>
      <c r="BV278" s="615"/>
      <c r="BW278" s="615"/>
      <c r="BX278" s="607"/>
    </row>
    <row r="279" spans="1:76" s="612" customFormat="1" ht="25.5" x14ac:dyDescent="0.2">
      <c r="A279" s="839"/>
      <c r="B279" s="713" t="s">
        <v>3342</v>
      </c>
      <c r="C279" s="713" t="s">
        <v>3341</v>
      </c>
      <c r="D279" s="712">
        <v>0</v>
      </c>
      <c r="E279" s="712">
        <v>0</v>
      </c>
      <c r="F279" s="712">
        <v>0</v>
      </c>
      <c r="G279" s="712">
        <v>0</v>
      </c>
      <c r="H279" s="712">
        <v>0</v>
      </c>
      <c r="I279" s="712">
        <v>0</v>
      </c>
      <c r="J279" s="712">
        <v>0</v>
      </c>
      <c r="K279" s="712">
        <v>0</v>
      </c>
      <c r="L279" s="712">
        <v>0</v>
      </c>
      <c r="M279" s="712">
        <v>0</v>
      </c>
      <c r="N279" s="712">
        <v>0</v>
      </c>
      <c r="O279" s="712">
        <v>0</v>
      </c>
      <c r="P279" s="712">
        <v>0</v>
      </c>
      <c r="Q279" s="712">
        <v>0</v>
      </c>
      <c r="R279" s="712">
        <v>0</v>
      </c>
      <c r="S279" s="712">
        <v>1345246</v>
      </c>
      <c r="T279" s="712">
        <v>1345249</v>
      </c>
      <c r="U279" s="712">
        <v>3000000</v>
      </c>
      <c r="V279" s="712">
        <v>16000000</v>
      </c>
      <c r="W279" s="712">
        <v>1345249</v>
      </c>
      <c r="X279" s="712">
        <v>1345249</v>
      </c>
      <c r="Y279" s="712">
        <v>21000000</v>
      </c>
      <c r="Z279" s="712">
        <v>1345249</v>
      </c>
      <c r="AA279" s="712">
        <v>1345249</v>
      </c>
      <c r="AB279" s="712">
        <v>14000000</v>
      </c>
      <c r="AC279" s="712">
        <v>1345249</v>
      </c>
      <c r="AD279" s="712">
        <v>1345249</v>
      </c>
      <c r="AE279" s="712">
        <v>1345249</v>
      </c>
      <c r="AF279" s="712">
        <v>1345249</v>
      </c>
      <c r="AG279" s="712">
        <v>3000000</v>
      </c>
      <c r="AH279" s="712">
        <v>17000000</v>
      </c>
      <c r="AI279" s="712">
        <v>1345249</v>
      </c>
      <c r="AJ279" s="712">
        <v>1345249</v>
      </c>
      <c r="AK279" s="712">
        <v>21000000</v>
      </c>
      <c r="AL279" s="712">
        <v>1345249</v>
      </c>
      <c r="AM279" s="712">
        <v>1345249</v>
      </c>
      <c r="AN279" s="712">
        <v>15000000</v>
      </c>
      <c r="AO279" s="712">
        <v>1345249</v>
      </c>
      <c r="AP279" s="712">
        <v>1345249</v>
      </c>
      <c r="AQ279" s="712">
        <v>1345269</v>
      </c>
      <c r="AR279" s="712">
        <v>417445000</v>
      </c>
      <c r="AS279" s="712">
        <v>0</v>
      </c>
      <c r="AT279">
        <v>550314250</v>
      </c>
      <c r="AU279" s="615"/>
      <c r="AV279" s="615"/>
      <c r="AW279" s="615"/>
      <c r="AX279" s="615"/>
      <c r="AY279" s="615"/>
      <c r="AZ279" s="615"/>
      <c r="BA279" s="615"/>
      <c r="BB279" s="615"/>
      <c r="BC279" s="615"/>
      <c r="BD279" s="615"/>
      <c r="BE279" s="615"/>
      <c r="BF279" s="615"/>
      <c r="BG279" s="615"/>
      <c r="BH279" s="615"/>
      <c r="BI279" s="615"/>
      <c r="BJ279" s="615"/>
      <c r="BK279" s="615"/>
      <c r="BL279" s="615"/>
      <c r="BM279" s="615"/>
      <c r="BN279" s="615"/>
      <c r="BO279" s="615"/>
      <c r="BP279" s="615"/>
      <c r="BQ279" s="615"/>
      <c r="BR279" s="615"/>
      <c r="BS279" s="615"/>
      <c r="BT279" s="615"/>
      <c r="BU279" s="615"/>
      <c r="BV279" s="615"/>
      <c r="BW279" s="615"/>
      <c r="BX279" s="607"/>
    </row>
    <row r="280" spans="1:76" s="612" customFormat="1" ht="25.5" x14ac:dyDescent="0.2">
      <c r="A280" s="839"/>
      <c r="B280" s="713" t="s">
        <v>3266</v>
      </c>
      <c r="C280" s="713" t="s">
        <v>3265</v>
      </c>
      <c r="D280" s="712">
        <v>0</v>
      </c>
      <c r="E280" s="712">
        <v>0</v>
      </c>
      <c r="F280" s="712">
        <v>0</v>
      </c>
      <c r="G280" s="712">
        <v>0</v>
      </c>
      <c r="H280" s="712">
        <v>0</v>
      </c>
      <c r="I280" s="712">
        <v>0</v>
      </c>
      <c r="J280" s="712">
        <v>0</v>
      </c>
      <c r="K280" s="712">
        <v>0</v>
      </c>
      <c r="L280" s="712">
        <v>0</v>
      </c>
      <c r="M280" s="712">
        <v>0</v>
      </c>
      <c r="N280" s="712">
        <v>0</v>
      </c>
      <c r="O280" s="712">
        <v>0</v>
      </c>
      <c r="P280" s="712">
        <v>0</v>
      </c>
      <c r="Q280" s="712">
        <v>0</v>
      </c>
      <c r="R280" s="712">
        <v>0</v>
      </c>
      <c r="S280" s="712">
        <v>3919895</v>
      </c>
      <c r="T280" s="712">
        <v>3919919</v>
      </c>
      <c r="U280" s="712">
        <v>3919919</v>
      </c>
      <c r="V280" s="712">
        <v>3919919</v>
      </c>
      <c r="W280" s="712">
        <v>3919919</v>
      </c>
      <c r="X280" s="712">
        <v>3919919</v>
      </c>
      <c r="Y280" s="712">
        <v>3919919</v>
      </c>
      <c r="Z280" s="712">
        <v>3919919</v>
      </c>
      <c r="AA280" s="712">
        <v>3919919</v>
      </c>
      <c r="AB280" s="712">
        <v>3919919</v>
      </c>
      <c r="AC280" s="712">
        <v>3919919</v>
      </c>
      <c r="AD280" s="712">
        <v>3919919</v>
      </c>
      <c r="AE280" s="712">
        <v>3919919</v>
      </c>
      <c r="AF280" s="712">
        <v>3919919</v>
      </c>
      <c r="AG280" s="712">
        <v>3919919</v>
      </c>
      <c r="AH280" s="712">
        <v>3919919</v>
      </c>
      <c r="AI280" s="712">
        <v>3919919</v>
      </c>
      <c r="AJ280" s="712">
        <v>3919919</v>
      </c>
      <c r="AK280" s="712">
        <v>3919919</v>
      </c>
      <c r="AL280" s="712">
        <v>3919919</v>
      </c>
      <c r="AM280" s="712">
        <v>3919919</v>
      </c>
      <c r="AN280" s="712">
        <v>3919919</v>
      </c>
      <c r="AO280" s="712">
        <v>3919919</v>
      </c>
      <c r="AP280" s="712">
        <v>3919919</v>
      </c>
      <c r="AQ280" s="712">
        <v>3919930</v>
      </c>
      <c r="AR280" s="712">
        <v>295207500</v>
      </c>
      <c r="AS280" s="712">
        <v>0</v>
      </c>
      <c r="AT280">
        <v>393205462</v>
      </c>
      <c r="AU280" s="615"/>
      <c r="AV280" s="615"/>
      <c r="AW280" s="615"/>
      <c r="AX280" s="615"/>
      <c r="AY280" s="615"/>
      <c r="AZ280" s="615"/>
      <c r="BA280" s="615"/>
      <c r="BB280" s="615"/>
      <c r="BC280" s="615"/>
      <c r="BD280" s="615"/>
      <c r="BE280" s="615"/>
      <c r="BF280" s="615"/>
      <c r="BG280" s="615"/>
      <c r="BH280" s="615"/>
      <c r="BI280" s="615"/>
      <c r="BJ280" s="615"/>
      <c r="BK280" s="615"/>
      <c r="BL280" s="615"/>
      <c r="BM280" s="615"/>
      <c r="BN280" s="615"/>
      <c r="BO280" s="615"/>
      <c r="BP280" s="615"/>
      <c r="BQ280" s="615"/>
      <c r="BR280" s="615"/>
      <c r="BS280" s="615"/>
      <c r="BT280" s="615"/>
      <c r="BU280" s="615"/>
      <c r="BV280" s="615"/>
      <c r="BW280" s="615"/>
      <c r="BX280" s="607"/>
    </row>
    <row r="281" spans="1:76" s="612" customFormat="1" ht="25.5" x14ac:dyDescent="0.2">
      <c r="A281" s="839"/>
      <c r="B281" s="713" t="s">
        <v>2712</v>
      </c>
      <c r="C281" s="713" t="s">
        <v>2711</v>
      </c>
      <c r="D281" s="712">
        <v>0</v>
      </c>
      <c r="E281" s="712">
        <v>0</v>
      </c>
      <c r="F281" s="712">
        <v>0</v>
      </c>
      <c r="G281" s="712">
        <v>0</v>
      </c>
      <c r="H281" s="712">
        <v>0</v>
      </c>
      <c r="I281" s="712">
        <v>0</v>
      </c>
      <c r="J281" s="712">
        <v>0</v>
      </c>
      <c r="K281" s="712">
        <v>0</v>
      </c>
      <c r="L281" s="712">
        <v>0</v>
      </c>
      <c r="M281" s="712">
        <v>0</v>
      </c>
      <c r="N281" s="712">
        <v>0</v>
      </c>
      <c r="O281" s="712">
        <v>0</v>
      </c>
      <c r="P281" s="712">
        <v>0</v>
      </c>
      <c r="Q281" s="712">
        <v>0</v>
      </c>
      <c r="R281" s="712">
        <v>0</v>
      </c>
      <c r="S281" s="712">
        <v>0</v>
      </c>
      <c r="T281" s="712">
        <v>3332857</v>
      </c>
      <c r="U281" s="712">
        <v>3332857</v>
      </c>
      <c r="V281" s="712">
        <v>3332857</v>
      </c>
      <c r="W281" s="712">
        <v>3332857</v>
      </c>
      <c r="X281" s="712">
        <v>3332857</v>
      </c>
      <c r="Y281" s="712">
        <v>3332857</v>
      </c>
      <c r="Z281" s="712">
        <v>3332857</v>
      </c>
      <c r="AA281" s="712">
        <v>3332857</v>
      </c>
      <c r="AB281" s="712">
        <v>3332857</v>
      </c>
      <c r="AC281" s="712">
        <v>3332857</v>
      </c>
      <c r="AD281" s="712">
        <v>3332857</v>
      </c>
      <c r="AE281" s="712">
        <v>3332857</v>
      </c>
      <c r="AF281" s="712">
        <v>3332857</v>
      </c>
      <c r="AG281" s="712">
        <v>3332857</v>
      </c>
      <c r="AH281" s="712">
        <v>3332857</v>
      </c>
      <c r="AI281" s="712">
        <v>3332857</v>
      </c>
      <c r="AJ281" s="712">
        <v>3332857</v>
      </c>
      <c r="AK281" s="712">
        <v>3332857</v>
      </c>
      <c r="AL281" s="712">
        <v>3332857</v>
      </c>
      <c r="AM281" s="712">
        <v>3332857</v>
      </c>
      <c r="AN281" s="712">
        <v>3332857</v>
      </c>
      <c r="AO281" s="712">
        <v>3332857</v>
      </c>
      <c r="AP281" s="712">
        <v>3332857</v>
      </c>
      <c r="AQ281" s="712">
        <v>3332862</v>
      </c>
      <c r="AR281" s="712">
        <v>276850000</v>
      </c>
      <c r="AS281" s="712">
        <v>0</v>
      </c>
      <c r="AT281">
        <v>356838573</v>
      </c>
      <c r="AU281" s="615"/>
      <c r="AV281" s="615"/>
      <c r="AW281" s="615"/>
      <c r="AX281" s="615"/>
      <c r="AY281" s="615"/>
      <c r="AZ281" s="615"/>
      <c r="BA281" s="615"/>
      <c r="BB281" s="615"/>
      <c r="BC281" s="615"/>
      <c r="BD281" s="615"/>
      <c r="BE281" s="615"/>
      <c r="BF281" s="615"/>
      <c r="BG281" s="615"/>
      <c r="BH281" s="615"/>
      <c r="BI281" s="615"/>
      <c r="BJ281" s="615"/>
      <c r="BK281" s="615"/>
      <c r="BL281" s="615"/>
      <c r="BM281" s="615"/>
      <c r="BN281" s="615"/>
      <c r="BO281" s="615"/>
      <c r="BP281" s="615"/>
      <c r="BQ281" s="615"/>
      <c r="BR281" s="615"/>
      <c r="BS281" s="615"/>
      <c r="BT281" s="615"/>
      <c r="BU281" s="615"/>
      <c r="BV281" s="615"/>
      <c r="BW281" s="615"/>
      <c r="BX281" s="607"/>
    </row>
    <row r="282" spans="1:76" s="612" customFormat="1" ht="25.5" x14ac:dyDescent="0.2">
      <c r="A282" s="839"/>
      <c r="B282" s="713" t="s">
        <v>2972</v>
      </c>
      <c r="C282" s="713" t="s">
        <v>2971</v>
      </c>
      <c r="D282" s="712">
        <v>0</v>
      </c>
      <c r="E282" s="712">
        <v>0</v>
      </c>
      <c r="F282" s="712">
        <v>0</v>
      </c>
      <c r="G282" s="712">
        <v>0</v>
      </c>
      <c r="H282" s="712">
        <v>0</v>
      </c>
      <c r="I282" s="712">
        <v>0</v>
      </c>
      <c r="J282" s="712">
        <v>0</v>
      </c>
      <c r="K282" s="712">
        <v>0</v>
      </c>
      <c r="L282" s="712">
        <v>0</v>
      </c>
      <c r="M282" s="712">
        <v>0</v>
      </c>
      <c r="N282" s="712">
        <v>0</v>
      </c>
      <c r="O282" s="712">
        <v>0</v>
      </c>
      <c r="P282" s="712">
        <v>0</v>
      </c>
      <c r="Q282" s="712">
        <v>0</v>
      </c>
      <c r="R282" s="712">
        <v>0</v>
      </c>
      <c r="S282" s="712">
        <v>0</v>
      </c>
      <c r="T282" s="712">
        <v>3359191</v>
      </c>
      <c r="U282" s="712">
        <v>3359191</v>
      </c>
      <c r="V282" s="712">
        <v>3359191</v>
      </c>
      <c r="W282" s="712">
        <v>3359191</v>
      </c>
      <c r="X282" s="712">
        <v>3359191</v>
      </c>
      <c r="Y282" s="712">
        <v>3359191</v>
      </c>
      <c r="Z282" s="712">
        <v>3359191</v>
      </c>
      <c r="AA282" s="712">
        <v>3359191</v>
      </c>
      <c r="AB282" s="712">
        <v>3359191</v>
      </c>
      <c r="AC282" s="712">
        <v>3359191</v>
      </c>
      <c r="AD282" s="712">
        <v>3359191</v>
      </c>
      <c r="AE282" s="712">
        <v>3359191</v>
      </c>
      <c r="AF282" s="712">
        <v>3359191</v>
      </c>
      <c r="AG282" s="712">
        <v>3359191</v>
      </c>
      <c r="AH282" s="712">
        <v>3359191</v>
      </c>
      <c r="AI282" s="712">
        <v>3359191</v>
      </c>
      <c r="AJ282" s="712">
        <v>3359191</v>
      </c>
      <c r="AK282" s="712">
        <v>3359191</v>
      </c>
      <c r="AL282" s="712">
        <v>3359191</v>
      </c>
      <c r="AM282" s="712">
        <v>3359191</v>
      </c>
      <c r="AN282" s="712">
        <v>3359191</v>
      </c>
      <c r="AO282" s="712">
        <v>3359191</v>
      </c>
      <c r="AP282" s="712">
        <v>3359191</v>
      </c>
      <c r="AQ282" s="712">
        <v>3359197</v>
      </c>
      <c r="AR282" s="712">
        <v>278162500</v>
      </c>
      <c r="AS282" s="712">
        <v>0</v>
      </c>
      <c r="AT282">
        <v>358783090</v>
      </c>
      <c r="AU282" s="615"/>
      <c r="AV282" s="615"/>
      <c r="AW282" s="615"/>
      <c r="AX282" s="615"/>
      <c r="AY282" s="615"/>
      <c r="AZ282" s="615"/>
      <c r="BA282" s="615"/>
      <c r="BB282" s="615"/>
      <c r="BC282" s="615"/>
      <c r="BD282" s="615"/>
      <c r="BE282" s="615"/>
      <c r="BF282" s="615"/>
      <c r="BG282" s="615"/>
      <c r="BH282" s="615"/>
      <c r="BI282" s="615"/>
      <c r="BJ282" s="615"/>
      <c r="BK282" s="615"/>
      <c r="BL282" s="615"/>
      <c r="BM282" s="615"/>
      <c r="BN282" s="615"/>
      <c r="BO282" s="615"/>
      <c r="BP282" s="615"/>
      <c r="BQ282" s="615"/>
      <c r="BR282" s="615"/>
      <c r="BS282" s="615"/>
      <c r="BT282" s="615"/>
      <c r="BU282" s="615"/>
      <c r="BV282" s="615"/>
      <c r="BW282" s="615"/>
      <c r="BX282" s="607"/>
    </row>
    <row r="283" spans="1:76" s="612" customFormat="1" ht="25.5" x14ac:dyDescent="0.2">
      <c r="A283" s="839"/>
      <c r="B283" s="713" t="s">
        <v>2723</v>
      </c>
      <c r="C283" s="713" t="s">
        <v>4369</v>
      </c>
      <c r="D283" s="712">
        <v>0</v>
      </c>
      <c r="E283" s="712">
        <v>0</v>
      </c>
      <c r="F283" s="712">
        <v>0</v>
      </c>
      <c r="G283" s="712">
        <v>0</v>
      </c>
      <c r="H283" s="712">
        <v>0</v>
      </c>
      <c r="I283" s="712">
        <v>0</v>
      </c>
      <c r="J283" s="712">
        <v>0</v>
      </c>
      <c r="K283" s="712">
        <v>0</v>
      </c>
      <c r="L283" s="712">
        <v>0</v>
      </c>
      <c r="M283" s="712">
        <v>0</v>
      </c>
      <c r="N283" s="712">
        <v>0</v>
      </c>
      <c r="O283" s="712">
        <v>0</v>
      </c>
      <c r="P283" s="712">
        <v>0</v>
      </c>
      <c r="Q283" s="712">
        <v>0</v>
      </c>
      <c r="R283" s="712">
        <v>0</v>
      </c>
      <c r="S283" s="712">
        <v>1000000</v>
      </c>
      <c r="T283" s="712">
        <v>5000000</v>
      </c>
      <c r="U283" s="712">
        <v>1000000</v>
      </c>
      <c r="V283" s="712">
        <v>4000000</v>
      </c>
      <c r="W283" s="712">
        <v>1000000</v>
      </c>
      <c r="X283" s="712">
        <v>1000000</v>
      </c>
      <c r="Y283" s="712">
        <v>1000000</v>
      </c>
      <c r="Z283" s="712">
        <v>1000000</v>
      </c>
      <c r="AA283" s="712">
        <v>1000000</v>
      </c>
      <c r="AB283" s="712">
        <v>4000000</v>
      </c>
      <c r="AC283" s="712">
        <v>1000000</v>
      </c>
      <c r="AD283" s="712">
        <v>1000000</v>
      </c>
      <c r="AE283" s="712">
        <v>1000000</v>
      </c>
      <c r="AF283" s="712">
        <v>1000000</v>
      </c>
      <c r="AG283" s="712">
        <v>1000000</v>
      </c>
      <c r="AH283" s="712">
        <v>5000000</v>
      </c>
      <c r="AI283" s="712">
        <v>1000000</v>
      </c>
      <c r="AJ283" s="712">
        <v>1000000</v>
      </c>
      <c r="AK283" s="712">
        <v>200000000</v>
      </c>
      <c r="AL283" s="712">
        <v>1000000</v>
      </c>
      <c r="AM283" s="712">
        <v>1000000</v>
      </c>
      <c r="AN283" s="712">
        <v>5000000</v>
      </c>
      <c r="AO283" s="712">
        <v>1000000</v>
      </c>
      <c r="AP283" s="712">
        <v>1000000</v>
      </c>
      <c r="AQ283" s="712">
        <v>3000000</v>
      </c>
      <c r="AR283" s="712">
        <v>136674500</v>
      </c>
      <c r="AS283" s="712">
        <v>0</v>
      </c>
      <c r="AT283">
        <v>380674500</v>
      </c>
      <c r="AU283" s="615"/>
      <c r="AV283" s="615"/>
      <c r="AW283" s="615"/>
      <c r="AX283" s="615"/>
      <c r="AY283" s="615"/>
      <c r="AZ283" s="615"/>
      <c r="BA283" s="615"/>
      <c r="BB283" s="615"/>
      <c r="BC283" s="615"/>
      <c r="BD283" s="615"/>
      <c r="BE283" s="615"/>
      <c r="BF283" s="615"/>
      <c r="BG283" s="615"/>
      <c r="BH283" s="615"/>
      <c r="BI283" s="615"/>
      <c r="BJ283" s="615"/>
      <c r="BK283" s="615"/>
      <c r="BL283" s="615"/>
      <c r="BM283" s="615"/>
      <c r="BN283" s="615"/>
      <c r="BO283" s="615"/>
      <c r="BP283" s="615"/>
      <c r="BQ283" s="615"/>
      <c r="BR283" s="615"/>
      <c r="BS283" s="615"/>
      <c r="BT283" s="615"/>
      <c r="BU283" s="615"/>
      <c r="BV283" s="615"/>
      <c r="BW283" s="615"/>
      <c r="BX283" s="607"/>
    </row>
    <row r="284" spans="1:76" s="612" customFormat="1" ht="25.5" x14ac:dyDescent="0.2">
      <c r="A284" s="839"/>
      <c r="B284" s="713" t="s">
        <v>2984</v>
      </c>
      <c r="C284" s="713" t="s">
        <v>2983</v>
      </c>
      <c r="D284" s="712">
        <v>0</v>
      </c>
      <c r="E284" s="712">
        <v>0</v>
      </c>
      <c r="F284" s="712">
        <v>0</v>
      </c>
      <c r="G284" s="712">
        <v>0</v>
      </c>
      <c r="H284" s="712">
        <v>0</v>
      </c>
      <c r="I284" s="712">
        <v>0</v>
      </c>
      <c r="J284" s="712">
        <v>0</v>
      </c>
      <c r="K284" s="712">
        <v>0</v>
      </c>
      <c r="L284" s="712">
        <v>0</v>
      </c>
      <c r="M284" s="712">
        <v>0</v>
      </c>
      <c r="N284" s="712">
        <v>0</v>
      </c>
      <c r="O284" s="712">
        <v>0</v>
      </c>
      <c r="P284" s="712">
        <v>0</v>
      </c>
      <c r="Q284" s="712">
        <v>0</v>
      </c>
      <c r="R284" s="712">
        <v>0</v>
      </c>
      <c r="S284" s="712">
        <v>0</v>
      </c>
      <c r="T284" s="712">
        <v>1000000</v>
      </c>
      <c r="U284" s="712">
        <v>1000000</v>
      </c>
      <c r="V284" s="712">
        <v>8000000</v>
      </c>
      <c r="W284" s="712">
        <v>1000000</v>
      </c>
      <c r="X284" s="712">
        <v>1000000</v>
      </c>
      <c r="Y284" s="712">
        <v>1000000</v>
      </c>
      <c r="Z284" s="712">
        <v>1000000</v>
      </c>
      <c r="AA284" s="712">
        <v>1000000</v>
      </c>
      <c r="AB284" s="712">
        <v>8000000</v>
      </c>
      <c r="AC284" s="712">
        <v>1000000</v>
      </c>
      <c r="AD284" s="712">
        <v>1000000</v>
      </c>
      <c r="AE284" s="712">
        <v>1000000</v>
      </c>
      <c r="AF284" s="712">
        <v>1000000</v>
      </c>
      <c r="AG284" s="712">
        <v>1000000</v>
      </c>
      <c r="AH284" s="712">
        <v>8000000</v>
      </c>
      <c r="AI284" s="712">
        <v>1000000</v>
      </c>
      <c r="AJ284" s="712">
        <v>1000000</v>
      </c>
      <c r="AK284" s="712">
        <v>55564608</v>
      </c>
      <c r="AL284" s="712">
        <v>1000000</v>
      </c>
      <c r="AM284" s="712">
        <v>1000000</v>
      </c>
      <c r="AN284" s="712">
        <v>8000000</v>
      </c>
      <c r="AO284" s="712">
        <v>1000000</v>
      </c>
      <c r="AP284" s="712">
        <v>1000000</v>
      </c>
      <c r="AQ284" s="712">
        <v>1000000</v>
      </c>
      <c r="AR284" s="712">
        <v>274750000</v>
      </c>
      <c r="AS284" s="712">
        <v>0</v>
      </c>
      <c r="AT284">
        <v>381314608</v>
      </c>
      <c r="AU284" s="615"/>
      <c r="AV284" s="615"/>
      <c r="AW284" s="615"/>
      <c r="AX284" s="615"/>
      <c r="AY284" s="615"/>
      <c r="AZ284" s="615"/>
      <c r="BA284" s="615"/>
      <c r="BB284" s="615"/>
      <c r="BC284" s="615"/>
      <c r="BD284" s="615"/>
      <c r="BE284" s="615"/>
      <c r="BF284" s="615"/>
      <c r="BG284" s="615"/>
      <c r="BH284" s="615"/>
      <c r="BI284" s="615"/>
      <c r="BJ284" s="615"/>
      <c r="BK284" s="615"/>
      <c r="BL284" s="615"/>
      <c r="BM284" s="615"/>
      <c r="BN284" s="615"/>
      <c r="BO284" s="615"/>
      <c r="BP284" s="615"/>
      <c r="BQ284" s="615"/>
      <c r="BR284" s="615"/>
      <c r="BS284" s="615"/>
      <c r="BT284" s="615"/>
      <c r="BU284" s="615"/>
      <c r="BV284" s="615"/>
      <c r="BW284" s="615"/>
      <c r="BX284" s="607"/>
    </row>
    <row r="285" spans="1:76" s="612" customFormat="1" ht="25.5" x14ac:dyDescent="0.2">
      <c r="A285" s="839"/>
      <c r="B285" s="713" t="s">
        <v>2701</v>
      </c>
      <c r="C285" s="713" t="s">
        <v>2700</v>
      </c>
      <c r="D285" s="712">
        <v>0</v>
      </c>
      <c r="E285" s="712">
        <v>0</v>
      </c>
      <c r="F285" s="712">
        <v>0</v>
      </c>
      <c r="G285" s="712">
        <v>0</v>
      </c>
      <c r="H285" s="712">
        <v>0</v>
      </c>
      <c r="I285" s="712">
        <v>0</v>
      </c>
      <c r="J285" s="712">
        <v>0</v>
      </c>
      <c r="K285" s="712">
        <v>0</v>
      </c>
      <c r="L285" s="712">
        <v>0</v>
      </c>
      <c r="M285" s="712">
        <v>0</v>
      </c>
      <c r="N285" s="712">
        <v>0</v>
      </c>
      <c r="O285" s="712">
        <v>0</v>
      </c>
      <c r="P285" s="712">
        <v>0</v>
      </c>
      <c r="Q285" s="712">
        <v>0</v>
      </c>
      <c r="R285" s="712">
        <v>0</v>
      </c>
      <c r="S285" s="712">
        <v>0</v>
      </c>
      <c r="T285" s="712">
        <v>2367418</v>
      </c>
      <c r="U285" s="712">
        <v>2367428</v>
      </c>
      <c r="V285" s="712">
        <v>2367428</v>
      </c>
      <c r="W285" s="712">
        <v>2367428</v>
      </c>
      <c r="X285" s="712">
        <v>2367428</v>
      </c>
      <c r="Y285" s="712">
        <v>2367428</v>
      </c>
      <c r="Z285" s="712">
        <v>2367428</v>
      </c>
      <c r="AA285" s="712">
        <v>2367428</v>
      </c>
      <c r="AB285" s="712">
        <v>2367428</v>
      </c>
      <c r="AC285" s="712">
        <v>2367428</v>
      </c>
      <c r="AD285" s="712">
        <v>2367428</v>
      </c>
      <c r="AE285" s="712">
        <v>2367428</v>
      </c>
      <c r="AF285" s="712">
        <v>2367428</v>
      </c>
      <c r="AG285" s="712">
        <v>2367428</v>
      </c>
      <c r="AH285" s="712">
        <v>2367428</v>
      </c>
      <c r="AI285" s="712">
        <v>2367428</v>
      </c>
      <c r="AJ285" s="712">
        <v>2367428</v>
      </c>
      <c r="AK285" s="712">
        <v>2367428</v>
      </c>
      <c r="AL285" s="712">
        <v>2367428</v>
      </c>
      <c r="AM285" s="712">
        <v>2367428</v>
      </c>
      <c r="AN285" s="712">
        <v>2367428</v>
      </c>
      <c r="AO285" s="712">
        <v>2367428</v>
      </c>
      <c r="AP285" s="712">
        <v>2367428</v>
      </c>
      <c r="AQ285" s="712">
        <v>2375448</v>
      </c>
      <c r="AR285" s="712">
        <v>356692000</v>
      </c>
      <c r="AS285" s="712">
        <v>0</v>
      </c>
      <c r="AT285">
        <v>413518282</v>
      </c>
      <c r="AU285" s="615"/>
      <c r="AV285" s="615"/>
      <c r="AW285" s="615"/>
      <c r="AX285" s="615"/>
      <c r="AY285" s="615"/>
      <c r="AZ285" s="615"/>
      <c r="BA285" s="615"/>
      <c r="BB285" s="615"/>
      <c r="BC285" s="615"/>
      <c r="BD285" s="615"/>
      <c r="BE285" s="615"/>
      <c r="BF285" s="615"/>
      <c r="BG285" s="615"/>
      <c r="BH285" s="615"/>
      <c r="BI285" s="615"/>
      <c r="BJ285" s="615"/>
      <c r="BK285" s="615"/>
      <c r="BL285" s="615"/>
      <c r="BM285" s="615"/>
      <c r="BN285" s="615"/>
      <c r="BO285" s="615"/>
      <c r="BP285" s="615"/>
      <c r="BQ285" s="615"/>
      <c r="BR285" s="615"/>
      <c r="BS285" s="615"/>
      <c r="BT285" s="615"/>
      <c r="BU285" s="615"/>
      <c r="BV285" s="615"/>
      <c r="BW285" s="615"/>
      <c r="BX285" s="607"/>
    </row>
    <row r="286" spans="1:76" s="612" customFormat="1" ht="25.5" x14ac:dyDescent="0.2">
      <c r="A286" s="839"/>
      <c r="B286" s="713" t="s">
        <v>2720</v>
      </c>
      <c r="C286" s="713" t="s">
        <v>2719</v>
      </c>
      <c r="D286" s="712">
        <v>0</v>
      </c>
      <c r="E286" s="712">
        <v>0</v>
      </c>
      <c r="F286" s="712">
        <v>0</v>
      </c>
      <c r="G286" s="712">
        <v>0</v>
      </c>
      <c r="H286" s="712">
        <v>0</v>
      </c>
      <c r="I286" s="712">
        <v>0</v>
      </c>
      <c r="J286" s="712">
        <v>0</v>
      </c>
      <c r="K286" s="712">
        <v>0</v>
      </c>
      <c r="L286" s="712">
        <v>0</v>
      </c>
      <c r="M286" s="712">
        <v>0</v>
      </c>
      <c r="N286" s="712">
        <v>0</v>
      </c>
      <c r="O286" s="712">
        <v>0</v>
      </c>
      <c r="P286" s="712">
        <v>0</v>
      </c>
      <c r="Q286" s="712">
        <v>0</v>
      </c>
      <c r="R286" s="712">
        <v>0</v>
      </c>
      <c r="S286" s="712">
        <v>54290</v>
      </c>
      <c r="T286" s="712">
        <v>4505429</v>
      </c>
      <c r="U286" s="712">
        <v>4505429</v>
      </c>
      <c r="V286" s="712">
        <v>4505429</v>
      </c>
      <c r="W286" s="712">
        <v>4505429</v>
      </c>
      <c r="X286" s="712">
        <v>4505429</v>
      </c>
      <c r="Y286" s="712">
        <v>4505429</v>
      </c>
      <c r="Z286" s="712">
        <v>4505429</v>
      </c>
      <c r="AA286" s="712">
        <v>4505429</v>
      </c>
      <c r="AB286" s="712">
        <v>4505429</v>
      </c>
      <c r="AC286" s="712">
        <v>4505429</v>
      </c>
      <c r="AD286" s="712">
        <v>4505429</v>
      </c>
      <c r="AE286" s="712">
        <v>4505429</v>
      </c>
      <c r="AF286" s="712">
        <v>4505429</v>
      </c>
      <c r="AG286" s="712">
        <v>4505429</v>
      </c>
      <c r="AH286" s="712">
        <v>4505429</v>
      </c>
      <c r="AI286" s="712">
        <v>4505429</v>
      </c>
      <c r="AJ286" s="712">
        <v>4505429</v>
      </c>
      <c r="AK286" s="712">
        <v>4505429</v>
      </c>
      <c r="AL286" s="712">
        <v>4505429</v>
      </c>
      <c r="AM286" s="712">
        <v>4505429</v>
      </c>
      <c r="AN286" s="712">
        <v>4505429</v>
      </c>
      <c r="AO286" s="712">
        <v>4505429</v>
      </c>
      <c r="AP286" s="712">
        <v>4505429</v>
      </c>
      <c r="AQ286" s="712">
        <v>4505414</v>
      </c>
      <c r="AR286" s="712">
        <v>372610000</v>
      </c>
      <c r="AS286" s="712">
        <v>0</v>
      </c>
      <c r="AT286">
        <v>480794571</v>
      </c>
      <c r="AU286" s="615"/>
      <c r="AV286" s="615"/>
      <c r="AW286" s="615"/>
      <c r="AX286" s="615"/>
      <c r="AY286" s="615"/>
      <c r="AZ286" s="615"/>
      <c r="BA286" s="615"/>
      <c r="BB286" s="615"/>
      <c r="BC286" s="615"/>
      <c r="BD286" s="615"/>
      <c r="BE286" s="615"/>
      <c r="BF286" s="615"/>
      <c r="BG286" s="615"/>
      <c r="BH286" s="615"/>
      <c r="BI286" s="615"/>
      <c r="BJ286" s="615"/>
      <c r="BK286" s="615"/>
      <c r="BL286" s="615"/>
      <c r="BM286" s="615"/>
      <c r="BN286" s="615"/>
      <c r="BO286" s="615"/>
      <c r="BP286" s="615"/>
      <c r="BQ286" s="615"/>
      <c r="BR286" s="615"/>
      <c r="BS286" s="615"/>
      <c r="BT286" s="615"/>
      <c r="BU286" s="615"/>
      <c r="BV286" s="615"/>
      <c r="BW286" s="615"/>
      <c r="BX286" s="607"/>
    </row>
    <row r="287" spans="1:76" s="612" customFormat="1" ht="12.75" x14ac:dyDescent="0.2">
      <c r="A287" s="839"/>
      <c r="B287" s="713" t="s">
        <v>2980</v>
      </c>
      <c r="C287" s="713" t="s">
        <v>2979</v>
      </c>
      <c r="D287" s="712">
        <v>0</v>
      </c>
      <c r="E287" s="712">
        <v>0</v>
      </c>
      <c r="F287" s="712">
        <v>0</v>
      </c>
      <c r="G287" s="712">
        <v>0</v>
      </c>
      <c r="H287" s="712">
        <v>0</v>
      </c>
      <c r="I287" s="712">
        <v>0</v>
      </c>
      <c r="J287" s="712">
        <v>0</v>
      </c>
      <c r="K287" s="712">
        <v>0</v>
      </c>
      <c r="L287" s="712">
        <v>0</v>
      </c>
      <c r="M287" s="712">
        <v>0</v>
      </c>
      <c r="N287" s="712">
        <v>0</v>
      </c>
      <c r="O287" s="712">
        <v>0</v>
      </c>
      <c r="P287" s="712">
        <v>0</v>
      </c>
      <c r="Q287" s="712">
        <v>0</v>
      </c>
      <c r="R287" s="712">
        <v>0</v>
      </c>
      <c r="S287" s="712">
        <v>0</v>
      </c>
      <c r="T287" s="712">
        <v>3224857</v>
      </c>
      <c r="U287" s="712">
        <v>3224857</v>
      </c>
      <c r="V287" s="712">
        <v>3224857</v>
      </c>
      <c r="W287" s="712">
        <v>3224857</v>
      </c>
      <c r="X287" s="712">
        <v>3224857</v>
      </c>
      <c r="Y287" s="712">
        <v>3224857</v>
      </c>
      <c r="Z287" s="712">
        <v>3224857</v>
      </c>
      <c r="AA287" s="712">
        <v>3224857</v>
      </c>
      <c r="AB287" s="712">
        <v>3224857</v>
      </c>
      <c r="AC287" s="712">
        <v>3224857</v>
      </c>
      <c r="AD287" s="712">
        <v>3224857</v>
      </c>
      <c r="AE287" s="712">
        <v>3224857</v>
      </c>
      <c r="AF287" s="712">
        <v>3224857</v>
      </c>
      <c r="AG287" s="712">
        <v>3224857</v>
      </c>
      <c r="AH287" s="712">
        <v>3224857</v>
      </c>
      <c r="AI287" s="712">
        <v>3224857</v>
      </c>
      <c r="AJ287" s="712">
        <v>3224857</v>
      </c>
      <c r="AK287" s="712">
        <v>3224857</v>
      </c>
      <c r="AL287" s="712">
        <v>3224857</v>
      </c>
      <c r="AM287" s="712">
        <v>3224857</v>
      </c>
      <c r="AN287" s="712">
        <v>3224857</v>
      </c>
      <c r="AO287" s="712">
        <v>3224857</v>
      </c>
      <c r="AP287" s="712">
        <v>3224857</v>
      </c>
      <c r="AQ287" s="712">
        <v>3224862</v>
      </c>
      <c r="AR287" s="712">
        <v>275030000</v>
      </c>
      <c r="AS287" s="712">
        <v>0</v>
      </c>
      <c r="AT287">
        <v>352426573</v>
      </c>
      <c r="AU287" s="615"/>
      <c r="AV287" s="615"/>
      <c r="AW287" s="615"/>
      <c r="AX287" s="615"/>
      <c r="AY287" s="615"/>
      <c r="AZ287" s="615"/>
      <c r="BA287" s="615"/>
      <c r="BB287" s="615"/>
      <c r="BC287" s="615"/>
      <c r="BD287" s="615"/>
      <c r="BE287" s="615"/>
      <c r="BF287" s="615"/>
      <c r="BG287" s="615"/>
      <c r="BH287" s="615"/>
      <c r="BI287" s="615"/>
      <c r="BJ287" s="615"/>
      <c r="BK287" s="615"/>
      <c r="BL287" s="615"/>
      <c r="BM287" s="615"/>
      <c r="BN287" s="615"/>
      <c r="BO287" s="615"/>
      <c r="BP287" s="615"/>
      <c r="BQ287" s="615"/>
      <c r="BR287" s="615"/>
      <c r="BS287" s="615"/>
      <c r="BT287" s="615"/>
      <c r="BU287" s="615"/>
      <c r="BV287" s="615"/>
      <c r="BW287" s="615"/>
      <c r="BX287" s="607"/>
    </row>
    <row r="288" spans="1:76" s="612" customFormat="1" ht="25.5" x14ac:dyDescent="0.2">
      <c r="A288" s="839"/>
      <c r="B288" s="713" t="s">
        <v>2990</v>
      </c>
      <c r="C288" s="713" t="s">
        <v>2708</v>
      </c>
      <c r="D288" s="712">
        <v>0</v>
      </c>
      <c r="E288" s="712">
        <v>0</v>
      </c>
      <c r="F288" s="712">
        <v>0</v>
      </c>
      <c r="G288" s="712">
        <v>0</v>
      </c>
      <c r="H288" s="712">
        <v>0</v>
      </c>
      <c r="I288" s="712">
        <v>0</v>
      </c>
      <c r="J288" s="712">
        <v>0</v>
      </c>
      <c r="K288" s="712">
        <v>0</v>
      </c>
      <c r="L288" s="712">
        <v>0</v>
      </c>
      <c r="M288" s="712">
        <v>0</v>
      </c>
      <c r="N288" s="712">
        <v>0</v>
      </c>
      <c r="O288" s="712">
        <v>0</v>
      </c>
      <c r="P288" s="712">
        <v>0</v>
      </c>
      <c r="Q288" s="712">
        <v>0</v>
      </c>
      <c r="R288" s="712">
        <v>0</v>
      </c>
      <c r="S288" s="712">
        <v>3</v>
      </c>
      <c r="T288" s="712">
        <v>4398286</v>
      </c>
      <c r="U288" s="712">
        <v>4398286</v>
      </c>
      <c r="V288" s="712">
        <v>4398286</v>
      </c>
      <c r="W288" s="712">
        <v>4398286</v>
      </c>
      <c r="X288" s="712">
        <v>4398286</v>
      </c>
      <c r="Y288" s="712">
        <v>4398286</v>
      </c>
      <c r="Z288" s="712">
        <v>4398286</v>
      </c>
      <c r="AA288" s="712">
        <v>4398286</v>
      </c>
      <c r="AB288" s="712">
        <v>4398286</v>
      </c>
      <c r="AC288" s="712">
        <v>4398286</v>
      </c>
      <c r="AD288" s="712">
        <v>4398286</v>
      </c>
      <c r="AE288" s="712">
        <v>4398286</v>
      </c>
      <c r="AF288" s="712">
        <v>4398286</v>
      </c>
      <c r="AG288" s="712">
        <v>4398286</v>
      </c>
      <c r="AH288" s="712">
        <v>4398286</v>
      </c>
      <c r="AI288" s="712">
        <v>4398286</v>
      </c>
      <c r="AJ288" s="712">
        <v>4398286</v>
      </c>
      <c r="AK288" s="712">
        <v>4398286</v>
      </c>
      <c r="AL288" s="712">
        <v>4398286</v>
      </c>
      <c r="AM288" s="712">
        <v>4398286</v>
      </c>
      <c r="AN288" s="712">
        <v>4398286</v>
      </c>
      <c r="AO288" s="712">
        <v>4398286</v>
      </c>
      <c r="AP288" s="712">
        <v>4398286</v>
      </c>
      <c r="AQ288" s="712">
        <v>4398276</v>
      </c>
      <c r="AR288" s="712">
        <v>370860000</v>
      </c>
      <c r="AS288" s="712">
        <v>0</v>
      </c>
      <c r="AT288">
        <v>476418857</v>
      </c>
      <c r="AU288" s="615"/>
      <c r="AV288" s="615"/>
      <c r="AW288" s="615"/>
      <c r="AX288" s="615"/>
      <c r="AY288" s="615"/>
      <c r="AZ288" s="615"/>
      <c r="BA288" s="615"/>
      <c r="BB288" s="615"/>
      <c r="BC288" s="615"/>
      <c r="BD288" s="615"/>
      <c r="BE288" s="615"/>
      <c r="BF288" s="615"/>
      <c r="BG288" s="615"/>
      <c r="BH288" s="615"/>
      <c r="BI288" s="615"/>
      <c r="BJ288" s="615"/>
      <c r="BK288" s="615"/>
      <c r="BL288" s="615"/>
      <c r="BM288" s="615"/>
      <c r="BN288" s="615"/>
      <c r="BO288" s="615"/>
      <c r="BP288" s="615"/>
      <c r="BQ288" s="615"/>
      <c r="BR288" s="615"/>
      <c r="BS288" s="615"/>
      <c r="BT288" s="615"/>
      <c r="BU288" s="615"/>
      <c r="BV288" s="615"/>
      <c r="BW288" s="615"/>
      <c r="BX288" s="607"/>
    </row>
    <row r="289" spans="1:76" s="612" customFormat="1" ht="25.5" x14ac:dyDescent="0.2">
      <c r="A289" s="839"/>
      <c r="B289" s="713" t="s">
        <v>2999</v>
      </c>
      <c r="C289" s="713" t="s">
        <v>2998</v>
      </c>
      <c r="D289" s="712">
        <v>0</v>
      </c>
      <c r="E289" s="712">
        <v>0</v>
      </c>
      <c r="F289" s="712">
        <v>0</v>
      </c>
      <c r="G289" s="712">
        <v>0</v>
      </c>
      <c r="H289" s="712">
        <v>0</v>
      </c>
      <c r="I289" s="712">
        <v>0</v>
      </c>
      <c r="J289" s="712">
        <v>0</v>
      </c>
      <c r="K289" s="712">
        <v>0</v>
      </c>
      <c r="L289" s="712">
        <v>0</v>
      </c>
      <c r="M289" s="712">
        <v>0</v>
      </c>
      <c r="N289" s="712">
        <v>0</v>
      </c>
      <c r="O289" s="712">
        <v>0</v>
      </c>
      <c r="P289" s="712">
        <v>0</v>
      </c>
      <c r="Q289" s="712">
        <v>0</v>
      </c>
      <c r="R289" s="712">
        <v>0</v>
      </c>
      <c r="S289" s="712">
        <v>0</v>
      </c>
      <c r="T289" s="712">
        <v>0</v>
      </c>
      <c r="U289" s="712">
        <v>0</v>
      </c>
      <c r="V289" s="712">
        <v>9350000</v>
      </c>
      <c r="W289" s="712">
        <v>2500000</v>
      </c>
      <c r="X289" s="712">
        <v>9500000</v>
      </c>
      <c r="Y289" s="712">
        <v>2500000</v>
      </c>
      <c r="Z289" s="712">
        <v>2500000</v>
      </c>
      <c r="AA289" s="712">
        <v>2500000</v>
      </c>
      <c r="AB289" s="712">
        <v>5500000</v>
      </c>
      <c r="AC289" s="712">
        <v>2500000</v>
      </c>
      <c r="AD289" s="712">
        <v>2500000</v>
      </c>
      <c r="AE289" s="712">
        <v>2500000</v>
      </c>
      <c r="AF289" s="712">
        <v>2500000</v>
      </c>
      <c r="AG289" s="712">
        <v>2500000</v>
      </c>
      <c r="AH289" s="712">
        <v>12000000</v>
      </c>
      <c r="AI289" s="712">
        <v>2500000</v>
      </c>
      <c r="AJ289" s="712">
        <v>9500000</v>
      </c>
      <c r="AK289" s="712">
        <v>2500000</v>
      </c>
      <c r="AL289" s="712">
        <v>2500000</v>
      </c>
      <c r="AM289" s="712">
        <v>2500000</v>
      </c>
      <c r="AN289" s="712">
        <v>10000000</v>
      </c>
      <c r="AO289" s="712">
        <v>2500000</v>
      </c>
      <c r="AP289" s="712">
        <v>2500000</v>
      </c>
      <c r="AQ289" s="712">
        <v>2500000</v>
      </c>
      <c r="AR289" s="712">
        <v>259420000</v>
      </c>
      <c r="AS289" s="712">
        <v>0</v>
      </c>
      <c r="AT289">
        <v>355270000</v>
      </c>
      <c r="AU289" s="615"/>
      <c r="AV289" s="615"/>
      <c r="AW289" s="615"/>
      <c r="AX289" s="615"/>
      <c r="AY289" s="615"/>
      <c r="AZ289" s="615"/>
      <c r="BA289" s="615"/>
      <c r="BB289" s="615"/>
      <c r="BC289" s="615"/>
      <c r="BD289" s="615"/>
      <c r="BE289" s="615"/>
      <c r="BF289" s="615"/>
      <c r="BG289" s="615"/>
      <c r="BH289" s="615"/>
      <c r="BI289" s="615"/>
      <c r="BJ289" s="615"/>
      <c r="BK289" s="615"/>
      <c r="BL289" s="615"/>
      <c r="BM289" s="615"/>
      <c r="BN289" s="615"/>
      <c r="BO289" s="615"/>
      <c r="BP289" s="615"/>
      <c r="BQ289" s="615"/>
      <c r="BR289" s="615"/>
      <c r="BS289" s="615"/>
      <c r="BT289" s="615"/>
      <c r="BU289" s="615"/>
      <c r="BV289" s="615"/>
      <c r="BW289" s="615"/>
      <c r="BX289" s="607"/>
    </row>
    <row r="290" spans="1:76" s="612" customFormat="1" ht="25.5" x14ac:dyDescent="0.2">
      <c r="A290" s="839"/>
      <c r="B290" s="713" t="s">
        <v>3498</v>
      </c>
      <c r="C290" s="713" t="s">
        <v>3497</v>
      </c>
      <c r="D290" s="712">
        <v>0</v>
      </c>
      <c r="E290" s="712">
        <v>0</v>
      </c>
      <c r="F290" s="712">
        <v>0</v>
      </c>
      <c r="G290" s="712">
        <v>0</v>
      </c>
      <c r="H290" s="712">
        <v>0</v>
      </c>
      <c r="I290" s="712">
        <v>0</v>
      </c>
      <c r="J290" s="712">
        <v>0</v>
      </c>
      <c r="K290" s="712">
        <v>0</v>
      </c>
      <c r="L290" s="712">
        <v>0</v>
      </c>
      <c r="M290" s="712">
        <v>0</v>
      </c>
      <c r="N290" s="712">
        <v>0</v>
      </c>
      <c r="O290" s="712">
        <v>0</v>
      </c>
      <c r="P290" s="712">
        <v>0</v>
      </c>
      <c r="Q290" s="712">
        <v>0</v>
      </c>
      <c r="R290" s="712">
        <v>235694</v>
      </c>
      <c r="S290" s="712">
        <v>4974964</v>
      </c>
      <c r="T290" s="712">
        <v>4974964</v>
      </c>
      <c r="U290" s="712">
        <v>4974964</v>
      </c>
      <c r="V290" s="712">
        <v>4974964</v>
      </c>
      <c r="W290" s="712">
        <v>4974964</v>
      </c>
      <c r="X290" s="712">
        <v>4974964</v>
      </c>
      <c r="Y290" s="712">
        <v>4974964</v>
      </c>
      <c r="Z290" s="712">
        <v>4974964</v>
      </c>
      <c r="AA290" s="712">
        <v>4974964</v>
      </c>
      <c r="AB290" s="712">
        <v>4974964</v>
      </c>
      <c r="AC290" s="712">
        <v>4974964</v>
      </c>
      <c r="AD290" s="712">
        <v>4974964</v>
      </c>
      <c r="AE290" s="712">
        <v>4974964</v>
      </c>
      <c r="AF290" s="712">
        <v>4974964</v>
      </c>
      <c r="AG290" s="712">
        <v>4974964</v>
      </c>
      <c r="AH290" s="712">
        <v>4974964</v>
      </c>
      <c r="AI290" s="712">
        <v>4974964</v>
      </c>
      <c r="AJ290" s="712">
        <v>4974964</v>
      </c>
      <c r="AK290" s="712">
        <v>4974964</v>
      </c>
      <c r="AL290" s="712">
        <v>4974964</v>
      </c>
      <c r="AM290" s="712">
        <v>4974964</v>
      </c>
      <c r="AN290" s="712">
        <v>4974964</v>
      </c>
      <c r="AO290" s="712">
        <v>4974964</v>
      </c>
      <c r="AP290" s="712">
        <v>4974964</v>
      </c>
      <c r="AQ290" s="712">
        <v>4974972</v>
      </c>
      <c r="AR290" s="712">
        <v>395031000</v>
      </c>
      <c r="AS290" s="712">
        <v>0</v>
      </c>
      <c r="AT290">
        <v>519640802</v>
      </c>
      <c r="AU290" s="615"/>
      <c r="AV290" s="615"/>
      <c r="AW290" s="615"/>
      <c r="AX290" s="615"/>
      <c r="AY290" s="615"/>
      <c r="AZ290" s="615"/>
      <c r="BA290" s="615"/>
      <c r="BB290" s="615"/>
      <c r="BC290" s="615"/>
      <c r="BD290" s="615"/>
      <c r="BE290" s="615"/>
      <c r="BF290" s="615"/>
      <c r="BG290" s="615"/>
      <c r="BH290" s="615"/>
      <c r="BI290" s="615"/>
      <c r="BJ290" s="615"/>
      <c r="BK290" s="615"/>
      <c r="BL290" s="615"/>
      <c r="BM290" s="615"/>
      <c r="BN290" s="615"/>
      <c r="BO290" s="615"/>
      <c r="BP290" s="615"/>
      <c r="BQ290" s="615"/>
      <c r="BR290" s="615"/>
      <c r="BS290" s="615"/>
      <c r="BT290" s="615"/>
      <c r="BU290" s="615"/>
      <c r="BV290" s="615"/>
      <c r="BW290" s="615"/>
      <c r="BX290" s="607"/>
    </row>
    <row r="291" spans="1:76" s="612" customFormat="1" ht="25.5" x14ac:dyDescent="0.2">
      <c r="A291" s="839"/>
      <c r="B291" s="713" t="s">
        <v>2684</v>
      </c>
      <c r="C291" s="713" t="s">
        <v>2962</v>
      </c>
      <c r="D291" s="712">
        <v>0</v>
      </c>
      <c r="E291" s="712">
        <v>0</v>
      </c>
      <c r="F291" s="712">
        <v>0</v>
      </c>
      <c r="G291" s="712">
        <v>0</v>
      </c>
      <c r="H291" s="712">
        <v>0</v>
      </c>
      <c r="I291" s="712">
        <v>0</v>
      </c>
      <c r="J291" s="712">
        <v>0</v>
      </c>
      <c r="K291" s="712">
        <v>0</v>
      </c>
      <c r="L291" s="712">
        <v>0</v>
      </c>
      <c r="M291" s="712">
        <v>0</v>
      </c>
      <c r="N291" s="712">
        <v>0</v>
      </c>
      <c r="O291" s="712">
        <v>0</v>
      </c>
      <c r="P291" s="712">
        <v>0</v>
      </c>
      <c r="Q291" s="712">
        <v>0</v>
      </c>
      <c r="R291" s="712">
        <v>0</v>
      </c>
      <c r="S291" s="712">
        <v>2000000</v>
      </c>
      <c r="T291" s="712">
        <v>5000000</v>
      </c>
      <c r="U291" s="712">
        <v>2000000</v>
      </c>
      <c r="V291" s="712">
        <v>2000000</v>
      </c>
      <c r="W291" s="712">
        <v>9500000</v>
      </c>
      <c r="X291" s="712">
        <v>2500000</v>
      </c>
      <c r="Y291" s="712">
        <v>2500000</v>
      </c>
      <c r="Z291" s="712">
        <v>6500000</v>
      </c>
      <c r="AA291" s="712">
        <v>2500000</v>
      </c>
      <c r="AB291" s="712">
        <v>2500000</v>
      </c>
      <c r="AC291" s="712">
        <v>6500000</v>
      </c>
      <c r="AD291" s="712">
        <v>2500000</v>
      </c>
      <c r="AE291" s="712">
        <v>2500000</v>
      </c>
      <c r="AF291" s="712">
        <v>6500000</v>
      </c>
      <c r="AG291" s="712">
        <v>2500000</v>
      </c>
      <c r="AH291" s="712">
        <v>2500000</v>
      </c>
      <c r="AI291" s="712">
        <v>9500000</v>
      </c>
      <c r="AJ291" s="712">
        <v>2500000</v>
      </c>
      <c r="AK291" s="712">
        <v>2500000</v>
      </c>
      <c r="AL291" s="712">
        <v>6500000</v>
      </c>
      <c r="AM291" s="712">
        <v>2500000</v>
      </c>
      <c r="AN291" s="712">
        <v>2500000</v>
      </c>
      <c r="AO291" s="712">
        <v>6500000</v>
      </c>
      <c r="AP291" s="712">
        <v>2500000</v>
      </c>
      <c r="AQ291" s="712">
        <v>2500000</v>
      </c>
      <c r="AR291" s="712">
        <v>256105000</v>
      </c>
      <c r="AS291" s="712">
        <v>0</v>
      </c>
      <c r="AT291">
        <v>353605000</v>
      </c>
      <c r="AU291" s="615"/>
      <c r="AV291" s="615"/>
      <c r="AW291" s="615"/>
      <c r="AX291" s="615"/>
      <c r="AY291" s="615"/>
      <c r="AZ291" s="615"/>
      <c r="BA291" s="615"/>
      <c r="BB291" s="615"/>
      <c r="BC291" s="615"/>
      <c r="BD291" s="615"/>
      <c r="BE291" s="615"/>
      <c r="BF291" s="615"/>
      <c r="BG291" s="615"/>
      <c r="BH291" s="615"/>
      <c r="BI291" s="615"/>
      <c r="BJ291" s="615"/>
      <c r="BK291" s="615"/>
      <c r="BL291" s="615"/>
      <c r="BM291" s="615"/>
      <c r="BN291" s="615"/>
      <c r="BO291" s="615"/>
      <c r="BP291" s="615"/>
      <c r="BQ291" s="615"/>
      <c r="BR291" s="615"/>
      <c r="BS291" s="615"/>
      <c r="BT291" s="615"/>
      <c r="BU291" s="615"/>
      <c r="BV291" s="615"/>
      <c r="BW291" s="615"/>
      <c r="BX291" s="607"/>
    </row>
    <row r="292" spans="1:76" s="612" customFormat="1" ht="25.5" x14ac:dyDescent="0.2">
      <c r="A292" s="839"/>
      <c r="B292" s="713" t="s">
        <v>2695</v>
      </c>
      <c r="C292" s="713" t="s">
        <v>2694</v>
      </c>
      <c r="D292" s="712">
        <v>0</v>
      </c>
      <c r="E292" s="712">
        <v>0</v>
      </c>
      <c r="F292" s="712">
        <v>0</v>
      </c>
      <c r="G292" s="712">
        <v>0</v>
      </c>
      <c r="H292" s="712">
        <v>0</v>
      </c>
      <c r="I292" s="712">
        <v>0</v>
      </c>
      <c r="J292" s="712">
        <v>0</v>
      </c>
      <c r="K292" s="712">
        <v>0</v>
      </c>
      <c r="L292" s="712">
        <v>0</v>
      </c>
      <c r="M292" s="712">
        <v>0</v>
      </c>
      <c r="N292" s="712">
        <v>0</v>
      </c>
      <c r="O292" s="712">
        <v>0</v>
      </c>
      <c r="P292" s="712">
        <v>0</v>
      </c>
      <c r="Q292" s="712">
        <v>0</v>
      </c>
      <c r="R292" s="712">
        <v>0</v>
      </c>
      <c r="S292" s="712">
        <v>3078881</v>
      </c>
      <c r="T292" s="712">
        <v>3240000</v>
      </c>
      <c r="U292" s="712">
        <v>3240000</v>
      </c>
      <c r="V292" s="712">
        <v>3240000</v>
      </c>
      <c r="W292" s="712">
        <v>3240000</v>
      </c>
      <c r="X292" s="712">
        <v>3240000</v>
      </c>
      <c r="Y292" s="712">
        <v>3240000</v>
      </c>
      <c r="Z292" s="712">
        <v>3240000</v>
      </c>
      <c r="AA292" s="712">
        <v>3240000</v>
      </c>
      <c r="AB292" s="712">
        <v>3240000</v>
      </c>
      <c r="AC292" s="712">
        <v>3240000</v>
      </c>
      <c r="AD292" s="712">
        <v>3240000</v>
      </c>
      <c r="AE292" s="712">
        <v>3240000</v>
      </c>
      <c r="AF292" s="712">
        <v>3240000</v>
      </c>
      <c r="AG292" s="712">
        <v>3240000</v>
      </c>
      <c r="AH292" s="712">
        <v>3240000</v>
      </c>
      <c r="AI292" s="712">
        <v>3240000</v>
      </c>
      <c r="AJ292" s="712">
        <v>3240000</v>
      </c>
      <c r="AK292" s="712">
        <v>3240000</v>
      </c>
      <c r="AL292" s="712">
        <v>3240000</v>
      </c>
      <c r="AM292" s="712">
        <v>3240000</v>
      </c>
      <c r="AN292" s="712">
        <v>3240000</v>
      </c>
      <c r="AO292" s="712">
        <v>3240000</v>
      </c>
      <c r="AP292" s="712">
        <v>3240000</v>
      </c>
      <c r="AQ292" s="712">
        <v>3240000</v>
      </c>
      <c r="AR292" s="712">
        <v>240819543</v>
      </c>
      <c r="AS292" s="712">
        <v>0</v>
      </c>
      <c r="AT292">
        <v>321658424</v>
      </c>
      <c r="AU292" s="615"/>
      <c r="AV292" s="615"/>
      <c r="AW292" s="615"/>
      <c r="AX292" s="615"/>
      <c r="AY292" s="615"/>
      <c r="AZ292" s="615"/>
      <c r="BA292" s="615"/>
      <c r="BB292" s="615"/>
      <c r="BC292" s="615"/>
      <c r="BD292" s="615"/>
      <c r="BE292" s="615"/>
      <c r="BF292" s="615"/>
      <c r="BG292" s="615"/>
      <c r="BH292" s="615"/>
      <c r="BI292" s="615"/>
      <c r="BJ292" s="615"/>
      <c r="BK292" s="615"/>
      <c r="BL292" s="615"/>
      <c r="BM292" s="615"/>
      <c r="BN292" s="615"/>
      <c r="BO292" s="615"/>
      <c r="BP292" s="615"/>
      <c r="BQ292" s="615"/>
      <c r="BR292" s="615"/>
      <c r="BS292" s="615"/>
      <c r="BT292" s="615"/>
      <c r="BU292" s="615"/>
      <c r="BV292" s="615"/>
      <c r="BW292" s="615"/>
      <c r="BX292" s="607"/>
    </row>
    <row r="293" spans="1:76" s="612" customFormat="1" ht="25.5" x14ac:dyDescent="0.2">
      <c r="A293" s="839"/>
      <c r="B293" s="713" t="s">
        <v>3274</v>
      </c>
      <c r="C293" s="713" t="s">
        <v>3273</v>
      </c>
      <c r="D293" s="712">
        <v>0</v>
      </c>
      <c r="E293" s="712">
        <v>0</v>
      </c>
      <c r="F293" s="712">
        <v>0</v>
      </c>
      <c r="G293" s="712">
        <v>0</v>
      </c>
      <c r="H293" s="712">
        <v>0</v>
      </c>
      <c r="I293" s="712">
        <v>0</v>
      </c>
      <c r="J293" s="712">
        <v>0</v>
      </c>
      <c r="K293" s="712">
        <v>0</v>
      </c>
      <c r="L293" s="712">
        <v>0</v>
      </c>
      <c r="M293" s="712">
        <v>0</v>
      </c>
      <c r="N293" s="712">
        <v>0</v>
      </c>
      <c r="O293" s="712">
        <v>0</v>
      </c>
      <c r="P293" s="712">
        <v>0</v>
      </c>
      <c r="Q293" s="712">
        <v>0</v>
      </c>
      <c r="R293" s="712">
        <v>0</v>
      </c>
      <c r="S293" s="712">
        <v>0</v>
      </c>
      <c r="T293" s="712">
        <v>0</v>
      </c>
      <c r="U293" s="712">
        <v>0</v>
      </c>
      <c r="V293" s="712">
        <v>4000968</v>
      </c>
      <c r="W293" s="712">
        <v>4000968</v>
      </c>
      <c r="X293" s="712">
        <v>4000968</v>
      </c>
      <c r="Y293" s="712">
        <v>4000968</v>
      </c>
      <c r="Z293" s="712">
        <v>4000968</v>
      </c>
      <c r="AA293" s="712">
        <v>4000968</v>
      </c>
      <c r="AB293" s="712">
        <v>4000968</v>
      </c>
      <c r="AC293" s="712">
        <v>4000968</v>
      </c>
      <c r="AD293" s="712">
        <v>4000968</v>
      </c>
      <c r="AE293" s="712">
        <v>4000968</v>
      </c>
      <c r="AF293" s="712">
        <v>4000968</v>
      </c>
      <c r="AG293" s="712">
        <v>4000968</v>
      </c>
      <c r="AH293" s="712">
        <v>4000968</v>
      </c>
      <c r="AI293" s="712">
        <v>4000968</v>
      </c>
      <c r="AJ293" s="712">
        <v>4000968</v>
      </c>
      <c r="AK293" s="712">
        <v>4000968</v>
      </c>
      <c r="AL293" s="712">
        <v>4000968</v>
      </c>
      <c r="AM293" s="712">
        <v>4000968</v>
      </c>
      <c r="AN293" s="712">
        <v>4000968</v>
      </c>
      <c r="AO293" s="712">
        <v>4000968</v>
      </c>
      <c r="AP293" s="712">
        <v>4000968</v>
      </c>
      <c r="AQ293" s="712">
        <v>4000960</v>
      </c>
      <c r="AR293" s="712">
        <v>301070000</v>
      </c>
      <c r="AS293" s="712">
        <v>0</v>
      </c>
      <c r="AT293">
        <v>389091288</v>
      </c>
      <c r="AU293" s="615"/>
      <c r="AV293" s="615"/>
      <c r="AW293" s="615"/>
      <c r="AX293" s="615"/>
      <c r="AY293" s="615"/>
      <c r="AZ293" s="615"/>
      <c r="BA293" s="615"/>
      <c r="BB293" s="615"/>
      <c r="BC293" s="615"/>
      <c r="BD293" s="615"/>
      <c r="BE293" s="615"/>
      <c r="BF293" s="615"/>
      <c r="BG293" s="615"/>
      <c r="BH293" s="615"/>
      <c r="BI293" s="615"/>
      <c r="BJ293" s="615"/>
      <c r="BK293" s="615"/>
      <c r="BL293" s="615"/>
      <c r="BM293" s="615"/>
      <c r="BN293" s="615"/>
      <c r="BO293" s="615"/>
      <c r="BP293" s="615"/>
      <c r="BQ293" s="615"/>
      <c r="BR293" s="615"/>
      <c r="BS293" s="615"/>
      <c r="BT293" s="615"/>
      <c r="BU293" s="615"/>
      <c r="BV293" s="615"/>
      <c r="BW293" s="615"/>
      <c r="BX293" s="607"/>
    </row>
    <row r="294" spans="1:76" s="612" customFormat="1" ht="25.5" x14ac:dyDescent="0.2">
      <c r="A294" s="839"/>
      <c r="B294" s="713" t="s">
        <v>2957</v>
      </c>
      <c r="C294" s="713" t="s">
        <v>2956</v>
      </c>
      <c r="D294" s="712">
        <v>0</v>
      </c>
      <c r="E294" s="712">
        <v>0</v>
      </c>
      <c r="F294" s="712">
        <v>0</v>
      </c>
      <c r="G294" s="712">
        <v>0</v>
      </c>
      <c r="H294" s="712">
        <v>0</v>
      </c>
      <c r="I294" s="712">
        <v>0</v>
      </c>
      <c r="J294" s="712">
        <v>0</v>
      </c>
      <c r="K294" s="712">
        <v>0</v>
      </c>
      <c r="L294" s="712">
        <v>0</v>
      </c>
      <c r="M294" s="712">
        <v>0</v>
      </c>
      <c r="N294" s="712">
        <v>0</v>
      </c>
      <c r="O294" s="712">
        <v>0</v>
      </c>
      <c r="P294" s="712">
        <v>424720</v>
      </c>
      <c r="Q294" s="712">
        <v>4613867</v>
      </c>
      <c r="R294" s="712">
        <v>4613867</v>
      </c>
      <c r="S294" s="712">
        <v>4613867</v>
      </c>
      <c r="T294" s="712">
        <v>4613867</v>
      </c>
      <c r="U294" s="712">
        <v>4613867</v>
      </c>
      <c r="V294" s="712">
        <v>4613867</v>
      </c>
      <c r="W294" s="712">
        <v>4613867</v>
      </c>
      <c r="X294" s="712">
        <v>4613867</v>
      </c>
      <c r="Y294" s="712">
        <v>4613867</v>
      </c>
      <c r="Z294" s="712">
        <v>4613867</v>
      </c>
      <c r="AA294" s="712">
        <v>4613867</v>
      </c>
      <c r="AB294" s="712">
        <v>4613867</v>
      </c>
      <c r="AC294" s="712">
        <v>4613867</v>
      </c>
      <c r="AD294" s="712">
        <v>4613867</v>
      </c>
      <c r="AE294" s="712">
        <v>4613867</v>
      </c>
      <c r="AF294" s="712">
        <v>4613867</v>
      </c>
      <c r="AG294" s="712">
        <v>4613867</v>
      </c>
      <c r="AH294" s="712">
        <v>4613867</v>
      </c>
      <c r="AI294" s="712">
        <v>4613867</v>
      </c>
      <c r="AJ294" s="712">
        <v>4613867</v>
      </c>
      <c r="AK294" s="712">
        <v>4613867</v>
      </c>
      <c r="AL294" s="712">
        <v>4613867</v>
      </c>
      <c r="AM294" s="712">
        <v>4613867</v>
      </c>
      <c r="AN294" s="712">
        <v>4613867</v>
      </c>
      <c r="AO294" s="712">
        <v>4613867</v>
      </c>
      <c r="AP294" s="712">
        <v>4613867</v>
      </c>
      <c r="AQ294" s="712">
        <v>4613856</v>
      </c>
      <c r="AR294" s="712">
        <v>365260000</v>
      </c>
      <c r="AS294" s="712">
        <v>0</v>
      </c>
      <c r="AT294">
        <v>490259118</v>
      </c>
      <c r="AU294" s="615"/>
      <c r="AV294" s="615"/>
      <c r="AW294" s="615"/>
      <c r="AX294" s="615"/>
      <c r="AY294" s="615"/>
      <c r="AZ294" s="615"/>
      <c r="BA294" s="615"/>
      <c r="BB294" s="615"/>
      <c r="BC294" s="615"/>
      <c r="BD294" s="615"/>
      <c r="BE294" s="615"/>
      <c r="BF294" s="615"/>
      <c r="BG294" s="615"/>
      <c r="BH294" s="615"/>
      <c r="BI294" s="615"/>
      <c r="BJ294" s="615"/>
      <c r="BK294" s="615"/>
      <c r="BL294" s="615"/>
      <c r="BM294" s="615"/>
      <c r="BN294" s="615"/>
      <c r="BO294" s="615"/>
      <c r="BP294" s="615"/>
      <c r="BQ294" s="615"/>
      <c r="BR294" s="615"/>
      <c r="BS294" s="615"/>
      <c r="BT294" s="615"/>
      <c r="BU294" s="615"/>
      <c r="BV294" s="615"/>
      <c r="BW294" s="615"/>
      <c r="BX294" s="607"/>
    </row>
    <row r="295" spans="1:76" s="612" customFormat="1" ht="25.5" x14ac:dyDescent="0.2">
      <c r="A295" s="839"/>
      <c r="B295" s="713" t="s">
        <v>3360</v>
      </c>
      <c r="C295" s="713" t="s">
        <v>3359</v>
      </c>
      <c r="D295" s="712">
        <v>0</v>
      </c>
      <c r="E295" s="712">
        <v>0</v>
      </c>
      <c r="F295" s="712">
        <v>0</v>
      </c>
      <c r="G295" s="712">
        <v>0</v>
      </c>
      <c r="H295" s="712">
        <v>0</v>
      </c>
      <c r="I295" s="712">
        <v>0</v>
      </c>
      <c r="J295" s="712">
        <v>0</v>
      </c>
      <c r="K295" s="712">
        <v>0</v>
      </c>
      <c r="L295" s="712">
        <v>0</v>
      </c>
      <c r="M295" s="712">
        <v>0</v>
      </c>
      <c r="N295" s="712">
        <v>0</v>
      </c>
      <c r="O295" s="712">
        <v>0</v>
      </c>
      <c r="P295" s="712">
        <v>0</v>
      </c>
      <c r="Q295" s="712">
        <v>0</v>
      </c>
      <c r="R295" s="712">
        <v>427579</v>
      </c>
      <c r="S295" s="712">
        <v>5096797</v>
      </c>
      <c r="T295" s="712">
        <v>5096797</v>
      </c>
      <c r="U295" s="712">
        <v>5096797</v>
      </c>
      <c r="V295" s="712">
        <v>5096797</v>
      </c>
      <c r="W295" s="712">
        <v>5096797</v>
      </c>
      <c r="X295" s="712">
        <v>5096797</v>
      </c>
      <c r="Y295" s="712">
        <v>5096797</v>
      </c>
      <c r="Z295" s="712">
        <v>5096797</v>
      </c>
      <c r="AA295" s="712">
        <v>5096797</v>
      </c>
      <c r="AB295" s="712">
        <v>5096797</v>
      </c>
      <c r="AC295" s="712">
        <v>5096797</v>
      </c>
      <c r="AD295" s="712">
        <v>5096797</v>
      </c>
      <c r="AE295" s="712">
        <v>5096797</v>
      </c>
      <c r="AF295" s="712">
        <v>5096797</v>
      </c>
      <c r="AG295" s="712">
        <v>5096797</v>
      </c>
      <c r="AH295" s="712">
        <v>5096797</v>
      </c>
      <c r="AI295" s="712">
        <v>5096797</v>
      </c>
      <c r="AJ295" s="712">
        <v>5096797</v>
      </c>
      <c r="AK295" s="712">
        <v>5096797</v>
      </c>
      <c r="AL295" s="712">
        <v>5096797</v>
      </c>
      <c r="AM295" s="712">
        <v>5096797</v>
      </c>
      <c r="AN295" s="712">
        <v>5096797</v>
      </c>
      <c r="AO295" s="712">
        <v>5096797</v>
      </c>
      <c r="AP295" s="712">
        <v>5096797</v>
      </c>
      <c r="AQ295" s="712">
        <v>5096793</v>
      </c>
      <c r="AR295" s="712">
        <v>392227500</v>
      </c>
      <c r="AS295" s="712">
        <v>0</v>
      </c>
      <c r="AT295">
        <v>520075000</v>
      </c>
      <c r="AU295" s="615"/>
      <c r="AV295" s="615"/>
      <c r="AW295" s="615"/>
      <c r="AX295" s="615"/>
      <c r="AY295" s="615"/>
      <c r="AZ295" s="615"/>
      <c r="BA295" s="615"/>
      <c r="BB295" s="615"/>
      <c r="BC295" s="615"/>
      <c r="BD295" s="615"/>
      <c r="BE295" s="615"/>
      <c r="BF295" s="615"/>
      <c r="BG295" s="615"/>
      <c r="BH295" s="615"/>
      <c r="BI295" s="615"/>
      <c r="BJ295" s="615"/>
      <c r="BK295" s="615"/>
      <c r="BL295" s="615"/>
      <c r="BM295" s="615"/>
      <c r="BN295" s="615"/>
      <c r="BO295" s="615"/>
      <c r="BP295" s="615"/>
      <c r="BQ295" s="615"/>
      <c r="BR295" s="615"/>
      <c r="BS295" s="615"/>
      <c r="BT295" s="615"/>
      <c r="BU295" s="615"/>
      <c r="BV295" s="615"/>
      <c r="BW295" s="615"/>
      <c r="BX295" s="607"/>
    </row>
    <row r="296" spans="1:76" s="612" customFormat="1" ht="25.5" x14ac:dyDescent="0.2">
      <c r="A296" s="839"/>
      <c r="B296" s="713" t="s">
        <v>3348</v>
      </c>
      <c r="C296" s="713" t="s">
        <v>3347</v>
      </c>
      <c r="D296" s="712">
        <v>0</v>
      </c>
      <c r="E296" s="712">
        <v>0</v>
      </c>
      <c r="F296" s="712">
        <v>0</v>
      </c>
      <c r="G296" s="712">
        <v>0</v>
      </c>
      <c r="H296" s="712">
        <v>0</v>
      </c>
      <c r="I296" s="712">
        <v>0</v>
      </c>
      <c r="J296" s="712">
        <v>0</v>
      </c>
      <c r="K296" s="712">
        <v>0</v>
      </c>
      <c r="L296" s="712">
        <v>0</v>
      </c>
      <c r="M296" s="712">
        <v>0</v>
      </c>
      <c r="N296" s="712">
        <v>0</v>
      </c>
      <c r="O296" s="712">
        <v>0</v>
      </c>
      <c r="P296" s="712">
        <v>0</v>
      </c>
      <c r="Q296" s="712">
        <v>0</v>
      </c>
      <c r="R296" s="712">
        <v>0</v>
      </c>
      <c r="S296" s="712">
        <v>5517807</v>
      </c>
      <c r="T296" s="712">
        <v>5522833</v>
      </c>
      <c r="U296" s="712">
        <v>5522833</v>
      </c>
      <c r="V296" s="712">
        <v>5522833</v>
      </c>
      <c r="W296" s="712">
        <v>5522833</v>
      </c>
      <c r="X296" s="712">
        <v>5522833</v>
      </c>
      <c r="Y296" s="712">
        <v>5522833</v>
      </c>
      <c r="Z296" s="712">
        <v>5522833</v>
      </c>
      <c r="AA296" s="712">
        <v>5522833</v>
      </c>
      <c r="AB296" s="712">
        <v>5522833</v>
      </c>
      <c r="AC296" s="712">
        <v>5522833</v>
      </c>
      <c r="AD296" s="712">
        <v>5522833</v>
      </c>
      <c r="AE296" s="712">
        <v>5522833</v>
      </c>
      <c r="AF296" s="712">
        <v>5522833</v>
      </c>
      <c r="AG296" s="712">
        <v>5522833</v>
      </c>
      <c r="AH296" s="712">
        <v>5522833</v>
      </c>
      <c r="AI296" s="712">
        <v>5522833</v>
      </c>
      <c r="AJ296" s="712">
        <v>5522833</v>
      </c>
      <c r="AK296" s="712">
        <v>5522833</v>
      </c>
      <c r="AL296" s="712">
        <v>5522833</v>
      </c>
      <c r="AM296" s="712">
        <v>5522833</v>
      </c>
      <c r="AN296" s="712">
        <v>5522833</v>
      </c>
      <c r="AO296" s="712">
        <v>5522833</v>
      </c>
      <c r="AP296" s="712">
        <v>5522833</v>
      </c>
      <c r="AQ296" s="712">
        <v>5522843</v>
      </c>
      <c r="AR296" s="712">
        <v>398265000</v>
      </c>
      <c r="AS296" s="712">
        <v>0</v>
      </c>
      <c r="AT296">
        <v>536330809</v>
      </c>
      <c r="AU296" s="615"/>
      <c r="AV296" s="615"/>
      <c r="AW296" s="615"/>
      <c r="AX296" s="615"/>
      <c r="AY296" s="615"/>
      <c r="AZ296" s="615"/>
      <c r="BA296" s="615"/>
      <c r="BB296" s="615"/>
      <c r="BC296" s="615"/>
      <c r="BD296" s="615"/>
      <c r="BE296" s="615"/>
      <c r="BF296" s="615"/>
      <c r="BG296" s="615"/>
      <c r="BH296" s="615"/>
      <c r="BI296" s="615"/>
      <c r="BJ296" s="615"/>
      <c r="BK296" s="615"/>
      <c r="BL296" s="615"/>
      <c r="BM296" s="615"/>
      <c r="BN296" s="615"/>
      <c r="BO296" s="615"/>
      <c r="BP296" s="615"/>
      <c r="BQ296" s="615"/>
      <c r="BR296" s="615"/>
      <c r="BS296" s="615"/>
      <c r="BT296" s="615"/>
      <c r="BU296" s="615"/>
      <c r="BV296" s="615"/>
      <c r="BW296" s="615"/>
      <c r="BX296" s="607"/>
    </row>
    <row r="297" spans="1:76" s="612" customFormat="1" ht="25.5" x14ac:dyDescent="0.2">
      <c r="A297" s="839"/>
      <c r="B297" s="713" t="s">
        <v>3352</v>
      </c>
      <c r="C297" s="713" t="s">
        <v>3351</v>
      </c>
      <c r="D297" s="712">
        <v>0</v>
      </c>
      <c r="E297" s="712">
        <v>0</v>
      </c>
      <c r="F297" s="712">
        <v>0</v>
      </c>
      <c r="G297" s="712">
        <v>0</v>
      </c>
      <c r="H297" s="712">
        <v>0</v>
      </c>
      <c r="I297" s="712">
        <v>0</v>
      </c>
      <c r="J297" s="712">
        <v>0</v>
      </c>
      <c r="K297" s="712">
        <v>0</v>
      </c>
      <c r="L297" s="712">
        <v>0</v>
      </c>
      <c r="M297" s="712">
        <v>0</v>
      </c>
      <c r="N297" s="712">
        <v>0</v>
      </c>
      <c r="O297" s="712">
        <v>0</v>
      </c>
      <c r="P297" s="712">
        <v>0</v>
      </c>
      <c r="Q297" s="712">
        <v>0</v>
      </c>
      <c r="R297" s="712">
        <v>0</v>
      </c>
      <c r="S297" s="712">
        <v>2000000</v>
      </c>
      <c r="T297" s="712">
        <v>2000000</v>
      </c>
      <c r="U297" s="712">
        <v>2000000</v>
      </c>
      <c r="V297" s="712">
        <v>20000000</v>
      </c>
      <c r="W297" s="712">
        <v>2000000</v>
      </c>
      <c r="X297" s="712">
        <v>2000000</v>
      </c>
      <c r="Y297" s="712">
        <v>2000000</v>
      </c>
      <c r="Z297" s="712">
        <v>2000000</v>
      </c>
      <c r="AA297" s="712">
        <v>2000000</v>
      </c>
      <c r="AB297" s="712">
        <v>2000000</v>
      </c>
      <c r="AC297" s="712">
        <v>2000000</v>
      </c>
      <c r="AD297" s="712">
        <v>2000000</v>
      </c>
      <c r="AE297" s="712">
        <v>2000000</v>
      </c>
      <c r="AF297" s="712">
        <v>2000000</v>
      </c>
      <c r="AG297" s="712">
        <v>27000000</v>
      </c>
      <c r="AH297" s="712">
        <v>2500000</v>
      </c>
      <c r="AI297" s="712">
        <v>2500000</v>
      </c>
      <c r="AJ297" s="712">
        <v>2500000</v>
      </c>
      <c r="AK297" s="712">
        <v>2500000</v>
      </c>
      <c r="AL297" s="712">
        <v>2500000</v>
      </c>
      <c r="AM297" s="712">
        <v>2500000</v>
      </c>
      <c r="AN297" s="712">
        <v>2500000</v>
      </c>
      <c r="AO297" s="712">
        <v>2500000</v>
      </c>
      <c r="AP297" s="712">
        <v>2681917</v>
      </c>
      <c r="AQ297" s="712">
        <v>15000000</v>
      </c>
      <c r="AR297" s="712">
        <v>294490000</v>
      </c>
      <c r="AS297" s="712">
        <v>0</v>
      </c>
      <c r="AT297">
        <v>405171917</v>
      </c>
      <c r="AU297" s="615"/>
      <c r="AV297" s="615"/>
      <c r="AW297" s="615"/>
      <c r="AX297" s="615"/>
      <c r="AY297" s="615"/>
      <c r="AZ297" s="615"/>
      <c r="BA297" s="615"/>
      <c r="BB297" s="615"/>
      <c r="BC297" s="615"/>
      <c r="BD297" s="615"/>
      <c r="BE297" s="615"/>
      <c r="BF297" s="615"/>
      <c r="BG297" s="615"/>
      <c r="BH297" s="615"/>
      <c r="BI297" s="615"/>
      <c r="BJ297" s="615"/>
      <c r="BK297" s="615"/>
      <c r="BL297" s="615"/>
      <c r="BM297" s="615"/>
      <c r="BN297" s="615"/>
      <c r="BO297" s="615"/>
      <c r="BP297" s="615"/>
      <c r="BQ297" s="615"/>
      <c r="BR297" s="615"/>
      <c r="BS297" s="615"/>
      <c r="BT297" s="615"/>
      <c r="BU297" s="615"/>
      <c r="BV297" s="615"/>
      <c r="BW297" s="615"/>
      <c r="BX297" s="607"/>
    </row>
    <row r="298" spans="1:76" s="612" customFormat="1" ht="25.5" x14ac:dyDescent="0.2">
      <c r="A298" s="839"/>
      <c r="B298" s="713" t="s">
        <v>2718</v>
      </c>
      <c r="C298" s="713" t="s">
        <v>2717</v>
      </c>
      <c r="D298" s="712">
        <v>0</v>
      </c>
      <c r="E298" s="712">
        <v>0</v>
      </c>
      <c r="F298" s="712">
        <v>0</v>
      </c>
      <c r="G298" s="712">
        <v>0</v>
      </c>
      <c r="H298" s="712">
        <v>0</v>
      </c>
      <c r="I298" s="712">
        <v>0</v>
      </c>
      <c r="J298" s="712">
        <v>0</v>
      </c>
      <c r="K298" s="712">
        <v>0</v>
      </c>
      <c r="L298" s="712">
        <v>0</v>
      </c>
      <c r="M298" s="712">
        <v>0</v>
      </c>
      <c r="N298" s="712">
        <v>0</v>
      </c>
      <c r="O298" s="712">
        <v>0</v>
      </c>
      <c r="P298" s="712">
        <v>0</v>
      </c>
      <c r="Q298" s="712">
        <v>0</v>
      </c>
      <c r="R298" s="712">
        <v>0</v>
      </c>
      <c r="S298" s="712">
        <v>0</v>
      </c>
      <c r="T298" s="712">
        <v>0</v>
      </c>
      <c r="U298" s="712">
        <v>4455713</v>
      </c>
      <c r="V298" s="712">
        <v>4455714</v>
      </c>
      <c r="W298" s="712">
        <v>4455714</v>
      </c>
      <c r="X298" s="712">
        <v>4455714</v>
      </c>
      <c r="Y298" s="712">
        <v>4455714</v>
      </c>
      <c r="Z298" s="712">
        <v>4455714</v>
      </c>
      <c r="AA298" s="712">
        <v>4455714</v>
      </c>
      <c r="AB298" s="712">
        <v>4455714</v>
      </c>
      <c r="AC298" s="712">
        <v>4455714</v>
      </c>
      <c r="AD298" s="712">
        <v>4455714</v>
      </c>
      <c r="AE298" s="712">
        <v>4455714</v>
      </c>
      <c r="AF298" s="712">
        <v>4455714</v>
      </c>
      <c r="AG298" s="712">
        <v>4455714</v>
      </c>
      <c r="AH298" s="712">
        <v>4455714</v>
      </c>
      <c r="AI298" s="712">
        <v>4455714</v>
      </c>
      <c r="AJ298" s="712">
        <v>4455714</v>
      </c>
      <c r="AK298" s="712">
        <v>4455714</v>
      </c>
      <c r="AL298" s="712">
        <v>4455714</v>
      </c>
      <c r="AM298" s="712">
        <v>4455714</v>
      </c>
      <c r="AN298" s="712">
        <v>4455714</v>
      </c>
      <c r="AO298" s="712">
        <v>4455714</v>
      </c>
      <c r="AP298" s="712">
        <v>4455714</v>
      </c>
      <c r="AQ298" s="712">
        <v>4455724</v>
      </c>
      <c r="AR298" s="712">
        <v>375550000</v>
      </c>
      <c r="AS298" s="712">
        <v>0</v>
      </c>
      <c r="AT298">
        <v>478031431</v>
      </c>
      <c r="AU298" s="615"/>
      <c r="AV298" s="615"/>
      <c r="AW298" s="615"/>
      <c r="AX298" s="615"/>
      <c r="AY298" s="615"/>
      <c r="AZ298" s="615"/>
      <c r="BA298" s="615"/>
      <c r="BB298" s="615"/>
      <c r="BC298" s="615"/>
      <c r="BD298" s="615"/>
      <c r="BE298" s="615"/>
      <c r="BF298" s="615"/>
      <c r="BG298" s="615"/>
      <c r="BH298" s="615"/>
      <c r="BI298" s="615"/>
      <c r="BJ298" s="615"/>
      <c r="BK298" s="615"/>
      <c r="BL298" s="615"/>
      <c r="BM298" s="615"/>
      <c r="BN298" s="615"/>
      <c r="BO298" s="615"/>
      <c r="BP298" s="615"/>
      <c r="BQ298" s="615"/>
      <c r="BR298" s="615"/>
      <c r="BS298" s="615"/>
      <c r="BT298" s="615"/>
      <c r="BU298" s="615"/>
      <c r="BV298" s="615"/>
      <c r="BW298" s="615"/>
      <c r="BX298" s="607"/>
    </row>
    <row r="299" spans="1:76" s="612" customFormat="1" ht="25.5" x14ac:dyDescent="0.2">
      <c r="A299" s="839"/>
      <c r="B299" s="713" t="s">
        <v>3158</v>
      </c>
      <c r="C299" s="713" t="s">
        <v>3157</v>
      </c>
      <c r="D299" s="712">
        <v>0</v>
      </c>
      <c r="E299" s="712">
        <v>0</v>
      </c>
      <c r="F299" s="712">
        <v>0</v>
      </c>
      <c r="G299" s="712">
        <v>0</v>
      </c>
      <c r="H299" s="712">
        <v>0</v>
      </c>
      <c r="I299" s="712">
        <v>0</v>
      </c>
      <c r="J299" s="712">
        <v>0</v>
      </c>
      <c r="K299" s="712">
        <v>0</v>
      </c>
      <c r="L299" s="712">
        <v>0</v>
      </c>
      <c r="M299" s="712">
        <v>0</v>
      </c>
      <c r="N299" s="712">
        <v>0</v>
      </c>
      <c r="O299" s="712">
        <v>0</v>
      </c>
      <c r="P299" s="712">
        <v>0</v>
      </c>
      <c r="Q299" s="712">
        <v>0</v>
      </c>
      <c r="R299" s="712">
        <v>0</v>
      </c>
      <c r="S299" s="712">
        <v>0</v>
      </c>
      <c r="T299" s="712">
        <v>4623096</v>
      </c>
      <c r="U299" s="712">
        <v>4623096</v>
      </c>
      <c r="V299" s="712">
        <v>4623096</v>
      </c>
      <c r="W299" s="712">
        <v>4623096</v>
      </c>
      <c r="X299" s="712">
        <v>4623096</v>
      </c>
      <c r="Y299" s="712">
        <v>4623096</v>
      </c>
      <c r="Z299" s="712">
        <v>4623096</v>
      </c>
      <c r="AA299" s="712">
        <v>4623096</v>
      </c>
      <c r="AB299" s="712">
        <v>4623096</v>
      </c>
      <c r="AC299" s="712">
        <v>4623096</v>
      </c>
      <c r="AD299" s="712">
        <v>4623096</v>
      </c>
      <c r="AE299" s="712">
        <v>4623096</v>
      </c>
      <c r="AF299" s="712">
        <v>4623096</v>
      </c>
      <c r="AG299" s="712">
        <v>4623096</v>
      </c>
      <c r="AH299" s="712">
        <v>4623096</v>
      </c>
      <c r="AI299" s="712">
        <v>4623096</v>
      </c>
      <c r="AJ299" s="712">
        <v>4623096</v>
      </c>
      <c r="AK299" s="712">
        <v>4623096</v>
      </c>
      <c r="AL299" s="712">
        <v>4623096</v>
      </c>
      <c r="AM299" s="712">
        <v>4623096</v>
      </c>
      <c r="AN299" s="712">
        <v>4623096</v>
      </c>
      <c r="AO299" s="712">
        <v>4623096</v>
      </c>
      <c r="AP299" s="712">
        <v>4623096</v>
      </c>
      <c r="AQ299" s="712">
        <v>4623082</v>
      </c>
      <c r="AR299" s="712">
        <v>378432250</v>
      </c>
      <c r="AS299" s="712">
        <v>0</v>
      </c>
      <c r="AT299">
        <v>489386540</v>
      </c>
      <c r="AU299" s="615"/>
      <c r="AV299" s="615"/>
      <c r="AW299" s="615"/>
      <c r="AX299" s="615"/>
      <c r="AY299" s="615"/>
      <c r="AZ299" s="615"/>
      <c r="BA299" s="615"/>
      <c r="BB299" s="615"/>
      <c r="BC299" s="615"/>
      <c r="BD299" s="615"/>
      <c r="BE299" s="615"/>
      <c r="BF299" s="615"/>
      <c r="BG299" s="615"/>
      <c r="BH299" s="615"/>
      <c r="BI299" s="615"/>
      <c r="BJ299" s="615"/>
      <c r="BK299" s="615"/>
      <c r="BL299" s="615"/>
      <c r="BM299" s="615"/>
      <c r="BN299" s="615"/>
      <c r="BO299" s="615"/>
      <c r="BP299" s="615"/>
      <c r="BQ299" s="615"/>
      <c r="BR299" s="615"/>
      <c r="BS299" s="615"/>
      <c r="BT299" s="615"/>
      <c r="BU299" s="615"/>
      <c r="BV299" s="615"/>
      <c r="BW299" s="615"/>
      <c r="BX299" s="607"/>
    </row>
    <row r="300" spans="1:76" s="612" customFormat="1" ht="25.5" x14ac:dyDescent="0.2">
      <c r="A300" s="839"/>
      <c r="B300" s="713" t="s">
        <v>2250</v>
      </c>
      <c r="C300" s="713" t="s">
        <v>3437</v>
      </c>
      <c r="D300" s="712">
        <v>0</v>
      </c>
      <c r="E300" s="712">
        <v>0</v>
      </c>
      <c r="F300" s="712">
        <v>0</v>
      </c>
      <c r="G300" s="712">
        <v>0</v>
      </c>
      <c r="H300" s="712">
        <v>0</v>
      </c>
      <c r="I300" s="712">
        <v>0</v>
      </c>
      <c r="J300" s="712">
        <v>0</v>
      </c>
      <c r="K300" s="712">
        <v>0</v>
      </c>
      <c r="L300" s="712">
        <v>0</v>
      </c>
      <c r="M300" s="712">
        <v>0</v>
      </c>
      <c r="N300" s="712">
        <v>0</v>
      </c>
      <c r="O300" s="712">
        <v>0</v>
      </c>
      <c r="P300" s="712">
        <v>0</v>
      </c>
      <c r="Q300" s="712">
        <v>0</v>
      </c>
      <c r="R300" s="712">
        <v>0</v>
      </c>
      <c r="S300" s="712">
        <v>0</v>
      </c>
      <c r="T300" s="712">
        <v>912140</v>
      </c>
      <c r="U300" s="712">
        <v>4318690</v>
      </c>
      <c r="V300" s="712">
        <v>4318690</v>
      </c>
      <c r="W300" s="712">
        <v>4318690</v>
      </c>
      <c r="X300" s="712">
        <v>4318690</v>
      </c>
      <c r="Y300" s="712">
        <v>4318690</v>
      </c>
      <c r="Z300" s="712">
        <v>4318690</v>
      </c>
      <c r="AA300" s="712">
        <v>4318690</v>
      </c>
      <c r="AB300" s="712">
        <v>4318690</v>
      </c>
      <c r="AC300" s="712">
        <v>4318690</v>
      </c>
      <c r="AD300" s="712">
        <v>4318690</v>
      </c>
      <c r="AE300" s="712">
        <v>4318690</v>
      </c>
      <c r="AF300" s="712">
        <v>4318690</v>
      </c>
      <c r="AG300" s="712">
        <v>4318690</v>
      </c>
      <c r="AH300" s="712">
        <v>4318690</v>
      </c>
      <c r="AI300" s="712">
        <v>4318690</v>
      </c>
      <c r="AJ300" s="712">
        <v>4318690</v>
      </c>
      <c r="AK300" s="712">
        <v>4318690</v>
      </c>
      <c r="AL300" s="712">
        <v>4318690</v>
      </c>
      <c r="AM300" s="712">
        <v>4318690</v>
      </c>
      <c r="AN300" s="712">
        <v>4318690</v>
      </c>
      <c r="AO300" s="712">
        <v>4318690</v>
      </c>
      <c r="AP300" s="712">
        <v>4318690</v>
      </c>
      <c r="AQ300" s="712">
        <v>4318680</v>
      </c>
      <c r="AR300" s="712">
        <v>303898000</v>
      </c>
      <c r="AS300" s="712">
        <v>0</v>
      </c>
      <c r="AT300">
        <v>404140000</v>
      </c>
      <c r="AU300" s="615"/>
      <c r="AV300" s="615"/>
      <c r="AW300" s="615"/>
      <c r="AX300" s="615"/>
      <c r="AY300" s="615"/>
      <c r="AZ300" s="615"/>
      <c r="BA300" s="615"/>
      <c r="BB300" s="615"/>
      <c r="BC300" s="615"/>
      <c r="BD300" s="615"/>
      <c r="BE300" s="615"/>
      <c r="BF300" s="615"/>
      <c r="BG300" s="615"/>
      <c r="BH300" s="615"/>
      <c r="BI300" s="615"/>
      <c r="BJ300" s="615"/>
      <c r="BK300" s="615"/>
      <c r="BL300" s="615"/>
      <c r="BM300" s="615"/>
      <c r="BN300" s="615"/>
      <c r="BO300" s="615"/>
      <c r="BP300" s="615"/>
      <c r="BQ300" s="615"/>
      <c r="BR300" s="615"/>
      <c r="BS300" s="615"/>
      <c r="BT300" s="615"/>
      <c r="BU300" s="615"/>
      <c r="BV300" s="615"/>
      <c r="BW300" s="615"/>
      <c r="BX300" s="607"/>
    </row>
    <row r="301" spans="1:76" s="612" customFormat="1" ht="25.5" x14ac:dyDescent="0.2">
      <c r="A301" s="839"/>
      <c r="B301" s="713" t="s">
        <v>3346</v>
      </c>
      <c r="C301" s="713" t="s">
        <v>3345</v>
      </c>
      <c r="D301" s="712">
        <v>0</v>
      </c>
      <c r="E301" s="712">
        <v>0</v>
      </c>
      <c r="F301" s="712">
        <v>0</v>
      </c>
      <c r="G301" s="712">
        <v>0</v>
      </c>
      <c r="H301" s="712">
        <v>0</v>
      </c>
      <c r="I301" s="712">
        <v>0</v>
      </c>
      <c r="J301" s="712">
        <v>0</v>
      </c>
      <c r="K301" s="712">
        <v>0</v>
      </c>
      <c r="L301" s="712">
        <v>0</v>
      </c>
      <c r="M301" s="712">
        <v>0</v>
      </c>
      <c r="N301" s="712">
        <v>0</v>
      </c>
      <c r="O301" s="712">
        <v>0</v>
      </c>
      <c r="P301" s="712">
        <v>0</v>
      </c>
      <c r="Q301" s="712">
        <v>0</v>
      </c>
      <c r="R301" s="712">
        <v>0</v>
      </c>
      <c r="S301" s="712">
        <v>0</v>
      </c>
      <c r="T301" s="712">
        <v>0</v>
      </c>
      <c r="U301" s="712">
        <v>0</v>
      </c>
      <c r="V301" s="712">
        <v>3744513</v>
      </c>
      <c r="W301" s="712">
        <v>3957419</v>
      </c>
      <c r="X301" s="712">
        <v>3957419</v>
      </c>
      <c r="Y301" s="712">
        <v>3957419</v>
      </c>
      <c r="Z301" s="712">
        <v>3957419</v>
      </c>
      <c r="AA301" s="712">
        <v>3957419</v>
      </c>
      <c r="AB301" s="712">
        <v>3957419</v>
      </c>
      <c r="AC301" s="712">
        <v>3957419</v>
      </c>
      <c r="AD301" s="712">
        <v>3957419</v>
      </c>
      <c r="AE301" s="712">
        <v>3957419</v>
      </c>
      <c r="AF301" s="712">
        <v>3957419</v>
      </c>
      <c r="AG301" s="712">
        <v>3957419</v>
      </c>
      <c r="AH301" s="712">
        <v>3957419</v>
      </c>
      <c r="AI301" s="712">
        <v>3957419</v>
      </c>
      <c r="AJ301" s="712">
        <v>3957419</v>
      </c>
      <c r="AK301" s="712">
        <v>3957419</v>
      </c>
      <c r="AL301" s="712">
        <v>3957419</v>
      </c>
      <c r="AM301" s="712">
        <v>3957419</v>
      </c>
      <c r="AN301" s="712">
        <v>3957419</v>
      </c>
      <c r="AO301" s="712">
        <v>3957419</v>
      </c>
      <c r="AP301" s="712">
        <v>3957419</v>
      </c>
      <c r="AQ301" s="712">
        <v>3957430</v>
      </c>
      <c r="AR301" s="712">
        <v>297920000</v>
      </c>
      <c r="AS301" s="712">
        <v>0</v>
      </c>
      <c r="AT301">
        <v>384770323</v>
      </c>
      <c r="AU301" s="615"/>
      <c r="AV301" s="615"/>
      <c r="AW301" s="615"/>
      <c r="AX301" s="615"/>
      <c r="AY301" s="615"/>
      <c r="AZ301" s="615"/>
      <c r="BA301" s="615"/>
      <c r="BB301" s="615"/>
      <c r="BC301" s="615"/>
      <c r="BD301" s="615"/>
      <c r="BE301" s="615"/>
      <c r="BF301" s="615"/>
      <c r="BG301" s="615"/>
      <c r="BH301" s="615"/>
      <c r="BI301" s="615"/>
      <c r="BJ301" s="615"/>
      <c r="BK301" s="615"/>
      <c r="BL301" s="615"/>
      <c r="BM301" s="615"/>
      <c r="BN301" s="615"/>
      <c r="BO301" s="615"/>
      <c r="BP301" s="615"/>
      <c r="BQ301" s="615"/>
      <c r="BR301" s="615"/>
      <c r="BS301" s="615"/>
      <c r="BT301" s="615"/>
      <c r="BU301" s="615"/>
      <c r="BV301" s="615"/>
      <c r="BW301" s="615"/>
      <c r="BX301" s="607"/>
    </row>
    <row r="302" spans="1:76" s="612" customFormat="1" ht="25.5" x14ac:dyDescent="0.2">
      <c r="A302" s="839"/>
      <c r="B302" s="713" t="s">
        <v>4282</v>
      </c>
      <c r="C302" s="713" t="s">
        <v>4281</v>
      </c>
      <c r="D302" s="712">
        <v>0</v>
      </c>
      <c r="E302" s="712">
        <v>0</v>
      </c>
      <c r="F302" s="712">
        <v>0</v>
      </c>
      <c r="G302" s="712">
        <v>0</v>
      </c>
      <c r="H302" s="712">
        <v>0</v>
      </c>
      <c r="I302" s="712">
        <v>0</v>
      </c>
      <c r="J302" s="712">
        <v>0</v>
      </c>
      <c r="K302" s="712">
        <v>0</v>
      </c>
      <c r="L302" s="712">
        <v>0</v>
      </c>
      <c r="M302" s="712">
        <v>0</v>
      </c>
      <c r="N302" s="712">
        <v>0</v>
      </c>
      <c r="O302" s="712">
        <v>0</v>
      </c>
      <c r="P302" s="712">
        <v>0</v>
      </c>
      <c r="Q302" s="712">
        <v>0</v>
      </c>
      <c r="R302" s="712">
        <v>0</v>
      </c>
      <c r="S302" s="712">
        <v>1000000</v>
      </c>
      <c r="T302" s="712">
        <v>1000000</v>
      </c>
      <c r="U302" s="712">
        <v>1000000</v>
      </c>
      <c r="V302" s="712">
        <v>1000000</v>
      </c>
      <c r="W302" s="712">
        <v>84935000</v>
      </c>
      <c r="X302" s="712">
        <v>1000000</v>
      </c>
      <c r="Y302" s="712">
        <v>1000000</v>
      </c>
      <c r="Z302" s="712">
        <v>1000000</v>
      </c>
      <c r="AA302" s="712">
        <v>1000000</v>
      </c>
      <c r="AB302" s="712">
        <v>1000000</v>
      </c>
      <c r="AC302" s="712">
        <v>1000000</v>
      </c>
      <c r="AD302" s="712">
        <v>1000000</v>
      </c>
      <c r="AE302" s="712">
        <v>1000000</v>
      </c>
      <c r="AF302" s="712">
        <v>1000000</v>
      </c>
      <c r="AG302" s="712">
        <v>1000000</v>
      </c>
      <c r="AH302" s="712">
        <v>1000000</v>
      </c>
      <c r="AI302" s="712">
        <v>1000000</v>
      </c>
      <c r="AJ302" s="712">
        <v>1000000</v>
      </c>
      <c r="AK302" s="712">
        <v>1000000</v>
      </c>
      <c r="AL302" s="712">
        <v>1000000</v>
      </c>
      <c r="AM302" s="712">
        <v>1000000</v>
      </c>
      <c r="AN302" s="712">
        <v>1000000</v>
      </c>
      <c r="AO302" s="712">
        <v>1000000</v>
      </c>
      <c r="AP302" s="712">
        <v>1000000</v>
      </c>
      <c r="AQ302" s="712">
        <v>25932500</v>
      </c>
      <c r="AR302" s="712">
        <v>319357500</v>
      </c>
      <c r="AS302" s="712">
        <v>0</v>
      </c>
      <c r="AT302">
        <v>453225000</v>
      </c>
      <c r="AU302" s="615"/>
      <c r="AV302" s="615"/>
      <c r="AW302" s="615"/>
      <c r="AX302" s="615"/>
      <c r="AY302" s="615"/>
      <c r="AZ302" s="615"/>
      <c r="BA302" s="615"/>
      <c r="BB302" s="615"/>
      <c r="BC302" s="615"/>
      <c r="BD302" s="615"/>
      <c r="BE302" s="615"/>
      <c r="BF302" s="615"/>
      <c r="BG302" s="615"/>
      <c r="BH302" s="615"/>
      <c r="BI302" s="615"/>
      <c r="BJ302" s="615"/>
      <c r="BK302" s="615"/>
      <c r="BL302" s="615"/>
      <c r="BM302" s="615"/>
      <c r="BN302" s="615"/>
      <c r="BO302" s="615"/>
      <c r="BP302" s="615"/>
      <c r="BQ302" s="615"/>
      <c r="BR302" s="615"/>
      <c r="BS302" s="615"/>
      <c r="BT302" s="615"/>
      <c r="BU302" s="615"/>
      <c r="BV302" s="615"/>
      <c r="BW302" s="615"/>
      <c r="BX302" s="607"/>
    </row>
    <row r="303" spans="1:76" s="612" customFormat="1" ht="25.5" x14ac:dyDescent="0.2">
      <c r="A303" s="839"/>
      <c r="B303" s="713" t="s">
        <v>3268</v>
      </c>
      <c r="C303" s="713" t="s">
        <v>3267</v>
      </c>
      <c r="D303" s="712">
        <v>0</v>
      </c>
      <c r="E303" s="712">
        <v>0</v>
      </c>
      <c r="F303" s="712">
        <v>0</v>
      </c>
      <c r="G303" s="712">
        <v>0</v>
      </c>
      <c r="H303" s="712">
        <v>0</v>
      </c>
      <c r="I303" s="712">
        <v>0</v>
      </c>
      <c r="J303" s="712">
        <v>0</v>
      </c>
      <c r="K303" s="712">
        <v>0</v>
      </c>
      <c r="L303" s="712">
        <v>0</v>
      </c>
      <c r="M303" s="712">
        <v>0</v>
      </c>
      <c r="N303" s="712">
        <v>0</v>
      </c>
      <c r="O303" s="712">
        <v>0</v>
      </c>
      <c r="P303" s="712">
        <v>0</v>
      </c>
      <c r="Q303" s="712">
        <v>0</v>
      </c>
      <c r="R303" s="712">
        <v>0</v>
      </c>
      <c r="S303" s="712">
        <v>0</v>
      </c>
      <c r="T303" s="712">
        <v>5138516</v>
      </c>
      <c r="U303" s="712">
        <v>5138516</v>
      </c>
      <c r="V303" s="712">
        <v>5138516</v>
      </c>
      <c r="W303" s="712">
        <v>5138516</v>
      </c>
      <c r="X303" s="712">
        <v>5138516</v>
      </c>
      <c r="Y303" s="712">
        <v>5138516</v>
      </c>
      <c r="Z303" s="712">
        <v>5138516</v>
      </c>
      <c r="AA303" s="712">
        <v>5138516</v>
      </c>
      <c r="AB303" s="712">
        <v>5138516</v>
      </c>
      <c r="AC303" s="712">
        <v>5138516</v>
      </c>
      <c r="AD303" s="712">
        <v>5138516</v>
      </c>
      <c r="AE303" s="712">
        <v>5138516</v>
      </c>
      <c r="AF303" s="712">
        <v>5138516</v>
      </c>
      <c r="AG303" s="712">
        <v>5138516</v>
      </c>
      <c r="AH303" s="712">
        <v>5138516</v>
      </c>
      <c r="AI303" s="712">
        <v>5138516</v>
      </c>
      <c r="AJ303" s="712">
        <v>5138516</v>
      </c>
      <c r="AK303" s="712">
        <v>5138516</v>
      </c>
      <c r="AL303" s="712">
        <v>5138516</v>
      </c>
      <c r="AM303" s="712">
        <v>5138516</v>
      </c>
      <c r="AN303" s="712">
        <v>5138516</v>
      </c>
      <c r="AO303" s="712">
        <v>5138516</v>
      </c>
      <c r="AP303" s="712">
        <v>5138516</v>
      </c>
      <c r="AQ303" s="712">
        <v>5138504</v>
      </c>
      <c r="AR303" s="712">
        <v>395342500</v>
      </c>
      <c r="AS303" s="712">
        <v>0</v>
      </c>
      <c r="AT303">
        <v>518666872</v>
      </c>
      <c r="AU303" s="615"/>
      <c r="AV303" s="615"/>
      <c r="AW303" s="615"/>
      <c r="AX303" s="615"/>
      <c r="AY303" s="615"/>
      <c r="AZ303" s="615"/>
      <c r="BA303" s="615"/>
      <c r="BB303" s="615"/>
      <c r="BC303" s="615"/>
      <c r="BD303" s="615"/>
      <c r="BE303" s="615"/>
      <c r="BF303" s="615"/>
      <c r="BG303" s="615"/>
      <c r="BH303" s="615"/>
      <c r="BI303" s="615"/>
      <c r="BJ303" s="615"/>
      <c r="BK303" s="615"/>
      <c r="BL303" s="615"/>
      <c r="BM303" s="615"/>
      <c r="BN303" s="615"/>
      <c r="BO303" s="615"/>
      <c r="BP303" s="615"/>
      <c r="BQ303" s="615"/>
      <c r="BR303" s="615"/>
      <c r="BS303" s="615"/>
      <c r="BT303" s="615"/>
      <c r="BU303" s="615"/>
      <c r="BV303" s="615"/>
      <c r="BW303" s="615"/>
      <c r="BX303" s="607"/>
    </row>
    <row r="304" spans="1:76" s="612" customFormat="1" ht="25.5" x14ac:dyDescent="0.2">
      <c r="A304" s="839"/>
      <c r="B304" s="713" t="s">
        <v>3357</v>
      </c>
      <c r="C304" s="713" t="s">
        <v>3356</v>
      </c>
      <c r="D304" s="712">
        <v>0</v>
      </c>
      <c r="E304" s="712">
        <v>0</v>
      </c>
      <c r="F304" s="712">
        <v>0</v>
      </c>
      <c r="G304" s="712">
        <v>0</v>
      </c>
      <c r="H304" s="712">
        <v>0</v>
      </c>
      <c r="I304" s="712">
        <v>0</v>
      </c>
      <c r="J304" s="712">
        <v>0</v>
      </c>
      <c r="K304" s="712">
        <v>0</v>
      </c>
      <c r="L304" s="712">
        <v>0</v>
      </c>
      <c r="M304" s="712">
        <v>0</v>
      </c>
      <c r="N304" s="712">
        <v>0</v>
      </c>
      <c r="O304" s="712">
        <v>0</v>
      </c>
      <c r="P304" s="712">
        <v>0</v>
      </c>
      <c r="Q304" s="712">
        <v>0</v>
      </c>
      <c r="R304" s="712">
        <v>0</v>
      </c>
      <c r="S304" s="712">
        <v>0</v>
      </c>
      <c r="T304" s="712">
        <v>0</v>
      </c>
      <c r="U304" s="712">
        <v>0</v>
      </c>
      <c r="V304" s="712">
        <v>0</v>
      </c>
      <c r="W304" s="712">
        <v>0</v>
      </c>
      <c r="X304" s="712">
        <v>0</v>
      </c>
      <c r="Y304" s="712">
        <v>3991996</v>
      </c>
      <c r="Z304" s="712">
        <v>4149333</v>
      </c>
      <c r="AA304" s="712">
        <v>4149333</v>
      </c>
      <c r="AB304" s="712">
        <v>4149333</v>
      </c>
      <c r="AC304" s="712">
        <v>4149333</v>
      </c>
      <c r="AD304" s="712">
        <v>4149333</v>
      </c>
      <c r="AE304" s="712">
        <v>4149333</v>
      </c>
      <c r="AF304" s="712">
        <v>4149333</v>
      </c>
      <c r="AG304" s="712">
        <v>4149333</v>
      </c>
      <c r="AH304" s="712">
        <v>4149333</v>
      </c>
      <c r="AI304" s="712">
        <v>4149333</v>
      </c>
      <c r="AJ304" s="712">
        <v>4149333</v>
      </c>
      <c r="AK304" s="712">
        <v>4149333</v>
      </c>
      <c r="AL304" s="712">
        <v>4149333</v>
      </c>
      <c r="AM304" s="712">
        <v>4149333</v>
      </c>
      <c r="AN304" s="712">
        <v>4149333</v>
      </c>
      <c r="AO304" s="712">
        <v>4149333</v>
      </c>
      <c r="AP304" s="712">
        <v>4149333</v>
      </c>
      <c r="AQ304" s="712">
        <v>4149343</v>
      </c>
      <c r="AR304" s="712">
        <v>302120000</v>
      </c>
      <c r="AS304" s="712">
        <v>0</v>
      </c>
      <c r="AT304">
        <v>380800000</v>
      </c>
      <c r="AU304" s="615"/>
      <c r="AV304" s="615"/>
      <c r="AW304" s="615"/>
      <c r="AX304" s="615"/>
      <c r="AY304" s="615"/>
      <c r="AZ304" s="615"/>
      <c r="BA304" s="615"/>
      <c r="BB304" s="615"/>
      <c r="BC304" s="615"/>
      <c r="BD304" s="615"/>
      <c r="BE304" s="615"/>
      <c r="BF304" s="615"/>
      <c r="BG304" s="615"/>
      <c r="BH304" s="615"/>
      <c r="BI304" s="615"/>
      <c r="BJ304" s="615"/>
      <c r="BK304" s="615"/>
      <c r="BL304" s="615"/>
      <c r="BM304" s="615"/>
      <c r="BN304" s="615"/>
      <c r="BO304" s="615"/>
      <c r="BP304" s="615"/>
      <c r="BQ304" s="615"/>
      <c r="BR304" s="615"/>
      <c r="BS304" s="615"/>
      <c r="BT304" s="615"/>
      <c r="BU304" s="615"/>
      <c r="BV304" s="615"/>
      <c r="BW304" s="615"/>
      <c r="BX304" s="607"/>
    </row>
    <row r="305" spans="1:76" s="612" customFormat="1" ht="25.5" x14ac:dyDescent="0.2">
      <c r="A305" s="839"/>
      <c r="B305" s="713" t="s">
        <v>3160</v>
      </c>
      <c r="C305" s="713" t="s">
        <v>3159</v>
      </c>
      <c r="D305" s="712">
        <v>0</v>
      </c>
      <c r="E305" s="712">
        <v>0</v>
      </c>
      <c r="F305" s="712">
        <v>0</v>
      </c>
      <c r="G305" s="712">
        <v>0</v>
      </c>
      <c r="H305" s="712">
        <v>0</v>
      </c>
      <c r="I305" s="712">
        <v>0</v>
      </c>
      <c r="J305" s="712">
        <v>0</v>
      </c>
      <c r="K305" s="712">
        <v>0</v>
      </c>
      <c r="L305" s="712">
        <v>0</v>
      </c>
      <c r="M305" s="712">
        <v>0</v>
      </c>
      <c r="N305" s="712">
        <v>0</v>
      </c>
      <c r="O305" s="712">
        <v>0</v>
      </c>
      <c r="P305" s="712">
        <v>0</v>
      </c>
      <c r="Q305" s="712">
        <v>0</v>
      </c>
      <c r="R305" s="712">
        <v>0</v>
      </c>
      <c r="S305" s="712">
        <v>3170727</v>
      </c>
      <c r="T305" s="712">
        <v>3552303</v>
      </c>
      <c r="U305" s="712">
        <v>3552303</v>
      </c>
      <c r="V305" s="712">
        <v>3552303</v>
      </c>
      <c r="W305" s="712">
        <v>3552303</v>
      </c>
      <c r="X305" s="712">
        <v>3552303</v>
      </c>
      <c r="Y305" s="712">
        <v>3552303</v>
      </c>
      <c r="Z305" s="712">
        <v>3552303</v>
      </c>
      <c r="AA305" s="712">
        <v>3552303</v>
      </c>
      <c r="AB305" s="712">
        <v>3552303</v>
      </c>
      <c r="AC305" s="712">
        <v>3552303</v>
      </c>
      <c r="AD305" s="712">
        <v>3552303</v>
      </c>
      <c r="AE305" s="712">
        <v>3552303</v>
      </c>
      <c r="AF305" s="712">
        <v>3552303</v>
      </c>
      <c r="AG305" s="712">
        <v>3552303</v>
      </c>
      <c r="AH305" s="712">
        <v>3552303</v>
      </c>
      <c r="AI305" s="712">
        <v>3552303</v>
      </c>
      <c r="AJ305" s="712">
        <v>3552303</v>
      </c>
      <c r="AK305" s="712">
        <v>3552303</v>
      </c>
      <c r="AL305" s="712">
        <v>3552303</v>
      </c>
      <c r="AM305" s="712">
        <v>3552303</v>
      </c>
      <c r="AN305" s="712">
        <v>3552303</v>
      </c>
      <c r="AO305" s="712">
        <v>3552303</v>
      </c>
      <c r="AP305" s="712">
        <v>3552303</v>
      </c>
      <c r="AQ305" s="712">
        <v>3552304</v>
      </c>
      <c r="AR305" s="712">
        <v>285194000</v>
      </c>
      <c r="AS305" s="712">
        <v>0</v>
      </c>
      <c r="AT305">
        <v>373620000</v>
      </c>
      <c r="AU305" s="615"/>
      <c r="AV305" s="615"/>
      <c r="AW305" s="615"/>
      <c r="AX305" s="615"/>
      <c r="AY305" s="615"/>
      <c r="AZ305" s="615"/>
      <c r="BA305" s="615"/>
      <c r="BB305" s="615"/>
      <c r="BC305" s="615"/>
      <c r="BD305" s="615"/>
      <c r="BE305" s="615"/>
      <c r="BF305" s="615"/>
      <c r="BG305" s="615"/>
      <c r="BH305" s="615"/>
      <c r="BI305" s="615"/>
      <c r="BJ305" s="615"/>
      <c r="BK305" s="615"/>
      <c r="BL305" s="615"/>
      <c r="BM305" s="615"/>
      <c r="BN305" s="615"/>
      <c r="BO305" s="615"/>
      <c r="BP305" s="615"/>
      <c r="BQ305" s="615"/>
      <c r="BR305" s="615"/>
      <c r="BS305" s="615"/>
      <c r="BT305" s="615"/>
      <c r="BU305" s="615"/>
      <c r="BV305" s="615"/>
      <c r="BW305" s="615"/>
      <c r="BX305" s="607"/>
    </row>
    <row r="306" spans="1:76" s="612" customFormat="1" ht="25.5" x14ac:dyDescent="0.2">
      <c r="A306" s="839"/>
      <c r="B306" s="713" t="s">
        <v>2714</v>
      </c>
      <c r="C306" s="713" t="s">
        <v>2713</v>
      </c>
      <c r="D306" s="712">
        <v>0</v>
      </c>
      <c r="E306" s="712">
        <v>0</v>
      </c>
      <c r="F306" s="712">
        <v>0</v>
      </c>
      <c r="G306" s="712">
        <v>0</v>
      </c>
      <c r="H306" s="712">
        <v>0</v>
      </c>
      <c r="I306" s="712">
        <v>0</v>
      </c>
      <c r="J306" s="712">
        <v>0</v>
      </c>
      <c r="K306" s="712">
        <v>0</v>
      </c>
      <c r="L306" s="712">
        <v>0</v>
      </c>
      <c r="M306" s="712">
        <v>0</v>
      </c>
      <c r="N306" s="712">
        <v>0</v>
      </c>
      <c r="O306" s="712">
        <v>0</v>
      </c>
      <c r="P306" s="712">
        <v>0</v>
      </c>
      <c r="Q306" s="712">
        <v>0</v>
      </c>
      <c r="R306" s="712">
        <v>0</v>
      </c>
      <c r="S306" s="712">
        <v>0</v>
      </c>
      <c r="T306" s="712">
        <v>1950000</v>
      </c>
      <c r="U306" s="712">
        <v>1950000</v>
      </c>
      <c r="V306" s="712">
        <v>3800000</v>
      </c>
      <c r="W306" s="712">
        <v>1950000</v>
      </c>
      <c r="X306" s="712">
        <v>1950000</v>
      </c>
      <c r="Y306" s="712">
        <v>11100000</v>
      </c>
      <c r="Z306" s="712">
        <v>1950000</v>
      </c>
      <c r="AA306" s="712">
        <v>1950000</v>
      </c>
      <c r="AB306" s="712">
        <v>3800000</v>
      </c>
      <c r="AC306" s="712">
        <v>1950000</v>
      </c>
      <c r="AD306" s="712">
        <v>1950000</v>
      </c>
      <c r="AE306" s="712">
        <v>16800000</v>
      </c>
      <c r="AF306" s="712">
        <v>1950000</v>
      </c>
      <c r="AG306" s="712">
        <v>1950000</v>
      </c>
      <c r="AH306" s="712">
        <v>3800000</v>
      </c>
      <c r="AI306" s="712">
        <v>1950000</v>
      </c>
      <c r="AJ306" s="712">
        <v>1950000</v>
      </c>
      <c r="AK306" s="712">
        <v>11100000</v>
      </c>
      <c r="AL306" s="712">
        <v>1950000</v>
      </c>
      <c r="AM306" s="712">
        <v>1950000</v>
      </c>
      <c r="AN306" s="712">
        <v>3800000</v>
      </c>
      <c r="AO306" s="712">
        <v>1950000</v>
      </c>
      <c r="AP306" s="712">
        <v>1950000</v>
      </c>
      <c r="AQ306" s="712">
        <v>18838000</v>
      </c>
      <c r="AR306" s="712">
        <v>369572000</v>
      </c>
      <c r="AS306" s="712">
        <v>0</v>
      </c>
      <c r="AT306">
        <v>473810000</v>
      </c>
      <c r="AU306" s="615"/>
      <c r="AV306" s="615"/>
      <c r="AW306" s="615"/>
      <c r="AX306" s="615"/>
      <c r="AY306" s="615"/>
      <c r="AZ306" s="615"/>
      <c r="BA306" s="615"/>
      <c r="BB306" s="615"/>
      <c r="BC306" s="615"/>
      <c r="BD306" s="615"/>
      <c r="BE306" s="615"/>
      <c r="BF306" s="615"/>
      <c r="BG306" s="615"/>
      <c r="BH306" s="615"/>
      <c r="BI306" s="615"/>
      <c r="BJ306" s="615"/>
      <c r="BK306" s="615"/>
      <c r="BL306" s="615"/>
      <c r="BM306" s="615"/>
      <c r="BN306" s="615"/>
      <c r="BO306" s="615"/>
      <c r="BP306" s="615"/>
      <c r="BQ306" s="615"/>
      <c r="BR306" s="615"/>
      <c r="BS306" s="615"/>
      <c r="BT306" s="615"/>
      <c r="BU306" s="615"/>
      <c r="BV306" s="615"/>
      <c r="BW306" s="615"/>
      <c r="BX306" s="607"/>
    </row>
    <row r="307" spans="1:76" s="612" customFormat="1" ht="12.75" x14ac:dyDescent="0.2">
      <c r="A307" s="839"/>
      <c r="B307" s="713" t="s">
        <v>4236</v>
      </c>
      <c r="C307" s="713" t="s">
        <v>4235</v>
      </c>
      <c r="D307" s="712">
        <v>0</v>
      </c>
      <c r="E307" s="712">
        <v>0</v>
      </c>
      <c r="F307" s="712">
        <v>0</v>
      </c>
      <c r="G307" s="712">
        <v>0</v>
      </c>
      <c r="H307" s="712">
        <v>0</v>
      </c>
      <c r="I307" s="712">
        <v>0</v>
      </c>
      <c r="J307" s="712">
        <v>0</v>
      </c>
      <c r="K307" s="712">
        <v>0</v>
      </c>
      <c r="L307" s="712">
        <v>0</v>
      </c>
      <c r="M307" s="712">
        <v>0</v>
      </c>
      <c r="N307" s="712">
        <v>0</v>
      </c>
      <c r="O307" s="712">
        <v>0</v>
      </c>
      <c r="P307" s="712">
        <v>0</v>
      </c>
      <c r="Q307" s="712">
        <v>0</v>
      </c>
      <c r="R307" s="712">
        <v>0</v>
      </c>
      <c r="S307" s="712">
        <v>0</v>
      </c>
      <c r="T307" s="712">
        <v>6247917</v>
      </c>
      <c r="U307" s="712">
        <v>6247917</v>
      </c>
      <c r="V307" s="712">
        <v>6247917</v>
      </c>
      <c r="W307" s="712">
        <v>6247917</v>
      </c>
      <c r="X307" s="712">
        <v>6247917</v>
      </c>
      <c r="Y307" s="712">
        <v>6247917</v>
      </c>
      <c r="Z307" s="712">
        <v>6247917</v>
      </c>
      <c r="AA307" s="712">
        <v>6247917</v>
      </c>
      <c r="AB307" s="712">
        <v>6247917</v>
      </c>
      <c r="AC307" s="712">
        <v>6247917</v>
      </c>
      <c r="AD307" s="712">
        <v>6247917</v>
      </c>
      <c r="AE307" s="712">
        <v>6247917</v>
      </c>
      <c r="AF307" s="712">
        <v>6247917</v>
      </c>
      <c r="AG307" s="712">
        <v>6247917</v>
      </c>
      <c r="AH307" s="712">
        <v>6247917</v>
      </c>
      <c r="AI307" s="712">
        <v>6247917</v>
      </c>
      <c r="AJ307" s="712">
        <v>6247917</v>
      </c>
      <c r="AK307" s="712">
        <v>6247917</v>
      </c>
      <c r="AL307" s="712">
        <v>6247917</v>
      </c>
      <c r="AM307" s="712">
        <v>6247917</v>
      </c>
      <c r="AN307" s="712">
        <v>6247917</v>
      </c>
      <c r="AO307" s="712">
        <v>6247917</v>
      </c>
      <c r="AP307" s="712">
        <v>6247917</v>
      </c>
      <c r="AQ307" s="712">
        <v>6247925</v>
      </c>
      <c r="AR307" s="712">
        <v>405285458</v>
      </c>
      <c r="AS307" s="712">
        <v>0</v>
      </c>
      <c r="AT307">
        <v>555235474</v>
      </c>
      <c r="AU307" s="615"/>
      <c r="AV307" s="615"/>
      <c r="AW307" s="615"/>
      <c r="AX307" s="615"/>
      <c r="AY307" s="615"/>
      <c r="AZ307" s="615"/>
      <c r="BA307" s="615"/>
      <c r="BB307" s="615"/>
      <c r="BC307" s="615"/>
      <c r="BD307" s="615"/>
      <c r="BE307" s="615"/>
      <c r="BF307" s="615"/>
      <c r="BG307" s="615"/>
      <c r="BH307" s="615"/>
      <c r="BI307" s="615"/>
      <c r="BJ307" s="615"/>
      <c r="BK307" s="615"/>
      <c r="BL307" s="615"/>
      <c r="BM307" s="615"/>
      <c r="BN307" s="615"/>
      <c r="BO307" s="615"/>
      <c r="BP307" s="615"/>
      <c r="BQ307" s="615"/>
      <c r="BR307" s="615"/>
      <c r="BS307" s="615"/>
      <c r="BT307" s="615"/>
      <c r="BU307" s="615"/>
      <c r="BV307" s="615"/>
      <c r="BW307" s="615"/>
      <c r="BX307" s="607"/>
    </row>
    <row r="308" spans="1:76" s="612" customFormat="1" ht="25.5" x14ac:dyDescent="0.2">
      <c r="A308" s="839"/>
      <c r="B308" s="713" t="s">
        <v>2724</v>
      </c>
      <c r="C308" s="713" t="s">
        <v>3340</v>
      </c>
      <c r="D308" s="712">
        <v>0</v>
      </c>
      <c r="E308" s="712">
        <v>0</v>
      </c>
      <c r="F308" s="712">
        <v>0</v>
      </c>
      <c r="G308" s="712">
        <v>0</v>
      </c>
      <c r="H308" s="712">
        <v>0</v>
      </c>
      <c r="I308" s="712">
        <v>0</v>
      </c>
      <c r="J308" s="712">
        <v>0</v>
      </c>
      <c r="K308" s="712">
        <v>0</v>
      </c>
      <c r="L308" s="712">
        <v>0</v>
      </c>
      <c r="M308" s="712">
        <v>0</v>
      </c>
      <c r="N308" s="712">
        <v>0</v>
      </c>
      <c r="O308" s="712">
        <v>0</v>
      </c>
      <c r="P308" s="712">
        <v>0</v>
      </c>
      <c r="Q308" s="712">
        <v>0</v>
      </c>
      <c r="R308" s="712">
        <v>1</v>
      </c>
      <c r="S308" s="712">
        <v>4608468</v>
      </c>
      <c r="T308" s="712">
        <v>4608468</v>
      </c>
      <c r="U308" s="712">
        <v>4608468</v>
      </c>
      <c r="V308" s="712">
        <v>4608468</v>
      </c>
      <c r="W308" s="712">
        <v>4608468</v>
      </c>
      <c r="X308" s="712">
        <v>4608468</v>
      </c>
      <c r="Y308" s="712">
        <v>4608468</v>
      </c>
      <c r="Z308" s="712">
        <v>4608468</v>
      </c>
      <c r="AA308" s="712">
        <v>4608468</v>
      </c>
      <c r="AB308" s="712">
        <v>4608468</v>
      </c>
      <c r="AC308" s="712">
        <v>4608468</v>
      </c>
      <c r="AD308" s="712">
        <v>4608468</v>
      </c>
      <c r="AE308" s="712">
        <v>4608468</v>
      </c>
      <c r="AF308" s="712">
        <v>4608468</v>
      </c>
      <c r="AG308" s="712">
        <v>4608468</v>
      </c>
      <c r="AH308" s="712">
        <v>4608468</v>
      </c>
      <c r="AI308" s="712">
        <v>4608468</v>
      </c>
      <c r="AJ308" s="712">
        <v>4608468</v>
      </c>
      <c r="AK308" s="712">
        <v>4608468</v>
      </c>
      <c r="AL308" s="712">
        <v>4608468</v>
      </c>
      <c r="AM308" s="712">
        <v>4608468</v>
      </c>
      <c r="AN308" s="712">
        <v>4608468</v>
      </c>
      <c r="AO308" s="712">
        <v>4608468</v>
      </c>
      <c r="AP308" s="712">
        <v>4608468</v>
      </c>
      <c r="AQ308" s="712">
        <v>4608476</v>
      </c>
      <c r="AR308" s="712">
        <v>378644000</v>
      </c>
      <c r="AS308" s="712">
        <v>0</v>
      </c>
      <c r="AT308">
        <v>493855709</v>
      </c>
      <c r="AU308" s="615"/>
      <c r="AV308" s="615"/>
      <c r="AW308" s="615"/>
      <c r="AX308" s="615"/>
      <c r="AY308" s="615"/>
      <c r="AZ308" s="615"/>
      <c r="BA308" s="615"/>
      <c r="BB308" s="615"/>
      <c r="BC308" s="615"/>
      <c r="BD308" s="615"/>
      <c r="BE308" s="615"/>
      <c r="BF308" s="615"/>
      <c r="BG308" s="615"/>
      <c r="BH308" s="615"/>
      <c r="BI308" s="615"/>
      <c r="BJ308" s="615"/>
      <c r="BK308" s="615"/>
      <c r="BL308" s="615"/>
      <c r="BM308" s="615"/>
      <c r="BN308" s="615"/>
      <c r="BO308" s="615"/>
      <c r="BP308" s="615"/>
      <c r="BQ308" s="615"/>
      <c r="BR308" s="615"/>
      <c r="BS308" s="615"/>
      <c r="BT308" s="615"/>
      <c r="BU308" s="615"/>
      <c r="BV308" s="615"/>
      <c r="BW308" s="615"/>
      <c r="BX308" s="607"/>
    </row>
    <row r="309" spans="1:76" s="612" customFormat="1" ht="25.5" x14ac:dyDescent="0.2">
      <c r="A309" s="839"/>
      <c r="B309" s="713" t="s">
        <v>4366</v>
      </c>
      <c r="C309" s="713" t="s">
        <v>4365</v>
      </c>
      <c r="D309" s="712">
        <v>0</v>
      </c>
      <c r="E309" s="712">
        <v>0</v>
      </c>
      <c r="F309" s="712">
        <v>0</v>
      </c>
      <c r="G309" s="712">
        <v>0</v>
      </c>
      <c r="H309" s="712">
        <v>0</v>
      </c>
      <c r="I309" s="712">
        <v>0</v>
      </c>
      <c r="J309" s="712">
        <v>0</v>
      </c>
      <c r="K309" s="712">
        <v>0</v>
      </c>
      <c r="L309" s="712">
        <v>0</v>
      </c>
      <c r="M309" s="712">
        <v>0</v>
      </c>
      <c r="N309" s="712">
        <v>0</v>
      </c>
      <c r="O309" s="712">
        <v>0</v>
      </c>
      <c r="P309" s="712">
        <v>0</v>
      </c>
      <c r="Q309" s="712">
        <v>0</v>
      </c>
      <c r="R309" s="712">
        <v>0</v>
      </c>
      <c r="S309" s="712">
        <v>0</v>
      </c>
      <c r="T309" s="712">
        <v>6643192</v>
      </c>
      <c r="U309" s="712">
        <v>6643192</v>
      </c>
      <c r="V309" s="712">
        <v>6643192</v>
      </c>
      <c r="W309" s="712">
        <v>6643192</v>
      </c>
      <c r="X309" s="712">
        <v>6643192</v>
      </c>
      <c r="Y309" s="712">
        <v>6643192</v>
      </c>
      <c r="Z309" s="712">
        <v>6643192</v>
      </c>
      <c r="AA309" s="712">
        <v>6643192</v>
      </c>
      <c r="AB309" s="712">
        <v>6643192</v>
      </c>
      <c r="AC309" s="712">
        <v>6643192</v>
      </c>
      <c r="AD309" s="712">
        <v>6643192</v>
      </c>
      <c r="AE309" s="712">
        <v>6643192</v>
      </c>
      <c r="AF309" s="712">
        <v>6643192</v>
      </c>
      <c r="AG309" s="712">
        <v>6643192</v>
      </c>
      <c r="AH309" s="712">
        <v>6643192</v>
      </c>
      <c r="AI309" s="712">
        <v>6643192</v>
      </c>
      <c r="AJ309" s="712">
        <v>6643192</v>
      </c>
      <c r="AK309" s="712">
        <v>6643192</v>
      </c>
      <c r="AL309" s="712">
        <v>6643192</v>
      </c>
      <c r="AM309" s="712">
        <v>6643192</v>
      </c>
      <c r="AN309" s="712">
        <v>6643192</v>
      </c>
      <c r="AO309" s="712">
        <v>6643192</v>
      </c>
      <c r="AP309" s="712">
        <v>6643192</v>
      </c>
      <c r="AQ309" s="712">
        <v>6643192</v>
      </c>
      <c r="AR309" s="712">
        <v>421330200</v>
      </c>
      <c r="AS309" s="712">
        <v>0</v>
      </c>
      <c r="AT309">
        <v>580766808</v>
      </c>
      <c r="AU309" s="615"/>
      <c r="AV309" s="615"/>
      <c r="AW309" s="615"/>
      <c r="AX309" s="615"/>
      <c r="AY309" s="615"/>
      <c r="AZ309" s="615"/>
      <c r="BA309" s="615"/>
      <c r="BB309" s="615"/>
      <c r="BC309" s="615"/>
      <c r="BD309" s="615"/>
      <c r="BE309" s="615"/>
      <c r="BF309" s="615"/>
      <c r="BG309" s="615"/>
      <c r="BH309" s="615"/>
      <c r="BI309" s="615"/>
      <c r="BJ309" s="615"/>
      <c r="BK309" s="615"/>
      <c r="BL309" s="615"/>
      <c r="BM309" s="615"/>
      <c r="BN309" s="615"/>
      <c r="BO309" s="615"/>
      <c r="BP309" s="615"/>
      <c r="BQ309" s="615"/>
      <c r="BR309" s="615"/>
      <c r="BS309" s="615"/>
      <c r="BT309" s="615"/>
      <c r="BU309" s="615"/>
      <c r="BV309" s="615"/>
      <c r="BW309" s="615"/>
      <c r="BX309" s="607"/>
    </row>
    <row r="310" spans="1:76" s="612" customFormat="1" ht="25.5" x14ac:dyDescent="0.2">
      <c r="A310" s="839"/>
      <c r="B310" s="713" t="s">
        <v>3492</v>
      </c>
      <c r="C310" s="713" t="s">
        <v>3491</v>
      </c>
      <c r="D310" s="712">
        <v>0</v>
      </c>
      <c r="E310" s="712">
        <v>0</v>
      </c>
      <c r="F310" s="712">
        <v>0</v>
      </c>
      <c r="G310" s="712">
        <v>0</v>
      </c>
      <c r="H310" s="712">
        <v>0</v>
      </c>
      <c r="I310" s="712">
        <v>0</v>
      </c>
      <c r="J310" s="712">
        <v>0</v>
      </c>
      <c r="K310" s="712">
        <v>0</v>
      </c>
      <c r="L310" s="712">
        <v>0</v>
      </c>
      <c r="M310" s="712">
        <v>0</v>
      </c>
      <c r="N310" s="712">
        <v>0</v>
      </c>
      <c r="O310" s="712">
        <v>0</v>
      </c>
      <c r="P310" s="712">
        <v>541414</v>
      </c>
      <c r="Q310" s="712">
        <v>4361207</v>
      </c>
      <c r="R310" s="712">
        <v>4361207</v>
      </c>
      <c r="S310" s="712">
        <v>4361207</v>
      </c>
      <c r="T310" s="712">
        <v>4361207</v>
      </c>
      <c r="U310" s="712">
        <v>4361207</v>
      </c>
      <c r="V310" s="712">
        <v>4361207</v>
      </c>
      <c r="W310" s="712">
        <v>4361207</v>
      </c>
      <c r="X310" s="712">
        <v>4361207</v>
      </c>
      <c r="Y310" s="712">
        <v>4361207</v>
      </c>
      <c r="Z310" s="712">
        <v>4361207</v>
      </c>
      <c r="AA310" s="712">
        <v>4361207</v>
      </c>
      <c r="AB310" s="712">
        <v>4361207</v>
      </c>
      <c r="AC310" s="712">
        <v>4361207</v>
      </c>
      <c r="AD310" s="712">
        <v>4361207</v>
      </c>
      <c r="AE310" s="712">
        <v>4361207</v>
      </c>
      <c r="AF310" s="712">
        <v>4361207</v>
      </c>
      <c r="AG310" s="712">
        <v>4361207</v>
      </c>
      <c r="AH310" s="712">
        <v>4361207</v>
      </c>
      <c r="AI310" s="712">
        <v>4361207</v>
      </c>
      <c r="AJ310" s="712">
        <v>4361207</v>
      </c>
      <c r="AK310" s="712">
        <v>4361207</v>
      </c>
      <c r="AL310" s="712">
        <v>4361207</v>
      </c>
      <c r="AM310" s="712">
        <v>4361207</v>
      </c>
      <c r="AN310" s="712">
        <v>4361207</v>
      </c>
      <c r="AO310" s="712">
        <v>4361207</v>
      </c>
      <c r="AP310" s="712">
        <v>4361207</v>
      </c>
      <c r="AQ310" s="712">
        <v>4361204</v>
      </c>
      <c r="AR310" s="712">
        <v>306775000</v>
      </c>
      <c r="AS310" s="712">
        <v>0</v>
      </c>
      <c r="AT310">
        <v>425069000</v>
      </c>
      <c r="AU310" s="615"/>
      <c r="AV310" s="615"/>
      <c r="AW310" s="615"/>
      <c r="AX310" s="615"/>
      <c r="AY310" s="615"/>
      <c r="AZ310" s="615"/>
      <c r="BA310" s="615"/>
      <c r="BB310" s="615"/>
      <c r="BC310" s="615"/>
      <c r="BD310" s="615"/>
      <c r="BE310" s="615"/>
      <c r="BF310" s="615"/>
      <c r="BG310" s="615"/>
      <c r="BH310" s="615"/>
      <c r="BI310" s="615"/>
      <c r="BJ310" s="615"/>
      <c r="BK310" s="615"/>
      <c r="BL310" s="615"/>
      <c r="BM310" s="615"/>
      <c r="BN310" s="615"/>
      <c r="BO310" s="615"/>
      <c r="BP310" s="615"/>
      <c r="BQ310" s="615"/>
      <c r="BR310" s="615"/>
      <c r="BS310" s="615"/>
      <c r="BT310" s="615"/>
      <c r="BU310" s="615"/>
      <c r="BV310" s="615"/>
      <c r="BW310" s="615"/>
      <c r="BX310" s="607"/>
    </row>
    <row r="311" spans="1:76" s="612" customFormat="1" ht="25.5" x14ac:dyDescent="0.2">
      <c r="A311" s="839"/>
      <c r="B311" s="713" t="s">
        <v>4238</v>
      </c>
      <c r="C311" s="713" t="s">
        <v>4237</v>
      </c>
      <c r="D311" s="712">
        <v>0</v>
      </c>
      <c r="E311" s="712">
        <v>0</v>
      </c>
      <c r="F311" s="712">
        <v>0</v>
      </c>
      <c r="G311" s="712">
        <v>0</v>
      </c>
      <c r="H311" s="712">
        <v>0</v>
      </c>
      <c r="I311" s="712">
        <v>0</v>
      </c>
      <c r="J311" s="712">
        <v>0</v>
      </c>
      <c r="K311" s="712">
        <v>0</v>
      </c>
      <c r="L311" s="712">
        <v>0</v>
      </c>
      <c r="M311" s="712">
        <v>0</v>
      </c>
      <c r="N311" s="712">
        <v>0</v>
      </c>
      <c r="O311" s="712">
        <v>0</v>
      </c>
      <c r="P311" s="712">
        <v>0</v>
      </c>
      <c r="Q311" s="712">
        <v>0</v>
      </c>
      <c r="R311" s="712">
        <v>0</v>
      </c>
      <c r="S311" s="712">
        <v>0</v>
      </c>
      <c r="T311" s="712">
        <v>2400000</v>
      </c>
      <c r="U311" s="712">
        <v>3000000</v>
      </c>
      <c r="V311" s="712">
        <v>11200000</v>
      </c>
      <c r="W311" s="712">
        <v>3000000</v>
      </c>
      <c r="X311" s="712">
        <v>3000000</v>
      </c>
      <c r="Y311" s="712">
        <v>21708000</v>
      </c>
      <c r="Z311" s="712">
        <v>3000000</v>
      </c>
      <c r="AA311" s="712">
        <v>3000000</v>
      </c>
      <c r="AB311" s="712">
        <v>3000000</v>
      </c>
      <c r="AC311" s="712">
        <v>9800000</v>
      </c>
      <c r="AD311" s="712">
        <v>3000000</v>
      </c>
      <c r="AE311" s="712">
        <v>3000000</v>
      </c>
      <c r="AF311" s="712">
        <v>3000000</v>
      </c>
      <c r="AG311" s="712">
        <v>13000000</v>
      </c>
      <c r="AH311" s="712">
        <v>14300000</v>
      </c>
      <c r="AI311" s="712">
        <v>3000000</v>
      </c>
      <c r="AJ311" s="712">
        <v>3000000</v>
      </c>
      <c r="AK311" s="712">
        <v>7808000</v>
      </c>
      <c r="AL311" s="712">
        <v>3000000</v>
      </c>
      <c r="AM311" s="712">
        <v>3000000</v>
      </c>
      <c r="AN311" s="712">
        <v>3000000</v>
      </c>
      <c r="AO311" s="712">
        <v>9400000</v>
      </c>
      <c r="AP311" s="712">
        <v>3000000</v>
      </c>
      <c r="AQ311" s="712">
        <v>2261053</v>
      </c>
      <c r="AR311" s="712">
        <v>399392122</v>
      </c>
      <c r="AS311" s="712">
        <v>0</v>
      </c>
      <c r="AT311">
        <v>536269175</v>
      </c>
      <c r="AU311" s="615"/>
      <c r="AV311" s="615"/>
      <c r="AW311" s="615"/>
      <c r="AX311" s="615"/>
      <c r="AY311" s="615"/>
      <c r="AZ311" s="615"/>
      <c r="BA311" s="615"/>
      <c r="BB311" s="615"/>
      <c r="BC311" s="615"/>
      <c r="BD311" s="615"/>
      <c r="BE311" s="615"/>
      <c r="BF311" s="615"/>
      <c r="BG311" s="615"/>
      <c r="BH311" s="615"/>
      <c r="BI311" s="615"/>
      <c r="BJ311" s="615"/>
      <c r="BK311" s="615"/>
      <c r="BL311" s="615"/>
      <c r="BM311" s="615"/>
      <c r="BN311" s="615"/>
      <c r="BO311" s="615"/>
      <c r="BP311" s="615"/>
      <c r="BQ311" s="615"/>
      <c r="BR311" s="615"/>
      <c r="BS311" s="615"/>
      <c r="BT311" s="615"/>
      <c r="BU311" s="615"/>
      <c r="BV311" s="615"/>
      <c r="BW311" s="615"/>
      <c r="BX311" s="607"/>
    </row>
    <row r="312" spans="1:76" s="612" customFormat="1" ht="12.75" x14ac:dyDescent="0.2">
      <c r="A312" s="839"/>
      <c r="B312" s="713" t="s">
        <v>3145</v>
      </c>
      <c r="C312" s="713" t="s">
        <v>3144</v>
      </c>
      <c r="D312" s="712">
        <v>0</v>
      </c>
      <c r="E312" s="712">
        <v>0</v>
      </c>
      <c r="F312" s="712">
        <v>0</v>
      </c>
      <c r="G312" s="712">
        <v>0</v>
      </c>
      <c r="H312" s="712">
        <v>0</v>
      </c>
      <c r="I312" s="712">
        <v>0</v>
      </c>
      <c r="J312" s="712">
        <v>0</v>
      </c>
      <c r="K312" s="712">
        <v>0</v>
      </c>
      <c r="L312" s="712">
        <v>0</v>
      </c>
      <c r="M312" s="712">
        <v>0</v>
      </c>
      <c r="N312" s="712">
        <v>0</v>
      </c>
      <c r="O312" s="712">
        <v>0</v>
      </c>
      <c r="P312" s="712">
        <v>0</v>
      </c>
      <c r="Q312" s="712">
        <v>0</v>
      </c>
      <c r="R312" s="712">
        <v>0</v>
      </c>
      <c r="S312" s="712">
        <v>0</v>
      </c>
      <c r="T312" s="712">
        <v>4583390</v>
      </c>
      <c r="U312" s="712">
        <v>4583390</v>
      </c>
      <c r="V312" s="712">
        <v>4583390</v>
      </c>
      <c r="W312" s="712">
        <v>4583390</v>
      </c>
      <c r="X312" s="712">
        <v>4583390</v>
      </c>
      <c r="Y312" s="712">
        <v>4583390</v>
      </c>
      <c r="Z312" s="712">
        <v>4583390</v>
      </c>
      <c r="AA312" s="712">
        <v>4583390</v>
      </c>
      <c r="AB312" s="712">
        <v>4583390</v>
      </c>
      <c r="AC312" s="712">
        <v>4583390</v>
      </c>
      <c r="AD312" s="712">
        <v>4583390</v>
      </c>
      <c r="AE312" s="712">
        <v>4583390</v>
      </c>
      <c r="AF312" s="712">
        <v>4583390</v>
      </c>
      <c r="AG312" s="712">
        <v>4583390</v>
      </c>
      <c r="AH312" s="712">
        <v>4583390</v>
      </c>
      <c r="AI312" s="712">
        <v>4583390</v>
      </c>
      <c r="AJ312" s="712">
        <v>4583390</v>
      </c>
      <c r="AK312" s="712">
        <v>4583390</v>
      </c>
      <c r="AL312" s="712">
        <v>4583390</v>
      </c>
      <c r="AM312" s="712">
        <v>4583390</v>
      </c>
      <c r="AN312" s="712">
        <v>4583390</v>
      </c>
      <c r="AO312" s="712">
        <v>4583390</v>
      </c>
      <c r="AP312" s="712">
        <v>4583390</v>
      </c>
      <c r="AQ312" s="712">
        <v>4583380</v>
      </c>
      <c r="AR312" s="712">
        <v>375282250</v>
      </c>
      <c r="AS312" s="712">
        <v>0</v>
      </c>
      <c r="AT312">
        <v>485283600</v>
      </c>
      <c r="AU312" s="615"/>
      <c r="AV312" s="615"/>
      <c r="AW312" s="615"/>
      <c r="AX312" s="615"/>
      <c r="AY312" s="615"/>
      <c r="AZ312" s="615"/>
      <c r="BA312" s="615"/>
      <c r="BB312" s="615"/>
      <c r="BC312" s="615"/>
      <c r="BD312" s="615"/>
      <c r="BE312" s="615"/>
      <c r="BF312" s="615"/>
      <c r="BG312" s="615"/>
      <c r="BH312" s="615"/>
      <c r="BI312" s="615"/>
      <c r="BJ312" s="615"/>
      <c r="BK312" s="615"/>
      <c r="BL312" s="615"/>
      <c r="BM312" s="615"/>
      <c r="BN312" s="615"/>
      <c r="BO312" s="615"/>
      <c r="BP312" s="615"/>
      <c r="BQ312" s="615"/>
      <c r="BR312" s="615"/>
      <c r="BS312" s="615"/>
      <c r="BT312" s="615"/>
      <c r="BU312" s="615"/>
      <c r="BV312" s="615"/>
      <c r="BW312" s="615"/>
      <c r="BX312" s="607"/>
    </row>
    <row r="313" spans="1:76" s="612" customFormat="1" ht="25.5" x14ac:dyDescent="0.2">
      <c r="A313" s="839"/>
      <c r="B313" s="713" t="s">
        <v>2993</v>
      </c>
      <c r="C313" s="713" t="s">
        <v>2992</v>
      </c>
      <c r="D313" s="712">
        <v>0</v>
      </c>
      <c r="E313" s="712">
        <v>0</v>
      </c>
      <c r="F313" s="712">
        <v>0</v>
      </c>
      <c r="G313" s="712">
        <v>0</v>
      </c>
      <c r="H313" s="712">
        <v>0</v>
      </c>
      <c r="I313" s="712">
        <v>0</v>
      </c>
      <c r="J313" s="712">
        <v>0</v>
      </c>
      <c r="K313" s="712">
        <v>0</v>
      </c>
      <c r="L313" s="712">
        <v>0</v>
      </c>
      <c r="M313" s="712">
        <v>0</v>
      </c>
      <c r="N313" s="712">
        <v>0</v>
      </c>
      <c r="O313" s="712">
        <v>0</v>
      </c>
      <c r="P313" s="712">
        <v>0</v>
      </c>
      <c r="Q313" s="712">
        <v>0</v>
      </c>
      <c r="R313" s="712">
        <v>0</v>
      </c>
      <c r="S313" s="712">
        <v>4487962</v>
      </c>
      <c r="T313" s="712">
        <v>4487963</v>
      </c>
      <c r="U313" s="712">
        <v>4487963</v>
      </c>
      <c r="V313" s="712">
        <v>4487963</v>
      </c>
      <c r="W313" s="712">
        <v>4487963</v>
      </c>
      <c r="X313" s="712">
        <v>4487963</v>
      </c>
      <c r="Y313" s="712">
        <v>4487963</v>
      </c>
      <c r="Z313" s="712">
        <v>4487963</v>
      </c>
      <c r="AA313" s="712">
        <v>4487963</v>
      </c>
      <c r="AB313" s="712">
        <v>4487963</v>
      </c>
      <c r="AC313" s="712">
        <v>4487963</v>
      </c>
      <c r="AD313" s="712">
        <v>4487963</v>
      </c>
      <c r="AE313" s="712">
        <v>4487963</v>
      </c>
      <c r="AF313" s="712">
        <v>4487963</v>
      </c>
      <c r="AG313" s="712">
        <v>4487963</v>
      </c>
      <c r="AH313" s="712">
        <v>4487963</v>
      </c>
      <c r="AI313" s="712">
        <v>4487963</v>
      </c>
      <c r="AJ313" s="712">
        <v>4487963</v>
      </c>
      <c r="AK313" s="712">
        <v>4487963</v>
      </c>
      <c r="AL313" s="712">
        <v>4487963</v>
      </c>
      <c r="AM313" s="712">
        <v>4487963</v>
      </c>
      <c r="AN313" s="712">
        <v>4487963</v>
      </c>
      <c r="AO313" s="712">
        <v>4487963</v>
      </c>
      <c r="AP313" s="712">
        <v>4487963</v>
      </c>
      <c r="AQ313" s="712">
        <v>4487971</v>
      </c>
      <c r="AR313" s="712">
        <v>367711750</v>
      </c>
      <c r="AS313" s="712">
        <v>0</v>
      </c>
      <c r="AT313">
        <v>479910832</v>
      </c>
      <c r="AU313" s="615"/>
      <c r="AV313" s="615"/>
      <c r="AW313" s="615"/>
      <c r="AX313" s="615"/>
      <c r="AY313" s="615"/>
      <c r="AZ313" s="615"/>
      <c r="BA313" s="615"/>
      <c r="BB313" s="615"/>
      <c r="BC313" s="615"/>
      <c r="BD313" s="615"/>
      <c r="BE313" s="615"/>
      <c r="BF313" s="615"/>
      <c r="BG313" s="615"/>
      <c r="BH313" s="615"/>
      <c r="BI313" s="615"/>
      <c r="BJ313" s="615"/>
      <c r="BK313" s="615"/>
      <c r="BL313" s="615"/>
      <c r="BM313" s="615"/>
      <c r="BN313" s="615"/>
      <c r="BO313" s="615"/>
      <c r="BP313" s="615"/>
      <c r="BQ313" s="615"/>
      <c r="BR313" s="615"/>
      <c r="BS313" s="615"/>
      <c r="BT313" s="615"/>
      <c r="BU313" s="615"/>
      <c r="BV313" s="615"/>
      <c r="BW313" s="615"/>
      <c r="BX313" s="607"/>
    </row>
    <row r="314" spans="1:76" s="612" customFormat="1" ht="25.5" x14ac:dyDescent="0.2">
      <c r="A314" s="839"/>
      <c r="B314" s="713" t="s">
        <v>3143</v>
      </c>
      <c r="C314" s="713" t="s">
        <v>3142</v>
      </c>
      <c r="D314" s="712">
        <v>0</v>
      </c>
      <c r="E314" s="712">
        <v>0</v>
      </c>
      <c r="F314" s="712">
        <v>0</v>
      </c>
      <c r="G314" s="712">
        <v>0</v>
      </c>
      <c r="H314" s="712">
        <v>0</v>
      </c>
      <c r="I314" s="712">
        <v>0</v>
      </c>
      <c r="J314" s="712">
        <v>0</v>
      </c>
      <c r="K314" s="712">
        <v>0</v>
      </c>
      <c r="L314" s="712">
        <v>0</v>
      </c>
      <c r="M314" s="712">
        <v>0</v>
      </c>
      <c r="N314" s="712">
        <v>0</v>
      </c>
      <c r="O314" s="712">
        <v>0</v>
      </c>
      <c r="P314" s="712">
        <v>0</v>
      </c>
      <c r="Q314" s="712">
        <v>0</v>
      </c>
      <c r="R314" s="712">
        <v>0</v>
      </c>
      <c r="S314" s="712">
        <v>0</v>
      </c>
      <c r="T314" s="712">
        <v>0</v>
      </c>
      <c r="U314" s="712">
        <v>2129528</v>
      </c>
      <c r="V314" s="712">
        <v>4452669</v>
      </c>
      <c r="W314" s="712">
        <v>4452669</v>
      </c>
      <c r="X314" s="712">
        <v>4452669</v>
      </c>
      <c r="Y314" s="712">
        <v>4452669</v>
      </c>
      <c r="Z314" s="712">
        <v>4452669</v>
      </c>
      <c r="AA314" s="712">
        <v>4452669</v>
      </c>
      <c r="AB314" s="712">
        <v>4452669</v>
      </c>
      <c r="AC314" s="712">
        <v>4452669</v>
      </c>
      <c r="AD314" s="712">
        <v>4452669</v>
      </c>
      <c r="AE314" s="712">
        <v>4452669</v>
      </c>
      <c r="AF314" s="712">
        <v>4452669</v>
      </c>
      <c r="AG314" s="712">
        <v>4452669</v>
      </c>
      <c r="AH314" s="712">
        <v>4452669</v>
      </c>
      <c r="AI314" s="712">
        <v>4452669</v>
      </c>
      <c r="AJ314" s="712">
        <v>4452669</v>
      </c>
      <c r="AK314" s="712">
        <v>4452669</v>
      </c>
      <c r="AL314" s="712">
        <v>4452669</v>
      </c>
      <c r="AM314" s="712">
        <v>4452669</v>
      </c>
      <c r="AN314" s="712">
        <v>4452669</v>
      </c>
      <c r="AO314" s="712">
        <v>4452669</v>
      </c>
      <c r="AP314" s="712">
        <v>4452669</v>
      </c>
      <c r="AQ314" s="712">
        <v>4452673</v>
      </c>
      <c r="AR314" s="712">
        <v>364911750</v>
      </c>
      <c r="AS314" s="712">
        <v>0</v>
      </c>
      <c r="AT314">
        <v>465000000</v>
      </c>
      <c r="AU314" s="615"/>
      <c r="AV314" s="615"/>
      <c r="AW314" s="615"/>
      <c r="AX314" s="615"/>
      <c r="AY314" s="615"/>
      <c r="AZ314" s="615"/>
      <c r="BA314" s="615"/>
      <c r="BB314" s="615"/>
      <c r="BC314" s="615"/>
      <c r="BD314" s="615"/>
      <c r="BE314" s="615"/>
      <c r="BF314" s="615"/>
      <c r="BG314" s="615"/>
      <c r="BH314" s="615"/>
      <c r="BI314" s="615"/>
      <c r="BJ314" s="615"/>
      <c r="BK314" s="615"/>
      <c r="BL314" s="615"/>
      <c r="BM314" s="615"/>
      <c r="BN314" s="615"/>
      <c r="BO314" s="615"/>
      <c r="BP314" s="615"/>
      <c r="BQ314" s="615"/>
      <c r="BR314" s="615"/>
      <c r="BS314" s="615"/>
      <c r="BT314" s="615"/>
      <c r="BU314" s="615"/>
      <c r="BV314" s="615"/>
      <c r="BW314" s="615"/>
      <c r="BX314" s="607"/>
    </row>
    <row r="315" spans="1:76" s="612" customFormat="1" ht="25.5" x14ac:dyDescent="0.2">
      <c r="A315" s="839"/>
      <c r="B315" s="713" t="s">
        <v>2710</v>
      </c>
      <c r="C315" s="713" t="s">
        <v>2709</v>
      </c>
      <c r="D315" s="712">
        <v>0</v>
      </c>
      <c r="E315" s="712">
        <v>0</v>
      </c>
      <c r="F315" s="712">
        <v>0</v>
      </c>
      <c r="G315" s="712">
        <v>0</v>
      </c>
      <c r="H315" s="712">
        <v>0</v>
      </c>
      <c r="I315" s="712">
        <v>0</v>
      </c>
      <c r="J315" s="712">
        <v>0</v>
      </c>
      <c r="K315" s="712">
        <v>0</v>
      </c>
      <c r="L315" s="712">
        <v>0</v>
      </c>
      <c r="M315" s="712">
        <v>0</v>
      </c>
      <c r="N315" s="712">
        <v>0</v>
      </c>
      <c r="O315" s="712">
        <v>0</v>
      </c>
      <c r="P315" s="712">
        <v>0</v>
      </c>
      <c r="Q315" s="712">
        <v>0</v>
      </c>
      <c r="R315" s="712">
        <v>0</v>
      </c>
      <c r="S315" s="712">
        <v>3321714</v>
      </c>
      <c r="T315" s="712">
        <v>3321714</v>
      </c>
      <c r="U315" s="712">
        <v>3321714</v>
      </c>
      <c r="V315" s="712">
        <v>3321714</v>
      </c>
      <c r="W315" s="712">
        <v>3321714</v>
      </c>
      <c r="X315" s="712">
        <v>3321714</v>
      </c>
      <c r="Y315" s="712">
        <v>3321714</v>
      </c>
      <c r="Z315" s="712">
        <v>3321714</v>
      </c>
      <c r="AA315" s="712">
        <v>3321714</v>
      </c>
      <c r="AB315" s="712">
        <v>3321714</v>
      </c>
      <c r="AC315" s="712">
        <v>3321714</v>
      </c>
      <c r="AD315" s="712">
        <v>3321714</v>
      </c>
      <c r="AE315" s="712">
        <v>3321714</v>
      </c>
      <c r="AF315" s="712">
        <v>3321714</v>
      </c>
      <c r="AG315" s="712">
        <v>3321714</v>
      </c>
      <c r="AH315" s="712">
        <v>3321714</v>
      </c>
      <c r="AI315" s="712">
        <v>3321714</v>
      </c>
      <c r="AJ315" s="712">
        <v>3321714</v>
      </c>
      <c r="AK315" s="712">
        <v>3321714</v>
      </c>
      <c r="AL315" s="712">
        <v>3321714</v>
      </c>
      <c r="AM315" s="712">
        <v>3321714</v>
      </c>
      <c r="AN315" s="712">
        <v>3321714</v>
      </c>
      <c r="AO315" s="712">
        <v>3321714</v>
      </c>
      <c r="AP315" s="712">
        <v>3321714</v>
      </c>
      <c r="AQ315" s="712">
        <v>3321724</v>
      </c>
      <c r="AR315" s="712">
        <v>275940000</v>
      </c>
      <c r="AS315" s="712">
        <v>0</v>
      </c>
      <c r="AT315">
        <v>358982860</v>
      </c>
      <c r="AU315" s="615"/>
      <c r="AV315" s="615"/>
      <c r="AW315" s="615"/>
      <c r="AX315" s="615"/>
      <c r="AY315" s="615"/>
      <c r="AZ315" s="615"/>
      <c r="BA315" s="615"/>
      <c r="BB315" s="615"/>
      <c r="BC315" s="615"/>
      <c r="BD315" s="615"/>
      <c r="BE315" s="615"/>
      <c r="BF315" s="615"/>
      <c r="BG315" s="615"/>
      <c r="BH315" s="615"/>
      <c r="BI315" s="615"/>
      <c r="BJ315" s="615"/>
      <c r="BK315" s="615"/>
      <c r="BL315" s="615"/>
      <c r="BM315" s="615"/>
      <c r="BN315" s="615"/>
      <c r="BO315" s="615"/>
      <c r="BP315" s="615"/>
      <c r="BQ315" s="615"/>
      <c r="BR315" s="615"/>
      <c r="BS315" s="615"/>
      <c r="BT315" s="615"/>
      <c r="BU315" s="615"/>
      <c r="BV315" s="615"/>
      <c r="BW315" s="615"/>
      <c r="BX315" s="607"/>
    </row>
    <row r="316" spans="1:76" s="612" customFormat="1" ht="25.5" x14ac:dyDescent="0.2">
      <c r="A316" s="839"/>
      <c r="B316" s="713" t="s">
        <v>3009</v>
      </c>
      <c r="C316" s="713" t="s">
        <v>3008</v>
      </c>
      <c r="D316" s="712">
        <v>0</v>
      </c>
      <c r="E316" s="712">
        <v>0</v>
      </c>
      <c r="F316" s="712">
        <v>0</v>
      </c>
      <c r="G316" s="712">
        <v>0</v>
      </c>
      <c r="H316" s="712">
        <v>0</v>
      </c>
      <c r="I316" s="712">
        <v>0</v>
      </c>
      <c r="J316" s="712">
        <v>0</v>
      </c>
      <c r="K316" s="712">
        <v>0</v>
      </c>
      <c r="L316" s="712">
        <v>0</v>
      </c>
      <c r="M316" s="712">
        <v>0</v>
      </c>
      <c r="N316" s="712">
        <v>0</v>
      </c>
      <c r="O316" s="712">
        <v>1693012</v>
      </c>
      <c r="P316" s="712">
        <v>4627463</v>
      </c>
      <c r="Q316" s="712">
        <v>4627463</v>
      </c>
      <c r="R316" s="712">
        <v>4627463</v>
      </c>
      <c r="S316" s="712">
        <v>4627463</v>
      </c>
      <c r="T316" s="712">
        <v>4627463</v>
      </c>
      <c r="U316" s="712">
        <v>4627463</v>
      </c>
      <c r="V316" s="712">
        <v>4627463</v>
      </c>
      <c r="W316" s="712">
        <v>4627463</v>
      </c>
      <c r="X316" s="712">
        <v>4627463</v>
      </c>
      <c r="Y316" s="712">
        <v>4627463</v>
      </c>
      <c r="Z316" s="712">
        <v>4627463</v>
      </c>
      <c r="AA316" s="712">
        <v>4627463</v>
      </c>
      <c r="AB316" s="712">
        <v>4627463</v>
      </c>
      <c r="AC316" s="712">
        <v>4627463</v>
      </c>
      <c r="AD316" s="712">
        <v>4627463</v>
      </c>
      <c r="AE316" s="712">
        <v>4627463</v>
      </c>
      <c r="AF316" s="712">
        <v>4627463</v>
      </c>
      <c r="AG316" s="712">
        <v>4627463</v>
      </c>
      <c r="AH316" s="712">
        <v>4627463</v>
      </c>
      <c r="AI316" s="712">
        <v>4627463</v>
      </c>
      <c r="AJ316" s="712">
        <v>4627463</v>
      </c>
      <c r="AK316" s="712">
        <v>4627463</v>
      </c>
      <c r="AL316" s="712">
        <v>4627463</v>
      </c>
      <c r="AM316" s="712">
        <v>4627463</v>
      </c>
      <c r="AN316" s="712">
        <v>4627463</v>
      </c>
      <c r="AO316" s="712">
        <v>4627463</v>
      </c>
      <c r="AP316" s="712">
        <v>4627463</v>
      </c>
      <c r="AQ316" s="712">
        <v>4627471</v>
      </c>
      <c r="AR316" s="712">
        <v>378778750</v>
      </c>
      <c r="AS316" s="712">
        <v>0</v>
      </c>
      <c r="AT316">
        <v>510040734</v>
      </c>
      <c r="AU316" s="615"/>
      <c r="AV316" s="615"/>
      <c r="AW316" s="615"/>
      <c r="AX316" s="615"/>
      <c r="AY316" s="615"/>
      <c r="AZ316" s="615"/>
      <c r="BA316" s="615"/>
      <c r="BB316" s="615"/>
      <c r="BC316" s="615"/>
      <c r="BD316" s="615"/>
      <c r="BE316" s="615"/>
      <c r="BF316" s="615"/>
      <c r="BG316" s="615"/>
      <c r="BH316" s="615"/>
      <c r="BI316" s="615"/>
      <c r="BJ316" s="615"/>
      <c r="BK316" s="615"/>
      <c r="BL316" s="615"/>
      <c r="BM316" s="615"/>
      <c r="BN316" s="615"/>
      <c r="BO316" s="615"/>
      <c r="BP316" s="615"/>
      <c r="BQ316" s="615"/>
      <c r="BR316" s="615"/>
      <c r="BS316" s="615"/>
      <c r="BT316" s="615"/>
      <c r="BU316" s="615"/>
      <c r="BV316" s="615"/>
      <c r="BW316" s="615"/>
      <c r="BX316" s="607"/>
    </row>
    <row r="317" spans="1:76" s="612" customFormat="1" ht="25.5" x14ac:dyDescent="0.2">
      <c r="A317" s="839"/>
      <c r="B317" s="713" t="s">
        <v>3162</v>
      </c>
      <c r="C317" s="713" t="s">
        <v>3161</v>
      </c>
      <c r="D317" s="712">
        <v>0</v>
      </c>
      <c r="E317" s="712">
        <v>0</v>
      </c>
      <c r="F317" s="712">
        <v>0</v>
      </c>
      <c r="G317" s="712">
        <v>0</v>
      </c>
      <c r="H317" s="712">
        <v>0</v>
      </c>
      <c r="I317" s="712">
        <v>0</v>
      </c>
      <c r="J317" s="712">
        <v>0</v>
      </c>
      <c r="K317" s="712">
        <v>0</v>
      </c>
      <c r="L317" s="712">
        <v>0</v>
      </c>
      <c r="M317" s="712">
        <v>0</v>
      </c>
      <c r="N317" s="712">
        <v>0</v>
      </c>
      <c r="O317" s="712">
        <v>0</v>
      </c>
      <c r="P317" s="712">
        <v>0</v>
      </c>
      <c r="Q317" s="712">
        <v>0</v>
      </c>
      <c r="R317" s="712">
        <v>0</v>
      </c>
      <c r="S317" s="712">
        <v>3570480</v>
      </c>
      <c r="T317" s="712">
        <v>3570485</v>
      </c>
      <c r="U317" s="712">
        <v>3570485</v>
      </c>
      <c r="V317" s="712">
        <v>3570485</v>
      </c>
      <c r="W317" s="712">
        <v>3570485</v>
      </c>
      <c r="X317" s="712">
        <v>3570485</v>
      </c>
      <c r="Y317" s="712">
        <v>3570485</v>
      </c>
      <c r="Z317" s="712">
        <v>3570485</v>
      </c>
      <c r="AA317" s="712">
        <v>3570485</v>
      </c>
      <c r="AB317" s="712">
        <v>3570485</v>
      </c>
      <c r="AC317" s="712">
        <v>3570485</v>
      </c>
      <c r="AD317" s="712">
        <v>3570485</v>
      </c>
      <c r="AE317" s="712">
        <v>3570485</v>
      </c>
      <c r="AF317" s="712">
        <v>3570485</v>
      </c>
      <c r="AG317" s="712">
        <v>3570485</v>
      </c>
      <c r="AH317" s="712">
        <v>3570485</v>
      </c>
      <c r="AI317" s="712">
        <v>3570485</v>
      </c>
      <c r="AJ317" s="712">
        <v>3570485</v>
      </c>
      <c r="AK317" s="712">
        <v>3570485</v>
      </c>
      <c r="AL317" s="712">
        <v>3570485</v>
      </c>
      <c r="AM317" s="712">
        <v>3570485</v>
      </c>
      <c r="AN317" s="712">
        <v>3570485</v>
      </c>
      <c r="AO317" s="712">
        <v>3570485</v>
      </c>
      <c r="AP317" s="712">
        <v>3570485</v>
      </c>
      <c r="AQ317" s="712">
        <v>3570485</v>
      </c>
      <c r="AR317" s="712">
        <v>286594000</v>
      </c>
      <c r="AS317" s="712">
        <v>0</v>
      </c>
      <c r="AT317">
        <v>375856120</v>
      </c>
      <c r="AU317" s="615"/>
      <c r="AV317" s="615"/>
      <c r="AW317" s="615"/>
      <c r="AX317" s="615"/>
      <c r="AY317" s="615"/>
      <c r="AZ317" s="615"/>
      <c r="BA317" s="615"/>
      <c r="BB317" s="615"/>
      <c r="BC317" s="615"/>
      <c r="BD317" s="615"/>
      <c r="BE317" s="615"/>
      <c r="BF317" s="615"/>
      <c r="BG317" s="615"/>
      <c r="BH317" s="615"/>
      <c r="BI317" s="615"/>
      <c r="BJ317" s="615"/>
      <c r="BK317" s="615"/>
      <c r="BL317" s="615"/>
      <c r="BM317" s="615"/>
      <c r="BN317" s="615"/>
      <c r="BO317" s="615"/>
      <c r="BP317" s="615"/>
      <c r="BQ317" s="615"/>
      <c r="BR317" s="615"/>
      <c r="BS317" s="615"/>
      <c r="BT317" s="615"/>
      <c r="BU317" s="615"/>
      <c r="BV317" s="615"/>
      <c r="BW317" s="615"/>
      <c r="BX317" s="607"/>
    </row>
    <row r="318" spans="1:76" s="612" customFormat="1" ht="25.5" x14ac:dyDescent="0.2">
      <c r="A318" s="839"/>
      <c r="B318" s="713" t="s">
        <v>3223</v>
      </c>
      <c r="C318" s="713" t="s">
        <v>3222</v>
      </c>
      <c r="D318" s="712">
        <v>0</v>
      </c>
      <c r="E318" s="712">
        <v>0</v>
      </c>
      <c r="F318" s="712">
        <v>0</v>
      </c>
      <c r="G318" s="712">
        <v>0</v>
      </c>
      <c r="H318" s="712">
        <v>0</v>
      </c>
      <c r="I318" s="712">
        <v>0</v>
      </c>
      <c r="J318" s="712">
        <v>0</v>
      </c>
      <c r="K318" s="712">
        <v>0</v>
      </c>
      <c r="L318" s="712">
        <v>0</v>
      </c>
      <c r="M318" s="712">
        <v>0</v>
      </c>
      <c r="N318" s="712">
        <v>0</v>
      </c>
      <c r="O318" s="712">
        <v>0</v>
      </c>
      <c r="P318" s="712">
        <v>0</v>
      </c>
      <c r="Q318" s="712">
        <v>0</v>
      </c>
      <c r="R318" s="712">
        <v>0</v>
      </c>
      <c r="S318" s="712">
        <v>5087296</v>
      </c>
      <c r="T318" s="712">
        <v>5087348</v>
      </c>
      <c r="U318" s="712">
        <v>5087348</v>
      </c>
      <c r="V318" s="712">
        <v>5087348</v>
      </c>
      <c r="W318" s="712">
        <v>5087348</v>
      </c>
      <c r="X318" s="712">
        <v>5087348</v>
      </c>
      <c r="Y318" s="712">
        <v>5087348</v>
      </c>
      <c r="Z318" s="712">
        <v>5087348</v>
      </c>
      <c r="AA318" s="712">
        <v>5087348</v>
      </c>
      <c r="AB318" s="712">
        <v>5087348</v>
      </c>
      <c r="AC318" s="712">
        <v>5087348</v>
      </c>
      <c r="AD318" s="712">
        <v>5087348</v>
      </c>
      <c r="AE318" s="712">
        <v>5087348</v>
      </c>
      <c r="AF318" s="712">
        <v>5087348</v>
      </c>
      <c r="AG318" s="712">
        <v>5087348</v>
      </c>
      <c r="AH318" s="712">
        <v>5087348</v>
      </c>
      <c r="AI318" s="712">
        <v>5087348</v>
      </c>
      <c r="AJ318" s="712">
        <v>5087348</v>
      </c>
      <c r="AK318" s="712">
        <v>5087348</v>
      </c>
      <c r="AL318" s="712">
        <v>5087348</v>
      </c>
      <c r="AM318" s="712">
        <v>5087348</v>
      </c>
      <c r="AN318" s="712">
        <v>5087348</v>
      </c>
      <c r="AO318" s="712">
        <v>5087348</v>
      </c>
      <c r="AP318" s="712">
        <v>5087348</v>
      </c>
      <c r="AQ318" s="712">
        <v>5087364</v>
      </c>
      <c r="AR318" s="712">
        <v>403392500</v>
      </c>
      <c r="AS318" s="712">
        <v>0</v>
      </c>
      <c r="AT318">
        <v>530576164</v>
      </c>
      <c r="AU318" s="615"/>
      <c r="AV318" s="615"/>
      <c r="AW318" s="615"/>
      <c r="AX318" s="615"/>
      <c r="AY318" s="615"/>
      <c r="AZ318" s="615"/>
      <c r="BA318" s="615"/>
      <c r="BB318" s="615"/>
      <c r="BC318" s="615"/>
      <c r="BD318" s="615"/>
      <c r="BE318" s="615"/>
      <c r="BF318" s="615"/>
      <c r="BG318" s="615"/>
      <c r="BH318" s="615"/>
      <c r="BI318" s="615"/>
      <c r="BJ318" s="615"/>
      <c r="BK318" s="615"/>
      <c r="BL318" s="615"/>
      <c r="BM318" s="615"/>
      <c r="BN318" s="615"/>
      <c r="BO318" s="615"/>
      <c r="BP318" s="615"/>
      <c r="BQ318" s="615"/>
      <c r="BR318" s="615"/>
      <c r="BS318" s="615"/>
      <c r="BT318" s="615"/>
      <c r="BU318" s="615"/>
      <c r="BV318" s="615"/>
      <c r="BW318" s="615"/>
      <c r="BX318" s="607"/>
    </row>
    <row r="319" spans="1:76" s="612" customFormat="1" ht="25.5" x14ac:dyDescent="0.2">
      <c r="A319" s="839"/>
      <c r="B319" s="713" t="s">
        <v>3221</v>
      </c>
      <c r="C319" s="713" t="s">
        <v>3220</v>
      </c>
      <c r="D319" s="712">
        <v>0</v>
      </c>
      <c r="E319" s="712">
        <v>0</v>
      </c>
      <c r="F319" s="712">
        <v>0</v>
      </c>
      <c r="G319" s="712">
        <v>0</v>
      </c>
      <c r="H319" s="712">
        <v>0</v>
      </c>
      <c r="I319" s="712">
        <v>0</v>
      </c>
      <c r="J319" s="712">
        <v>0</v>
      </c>
      <c r="K319" s="712">
        <v>0</v>
      </c>
      <c r="L319" s="712">
        <v>0</v>
      </c>
      <c r="M319" s="712">
        <v>0</v>
      </c>
      <c r="N319" s="712">
        <v>0</v>
      </c>
      <c r="O319" s="712">
        <v>0</v>
      </c>
      <c r="P319" s="712">
        <v>0</v>
      </c>
      <c r="Q319" s="712">
        <v>0</v>
      </c>
      <c r="R319" s="712">
        <v>0</v>
      </c>
      <c r="S319" s="712">
        <v>2533211</v>
      </c>
      <c r="T319" s="712">
        <v>5066212</v>
      </c>
      <c r="U319" s="712">
        <v>5066212</v>
      </c>
      <c r="V319" s="712">
        <v>5066212</v>
      </c>
      <c r="W319" s="712">
        <v>5066212</v>
      </c>
      <c r="X319" s="712">
        <v>5066212</v>
      </c>
      <c r="Y319" s="712">
        <v>5066212</v>
      </c>
      <c r="Z319" s="712">
        <v>5066212</v>
      </c>
      <c r="AA319" s="712">
        <v>5066212</v>
      </c>
      <c r="AB319" s="712">
        <v>5066212</v>
      </c>
      <c r="AC319" s="712">
        <v>5066212</v>
      </c>
      <c r="AD319" s="712">
        <v>5066212</v>
      </c>
      <c r="AE319" s="712">
        <v>5066212</v>
      </c>
      <c r="AF319" s="712">
        <v>5066212</v>
      </c>
      <c r="AG319" s="712">
        <v>5066212</v>
      </c>
      <c r="AH319" s="712">
        <v>5066212</v>
      </c>
      <c r="AI319" s="712">
        <v>5066212</v>
      </c>
      <c r="AJ319" s="712">
        <v>5066212</v>
      </c>
      <c r="AK319" s="712">
        <v>5066212</v>
      </c>
      <c r="AL319" s="712">
        <v>5066212</v>
      </c>
      <c r="AM319" s="712">
        <v>5066212</v>
      </c>
      <c r="AN319" s="712">
        <v>5066212</v>
      </c>
      <c r="AO319" s="712">
        <v>5066212</v>
      </c>
      <c r="AP319" s="712">
        <v>5066212</v>
      </c>
      <c r="AQ319" s="712">
        <v>5066216</v>
      </c>
      <c r="AR319" s="712">
        <v>401765000</v>
      </c>
      <c r="AS319" s="712">
        <v>0</v>
      </c>
      <c r="AT319">
        <v>525887303</v>
      </c>
      <c r="AU319" s="615"/>
      <c r="AV319" s="615"/>
      <c r="AW319" s="615"/>
      <c r="AX319" s="615"/>
      <c r="AY319" s="615"/>
      <c r="AZ319" s="615"/>
      <c r="BA319" s="615"/>
      <c r="BB319" s="615"/>
      <c r="BC319" s="615"/>
      <c r="BD319" s="615"/>
      <c r="BE319" s="615"/>
      <c r="BF319" s="615"/>
      <c r="BG319" s="615"/>
      <c r="BH319" s="615"/>
      <c r="BI319" s="615"/>
      <c r="BJ319" s="615"/>
      <c r="BK319" s="615"/>
      <c r="BL319" s="615"/>
      <c r="BM319" s="615"/>
      <c r="BN319" s="615"/>
      <c r="BO319" s="615"/>
      <c r="BP319" s="615"/>
      <c r="BQ319" s="615"/>
      <c r="BR319" s="615"/>
      <c r="BS319" s="615"/>
      <c r="BT319" s="615"/>
      <c r="BU319" s="615"/>
      <c r="BV319" s="615"/>
      <c r="BW319" s="615"/>
      <c r="BX319" s="607"/>
    </row>
    <row r="320" spans="1:76" s="612" customFormat="1" ht="12.75" x14ac:dyDescent="0.2">
      <c r="A320" s="839"/>
      <c r="B320" s="713" t="s">
        <v>4286</v>
      </c>
      <c r="C320" s="713" t="s">
        <v>4285</v>
      </c>
      <c r="D320" s="712">
        <v>0</v>
      </c>
      <c r="E320" s="712">
        <v>0</v>
      </c>
      <c r="F320" s="712">
        <v>0</v>
      </c>
      <c r="G320" s="712">
        <v>0</v>
      </c>
      <c r="H320" s="712">
        <v>0</v>
      </c>
      <c r="I320" s="712">
        <v>0</v>
      </c>
      <c r="J320" s="712">
        <v>0</v>
      </c>
      <c r="K320" s="712">
        <v>0</v>
      </c>
      <c r="L320" s="712">
        <v>0</v>
      </c>
      <c r="M320" s="712">
        <v>0</v>
      </c>
      <c r="N320" s="712">
        <v>0</v>
      </c>
      <c r="O320" s="712">
        <v>0</v>
      </c>
      <c r="P320" s="712">
        <v>0</v>
      </c>
      <c r="Q320" s="712">
        <v>0</v>
      </c>
      <c r="R320" s="712">
        <v>0</v>
      </c>
      <c r="S320" s="712">
        <v>4000</v>
      </c>
      <c r="T320" s="712">
        <v>4728500</v>
      </c>
      <c r="U320" s="712">
        <v>4728500</v>
      </c>
      <c r="V320" s="712">
        <v>4728500</v>
      </c>
      <c r="W320" s="712">
        <v>4728500</v>
      </c>
      <c r="X320" s="712">
        <v>4728500</v>
      </c>
      <c r="Y320" s="712">
        <v>4728500</v>
      </c>
      <c r="Z320" s="712">
        <v>4728500</v>
      </c>
      <c r="AA320" s="712">
        <v>4728500</v>
      </c>
      <c r="AB320" s="712">
        <v>4728500</v>
      </c>
      <c r="AC320" s="712">
        <v>4728500</v>
      </c>
      <c r="AD320" s="712">
        <v>4728500</v>
      </c>
      <c r="AE320" s="712">
        <v>4728500</v>
      </c>
      <c r="AF320" s="712">
        <v>4728500</v>
      </c>
      <c r="AG320" s="712">
        <v>4728500</v>
      </c>
      <c r="AH320" s="712">
        <v>4728500</v>
      </c>
      <c r="AI320" s="712">
        <v>4728500</v>
      </c>
      <c r="AJ320" s="712">
        <v>4728500</v>
      </c>
      <c r="AK320" s="712">
        <v>4728500</v>
      </c>
      <c r="AL320" s="712">
        <v>4728500</v>
      </c>
      <c r="AM320" s="712">
        <v>4728500</v>
      </c>
      <c r="AN320" s="712">
        <v>4728500</v>
      </c>
      <c r="AO320" s="712">
        <v>4728500</v>
      </c>
      <c r="AP320" s="712">
        <v>4728500</v>
      </c>
      <c r="AQ320" s="712">
        <v>4735500</v>
      </c>
      <c r="AR320" s="712">
        <v>309578500</v>
      </c>
      <c r="AS320" s="712">
        <v>0</v>
      </c>
      <c r="AT320">
        <v>423073500</v>
      </c>
      <c r="AU320" s="615"/>
      <c r="AV320" s="615"/>
      <c r="AW320" s="615"/>
      <c r="AX320" s="615"/>
      <c r="AY320" s="615"/>
      <c r="AZ320" s="615"/>
      <c r="BA320" s="615"/>
      <c r="BB320" s="615"/>
      <c r="BC320" s="615"/>
      <c r="BD320" s="615"/>
      <c r="BE320" s="615"/>
      <c r="BF320" s="615"/>
      <c r="BG320" s="615"/>
      <c r="BH320" s="615"/>
      <c r="BI320" s="615"/>
      <c r="BJ320" s="615"/>
      <c r="BK320" s="615"/>
      <c r="BL320" s="615"/>
      <c r="BM320" s="615"/>
      <c r="BN320" s="615"/>
      <c r="BO320" s="615"/>
      <c r="BP320" s="615"/>
      <c r="BQ320" s="615"/>
      <c r="BR320" s="615"/>
      <c r="BS320" s="615"/>
      <c r="BT320" s="615"/>
      <c r="BU320" s="615"/>
      <c r="BV320" s="615"/>
      <c r="BW320" s="615"/>
      <c r="BX320" s="607"/>
    </row>
    <row r="321" spans="1:76" s="612" customFormat="1" ht="25.5" x14ac:dyDescent="0.2">
      <c r="A321" s="839"/>
      <c r="B321" s="713" t="s">
        <v>4230</v>
      </c>
      <c r="C321" s="713" t="s">
        <v>4229</v>
      </c>
      <c r="D321" s="712">
        <v>0</v>
      </c>
      <c r="E321" s="712">
        <v>0</v>
      </c>
      <c r="F321" s="712">
        <v>0</v>
      </c>
      <c r="G321" s="712">
        <v>0</v>
      </c>
      <c r="H321" s="712">
        <v>0</v>
      </c>
      <c r="I321" s="712">
        <v>0</v>
      </c>
      <c r="J321" s="712">
        <v>0</v>
      </c>
      <c r="K321" s="712">
        <v>0</v>
      </c>
      <c r="L321" s="712">
        <v>0</v>
      </c>
      <c r="M321" s="712">
        <v>0</v>
      </c>
      <c r="N321" s="712">
        <v>0</v>
      </c>
      <c r="O321" s="712">
        <v>0</v>
      </c>
      <c r="P321" s="712">
        <v>0</v>
      </c>
      <c r="Q321" s="712">
        <v>0</v>
      </c>
      <c r="R321" s="712">
        <v>0</v>
      </c>
      <c r="S321" s="712">
        <v>6352704</v>
      </c>
      <c r="T321" s="712">
        <v>6352704</v>
      </c>
      <c r="U321" s="712">
        <v>6352704</v>
      </c>
      <c r="V321" s="712">
        <v>6352704</v>
      </c>
      <c r="W321" s="712">
        <v>6352704</v>
      </c>
      <c r="X321" s="712">
        <v>6352704</v>
      </c>
      <c r="Y321" s="712">
        <v>6352704</v>
      </c>
      <c r="Z321" s="712">
        <v>6352704</v>
      </c>
      <c r="AA321" s="712">
        <v>6352704</v>
      </c>
      <c r="AB321" s="712">
        <v>6352704</v>
      </c>
      <c r="AC321" s="712">
        <v>6352704</v>
      </c>
      <c r="AD321" s="712">
        <v>6352704</v>
      </c>
      <c r="AE321" s="712">
        <v>6352704</v>
      </c>
      <c r="AF321" s="712">
        <v>6352704</v>
      </c>
      <c r="AG321" s="712">
        <v>6352704</v>
      </c>
      <c r="AH321" s="712">
        <v>6352704</v>
      </c>
      <c r="AI321" s="712">
        <v>6352704</v>
      </c>
      <c r="AJ321" s="712">
        <v>6352704</v>
      </c>
      <c r="AK321" s="712">
        <v>6352704</v>
      </c>
      <c r="AL321" s="712">
        <v>6352704</v>
      </c>
      <c r="AM321" s="712">
        <v>6352704</v>
      </c>
      <c r="AN321" s="712">
        <v>6352704</v>
      </c>
      <c r="AO321" s="712">
        <v>6352704</v>
      </c>
      <c r="AP321" s="712">
        <v>6352700</v>
      </c>
      <c r="AQ321" s="712">
        <v>6352700</v>
      </c>
      <c r="AR321" s="712">
        <v>411887000</v>
      </c>
      <c r="AS321" s="712">
        <v>0</v>
      </c>
      <c r="AT321">
        <v>570704592</v>
      </c>
      <c r="AU321" s="615"/>
      <c r="AV321" s="615"/>
      <c r="AW321" s="615"/>
      <c r="AX321" s="615"/>
      <c r="AY321" s="615"/>
      <c r="AZ321" s="615"/>
      <c r="BA321" s="615"/>
      <c r="BB321" s="615"/>
      <c r="BC321" s="615"/>
      <c r="BD321" s="615"/>
      <c r="BE321" s="615"/>
      <c r="BF321" s="615"/>
      <c r="BG321" s="615"/>
      <c r="BH321" s="615"/>
      <c r="BI321" s="615"/>
      <c r="BJ321" s="615"/>
      <c r="BK321" s="615"/>
      <c r="BL321" s="615"/>
      <c r="BM321" s="615"/>
      <c r="BN321" s="615"/>
      <c r="BO321" s="615"/>
      <c r="BP321" s="615"/>
      <c r="BQ321" s="615"/>
      <c r="BR321" s="615"/>
      <c r="BS321" s="615"/>
      <c r="BT321" s="615"/>
      <c r="BU321" s="615"/>
      <c r="BV321" s="615"/>
      <c r="BW321" s="615"/>
      <c r="BX321" s="607"/>
    </row>
    <row r="322" spans="1:76" s="612" customFormat="1" ht="25.5" x14ac:dyDescent="0.2">
      <c r="A322" s="839"/>
      <c r="B322" s="713" t="s">
        <v>1473</v>
      </c>
      <c r="C322" s="713" t="s">
        <v>3358</v>
      </c>
      <c r="D322" s="712">
        <v>0</v>
      </c>
      <c r="E322" s="712">
        <v>0</v>
      </c>
      <c r="F322" s="712">
        <v>0</v>
      </c>
      <c r="G322" s="712">
        <v>0</v>
      </c>
      <c r="H322" s="712">
        <v>0</v>
      </c>
      <c r="I322" s="712">
        <v>0</v>
      </c>
      <c r="J322" s="712">
        <v>0</v>
      </c>
      <c r="K322" s="712">
        <v>0</v>
      </c>
      <c r="L322" s="712">
        <v>0</v>
      </c>
      <c r="M322" s="712">
        <v>0</v>
      </c>
      <c r="N322" s="712">
        <v>0</v>
      </c>
      <c r="O322" s="712">
        <v>0</v>
      </c>
      <c r="P322" s="712">
        <v>0</v>
      </c>
      <c r="Q322" s="712">
        <v>0</v>
      </c>
      <c r="R322" s="712">
        <v>0</v>
      </c>
      <c r="S322" s="712">
        <v>0</v>
      </c>
      <c r="T322" s="712">
        <v>0</v>
      </c>
      <c r="U322" s="712">
        <v>0</v>
      </c>
      <c r="V322" s="712">
        <v>5207780</v>
      </c>
      <c r="W322" s="712">
        <v>5397903</v>
      </c>
      <c r="X322" s="712">
        <v>5397903</v>
      </c>
      <c r="Y322" s="712">
        <v>5397903</v>
      </c>
      <c r="Z322" s="712">
        <v>5397903</v>
      </c>
      <c r="AA322" s="712">
        <v>5397903</v>
      </c>
      <c r="AB322" s="712">
        <v>5397903</v>
      </c>
      <c r="AC322" s="712">
        <v>5397903</v>
      </c>
      <c r="AD322" s="712">
        <v>5397903</v>
      </c>
      <c r="AE322" s="712">
        <v>5397903</v>
      </c>
      <c r="AF322" s="712">
        <v>5397903</v>
      </c>
      <c r="AG322" s="712">
        <v>5397903</v>
      </c>
      <c r="AH322" s="712">
        <v>5397903</v>
      </c>
      <c r="AI322" s="712">
        <v>5397903</v>
      </c>
      <c r="AJ322" s="712">
        <v>5397903</v>
      </c>
      <c r="AK322" s="712">
        <v>5397903</v>
      </c>
      <c r="AL322" s="712">
        <v>5397903</v>
      </c>
      <c r="AM322" s="712">
        <v>5397903</v>
      </c>
      <c r="AN322" s="712">
        <v>5397903</v>
      </c>
      <c r="AO322" s="712">
        <v>5397903</v>
      </c>
      <c r="AP322" s="712">
        <v>5397903</v>
      </c>
      <c r="AQ322" s="712">
        <v>5397910</v>
      </c>
      <c r="AR322" s="712">
        <v>402115000</v>
      </c>
      <c r="AS322" s="712">
        <v>0</v>
      </c>
      <c r="AT322">
        <v>520678750</v>
      </c>
      <c r="AU322" s="615"/>
      <c r="AV322" s="615"/>
      <c r="AW322" s="615"/>
      <c r="AX322" s="615"/>
      <c r="AY322" s="615"/>
      <c r="AZ322" s="615"/>
      <c r="BA322" s="615"/>
      <c r="BB322" s="615"/>
      <c r="BC322" s="615"/>
      <c r="BD322" s="615"/>
      <c r="BE322" s="615"/>
      <c r="BF322" s="615"/>
      <c r="BG322" s="615"/>
      <c r="BH322" s="615"/>
      <c r="BI322" s="615"/>
      <c r="BJ322" s="615"/>
      <c r="BK322" s="615"/>
      <c r="BL322" s="615"/>
      <c r="BM322" s="615"/>
      <c r="BN322" s="615"/>
      <c r="BO322" s="615"/>
      <c r="BP322" s="615"/>
      <c r="BQ322" s="615"/>
      <c r="BR322" s="615"/>
      <c r="BS322" s="615"/>
      <c r="BT322" s="615"/>
      <c r="BU322" s="615"/>
      <c r="BV322" s="615"/>
      <c r="BW322" s="615"/>
      <c r="BX322" s="607"/>
    </row>
    <row r="323" spans="1:76" s="612" customFormat="1" ht="25.5" x14ac:dyDescent="0.2">
      <c r="A323" s="839"/>
      <c r="B323" s="713" t="s">
        <v>4364</v>
      </c>
      <c r="C323" s="713" t="s">
        <v>4363</v>
      </c>
      <c r="D323" s="712">
        <v>0</v>
      </c>
      <c r="E323" s="712">
        <v>0</v>
      </c>
      <c r="F323" s="712">
        <v>0</v>
      </c>
      <c r="G323" s="712">
        <v>0</v>
      </c>
      <c r="H323" s="712">
        <v>0</v>
      </c>
      <c r="I323" s="712">
        <v>0</v>
      </c>
      <c r="J323" s="712">
        <v>0</v>
      </c>
      <c r="K323" s="712">
        <v>0</v>
      </c>
      <c r="L323" s="712">
        <v>0</v>
      </c>
      <c r="M323" s="712">
        <v>0</v>
      </c>
      <c r="N323" s="712">
        <v>0</v>
      </c>
      <c r="O323" s="712">
        <v>0</v>
      </c>
      <c r="P323" s="712">
        <v>0</v>
      </c>
      <c r="Q323" s="712">
        <v>0</v>
      </c>
      <c r="R323" s="712">
        <v>0</v>
      </c>
      <c r="S323" s="712">
        <v>6836140</v>
      </c>
      <c r="T323" s="712">
        <v>6836140</v>
      </c>
      <c r="U323" s="712">
        <v>6836140</v>
      </c>
      <c r="V323" s="712">
        <v>6836140</v>
      </c>
      <c r="W323" s="712">
        <v>6836140</v>
      </c>
      <c r="X323" s="712">
        <v>6836140</v>
      </c>
      <c r="Y323" s="712">
        <v>6836140</v>
      </c>
      <c r="Z323" s="712">
        <v>6836140</v>
      </c>
      <c r="AA323" s="712">
        <v>6836140</v>
      </c>
      <c r="AB323" s="712">
        <v>6836140</v>
      </c>
      <c r="AC323" s="712">
        <v>6836140</v>
      </c>
      <c r="AD323" s="712">
        <v>6836140</v>
      </c>
      <c r="AE323" s="712">
        <v>6836140</v>
      </c>
      <c r="AF323" s="712">
        <v>6836140</v>
      </c>
      <c r="AG323" s="712">
        <v>6836140</v>
      </c>
      <c r="AH323" s="712">
        <v>6836140</v>
      </c>
      <c r="AI323" s="712">
        <v>6836140</v>
      </c>
      <c r="AJ323" s="712">
        <v>6836140</v>
      </c>
      <c r="AK323" s="712">
        <v>6836140</v>
      </c>
      <c r="AL323" s="712">
        <v>6836140</v>
      </c>
      <c r="AM323" s="712">
        <v>6836140</v>
      </c>
      <c r="AN323" s="712">
        <v>6836140</v>
      </c>
      <c r="AO323" s="712">
        <v>6836140</v>
      </c>
      <c r="AP323" s="712">
        <v>6836140</v>
      </c>
      <c r="AQ323" s="712">
        <v>6836140</v>
      </c>
      <c r="AR323" s="712">
        <v>410441500</v>
      </c>
      <c r="AS323" s="712">
        <v>0</v>
      </c>
      <c r="AT323">
        <v>581345000</v>
      </c>
      <c r="AU323" s="615"/>
      <c r="AV323" s="615"/>
      <c r="AW323" s="615"/>
      <c r="AX323" s="615"/>
      <c r="AY323" s="615"/>
      <c r="AZ323" s="615"/>
      <c r="BA323" s="615"/>
      <c r="BB323" s="615"/>
      <c r="BC323" s="615"/>
      <c r="BD323" s="615"/>
      <c r="BE323" s="615"/>
      <c r="BF323" s="615"/>
      <c r="BG323" s="615"/>
      <c r="BH323" s="615"/>
      <c r="BI323" s="615"/>
      <c r="BJ323" s="615"/>
      <c r="BK323" s="615"/>
      <c r="BL323" s="615"/>
      <c r="BM323" s="615"/>
      <c r="BN323" s="615"/>
      <c r="BO323" s="615"/>
      <c r="BP323" s="615"/>
      <c r="BQ323" s="615"/>
      <c r="BR323" s="615"/>
      <c r="BS323" s="615"/>
      <c r="BT323" s="615"/>
      <c r="BU323" s="615"/>
      <c r="BV323" s="615"/>
      <c r="BW323" s="615"/>
      <c r="BX323" s="607"/>
    </row>
    <row r="324" spans="1:76" s="612" customFormat="1" ht="25.5" x14ac:dyDescent="0.2">
      <c r="A324" s="839"/>
      <c r="B324" s="713" t="s">
        <v>2968</v>
      </c>
      <c r="C324" s="713" t="s">
        <v>2967</v>
      </c>
      <c r="D324" s="712">
        <v>0</v>
      </c>
      <c r="E324" s="712">
        <v>0</v>
      </c>
      <c r="F324" s="712">
        <v>0</v>
      </c>
      <c r="G324" s="712">
        <v>0</v>
      </c>
      <c r="H324" s="712">
        <v>0</v>
      </c>
      <c r="I324" s="712">
        <v>0</v>
      </c>
      <c r="J324" s="712">
        <v>0</v>
      </c>
      <c r="K324" s="712">
        <v>0</v>
      </c>
      <c r="L324" s="712">
        <v>0</v>
      </c>
      <c r="M324" s="712">
        <v>0</v>
      </c>
      <c r="N324" s="712">
        <v>0</v>
      </c>
      <c r="O324" s="712">
        <v>0</v>
      </c>
      <c r="P324" s="712">
        <v>1449578</v>
      </c>
      <c r="Q324" s="712">
        <v>4000000</v>
      </c>
      <c r="R324" s="712">
        <v>4000000</v>
      </c>
      <c r="S324" s="712">
        <v>4000000</v>
      </c>
      <c r="T324" s="712">
        <v>4000000</v>
      </c>
      <c r="U324" s="712">
        <v>4000000</v>
      </c>
      <c r="V324" s="712">
        <v>4000000</v>
      </c>
      <c r="W324" s="712">
        <v>15000000</v>
      </c>
      <c r="X324" s="712">
        <v>4000000</v>
      </c>
      <c r="Y324" s="712">
        <v>4000000</v>
      </c>
      <c r="Z324" s="712">
        <v>4000000</v>
      </c>
      <c r="AA324" s="712">
        <v>4000000</v>
      </c>
      <c r="AB324" s="712">
        <v>4000000</v>
      </c>
      <c r="AC324" s="712">
        <v>15000000</v>
      </c>
      <c r="AD324" s="712">
        <v>4000000</v>
      </c>
      <c r="AE324" s="712">
        <v>4000000</v>
      </c>
      <c r="AF324" s="712">
        <v>4000000</v>
      </c>
      <c r="AG324" s="712">
        <v>4000000</v>
      </c>
      <c r="AH324" s="712">
        <v>15000000</v>
      </c>
      <c r="AI324" s="712">
        <v>4000000</v>
      </c>
      <c r="AJ324" s="712">
        <v>4000000</v>
      </c>
      <c r="AK324" s="712">
        <v>4000000</v>
      </c>
      <c r="AL324" s="712">
        <v>4000000</v>
      </c>
      <c r="AM324" s="712">
        <v>4000000</v>
      </c>
      <c r="AN324" s="712">
        <v>15000000</v>
      </c>
      <c r="AO324" s="712">
        <v>4000000</v>
      </c>
      <c r="AP324" s="712">
        <v>4000000</v>
      </c>
      <c r="AQ324" s="712">
        <v>8894327</v>
      </c>
      <c r="AR324" s="712">
        <v>368060000</v>
      </c>
      <c r="AS324" s="712">
        <v>0</v>
      </c>
      <c r="AT324">
        <v>526403905</v>
      </c>
      <c r="AU324" s="615"/>
      <c r="AV324" s="615"/>
      <c r="AW324" s="615"/>
      <c r="AX324" s="615"/>
      <c r="AY324" s="615"/>
      <c r="AZ324" s="615"/>
      <c r="BA324" s="615"/>
      <c r="BB324" s="615"/>
      <c r="BC324" s="615"/>
      <c r="BD324" s="615"/>
      <c r="BE324" s="615"/>
      <c r="BF324" s="615"/>
      <c r="BG324" s="615"/>
      <c r="BH324" s="615"/>
      <c r="BI324" s="615"/>
      <c r="BJ324" s="615"/>
      <c r="BK324" s="615"/>
      <c r="BL324" s="615"/>
      <c r="BM324" s="615"/>
      <c r="BN324" s="615"/>
      <c r="BO324" s="615"/>
      <c r="BP324" s="615"/>
      <c r="BQ324" s="615"/>
      <c r="BR324" s="615"/>
      <c r="BS324" s="615"/>
      <c r="BT324" s="615"/>
      <c r="BU324" s="615"/>
      <c r="BV324" s="615"/>
      <c r="BW324" s="615"/>
      <c r="BX324" s="607"/>
    </row>
    <row r="325" spans="1:76" s="612" customFormat="1" ht="25.5" x14ac:dyDescent="0.2">
      <c r="A325" s="839"/>
      <c r="B325" s="713" t="s">
        <v>2964</v>
      </c>
      <c r="C325" s="713" t="s">
        <v>2963</v>
      </c>
      <c r="D325" s="712">
        <v>0</v>
      </c>
      <c r="E325" s="712">
        <v>0</v>
      </c>
      <c r="F325" s="712">
        <v>0</v>
      </c>
      <c r="G325" s="712">
        <v>0</v>
      </c>
      <c r="H325" s="712">
        <v>0</v>
      </c>
      <c r="I325" s="712">
        <v>0</v>
      </c>
      <c r="J325" s="712">
        <v>0</v>
      </c>
      <c r="K325" s="712">
        <v>0</v>
      </c>
      <c r="L325" s="712">
        <v>0</v>
      </c>
      <c r="M325" s="712">
        <v>0</v>
      </c>
      <c r="N325" s="712">
        <v>0</v>
      </c>
      <c r="O325" s="712">
        <v>0</v>
      </c>
      <c r="P325" s="712">
        <v>0</v>
      </c>
      <c r="Q325" s="712">
        <v>0</v>
      </c>
      <c r="R325" s="712">
        <v>0</v>
      </c>
      <c r="S325" s="712">
        <v>3212000</v>
      </c>
      <c r="T325" s="712">
        <v>3212000</v>
      </c>
      <c r="U325" s="712">
        <v>3212000</v>
      </c>
      <c r="V325" s="712">
        <v>3212000</v>
      </c>
      <c r="W325" s="712">
        <v>3212000</v>
      </c>
      <c r="X325" s="712">
        <v>3212000</v>
      </c>
      <c r="Y325" s="712">
        <v>3212000</v>
      </c>
      <c r="Z325" s="712">
        <v>3212000</v>
      </c>
      <c r="AA325" s="712">
        <v>3212000</v>
      </c>
      <c r="AB325" s="712">
        <v>3212000</v>
      </c>
      <c r="AC325" s="712">
        <v>3212000</v>
      </c>
      <c r="AD325" s="712">
        <v>3212000</v>
      </c>
      <c r="AE325" s="712">
        <v>3212000</v>
      </c>
      <c r="AF325" s="712">
        <v>3212000</v>
      </c>
      <c r="AG325" s="712">
        <v>3212000</v>
      </c>
      <c r="AH325" s="712">
        <v>3212000</v>
      </c>
      <c r="AI325" s="712">
        <v>3212000</v>
      </c>
      <c r="AJ325" s="712">
        <v>3212000</v>
      </c>
      <c r="AK325" s="712">
        <v>3212000</v>
      </c>
      <c r="AL325" s="712">
        <v>3212000</v>
      </c>
      <c r="AM325" s="712">
        <v>3212000</v>
      </c>
      <c r="AN325" s="712">
        <v>3212000</v>
      </c>
      <c r="AO325" s="712">
        <v>3212000</v>
      </c>
      <c r="AP325" s="712">
        <v>3212000</v>
      </c>
      <c r="AQ325" s="712">
        <v>3212000</v>
      </c>
      <c r="AR325" s="712">
        <v>273980000</v>
      </c>
      <c r="AS325" s="712">
        <v>0</v>
      </c>
      <c r="AT325">
        <v>354280000</v>
      </c>
      <c r="AU325" s="615"/>
      <c r="AV325" s="615"/>
      <c r="AW325" s="615"/>
      <c r="AX325" s="615"/>
      <c r="AY325" s="615"/>
      <c r="AZ325" s="615"/>
      <c r="BA325" s="615"/>
      <c r="BB325" s="615"/>
      <c r="BC325" s="615"/>
      <c r="BD325" s="615"/>
      <c r="BE325" s="615"/>
      <c r="BF325" s="615"/>
      <c r="BG325" s="615"/>
      <c r="BH325" s="615"/>
      <c r="BI325" s="615"/>
      <c r="BJ325" s="615"/>
      <c r="BK325" s="615"/>
      <c r="BL325" s="615"/>
      <c r="BM325" s="615"/>
      <c r="BN325" s="615"/>
      <c r="BO325" s="615"/>
      <c r="BP325" s="615"/>
      <c r="BQ325" s="615"/>
      <c r="BR325" s="615"/>
      <c r="BS325" s="615"/>
      <c r="BT325" s="615"/>
      <c r="BU325" s="615"/>
      <c r="BV325" s="615"/>
      <c r="BW325" s="615"/>
      <c r="BX325" s="607"/>
    </row>
    <row r="326" spans="1:76" s="612" customFormat="1" ht="25.5" x14ac:dyDescent="0.2">
      <c r="A326" s="839"/>
      <c r="B326" s="713" t="s">
        <v>4284</v>
      </c>
      <c r="C326" s="713" t="s">
        <v>4283</v>
      </c>
      <c r="D326" s="712">
        <v>0</v>
      </c>
      <c r="E326" s="712">
        <v>0</v>
      </c>
      <c r="F326" s="712">
        <v>0</v>
      </c>
      <c r="G326" s="712">
        <v>0</v>
      </c>
      <c r="H326" s="712">
        <v>0</v>
      </c>
      <c r="I326" s="712">
        <v>0</v>
      </c>
      <c r="J326" s="712">
        <v>0</v>
      </c>
      <c r="K326" s="712">
        <v>0</v>
      </c>
      <c r="L326" s="712">
        <v>0</v>
      </c>
      <c r="M326" s="712">
        <v>0</v>
      </c>
      <c r="N326" s="712">
        <v>0</v>
      </c>
      <c r="O326" s="712">
        <v>0</v>
      </c>
      <c r="P326" s="712">
        <v>0</v>
      </c>
      <c r="Q326" s="712">
        <v>0</v>
      </c>
      <c r="R326" s="712">
        <v>0</v>
      </c>
      <c r="S326" s="712">
        <v>0</v>
      </c>
      <c r="T326" s="712">
        <v>4000000</v>
      </c>
      <c r="U326" s="712">
        <v>4000000</v>
      </c>
      <c r="V326" s="712">
        <v>17000000</v>
      </c>
      <c r="W326" s="712">
        <v>4000000</v>
      </c>
      <c r="X326" s="712">
        <v>4000000</v>
      </c>
      <c r="Y326" s="712">
        <v>12000000</v>
      </c>
      <c r="Z326" s="712">
        <v>4000000</v>
      </c>
      <c r="AA326" s="712">
        <v>4000000</v>
      </c>
      <c r="AB326" s="712">
        <v>12000000</v>
      </c>
      <c r="AC326" s="712">
        <v>4000000</v>
      </c>
      <c r="AD326" s="712">
        <v>4000000</v>
      </c>
      <c r="AE326" s="712">
        <v>4000000</v>
      </c>
      <c r="AF326" s="712">
        <v>4000000</v>
      </c>
      <c r="AG326" s="712">
        <v>10000000</v>
      </c>
      <c r="AH326" s="712">
        <v>4000000</v>
      </c>
      <c r="AI326" s="712">
        <v>4000000</v>
      </c>
      <c r="AJ326" s="712">
        <v>12000000</v>
      </c>
      <c r="AK326" s="712">
        <v>4000000</v>
      </c>
      <c r="AL326" s="712">
        <v>4000000</v>
      </c>
      <c r="AM326" s="712">
        <v>12000000</v>
      </c>
      <c r="AN326" s="712">
        <v>4000000</v>
      </c>
      <c r="AO326" s="712">
        <v>4000000</v>
      </c>
      <c r="AP326" s="712">
        <v>4000000</v>
      </c>
      <c r="AQ326" s="712">
        <v>4000000</v>
      </c>
      <c r="AR326" s="712">
        <v>17569110</v>
      </c>
      <c r="AS326" s="712">
        <v>410837000</v>
      </c>
      <c r="AT326">
        <v>575406110</v>
      </c>
      <c r="AU326" s="615"/>
      <c r="AV326" s="615"/>
      <c r="AW326" s="615"/>
      <c r="AX326" s="615"/>
      <c r="AY326" s="615"/>
      <c r="AZ326" s="615"/>
      <c r="BA326" s="615"/>
      <c r="BB326" s="615"/>
      <c r="BC326" s="615"/>
      <c r="BD326" s="615"/>
      <c r="BE326" s="615"/>
      <c r="BF326" s="615"/>
      <c r="BG326" s="615"/>
      <c r="BH326" s="615"/>
      <c r="BI326" s="615"/>
      <c r="BJ326" s="615"/>
      <c r="BK326" s="615"/>
      <c r="BL326" s="615"/>
      <c r="BM326" s="615"/>
      <c r="BN326" s="615"/>
      <c r="BO326" s="615"/>
      <c r="BP326" s="615"/>
      <c r="BQ326" s="615"/>
      <c r="BR326" s="615"/>
      <c r="BS326" s="615"/>
      <c r="BT326" s="615"/>
      <c r="BU326" s="615"/>
      <c r="BV326" s="615"/>
      <c r="BW326" s="615"/>
      <c r="BX326" s="607"/>
    </row>
    <row r="327" spans="1:76" s="612" customFormat="1" ht="12.75" x14ac:dyDescent="0.2">
      <c r="A327" s="839"/>
      <c r="B327" s="713" t="s">
        <v>2726</v>
      </c>
      <c r="C327" s="713" t="s">
        <v>2725</v>
      </c>
      <c r="D327" s="712">
        <v>0</v>
      </c>
      <c r="E327" s="712">
        <v>0</v>
      </c>
      <c r="F327" s="712">
        <v>0</v>
      </c>
      <c r="G327" s="712">
        <v>0</v>
      </c>
      <c r="H327" s="712">
        <v>0</v>
      </c>
      <c r="I327" s="712">
        <v>0</v>
      </c>
      <c r="J327" s="712">
        <v>0</v>
      </c>
      <c r="K327" s="712">
        <v>0</v>
      </c>
      <c r="L327" s="712">
        <v>0</v>
      </c>
      <c r="M327" s="712">
        <v>0</v>
      </c>
      <c r="N327" s="712">
        <v>0</v>
      </c>
      <c r="O327" s="712">
        <v>0</v>
      </c>
      <c r="P327" s="712">
        <v>0</v>
      </c>
      <c r="Q327" s="712">
        <v>0</v>
      </c>
      <c r="R327" s="712">
        <v>3</v>
      </c>
      <c r="S327" s="712">
        <v>4421429</v>
      </c>
      <c r="T327" s="712">
        <v>4421429</v>
      </c>
      <c r="U327" s="712">
        <v>4421429</v>
      </c>
      <c r="V327" s="712">
        <v>4421429</v>
      </c>
      <c r="W327" s="712">
        <v>4421429</v>
      </c>
      <c r="X327" s="712">
        <v>4421429</v>
      </c>
      <c r="Y327" s="712">
        <v>4421429</v>
      </c>
      <c r="Z327" s="712">
        <v>4421429</v>
      </c>
      <c r="AA327" s="712">
        <v>4421429</v>
      </c>
      <c r="AB327" s="712">
        <v>4421429</v>
      </c>
      <c r="AC327" s="712">
        <v>4421429</v>
      </c>
      <c r="AD327" s="712">
        <v>4421429</v>
      </c>
      <c r="AE327" s="712">
        <v>4421429</v>
      </c>
      <c r="AF327" s="712">
        <v>4421429</v>
      </c>
      <c r="AG327" s="712">
        <v>4421429</v>
      </c>
      <c r="AH327" s="712">
        <v>4421429</v>
      </c>
      <c r="AI327" s="712">
        <v>4421429</v>
      </c>
      <c r="AJ327" s="712">
        <v>4421429</v>
      </c>
      <c r="AK327" s="712">
        <v>4421429</v>
      </c>
      <c r="AL327" s="712">
        <v>4421429</v>
      </c>
      <c r="AM327" s="712">
        <v>4421429</v>
      </c>
      <c r="AN327" s="712">
        <v>4421429</v>
      </c>
      <c r="AO327" s="712">
        <v>4421429</v>
      </c>
      <c r="AP327" s="712">
        <v>4421429</v>
      </c>
      <c r="AQ327" s="712">
        <v>4421414</v>
      </c>
      <c r="AR327" s="712">
        <v>372750000</v>
      </c>
      <c r="AS327" s="712">
        <v>0</v>
      </c>
      <c r="AT327">
        <v>483285713</v>
      </c>
      <c r="AU327" s="615"/>
      <c r="AV327" s="615"/>
      <c r="AW327" s="615"/>
      <c r="AX327" s="615"/>
      <c r="AY327" s="615"/>
      <c r="AZ327" s="615"/>
      <c r="BA327" s="615"/>
      <c r="BB327" s="615"/>
      <c r="BC327" s="615"/>
      <c r="BD327" s="615"/>
      <c r="BE327" s="615"/>
      <c r="BF327" s="615"/>
      <c r="BG327" s="615"/>
      <c r="BH327" s="615"/>
      <c r="BI327" s="615"/>
      <c r="BJ327" s="615"/>
      <c r="BK327" s="615"/>
      <c r="BL327" s="615"/>
      <c r="BM327" s="615"/>
      <c r="BN327" s="615"/>
      <c r="BO327" s="615"/>
      <c r="BP327" s="615"/>
      <c r="BQ327" s="615"/>
      <c r="BR327" s="615"/>
      <c r="BS327" s="615"/>
      <c r="BT327" s="615"/>
      <c r="BU327" s="615"/>
      <c r="BV327" s="615"/>
      <c r="BW327" s="615"/>
      <c r="BX327" s="607"/>
    </row>
    <row r="328" spans="1:76" s="612" customFormat="1" ht="25.5" x14ac:dyDescent="0.2">
      <c r="A328" s="839"/>
      <c r="B328" s="713" t="s">
        <v>3156</v>
      </c>
      <c r="C328" s="713" t="s">
        <v>3155</v>
      </c>
      <c r="D328" s="712">
        <v>0</v>
      </c>
      <c r="E328" s="712">
        <v>0</v>
      </c>
      <c r="F328" s="712">
        <v>0</v>
      </c>
      <c r="G328" s="712">
        <v>0</v>
      </c>
      <c r="H328" s="712">
        <v>0</v>
      </c>
      <c r="I328" s="712">
        <v>0</v>
      </c>
      <c r="J328" s="712">
        <v>0</v>
      </c>
      <c r="K328" s="712">
        <v>0</v>
      </c>
      <c r="L328" s="712">
        <v>0</v>
      </c>
      <c r="M328" s="712">
        <v>0</v>
      </c>
      <c r="N328" s="712">
        <v>0</v>
      </c>
      <c r="O328" s="712">
        <v>0</v>
      </c>
      <c r="P328" s="712">
        <v>0</v>
      </c>
      <c r="Q328" s="712">
        <v>0</v>
      </c>
      <c r="R328" s="712">
        <v>0</v>
      </c>
      <c r="S328" s="712">
        <v>1943546</v>
      </c>
      <c r="T328" s="712">
        <v>4660394</v>
      </c>
      <c r="U328" s="712">
        <v>4660394</v>
      </c>
      <c r="V328" s="712">
        <v>4660394</v>
      </c>
      <c r="W328" s="712">
        <v>4660394</v>
      </c>
      <c r="X328" s="712">
        <v>4660394</v>
      </c>
      <c r="Y328" s="712">
        <v>4660394</v>
      </c>
      <c r="Z328" s="712">
        <v>4660394</v>
      </c>
      <c r="AA328" s="712">
        <v>4660394</v>
      </c>
      <c r="AB328" s="712">
        <v>4660394</v>
      </c>
      <c r="AC328" s="712">
        <v>4660394</v>
      </c>
      <c r="AD328" s="712">
        <v>4660394</v>
      </c>
      <c r="AE328" s="712">
        <v>4660394</v>
      </c>
      <c r="AF328" s="712">
        <v>4660394</v>
      </c>
      <c r="AG328" s="712">
        <v>4660394</v>
      </c>
      <c r="AH328" s="712">
        <v>4660394</v>
      </c>
      <c r="AI328" s="712">
        <v>4660394</v>
      </c>
      <c r="AJ328" s="712">
        <v>4660394</v>
      </c>
      <c r="AK328" s="712">
        <v>4660394</v>
      </c>
      <c r="AL328" s="712">
        <v>4660394</v>
      </c>
      <c r="AM328" s="712">
        <v>4660394</v>
      </c>
      <c r="AN328" s="712">
        <v>4660394</v>
      </c>
      <c r="AO328" s="712">
        <v>4660394</v>
      </c>
      <c r="AP328" s="712">
        <v>4660394</v>
      </c>
      <c r="AQ328" s="712">
        <v>4660392</v>
      </c>
      <c r="AR328" s="712">
        <v>370517000</v>
      </c>
      <c r="AS328" s="712">
        <v>0</v>
      </c>
      <c r="AT328">
        <v>484310000</v>
      </c>
      <c r="AU328" s="615"/>
      <c r="AV328" s="615"/>
      <c r="AW328" s="615"/>
      <c r="AX328" s="615"/>
      <c r="AY328" s="615"/>
      <c r="AZ328" s="615"/>
      <c r="BA328" s="615"/>
      <c r="BB328" s="615"/>
      <c r="BC328" s="615"/>
      <c r="BD328" s="615"/>
      <c r="BE328" s="615"/>
      <c r="BF328" s="615"/>
      <c r="BG328" s="615"/>
      <c r="BH328" s="615"/>
      <c r="BI328" s="615"/>
      <c r="BJ328" s="615"/>
      <c r="BK328" s="615"/>
      <c r="BL328" s="615"/>
      <c r="BM328" s="615"/>
      <c r="BN328" s="615"/>
      <c r="BO328" s="615"/>
      <c r="BP328" s="615"/>
      <c r="BQ328" s="615"/>
      <c r="BR328" s="615"/>
      <c r="BS328" s="615"/>
      <c r="BT328" s="615"/>
      <c r="BU328" s="615"/>
      <c r="BV328" s="615"/>
      <c r="BW328" s="615"/>
      <c r="BX328" s="607"/>
    </row>
    <row r="329" spans="1:76" s="612" customFormat="1" ht="25.5" x14ac:dyDescent="0.2">
      <c r="A329" s="839"/>
      <c r="B329" s="713" t="s">
        <v>2716</v>
      </c>
      <c r="C329" s="713" t="s">
        <v>2715</v>
      </c>
      <c r="D329" s="712">
        <v>0</v>
      </c>
      <c r="E329" s="712">
        <v>0</v>
      </c>
      <c r="F329" s="712">
        <v>0</v>
      </c>
      <c r="G329" s="712">
        <v>0</v>
      </c>
      <c r="H329" s="712">
        <v>0</v>
      </c>
      <c r="I329" s="712">
        <v>0</v>
      </c>
      <c r="J329" s="712">
        <v>0</v>
      </c>
      <c r="K329" s="712">
        <v>0</v>
      </c>
      <c r="L329" s="712">
        <v>0</v>
      </c>
      <c r="M329" s="712">
        <v>0</v>
      </c>
      <c r="N329" s="712">
        <v>0</v>
      </c>
      <c r="O329" s="712">
        <v>0</v>
      </c>
      <c r="P329" s="712">
        <v>0</v>
      </c>
      <c r="Q329" s="712">
        <v>0</v>
      </c>
      <c r="R329" s="712">
        <v>0</v>
      </c>
      <c r="S329" s="712">
        <v>5215330</v>
      </c>
      <c r="T329" s="712">
        <v>5215330</v>
      </c>
      <c r="U329" s="712">
        <v>5215330</v>
      </c>
      <c r="V329" s="712">
        <v>5215330</v>
      </c>
      <c r="W329" s="712">
        <v>5215330</v>
      </c>
      <c r="X329" s="712">
        <v>5215330</v>
      </c>
      <c r="Y329" s="712">
        <v>5215330</v>
      </c>
      <c r="Z329" s="712">
        <v>5215330</v>
      </c>
      <c r="AA329" s="712">
        <v>5215330</v>
      </c>
      <c r="AB329" s="712">
        <v>5215330</v>
      </c>
      <c r="AC329" s="712">
        <v>5215330</v>
      </c>
      <c r="AD329" s="712">
        <v>5215330</v>
      </c>
      <c r="AE329" s="712">
        <v>5215330</v>
      </c>
      <c r="AF329" s="712">
        <v>5215330</v>
      </c>
      <c r="AG329" s="712">
        <v>5215330</v>
      </c>
      <c r="AH329" s="712">
        <v>5215330</v>
      </c>
      <c r="AI329" s="712">
        <v>5215330</v>
      </c>
      <c r="AJ329" s="712">
        <v>5215330</v>
      </c>
      <c r="AK329" s="712">
        <v>5215330</v>
      </c>
      <c r="AL329" s="712">
        <v>5215330</v>
      </c>
      <c r="AM329" s="712">
        <v>5215330</v>
      </c>
      <c r="AN329" s="712">
        <v>5215330</v>
      </c>
      <c r="AO329" s="712">
        <v>5215330</v>
      </c>
      <c r="AP329" s="712">
        <v>5215330</v>
      </c>
      <c r="AQ329" s="712">
        <v>5215331</v>
      </c>
      <c r="AR329" s="712">
        <v>372260000</v>
      </c>
      <c r="AS329" s="712">
        <v>0</v>
      </c>
      <c r="AT329">
        <v>502643251</v>
      </c>
      <c r="AU329" s="615"/>
      <c r="AV329" s="615"/>
      <c r="AW329" s="615"/>
      <c r="AX329" s="615"/>
      <c r="AY329" s="615"/>
      <c r="AZ329" s="615"/>
      <c r="BA329" s="615"/>
      <c r="BB329" s="615"/>
      <c r="BC329" s="615"/>
      <c r="BD329" s="615"/>
      <c r="BE329" s="615"/>
      <c r="BF329" s="615"/>
      <c r="BG329" s="615"/>
      <c r="BH329" s="615"/>
      <c r="BI329" s="615"/>
      <c r="BJ329" s="615"/>
      <c r="BK329" s="615"/>
      <c r="BL329" s="615"/>
      <c r="BM329" s="615"/>
      <c r="BN329" s="615"/>
      <c r="BO329" s="615"/>
      <c r="BP329" s="615"/>
      <c r="BQ329" s="615"/>
      <c r="BR329" s="615"/>
      <c r="BS329" s="615"/>
      <c r="BT329" s="615"/>
      <c r="BU329" s="615"/>
      <c r="BV329" s="615"/>
      <c r="BW329" s="615"/>
      <c r="BX329" s="607"/>
    </row>
    <row r="330" spans="1:76" s="612" customFormat="1" ht="12.75" x14ac:dyDescent="0.2">
      <c r="A330" s="839"/>
      <c r="B330" s="713" t="s">
        <v>3151</v>
      </c>
      <c r="C330" s="713" t="s">
        <v>3150</v>
      </c>
      <c r="D330" s="712">
        <v>0</v>
      </c>
      <c r="E330" s="712">
        <v>0</v>
      </c>
      <c r="F330" s="712">
        <v>0</v>
      </c>
      <c r="G330" s="712">
        <v>0</v>
      </c>
      <c r="H330" s="712">
        <v>0</v>
      </c>
      <c r="I330" s="712">
        <v>0</v>
      </c>
      <c r="J330" s="712">
        <v>0</v>
      </c>
      <c r="K330" s="712">
        <v>0</v>
      </c>
      <c r="L330" s="712">
        <v>0</v>
      </c>
      <c r="M330" s="712">
        <v>0</v>
      </c>
      <c r="N330" s="712">
        <v>0</v>
      </c>
      <c r="O330" s="712">
        <v>0</v>
      </c>
      <c r="P330" s="712">
        <v>0</v>
      </c>
      <c r="Q330" s="712">
        <v>0</v>
      </c>
      <c r="R330" s="712">
        <v>0</v>
      </c>
      <c r="S330" s="712">
        <v>0</v>
      </c>
      <c r="T330" s="712">
        <v>0</v>
      </c>
      <c r="U330" s="712">
        <v>0</v>
      </c>
      <c r="V330" s="712">
        <v>0</v>
      </c>
      <c r="W330" s="712">
        <v>0</v>
      </c>
      <c r="X330" s="712">
        <v>0</v>
      </c>
      <c r="Y330" s="712">
        <v>0</v>
      </c>
      <c r="Z330" s="712">
        <v>0</v>
      </c>
      <c r="AA330" s="712">
        <v>0</v>
      </c>
      <c r="AB330" s="712">
        <v>0</v>
      </c>
      <c r="AC330" s="712">
        <v>0</v>
      </c>
      <c r="AD330" s="712">
        <v>0</v>
      </c>
      <c r="AE330" s="712">
        <v>0</v>
      </c>
      <c r="AF330" s="712">
        <v>0</v>
      </c>
      <c r="AG330" s="712">
        <v>0</v>
      </c>
      <c r="AH330" s="712">
        <v>0</v>
      </c>
      <c r="AI330" s="712">
        <v>0</v>
      </c>
      <c r="AJ330" s="712">
        <v>0</v>
      </c>
      <c r="AK330" s="712">
        <v>3450720</v>
      </c>
      <c r="AL330" s="712">
        <v>3450722</v>
      </c>
      <c r="AM330" s="712">
        <v>3450722</v>
      </c>
      <c r="AN330" s="712">
        <v>3450722</v>
      </c>
      <c r="AO330" s="712">
        <v>3450722</v>
      </c>
      <c r="AP330" s="712">
        <v>3450722</v>
      </c>
      <c r="AQ330" s="712">
        <v>3450725</v>
      </c>
      <c r="AR330" s="712">
        <v>289786000</v>
      </c>
      <c r="AS330" s="712">
        <v>0</v>
      </c>
      <c r="AT330">
        <v>313941055</v>
      </c>
      <c r="AU330" s="615"/>
      <c r="AV330" s="615"/>
      <c r="AW330" s="615"/>
      <c r="AX330" s="615"/>
      <c r="AY330" s="615"/>
      <c r="AZ330" s="615"/>
      <c r="BA330" s="615"/>
      <c r="BB330" s="615"/>
      <c r="BC330" s="615"/>
      <c r="BD330" s="615"/>
      <c r="BE330" s="615"/>
      <c r="BF330" s="615"/>
      <c r="BG330" s="615"/>
      <c r="BH330" s="615"/>
      <c r="BI330" s="615"/>
      <c r="BJ330" s="615"/>
      <c r="BK330" s="615"/>
      <c r="BL330" s="615"/>
      <c r="BM330" s="615"/>
      <c r="BN330" s="615"/>
      <c r="BO330" s="615"/>
      <c r="BP330" s="615"/>
      <c r="BQ330" s="615"/>
      <c r="BR330" s="615"/>
      <c r="BS330" s="615"/>
      <c r="BT330" s="615"/>
      <c r="BU330" s="615"/>
      <c r="BV330" s="615"/>
      <c r="BW330" s="615"/>
      <c r="BX330" s="607"/>
    </row>
    <row r="331" spans="1:76" s="612" customFormat="1" ht="25.5" x14ac:dyDescent="0.2">
      <c r="A331" s="839"/>
      <c r="B331" s="713" t="s">
        <v>2693</v>
      </c>
      <c r="C331" s="713" t="s">
        <v>2692</v>
      </c>
      <c r="D331" s="712">
        <v>0</v>
      </c>
      <c r="E331" s="712">
        <v>0</v>
      </c>
      <c r="F331" s="712">
        <v>0</v>
      </c>
      <c r="G331" s="712">
        <v>0</v>
      </c>
      <c r="H331" s="712">
        <v>0</v>
      </c>
      <c r="I331" s="712">
        <v>0</v>
      </c>
      <c r="J331" s="712">
        <v>0</v>
      </c>
      <c r="K331" s="712">
        <v>0</v>
      </c>
      <c r="L331" s="712">
        <v>0</v>
      </c>
      <c r="M331" s="712">
        <v>0</v>
      </c>
      <c r="N331" s="712">
        <v>0</v>
      </c>
      <c r="O331" s="712">
        <v>0</v>
      </c>
      <c r="P331" s="712">
        <v>0</v>
      </c>
      <c r="Q331" s="712">
        <v>0</v>
      </c>
      <c r="R331" s="712">
        <v>0</v>
      </c>
      <c r="S331" s="712">
        <v>1932786</v>
      </c>
      <c r="T331" s="712">
        <v>1932786</v>
      </c>
      <c r="U331" s="712">
        <v>1932786</v>
      </c>
      <c r="V331" s="712">
        <v>6000000</v>
      </c>
      <c r="W331" s="712">
        <v>1932786</v>
      </c>
      <c r="X331" s="712">
        <v>1932786</v>
      </c>
      <c r="Y331" s="712">
        <v>1932786</v>
      </c>
      <c r="Z331" s="712">
        <v>30000000</v>
      </c>
      <c r="AA331" s="712">
        <v>1932786</v>
      </c>
      <c r="AB331" s="712">
        <v>6000000</v>
      </c>
      <c r="AC331" s="712">
        <v>1932786</v>
      </c>
      <c r="AD331" s="712">
        <v>1932786</v>
      </c>
      <c r="AE331" s="712">
        <v>1932786</v>
      </c>
      <c r="AF331" s="712">
        <v>1932786</v>
      </c>
      <c r="AG331" s="712">
        <v>1932786</v>
      </c>
      <c r="AH331" s="712">
        <v>6000000</v>
      </c>
      <c r="AI331" s="712">
        <v>1932786</v>
      </c>
      <c r="AJ331" s="712">
        <v>1932786</v>
      </c>
      <c r="AK331" s="712">
        <v>1932786</v>
      </c>
      <c r="AL331" s="712">
        <v>1932786</v>
      </c>
      <c r="AM331" s="712">
        <v>1932786</v>
      </c>
      <c r="AN331" s="712">
        <v>6000000</v>
      </c>
      <c r="AO331" s="712">
        <v>1932786</v>
      </c>
      <c r="AP331" s="712">
        <v>1932786</v>
      </c>
      <c r="AQ331" s="712">
        <v>4932778</v>
      </c>
      <c r="AR331" s="712">
        <v>354942000</v>
      </c>
      <c r="AS331" s="712">
        <v>0</v>
      </c>
      <c r="AT331">
        <v>450597712</v>
      </c>
      <c r="AU331" s="615"/>
      <c r="AV331" s="615"/>
      <c r="AW331" s="615"/>
      <c r="AX331" s="615"/>
      <c r="AY331" s="615"/>
      <c r="AZ331" s="615"/>
      <c r="BA331" s="615"/>
      <c r="BB331" s="615"/>
      <c r="BC331" s="615"/>
      <c r="BD331" s="615"/>
      <c r="BE331" s="615"/>
      <c r="BF331" s="615"/>
      <c r="BG331" s="615"/>
      <c r="BH331" s="615"/>
      <c r="BI331" s="615"/>
      <c r="BJ331" s="615"/>
      <c r="BK331" s="615"/>
      <c r="BL331" s="615"/>
      <c r="BM331" s="615"/>
      <c r="BN331" s="615"/>
      <c r="BO331" s="615"/>
      <c r="BP331" s="615"/>
      <c r="BQ331" s="615"/>
      <c r="BR331" s="615"/>
      <c r="BS331" s="615"/>
      <c r="BT331" s="615"/>
      <c r="BU331" s="615"/>
      <c r="BV331" s="615"/>
      <c r="BW331" s="615"/>
      <c r="BX331" s="607"/>
    </row>
    <row r="332" spans="1:76" s="612" customFormat="1" ht="25.5" x14ac:dyDescent="0.2">
      <c r="A332" s="839"/>
      <c r="B332" s="713" t="s">
        <v>2995</v>
      </c>
      <c r="C332" s="713" t="s">
        <v>2994</v>
      </c>
      <c r="D332" s="712">
        <v>0</v>
      </c>
      <c r="E332" s="712">
        <v>0</v>
      </c>
      <c r="F332" s="712">
        <v>0</v>
      </c>
      <c r="G332" s="712">
        <v>0</v>
      </c>
      <c r="H332" s="712">
        <v>0</v>
      </c>
      <c r="I332" s="712">
        <v>0</v>
      </c>
      <c r="J332" s="712">
        <v>0</v>
      </c>
      <c r="K332" s="712">
        <v>0</v>
      </c>
      <c r="L332" s="712">
        <v>0</v>
      </c>
      <c r="M332" s="712">
        <v>0</v>
      </c>
      <c r="N332" s="712">
        <v>0</v>
      </c>
      <c r="O332" s="712">
        <v>0</v>
      </c>
      <c r="P332" s="712">
        <v>0</v>
      </c>
      <c r="Q332" s="712">
        <v>0</v>
      </c>
      <c r="R332" s="712">
        <v>0</v>
      </c>
      <c r="S332" s="712">
        <v>0</v>
      </c>
      <c r="T332" s="712">
        <v>3325999</v>
      </c>
      <c r="U332" s="712">
        <v>3326000</v>
      </c>
      <c r="V332" s="712">
        <v>3326000</v>
      </c>
      <c r="W332" s="712">
        <v>3326000</v>
      </c>
      <c r="X332" s="712">
        <v>3326000</v>
      </c>
      <c r="Y332" s="712">
        <v>3326000</v>
      </c>
      <c r="Z332" s="712">
        <v>3326000</v>
      </c>
      <c r="AA332" s="712">
        <v>3326000</v>
      </c>
      <c r="AB332" s="712">
        <v>3326000</v>
      </c>
      <c r="AC332" s="712">
        <v>3326000</v>
      </c>
      <c r="AD332" s="712">
        <v>3326000</v>
      </c>
      <c r="AE332" s="712">
        <v>3326000</v>
      </c>
      <c r="AF332" s="712">
        <v>3326000</v>
      </c>
      <c r="AG332" s="712">
        <v>3326000</v>
      </c>
      <c r="AH332" s="712">
        <v>3326000</v>
      </c>
      <c r="AI332" s="712">
        <v>3326000</v>
      </c>
      <c r="AJ332" s="712">
        <v>3326000</v>
      </c>
      <c r="AK332" s="712">
        <v>3326000</v>
      </c>
      <c r="AL332" s="712">
        <v>3326000</v>
      </c>
      <c r="AM332" s="712">
        <v>3326000</v>
      </c>
      <c r="AN332" s="712">
        <v>3326000</v>
      </c>
      <c r="AO332" s="712">
        <v>3326000</v>
      </c>
      <c r="AP332" s="712">
        <v>3326000</v>
      </c>
      <c r="AQ332" s="712">
        <v>3326000</v>
      </c>
      <c r="AR332" s="712">
        <v>276290000</v>
      </c>
      <c r="AS332" s="712">
        <v>0</v>
      </c>
      <c r="AT332">
        <v>356113999</v>
      </c>
      <c r="AU332" s="615"/>
      <c r="AV332" s="615"/>
      <c r="AW332" s="615"/>
      <c r="AX332" s="615"/>
      <c r="AY332" s="615"/>
      <c r="AZ332" s="615"/>
      <c r="BA332" s="615"/>
      <c r="BB332" s="615"/>
      <c r="BC332" s="615"/>
      <c r="BD332" s="615"/>
      <c r="BE332" s="615"/>
      <c r="BF332" s="615"/>
      <c r="BG332" s="615"/>
      <c r="BH332" s="615"/>
      <c r="BI332" s="615"/>
      <c r="BJ332" s="615"/>
      <c r="BK332" s="615"/>
      <c r="BL332" s="615"/>
      <c r="BM332" s="615"/>
      <c r="BN332" s="615"/>
      <c r="BO332" s="615"/>
      <c r="BP332" s="615"/>
      <c r="BQ332" s="615"/>
      <c r="BR332" s="615"/>
      <c r="BS332" s="615"/>
      <c r="BT332" s="615"/>
      <c r="BU332" s="615"/>
      <c r="BV332" s="615"/>
      <c r="BW332" s="615"/>
      <c r="BX332" s="607"/>
    </row>
    <row r="333" spans="1:76" s="612" customFormat="1" ht="25.5" x14ac:dyDescent="0.2">
      <c r="A333" s="839"/>
      <c r="B333" s="713" t="s">
        <v>2989</v>
      </c>
      <c r="C333" s="713" t="s">
        <v>2988</v>
      </c>
      <c r="D333" s="712">
        <v>0</v>
      </c>
      <c r="E333" s="712">
        <v>0</v>
      </c>
      <c r="F333" s="712">
        <v>0</v>
      </c>
      <c r="G333" s="712">
        <v>0</v>
      </c>
      <c r="H333" s="712">
        <v>0</v>
      </c>
      <c r="I333" s="712">
        <v>0</v>
      </c>
      <c r="J333" s="712">
        <v>0</v>
      </c>
      <c r="K333" s="712">
        <v>0</v>
      </c>
      <c r="L333" s="712">
        <v>0</v>
      </c>
      <c r="M333" s="712">
        <v>0</v>
      </c>
      <c r="N333" s="712">
        <v>0</v>
      </c>
      <c r="O333" s="712">
        <v>0</v>
      </c>
      <c r="P333" s="712">
        <v>0</v>
      </c>
      <c r="Q333" s="712">
        <v>0</v>
      </c>
      <c r="R333" s="712">
        <v>0</v>
      </c>
      <c r="S333" s="712">
        <v>4278286</v>
      </c>
      <c r="T333" s="712">
        <v>4278286</v>
      </c>
      <c r="U333" s="712">
        <v>4278286</v>
      </c>
      <c r="V333" s="712">
        <v>4278286</v>
      </c>
      <c r="W333" s="712">
        <v>4278286</v>
      </c>
      <c r="X333" s="712">
        <v>4278286</v>
      </c>
      <c r="Y333" s="712">
        <v>4278286</v>
      </c>
      <c r="Z333" s="712">
        <v>4278286</v>
      </c>
      <c r="AA333" s="712">
        <v>4278286</v>
      </c>
      <c r="AB333" s="712">
        <v>4278286</v>
      </c>
      <c r="AC333" s="712">
        <v>4278286</v>
      </c>
      <c r="AD333" s="712">
        <v>4278286</v>
      </c>
      <c r="AE333" s="712">
        <v>4278286</v>
      </c>
      <c r="AF333" s="712">
        <v>4278286</v>
      </c>
      <c r="AG333" s="712">
        <v>4278286</v>
      </c>
      <c r="AH333" s="712">
        <v>4278286</v>
      </c>
      <c r="AI333" s="712">
        <v>4278286</v>
      </c>
      <c r="AJ333" s="712">
        <v>4278286</v>
      </c>
      <c r="AK333" s="712">
        <v>4278286</v>
      </c>
      <c r="AL333" s="712">
        <v>4278286</v>
      </c>
      <c r="AM333" s="712">
        <v>4278286</v>
      </c>
      <c r="AN333" s="712">
        <v>4278286</v>
      </c>
      <c r="AO333" s="712">
        <v>4278286</v>
      </c>
      <c r="AP333" s="712">
        <v>4278286</v>
      </c>
      <c r="AQ333" s="712">
        <v>4278276</v>
      </c>
      <c r="AR333" s="712">
        <v>361060000</v>
      </c>
      <c r="AS333" s="712">
        <v>0</v>
      </c>
      <c r="AT333">
        <v>468017140</v>
      </c>
      <c r="AU333" s="615"/>
      <c r="AV333" s="615"/>
      <c r="AW333" s="615"/>
      <c r="AX333" s="615"/>
      <c r="AY333" s="615"/>
      <c r="AZ333" s="615"/>
      <c r="BA333" s="615"/>
      <c r="BB333" s="615"/>
      <c r="BC333" s="615"/>
      <c r="BD333" s="615"/>
      <c r="BE333" s="615"/>
      <c r="BF333" s="615"/>
      <c r="BG333" s="615"/>
      <c r="BH333" s="615"/>
      <c r="BI333" s="615"/>
      <c r="BJ333" s="615"/>
      <c r="BK333" s="615"/>
      <c r="BL333" s="615"/>
      <c r="BM333" s="615"/>
      <c r="BN333" s="615"/>
      <c r="BO333" s="615"/>
      <c r="BP333" s="615"/>
      <c r="BQ333" s="615"/>
      <c r="BR333" s="615"/>
      <c r="BS333" s="615"/>
      <c r="BT333" s="615"/>
      <c r="BU333" s="615"/>
      <c r="BV333" s="615"/>
      <c r="BW333" s="615"/>
      <c r="BX333" s="607"/>
    </row>
    <row r="334" spans="1:76" s="612" customFormat="1" ht="25.5" x14ac:dyDescent="0.2">
      <c r="A334" s="839"/>
      <c r="B334" s="713" t="s">
        <v>2697</v>
      </c>
      <c r="C334" s="713" t="s">
        <v>2696</v>
      </c>
      <c r="D334" s="712">
        <v>0</v>
      </c>
      <c r="E334" s="712">
        <v>0</v>
      </c>
      <c r="F334" s="712">
        <v>0</v>
      </c>
      <c r="G334" s="712">
        <v>0</v>
      </c>
      <c r="H334" s="712">
        <v>0</v>
      </c>
      <c r="I334" s="712">
        <v>0</v>
      </c>
      <c r="J334" s="712">
        <v>0</v>
      </c>
      <c r="K334" s="712">
        <v>0</v>
      </c>
      <c r="L334" s="712">
        <v>0</v>
      </c>
      <c r="M334" s="712">
        <v>0</v>
      </c>
      <c r="N334" s="712">
        <v>0</v>
      </c>
      <c r="O334" s="712">
        <v>0</v>
      </c>
      <c r="P334" s="712">
        <v>0</v>
      </c>
      <c r="Q334" s="712">
        <v>0</v>
      </c>
      <c r="R334" s="712">
        <v>0</v>
      </c>
      <c r="S334" s="712">
        <v>0</v>
      </c>
      <c r="T334" s="712">
        <v>3212857</v>
      </c>
      <c r="U334" s="712">
        <v>3212857</v>
      </c>
      <c r="V334" s="712">
        <v>3212857</v>
      </c>
      <c r="W334" s="712">
        <v>3212857</v>
      </c>
      <c r="X334" s="712">
        <v>3212857</v>
      </c>
      <c r="Y334" s="712">
        <v>3212857</v>
      </c>
      <c r="Z334" s="712">
        <v>3212857</v>
      </c>
      <c r="AA334" s="712">
        <v>3212857</v>
      </c>
      <c r="AB334" s="712">
        <v>3212857</v>
      </c>
      <c r="AC334" s="712">
        <v>3212857</v>
      </c>
      <c r="AD334" s="712">
        <v>3212857</v>
      </c>
      <c r="AE334" s="712">
        <v>3212857</v>
      </c>
      <c r="AF334" s="712">
        <v>3212857</v>
      </c>
      <c r="AG334" s="712">
        <v>3212857</v>
      </c>
      <c r="AH334" s="712">
        <v>3212857</v>
      </c>
      <c r="AI334" s="712">
        <v>3212857</v>
      </c>
      <c r="AJ334" s="712">
        <v>3212857</v>
      </c>
      <c r="AK334" s="712">
        <v>3212857</v>
      </c>
      <c r="AL334" s="712">
        <v>3212857</v>
      </c>
      <c r="AM334" s="712">
        <v>3212857</v>
      </c>
      <c r="AN334" s="712">
        <v>3212857</v>
      </c>
      <c r="AO334" s="712">
        <v>3212857</v>
      </c>
      <c r="AP334" s="712">
        <v>3212857</v>
      </c>
      <c r="AQ334" s="712">
        <v>3212862</v>
      </c>
      <c r="AR334" s="712">
        <v>274050000</v>
      </c>
      <c r="AS334" s="712">
        <v>0</v>
      </c>
      <c r="AT334">
        <v>351158573</v>
      </c>
      <c r="AU334" s="615"/>
      <c r="AV334" s="615"/>
      <c r="AW334" s="615"/>
      <c r="AX334" s="615"/>
      <c r="AY334" s="615"/>
      <c r="AZ334" s="615"/>
      <c r="BA334" s="615"/>
      <c r="BB334" s="615"/>
      <c r="BC334" s="615"/>
      <c r="BD334" s="615"/>
      <c r="BE334" s="615"/>
      <c r="BF334" s="615"/>
      <c r="BG334" s="615"/>
      <c r="BH334" s="615"/>
      <c r="BI334" s="615"/>
      <c r="BJ334" s="615"/>
      <c r="BK334" s="615"/>
      <c r="BL334" s="615"/>
      <c r="BM334" s="615"/>
      <c r="BN334" s="615"/>
      <c r="BO334" s="615"/>
      <c r="BP334" s="615"/>
      <c r="BQ334" s="615"/>
      <c r="BR334" s="615"/>
      <c r="BS334" s="615"/>
      <c r="BT334" s="615"/>
      <c r="BU334" s="615"/>
      <c r="BV334" s="615"/>
      <c r="BW334" s="615"/>
      <c r="BX334" s="607"/>
    </row>
    <row r="335" spans="1:76" s="612" customFormat="1" ht="25.5" x14ac:dyDescent="0.2">
      <c r="A335" s="839"/>
      <c r="B335" s="713" t="s">
        <v>2543</v>
      </c>
      <c r="C335" s="713" t="s">
        <v>4368</v>
      </c>
      <c r="D335" s="712">
        <v>0</v>
      </c>
      <c r="E335" s="712">
        <v>0</v>
      </c>
      <c r="F335" s="712">
        <v>0</v>
      </c>
      <c r="G335" s="712">
        <v>0</v>
      </c>
      <c r="H335" s="712">
        <v>0</v>
      </c>
      <c r="I335" s="712">
        <v>0</v>
      </c>
      <c r="J335" s="712">
        <v>0</v>
      </c>
      <c r="K335" s="712">
        <v>0</v>
      </c>
      <c r="L335" s="712">
        <v>0</v>
      </c>
      <c r="M335" s="712">
        <v>0</v>
      </c>
      <c r="N335" s="712">
        <v>0</v>
      </c>
      <c r="O335" s="712">
        <v>0</v>
      </c>
      <c r="P335" s="712">
        <v>0</v>
      </c>
      <c r="Q335" s="712">
        <v>0</v>
      </c>
      <c r="R335" s="712">
        <v>76166667</v>
      </c>
      <c r="S335" s="712">
        <v>0</v>
      </c>
      <c r="T335" s="712">
        <v>1064786</v>
      </c>
      <c r="U335" s="712">
        <v>2032393</v>
      </c>
      <c r="V335" s="712">
        <v>2032393</v>
      </c>
      <c r="W335" s="712">
        <v>2032393</v>
      </c>
      <c r="X335" s="712">
        <v>2032393</v>
      </c>
      <c r="Y335" s="712">
        <v>2032393</v>
      </c>
      <c r="Z335" s="712">
        <v>2032393</v>
      </c>
      <c r="AA335" s="712">
        <v>2032393</v>
      </c>
      <c r="AB335" s="712">
        <v>2032393</v>
      </c>
      <c r="AC335" s="712">
        <v>2032393</v>
      </c>
      <c r="AD335" s="712">
        <v>2032393</v>
      </c>
      <c r="AE335" s="712">
        <v>2032393</v>
      </c>
      <c r="AF335" s="712">
        <v>2032393</v>
      </c>
      <c r="AG335" s="712">
        <v>2032393</v>
      </c>
      <c r="AH335" s="712">
        <v>2032393</v>
      </c>
      <c r="AI335" s="712">
        <v>2032393</v>
      </c>
      <c r="AJ335" s="712">
        <v>2032393</v>
      </c>
      <c r="AK335" s="712">
        <v>2032393</v>
      </c>
      <c r="AL335" s="712">
        <v>2032393</v>
      </c>
      <c r="AM335" s="712">
        <v>2032393</v>
      </c>
      <c r="AN335" s="712">
        <v>2032393</v>
      </c>
      <c r="AO335" s="712">
        <v>2032393</v>
      </c>
      <c r="AP335" s="712">
        <v>2032393</v>
      </c>
      <c r="AQ335" s="712">
        <v>2032401</v>
      </c>
      <c r="AR335" s="712">
        <v>310278500</v>
      </c>
      <c r="AS335" s="712">
        <v>0</v>
      </c>
      <c r="AT335">
        <v>434255000</v>
      </c>
      <c r="AU335" s="615"/>
      <c r="AV335" s="615"/>
      <c r="AW335" s="615"/>
      <c r="AX335" s="615"/>
      <c r="AY335" s="615"/>
      <c r="AZ335" s="615"/>
      <c r="BA335" s="615"/>
      <c r="BB335" s="615"/>
      <c r="BC335" s="615"/>
      <c r="BD335" s="615"/>
      <c r="BE335" s="615"/>
      <c r="BF335" s="615"/>
      <c r="BG335" s="615"/>
      <c r="BH335" s="615"/>
      <c r="BI335" s="615"/>
      <c r="BJ335" s="615"/>
      <c r="BK335" s="615"/>
      <c r="BL335" s="615"/>
      <c r="BM335" s="615"/>
      <c r="BN335" s="615"/>
      <c r="BO335" s="615"/>
      <c r="BP335" s="615"/>
      <c r="BQ335" s="615"/>
      <c r="BR335" s="615"/>
      <c r="BS335" s="615"/>
      <c r="BT335" s="615"/>
      <c r="BU335" s="615"/>
      <c r="BV335" s="615"/>
      <c r="BW335" s="615"/>
      <c r="BX335" s="607"/>
    </row>
    <row r="336" spans="1:76" s="612" customFormat="1" ht="25.5" x14ac:dyDescent="0.2">
      <c r="A336" s="839"/>
      <c r="B336" s="713" t="s">
        <v>2974</v>
      </c>
      <c r="C336" s="713" t="s">
        <v>2973</v>
      </c>
      <c r="D336" s="712">
        <v>0</v>
      </c>
      <c r="E336" s="712">
        <v>0</v>
      </c>
      <c r="F336" s="712">
        <v>0</v>
      </c>
      <c r="G336" s="712">
        <v>0</v>
      </c>
      <c r="H336" s="712">
        <v>0</v>
      </c>
      <c r="I336" s="712">
        <v>0</v>
      </c>
      <c r="J336" s="712">
        <v>0</v>
      </c>
      <c r="K336" s="712">
        <v>0</v>
      </c>
      <c r="L336" s="712">
        <v>0</v>
      </c>
      <c r="M336" s="712">
        <v>0</v>
      </c>
      <c r="N336" s="712">
        <v>0</v>
      </c>
      <c r="O336" s="712">
        <v>0</v>
      </c>
      <c r="P336" s="712">
        <v>0</v>
      </c>
      <c r="Q336" s="712">
        <v>0</v>
      </c>
      <c r="R336" s="712">
        <v>0</v>
      </c>
      <c r="S336" s="712">
        <v>0</v>
      </c>
      <c r="T336" s="712">
        <v>4402480</v>
      </c>
      <c r="U336" s="712">
        <v>4402571</v>
      </c>
      <c r="V336" s="712">
        <v>4402571</v>
      </c>
      <c r="W336" s="712">
        <v>4402571</v>
      </c>
      <c r="X336" s="712">
        <v>4402571</v>
      </c>
      <c r="Y336" s="712">
        <v>4402571</v>
      </c>
      <c r="Z336" s="712">
        <v>4402571</v>
      </c>
      <c r="AA336" s="712">
        <v>4402571</v>
      </c>
      <c r="AB336" s="712">
        <v>4402571</v>
      </c>
      <c r="AC336" s="712">
        <v>4402571</v>
      </c>
      <c r="AD336" s="712">
        <v>4402571</v>
      </c>
      <c r="AE336" s="712">
        <v>4402571</v>
      </c>
      <c r="AF336" s="712">
        <v>4402571</v>
      </c>
      <c r="AG336" s="712">
        <v>4402571</v>
      </c>
      <c r="AH336" s="712">
        <v>4402571</v>
      </c>
      <c r="AI336" s="712">
        <v>4402571</v>
      </c>
      <c r="AJ336" s="712">
        <v>4402571</v>
      </c>
      <c r="AK336" s="712">
        <v>4402571</v>
      </c>
      <c r="AL336" s="712">
        <v>4402571</v>
      </c>
      <c r="AM336" s="712">
        <v>4402571</v>
      </c>
      <c r="AN336" s="712">
        <v>4402571</v>
      </c>
      <c r="AO336" s="712">
        <v>4402571</v>
      </c>
      <c r="AP336" s="712">
        <v>4402571</v>
      </c>
      <c r="AQ336" s="712">
        <v>4402586</v>
      </c>
      <c r="AR336" s="712">
        <v>371210000</v>
      </c>
      <c r="AS336" s="712">
        <v>0</v>
      </c>
      <c r="AT336">
        <v>476871628</v>
      </c>
      <c r="AU336" s="615"/>
      <c r="AV336" s="615"/>
      <c r="AW336" s="615"/>
      <c r="AX336" s="615"/>
      <c r="AY336" s="615"/>
      <c r="AZ336" s="615"/>
      <c r="BA336" s="615"/>
      <c r="BB336" s="615"/>
      <c r="BC336" s="615"/>
      <c r="BD336" s="615"/>
      <c r="BE336" s="615"/>
      <c r="BF336" s="615"/>
      <c r="BG336" s="615"/>
      <c r="BH336" s="615"/>
      <c r="BI336" s="615"/>
      <c r="BJ336" s="615"/>
      <c r="BK336" s="615"/>
      <c r="BL336" s="615"/>
      <c r="BM336" s="615"/>
      <c r="BN336" s="615"/>
      <c r="BO336" s="615"/>
      <c r="BP336" s="615"/>
      <c r="BQ336" s="615"/>
      <c r="BR336" s="615"/>
      <c r="BS336" s="615"/>
      <c r="BT336" s="615"/>
      <c r="BU336" s="615"/>
      <c r="BV336" s="615"/>
      <c r="BW336" s="615"/>
      <c r="BX336" s="607"/>
    </row>
    <row r="337" spans="1:76" s="612" customFormat="1" ht="12.75" x14ac:dyDescent="0.2">
      <c r="A337" s="839"/>
      <c r="B337" s="713" t="s">
        <v>2683</v>
      </c>
      <c r="C337" s="713" t="s">
        <v>2682</v>
      </c>
      <c r="D337" s="712">
        <v>0</v>
      </c>
      <c r="E337" s="712">
        <v>0</v>
      </c>
      <c r="F337" s="712">
        <v>0</v>
      </c>
      <c r="G337" s="712">
        <v>0</v>
      </c>
      <c r="H337" s="712">
        <v>0</v>
      </c>
      <c r="I337" s="712">
        <v>0</v>
      </c>
      <c r="J337" s="712">
        <v>0</v>
      </c>
      <c r="K337" s="712">
        <v>0</v>
      </c>
      <c r="L337" s="712">
        <v>0</v>
      </c>
      <c r="M337" s="712">
        <v>0</v>
      </c>
      <c r="N337" s="712">
        <v>0</v>
      </c>
      <c r="O337" s="712">
        <v>0</v>
      </c>
      <c r="P337" s="712">
        <v>0</v>
      </c>
      <c r="Q337" s="712">
        <v>0</v>
      </c>
      <c r="R337" s="712">
        <v>0</v>
      </c>
      <c r="S337" s="712">
        <v>4370000</v>
      </c>
      <c r="T337" s="712">
        <v>4370000</v>
      </c>
      <c r="U337" s="712">
        <v>4370000</v>
      </c>
      <c r="V337" s="712">
        <v>4370000</v>
      </c>
      <c r="W337" s="712">
        <v>4370000</v>
      </c>
      <c r="X337" s="712">
        <v>4370000</v>
      </c>
      <c r="Y337" s="712">
        <v>4370000</v>
      </c>
      <c r="Z337" s="712">
        <v>4370000</v>
      </c>
      <c r="AA337" s="712">
        <v>4370000</v>
      </c>
      <c r="AB337" s="712">
        <v>4370000</v>
      </c>
      <c r="AC337" s="712">
        <v>4370000</v>
      </c>
      <c r="AD337" s="712">
        <v>4370000</v>
      </c>
      <c r="AE337" s="712">
        <v>4370000</v>
      </c>
      <c r="AF337" s="712">
        <v>4370000</v>
      </c>
      <c r="AG337" s="712">
        <v>4370000</v>
      </c>
      <c r="AH337" s="712">
        <v>4370000</v>
      </c>
      <c r="AI337" s="712">
        <v>4370000</v>
      </c>
      <c r="AJ337" s="712">
        <v>4370000</v>
      </c>
      <c r="AK337" s="712">
        <v>4370000</v>
      </c>
      <c r="AL337" s="712">
        <v>4370000</v>
      </c>
      <c r="AM337" s="712">
        <v>4370000</v>
      </c>
      <c r="AN337" s="712">
        <v>4370000</v>
      </c>
      <c r="AO337" s="712">
        <v>4370000</v>
      </c>
      <c r="AP337" s="712">
        <v>4370000</v>
      </c>
      <c r="AQ337" s="712">
        <v>4370000</v>
      </c>
      <c r="AR337" s="712">
        <v>368550000</v>
      </c>
      <c r="AS337" s="712">
        <v>0</v>
      </c>
      <c r="AT337">
        <v>477800000</v>
      </c>
      <c r="AU337" s="615"/>
      <c r="AV337" s="615"/>
      <c r="AW337" s="615"/>
      <c r="AX337" s="615"/>
      <c r="AY337" s="615"/>
      <c r="AZ337" s="615"/>
      <c r="BA337" s="615"/>
      <c r="BB337" s="615"/>
      <c r="BC337" s="615"/>
      <c r="BD337" s="615"/>
      <c r="BE337" s="615"/>
      <c r="BF337" s="615"/>
      <c r="BG337" s="615"/>
      <c r="BH337" s="615"/>
      <c r="BI337" s="615"/>
      <c r="BJ337" s="615"/>
      <c r="BK337" s="615"/>
      <c r="BL337" s="615"/>
      <c r="BM337" s="615"/>
      <c r="BN337" s="615"/>
      <c r="BO337" s="615"/>
      <c r="BP337" s="615"/>
      <c r="BQ337" s="615"/>
      <c r="BR337" s="615"/>
      <c r="BS337" s="615"/>
      <c r="BT337" s="615"/>
      <c r="BU337" s="615"/>
      <c r="BV337" s="615"/>
      <c r="BW337" s="615"/>
      <c r="BX337" s="607"/>
    </row>
    <row r="338" spans="1:76" s="612" customFormat="1" ht="25.5" x14ac:dyDescent="0.2">
      <c r="A338" s="839"/>
      <c r="B338" s="713" t="s">
        <v>2705</v>
      </c>
      <c r="C338" s="713" t="s">
        <v>2704</v>
      </c>
      <c r="D338" s="712">
        <v>0</v>
      </c>
      <c r="E338" s="712">
        <v>0</v>
      </c>
      <c r="F338" s="712">
        <v>0</v>
      </c>
      <c r="G338" s="712">
        <v>0</v>
      </c>
      <c r="H338" s="712">
        <v>0</v>
      </c>
      <c r="I338" s="712">
        <v>0</v>
      </c>
      <c r="J338" s="712">
        <v>0</v>
      </c>
      <c r="K338" s="712">
        <v>0</v>
      </c>
      <c r="L338" s="712">
        <v>0</v>
      </c>
      <c r="M338" s="712">
        <v>0</v>
      </c>
      <c r="N338" s="712">
        <v>0</v>
      </c>
      <c r="O338" s="712">
        <v>0</v>
      </c>
      <c r="P338" s="712">
        <v>0</v>
      </c>
      <c r="Q338" s="712">
        <v>0</v>
      </c>
      <c r="R338" s="712">
        <v>0</v>
      </c>
      <c r="S338" s="712">
        <v>0</v>
      </c>
      <c r="T338" s="712">
        <v>2200000</v>
      </c>
      <c r="U338" s="712">
        <v>2200000</v>
      </c>
      <c r="V338" s="712">
        <v>5000000</v>
      </c>
      <c r="W338" s="712">
        <v>2200000</v>
      </c>
      <c r="X338" s="712">
        <v>2200000</v>
      </c>
      <c r="Y338" s="712">
        <v>2200000</v>
      </c>
      <c r="Z338" s="712">
        <v>7006135</v>
      </c>
      <c r="AA338" s="712">
        <v>2200000</v>
      </c>
      <c r="AB338" s="712">
        <v>2200000</v>
      </c>
      <c r="AC338" s="712">
        <v>5000000</v>
      </c>
      <c r="AD338" s="712">
        <v>2200000</v>
      </c>
      <c r="AE338" s="712">
        <v>2200000</v>
      </c>
      <c r="AF338" s="712">
        <v>2200000</v>
      </c>
      <c r="AG338" s="712">
        <v>2200000</v>
      </c>
      <c r="AH338" s="712">
        <v>5000000</v>
      </c>
      <c r="AI338" s="712">
        <v>3200000</v>
      </c>
      <c r="AJ338" s="712">
        <v>3200000</v>
      </c>
      <c r="AK338" s="712">
        <v>3200000</v>
      </c>
      <c r="AL338" s="712">
        <v>3200000</v>
      </c>
      <c r="AM338" s="712">
        <v>3200000</v>
      </c>
      <c r="AN338" s="712">
        <v>3200000</v>
      </c>
      <c r="AO338" s="712">
        <v>5000000</v>
      </c>
      <c r="AP338" s="712">
        <v>3200000</v>
      </c>
      <c r="AQ338" s="712">
        <v>15000000</v>
      </c>
      <c r="AR338" s="712">
        <v>275800000</v>
      </c>
      <c r="AS338" s="712">
        <v>0</v>
      </c>
      <c r="AT338">
        <v>364406135</v>
      </c>
      <c r="AU338" s="615"/>
      <c r="AV338" s="615"/>
      <c r="AW338" s="615"/>
      <c r="AX338" s="615"/>
      <c r="AY338" s="615"/>
      <c r="AZ338" s="615"/>
      <c r="BA338" s="615"/>
      <c r="BB338" s="615"/>
      <c r="BC338" s="615"/>
      <c r="BD338" s="615"/>
      <c r="BE338" s="615"/>
      <c r="BF338" s="615"/>
      <c r="BG338" s="615"/>
      <c r="BH338" s="615"/>
      <c r="BI338" s="615"/>
      <c r="BJ338" s="615"/>
      <c r="BK338" s="615"/>
      <c r="BL338" s="615"/>
      <c r="BM338" s="615"/>
      <c r="BN338" s="615"/>
      <c r="BO338" s="615"/>
      <c r="BP338" s="615"/>
      <c r="BQ338" s="615"/>
      <c r="BR338" s="615"/>
      <c r="BS338" s="615"/>
      <c r="BT338" s="615"/>
      <c r="BU338" s="615"/>
      <c r="BV338" s="615"/>
      <c r="BW338" s="615"/>
      <c r="BX338" s="607"/>
    </row>
    <row r="339" spans="1:76" s="612" customFormat="1" ht="25.5" x14ac:dyDescent="0.2">
      <c r="A339" s="839"/>
      <c r="B339" s="713" t="s">
        <v>3003</v>
      </c>
      <c r="C339" s="713" t="s">
        <v>3002</v>
      </c>
      <c r="D339" s="712">
        <v>0</v>
      </c>
      <c r="E339" s="712">
        <v>0</v>
      </c>
      <c r="F339" s="712">
        <v>0</v>
      </c>
      <c r="G339" s="712">
        <v>0</v>
      </c>
      <c r="H339" s="712">
        <v>0</v>
      </c>
      <c r="I339" s="712">
        <v>0</v>
      </c>
      <c r="J339" s="712">
        <v>0</v>
      </c>
      <c r="K339" s="712">
        <v>0</v>
      </c>
      <c r="L339" s="712">
        <v>0</v>
      </c>
      <c r="M339" s="712">
        <v>0</v>
      </c>
      <c r="N339" s="712">
        <v>0</v>
      </c>
      <c r="O339" s="712">
        <v>0</v>
      </c>
      <c r="P339" s="712">
        <v>0</v>
      </c>
      <c r="Q339" s="712">
        <v>0</v>
      </c>
      <c r="R339" s="712">
        <v>4294656</v>
      </c>
      <c r="S339" s="712">
        <v>4295429</v>
      </c>
      <c r="T339" s="712">
        <v>4295429</v>
      </c>
      <c r="U339" s="712">
        <v>4295429</v>
      </c>
      <c r="V339" s="712">
        <v>4295429</v>
      </c>
      <c r="W339" s="712">
        <v>4295429</v>
      </c>
      <c r="X339" s="712">
        <v>4295429</v>
      </c>
      <c r="Y339" s="712">
        <v>4295429</v>
      </c>
      <c r="Z339" s="712">
        <v>4295429</v>
      </c>
      <c r="AA339" s="712">
        <v>4295429</v>
      </c>
      <c r="AB339" s="712">
        <v>4295429</v>
      </c>
      <c r="AC339" s="712">
        <v>4295429</v>
      </c>
      <c r="AD339" s="712">
        <v>4295429</v>
      </c>
      <c r="AE339" s="712">
        <v>4295429</v>
      </c>
      <c r="AF339" s="712">
        <v>4295429</v>
      </c>
      <c r="AG339" s="712">
        <v>4295429</v>
      </c>
      <c r="AH339" s="712">
        <v>4295429</v>
      </c>
      <c r="AI339" s="712">
        <v>4295429</v>
      </c>
      <c r="AJ339" s="712">
        <v>4295429</v>
      </c>
      <c r="AK339" s="712">
        <v>4295429</v>
      </c>
      <c r="AL339" s="712">
        <v>4295429</v>
      </c>
      <c r="AM339" s="712">
        <v>4295429</v>
      </c>
      <c r="AN339" s="712">
        <v>4295429</v>
      </c>
      <c r="AO339" s="712">
        <v>4295429</v>
      </c>
      <c r="AP339" s="712">
        <v>4295429</v>
      </c>
      <c r="AQ339" s="712">
        <v>4295414</v>
      </c>
      <c r="AR339" s="712">
        <v>362460000</v>
      </c>
      <c r="AS339" s="712">
        <v>0</v>
      </c>
      <c r="AT339">
        <v>474140366</v>
      </c>
      <c r="AU339" s="615"/>
      <c r="AV339" s="615"/>
      <c r="AW339" s="615"/>
      <c r="AX339" s="615"/>
      <c r="AY339" s="615"/>
      <c r="AZ339" s="615"/>
      <c r="BA339" s="615"/>
      <c r="BB339" s="615"/>
      <c r="BC339" s="615"/>
      <c r="BD339" s="615"/>
      <c r="BE339" s="615"/>
      <c r="BF339" s="615"/>
      <c r="BG339" s="615"/>
      <c r="BH339" s="615"/>
      <c r="BI339" s="615"/>
      <c r="BJ339" s="615"/>
      <c r="BK339" s="615"/>
      <c r="BL339" s="615"/>
      <c r="BM339" s="615"/>
      <c r="BN339" s="615"/>
      <c r="BO339" s="615"/>
      <c r="BP339" s="615"/>
      <c r="BQ339" s="615"/>
      <c r="BR339" s="615"/>
      <c r="BS339" s="615"/>
      <c r="BT339" s="615"/>
      <c r="BU339" s="615"/>
      <c r="BV339" s="615"/>
      <c r="BW339" s="615"/>
      <c r="BX339" s="607"/>
    </row>
    <row r="340" spans="1:76" s="612" customFormat="1" ht="25.5" x14ac:dyDescent="0.2">
      <c r="A340" s="839"/>
      <c r="B340" s="713" t="s">
        <v>4232</v>
      </c>
      <c r="C340" s="713" t="s">
        <v>4231</v>
      </c>
      <c r="D340" s="712">
        <v>0</v>
      </c>
      <c r="E340" s="712">
        <v>0</v>
      </c>
      <c r="F340" s="712">
        <v>0</v>
      </c>
      <c r="G340" s="712">
        <v>0</v>
      </c>
      <c r="H340" s="712">
        <v>0</v>
      </c>
      <c r="I340" s="712">
        <v>0</v>
      </c>
      <c r="J340" s="712">
        <v>0</v>
      </c>
      <c r="K340" s="712">
        <v>0</v>
      </c>
      <c r="L340" s="712">
        <v>0</v>
      </c>
      <c r="M340" s="712">
        <v>0</v>
      </c>
      <c r="N340" s="712">
        <v>0</v>
      </c>
      <c r="O340" s="712">
        <v>0</v>
      </c>
      <c r="P340" s="712">
        <v>0</v>
      </c>
      <c r="Q340" s="712">
        <v>0</v>
      </c>
      <c r="R340" s="712">
        <v>0</v>
      </c>
      <c r="S340" s="712">
        <v>5074777</v>
      </c>
      <c r="T340" s="712">
        <v>6358259</v>
      </c>
      <c r="U340" s="712">
        <v>6358259</v>
      </c>
      <c r="V340" s="712">
        <v>6358259</v>
      </c>
      <c r="W340" s="712">
        <v>6358259</v>
      </c>
      <c r="X340" s="712">
        <v>6358259</v>
      </c>
      <c r="Y340" s="712">
        <v>6358259</v>
      </c>
      <c r="Z340" s="712">
        <v>6358259</v>
      </c>
      <c r="AA340" s="712">
        <v>6358259</v>
      </c>
      <c r="AB340" s="712">
        <v>6358259</v>
      </c>
      <c r="AC340" s="712">
        <v>6358259</v>
      </c>
      <c r="AD340" s="712">
        <v>6358259</v>
      </c>
      <c r="AE340" s="712">
        <v>6358259</v>
      </c>
      <c r="AF340" s="712">
        <v>6358259</v>
      </c>
      <c r="AG340" s="712">
        <v>6358259</v>
      </c>
      <c r="AH340" s="712">
        <v>6358259</v>
      </c>
      <c r="AI340" s="712">
        <v>6358259</v>
      </c>
      <c r="AJ340" s="712">
        <v>6358259</v>
      </c>
      <c r="AK340" s="712">
        <v>6358259</v>
      </c>
      <c r="AL340" s="712">
        <v>6358259</v>
      </c>
      <c r="AM340" s="712">
        <v>6358259</v>
      </c>
      <c r="AN340" s="712">
        <v>6358259</v>
      </c>
      <c r="AO340" s="712">
        <v>6358259</v>
      </c>
      <c r="AP340" s="712">
        <v>6358259</v>
      </c>
      <c r="AQ340" s="712">
        <v>6358266</v>
      </c>
      <c r="AR340" s="712">
        <v>412237000</v>
      </c>
      <c r="AS340" s="712">
        <v>0</v>
      </c>
      <c r="AT340">
        <v>569910000</v>
      </c>
      <c r="AU340" s="615"/>
      <c r="AV340" s="615"/>
      <c r="AW340" s="615"/>
      <c r="AX340" s="615"/>
      <c r="AY340" s="615"/>
      <c r="AZ340" s="615"/>
      <c r="BA340" s="615"/>
      <c r="BB340" s="615"/>
      <c r="BC340" s="615"/>
      <c r="BD340" s="615"/>
      <c r="BE340" s="615"/>
      <c r="BF340" s="615"/>
      <c r="BG340" s="615"/>
      <c r="BH340" s="615"/>
      <c r="BI340" s="615"/>
      <c r="BJ340" s="615"/>
      <c r="BK340" s="615"/>
      <c r="BL340" s="615"/>
      <c r="BM340" s="615"/>
      <c r="BN340" s="615"/>
      <c r="BO340" s="615"/>
      <c r="BP340" s="615"/>
      <c r="BQ340" s="615"/>
      <c r="BR340" s="615"/>
      <c r="BS340" s="615"/>
      <c r="BT340" s="615"/>
      <c r="BU340" s="615"/>
      <c r="BV340" s="615"/>
      <c r="BW340" s="615"/>
      <c r="BX340" s="607"/>
    </row>
    <row r="341" spans="1:76" s="612" customFormat="1" ht="25.5" x14ac:dyDescent="0.2">
      <c r="A341" s="839"/>
      <c r="B341" s="713" t="s">
        <v>2966</v>
      </c>
      <c r="C341" s="713" t="s">
        <v>2965</v>
      </c>
      <c r="D341" s="712">
        <v>0</v>
      </c>
      <c r="E341" s="712">
        <v>0</v>
      </c>
      <c r="F341" s="712">
        <v>0</v>
      </c>
      <c r="G341" s="712">
        <v>0</v>
      </c>
      <c r="H341" s="712">
        <v>0</v>
      </c>
      <c r="I341" s="712">
        <v>0</v>
      </c>
      <c r="J341" s="712">
        <v>0</v>
      </c>
      <c r="K341" s="712">
        <v>0</v>
      </c>
      <c r="L341" s="712">
        <v>0</v>
      </c>
      <c r="M341" s="712">
        <v>0</v>
      </c>
      <c r="N341" s="712">
        <v>0</v>
      </c>
      <c r="O341" s="712">
        <v>0</v>
      </c>
      <c r="P341" s="712">
        <v>0</v>
      </c>
      <c r="Q341" s="712">
        <v>0</v>
      </c>
      <c r="R341" s="712">
        <v>0</v>
      </c>
      <c r="S341" s="712">
        <v>3219496</v>
      </c>
      <c r="T341" s="712">
        <v>3272857</v>
      </c>
      <c r="U341" s="712">
        <v>3272857</v>
      </c>
      <c r="V341" s="712">
        <v>3272857</v>
      </c>
      <c r="W341" s="712">
        <v>3272857</v>
      </c>
      <c r="X341" s="712">
        <v>3272857</v>
      </c>
      <c r="Y341" s="712">
        <v>3272857</v>
      </c>
      <c r="Z341" s="712">
        <v>3272857</v>
      </c>
      <c r="AA341" s="712">
        <v>3272857</v>
      </c>
      <c r="AB341" s="712">
        <v>3272857</v>
      </c>
      <c r="AC341" s="712">
        <v>3272857</v>
      </c>
      <c r="AD341" s="712">
        <v>3272857</v>
      </c>
      <c r="AE341" s="712">
        <v>3272857</v>
      </c>
      <c r="AF341" s="712">
        <v>3272857</v>
      </c>
      <c r="AG341" s="712">
        <v>3272857</v>
      </c>
      <c r="AH341" s="712">
        <v>3272857</v>
      </c>
      <c r="AI341" s="712">
        <v>3272857</v>
      </c>
      <c r="AJ341" s="712">
        <v>3272857</v>
      </c>
      <c r="AK341" s="712">
        <v>3272857</v>
      </c>
      <c r="AL341" s="712">
        <v>3272857</v>
      </c>
      <c r="AM341" s="712">
        <v>3272857</v>
      </c>
      <c r="AN341" s="712">
        <v>3272857</v>
      </c>
      <c r="AO341" s="712">
        <v>3272857</v>
      </c>
      <c r="AP341" s="712">
        <v>3272857</v>
      </c>
      <c r="AQ341" s="712">
        <v>3272857</v>
      </c>
      <c r="AR341" s="712">
        <v>3272862</v>
      </c>
      <c r="AS341" s="712">
        <v>271950000</v>
      </c>
      <c r="AT341">
        <v>356990926</v>
      </c>
      <c r="AU341" s="615"/>
      <c r="AV341" s="615"/>
      <c r="AW341" s="615"/>
      <c r="AX341" s="615"/>
      <c r="AY341" s="615"/>
      <c r="AZ341" s="615"/>
      <c r="BA341" s="615"/>
      <c r="BB341" s="615"/>
      <c r="BC341" s="615"/>
      <c r="BD341" s="615"/>
      <c r="BE341" s="615"/>
      <c r="BF341" s="615"/>
      <c r="BG341" s="615"/>
      <c r="BH341" s="615"/>
      <c r="BI341" s="615"/>
      <c r="BJ341" s="615"/>
      <c r="BK341" s="615"/>
      <c r="BL341" s="615"/>
      <c r="BM341" s="615"/>
      <c r="BN341" s="615"/>
      <c r="BO341" s="615"/>
      <c r="BP341" s="615"/>
      <c r="BQ341" s="615"/>
      <c r="BR341" s="615"/>
      <c r="BS341" s="615"/>
      <c r="BT341" s="615"/>
      <c r="BU341" s="615"/>
      <c r="BV341" s="615"/>
      <c r="BW341" s="615"/>
      <c r="BX341" s="607"/>
    </row>
    <row r="342" spans="1:76" s="612" customFormat="1" ht="25.5" x14ac:dyDescent="0.2">
      <c r="A342" s="839"/>
      <c r="B342" s="713" t="s">
        <v>2681</v>
      </c>
      <c r="C342" s="713" t="s">
        <v>2680</v>
      </c>
      <c r="D342" s="712">
        <v>0</v>
      </c>
      <c r="E342" s="712">
        <v>0</v>
      </c>
      <c r="F342" s="712">
        <v>0</v>
      </c>
      <c r="G342" s="712">
        <v>0</v>
      </c>
      <c r="H342" s="712">
        <v>0</v>
      </c>
      <c r="I342" s="712">
        <v>0</v>
      </c>
      <c r="J342" s="712">
        <v>0</v>
      </c>
      <c r="K342" s="712">
        <v>0</v>
      </c>
      <c r="L342" s="712">
        <v>0</v>
      </c>
      <c r="M342" s="712">
        <v>0</v>
      </c>
      <c r="N342" s="712">
        <v>0</v>
      </c>
      <c r="O342" s="712">
        <v>0</v>
      </c>
      <c r="P342" s="712">
        <v>0</v>
      </c>
      <c r="Q342" s="712">
        <v>0</v>
      </c>
      <c r="R342" s="712">
        <v>0</v>
      </c>
      <c r="S342" s="712">
        <v>0</v>
      </c>
      <c r="T342" s="712">
        <v>0</v>
      </c>
      <c r="U342" s="712">
        <v>2</v>
      </c>
      <c r="V342" s="712">
        <v>4325429</v>
      </c>
      <c r="W342" s="712">
        <v>4325429</v>
      </c>
      <c r="X342" s="712">
        <v>4325429</v>
      </c>
      <c r="Y342" s="712">
        <v>4325429</v>
      </c>
      <c r="Z342" s="712">
        <v>4325429</v>
      </c>
      <c r="AA342" s="712">
        <v>4325429</v>
      </c>
      <c r="AB342" s="712">
        <v>4325429</v>
      </c>
      <c r="AC342" s="712">
        <v>4325429</v>
      </c>
      <c r="AD342" s="712">
        <v>4325429</v>
      </c>
      <c r="AE342" s="712">
        <v>4325429</v>
      </c>
      <c r="AF342" s="712">
        <v>4325429</v>
      </c>
      <c r="AG342" s="712">
        <v>4325429</v>
      </c>
      <c r="AH342" s="712">
        <v>4325429</v>
      </c>
      <c r="AI342" s="712">
        <v>4325429</v>
      </c>
      <c r="AJ342" s="712">
        <v>4325429</v>
      </c>
      <c r="AK342" s="712">
        <v>4325429</v>
      </c>
      <c r="AL342" s="712">
        <v>4325429</v>
      </c>
      <c r="AM342" s="712">
        <v>4325429</v>
      </c>
      <c r="AN342" s="712">
        <v>4325429</v>
      </c>
      <c r="AO342" s="712">
        <v>369235429</v>
      </c>
      <c r="AP342" s="712">
        <v>4325429</v>
      </c>
      <c r="AQ342" s="712">
        <v>4325414</v>
      </c>
      <c r="AR342" s="712">
        <v>0</v>
      </c>
      <c r="AS342" s="712">
        <v>0</v>
      </c>
      <c r="AT342">
        <v>460069425</v>
      </c>
      <c r="AU342" s="615"/>
      <c r="AV342" s="615"/>
      <c r="AW342" s="615"/>
      <c r="AX342" s="615"/>
      <c r="AY342" s="615"/>
      <c r="AZ342" s="615"/>
      <c r="BA342" s="615"/>
      <c r="BB342" s="615"/>
      <c r="BC342" s="615"/>
      <c r="BD342" s="615"/>
      <c r="BE342" s="615"/>
      <c r="BF342" s="615"/>
      <c r="BG342" s="615"/>
      <c r="BH342" s="615"/>
      <c r="BI342" s="615"/>
      <c r="BJ342" s="615"/>
      <c r="BK342" s="615"/>
      <c r="BL342" s="615"/>
      <c r="BM342" s="615"/>
      <c r="BN342" s="615"/>
      <c r="BO342" s="615"/>
      <c r="BP342" s="615"/>
      <c r="BQ342" s="615"/>
      <c r="BR342" s="615"/>
      <c r="BS342" s="615"/>
      <c r="BT342" s="615"/>
      <c r="BU342" s="615"/>
      <c r="BV342" s="615"/>
      <c r="BW342" s="615"/>
      <c r="BX342" s="607"/>
    </row>
    <row r="343" spans="1:76" s="612" customFormat="1" ht="12.75" x14ac:dyDescent="0.2">
      <c r="A343" s="839"/>
      <c r="B343" s="713" t="s">
        <v>3355</v>
      </c>
      <c r="C343" s="713" t="s">
        <v>3217</v>
      </c>
      <c r="D343" s="712">
        <v>0</v>
      </c>
      <c r="E343" s="712">
        <v>0</v>
      </c>
      <c r="F343" s="712">
        <v>0</v>
      </c>
      <c r="G343" s="712">
        <v>0</v>
      </c>
      <c r="H343" s="712">
        <v>0</v>
      </c>
      <c r="I343" s="712">
        <v>0</v>
      </c>
      <c r="J343" s="712">
        <v>0</v>
      </c>
      <c r="K343" s="712">
        <v>0</v>
      </c>
      <c r="L343" s="712">
        <v>0</v>
      </c>
      <c r="M343" s="712">
        <v>0</v>
      </c>
      <c r="N343" s="712">
        <v>0</v>
      </c>
      <c r="O343" s="712">
        <v>0</v>
      </c>
      <c r="P343" s="712">
        <v>0</v>
      </c>
      <c r="Q343" s="712">
        <v>0</v>
      </c>
      <c r="R343" s="712">
        <v>0</v>
      </c>
      <c r="S343" s="712">
        <v>0</v>
      </c>
      <c r="T343" s="712">
        <v>1153000</v>
      </c>
      <c r="U343" s="712">
        <v>1153000</v>
      </c>
      <c r="V343" s="712">
        <v>10000000</v>
      </c>
      <c r="W343" s="712">
        <v>1153000</v>
      </c>
      <c r="X343" s="712">
        <v>20000000</v>
      </c>
      <c r="Y343" s="712">
        <v>1153000</v>
      </c>
      <c r="Z343" s="712">
        <v>1153000</v>
      </c>
      <c r="AA343" s="712">
        <v>1153000</v>
      </c>
      <c r="AB343" s="712">
        <v>1153000</v>
      </c>
      <c r="AC343" s="712">
        <v>1153000</v>
      </c>
      <c r="AD343" s="712">
        <v>1153000</v>
      </c>
      <c r="AE343" s="712">
        <v>1153000</v>
      </c>
      <c r="AF343" s="712">
        <v>1153000</v>
      </c>
      <c r="AG343" s="712">
        <v>1153000</v>
      </c>
      <c r="AH343" s="712">
        <v>15000000</v>
      </c>
      <c r="AI343" s="712">
        <v>1153000</v>
      </c>
      <c r="AJ343" s="712">
        <v>20000000</v>
      </c>
      <c r="AK343" s="712">
        <v>1153000</v>
      </c>
      <c r="AL343" s="712">
        <v>1153000</v>
      </c>
      <c r="AM343" s="712">
        <v>1153000</v>
      </c>
      <c r="AN343" s="712">
        <v>10000000</v>
      </c>
      <c r="AO343" s="712">
        <v>1153000</v>
      </c>
      <c r="AP343" s="712">
        <v>1153000</v>
      </c>
      <c r="AQ343" s="712">
        <v>1153000</v>
      </c>
      <c r="AR343" s="712">
        <v>4500000</v>
      </c>
      <c r="AS343" s="712">
        <v>295122000</v>
      </c>
      <c r="AT343">
        <v>396529000</v>
      </c>
      <c r="AU343" s="615"/>
      <c r="AV343" s="615"/>
      <c r="AW343" s="615"/>
      <c r="AX343" s="615"/>
      <c r="AY343" s="615"/>
      <c r="AZ343" s="615"/>
      <c r="BA343" s="615"/>
      <c r="BB343" s="615"/>
      <c r="BC343" s="615"/>
      <c r="BD343" s="615"/>
      <c r="BE343" s="615"/>
      <c r="BF343" s="615"/>
      <c r="BG343" s="615"/>
      <c r="BH343" s="615"/>
      <c r="BI343" s="615"/>
      <c r="BJ343" s="615"/>
      <c r="BK343" s="615"/>
      <c r="BL343" s="615"/>
      <c r="BM343" s="615"/>
      <c r="BN343" s="615"/>
      <c r="BO343" s="615"/>
      <c r="BP343" s="615"/>
      <c r="BQ343" s="615"/>
      <c r="BR343" s="615"/>
      <c r="BS343" s="615"/>
      <c r="BT343" s="615"/>
      <c r="BU343" s="615"/>
      <c r="BV343" s="615"/>
      <c r="BW343" s="615"/>
      <c r="BX343" s="607"/>
    </row>
    <row r="344" spans="1:76" s="612" customFormat="1" ht="12.75" x14ac:dyDescent="0.2">
      <c r="A344" s="839"/>
      <c r="B344" s="713" t="s">
        <v>3496</v>
      </c>
      <c r="C344" s="713" t="s">
        <v>3495</v>
      </c>
      <c r="D344" s="712">
        <v>0</v>
      </c>
      <c r="E344" s="712">
        <v>0</v>
      </c>
      <c r="F344" s="712">
        <v>0</v>
      </c>
      <c r="G344" s="712">
        <v>0</v>
      </c>
      <c r="H344" s="712">
        <v>0</v>
      </c>
      <c r="I344" s="712">
        <v>0</v>
      </c>
      <c r="J344" s="712">
        <v>0</v>
      </c>
      <c r="K344" s="712">
        <v>0</v>
      </c>
      <c r="L344" s="712">
        <v>0</v>
      </c>
      <c r="M344" s="712">
        <v>0</v>
      </c>
      <c r="N344" s="712">
        <v>0</v>
      </c>
      <c r="O344" s="712">
        <v>0</v>
      </c>
      <c r="P344" s="712">
        <v>0</v>
      </c>
      <c r="Q344" s="712">
        <v>0</v>
      </c>
      <c r="R344" s="712">
        <v>0</v>
      </c>
      <c r="S344" s="712">
        <v>0</v>
      </c>
      <c r="T344" s="712">
        <v>0</v>
      </c>
      <c r="U344" s="712">
        <v>4040000</v>
      </c>
      <c r="V344" s="712">
        <v>15000000</v>
      </c>
      <c r="W344" s="712">
        <v>4170000</v>
      </c>
      <c r="X344" s="712">
        <v>4170000</v>
      </c>
      <c r="Y344" s="712">
        <v>4170000</v>
      </c>
      <c r="Z344" s="712">
        <v>4170000</v>
      </c>
      <c r="AA344" s="712">
        <v>4170000</v>
      </c>
      <c r="AB344" s="712">
        <v>15000000</v>
      </c>
      <c r="AC344" s="712">
        <v>4170000</v>
      </c>
      <c r="AD344" s="712">
        <v>4170000</v>
      </c>
      <c r="AE344" s="712">
        <v>4170000</v>
      </c>
      <c r="AF344" s="712">
        <v>4170000</v>
      </c>
      <c r="AG344" s="712">
        <v>4170000</v>
      </c>
      <c r="AH344" s="712">
        <v>15000000</v>
      </c>
      <c r="AI344" s="712">
        <v>4170000</v>
      </c>
      <c r="AJ344" s="712">
        <v>4170000</v>
      </c>
      <c r="AK344" s="712">
        <v>4170000</v>
      </c>
      <c r="AL344" s="712">
        <v>4170000</v>
      </c>
      <c r="AM344" s="712">
        <v>4170000</v>
      </c>
      <c r="AN344" s="712">
        <v>15000000</v>
      </c>
      <c r="AO344" s="712">
        <v>4170000</v>
      </c>
      <c r="AP344" s="712">
        <v>4170000</v>
      </c>
      <c r="AQ344" s="712">
        <v>4139750</v>
      </c>
      <c r="AR344" s="712">
        <v>396782750</v>
      </c>
      <c r="AS344" s="712">
        <v>0</v>
      </c>
      <c r="AT344">
        <v>535852500</v>
      </c>
      <c r="AU344" s="615"/>
      <c r="AV344" s="615"/>
      <c r="AW344" s="615"/>
      <c r="AX344" s="615"/>
      <c r="AY344" s="615"/>
      <c r="AZ344" s="615"/>
      <c r="BA344" s="615"/>
      <c r="BB344" s="615"/>
      <c r="BC344" s="615"/>
      <c r="BD344" s="615"/>
      <c r="BE344" s="615"/>
      <c r="BF344" s="615"/>
      <c r="BG344" s="615"/>
      <c r="BH344" s="615"/>
      <c r="BI344" s="615"/>
      <c r="BJ344" s="615"/>
      <c r="BK344" s="615"/>
      <c r="BL344" s="615"/>
      <c r="BM344" s="615"/>
      <c r="BN344" s="615"/>
      <c r="BO344" s="615"/>
      <c r="BP344" s="615"/>
      <c r="BQ344" s="615"/>
      <c r="BR344" s="615"/>
      <c r="BS344" s="615"/>
      <c r="BT344" s="615"/>
      <c r="BU344" s="615"/>
      <c r="BV344" s="615"/>
      <c r="BW344" s="615"/>
      <c r="BX344" s="607"/>
    </row>
    <row r="345" spans="1:76" s="612" customFormat="1" ht="25.5" x14ac:dyDescent="0.2">
      <c r="A345" s="839"/>
      <c r="B345" s="713" t="s">
        <v>3007</v>
      </c>
      <c r="C345" s="713" t="s">
        <v>3006</v>
      </c>
      <c r="D345" s="712">
        <v>0</v>
      </c>
      <c r="E345" s="712">
        <v>0</v>
      </c>
      <c r="F345" s="712">
        <v>0</v>
      </c>
      <c r="G345" s="712">
        <v>0</v>
      </c>
      <c r="H345" s="712">
        <v>0</v>
      </c>
      <c r="I345" s="712">
        <v>0</v>
      </c>
      <c r="J345" s="712">
        <v>0</v>
      </c>
      <c r="K345" s="712">
        <v>0</v>
      </c>
      <c r="L345" s="712">
        <v>0</v>
      </c>
      <c r="M345" s="712">
        <v>0</v>
      </c>
      <c r="N345" s="712">
        <v>0</v>
      </c>
      <c r="O345" s="712">
        <v>0</v>
      </c>
      <c r="P345" s="712">
        <v>0</v>
      </c>
      <c r="Q345" s="712">
        <v>0</v>
      </c>
      <c r="R345" s="712">
        <v>0</v>
      </c>
      <c r="S345" s="712">
        <v>3339946</v>
      </c>
      <c r="T345" s="712">
        <v>4349086</v>
      </c>
      <c r="U345" s="712">
        <v>4349086</v>
      </c>
      <c r="V345" s="712">
        <v>4349086</v>
      </c>
      <c r="W345" s="712">
        <v>4349086</v>
      </c>
      <c r="X345" s="712">
        <v>4349086</v>
      </c>
      <c r="Y345" s="712">
        <v>4349086</v>
      </c>
      <c r="Z345" s="712">
        <v>4349086</v>
      </c>
      <c r="AA345" s="712">
        <v>4349086</v>
      </c>
      <c r="AB345" s="712">
        <v>4349086</v>
      </c>
      <c r="AC345" s="712">
        <v>4349086</v>
      </c>
      <c r="AD345" s="712">
        <v>4349086</v>
      </c>
      <c r="AE345" s="712">
        <v>4349086</v>
      </c>
      <c r="AF345" s="712">
        <v>4349086</v>
      </c>
      <c r="AG345" s="712">
        <v>4349086</v>
      </c>
      <c r="AH345" s="712">
        <v>4349086</v>
      </c>
      <c r="AI345" s="712">
        <v>4349086</v>
      </c>
      <c r="AJ345" s="712">
        <v>4349086</v>
      </c>
      <c r="AK345" s="712">
        <v>4349086</v>
      </c>
      <c r="AL345" s="712">
        <v>4349086</v>
      </c>
      <c r="AM345" s="712">
        <v>4349086</v>
      </c>
      <c r="AN345" s="712">
        <v>4349086</v>
      </c>
      <c r="AO345" s="712">
        <v>4349086</v>
      </c>
      <c r="AP345" s="712">
        <v>4349086</v>
      </c>
      <c r="AQ345" s="712">
        <v>4349076</v>
      </c>
      <c r="AR345" s="712">
        <v>359842000</v>
      </c>
      <c r="AS345" s="712">
        <v>0</v>
      </c>
      <c r="AT345">
        <v>467560000</v>
      </c>
      <c r="AU345" s="615"/>
      <c r="AV345" s="615"/>
      <c r="AW345" s="615"/>
      <c r="AX345" s="615"/>
      <c r="AY345" s="615"/>
      <c r="AZ345" s="615"/>
      <c r="BA345" s="615"/>
      <c r="BB345" s="615"/>
      <c r="BC345" s="615"/>
      <c r="BD345" s="615"/>
      <c r="BE345" s="615"/>
      <c r="BF345" s="615"/>
      <c r="BG345" s="615"/>
      <c r="BH345" s="615"/>
      <c r="BI345" s="615"/>
      <c r="BJ345" s="615"/>
      <c r="BK345" s="615"/>
      <c r="BL345" s="615"/>
      <c r="BM345" s="615"/>
      <c r="BN345" s="615"/>
      <c r="BO345" s="615"/>
      <c r="BP345" s="615"/>
      <c r="BQ345" s="615"/>
      <c r="BR345" s="615"/>
      <c r="BS345" s="615"/>
      <c r="BT345" s="615"/>
      <c r="BU345" s="615"/>
      <c r="BV345" s="615"/>
      <c r="BW345" s="615"/>
      <c r="BX345" s="607"/>
    </row>
    <row r="346" spans="1:76" s="612" customFormat="1" ht="25.5" x14ac:dyDescent="0.2">
      <c r="A346" s="839"/>
      <c r="B346" s="713" t="s">
        <v>3494</v>
      </c>
      <c r="C346" s="713" t="s">
        <v>3493</v>
      </c>
      <c r="D346" s="712">
        <v>0</v>
      </c>
      <c r="E346" s="712">
        <v>0</v>
      </c>
      <c r="F346" s="712">
        <v>0</v>
      </c>
      <c r="G346" s="712">
        <v>0</v>
      </c>
      <c r="H346" s="712">
        <v>0</v>
      </c>
      <c r="I346" s="712">
        <v>0</v>
      </c>
      <c r="J346" s="712">
        <v>0</v>
      </c>
      <c r="K346" s="712">
        <v>0</v>
      </c>
      <c r="L346" s="712">
        <v>0</v>
      </c>
      <c r="M346" s="712">
        <v>0</v>
      </c>
      <c r="N346" s="712">
        <v>0</v>
      </c>
      <c r="O346" s="712">
        <v>0</v>
      </c>
      <c r="P346" s="712">
        <v>0</v>
      </c>
      <c r="Q346" s="712">
        <v>0</v>
      </c>
      <c r="R346" s="712">
        <v>0</v>
      </c>
      <c r="S346" s="712">
        <v>5878563</v>
      </c>
      <c r="T346" s="712">
        <v>5878563</v>
      </c>
      <c r="U346" s="712">
        <v>5878563</v>
      </c>
      <c r="V346" s="712">
        <v>5878563</v>
      </c>
      <c r="W346" s="712">
        <v>5878563</v>
      </c>
      <c r="X346" s="712">
        <v>5878563</v>
      </c>
      <c r="Y346" s="712">
        <v>5878563</v>
      </c>
      <c r="Z346" s="712">
        <v>5878563</v>
      </c>
      <c r="AA346" s="712">
        <v>5878563</v>
      </c>
      <c r="AB346" s="712">
        <v>5878563</v>
      </c>
      <c r="AC346" s="712">
        <v>5878563</v>
      </c>
      <c r="AD346" s="712">
        <v>5878563</v>
      </c>
      <c r="AE346" s="712">
        <v>5878563</v>
      </c>
      <c r="AF346" s="712">
        <v>5878563</v>
      </c>
      <c r="AG346" s="712">
        <v>5878563</v>
      </c>
      <c r="AH346" s="712">
        <v>5878563</v>
      </c>
      <c r="AI346" s="712">
        <v>5878563</v>
      </c>
      <c r="AJ346" s="712">
        <v>5878563</v>
      </c>
      <c r="AK346" s="712">
        <v>5878563</v>
      </c>
      <c r="AL346" s="712">
        <v>5878563</v>
      </c>
      <c r="AM346" s="712">
        <v>5878563</v>
      </c>
      <c r="AN346" s="712">
        <v>5878563</v>
      </c>
      <c r="AO346" s="712">
        <v>5878563</v>
      </c>
      <c r="AP346" s="712">
        <v>5878563</v>
      </c>
      <c r="AQ346" s="712">
        <v>5878549</v>
      </c>
      <c r="AR346" s="712">
        <v>395732750</v>
      </c>
      <c r="AS346" s="712">
        <v>0</v>
      </c>
      <c r="AT346">
        <v>542696811</v>
      </c>
      <c r="AU346" s="615"/>
      <c r="AV346" s="615"/>
      <c r="AW346" s="615"/>
      <c r="AX346" s="615"/>
      <c r="AY346" s="615"/>
      <c r="AZ346" s="615"/>
      <c r="BA346" s="615"/>
      <c r="BB346" s="615"/>
      <c r="BC346" s="615"/>
      <c r="BD346" s="615"/>
      <c r="BE346" s="615"/>
      <c r="BF346" s="615"/>
      <c r="BG346" s="615"/>
      <c r="BH346" s="615"/>
      <c r="BI346" s="615"/>
      <c r="BJ346" s="615"/>
      <c r="BK346" s="615"/>
      <c r="BL346" s="615"/>
      <c r="BM346" s="615"/>
      <c r="BN346" s="615"/>
      <c r="BO346" s="615"/>
      <c r="BP346" s="615"/>
      <c r="BQ346" s="615"/>
      <c r="BR346" s="615"/>
      <c r="BS346" s="615"/>
      <c r="BT346" s="615"/>
      <c r="BU346" s="615"/>
      <c r="BV346" s="615"/>
      <c r="BW346" s="615"/>
      <c r="BX346" s="607"/>
    </row>
    <row r="347" spans="1:76" s="612" customFormat="1" ht="25.5" x14ac:dyDescent="0.2">
      <c r="A347" s="839"/>
      <c r="B347" s="713" t="s">
        <v>3436</v>
      </c>
      <c r="C347" s="713" t="s">
        <v>3435</v>
      </c>
      <c r="D347" s="712">
        <v>0</v>
      </c>
      <c r="E347" s="712">
        <v>0</v>
      </c>
      <c r="F347" s="712">
        <v>0</v>
      </c>
      <c r="G347" s="712">
        <v>0</v>
      </c>
      <c r="H347" s="712">
        <v>0</v>
      </c>
      <c r="I347" s="712">
        <v>0</v>
      </c>
      <c r="J347" s="712">
        <v>0</v>
      </c>
      <c r="K347" s="712">
        <v>0</v>
      </c>
      <c r="L347" s="712">
        <v>0</v>
      </c>
      <c r="M347" s="712">
        <v>0</v>
      </c>
      <c r="N347" s="712">
        <v>0</v>
      </c>
      <c r="O347" s="712">
        <v>0</v>
      </c>
      <c r="P347" s="712">
        <v>0</v>
      </c>
      <c r="Q347" s="712">
        <v>1</v>
      </c>
      <c r="R347" s="712">
        <v>4318690</v>
      </c>
      <c r="S347" s="712">
        <v>4318690</v>
      </c>
      <c r="T347" s="712">
        <v>4318690</v>
      </c>
      <c r="U347" s="712">
        <v>4318690</v>
      </c>
      <c r="V347" s="712">
        <v>4318690</v>
      </c>
      <c r="W347" s="712">
        <v>4318690</v>
      </c>
      <c r="X347" s="712">
        <v>4318690</v>
      </c>
      <c r="Y347" s="712">
        <v>4318690</v>
      </c>
      <c r="Z347" s="712">
        <v>4318690</v>
      </c>
      <c r="AA347" s="712">
        <v>4318690</v>
      </c>
      <c r="AB347" s="712">
        <v>4318690</v>
      </c>
      <c r="AC347" s="712">
        <v>4318690</v>
      </c>
      <c r="AD347" s="712">
        <v>4318690</v>
      </c>
      <c r="AE347" s="712">
        <v>4318690</v>
      </c>
      <c r="AF347" s="712">
        <v>4318690</v>
      </c>
      <c r="AG347" s="712">
        <v>4318690</v>
      </c>
      <c r="AH347" s="712">
        <v>4318690</v>
      </c>
      <c r="AI347" s="712">
        <v>4318690</v>
      </c>
      <c r="AJ347" s="712">
        <v>4318690</v>
      </c>
      <c r="AK347" s="712">
        <v>4318690</v>
      </c>
      <c r="AL347" s="712">
        <v>4318690</v>
      </c>
      <c r="AM347" s="712">
        <v>4318690</v>
      </c>
      <c r="AN347" s="712">
        <v>4318690</v>
      </c>
      <c r="AO347" s="712">
        <v>4318690</v>
      </c>
      <c r="AP347" s="712">
        <v>4318690</v>
      </c>
      <c r="AQ347" s="712">
        <v>4318680</v>
      </c>
      <c r="AR347" s="712">
        <v>303898000</v>
      </c>
      <c r="AS347" s="712">
        <v>0</v>
      </c>
      <c r="AT347">
        <v>416183931</v>
      </c>
      <c r="AU347" s="615"/>
      <c r="AV347" s="615"/>
      <c r="AW347" s="615"/>
      <c r="AX347" s="615"/>
      <c r="AY347" s="615"/>
      <c r="AZ347" s="615"/>
      <c r="BA347" s="615"/>
      <c r="BB347" s="615"/>
      <c r="BC347" s="615"/>
      <c r="BD347" s="615"/>
      <c r="BE347" s="615"/>
      <c r="BF347" s="615"/>
      <c r="BG347" s="615"/>
      <c r="BH347" s="615"/>
      <c r="BI347" s="615"/>
      <c r="BJ347" s="615"/>
      <c r="BK347" s="615"/>
      <c r="BL347" s="615"/>
      <c r="BM347" s="615"/>
      <c r="BN347" s="615"/>
      <c r="BO347" s="615"/>
      <c r="BP347" s="615"/>
      <c r="BQ347" s="615"/>
      <c r="BR347" s="615"/>
      <c r="BS347" s="615"/>
      <c r="BT347" s="615"/>
      <c r="BU347" s="615"/>
      <c r="BV347" s="615"/>
      <c r="BW347" s="615"/>
      <c r="BX347" s="607"/>
    </row>
    <row r="348" spans="1:76" s="612" customFormat="1" ht="25.5" x14ac:dyDescent="0.2">
      <c r="A348" s="839"/>
      <c r="B348" s="713" t="s">
        <v>3139</v>
      </c>
      <c r="C348" s="713" t="s">
        <v>3138</v>
      </c>
      <c r="D348" s="712">
        <v>0</v>
      </c>
      <c r="E348" s="712">
        <v>0</v>
      </c>
      <c r="F348" s="712">
        <v>0</v>
      </c>
      <c r="G348" s="712">
        <v>0</v>
      </c>
      <c r="H348" s="712">
        <v>0</v>
      </c>
      <c r="I348" s="712">
        <v>0</v>
      </c>
      <c r="J348" s="712">
        <v>0</v>
      </c>
      <c r="K348" s="712">
        <v>0</v>
      </c>
      <c r="L348" s="712">
        <v>0</v>
      </c>
      <c r="M348" s="712">
        <v>0</v>
      </c>
      <c r="N348" s="712">
        <v>0</v>
      </c>
      <c r="O348" s="712">
        <v>0</v>
      </c>
      <c r="P348" s="712">
        <v>0</v>
      </c>
      <c r="Q348" s="712">
        <v>0</v>
      </c>
      <c r="R348" s="712">
        <v>0</v>
      </c>
      <c r="S348" s="712">
        <v>4000000</v>
      </c>
      <c r="T348" s="712">
        <v>4000000</v>
      </c>
      <c r="U348" s="712">
        <v>4000000</v>
      </c>
      <c r="V348" s="712">
        <v>4000000</v>
      </c>
      <c r="W348" s="712">
        <v>4000000</v>
      </c>
      <c r="X348" s="712">
        <v>4000000</v>
      </c>
      <c r="Y348" s="712">
        <v>4000000</v>
      </c>
      <c r="Z348" s="712">
        <v>5000000</v>
      </c>
      <c r="AA348" s="712">
        <v>5000000</v>
      </c>
      <c r="AB348" s="712">
        <v>5000000</v>
      </c>
      <c r="AC348" s="712">
        <v>5000000</v>
      </c>
      <c r="AD348" s="712">
        <v>5000000</v>
      </c>
      <c r="AE348" s="712">
        <v>5000000</v>
      </c>
      <c r="AF348" s="712">
        <v>5000000</v>
      </c>
      <c r="AG348" s="712">
        <v>5000000</v>
      </c>
      <c r="AH348" s="712">
        <v>5000000</v>
      </c>
      <c r="AI348" s="712">
        <v>6000000</v>
      </c>
      <c r="AJ348" s="712">
        <v>6000000</v>
      </c>
      <c r="AK348" s="712">
        <v>6000000</v>
      </c>
      <c r="AL348" s="712">
        <v>6000000</v>
      </c>
      <c r="AM348" s="712">
        <v>6000000</v>
      </c>
      <c r="AN348" s="712">
        <v>6000000</v>
      </c>
      <c r="AO348" s="712">
        <v>6000000</v>
      </c>
      <c r="AP348" s="712">
        <v>6000000</v>
      </c>
      <c r="AQ348" s="712">
        <v>828812</v>
      </c>
      <c r="AR348" s="712">
        <v>368978750</v>
      </c>
      <c r="AS348" s="712">
        <v>0</v>
      </c>
      <c r="AT348">
        <v>490807562</v>
      </c>
      <c r="AU348" s="615"/>
      <c r="AV348" s="615"/>
      <c r="AW348" s="615"/>
      <c r="AX348" s="615"/>
      <c r="AY348" s="615"/>
      <c r="AZ348" s="615"/>
      <c r="BA348" s="615"/>
      <c r="BB348" s="615"/>
      <c r="BC348" s="615"/>
      <c r="BD348" s="615"/>
      <c r="BE348" s="615"/>
      <c r="BF348" s="615"/>
      <c r="BG348" s="615"/>
      <c r="BH348" s="615"/>
      <c r="BI348" s="615"/>
      <c r="BJ348" s="615"/>
      <c r="BK348" s="615"/>
      <c r="BL348" s="615"/>
      <c r="BM348" s="615"/>
      <c r="BN348" s="615"/>
      <c r="BO348" s="615"/>
      <c r="BP348" s="615"/>
      <c r="BQ348" s="615"/>
      <c r="BR348" s="615"/>
      <c r="BS348" s="615"/>
      <c r="BT348" s="615"/>
      <c r="BU348" s="615"/>
      <c r="BV348" s="615"/>
      <c r="BW348" s="615"/>
      <c r="BX348" s="607"/>
    </row>
    <row r="349" spans="1:76" s="612" customFormat="1" ht="25.5" x14ac:dyDescent="0.2">
      <c r="A349" s="839"/>
      <c r="B349" s="713" t="s">
        <v>3366</v>
      </c>
      <c r="C349" s="713" t="s">
        <v>3365</v>
      </c>
      <c r="D349" s="712">
        <v>0</v>
      </c>
      <c r="E349" s="712">
        <v>0</v>
      </c>
      <c r="F349" s="712">
        <v>0</v>
      </c>
      <c r="G349" s="712">
        <v>0</v>
      </c>
      <c r="H349" s="712">
        <v>0</v>
      </c>
      <c r="I349" s="712">
        <v>0</v>
      </c>
      <c r="J349" s="712">
        <v>0</v>
      </c>
      <c r="K349" s="712">
        <v>0</v>
      </c>
      <c r="L349" s="712">
        <v>0</v>
      </c>
      <c r="M349" s="712">
        <v>0</v>
      </c>
      <c r="N349" s="712">
        <v>0</v>
      </c>
      <c r="O349" s="712">
        <v>0</v>
      </c>
      <c r="P349" s="712">
        <v>0</v>
      </c>
      <c r="Q349" s="712">
        <v>0</v>
      </c>
      <c r="R349" s="712">
        <v>0</v>
      </c>
      <c r="S349" s="712">
        <v>0</v>
      </c>
      <c r="T349" s="712">
        <v>0</v>
      </c>
      <c r="U349" s="712">
        <v>1237339</v>
      </c>
      <c r="V349" s="712">
        <v>4026371</v>
      </c>
      <c r="W349" s="712">
        <v>4026371</v>
      </c>
      <c r="X349" s="712">
        <v>4026371</v>
      </c>
      <c r="Y349" s="712">
        <v>4026371</v>
      </c>
      <c r="Z349" s="712">
        <v>4026371</v>
      </c>
      <c r="AA349" s="712">
        <v>4026371</v>
      </c>
      <c r="AB349" s="712">
        <v>4026371</v>
      </c>
      <c r="AC349" s="712">
        <v>4026371</v>
      </c>
      <c r="AD349" s="712">
        <v>4026371</v>
      </c>
      <c r="AE349" s="712">
        <v>4026371</v>
      </c>
      <c r="AF349" s="712">
        <v>4026371</v>
      </c>
      <c r="AG349" s="712">
        <v>4026371</v>
      </c>
      <c r="AH349" s="712">
        <v>4026371</v>
      </c>
      <c r="AI349" s="712">
        <v>4026371</v>
      </c>
      <c r="AJ349" s="712">
        <v>4026371</v>
      </c>
      <c r="AK349" s="712">
        <v>4026371</v>
      </c>
      <c r="AL349" s="712">
        <v>4026371</v>
      </c>
      <c r="AM349" s="712">
        <v>4026371</v>
      </c>
      <c r="AN349" s="712">
        <v>4026371</v>
      </c>
      <c r="AO349" s="712">
        <v>4026371</v>
      </c>
      <c r="AP349" s="712">
        <v>4026371</v>
      </c>
      <c r="AQ349" s="712">
        <v>4026370</v>
      </c>
      <c r="AR349" s="712">
        <v>0</v>
      </c>
      <c r="AS349" s="712">
        <v>302907500</v>
      </c>
      <c r="AT349">
        <v>392725000</v>
      </c>
      <c r="AU349" s="615"/>
      <c r="AV349" s="615"/>
      <c r="AW349" s="615"/>
      <c r="AX349" s="615"/>
      <c r="AY349" s="615"/>
      <c r="AZ349" s="615"/>
      <c r="BA349" s="615"/>
      <c r="BB349" s="615"/>
      <c r="BC349" s="615"/>
      <c r="BD349" s="615"/>
      <c r="BE349" s="615"/>
      <c r="BF349" s="615"/>
      <c r="BG349" s="615"/>
      <c r="BH349" s="615"/>
      <c r="BI349" s="615"/>
      <c r="BJ349" s="615"/>
      <c r="BK349" s="615"/>
      <c r="BL349" s="615"/>
      <c r="BM349" s="615"/>
      <c r="BN349" s="615"/>
      <c r="BO349" s="615"/>
      <c r="BP349" s="615"/>
      <c r="BQ349" s="615"/>
      <c r="BR349" s="615"/>
      <c r="BS349" s="615"/>
      <c r="BT349" s="615"/>
      <c r="BU349" s="615"/>
      <c r="BV349" s="615"/>
      <c r="BW349" s="615"/>
      <c r="BX349" s="607"/>
    </row>
    <row r="350" spans="1:76" s="612" customFormat="1" ht="25.5" x14ac:dyDescent="0.2">
      <c r="A350" s="839"/>
      <c r="B350" s="713" t="s">
        <v>4465</v>
      </c>
      <c r="C350" s="713" t="s">
        <v>3218</v>
      </c>
      <c r="D350" s="712">
        <v>0</v>
      </c>
      <c r="E350" s="712">
        <v>0</v>
      </c>
      <c r="F350" s="712">
        <v>0</v>
      </c>
      <c r="G350" s="712">
        <v>0</v>
      </c>
      <c r="H350" s="712">
        <v>0</v>
      </c>
      <c r="I350" s="712">
        <v>0</v>
      </c>
      <c r="J350" s="712">
        <v>0</v>
      </c>
      <c r="K350" s="712">
        <v>0</v>
      </c>
      <c r="L350" s="712">
        <v>0</v>
      </c>
      <c r="M350" s="712">
        <v>0</v>
      </c>
      <c r="N350" s="712">
        <v>0</v>
      </c>
      <c r="O350" s="712">
        <v>0</v>
      </c>
      <c r="P350" s="712">
        <v>0</v>
      </c>
      <c r="Q350" s="712">
        <v>0</v>
      </c>
      <c r="R350" s="712">
        <v>0</v>
      </c>
      <c r="S350" s="712">
        <v>5058858</v>
      </c>
      <c r="T350" s="712">
        <v>5061667</v>
      </c>
      <c r="U350" s="712">
        <v>5061667</v>
      </c>
      <c r="V350" s="712">
        <v>5061667</v>
      </c>
      <c r="W350" s="712">
        <v>5061667</v>
      </c>
      <c r="X350" s="712">
        <v>5061667</v>
      </c>
      <c r="Y350" s="712">
        <v>5061667</v>
      </c>
      <c r="Z350" s="712">
        <v>5061667</v>
      </c>
      <c r="AA350" s="712">
        <v>5061667</v>
      </c>
      <c r="AB350" s="712">
        <v>5061667</v>
      </c>
      <c r="AC350" s="712">
        <v>5061667</v>
      </c>
      <c r="AD350" s="712">
        <v>5061667</v>
      </c>
      <c r="AE350" s="712">
        <v>5061667</v>
      </c>
      <c r="AF350" s="712">
        <v>5061667</v>
      </c>
      <c r="AG350" s="712">
        <v>5061667</v>
      </c>
      <c r="AH350" s="712">
        <v>5061666</v>
      </c>
      <c r="AI350" s="712">
        <v>5061666</v>
      </c>
      <c r="AJ350" s="712">
        <v>5061666</v>
      </c>
      <c r="AK350" s="712">
        <v>5061666</v>
      </c>
      <c r="AL350" s="712">
        <v>5061666</v>
      </c>
      <c r="AM350" s="712">
        <v>5061666</v>
      </c>
      <c r="AN350" s="712">
        <v>5061666</v>
      </c>
      <c r="AO350" s="712">
        <v>5061666</v>
      </c>
      <c r="AP350" s="712">
        <v>5061666</v>
      </c>
      <c r="AQ350" s="712">
        <v>5061666</v>
      </c>
      <c r="AR350" s="712">
        <v>5061666</v>
      </c>
      <c r="AS350" s="712">
        <v>401415000</v>
      </c>
      <c r="AT350">
        <v>533015522</v>
      </c>
      <c r="AU350" s="615"/>
      <c r="AV350" s="615"/>
      <c r="AW350" s="615"/>
      <c r="AX350" s="615"/>
      <c r="AY350" s="615"/>
      <c r="AZ350" s="615"/>
      <c r="BA350" s="615"/>
      <c r="BB350" s="615"/>
      <c r="BC350" s="615"/>
      <c r="BD350" s="615"/>
      <c r="BE350" s="615"/>
      <c r="BF350" s="615"/>
      <c r="BG350" s="615"/>
      <c r="BH350" s="615"/>
      <c r="BI350" s="615"/>
      <c r="BJ350" s="615"/>
      <c r="BK350" s="615"/>
      <c r="BL350" s="615"/>
      <c r="BM350" s="615"/>
      <c r="BN350" s="615"/>
      <c r="BO350" s="615"/>
      <c r="BP350" s="615"/>
      <c r="BQ350" s="615"/>
      <c r="BR350" s="615"/>
      <c r="BS350" s="615"/>
      <c r="BT350" s="615"/>
      <c r="BU350" s="615"/>
      <c r="BV350" s="615"/>
      <c r="BW350" s="615"/>
      <c r="BX350" s="607"/>
    </row>
    <row r="351" spans="1:76" s="612" customFormat="1" ht="25.5" x14ac:dyDescent="0.2">
      <c r="A351" s="839"/>
      <c r="B351" s="713" t="s">
        <v>2703</v>
      </c>
      <c r="C351" s="713" t="s">
        <v>2702</v>
      </c>
      <c r="D351" s="712">
        <v>0</v>
      </c>
      <c r="E351" s="712">
        <v>0</v>
      </c>
      <c r="F351" s="712">
        <v>0</v>
      </c>
      <c r="G351" s="712">
        <v>0</v>
      </c>
      <c r="H351" s="712">
        <v>0</v>
      </c>
      <c r="I351" s="712">
        <v>0</v>
      </c>
      <c r="J351" s="712">
        <v>0</v>
      </c>
      <c r="K351" s="712">
        <v>0</v>
      </c>
      <c r="L351" s="712">
        <v>0</v>
      </c>
      <c r="M351" s="712">
        <v>0</v>
      </c>
      <c r="N351" s="712">
        <v>0</v>
      </c>
      <c r="O351" s="712">
        <v>0</v>
      </c>
      <c r="P351" s="712">
        <v>0</v>
      </c>
      <c r="Q351" s="712">
        <v>0</v>
      </c>
      <c r="R351" s="712">
        <v>298700</v>
      </c>
      <c r="S351" s="712">
        <v>3230000</v>
      </c>
      <c r="T351" s="712">
        <v>3230000</v>
      </c>
      <c r="U351" s="712">
        <v>3230000</v>
      </c>
      <c r="V351" s="712">
        <v>3230000</v>
      </c>
      <c r="W351" s="712">
        <v>3230000</v>
      </c>
      <c r="X351" s="712">
        <v>3230000</v>
      </c>
      <c r="Y351" s="712">
        <v>3230000</v>
      </c>
      <c r="Z351" s="712">
        <v>3230000</v>
      </c>
      <c r="AA351" s="712">
        <v>3230000</v>
      </c>
      <c r="AB351" s="712">
        <v>3230000</v>
      </c>
      <c r="AC351" s="712">
        <v>3230000</v>
      </c>
      <c r="AD351" s="712">
        <v>3230000</v>
      </c>
      <c r="AE351" s="712">
        <v>3230000</v>
      </c>
      <c r="AF351" s="712">
        <v>3230000</v>
      </c>
      <c r="AG351" s="712">
        <v>3230000</v>
      </c>
      <c r="AH351" s="712">
        <v>3230000</v>
      </c>
      <c r="AI351" s="712">
        <v>3230000</v>
      </c>
      <c r="AJ351" s="712">
        <v>3230000</v>
      </c>
      <c r="AK351" s="712">
        <v>3230000</v>
      </c>
      <c r="AL351" s="712">
        <v>3230000</v>
      </c>
      <c r="AM351" s="712">
        <v>3230000</v>
      </c>
      <c r="AN351" s="712">
        <v>3230000</v>
      </c>
      <c r="AO351" s="712">
        <v>3230000</v>
      </c>
      <c r="AP351" s="712">
        <v>3230000</v>
      </c>
      <c r="AQ351" s="712">
        <v>3230000</v>
      </c>
      <c r="AR351" s="712">
        <v>275450000</v>
      </c>
      <c r="AS351" s="712">
        <v>0</v>
      </c>
      <c r="AT351">
        <v>356498700</v>
      </c>
      <c r="AU351" s="615"/>
      <c r="AV351" s="615"/>
      <c r="AW351" s="615"/>
      <c r="AX351" s="615"/>
      <c r="AY351" s="615"/>
      <c r="AZ351" s="615"/>
      <c r="BA351" s="615"/>
      <c r="BB351" s="615"/>
      <c r="BC351" s="615"/>
      <c r="BD351" s="615"/>
      <c r="BE351" s="615"/>
      <c r="BF351" s="615"/>
      <c r="BG351" s="615"/>
      <c r="BH351" s="615"/>
      <c r="BI351" s="615"/>
      <c r="BJ351" s="615"/>
      <c r="BK351" s="615"/>
      <c r="BL351" s="615"/>
      <c r="BM351" s="615"/>
      <c r="BN351" s="615"/>
      <c r="BO351" s="615"/>
      <c r="BP351" s="615"/>
      <c r="BQ351" s="615"/>
      <c r="BR351" s="615"/>
      <c r="BS351" s="615"/>
      <c r="BT351" s="615"/>
      <c r="BU351" s="615"/>
      <c r="BV351" s="615"/>
      <c r="BW351" s="615"/>
      <c r="BX351" s="607"/>
    </row>
    <row r="352" spans="1:76" s="612" customFormat="1" ht="12.75" x14ac:dyDescent="0.2">
      <c r="A352" s="839"/>
      <c r="B352" s="713" t="s">
        <v>3362</v>
      </c>
      <c r="C352" s="713" t="s">
        <v>3361</v>
      </c>
      <c r="D352" s="712">
        <v>0</v>
      </c>
      <c r="E352" s="712">
        <v>0</v>
      </c>
      <c r="F352" s="712">
        <v>0</v>
      </c>
      <c r="G352" s="712">
        <v>0</v>
      </c>
      <c r="H352" s="712">
        <v>0</v>
      </c>
      <c r="I352" s="712">
        <v>0</v>
      </c>
      <c r="J352" s="712">
        <v>0</v>
      </c>
      <c r="K352" s="712">
        <v>0</v>
      </c>
      <c r="L352" s="712">
        <v>0</v>
      </c>
      <c r="M352" s="712">
        <v>0</v>
      </c>
      <c r="N352" s="712">
        <v>0</v>
      </c>
      <c r="O352" s="712">
        <v>0</v>
      </c>
      <c r="P352" s="712">
        <v>0</v>
      </c>
      <c r="Q352" s="712">
        <v>0</v>
      </c>
      <c r="R352" s="712">
        <v>0</v>
      </c>
      <c r="S352" s="712">
        <v>0</v>
      </c>
      <c r="T352" s="712">
        <v>3315901</v>
      </c>
      <c r="U352" s="712">
        <v>4578978</v>
      </c>
      <c r="V352" s="712">
        <v>4578978</v>
      </c>
      <c r="W352" s="712">
        <v>4578978</v>
      </c>
      <c r="X352" s="712">
        <v>4578978</v>
      </c>
      <c r="Y352" s="712">
        <v>4578978</v>
      </c>
      <c r="Z352" s="712">
        <v>4578978</v>
      </c>
      <c r="AA352" s="712">
        <v>4578978</v>
      </c>
      <c r="AB352" s="712">
        <v>4578978</v>
      </c>
      <c r="AC352" s="712">
        <v>4578978</v>
      </c>
      <c r="AD352" s="712">
        <v>4578978</v>
      </c>
      <c r="AE352" s="712">
        <v>4578978</v>
      </c>
      <c r="AF352" s="712">
        <v>4578978</v>
      </c>
      <c r="AG352" s="712">
        <v>4578978</v>
      </c>
      <c r="AH352" s="712">
        <v>4578978</v>
      </c>
      <c r="AI352" s="712">
        <v>4578978</v>
      </c>
      <c r="AJ352" s="712">
        <v>4578978</v>
      </c>
      <c r="AK352" s="712">
        <v>4578978</v>
      </c>
      <c r="AL352" s="712">
        <v>4578978</v>
      </c>
      <c r="AM352" s="712">
        <v>4578978</v>
      </c>
      <c r="AN352" s="712">
        <v>4578978</v>
      </c>
      <c r="AO352" s="712">
        <v>4578978</v>
      </c>
      <c r="AP352" s="712">
        <v>4578978</v>
      </c>
      <c r="AQ352" s="712">
        <v>4578978</v>
      </c>
      <c r="AR352" s="712">
        <v>4578976</v>
      </c>
      <c r="AS352" s="712">
        <v>374932250</v>
      </c>
      <c r="AT352">
        <v>488143621</v>
      </c>
      <c r="AU352" s="615"/>
      <c r="AV352" s="615"/>
      <c r="AW352" s="615"/>
      <c r="AX352" s="615"/>
      <c r="AY352" s="615"/>
      <c r="AZ352" s="615"/>
      <c r="BA352" s="615"/>
      <c r="BB352" s="615"/>
      <c r="BC352" s="615"/>
      <c r="BD352" s="615"/>
      <c r="BE352" s="615"/>
      <c r="BF352" s="615"/>
      <c r="BG352" s="615"/>
      <c r="BH352" s="615"/>
      <c r="BI352" s="615"/>
      <c r="BJ352" s="615"/>
      <c r="BK352" s="615"/>
      <c r="BL352" s="615"/>
      <c r="BM352" s="615"/>
      <c r="BN352" s="615"/>
      <c r="BO352" s="615"/>
      <c r="BP352" s="615"/>
      <c r="BQ352" s="615"/>
      <c r="BR352" s="615"/>
      <c r="BS352" s="615"/>
      <c r="BT352" s="615"/>
      <c r="BU352" s="615"/>
      <c r="BV352" s="615"/>
      <c r="BW352" s="615"/>
      <c r="BX352" s="607"/>
    </row>
    <row r="353" spans="1:76" s="612" customFormat="1" ht="25.5" x14ac:dyDescent="0.2">
      <c r="A353" s="839"/>
      <c r="B353" s="713" t="s">
        <v>3147</v>
      </c>
      <c r="C353" s="713" t="s">
        <v>3146</v>
      </c>
      <c r="D353" s="712">
        <v>0</v>
      </c>
      <c r="E353" s="712">
        <v>0</v>
      </c>
      <c r="F353" s="712">
        <v>0</v>
      </c>
      <c r="G353" s="712">
        <v>0</v>
      </c>
      <c r="H353" s="712">
        <v>0</v>
      </c>
      <c r="I353" s="712">
        <v>0</v>
      </c>
      <c r="J353" s="712">
        <v>0</v>
      </c>
      <c r="K353" s="712">
        <v>0</v>
      </c>
      <c r="L353" s="712">
        <v>0</v>
      </c>
      <c r="M353" s="712">
        <v>0</v>
      </c>
      <c r="N353" s="712">
        <v>0</v>
      </c>
      <c r="O353" s="712">
        <v>0</v>
      </c>
      <c r="P353" s="712">
        <v>0</v>
      </c>
      <c r="Q353" s="712">
        <v>0</v>
      </c>
      <c r="R353" s="712">
        <v>0</v>
      </c>
      <c r="S353" s="712">
        <v>0</v>
      </c>
      <c r="T353" s="712">
        <v>4465902</v>
      </c>
      <c r="U353" s="712">
        <v>4465904</v>
      </c>
      <c r="V353" s="712">
        <v>4465904</v>
      </c>
      <c r="W353" s="712">
        <v>4465904</v>
      </c>
      <c r="X353" s="712">
        <v>4465904</v>
      </c>
      <c r="Y353" s="712">
        <v>4465904</v>
      </c>
      <c r="Z353" s="712">
        <v>4465904</v>
      </c>
      <c r="AA353" s="712">
        <v>4465904</v>
      </c>
      <c r="AB353" s="712">
        <v>4465904</v>
      </c>
      <c r="AC353" s="712">
        <v>4465904</v>
      </c>
      <c r="AD353" s="712">
        <v>4465904</v>
      </c>
      <c r="AE353" s="712">
        <v>4465904</v>
      </c>
      <c r="AF353" s="712">
        <v>4465904</v>
      </c>
      <c r="AG353" s="712">
        <v>4465904</v>
      </c>
      <c r="AH353" s="712">
        <v>4465904</v>
      </c>
      <c r="AI353" s="712">
        <v>4465904</v>
      </c>
      <c r="AJ353" s="712">
        <v>4465904</v>
      </c>
      <c r="AK353" s="712">
        <v>4465904</v>
      </c>
      <c r="AL353" s="712">
        <v>4465904</v>
      </c>
      <c r="AM353" s="712">
        <v>4465904</v>
      </c>
      <c r="AN353" s="712">
        <v>4465904</v>
      </c>
      <c r="AO353" s="712">
        <v>4465904</v>
      </c>
      <c r="AP353" s="712">
        <v>4465904</v>
      </c>
      <c r="AQ353" s="712">
        <v>4465918</v>
      </c>
      <c r="AR353" s="712">
        <v>365961750</v>
      </c>
      <c r="AS353" s="712">
        <v>0</v>
      </c>
      <c r="AT353">
        <v>473143458</v>
      </c>
      <c r="AU353" s="615"/>
      <c r="AV353" s="615"/>
      <c r="AW353" s="615"/>
      <c r="AX353" s="615"/>
      <c r="AY353" s="615"/>
      <c r="AZ353" s="615"/>
      <c r="BA353" s="615"/>
      <c r="BB353" s="615"/>
      <c r="BC353" s="615"/>
      <c r="BD353" s="615"/>
      <c r="BE353" s="615"/>
      <c r="BF353" s="615"/>
      <c r="BG353" s="615"/>
      <c r="BH353" s="615"/>
      <c r="BI353" s="615"/>
      <c r="BJ353" s="615"/>
      <c r="BK353" s="615"/>
      <c r="BL353" s="615"/>
      <c r="BM353" s="615"/>
      <c r="BN353" s="615"/>
      <c r="BO353" s="615"/>
      <c r="BP353" s="615"/>
      <c r="BQ353" s="615"/>
      <c r="BR353" s="615"/>
      <c r="BS353" s="615"/>
      <c r="BT353" s="615"/>
      <c r="BU353" s="615"/>
      <c r="BV353" s="615"/>
      <c r="BW353" s="615"/>
      <c r="BX353" s="607"/>
    </row>
    <row r="354" spans="1:76" s="612" customFormat="1" ht="25.5" x14ac:dyDescent="0.2">
      <c r="A354" s="839"/>
      <c r="B354" s="713" t="s">
        <v>3434</v>
      </c>
      <c r="C354" s="713" t="s">
        <v>3433</v>
      </c>
      <c r="D354" s="712">
        <v>0</v>
      </c>
      <c r="E354" s="712">
        <v>0</v>
      </c>
      <c r="F354" s="712">
        <v>0</v>
      </c>
      <c r="G354" s="712">
        <v>0</v>
      </c>
      <c r="H354" s="712">
        <v>0</v>
      </c>
      <c r="I354" s="712">
        <v>0</v>
      </c>
      <c r="J354" s="712">
        <v>0</v>
      </c>
      <c r="K354" s="712">
        <v>0</v>
      </c>
      <c r="L354" s="712">
        <v>0</v>
      </c>
      <c r="M354" s="712">
        <v>0</v>
      </c>
      <c r="N354" s="712">
        <v>0</v>
      </c>
      <c r="O354" s="712">
        <v>0</v>
      </c>
      <c r="P354" s="712">
        <v>0</v>
      </c>
      <c r="Q354" s="712">
        <v>0</v>
      </c>
      <c r="R354" s="712">
        <v>0</v>
      </c>
      <c r="S354" s="712">
        <v>0</v>
      </c>
      <c r="T354" s="712">
        <v>5649790</v>
      </c>
      <c r="U354" s="712">
        <v>5649965</v>
      </c>
      <c r="V354" s="712">
        <v>5649965</v>
      </c>
      <c r="W354" s="712">
        <v>5649965</v>
      </c>
      <c r="X354" s="712">
        <v>5649965</v>
      </c>
      <c r="Y354" s="712">
        <v>5649965</v>
      </c>
      <c r="Z354" s="712">
        <v>5649965</v>
      </c>
      <c r="AA354" s="712">
        <v>5649965</v>
      </c>
      <c r="AB354" s="712">
        <v>5649965</v>
      </c>
      <c r="AC354" s="712">
        <v>5649965</v>
      </c>
      <c r="AD354" s="712">
        <v>5649965</v>
      </c>
      <c r="AE354" s="712">
        <v>5649965</v>
      </c>
      <c r="AF354" s="712">
        <v>5649965</v>
      </c>
      <c r="AG354" s="712">
        <v>5649965</v>
      </c>
      <c r="AH354" s="712">
        <v>5649965</v>
      </c>
      <c r="AI354" s="712">
        <v>5649965</v>
      </c>
      <c r="AJ354" s="712">
        <v>5649965</v>
      </c>
      <c r="AK354" s="712">
        <v>5649965</v>
      </c>
      <c r="AL354" s="712">
        <v>5649965</v>
      </c>
      <c r="AM354" s="712">
        <v>5649965</v>
      </c>
      <c r="AN354" s="712">
        <v>5649965</v>
      </c>
      <c r="AO354" s="712">
        <v>5649965</v>
      </c>
      <c r="AP354" s="712">
        <v>5649965</v>
      </c>
      <c r="AQ354" s="712">
        <v>5649980</v>
      </c>
      <c r="AR354" s="712">
        <v>393981000</v>
      </c>
      <c r="AS354" s="712">
        <v>0</v>
      </c>
      <c r="AT354">
        <v>529580000</v>
      </c>
      <c r="AU354" s="615"/>
      <c r="AV354" s="615"/>
      <c r="AW354" s="615"/>
      <c r="AX354" s="615"/>
      <c r="AY354" s="615"/>
      <c r="AZ354" s="615"/>
      <c r="BA354" s="615"/>
      <c r="BB354" s="615"/>
      <c r="BC354" s="615"/>
      <c r="BD354" s="615"/>
      <c r="BE354" s="615"/>
      <c r="BF354" s="615"/>
      <c r="BG354" s="615"/>
      <c r="BH354" s="615"/>
      <c r="BI354" s="615"/>
      <c r="BJ354" s="615"/>
      <c r="BK354" s="615"/>
      <c r="BL354" s="615"/>
      <c r="BM354" s="615"/>
      <c r="BN354" s="615"/>
      <c r="BO354" s="615"/>
      <c r="BP354" s="615"/>
      <c r="BQ354" s="615"/>
      <c r="BR354" s="615"/>
      <c r="BS354" s="615"/>
      <c r="BT354" s="615"/>
      <c r="BU354" s="615"/>
      <c r="BV354" s="615"/>
      <c r="BW354" s="615"/>
      <c r="BX354" s="607"/>
    </row>
    <row r="355" spans="1:76" s="612" customFormat="1" ht="25.5" x14ac:dyDescent="0.2">
      <c r="A355" s="839"/>
      <c r="B355" s="713" t="s">
        <v>4228</v>
      </c>
      <c r="C355" s="713" t="s">
        <v>4227</v>
      </c>
      <c r="D355" s="712">
        <v>0</v>
      </c>
      <c r="E355" s="712">
        <v>0</v>
      </c>
      <c r="F355" s="712">
        <v>0</v>
      </c>
      <c r="G355" s="712">
        <v>0</v>
      </c>
      <c r="H355" s="712">
        <v>0</v>
      </c>
      <c r="I355" s="712">
        <v>0</v>
      </c>
      <c r="J355" s="712">
        <v>0</v>
      </c>
      <c r="K355" s="712">
        <v>0</v>
      </c>
      <c r="L355" s="712">
        <v>0</v>
      </c>
      <c r="M355" s="712">
        <v>0</v>
      </c>
      <c r="N355" s="712">
        <v>0</v>
      </c>
      <c r="O355" s="712">
        <v>0</v>
      </c>
      <c r="P355" s="712">
        <v>0</v>
      </c>
      <c r="Q355" s="712">
        <v>0</v>
      </c>
      <c r="R355" s="712">
        <v>0</v>
      </c>
      <c r="S355" s="712">
        <v>4672370</v>
      </c>
      <c r="T355" s="712">
        <v>4672370</v>
      </c>
      <c r="U355" s="712">
        <v>4672370</v>
      </c>
      <c r="V355" s="712">
        <v>4672370</v>
      </c>
      <c r="W355" s="712">
        <v>4672370</v>
      </c>
      <c r="X355" s="712">
        <v>4672370</v>
      </c>
      <c r="Y355" s="712">
        <v>4672370</v>
      </c>
      <c r="Z355" s="712">
        <v>4672370</v>
      </c>
      <c r="AA355" s="712">
        <v>4672370</v>
      </c>
      <c r="AB355" s="712">
        <v>4672370</v>
      </c>
      <c r="AC355" s="712">
        <v>4672370</v>
      </c>
      <c r="AD355" s="712">
        <v>4672370</v>
      </c>
      <c r="AE355" s="712">
        <v>4672370</v>
      </c>
      <c r="AF355" s="712">
        <v>4672370</v>
      </c>
      <c r="AG355" s="712">
        <v>4672370</v>
      </c>
      <c r="AH355" s="712">
        <v>4672370</v>
      </c>
      <c r="AI355" s="712">
        <v>4672370</v>
      </c>
      <c r="AJ355" s="712">
        <v>4672370</v>
      </c>
      <c r="AK355" s="712">
        <v>4672370</v>
      </c>
      <c r="AL355" s="712">
        <v>4672370</v>
      </c>
      <c r="AM355" s="712">
        <v>4672370</v>
      </c>
      <c r="AN355" s="712">
        <v>4672370</v>
      </c>
      <c r="AO355" s="712">
        <v>4672370</v>
      </c>
      <c r="AP355" s="712">
        <v>4672370</v>
      </c>
      <c r="AQ355" s="712">
        <v>4672380</v>
      </c>
      <c r="AR355" s="712">
        <v>306026000</v>
      </c>
      <c r="AS355" s="712">
        <v>0</v>
      </c>
      <c r="AT355">
        <v>422835260</v>
      </c>
      <c r="AU355" s="615"/>
      <c r="AV355" s="615"/>
      <c r="AW355" s="615"/>
      <c r="AX355" s="615"/>
      <c r="AY355" s="615"/>
      <c r="AZ355" s="615"/>
      <c r="BA355" s="615"/>
      <c r="BB355" s="615"/>
      <c r="BC355" s="615"/>
      <c r="BD355" s="615"/>
      <c r="BE355" s="615"/>
      <c r="BF355" s="615"/>
      <c r="BG355" s="615"/>
      <c r="BH355" s="615"/>
      <c r="BI355" s="615"/>
      <c r="BJ355" s="615"/>
      <c r="BK355" s="615"/>
      <c r="BL355" s="615"/>
      <c r="BM355" s="615"/>
      <c r="BN355" s="615"/>
      <c r="BO355" s="615"/>
      <c r="BP355" s="615"/>
      <c r="BQ355" s="615"/>
      <c r="BR355" s="615"/>
      <c r="BS355" s="615"/>
      <c r="BT355" s="615"/>
      <c r="BU355" s="615"/>
      <c r="BV355" s="615"/>
      <c r="BW355" s="615"/>
      <c r="BX355" s="607"/>
    </row>
    <row r="356" spans="1:76" s="612" customFormat="1" ht="25.5" x14ac:dyDescent="0.2">
      <c r="A356" s="839"/>
      <c r="B356" s="713" t="s">
        <v>2970</v>
      </c>
      <c r="C356" s="713" t="s">
        <v>2969</v>
      </c>
      <c r="D356" s="712">
        <v>0</v>
      </c>
      <c r="E356" s="712">
        <v>0</v>
      </c>
      <c r="F356" s="712">
        <v>0</v>
      </c>
      <c r="G356" s="712">
        <v>0</v>
      </c>
      <c r="H356" s="712">
        <v>0</v>
      </c>
      <c r="I356" s="712">
        <v>0</v>
      </c>
      <c r="J356" s="712">
        <v>0</v>
      </c>
      <c r="K356" s="712">
        <v>0</v>
      </c>
      <c r="L356" s="712">
        <v>0</v>
      </c>
      <c r="M356" s="712">
        <v>0</v>
      </c>
      <c r="N356" s="712">
        <v>0</v>
      </c>
      <c r="O356" s="712">
        <v>0</v>
      </c>
      <c r="P356" s="712">
        <v>0</v>
      </c>
      <c r="Q356" s="712">
        <v>0</v>
      </c>
      <c r="R356" s="712">
        <v>0</v>
      </c>
      <c r="S356" s="712">
        <v>4646440</v>
      </c>
      <c r="T356" s="712">
        <v>4663144</v>
      </c>
      <c r="U356" s="712">
        <v>4663144</v>
      </c>
      <c r="V356" s="712">
        <v>4663144</v>
      </c>
      <c r="W356" s="712">
        <v>4663144</v>
      </c>
      <c r="X356" s="712">
        <v>4663144</v>
      </c>
      <c r="Y356" s="712">
        <v>4663144</v>
      </c>
      <c r="Z356" s="712">
        <v>4663144</v>
      </c>
      <c r="AA356" s="712">
        <v>4663144</v>
      </c>
      <c r="AB356" s="712">
        <v>4663144</v>
      </c>
      <c r="AC356" s="712">
        <v>4663144</v>
      </c>
      <c r="AD356" s="712">
        <v>4663144</v>
      </c>
      <c r="AE356" s="712">
        <v>4663144</v>
      </c>
      <c r="AF356" s="712">
        <v>4663144</v>
      </c>
      <c r="AG356" s="712">
        <v>4663144</v>
      </c>
      <c r="AH356" s="712">
        <v>4663144</v>
      </c>
      <c r="AI356" s="712">
        <v>4663144</v>
      </c>
      <c r="AJ356" s="712">
        <v>4663144</v>
      </c>
      <c r="AK356" s="712">
        <v>4663144</v>
      </c>
      <c r="AL356" s="712">
        <v>4663144</v>
      </c>
      <c r="AM356" s="712">
        <v>4663144</v>
      </c>
      <c r="AN356" s="712">
        <v>4663144</v>
      </c>
      <c r="AO356" s="712">
        <v>4663144</v>
      </c>
      <c r="AP356" s="712">
        <v>4663142</v>
      </c>
      <c r="AQ356" s="712">
        <v>370728750</v>
      </c>
      <c r="AR356" s="712">
        <v>0</v>
      </c>
      <c r="AS356" s="712">
        <v>0</v>
      </c>
      <c r="AT356">
        <v>482627500</v>
      </c>
      <c r="AU356" s="615"/>
      <c r="AV356" s="615"/>
      <c r="AW356" s="615"/>
      <c r="AX356" s="615"/>
      <c r="AY356" s="615"/>
      <c r="AZ356" s="615"/>
      <c r="BA356" s="615"/>
      <c r="BB356" s="615"/>
      <c r="BC356" s="615"/>
      <c r="BD356" s="615"/>
      <c r="BE356" s="615"/>
      <c r="BF356" s="615"/>
      <c r="BG356" s="615"/>
      <c r="BH356" s="615"/>
      <c r="BI356" s="615"/>
      <c r="BJ356" s="615"/>
      <c r="BK356" s="615"/>
      <c r="BL356" s="615"/>
      <c r="BM356" s="615"/>
      <c r="BN356" s="615"/>
      <c r="BO356" s="615"/>
      <c r="BP356" s="615"/>
      <c r="BQ356" s="615"/>
      <c r="BR356" s="615"/>
      <c r="BS356" s="615"/>
      <c r="BT356" s="615"/>
      <c r="BU356" s="615"/>
      <c r="BV356" s="615"/>
      <c r="BW356" s="615"/>
      <c r="BX356" s="607"/>
    </row>
    <row r="357" spans="1:76" s="612" customFormat="1" ht="25.5" x14ac:dyDescent="0.2">
      <c r="A357" s="839"/>
      <c r="B357" s="713" t="s">
        <v>3276</v>
      </c>
      <c r="C357" s="713" t="s">
        <v>3275</v>
      </c>
      <c r="D357" s="712">
        <v>0</v>
      </c>
      <c r="E357" s="712">
        <v>0</v>
      </c>
      <c r="F357" s="712">
        <v>0</v>
      </c>
      <c r="G357" s="712">
        <v>0</v>
      </c>
      <c r="H357" s="712">
        <v>0</v>
      </c>
      <c r="I357" s="712">
        <v>0</v>
      </c>
      <c r="J357" s="712">
        <v>0</v>
      </c>
      <c r="K357" s="712">
        <v>0</v>
      </c>
      <c r="L357" s="712">
        <v>0</v>
      </c>
      <c r="M357" s="712">
        <v>0</v>
      </c>
      <c r="N357" s="712">
        <v>0</v>
      </c>
      <c r="O357" s="712">
        <v>0</v>
      </c>
      <c r="P357" s="712">
        <v>0</v>
      </c>
      <c r="Q357" s="712">
        <v>95411</v>
      </c>
      <c r="R357" s="712">
        <v>5227578</v>
      </c>
      <c r="S357" s="712">
        <v>5227578</v>
      </c>
      <c r="T357" s="712">
        <v>5227578</v>
      </c>
      <c r="U357" s="712">
        <v>5227578</v>
      </c>
      <c r="V357" s="712">
        <v>5227578</v>
      </c>
      <c r="W357" s="712">
        <v>5227578</v>
      </c>
      <c r="X357" s="712">
        <v>5227578</v>
      </c>
      <c r="Y357" s="712">
        <v>5227578</v>
      </c>
      <c r="Z357" s="712">
        <v>5227578</v>
      </c>
      <c r="AA357" s="712">
        <v>5227578</v>
      </c>
      <c r="AB357" s="712">
        <v>5227578</v>
      </c>
      <c r="AC357" s="712">
        <v>5227578</v>
      </c>
      <c r="AD357" s="712">
        <v>5227578</v>
      </c>
      <c r="AE357" s="712">
        <v>5227578</v>
      </c>
      <c r="AF357" s="712">
        <v>5227578</v>
      </c>
      <c r="AG357" s="712">
        <v>5227578</v>
      </c>
      <c r="AH357" s="712">
        <v>5227578</v>
      </c>
      <c r="AI357" s="712">
        <v>5227578</v>
      </c>
      <c r="AJ357" s="712">
        <v>5227578</v>
      </c>
      <c r="AK357" s="712">
        <v>5227578</v>
      </c>
      <c r="AL357" s="712">
        <v>5227578</v>
      </c>
      <c r="AM357" s="712">
        <v>5227578</v>
      </c>
      <c r="AN357" s="712">
        <v>5227579</v>
      </c>
      <c r="AO357" s="712">
        <v>5227579</v>
      </c>
      <c r="AP357" s="712">
        <v>5227579</v>
      </c>
      <c r="AQ357" s="712">
        <v>5227579</v>
      </c>
      <c r="AR357" s="712">
        <v>401992500</v>
      </c>
      <c r="AS357" s="712">
        <v>0</v>
      </c>
      <c r="AT357">
        <v>538004943</v>
      </c>
      <c r="AU357" s="615"/>
      <c r="AV357" s="615"/>
      <c r="AW357" s="615"/>
      <c r="AX357" s="615"/>
      <c r="AY357" s="615"/>
      <c r="AZ357" s="615"/>
      <c r="BA357" s="615"/>
      <c r="BB357" s="615"/>
      <c r="BC357" s="615"/>
      <c r="BD357" s="615"/>
      <c r="BE357" s="615"/>
      <c r="BF357" s="615"/>
      <c r="BG357" s="615"/>
      <c r="BH357" s="615"/>
      <c r="BI357" s="615"/>
      <c r="BJ357" s="615"/>
      <c r="BK357" s="615"/>
      <c r="BL357" s="615"/>
      <c r="BM357" s="615"/>
      <c r="BN357" s="615"/>
      <c r="BO357" s="615"/>
      <c r="BP357" s="615"/>
      <c r="BQ357" s="615"/>
      <c r="BR357" s="615"/>
      <c r="BS357" s="615"/>
      <c r="BT357" s="615"/>
      <c r="BU357" s="615"/>
      <c r="BV357" s="615"/>
      <c r="BW357" s="615"/>
      <c r="BX357" s="607"/>
    </row>
    <row r="358" spans="1:76" s="612" customFormat="1" ht="25.5" x14ac:dyDescent="0.2">
      <c r="A358" s="839"/>
      <c r="B358" s="713" t="s">
        <v>2959</v>
      </c>
      <c r="C358" s="713" t="s">
        <v>2958</v>
      </c>
      <c r="D358" s="712">
        <v>0</v>
      </c>
      <c r="E358" s="712">
        <v>0</v>
      </c>
      <c r="F358" s="712">
        <v>0</v>
      </c>
      <c r="G358" s="712">
        <v>0</v>
      </c>
      <c r="H358" s="712">
        <v>0</v>
      </c>
      <c r="I358" s="712">
        <v>0</v>
      </c>
      <c r="J358" s="712">
        <v>0</v>
      </c>
      <c r="K358" s="712">
        <v>0</v>
      </c>
      <c r="L358" s="712">
        <v>0</v>
      </c>
      <c r="M358" s="712">
        <v>0</v>
      </c>
      <c r="N358" s="712">
        <v>0</v>
      </c>
      <c r="O358" s="712">
        <v>0</v>
      </c>
      <c r="P358" s="712">
        <v>0</v>
      </c>
      <c r="Q358" s="712">
        <v>0</v>
      </c>
      <c r="R358" s="712">
        <v>0</v>
      </c>
      <c r="S358" s="712">
        <v>4252000</v>
      </c>
      <c r="T358" s="712">
        <v>4263000</v>
      </c>
      <c r="U358" s="712">
        <v>4263000</v>
      </c>
      <c r="V358" s="712">
        <v>4263000</v>
      </c>
      <c r="W358" s="712">
        <v>4263000</v>
      </c>
      <c r="X358" s="712">
        <v>4263000</v>
      </c>
      <c r="Y358" s="712">
        <v>4263000</v>
      </c>
      <c r="Z358" s="712">
        <v>4263000</v>
      </c>
      <c r="AA358" s="712">
        <v>4263000</v>
      </c>
      <c r="AB358" s="712">
        <v>4263000</v>
      </c>
      <c r="AC358" s="712">
        <v>4263000</v>
      </c>
      <c r="AD358" s="712">
        <v>4263000</v>
      </c>
      <c r="AE358" s="712">
        <v>4263000</v>
      </c>
      <c r="AF358" s="712">
        <v>4263000</v>
      </c>
      <c r="AG358" s="712">
        <v>4263000</v>
      </c>
      <c r="AH358" s="712">
        <v>4263000</v>
      </c>
      <c r="AI358" s="712">
        <v>4263000</v>
      </c>
      <c r="AJ358" s="712">
        <v>4263000</v>
      </c>
      <c r="AK358" s="712">
        <v>4263000</v>
      </c>
      <c r="AL358" s="712">
        <v>4263000</v>
      </c>
      <c r="AM358" s="712">
        <v>4263000</v>
      </c>
      <c r="AN358" s="712">
        <v>4263000</v>
      </c>
      <c r="AO358" s="712">
        <v>4263000</v>
      </c>
      <c r="AP358" s="712">
        <v>4263000</v>
      </c>
      <c r="AQ358" s="712">
        <v>4256000</v>
      </c>
      <c r="AR358" s="712">
        <v>352862000</v>
      </c>
      <c r="AS358" s="712">
        <v>0</v>
      </c>
      <c r="AT358">
        <v>459419000</v>
      </c>
      <c r="AU358" s="615"/>
      <c r="AV358" s="615"/>
      <c r="AW358" s="615"/>
      <c r="AX358" s="615"/>
      <c r="AY358" s="615"/>
      <c r="AZ358" s="615"/>
      <c r="BA358" s="615"/>
      <c r="BB358" s="615"/>
      <c r="BC358" s="615"/>
      <c r="BD358" s="615"/>
      <c r="BE358" s="615"/>
      <c r="BF358" s="615"/>
      <c r="BG358" s="615"/>
      <c r="BH358" s="615"/>
      <c r="BI358" s="615"/>
      <c r="BJ358" s="615"/>
      <c r="BK358" s="615"/>
      <c r="BL358" s="615"/>
      <c r="BM358" s="615"/>
      <c r="BN358" s="615"/>
      <c r="BO358" s="615"/>
      <c r="BP358" s="615"/>
      <c r="BQ358" s="615"/>
      <c r="BR358" s="615"/>
      <c r="BS358" s="615"/>
      <c r="BT358" s="615"/>
      <c r="BU358" s="615"/>
      <c r="BV358" s="615"/>
      <c r="BW358" s="615"/>
      <c r="BX358" s="607"/>
    </row>
    <row r="359" spans="1:76" s="612" customFormat="1" ht="25.5" x14ac:dyDescent="0.2">
      <c r="A359" s="839"/>
      <c r="B359" s="713" t="s">
        <v>3500</v>
      </c>
      <c r="C359" s="713" t="s">
        <v>3499</v>
      </c>
      <c r="D359" s="712">
        <v>0</v>
      </c>
      <c r="E359" s="712">
        <v>0</v>
      </c>
      <c r="F359" s="712">
        <v>0</v>
      </c>
      <c r="G359" s="712">
        <v>0</v>
      </c>
      <c r="H359" s="712">
        <v>0</v>
      </c>
      <c r="I359" s="712">
        <v>0</v>
      </c>
      <c r="J359" s="712">
        <v>0</v>
      </c>
      <c r="K359" s="712">
        <v>0</v>
      </c>
      <c r="L359" s="712">
        <v>0</v>
      </c>
      <c r="M359" s="712">
        <v>0</v>
      </c>
      <c r="N359" s="712">
        <v>0</v>
      </c>
      <c r="O359" s="712">
        <v>0</v>
      </c>
      <c r="P359" s="712">
        <v>0</v>
      </c>
      <c r="Q359" s="712">
        <v>0</v>
      </c>
      <c r="R359" s="712">
        <v>0</v>
      </c>
      <c r="S359" s="712">
        <v>0</v>
      </c>
      <c r="T359" s="712">
        <v>0</v>
      </c>
      <c r="U359" s="712">
        <v>0</v>
      </c>
      <c r="V359" s="712">
        <v>0</v>
      </c>
      <c r="W359" s="712">
        <v>0</v>
      </c>
      <c r="X359" s="712">
        <v>4291295</v>
      </c>
      <c r="Y359" s="712">
        <v>6098152</v>
      </c>
      <c r="Z359" s="712">
        <v>6098152</v>
      </c>
      <c r="AA359" s="712">
        <v>6098152</v>
      </c>
      <c r="AB359" s="712">
        <v>6098152</v>
      </c>
      <c r="AC359" s="712">
        <v>6098152</v>
      </c>
      <c r="AD359" s="712">
        <v>6098152</v>
      </c>
      <c r="AE359" s="712">
        <v>6098152</v>
      </c>
      <c r="AF359" s="712">
        <v>6098152</v>
      </c>
      <c r="AG359" s="712">
        <v>6098152</v>
      </c>
      <c r="AH359" s="712">
        <v>6098152</v>
      </c>
      <c r="AI359" s="712">
        <v>6098152</v>
      </c>
      <c r="AJ359" s="712">
        <v>6098152</v>
      </c>
      <c r="AK359" s="712">
        <v>6098152</v>
      </c>
      <c r="AL359" s="712">
        <v>6098152</v>
      </c>
      <c r="AM359" s="712">
        <v>6098152</v>
      </c>
      <c r="AN359" s="712">
        <v>6098152</v>
      </c>
      <c r="AO359" s="712">
        <v>6098152</v>
      </c>
      <c r="AP359" s="712">
        <v>6098152</v>
      </c>
      <c r="AQ359" s="712">
        <v>6098146</v>
      </c>
      <c r="AR359" s="712">
        <v>410079250</v>
      </c>
      <c r="AS359" s="712">
        <v>0</v>
      </c>
      <c r="AT359">
        <v>530235427</v>
      </c>
      <c r="AU359" s="615"/>
      <c r="AV359" s="615"/>
      <c r="AW359" s="615"/>
      <c r="AX359" s="615"/>
      <c r="AY359" s="615"/>
      <c r="AZ359" s="615"/>
      <c r="BA359" s="615"/>
      <c r="BB359" s="615"/>
      <c r="BC359" s="615"/>
      <c r="BD359" s="615"/>
      <c r="BE359" s="615"/>
      <c r="BF359" s="615"/>
      <c r="BG359" s="615"/>
      <c r="BH359" s="615"/>
      <c r="BI359" s="615"/>
      <c r="BJ359" s="615"/>
      <c r="BK359" s="615"/>
      <c r="BL359" s="615"/>
      <c r="BM359" s="615"/>
      <c r="BN359" s="615"/>
      <c r="BO359" s="615"/>
      <c r="BP359" s="615"/>
      <c r="BQ359" s="615"/>
      <c r="BR359" s="615"/>
      <c r="BS359" s="615"/>
      <c r="BT359" s="615"/>
      <c r="BU359" s="615"/>
      <c r="BV359" s="615"/>
      <c r="BW359" s="615"/>
      <c r="BX359" s="607"/>
    </row>
    <row r="360" spans="1:76" s="612" customFormat="1" ht="25.5" x14ac:dyDescent="0.2">
      <c r="A360" s="839"/>
      <c r="B360" s="713" t="s">
        <v>3350</v>
      </c>
      <c r="C360" s="713" t="s">
        <v>3349</v>
      </c>
      <c r="D360" s="712">
        <v>0</v>
      </c>
      <c r="E360" s="712">
        <v>0</v>
      </c>
      <c r="F360" s="712">
        <v>0</v>
      </c>
      <c r="G360" s="712">
        <v>0</v>
      </c>
      <c r="H360" s="712">
        <v>0</v>
      </c>
      <c r="I360" s="712">
        <v>0</v>
      </c>
      <c r="J360" s="712">
        <v>0</v>
      </c>
      <c r="K360" s="712">
        <v>0</v>
      </c>
      <c r="L360" s="712">
        <v>0</v>
      </c>
      <c r="M360" s="712">
        <v>0</v>
      </c>
      <c r="N360" s="712">
        <v>0</v>
      </c>
      <c r="O360" s="712">
        <v>0</v>
      </c>
      <c r="P360" s="712">
        <v>0</v>
      </c>
      <c r="Q360" s="712">
        <v>0</v>
      </c>
      <c r="R360" s="712">
        <v>0</v>
      </c>
      <c r="S360" s="712">
        <v>3971935</v>
      </c>
      <c r="T360" s="712">
        <v>3971935</v>
      </c>
      <c r="U360" s="712">
        <v>3971935</v>
      </c>
      <c r="V360" s="712">
        <v>3971935</v>
      </c>
      <c r="W360" s="712">
        <v>3971935</v>
      </c>
      <c r="X360" s="712">
        <v>3971935</v>
      </c>
      <c r="Y360" s="712">
        <v>3971935</v>
      </c>
      <c r="Z360" s="712">
        <v>3971935</v>
      </c>
      <c r="AA360" s="712">
        <v>3971935</v>
      </c>
      <c r="AB360" s="712">
        <v>3971935</v>
      </c>
      <c r="AC360" s="712">
        <v>3971935</v>
      </c>
      <c r="AD360" s="712">
        <v>3971935</v>
      </c>
      <c r="AE360" s="712">
        <v>3971935</v>
      </c>
      <c r="AF360" s="712">
        <v>3971935</v>
      </c>
      <c r="AG360" s="712">
        <v>3971935</v>
      </c>
      <c r="AH360" s="712">
        <v>3971935</v>
      </c>
      <c r="AI360" s="712">
        <v>3971935</v>
      </c>
      <c r="AJ360" s="712">
        <v>3971935</v>
      </c>
      <c r="AK360" s="712">
        <v>3971935</v>
      </c>
      <c r="AL360" s="712">
        <v>3971935</v>
      </c>
      <c r="AM360" s="712">
        <v>3971935</v>
      </c>
      <c r="AN360" s="712">
        <v>3971935</v>
      </c>
      <c r="AO360" s="712">
        <v>3971935</v>
      </c>
      <c r="AP360" s="712">
        <v>3971935</v>
      </c>
      <c r="AQ360" s="712">
        <v>3971950</v>
      </c>
      <c r="AR360" s="712">
        <v>298970000</v>
      </c>
      <c r="AS360" s="712">
        <v>0</v>
      </c>
      <c r="AT360">
        <v>398268390</v>
      </c>
      <c r="AU360" s="615"/>
      <c r="AV360" s="615"/>
      <c r="AW360" s="615"/>
      <c r="AX360" s="615"/>
      <c r="AY360" s="615"/>
      <c r="AZ360" s="615"/>
      <c r="BA360" s="615"/>
      <c r="BB360" s="615"/>
      <c r="BC360" s="615"/>
      <c r="BD360" s="615"/>
      <c r="BE360" s="615"/>
      <c r="BF360" s="615"/>
      <c r="BG360" s="615"/>
      <c r="BH360" s="615"/>
      <c r="BI360" s="615"/>
      <c r="BJ360" s="615"/>
      <c r="BK360" s="615"/>
      <c r="BL360" s="615"/>
      <c r="BM360" s="615"/>
      <c r="BN360" s="615"/>
      <c r="BO360" s="615"/>
      <c r="BP360" s="615"/>
      <c r="BQ360" s="615"/>
      <c r="BR360" s="615"/>
      <c r="BS360" s="615"/>
      <c r="BT360" s="615"/>
      <c r="BU360" s="615"/>
      <c r="BV360" s="615"/>
      <c r="BW360" s="615"/>
      <c r="BX360" s="607"/>
    </row>
    <row r="361" spans="1:76" s="612" customFormat="1" ht="25.5" x14ac:dyDescent="0.2">
      <c r="A361" s="839"/>
      <c r="B361" s="713" t="s">
        <v>2976</v>
      </c>
      <c r="C361" s="713" t="s">
        <v>2975</v>
      </c>
      <c r="D361" s="712">
        <v>0</v>
      </c>
      <c r="E361" s="712">
        <v>0</v>
      </c>
      <c r="F361" s="712">
        <v>0</v>
      </c>
      <c r="G361" s="712">
        <v>0</v>
      </c>
      <c r="H361" s="712">
        <v>0</v>
      </c>
      <c r="I361" s="712">
        <v>0</v>
      </c>
      <c r="J361" s="712">
        <v>0</v>
      </c>
      <c r="K361" s="712">
        <v>0</v>
      </c>
      <c r="L361" s="712">
        <v>0</v>
      </c>
      <c r="M361" s="712">
        <v>0</v>
      </c>
      <c r="N361" s="712">
        <v>0</v>
      </c>
      <c r="O361" s="712">
        <v>0</v>
      </c>
      <c r="P361" s="712">
        <v>0</v>
      </c>
      <c r="Q361" s="712">
        <v>0</v>
      </c>
      <c r="R361" s="712">
        <v>0</v>
      </c>
      <c r="S361" s="712">
        <v>0</v>
      </c>
      <c r="T361" s="712">
        <v>3290000</v>
      </c>
      <c r="U361" s="712">
        <v>3290000</v>
      </c>
      <c r="V361" s="712">
        <v>3290000</v>
      </c>
      <c r="W361" s="712">
        <v>3290000</v>
      </c>
      <c r="X361" s="712">
        <v>3290000</v>
      </c>
      <c r="Y361" s="712">
        <v>3290000</v>
      </c>
      <c r="Z361" s="712">
        <v>3290000</v>
      </c>
      <c r="AA361" s="712">
        <v>3290000</v>
      </c>
      <c r="AB361" s="712">
        <v>3290000</v>
      </c>
      <c r="AC361" s="712">
        <v>3290000</v>
      </c>
      <c r="AD361" s="712">
        <v>3290000</v>
      </c>
      <c r="AE361" s="712">
        <v>3290000</v>
      </c>
      <c r="AF361" s="712">
        <v>3290000</v>
      </c>
      <c r="AG361" s="712">
        <v>3290000</v>
      </c>
      <c r="AH361" s="712">
        <v>3290000</v>
      </c>
      <c r="AI361" s="712">
        <v>3290000</v>
      </c>
      <c r="AJ361" s="712">
        <v>3290000</v>
      </c>
      <c r="AK361" s="712">
        <v>3290000</v>
      </c>
      <c r="AL361" s="712">
        <v>3290000</v>
      </c>
      <c r="AM361" s="712">
        <v>3290000</v>
      </c>
      <c r="AN361" s="712">
        <v>3290000</v>
      </c>
      <c r="AO361" s="712">
        <v>3290000</v>
      </c>
      <c r="AP361" s="712">
        <v>3290000</v>
      </c>
      <c r="AQ361" s="712">
        <v>3290000</v>
      </c>
      <c r="AR361" s="712">
        <v>273350000</v>
      </c>
      <c r="AS361" s="712">
        <v>0</v>
      </c>
      <c r="AT361">
        <v>352310000</v>
      </c>
      <c r="AU361" s="615"/>
      <c r="AV361" s="615"/>
      <c r="AW361" s="615"/>
      <c r="AX361" s="615"/>
      <c r="AY361" s="615"/>
      <c r="AZ361" s="615"/>
      <c r="BA361" s="615"/>
      <c r="BB361" s="615"/>
      <c r="BC361" s="615"/>
      <c r="BD361" s="615"/>
      <c r="BE361" s="615"/>
      <c r="BF361" s="615"/>
      <c r="BG361" s="615"/>
      <c r="BH361" s="615"/>
      <c r="BI361" s="615"/>
      <c r="BJ361" s="615"/>
      <c r="BK361" s="615"/>
      <c r="BL361" s="615"/>
      <c r="BM361" s="615"/>
      <c r="BN361" s="615"/>
      <c r="BO361" s="615"/>
      <c r="BP361" s="615"/>
      <c r="BQ361" s="615"/>
      <c r="BR361" s="615"/>
      <c r="BS361" s="615"/>
      <c r="BT361" s="615"/>
      <c r="BU361" s="615"/>
      <c r="BV361" s="615"/>
      <c r="BW361" s="615"/>
      <c r="BX361" s="607"/>
    </row>
    <row r="362" spans="1:76" s="612" customFormat="1" ht="25.5" x14ac:dyDescent="0.2">
      <c r="A362" s="839"/>
      <c r="B362" s="713" t="s">
        <v>3432</v>
      </c>
      <c r="C362" s="713" t="s">
        <v>3431</v>
      </c>
      <c r="D362" s="712">
        <v>0</v>
      </c>
      <c r="E362" s="712">
        <v>0</v>
      </c>
      <c r="F362" s="712">
        <v>0</v>
      </c>
      <c r="G362" s="712">
        <v>0</v>
      </c>
      <c r="H362" s="712">
        <v>0</v>
      </c>
      <c r="I362" s="712">
        <v>0</v>
      </c>
      <c r="J362" s="712">
        <v>0</v>
      </c>
      <c r="K362" s="712">
        <v>0</v>
      </c>
      <c r="L362" s="712">
        <v>0</v>
      </c>
      <c r="M362" s="712">
        <v>0</v>
      </c>
      <c r="N362" s="712">
        <v>0</v>
      </c>
      <c r="O362" s="712">
        <v>0</v>
      </c>
      <c r="P362" s="712">
        <v>0</v>
      </c>
      <c r="Q362" s="712">
        <v>0</v>
      </c>
      <c r="R362" s="712">
        <v>0</v>
      </c>
      <c r="S362" s="712">
        <v>0</v>
      </c>
      <c r="T362" s="712">
        <v>4950481</v>
      </c>
      <c r="U362" s="712">
        <v>5335783</v>
      </c>
      <c r="V362" s="712">
        <v>5335783</v>
      </c>
      <c r="W362" s="712">
        <v>5335783</v>
      </c>
      <c r="X362" s="712">
        <v>5335783</v>
      </c>
      <c r="Y362" s="712">
        <v>5335783</v>
      </c>
      <c r="Z362" s="712">
        <v>5335783</v>
      </c>
      <c r="AA362" s="712">
        <v>5335783</v>
      </c>
      <c r="AB362" s="712">
        <v>5335783</v>
      </c>
      <c r="AC362" s="712">
        <v>5335783</v>
      </c>
      <c r="AD362" s="712">
        <v>5335783</v>
      </c>
      <c r="AE362" s="712">
        <v>5335783</v>
      </c>
      <c r="AF362" s="712">
        <v>5335783</v>
      </c>
      <c r="AG362" s="712">
        <v>5335783</v>
      </c>
      <c r="AH362" s="712">
        <v>5335783</v>
      </c>
      <c r="AI362" s="712">
        <v>5335783</v>
      </c>
      <c r="AJ362" s="712">
        <v>5335783</v>
      </c>
      <c r="AK362" s="712">
        <v>5335783</v>
      </c>
      <c r="AL362" s="712">
        <v>5335783</v>
      </c>
      <c r="AM362" s="712">
        <v>5335783</v>
      </c>
      <c r="AN362" s="712">
        <v>5335783</v>
      </c>
      <c r="AO362" s="712">
        <v>5335783</v>
      </c>
      <c r="AP362" s="712">
        <v>5335783</v>
      </c>
      <c r="AQ362" s="712">
        <v>5335793</v>
      </c>
      <c r="AR362" s="712">
        <v>385171500</v>
      </c>
      <c r="AS362" s="712">
        <v>0</v>
      </c>
      <c r="AT362">
        <v>512845000</v>
      </c>
      <c r="AU362" s="615"/>
      <c r="AV362" s="615"/>
      <c r="AW362" s="615"/>
      <c r="AX362" s="615"/>
      <c r="AY362" s="615"/>
      <c r="AZ362" s="615"/>
      <c r="BA362" s="615"/>
      <c r="BB362" s="615"/>
      <c r="BC362" s="615"/>
      <c r="BD362" s="615"/>
      <c r="BE362" s="615"/>
      <c r="BF362" s="615"/>
      <c r="BG362" s="615"/>
      <c r="BH362" s="615"/>
      <c r="BI362" s="615"/>
      <c r="BJ362" s="615"/>
      <c r="BK362" s="615"/>
      <c r="BL362" s="615"/>
      <c r="BM362" s="615"/>
      <c r="BN362" s="615"/>
      <c r="BO362" s="615"/>
      <c r="BP362" s="615"/>
      <c r="BQ362" s="615"/>
      <c r="BR362" s="615"/>
      <c r="BS362" s="615"/>
      <c r="BT362" s="615"/>
      <c r="BU362" s="615"/>
      <c r="BV362" s="615"/>
      <c r="BW362" s="615"/>
      <c r="BX362" s="607"/>
    </row>
    <row r="363" spans="1:76" s="612" customFormat="1" ht="25.5" x14ac:dyDescent="0.2">
      <c r="A363" s="839"/>
      <c r="B363" s="713" t="s">
        <v>3225</v>
      </c>
      <c r="C363" s="713" t="s">
        <v>3224</v>
      </c>
      <c r="D363" s="712">
        <v>0</v>
      </c>
      <c r="E363" s="712">
        <v>0</v>
      </c>
      <c r="F363" s="712">
        <v>0</v>
      </c>
      <c r="G363" s="712">
        <v>0</v>
      </c>
      <c r="H363" s="712">
        <v>0</v>
      </c>
      <c r="I363" s="712">
        <v>0</v>
      </c>
      <c r="J363" s="712">
        <v>0</v>
      </c>
      <c r="K363" s="712">
        <v>0</v>
      </c>
      <c r="L363" s="712">
        <v>0</v>
      </c>
      <c r="M363" s="712">
        <v>0</v>
      </c>
      <c r="N363" s="712">
        <v>0</v>
      </c>
      <c r="O363" s="712">
        <v>0</v>
      </c>
      <c r="P363" s="712">
        <v>0</v>
      </c>
      <c r="Q363" s="712">
        <v>0</v>
      </c>
      <c r="R363" s="712">
        <v>0</v>
      </c>
      <c r="S363" s="712">
        <v>0</v>
      </c>
      <c r="T363" s="712">
        <v>3604773</v>
      </c>
      <c r="U363" s="712">
        <v>3617197</v>
      </c>
      <c r="V363" s="712">
        <v>3617197</v>
      </c>
      <c r="W363" s="712">
        <v>3617197</v>
      </c>
      <c r="X363" s="712">
        <v>3617197</v>
      </c>
      <c r="Y363" s="712">
        <v>3617197</v>
      </c>
      <c r="Z363" s="712">
        <v>3617197</v>
      </c>
      <c r="AA363" s="712">
        <v>3617197</v>
      </c>
      <c r="AB363" s="712">
        <v>3617197</v>
      </c>
      <c r="AC363" s="712">
        <v>3617197</v>
      </c>
      <c r="AD363" s="712">
        <v>3617197</v>
      </c>
      <c r="AE363" s="712">
        <v>3617197</v>
      </c>
      <c r="AF363" s="712">
        <v>3617197</v>
      </c>
      <c r="AG363" s="712">
        <v>3617197</v>
      </c>
      <c r="AH363" s="712">
        <v>3617197</v>
      </c>
      <c r="AI363" s="712">
        <v>3617197</v>
      </c>
      <c r="AJ363" s="712">
        <v>3617197</v>
      </c>
      <c r="AK363" s="712">
        <v>3617197</v>
      </c>
      <c r="AL363" s="712">
        <v>3617197</v>
      </c>
      <c r="AM363" s="712">
        <v>3617197</v>
      </c>
      <c r="AN363" s="712">
        <v>3617197</v>
      </c>
      <c r="AO363" s="712">
        <v>3617197</v>
      </c>
      <c r="AP363" s="712">
        <v>3617197</v>
      </c>
      <c r="AQ363" s="712">
        <v>3617197</v>
      </c>
      <c r="AR363" s="712">
        <v>3617196</v>
      </c>
      <c r="AS363" s="712">
        <v>301857500</v>
      </c>
      <c r="AT363">
        <v>392275000</v>
      </c>
      <c r="AU363" s="615"/>
      <c r="AV363" s="615"/>
      <c r="AW363" s="615"/>
      <c r="AX363" s="615"/>
      <c r="AY363" s="615"/>
      <c r="AZ363" s="615"/>
      <c r="BA363" s="615"/>
      <c r="BB363" s="615"/>
      <c r="BC363" s="615"/>
      <c r="BD363" s="615"/>
      <c r="BE363" s="615"/>
      <c r="BF363" s="615"/>
      <c r="BG363" s="615"/>
      <c r="BH363" s="615"/>
      <c r="BI363" s="615"/>
      <c r="BJ363" s="615"/>
      <c r="BK363" s="615"/>
      <c r="BL363" s="615"/>
      <c r="BM363" s="615"/>
      <c r="BN363" s="615"/>
      <c r="BO363" s="615"/>
      <c r="BP363" s="615"/>
      <c r="BQ363" s="615"/>
      <c r="BR363" s="615"/>
      <c r="BS363" s="615"/>
      <c r="BT363" s="615"/>
      <c r="BU363" s="615"/>
      <c r="BV363" s="615"/>
      <c r="BW363" s="615"/>
      <c r="BX363" s="607"/>
    </row>
    <row r="364" spans="1:76" s="612" customFormat="1" ht="25.5" x14ac:dyDescent="0.2">
      <c r="A364" s="839"/>
      <c r="B364" s="713" t="s">
        <v>2707</v>
      </c>
      <c r="C364" s="713" t="s">
        <v>2706</v>
      </c>
      <c r="D364" s="712">
        <v>0</v>
      </c>
      <c r="E364" s="712">
        <v>0</v>
      </c>
      <c r="F364" s="712">
        <v>0</v>
      </c>
      <c r="G364" s="712">
        <v>0</v>
      </c>
      <c r="H364" s="712">
        <v>0</v>
      </c>
      <c r="I364" s="712">
        <v>0</v>
      </c>
      <c r="J364" s="712">
        <v>0</v>
      </c>
      <c r="K364" s="712">
        <v>0</v>
      </c>
      <c r="L364" s="712">
        <v>0</v>
      </c>
      <c r="M364" s="712">
        <v>0</v>
      </c>
      <c r="N364" s="712">
        <v>0</v>
      </c>
      <c r="O364" s="712">
        <v>0</v>
      </c>
      <c r="P364" s="712">
        <v>0</v>
      </c>
      <c r="Q364" s="712">
        <v>0</v>
      </c>
      <c r="R364" s="712">
        <v>0</v>
      </c>
      <c r="S364" s="712">
        <v>1798575</v>
      </c>
      <c r="T364" s="712">
        <v>3500000</v>
      </c>
      <c r="U364" s="712">
        <v>3500000</v>
      </c>
      <c r="V364" s="712">
        <v>5000000</v>
      </c>
      <c r="W364" s="712">
        <v>3500000</v>
      </c>
      <c r="X364" s="712">
        <v>3500000</v>
      </c>
      <c r="Y364" s="712">
        <v>3500000</v>
      </c>
      <c r="Z364" s="712">
        <v>3500000</v>
      </c>
      <c r="AA364" s="712">
        <v>3500000</v>
      </c>
      <c r="AB364" s="712">
        <v>5000000</v>
      </c>
      <c r="AC364" s="712">
        <v>3500000</v>
      </c>
      <c r="AD364" s="712">
        <v>3500000</v>
      </c>
      <c r="AE364" s="712">
        <v>3500000</v>
      </c>
      <c r="AF364" s="712">
        <v>3500000</v>
      </c>
      <c r="AG364" s="712">
        <v>3500000</v>
      </c>
      <c r="AH364" s="712">
        <v>5000000</v>
      </c>
      <c r="AI364" s="712">
        <v>3500000</v>
      </c>
      <c r="AJ364" s="712">
        <v>3500000</v>
      </c>
      <c r="AK364" s="712">
        <v>3500000</v>
      </c>
      <c r="AL364" s="712">
        <v>3500000</v>
      </c>
      <c r="AM364" s="712">
        <v>3500000</v>
      </c>
      <c r="AN364" s="712">
        <v>5000000</v>
      </c>
      <c r="AO364" s="712">
        <v>3500000</v>
      </c>
      <c r="AP364" s="712">
        <v>3500000</v>
      </c>
      <c r="AQ364" s="712">
        <v>27797000</v>
      </c>
      <c r="AR364" s="712">
        <v>368193000</v>
      </c>
      <c r="AS364" s="712">
        <v>0</v>
      </c>
      <c r="AT364">
        <v>484288575</v>
      </c>
      <c r="AU364" s="615"/>
      <c r="AV364" s="615"/>
      <c r="AW364" s="615"/>
      <c r="AX364" s="615"/>
      <c r="AY364" s="615"/>
      <c r="AZ364" s="615"/>
      <c r="BA364" s="615"/>
      <c r="BB364" s="615"/>
      <c r="BC364" s="615"/>
      <c r="BD364" s="615"/>
      <c r="BE364" s="615"/>
      <c r="BF364" s="615"/>
      <c r="BG364" s="615"/>
      <c r="BH364" s="615"/>
      <c r="BI364" s="615"/>
      <c r="BJ364" s="615"/>
      <c r="BK364" s="615"/>
      <c r="BL364" s="615"/>
      <c r="BM364" s="615"/>
      <c r="BN364" s="615"/>
      <c r="BO364" s="615"/>
      <c r="BP364" s="615"/>
      <c r="BQ364" s="615"/>
      <c r="BR364" s="615"/>
      <c r="BS364" s="615"/>
      <c r="BT364" s="615"/>
      <c r="BU364" s="615"/>
      <c r="BV364" s="615"/>
      <c r="BW364" s="615"/>
      <c r="BX364" s="607"/>
    </row>
    <row r="365" spans="1:76" s="612" customFormat="1" ht="25.5" x14ac:dyDescent="0.2">
      <c r="A365" s="839"/>
      <c r="B365" s="713" t="s">
        <v>3005</v>
      </c>
      <c r="C365" s="713" t="s">
        <v>4466</v>
      </c>
      <c r="D365" s="712">
        <v>0</v>
      </c>
      <c r="E365" s="712">
        <v>0</v>
      </c>
      <c r="F365" s="712">
        <v>0</v>
      </c>
      <c r="G365" s="712">
        <v>0</v>
      </c>
      <c r="H365" s="712">
        <v>0</v>
      </c>
      <c r="I365" s="712">
        <v>0</v>
      </c>
      <c r="J365" s="712">
        <v>0</v>
      </c>
      <c r="K365" s="712">
        <v>0</v>
      </c>
      <c r="L365" s="712">
        <v>0</v>
      </c>
      <c r="M365" s="712">
        <v>0</v>
      </c>
      <c r="N365" s="712">
        <v>0</v>
      </c>
      <c r="O365" s="712">
        <v>0</v>
      </c>
      <c r="P365" s="712">
        <v>967406</v>
      </c>
      <c r="Q365" s="712">
        <v>1300000</v>
      </c>
      <c r="R365" s="712">
        <v>1300000</v>
      </c>
      <c r="S365" s="712">
        <v>1300000</v>
      </c>
      <c r="T365" s="712">
        <v>1300000</v>
      </c>
      <c r="U365" s="712">
        <v>1300000</v>
      </c>
      <c r="V365" s="712">
        <v>3500000</v>
      </c>
      <c r="W365" s="712">
        <v>1400000</v>
      </c>
      <c r="X365" s="712">
        <v>1400000</v>
      </c>
      <c r="Y365" s="712">
        <v>1400000</v>
      </c>
      <c r="Z365" s="712">
        <v>1400000</v>
      </c>
      <c r="AA365" s="712">
        <v>1400000</v>
      </c>
      <c r="AB365" s="712">
        <v>3500000</v>
      </c>
      <c r="AC365" s="712">
        <v>1400000</v>
      </c>
      <c r="AD365" s="712">
        <v>1400000</v>
      </c>
      <c r="AE365" s="712">
        <v>1400000</v>
      </c>
      <c r="AF365" s="712">
        <v>40000000</v>
      </c>
      <c r="AG365" s="712">
        <v>1400000</v>
      </c>
      <c r="AH365" s="712">
        <v>3500000</v>
      </c>
      <c r="AI365" s="712">
        <v>1500000</v>
      </c>
      <c r="AJ365" s="712">
        <v>1500000</v>
      </c>
      <c r="AK365" s="712">
        <v>1500000</v>
      </c>
      <c r="AL365" s="712">
        <v>1500000</v>
      </c>
      <c r="AM365" s="712">
        <v>1500000</v>
      </c>
      <c r="AN365" s="712">
        <v>3500000</v>
      </c>
      <c r="AO365" s="712">
        <v>1500000</v>
      </c>
      <c r="AP365" s="712">
        <v>1500000</v>
      </c>
      <c r="AQ365" s="712">
        <v>15654600</v>
      </c>
      <c r="AR365" s="712">
        <v>276627400</v>
      </c>
      <c r="AS365" s="712">
        <v>0</v>
      </c>
      <c r="AT365">
        <v>376849406</v>
      </c>
      <c r="AU365" s="615"/>
      <c r="AV365" s="615"/>
      <c r="AW365" s="615"/>
      <c r="AX365" s="615"/>
      <c r="AY365" s="615"/>
      <c r="AZ365" s="615"/>
      <c r="BA365" s="615"/>
      <c r="BB365" s="615"/>
      <c r="BC365" s="615"/>
      <c r="BD365" s="615"/>
      <c r="BE365" s="615"/>
      <c r="BF365" s="615"/>
      <c r="BG365" s="615"/>
      <c r="BH365" s="615"/>
      <c r="BI365" s="615"/>
      <c r="BJ365" s="615"/>
      <c r="BK365" s="615"/>
      <c r="BL365" s="615"/>
      <c r="BM365" s="615"/>
      <c r="BN365" s="615"/>
      <c r="BO365" s="615"/>
      <c r="BP365" s="615"/>
      <c r="BQ365" s="615"/>
      <c r="BR365" s="615"/>
      <c r="BS365" s="615"/>
      <c r="BT365" s="615"/>
      <c r="BU365" s="615"/>
      <c r="BV365" s="615"/>
      <c r="BW365" s="615"/>
      <c r="BX365" s="607"/>
    </row>
    <row r="366" spans="1:76" s="612" customFormat="1" ht="12.75" x14ac:dyDescent="0.2">
      <c r="A366" s="839"/>
      <c r="B366" s="838" t="s">
        <v>1573</v>
      </c>
      <c r="C366" s="713" t="s">
        <v>3152</v>
      </c>
      <c r="D366" s="712">
        <v>0</v>
      </c>
      <c r="E366" s="712">
        <v>0</v>
      </c>
      <c r="F366" s="712">
        <v>0</v>
      </c>
      <c r="G366" s="712">
        <v>0</v>
      </c>
      <c r="H366" s="712">
        <v>0</v>
      </c>
      <c r="I366" s="712">
        <v>0</v>
      </c>
      <c r="J366" s="712">
        <v>0</v>
      </c>
      <c r="K366" s="712">
        <v>0</v>
      </c>
      <c r="L366" s="712">
        <v>0</v>
      </c>
      <c r="M366" s="712">
        <v>0</v>
      </c>
      <c r="N366" s="712">
        <v>0</v>
      </c>
      <c r="O366" s="712">
        <v>0</v>
      </c>
      <c r="P366" s="712">
        <v>0</v>
      </c>
      <c r="Q366" s="712">
        <v>0</v>
      </c>
      <c r="R366" s="712">
        <v>0</v>
      </c>
      <c r="S366" s="712">
        <v>0</v>
      </c>
      <c r="T366" s="712">
        <v>3200000</v>
      </c>
      <c r="U366" s="712">
        <v>3200000</v>
      </c>
      <c r="V366" s="712">
        <v>3200000</v>
      </c>
      <c r="W366" s="712">
        <v>3200000</v>
      </c>
      <c r="X366" s="712">
        <v>3200000</v>
      </c>
      <c r="Y366" s="712">
        <v>3200000</v>
      </c>
      <c r="Z366" s="712">
        <v>3200000</v>
      </c>
      <c r="AA366" s="712">
        <v>3200000</v>
      </c>
      <c r="AB366" s="712">
        <v>3200000</v>
      </c>
      <c r="AC366" s="712">
        <v>3200000</v>
      </c>
      <c r="AD366" s="712">
        <v>3200000</v>
      </c>
      <c r="AE366" s="712">
        <v>3200000</v>
      </c>
      <c r="AF366" s="712">
        <v>3200000</v>
      </c>
      <c r="AG366" s="712">
        <v>3200000</v>
      </c>
      <c r="AH366" s="712">
        <v>3200000</v>
      </c>
      <c r="AI366" s="712">
        <v>3200000</v>
      </c>
      <c r="AJ366" s="712">
        <v>3200000</v>
      </c>
      <c r="AK366" s="712">
        <v>3200000</v>
      </c>
      <c r="AL366" s="712">
        <v>3200000</v>
      </c>
      <c r="AM366" s="712">
        <v>3200000</v>
      </c>
      <c r="AN366" s="712">
        <v>3200000</v>
      </c>
      <c r="AO366" s="712">
        <v>3200000</v>
      </c>
      <c r="AP366" s="712">
        <v>3200000</v>
      </c>
      <c r="AQ366" s="712">
        <v>3868100</v>
      </c>
      <c r="AR366" s="712">
        <v>274558900</v>
      </c>
      <c r="AS366" s="712">
        <v>0</v>
      </c>
      <c r="AT366">
        <v>352027000</v>
      </c>
      <c r="AU366" s="615"/>
      <c r="AV366" s="615"/>
      <c r="AW366" s="615"/>
      <c r="AX366" s="615"/>
      <c r="AY366" s="615"/>
      <c r="AZ366" s="615"/>
      <c r="BA366" s="615"/>
      <c r="BB366" s="615"/>
      <c r="BC366" s="615"/>
      <c r="BD366" s="615"/>
      <c r="BE366" s="615"/>
      <c r="BF366" s="615"/>
      <c r="BG366" s="615"/>
      <c r="BH366" s="615"/>
      <c r="BI366" s="615"/>
      <c r="BJ366" s="615"/>
      <c r="BK366" s="615"/>
      <c r="BL366" s="615"/>
      <c r="BM366" s="615"/>
      <c r="BN366" s="615"/>
      <c r="BO366" s="615"/>
      <c r="BP366" s="615"/>
      <c r="BQ366" s="615"/>
      <c r="BR366" s="615"/>
      <c r="BS366" s="615"/>
      <c r="BT366" s="615"/>
      <c r="BU366" s="615"/>
      <c r="BV366" s="615"/>
      <c r="BW366" s="615"/>
      <c r="BX366" s="607"/>
    </row>
    <row r="367" spans="1:76" s="612" customFormat="1" ht="12.75" x14ac:dyDescent="0.2">
      <c r="A367" s="839"/>
      <c r="B367" s="839"/>
      <c r="C367" s="713" t="s">
        <v>2987</v>
      </c>
      <c r="D367" s="712">
        <v>0</v>
      </c>
      <c r="E367" s="712">
        <v>0</v>
      </c>
      <c r="F367" s="712">
        <v>0</v>
      </c>
      <c r="G367" s="712">
        <v>0</v>
      </c>
      <c r="H367" s="712">
        <v>0</v>
      </c>
      <c r="I367" s="712">
        <v>0</v>
      </c>
      <c r="J367" s="712">
        <v>0</v>
      </c>
      <c r="K367" s="712">
        <v>0</v>
      </c>
      <c r="L367" s="712">
        <v>0</v>
      </c>
      <c r="M367" s="712">
        <v>0</v>
      </c>
      <c r="N367" s="712">
        <v>0</v>
      </c>
      <c r="O367" s="712">
        <v>0</v>
      </c>
      <c r="P367" s="712">
        <v>0</v>
      </c>
      <c r="Q367" s="712">
        <v>0</v>
      </c>
      <c r="R367" s="712">
        <v>0</v>
      </c>
      <c r="S367" s="712">
        <v>0</v>
      </c>
      <c r="T367" s="712">
        <v>4300000</v>
      </c>
      <c r="U367" s="712">
        <v>4300000</v>
      </c>
      <c r="V367" s="712">
        <v>4300000</v>
      </c>
      <c r="W367" s="712">
        <v>4300000</v>
      </c>
      <c r="X367" s="712">
        <v>4300000</v>
      </c>
      <c r="Y367" s="712">
        <v>4300000</v>
      </c>
      <c r="Z367" s="712">
        <v>4300000</v>
      </c>
      <c r="AA367" s="712">
        <v>4300000</v>
      </c>
      <c r="AB367" s="712">
        <v>4300000</v>
      </c>
      <c r="AC367" s="712">
        <v>4300000</v>
      </c>
      <c r="AD367" s="712">
        <v>4300000</v>
      </c>
      <c r="AE367" s="712">
        <v>4300000</v>
      </c>
      <c r="AF367" s="712">
        <v>4300000</v>
      </c>
      <c r="AG367" s="712">
        <v>4300000</v>
      </c>
      <c r="AH367" s="712">
        <v>4300000</v>
      </c>
      <c r="AI367" s="712">
        <v>4300000</v>
      </c>
      <c r="AJ367" s="712">
        <v>4300000</v>
      </c>
      <c r="AK367" s="712">
        <v>4300000</v>
      </c>
      <c r="AL367" s="712">
        <v>4300000</v>
      </c>
      <c r="AM367" s="712">
        <v>4300000</v>
      </c>
      <c r="AN367" s="712">
        <v>4300000</v>
      </c>
      <c r="AO367" s="712">
        <v>4300000</v>
      </c>
      <c r="AP367" s="712">
        <v>4300000</v>
      </c>
      <c r="AQ367" s="712">
        <v>6449250</v>
      </c>
      <c r="AR367" s="712">
        <v>367848250</v>
      </c>
      <c r="AS367" s="712">
        <v>0</v>
      </c>
      <c r="AT367">
        <v>473197500</v>
      </c>
      <c r="AU367" s="615"/>
      <c r="AV367" s="615"/>
      <c r="AW367" s="615"/>
      <c r="AX367" s="615"/>
      <c r="AY367" s="615"/>
      <c r="AZ367" s="615"/>
      <c r="BA367" s="615"/>
      <c r="BB367" s="615"/>
      <c r="BC367" s="615"/>
      <c r="BD367" s="615"/>
      <c r="BE367" s="615"/>
      <c r="BF367" s="615"/>
      <c r="BG367" s="615"/>
      <c r="BH367" s="615"/>
      <c r="BI367" s="615"/>
      <c r="BJ367" s="615"/>
      <c r="BK367" s="615"/>
      <c r="BL367" s="615"/>
      <c r="BM367" s="615"/>
      <c r="BN367" s="615"/>
      <c r="BO367" s="615"/>
      <c r="BP367" s="615"/>
      <c r="BQ367" s="615"/>
      <c r="BR367" s="615"/>
      <c r="BS367" s="615"/>
      <c r="BT367" s="615"/>
      <c r="BU367" s="615"/>
      <c r="BV367" s="615"/>
      <c r="BW367" s="615"/>
      <c r="BX367" s="607"/>
    </row>
    <row r="368" spans="1:76" s="612" customFormat="1" ht="12.75" x14ac:dyDescent="0.2">
      <c r="A368" s="839"/>
      <c r="B368" s="713" t="s">
        <v>3001</v>
      </c>
      <c r="C368" s="713" t="s">
        <v>3000</v>
      </c>
      <c r="D368" s="712">
        <v>0</v>
      </c>
      <c r="E368" s="712">
        <v>0</v>
      </c>
      <c r="F368" s="712">
        <v>0</v>
      </c>
      <c r="G368" s="712">
        <v>0</v>
      </c>
      <c r="H368" s="712">
        <v>0</v>
      </c>
      <c r="I368" s="712">
        <v>0</v>
      </c>
      <c r="J368" s="712">
        <v>0</v>
      </c>
      <c r="K368" s="712">
        <v>0</v>
      </c>
      <c r="L368" s="712">
        <v>0</v>
      </c>
      <c r="M368" s="712">
        <v>0</v>
      </c>
      <c r="N368" s="712">
        <v>0</v>
      </c>
      <c r="O368" s="712">
        <v>0</v>
      </c>
      <c r="P368" s="712">
        <v>0</v>
      </c>
      <c r="Q368" s="712">
        <v>0</v>
      </c>
      <c r="R368" s="712">
        <v>0</v>
      </c>
      <c r="S368" s="712">
        <v>0</v>
      </c>
      <c r="T368" s="712">
        <v>1327276</v>
      </c>
      <c r="U368" s="712">
        <v>4406857</v>
      </c>
      <c r="V368" s="712">
        <v>4406857</v>
      </c>
      <c r="W368" s="712">
        <v>4406857</v>
      </c>
      <c r="X368" s="712">
        <v>4406857</v>
      </c>
      <c r="Y368" s="712">
        <v>4406857</v>
      </c>
      <c r="Z368" s="712">
        <v>4406857</v>
      </c>
      <c r="AA368" s="712">
        <v>4406857</v>
      </c>
      <c r="AB368" s="712">
        <v>4406857</v>
      </c>
      <c r="AC368" s="712">
        <v>4406857</v>
      </c>
      <c r="AD368" s="712">
        <v>4406857</v>
      </c>
      <c r="AE368" s="712">
        <v>4406857</v>
      </c>
      <c r="AF368" s="712">
        <v>4406857</v>
      </c>
      <c r="AG368" s="712">
        <v>4406857</v>
      </c>
      <c r="AH368" s="712">
        <v>4406857</v>
      </c>
      <c r="AI368" s="712">
        <v>4406857</v>
      </c>
      <c r="AJ368" s="712">
        <v>4406857</v>
      </c>
      <c r="AK368" s="712">
        <v>4406857</v>
      </c>
      <c r="AL368" s="712">
        <v>4406857</v>
      </c>
      <c r="AM368" s="712">
        <v>4406857</v>
      </c>
      <c r="AN368" s="712">
        <v>4406857</v>
      </c>
      <c r="AO368" s="712">
        <v>4406857</v>
      </c>
      <c r="AP368" s="712">
        <v>4406857</v>
      </c>
      <c r="AQ368" s="712">
        <v>4406862</v>
      </c>
      <c r="AR368" s="712">
        <v>371560000</v>
      </c>
      <c r="AS368" s="712">
        <v>0</v>
      </c>
      <c r="AT368">
        <v>474244992</v>
      </c>
      <c r="AU368" s="615"/>
      <c r="AV368" s="615"/>
      <c r="AW368" s="615"/>
      <c r="AX368" s="615"/>
      <c r="AY368" s="615"/>
      <c r="AZ368" s="615"/>
      <c r="BA368" s="615"/>
      <c r="BB368" s="615"/>
      <c r="BC368" s="615"/>
      <c r="BD368" s="615"/>
      <c r="BE368" s="615"/>
      <c r="BF368" s="615"/>
      <c r="BG368" s="615"/>
      <c r="BH368" s="615"/>
      <c r="BI368" s="615"/>
      <c r="BJ368" s="615"/>
      <c r="BK368" s="615"/>
      <c r="BL368" s="615"/>
      <c r="BM368" s="615"/>
      <c r="BN368" s="615"/>
      <c r="BO368" s="615"/>
      <c r="BP368" s="615"/>
      <c r="BQ368" s="615"/>
      <c r="BR368" s="615"/>
      <c r="BS368" s="615"/>
      <c r="BT368" s="615"/>
      <c r="BU368" s="615"/>
      <c r="BV368" s="615"/>
      <c r="BW368" s="615"/>
      <c r="BX368" s="607"/>
    </row>
    <row r="369" spans="1:76" s="612" customFormat="1" ht="25.5" x14ac:dyDescent="0.2">
      <c r="A369" s="839"/>
      <c r="B369" s="713" t="s">
        <v>1719</v>
      </c>
      <c r="C369" s="713" t="s">
        <v>2991</v>
      </c>
      <c r="D369" s="712">
        <v>0</v>
      </c>
      <c r="E369" s="712">
        <v>0</v>
      </c>
      <c r="F369" s="712">
        <v>0</v>
      </c>
      <c r="G369" s="712">
        <v>0</v>
      </c>
      <c r="H369" s="712">
        <v>0</v>
      </c>
      <c r="I369" s="712">
        <v>0</v>
      </c>
      <c r="J369" s="712">
        <v>0</v>
      </c>
      <c r="K369" s="712">
        <v>0</v>
      </c>
      <c r="L369" s="712">
        <v>0</v>
      </c>
      <c r="M369" s="712">
        <v>0</v>
      </c>
      <c r="N369" s="712">
        <v>0</v>
      </c>
      <c r="O369" s="712">
        <v>0</v>
      </c>
      <c r="P369" s="712">
        <v>0</v>
      </c>
      <c r="Q369" s="712">
        <v>0</v>
      </c>
      <c r="R369" s="712">
        <v>0</v>
      </c>
      <c r="S369" s="712">
        <v>0</v>
      </c>
      <c r="T369" s="712">
        <v>0</v>
      </c>
      <c r="U369" s="712">
        <v>0</v>
      </c>
      <c r="V369" s="712">
        <v>0</v>
      </c>
      <c r="W369" s="712">
        <v>0</v>
      </c>
      <c r="X369" s="712">
        <v>0</v>
      </c>
      <c r="Y369" s="712">
        <v>0</v>
      </c>
      <c r="Z369" s="712">
        <v>0</v>
      </c>
      <c r="AA369" s="712">
        <v>0</v>
      </c>
      <c r="AB369" s="712">
        <v>0</v>
      </c>
      <c r="AC369" s="712">
        <v>0</v>
      </c>
      <c r="AD369" s="712">
        <v>0</v>
      </c>
      <c r="AE369" s="712">
        <v>0</v>
      </c>
      <c r="AF369" s="712">
        <v>0</v>
      </c>
      <c r="AG369" s="712">
        <v>0</v>
      </c>
      <c r="AH369" s="712">
        <v>0</v>
      </c>
      <c r="AI369" s="712">
        <v>0</v>
      </c>
      <c r="AJ369" s="712">
        <v>0</v>
      </c>
      <c r="AK369" s="712">
        <v>0</v>
      </c>
      <c r="AL369" s="712">
        <v>0</v>
      </c>
      <c r="AM369" s="712">
        <v>0</v>
      </c>
      <c r="AN369" s="712">
        <v>0</v>
      </c>
      <c r="AO369" s="712">
        <v>0</v>
      </c>
      <c r="AP369" s="712">
        <v>0</v>
      </c>
      <c r="AQ369" s="712">
        <v>0</v>
      </c>
      <c r="AR369" s="712">
        <v>190000000</v>
      </c>
      <c r="AS369" s="712">
        <v>0</v>
      </c>
      <c r="AT369">
        <v>190000000</v>
      </c>
      <c r="AU369" s="615"/>
      <c r="AV369" s="615"/>
      <c r="AW369" s="615"/>
      <c r="AX369" s="615"/>
      <c r="AY369" s="615"/>
      <c r="AZ369" s="615"/>
      <c r="BA369" s="615"/>
      <c r="BB369" s="615"/>
      <c r="BC369" s="615"/>
      <c r="BD369" s="615"/>
      <c r="BE369" s="615"/>
      <c r="BF369" s="615"/>
      <c r="BG369" s="615"/>
      <c r="BH369" s="615"/>
      <c r="BI369" s="615"/>
      <c r="BJ369" s="615"/>
      <c r="BK369" s="615"/>
      <c r="BL369" s="615"/>
      <c r="BM369" s="615"/>
      <c r="BN369" s="615"/>
      <c r="BO369" s="615"/>
      <c r="BP369" s="615"/>
      <c r="BQ369" s="615"/>
      <c r="BR369" s="615"/>
      <c r="BS369" s="615"/>
      <c r="BT369" s="615"/>
      <c r="BU369" s="615"/>
      <c r="BV369" s="615"/>
      <c r="BW369" s="615"/>
      <c r="BX369" s="607"/>
    </row>
    <row r="370" spans="1:76" s="612" customFormat="1" ht="25.5" x14ac:dyDescent="0.2">
      <c r="A370" s="839"/>
      <c r="B370" s="713" t="s">
        <v>3154</v>
      </c>
      <c r="C370" s="713" t="s">
        <v>3153</v>
      </c>
      <c r="D370" s="712">
        <v>0</v>
      </c>
      <c r="E370" s="712">
        <v>0</v>
      </c>
      <c r="F370" s="712">
        <v>0</v>
      </c>
      <c r="G370" s="712">
        <v>0</v>
      </c>
      <c r="H370" s="712">
        <v>0</v>
      </c>
      <c r="I370" s="712">
        <v>0</v>
      </c>
      <c r="J370" s="712">
        <v>0</v>
      </c>
      <c r="K370" s="712">
        <v>0</v>
      </c>
      <c r="L370" s="712">
        <v>0</v>
      </c>
      <c r="M370" s="712">
        <v>0</v>
      </c>
      <c r="N370" s="712">
        <v>0</v>
      </c>
      <c r="O370" s="712">
        <v>0</v>
      </c>
      <c r="P370" s="712">
        <v>0</v>
      </c>
      <c r="Q370" s="712">
        <v>0</v>
      </c>
      <c r="R370" s="712">
        <v>0</v>
      </c>
      <c r="S370" s="712">
        <v>3537334</v>
      </c>
      <c r="T370" s="712">
        <v>3538667</v>
      </c>
      <c r="U370" s="712">
        <v>3538667</v>
      </c>
      <c r="V370" s="712">
        <v>14000000</v>
      </c>
      <c r="W370" s="712">
        <v>3538667</v>
      </c>
      <c r="X370" s="712">
        <v>3538667</v>
      </c>
      <c r="Y370" s="712">
        <v>3538667</v>
      </c>
      <c r="Z370" s="712">
        <v>3538667</v>
      </c>
      <c r="AA370" s="712">
        <v>3538667</v>
      </c>
      <c r="AB370" s="712">
        <v>3538667</v>
      </c>
      <c r="AC370" s="712">
        <v>3538667</v>
      </c>
      <c r="AD370" s="712">
        <v>3538667</v>
      </c>
      <c r="AE370" s="712">
        <v>3538667</v>
      </c>
      <c r="AF370" s="712">
        <v>3538667</v>
      </c>
      <c r="AG370" s="712">
        <v>3538667</v>
      </c>
      <c r="AH370" s="712">
        <v>3538667</v>
      </c>
      <c r="AI370" s="712">
        <v>3538667</v>
      </c>
      <c r="AJ370" s="712">
        <v>3538667</v>
      </c>
      <c r="AK370" s="712">
        <v>3538667</v>
      </c>
      <c r="AL370" s="712">
        <v>3538667</v>
      </c>
      <c r="AM370" s="712">
        <v>3538667</v>
      </c>
      <c r="AN370" s="712">
        <v>3538667</v>
      </c>
      <c r="AO370" s="712">
        <v>3538667</v>
      </c>
      <c r="AP370" s="712">
        <v>3538667</v>
      </c>
      <c r="AQ370" s="712">
        <v>3538668</v>
      </c>
      <c r="AR370" s="712">
        <v>273682655</v>
      </c>
      <c r="AS370" s="712">
        <v>0</v>
      </c>
      <c r="AT370">
        <v>372609331</v>
      </c>
      <c r="AU370" s="615"/>
      <c r="AV370" s="615"/>
      <c r="AW370" s="615"/>
      <c r="AX370" s="615"/>
      <c r="AY370" s="615"/>
      <c r="AZ370" s="615"/>
      <c r="BA370" s="615"/>
      <c r="BB370" s="615"/>
      <c r="BC370" s="615"/>
      <c r="BD370" s="615"/>
      <c r="BE370" s="615"/>
      <c r="BF370" s="615"/>
      <c r="BG370" s="615"/>
      <c r="BH370" s="615"/>
      <c r="BI370" s="615"/>
      <c r="BJ370" s="615"/>
      <c r="BK370" s="615"/>
      <c r="BL370" s="615"/>
      <c r="BM370" s="615"/>
      <c r="BN370" s="615"/>
      <c r="BO370" s="615"/>
      <c r="BP370" s="615"/>
      <c r="BQ370" s="615"/>
      <c r="BR370" s="615"/>
      <c r="BS370" s="615"/>
      <c r="BT370" s="615"/>
      <c r="BU370" s="615"/>
      <c r="BV370" s="615"/>
      <c r="BW370" s="615"/>
      <c r="BX370" s="607"/>
    </row>
    <row r="371" spans="1:76" s="612" customFormat="1" ht="25.5" x14ac:dyDescent="0.2">
      <c r="A371" s="838" t="s">
        <v>4463</v>
      </c>
      <c r="B371" s="713" t="s">
        <v>1097</v>
      </c>
      <c r="C371" s="713" t="s">
        <v>3586</v>
      </c>
      <c r="D371" s="712">
        <v>0</v>
      </c>
      <c r="E371" s="712">
        <v>0</v>
      </c>
      <c r="F371" s="712">
        <v>0</v>
      </c>
      <c r="G371" s="712">
        <v>0</v>
      </c>
      <c r="H371" s="712">
        <v>0</v>
      </c>
      <c r="I371" s="712">
        <v>0</v>
      </c>
      <c r="J371" s="712">
        <v>0</v>
      </c>
      <c r="K371" s="712">
        <v>0</v>
      </c>
      <c r="L371" s="712">
        <v>0</v>
      </c>
      <c r="M371" s="712">
        <v>0</v>
      </c>
      <c r="N371" s="712">
        <v>0</v>
      </c>
      <c r="O371" s="712">
        <v>0</v>
      </c>
      <c r="P371" s="712">
        <v>197319095</v>
      </c>
      <c r="Q371" s="712">
        <v>0</v>
      </c>
      <c r="R371" s="712">
        <v>0</v>
      </c>
      <c r="S371" s="712">
        <v>0</v>
      </c>
      <c r="T371" s="712">
        <v>0</v>
      </c>
      <c r="U371" s="712">
        <v>0</v>
      </c>
      <c r="V371" s="712">
        <v>0</v>
      </c>
      <c r="W371" s="712">
        <v>0</v>
      </c>
      <c r="X371" s="712">
        <v>0</v>
      </c>
      <c r="Y371" s="712">
        <v>0</v>
      </c>
      <c r="Z371" s="712">
        <v>0</v>
      </c>
      <c r="AA371" s="712">
        <v>0</v>
      </c>
      <c r="AB371" s="712">
        <v>0</v>
      </c>
      <c r="AC371" s="712">
        <v>0</v>
      </c>
      <c r="AD371" s="712">
        <v>0</v>
      </c>
      <c r="AE371" s="712">
        <v>0</v>
      </c>
      <c r="AF371" s="712">
        <v>0</v>
      </c>
      <c r="AG371" s="712">
        <v>0</v>
      </c>
      <c r="AH371" s="712">
        <v>0</v>
      </c>
      <c r="AI371" s="712">
        <v>0</v>
      </c>
      <c r="AJ371" s="712">
        <v>0</v>
      </c>
      <c r="AK371" s="712">
        <v>0</v>
      </c>
      <c r="AL371" s="712">
        <v>0</v>
      </c>
      <c r="AM371" s="712">
        <v>0</v>
      </c>
      <c r="AN371" s="712">
        <v>0</v>
      </c>
      <c r="AO371" s="712">
        <v>0</v>
      </c>
      <c r="AP371" s="712">
        <v>0</v>
      </c>
      <c r="AQ371" s="712">
        <v>0</v>
      </c>
      <c r="AR371" s="712">
        <v>0</v>
      </c>
      <c r="AS371" s="712">
        <v>0</v>
      </c>
      <c r="AT371">
        <v>197319095</v>
      </c>
      <c r="AU371" s="615"/>
      <c r="AV371" s="615"/>
      <c r="AW371" s="615"/>
      <c r="AX371" s="615"/>
      <c r="AY371" s="615"/>
      <c r="AZ371" s="615"/>
      <c r="BA371" s="615"/>
      <c r="BB371" s="615"/>
      <c r="BC371" s="615"/>
      <c r="BD371" s="615"/>
      <c r="BE371" s="615"/>
      <c r="BF371" s="615"/>
      <c r="BG371" s="615"/>
      <c r="BH371" s="615"/>
      <c r="BI371" s="615"/>
      <c r="BJ371" s="615"/>
      <c r="BK371" s="615"/>
      <c r="BL371" s="615"/>
      <c r="BM371" s="615"/>
      <c r="BN371" s="615"/>
      <c r="BO371" s="615"/>
      <c r="BP371" s="615"/>
      <c r="BQ371" s="615"/>
      <c r="BR371" s="615"/>
      <c r="BS371" s="615"/>
      <c r="BT371" s="615"/>
      <c r="BU371" s="615"/>
      <c r="BV371" s="615"/>
      <c r="BW371" s="615"/>
      <c r="BX371" s="607"/>
    </row>
    <row r="372" spans="1:76" s="612" customFormat="1" ht="25.5" x14ac:dyDescent="0.2">
      <c r="A372" s="839"/>
      <c r="B372" s="713" t="s">
        <v>3279</v>
      </c>
      <c r="C372" s="713" t="s">
        <v>3507</v>
      </c>
      <c r="D372" s="712">
        <v>0</v>
      </c>
      <c r="E372" s="712">
        <v>0</v>
      </c>
      <c r="F372" s="712">
        <v>0</v>
      </c>
      <c r="G372" s="712">
        <v>0</v>
      </c>
      <c r="H372" s="712">
        <v>0</v>
      </c>
      <c r="I372" s="712">
        <v>0</v>
      </c>
      <c r="J372" s="712">
        <v>0</v>
      </c>
      <c r="K372" s="712">
        <v>0</v>
      </c>
      <c r="L372" s="712">
        <v>0</v>
      </c>
      <c r="M372" s="712">
        <v>0</v>
      </c>
      <c r="N372" s="712">
        <v>0</v>
      </c>
      <c r="O372" s="712">
        <v>0</v>
      </c>
      <c r="P372" s="712">
        <v>0</v>
      </c>
      <c r="Q372" s="712">
        <v>0</v>
      </c>
      <c r="R372" s="712">
        <v>0</v>
      </c>
      <c r="S372" s="712">
        <v>0</v>
      </c>
      <c r="T372" s="712">
        <v>0</v>
      </c>
      <c r="U372" s="712">
        <v>0</v>
      </c>
      <c r="V372" s="712">
        <v>0</v>
      </c>
      <c r="W372" s="712">
        <v>0</v>
      </c>
      <c r="X372" s="712">
        <v>0</v>
      </c>
      <c r="Y372" s="712">
        <v>0</v>
      </c>
      <c r="Z372" s="712">
        <v>0</v>
      </c>
      <c r="AA372" s="712">
        <v>0</v>
      </c>
      <c r="AB372" s="712">
        <v>0</v>
      </c>
      <c r="AC372" s="712">
        <v>0</v>
      </c>
      <c r="AD372" s="712">
        <v>0</v>
      </c>
      <c r="AE372" s="712">
        <v>0</v>
      </c>
      <c r="AF372" s="712">
        <v>0</v>
      </c>
      <c r="AG372" s="712">
        <v>0</v>
      </c>
      <c r="AH372" s="712">
        <v>0</v>
      </c>
      <c r="AI372" s="712">
        <v>0</v>
      </c>
      <c r="AJ372" s="712">
        <v>0</v>
      </c>
      <c r="AK372" s="712">
        <v>0</v>
      </c>
      <c r="AL372" s="712">
        <v>0</v>
      </c>
      <c r="AM372" s="712">
        <v>0</v>
      </c>
      <c r="AN372" s="712">
        <v>0</v>
      </c>
      <c r="AO372" s="712">
        <v>0</v>
      </c>
      <c r="AP372" s="712">
        <v>0</v>
      </c>
      <c r="AQ372" s="712">
        <v>0</v>
      </c>
      <c r="AR372" s="712">
        <v>0</v>
      </c>
      <c r="AS372" s="712">
        <v>0</v>
      </c>
      <c r="AT372">
        <v>0</v>
      </c>
      <c r="AU372" s="615"/>
      <c r="AV372" s="615"/>
      <c r="AW372" s="615"/>
      <c r="AX372" s="615"/>
      <c r="AY372" s="615"/>
      <c r="AZ372" s="615"/>
      <c r="BA372" s="615"/>
      <c r="BB372" s="615"/>
      <c r="BC372" s="615"/>
      <c r="BD372" s="615"/>
      <c r="BE372" s="615"/>
      <c r="BF372" s="615"/>
      <c r="BG372" s="615"/>
      <c r="BH372" s="615"/>
      <c r="BI372" s="615"/>
      <c r="BJ372" s="615"/>
      <c r="BK372" s="615"/>
      <c r="BL372" s="615"/>
      <c r="BM372" s="615"/>
      <c r="BN372" s="615"/>
      <c r="BO372" s="615"/>
      <c r="BP372" s="615"/>
      <c r="BQ372" s="615"/>
      <c r="BR372" s="615"/>
      <c r="BS372" s="615"/>
      <c r="BT372" s="615"/>
      <c r="BU372" s="615"/>
      <c r="BV372" s="615"/>
      <c r="BW372" s="615"/>
      <c r="BX372" s="607"/>
    </row>
    <row r="373" spans="1:76" s="612" customFormat="1" ht="12.75" x14ac:dyDescent="0.2">
      <c r="A373" s="839"/>
      <c r="B373" s="838" t="s">
        <v>1082</v>
      </c>
      <c r="C373" s="713" t="s">
        <v>3585</v>
      </c>
      <c r="D373" s="712">
        <v>0</v>
      </c>
      <c r="E373" s="712">
        <v>0</v>
      </c>
      <c r="F373" s="712">
        <v>0</v>
      </c>
      <c r="G373" s="712">
        <v>0</v>
      </c>
      <c r="H373" s="712">
        <v>0</v>
      </c>
      <c r="I373" s="712">
        <v>0</v>
      </c>
      <c r="J373" s="712">
        <v>0</v>
      </c>
      <c r="K373" s="712">
        <v>0</v>
      </c>
      <c r="L373" s="712">
        <v>0</v>
      </c>
      <c r="M373" s="712">
        <v>0</v>
      </c>
      <c r="N373" s="712">
        <v>0</v>
      </c>
      <c r="O373" s="712">
        <v>0</v>
      </c>
      <c r="P373" s="712">
        <v>0</v>
      </c>
      <c r="Q373" s="712">
        <v>0</v>
      </c>
      <c r="R373" s="712">
        <v>0</v>
      </c>
      <c r="S373" s="712">
        <v>0</v>
      </c>
      <c r="T373" s="712">
        <v>0</v>
      </c>
      <c r="U373" s="712">
        <v>0</v>
      </c>
      <c r="V373" s="712">
        <v>0</v>
      </c>
      <c r="W373" s="712">
        <v>0</v>
      </c>
      <c r="X373" s="712">
        <v>0</v>
      </c>
      <c r="Y373" s="712">
        <v>0</v>
      </c>
      <c r="Z373" s="712">
        <v>0</v>
      </c>
      <c r="AA373" s="712">
        <v>0</v>
      </c>
      <c r="AB373" s="712">
        <v>0</v>
      </c>
      <c r="AC373" s="712">
        <v>0</v>
      </c>
      <c r="AD373" s="712">
        <v>0</v>
      </c>
      <c r="AE373" s="712">
        <v>0</v>
      </c>
      <c r="AF373" s="712">
        <v>0</v>
      </c>
      <c r="AG373" s="712">
        <v>0</v>
      </c>
      <c r="AH373" s="712">
        <v>0</v>
      </c>
      <c r="AI373" s="712">
        <v>0</v>
      </c>
      <c r="AJ373" s="712">
        <v>0</v>
      </c>
      <c r="AK373" s="712">
        <v>0</v>
      </c>
      <c r="AL373" s="712">
        <v>0</v>
      </c>
      <c r="AM373" s="712">
        <v>0</v>
      </c>
      <c r="AN373" s="712">
        <v>0</v>
      </c>
      <c r="AO373" s="712">
        <v>0</v>
      </c>
      <c r="AP373" s="712">
        <v>0</v>
      </c>
      <c r="AQ373" s="712">
        <v>0</v>
      </c>
      <c r="AR373" s="712">
        <v>0</v>
      </c>
      <c r="AS373" s="712">
        <v>0</v>
      </c>
      <c r="AT373">
        <v>0</v>
      </c>
      <c r="AU373" s="616"/>
      <c r="AV373" s="616"/>
      <c r="AW373" s="616"/>
      <c r="AX373" s="616"/>
      <c r="AY373" s="616"/>
      <c r="AZ373" s="616"/>
      <c r="BA373" s="616"/>
      <c r="BB373" s="616"/>
      <c r="BC373" s="616"/>
      <c r="BD373" s="616"/>
      <c r="BE373" s="616"/>
      <c r="BF373" s="616"/>
      <c r="BG373" s="616"/>
      <c r="BH373" s="616"/>
      <c r="BI373" s="616"/>
      <c r="BJ373" s="616"/>
      <c r="BK373" s="616"/>
      <c r="BL373" s="616"/>
      <c r="BM373" s="616"/>
      <c r="BN373" s="616"/>
      <c r="BO373" s="616"/>
      <c r="BP373" s="616"/>
      <c r="BQ373" s="616"/>
      <c r="BR373" s="616"/>
      <c r="BS373" s="616"/>
      <c r="BT373" s="616"/>
      <c r="BU373" s="616"/>
      <c r="BV373" s="616"/>
      <c r="BW373" s="616"/>
      <c r="BX373" s="616"/>
    </row>
    <row r="374" spans="1:76" ht="12.75" x14ac:dyDescent="0.2">
      <c r="A374" s="839"/>
      <c r="B374" s="839"/>
      <c r="C374" s="713" t="s">
        <v>4244</v>
      </c>
      <c r="D374" s="712">
        <v>0</v>
      </c>
      <c r="E374" s="712">
        <v>0</v>
      </c>
      <c r="F374" s="712">
        <v>0</v>
      </c>
      <c r="G374" s="712">
        <v>0</v>
      </c>
      <c r="H374" s="712">
        <v>0</v>
      </c>
      <c r="I374" s="712">
        <v>0</v>
      </c>
      <c r="J374" s="712">
        <v>0</v>
      </c>
      <c r="K374" s="712">
        <v>0</v>
      </c>
      <c r="L374" s="712">
        <v>0</v>
      </c>
      <c r="M374" s="712">
        <v>0</v>
      </c>
      <c r="N374" s="712">
        <v>0</v>
      </c>
      <c r="O374" s="712">
        <v>0</v>
      </c>
      <c r="P374" s="712">
        <v>0</v>
      </c>
      <c r="Q374" s="712">
        <v>0</v>
      </c>
      <c r="R374" s="712">
        <v>0</v>
      </c>
      <c r="S374" s="712">
        <v>3000000</v>
      </c>
      <c r="T374" s="712">
        <v>3000000</v>
      </c>
      <c r="U374" s="712">
        <v>0</v>
      </c>
      <c r="V374" s="712">
        <v>0</v>
      </c>
      <c r="W374" s="712">
        <v>0</v>
      </c>
      <c r="X374" s="712">
        <v>0</v>
      </c>
      <c r="Y374" s="712">
        <v>0</v>
      </c>
      <c r="Z374" s="712">
        <v>0</v>
      </c>
      <c r="AA374" s="712">
        <v>0</v>
      </c>
      <c r="AB374" s="712">
        <v>0</v>
      </c>
      <c r="AC374" s="712">
        <v>0</v>
      </c>
      <c r="AD374" s="712">
        <v>0</v>
      </c>
      <c r="AE374" s="712">
        <v>0</v>
      </c>
      <c r="AF374" s="712">
        <v>0</v>
      </c>
      <c r="AG374" s="712">
        <v>0</v>
      </c>
      <c r="AH374" s="712">
        <v>0</v>
      </c>
      <c r="AI374" s="712">
        <v>0</v>
      </c>
      <c r="AJ374" s="712">
        <v>0</v>
      </c>
      <c r="AK374" s="712">
        <v>0</v>
      </c>
      <c r="AL374" s="712">
        <v>0</v>
      </c>
      <c r="AM374" s="712">
        <v>0</v>
      </c>
      <c r="AN374" s="712">
        <v>0</v>
      </c>
      <c r="AO374" s="712">
        <v>0</v>
      </c>
      <c r="AP374" s="712">
        <v>0</v>
      </c>
      <c r="AQ374" s="712">
        <v>0</v>
      </c>
      <c r="AR374" s="712">
        <v>0</v>
      </c>
      <c r="AS374" s="712">
        <v>0</v>
      </c>
      <c r="AT374">
        <v>6000000</v>
      </c>
      <c r="AU374" s="615"/>
      <c r="AV374" s="615"/>
      <c r="AW374" s="615"/>
      <c r="AX374" s="615"/>
      <c r="AY374" s="615"/>
      <c r="AZ374" s="615"/>
      <c r="BA374" s="615"/>
      <c r="BB374" s="615"/>
      <c r="BC374" s="615"/>
      <c r="BD374" s="615"/>
      <c r="BE374" s="615"/>
      <c r="BF374" s="615"/>
      <c r="BG374" s="615"/>
      <c r="BH374" s="615"/>
      <c r="BI374" s="615"/>
      <c r="BJ374" s="615"/>
      <c r="BK374" s="615"/>
      <c r="BL374" s="615"/>
      <c r="BM374" s="615"/>
      <c r="BN374" s="615"/>
      <c r="BO374" s="615"/>
      <c r="BP374" s="615"/>
      <c r="BQ374" s="615"/>
      <c r="BR374" s="615"/>
      <c r="BS374" s="615"/>
      <c r="BT374" s="615"/>
      <c r="BU374" s="615"/>
      <c r="BV374" s="615"/>
      <c r="BW374" s="615"/>
      <c r="BX374" s="607"/>
    </row>
    <row r="375" spans="1:76" ht="12.75" x14ac:dyDescent="0.2">
      <c r="A375" s="839"/>
      <c r="B375" s="713" t="s">
        <v>1237</v>
      </c>
      <c r="C375" s="713" t="s">
        <v>3535</v>
      </c>
      <c r="D375" s="712">
        <v>0</v>
      </c>
      <c r="E375" s="712">
        <v>0</v>
      </c>
      <c r="F375" s="712">
        <v>0</v>
      </c>
      <c r="G375" s="712">
        <v>0</v>
      </c>
      <c r="H375" s="712">
        <v>0</v>
      </c>
      <c r="I375" s="712">
        <v>0</v>
      </c>
      <c r="J375" s="712">
        <v>0</v>
      </c>
      <c r="K375" s="712">
        <v>0</v>
      </c>
      <c r="L375" s="712">
        <v>0</v>
      </c>
      <c r="M375" s="712">
        <v>0</v>
      </c>
      <c r="N375" s="712">
        <v>0</v>
      </c>
      <c r="O375" s="712">
        <v>0</v>
      </c>
      <c r="P375" s="712">
        <v>238735866</v>
      </c>
      <c r="Q375" s="712">
        <v>0</v>
      </c>
      <c r="R375" s="712">
        <v>0</v>
      </c>
      <c r="S375" s="712">
        <v>0</v>
      </c>
      <c r="T375" s="712">
        <v>0</v>
      </c>
      <c r="U375" s="712">
        <v>0</v>
      </c>
      <c r="V375" s="712">
        <v>0</v>
      </c>
      <c r="W375" s="712">
        <v>0</v>
      </c>
      <c r="X375" s="712">
        <v>0</v>
      </c>
      <c r="Y375" s="712">
        <v>0</v>
      </c>
      <c r="Z375" s="712">
        <v>0</v>
      </c>
      <c r="AA375" s="712">
        <v>0</v>
      </c>
      <c r="AB375" s="712">
        <v>0</v>
      </c>
      <c r="AC375" s="712">
        <v>0</v>
      </c>
      <c r="AD375" s="712">
        <v>0</v>
      </c>
      <c r="AE375" s="712">
        <v>0</v>
      </c>
      <c r="AF375" s="712">
        <v>0</v>
      </c>
      <c r="AG375" s="712">
        <v>0</v>
      </c>
      <c r="AH375" s="712">
        <v>0</v>
      </c>
      <c r="AI375" s="712">
        <v>0</v>
      </c>
      <c r="AJ375" s="712">
        <v>0</v>
      </c>
      <c r="AK375" s="712">
        <v>0</v>
      </c>
      <c r="AL375" s="712">
        <v>0</v>
      </c>
      <c r="AM375" s="712">
        <v>0</v>
      </c>
      <c r="AN375" s="712">
        <v>0</v>
      </c>
      <c r="AO375" s="712">
        <v>0</v>
      </c>
      <c r="AP375" s="712">
        <v>0</v>
      </c>
      <c r="AQ375" s="712">
        <v>0</v>
      </c>
      <c r="AR375" s="712">
        <v>0</v>
      </c>
      <c r="AS375" s="712">
        <v>0</v>
      </c>
      <c r="AT375">
        <v>238735866</v>
      </c>
      <c r="AU375" s="615"/>
      <c r="AV375" s="615"/>
      <c r="AW375" s="615"/>
      <c r="AX375" s="615"/>
      <c r="AY375" s="615"/>
      <c r="AZ375" s="615"/>
      <c r="BA375" s="615"/>
      <c r="BB375" s="615"/>
      <c r="BC375" s="615"/>
      <c r="BD375" s="615"/>
      <c r="BE375" s="615"/>
      <c r="BF375" s="615"/>
      <c r="BG375" s="615"/>
      <c r="BH375" s="615"/>
      <c r="BI375" s="615"/>
      <c r="BJ375" s="615"/>
      <c r="BK375" s="615"/>
      <c r="BL375" s="615"/>
      <c r="BM375" s="615"/>
      <c r="BN375" s="615"/>
      <c r="BO375" s="615"/>
      <c r="BP375" s="615"/>
      <c r="BQ375" s="615"/>
      <c r="BR375" s="615"/>
      <c r="BS375" s="615"/>
      <c r="BT375" s="615"/>
      <c r="BU375" s="615"/>
      <c r="BV375" s="615"/>
      <c r="BW375" s="615"/>
      <c r="BX375" s="607"/>
    </row>
    <row r="376" spans="1:76" ht="25.5" x14ac:dyDescent="0.2">
      <c r="A376" s="839"/>
      <c r="B376" s="713" t="s">
        <v>4374</v>
      </c>
      <c r="C376" s="713" t="s">
        <v>3537</v>
      </c>
      <c r="D376" s="712">
        <v>0</v>
      </c>
      <c r="E376" s="712">
        <v>0</v>
      </c>
      <c r="F376" s="712">
        <v>0</v>
      </c>
      <c r="G376" s="712">
        <v>0</v>
      </c>
      <c r="H376" s="712">
        <v>0</v>
      </c>
      <c r="I376" s="712">
        <v>0</v>
      </c>
      <c r="J376" s="712">
        <v>0</v>
      </c>
      <c r="K376" s="712">
        <v>0</v>
      </c>
      <c r="L376" s="712">
        <v>0</v>
      </c>
      <c r="M376" s="712">
        <v>0</v>
      </c>
      <c r="N376" s="712">
        <v>0</v>
      </c>
      <c r="O376" s="712">
        <v>0</v>
      </c>
      <c r="P376" s="712">
        <v>0</v>
      </c>
      <c r="Q376" s="712">
        <v>0</v>
      </c>
      <c r="R376" s="712">
        <v>0</v>
      </c>
      <c r="S376" s="712">
        <v>0</v>
      </c>
      <c r="T376" s="712">
        <v>0</v>
      </c>
      <c r="U376" s="712">
        <v>0</v>
      </c>
      <c r="V376" s="712">
        <v>0</v>
      </c>
      <c r="W376" s="712">
        <v>0</v>
      </c>
      <c r="X376" s="712">
        <v>0</v>
      </c>
      <c r="Y376" s="712">
        <v>383662446</v>
      </c>
      <c r="Z376" s="712">
        <v>0</v>
      </c>
      <c r="AA376" s="712">
        <v>0</v>
      </c>
      <c r="AB376" s="712">
        <v>0</v>
      </c>
      <c r="AC376" s="712">
        <v>0</v>
      </c>
      <c r="AD376" s="712">
        <v>0</v>
      </c>
      <c r="AE376" s="712">
        <v>0</v>
      </c>
      <c r="AF376" s="712">
        <v>0</v>
      </c>
      <c r="AG376" s="712">
        <v>0</v>
      </c>
      <c r="AH376" s="712">
        <v>0</v>
      </c>
      <c r="AI376" s="712">
        <v>0</v>
      </c>
      <c r="AJ376" s="712">
        <v>0</v>
      </c>
      <c r="AK376" s="712">
        <v>0</v>
      </c>
      <c r="AL376" s="712">
        <v>0</v>
      </c>
      <c r="AM376" s="712">
        <v>0</v>
      </c>
      <c r="AN376" s="712">
        <v>0</v>
      </c>
      <c r="AO376" s="712">
        <v>0</v>
      </c>
      <c r="AP376" s="712">
        <v>0</v>
      </c>
      <c r="AQ376" s="712">
        <v>0</v>
      </c>
      <c r="AR376" s="712">
        <v>0</v>
      </c>
      <c r="AS376" s="712">
        <v>0</v>
      </c>
      <c r="AT376">
        <v>383662446</v>
      </c>
      <c r="AU376" s="615"/>
      <c r="AV376" s="615"/>
      <c r="AW376" s="615"/>
      <c r="AX376" s="615"/>
      <c r="AY376" s="615"/>
      <c r="AZ376" s="615"/>
      <c r="BA376" s="615"/>
      <c r="BB376" s="615"/>
      <c r="BC376" s="615"/>
      <c r="BD376" s="615"/>
      <c r="BE376" s="615"/>
      <c r="BF376" s="615"/>
      <c r="BG376" s="615"/>
      <c r="BH376" s="615"/>
      <c r="BI376" s="615"/>
      <c r="BJ376" s="615"/>
      <c r="BK376" s="615"/>
      <c r="BL376" s="615"/>
      <c r="BM376" s="615"/>
      <c r="BN376" s="615"/>
      <c r="BO376" s="615"/>
      <c r="BP376" s="615"/>
      <c r="BQ376" s="615"/>
      <c r="BR376" s="615"/>
      <c r="BS376" s="615"/>
      <c r="BT376" s="615"/>
      <c r="BU376" s="615"/>
      <c r="BV376" s="615"/>
      <c r="BW376" s="615"/>
      <c r="BX376" s="607"/>
    </row>
    <row r="377" spans="1:76" ht="25.5" x14ac:dyDescent="0.2">
      <c r="A377" s="839"/>
      <c r="B377" s="713" t="s">
        <v>1185</v>
      </c>
      <c r="C377" s="713" t="s">
        <v>3561</v>
      </c>
      <c r="D377" s="712">
        <v>0</v>
      </c>
      <c r="E377" s="712">
        <v>0</v>
      </c>
      <c r="F377" s="712">
        <v>0</v>
      </c>
      <c r="G377" s="712">
        <v>0</v>
      </c>
      <c r="H377" s="712">
        <v>0</v>
      </c>
      <c r="I377" s="712">
        <v>0</v>
      </c>
      <c r="J377" s="712">
        <v>0</v>
      </c>
      <c r="K377" s="712">
        <v>0</v>
      </c>
      <c r="L377" s="712">
        <v>0</v>
      </c>
      <c r="M377" s="712">
        <v>0</v>
      </c>
      <c r="N377" s="712">
        <v>0</v>
      </c>
      <c r="O377" s="712">
        <v>0</v>
      </c>
      <c r="P377" s="712">
        <v>0</v>
      </c>
      <c r="Q377" s="712">
        <v>0</v>
      </c>
      <c r="R377" s="712">
        <v>0</v>
      </c>
      <c r="S377" s="712">
        <v>0</v>
      </c>
      <c r="T377" s="712">
        <v>0</v>
      </c>
      <c r="U377" s="712">
        <v>0</v>
      </c>
      <c r="V377" s="712">
        <v>0</v>
      </c>
      <c r="W377" s="712">
        <v>0</v>
      </c>
      <c r="X377" s="712">
        <v>0</v>
      </c>
      <c r="Y377" s="712">
        <v>0</v>
      </c>
      <c r="Z377" s="712">
        <v>0</v>
      </c>
      <c r="AA377" s="712">
        <v>0</v>
      </c>
      <c r="AB377" s="712">
        <v>0</v>
      </c>
      <c r="AC377" s="712">
        <v>0</v>
      </c>
      <c r="AD377" s="712">
        <v>0</v>
      </c>
      <c r="AE377" s="712">
        <v>0</v>
      </c>
      <c r="AF377" s="712">
        <v>0</v>
      </c>
      <c r="AG377" s="712">
        <v>0</v>
      </c>
      <c r="AH377" s="712">
        <v>0</v>
      </c>
      <c r="AI377" s="712">
        <v>0</v>
      </c>
      <c r="AJ377" s="712">
        <v>0</v>
      </c>
      <c r="AK377" s="712">
        <v>0</v>
      </c>
      <c r="AL377" s="712">
        <v>0</v>
      </c>
      <c r="AM377" s="712">
        <v>0</v>
      </c>
      <c r="AN377" s="712">
        <v>0</v>
      </c>
      <c r="AO377" s="712">
        <v>0</v>
      </c>
      <c r="AP377" s="712">
        <v>0</v>
      </c>
      <c r="AQ377" s="712">
        <v>0</v>
      </c>
      <c r="AR377" s="712">
        <v>0</v>
      </c>
      <c r="AS377" s="712">
        <v>0</v>
      </c>
      <c r="AT377">
        <v>0</v>
      </c>
      <c r="AU377" s="615"/>
      <c r="AV377" s="615"/>
      <c r="AW377" s="615"/>
      <c r="AX377" s="615"/>
      <c r="AY377" s="615"/>
      <c r="AZ377" s="615"/>
      <c r="BA377" s="615"/>
      <c r="BB377" s="615"/>
      <c r="BC377" s="615"/>
      <c r="BD377" s="615"/>
      <c r="BE377" s="615"/>
      <c r="BF377" s="615"/>
      <c r="BG377" s="615"/>
      <c r="BH377" s="615"/>
      <c r="BI377" s="615"/>
      <c r="BJ377" s="615"/>
      <c r="BK377" s="615"/>
      <c r="BL377" s="615"/>
      <c r="BM377" s="615"/>
      <c r="BN377" s="615"/>
      <c r="BO377" s="615"/>
      <c r="BP377" s="615"/>
      <c r="BQ377" s="615"/>
      <c r="BR377" s="615"/>
      <c r="BS377" s="615"/>
      <c r="BT377" s="615"/>
      <c r="BU377" s="615"/>
      <c r="BV377" s="615"/>
      <c r="BW377" s="615"/>
      <c r="BX377" s="607"/>
    </row>
    <row r="378" spans="1:76" ht="25.5" x14ac:dyDescent="0.2">
      <c r="A378" s="839"/>
      <c r="B378" s="713" t="s">
        <v>3543</v>
      </c>
      <c r="C378" s="713" t="s">
        <v>3542</v>
      </c>
      <c r="D378" s="712">
        <v>0</v>
      </c>
      <c r="E378" s="712">
        <v>0</v>
      </c>
      <c r="F378" s="712">
        <v>0</v>
      </c>
      <c r="G378" s="712">
        <v>0</v>
      </c>
      <c r="H378" s="712">
        <v>0</v>
      </c>
      <c r="I378" s="712">
        <v>0</v>
      </c>
      <c r="J378" s="712">
        <v>0</v>
      </c>
      <c r="K378" s="712">
        <v>0</v>
      </c>
      <c r="L378" s="712">
        <v>0</v>
      </c>
      <c r="M378" s="712">
        <v>0</v>
      </c>
      <c r="N378" s="712">
        <v>0</v>
      </c>
      <c r="O378" s="712">
        <v>0</v>
      </c>
      <c r="P378" s="712">
        <v>0</v>
      </c>
      <c r="Q378" s="712">
        <v>0</v>
      </c>
      <c r="R378" s="712">
        <v>3033672</v>
      </c>
      <c r="S378" s="712">
        <v>4558418</v>
      </c>
      <c r="T378" s="712">
        <v>4558418</v>
      </c>
      <c r="U378" s="712">
        <v>4558418</v>
      </c>
      <c r="V378" s="712">
        <v>4558418</v>
      </c>
      <c r="W378" s="712">
        <v>4558418</v>
      </c>
      <c r="X378" s="712">
        <v>4558418</v>
      </c>
      <c r="Y378" s="712">
        <v>451283415</v>
      </c>
      <c r="Z378" s="712">
        <v>0</v>
      </c>
      <c r="AA378" s="712">
        <v>0</v>
      </c>
      <c r="AB378" s="712">
        <v>0</v>
      </c>
      <c r="AC378" s="712">
        <v>0</v>
      </c>
      <c r="AD378" s="712">
        <v>0</v>
      </c>
      <c r="AE378" s="712">
        <v>0</v>
      </c>
      <c r="AF378" s="712">
        <v>0</v>
      </c>
      <c r="AG378" s="712">
        <v>0</v>
      </c>
      <c r="AH378" s="712">
        <v>0</v>
      </c>
      <c r="AI378" s="712">
        <v>0</v>
      </c>
      <c r="AJ378" s="712">
        <v>0</v>
      </c>
      <c r="AK378" s="712">
        <v>0</v>
      </c>
      <c r="AL378" s="712">
        <v>0</v>
      </c>
      <c r="AM378" s="712">
        <v>0</v>
      </c>
      <c r="AN378" s="712">
        <v>0</v>
      </c>
      <c r="AO378" s="712">
        <v>0</v>
      </c>
      <c r="AP378" s="712">
        <v>0</v>
      </c>
      <c r="AQ378" s="712">
        <v>0</v>
      </c>
      <c r="AR378" s="712">
        <v>0</v>
      </c>
      <c r="AS378" s="712">
        <v>0</v>
      </c>
      <c r="AT378">
        <v>481667595</v>
      </c>
      <c r="AU378" s="615"/>
      <c r="AV378" s="615"/>
      <c r="AW378" s="615"/>
      <c r="AX378" s="615"/>
      <c r="AY378" s="615"/>
      <c r="AZ378" s="615"/>
      <c r="BA378" s="615"/>
      <c r="BB378" s="615"/>
      <c r="BC378" s="615"/>
      <c r="BD378" s="615"/>
      <c r="BE378" s="615"/>
      <c r="BF378" s="615"/>
      <c r="BG378" s="615"/>
      <c r="BH378" s="615"/>
      <c r="BI378" s="615"/>
      <c r="BJ378" s="615"/>
      <c r="BK378" s="615"/>
      <c r="BL378" s="615"/>
      <c r="BM378" s="615"/>
      <c r="BN378" s="615"/>
      <c r="BO378" s="615"/>
      <c r="BP378" s="615"/>
      <c r="BQ378" s="615"/>
      <c r="BR378" s="615"/>
      <c r="BS378" s="615"/>
      <c r="BT378" s="615"/>
      <c r="BU378" s="615"/>
      <c r="BV378" s="615"/>
      <c r="BW378" s="615"/>
      <c r="BX378" s="607"/>
    </row>
    <row r="379" spans="1:76" ht="25.5" x14ac:dyDescent="0.2">
      <c r="A379" s="839"/>
      <c r="B379" s="713" t="s">
        <v>1092</v>
      </c>
      <c r="C379" s="713" t="s">
        <v>3544</v>
      </c>
      <c r="D379" s="712">
        <v>0</v>
      </c>
      <c r="E379" s="712">
        <v>0</v>
      </c>
      <c r="F379" s="712">
        <v>0</v>
      </c>
      <c r="G379" s="712">
        <v>0</v>
      </c>
      <c r="H379" s="712">
        <v>0</v>
      </c>
      <c r="I379" s="712">
        <v>0</v>
      </c>
      <c r="J379" s="712">
        <v>0</v>
      </c>
      <c r="K379" s="712">
        <v>0</v>
      </c>
      <c r="L379" s="712">
        <v>0</v>
      </c>
      <c r="M379" s="712">
        <v>0</v>
      </c>
      <c r="N379" s="712">
        <v>0</v>
      </c>
      <c r="O379" s="712">
        <v>0</v>
      </c>
      <c r="P379" s="712">
        <v>0</v>
      </c>
      <c r="Q379" s="712">
        <v>0</v>
      </c>
      <c r="R379" s="712">
        <v>0</v>
      </c>
      <c r="S379" s="712">
        <v>0</v>
      </c>
      <c r="T379" s="712">
        <v>0</v>
      </c>
      <c r="U379" s="712">
        <v>0</v>
      </c>
      <c r="V379" s="712">
        <v>0</v>
      </c>
      <c r="W379" s="712">
        <v>0</v>
      </c>
      <c r="X379" s="712">
        <v>0</v>
      </c>
      <c r="Y379" s="712">
        <v>0</v>
      </c>
      <c r="Z379" s="712">
        <v>0</v>
      </c>
      <c r="AA379" s="712">
        <v>0</v>
      </c>
      <c r="AB379" s="712">
        <v>0</v>
      </c>
      <c r="AC379" s="712">
        <v>0</v>
      </c>
      <c r="AD379" s="712">
        <v>0</v>
      </c>
      <c r="AE379" s="712">
        <v>0</v>
      </c>
      <c r="AF379" s="712">
        <v>0</v>
      </c>
      <c r="AG379" s="712">
        <v>0</v>
      </c>
      <c r="AH379" s="712">
        <v>0</v>
      </c>
      <c r="AI379" s="712">
        <v>0</v>
      </c>
      <c r="AJ379" s="712">
        <v>0</v>
      </c>
      <c r="AK379" s="712">
        <v>0</v>
      </c>
      <c r="AL379" s="712">
        <v>0</v>
      </c>
      <c r="AM379" s="712">
        <v>0</v>
      </c>
      <c r="AN379" s="712">
        <v>0</v>
      </c>
      <c r="AO379" s="712">
        <v>0</v>
      </c>
      <c r="AP379" s="712">
        <v>0</v>
      </c>
      <c r="AQ379" s="712">
        <v>0</v>
      </c>
      <c r="AR379" s="712">
        <v>0</v>
      </c>
      <c r="AS379" s="712">
        <v>0</v>
      </c>
      <c r="AT379">
        <v>0</v>
      </c>
      <c r="AU379" s="615"/>
      <c r="AV379" s="615"/>
      <c r="AW379" s="615"/>
      <c r="AX379" s="615"/>
      <c r="AY379" s="615"/>
      <c r="AZ379" s="615"/>
      <c r="BA379" s="615"/>
      <c r="BB379" s="615"/>
      <c r="BC379" s="615"/>
      <c r="BD379" s="615"/>
      <c r="BE379" s="615"/>
      <c r="BF379" s="615"/>
      <c r="BG379" s="615"/>
      <c r="BH379" s="615"/>
      <c r="BI379" s="615"/>
      <c r="BJ379" s="615"/>
      <c r="BK379" s="615"/>
      <c r="BL379" s="615"/>
      <c r="BM379" s="615"/>
      <c r="BN379" s="615"/>
      <c r="BO379" s="615"/>
      <c r="BP379" s="615"/>
      <c r="BQ379" s="615"/>
      <c r="BR379" s="615"/>
      <c r="BS379" s="615"/>
      <c r="BT379" s="615"/>
      <c r="BU379" s="615"/>
      <c r="BV379" s="615"/>
      <c r="BW379" s="615"/>
      <c r="BX379" s="607"/>
    </row>
    <row r="380" spans="1:76" ht="25.5" x14ac:dyDescent="0.2">
      <c r="A380" s="839"/>
      <c r="B380" s="713" t="s">
        <v>1574</v>
      </c>
      <c r="C380" s="713" t="s">
        <v>3564</v>
      </c>
      <c r="D380" s="712">
        <v>0</v>
      </c>
      <c r="E380" s="712">
        <v>0</v>
      </c>
      <c r="F380" s="712">
        <v>0</v>
      </c>
      <c r="G380" s="712">
        <v>0</v>
      </c>
      <c r="H380" s="712">
        <v>0</v>
      </c>
      <c r="I380" s="712">
        <v>0</v>
      </c>
      <c r="J380" s="712">
        <v>0</v>
      </c>
      <c r="K380" s="712">
        <v>0</v>
      </c>
      <c r="L380" s="712">
        <v>0</v>
      </c>
      <c r="M380" s="712">
        <v>0</v>
      </c>
      <c r="N380" s="712">
        <v>0</v>
      </c>
      <c r="O380" s="712">
        <v>0</v>
      </c>
      <c r="P380" s="712">
        <v>0</v>
      </c>
      <c r="Q380" s="712">
        <v>0</v>
      </c>
      <c r="R380" s="712">
        <v>0</v>
      </c>
      <c r="S380" s="712">
        <v>0</v>
      </c>
      <c r="T380" s="712">
        <v>0</v>
      </c>
      <c r="U380" s="712">
        <v>0</v>
      </c>
      <c r="V380" s="712">
        <v>0</v>
      </c>
      <c r="W380" s="712">
        <v>0</v>
      </c>
      <c r="X380" s="712">
        <v>0</v>
      </c>
      <c r="Y380" s="712">
        <v>0</v>
      </c>
      <c r="Z380" s="712">
        <v>0</v>
      </c>
      <c r="AA380" s="712">
        <v>0</v>
      </c>
      <c r="AB380" s="712">
        <v>0</v>
      </c>
      <c r="AC380" s="712">
        <v>0</v>
      </c>
      <c r="AD380" s="712">
        <v>0</v>
      </c>
      <c r="AE380" s="712">
        <v>0</v>
      </c>
      <c r="AF380" s="712">
        <v>0</v>
      </c>
      <c r="AG380" s="712">
        <v>0</v>
      </c>
      <c r="AH380" s="712">
        <v>0</v>
      </c>
      <c r="AI380" s="712">
        <v>0</v>
      </c>
      <c r="AJ380" s="712">
        <v>0</v>
      </c>
      <c r="AK380" s="712">
        <v>0</v>
      </c>
      <c r="AL380" s="712">
        <v>0</v>
      </c>
      <c r="AM380" s="712">
        <v>0</v>
      </c>
      <c r="AN380" s="712">
        <v>0</v>
      </c>
      <c r="AO380" s="712">
        <v>0</v>
      </c>
      <c r="AP380" s="712">
        <v>0</v>
      </c>
      <c r="AQ380" s="712">
        <v>0</v>
      </c>
      <c r="AR380" s="712">
        <v>0</v>
      </c>
      <c r="AS380" s="712">
        <v>0</v>
      </c>
      <c r="AT380">
        <v>0</v>
      </c>
      <c r="AU380" s="615"/>
      <c r="AV380" s="615"/>
      <c r="AW380" s="615"/>
      <c r="AX380" s="615"/>
      <c r="AY380" s="615"/>
      <c r="AZ380" s="615"/>
      <c r="BA380" s="615"/>
      <c r="BB380" s="615"/>
      <c r="BC380" s="615"/>
      <c r="BD380" s="615"/>
      <c r="BE380" s="615"/>
      <c r="BF380" s="615"/>
      <c r="BG380" s="615"/>
      <c r="BH380" s="615"/>
      <c r="BI380" s="615"/>
      <c r="BJ380" s="615"/>
      <c r="BK380" s="615"/>
      <c r="BL380" s="615"/>
      <c r="BM380" s="615"/>
      <c r="BN380" s="615"/>
      <c r="BO380" s="615"/>
      <c r="BP380" s="615"/>
      <c r="BQ380" s="615"/>
      <c r="BR380" s="615"/>
      <c r="BS380" s="615"/>
      <c r="BT380" s="615"/>
      <c r="BU380" s="615"/>
      <c r="BV380" s="615"/>
      <c r="BW380" s="615"/>
      <c r="BX380" s="607"/>
    </row>
    <row r="381" spans="1:76" ht="25.5" x14ac:dyDescent="0.2">
      <c r="A381" s="839"/>
      <c r="B381" s="713" t="s">
        <v>4375</v>
      </c>
      <c r="C381" s="713" t="s">
        <v>3538</v>
      </c>
      <c r="D381" s="712">
        <v>0</v>
      </c>
      <c r="E381" s="712">
        <v>0</v>
      </c>
      <c r="F381" s="712">
        <v>0</v>
      </c>
      <c r="G381" s="712">
        <v>0</v>
      </c>
      <c r="H381" s="712">
        <v>0</v>
      </c>
      <c r="I381" s="712">
        <v>0</v>
      </c>
      <c r="J381" s="712">
        <v>0</v>
      </c>
      <c r="K381" s="712">
        <v>0</v>
      </c>
      <c r="L381" s="712">
        <v>0</v>
      </c>
      <c r="M381" s="712">
        <v>0</v>
      </c>
      <c r="N381" s="712">
        <v>0</v>
      </c>
      <c r="O381" s="712">
        <v>0</v>
      </c>
      <c r="P381" s="712">
        <v>223001339</v>
      </c>
      <c r="Q381" s="712">
        <v>0</v>
      </c>
      <c r="R381" s="712">
        <v>0</v>
      </c>
      <c r="S381" s="712">
        <v>0</v>
      </c>
      <c r="T381" s="712">
        <v>0</v>
      </c>
      <c r="U381" s="712">
        <v>0</v>
      </c>
      <c r="V381" s="712">
        <v>0</v>
      </c>
      <c r="W381" s="712">
        <v>0</v>
      </c>
      <c r="X381" s="712">
        <v>0</v>
      </c>
      <c r="Y381" s="712">
        <v>0</v>
      </c>
      <c r="Z381" s="712">
        <v>0</v>
      </c>
      <c r="AA381" s="712">
        <v>0</v>
      </c>
      <c r="AB381" s="712">
        <v>0</v>
      </c>
      <c r="AC381" s="712">
        <v>0</v>
      </c>
      <c r="AD381" s="712">
        <v>0</v>
      </c>
      <c r="AE381" s="712">
        <v>0</v>
      </c>
      <c r="AF381" s="712">
        <v>0</v>
      </c>
      <c r="AG381" s="712">
        <v>0</v>
      </c>
      <c r="AH381" s="712">
        <v>0</v>
      </c>
      <c r="AI381" s="712">
        <v>0</v>
      </c>
      <c r="AJ381" s="712">
        <v>0</v>
      </c>
      <c r="AK381" s="712">
        <v>0</v>
      </c>
      <c r="AL381" s="712">
        <v>0</v>
      </c>
      <c r="AM381" s="712">
        <v>0</v>
      </c>
      <c r="AN381" s="712">
        <v>0</v>
      </c>
      <c r="AO381" s="712">
        <v>0</v>
      </c>
      <c r="AP381" s="712">
        <v>0</v>
      </c>
      <c r="AQ381" s="712">
        <v>0</v>
      </c>
      <c r="AR381" s="712">
        <v>0</v>
      </c>
      <c r="AS381" s="712">
        <v>0</v>
      </c>
      <c r="AT381">
        <v>223001339</v>
      </c>
      <c r="AU381" s="615"/>
      <c r="AV381" s="615"/>
      <c r="AW381" s="615"/>
      <c r="AX381" s="615"/>
      <c r="AY381" s="615"/>
      <c r="AZ381" s="615"/>
      <c r="BA381" s="615"/>
      <c r="BB381" s="615"/>
      <c r="BC381" s="615"/>
      <c r="BD381" s="615"/>
      <c r="BE381" s="615"/>
      <c r="BF381" s="615"/>
      <c r="BG381" s="615"/>
      <c r="BH381" s="615"/>
      <c r="BI381" s="615"/>
      <c r="BJ381" s="615"/>
      <c r="BK381" s="615"/>
      <c r="BL381" s="615"/>
      <c r="BM381" s="615"/>
      <c r="BN381" s="615"/>
      <c r="BO381" s="615"/>
      <c r="BP381" s="615"/>
      <c r="BQ381" s="615"/>
      <c r="BR381" s="615"/>
      <c r="BS381" s="615"/>
      <c r="BT381" s="615"/>
      <c r="BU381" s="615"/>
      <c r="BV381" s="615"/>
      <c r="BW381" s="615"/>
      <c r="BX381" s="607"/>
    </row>
    <row r="382" spans="1:76" ht="25.5" x14ac:dyDescent="0.2">
      <c r="A382" s="839"/>
      <c r="B382" s="713" t="s">
        <v>1088</v>
      </c>
      <c r="C382" s="713" t="s">
        <v>3637</v>
      </c>
      <c r="D382" s="712">
        <v>0</v>
      </c>
      <c r="E382" s="712">
        <v>0</v>
      </c>
      <c r="F382" s="712">
        <v>0</v>
      </c>
      <c r="G382" s="712">
        <v>0</v>
      </c>
      <c r="H382" s="712">
        <v>0</v>
      </c>
      <c r="I382" s="712">
        <v>0</v>
      </c>
      <c r="J382" s="712">
        <v>0</v>
      </c>
      <c r="K382" s="712">
        <v>0</v>
      </c>
      <c r="L382" s="712">
        <v>0</v>
      </c>
      <c r="M382" s="712">
        <v>0</v>
      </c>
      <c r="N382" s="712">
        <v>0</v>
      </c>
      <c r="O382" s="712">
        <v>0</v>
      </c>
      <c r="P382" s="712">
        <v>0</v>
      </c>
      <c r="Q382" s="712">
        <v>0</v>
      </c>
      <c r="R382" s="712">
        <v>0</v>
      </c>
      <c r="S382" s="712">
        <v>0</v>
      </c>
      <c r="T382" s="712">
        <v>339619192</v>
      </c>
      <c r="U382" s="712">
        <v>0</v>
      </c>
      <c r="V382" s="712">
        <v>0</v>
      </c>
      <c r="W382" s="712">
        <v>0</v>
      </c>
      <c r="X382" s="712">
        <v>0</v>
      </c>
      <c r="Y382" s="712">
        <v>0</v>
      </c>
      <c r="Z382" s="712">
        <v>0</v>
      </c>
      <c r="AA382" s="712">
        <v>0</v>
      </c>
      <c r="AB382" s="712">
        <v>0</v>
      </c>
      <c r="AC382" s="712">
        <v>0</v>
      </c>
      <c r="AD382" s="712">
        <v>0</v>
      </c>
      <c r="AE382" s="712">
        <v>0</v>
      </c>
      <c r="AF382" s="712">
        <v>0</v>
      </c>
      <c r="AG382" s="712">
        <v>0</v>
      </c>
      <c r="AH382" s="712">
        <v>0</v>
      </c>
      <c r="AI382" s="712">
        <v>0</v>
      </c>
      <c r="AJ382" s="712">
        <v>0</v>
      </c>
      <c r="AK382" s="712">
        <v>0</v>
      </c>
      <c r="AL382" s="712">
        <v>0</v>
      </c>
      <c r="AM382" s="712">
        <v>0</v>
      </c>
      <c r="AN382" s="712">
        <v>0</v>
      </c>
      <c r="AO382" s="712">
        <v>0</v>
      </c>
      <c r="AP382" s="712">
        <v>0</v>
      </c>
      <c r="AQ382" s="712">
        <v>0</v>
      </c>
      <c r="AR382" s="712">
        <v>0</v>
      </c>
      <c r="AS382" s="712">
        <v>0</v>
      </c>
      <c r="AT382">
        <v>339619192</v>
      </c>
      <c r="AU382" s="615"/>
      <c r="AV382" s="615"/>
      <c r="AW382" s="615"/>
      <c r="AX382" s="615"/>
      <c r="AY382" s="615"/>
      <c r="AZ382" s="615"/>
      <c r="BA382" s="615"/>
      <c r="BB382" s="615"/>
      <c r="BC382" s="615"/>
      <c r="BD382" s="615"/>
      <c r="BE382" s="615"/>
      <c r="BF382" s="615"/>
      <c r="BG382" s="615"/>
      <c r="BH382" s="615"/>
      <c r="BI382" s="615"/>
      <c r="BJ382" s="615"/>
      <c r="BK382" s="615"/>
      <c r="BL382" s="615"/>
      <c r="BM382" s="615"/>
      <c r="BN382" s="615"/>
      <c r="BO382" s="615"/>
      <c r="BP382" s="615"/>
      <c r="BQ382" s="615"/>
      <c r="BR382" s="615"/>
      <c r="BS382" s="615"/>
      <c r="BT382" s="615"/>
      <c r="BU382" s="615"/>
      <c r="BV382" s="615"/>
      <c r="BW382" s="615"/>
      <c r="BX382" s="607"/>
    </row>
    <row r="383" spans="1:76" ht="25.5" x14ac:dyDescent="0.2">
      <c r="A383" s="839"/>
      <c r="B383" s="713" t="s">
        <v>1377</v>
      </c>
      <c r="C383" s="713" t="s">
        <v>3546</v>
      </c>
      <c r="D383" s="712">
        <v>0</v>
      </c>
      <c r="E383" s="712">
        <v>0</v>
      </c>
      <c r="F383" s="712">
        <v>0</v>
      </c>
      <c r="G383" s="712">
        <v>0</v>
      </c>
      <c r="H383" s="712">
        <v>0</v>
      </c>
      <c r="I383" s="712">
        <v>0</v>
      </c>
      <c r="J383" s="712">
        <v>0</v>
      </c>
      <c r="K383" s="712">
        <v>0</v>
      </c>
      <c r="L383" s="712">
        <v>0</v>
      </c>
      <c r="M383" s="712">
        <v>0</v>
      </c>
      <c r="N383" s="712">
        <v>0</v>
      </c>
      <c r="O383" s="712">
        <v>0</v>
      </c>
      <c r="P383" s="712">
        <v>0</v>
      </c>
      <c r="Q383" s="712">
        <v>0</v>
      </c>
      <c r="R383" s="712">
        <v>0</v>
      </c>
      <c r="S383" s="712">
        <v>0</v>
      </c>
      <c r="T383" s="712">
        <v>0</v>
      </c>
      <c r="U383" s="712">
        <v>0</v>
      </c>
      <c r="V383" s="712">
        <v>0</v>
      </c>
      <c r="W383" s="712">
        <v>0</v>
      </c>
      <c r="X383" s="712">
        <v>0</v>
      </c>
      <c r="Y383" s="712">
        <v>0</v>
      </c>
      <c r="Z383" s="712">
        <v>0</v>
      </c>
      <c r="AA383" s="712">
        <v>0</v>
      </c>
      <c r="AB383" s="712">
        <v>0</v>
      </c>
      <c r="AC383" s="712">
        <v>0</v>
      </c>
      <c r="AD383" s="712">
        <v>0</v>
      </c>
      <c r="AE383" s="712">
        <v>0</v>
      </c>
      <c r="AF383" s="712">
        <v>0</v>
      </c>
      <c r="AG383" s="712">
        <v>0</v>
      </c>
      <c r="AH383" s="712">
        <v>0</v>
      </c>
      <c r="AI383" s="712">
        <v>0</v>
      </c>
      <c r="AJ383" s="712">
        <v>0</v>
      </c>
      <c r="AK383" s="712">
        <v>0</v>
      </c>
      <c r="AL383" s="712">
        <v>0</v>
      </c>
      <c r="AM383" s="712">
        <v>0</v>
      </c>
      <c r="AN383" s="712">
        <v>0</v>
      </c>
      <c r="AO383" s="712">
        <v>0</v>
      </c>
      <c r="AP383" s="712">
        <v>0</v>
      </c>
      <c r="AQ383" s="712">
        <v>0</v>
      </c>
      <c r="AR383" s="712">
        <v>0</v>
      </c>
      <c r="AS383" s="712">
        <v>0</v>
      </c>
      <c r="AT383">
        <v>0</v>
      </c>
      <c r="AU383" s="615"/>
      <c r="AV383" s="615"/>
      <c r="AW383" s="615"/>
      <c r="AX383" s="615"/>
      <c r="AY383" s="615"/>
      <c r="AZ383" s="615"/>
      <c r="BA383" s="615"/>
      <c r="BB383" s="615"/>
      <c r="BC383" s="615"/>
      <c r="BD383" s="615"/>
      <c r="BE383" s="615"/>
      <c r="BF383" s="615"/>
      <c r="BG383" s="615"/>
      <c r="BH383" s="615"/>
      <c r="BI383" s="615"/>
      <c r="BJ383" s="615"/>
      <c r="BK383" s="615"/>
      <c r="BL383" s="615"/>
      <c r="BM383" s="615"/>
      <c r="BN383" s="615"/>
      <c r="BO383" s="615"/>
      <c r="BP383" s="615"/>
      <c r="BQ383" s="615"/>
      <c r="BR383" s="615"/>
      <c r="BS383" s="615"/>
      <c r="BT383" s="615"/>
      <c r="BU383" s="615"/>
      <c r="BV383" s="615"/>
      <c r="BW383" s="615"/>
      <c r="BX383" s="607"/>
    </row>
    <row r="384" spans="1:76" ht="25.5" x14ac:dyDescent="0.2">
      <c r="A384" s="839"/>
      <c r="B384" s="713" t="s">
        <v>1078</v>
      </c>
      <c r="C384" s="713" t="s">
        <v>3557</v>
      </c>
      <c r="D384" s="712">
        <v>0</v>
      </c>
      <c r="E384" s="712">
        <v>0</v>
      </c>
      <c r="F384" s="712">
        <v>0</v>
      </c>
      <c r="G384" s="712">
        <v>0</v>
      </c>
      <c r="H384" s="712">
        <v>0</v>
      </c>
      <c r="I384" s="712">
        <v>0</v>
      </c>
      <c r="J384" s="712">
        <v>0</v>
      </c>
      <c r="K384" s="712">
        <v>0</v>
      </c>
      <c r="L384" s="712">
        <v>0</v>
      </c>
      <c r="M384" s="712">
        <v>0</v>
      </c>
      <c r="N384" s="712">
        <v>0</v>
      </c>
      <c r="O384" s="712">
        <v>0</v>
      </c>
      <c r="P384" s="712">
        <v>273022102</v>
      </c>
      <c r="Q384" s="712">
        <v>0</v>
      </c>
      <c r="R384" s="712">
        <v>0</v>
      </c>
      <c r="S384" s="712">
        <v>0</v>
      </c>
      <c r="T384" s="712">
        <v>0</v>
      </c>
      <c r="U384" s="712">
        <v>0</v>
      </c>
      <c r="V384" s="712">
        <v>0</v>
      </c>
      <c r="W384" s="712">
        <v>0</v>
      </c>
      <c r="X384" s="712">
        <v>0</v>
      </c>
      <c r="Y384" s="712">
        <v>0</v>
      </c>
      <c r="Z384" s="712">
        <v>0</v>
      </c>
      <c r="AA384" s="712">
        <v>0</v>
      </c>
      <c r="AB384" s="712">
        <v>0</v>
      </c>
      <c r="AC384" s="712">
        <v>0</v>
      </c>
      <c r="AD384" s="712">
        <v>0</v>
      </c>
      <c r="AE384" s="712">
        <v>0</v>
      </c>
      <c r="AF384" s="712">
        <v>0</v>
      </c>
      <c r="AG384" s="712">
        <v>0</v>
      </c>
      <c r="AH384" s="712">
        <v>0</v>
      </c>
      <c r="AI384" s="712">
        <v>0</v>
      </c>
      <c r="AJ384" s="712">
        <v>0</v>
      </c>
      <c r="AK384" s="712">
        <v>0</v>
      </c>
      <c r="AL384" s="712">
        <v>0</v>
      </c>
      <c r="AM384" s="712">
        <v>0</v>
      </c>
      <c r="AN384" s="712">
        <v>0</v>
      </c>
      <c r="AO384" s="712">
        <v>0</v>
      </c>
      <c r="AP384" s="712">
        <v>0</v>
      </c>
      <c r="AQ384" s="712">
        <v>0</v>
      </c>
      <c r="AR384" s="712">
        <v>0</v>
      </c>
      <c r="AS384" s="712">
        <v>0</v>
      </c>
      <c r="AT384">
        <v>273022102</v>
      </c>
      <c r="AU384" s="615"/>
      <c r="AV384" s="615"/>
      <c r="AW384" s="615"/>
      <c r="AX384" s="615"/>
      <c r="AY384" s="615"/>
      <c r="AZ384" s="615"/>
      <c r="BA384" s="615"/>
      <c r="BB384" s="615"/>
      <c r="BC384" s="615"/>
      <c r="BD384" s="615"/>
      <c r="BE384" s="615"/>
      <c r="BF384" s="615"/>
      <c r="BG384" s="615"/>
      <c r="BH384" s="615"/>
      <c r="BI384" s="615"/>
      <c r="BJ384" s="615"/>
      <c r="BK384" s="615"/>
      <c r="BL384" s="615"/>
      <c r="BM384" s="615"/>
      <c r="BN384" s="615"/>
      <c r="BO384" s="615"/>
      <c r="BP384" s="615"/>
      <c r="BQ384" s="615"/>
      <c r="BR384" s="615"/>
      <c r="BS384" s="615"/>
      <c r="BT384" s="615"/>
      <c r="BU384" s="615"/>
      <c r="BV384" s="615"/>
      <c r="BW384" s="615"/>
      <c r="BX384" s="607"/>
    </row>
    <row r="385" spans="1:76" ht="25.5" x14ac:dyDescent="0.2">
      <c r="A385" s="839"/>
      <c r="B385" s="713" t="s">
        <v>1153</v>
      </c>
      <c r="C385" s="713" t="s">
        <v>3611</v>
      </c>
      <c r="D385" s="712">
        <v>0</v>
      </c>
      <c r="E385" s="712">
        <v>0</v>
      </c>
      <c r="F385" s="712">
        <v>0</v>
      </c>
      <c r="G385" s="712">
        <v>0</v>
      </c>
      <c r="H385" s="712">
        <v>0</v>
      </c>
      <c r="I385" s="712">
        <v>0</v>
      </c>
      <c r="J385" s="712">
        <v>0</v>
      </c>
      <c r="K385" s="712">
        <v>0</v>
      </c>
      <c r="L385" s="712">
        <v>0</v>
      </c>
      <c r="M385" s="712">
        <v>0</v>
      </c>
      <c r="N385" s="712">
        <v>0</v>
      </c>
      <c r="O385" s="712">
        <v>0</v>
      </c>
      <c r="P385" s="712">
        <v>282465915</v>
      </c>
      <c r="Q385" s="712">
        <v>0</v>
      </c>
      <c r="R385" s="712">
        <v>0</v>
      </c>
      <c r="S385" s="712">
        <v>0</v>
      </c>
      <c r="T385" s="712">
        <v>0</v>
      </c>
      <c r="U385" s="712">
        <v>0</v>
      </c>
      <c r="V385" s="712">
        <v>0</v>
      </c>
      <c r="W385" s="712">
        <v>0</v>
      </c>
      <c r="X385" s="712">
        <v>0</v>
      </c>
      <c r="Y385" s="712">
        <v>0</v>
      </c>
      <c r="Z385" s="712">
        <v>0</v>
      </c>
      <c r="AA385" s="712">
        <v>0</v>
      </c>
      <c r="AB385" s="712">
        <v>0</v>
      </c>
      <c r="AC385" s="712">
        <v>0</v>
      </c>
      <c r="AD385" s="712">
        <v>0</v>
      </c>
      <c r="AE385" s="712">
        <v>0</v>
      </c>
      <c r="AF385" s="712">
        <v>0</v>
      </c>
      <c r="AG385" s="712">
        <v>0</v>
      </c>
      <c r="AH385" s="712">
        <v>0</v>
      </c>
      <c r="AI385" s="712">
        <v>0</v>
      </c>
      <c r="AJ385" s="712">
        <v>0</v>
      </c>
      <c r="AK385" s="712">
        <v>0</v>
      </c>
      <c r="AL385" s="712">
        <v>0</v>
      </c>
      <c r="AM385" s="712">
        <v>0</v>
      </c>
      <c r="AN385" s="712">
        <v>0</v>
      </c>
      <c r="AO385" s="712">
        <v>0</v>
      </c>
      <c r="AP385" s="712">
        <v>0</v>
      </c>
      <c r="AQ385" s="712">
        <v>0</v>
      </c>
      <c r="AR385" s="712">
        <v>0</v>
      </c>
      <c r="AS385" s="712">
        <v>0</v>
      </c>
      <c r="AT385">
        <v>282465915</v>
      </c>
      <c r="AU385" s="615"/>
      <c r="AV385" s="615"/>
      <c r="AW385" s="615"/>
      <c r="AX385" s="615"/>
      <c r="AY385" s="615"/>
      <c r="AZ385" s="615"/>
      <c r="BA385" s="615"/>
      <c r="BB385" s="615"/>
      <c r="BC385" s="615"/>
      <c r="BD385" s="615"/>
      <c r="BE385" s="615"/>
      <c r="BF385" s="615"/>
      <c r="BG385" s="615"/>
      <c r="BH385" s="615"/>
      <c r="BI385" s="615"/>
      <c r="BJ385" s="615"/>
      <c r="BK385" s="615"/>
      <c r="BL385" s="615"/>
      <c r="BM385" s="615"/>
      <c r="BN385" s="615"/>
      <c r="BO385" s="615"/>
      <c r="BP385" s="615"/>
      <c r="BQ385" s="615"/>
      <c r="BR385" s="615"/>
      <c r="BS385" s="615"/>
      <c r="BT385" s="615"/>
      <c r="BU385" s="615"/>
      <c r="BV385" s="615"/>
      <c r="BW385" s="615"/>
      <c r="BX385" s="607"/>
    </row>
    <row r="386" spans="1:76" ht="25.5" x14ac:dyDescent="0.2">
      <c r="A386" s="839"/>
      <c r="B386" s="713" t="s">
        <v>1240</v>
      </c>
      <c r="C386" s="713" t="s">
        <v>3591</v>
      </c>
      <c r="D386" s="712">
        <v>0</v>
      </c>
      <c r="E386" s="712">
        <v>0</v>
      </c>
      <c r="F386" s="712">
        <v>0</v>
      </c>
      <c r="G386" s="712">
        <v>0</v>
      </c>
      <c r="H386" s="712">
        <v>0</v>
      </c>
      <c r="I386" s="712">
        <v>0</v>
      </c>
      <c r="J386" s="712">
        <v>0</v>
      </c>
      <c r="K386" s="712">
        <v>6768545</v>
      </c>
      <c r="L386" s="712">
        <v>0</v>
      </c>
      <c r="M386" s="712">
        <v>0</v>
      </c>
      <c r="N386" s="712">
        <v>0</v>
      </c>
      <c r="O386" s="712">
        <v>0</v>
      </c>
      <c r="P386" s="712">
        <v>302816500</v>
      </c>
      <c r="Q386" s="712">
        <v>0</v>
      </c>
      <c r="R386" s="712">
        <v>0</v>
      </c>
      <c r="S386" s="712">
        <v>0</v>
      </c>
      <c r="T386" s="712">
        <v>0</v>
      </c>
      <c r="U386" s="712">
        <v>0</v>
      </c>
      <c r="V386" s="712">
        <v>0</v>
      </c>
      <c r="W386" s="712">
        <v>0</v>
      </c>
      <c r="X386" s="712">
        <v>0</v>
      </c>
      <c r="Y386" s="712">
        <v>0</v>
      </c>
      <c r="Z386" s="712">
        <v>0</v>
      </c>
      <c r="AA386" s="712">
        <v>0</v>
      </c>
      <c r="AB386" s="712">
        <v>0</v>
      </c>
      <c r="AC386" s="712">
        <v>0</v>
      </c>
      <c r="AD386" s="712">
        <v>0</v>
      </c>
      <c r="AE386" s="712">
        <v>0</v>
      </c>
      <c r="AF386" s="712">
        <v>0</v>
      </c>
      <c r="AG386" s="712">
        <v>0</v>
      </c>
      <c r="AH386" s="712">
        <v>0</v>
      </c>
      <c r="AI386" s="712">
        <v>0</v>
      </c>
      <c r="AJ386" s="712">
        <v>0</v>
      </c>
      <c r="AK386" s="712">
        <v>0</v>
      </c>
      <c r="AL386" s="712">
        <v>0</v>
      </c>
      <c r="AM386" s="712">
        <v>0</v>
      </c>
      <c r="AN386" s="712">
        <v>0</v>
      </c>
      <c r="AO386" s="712">
        <v>0</v>
      </c>
      <c r="AP386" s="712">
        <v>0</v>
      </c>
      <c r="AQ386" s="712">
        <v>0</v>
      </c>
      <c r="AR386" s="712">
        <v>0</v>
      </c>
      <c r="AS386" s="712">
        <v>0</v>
      </c>
      <c r="AT386">
        <v>309585045</v>
      </c>
      <c r="AU386" s="615"/>
      <c r="AV386" s="615"/>
      <c r="AW386" s="615"/>
      <c r="AX386" s="615"/>
      <c r="AY386" s="615"/>
      <c r="AZ386" s="615"/>
      <c r="BA386" s="615"/>
      <c r="BB386" s="615"/>
      <c r="BC386" s="615"/>
      <c r="BD386" s="615"/>
      <c r="BE386" s="615"/>
      <c r="BF386" s="615"/>
      <c r="BG386" s="615"/>
      <c r="BH386" s="615"/>
      <c r="BI386" s="615"/>
      <c r="BJ386" s="615"/>
      <c r="BK386" s="615"/>
      <c r="BL386" s="615"/>
      <c r="BM386" s="615"/>
      <c r="BN386" s="615"/>
      <c r="BO386" s="615"/>
      <c r="BP386" s="615"/>
      <c r="BQ386" s="615"/>
      <c r="BR386" s="615"/>
      <c r="BS386" s="615"/>
      <c r="BT386" s="615"/>
      <c r="BU386" s="615"/>
      <c r="BV386" s="615"/>
      <c r="BW386" s="615"/>
      <c r="BX386" s="607"/>
    </row>
    <row r="387" spans="1:76" ht="25.5" x14ac:dyDescent="0.2">
      <c r="A387" s="839"/>
      <c r="B387" s="713" t="s">
        <v>1225</v>
      </c>
      <c r="C387" s="713" t="s">
        <v>3524</v>
      </c>
      <c r="D387" s="712">
        <v>0</v>
      </c>
      <c r="E387" s="712">
        <v>0</v>
      </c>
      <c r="F387" s="712">
        <v>0</v>
      </c>
      <c r="G387" s="712">
        <v>0</v>
      </c>
      <c r="H387" s="712">
        <v>0</v>
      </c>
      <c r="I387" s="712">
        <v>0</v>
      </c>
      <c r="J387" s="712">
        <v>0</v>
      </c>
      <c r="K387" s="712">
        <v>0</v>
      </c>
      <c r="L387" s="712">
        <v>0</v>
      </c>
      <c r="M387" s="712">
        <v>0</v>
      </c>
      <c r="N387" s="712">
        <v>0</v>
      </c>
      <c r="O387" s="712">
        <v>0</v>
      </c>
      <c r="P387" s="712">
        <v>0</v>
      </c>
      <c r="Q387" s="712">
        <v>0</v>
      </c>
      <c r="R387" s="712">
        <v>43136815</v>
      </c>
      <c r="S387" s="712">
        <v>0</v>
      </c>
      <c r="T387" s="712">
        <v>0</v>
      </c>
      <c r="U387" s="712">
        <v>0</v>
      </c>
      <c r="V387" s="712">
        <v>0</v>
      </c>
      <c r="W387" s="712">
        <v>0</v>
      </c>
      <c r="X387" s="712">
        <v>0</v>
      </c>
      <c r="Y387" s="712">
        <v>0</v>
      </c>
      <c r="Z387" s="712">
        <v>0</v>
      </c>
      <c r="AA387" s="712">
        <v>0</v>
      </c>
      <c r="AB387" s="712">
        <v>0</v>
      </c>
      <c r="AC387" s="712">
        <v>0</v>
      </c>
      <c r="AD387" s="712">
        <v>0</v>
      </c>
      <c r="AE387" s="712">
        <v>0</v>
      </c>
      <c r="AF387" s="712">
        <v>0</v>
      </c>
      <c r="AG387" s="712">
        <v>0</v>
      </c>
      <c r="AH387" s="712">
        <v>0</v>
      </c>
      <c r="AI387" s="712">
        <v>0</v>
      </c>
      <c r="AJ387" s="712">
        <v>0</v>
      </c>
      <c r="AK387" s="712">
        <v>0</v>
      </c>
      <c r="AL387" s="712">
        <v>0</v>
      </c>
      <c r="AM387" s="712">
        <v>0</v>
      </c>
      <c r="AN387" s="712">
        <v>0</v>
      </c>
      <c r="AO387" s="712">
        <v>0</v>
      </c>
      <c r="AP387" s="712">
        <v>0</v>
      </c>
      <c r="AQ387" s="712">
        <v>0</v>
      </c>
      <c r="AR387" s="712">
        <v>0</v>
      </c>
      <c r="AS387" s="712">
        <v>0</v>
      </c>
      <c r="AT387">
        <v>43136815</v>
      </c>
      <c r="AU387" s="615"/>
      <c r="AV387" s="615"/>
      <c r="AW387" s="615"/>
      <c r="AX387" s="615"/>
      <c r="AY387" s="615"/>
      <c r="AZ387" s="615"/>
      <c r="BA387" s="615"/>
      <c r="BB387" s="615"/>
      <c r="BC387" s="615"/>
      <c r="BD387" s="615"/>
      <c r="BE387" s="615"/>
      <c r="BF387" s="615"/>
      <c r="BG387" s="615"/>
      <c r="BH387" s="615"/>
      <c r="BI387" s="615"/>
      <c r="BJ387" s="615"/>
      <c r="BK387" s="615"/>
      <c r="BL387" s="615"/>
      <c r="BM387" s="615"/>
      <c r="BN387" s="615"/>
      <c r="BO387" s="615"/>
      <c r="BP387" s="615"/>
      <c r="BQ387" s="615"/>
      <c r="BR387" s="615"/>
      <c r="BS387" s="615"/>
      <c r="BT387" s="615"/>
      <c r="BU387" s="615"/>
      <c r="BV387" s="615"/>
      <c r="BW387" s="615"/>
      <c r="BX387" s="607"/>
    </row>
    <row r="388" spans="1:76" ht="12.75" x14ac:dyDescent="0.2">
      <c r="A388" s="839"/>
      <c r="B388" s="838" t="s">
        <v>1087</v>
      </c>
      <c r="C388" s="713" t="s">
        <v>3625</v>
      </c>
      <c r="D388" s="712">
        <v>0</v>
      </c>
      <c r="E388" s="712">
        <v>0</v>
      </c>
      <c r="F388" s="712">
        <v>0</v>
      </c>
      <c r="G388" s="712">
        <v>0</v>
      </c>
      <c r="H388" s="712">
        <v>0</v>
      </c>
      <c r="I388" s="712">
        <v>0</v>
      </c>
      <c r="J388" s="712">
        <v>0</v>
      </c>
      <c r="K388" s="712">
        <v>0</v>
      </c>
      <c r="L388" s="712">
        <v>0</v>
      </c>
      <c r="M388" s="712">
        <v>0</v>
      </c>
      <c r="N388" s="712">
        <v>0</v>
      </c>
      <c r="O388" s="712">
        <v>0</v>
      </c>
      <c r="P388" s="712">
        <v>0</v>
      </c>
      <c r="Q388" s="712">
        <v>0</v>
      </c>
      <c r="R388" s="712">
        <v>284466993</v>
      </c>
      <c r="S388" s="712">
        <v>0</v>
      </c>
      <c r="T388" s="712">
        <v>0</v>
      </c>
      <c r="U388" s="712">
        <v>0</v>
      </c>
      <c r="V388" s="712">
        <v>0</v>
      </c>
      <c r="W388" s="712">
        <v>0</v>
      </c>
      <c r="X388" s="712">
        <v>0</v>
      </c>
      <c r="Y388" s="712">
        <v>0</v>
      </c>
      <c r="Z388" s="712">
        <v>0</v>
      </c>
      <c r="AA388" s="712">
        <v>0</v>
      </c>
      <c r="AB388" s="712">
        <v>0</v>
      </c>
      <c r="AC388" s="712">
        <v>0</v>
      </c>
      <c r="AD388" s="712">
        <v>0</v>
      </c>
      <c r="AE388" s="712">
        <v>0</v>
      </c>
      <c r="AF388" s="712">
        <v>0</v>
      </c>
      <c r="AG388" s="712">
        <v>0</v>
      </c>
      <c r="AH388" s="712">
        <v>0</v>
      </c>
      <c r="AI388" s="712">
        <v>0</v>
      </c>
      <c r="AJ388" s="712">
        <v>0</v>
      </c>
      <c r="AK388" s="712">
        <v>0</v>
      </c>
      <c r="AL388" s="712">
        <v>0</v>
      </c>
      <c r="AM388" s="712">
        <v>0</v>
      </c>
      <c r="AN388" s="712">
        <v>0</v>
      </c>
      <c r="AO388" s="712">
        <v>0</v>
      </c>
      <c r="AP388" s="712">
        <v>0</v>
      </c>
      <c r="AQ388" s="712">
        <v>0</v>
      </c>
      <c r="AR388" s="712">
        <v>0</v>
      </c>
      <c r="AS388" s="712">
        <v>0</v>
      </c>
      <c r="AT388">
        <v>284466993</v>
      </c>
      <c r="AU388" s="615"/>
      <c r="AV388" s="615"/>
      <c r="AW388" s="615"/>
      <c r="AX388" s="615"/>
      <c r="AY388" s="615"/>
      <c r="AZ388" s="615"/>
      <c r="BA388" s="615"/>
      <c r="BB388" s="615"/>
      <c r="BC388" s="615"/>
      <c r="BD388" s="615"/>
      <c r="BE388" s="615"/>
      <c r="BF388" s="615"/>
      <c r="BG388" s="615"/>
      <c r="BH388" s="615"/>
      <c r="BI388" s="615"/>
      <c r="BJ388" s="615"/>
      <c r="BK388" s="615"/>
      <c r="BL388" s="615"/>
      <c r="BM388" s="615"/>
      <c r="BN388" s="615"/>
      <c r="BO388" s="615"/>
      <c r="BP388" s="615"/>
      <c r="BQ388" s="615"/>
      <c r="BR388" s="615"/>
      <c r="BS388" s="615"/>
      <c r="BT388" s="615"/>
      <c r="BU388" s="615"/>
      <c r="BV388" s="615"/>
      <c r="BW388" s="615"/>
      <c r="BX388" s="607"/>
    </row>
    <row r="389" spans="1:76" ht="12.75" x14ac:dyDescent="0.2">
      <c r="A389" s="839"/>
      <c r="B389" s="839"/>
      <c r="C389" s="713" t="s">
        <v>3636</v>
      </c>
      <c r="D389" s="712">
        <v>0</v>
      </c>
      <c r="E389" s="712">
        <v>0</v>
      </c>
      <c r="F389" s="712">
        <v>0</v>
      </c>
      <c r="G389" s="712">
        <v>0</v>
      </c>
      <c r="H389" s="712">
        <v>0</v>
      </c>
      <c r="I389" s="712">
        <v>0</v>
      </c>
      <c r="J389" s="712">
        <v>0</v>
      </c>
      <c r="K389" s="712">
        <v>0</v>
      </c>
      <c r="L389" s="712">
        <v>0</v>
      </c>
      <c r="M389" s="712">
        <v>0</v>
      </c>
      <c r="N389" s="712">
        <v>0</v>
      </c>
      <c r="O389" s="712">
        <v>0</v>
      </c>
      <c r="P389" s="712">
        <v>0</v>
      </c>
      <c r="Q389" s="712">
        <v>0</v>
      </c>
      <c r="R389" s="712">
        <v>278331098</v>
      </c>
      <c r="S389" s="712">
        <v>0</v>
      </c>
      <c r="T389" s="712">
        <v>0</v>
      </c>
      <c r="U389" s="712">
        <v>0</v>
      </c>
      <c r="V389" s="712">
        <v>0</v>
      </c>
      <c r="W389" s="712">
        <v>0</v>
      </c>
      <c r="X389" s="712">
        <v>0</v>
      </c>
      <c r="Y389" s="712">
        <v>0</v>
      </c>
      <c r="Z389" s="712">
        <v>0</v>
      </c>
      <c r="AA389" s="712">
        <v>0</v>
      </c>
      <c r="AB389" s="712">
        <v>0</v>
      </c>
      <c r="AC389" s="712">
        <v>0</v>
      </c>
      <c r="AD389" s="712">
        <v>0</v>
      </c>
      <c r="AE389" s="712">
        <v>0</v>
      </c>
      <c r="AF389" s="712">
        <v>0</v>
      </c>
      <c r="AG389" s="712">
        <v>0</v>
      </c>
      <c r="AH389" s="712">
        <v>0</v>
      </c>
      <c r="AI389" s="712">
        <v>0</v>
      </c>
      <c r="AJ389" s="712">
        <v>0</v>
      </c>
      <c r="AK389" s="712">
        <v>0</v>
      </c>
      <c r="AL389" s="712">
        <v>0</v>
      </c>
      <c r="AM389" s="712">
        <v>0</v>
      </c>
      <c r="AN389" s="712">
        <v>0</v>
      </c>
      <c r="AO389" s="712">
        <v>0</v>
      </c>
      <c r="AP389" s="712">
        <v>0</v>
      </c>
      <c r="AQ389" s="712">
        <v>0</v>
      </c>
      <c r="AR389" s="712">
        <v>0</v>
      </c>
      <c r="AS389" s="712">
        <v>0</v>
      </c>
      <c r="AT389">
        <v>278331098</v>
      </c>
      <c r="AU389" s="615"/>
      <c r="AV389" s="615"/>
      <c r="AW389" s="615"/>
      <c r="AX389" s="615"/>
      <c r="AY389" s="615"/>
      <c r="AZ389" s="615"/>
      <c r="BA389" s="615"/>
      <c r="BB389" s="615"/>
      <c r="BC389" s="615"/>
      <c r="BD389" s="615"/>
      <c r="BE389" s="615"/>
      <c r="BF389" s="615"/>
      <c r="BG389" s="615"/>
      <c r="BH389" s="615"/>
      <c r="BI389" s="615"/>
      <c r="BJ389" s="615"/>
      <c r="BK389" s="615"/>
      <c r="BL389" s="615"/>
      <c r="BM389" s="615"/>
      <c r="BN389" s="615"/>
      <c r="BO389" s="615"/>
      <c r="BP389" s="615"/>
      <c r="BQ389" s="615"/>
      <c r="BR389" s="615"/>
      <c r="BS389" s="615"/>
      <c r="BT389" s="615"/>
      <c r="BU389" s="615"/>
      <c r="BV389" s="615"/>
      <c r="BW389" s="615"/>
      <c r="BX389" s="607"/>
    </row>
    <row r="390" spans="1:76" ht="25.5" x14ac:dyDescent="0.2">
      <c r="A390" s="839"/>
      <c r="B390" s="713" t="s">
        <v>3368</v>
      </c>
      <c r="C390" s="713" t="s">
        <v>3589</v>
      </c>
      <c r="D390" s="712">
        <v>0</v>
      </c>
      <c r="E390" s="712">
        <v>0</v>
      </c>
      <c r="F390" s="712">
        <v>0</v>
      </c>
      <c r="G390" s="712">
        <v>0</v>
      </c>
      <c r="H390" s="712">
        <v>0</v>
      </c>
      <c r="I390" s="712">
        <v>0</v>
      </c>
      <c r="J390" s="712">
        <v>0</v>
      </c>
      <c r="K390" s="712">
        <v>0</v>
      </c>
      <c r="L390" s="712">
        <v>0</v>
      </c>
      <c r="M390" s="712">
        <v>0</v>
      </c>
      <c r="N390" s="712">
        <v>0</v>
      </c>
      <c r="O390" s="712">
        <v>0</v>
      </c>
      <c r="P390" s="712">
        <v>0</v>
      </c>
      <c r="Q390" s="712">
        <v>0</v>
      </c>
      <c r="R390" s="712">
        <v>0</v>
      </c>
      <c r="S390" s="712">
        <v>0</v>
      </c>
      <c r="T390" s="712">
        <v>1565753</v>
      </c>
      <c r="U390" s="712">
        <v>390546038</v>
      </c>
      <c r="V390" s="712">
        <v>0</v>
      </c>
      <c r="W390" s="712">
        <v>0</v>
      </c>
      <c r="X390" s="712">
        <v>0</v>
      </c>
      <c r="Y390" s="712">
        <v>0</v>
      </c>
      <c r="Z390" s="712">
        <v>0</v>
      </c>
      <c r="AA390" s="712">
        <v>0</v>
      </c>
      <c r="AB390" s="712">
        <v>0</v>
      </c>
      <c r="AC390" s="712">
        <v>0</v>
      </c>
      <c r="AD390" s="712">
        <v>0</v>
      </c>
      <c r="AE390" s="712">
        <v>0</v>
      </c>
      <c r="AF390" s="712">
        <v>0</v>
      </c>
      <c r="AG390" s="712">
        <v>0</v>
      </c>
      <c r="AH390" s="712">
        <v>0</v>
      </c>
      <c r="AI390" s="712">
        <v>0</v>
      </c>
      <c r="AJ390" s="712">
        <v>0</v>
      </c>
      <c r="AK390" s="712">
        <v>0</v>
      </c>
      <c r="AL390" s="712">
        <v>0</v>
      </c>
      <c r="AM390" s="712">
        <v>0</v>
      </c>
      <c r="AN390" s="712">
        <v>0</v>
      </c>
      <c r="AO390" s="712">
        <v>0</v>
      </c>
      <c r="AP390" s="712">
        <v>0</v>
      </c>
      <c r="AQ390" s="712">
        <v>0</v>
      </c>
      <c r="AR390" s="712">
        <v>0</v>
      </c>
      <c r="AS390" s="712">
        <v>0</v>
      </c>
      <c r="AT390">
        <v>392111791</v>
      </c>
      <c r="AU390" s="615"/>
      <c r="AV390" s="615"/>
      <c r="AW390" s="615"/>
      <c r="AX390" s="615"/>
      <c r="AY390" s="615"/>
      <c r="AZ390" s="615"/>
      <c r="BA390" s="615"/>
      <c r="BB390" s="615"/>
      <c r="BC390" s="615"/>
      <c r="BD390" s="615"/>
      <c r="BE390" s="615"/>
      <c r="BF390" s="615"/>
      <c r="BG390" s="615"/>
      <c r="BH390" s="615"/>
      <c r="BI390" s="615"/>
      <c r="BJ390" s="615"/>
      <c r="BK390" s="615"/>
      <c r="BL390" s="615"/>
      <c r="BM390" s="615"/>
      <c r="BN390" s="615"/>
      <c r="BO390" s="615"/>
      <c r="BP390" s="615"/>
      <c r="BQ390" s="615"/>
      <c r="BR390" s="615"/>
      <c r="BS390" s="615"/>
      <c r="BT390" s="615"/>
      <c r="BU390" s="615"/>
      <c r="BV390" s="615"/>
      <c r="BW390" s="615"/>
      <c r="BX390" s="607"/>
    </row>
    <row r="391" spans="1:76" ht="25.5" x14ac:dyDescent="0.2">
      <c r="A391" s="839"/>
      <c r="B391" s="713" t="s">
        <v>1718</v>
      </c>
      <c r="C391" s="713" t="s">
        <v>3525</v>
      </c>
      <c r="D391" s="712">
        <v>0</v>
      </c>
      <c r="E391" s="712">
        <v>0</v>
      </c>
      <c r="F391" s="712">
        <v>0</v>
      </c>
      <c r="G391" s="712">
        <v>0</v>
      </c>
      <c r="H391" s="712">
        <v>0</v>
      </c>
      <c r="I391" s="712">
        <v>0</v>
      </c>
      <c r="J391" s="712">
        <v>0</v>
      </c>
      <c r="K391" s="712">
        <v>0</v>
      </c>
      <c r="L391" s="712">
        <v>0</v>
      </c>
      <c r="M391" s="712">
        <v>0</v>
      </c>
      <c r="N391" s="712">
        <v>0</v>
      </c>
      <c r="O391" s="712">
        <v>0</v>
      </c>
      <c r="P391" s="712">
        <v>0</v>
      </c>
      <c r="Q391" s="712">
        <v>0</v>
      </c>
      <c r="R391" s="712">
        <v>0</v>
      </c>
      <c r="S391" s="712">
        <v>0</v>
      </c>
      <c r="T391" s="712">
        <v>0</v>
      </c>
      <c r="U391" s="712">
        <v>0</v>
      </c>
      <c r="V391" s="712">
        <v>0</v>
      </c>
      <c r="W391" s="712">
        <v>0</v>
      </c>
      <c r="X391" s="712">
        <v>0</v>
      </c>
      <c r="Y391" s="712">
        <v>0</v>
      </c>
      <c r="Z391" s="712">
        <v>0</v>
      </c>
      <c r="AA391" s="712">
        <v>0</v>
      </c>
      <c r="AB391" s="712">
        <v>0</v>
      </c>
      <c r="AC391" s="712">
        <v>0</v>
      </c>
      <c r="AD391" s="712">
        <v>0</v>
      </c>
      <c r="AE391" s="712">
        <v>0</v>
      </c>
      <c r="AF391" s="712">
        <v>0</v>
      </c>
      <c r="AG391" s="712">
        <v>0</v>
      </c>
      <c r="AH391" s="712">
        <v>0</v>
      </c>
      <c r="AI391" s="712">
        <v>0</v>
      </c>
      <c r="AJ391" s="712">
        <v>0</v>
      </c>
      <c r="AK391" s="712">
        <v>0</v>
      </c>
      <c r="AL391" s="712">
        <v>0</v>
      </c>
      <c r="AM391" s="712">
        <v>0</v>
      </c>
      <c r="AN391" s="712">
        <v>0</v>
      </c>
      <c r="AO391" s="712">
        <v>0</v>
      </c>
      <c r="AP391" s="712">
        <v>0</v>
      </c>
      <c r="AQ391" s="712">
        <v>0</v>
      </c>
      <c r="AR391" s="712">
        <v>0</v>
      </c>
      <c r="AS391" s="712">
        <v>0</v>
      </c>
      <c r="AT391">
        <v>0</v>
      </c>
      <c r="AU391" s="615"/>
      <c r="AV391" s="615"/>
      <c r="AW391" s="615"/>
      <c r="AX391" s="615"/>
      <c r="AY391" s="615"/>
      <c r="AZ391" s="615"/>
      <c r="BA391" s="615"/>
      <c r="BB391" s="615"/>
      <c r="BC391" s="615"/>
      <c r="BD391" s="615"/>
      <c r="BE391" s="615"/>
      <c r="BF391" s="615"/>
      <c r="BG391" s="615"/>
      <c r="BH391" s="615"/>
      <c r="BI391" s="615"/>
      <c r="BJ391" s="615"/>
      <c r="BK391" s="615"/>
      <c r="BL391" s="615"/>
      <c r="BM391" s="615"/>
      <c r="BN391" s="615"/>
      <c r="BO391" s="615"/>
      <c r="BP391" s="615"/>
      <c r="BQ391" s="615"/>
      <c r="BR391" s="615"/>
      <c r="BS391" s="615"/>
      <c r="BT391" s="615"/>
      <c r="BU391" s="615"/>
      <c r="BV391" s="615"/>
      <c r="BW391" s="615"/>
      <c r="BX391" s="607"/>
    </row>
    <row r="392" spans="1:76" ht="12.75" x14ac:dyDescent="0.2">
      <c r="A392" s="839"/>
      <c r="B392" s="838" t="s">
        <v>890</v>
      </c>
      <c r="C392" s="713" t="s">
        <v>3527</v>
      </c>
      <c r="D392" s="712">
        <v>0</v>
      </c>
      <c r="E392" s="712">
        <v>0</v>
      </c>
      <c r="F392" s="712">
        <v>0</v>
      </c>
      <c r="G392" s="712">
        <v>0</v>
      </c>
      <c r="H392" s="712">
        <v>0</v>
      </c>
      <c r="I392" s="712">
        <v>0</v>
      </c>
      <c r="J392" s="712">
        <v>0</v>
      </c>
      <c r="K392" s="712">
        <v>0</v>
      </c>
      <c r="L392" s="712">
        <v>0</v>
      </c>
      <c r="M392" s="712">
        <v>0</v>
      </c>
      <c r="N392" s="712">
        <v>0</v>
      </c>
      <c r="O392" s="712">
        <v>0</v>
      </c>
      <c r="P392" s="712">
        <v>0</v>
      </c>
      <c r="Q392" s="712">
        <v>0</v>
      </c>
      <c r="R392" s="712">
        <v>0</v>
      </c>
      <c r="S392" s="712">
        <v>0</v>
      </c>
      <c r="T392" s="712">
        <v>0</v>
      </c>
      <c r="U392" s="712">
        <v>0</v>
      </c>
      <c r="V392" s="712">
        <v>0</v>
      </c>
      <c r="W392" s="712">
        <v>0</v>
      </c>
      <c r="X392" s="712">
        <v>0</v>
      </c>
      <c r="Y392" s="712">
        <v>0</v>
      </c>
      <c r="Z392" s="712">
        <v>0</v>
      </c>
      <c r="AA392" s="712">
        <v>0</v>
      </c>
      <c r="AB392" s="712">
        <v>0</v>
      </c>
      <c r="AC392" s="712">
        <v>0</v>
      </c>
      <c r="AD392" s="712">
        <v>0</v>
      </c>
      <c r="AE392" s="712">
        <v>0</v>
      </c>
      <c r="AF392" s="712">
        <v>0</v>
      </c>
      <c r="AG392" s="712">
        <v>0</v>
      </c>
      <c r="AH392" s="712">
        <v>0</v>
      </c>
      <c r="AI392" s="712">
        <v>0</v>
      </c>
      <c r="AJ392" s="712">
        <v>0</v>
      </c>
      <c r="AK392" s="712">
        <v>0</v>
      </c>
      <c r="AL392" s="712">
        <v>0</v>
      </c>
      <c r="AM392" s="712">
        <v>0</v>
      </c>
      <c r="AN392" s="712">
        <v>0</v>
      </c>
      <c r="AO392" s="712">
        <v>0</v>
      </c>
      <c r="AP392" s="712">
        <v>0</v>
      </c>
      <c r="AQ392" s="712">
        <v>0</v>
      </c>
      <c r="AR392" s="712">
        <v>0</v>
      </c>
      <c r="AS392" s="712">
        <v>0</v>
      </c>
      <c r="AT392">
        <v>0</v>
      </c>
      <c r="AU392" s="615"/>
      <c r="AV392" s="615"/>
      <c r="AW392" s="615"/>
      <c r="AX392" s="615"/>
      <c r="AY392" s="615"/>
      <c r="AZ392" s="615"/>
      <c r="BA392" s="615"/>
      <c r="BB392" s="615"/>
      <c r="BC392" s="615"/>
      <c r="BD392" s="615"/>
      <c r="BE392" s="615"/>
      <c r="BF392" s="615"/>
      <c r="BG392" s="615"/>
      <c r="BH392" s="615"/>
      <c r="BI392" s="615"/>
      <c r="BJ392" s="615"/>
      <c r="BK392" s="615"/>
      <c r="BL392" s="615"/>
      <c r="BM392" s="615"/>
      <c r="BN392" s="615"/>
      <c r="BO392" s="615"/>
      <c r="BP392" s="615"/>
      <c r="BQ392" s="615"/>
      <c r="BR392" s="615"/>
      <c r="BS392" s="615"/>
      <c r="BT392" s="615"/>
      <c r="BU392" s="615"/>
      <c r="BV392" s="615"/>
      <c r="BW392" s="615"/>
      <c r="BX392" s="607"/>
    </row>
    <row r="393" spans="1:76" ht="12.75" x14ac:dyDescent="0.2">
      <c r="A393" s="839"/>
      <c r="B393" s="839"/>
      <c r="C393" s="713" t="s">
        <v>3613</v>
      </c>
      <c r="D393" s="712">
        <v>0</v>
      </c>
      <c r="E393" s="712">
        <v>0</v>
      </c>
      <c r="F393" s="712">
        <v>0</v>
      </c>
      <c r="G393" s="712">
        <v>0</v>
      </c>
      <c r="H393" s="712">
        <v>0</v>
      </c>
      <c r="I393" s="712">
        <v>0</v>
      </c>
      <c r="J393" s="712">
        <v>0</v>
      </c>
      <c r="K393" s="712">
        <v>0</v>
      </c>
      <c r="L393" s="712">
        <v>0</v>
      </c>
      <c r="M393" s="712">
        <v>0</v>
      </c>
      <c r="N393" s="712">
        <v>0</v>
      </c>
      <c r="O393" s="712">
        <v>0</v>
      </c>
      <c r="P393" s="712">
        <v>0</v>
      </c>
      <c r="Q393" s="712">
        <v>0</v>
      </c>
      <c r="R393" s="712">
        <v>0</v>
      </c>
      <c r="S393" s="712">
        <v>0</v>
      </c>
      <c r="T393" s="712">
        <v>0</v>
      </c>
      <c r="U393" s="712">
        <v>0</v>
      </c>
      <c r="V393" s="712">
        <v>0</v>
      </c>
      <c r="W393" s="712">
        <v>0</v>
      </c>
      <c r="X393" s="712">
        <v>0</v>
      </c>
      <c r="Y393" s="712">
        <v>0</v>
      </c>
      <c r="Z393" s="712">
        <v>0</v>
      </c>
      <c r="AA393" s="712">
        <v>0</v>
      </c>
      <c r="AB393" s="712">
        <v>0</v>
      </c>
      <c r="AC393" s="712">
        <v>0</v>
      </c>
      <c r="AD393" s="712">
        <v>0</v>
      </c>
      <c r="AE393" s="712">
        <v>0</v>
      </c>
      <c r="AF393" s="712">
        <v>0</v>
      </c>
      <c r="AG393" s="712">
        <v>0</v>
      </c>
      <c r="AH393" s="712">
        <v>0</v>
      </c>
      <c r="AI393" s="712">
        <v>0</v>
      </c>
      <c r="AJ393" s="712">
        <v>0</v>
      </c>
      <c r="AK393" s="712">
        <v>0</v>
      </c>
      <c r="AL393" s="712">
        <v>0</v>
      </c>
      <c r="AM393" s="712">
        <v>0</v>
      </c>
      <c r="AN393" s="712">
        <v>0</v>
      </c>
      <c r="AO393" s="712">
        <v>0</v>
      </c>
      <c r="AP393" s="712">
        <v>0</v>
      </c>
      <c r="AQ393" s="712">
        <v>0</v>
      </c>
      <c r="AR393" s="712">
        <v>0</v>
      </c>
      <c r="AS393" s="712">
        <v>0</v>
      </c>
      <c r="AT393">
        <v>0</v>
      </c>
      <c r="AU393" s="615"/>
      <c r="AV393" s="615"/>
      <c r="AW393" s="615"/>
      <c r="AX393" s="615"/>
      <c r="AY393" s="615"/>
      <c r="AZ393" s="615"/>
      <c r="BA393" s="615"/>
      <c r="BB393" s="615"/>
      <c r="BC393" s="615"/>
      <c r="BD393" s="615"/>
      <c r="BE393" s="615"/>
      <c r="BF393" s="615"/>
      <c r="BG393" s="615"/>
      <c r="BH393" s="615"/>
      <c r="BI393" s="615"/>
      <c r="BJ393" s="615"/>
      <c r="BK393" s="615"/>
      <c r="BL393" s="615"/>
      <c r="BM393" s="615"/>
      <c r="BN393" s="615"/>
      <c r="BO393" s="615"/>
      <c r="BP393" s="615"/>
      <c r="BQ393" s="615"/>
      <c r="BR393" s="615"/>
      <c r="BS393" s="615"/>
      <c r="BT393" s="615"/>
      <c r="BU393" s="615"/>
      <c r="BV393" s="615"/>
      <c r="BW393" s="615"/>
      <c r="BX393" s="607"/>
    </row>
    <row r="394" spans="1:76" ht="25.5" x14ac:dyDescent="0.2">
      <c r="A394" s="839"/>
      <c r="B394" s="713" t="s">
        <v>1152</v>
      </c>
      <c r="C394" s="713" t="s">
        <v>3606</v>
      </c>
      <c r="D394" s="712">
        <v>0</v>
      </c>
      <c r="E394" s="712">
        <v>0</v>
      </c>
      <c r="F394" s="712">
        <v>0</v>
      </c>
      <c r="G394" s="712">
        <v>0</v>
      </c>
      <c r="H394" s="712">
        <v>0</v>
      </c>
      <c r="I394" s="712">
        <v>0</v>
      </c>
      <c r="J394" s="712">
        <v>0</v>
      </c>
      <c r="K394" s="712">
        <v>0</v>
      </c>
      <c r="L394" s="712">
        <v>0</v>
      </c>
      <c r="M394" s="712">
        <v>0</v>
      </c>
      <c r="N394" s="712">
        <v>0</v>
      </c>
      <c r="O394" s="712">
        <v>0</v>
      </c>
      <c r="P394" s="712">
        <v>0</v>
      </c>
      <c r="Q394" s="712">
        <v>0</v>
      </c>
      <c r="R394" s="712">
        <v>0</v>
      </c>
      <c r="S394" s="712">
        <v>0</v>
      </c>
      <c r="T394" s="712">
        <v>0</v>
      </c>
      <c r="U394" s="712">
        <v>0</v>
      </c>
      <c r="V394" s="712">
        <v>0</v>
      </c>
      <c r="W394" s="712">
        <v>0</v>
      </c>
      <c r="X394" s="712">
        <v>0</v>
      </c>
      <c r="Y394" s="712">
        <v>0</v>
      </c>
      <c r="Z394" s="712">
        <v>0</v>
      </c>
      <c r="AA394" s="712">
        <v>0</v>
      </c>
      <c r="AB394" s="712">
        <v>0</v>
      </c>
      <c r="AC394" s="712">
        <v>0</v>
      </c>
      <c r="AD394" s="712">
        <v>0</v>
      </c>
      <c r="AE394" s="712">
        <v>0</v>
      </c>
      <c r="AF394" s="712">
        <v>0</v>
      </c>
      <c r="AG394" s="712">
        <v>0</v>
      </c>
      <c r="AH394" s="712">
        <v>0</v>
      </c>
      <c r="AI394" s="712">
        <v>0</v>
      </c>
      <c r="AJ394" s="712">
        <v>0</v>
      </c>
      <c r="AK394" s="712">
        <v>0</v>
      </c>
      <c r="AL394" s="712">
        <v>0</v>
      </c>
      <c r="AM394" s="712">
        <v>0</v>
      </c>
      <c r="AN394" s="712">
        <v>0</v>
      </c>
      <c r="AO394" s="712">
        <v>0</v>
      </c>
      <c r="AP394" s="712">
        <v>0</v>
      </c>
      <c r="AQ394" s="712">
        <v>0</v>
      </c>
      <c r="AR394" s="712">
        <v>0</v>
      </c>
      <c r="AS394" s="712">
        <v>0</v>
      </c>
      <c r="AT394">
        <v>0</v>
      </c>
      <c r="AU394" s="615"/>
      <c r="AV394" s="615"/>
      <c r="AW394" s="615"/>
      <c r="AX394" s="615"/>
      <c r="AY394" s="615"/>
      <c r="AZ394" s="615"/>
      <c r="BA394" s="615"/>
      <c r="BB394" s="615"/>
      <c r="BC394" s="615"/>
      <c r="BD394" s="615"/>
      <c r="BE394" s="615"/>
      <c r="BF394" s="615"/>
      <c r="BG394" s="615"/>
      <c r="BH394" s="615"/>
      <c r="BI394" s="615"/>
      <c r="BJ394" s="615"/>
      <c r="BK394" s="615"/>
      <c r="BL394" s="615"/>
      <c r="BM394" s="615"/>
      <c r="BN394" s="615"/>
      <c r="BO394" s="615"/>
      <c r="BP394" s="615"/>
      <c r="BQ394" s="615"/>
      <c r="BR394" s="615"/>
      <c r="BS394" s="615"/>
      <c r="BT394" s="615"/>
      <c r="BU394" s="615"/>
      <c r="BV394" s="615"/>
      <c r="BW394" s="615"/>
      <c r="BX394" s="607"/>
    </row>
    <row r="395" spans="1:76" ht="25.5" x14ac:dyDescent="0.2">
      <c r="A395" s="839"/>
      <c r="B395" s="713" t="s">
        <v>1625</v>
      </c>
      <c r="C395" s="713" t="s">
        <v>3624</v>
      </c>
      <c r="D395" s="712">
        <v>0</v>
      </c>
      <c r="E395" s="712">
        <v>0</v>
      </c>
      <c r="F395" s="712">
        <v>0</v>
      </c>
      <c r="G395" s="712">
        <v>0</v>
      </c>
      <c r="H395" s="712">
        <v>0</v>
      </c>
      <c r="I395" s="712">
        <v>0</v>
      </c>
      <c r="J395" s="712">
        <v>0</v>
      </c>
      <c r="K395" s="712">
        <v>0</v>
      </c>
      <c r="L395" s="712">
        <v>0</v>
      </c>
      <c r="M395" s="712">
        <v>0</v>
      </c>
      <c r="N395" s="712">
        <v>0</v>
      </c>
      <c r="O395" s="712">
        <v>0</v>
      </c>
      <c r="P395" s="712">
        <v>0</v>
      </c>
      <c r="Q395" s="712">
        <v>0</v>
      </c>
      <c r="R395" s="712">
        <v>216838462</v>
      </c>
      <c r="S395" s="712">
        <v>0</v>
      </c>
      <c r="T395" s="712">
        <v>0</v>
      </c>
      <c r="U395" s="712">
        <v>0</v>
      </c>
      <c r="V395" s="712">
        <v>0</v>
      </c>
      <c r="W395" s="712">
        <v>0</v>
      </c>
      <c r="X395" s="712">
        <v>0</v>
      </c>
      <c r="Y395" s="712">
        <v>0</v>
      </c>
      <c r="Z395" s="712">
        <v>0</v>
      </c>
      <c r="AA395" s="712">
        <v>0</v>
      </c>
      <c r="AB395" s="712">
        <v>0</v>
      </c>
      <c r="AC395" s="712">
        <v>0</v>
      </c>
      <c r="AD395" s="712">
        <v>0</v>
      </c>
      <c r="AE395" s="712">
        <v>0</v>
      </c>
      <c r="AF395" s="712">
        <v>0</v>
      </c>
      <c r="AG395" s="712">
        <v>0</v>
      </c>
      <c r="AH395" s="712">
        <v>0</v>
      </c>
      <c r="AI395" s="712">
        <v>0</v>
      </c>
      <c r="AJ395" s="712">
        <v>0</v>
      </c>
      <c r="AK395" s="712">
        <v>0</v>
      </c>
      <c r="AL395" s="712">
        <v>0</v>
      </c>
      <c r="AM395" s="712">
        <v>0</v>
      </c>
      <c r="AN395" s="712">
        <v>0</v>
      </c>
      <c r="AO395" s="712">
        <v>0</v>
      </c>
      <c r="AP395" s="712">
        <v>0</v>
      </c>
      <c r="AQ395" s="712">
        <v>0</v>
      </c>
      <c r="AR395" s="712">
        <v>0</v>
      </c>
      <c r="AS395" s="712">
        <v>0</v>
      </c>
      <c r="AT395">
        <v>216838462</v>
      </c>
      <c r="AU395" s="615"/>
      <c r="AV395" s="615"/>
      <c r="AW395" s="615"/>
      <c r="AX395" s="615"/>
      <c r="AY395" s="615"/>
      <c r="AZ395" s="615"/>
      <c r="BA395" s="615"/>
      <c r="BB395" s="615"/>
      <c r="BC395" s="615"/>
      <c r="BD395" s="615"/>
      <c r="BE395" s="615"/>
      <c r="BF395" s="615"/>
      <c r="BG395" s="615"/>
      <c r="BH395" s="615"/>
      <c r="BI395" s="615"/>
      <c r="BJ395" s="615"/>
      <c r="BK395" s="615"/>
      <c r="BL395" s="615"/>
      <c r="BM395" s="615"/>
      <c r="BN395" s="615"/>
      <c r="BO395" s="615"/>
      <c r="BP395" s="615"/>
      <c r="BQ395" s="615"/>
      <c r="BR395" s="615"/>
      <c r="BS395" s="615"/>
      <c r="BT395" s="615"/>
      <c r="BU395" s="615"/>
      <c r="BV395" s="615"/>
      <c r="BW395" s="615"/>
      <c r="BX395" s="607"/>
    </row>
    <row r="396" spans="1:76" ht="25.5" x14ac:dyDescent="0.2">
      <c r="A396" s="839"/>
      <c r="B396" s="713" t="s">
        <v>1528</v>
      </c>
      <c r="C396" s="713" t="s">
        <v>3504</v>
      </c>
      <c r="D396" s="712">
        <v>0</v>
      </c>
      <c r="E396" s="712">
        <v>0</v>
      </c>
      <c r="F396" s="712">
        <v>0</v>
      </c>
      <c r="G396" s="712">
        <v>0</v>
      </c>
      <c r="H396" s="712">
        <v>0</v>
      </c>
      <c r="I396" s="712">
        <v>0</v>
      </c>
      <c r="J396" s="712">
        <v>0</v>
      </c>
      <c r="K396" s="712">
        <v>0</v>
      </c>
      <c r="L396" s="712">
        <v>0</v>
      </c>
      <c r="M396" s="712">
        <v>0</v>
      </c>
      <c r="N396" s="712">
        <v>0</v>
      </c>
      <c r="O396" s="712">
        <v>0</v>
      </c>
      <c r="P396" s="712">
        <v>262320875</v>
      </c>
      <c r="Q396" s="712">
        <v>0</v>
      </c>
      <c r="R396" s="712">
        <v>0</v>
      </c>
      <c r="S396" s="712">
        <v>0</v>
      </c>
      <c r="T396" s="712">
        <v>0</v>
      </c>
      <c r="U396" s="712">
        <v>0</v>
      </c>
      <c r="V396" s="712">
        <v>0</v>
      </c>
      <c r="W396" s="712">
        <v>0</v>
      </c>
      <c r="X396" s="712">
        <v>0</v>
      </c>
      <c r="Y396" s="712">
        <v>0</v>
      </c>
      <c r="Z396" s="712">
        <v>0</v>
      </c>
      <c r="AA396" s="712">
        <v>0</v>
      </c>
      <c r="AB396" s="712">
        <v>0</v>
      </c>
      <c r="AC396" s="712">
        <v>0</v>
      </c>
      <c r="AD396" s="712">
        <v>0</v>
      </c>
      <c r="AE396" s="712">
        <v>0</v>
      </c>
      <c r="AF396" s="712">
        <v>0</v>
      </c>
      <c r="AG396" s="712">
        <v>0</v>
      </c>
      <c r="AH396" s="712">
        <v>0</v>
      </c>
      <c r="AI396" s="712">
        <v>0</v>
      </c>
      <c r="AJ396" s="712">
        <v>0</v>
      </c>
      <c r="AK396" s="712">
        <v>0</v>
      </c>
      <c r="AL396" s="712">
        <v>0</v>
      </c>
      <c r="AM396" s="712">
        <v>0</v>
      </c>
      <c r="AN396" s="712">
        <v>0</v>
      </c>
      <c r="AO396" s="712">
        <v>0</v>
      </c>
      <c r="AP396" s="712">
        <v>0</v>
      </c>
      <c r="AQ396" s="712">
        <v>0</v>
      </c>
      <c r="AR396" s="712">
        <v>0</v>
      </c>
      <c r="AS396" s="712">
        <v>0</v>
      </c>
      <c r="AT396">
        <v>262320875</v>
      </c>
      <c r="AU396" s="615"/>
      <c r="AV396" s="615"/>
      <c r="AW396" s="615"/>
      <c r="AX396" s="615"/>
      <c r="AY396" s="615"/>
      <c r="AZ396" s="615"/>
      <c r="BA396" s="615"/>
      <c r="BB396" s="615"/>
      <c r="BC396" s="615"/>
      <c r="BD396" s="615"/>
      <c r="BE396" s="615"/>
      <c r="BF396" s="615"/>
      <c r="BG396" s="615"/>
      <c r="BH396" s="615"/>
      <c r="BI396" s="615"/>
      <c r="BJ396" s="615"/>
      <c r="BK396" s="615"/>
      <c r="BL396" s="615"/>
      <c r="BM396" s="615"/>
      <c r="BN396" s="615"/>
      <c r="BO396" s="615"/>
      <c r="BP396" s="615"/>
      <c r="BQ396" s="615"/>
      <c r="BR396" s="615"/>
      <c r="BS396" s="615"/>
      <c r="BT396" s="615"/>
      <c r="BU396" s="615"/>
      <c r="BV396" s="615"/>
      <c r="BW396" s="615"/>
      <c r="BX396" s="607"/>
    </row>
    <row r="397" spans="1:76" ht="25.5" x14ac:dyDescent="0.2">
      <c r="A397" s="839"/>
      <c r="B397" s="713" t="s">
        <v>1236</v>
      </c>
      <c r="C397" s="713" t="s">
        <v>3529</v>
      </c>
      <c r="D397" s="712">
        <v>0</v>
      </c>
      <c r="E397" s="712">
        <v>0</v>
      </c>
      <c r="F397" s="712">
        <v>0</v>
      </c>
      <c r="G397" s="712">
        <v>0</v>
      </c>
      <c r="H397" s="712">
        <v>0</v>
      </c>
      <c r="I397" s="712">
        <v>0</v>
      </c>
      <c r="J397" s="712">
        <v>0</v>
      </c>
      <c r="K397" s="712">
        <v>0</v>
      </c>
      <c r="L397" s="712">
        <v>0</v>
      </c>
      <c r="M397" s="712">
        <v>0</v>
      </c>
      <c r="N397" s="712">
        <v>0</v>
      </c>
      <c r="O397" s="712">
        <v>0</v>
      </c>
      <c r="P397" s="712">
        <v>0</v>
      </c>
      <c r="Q397" s="712">
        <v>0</v>
      </c>
      <c r="R397" s="712">
        <v>0</v>
      </c>
      <c r="S397" s="712">
        <v>0</v>
      </c>
      <c r="T397" s="712">
        <v>0</v>
      </c>
      <c r="U397" s="712">
        <v>0</v>
      </c>
      <c r="V397" s="712">
        <v>0</v>
      </c>
      <c r="W397" s="712">
        <v>0</v>
      </c>
      <c r="X397" s="712">
        <v>0</v>
      </c>
      <c r="Y397" s="712">
        <v>0</v>
      </c>
      <c r="Z397" s="712">
        <v>0</v>
      </c>
      <c r="AA397" s="712">
        <v>0</v>
      </c>
      <c r="AB397" s="712">
        <v>0</v>
      </c>
      <c r="AC397" s="712">
        <v>0</v>
      </c>
      <c r="AD397" s="712">
        <v>0</v>
      </c>
      <c r="AE397" s="712">
        <v>0</v>
      </c>
      <c r="AF397" s="712">
        <v>0</v>
      </c>
      <c r="AG397" s="712">
        <v>0</v>
      </c>
      <c r="AH397" s="712">
        <v>0</v>
      </c>
      <c r="AI397" s="712">
        <v>0</v>
      </c>
      <c r="AJ397" s="712">
        <v>0</v>
      </c>
      <c r="AK397" s="712">
        <v>0</v>
      </c>
      <c r="AL397" s="712">
        <v>0</v>
      </c>
      <c r="AM397" s="712">
        <v>0</v>
      </c>
      <c r="AN397" s="712">
        <v>0</v>
      </c>
      <c r="AO397" s="712">
        <v>0</v>
      </c>
      <c r="AP397" s="712">
        <v>0</v>
      </c>
      <c r="AQ397" s="712">
        <v>0</v>
      </c>
      <c r="AR397" s="712">
        <v>0</v>
      </c>
      <c r="AS397" s="712">
        <v>0</v>
      </c>
      <c r="AT397">
        <v>0</v>
      </c>
      <c r="AU397" s="615"/>
      <c r="AV397" s="615"/>
      <c r="AW397" s="615"/>
      <c r="AX397" s="615"/>
      <c r="AY397" s="615"/>
      <c r="AZ397" s="615"/>
      <c r="BA397" s="615"/>
      <c r="BB397" s="615"/>
      <c r="BC397" s="615"/>
      <c r="BD397" s="615"/>
      <c r="BE397" s="615"/>
      <c r="BF397" s="615"/>
      <c r="BG397" s="615"/>
      <c r="BH397" s="615"/>
      <c r="BI397" s="615"/>
      <c r="BJ397" s="615"/>
      <c r="BK397" s="615"/>
      <c r="BL397" s="615"/>
      <c r="BM397" s="615"/>
      <c r="BN397" s="615"/>
      <c r="BO397" s="615"/>
      <c r="BP397" s="615"/>
      <c r="BQ397" s="615"/>
      <c r="BR397" s="615"/>
      <c r="BS397" s="615"/>
      <c r="BT397" s="615"/>
      <c r="BU397" s="615"/>
      <c r="BV397" s="615"/>
      <c r="BW397" s="615"/>
      <c r="BX397" s="607"/>
    </row>
    <row r="398" spans="1:76" ht="25.5" x14ac:dyDescent="0.2">
      <c r="A398" s="839"/>
      <c r="B398" s="713" t="s">
        <v>3439</v>
      </c>
      <c r="C398" s="713" t="s">
        <v>3555</v>
      </c>
      <c r="D398" s="712">
        <v>0</v>
      </c>
      <c r="E398" s="712">
        <v>0</v>
      </c>
      <c r="F398" s="712">
        <v>0</v>
      </c>
      <c r="G398" s="712">
        <v>0</v>
      </c>
      <c r="H398" s="712">
        <v>0</v>
      </c>
      <c r="I398" s="712">
        <v>0</v>
      </c>
      <c r="J398" s="712">
        <v>0</v>
      </c>
      <c r="K398" s="712">
        <v>0</v>
      </c>
      <c r="L398" s="712">
        <v>0</v>
      </c>
      <c r="M398" s="712">
        <v>0</v>
      </c>
      <c r="N398" s="712">
        <v>0</v>
      </c>
      <c r="O398" s="712">
        <v>0</v>
      </c>
      <c r="P398" s="712">
        <v>0</v>
      </c>
      <c r="Q398" s="712">
        <v>0</v>
      </c>
      <c r="R398" s="712">
        <v>0</v>
      </c>
      <c r="S398" s="712">
        <v>2500000</v>
      </c>
      <c r="T398" s="712">
        <v>2500000</v>
      </c>
      <c r="U398" s="712">
        <v>2500000</v>
      </c>
      <c r="V398" s="712">
        <v>5087019</v>
      </c>
      <c r="W398" s="712">
        <v>5087019</v>
      </c>
      <c r="X398" s="712">
        <v>5087020</v>
      </c>
      <c r="Y398" s="712">
        <v>439111665</v>
      </c>
      <c r="Z398" s="712">
        <v>0</v>
      </c>
      <c r="AA398" s="712">
        <v>0</v>
      </c>
      <c r="AB398" s="712">
        <v>0</v>
      </c>
      <c r="AC398" s="712">
        <v>0</v>
      </c>
      <c r="AD398" s="712">
        <v>0</v>
      </c>
      <c r="AE398" s="712">
        <v>0</v>
      </c>
      <c r="AF398" s="712">
        <v>0</v>
      </c>
      <c r="AG398" s="712">
        <v>0</v>
      </c>
      <c r="AH398" s="712">
        <v>0</v>
      </c>
      <c r="AI398" s="712">
        <v>0</v>
      </c>
      <c r="AJ398" s="712">
        <v>0</v>
      </c>
      <c r="AK398" s="712">
        <v>0</v>
      </c>
      <c r="AL398" s="712">
        <v>0</v>
      </c>
      <c r="AM398" s="712">
        <v>0</v>
      </c>
      <c r="AN398" s="712">
        <v>0</v>
      </c>
      <c r="AO398" s="712">
        <v>0</v>
      </c>
      <c r="AP398" s="712">
        <v>0</v>
      </c>
      <c r="AQ398" s="712">
        <v>0</v>
      </c>
      <c r="AR398" s="712">
        <v>0</v>
      </c>
      <c r="AS398" s="712">
        <v>0</v>
      </c>
      <c r="AT398">
        <v>461872723</v>
      </c>
      <c r="AU398" s="615"/>
      <c r="AV398" s="615"/>
      <c r="AW398" s="615"/>
      <c r="AX398" s="615"/>
      <c r="AY398" s="615"/>
      <c r="AZ398" s="615"/>
      <c r="BA398" s="615"/>
      <c r="BB398" s="615"/>
      <c r="BC398" s="615"/>
      <c r="BD398" s="615"/>
      <c r="BE398" s="615"/>
      <c r="BF398" s="615"/>
      <c r="BG398" s="615"/>
      <c r="BH398" s="615"/>
      <c r="BI398" s="615"/>
      <c r="BJ398" s="615"/>
      <c r="BK398" s="615"/>
      <c r="BL398" s="615"/>
      <c r="BM398" s="615"/>
      <c r="BN398" s="615"/>
      <c r="BO398" s="615"/>
      <c r="BP398" s="615"/>
      <c r="BQ398" s="615"/>
      <c r="BR398" s="615"/>
      <c r="BS398" s="615"/>
      <c r="BT398" s="615"/>
      <c r="BU398" s="615"/>
      <c r="BV398" s="615"/>
      <c r="BW398" s="615"/>
      <c r="BX398" s="607"/>
    </row>
    <row r="399" spans="1:76" ht="25.5" x14ac:dyDescent="0.2">
      <c r="A399" s="839"/>
      <c r="B399" s="713" t="s">
        <v>1117</v>
      </c>
      <c r="C399" s="713" t="s">
        <v>3522</v>
      </c>
      <c r="D399" s="712">
        <v>0</v>
      </c>
      <c r="E399" s="712">
        <v>0</v>
      </c>
      <c r="F399" s="712">
        <v>0</v>
      </c>
      <c r="G399" s="712">
        <v>0</v>
      </c>
      <c r="H399" s="712">
        <v>0</v>
      </c>
      <c r="I399" s="712">
        <v>0</v>
      </c>
      <c r="J399" s="712">
        <v>0</v>
      </c>
      <c r="K399" s="712">
        <v>0</v>
      </c>
      <c r="L399" s="712">
        <v>0</v>
      </c>
      <c r="M399" s="712">
        <v>0</v>
      </c>
      <c r="N399" s="712">
        <v>0</v>
      </c>
      <c r="O399" s="712">
        <v>0</v>
      </c>
      <c r="P399" s="712">
        <v>0</v>
      </c>
      <c r="Q399" s="712">
        <v>0</v>
      </c>
      <c r="R399" s="712">
        <v>220219461</v>
      </c>
      <c r="S399" s="712">
        <v>0</v>
      </c>
      <c r="T399" s="712">
        <v>0</v>
      </c>
      <c r="U399" s="712">
        <v>0</v>
      </c>
      <c r="V399" s="712">
        <v>0</v>
      </c>
      <c r="W399" s="712">
        <v>0</v>
      </c>
      <c r="X399" s="712">
        <v>0</v>
      </c>
      <c r="Y399" s="712">
        <v>0</v>
      </c>
      <c r="Z399" s="712">
        <v>0</v>
      </c>
      <c r="AA399" s="712">
        <v>0</v>
      </c>
      <c r="AB399" s="712">
        <v>0</v>
      </c>
      <c r="AC399" s="712">
        <v>0</v>
      </c>
      <c r="AD399" s="712">
        <v>0</v>
      </c>
      <c r="AE399" s="712">
        <v>0</v>
      </c>
      <c r="AF399" s="712">
        <v>0</v>
      </c>
      <c r="AG399" s="712">
        <v>0</v>
      </c>
      <c r="AH399" s="712">
        <v>0</v>
      </c>
      <c r="AI399" s="712">
        <v>0</v>
      </c>
      <c r="AJ399" s="712">
        <v>0</v>
      </c>
      <c r="AK399" s="712">
        <v>0</v>
      </c>
      <c r="AL399" s="712">
        <v>0</v>
      </c>
      <c r="AM399" s="712">
        <v>0</v>
      </c>
      <c r="AN399" s="712">
        <v>0</v>
      </c>
      <c r="AO399" s="712">
        <v>0</v>
      </c>
      <c r="AP399" s="712">
        <v>0</v>
      </c>
      <c r="AQ399" s="712">
        <v>0</v>
      </c>
      <c r="AR399" s="712">
        <v>0</v>
      </c>
      <c r="AS399" s="712">
        <v>0</v>
      </c>
      <c r="AT399">
        <v>220219461</v>
      </c>
      <c r="AU399" s="615"/>
      <c r="AV399" s="615"/>
      <c r="AW399" s="615"/>
      <c r="AX399" s="615"/>
      <c r="AY399" s="615"/>
      <c r="AZ399" s="615"/>
      <c r="BA399" s="615"/>
      <c r="BB399" s="615"/>
      <c r="BC399" s="615"/>
      <c r="BD399" s="615"/>
      <c r="BE399" s="615"/>
      <c r="BF399" s="615"/>
      <c r="BG399" s="615"/>
      <c r="BH399" s="615"/>
      <c r="BI399" s="615"/>
      <c r="BJ399" s="615"/>
      <c r="BK399" s="615"/>
      <c r="BL399" s="615"/>
      <c r="BM399" s="615"/>
      <c r="BN399" s="615"/>
      <c r="BO399" s="615"/>
      <c r="BP399" s="615"/>
      <c r="BQ399" s="615"/>
      <c r="BR399" s="615"/>
      <c r="BS399" s="615"/>
      <c r="BT399" s="615"/>
      <c r="BU399" s="615"/>
      <c r="BV399" s="615"/>
      <c r="BW399" s="615"/>
      <c r="BX399" s="607"/>
    </row>
    <row r="400" spans="1:76" ht="25.5" x14ac:dyDescent="0.2">
      <c r="A400" s="839"/>
      <c r="B400" s="713" t="s">
        <v>1086</v>
      </c>
      <c r="C400" s="713" t="s">
        <v>3629</v>
      </c>
      <c r="D400" s="712">
        <v>0</v>
      </c>
      <c r="E400" s="712">
        <v>0</v>
      </c>
      <c r="F400" s="712">
        <v>0</v>
      </c>
      <c r="G400" s="712">
        <v>0</v>
      </c>
      <c r="H400" s="712">
        <v>0</v>
      </c>
      <c r="I400" s="712">
        <v>0</v>
      </c>
      <c r="J400" s="712">
        <v>0</v>
      </c>
      <c r="K400" s="712">
        <v>0</v>
      </c>
      <c r="L400" s="712">
        <v>0</v>
      </c>
      <c r="M400" s="712">
        <v>0</v>
      </c>
      <c r="N400" s="712">
        <v>0</v>
      </c>
      <c r="O400" s="712">
        <v>0</v>
      </c>
      <c r="P400" s="712">
        <v>0</v>
      </c>
      <c r="Q400" s="712">
        <v>0</v>
      </c>
      <c r="R400" s="712">
        <v>99999990</v>
      </c>
      <c r="S400" s="712">
        <v>0</v>
      </c>
      <c r="T400" s="712">
        <v>0</v>
      </c>
      <c r="U400" s="712">
        <v>0</v>
      </c>
      <c r="V400" s="712">
        <v>0</v>
      </c>
      <c r="W400" s="712">
        <v>0</v>
      </c>
      <c r="X400" s="712">
        <v>0</v>
      </c>
      <c r="Y400" s="712">
        <v>0</v>
      </c>
      <c r="Z400" s="712">
        <v>0</v>
      </c>
      <c r="AA400" s="712">
        <v>0</v>
      </c>
      <c r="AB400" s="712">
        <v>0</v>
      </c>
      <c r="AC400" s="712">
        <v>0</v>
      </c>
      <c r="AD400" s="712">
        <v>0</v>
      </c>
      <c r="AE400" s="712">
        <v>0</v>
      </c>
      <c r="AF400" s="712">
        <v>0</v>
      </c>
      <c r="AG400" s="712">
        <v>0</v>
      </c>
      <c r="AH400" s="712">
        <v>0</v>
      </c>
      <c r="AI400" s="712">
        <v>0</v>
      </c>
      <c r="AJ400" s="712">
        <v>0</v>
      </c>
      <c r="AK400" s="712">
        <v>0</v>
      </c>
      <c r="AL400" s="712">
        <v>0</v>
      </c>
      <c r="AM400" s="712">
        <v>0</v>
      </c>
      <c r="AN400" s="712">
        <v>0</v>
      </c>
      <c r="AO400" s="712">
        <v>0</v>
      </c>
      <c r="AP400" s="712">
        <v>0</v>
      </c>
      <c r="AQ400" s="712">
        <v>0</v>
      </c>
      <c r="AR400" s="712">
        <v>0</v>
      </c>
      <c r="AS400" s="712">
        <v>0</v>
      </c>
      <c r="AT400">
        <v>99999990</v>
      </c>
      <c r="AU400" s="615"/>
      <c r="AV400" s="615"/>
      <c r="AW400" s="615"/>
      <c r="AX400" s="615"/>
      <c r="AY400" s="615"/>
      <c r="AZ400" s="615"/>
      <c r="BA400" s="615"/>
      <c r="BB400" s="615"/>
      <c r="BC400" s="615"/>
      <c r="BD400" s="615"/>
      <c r="BE400" s="615"/>
      <c r="BF400" s="615"/>
      <c r="BG400" s="615"/>
      <c r="BH400" s="615"/>
      <c r="BI400" s="615"/>
      <c r="BJ400" s="615"/>
      <c r="BK400" s="615"/>
      <c r="BL400" s="615"/>
      <c r="BM400" s="615"/>
      <c r="BN400" s="615"/>
      <c r="BO400" s="615"/>
      <c r="BP400" s="615"/>
      <c r="BQ400" s="615"/>
      <c r="BR400" s="615"/>
      <c r="BS400" s="615"/>
      <c r="BT400" s="615"/>
      <c r="BU400" s="615"/>
      <c r="BV400" s="615"/>
      <c r="BW400" s="615"/>
      <c r="BX400" s="607"/>
    </row>
    <row r="401" spans="1:76" ht="25.5" x14ac:dyDescent="0.2">
      <c r="A401" s="839"/>
      <c r="B401" s="713" t="s">
        <v>3332</v>
      </c>
      <c r="C401" s="713" t="s">
        <v>4467</v>
      </c>
      <c r="D401" s="712">
        <v>0</v>
      </c>
      <c r="E401" s="712">
        <v>0</v>
      </c>
      <c r="F401" s="712">
        <v>0</v>
      </c>
      <c r="G401" s="712">
        <v>0</v>
      </c>
      <c r="H401" s="712">
        <v>0</v>
      </c>
      <c r="I401" s="712">
        <v>0</v>
      </c>
      <c r="J401" s="712">
        <v>0</v>
      </c>
      <c r="K401" s="712">
        <v>0</v>
      </c>
      <c r="L401" s="712">
        <v>0</v>
      </c>
      <c r="M401" s="712">
        <v>0</v>
      </c>
      <c r="N401" s="712">
        <v>0</v>
      </c>
      <c r="O401" s="712">
        <v>0</v>
      </c>
      <c r="P401" s="712">
        <v>0</v>
      </c>
      <c r="Q401" s="712">
        <v>0</v>
      </c>
      <c r="R401" s="712">
        <v>0</v>
      </c>
      <c r="S401" s="712">
        <v>0</v>
      </c>
      <c r="T401" s="712">
        <v>6000000</v>
      </c>
      <c r="U401" s="712">
        <v>0</v>
      </c>
      <c r="V401" s="712">
        <v>0</v>
      </c>
      <c r="W401" s="712">
        <v>0</v>
      </c>
      <c r="X401" s="712">
        <v>0</v>
      </c>
      <c r="Y401" s="712">
        <v>0</v>
      </c>
      <c r="Z401" s="712">
        <v>0</v>
      </c>
      <c r="AA401" s="712">
        <v>0</v>
      </c>
      <c r="AB401" s="712">
        <v>0</v>
      </c>
      <c r="AC401" s="712">
        <v>0</v>
      </c>
      <c r="AD401" s="712">
        <v>0</v>
      </c>
      <c r="AE401" s="712">
        <v>0</v>
      </c>
      <c r="AF401" s="712">
        <v>0</v>
      </c>
      <c r="AG401" s="712">
        <v>0</v>
      </c>
      <c r="AH401" s="712">
        <v>0</v>
      </c>
      <c r="AI401" s="712">
        <v>0</v>
      </c>
      <c r="AJ401" s="712">
        <v>0</v>
      </c>
      <c r="AK401" s="712">
        <v>0</v>
      </c>
      <c r="AL401" s="712">
        <v>0</v>
      </c>
      <c r="AM401" s="712">
        <v>0</v>
      </c>
      <c r="AN401" s="712">
        <v>0</v>
      </c>
      <c r="AO401" s="712">
        <v>0</v>
      </c>
      <c r="AP401" s="712">
        <v>0</v>
      </c>
      <c r="AQ401" s="712">
        <v>0</v>
      </c>
      <c r="AR401" s="712">
        <v>0</v>
      </c>
      <c r="AS401" s="712">
        <v>0</v>
      </c>
      <c r="AT401">
        <v>6000000</v>
      </c>
      <c r="AU401" s="615"/>
      <c r="AV401" s="615"/>
      <c r="AW401" s="615"/>
      <c r="AX401" s="615"/>
      <c r="AY401" s="615"/>
      <c r="AZ401" s="615"/>
      <c r="BA401" s="615"/>
      <c r="BB401" s="615"/>
      <c r="BC401" s="615"/>
      <c r="BD401" s="615"/>
      <c r="BE401" s="615"/>
      <c r="BF401" s="615"/>
      <c r="BG401" s="615"/>
      <c r="BH401" s="615"/>
      <c r="BI401" s="615"/>
      <c r="BJ401" s="615"/>
      <c r="BK401" s="615"/>
      <c r="BL401" s="615"/>
      <c r="BM401" s="615"/>
      <c r="BN401" s="615"/>
      <c r="BO401" s="615"/>
      <c r="BP401" s="615"/>
      <c r="BQ401" s="615"/>
      <c r="BR401" s="615"/>
      <c r="BS401" s="615"/>
      <c r="BT401" s="615"/>
      <c r="BU401" s="615"/>
      <c r="BV401" s="615"/>
      <c r="BW401" s="615"/>
      <c r="BX401" s="607"/>
    </row>
    <row r="402" spans="1:76" ht="25.5" x14ac:dyDescent="0.2">
      <c r="A402" s="839"/>
      <c r="B402" s="713" t="s">
        <v>2291</v>
      </c>
      <c r="C402" s="713" t="s">
        <v>3558</v>
      </c>
      <c r="D402" s="712">
        <v>0</v>
      </c>
      <c r="E402" s="712">
        <v>0</v>
      </c>
      <c r="F402" s="712">
        <v>0</v>
      </c>
      <c r="G402" s="712">
        <v>0</v>
      </c>
      <c r="H402" s="712">
        <v>0</v>
      </c>
      <c r="I402" s="712">
        <v>0</v>
      </c>
      <c r="J402" s="712">
        <v>0</v>
      </c>
      <c r="K402" s="712">
        <v>0</v>
      </c>
      <c r="L402" s="712">
        <v>0</v>
      </c>
      <c r="M402" s="712">
        <v>0</v>
      </c>
      <c r="N402" s="712">
        <v>0</v>
      </c>
      <c r="O402" s="712">
        <v>0</v>
      </c>
      <c r="P402" s="712">
        <v>0</v>
      </c>
      <c r="Q402" s="712">
        <v>99794</v>
      </c>
      <c r="R402" s="712">
        <v>0</v>
      </c>
      <c r="S402" s="712">
        <v>0</v>
      </c>
      <c r="T402" s="712">
        <v>0</v>
      </c>
      <c r="U402" s="712">
        <v>0</v>
      </c>
      <c r="V402" s="712">
        <v>0</v>
      </c>
      <c r="W402" s="712">
        <v>0</v>
      </c>
      <c r="X402" s="712">
        <v>0</v>
      </c>
      <c r="Y402" s="712">
        <v>0</v>
      </c>
      <c r="Z402" s="712">
        <v>0</v>
      </c>
      <c r="AA402" s="712">
        <v>0</v>
      </c>
      <c r="AB402" s="712">
        <v>0</v>
      </c>
      <c r="AC402" s="712">
        <v>0</v>
      </c>
      <c r="AD402" s="712">
        <v>0</v>
      </c>
      <c r="AE402" s="712">
        <v>0</v>
      </c>
      <c r="AF402" s="712">
        <v>0</v>
      </c>
      <c r="AG402" s="712">
        <v>0</v>
      </c>
      <c r="AH402" s="712">
        <v>0</v>
      </c>
      <c r="AI402" s="712">
        <v>0</v>
      </c>
      <c r="AJ402" s="712">
        <v>0</v>
      </c>
      <c r="AK402" s="712">
        <v>0</v>
      </c>
      <c r="AL402" s="712">
        <v>0</v>
      </c>
      <c r="AM402" s="712">
        <v>0</v>
      </c>
      <c r="AN402" s="712">
        <v>0</v>
      </c>
      <c r="AO402" s="712">
        <v>0</v>
      </c>
      <c r="AP402" s="712">
        <v>0</v>
      </c>
      <c r="AQ402" s="712">
        <v>0</v>
      </c>
      <c r="AR402" s="712">
        <v>0</v>
      </c>
      <c r="AS402" s="712">
        <v>0</v>
      </c>
      <c r="AT402">
        <v>0</v>
      </c>
      <c r="AU402" s="615"/>
      <c r="AV402" s="615"/>
      <c r="AW402" s="615"/>
      <c r="AX402" s="615"/>
      <c r="AY402" s="615"/>
      <c r="AZ402" s="615"/>
      <c r="BA402" s="615"/>
      <c r="BB402" s="615"/>
      <c r="BC402" s="615"/>
      <c r="BD402" s="615"/>
      <c r="BE402" s="615"/>
      <c r="BF402" s="615"/>
      <c r="BG402" s="615"/>
      <c r="BH402" s="615"/>
      <c r="BI402" s="615"/>
      <c r="BJ402" s="615"/>
      <c r="BK402" s="615"/>
      <c r="BL402" s="615"/>
      <c r="BM402" s="615"/>
      <c r="BN402" s="615"/>
      <c r="BO402" s="615"/>
      <c r="BP402" s="615"/>
      <c r="BQ402" s="615"/>
      <c r="BR402" s="615"/>
      <c r="BS402" s="615"/>
      <c r="BT402" s="615"/>
      <c r="BU402" s="615"/>
      <c r="BV402" s="615"/>
      <c r="BW402" s="615"/>
      <c r="BX402" s="607"/>
    </row>
    <row r="403" spans="1:76" ht="25.5" x14ac:dyDescent="0.2">
      <c r="A403" s="839"/>
      <c r="B403" s="713" t="s">
        <v>1095</v>
      </c>
      <c r="C403" s="713" t="s">
        <v>3571</v>
      </c>
      <c r="D403" s="712">
        <v>0</v>
      </c>
      <c r="E403" s="712">
        <v>0</v>
      </c>
      <c r="F403" s="712">
        <v>0</v>
      </c>
      <c r="G403" s="712">
        <v>0</v>
      </c>
      <c r="H403" s="712">
        <v>0</v>
      </c>
      <c r="I403" s="712">
        <v>0</v>
      </c>
      <c r="J403" s="712">
        <v>0</v>
      </c>
      <c r="K403" s="712">
        <v>7626301</v>
      </c>
      <c r="L403" s="712">
        <v>0</v>
      </c>
      <c r="M403" s="712">
        <v>0</v>
      </c>
      <c r="N403" s="712">
        <v>0</v>
      </c>
      <c r="O403" s="712">
        <v>0</v>
      </c>
      <c r="P403" s="712">
        <v>320578728</v>
      </c>
      <c r="Q403" s="712">
        <v>0</v>
      </c>
      <c r="R403" s="712">
        <v>0</v>
      </c>
      <c r="S403" s="712">
        <v>0</v>
      </c>
      <c r="T403" s="712">
        <v>0</v>
      </c>
      <c r="U403" s="712">
        <v>0</v>
      </c>
      <c r="V403" s="712">
        <v>0</v>
      </c>
      <c r="W403" s="712">
        <v>0</v>
      </c>
      <c r="X403" s="712">
        <v>0</v>
      </c>
      <c r="Y403" s="712">
        <v>0</v>
      </c>
      <c r="Z403" s="712">
        <v>0</v>
      </c>
      <c r="AA403" s="712">
        <v>0</v>
      </c>
      <c r="AB403" s="712">
        <v>0</v>
      </c>
      <c r="AC403" s="712">
        <v>0</v>
      </c>
      <c r="AD403" s="712">
        <v>0</v>
      </c>
      <c r="AE403" s="712">
        <v>0</v>
      </c>
      <c r="AF403" s="712">
        <v>0</v>
      </c>
      <c r="AG403" s="712">
        <v>0</v>
      </c>
      <c r="AH403" s="712">
        <v>0</v>
      </c>
      <c r="AI403" s="712">
        <v>0</v>
      </c>
      <c r="AJ403" s="712">
        <v>0</v>
      </c>
      <c r="AK403" s="712">
        <v>0</v>
      </c>
      <c r="AL403" s="712">
        <v>0</v>
      </c>
      <c r="AM403" s="712">
        <v>0</v>
      </c>
      <c r="AN403" s="712">
        <v>0</v>
      </c>
      <c r="AO403" s="712">
        <v>0</v>
      </c>
      <c r="AP403" s="712">
        <v>0</v>
      </c>
      <c r="AQ403" s="712">
        <v>0</v>
      </c>
      <c r="AR403" s="712">
        <v>0</v>
      </c>
      <c r="AS403" s="712">
        <v>0</v>
      </c>
      <c r="AT403">
        <v>328205029</v>
      </c>
      <c r="AU403" s="615"/>
      <c r="AV403" s="615"/>
      <c r="AW403" s="615"/>
      <c r="AX403" s="615"/>
      <c r="AY403" s="615"/>
      <c r="AZ403" s="615"/>
      <c r="BA403" s="615"/>
      <c r="BB403" s="615"/>
      <c r="BC403" s="615"/>
      <c r="BD403" s="615"/>
      <c r="BE403" s="615"/>
      <c r="BF403" s="615"/>
      <c r="BG403" s="615"/>
      <c r="BH403" s="615"/>
      <c r="BI403" s="615"/>
      <c r="BJ403" s="615"/>
      <c r="BK403" s="615"/>
      <c r="BL403" s="615"/>
      <c r="BM403" s="615"/>
      <c r="BN403" s="615"/>
      <c r="BO403" s="615"/>
      <c r="BP403" s="615"/>
      <c r="BQ403" s="615"/>
      <c r="BR403" s="615"/>
      <c r="BS403" s="615"/>
      <c r="BT403" s="615"/>
      <c r="BU403" s="615"/>
      <c r="BV403" s="615"/>
      <c r="BW403" s="615"/>
      <c r="BX403" s="607"/>
    </row>
    <row r="404" spans="1:76" ht="25.5" x14ac:dyDescent="0.2">
      <c r="A404" s="839"/>
      <c r="B404" s="713" t="s">
        <v>1378</v>
      </c>
      <c r="C404" s="713" t="s">
        <v>3617</v>
      </c>
      <c r="D404" s="712">
        <v>0</v>
      </c>
      <c r="E404" s="712">
        <v>0</v>
      </c>
      <c r="F404" s="712">
        <v>0</v>
      </c>
      <c r="G404" s="712">
        <v>0</v>
      </c>
      <c r="H404" s="712">
        <v>0</v>
      </c>
      <c r="I404" s="712">
        <v>0</v>
      </c>
      <c r="J404" s="712">
        <v>0</v>
      </c>
      <c r="K404" s="712">
        <v>0</v>
      </c>
      <c r="L404" s="712">
        <v>0</v>
      </c>
      <c r="M404" s="712">
        <v>0</v>
      </c>
      <c r="N404" s="712">
        <v>0</v>
      </c>
      <c r="O404" s="712">
        <v>0</v>
      </c>
      <c r="P404" s="712">
        <v>0</v>
      </c>
      <c r="Q404" s="712">
        <v>99977</v>
      </c>
      <c r="R404" s="712">
        <v>0</v>
      </c>
      <c r="S404" s="712">
        <v>0</v>
      </c>
      <c r="T404" s="712">
        <v>0</v>
      </c>
      <c r="U404" s="712">
        <v>0</v>
      </c>
      <c r="V404" s="712">
        <v>0</v>
      </c>
      <c r="W404" s="712">
        <v>0</v>
      </c>
      <c r="X404" s="712">
        <v>0</v>
      </c>
      <c r="Y404" s="712">
        <v>0</v>
      </c>
      <c r="Z404" s="712">
        <v>0</v>
      </c>
      <c r="AA404" s="712">
        <v>0</v>
      </c>
      <c r="AB404" s="712">
        <v>0</v>
      </c>
      <c r="AC404" s="712">
        <v>0</v>
      </c>
      <c r="AD404" s="712">
        <v>0</v>
      </c>
      <c r="AE404" s="712">
        <v>0</v>
      </c>
      <c r="AF404" s="712">
        <v>0</v>
      </c>
      <c r="AG404" s="712">
        <v>0</v>
      </c>
      <c r="AH404" s="712">
        <v>0</v>
      </c>
      <c r="AI404" s="712">
        <v>0</v>
      </c>
      <c r="AJ404" s="712">
        <v>0</v>
      </c>
      <c r="AK404" s="712">
        <v>0</v>
      </c>
      <c r="AL404" s="712">
        <v>0</v>
      </c>
      <c r="AM404" s="712">
        <v>0</v>
      </c>
      <c r="AN404" s="712">
        <v>0</v>
      </c>
      <c r="AO404" s="712">
        <v>0</v>
      </c>
      <c r="AP404" s="712">
        <v>0</v>
      </c>
      <c r="AQ404" s="712">
        <v>0</v>
      </c>
      <c r="AR404" s="712">
        <v>0</v>
      </c>
      <c r="AS404" s="712">
        <v>0</v>
      </c>
      <c r="AT404">
        <v>99977</v>
      </c>
      <c r="AU404" s="615"/>
      <c r="AV404" s="615"/>
      <c r="AW404" s="615"/>
      <c r="AX404" s="615"/>
      <c r="AY404" s="615"/>
      <c r="AZ404" s="615"/>
      <c r="BA404" s="615"/>
      <c r="BB404" s="615"/>
      <c r="BC404" s="615"/>
      <c r="BD404" s="615"/>
      <c r="BE404" s="615"/>
      <c r="BF404" s="615"/>
      <c r="BG404" s="615"/>
      <c r="BH404" s="615"/>
      <c r="BI404" s="615"/>
      <c r="BJ404" s="615"/>
      <c r="BK404" s="615"/>
      <c r="BL404" s="615"/>
      <c r="BM404" s="615"/>
      <c r="BN404" s="615"/>
      <c r="BO404" s="615"/>
      <c r="BP404" s="615"/>
      <c r="BQ404" s="615"/>
      <c r="BR404" s="615"/>
      <c r="BS404" s="615"/>
      <c r="BT404" s="615"/>
      <c r="BU404" s="615"/>
      <c r="BV404" s="615"/>
      <c r="BW404" s="615"/>
      <c r="BX404" s="607"/>
    </row>
    <row r="405" spans="1:76" ht="25.5" x14ac:dyDescent="0.2">
      <c r="A405" s="839"/>
      <c r="B405" s="713" t="s">
        <v>1077</v>
      </c>
      <c r="C405" s="713" t="s">
        <v>3549</v>
      </c>
      <c r="D405" s="712">
        <v>0</v>
      </c>
      <c r="E405" s="712">
        <v>0</v>
      </c>
      <c r="F405" s="712">
        <v>0</v>
      </c>
      <c r="G405" s="712">
        <v>0</v>
      </c>
      <c r="H405" s="712">
        <v>0</v>
      </c>
      <c r="I405" s="712">
        <v>0</v>
      </c>
      <c r="J405" s="712">
        <v>0</v>
      </c>
      <c r="K405" s="712">
        <v>0</v>
      </c>
      <c r="L405" s="712">
        <v>0</v>
      </c>
      <c r="M405" s="712">
        <v>0</v>
      </c>
      <c r="N405" s="712">
        <v>0</v>
      </c>
      <c r="O405" s="712">
        <v>0</v>
      </c>
      <c r="P405" s="712">
        <v>0</v>
      </c>
      <c r="Q405" s="712">
        <v>0</v>
      </c>
      <c r="R405" s="712">
        <v>253632400</v>
      </c>
      <c r="S405" s="712">
        <v>0</v>
      </c>
      <c r="T405" s="712">
        <v>0</v>
      </c>
      <c r="U405" s="712">
        <v>0</v>
      </c>
      <c r="V405" s="712">
        <v>0</v>
      </c>
      <c r="W405" s="712">
        <v>0</v>
      </c>
      <c r="X405" s="712">
        <v>0</v>
      </c>
      <c r="Y405" s="712">
        <v>0</v>
      </c>
      <c r="Z405" s="712">
        <v>0</v>
      </c>
      <c r="AA405" s="712">
        <v>0</v>
      </c>
      <c r="AB405" s="712">
        <v>0</v>
      </c>
      <c r="AC405" s="712">
        <v>0</v>
      </c>
      <c r="AD405" s="712">
        <v>0</v>
      </c>
      <c r="AE405" s="712">
        <v>0</v>
      </c>
      <c r="AF405" s="712">
        <v>0</v>
      </c>
      <c r="AG405" s="712">
        <v>0</v>
      </c>
      <c r="AH405" s="712">
        <v>0</v>
      </c>
      <c r="AI405" s="712">
        <v>0</v>
      </c>
      <c r="AJ405" s="712">
        <v>0</v>
      </c>
      <c r="AK405" s="712">
        <v>0</v>
      </c>
      <c r="AL405" s="712">
        <v>0</v>
      </c>
      <c r="AM405" s="712">
        <v>0</v>
      </c>
      <c r="AN405" s="712">
        <v>0</v>
      </c>
      <c r="AO405" s="712">
        <v>0</v>
      </c>
      <c r="AP405" s="712">
        <v>0</v>
      </c>
      <c r="AQ405" s="712">
        <v>0</v>
      </c>
      <c r="AR405" s="712">
        <v>0</v>
      </c>
      <c r="AS405" s="712">
        <v>0</v>
      </c>
      <c r="AT405">
        <v>253632400</v>
      </c>
      <c r="AU405" s="615"/>
      <c r="AV405" s="615"/>
      <c r="AW405" s="615"/>
      <c r="AX405" s="615"/>
      <c r="AY405" s="615"/>
      <c r="AZ405" s="615"/>
      <c r="BA405" s="615"/>
      <c r="BB405" s="615"/>
      <c r="BC405" s="615"/>
      <c r="BD405" s="615"/>
      <c r="BE405" s="615"/>
      <c r="BF405" s="615"/>
      <c r="BG405" s="615"/>
      <c r="BH405" s="615"/>
      <c r="BI405" s="615"/>
      <c r="BJ405" s="615"/>
      <c r="BK405" s="615"/>
      <c r="BL405" s="615"/>
      <c r="BM405" s="615"/>
      <c r="BN405" s="615"/>
      <c r="BO405" s="615"/>
      <c r="BP405" s="615"/>
      <c r="BQ405" s="615"/>
      <c r="BR405" s="615"/>
      <c r="BS405" s="615"/>
      <c r="BT405" s="615"/>
      <c r="BU405" s="615"/>
      <c r="BV405" s="615"/>
      <c r="BW405" s="615"/>
      <c r="BX405" s="607"/>
    </row>
    <row r="406" spans="1:76" ht="25.5" x14ac:dyDescent="0.2">
      <c r="A406" s="839"/>
      <c r="B406" s="713" t="s">
        <v>1148</v>
      </c>
      <c r="C406" s="713" t="s">
        <v>3533</v>
      </c>
      <c r="D406" s="712">
        <v>0</v>
      </c>
      <c r="E406" s="712">
        <v>0</v>
      </c>
      <c r="F406" s="712">
        <v>0</v>
      </c>
      <c r="G406" s="712">
        <v>0</v>
      </c>
      <c r="H406" s="712">
        <v>0</v>
      </c>
      <c r="I406" s="712">
        <v>0</v>
      </c>
      <c r="J406" s="712">
        <v>0</v>
      </c>
      <c r="K406" s="712">
        <v>0</v>
      </c>
      <c r="L406" s="712">
        <v>0</v>
      </c>
      <c r="M406" s="712">
        <v>0</v>
      </c>
      <c r="N406" s="712">
        <v>0</v>
      </c>
      <c r="O406" s="712">
        <v>0</v>
      </c>
      <c r="P406" s="712">
        <v>280096250</v>
      </c>
      <c r="Q406" s="712">
        <v>0</v>
      </c>
      <c r="R406" s="712">
        <v>0</v>
      </c>
      <c r="S406" s="712">
        <v>0</v>
      </c>
      <c r="T406" s="712">
        <v>0</v>
      </c>
      <c r="U406" s="712">
        <v>0</v>
      </c>
      <c r="V406" s="712">
        <v>0</v>
      </c>
      <c r="W406" s="712">
        <v>0</v>
      </c>
      <c r="X406" s="712">
        <v>0</v>
      </c>
      <c r="Y406" s="712">
        <v>0</v>
      </c>
      <c r="Z406" s="712">
        <v>0</v>
      </c>
      <c r="AA406" s="712">
        <v>0</v>
      </c>
      <c r="AB406" s="712">
        <v>0</v>
      </c>
      <c r="AC406" s="712">
        <v>0</v>
      </c>
      <c r="AD406" s="712">
        <v>0</v>
      </c>
      <c r="AE406" s="712">
        <v>0</v>
      </c>
      <c r="AF406" s="712">
        <v>0</v>
      </c>
      <c r="AG406" s="712">
        <v>0</v>
      </c>
      <c r="AH406" s="712">
        <v>0</v>
      </c>
      <c r="AI406" s="712">
        <v>0</v>
      </c>
      <c r="AJ406" s="712">
        <v>0</v>
      </c>
      <c r="AK406" s="712">
        <v>0</v>
      </c>
      <c r="AL406" s="712">
        <v>0</v>
      </c>
      <c r="AM406" s="712">
        <v>0</v>
      </c>
      <c r="AN406" s="712">
        <v>0</v>
      </c>
      <c r="AO406" s="712">
        <v>0</v>
      </c>
      <c r="AP406" s="712">
        <v>0</v>
      </c>
      <c r="AQ406" s="712">
        <v>0</v>
      </c>
      <c r="AR406" s="712">
        <v>0</v>
      </c>
      <c r="AS406" s="712">
        <v>0</v>
      </c>
      <c r="AT406">
        <v>280096250</v>
      </c>
      <c r="AU406" s="615"/>
      <c r="AV406" s="615"/>
      <c r="AW406" s="615"/>
      <c r="AX406" s="615"/>
      <c r="AY406" s="615"/>
      <c r="AZ406" s="615"/>
      <c r="BA406" s="615"/>
      <c r="BB406" s="615"/>
      <c r="BC406" s="615"/>
      <c r="BD406" s="615"/>
      <c r="BE406" s="615"/>
      <c r="BF406" s="615"/>
      <c r="BG406" s="615"/>
      <c r="BH406" s="615"/>
      <c r="BI406" s="615"/>
      <c r="BJ406" s="615"/>
      <c r="BK406" s="615"/>
      <c r="BL406" s="615"/>
      <c r="BM406" s="615"/>
      <c r="BN406" s="615"/>
      <c r="BO406" s="615"/>
      <c r="BP406" s="615"/>
      <c r="BQ406" s="615"/>
      <c r="BR406" s="615"/>
      <c r="BS406" s="615"/>
      <c r="BT406" s="615"/>
      <c r="BU406" s="615"/>
      <c r="BV406" s="615"/>
      <c r="BW406" s="615"/>
      <c r="BX406" s="607"/>
    </row>
    <row r="407" spans="1:76" ht="25.5" x14ac:dyDescent="0.2">
      <c r="A407" s="839"/>
      <c r="B407" s="713" t="s">
        <v>3516</v>
      </c>
      <c r="C407" s="713" t="s">
        <v>3515</v>
      </c>
      <c r="D407" s="712">
        <v>0</v>
      </c>
      <c r="E407" s="712">
        <v>0</v>
      </c>
      <c r="F407" s="712">
        <v>0</v>
      </c>
      <c r="G407" s="712">
        <v>0</v>
      </c>
      <c r="H407" s="712">
        <v>0</v>
      </c>
      <c r="I407" s="712">
        <v>0</v>
      </c>
      <c r="J407" s="712">
        <v>0</v>
      </c>
      <c r="K407" s="712">
        <v>0</v>
      </c>
      <c r="L407" s="712">
        <v>0</v>
      </c>
      <c r="M407" s="712">
        <v>0</v>
      </c>
      <c r="N407" s="712">
        <v>0</v>
      </c>
      <c r="O407" s="712">
        <v>0</v>
      </c>
      <c r="P407" s="712">
        <v>0</v>
      </c>
      <c r="Q407" s="712">
        <v>0</v>
      </c>
      <c r="R407" s="712">
        <v>0</v>
      </c>
      <c r="S407" s="712">
        <v>0</v>
      </c>
      <c r="T407" s="712">
        <v>0</v>
      </c>
      <c r="U407" s="712">
        <v>0</v>
      </c>
      <c r="V407" s="712">
        <v>0</v>
      </c>
      <c r="W407" s="712">
        <v>0</v>
      </c>
      <c r="X407" s="712">
        <v>0</v>
      </c>
      <c r="Y407" s="712">
        <v>386426573</v>
      </c>
      <c r="Z407" s="712">
        <v>0</v>
      </c>
      <c r="AA407" s="712">
        <v>0</v>
      </c>
      <c r="AB407" s="712">
        <v>0</v>
      </c>
      <c r="AC407" s="712">
        <v>0</v>
      </c>
      <c r="AD407" s="712">
        <v>0</v>
      </c>
      <c r="AE407" s="712">
        <v>0</v>
      </c>
      <c r="AF407" s="712">
        <v>0</v>
      </c>
      <c r="AG407" s="712">
        <v>0</v>
      </c>
      <c r="AH407" s="712">
        <v>0</v>
      </c>
      <c r="AI407" s="712">
        <v>0</v>
      </c>
      <c r="AJ407" s="712">
        <v>0</v>
      </c>
      <c r="AK407" s="712">
        <v>0</v>
      </c>
      <c r="AL407" s="712">
        <v>0</v>
      </c>
      <c r="AM407" s="712">
        <v>0</v>
      </c>
      <c r="AN407" s="712">
        <v>0</v>
      </c>
      <c r="AO407" s="712">
        <v>0</v>
      </c>
      <c r="AP407" s="712">
        <v>0</v>
      </c>
      <c r="AQ407" s="712">
        <v>0</v>
      </c>
      <c r="AR407" s="712">
        <v>0</v>
      </c>
      <c r="AS407" s="712">
        <v>0</v>
      </c>
      <c r="AT407">
        <v>386426573</v>
      </c>
      <c r="AU407" s="615"/>
      <c r="AV407" s="615"/>
      <c r="AW407" s="615"/>
      <c r="AX407" s="615"/>
      <c r="AY407" s="615"/>
      <c r="AZ407" s="615"/>
      <c r="BA407" s="615"/>
      <c r="BB407" s="615"/>
      <c r="BC407" s="615"/>
      <c r="BD407" s="615"/>
      <c r="BE407" s="615"/>
      <c r="BF407" s="615"/>
      <c r="BG407" s="615"/>
      <c r="BH407" s="615"/>
      <c r="BI407" s="615"/>
      <c r="BJ407" s="615"/>
      <c r="BK407" s="615"/>
      <c r="BL407" s="615"/>
      <c r="BM407" s="615"/>
      <c r="BN407" s="615"/>
      <c r="BO407" s="615"/>
      <c r="BP407" s="615"/>
      <c r="BQ407" s="615"/>
      <c r="BR407" s="615"/>
      <c r="BS407" s="615"/>
      <c r="BT407" s="615"/>
      <c r="BU407" s="615"/>
      <c r="BV407" s="615"/>
      <c r="BW407" s="615"/>
      <c r="BX407" s="607"/>
    </row>
    <row r="408" spans="1:76" ht="25.5" x14ac:dyDescent="0.2">
      <c r="A408" s="839"/>
      <c r="B408" s="713" t="s">
        <v>1151</v>
      </c>
      <c r="C408" s="713" t="s">
        <v>3582</v>
      </c>
      <c r="D408" s="712">
        <v>0</v>
      </c>
      <c r="E408" s="712">
        <v>0</v>
      </c>
      <c r="F408" s="712">
        <v>0</v>
      </c>
      <c r="G408" s="712">
        <v>0</v>
      </c>
      <c r="H408" s="712">
        <v>0</v>
      </c>
      <c r="I408" s="712">
        <v>0</v>
      </c>
      <c r="J408" s="712">
        <v>0</v>
      </c>
      <c r="K408" s="712">
        <v>0</v>
      </c>
      <c r="L408" s="712">
        <v>0</v>
      </c>
      <c r="M408" s="712">
        <v>0</v>
      </c>
      <c r="N408" s="712">
        <v>0</v>
      </c>
      <c r="O408" s="712">
        <v>0</v>
      </c>
      <c r="P408" s="712">
        <v>0</v>
      </c>
      <c r="Q408" s="712">
        <v>0</v>
      </c>
      <c r="R408" s="712">
        <v>0</v>
      </c>
      <c r="S408" s="712">
        <v>224321565</v>
      </c>
      <c r="T408" s="712">
        <v>0</v>
      </c>
      <c r="U408" s="712">
        <v>0</v>
      </c>
      <c r="V408" s="712">
        <v>0</v>
      </c>
      <c r="W408" s="712">
        <v>0</v>
      </c>
      <c r="X408" s="712">
        <v>0</v>
      </c>
      <c r="Y408" s="712">
        <v>0</v>
      </c>
      <c r="Z408" s="712">
        <v>0</v>
      </c>
      <c r="AA408" s="712">
        <v>0</v>
      </c>
      <c r="AB408" s="712">
        <v>0</v>
      </c>
      <c r="AC408" s="712">
        <v>0</v>
      </c>
      <c r="AD408" s="712">
        <v>0</v>
      </c>
      <c r="AE408" s="712">
        <v>0</v>
      </c>
      <c r="AF408" s="712">
        <v>0</v>
      </c>
      <c r="AG408" s="712">
        <v>0</v>
      </c>
      <c r="AH408" s="712">
        <v>0</v>
      </c>
      <c r="AI408" s="712">
        <v>0</v>
      </c>
      <c r="AJ408" s="712">
        <v>0</v>
      </c>
      <c r="AK408" s="712">
        <v>0</v>
      </c>
      <c r="AL408" s="712">
        <v>0</v>
      </c>
      <c r="AM408" s="712">
        <v>0</v>
      </c>
      <c r="AN408" s="712">
        <v>0</v>
      </c>
      <c r="AO408" s="712">
        <v>0</v>
      </c>
      <c r="AP408" s="712">
        <v>0</v>
      </c>
      <c r="AQ408" s="712">
        <v>0</v>
      </c>
      <c r="AR408" s="712">
        <v>0</v>
      </c>
      <c r="AS408" s="712">
        <v>0</v>
      </c>
      <c r="AT408">
        <v>224321565</v>
      </c>
      <c r="AU408" s="615"/>
      <c r="AV408" s="615"/>
      <c r="AW408" s="615"/>
      <c r="AX408" s="615"/>
      <c r="AY408" s="615"/>
      <c r="AZ408" s="615"/>
      <c r="BA408" s="615"/>
      <c r="BB408" s="615"/>
      <c r="BC408" s="615"/>
      <c r="BD408" s="615"/>
      <c r="BE408" s="615"/>
      <c r="BF408" s="615"/>
      <c r="BG408" s="615"/>
      <c r="BH408" s="615"/>
      <c r="BI408" s="615"/>
      <c r="BJ408" s="615"/>
      <c r="BK408" s="615"/>
      <c r="BL408" s="615"/>
      <c r="BM408" s="615"/>
      <c r="BN408" s="615"/>
      <c r="BO408" s="615"/>
      <c r="BP408" s="615"/>
      <c r="BQ408" s="615"/>
      <c r="BR408" s="615"/>
      <c r="BS408" s="615"/>
      <c r="BT408" s="615"/>
      <c r="BU408" s="615"/>
      <c r="BV408" s="615"/>
      <c r="BW408" s="615"/>
      <c r="BX408" s="607"/>
    </row>
    <row r="409" spans="1:76" ht="25.5" x14ac:dyDescent="0.2">
      <c r="A409" s="839"/>
      <c r="B409" s="713" t="s">
        <v>3440</v>
      </c>
      <c r="C409" s="713" t="s">
        <v>3566</v>
      </c>
      <c r="D409" s="712">
        <v>0</v>
      </c>
      <c r="E409" s="712">
        <v>0</v>
      </c>
      <c r="F409" s="712">
        <v>0</v>
      </c>
      <c r="G409" s="712">
        <v>0</v>
      </c>
      <c r="H409" s="712">
        <v>0</v>
      </c>
      <c r="I409" s="712">
        <v>0</v>
      </c>
      <c r="J409" s="712">
        <v>0</v>
      </c>
      <c r="K409" s="712">
        <v>0</v>
      </c>
      <c r="L409" s="712">
        <v>0</v>
      </c>
      <c r="M409" s="712">
        <v>0</v>
      </c>
      <c r="N409" s="712">
        <v>0</v>
      </c>
      <c r="O409" s="712">
        <v>0</v>
      </c>
      <c r="P409" s="712">
        <v>0</v>
      </c>
      <c r="Q409" s="712">
        <v>0</v>
      </c>
      <c r="R409" s="712">
        <v>0</v>
      </c>
      <c r="S409" s="712">
        <v>3488861</v>
      </c>
      <c r="T409" s="712">
        <v>4470153</v>
      </c>
      <c r="U409" s="712">
        <v>4470153</v>
      </c>
      <c r="V409" s="712">
        <v>4470153</v>
      </c>
      <c r="W409" s="712">
        <v>4470155</v>
      </c>
      <c r="X409" s="712">
        <v>49171685</v>
      </c>
      <c r="Y409" s="712">
        <v>393373480</v>
      </c>
      <c r="Z409" s="712">
        <v>0</v>
      </c>
      <c r="AA409" s="712">
        <v>0</v>
      </c>
      <c r="AB409" s="712">
        <v>0</v>
      </c>
      <c r="AC409" s="712">
        <v>0</v>
      </c>
      <c r="AD409" s="712">
        <v>0</v>
      </c>
      <c r="AE409" s="712">
        <v>0</v>
      </c>
      <c r="AF409" s="712">
        <v>0</v>
      </c>
      <c r="AG409" s="712">
        <v>0</v>
      </c>
      <c r="AH409" s="712">
        <v>0</v>
      </c>
      <c r="AI409" s="712">
        <v>0</v>
      </c>
      <c r="AJ409" s="712">
        <v>0</v>
      </c>
      <c r="AK409" s="712">
        <v>0</v>
      </c>
      <c r="AL409" s="712">
        <v>0</v>
      </c>
      <c r="AM409" s="712">
        <v>0</v>
      </c>
      <c r="AN409" s="712">
        <v>0</v>
      </c>
      <c r="AO409" s="712">
        <v>0</v>
      </c>
      <c r="AP409" s="712">
        <v>0</v>
      </c>
      <c r="AQ409" s="712">
        <v>0</v>
      </c>
      <c r="AR409" s="712">
        <v>0</v>
      </c>
      <c r="AS409" s="712">
        <v>0</v>
      </c>
      <c r="AT409">
        <v>463914640</v>
      </c>
      <c r="AU409" s="615"/>
      <c r="AV409" s="615"/>
      <c r="AW409" s="615"/>
      <c r="AX409" s="615"/>
      <c r="AY409" s="615"/>
      <c r="AZ409" s="615"/>
      <c r="BA409" s="615"/>
      <c r="BB409" s="615"/>
      <c r="BC409" s="615"/>
      <c r="BD409" s="615"/>
      <c r="BE409" s="615"/>
      <c r="BF409" s="615"/>
      <c r="BG409" s="615"/>
      <c r="BH409" s="615"/>
      <c r="BI409" s="615"/>
      <c r="BJ409" s="615"/>
      <c r="BK409" s="615"/>
      <c r="BL409" s="615"/>
      <c r="BM409" s="615"/>
      <c r="BN409" s="615"/>
      <c r="BO409" s="615"/>
      <c r="BP409" s="615"/>
      <c r="BQ409" s="615"/>
      <c r="BR409" s="615"/>
      <c r="BS409" s="615"/>
      <c r="BT409" s="615"/>
      <c r="BU409" s="615"/>
      <c r="BV409" s="615"/>
      <c r="BW409" s="615"/>
      <c r="BX409" s="607"/>
    </row>
    <row r="410" spans="1:76" ht="25.5" x14ac:dyDescent="0.2">
      <c r="A410" s="839"/>
      <c r="B410" s="713" t="s">
        <v>1242</v>
      </c>
      <c r="C410" s="713" t="s">
        <v>3608</v>
      </c>
      <c r="D410" s="712">
        <v>0</v>
      </c>
      <c r="E410" s="712">
        <v>0</v>
      </c>
      <c r="F410" s="712">
        <v>0</v>
      </c>
      <c r="G410" s="712">
        <v>0</v>
      </c>
      <c r="H410" s="712">
        <v>0</v>
      </c>
      <c r="I410" s="712">
        <v>0</v>
      </c>
      <c r="J410" s="712">
        <v>0</v>
      </c>
      <c r="K410" s="712">
        <v>0</v>
      </c>
      <c r="L410" s="712">
        <v>0</v>
      </c>
      <c r="M410" s="712">
        <v>0</v>
      </c>
      <c r="N410" s="712">
        <v>0</v>
      </c>
      <c r="O410" s="712">
        <v>0</v>
      </c>
      <c r="P410" s="712">
        <v>244191500</v>
      </c>
      <c r="Q410" s="712">
        <v>0</v>
      </c>
      <c r="R410" s="712">
        <v>0</v>
      </c>
      <c r="S410" s="712">
        <v>0</v>
      </c>
      <c r="T410" s="712">
        <v>0</v>
      </c>
      <c r="U410" s="712">
        <v>0</v>
      </c>
      <c r="V410" s="712">
        <v>0</v>
      </c>
      <c r="W410" s="712">
        <v>0</v>
      </c>
      <c r="X410" s="712">
        <v>0</v>
      </c>
      <c r="Y410" s="712">
        <v>0</v>
      </c>
      <c r="Z410" s="712">
        <v>0</v>
      </c>
      <c r="AA410" s="712">
        <v>0</v>
      </c>
      <c r="AB410" s="712">
        <v>0</v>
      </c>
      <c r="AC410" s="712">
        <v>0</v>
      </c>
      <c r="AD410" s="712">
        <v>0</v>
      </c>
      <c r="AE410" s="712">
        <v>0</v>
      </c>
      <c r="AF410" s="712">
        <v>0</v>
      </c>
      <c r="AG410" s="712">
        <v>0</v>
      </c>
      <c r="AH410" s="712">
        <v>0</v>
      </c>
      <c r="AI410" s="712">
        <v>0</v>
      </c>
      <c r="AJ410" s="712">
        <v>0</v>
      </c>
      <c r="AK410" s="712">
        <v>0</v>
      </c>
      <c r="AL410" s="712">
        <v>0</v>
      </c>
      <c r="AM410" s="712">
        <v>0</v>
      </c>
      <c r="AN410" s="712">
        <v>0</v>
      </c>
      <c r="AO410" s="712">
        <v>0</v>
      </c>
      <c r="AP410" s="712">
        <v>0</v>
      </c>
      <c r="AQ410" s="712">
        <v>0</v>
      </c>
      <c r="AR410" s="712">
        <v>0</v>
      </c>
      <c r="AS410" s="712">
        <v>0</v>
      </c>
      <c r="AT410">
        <v>244191500</v>
      </c>
      <c r="AU410" s="615"/>
      <c r="AV410" s="615"/>
      <c r="AW410" s="615"/>
      <c r="AX410" s="615"/>
      <c r="AY410" s="615"/>
      <c r="AZ410" s="615"/>
      <c r="BA410" s="615"/>
      <c r="BB410" s="615"/>
      <c r="BC410" s="615"/>
      <c r="BD410" s="615"/>
      <c r="BE410" s="615"/>
      <c r="BF410" s="615"/>
      <c r="BG410" s="615"/>
      <c r="BH410" s="615"/>
      <c r="BI410" s="615"/>
      <c r="BJ410" s="615"/>
      <c r="BK410" s="615"/>
      <c r="BL410" s="615"/>
      <c r="BM410" s="615"/>
      <c r="BN410" s="615"/>
      <c r="BO410" s="615"/>
      <c r="BP410" s="615"/>
      <c r="BQ410" s="615"/>
      <c r="BR410" s="615"/>
      <c r="BS410" s="615"/>
      <c r="BT410" s="615"/>
      <c r="BU410" s="615"/>
      <c r="BV410" s="615"/>
      <c r="BW410" s="615"/>
      <c r="BX410" s="607"/>
    </row>
    <row r="411" spans="1:76" ht="25.5" x14ac:dyDescent="0.2">
      <c r="A411" s="839"/>
      <c r="B411" s="713" t="s">
        <v>1612</v>
      </c>
      <c r="C411" s="713" t="s">
        <v>3559</v>
      </c>
      <c r="D411" s="712">
        <v>0</v>
      </c>
      <c r="E411" s="712">
        <v>0</v>
      </c>
      <c r="F411" s="712">
        <v>0</v>
      </c>
      <c r="G411" s="712">
        <v>0</v>
      </c>
      <c r="H411" s="712">
        <v>0</v>
      </c>
      <c r="I411" s="712">
        <v>0</v>
      </c>
      <c r="J411" s="712">
        <v>0</v>
      </c>
      <c r="K411" s="712">
        <v>0</v>
      </c>
      <c r="L411" s="712">
        <v>0</v>
      </c>
      <c r="M411" s="712">
        <v>0</v>
      </c>
      <c r="N411" s="712">
        <v>0</v>
      </c>
      <c r="O411" s="712">
        <v>0</v>
      </c>
      <c r="P411" s="712">
        <v>0</v>
      </c>
      <c r="Q411" s="712">
        <v>0</v>
      </c>
      <c r="R411" s="712">
        <v>0</v>
      </c>
      <c r="S411" s="712">
        <v>0</v>
      </c>
      <c r="T411" s="712">
        <v>0</v>
      </c>
      <c r="U411" s="712">
        <v>0</v>
      </c>
      <c r="V411" s="712">
        <v>0</v>
      </c>
      <c r="W411" s="712">
        <v>0</v>
      </c>
      <c r="X411" s="712">
        <v>0</v>
      </c>
      <c r="Y411" s="712">
        <v>0</v>
      </c>
      <c r="Z411" s="712">
        <v>0</v>
      </c>
      <c r="AA411" s="712">
        <v>0</v>
      </c>
      <c r="AB411" s="712">
        <v>0</v>
      </c>
      <c r="AC411" s="712">
        <v>0</v>
      </c>
      <c r="AD411" s="712">
        <v>0</v>
      </c>
      <c r="AE411" s="712">
        <v>0</v>
      </c>
      <c r="AF411" s="712">
        <v>0</v>
      </c>
      <c r="AG411" s="712">
        <v>0</v>
      </c>
      <c r="AH411" s="712">
        <v>0</v>
      </c>
      <c r="AI411" s="712">
        <v>0</v>
      </c>
      <c r="AJ411" s="712">
        <v>0</v>
      </c>
      <c r="AK411" s="712">
        <v>0</v>
      </c>
      <c r="AL411" s="712">
        <v>0</v>
      </c>
      <c r="AM411" s="712">
        <v>0</v>
      </c>
      <c r="AN411" s="712">
        <v>0</v>
      </c>
      <c r="AO411" s="712">
        <v>0</v>
      </c>
      <c r="AP411" s="712">
        <v>0</v>
      </c>
      <c r="AQ411" s="712">
        <v>0</v>
      </c>
      <c r="AR411" s="712">
        <v>0</v>
      </c>
      <c r="AS411" s="712">
        <v>0</v>
      </c>
      <c r="AT411">
        <v>0</v>
      </c>
      <c r="AU411" s="615"/>
      <c r="AV411" s="615"/>
      <c r="AW411" s="615"/>
      <c r="AX411" s="615"/>
      <c r="AY411" s="615"/>
      <c r="AZ411" s="615"/>
      <c r="BA411" s="615"/>
      <c r="BB411" s="615"/>
      <c r="BC411" s="615"/>
      <c r="BD411" s="615"/>
      <c r="BE411" s="615"/>
      <c r="BF411" s="615"/>
      <c r="BG411" s="615"/>
      <c r="BH411" s="615"/>
      <c r="BI411" s="615"/>
      <c r="BJ411" s="615"/>
      <c r="BK411" s="615"/>
      <c r="BL411" s="615"/>
      <c r="BM411" s="615"/>
      <c r="BN411" s="615"/>
      <c r="BO411" s="615"/>
      <c r="BP411" s="615"/>
      <c r="BQ411" s="615"/>
      <c r="BR411" s="615"/>
      <c r="BS411" s="615"/>
      <c r="BT411" s="615"/>
      <c r="BU411" s="615"/>
      <c r="BV411" s="615"/>
      <c r="BW411" s="615"/>
      <c r="BX411" s="607"/>
    </row>
    <row r="412" spans="1:76" ht="25.5" x14ac:dyDescent="0.2">
      <c r="A412" s="839"/>
      <c r="B412" s="713" t="s">
        <v>1596</v>
      </c>
      <c r="C412" s="713" t="s">
        <v>3539</v>
      </c>
      <c r="D412" s="712">
        <v>0</v>
      </c>
      <c r="E412" s="712">
        <v>0</v>
      </c>
      <c r="F412" s="712">
        <v>0</v>
      </c>
      <c r="G412" s="712">
        <v>0</v>
      </c>
      <c r="H412" s="712">
        <v>0</v>
      </c>
      <c r="I412" s="712">
        <v>0</v>
      </c>
      <c r="J412" s="712">
        <v>0</v>
      </c>
      <c r="K412" s="712">
        <v>0</v>
      </c>
      <c r="L412" s="712">
        <v>0</v>
      </c>
      <c r="M412" s="712">
        <v>0</v>
      </c>
      <c r="N412" s="712">
        <v>0</v>
      </c>
      <c r="O412" s="712">
        <v>0</v>
      </c>
      <c r="P412" s="712">
        <v>0</v>
      </c>
      <c r="Q412" s="712">
        <v>0</v>
      </c>
      <c r="R412" s="712">
        <v>0</v>
      </c>
      <c r="S412" s="712">
        <v>0</v>
      </c>
      <c r="T412" s="712">
        <v>0</v>
      </c>
      <c r="U412" s="712">
        <v>0</v>
      </c>
      <c r="V412" s="712">
        <v>0</v>
      </c>
      <c r="W412" s="712">
        <v>0</v>
      </c>
      <c r="X412" s="712">
        <v>0</v>
      </c>
      <c r="Y412" s="712">
        <v>0</v>
      </c>
      <c r="Z412" s="712">
        <v>0</v>
      </c>
      <c r="AA412" s="712">
        <v>0</v>
      </c>
      <c r="AB412" s="712">
        <v>0</v>
      </c>
      <c r="AC412" s="712">
        <v>0</v>
      </c>
      <c r="AD412" s="712">
        <v>0</v>
      </c>
      <c r="AE412" s="712">
        <v>0</v>
      </c>
      <c r="AF412" s="712">
        <v>0</v>
      </c>
      <c r="AG412" s="712">
        <v>0</v>
      </c>
      <c r="AH412" s="712">
        <v>0</v>
      </c>
      <c r="AI412" s="712">
        <v>0</v>
      </c>
      <c r="AJ412" s="712">
        <v>0</v>
      </c>
      <c r="AK412" s="712">
        <v>0</v>
      </c>
      <c r="AL412" s="712">
        <v>0</v>
      </c>
      <c r="AM412" s="712">
        <v>0</v>
      </c>
      <c r="AN412" s="712">
        <v>0</v>
      </c>
      <c r="AO412" s="712">
        <v>0</v>
      </c>
      <c r="AP412" s="712">
        <v>0</v>
      </c>
      <c r="AQ412" s="712">
        <v>0</v>
      </c>
      <c r="AR412" s="712">
        <v>0</v>
      </c>
      <c r="AS412" s="712">
        <v>0</v>
      </c>
      <c r="AT412">
        <v>0</v>
      </c>
      <c r="AU412" s="615"/>
      <c r="AV412" s="615"/>
      <c r="AW412" s="615"/>
      <c r="AX412" s="615"/>
      <c r="AY412" s="615"/>
      <c r="AZ412" s="615"/>
      <c r="BA412" s="615"/>
      <c r="BB412" s="615"/>
      <c r="BC412" s="615"/>
      <c r="BD412" s="615"/>
      <c r="BE412" s="615"/>
      <c r="BF412" s="615"/>
      <c r="BG412" s="615"/>
      <c r="BH412" s="615"/>
      <c r="BI412" s="615"/>
      <c r="BJ412" s="615"/>
      <c r="BK412" s="615"/>
      <c r="BL412" s="615"/>
      <c r="BM412" s="615"/>
      <c r="BN412" s="615"/>
      <c r="BO412" s="615"/>
      <c r="BP412" s="615"/>
      <c r="BQ412" s="615"/>
      <c r="BR412" s="615"/>
      <c r="BS412" s="615"/>
      <c r="BT412" s="615"/>
      <c r="BU412" s="615"/>
      <c r="BV412" s="615"/>
      <c r="BW412" s="615"/>
      <c r="BX412" s="607"/>
    </row>
    <row r="413" spans="1:76" ht="25.5" x14ac:dyDescent="0.2">
      <c r="A413" s="839"/>
      <c r="B413" s="713" t="s">
        <v>1227</v>
      </c>
      <c r="C413" s="713" t="s">
        <v>3628</v>
      </c>
      <c r="D413" s="712">
        <v>0</v>
      </c>
      <c r="E413" s="712">
        <v>0</v>
      </c>
      <c r="F413" s="712">
        <v>0</v>
      </c>
      <c r="G413" s="712">
        <v>0</v>
      </c>
      <c r="H413" s="712">
        <v>0</v>
      </c>
      <c r="I413" s="712">
        <v>0</v>
      </c>
      <c r="J413" s="712">
        <v>0</v>
      </c>
      <c r="K413" s="712">
        <v>0</v>
      </c>
      <c r="L413" s="712">
        <v>0</v>
      </c>
      <c r="M413" s="712">
        <v>0</v>
      </c>
      <c r="N413" s="712">
        <v>0</v>
      </c>
      <c r="O413" s="712">
        <v>0</v>
      </c>
      <c r="P413" s="712">
        <v>0</v>
      </c>
      <c r="Q413" s="712">
        <v>0</v>
      </c>
      <c r="R413" s="712">
        <v>280206890</v>
      </c>
      <c r="S413" s="712">
        <v>0</v>
      </c>
      <c r="T413" s="712">
        <v>0</v>
      </c>
      <c r="U413" s="712">
        <v>0</v>
      </c>
      <c r="V413" s="712">
        <v>0</v>
      </c>
      <c r="W413" s="712">
        <v>0</v>
      </c>
      <c r="X413" s="712">
        <v>0</v>
      </c>
      <c r="Y413" s="712">
        <v>0</v>
      </c>
      <c r="Z413" s="712">
        <v>0</v>
      </c>
      <c r="AA413" s="712">
        <v>0</v>
      </c>
      <c r="AB413" s="712">
        <v>0</v>
      </c>
      <c r="AC413" s="712">
        <v>0</v>
      </c>
      <c r="AD413" s="712">
        <v>0</v>
      </c>
      <c r="AE413" s="712">
        <v>0</v>
      </c>
      <c r="AF413" s="712">
        <v>0</v>
      </c>
      <c r="AG413" s="712">
        <v>0</v>
      </c>
      <c r="AH413" s="712">
        <v>0</v>
      </c>
      <c r="AI413" s="712">
        <v>0</v>
      </c>
      <c r="AJ413" s="712">
        <v>0</v>
      </c>
      <c r="AK413" s="712">
        <v>0</v>
      </c>
      <c r="AL413" s="712">
        <v>0</v>
      </c>
      <c r="AM413" s="712">
        <v>0</v>
      </c>
      <c r="AN413" s="712">
        <v>0</v>
      </c>
      <c r="AO413" s="712">
        <v>0</v>
      </c>
      <c r="AP413" s="712">
        <v>0</v>
      </c>
      <c r="AQ413" s="712">
        <v>0</v>
      </c>
      <c r="AR413" s="712">
        <v>0</v>
      </c>
      <c r="AS413" s="712">
        <v>0</v>
      </c>
      <c r="AT413">
        <v>280206890</v>
      </c>
      <c r="AU413" s="615"/>
      <c r="AV413" s="615"/>
      <c r="AW413" s="615"/>
      <c r="AX413" s="615"/>
      <c r="AY413" s="615"/>
      <c r="AZ413" s="615"/>
      <c r="BA413" s="615"/>
      <c r="BB413" s="615"/>
      <c r="BC413" s="615"/>
      <c r="BD413" s="615"/>
      <c r="BE413" s="615"/>
      <c r="BF413" s="615"/>
      <c r="BG413" s="615"/>
      <c r="BH413" s="615"/>
      <c r="BI413" s="615"/>
      <c r="BJ413" s="615"/>
      <c r="BK413" s="615"/>
      <c r="BL413" s="615"/>
      <c r="BM413" s="615"/>
      <c r="BN413" s="615"/>
      <c r="BO413" s="615"/>
      <c r="BP413" s="615"/>
      <c r="BQ413" s="615"/>
      <c r="BR413" s="615"/>
      <c r="BS413" s="615"/>
      <c r="BT413" s="615"/>
      <c r="BU413" s="615"/>
      <c r="BV413" s="615"/>
      <c r="BW413" s="615"/>
      <c r="BX413" s="607"/>
    </row>
    <row r="414" spans="1:76" ht="25.5" x14ac:dyDescent="0.2">
      <c r="A414" s="839"/>
      <c r="B414" s="713" t="s">
        <v>3367</v>
      </c>
      <c r="C414" s="713" t="s">
        <v>3572</v>
      </c>
      <c r="D414" s="712">
        <v>0</v>
      </c>
      <c r="E414" s="712">
        <v>0</v>
      </c>
      <c r="F414" s="712">
        <v>0</v>
      </c>
      <c r="G414" s="712">
        <v>0</v>
      </c>
      <c r="H414" s="712">
        <v>0</v>
      </c>
      <c r="I414" s="712">
        <v>0</v>
      </c>
      <c r="J414" s="712">
        <v>0</v>
      </c>
      <c r="K414" s="712">
        <v>0</v>
      </c>
      <c r="L414" s="712">
        <v>0</v>
      </c>
      <c r="M414" s="712">
        <v>0</v>
      </c>
      <c r="N414" s="712">
        <v>0</v>
      </c>
      <c r="O414" s="712">
        <v>0</v>
      </c>
      <c r="P414" s="712">
        <v>0</v>
      </c>
      <c r="Q414" s="712">
        <v>0</v>
      </c>
      <c r="R414" s="712">
        <v>0</v>
      </c>
      <c r="S414" s="712">
        <v>0</v>
      </c>
      <c r="T414" s="712">
        <v>5469076</v>
      </c>
      <c r="U414" s="712">
        <v>49221685</v>
      </c>
      <c r="V414" s="712">
        <v>393773480</v>
      </c>
      <c r="W414" s="712">
        <v>0</v>
      </c>
      <c r="X414" s="712">
        <v>0</v>
      </c>
      <c r="Y414" s="712">
        <v>0</v>
      </c>
      <c r="Z414" s="712">
        <v>0</v>
      </c>
      <c r="AA414" s="712">
        <v>0</v>
      </c>
      <c r="AB414" s="712">
        <v>0</v>
      </c>
      <c r="AC414" s="712">
        <v>0</v>
      </c>
      <c r="AD414" s="712">
        <v>0</v>
      </c>
      <c r="AE414" s="712">
        <v>0</v>
      </c>
      <c r="AF414" s="712">
        <v>0</v>
      </c>
      <c r="AG414" s="712">
        <v>0</v>
      </c>
      <c r="AH414" s="712">
        <v>0</v>
      </c>
      <c r="AI414" s="712">
        <v>0</v>
      </c>
      <c r="AJ414" s="712">
        <v>0</v>
      </c>
      <c r="AK414" s="712">
        <v>0</v>
      </c>
      <c r="AL414" s="712">
        <v>0</v>
      </c>
      <c r="AM414" s="712">
        <v>0</v>
      </c>
      <c r="AN414" s="712">
        <v>0</v>
      </c>
      <c r="AO414" s="712">
        <v>0</v>
      </c>
      <c r="AP414" s="712">
        <v>0</v>
      </c>
      <c r="AQ414" s="712">
        <v>0</v>
      </c>
      <c r="AR414" s="712">
        <v>0</v>
      </c>
      <c r="AS414" s="712">
        <v>0</v>
      </c>
      <c r="AT414">
        <v>448464241</v>
      </c>
      <c r="AU414" s="615"/>
      <c r="AV414" s="615"/>
      <c r="AW414" s="615"/>
      <c r="AX414" s="615"/>
      <c r="AY414" s="615"/>
      <c r="AZ414" s="615"/>
      <c r="BA414" s="615"/>
      <c r="BB414" s="615"/>
      <c r="BC414" s="615"/>
      <c r="BD414" s="615"/>
      <c r="BE414" s="615"/>
      <c r="BF414" s="615"/>
      <c r="BG414" s="615"/>
      <c r="BH414" s="615"/>
      <c r="BI414" s="615"/>
      <c r="BJ414" s="615"/>
      <c r="BK414" s="615"/>
      <c r="BL414" s="615"/>
      <c r="BM414" s="615"/>
      <c r="BN414" s="615"/>
      <c r="BO414" s="615"/>
      <c r="BP414" s="615"/>
      <c r="BQ414" s="615"/>
      <c r="BR414" s="615"/>
      <c r="BS414" s="615"/>
      <c r="BT414" s="615"/>
      <c r="BU414" s="615"/>
      <c r="BV414" s="615"/>
      <c r="BW414" s="615"/>
      <c r="BX414" s="607"/>
    </row>
    <row r="415" spans="1:76" ht="25.5" x14ac:dyDescent="0.2">
      <c r="A415" s="839"/>
      <c r="B415" s="713" t="s">
        <v>1174</v>
      </c>
      <c r="C415" s="713" t="s">
        <v>3627</v>
      </c>
      <c r="D415" s="712">
        <v>0</v>
      </c>
      <c r="E415" s="712">
        <v>0</v>
      </c>
      <c r="F415" s="712">
        <v>0</v>
      </c>
      <c r="G415" s="712">
        <v>0</v>
      </c>
      <c r="H415" s="712">
        <v>0</v>
      </c>
      <c r="I415" s="712">
        <v>0</v>
      </c>
      <c r="J415" s="712">
        <v>0</v>
      </c>
      <c r="K415" s="712">
        <v>0</v>
      </c>
      <c r="L415" s="712">
        <v>0</v>
      </c>
      <c r="M415" s="712">
        <v>0</v>
      </c>
      <c r="N415" s="712">
        <v>0</v>
      </c>
      <c r="O415" s="712">
        <v>0</v>
      </c>
      <c r="P415" s="712">
        <v>283632765</v>
      </c>
      <c r="Q415" s="712">
        <v>0</v>
      </c>
      <c r="R415" s="712">
        <v>0</v>
      </c>
      <c r="S415" s="712">
        <v>0</v>
      </c>
      <c r="T415" s="712">
        <v>0</v>
      </c>
      <c r="U415" s="712">
        <v>0</v>
      </c>
      <c r="V415" s="712">
        <v>0</v>
      </c>
      <c r="W415" s="712">
        <v>0</v>
      </c>
      <c r="X415" s="712">
        <v>0</v>
      </c>
      <c r="Y415" s="712">
        <v>0</v>
      </c>
      <c r="Z415" s="712">
        <v>0</v>
      </c>
      <c r="AA415" s="712">
        <v>0</v>
      </c>
      <c r="AB415" s="712">
        <v>0</v>
      </c>
      <c r="AC415" s="712">
        <v>0</v>
      </c>
      <c r="AD415" s="712">
        <v>0</v>
      </c>
      <c r="AE415" s="712">
        <v>0</v>
      </c>
      <c r="AF415" s="712">
        <v>0</v>
      </c>
      <c r="AG415" s="712">
        <v>0</v>
      </c>
      <c r="AH415" s="712">
        <v>0</v>
      </c>
      <c r="AI415" s="712">
        <v>0</v>
      </c>
      <c r="AJ415" s="712">
        <v>0</v>
      </c>
      <c r="AK415" s="712">
        <v>0</v>
      </c>
      <c r="AL415" s="712">
        <v>0</v>
      </c>
      <c r="AM415" s="712">
        <v>0</v>
      </c>
      <c r="AN415" s="712">
        <v>0</v>
      </c>
      <c r="AO415" s="712">
        <v>0</v>
      </c>
      <c r="AP415" s="712">
        <v>0</v>
      </c>
      <c r="AQ415" s="712">
        <v>0</v>
      </c>
      <c r="AR415" s="712">
        <v>0</v>
      </c>
      <c r="AS415" s="712">
        <v>0</v>
      </c>
      <c r="AT415">
        <v>283632765</v>
      </c>
      <c r="AU415" s="615"/>
      <c r="AV415" s="615"/>
      <c r="AW415" s="615"/>
      <c r="AX415" s="615"/>
      <c r="AY415" s="615"/>
      <c r="AZ415" s="615"/>
      <c r="BA415" s="615"/>
      <c r="BB415" s="615"/>
      <c r="BC415" s="615"/>
      <c r="BD415" s="615"/>
      <c r="BE415" s="615"/>
      <c r="BF415" s="615"/>
      <c r="BG415" s="615"/>
      <c r="BH415" s="615"/>
      <c r="BI415" s="615"/>
      <c r="BJ415" s="615"/>
      <c r="BK415" s="615"/>
      <c r="BL415" s="615"/>
      <c r="BM415" s="615"/>
      <c r="BN415" s="615"/>
      <c r="BO415" s="615"/>
      <c r="BP415" s="615"/>
      <c r="BQ415" s="615"/>
      <c r="BR415" s="615"/>
      <c r="BS415" s="615"/>
      <c r="BT415" s="615"/>
      <c r="BU415" s="615"/>
      <c r="BV415" s="615"/>
      <c r="BW415" s="615"/>
      <c r="BX415" s="607"/>
    </row>
    <row r="416" spans="1:76" ht="25.5" x14ac:dyDescent="0.2">
      <c r="A416" s="839"/>
      <c r="B416" s="713" t="s">
        <v>1122</v>
      </c>
      <c r="C416" s="713" t="s">
        <v>3563</v>
      </c>
      <c r="D416" s="712">
        <v>0</v>
      </c>
      <c r="E416" s="712">
        <v>0</v>
      </c>
      <c r="F416" s="712">
        <v>0</v>
      </c>
      <c r="G416" s="712">
        <v>0</v>
      </c>
      <c r="H416" s="712">
        <v>0</v>
      </c>
      <c r="I416" s="712">
        <v>0</v>
      </c>
      <c r="J416" s="712">
        <v>0</v>
      </c>
      <c r="K416" s="712">
        <v>0</v>
      </c>
      <c r="L416" s="712">
        <v>0</v>
      </c>
      <c r="M416" s="712">
        <v>0</v>
      </c>
      <c r="N416" s="712">
        <v>0</v>
      </c>
      <c r="O416" s="712">
        <v>0</v>
      </c>
      <c r="P416" s="712">
        <v>0</v>
      </c>
      <c r="Q416" s="712">
        <v>0</v>
      </c>
      <c r="R416" s="712">
        <v>281996619</v>
      </c>
      <c r="S416" s="712">
        <v>0</v>
      </c>
      <c r="T416" s="712">
        <v>0</v>
      </c>
      <c r="U416" s="712">
        <v>0</v>
      </c>
      <c r="V416" s="712">
        <v>0</v>
      </c>
      <c r="W416" s="712">
        <v>0</v>
      </c>
      <c r="X416" s="712">
        <v>0</v>
      </c>
      <c r="Y416" s="712">
        <v>0</v>
      </c>
      <c r="Z416" s="712">
        <v>0</v>
      </c>
      <c r="AA416" s="712">
        <v>0</v>
      </c>
      <c r="AB416" s="712">
        <v>0</v>
      </c>
      <c r="AC416" s="712">
        <v>0</v>
      </c>
      <c r="AD416" s="712">
        <v>0</v>
      </c>
      <c r="AE416" s="712">
        <v>0</v>
      </c>
      <c r="AF416" s="712">
        <v>0</v>
      </c>
      <c r="AG416" s="712">
        <v>0</v>
      </c>
      <c r="AH416" s="712">
        <v>0</v>
      </c>
      <c r="AI416" s="712">
        <v>0</v>
      </c>
      <c r="AJ416" s="712">
        <v>0</v>
      </c>
      <c r="AK416" s="712">
        <v>0</v>
      </c>
      <c r="AL416" s="712">
        <v>0</v>
      </c>
      <c r="AM416" s="712">
        <v>0</v>
      </c>
      <c r="AN416" s="712">
        <v>0</v>
      </c>
      <c r="AO416" s="712">
        <v>0</v>
      </c>
      <c r="AP416" s="712">
        <v>0</v>
      </c>
      <c r="AQ416" s="712">
        <v>0</v>
      </c>
      <c r="AR416" s="712">
        <v>0</v>
      </c>
      <c r="AS416" s="712">
        <v>0</v>
      </c>
      <c r="AT416">
        <v>281996619</v>
      </c>
      <c r="AU416" s="615"/>
      <c r="AV416" s="615"/>
      <c r="AW416" s="615"/>
      <c r="AX416" s="615"/>
      <c r="AY416" s="615"/>
      <c r="AZ416" s="615"/>
      <c r="BA416" s="615"/>
      <c r="BB416" s="615"/>
      <c r="BC416" s="615"/>
      <c r="BD416" s="615"/>
      <c r="BE416" s="615"/>
      <c r="BF416" s="615"/>
      <c r="BG416" s="615"/>
      <c r="BH416" s="615"/>
      <c r="BI416" s="615"/>
      <c r="BJ416" s="615"/>
      <c r="BK416" s="615"/>
      <c r="BL416" s="615"/>
      <c r="BM416" s="615"/>
      <c r="BN416" s="615"/>
      <c r="BO416" s="615"/>
      <c r="BP416" s="615"/>
      <c r="BQ416" s="615"/>
      <c r="BR416" s="615"/>
      <c r="BS416" s="615"/>
      <c r="BT416" s="615"/>
      <c r="BU416" s="615"/>
      <c r="BV416" s="615"/>
      <c r="BW416" s="615"/>
      <c r="BX416" s="607"/>
    </row>
    <row r="417" spans="1:76" ht="25.5" x14ac:dyDescent="0.2">
      <c r="A417" s="839"/>
      <c r="B417" s="713" t="s">
        <v>1123</v>
      </c>
      <c r="C417" s="713" t="s">
        <v>3574</v>
      </c>
      <c r="D417" s="712">
        <v>0</v>
      </c>
      <c r="E417" s="712">
        <v>0</v>
      </c>
      <c r="F417" s="712">
        <v>0</v>
      </c>
      <c r="G417" s="712">
        <v>0</v>
      </c>
      <c r="H417" s="712">
        <v>0</v>
      </c>
      <c r="I417" s="712">
        <v>0</v>
      </c>
      <c r="J417" s="712">
        <v>0</v>
      </c>
      <c r="K417" s="712">
        <v>0</v>
      </c>
      <c r="L417" s="712">
        <v>0</v>
      </c>
      <c r="M417" s="712">
        <v>0</v>
      </c>
      <c r="N417" s="712">
        <v>0</v>
      </c>
      <c r="O417" s="712">
        <v>0</v>
      </c>
      <c r="P417" s="712">
        <v>0</v>
      </c>
      <c r="Q417" s="712">
        <v>0</v>
      </c>
      <c r="R417" s="712">
        <v>0</v>
      </c>
      <c r="S417" s="712">
        <v>0</v>
      </c>
      <c r="T417" s="712">
        <v>0</v>
      </c>
      <c r="U417" s="712">
        <v>0</v>
      </c>
      <c r="V417" s="712">
        <v>0</v>
      </c>
      <c r="W417" s="712">
        <v>0</v>
      </c>
      <c r="X417" s="712">
        <v>0</v>
      </c>
      <c r="Y417" s="712">
        <v>0</v>
      </c>
      <c r="Z417" s="712">
        <v>0</v>
      </c>
      <c r="AA417" s="712">
        <v>0</v>
      </c>
      <c r="AB417" s="712">
        <v>0</v>
      </c>
      <c r="AC417" s="712">
        <v>0</v>
      </c>
      <c r="AD417" s="712">
        <v>0</v>
      </c>
      <c r="AE417" s="712">
        <v>0</v>
      </c>
      <c r="AF417" s="712">
        <v>0</v>
      </c>
      <c r="AG417" s="712">
        <v>0</v>
      </c>
      <c r="AH417" s="712">
        <v>0</v>
      </c>
      <c r="AI417" s="712">
        <v>0</v>
      </c>
      <c r="AJ417" s="712">
        <v>0</v>
      </c>
      <c r="AK417" s="712">
        <v>0</v>
      </c>
      <c r="AL417" s="712">
        <v>0</v>
      </c>
      <c r="AM417" s="712">
        <v>0</v>
      </c>
      <c r="AN417" s="712">
        <v>0</v>
      </c>
      <c r="AO417" s="712">
        <v>0</v>
      </c>
      <c r="AP417" s="712">
        <v>0</v>
      </c>
      <c r="AQ417" s="712">
        <v>0</v>
      </c>
      <c r="AR417" s="712">
        <v>0</v>
      </c>
      <c r="AS417" s="712">
        <v>0</v>
      </c>
      <c r="AT417">
        <v>0</v>
      </c>
      <c r="AU417" s="615"/>
      <c r="AV417" s="615"/>
      <c r="AW417" s="615"/>
      <c r="AX417" s="615"/>
      <c r="AY417" s="615"/>
      <c r="AZ417" s="615"/>
      <c r="BA417" s="615"/>
      <c r="BB417" s="615"/>
      <c r="BC417" s="615"/>
      <c r="BD417" s="615"/>
      <c r="BE417" s="615"/>
      <c r="BF417" s="615"/>
      <c r="BG417" s="615"/>
      <c r="BH417" s="615"/>
      <c r="BI417" s="615"/>
      <c r="BJ417" s="615"/>
      <c r="BK417" s="615"/>
      <c r="BL417" s="615"/>
      <c r="BM417" s="615"/>
      <c r="BN417" s="615"/>
      <c r="BO417" s="615"/>
      <c r="BP417" s="615"/>
      <c r="BQ417" s="615"/>
      <c r="BR417" s="615"/>
      <c r="BS417" s="615"/>
      <c r="BT417" s="615"/>
      <c r="BU417" s="615"/>
      <c r="BV417" s="615"/>
      <c r="BW417" s="615"/>
      <c r="BX417" s="607"/>
    </row>
    <row r="418" spans="1:76" ht="25.5" x14ac:dyDescent="0.2">
      <c r="A418" s="839"/>
      <c r="B418" s="713" t="s">
        <v>1560</v>
      </c>
      <c r="C418" s="713" t="s">
        <v>3579</v>
      </c>
      <c r="D418" s="712">
        <v>0</v>
      </c>
      <c r="E418" s="712">
        <v>0</v>
      </c>
      <c r="F418" s="712">
        <v>0</v>
      </c>
      <c r="G418" s="712">
        <v>0</v>
      </c>
      <c r="H418" s="712">
        <v>0</v>
      </c>
      <c r="I418" s="712">
        <v>0</v>
      </c>
      <c r="J418" s="712">
        <v>0</v>
      </c>
      <c r="K418" s="712">
        <v>0</v>
      </c>
      <c r="L418" s="712">
        <v>0</v>
      </c>
      <c r="M418" s="712">
        <v>0</v>
      </c>
      <c r="N418" s="712">
        <v>0</v>
      </c>
      <c r="O418" s="712">
        <v>0</v>
      </c>
      <c r="P418" s="712">
        <v>222470624</v>
      </c>
      <c r="Q418" s="712">
        <v>0</v>
      </c>
      <c r="R418" s="712">
        <v>0</v>
      </c>
      <c r="S418" s="712">
        <v>0</v>
      </c>
      <c r="T418" s="712">
        <v>0</v>
      </c>
      <c r="U418" s="712">
        <v>0</v>
      </c>
      <c r="V418" s="712">
        <v>0</v>
      </c>
      <c r="W418" s="712">
        <v>0</v>
      </c>
      <c r="X418" s="712">
        <v>0</v>
      </c>
      <c r="Y418" s="712">
        <v>0</v>
      </c>
      <c r="Z418" s="712">
        <v>0</v>
      </c>
      <c r="AA418" s="712">
        <v>0</v>
      </c>
      <c r="AB418" s="712">
        <v>0</v>
      </c>
      <c r="AC418" s="712">
        <v>0</v>
      </c>
      <c r="AD418" s="712">
        <v>0</v>
      </c>
      <c r="AE418" s="712">
        <v>0</v>
      </c>
      <c r="AF418" s="712">
        <v>0</v>
      </c>
      <c r="AG418" s="712">
        <v>0</v>
      </c>
      <c r="AH418" s="712">
        <v>0</v>
      </c>
      <c r="AI418" s="712">
        <v>0</v>
      </c>
      <c r="AJ418" s="712">
        <v>0</v>
      </c>
      <c r="AK418" s="712">
        <v>0</v>
      </c>
      <c r="AL418" s="712">
        <v>0</v>
      </c>
      <c r="AM418" s="712">
        <v>0</v>
      </c>
      <c r="AN418" s="712">
        <v>0</v>
      </c>
      <c r="AO418" s="712">
        <v>0</v>
      </c>
      <c r="AP418" s="712">
        <v>0</v>
      </c>
      <c r="AQ418" s="712">
        <v>0</v>
      </c>
      <c r="AR418" s="712">
        <v>0</v>
      </c>
      <c r="AS418" s="712">
        <v>0</v>
      </c>
      <c r="AT418">
        <v>222470624</v>
      </c>
      <c r="AU418" s="615"/>
      <c r="AV418" s="615"/>
      <c r="AW418" s="615"/>
      <c r="AX418" s="615"/>
      <c r="AY418" s="615"/>
      <c r="AZ418" s="615"/>
      <c r="BA418" s="615"/>
      <c r="BB418" s="615"/>
      <c r="BC418" s="615"/>
      <c r="BD418" s="615"/>
      <c r="BE418" s="615"/>
      <c r="BF418" s="615"/>
      <c r="BG418" s="615"/>
      <c r="BH418" s="615"/>
      <c r="BI418" s="615"/>
      <c r="BJ418" s="615"/>
      <c r="BK418" s="615"/>
      <c r="BL418" s="615"/>
      <c r="BM418" s="615"/>
      <c r="BN418" s="615"/>
      <c r="BO418" s="615"/>
      <c r="BP418" s="615"/>
      <c r="BQ418" s="615"/>
      <c r="BR418" s="615"/>
      <c r="BS418" s="615"/>
      <c r="BT418" s="615"/>
      <c r="BU418" s="615"/>
      <c r="BV418" s="615"/>
      <c r="BW418" s="615"/>
      <c r="BX418" s="607"/>
    </row>
    <row r="419" spans="1:76" ht="25.5" x14ac:dyDescent="0.2">
      <c r="A419" s="839"/>
      <c r="B419" s="713" t="s">
        <v>1468</v>
      </c>
      <c r="C419" s="713" t="s">
        <v>3584</v>
      </c>
      <c r="D419" s="712">
        <v>0</v>
      </c>
      <c r="E419" s="712">
        <v>0</v>
      </c>
      <c r="F419" s="712">
        <v>0</v>
      </c>
      <c r="G419" s="712">
        <v>0</v>
      </c>
      <c r="H419" s="712">
        <v>0</v>
      </c>
      <c r="I419" s="712">
        <v>0</v>
      </c>
      <c r="J419" s="712">
        <v>0</v>
      </c>
      <c r="K419" s="712">
        <v>0</v>
      </c>
      <c r="L419" s="712">
        <v>0</v>
      </c>
      <c r="M419" s="712">
        <v>0</v>
      </c>
      <c r="N419" s="712">
        <v>0</v>
      </c>
      <c r="O419" s="712">
        <v>0</v>
      </c>
      <c r="P419" s="712">
        <v>253565801</v>
      </c>
      <c r="Q419" s="712">
        <v>0</v>
      </c>
      <c r="R419" s="712">
        <v>0</v>
      </c>
      <c r="S419" s="712">
        <v>0</v>
      </c>
      <c r="T419" s="712">
        <v>0</v>
      </c>
      <c r="U419" s="712">
        <v>0</v>
      </c>
      <c r="V419" s="712">
        <v>0</v>
      </c>
      <c r="W419" s="712">
        <v>0</v>
      </c>
      <c r="X419" s="712">
        <v>0</v>
      </c>
      <c r="Y419" s="712">
        <v>0</v>
      </c>
      <c r="Z419" s="712">
        <v>0</v>
      </c>
      <c r="AA419" s="712">
        <v>0</v>
      </c>
      <c r="AB419" s="712">
        <v>0</v>
      </c>
      <c r="AC419" s="712">
        <v>0</v>
      </c>
      <c r="AD419" s="712">
        <v>0</v>
      </c>
      <c r="AE419" s="712">
        <v>0</v>
      </c>
      <c r="AF419" s="712">
        <v>0</v>
      </c>
      <c r="AG419" s="712">
        <v>0</v>
      </c>
      <c r="AH419" s="712">
        <v>0</v>
      </c>
      <c r="AI419" s="712">
        <v>0</v>
      </c>
      <c r="AJ419" s="712">
        <v>0</v>
      </c>
      <c r="AK419" s="712">
        <v>0</v>
      </c>
      <c r="AL419" s="712">
        <v>0</v>
      </c>
      <c r="AM419" s="712">
        <v>0</v>
      </c>
      <c r="AN419" s="712">
        <v>0</v>
      </c>
      <c r="AO419" s="712">
        <v>0</v>
      </c>
      <c r="AP419" s="712">
        <v>0</v>
      </c>
      <c r="AQ419" s="712">
        <v>0</v>
      </c>
      <c r="AR419" s="712">
        <v>0</v>
      </c>
      <c r="AS419" s="712">
        <v>0</v>
      </c>
      <c r="AT419">
        <v>253565801</v>
      </c>
      <c r="AU419" s="615"/>
      <c r="AV419" s="615"/>
      <c r="AW419" s="615"/>
      <c r="AX419" s="615"/>
      <c r="AY419" s="615"/>
      <c r="AZ419" s="615"/>
      <c r="BA419" s="615"/>
      <c r="BB419" s="615"/>
      <c r="BC419" s="615"/>
      <c r="BD419" s="615"/>
      <c r="BE419" s="615"/>
      <c r="BF419" s="615"/>
      <c r="BG419" s="615"/>
      <c r="BH419" s="615"/>
      <c r="BI419" s="615"/>
      <c r="BJ419" s="615"/>
      <c r="BK419" s="615"/>
      <c r="BL419" s="615"/>
      <c r="BM419" s="615"/>
      <c r="BN419" s="615"/>
      <c r="BO419" s="615"/>
      <c r="BP419" s="615"/>
      <c r="BQ419" s="615"/>
      <c r="BR419" s="615"/>
      <c r="BS419" s="615"/>
      <c r="BT419" s="615"/>
      <c r="BU419" s="615"/>
      <c r="BV419" s="615"/>
      <c r="BW419" s="615"/>
      <c r="BX419" s="607"/>
    </row>
    <row r="420" spans="1:76" ht="25.5" x14ac:dyDescent="0.2">
      <c r="A420" s="839"/>
      <c r="B420" s="713" t="s">
        <v>1091</v>
      </c>
      <c r="C420" s="713" t="s">
        <v>3534</v>
      </c>
      <c r="D420" s="712">
        <v>0</v>
      </c>
      <c r="E420" s="712">
        <v>0</v>
      </c>
      <c r="F420" s="712">
        <v>0</v>
      </c>
      <c r="G420" s="712">
        <v>0</v>
      </c>
      <c r="H420" s="712">
        <v>0</v>
      </c>
      <c r="I420" s="712">
        <v>0</v>
      </c>
      <c r="J420" s="712">
        <v>0</v>
      </c>
      <c r="K420" s="712">
        <v>0</v>
      </c>
      <c r="L420" s="712">
        <v>0</v>
      </c>
      <c r="M420" s="712">
        <v>0</v>
      </c>
      <c r="N420" s="712">
        <v>0</v>
      </c>
      <c r="O420" s="712">
        <v>0</v>
      </c>
      <c r="P420" s="712">
        <v>0</v>
      </c>
      <c r="Q420" s="712">
        <v>0</v>
      </c>
      <c r="R420" s="712">
        <v>139934308</v>
      </c>
      <c r="S420" s="712">
        <v>0</v>
      </c>
      <c r="T420" s="712">
        <v>0</v>
      </c>
      <c r="U420" s="712">
        <v>0</v>
      </c>
      <c r="V420" s="712">
        <v>0</v>
      </c>
      <c r="W420" s="712">
        <v>0</v>
      </c>
      <c r="X420" s="712">
        <v>0</v>
      </c>
      <c r="Y420" s="712">
        <v>0</v>
      </c>
      <c r="Z420" s="712">
        <v>0</v>
      </c>
      <c r="AA420" s="712">
        <v>0</v>
      </c>
      <c r="AB420" s="712">
        <v>0</v>
      </c>
      <c r="AC420" s="712">
        <v>0</v>
      </c>
      <c r="AD420" s="712">
        <v>0</v>
      </c>
      <c r="AE420" s="712">
        <v>0</v>
      </c>
      <c r="AF420" s="712">
        <v>0</v>
      </c>
      <c r="AG420" s="712">
        <v>0</v>
      </c>
      <c r="AH420" s="712">
        <v>0</v>
      </c>
      <c r="AI420" s="712">
        <v>0</v>
      </c>
      <c r="AJ420" s="712">
        <v>0</v>
      </c>
      <c r="AK420" s="712">
        <v>0</v>
      </c>
      <c r="AL420" s="712">
        <v>0</v>
      </c>
      <c r="AM420" s="712">
        <v>0</v>
      </c>
      <c r="AN420" s="712">
        <v>0</v>
      </c>
      <c r="AO420" s="712">
        <v>0</v>
      </c>
      <c r="AP420" s="712">
        <v>0</v>
      </c>
      <c r="AQ420" s="712">
        <v>0</v>
      </c>
      <c r="AR420" s="712">
        <v>0</v>
      </c>
      <c r="AS420" s="712">
        <v>0</v>
      </c>
      <c r="AT420">
        <v>139934308</v>
      </c>
      <c r="AU420" s="615"/>
      <c r="AV420" s="615"/>
      <c r="AW420" s="615"/>
      <c r="AX420" s="615"/>
      <c r="AY420" s="615"/>
      <c r="AZ420" s="615"/>
      <c r="BA420" s="615"/>
      <c r="BB420" s="615"/>
      <c r="BC420" s="615"/>
      <c r="BD420" s="615"/>
      <c r="BE420" s="615"/>
      <c r="BF420" s="615"/>
      <c r="BG420" s="615"/>
      <c r="BH420" s="615"/>
      <c r="BI420" s="615"/>
      <c r="BJ420" s="615"/>
      <c r="BK420" s="615"/>
      <c r="BL420" s="615"/>
      <c r="BM420" s="615"/>
      <c r="BN420" s="615"/>
      <c r="BO420" s="615"/>
      <c r="BP420" s="615"/>
      <c r="BQ420" s="615"/>
      <c r="BR420" s="615"/>
      <c r="BS420" s="615"/>
      <c r="BT420" s="615"/>
      <c r="BU420" s="615"/>
      <c r="BV420" s="615"/>
      <c r="BW420" s="615"/>
      <c r="BX420" s="607"/>
    </row>
    <row r="421" spans="1:76" ht="25.5" x14ac:dyDescent="0.2">
      <c r="A421" s="839"/>
      <c r="B421" s="713" t="s">
        <v>3441</v>
      </c>
      <c r="C421" s="713" t="s">
        <v>3622</v>
      </c>
      <c r="D421" s="712">
        <v>0</v>
      </c>
      <c r="E421" s="712">
        <v>0</v>
      </c>
      <c r="F421" s="712">
        <v>0</v>
      </c>
      <c r="G421" s="712">
        <v>0</v>
      </c>
      <c r="H421" s="712">
        <v>0</v>
      </c>
      <c r="I421" s="712">
        <v>0</v>
      </c>
      <c r="J421" s="712">
        <v>0</v>
      </c>
      <c r="K421" s="712">
        <v>0</v>
      </c>
      <c r="L421" s="712">
        <v>0</v>
      </c>
      <c r="M421" s="712">
        <v>0</v>
      </c>
      <c r="N421" s="712">
        <v>0</v>
      </c>
      <c r="O421" s="712">
        <v>0</v>
      </c>
      <c r="P421" s="712">
        <v>0</v>
      </c>
      <c r="Q421" s="712">
        <v>79100000</v>
      </c>
      <c r="R421" s="712">
        <v>0</v>
      </c>
      <c r="S421" s="712">
        <v>0</v>
      </c>
      <c r="T421" s="712">
        <v>43423713</v>
      </c>
      <c r="U421" s="712">
        <v>300000000</v>
      </c>
      <c r="V421" s="712">
        <v>0</v>
      </c>
      <c r="W421" s="712">
        <v>0</v>
      </c>
      <c r="X421" s="712">
        <v>0</v>
      </c>
      <c r="Y421" s="712">
        <v>0</v>
      </c>
      <c r="Z421" s="712">
        <v>0</v>
      </c>
      <c r="AA421" s="712">
        <v>0</v>
      </c>
      <c r="AB421" s="712">
        <v>0</v>
      </c>
      <c r="AC421" s="712">
        <v>0</v>
      </c>
      <c r="AD421" s="712">
        <v>0</v>
      </c>
      <c r="AE421" s="712">
        <v>0</v>
      </c>
      <c r="AF421" s="712">
        <v>0</v>
      </c>
      <c r="AG421" s="712">
        <v>0</v>
      </c>
      <c r="AH421" s="712">
        <v>0</v>
      </c>
      <c r="AI421" s="712">
        <v>0</v>
      </c>
      <c r="AJ421" s="712">
        <v>0</v>
      </c>
      <c r="AK421" s="712">
        <v>0</v>
      </c>
      <c r="AL421" s="712">
        <v>0</v>
      </c>
      <c r="AM421" s="712">
        <v>0</v>
      </c>
      <c r="AN421" s="712">
        <v>0</v>
      </c>
      <c r="AO421" s="712">
        <v>0</v>
      </c>
      <c r="AP421" s="712">
        <v>0</v>
      </c>
      <c r="AQ421" s="712">
        <v>0</v>
      </c>
      <c r="AR421" s="712">
        <v>0</v>
      </c>
      <c r="AS421" s="712">
        <v>0</v>
      </c>
      <c r="AT421">
        <v>422523713</v>
      </c>
      <c r="AU421" s="615"/>
      <c r="AV421" s="615"/>
      <c r="AW421" s="615"/>
      <c r="AX421" s="615"/>
      <c r="AY421" s="615"/>
      <c r="AZ421" s="615"/>
      <c r="BA421" s="615"/>
      <c r="BB421" s="615"/>
      <c r="BC421" s="615"/>
      <c r="BD421" s="615"/>
      <c r="BE421" s="615"/>
      <c r="BF421" s="615"/>
      <c r="BG421" s="615"/>
      <c r="BH421" s="615"/>
      <c r="BI421" s="615"/>
      <c r="BJ421" s="615"/>
      <c r="BK421" s="615"/>
      <c r="BL421" s="615"/>
      <c r="BM421" s="615"/>
      <c r="BN421" s="615"/>
      <c r="BO421" s="615"/>
      <c r="BP421" s="615"/>
      <c r="BQ421" s="615"/>
      <c r="BR421" s="615"/>
      <c r="BS421" s="615"/>
      <c r="BT421" s="615"/>
      <c r="BU421" s="615"/>
      <c r="BV421" s="615"/>
      <c r="BW421" s="615"/>
      <c r="BX421" s="607"/>
    </row>
    <row r="422" spans="1:76" ht="25.5" x14ac:dyDescent="0.2">
      <c r="A422" s="839"/>
      <c r="B422" s="713" t="s">
        <v>1194</v>
      </c>
      <c r="C422" s="713" t="s">
        <v>3519</v>
      </c>
      <c r="D422" s="712">
        <v>0</v>
      </c>
      <c r="E422" s="712">
        <v>0</v>
      </c>
      <c r="F422" s="712">
        <v>0</v>
      </c>
      <c r="G422" s="712">
        <v>0</v>
      </c>
      <c r="H422" s="712">
        <v>0</v>
      </c>
      <c r="I422" s="712">
        <v>0</v>
      </c>
      <c r="J422" s="712">
        <v>0</v>
      </c>
      <c r="K422" s="712">
        <v>0</v>
      </c>
      <c r="L422" s="712">
        <v>0</v>
      </c>
      <c r="M422" s="712">
        <v>0</v>
      </c>
      <c r="N422" s="712">
        <v>0</v>
      </c>
      <c r="O422" s="712">
        <v>0</v>
      </c>
      <c r="P422" s="712">
        <v>0</v>
      </c>
      <c r="Q422" s="712">
        <v>0</v>
      </c>
      <c r="R422" s="712">
        <v>54685039</v>
      </c>
      <c r="S422" s="712">
        <v>0</v>
      </c>
      <c r="T422" s="712">
        <v>0</v>
      </c>
      <c r="U422" s="712">
        <v>0</v>
      </c>
      <c r="V422" s="712">
        <v>0</v>
      </c>
      <c r="W422" s="712">
        <v>0</v>
      </c>
      <c r="X422" s="712">
        <v>0</v>
      </c>
      <c r="Y422" s="712">
        <v>0</v>
      </c>
      <c r="Z422" s="712">
        <v>0</v>
      </c>
      <c r="AA422" s="712">
        <v>0</v>
      </c>
      <c r="AB422" s="712">
        <v>0</v>
      </c>
      <c r="AC422" s="712">
        <v>0</v>
      </c>
      <c r="AD422" s="712">
        <v>0</v>
      </c>
      <c r="AE422" s="712">
        <v>0</v>
      </c>
      <c r="AF422" s="712">
        <v>0</v>
      </c>
      <c r="AG422" s="712">
        <v>0</v>
      </c>
      <c r="AH422" s="712">
        <v>0</v>
      </c>
      <c r="AI422" s="712">
        <v>0</v>
      </c>
      <c r="AJ422" s="712">
        <v>0</v>
      </c>
      <c r="AK422" s="712">
        <v>0</v>
      </c>
      <c r="AL422" s="712">
        <v>0</v>
      </c>
      <c r="AM422" s="712">
        <v>0</v>
      </c>
      <c r="AN422" s="712">
        <v>0</v>
      </c>
      <c r="AO422" s="712">
        <v>0</v>
      </c>
      <c r="AP422" s="712">
        <v>0</v>
      </c>
      <c r="AQ422" s="712">
        <v>0</v>
      </c>
      <c r="AR422" s="712">
        <v>0</v>
      </c>
      <c r="AS422" s="712">
        <v>0</v>
      </c>
      <c r="AT422">
        <v>54685039</v>
      </c>
      <c r="AU422" s="615"/>
      <c r="AV422" s="615"/>
      <c r="AW422" s="615"/>
      <c r="AX422" s="615"/>
      <c r="AY422" s="615"/>
      <c r="AZ422" s="615"/>
      <c r="BA422" s="615"/>
      <c r="BB422" s="615"/>
      <c r="BC422" s="615"/>
      <c r="BD422" s="615"/>
      <c r="BE422" s="615"/>
      <c r="BF422" s="615"/>
      <c r="BG422" s="615"/>
      <c r="BH422" s="615"/>
      <c r="BI422" s="615"/>
      <c r="BJ422" s="615"/>
      <c r="BK422" s="615"/>
      <c r="BL422" s="615"/>
      <c r="BM422" s="615"/>
      <c r="BN422" s="615"/>
      <c r="BO422" s="615"/>
      <c r="BP422" s="615"/>
      <c r="BQ422" s="615"/>
      <c r="BR422" s="615"/>
      <c r="BS422" s="615"/>
      <c r="BT422" s="615"/>
      <c r="BU422" s="615"/>
      <c r="BV422" s="615"/>
      <c r="BW422" s="615"/>
      <c r="BX422" s="607"/>
    </row>
    <row r="423" spans="1:76" ht="25.5" x14ac:dyDescent="0.2">
      <c r="A423" s="839"/>
      <c r="B423" s="713" t="s">
        <v>1120</v>
      </c>
      <c r="C423" s="713" t="s">
        <v>3532</v>
      </c>
      <c r="D423" s="712">
        <v>0</v>
      </c>
      <c r="E423" s="712">
        <v>0</v>
      </c>
      <c r="F423" s="712">
        <v>0</v>
      </c>
      <c r="G423" s="712">
        <v>0</v>
      </c>
      <c r="H423" s="712">
        <v>0</v>
      </c>
      <c r="I423" s="712">
        <v>0</v>
      </c>
      <c r="J423" s="712">
        <v>0</v>
      </c>
      <c r="K423" s="712">
        <v>0</v>
      </c>
      <c r="L423" s="712">
        <v>0</v>
      </c>
      <c r="M423" s="712">
        <v>0</v>
      </c>
      <c r="N423" s="712">
        <v>0</v>
      </c>
      <c r="O423" s="712">
        <v>0</v>
      </c>
      <c r="P423" s="712">
        <v>0</v>
      </c>
      <c r="Q423" s="712">
        <v>0</v>
      </c>
      <c r="R423" s="712">
        <v>170215625</v>
      </c>
      <c r="S423" s="712">
        <v>0</v>
      </c>
      <c r="T423" s="712">
        <v>0</v>
      </c>
      <c r="U423" s="712">
        <v>0</v>
      </c>
      <c r="V423" s="712">
        <v>0</v>
      </c>
      <c r="W423" s="712">
        <v>0</v>
      </c>
      <c r="X423" s="712">
        <v>0</v>
      </c>
      <c r="Y423" s="712">
        <v>0</v>
      </c>
      <c r="Z423" s="712">
        <v>0</v>
      </c>
      <c r="AA423" s="712">
        <v>0</v>
      </c>
      <c r="AB423" s="712">
        <v>0</v>
      </c>
      <c r="AC423" s="712">
        <v>0</v>
      </c>
      <c r="AD423" s="712">
        <v>0</v>
      </c>
      <c r="AE423" s="712">
        <v>0</v>
      </c>
      <c r="AF423" s="712">
        <v>0</v>
      </c>
      <c r="AG423" s="712">
        <v>0</v>
      </c>
      <c r="AH423" s="712">
        <v>0</v>
      </c>
      <c r="AI423" s="712">
        <v>0</v>
      </c>
      <c r="AJ423" s="712">
        <v>0</v>
      </c>
      <c r="AK423" s="712">
        <v>0</v>
      </c>
      <c r="AL423" s="712">
        <v>0</v>
      </c>
      <c r="AM423" s="712">
        <v>0</v>
      </c>
      <c r="AN423" s="712">
        <v>0</v>
      </c>
      <c r="AO423" s="712">
        <v>0</v>
      </c>
      <c r="AP423" s="712">
        <v>0</v>
      </c>
      <c r="AQ423" s="712">
        <v>0</v>
      </c>
      <c r="AR423" s="712">
        <v>0</v>
      </c>
      <c r="AS423" s="712">
        <v>0</v>
      </c>
      <c r="AT423">
        <v>170215625</v>
      </c>
      <c r="AU423" s="615"/>
      <c r="AV423" s="615"/>
      <c r="AW423" s="615"/>
      <c r="AX423" s="615"/>
      <c r="AY423" s="615"/>
      <c r="AZ423" s="615"/>
      <c r="BA423" s="615"/>
      <c r="BB423" s="615"/>
      <c r="BC423" s="615"/>
      <c r="BD423" s="615"/>
      <c r="BE423" s="615"/>
      <c r="BF423" s="615"/>
      <c r="BG423" s="615"/>
      <c r="BH423" s="615"/>
      <c r="BI423" s="615"/>
      <c r="BJ423" s="615"/>
      <c r="BK423" s="615"/>
      <c r="BL423" s="615"/>
      <c r="BM423" s="615"/>
      <c r="BN423" s="615"/>
      <c r="BO423" s="615"/>
      <c r="BP423" s="615"/>
      <c r="BQ423" s="615"/>
      <c r="BR423" s="615"/>
      <c r="BS423" s="615"/>
      <c r="BT423" s="615"/>
      <c r="BU423" s="615"/>
      <c r="BV423" s="615"/>
      <c r="BW423" s="615"/>
      <c r="BX423" s="607"/>
    </row>
    <row r="424" spans="1:76" ht="25.5" x14ac:dyDescent="0.2">
      <c r="A424" s="839"/>
      <c r="B424" s="713" t="s">
        <v>3335</v>
      </c>
      <c r="C424" s="713" t="s">
        <v>4289</v>
      </c>
      <c r="D424" s="712">
        <v>0</v>
      </c>
      <c r="E424" s="712">
        <v>0</v>
      </c>
      <c r="F424" s="712">
        <v>0</v>
      </c>
      <c r="G424" s="712">
        <v>0</v>
      </c>
      <c r="H424" s="712">
        <v>0</v>
      </c>
      <c r="I424" s="712">
        <v>0</v>
      </c>
      <c r="J424" s="712">
        <v>0</v>
      </c>
      <c r="K424" s="712">
        <v>0</v>
      </c>
      <c r="L424" s="712">
        <v>0</v>
      </c>
      <c r="M424" s="712">
        <v>0</v>
      </c>
      <c r="N424" s="712">
        <v>0</v>
      </c>
      <c r="O424" s="712">
        <v>0</v>
      </c>
      <c r="P424" s="712">
        <v>0</v>
      </c>
      <c r="Q424" s="712">
        <v>0</v>
      </c>
      <c r="R424" s="712">
        <v>0</v>
      </c>
      <c r="S424" s="712">
        <v>0</v>
      </c>
      <c r="T424" s="712">
        <v>0</v>
      </c>
      <c r="U424" s="712">
        <v>0</v>
      </c>
      <c r="V424" s="712">
        <v>0</v>
      </c>
      <c r="W424" s="712">
        <v>0</v>
      </c>
      <c r="X424" s="712">
        <v>0</v>
      </c>
      <c r="Y424" s="712">
        <v>0</v>
      </c>
      <c r="Z424" s="712">
        <v>0</v>
      </c>
      <c r="AA424" s="712">
        <v>0</v>
      </c>
      <c r="AB424" s="712">
        <v>0</v>
      </c>
      <c r="AC424" s="712">
        <v>0</v>
      </c>
      <c r="AD424" s="712">
        <v>0</v>
      </c>
      <c r="AE424" s="712">
        <v>0</v>
      </c>
      <c r="AF424" s="712">
        <v>0</v>
      </c>
      <c r="AG424" s="712">
        <v>0</v>
      </c>
      <c r="AH424" s="712">
        <v>0</v>
      </c>
      <c r="AI424" s="712">
        <v>0</v>
      </c>
      <c r="AJ424" s="712">
        <v>0</v>
      </c>
      <c r="AK424" s="712">
        <v>0</v>
      </c>
      <c r="AL424" s="712">
        <v>0</v>
      </c>
      <c r="AM424" s="712">
        <v>0</v>
      </c>
      <c r="AN424" s="712">
        <v>0</v>
      </c>
      <c r="AO424" s="712">
        <v>0</v>
      </c>
      <c r="AP424" s="712">
        <v>0</v>
      </c>
      <c r="AQ424" s="712">
        <v>0</v>
      </c>
      <c r="AR424" s="712">
        <v>0</v>
      </c>
      <c r="AS424" s="712">
        <v>0</v>
      </c>
      <c r="AT424">
        <v>0</v>
      </c>
      <c r="AU424" s="615"/>
      <c r="AV424" s="615"/>
      <c r="AW424" s="615"/>
      <c r="AX424" s="615"/>
      <c r="AY424" s="615"/>
      <c r="AZ424" s="615"/>
      <c r="BA424" s="615"/>
      <c r="BB424" s="615"/>
      <c r="BC424" s="615"/>
      <c r="BD424" s="615"/>
      <c r="BE424" s="615"/>
      <c r="BF424" s="615"/>
      <c r="BG424" s="615"/>
      <c r="BH424" s="615"/>
      <c r="BI424" s="615"/>
      <c r="BJ424" s="615"/>
      <c r="BK424" s="615"/>
      <c r="BL424" s="615"/>
      <c r="BM424" s="615"/>
      <c r="BN424" s="615"/>
      <c r="BO424" s="615"/>
      <c r="BP424" s="615"/>
      <c r="BQ424" s="615"/>
      <c r="BR424" s="615"/>
      <c r="BS424" s="615"/>
      <c r="BT424" s="615"/>
      <c r="BU424" s="615"/>
      <c r="BV424" s="615"/>
      <c r="BW424" s="615"/>
      <c r="BX424" s="607"/>
    </row>
    <row r="425" spans="1:76" ht="25.5" x14ac:dyDescent="0.2">
      <c r="A425" s="839"/>
      <c r="B425" s="713" t="s">
        <v>3371</v>
      </c>
      <c r="C425" s="713" t="s">
        <v>3604</v>
      </c>
      <c r="D425" s="712">
        <v>0</v>
      </c>
      <c r="E425" s="712">
        <v>0</v>
      </c>
      <c r="F425" s="712">
        <v>0</v>
      </c>
      <c r="G425" s="712">
        <v>0</v>
      </c>
      <c r="H425" s="712">
        <v>0</v>
      </c>
      <c r="I425" s="712">
        <v>0</v>
      </c>
      <c r="J425" s="712">
        <v>0</v>
      </c>
      <c r="K425" s="712">
        <v>0</v>
      </c>
      <c r="L425" s="712">
        <v>0</v>
      </c>
      <c r="M425" s="712">
        <v>0</v>
      </c>
      <c r="N425" s="712">
        <v>0</v>
      </c>
      <c r="O425" s="712">
        <v>0</v>
      </c>
      <c r="P425" s="712">
        <v>0</v>
      </c>
      <c r="Q425" s="712">
        <v>0</v>
      </c>
      <c r="R425" s="712">
        <v>0</v>
      </c>
      <c r="S425" s="712">
        <v>3845165</v>
      </c>
      <c r="T425" s="712">
        <v>3845433</v>
      </c>
      <c r="U425" s="712">
        <v>3845433</v>
      </c>
      <c r="V425" s="712">
        <v>3845433</v>
      </c>
      <c r="W425" s="712">
        <v>3845433</v>
      </c>
      <c r="X425" s="712">
        <v>42299771</v>
      </c>
      <c r="Y425" s="712">
        <v>338020141</v>
      </c>
      <c r="Z425" s="712">
        <v>0</v>
      </c>
      <c r="AA425" s="712">
        <v>0</v>
      </c>
      <c r="AB425" s="712">
        <v>0</v>
      </c>
      <c r="AC425" s="712">
        <v>0</v>
      </c>
      <c r="AD425" s="712">
        <v>0</v>
      </c>
      <c r="AE425" s="712">
        <v>0</v>
      </c>
      <c r="AF425" s="712">
        <v>0</v>
      </c>
      <c r="AG425" s="712">
        <v>0</v>
      </c>
      <c r="AH425" s="712">
        <v>0</v>
      </c>
      <c r="AI425" s="712">
        <v>0</v>
      </c>
      <c r="AJ425" s="712">
        <v>0</v>
      </c>
      <c r="AK425" s="712">
        <v>0</v>
      </c>
      <c r="AL425" s="712">
        <v>0</v>
      </c>
      <c r="AM425" s="712">
        <v>0</v>
      </c>
      <c r="AN425" s="712">
        <v>0</v>
      </c>
      <c r="AO425" s="712">
        <v>0</v>
      </c>
      <c r="AP425" s="712">
        <v>0</v>
      </c>
      <c r="AQ425" s="712">
        <v>0</v>
      </c>
      <c r="AR425" s="712">
        <v>0</v>
      </c>
      <c r="AS425" s="712">
        <v>0</v>
      </c>
      <c r="AT425">
        <v>399546809</v>
      </c>
      <c r="AU425" s="615"/>
      <c r="AV425" s="615"/>
      <c r="AW425" s="615"/>
      <c r="AX425" s="615"/>
      <c r="AY425" s="615"/>
      <c r="AZ425" s="615"/>
      <c r="BA425" s="615"/>
      <c r="BB425" s="615"/>
      <c r="BC425" s="615"/>
      <c r="BD425" s="615"/>
      <c r="BE425" s="615"/>
      <c r="BF425" s="615"/>
      <c r="BG425" s="615"/>
      <c r="BH425" s="615"/>
      <c r="BI425" s="615"/>
      <c r="BJ425" s="615"/>
      <c r="BK425" s="615"/>
      <c r="BL425" s="615"/>
      <c r="BM425" s="615"/>
      <c r="BN425" s="615"/>
      <c r="BO425" s="615"/>
      <c r="BP425" s="615"/>
      <c r="BQ425" s="615"/>
      <c r="BR425" s="615"/>
      <c r="BS425" s="615"/>
      <c r="BT425" s="615"/>
      <c r="BU425" s="615"/>
      <c r="BV425" s="615"/>
      <c r="BW425" s="615"/>
      <c r="BX425" s="607"/>
    </row>
    <row r="426" spans="1:76" ht="25.5" x14ac:dyDescent="0.2">
      <c r="A426" s="839"/>
      <c r="B426" s="713" t="s">
        <v>2250</v>
      </c>
      <c r="C426" s="713" t="s">
        <v>3597</v>
      </c>
      <c r="D426" s="712">
        <v>0</v>
      </c>
      <c r="E426" s="712">
        <v>0</v>
      </c>
      <c r="F426" s="712">
        <v>0</v>
      </c>
      <c r="G426" s="712">
        <v>0</v>
      </c>
      <c r="H426" s="712">
        <v>0</v>
      </c>
      <c r="I426" s="712">
        <v>0</v>
      </c>
      <c r="J426" s="712">
        <v>0</v>
      </c>
      <c r="K426" s="712">
        <v>0</v>
      </c>
      <c r="L426" s="712">
        <v>0</v>
      </c>
      <c r="M426" s="712">
        <v>0</v>
      </c>
      <c r="N426" s="712">
        <v>0</v>
      </c>
      <c r="O426" s="712">
        <v>0</v>
      </c>
      <c r="P426" s="712">
        <v>0</v>
      </c>
      <c r="Q426" s="712">
        <v>0</v>
      </c>
      <c r="R426" s="712">
        <v>0</v>
      </c>
      <c r="S426" s="712">
        <v>0</v>
      </c>
      <c r="T426" s="712">
        <v>0</v>
      </c>
      <c r="U426" s="712">
        <v>0</v>
      </c>
      <c r="V426" s="712">
        <v>0</v>
      </c>
      <c r="W426" s="712">
        <v>0</v>
      </c>
      <c r="X426" s="712">
        <v>0</v>
      </c>
      <c r="Y426" s="712">
        <v>0</v>
      </c>
      <c r="Z426" s="712">
        <v>0</v>
      </c>
      <c r="AA426" s="712">
        <v>0</v>
      </c>
      <c r="AB426" s="712">
        <v>0</v>
      </c>
      <c r="AC426" s="712">
        <v>0</v>
      </c>
      <c r="AD426" s="712">
        <v>0</v>
      </c>
      <c r="AE426" s="712">
        <v>0</v>
      </c>
      <c r="AF426" s="712">
        <v>0</v>
      </c>
      <c r="AG426" s="712">
        <v>0</v>
      </c>
      <c r="AH426" s="712">
        <v>0</v>
      </c>
      <c r="AI426" s="712">
        <v>0</v>
      </c>
      <c r="AJ426" s="712">
        <v>0</v>
      </c>
      <c r="AK426" s="712">
        <v>0</v>
      </c>
      <c r="AL426" s="712">
        <v>0</v>
      </c>
      <c r="AM426" s="712">
        <v>0</v>
      </c>
      <c r="AN426" s="712">
        <v>0</v>
      </c>
      <c r="AO426" s="712">
        <v>0</v>
      </c>
      <c r="AP426" s="712">
        <v>0</v>
      </c>
      <c r="AQ426" s="712">
        <v>0</v>
      </c>
      <c r="AR426" s="712">
        <v>0</v>
      </c>
      <c r="AS426" s="712">
        <v>0</v>
      </c>
      <c r="AT426">
        <v>0</v>
      </c>
      <c r="AU426" s="615"/>
      <c r="AV426" s="615"/>
      <c r="AW426" s="615"/>
      <c r="AX426" s="615"/>
      <c r="AY426" s="615"/>
      <c r="AZ426" s="615"/>
      <c r="BA426" s="615"/>
      <c r="BB426" s="615"/>
      <c r="BC426" s="615"/>
      <c r="BD426" s="615"/>
      <c r="BE426" s="615"/>
      <c r="BF426" s="615"/>
      <c r="BG426" s="615"/>
      <c r="BH426" s="615"/>
      <c r="BI426" s="615"/>
      <c r="BJ426" s="615"/>
      <c r="BK426" s="615"/>
      <c r="BL426" s="615"/>
      <c r="BM426" s="615"/>
      <c r="BN426" s="615"/>
      <c r="BO426" s="615"/>
      <c r="BP426" s="615"/>
      <c r="BQ426" s="615"/>
      <c r="BR426" s="615"/>
      <c r="BS426" s="615"/>
      <c r="BT426" s="615"/>
      <c r="BU426" s="615"/>
      <c r="BV426" s="615"/>
      <c r="BW426" s="615"/>
      <c r="BX426" s="607"/>
    </row>
    <row r="427" spans="1:76" ht="25.5" x14ac:dyDescent="0.2">
      <c r="A427" s="839"/>
      <c r="B427" s="713" t="s">
        <v>1172</v>
      </c>
      <c r="C427" s="713" t="s">
        <v>3545</v>
      </c>
      <c r="D427" s="712">
        <v>0</v>
      </c>
      <c r="E427" s="712">
        <v>0</v>
      </c>
      <c r="F427" s="712">
        <v>0</v>
      </c>
      <c r="G427" s="712">
        <v>0</v>
      </c>
      <c r="H427" s="712">
        <v>0</v>
      </c>
      <c r="I427" s="712">
        <v>0</v>
      </c>
      <c r="J427" s="712">
        <v>0</v>
      </c>
      <c r="K427" s="712">
        <v>0</v>
      </c>
      <c r="L427" s="712">
        <v>0</v>
      </c>
      <c r="M427" s="712">
        <v>0</v>
      </c>
      <c r="N427" s="712">
        <v>0</v>
      </c>
      <c r="O427" s="712">
        <v>0</v>
      </c>
      <c r="P427" s="712">
        <v>0</v>
      </c>
      <c r="Q427" s="712">
        <v>0</v>
      </c>
      <c r="R427" s="712">
        <v>0</v>
      </c>
      <c r="S427" s="712">
        <v>0</v>
      </c>
      <c r="T427" s="712">
        <v>0</v>
      </c>
      <c r="U427" s="712">
        <v>0</v>
      </c>
      <c r="V427" s="712">
        <v>0</v>
      </c>
      <c r="W427" s="712">
        <v>0</v>
      </c>
      <c r="X427" s="712">
        <v>0</v>
      </c>
      <c r="Y427" s="712">
        <v>0</v>
      </c>
      <c r="Z427" s="712">
        <v>0</v>
      </c>
      <c r="AA427" s="712">
        <v>0</v>
      </c>
      <c r="AB427" s="712">
        <v>0</v>
      </c>
      <c r="AC427" s="712">
        <v>0</v>
      </c>
      <c r="AD427" s="712">
        <v>0</v>
      </c>
      <c r="AE427" s="712">
        <v>0</v>
      </c>
      <c r="AF427" s="712">
        <v>0</v>
      </c>
      <c r="AG427" s="712">
        <v>0</v>
      </c>
      <c r="AH427" s="712">
        <v>0</v>
      </c>
      <c r="AI427" s="712">
        <v>0</v>
      </c>
      <c r="AJ427" s="712">
        <v>0</v>
      </c>
      <c r="AK427" s="712">
        <v>0</v>
      </c>
      <c r="AL427" s="712">
        <v>0</v>
      </c>
      <c r="AM427" s="712">
        <v>0</v>
      </c>
      <c r="AN427" s="712">
        <v>0</v>
      </c>
      <c r="AO427" s="712">
        <v>0</v>
      </c>
      <c r="AP427" s="712">
        <v>0</v>
      </c>
      <c r="AQ427" s="712">
        <v>0</v>
      </c>
      <c r="AR427" s="712">
        <v>0</v>
      </c>
      <c r="AS427" s="712">
        <v>0</v>
      </c>
      <c r="AT427">
        <v>0</v>
      </c>
      <c r="AU427" s="615"/>
      <c r="AV427" s="615"/>
      <c r="AW427" s="615"/>
      <c r="AX427" s="615"/>
      <c r="AY427" s="615"/>
      <c r="AZ427" s="615"/>
      <c r="BA427" s="615"/>
      <c r="BB427" s="615"/>
      <c r="BC427" s="615"/>
      <c r="BD427" s="615"/>
      <c r="BE427" s="615"/>
      <c r="BF427" s="615"/>
      <c r="BG427" s="615"/>
      <c r="BH427" s="615"/>
      <c r="BI427" s="615"/>
      <c r="BJ427" s="615"/>
      <c r="BK427" s="615"/>
      <c r="BL427" s="615"/>
      <c r="BM427" s="615"/>
      <c r="BN427" s="615"/>
      <c r="BO427" s="615"/>
      <c r="BP427" s="615"/>
      <c r="BQ427" s="615"/>
      <c r="BR427" s="615"/>
      <c r="BS427" s="615"/>
      <c r="BT427" s="615"/>
      <c r="BU427" s="615"/>
      <c r="BV427" s="615"/>
      <c r="BW427" s="615"/>
      <c r="BX427" s="607"/>
    </row>
    <row r="428" spans="1:76" ht="25.5" x14ac:dyDescent="0.2">
      <c r="A428" s="839"/>
      <c r="B428" s="713" t="s">
        <v>1149</v>
      </c>
      <c r="C428" s="713" t="s">
        <v>3576</v>
      </c>
      <c r="D428" s="712">
        <v>0</v>
      </c>
      <c r="E428" s="712">
        <v>0</v>
      </c>
      <c r="F428" s="712">
        <v>0</v>
      </c>
      <c r="G428" s="712">
        <v>0</v>
      </c>
      <c r="H428" s="712">
        <v>0</v>
      </c>
      <c r="I428" s="712">
        <v>0</v>
      </c>
      <c r="J428" s="712">
        <v>0</v>
      </c>
      <c r="K428" s="712">
        <v>0</v>
      </c>
      <c r="L428" s="712">
        <v>0</v>
      </c>
      <c r="M428" s="712">
        <v>0</v>
      </c>
      <c r="N428" s="712">
        <v>0</v>
      </c>
      <c r="O428" s="712">
        <v>0</v>
      </c>
      <c r="P428" s="712">
        <v>226316549</v>
      </c>
      <c r="Q428" s="712">
        <v>0</v>
      </c>
      <c r="R428" s="712">
        <v>0</v>
      </c>
      <c r="S428" s="712">
        <v>0</v>
      </c>
      <c r="T428" s="712">
        <v>0</v>
      </c>
      <c r="U428" s="712">
        <v>0</v>
      </c>
      <c r="V428" s="712">
        <v>0</v>
      </c>
      <c r="W428" s="712">
        <v>0</v>
      </c>
      <c r="X428" s="712">
        <v>0</v>
      </c>
      <c r="Y428" s="712">
        <v>0</v>
      </c>
      <c r="Z428" s="712">
        <v>0</v>
      </c>
      <c r="AA428" s="712">
        <v>0</v>
      </c>
      <c r="AB428" s="712">
        <v>0</v>
      </c>
      <c r="AC428" s="712">
        <v>0</v>
      </c>
      <c r="AD428" s="712">
        <v>0</v>
      </c>
      <c r="AE428" s="712">
        <v>0</v>
      </c>
      <c r="AF428" s="712">
        <v>0</v>
      </c>
      <c r="AG428" s="712">
        <v>0</v>
      </c>
      <c r="AH428" s="712">
        <v>0</v>
      </c>
      <c r="AI428" s="712">
        <v>0</v>
      </c>
      <c r="AJ428" s="712">
        <v>0</v>
      </c>
      <c r="AK428" s="712">
        <v>0</v>
      </c>
      <c r="AL428" s="712">
        <v>0</v>
      </c>
      <c r="AM428" s="712">
        <v>0</v>
      </c>
      <c r="AN428" s="712">
        <v>0</v>
      </c>
      <c r="AO428" s="712">
        <v>0</v>
      </c>
      <c r="AP428" s="712">
        <v>0</v>
      </c>
      <c r="AQ428" s="712">
        <v>0</v>
      </c>
      <c r="AR428" s="712">
        <v>0</v>
      </c>
      <c r="AS428" s="712">
        <v>0</v>
      </c>
      <c r="AT428">
        <v>226316549</v>
      </c>
      <c r="AU428" s="615"/>
      <c r="AV428" s="615"/>
      <c r="AW428" s="615"/>
      <c r="AX428" s="615"/>
      <c r="AY428" s="615"/>
      <c r="AZ428" s="615"/>
      <c r="BA428" s="615"/>
      <c r="BB428" s="615"/>
      <c r="BC428" s="615"/>
      <c r="BD428" s="615"/>
      <c r="BE428" s="615"/>
      <c r="BF428" s="615"/>
      <c r="BG428" s="615"/>
      <c r="BH428" s="615"/>
      <c r="BI428" s="615"/>
      <c r="BJ428" s="615"/>
      <c r="BK428" s="615"/>
      <c r="BL428" s="615"/>
      <c r="BM428" s="615"/>
      <c r="BN428" s="615"/>
      <c r="BO428" s="615"/>
      <c r="BP428" s="615"/>
      <c r="BQ428" s="615"/>
      <c r="BR428" s="615"/>
      <c r="BS428" s="615"/>
      <c r="BT428" s="615"/>
      <c r="BU428" s="615"/>
      <c r="BV428" s="615"/>
      <c r="BW428" s="615"/>
      <c r="BX428" s="607"/>
    </row>
    <row r="429" spans="1:76" ht="12.75" x14ac:dyDescent="0.2">
      <c r="A429" s="839"/>
      <c r="B429" s="713" t="s">
        <v>3280</v>
      </c>
      <c r="C429" s="713" t="s">
        <v>3594</v>
      </c>
      <c r="D429" s="712">
        <v>0</v>
      </c>
      <c r="E429" s="712">
        <v>0</v>
      </c>
      <c r="F429" s="712">
        <v>0</v>
      </c>
      <c r="G429" s="712">
        <v>0</v>
      </c>
      <c r="H429" s="712">
        <v>0</v>
      </c>
      <c r="I429" s="712">
        <v>0</v>
      </c>
      <c r="J429" s="712">
        <v>0</v>
      </c>
      <c r="K429" s="712">
        <v>0</v>
      </c>
      <c r="L429" s="712">
        <v>0</v>
      </c>
      <c r="M429" s="712">
        <v>0</v>
      </c>
      <c r="N429" s="712">
        <v>0</v>
      </c>
      <c r="O429" s="712">
        <v>0</v>
      </c>
      <c r="P429" s="712">
        <v>0</v>
      </c>
      <c r="Q429" s="712">
        <v>0</v>
      </c>
      <c r="R429" s="712">
        <v>0</v>
      </c>
      <c r="S429" s="712">
        <v>0</v>
      </c>
      <c r="T429" s="712">
        <v>2</v>
      </c>
      <c r="U429" s="712">
        <v>443565194</v>
      </c>
      <c r="V429" s="712">
        <v>0</v>
      </c>
      <c r="W429" s="712">
        <v>0</v>
      </c>
      <c r="X429" s="712">
        <v>0</v>
      </c>
      <c r="Y429" s="712">
        <v>0</v>
      </c>
      <c r="Z429" s="712">
        <v>0</v>
      </c>
      <c r="AA429" s="712">
        <v>0</v>
      </c>
      <c r="AB429" s="712">
        <v>0</v>
      </c>
      <c r="AC429" s="712">
        <v>0</v>
      </c>
      <c r="AD429" s="712">
        <v>0</v>
      </c>
      <c r="AE429" s="712">
        <v>0</v>
      </c>
      <c r="AF429" s="712">
        <v>0</v>
      </c>
      <c r="AG429" s="712">
        <v>0</v>
      </c>
      <c r="AH429" s="712">
        <v>0</v>
      </c>
      <c r="AI429" s="712">
        <v>0</v>
      </c>
      <c r="AJ429" s="712">
        <v>0</v>
      </c>
      <c r="AK429" s="712">
        <v>0</v>
      </c>
      <c r="AL429" s="712">
        <v>0</v>
      </c>
      <c r="AM429" s="712">
        <v>0</v>
      </c>
      <c r="AN429" s="712">
        <v>0</v>
      </c>
      <c r="AO429" s="712">
        <v>0</v>
      </c>
      <c r="AP429" s="712">
        <v>0</v>
      </c>
      <c r="AQ429" s="712">
        <v>0</v>
      </c>
      <c r="AR429" s="712">
        <v>0</v>
      </c>
      <c r="AS429" s="712">
        <v>0</v>
      </c>
      <c r="AT429">
        <v>443565196</v>
      </c>
      <c r="AU429" s="615"/>
      <c r="AV429" s="615"/>
      <c r="AW429" s="615"/>
      <c r="AX429" s="615"/>
      <c r="AY429" s="615"/>
      <c r="AZ429" s="615"/>
      <c r="BA429" s="615"/>
      <c r="BB429" s="615"/>
      <c r="BC429" s="615"/>
      <c r="BD429" s="615"/>
      <c r="BE429" s="615"/>
      <c r="BF429" s="615"/>
      <c r="BG429" s="615"/>
      <c r="BH429" s="615"/>
      <c r="BI429" s="615"/>
      <c r="BJ429" s="615"/>
      <c r="BK429" s="615"/>
      <c r="BL429" s="615"/>
      <c r="BM429" s="615"/>
      <c r="BN429" s="615"/>
      <c r="BO429" s="615"/>
      <c r="BP429" s="615"/>
      <c r="BQ429" s="615"/>
      <c r="BR429" s="615"/>
      <c r="BS429" s="615"/>
      <c r="BT429" s="615"/>
      <c r="BU429" s="615"/>
      <c r="BV429" s="615"/>
      <c r="BW429" s="615"/>
      <c r="BX429" s="607"/>
    </row>
    <row r="430" spans="1:76" ht="25.5" x14ac:dyDescent="0.2">
      <c r="A430" s="839"/>
      <c r="B430" s="713" t="s">
        <v>1125</v>
      </c>
      <c r="C430" s="713" t="s">
        <v>3601</v>
      </c>
      <c r="D430" s="712">
        <v>0</v>
      </c>
      <c r="E430" s="712">
        <v>0</v>
      </c>
      <c r="F430" s="712">
        <v>0</v>
      </c>
      <c r="G430" s="712">
        <v>0</v>
      </c>
      <c r="H430" s="712">
        <v>0</v>
      </c>
      <c r="I430" s="712">
        <v>0</v>
      </c>
      <c r="J430" s="712">
        <v>0</v>
      </c>
      <c r="K430" s="712">
        <v>0</v>
      </c>
      <c r="L430" s="712">
        <v>0</v>
      </c>
      <c r="M430" s="712">
        <v>0</v>
      </c>
      <c r="N430" s="712">
        <v>0</v>
      </c>
      <c r="O430" s="712">
        <v>0</v>
      </c>
      <c r="P430" s="712">
        <v>0</v>
      </c>
      <c r="Q430" s="712">
        <v>0</v>
      </c>
      <c r="R430" s="712">
        <v>225070461</v>
      </c>
      <c r="S430" s="712">
        <v>0</v>
      </c>
      <c r="T430" s="712">
        <v>0</v>
      </c>
      <c r="U430" s="712">
        <v>0</v>
      </c>
      <c r="V430" s="712">
        <v>0</v>
      </c>
      <c r="W430" s="712">
        <v>0</v>
      </c>
      <c r="X430" s="712">
        <v>0</v>
      </c>
      <c r="Y430" s="712">
        <v>0</v>
      </c>
      <c r="Z430" s="712">
        <v>0</v>
      </c>
      <c r="AA430" s="712">
        <v>0</v>
      </c>
      <c r="AB430" s="712">
        <v>0</v>
      </c>
      <c r="AC430" s="712">
        <v>0</v>
      </c>
      <c r="AD430" s="712">
        <v>0</v>
      </c>
      <c r="AE430" s="712">
        <v>0</v>
      </c>
      <c r="AF430" s="712">
        <v>0</v>
      </c>
      <c r="AG430" s="712">
        <v>0</v>
      </c>
      <c r="AH430" s="712">
        <v>0</v>
      </c>
      <c r="AI430" s="712">
        <v>0</v>
      </c>
      <c r="AJ430" s="712">
        <v>0</v>
      </c>
      <c r="AK430" s="712">
        <v>0</v>
      </c>
      <c r="AL430" s="712">
        <v>0</v>
      </c>
      <c r="AM430" s="712">
        <v>0</v>
      </c>
      <c r="AN430" s="712">
        <v>0</v>
      </c>
      <c r="AO430" s="712">
        <v>0</v>
      </c>
      <c r="AP430" s="712">
        <v>0</v>
      </c>
      <c r="AQ430" s="712">
        <v>0</v>
      </c>
      <c r="AR430" s="712">
        <v>0</v>
      </c>
      <c r="AS430" s="712">
        <v>0</v>
      </c>
      <c r="AT430">
        <v>225070461</v>
      </c>
      <c r="AU430" s="615"/>
      <c r="AV430" s="615"/>
      <c r="AW430" s="615"/>
      <c r="AX430" s="615"/>
      <c r="AY430" s="615"/>
      <c r="AZ430" s="615"/>
      <c r="BA430" s="615"/>
      <c r="BB430" s="615"/>
      <c r="BC430" s="615"/>
      <c r="BD430" s="615"/>
      <c r="BE430" s="615"/>
      <c r="BF430" s="615"/>
      <c r="BG430" s="615"/>
      <c r="BH430" s="615"/>
      <c r="BI430" s="615"/>
      <c r="BJ430" s="615"/>
      <c r="BK430" s="615"/>
      <c r="BL430" s="615"/>
      <c r="BM430" s="615"/>
      <c r="BN430" s="615"/>
      <c r="BO430" s="615"/>
      <c r="BP430" s="615"/>
      <c r="BQ430" s="615"/>
      <c r="BR430" s="615"/>
      <c r="BS430" s="615"/>
      <c r="BT430" s="615"/>
      <c r="BU430" s="615"/>
      <c r="BV430" s="615"/>
      <c r="BW430" s="615"/>
      <c r="BX430" s="607"/>
    </row>
    <row r="431" spans="1:76" ht="25.5" x14ac:dyDescent="0.2">
      <c r="A431" s="839"/>
      <c r="B431" s="713" t="s">
        <v>1226</v>
      </c>
      <c r="C431" s="713" t="s">
        <v>3550</v>
      </c>
      <c r="D431" s="712">
        <v>0</v>
      </c>
      <c r="E431" s="712">
        <v>0</v>
      </c>
      <c r="F431" s="712">
        <v>0</v>
      </c>
      <c r="G431" s="712">
        <v>0</v>
      </c>
      <c r="H431" s="712">
        <v>0</v>
      </c>
      <c r="I431" s="712">
        <v>0</v>
      </c>
      <c r="J431" s="712">
        <v>0</v>
      </c>
      <c r="K431" s="712">
        <v>0</v>
      </c>
      <c r="L431" s="712">
        <v>0</v>
      </c>
      <c r="M431" s="712">
        <v>0</v>
      </c>
      <c r="N431" s="712">
        <v>0</v>
      </c>
      <c r="O431" s="712">
        <v>0</v>
      </c>
      <c r="P431" s="712">
        <v>0</v>
      </c>
      <c r="Q431" s="712">
        <v>0</v>
      </c>
      <c r="R431" s="712">
        <v>231834400</v>
      </c>
      <c r="S431" s="712">
        <v>0</v>
      </c>
      <c r="T431" s="712">
        <v>0</v>
      </c>
      <c r="U431" s="712">
        <v>0</v>
      </c>
      <c r="V431" s="712">
        <v>0</v>
      </c>
      <c r="W431" s="712">
        <v>0</v>
      </c>
      <c r="X431" s="712">
        <v>0</v>
      </c>
      <c r="Y431" s="712">
        <v>0</v>
      </c>
      <c r="Z431" s="712">
        <v>0</v>
      </c>
      <c r="AA431" s="712">
        <v>0</v>
      </c>
      <c r="AB431" s="712">
        <v>0</v>
      </c>
      <c r="AC431" s="712">
        <v>0</v>
      </c>
      <c r="AD431" s="712">
        <v>0</v>
      </c>
      <c r="AE431" s="712">
        <v>0</v>
      </c>
      <c r="AF431" s="712">
        <v>0</v>
      </c>
      <c r="AG431" s="712">
        <v>0</v>
      </c>
      <c r="AH431" s="712">
        <v>0</v>
      </c>
      <c r="AI431" s="712">
        <v>0</v>
      </c>
      <c r="AJ431" s="712">
        <v>0</v>
      </c>
      <c r="AK431" s="712">
        <v>0</v>
      </c>
      <c r="AL431" s="712">
        <v>0</v>
      </c>
      <c r="AM431" s="712">
        <v>0</v>
      </c>
      <c r="AN431" s="712">
        <v>0</v>
      </c>
      <c r="AO431" s="712">
        <v>0</v>
      </c>
      <c r="AP431" s="712">
        <v>0</v>
      </c>
      <c r="AQ431" s="712">
        <v>0</v>
      </c>
      <c r="AR431" s="712">
        <v>0</v>
      </c>
      <c r="AS431" s="712">
        <v>0</v>
      </c>
      <c r="AT431">
        <v>231834389</v>
      </c>
      <c r="AU431" s="615"/>
      <c r="AV431" s="615"/>
      <c r="AW431" s="615"/>
      <c r="AX431" s="615"/>
      <c r="AY431" s="615"/>
      <c r="AZ431" s="615"/>
      <c r="BA431" s="615"/>
      <c r="BB431" s="615"/>
      <c r="BC431" s="615"/>
      <c r="BD431" s="615"/>
      <c r="BE431" s="615"/>
      <c r="BF431" s="615"/>
      <c r="BG431" s="615"/>
      <c r="BH431" s="615"/>
      <c r="BI431" s="615"/>
      <c r="BJ431" s="615"/>
      <c r="BK431" s="615"/>
      <c r="BL431" s="615"/>
      <c r="BM431" s="615"/>
      <c r="BN431" s="615"/>
      <c r="BO431" s="615"/>
      <c r="BP431" s="615"/>
      <c r="BQ431" s="615"/>
      <c r="BR431" s="615"/>
      <c r="BS431" s="615"/>
      <c r="BT431" s="615"/>
      <c r="BU431" s="615"/>
      <c r="BV431" s="615"/>
      <c r="BW431" s="615"/>
      <c r="BX431" s="607"/>
    </row>
    <row r="432" spans="1:76" ht="25.5" x14ac:dyDescent="0.2">
      <c r="A432" s="839"/>
      <c r="B432" s="713" t="s">
        <v>3553</v>
      </c>
      <c r="C432" s="713" t="s">
        <v>3552</v>
      </c>
      <c r="D432" s="712">
        <v>0</v>
      </c>
      <c r="E432" s="712">
        <v>0</v>
      </c>
      <c r="F432" s="712">
        <v>0</v>
      </c>
      <c r="G432" s="712">
        <v>0</v>
      </c>
      <c r="H432" s="712">
        <v>0</v>
      </c>
      <c r="I432" s="712">
        <v>0</v>
      </c>
      <c r="J432" s="712">
        <v>0</v>
      </c>
      <c r="K432" s="712">
        <v>0</v>
      </c>
      <c r="L432" s="712">
        <v>0</v>
      </c>
      <c r="M432" s="712">
        <v>0</v>
      </c>
      <c r="N432" s="712">
        <v>0</v>
      </c>
      <c r="O432" s="712">
        <v>0</v>
      </c>
      <c r="P432" s="712">
        <v>0</v>
      </c>
      <c r="Q432" s="712">
        <v>0</v>
      </c>
      <c r="R432" s="712">
        <v>0</v>
      </c>
      <c r="S432" s="712">
        <v>0</v>
      </c>
      <c r="T432" s="712">
        <v>11198221</v>
      </c>
      <c r="U432" s="712">
        <v>11198222</v>
      </c>
      <c r="V432" s="712">
        <v>11198222</v>
      </c>
      <c r="W432" s="712">
        <v>11198222</v>
      </c>
      <c r="X432" s="712">
        <v>11198224</v>
      </c>
      <c r="Y432" s="712">
        <v>423136000</v>
      </c>
      <c r="Z432" s="712">
        <v>0</v>
      </c>
      <c r="AA432" s="712">
        <v>0</v>
      </c>
      <c r="AB432" s="712">
        <v>0</v>
      </c>
      <c r="AC432" s="712">
        <v>0</v>
      </c>
      <c r="AD432" s="712">
        <v>0</v>
      </c>
      <c r="AE432" s="712">
        <v>0</v>
      </c>
      <c r="AF432" s="712">
        <v>0</v>
      </c>
      <c r="AG432" s="712">
        <v>0</v>
      </c>
      <c r="AH432" s="712">
        <v>0</v>
      </c>
      <c r="AI432" s="712">
        <v>0</v>
      </c>
      <c r="AJ432" s="712">
        <v>0</v>
      </c>
      <c r="AK432" s="712">
        <v>0</v>
      </c>
      <c r="AL432" s="712">
        <v>0</v>
      </c>
      <c r="AM432" s="712">
        <v>0</v>
      </c>
      <c r="AN432" s="712">
        <v>0</v>
      </c>
      <c r="AO432" s="712">
        <v>0</v>
      </c>
      <c r="AP432" s="712">
        <v>0</v>
      </c>
      <c r="AQ432" s="712">
        <v>0</v>
      </c>
      <c r="AR432" s="712">
        <v>0</v>
      </c>
      <c r="AS432" s="712">
        <v>0</v>
      </c>
      <c r="AT432">
        <v>479127111</v>
      </c>
      <c r="AU432" s="615"/>
      <c r="AV432" s="615"/>
      <c r="AW432" s="615"/>
      <c r="AX432" s="615"/>
      <c r="AY432" s="615"/>
      <c r="AZ432" s="615"/>
      <c r="BA432" s="615"/>
      <c r="BB432" s="615"/>
      <c r="BC432" s="615"/>
      <c r="BD432" s="615"/>
      <c r="BE432" s="615"/>
      <c r="BF432" s="615"/>
      <c r="BG432" s="615"/>
      <c r="BH432" s="615"/>
      <c r="BI432" s="615"/>
      <c r="BJ432" s="615"/>
      <c r="BK432" s="615"/>
      <c r="BL432" s="615"/>
      <c r="BM432" s="615"/>
      <c r="BN432" s="615"/>
      <c r="BO432" s="615"/>
      <c r="BP432" s="615"/>
      <c r="BQ432" s="615"/>
      <c r="BR432" s="615"/>
      <c r="BS432" s="615"/>
      <c r="BT432" s="615"/>
      <c r="BU432" s="615"/>
      <c r="BV432" s="615"/>
      <c r="BW432" s="615"/>
      <c r="BX432" s="607"/>
    </row>
    <row r="433" spans="1:76" ht="25.5" x14ac:dyDescent="0.2">
      <c r="A433" s="839"/>
      <c r="B433" s="713" t="s">
        <v>1118</v>
      </c>
      <c r="C433" s="713" t="s">
        <v>3531</v>
      </c>
      <c r="D433" s="712">
        <v>0</v>
      </c>
      <c r="E433" s="712">
        <v>0</v>
      </c>
      <c r="F433" s="712">
        <v>0</v>
      </c>
      <c r="G433" s="712">
        <v>0</v>
      </c>
      <c r="H433" s="712">
        <v>0</v>
      </c>
      <c r="I433" s="712">
        <v>0</v>
      </c>
      <c r="J433" s="712">
        <v>0</v>
      </c>
      <c r="K433" s="712">
        <v>0</v>
      </c>
      <c r="L433" s="712">
        <v>0</v>
      </c>
      <c r="M433" s="712">
        <v>0</v>
      </c>
      <c r="N433" s="712">
        <v>0</v>
      </c>
      <c r="O433" s="712">
        <v>0</v>
      </c>
      <c r="P433" s="712">
        <v>0</v>
      </c>
      <c r="Q433" s="712">
        <v>0</v>
      </c>
      <c r="R433" s="712">
        <v>257156200</v>
      </c>
      <c r="S433" s="712">
        <v>0</v>
      </c>
      <c r="T433" s="712">
        <v>0</v>
      </c>
      <c r="U433" s="712">
        <v>0</v>
      </c>
      <c r="V433" s="712">
        <v>0</v>
      </c>
      <c r="W433" s="712">
        <v>0</v>
      </c>
      <c r="X433" s="712">
        <v>0</v>
      </c>
      <c r="Y433" s="712">
        <v>0</v>
      </c>
      <c r="Z433" s="712">
        <v>0</v>
      </c>
      <c r="AA433" s="712">
        <v>0</v>
      </c>
      <c r="AB433" s="712">
        <v>0</v>
      </c>
      <c r="AC433" s="712">
        <v>0</v>
      </c>
      <c r="AD433" s="712">
        <v>0</v>
      </c>
      <c r="AE433" s="712">
        <v>0</v>
      </c>
      <c r="AF433" s="712">
        <v>0</v>
      </c>
      <c r="AG433" s="712">
        <v>0</v>
      </c>
      <c r="AH433" s="712">
        <v>0</v>
      </c>
      <c r="AI433" s="712">
        <v>0</v>
      </c>
      <c r="AJ433" s="712">
        <v>0</v>
      </c>
      <c r="AK433" s="712">
        <v>0</v>
      </c>
      <c r="AL433" s="712">
        <v>0</v>
      </c>
      <c r="AM433" s="712">
        <v>0</v>
      </c>
      <c r="AN433" s="712">
        <v>0</v>
      </c>
      <c r="AO433" s="712">
        <v>0</v>
      </c>
      <c r="AP433" s="712">
        <v>0</v>
      </c>
      <c r="AQ433" s="712">
        <v>0</v>
      </c>
      <c r="AR433" s="712">
        <v>0</v>
      </c>
      <c r="AS433" s="712">
        <v>0</v>
      </c>
      <c r="AT433">
        <v>257156200</v>
      </c>
      <c r="AU433" s="615"/>
      <c r="AV433" s="615"/>
      <c r="AW433" s="615"/>
      <c r="AX433" s="615"/>
      <c r="AY433" s="615"/>
      <c r="AZ433" s="615"/>
      <c r="BA433" s="615"/>
      <c r="BB433" s="615"/>
      <c r="BC433" s="615"/>
      <c r="BD433" s="615"/>
      <c r="BE433" s="615"/>
      <c r="BF433" s="615"/>
      <c r="BG433" s="615"/>
      <c r="BH433" s="615"/>
      <c r="BI433" s="615"/>
      <c r="BJ433" s="615"/>
      <c r="BK433" s="615"/>
      <c r="BL433" s="615"/>
      <c r="BM433" s="615"/>
      <c r="BN433" s="615"/>
      <c r="BO433" s="615"/>
      <c r="BP433" s="615"/>
      <c r="BQ433" s="615"/>
      <c r="BR433" s="615"/>
      <c r="BS433" s="615"/>
      <c r="BT433" s="615"/>
      <c r="BU433" s="615"/>
      <c r="BV433" s="615"/>
      <c r="BW433" s="615"/>
      <c r="BX433" s="607"/>
    </row>
    <row r="434" spans="1:76" ht="25.5" x14ac:dyDescent="0.2">
      <c r="A434" s="839"/>
      <c r="B434" s="713" t="s">
        <v>1093</v>
      </c>
      <c r="C434" s="713" t="s">
        <v>3556</v>
      </c>
      <c r="D434" s="712">
        <v>0</v>
      </c>
      <c r="E434" s="712">
        <v>0</v>
      </c>
      <c r="F434" s="712">
        <v>0</v>
      </c>
      <c r="G434" s="712">
        <v>0</v>
      </c>
      <c r="H434" s="712">
        <v>0</v>
      </c>
      <c r="I434" s="712">
        <v>0</v>
      </c>
      <c r="J434" s="712">
        <v>0</v>
      </c>
      <c r="K434" s="712">
        <v>0</v>
      </c>
      <c r="L434" s="712">
        <v>0</v>
      </c>
      <c r="M434" s="712">
        <v>0</v>
      </c>
      <c r="N434" s="712">
        <v>0</v>
      </c>
      <c r="O434" s="712">
        <v>0</v>
      </c>
      <c r="P434" s="712">
        <v>0</v>
      </c>
      <c r="Q434" s="712">
        <v>0</v>
      </c>
      <c r="R434" s="712">
        <v>321110677</v>
      </c>
      <c r="S434" s="712">
        <v>0</v>
      </c>
      <c r="T434" s="712">
        <v>0</v>
      </c>
      <c r="U434" s="712">
        <v>0</v>
      </c>
      <c r="V434" s="712">
        <v>0</v>
      </c>
      <c r="W434" s="712">
        <v>0</v>
      </c>
      <c r="X434" s="712">
        <v>0</v>
      </c>
      <c r="Y434" s="712">
        <v>0</v>
      </c>
      <c r="Z434" s="712">
        <v>0</v>
      </c>
      <c r="AA434" s="712">
        <v>0</v>
      </c>
      <c r="AB434" s="712">
        <v>0</v>
      </c>
      <c r="AC434" s="712">
        <v>0</v>
      </c>
      <c r="AD434" s="712">
        <v>0</v>
      </c>
      <c r="AE434" s="712">
        <v>0</v>
      </c>
      <c r="AF434" s="712">
        <v>0</v>
      </c>
      <c r="AG434" s="712">
        <v>0</v>
      </c>
      <c r="AH434" s="712">
        <v>0</v>
      </c>
      <c r="AI434" s="712">
        <v>0</v>
      </c>
      <c r="AJ434" s="712">
        <v>0</v>
      </c>
      <c r="AK434" s="712">
        <v>0</v>
      </c>
      <c r="AL434" s="712">
        <v>0</v>
      </c>
      <c r="AM434" s="712">
        <v>0</v>
      </c>
      <c r="AN434" s="712">
        <v>0</v>
      </c>
      <c r="AO434" s="712">
        <v>0</v>
      </c>
      <c r="AP434" s="712">
        <v>0</v>
      </c>
      <c r="AQ434" s="712">
        <v>0</v>
      </c>
      <c r="AR434" s="712">
        <v>0</v>
      </c>
      <c r="AS434" s="712">
        <v>0</v>
      </c>
      <c r="AT434">
        <v>321110677</v>
      </c>
      <c r="AU434" s="615"/>
      <c r="AV434" s="615"/>
      <c r="AW434" s="615"/>
      <c r="AX434" s="615"/>
      <c r="AY434" s="615"/>
      <c r="AZ434" s="615"/>
      <c r="BA434" s="615"/>
      <c r="BB434" s="615"/>
      <c r="BC434" s="615"/>
      <c r="BD434" s="615"/>
      <c r="BE434" s="615"/>
      <c r="BF434" s="615"/>
      <c r="BG434" s="615"/>
      <c r="BH434" s="615"/>
      <c r="BI434" s="615"/>
      <c r="BJ434" s="615"/>
      <c r="BK434" s="615"/>
      <c r="BL434" s="615"/>
      <c r="BM434" s="615"/>
      <c r="BN434" s="615"/>
      <c r="BO434" s="615"/>
      <c r="BP434" s="615"/>
      <c r="BQ434" s="615"/>
      <c r="BR434" s="615"/>
      <c r="BS434" s="615"/>
      <c r="BT434" s="615"/>
      <c r="BU434" s="615"/>
      <c r="BV434" s="615"/>
      <c r="BW434" s="615"/>
      <c r="BX434" s="607"/>
    </row>
    <row r="435" spans="1:76" ht="25.5" x14ac:dyDescent="0.2">
      <c r="A435" s="839"/>
      <c r="B435" s="713" t="s">
        <v>3011</v>
      </c>
      <c r="C435" s="713" t="s">
        <v>3634</v>
      </c>
      <c r="D435" s="712">
        <v>0</v>
      </c>
      <c r="E435" s="712">
        <v>0</v>
      </c>
      <c r="F435" s="712">
        <v>0</v>
      </c>
      <c r="G435" s="712">
        <v>0</v>
      </c>
      <c r="H435" s="712">
        <v>0</v>
      </c>
      <c r="I435" s="712">
        <v>0</v>
      </c>
      <c r="J435" s="712">
        <v>0</v>
      </c>
      <c r="K435" s="712">
        <v>0</v>
      </c>
      <c r="L435" s="712">
        <v>0</v>
      </c>
      <c r="M435" s="712">
        <v>0</v>
      </c>
      <c r="N435" s="712">
        <v>0</v>
      </c>
      <c r="O435" s="712">
        <v>0</v>
      </c>
      <c r="P435" s="712">
        <v>0</v>
      </c>
      <c r="Q435" s="712">
        <v>0</v>
      </c>
      <c r="R435" s="712">
        <v>0</v>
      </c>
      <c r="S435" s="712">
        <v>0</v>
      </c>
      <c r="T435" s="712">
        <v>0</v>
      </c>
      <c r="U435" s="712">
        <v>273603604</v>
      </c>
      <c r="V435" s="712">
        <v>0</v>
      </c>
      <c r="W435" s="712">
        <v>0</v>
      </c>
      <c r="X435" s="712">
        <v>0</v>
      </c>
      <c r="Y435" s="712">
        <v>0</v>
      </c>
      <c r="Z435" s="712">
        <v>0</v>
      </c>
      <c r="AA435" s="712">
        <v>0</v>
      </c>
      <c r="AB435" s="712">
        <v>0</v>
      </c>
      <c r="AC435" s="712">
        <v>0</v>
      </c>
      <c r="AD435" s="712">
        <v>0</v>
      </c>
      <c r="AE435" s="712">
        <v>0</v>
      </c>
      <c r="AF435" s="712">
        <v>0</v>
      </c>
      <c r="AG435" s="712">
        <v>0</v>
      </c>
      <c r="AH435" s="712">
        <v>0</v>
      </c>
      <c r="AI435" s="712">
        <v>0</v>
      </c>
      <c r="AJ435" s="712">
        <v>0</v>
      </c>
      <c r="AK435" s="712">
        <v>0</v>
      </c>
      <c r="AL435" s="712">
        <v>0</v>
      </c>
      <c r="AM435" s="712">
        <v>0</v>
      </c>
      <c r="AN435" s="712">
        <v>0</v>
      </c>
      <c r="AO435" s="712">
        <v>0</v>
      </c>
      <c r="AP435" s="712">
        <v>0</v>
      </c>
      <c r="AQ435" s="712">
        <v>0</v>
      </c>
      <c r="AR435" s="712">
        <v>0</v>
      </c>
      <c r="AS435" s="712">
        <v>0</v>
      </c>
      <c r="AT435">
        <v>273603604</v>
      </c>
      <c r="AU435" s="615"/>
      <c r="AV435" s="615"/>
      <c r="AW435" s="615"/>
      <c r="AX435" s="615"/>
      <c r="AY435" s="615"/>
      <c r="AZ435" s="615"/>
      <c r="BA435" s="615"/>
      <c r="BB435" s="615"/>
      <c r="BC435" s="615"/>
      <c r="BD435" s="615"/>
      <c r="BE435" s="615"/>
      <c r="BF435" s="615"/>
      <c r="BG435" s="615"/>
      <c r="BH435" s="615"/>
      <c r="BI435" s="615"/>
      <c r="BJ435" s="615"/>
      <c r="BK435" s="615"/>
      <c r="BL435" s="615"/>
      <c r="BM435" s="615"/>
      <c r="BN435" s="615"/>
      <c r="BO435" s="615"/>
      <c r="BP435" s="615"/>
      <c r="BQ435" s="615"/>
      <c r="BR435" s="615"/>
      <c r="BS435" s="615"/>
      <c r="BT435" s="615"/>
      <c r="BU435" s="615"/>
      <c r="BV435" s="615"/>
      <c r="BW435" s="615"/>
      <c r="BX435" s="607"/>
    </row>
    <row r="436" spans="1:76" ht="25.5" x14ac:dyDescent="0.2">
      <c r="A436" s="839"/>
      <c r="B436" s="713" t="s">
        <v>4440</v>
      </c>
      <c r="C436" s="713" t="s">
        <v>3565</v>
      </c>
      <c r="D436" s="712">
        <v>0</v>
      </c>
      <c r="E436" s="712">
        <v>0</v>
      </c>
      <c r="F436" s="712">
        <v>0</v>
      </c>
      <c r="G436" s="712">
        <v>0</v>
      </c>
      <c r="H436" s="712">
        <v>0</v>
      </c>
      <c r="I436" s="712">
        <v>0</v>
      </c>
      <c r="J436" s="712">
        <v>0</v>
      </c>
      <c r="K436" s="712">
        <v>0</v>
      </c>
      <c r="L436" s="712">
        <v>0</v>
      </c>
      <c r="M436" s="712">
        <v>0</v>
      </c>
      <c r="N436" s="712">
        <v>0</v>
      </c>
      <c r="O436" s="712">
        <v>0</v>
      </c>
      <c r="P436" s="712">
        <v>276206558</v>
      </c>
      <c r="Q436" s="712">
        <v>0</v>
      </c>
      <c r="R436" s="712">
        <v>0</v>
      </c>
      <c r="S436" s="712">
        <v>0</v>
      </c>
      <c r="T436" s="712">
        <v>0</v>
      </c>
      <c r="U436" s="712">
        <v>0</v>
      </c>
      <c r="V436" s="712">
        <v>0</v>
      </c>
      <c r="W436" s="712">
        <v>0</v>
      </c>
      <c r="X436" s="712">
        <v>0</v>
      </c>
      <c r="Y436" s="712">
        <v>0</v>
      </c>
      <c r="Z436" s="712">
        <v>0</v>
      </c>
      <c r="AA436" s="712">
        <v>0</v>
      </c>
      <c r="AB436" s="712">
        <v>0</v>
      </c>
      <c r="AC436" s="712">
        <v>0</v>
      </c>
      <c r="AD436" s="712">
        <v>0</v>
      </c>
      <c r="AE436" s="712">
        <v>0</v>
      </c>
      <c r="AF436" s="712">
        <v>0</v>
      </c>
      <c r="AG436" s="712">
        <v>0</v>
      </c>
      <c r="AH436" s="712">
        <v>0</v>
      </c>
      <c r="AI436" s="712">
        <v>0</v>
      </c>
      <c r="AJ436" s="712">
        <v>0</v>
      </c>
      <c r="AK436" s="712">
        <v>0</v>
      </c>
      <c r="AL436" s="712">
        <v>0</v>
      </c>
      <c r="AM436" s="712">
        <v>0</v>
      </c>
      <c r="AN436" s="712">
        <v>0</v>
      </c>
      <c r="AO436" s="712">
        <v>0</v>
      </c>
      <c r="AP436" s="712">
        <v>0</v>
      </c>
      <c r="AQ436" s="712">
        <v>0</v>
      </c>
      <c r="AR436" s="712">
        <v>0</v>
      </c>
      <c r="AS436" s="712">
        <v>0</v>
      </c>
      <c r="AT436">
        <v>276206558</v>
      </c>
      <c r="AU436" s="615"/>
      <c r="AV436" s="615"/>
      <c r="AW436" s="615"/>
      <c r="AX436" s="615"/>
      <c r="AY436" s="615"/>
      <c r="AZ436" s="615"/>
      <c r="BA436" s="615"/>
      <c r="BB436" s="615"/>
      <c r="BC436" s="615"/>
      <c r="BD436" s="615"/>
      <c r="BE436" s="615"/>
      <c r="BF436" s="615"/>
      <c r="BG436" s="615"/>
      <c r="BH436" s="615"/>
      <c r="BI436" s="615"/>
      <c r="BJ436" s="615"/>
      <c r="BK436" s="615"/>
      <c r="BL436" s="615"/>
      <c r="BM436" s="615"/>
      <c r="BN436" s="615"/>
      <c r="BO436" s="615"/>
      <c r="BP436" s="615"/>
      <c r="BQ436" s="615"/>
      <c r="BR436" s="615"/>
      <c r="BS436" s="615"/>
      <c r="BT436" s="615"/>
      <c r="BU436" s="615"/>
      <c r="BV436" s="615"/>
      <c r="BW436" s="615"/>
      <c r="BX436" s="607"/>
    </row>
    <row r="437" spans="1:76" ht="25.5" x14ac:dyDescent="0.2">
      <c r="A437" s="839"/>
      <c r="B437" s="713" t="s">
        <v>1717</v>
      </c>
      <c r="C437" s="713" t="s">
        <v>3638</v>
      </c>
      <c r="D437" s="712">
        <v>0</v>
      </c>
      <c r="E437" s="712">
        <v>0</v>
      </c>
      <c r="F437" s="712">
        <v>0</v>
      </c>
      <c r="G437" s="712">
        <v>0</v>
      </c>
      <c r="H437" s="712">
        <v>0</v>
      </c>
      <c r="I437" s="712">
        <v>0</v>
      </c>
      <c r="J437" s="712">
        <v>0</v>
      </c>
      <c r="K437" s="712">
        <v>0</v>
      </c>
      <c r="L437" s="712">
        <v>0</v>
      </c>
      <c r="M437" s="712">
        <v>0</v>
      </c>
      <c r="N437" s="712">
        <v>0</v>
      </c>
      <c r="O437" s="712">
        <v>0</v>
      </c>
      <c r="P437" s="712">
        <v>0</v>
      </c>
      <c r="Q437" s="712">
        <v>0</v>
      </c>
      <c r="R437" s="712">
        <v>0</v>
      </c>
      <c r="S437" s="712">
        <v>0</v>
      </c>
      <c r="T437" s="712">
        <v>0</v>
      </c>
      <c r="U437" s="712">
        <v>0</v>
      </c>
      <c r="V437" s="712">
        <v>0</v>
      </c>
      <c r="W437" s="712">
        <v>0</v>
      </c>
      <c r="X437" s="712">
        <v>0</v>
      </c>
      <c r="Y437" s="712">
        <v>0</v>
      </c>
      <c r="Z437" s="712">
        <v>0</v>
      </c>
      <c r="AA437" s="712">
        <v>0</v>
      </c>
      <c r="AB437" s="712">
        <v>0</v>
      </c>
      <c r="AC437" s="712">
        <v>0</v>
      </c>
      <c r="AD437" s="712">
        <v>0</v>
      </c>
      <c r="AE437" s="712">
        <v>0</v>
      </c>
      <c r="AF437" s="712">
        <v>0</v>
      </c>
      <c r="AG437" s="712">
        <v>0</v>
      </c>
      <c r="AH437" s="712">
        <v>0</v>
      </c>
      <c r="AI437" s="712">
        <v>0</v>
      </c>
      <c r="AJ437" s="712">
        <v>0</v>
      </c>
      <c r="AK437" s="712">
        <v>0</v>
      </c>
      <c r="AL437" s="712">
        <v>0</v>
      </c>
      <c r="AM437" s="712">
        <v>0</v>
      </c>
      <c r="AN437" s="712">
        <v>0</v>
      </c>
      <c r="AO437" s="712">
        <v>0</v>
      </c>
      <c r="AP437" s="712">
        <v>0</v>
      </c>
      <c r="AQ437" s="712">
        <v>0</v>
      </c>
      <c r="AR437" s="712">
        <v>0</v>
      </c>
      <c r="AS437" s="712">
        <v>0</v>
      </c>
      <c r="AT437">
        <v>0</v>
      </c>
      <c r="AU437" s="615"/>
      <c r="AV437" s="615"/>
      <c r="AW437" s="615"/>
      <c r="AX437" s="615"/>
      <c r="AY437" s="615"/>
      <c r="AZ437" s="615"/>
      <c r="BA437" s="615"/>
      <c r="BB437" s="615"/>
      <c r="BC437" s="615"/>
      <c r="BD437" s="615"/>
      <c r="BE437" s="615"/>
      <c r="BF437" s="615"/>
      <c r="BG437" s="615"/>
      <c r="BH437" s="615"/>
      <c r="BI437" s="615"/>
      <c r="BJ437" s="615"/>
      <c r="BK437" s="615"/>
      <c r="BL437" s="615"/>
      <c r="BM437" s="615"/>
      <c r="BN437" s="615"/>
      <c r="BO437" s="615"/>
      <c r="BP437" s="615"/>
      <c r="BQ437" s="615"/>
      <c r="BR437" s="615"/>
      <c r="BS437" s="615"/>
      <c r="BT437" s="615"/>
      <c r="BU437" s="615"/>
      <c r="BV437" s="615"/>
      <c r="BW437" s="615"/>
      <c r="BX437" s="607"/>
    </row>
    <row r="438" spans="1:76" ht="25.5" x14ac:dyDescent="0.2">
      <c r="A438" s="839"/>
      <c r="B438" s="713" t="s">
        <v>1008</v>
      </c>
      <c r="C438" s="713" t="s">
        <v>3639</v>
      </c>
      <c r="D438" s="712">
        <v>0</v>
      </c>
      <c r="E438" s="712">
        <v>0</v>
      </c>
      <c r="F438" s="712">
        <v>0</v>
      </c>
      <c r="G438" s="712">
        <v>0</v>
      </c>
      <c r="H438" s="712">
        <v>0</v>
      </c>
      <c r="I438" s="712">
        <v>0</v>
      </c>
      <c r="J438" s="712">
        <v>0</v>
      </c>
      <c r="K438" s="712">
        <v>0</v>
      </c>
      <c r="L438" s="712">
        <v>0</v>
      </c>
      <c r="M438" s="712">
        <v>0</v>
      </c>
      <c r="N438" s="712">
        <v>0</v>
      </c>
      <c r="O438" s="712">
        <v>0</v>
      </c>
      <c r="P438" s="712">
        <v>0</v>
      </c>
      <c r="Q438" s="712">
        <v>0</v>
      </c>
      <c r="R438" s="712">
        <v>0</v>
      </c>
      <c r="S438" s="712">
        <v>0</v>
      </c>
      <c r="T438" s="712">
        <v>0</v>
      </c>
      <c r="U438" s="712">
        <v>0</v>
      </c>
      <c r="V438" s="712">
        <v>0</v>
      </c>
      <c r="W438" s="712">
        <v>0</v>
      </c>
      <c r="X438" s="712">
        <v>0</v>
      </c>
      <c r="Y438" s="712">
        <v>0</v>
      </c>
      <c r="Z438" s="712">
        <v>0</v>
      </c>
      <c r="AA438" s="712">
        <v>0</v>
      </c>
      <c r="AB438" s="712">
        <v>0</v>
      </c>
      <c r="AC438" s="712">
        <v>0</v>
      </c>
      <c r="AD438" s="712">
        <v>0</v>
      </c>
      <c r="AE438" s="712">
        <v>0</v>
      </c>
      <c r="AF438" s="712">
        <v>0</v>
      </c>
      <c r="AG438" s="712">
        <v>0</v>
      </c>
      <c r="AH438" s="712">
        <v>0</v>
      </c>
      <c r="AI438" s="712">
        <v>0</v>
      </c>
      <c r="AJ438" s="712">
        <v>0</v>
      </c>
      <c r="AK438" s="712">
        <v>0</v>
      </c>
      <c r="AL438" s="712">
        <v>0</v>
      </c>
      <c r="AM438" s="712">
        <v>0</v>
      </c>
      <c r="AN438" s="712">
        <v>0</v>
      </c>
      <c r="AO438" s="712">
        <v>0</v>
      </c>
      <c r="AP438" s="712">
        <v>0</v>
      </c>
      <c r="AQ438" s="712">
        <v>0</v>
      </c>
      <c r="AR438" s="712">
        <v>0</v>
      </c>
      <c r="AS438" s="712">
        <v>0</v>
      </c>
      <c r="AT438">
        <v>0</v>
      </c>
      <c r="AU438" s="615"/>
      <c r="AV438" s="615"/>
      <c r="AW438" s="615"/>
      <c r="AX438" s="615"/>
      <c r="AY438" s="615"/>
      <c r="AZ438" s="615"/>
      <c r="BA438" s="615"/>
      <c r="BB438" s="615"/>
      <c r="BC438" s="615"/>
      <c r="BD438" s="615"/>
      <c r="BE438" s="615"/>
      <c r="BF438" s="615"/>
      <c r="BG438" s="615"/>
      <c r="BH438" s="615"/>
      <c r="BI438" s="615"/>
      <c r="BJ438" s="615"/>
      <c r="BK438" s="615"/>
      <c r="BL438" s="615"/>
      <c r="BM438" s="615"/>
      <c r="BN438" s="615"/>
      <c r="BO438" s="615"/>
      <c r="BP438" s="615"/>
      <c r="BQ438" s="615"/>
      <c r="BR438" s="615"/>
      <c r="BS438" s="615"/>
      <c r="BT438" s="615"/>
      <c r="BU438" s="615"/>
      <c r="BV438" s="615"/>
      <c r="BW438" s="615"/>
      <c r="BX438" s="607"/>
    </row>
    <row r="439" spans="1:76" ht="25.5" x14ac:dyDescent="0.2">
      <c r="A439" s="839"/>
      <c r="B439" s="713" t="s">
        <v>3514</v>
      </c>
      <c r="C439" s="713" t="s">
        <v>3513</v>
      </c>
      <c r="D439" s="712">
        <v>0</v>
      </c>
      <c r="E439" s="712">
        <v>0</v>
      </c>
      <c r="F439" s="712">
        <v>0</v>
      </c>
      <c r="G439" s="712">
        <v>0</v>
      </c>
      <c r="H439" s="712">
        <v>0</v>
      </c>
      <c r="I439" s="712">
        <v>0</v>
      </c>
      <c r="J439" s="712">
        <v>0</v>
      </c>
      <c r="K439" s="712">
        <v>0</v>
      </c>
      <c r="L439" s="712">
        <v>0</v>
      </c>
      <c r="M439" s="712">
        <v>0</v>
      </c>
      <c r="N439" s="712">
        <v>0</v>
      </c>
      <c r="O439" s="712">
        <v>0</v>
      </c>
      <c r="P439" s="712">
        <v>0</v>
      </c>
      <c r="Q439" s="712">
        <v>0</v>
      </c>
      <c r="R439" s="712">
        <v>0</v>
      </c>
      <c r="S439" s="712">
        <v>0</v>
      </c>
      <c r="T439" s="712">
        <v>1500000</v>
      </c>
      <c r="U439" s="712">
        <v>1500000</v>
      </c>
      <c r="V439" s="712">
        <v>9000000</v>
      </c>
      <c r="W439" s="712">
        <v>1500000</v>
      </c>
      <c r="X439" s="712">
        <v>1500000</v>
      </c>
      <c r="Y439" s="712">
        <v>14945773</v>
      </c>
      <c r="Z439" s="712">
        <v>383477940</v>
      </c>
      <c r="AA439" s="712">
        <v>0</v>
      </c>
      <c r="AB439" s="712">
        <v>0</v>
      </c>
      <c r="AC439" s="712">
        <v>0</v>
      </c>
      <c r="AD439" s="712">
        <v>0</v>
      </c>
      <c r="AE439" s="712">
        <v>0</v>
      </c>
      <c r="AF439" s="712">
        <v>0</v>
      </c>
      <c r="AG439" s="712">
        <v>0</v>
      </c>
      <c r="AH439" s="712">
        <v>0</v>
      </c>
      <c r="AI439" s="712">
        <v>0</v>
      </c>
      <c r="AJ439" s="712">
        <v>0</v>
      </c>
      <c r="AK439" s="712">
        <v>0</v>
      </c>
      <c r="AL439" s="712">
        <v>0</v>
      </c>
      <c r="AM439" s="712">
        <v>0</v>
      </c>
      <c r="AN439" s="712">
        <v>0</v>
      </c>
      <c r="AO439" s="712">
        <v>0</v>
      </c>
      <c r="AP439" s="712">
        <v>0</v>
      </c>
      <c r="AQ439" s="712">
        <v>0</v>
      </c>
      <c r="AR439" s="712">
        <v>0</v>
      </c>
      <c r="AS439" s="712">
        <v>0</v>
      </c>
      <c r="AT439">
        <v>413423713</v>
      </c>
      <c r="AU439" s="615"/>
      <c r="AV439" s="615"/>
      <c r="AW439" s="615"/>
      <c r="AX439" s="615"/>
      <c r="AY439" s="615"/>
      <c r="AZ439" s="615"/>
      <c r="BA439" s="615"/>
      <c r="BB439" s="615"/>
      <c r="BC439" s="615"/>
      <c r="BD439" s="615"/>
      <c r="BE439" s="615"/>
      <c r="BF439" s="615"/>
      <c r="BG439" s="615"/>
      <c r="BH439" s="615"/>
      <c r="BI439" s="615"/>
      <c r="BJ439" s="615"/>
      <c r="BK439" s="615"/>
      <c r="BL439" s="615"/>
      <c r="BM439" s="615"/>
      <c r="BN439" s="615"/>
      <c r="BO439" s="615"/>
      <c r="BP439" s="615"/>
      <c r="BQ439" s="615"/>
      <c r="BR439" s="615"/>
      <c r="BS439" s="615"/>
      <c r="BT439" s="615"/>
      <c r="BU439" s="615"/>
      <c r="BV439" s="615"/>
      <c r="BW439" s="615"/>
      <c r="BX439" s="607"/>
    </row>
    <row r="440" spans="1:76" ht="25.5" x14ac:dyDescent="0.2">
      <c r="A440" s="839"/>
      <c r="B440" s="713" t="s">
        <v>1085</v>
      </c>
      <c r="C440" s="713" t="s">
        <v>3630</v>
      </c>
      <c r="D440" s="712">
        <v>0</v>
      </c>
      <c r="E440" s="712">
        <v>0</v>
      </c>
      <c r="F440" s="712">
        <v>0</v>
      </c>
      <c r="G440" s="712">
        <v>0</v>
      </c>
      <c r="H440" s="712">
        <v>0</v>
      </c>
      <c r="I440" s="712">
        <v>0</v>
      </c>
      <c r="J440" s="712">
        <v>0</v>
      </c>
      <c r="K440" s="712">
        <v>0</v>
      </c>
      <c r="L440" s="712">
        <v>0</v>
      </c>
      <c r="M440" s="712">
        <v>0</v>
      </c>
      <c r="N440" s="712">
        <v>0</v>
      </c>
      <c r="O440" s="712">
        <v>0</v>
      </c>
      <c r="P440" s="712">
        <v>0</v>
      </c>
      <c r="Q440" s="712">
        <v>0</v>
      </c>
      <c r="R440" s="712">
        <v>0</v>
      </c>
      <c r="S440" s="712">
        <v>27409213</v>
      </c>
      <c r="T440" s="712">
        <v>27409213</v>
      </c>
      <c r="U440" s="712">
        <v>27409213</v>
      </c>
      <c r="V440" s="712">
        <v>26472808</v>
      </c>
      <c r="W440" s="712">
        <v>0</v>
      </c>
      <c r="X440" s="712">
        <v>0</v>
      </c>
      <c r="Y440" s="712">
        <v>0</v>
      </c>
      <c r="Z440" s="712">
        <v>0</v>
      </c>
      <c r="AA440" s="712">
        <v>0</v>
      </c>
      <c r="AB440" s="712">
        <v>0</v>
      </c>
      <c r="AC440" s="712">
        <v>0</v>
      </c>
      <c r="AD440" s="712">
        <v>0</v>
      </c>
      <c r="AE440" s="712">
        <v>0</v>
      </c>
      <c r="AF440" s="712">
        <v>0</v>
      </c>
      <c r="AG440" s="712">
        <v>0</v>
      </c>
      <c r="AH440" s="712">
        <v>0</v>
      </c>
      <c r="AI440" s="712">
        <v>0</v>
      </c>
      <c r="AJ440" s="712">
        <v>0</v>
      </c>
      <c r="AK440" s="712">
        <v>0</v>
      </c>
      <c r="AL440" s="712">
        <v>0</v>
      </c>
      <c r="AM440" s="712">
        <v>0</v>
      </c>
      <c r="AN440" s="712">
        <v>0</v>
      </c>
      <c r="AO440" s="712">
        <v>0</v>
      </c>
      <c r="AP440" s="712">
        <v>0</v>
      </c>
      <c r="AQ440" s="712">
        <v>0</v>
      </c>
      <c r="AR440" s="712">
        <v>0</v>
      </c>
      <c r="AS440" s="712">
        <v>0</v>
      </c>
      <c r="AT440">
        <v>108700447</v>
      </c>
      <c r="AU440" s="615"/>
      <c r="AV440" s="615"/>
      <c r="AW440" s="615"/>
      <c r="AX440" s="615"/>
      <c r="AY440" s="615"/>
      <c r="AZ440" s="615"/>
      <c r="BA440" s="615"/>
      <c r="BB440" s="615"/>
      <c r="BC440" s="615"/>
      <c r="BD440" s="615"/>
      <c r="BE440" s="615"/>
      <c r="BF440" s="615"/>
      <c r="BG440" s="615"/>
      <c r="BH440" s="615"/>
      <c r="BI440" s="615"/>
      <c r="BJ440" s="615"/>
      <c r="BK440" s="615"/>
      <c r="BL440" s="615"/>
      <c r="BM440" s="615"/>
      <c r="BN440" s="615"/>
      <c r="BO440" s="615"/>
      <c r="BP440" s="615"/>
      <c r="BQ440" s="615"/>
      <c r="BR440" s="615"/>
      <c r="BS440" s="615"/>
      <c r="BT440" s="615"/>
      <c r="BU440" s="615"/>
      <c r="BV440" s="615"/>
      <c r="BW440" s="615"/>
      <c r="BX440" s="607"/>
    </row>
    <row r="441" spans="1:76" ht="25.5" x14ac:dyDescent="0.2">
      <c r="A441" s="839"/>
      <c r="B441" s="713" t="s">
        <v>1090</v>
      </c>
      <c r="C441" s="713" t="s">
        <v>3520</v>
      </c>
      <c r="D441" s="712">
        <v>0</v>
      </c>
      <c r="E441" s="712">
        <v>0</v>
      </c>
      <c r="F441" s="712">
        <v>0</v>
      </c>
      <c r="G441" s="712">
        <v>0</v>
      </c>
      <c r="H441" s="712">
        <v>0</v>
      </c>
      <c r="I441" s="712">
        <v>0</v>
      </c>
      <c r="J441" s="712">
        <v>0</v>
      </c>
      <c r="K441" s="712">
        <v>0</v>
      </c>
      <c r="L441" s="712">
        <v>0</v>
      </c>
      <c r="M441" s="712">
        <v>0</v>
      </c>
      <c r="N441" s="712">
        <v>0</v>
      </c>
      <c r="O441" s="712">
        <v>0</v>
      </c>
      <c r="P441" s="712">
        <v>0</v>
      </c>
      <c r="Q441" s="712">
        <v>0</v>
      </c>
      <c r="R441" s="712">
        <v>160000000</v>
      </c>
      <c r="S441" s="712">
        <v>0</v>
      </c>
      <c r="T441" s="712">
        <v>0</v>
      </c>
      <c r="U441" s="712">
        <v>0</v>
      </c>
      <c r="V441" s="712">
        <v>0</v>
      </c>
      <c r="W441" s="712">
        <v>0</v>
      </c>
      <c r="X441" s="712">
        <v>0</v>
      </c>
      <c r="Y441" s="712">
        <v>0</v>
      </c>
      <c r="Z441" s="712">
        <v>0</v>
      </c>
      <c r="AA441" s="712">
        <v>0</v>
      </c>
      <c r="AB441" s="712">
        <v>0</v>
      </c>
      <c r="AC441" s="712">
        <v>0</v>
      </c>
      <c r="AD441" s="712">
        <v>0</v>
      </c>
      <c r="AE441" s="712">
        <v>0</v>
      </c>
      <c r="AF441" s="712">
        <v>0</v>
      </c>
      <c r="AG441" s="712">
        <v>0</v>
      </c>
      <c r="AH441" s="712">
        <v>0</v>
      </c>
      <c r="AI441" s="712">
        <v>0</v>
      </c>
      <c r="AJ441" s="712">
        <v>0</v>
      </c>
      <c r="AK441" s="712">
        <v>0</v>
      </c>
      <c r="AL441" s="712">
        <v>0</v>
      </c>
      <c r="AM441" s="712">
        <v>0</v>
      </c>
      <c r="AN441" s="712">
        <v>0</v>
      </c>
      <c r="AO441" s="712">
        <v>0</v>
      </c>
      <c r="AP441" s="712">
        <v>0</v>
      </c>
      <c r="AQ441" s="712">
        <v>0</v>
      </c>
      <c r="AR441" s="712">
        <v>0</v>
      </c>
      <c r="AS441" s="712">
        <v>0</v>
      </c>
      <c r="AT441">
        <v>160000000</v>
      </c>
      <c r="AU441" s="615"/>
      <c r="AV441" s="615"/>
      <c r="AW441" s="615"/>
      <c r="AX441" s="615"/>
      <c r="AY441" s="615"/>
      <c r="AZ441" s="615"/>
      <c r="BA441" s="615"/>
      <c r="BB441" s="615"/>
      <c r="BC441" s="615"/>
      <c r="BD441" s="615"/>
      <c r="BE441" s="615"/>
      <c r="BF441" s="615"/>
      <c r="BG441" s="615"/>
      <c r="BH441" s="615"/>
      <c r="BI441" s="615"/>
      <c r="BJ441" s="615"/>
      <c r="BK441" s="615"/>
      <c r="BL441" s="615"/>
      <c r="BM441" s="615"/>
      <c r="BN441" s="615"/>
      <c r="BO441" s="615"/>
      <c r="BP441" s="615"/>
      <c r="BQ441" s="615"/>
      <c r="BR441" s="615"/>
      <c r="BS441" s="615"/>
      <c r="BT441" s="615"/>
      <c r="BU441" s="615"/>
      <c r="BV441" s="615"/>
      <c r="BW441" s="615"/>
      <c r="BX441" s="607"/>
    </row>
    <row r="442" spans="1:76" ht="25.5" x14ac:dyDescent="0.2">
      <c r="A442" s="839"/>
      <c r="B442" s="713" t="s">
        <v>1173</v>
      </c>
      <c r="C442" s="713" t="s">
        <v>3562</v>
      </c>
      <c r="D442" s="712">
        <v>0</v>
      </c>
      <c r="E442" s="712">
        <v>0</v>
      </c>
      <c r="F442" s="712">
        <v>0</v>
      </c>
      <c r="G442" s="712">
        <v>0</v>
      </c>
      <c r="H442" s="712">
        <v>0</v>
      </c>
      <c r="I442" s="712">
        <v>0</v>
      </c>
      <c r="J442" s="712">
        <v>0</v>
      </c>
      <c r="K442" s="712">
        <v>0</v>
      </c>
      <c r="L442" s="712">
        <v>0</v>
      </c>
      <c r="M442" s="712">
        <v>0</v>
      </c>
      <c r="N442" s="712">
        <v>0</v>
      </c>
      <c r="O442" s="712">
        <v>0</v>
      </c>
      <c r="P442" s="712">
        <v>0</v>
      </c>
      <c r="Q442" s="712">
        <v>0</v>
      </c>
      <c r="R442" s="712">
        <v>222335670</v>
      </c>
      <c r="S442" s="712">
        <v>0</v>
      </c>
      <c r="T442" s="712">
        <v>0</v>
      </c>
      <c r="U442" s="712">
        <v>0</v>
      </c>
      <c r="V442" s="712">
        <v>0</v>
      </c>
      <c r="W442" s="712">
        <v>0</v>
      </c>
      <c r="X442" s="712">
        <v>0</v>
      </c>
      <c r="Y442" s="712">
        <v>0</v>
      </c>
      <c r="Z442" s="712">
        <v>0</v>
      </c>
      <c r="AA442" s="712">
        <v>0</v>
      </c>
      <c r="AB442" s="712">
        <v>0</v>
      </c>
      <c r="AC442" s="712">
        <v>0</v>
      </c>
      <c r="AD442" s="712">
        <v>0</v>
      </c>
      <c r="AE442" s="712">
        <v>0</v>
      </c>
      <c r="AF442" s="712">
        <v>0</v>
      </c>
      <c r="AG442" s="712">
        <v>0</v>
      </c>
      <c r="AH442" s="712">
        <v>0</v>
      </c>
      <c r="AI442" s="712">
        <v>0</v>
      </c>
      <c r="AJ442" s="712">
        <v>0</v>
      </c>
      <c r="AK442" s="712">
        <v>0</v>
      </c>
      <c r="AL442" s="712">
        <v>0</v>
      </c>
      <c r="AM442" s="712">
        <v>0</v>
      </c>
      <c r="AN442" s="712">
        <v>0</v>
      </c>
      <c r="AO442" s="712">
        <v>0</v>
      </c>
      <c r="AP442" s="712">
        <v>0</v>
      </c>
      <c r="AQ442" s="712">
        <v>0</v>
      </c>
      <c r="AR442" s="712">
        <v>0</v>
      </c>
      <c r="AS442" s="712">
        <v>0</v>
      </c>
      <c r="AT442">
        <v>222335670</v>
      </c>
      <c r="AU442" s="615"/>
      <c r="AV442" s="615"/>
      <c r="AW442" s="615"/>
      <c r="AX442" s="615"/>
      <c r="AY442" s="615"/>
      <c r="AZ442" s="615"/>
      <c r="BA442" s="615"/>
      <c r="BB442" s="615"/>
      <c r="BC442" s="615"/>
      <c r="BD442" s="615"/>
      <c r="BE442" s="615"/>
      <c r="BF442" s="615"/>
      <c r="BG442" s="615"/>
      <c r="BH442" s="615"/>
      <c r="BI442" s="615"/>
      <c r="BJ442" s="615"/>
      <c r="BK442" s="615"/>
      <c r="BL442" s="615"/>
      <c r="BM442" s="615"/>
      <c r="BN442" s="615"/>
      <c r="BO442" s="615"/>
      <c r="BP442" s="615"/>
      <c r="BQ442" s="615"/>
      <c r="BR442" s="615"/>
      <c r="BS442" s="615"/>
      <c r="BT442" s="615"/>
      <c r="BU442" s="615"/>
      <c r="BV442" s="615"/>
      <c r="BW442" s="615"/>
      <c r="BX442" s="607"/>
    </row>
    <row r="443" spans="1:76" ht="25.5" x14ac:dyDescent="0.2">
      <c r="A443" s="839"/>
      <c r="B443" s="713" t="s">
        <v>1241</v>
      </c>
      <c r="C443" s="713" t="s">
        <v>3603</v>
      </c>
      <c r="D443" s="712">
        <v>0</v>
      </c>
      <c r="E443" s="712">
        <v>0</v>
      </c>
      <c r="F443" s="712">
        <v>0</v>
      </c>
      <c r="G443" s="712">
        <v>0</v>
      </c>
      <c r="H443" s="712">
        <v>0</v>
      </c>
      <c r="I443" s="712">
        <v>0</v>
      </c>
      <c r="J443" s="712">
        <v>0</v>
      </c>
      <c r="K443" s="712">
        <v>0</v>
      </c>
      <c r="L443" s="712">
        <v>0</v>
      </c>
      <c r="M443" s="712">
        <v>0</v>
      </c>
      <c r="N443" s="712">
        <v>0</v>
      </c>
      <c r="O443" s="712">
        <v>0</v>
      </c>
      <c r="P443" s="712">
        <v>307075678</v>
      </c>
      <c r="Q443" s="712">
        <v>0</v>
      </c>
      <c r="R443" s="712">
        <v>0</v>
      </c>
      <c r="S443" s="712">
        <v>0</v>
      </c>
      <c r="T443" s="712">
        <v>0</v>
      </c>
      <c r="U443" s="712">
        <v>0</v>
      </c>
      <c r="V443" s="712">
        <v>0</v>
      </c>
      <c r="W443" s="712">
        <v>0</v>
      </c>
      <c r="X443" s="712">
        <v>0</v>
      </c>
      <c r="Y443" s="712">
        <v>0</v>
      </c>
      <c r="Z443" s="712">
        <v>0</v>
      </c>
      <c r="AA443" s="712">
        <v>0</v>
      </c>
      <c r="AB443" s="712">
        <v>0</v>
      </c>
      <c r="AC443" s="712">
        <v>0</v>
      </c>
      <c r="AD443" s="712">
        <v>0</v>
      </c>
      <c r="AE443" s="712">
        <v>0</v>
      </c>
      <c r="AF443" s="712">
        <v>0</v>
      </c>
      <c r="AG443" s="712">
        <v>0</v>
      </c>
      <c r="AH443" s="712">
        <v>0</v>
      </c>
      <c r="AI443" s="712">
        <v>0</v>
      </c>
      <c r="AJ443" s="712">
        <v>0</v>
      </c>
      <c r="AK443" s="712">
        <v>0</v>
      </c>
      <c r="AL443" s="712">
        <v>0</v>
      </c>
      <c r="AM443" s="712">
        <v>0</v>
      </c>
      <c r="AN443" s="712">
        <v>0</v>
      </c>
      <c r="AO443" s="712">
        <v>0</v>
      </c>
      <c r="AP443" s="712">
        <v>0</v>
      </c>
      <c r="AQ443" s="712">
        <v>0</v>
      </c>
      <c r="AR443" s="712">
        <v>0</v>
      </c>
      <c r="AS443" s="712">
        <v>0</v>
      </c>
      <c r="AT443">
        <v>307075678</v>
      </c>
      <c r="AU443" s="615"/>
      <c r="AV443" s="615"/>
      <c r="AW443" s="615"/>
      <c r="AX443" s="615"/>
      <c r="AY443" s="615"/>
      <c r="AZ443" s="615"/>
      <c r="BA443" s="615"/>
      <c r="BB443" s="615"/>
      <c r="BC443" s="615"/>
      <c r="BD443" s="615"/>
      <c r="BE443" s="615"/>
      <c r="BF443" s="615"/>
      <c r="BG443" s="615"/>
      <c r="BH443" s="615"/>
      <c r="BI443" s="615"/>
      <c r="BJ443" s="615"/>
      <c r="BK443" s="615"/>
      <c r="BL443" s="615"/>
      <c r="BM443" s="615"/>
      <c r="BN443" s="615"/>
      <c r="BO443" s="615"/>
      <c r="BP443" s="615"/>
      <c r="BQ443" s="615"/>
      <c r="BR443" s="615"/>
      <c r="BS443" s="615"/>
      <c r="BT443" s="615"/>
      <c r="BU443" s="615"/>
      <c r="BV443" s="615"/>
      <c r="BW443" s="615"/>
      <c r="BX443" s="607"/>
    </row>
    <row r="444" spans="1:76" ht="12.75" x14ac:dyDescent="0.2">
      <c r="A444" s="839"/>
      <c r="B444" s="713" t="s">
        <v>3599</v>
      </c>
      <c r="C444" s="713" t="s">
        <v>3598</v>
      </c>
      <c r="D444" s="712">
        <v>0</v>
      </c>
      <c r="E444" s="712">
        <v>0</v>
      </c>
      <c r="F444" s="712">
        <v>0</v>
      </c>
      <c r="G444" s="712">
        <v>0</v>
      </c>
      <c r="H444" s="712">
        <v>0</v>
      </c>
      <c r="I444" s="712">
        <v>0</v>
      </c>
      <c r="J444" s="712">
        <v>0</v>
      </c>
      <c r="K444" s="712">
        <v>0</v>
      </c>
      <c r="L444" s="712">
        <v>0</v>
      </c>
      <c r="M444" s="712">
        <v>0</v>
      </c>
      <c r="N444" s="712">
        <v>0</v>
      </c>
      <c r="O444" s="712">
        <v>0</v>
      </c>
      <c r="P444" s="712">
        <v>0</v>
      </c>
      <c r="Q444" s="712">
        <v>0</v>
      </c>
      <c r="R444" s="712">
        <v>0</v>
      </c>
      <c r="S444" s="712">
        <v>1080</v>
      </c>
      <c r="T444" s="712">
        <v>4816089</v>
      </c>
      <c r="U444" s="712">
        <v>4816089</v>
      </c>
      <c r="V444" s="712">
        <v>4816089</v>
      </c>
      <c r="W444" s="712">
        <v>4813930</v>
      </c>
      <c r="X444" s="712">
        <v>390081341</v>
      </c>
      <c r="Y444" s="712">
        <v>0</v>
      </c>
      <c r="Z444" s="712">
        <v>0</v>
      </c>
      <c r="AA444" s="712">
        <v>0</v>
      </c>
      <c r="AB444" s="712">
        <v>0</v>
      </c>
      <c r="AC444" s="712">
        <v>0</v>
      </c>
      <c r="AD444" s="712">
        <v>0</v>
      </c>
      <c r="AE444" s="712">
        <v>0</v>
      </c>
      <c r="AF444" s="712">
        <v>0</v>
      </c>
      <c r="AG444" s="712">
        <v>0</v>
      </c>
      <c r="AH444" s="712">
        <v>0</v>
      </c>
      <c r="AI444" s="712">
        <v>0</v>
      </c>
      <c r="AJ444" s="712">
        <v>0</v>
      </c>
      <c r="AK444" s="712">
        <v>0</v>
      </c>
      <c r="AL444" s="712">
        <v>0</v>
      </c>
      <c r="AM444" s="712">
        <v>0</v>
      </c>
      <c r="AN444" s="712">
        <v>0</v>
      </c>
      <c r="AO444" s="712">
        <v>0</v>
      </c>
      <c r="AP444" s="712">
        <v>0</v>
      </c>
      <c r="AQ444" s="712">
        <v>0</v>
      </c>
      <c r="AR444" s="712">
        <v>0</v>
      </c>
      <c r="AS444" s="712">
        <v>0</v>
      </c>
      <c r="AT444">
        <v>409344618</v>
      </c>
      <c r="AU444" s="615"/>
      <c r="AV444" s="615"/>
      <c r="AW444" s="615"/>
      <c r="AX444" s="615"/>
      <c r="AY444" s="615"/>
      <c r="AZ444" s="615"/>
      <c r="BA444" s="615"/>
      <c r="BB444" s="615"/>
      <c r="BC444" s="615"/>
      <c r="BD444" s="615"/>
      <c r="BE444" s="615"/>
      <c r="BF444" s="615"/>
      <c r="BG444" s="615"/>
      <c r="BH444" s="615"/>
      <c r="BI444" s="615"/>
      <c r="BJ444" s="615"/>
      <c r="BK444" s="615"/>
      <c r="BL444" s="615"/>
      <c r="BM444" s="615"/>
      <c r="BN444" s="615"/>
      <c r="BO444" s="615"/>
      <c r="BP444" s="615"/>
      <c r="BQ444" s="615"/>
      <c r="BR444" s="615"/>
      <c r="BS444" s="615"/>
      <c r="BT444" s="615"/>
      <c r="BU444" s="615"/>
      <c r="BV444" s="615"/>
      <c r="BW444" s="615"/>
      <c r="BX444" s="607"/>
    </row>
    <row r="445" spans="1:76" ht="12.75" x14ac:dyDescent="0.2">
      <c r="A445" s="839"/>
      <c r="B445" s="713" t="s">
        <v>1127</v>
      </c>
      <c r="C445" s="713" t="s">
        <v>3635</v>
      </c>
      <c r="D445" s="712">
        <v>0</v>
      </c>
      <c r="E445" s="712">
        <v>0</v>
      </c>
      <c r="F445" s="712">
        <v>0</v>
      </c>
      <c r="G445" s="712">
        <v>0</v>
      </c>
      <c r="H445" s="712">
        <v>0</v>
      </c>
      <c r="I445" s="712">
        <v>0</v>
      </c>
      <c r="J445" s="712">
        <v>0</v>
      </c>
      <c r="K445" s="712">
        <v>0</v>
      </c>
      <c r="L445" s="712">
        <v>0</v>
      </c>
      <c r="M445" s="712">
        <v>0</v>
      </c>
      <c r="N445" s="712">
        <v>0</v>
      </c>
      <c r="O445" s="712">
        <v>0</v>
      </c>
      <c r="P445" s="712">
        <v>41554030</v>
      </c>
      <c r="Q445" s="712">
        <v>0</v>
      </c>
      <c r="R445" s="712">
        <v>0</v>
      </c>
      <c r="S445" s="712">
        <v>0</v>
      </c>
      <c r="T445" s="712">
        <v>0</v>
      </c>
      <c r="U445" s="712">
        <v>0</v>
      </c>
      <c r="V445" s="712">
        <v>0</v>
      </c>
      <c r="W445" s="712">
        <v>0</v>
      </c>
      <c r="X445" s="712">
        <v>0</v>
      </c>
      <c r="Y445" s="712">
        <v>0</v>
      </c>
      <c r="Z445" s="712">
        <v>0</v>
      </c>
      <c r="AA445" s="712">
        <v>0</v>
      </c>
      <c r="AB445" s="712">
        <v>0</v>
      </c>
      <c r="AC445" s="712">
        <v>0</v>
      </c>
      <c r="AD445" s="712">
        <v>0</v>
      </c>
      <c r="AE445" s="712">
        <v>0</v>
      </c>
      <c r="AF445" s="712">
        <v>0</v>
      </c>
      <c r="AG445" s="712">
        <v>0</v>
      </c>
      <c r="AH445" s="712">
        <v>0</v>
      </c>
      <c r="AI445" s="712">
        <v>0</v>
      </c>
      <c r="AJ445" s="712">
        <v>0</v>
      </c>
      <c r="AK445" s="712">
        <v>0</v>
      </c>
      <c r="AL445" s="712">
        <v>0</v>
      </c>
      <c r="AM445" s="712">
        <v>0</v>
      </c>
      <c r="AN445" s="712">
        <v>0</v>
      </c>
      <c r="AO445" s="712">
        <v>0</v>
      </c>
      <c r="AP445" s="712">
        <v>0</v>
      </c>
      <c r="AQ445" s="712">
        <v>0</v>
      </c>
      <c r="AR445" s="712">
        <v>0</v>
      </c>
      <c r="AS445" s="712">
        <v>0</v>
      </c>
      <c r="AT445">
        <v>41554030</v>
      </c>
      <c r="AU445" s="615"/>
      <c r="AV445" s="615"/>
      <c r="AW445" s="615"/>
      <c r="AX445" s="615"/>
      <c r="AY445" s="615"/>
      <c r="AZ445" s="615"/>
      <c r="BA445" s="615"/>
      <c r="BB445" s="615"/>
      <c r="BC445" s="615"/>
      <c r="BD445" s="615"/>
      <c r="BE445" s="615"/>
      <c r="BF445" s="615"/>
      <c r="BG445" s="615"/>
      <c r="BH445" s="615"/>
      <c r="BI445" s="615"/>
      <c r="BJ445" s="615"/>
      <c r="BK445" s="615"/>
      <c r="BL445" s="615"/>
      <c r="BM445" s="615"/>
      <c r="BN445" s="615"/>
      <c r="BO445" s="615"/>
      <c r="BP445" s="615"/>
      <c r="BQ445" s="615"/>
      <c r="BR445" s="615"/>
      <c r="BS445" s="615"/>
      <c r="BT445" s="615"/>
      <c r="BU445" s="615"/>
      <c r="BV445" s="615"/>
      <c r="BW445" s="615"/>
      <c r="BX445" s="607"/>
    </row>
    <row r="446" spans="1:76" ht="25.5" x14ac:dyDescent="0.2">
      <c r="A446" s="839"/>
      <c r="B446" s="713" t="s">
        <v>1243</v>
      </c>
      <c r="C446" s="713" t="s">
        <v>3620</v>
      </c>
      <c r="D446" s="712">
        <v>0</v>
      </c>
      <c r="E446" s="712">
        <v>0</v>
      </c>
      <c r="F446" s="712">
        <v>0</v>
      </c>
      <c r="G446" s="712">
        <v>0</v>
      </c>
      <c r="H446" s="712">
        <v>0</v>
      </c>
      <c r="I446" s="712">
        <v>0</v>
      </c>
      <c r="J446" s="712">
        <v>0</v>
      </c>
      <c r="K446" s="712">
        <v>0</v>
      </c>
      <c r="L446" s="712">
        <v>0</v>
      </c>
      <c r="M446" s="712">
        <v>0</v>
      </c>
      <c r="N446" s="712">
        <v>0</v>
      </c>
      <c r="O446" s="712">
        <v>0</v>
      </c>
      <c r="P446" s="712">
        <v>0</v>
      </c>
      <c r="Q446" s="712">
        <v>0</v>
      </c>
      <c r="R446" s="712">
        <v>282050872</v>
      </c>
      <c r="S446" s="712">
        <v>0</v>
      </c>
      <c r="T446" s="712">
        <v>0</v>
      </c>
      <c r="U446" s="712">
        <v>0</v>
      </c>
      <c r="V446" s="712">
        <v>0</v>
      </c>
      <c r="W446" s="712">
        <v>0</v>
      </c>
      <c r="X446" s="712">
        <v>0</v>
      </c>
      <c r="Y446" s="712">
        <v>0</v>
      </c>
      <c r="Z446" s="712">
        <v>0</v>
      </c>
      <c r="AA446" s="712">
        <v>0</v>
      </c>
      <c r="AB446" s="712">
        <v>0</v>
      </c>
      <c r="AC446" s="712">
        <v>0</v>
      </c>
      <c r="AD446" s="712">
        <v>0</v>
      </c>
      <c r="AE446" s="712">
        <v>0</v>
      </c>
      <c r="AF446" s="712">
        <v>0</v>
      </c>
      <c r="AG446" s="712">
        <v>0</v>
      </c>
      <c r="AH446" s="712">
        <v>0</v>
      </c>
      <c r="AI446" s="712">
        <v>0</v>
      </c>
      <c r="AJ446" s="712">
        <v>0</v>
      </c>
      <c r="AK446" s="712">
        <v>0</v>
      </c>
      <c r="AL446" s="712">
        <v>0</v>
      </c>
      <c r="AM446" s="712">
        <v>0</v>
      </c>
      <c r="AN446" s="712">
        <v>0</v>
      </c>
      <c r="AO446" s="712">
        <v>0</v>
      </c>
      <c r="AP446" s="712">
        <v>0</v>
      </c>
      <c r="AQ446" s="712">
        <v>0</v>
      </c>
      <c r="AR446" s="712">
        <v>0</v>
      </c>
      <c r="AS446" s="712">
        <v>0</v>
      </c>
      <c r="AT446">
        <v>282050872</v>
      </c>
      <c r="AU446" s="615"/>
      <c r="AV446" s="615"/>
      <c r="AW446" s="615"/>
      <c r="AX446" s="615"/>
      <c r="AY446" s="615"/>
      <c r="AZ446" s="615"/>
      <c r="BA446" s="615"/>
      <c r="BB446" s="615"/>
      <c r="BC446" s="615"/>
      <c r="BD446" s="615"/>
      <c r="BE446" s="615"/>
      <c r="BF446" s="615"/>
      <c r="BG446" s="615"/>
      <c r="BH446" s="615"/>
      <c r="BI446" s="615"/>
      <c r="BJ446" s="615"/>
      <c r="BK446" s="615"/>
      <c r="BL446" s="615"/>
      <c r="BM446" s="615"/>
      <c r="BN446" s="615"/>
      <c r="BO446" s="615"/>
      <c r="BP446" s="615"/>
      <c r="BQ446" s="615"/>
      <c r="BR446" s="615"/>
      <c r="BS446" s="615"/>
      <c r="BT446" s="615"/>
      <c r="BU446" s="615"/>
      <c r="BV446" s="615"/>
      <c r="BW446" s="615"/>
      <c r="BX446" s="607"/>
    </row>
    <row r="447" spans="1:76" ht="25.5" x14ac:dyDescent="0.2">
      <c r="A447" s="839"/>
      <c r="B447" s="713" t="s">
        <v>1196</v>
      </c>
      <c r="C447" s="713" t="s">
        <v>3592</v>
      </c>
      <c r="D447" s="712">
        <v>0</v>
      </c>
      <c r="E447" s="712">
        <v>0</v>
      </c>
      <c r="F447" s="712">
        <v>0</v>
      </c>
      <c r="G447" s="712">
        <v>0</v>
      </c>
      <c r="H447" s="712">
        <v>0</v>
      </c>
      <c r="I447" s="712">
        <v>0</v>
      </c>
      <c r="J447" s="712">
        <v>0</v>
      </c>
      <c r="K447" s="712">
        <v>0</v>
      </c>
      <c r="L447" s="712">
        <v>0</v>
      </c>
      <c r="M447" s="712">
        <v>0</v>
      </c>
      <c r="N447" s="712">
        <v>0</v>
      </c>
      <c r="O447" s="712">
        <v>0</v>
      </c>
      <c r="P447" s="712">
        <v>282332737</v>
      </c>
      <c r="Q447" s="712">
        <v>0</v>
      </c>
      <c r="R447" s="712">
        <v>0</v>
      </c>
      <c r="S447" s="712">
        <v>0</v>
      </c>
      <c r="T447" s="712">
        <v>0</v>
      </c>
      <c r="U447" s="712">
        <v>0</v>
      </c>
      <c r="V447" s="712">
        <v>0</v>
      </c>
      <c r="W447" s="712">
        <v>0</v>
      </c>
      <c r="X447" s="712">
        <v>0</v>
      </c>
      <c r="Y447" s="712">
        <v>0</v>
      </c>
      <c r="Z447" s="712">
        <v>0</v>
      </c>
      <c r="AA447" s="712">
        <v>0</v>
      </c>
      <c r="AB447" s="712">
        <v>0</v>
      </c>
      <c r="AC447" s="712">
        <v>0</v>
      </c>
      <c r="AD447" s="712">
        <v>0</v>
      </c>
      <c r="AE447" s="712">
        <v>0</v>
      </c>
      <c r="AF447" s="712">
        <v>0</v>
      </c>
      <c r="AG447" s="712">
        <v>0</v>
      </c>
      <c r="AH447" s="712">
        <v>0</v>
      </c>
      <c r="AI447" s="712">
        <v>0</v>
      </c>
      <c r="AJ447" s="712">
        <v>0</v>
      </c>
      <c r="AK447" s="712">
        <v>0</v>
      </c>
      <c r="AL447" s="712">
        <v>0</v>
      </c>
      <c r="AM447" s="712">
        <v>0</v>
      </c>
      <c r="AN447" s="712">
        <v>0</v>
      </c>
      <c r="AO447" s="712">
        <v>0</v>
      </c>
      <c r="AP447" s="712">
        <v>0</v>
      </c>
      <c r="AQ447" s="712">
        <v>0</v>
      </c>
      <c r="AR447" s="712">
        <v>0</v>
      </c>
      <c r="AS447" s="712">
        <v>0</v>
      </c>
      <c r="AT447">
        <v>282332737</v>
      </c>
      <c r="AU447" s="615"/>
      <c r="AV447" s="615"/>
      <c r="AW447" s="615"/>
      <c r="AX447" s="615"/>
      <c r="AY447" s="615"/>
      <c r="AZ447" s="615"/>
      <c r="BA447" s="615"/>
      <c r="BB447" s="615"/>
      <c r="BC447" s="615"/>
      <c r="BD447" s="615"/>
      <c r="BE447" s="615"/>
      <c r="BF447" s="615"/>
      <c r="BG447" s="615"/>
      <c r="BH447" s="615"/>
      <c r="BI447" s="615"/>
      <c r="BJ447" s="615"/>
      <c r="BK447" s="615"/>
      <c r="BL447" s="615"/>
      <c r="BM447" s="615"/>
      <c r="BN447" s="615"/>
      <c r="BO447" s="615"/>
      <c r="BP447" s="615"/>
      <c r="BQ447" s="615"/>
      <c r="BR447" s="615"/>
      <c r="BS447" s="615"/>
      <c r="BT447" s="615"/>
      <c r="BU447" s="615"/>
      <c r="BV447" s="615"/>
      <c r="BW447" s="615"/>
      <c r="BX447" s="607"/>
    </row>
    <row r="448" spans="1:76" ht="25.5" x14ac:dyDescent="0.2">
      <c r="A448" s="839"/>
      <c r="B448" s="713" t="s">
        <v>1187</v>
      </c>
      <c r="C448" s="713" t="s">
        <v>3609</v>
      </c>
      <c r="D448" s="712">
        <v>0</v>
      </c>
      <c r="E448" s="712">
        <v>0</v>
      </c>
      <c r="F448" s="712">
        <v>0</v>
      </c>
      <c r="G448" s="712">
        <v>0</v>
      </c>
      <c r="H448" s="712">
        <v>0</v>
      </c>
      <c r="I448" s="712">
        <v>0</v>
      </c>
      <c r="J448" s="712">
        <v>0</v>
      </c>
      <c r="K448" s="712">
        <v>0</v>
      </c>
      <c r="L448" s="712">
        <v>0</v>
      </c>
      <c r="M448" s="712">
        <v>0</v>
      </c>
      <c r="N448" s="712">
        <v>0</v>
      </c>
      <c r="O448" s="712">
        <v>0</v>
      </c>
      <c r="P448" s="712">
        <v>0</v>
      </c>
      <c r="Q448" s="712">
        <v>0</v>
      </c>
      <c r="R448" s="712">
        <v>249999361</v>
      </c>
      <c r="S448" s="712">
        <v>0</v>
      </c>
      <c r="T448" s="712">
        <v>0</v>
      </c>
      <c r="U448" s="712">
        <v>0</v>
      </c>
      <c r="V448" s="712">
        <v>0</v>
      </c>
      <c r="W448" s="712">
        <v>0</v>
      </c>
      <c r="X448" s="712">
        <v>0</v>
      </c>
      <c r="Y448" s="712">
        <v>0</v>
      </c>
      <c r="Z448" s="712">
        <v>0</v>
      </c>
      <c r="AA448" s="712">
        <v>0</v>
      </c>
      <c r="AB448" s="712">
        <v>0</v>
      </c>
      <c r="AC448" s="712">
        <v>0</v>
      </c>
      <c r="AD448" s="712">
        <v>0</v>
      </c>
      <c r="AE448" s="712">
        <v>0</v>
      </c>
      <c r="AF448" s="712">
        <v>0</v>
      </c>
      <c r="AG448" s="712">
        <v>0</v>
      </c>
      <c r="AH448" s="712">
        <v>0</v>
      </c>
      <c r="AI448" s="712">
        <v>0</v>
      </c>
      <c r="AJ448" s="712">
        <v>0</v>
      </c>
      <c r="AK448" s="712">
        <v>0</v>
      </c>
      <c r="AL448" s="712">
        <v>0</v>
      </c>
      <c r="AM448" s="712">
        <v>0</v>
      </c>
      <c r="AN448" s="712">
        <v>0</v>
      </c>
      <c r="AO448" s="712">
        <v>0</v>
      </c>
      <c r="AP448" s="712">
        <v>0</v>
      </c>
      <c r="AQ448" s="712">
        <v>0</v>
      </c>
      <c r="AR448" s="712">
        <v>0</v>
      </c>
      <c r="AS448" s="712">
        <v>0</v>
      </c>
      <c r="AT448">
        <v>249999361</v>
      </c>
      <c r="AU448" s="615"/>
      <c r="AV448" s="615"/>
      <c r="AW448" s="615"/>
      <c r="AX448" s="615"/>
      <c r="AY448" s="615"/>
      <c r="AZ448" s="615"/>
      <c r="BA448" s="615"/>
      <c r="BB448" s="615"/>
      <c r="BC448" s="615"/>
      <c r="BD448" s="615"/>
      <c r="BE448" s="615"/>
      <c r="BF448" s="615"/>
      <c r="BG448" s="615"/>
      <c r="BH448" s="615"/>
      <c r="BI448" s="615"/>
      <c r="BJ448" s="615"/>
      <c r="BK448" s="615"/>
      <c r="BL448" s="615"/>
      <c r="BM448" s="615"/>
      <c r="BN448" s="615"/>
      <c r="BO448" s="615"/>
      <c r="BP448" s="615"/>
      <c r="BQ448" s="615"/>
      <c r="BR448" s="615"/>
      <c r="BS448" s="615"/>
      <c r="BT448" s="615"/>
      <c r="BU448" s="615"/>
      <c r="BV448" s="615"/>
      <c r="BW448" s="615"/>
      <c r="BX448" s="607"/>
    </row>
    <row r="449" spans="1:76" ht="25.5" x14ac:dyDescent="0.2">
      <c r="A449" s="839"/>
      <c r="B449" s="713" t="s">
        <v>3226</v>
      </c>
      <c r="C449" s="713" t="s">
        <v>3626</v>
      </c>
      <c r="D449" s="712">
        <v>0</v>
      </c>
      <c r="E449" s="712">
        <v>0</v>
      </c>
      <c r="F449" s="712">
        <v>0</v>
      </c>
      <c r="G449" s="712">
        <v>0</v>
      </c>
      <c r="H449" s="712">
        <v>0</v>
      </c>
      <c r="I449" s="712">
        <v>0</v>
      </c>
      <c r="J449" s="712">
        <v>0</v>
      </c>
      <c r="K449" s="712">
        <v>0</v>
      </c>
      <c r="L449" s="712">
        <v>0</v>
      </c>
      <c r="M449" s="712">
        <v>0</v>
      </c>
      <c r="N449" s="712">
        <v>0</v>
      </c>
      <c r="O449" s="712">
        <v>0</v>
      </c>
      <c r="P449" s="712">
        <v>0</v>
      </c>
      <c r="Q449" s="712">
        <v>0</v>
      </c>
      <c r="R449" s="712">
        <v>332935200</v>
      </c>
      <c r="S449" s="712">
        <v>0</v>
      </c>
      <c r="T449" s="712">
        <v>0</v>
      </c>
      <c r="U449" s="712">
        <v>0</v>
      </c>
      <c r="V449" s="712">
        <v>0</v>
      </c>
      <c r="W449" s="712">
        <v>0</v>
      </c>
      <c r="X449" s="712">
        <v>0</v>
      </c>
      <c r="Y449" s="712">
        <v>0</v>
      </c>
      <c r="Z449" s="712">
        <v>0</v>
      </c>
      <c r="AA449" s="712">
        <v>0</v>
      </c>
      <c r="AB449" s="712">
        <v>0</v>
      </c>
      <c r="AC449" s="712">
        <v>0</v>
      </c>
      <c r="AD449" s="712">
        <v>0</v>
      </c>
      <c r="AE449" s="712">
        <v>0</v>
      </c>
      <c r="AF449" s="712">
        <v>0</v>
      </c>
      <c r="AG449" s="712">
        <v>0</v>
      </c>
      <c r="AH449" s="712">
        <v>0</v>
      </c>
      <c r="AI449" s="712">
        <v>0</v>
      </c>
      <c r="AJ449" s="712">
        <v>0</v>
      </c>
      <c r="AK449" s="712">
        <v>0</v>
      </c>
      <c r="AL449" s="712">
        <v>0</v>
      </c>
      <c r="AM449" s="712">
        <v>0</v>
      </c>
      <c r="AN449" s="712">
        <v>0</v>
      </c>
      <c r="AO449" s="712">
        <v>0</v>
      </c>
      <c r="AP449" s="712">
        <v>0</v>
      </c>
      <c r="AQ449" s="712">
        <v>0</v>
      </c>
      <c r="AR449" s="712">
        <v>0</v>
      </c>
      <c r="AS449" s="712">
        <v>0</v>
      </c>
      <c r="AT449">
        <v>332935200</v>
      </c>
      <c r="AU449" s="615"/>
      <c r="AV449" s="615"/>
      <c r="AW449" s="615"/>
      <c r="AX449" s="615"/>
      <c r="AY449" s="615"/>
      <c r="AZ449" s="615"/>
      <c r="BA449" s="615"/>
      <c r="BB449" s="615"/>
      <c r="BC449" s="615"/>
      <c r="BD449" s="615"/>
      <c r="BE449" s="615"/>
      <c r="BF449" s="615"/>
      <c r="BG449" s="615"/>
      <c r="BH449" s="615"/>
      <c r="BI449" s="615"/>
      <c r="BJ449" s="615"/>
      <c r="BK449" s="615"/>
      <c r="BL449" s="615"/>
      <c r="BM449" s="615"/>
      <c r="BN449" s="615"/>
      <c r="BO449" s="615"/>
      <c r="BP449" s="615"/>
      <c r="BQ449" s="615"/>
      <c r="BR449" s="615"/>
      <c r="BS449" s="615"/>
      <c r="BT449" s="615"/>
      <c r="BU449" s="615"/>
      <c r="BV449" s="615"/>
      <c r="BW449" s="615"/>
      <c r="BX449" s="607"/>
    </row>
    <row r="450" spans="1:76" ht="25.5" x14ac:dyDescent="0.2">
      <c r="A450" s="839"/>
      <c r="B450" s="713" t="s">
        <v>4439</v>
      </c>
      <c r="C450" s="713" t="s">
        <v>3547</v>
      </c>
      <c r="D450" s="712">
        <v>0</v>
      </c>
      <c r="E450" s="712">
        <v>0</v>
      </c>
      <c r="F450" s="712">
        <v>0</v>
      </c>
      <c r="G450" s="712">
        <v>0</v>
      </c>
      <c r="H450" s="712">
        <v>0</v>
      </c>
      <c r="I450" s="712">
        <v>0</v>
      </c>
      <c r="J450" s="712">
        <v>0</v>
      </c>
      <c r="K450" s="712">
        <v>0</v>
      </c>
      <c r="L450" s="712">
        <v>0</v>
      </c>
      <c r="M450" s="712">
        <v>0</v>
      </c>
      <c r="N450" s="712">
        <v>0</v>
      </c>
      <c r="O450" s="712">
        <v>0</v>
      </c>
      <c r="P450" s="712">
        <v>0</v>
      </c>
      <c r="Q450" s="712">
        <v>0</v>
      </c>
      <c r="R450" s="712">
        <v>0</v>
      </c>
      <c r="S450" s="712">
        <v>4954438</v>
      </c>
      <c r="T450" s="712">
        <v>5125876</v>
      </c>
      <c r="U450" s="712">
        <v>5125872</v>
      </c>
      <c r="V450" s="712">
        <v>303049040</v>
      </c>
      <c r="W450" s="712">
        <v>0</v>
      </c>
      <c r="X450" s="712">
        <v>0</v>
      </c>
      <c r="Y450" s="712">
        <v>0</v>
      </c>
      <c r="Z450" s="712">
        <v>0</v>
      </c>
      <c r="AA450" s="712">
        <v>0</v>
      </c>
      <c r="AB450" s="712">
        <v>0</v>
      </c>
      <c r="AC450" s="712">
        <v>0</v>
      </c>
      <c r="AD450" s="712">
        <v>0</v>
      </c>
      <c r="AE450" s="712">
        <v>0</v>
      </c>
      <c r="AF450" s="712">
        <v>0</v>
      </c>
      <c r="AG450" s="712">
        <v>0</v>
      </c>
      <c r="AH450" s="712">
        <v>0</v>
      </c>
      <c r="AI450" s="712">
        <v>0</v>
      </c>
      <c r="AJ450" s="712">
        <v>0</v>
      </c>
      <c r="AK450" s="712">
        <v>0</v>
      </c>
      <c r="AL450" s="712">
        <v>0</v>
      </c>
      <c r="AM450" s="712">
        <v>0</v>
      </c>
      <c r="AN450" s="712">
        <v>0</v>
      </c>
      <c r="AO450" s="712">
        <v>0</v>
      </c>
      <c r="AP450" s="712">
        <v>0</v>
      </c>
      <c r="AQ450" s="712">
        <v>0</v>
      </c>
      <c r="AR450" s="712">
        <v>0</v>
      </c>
      <c r="AS450" s="712">
        <v>0</v>
      </c>
      <c r="AT450">
        <v>318255226</v>
      </c>
      <c r="AU450" s="615"/>
      <c r="AV450" s="615"/>
      <c r="AW450" s="615"/>
      <c r="AX450" s="615"/>
      <c r="AY450" s="615"/>
      <c r="AZ450" s="615"/>
      <c r="BA450" s="615"/>
      <c r="BB450" s="615"/>
      <c r="BC450" s="615"/>
      <c r="BD450" s="615"/>
      <c r="BE450" s="615"/>
      <c r="BF450" s="615"/>
      <c r="BG450" s="615"/>
      <c r="BH450" s="615"/>
      <c r="BI450" s="615"/>
      <c r="BJ450" s="615"/>
      <c r="BK450" s="615"/>
      <c r="BL450" s="615"/>
      <c r="BM450" s="615"/>
      <c r="BN450" s="615"/>
      <c r="BO450" s="615"/>
      <c r="BP450" s="615"/>
      <c r="BQ450" s="615"/>
      <c r="BR450" s="615"/>
      <c r="BS450" s="615"/>
      <c r="BT450" s="615"/>
      <c r="BU450" s="615"/>
      <c r="BV450" s="615"/>
      <c r="BW450" s="615"/>
      <c r="BX450" s="607"/>
    </row>
    <row r="451" spans="1:76" ht="25.5" x14ac:dyDescent="0.2">
      <c r="A451" s="839"/>
      <c r="B451" s="713" t="s">
        <v>1467</v>
      </c>
      <c r="C451" s="713" t="s">
        <v>3583</v>
      </c>
      <c r="D451" s="712">
        <v>0</v>
      </c>
      <c r="E451" s="712">
        <v>0</v>
      </c>
      <c r="F451" s="712">
        <v>0</v>
      </c>
      <c r="G451" s="712">
        <v>0</v>
      </c>
      <c r="H451" s="712">
        <v>0</v>
      </c>
      <c r="I451" s="712">
        <v>0</v>
      </c>
      <c r="J451" s="712">
        <v>0</v>
      </c>
      <c r="K451" s="712">
        <v>0</v>
      </c>
      <c r="L451" s="712">
        <v>0</v>
      </c>
      <c r="M451" s="712">
        <v>0</v>
      </c>
      <c r="N451" s="712">
        <v>0</v>
      </c>
      <c r="O451" s="712">
        <v>0</v>
      </c>
      <c r="P451" s="712">
        <v>0</v>
      </c>
      <c r="Q451" s="712">
        <v>0</v>
      </c>
      <c r="R451" s="712">
        <v>304627554</v>
      </c>
      <c r="S451" s="712">
        <v>0</v>
      </c>
      <c r="T451" s="712">
        <v>0</v>
      </c>
      <c r="U451" s="712">
        <v>0</v>
      </c>
      <c r="V451" s="712">
        <v>0</v>
      </c>
      <c r="W451" s="712">
        <v>0</v>
      </c>
      <c r="X451" s="712">
        <v>0</v>
      </c>
      <c r="Y451" s="712">
        <v>0</v>
      </c>
      <c r="Z451" s="712">
        <v>0</v>
      </c>
      <c r="AA451" s="712">
        <v>0</v>
      </c>
      <c r="AB451" s="712">
        <v>0</v>
      </c>
      <c r="AC451" s="712">
        <v>0</v>
      </c>
      <c r="AD451" s="712">
        <v>0</v>
      </c>
      <c r="AE451" s="712">
        <v>0</v>
      </c>
      <c r="AF451" s="712">
        <v>0</v>
      </c>
      <c r="AG451" s="712">
        <v>0</v>
      </c>
      <c r="AH451" s="712">
        <v>0</v>
      </c>
      <c r="AI451" s="712">
        <v>0</v>
      </c>
      <c r="AJ451" s="712">
        <v>0</v>
      </c>
      <c r="AK451" s="712">
        <v>0</v>
      </c>
      <c r="AL451" s="712">
        <v>0</v>
      </c>
      <c r="AM451" s="712">
        <v>0</v>
      </c>
      <c r="AN451" s="712">
        <v>0</v>
      </c>
      <c r="AO451" s="712">
        <v>0</v>
      </c>
      <c r="AP451" s="712">
        <v>0</v>
      </c>
      <c r="AQ451" s="712">
        <v>0</v>
      </c>
      <c r="AR451" s="712">
        <v>0</v>
      </c>
      <c r="AS451" s="712">
        <v>0</v>
      </c>
      <c r="AT451">
        <v>304627554</v>
      </c>
      <c r="AU451" s="615"/>
      <c r="AV451" s="615"/>
      <c r="AW451" s="615"/>
      <c r="AX451" s="615"/>
      <c r="AY451" s="615"/>
      <c r="AZ451" s="615"/>
      <c r="BA451" s="615"/>
      <c r="BB451" s="615"/>
      <c r="BC451" s="615"/>
      <c r="BD451" s="615"/>
      <c r="BE451" s="615"/>
      <c r="BF451" s="615"/>
      <c r="BG451" s="615"/>
      <c r="BH451" s="615"/>
      <c r="BI451" s="615"/>
      <c r="BJ451" s="615"/>
      <c r="BK451" s="615"/>
      <c r="BL451" s="615"/>
      <c r="BM451" s="615"/>
      <c r="BN451" s="615"/>
      <c r="BO451" s="615"/>
      <c r="BP451" s="615"/>
      <c r="BQ451" s="615"/>
      <c r="BR451" s="615"/>
      <c r="BS451" s="615"/>
      <c r="BT451" s="615"/>
      <c r="BU451" s="615"/>
      <c r="BV451" s="615"/>
      <c r="BW451" s="615"/>
      <c r="BX451" s="607"/>
    </row>
    <row r="452" spans="1:76" ht="25.5" x14ac:dyDescent="0.2">
      <c r="A452" s="839"/>
      <c r="B452" s="713" t="s">
        <v>1121</v>
      </c>
      <c r="C452" s="713" t="s">
        <v>3551</v>
      </c>
      <c r="D452" s="712">
        <v>0</v>
      </c>
      <c r="E452" s="712">
        <v>0</v>
      </c>
      <c r="F452" s="712">
        <v>0</v>
      </c>
      <c r="G452" s="712">
        <v>0</v>
      </c>
      <c r="H452" s="712">
        <v>0</v>
      </c>
      <c r="I452" s="712">
        <v>0</v>
      </c>
      <c r="J452" s="712">
        <v>0</v>
      </c>
      <c r="K452" s="712">
        <v>0</v>
      </c>
      <c r="L452" s="712">
        <v>0</v>
      </c>
      <c r="M452" s="712">
        <v>0</v>
      </c>
      <c r="N452" s="712">
        <v>0</v>
      </c>
      <c r="O452" s="712">
        <v>0</v>
      </c>
      <c r="P452" s="712">
        <v>0</v>
      </c>
      <c r="Q452" s="712">
        <v>0</v>
      </c>
      <c r="R452" s="712">
        <v>278512248</v>
      </c>
      <c r="S452" s="712">
        <v>0</v>
      </c>
      <c r="T452" s="712">
        <v>0</v>
      </c>
      <c r="U452" s="712">
        <v>0</v>
      </c>
      <c r="V452" s="712">
        <v>0</v>
      </c>
      <c r="W452" s="712">
        <v>0</v>
      </c>
      <c r="X452" s="712">
        <v>0</v>
      </c>
      <c r="Y452" s="712">
        <v>0</v>
      </c>
      <c r="Z452" s="712">
        <v>0</v>
      </c>
      <c r="AA452" s="712">
        <v>0</v>
      </c>
      <c r="AB452" s="712">
        <v>0</v>
      </c>
      <c r="AC452" s="712">
        <v>0</v>
      </c>
      <c r="AD452" s="712">
        <v>0</v>
      </c>
      <c r="AE452" s="712">
        <v>0</v>
      </c>
      <c r="AF452" s="712">
        <v>0</v>
      </c>
      <c r="AG452" s="712">
        <v>0</v>
      </c>
      <c r="AH452" s="712">
        <v>0</v>
      </c>
      <c r="AI452" s="712">
        <v>0</v>
      </c>
      <c r="AJ452" s="712">
        <v>0</v>
      </c>
      <c r="AK452" s="712">
        <v>0</v>
      </c>
      <c r="AL452" s="712">
        <v>0</v>
      </c>
      <c r="AM452" s="712">
        <v>0</v>
      </c>
      <c r="AN452" s="712">
        <v>0</v>
      </c>
      <c r="AO452" s="712">
        <v>0</v>
      </c>
      <c r="AP452" s="712">
        <v>0</v>
      </c>
      <c r="AQ452" s="712">
        <v>0</v>
      </c>
      <c r="AR452" s="712">
        <v>0</v>
      </c>
      <c r="AS452" s="712">
        <v>0</v>
      </c>
      <c r="AT452">
        <v>278512248</v>
      </c>
      <c r="AU452" s="615"/>
      <c r="AV452" s="615"/>
      <c r="AW452" s="615"/>
      <c r="AX452" s="615"/>
      <c r="AY452" s="615"/>
      <c r="AZ452" s="615"/>
      <c r="BA452" s="615"/>
      <c r="BB452" s="615"/>
      <c r="BC452" s="615"/>
      <c r="BD452" s="615"/>
      <c r="BE452" s="615"/>
      <c r="BF452" s="615"/>
      <c r="BG452" s="615"/>
      <c r="BH452" s="615"/>
      <c r="BI452" s="615"/>
      <c r="BJ452" s="615"/>
      <c r="BK452" s="615"/>
      <c r="BL452" s="615"/>
      <c r="BM452" s="615"/>
      <c r="BN452" s="615"/>
      <c r="BO452" s="615"/>
      <c r="BP452" s="615"/>
      <c r="BQ452" s="615"/>
      <c r="BR452" s="615"/>
      <c r="BS452" s="615"/>
      <c r="BT452" s="615"/>
      <c r="BU452" s="615"/>
      <c r="BV452" s="615"/>
      <c r="BW452" s="615"/>
      <c r="BX452" s="607"/>
    </row>
    <row r="453" spans="1:76" ht="25.5" x14ac:dyDescent="0.2">
      <c r="A453" s="839"/>
      <c r="B453" s="713" t="s">
        <v>1146</v>
      </c>
      <c r="C453" s="713" t="s">
        <v>3510</v>
      </c>
      <c r="D453" s="712">
        <v>0</v>
      </c>
      <c r="E453" s="712">
        <v>0</v>
      </c>
      <c r="F453" s="712">
        <v>0</v>
      </c>
      <c r="G453" s="712">
        <v>0</v>
      </c>
      <c r="H453" s="712">
        <v>0</v>
      </c>
      <c r="I453" s="712">
        <v>0</v>
      </c>
      <c r="J453" s="712">
        <v>0</v>
      </c>
      <c r="K453" s="712">
        <v>0</v>
      </c>
      <c r="L453" s="712">
        <v>0</v>
      </c>
      <c r="M453" s="712">
        <v>0</v>
      </c>
      <c r="N453" s="712">
        <v>0</v>
      </c>
      <c r="O453" s="712">
        <v>0</v>
      </c>
      <c r="P453" s="712">
        <v>0</v>
      </c>
      <c r="Q453" s="712">
        <v>0</v>
      </c>
      <c r="R453" s="712">
        <v>220123042</v>
      </c>
      <c r="S453" s="712">
        <v>0</v>
      </c>
      <c r="T453" s="712">
        <v>0</v>
      </c>
      <c r="U453" s="712">
        <v>0</v>
      </c>
      <c r="V453" s="712">
        <v>0</v>
      </c>
      <c r="W453" s="712">
        <v>0</v>
      </c>
      <c r="X453" s="712">
        <v>0</v>
      </c>
      <c r="Y453" s="712">
        <v>0</v>
      </c>
      <c r="Z453" s="712">
        <v>0</v>
      </c>
      <c r="AA453" s="712">
        <v>0</v>
      </c>
      <c r="AB453" s="712">
        <v>0</v>
      </c>
      <c r="AC453" s="712">
        <v>0</v>
      </c>
      <c r="AD453" s="712">
        <v>0</v>
      </c>
      <c r="AE453" s="712">
        <v>0</v>
      </c>
      <c r="AF453" s="712">
        <v>0</v>
      </c>
      <c r="AG453" s="712">
        <v>0</v>
      </c>
      <c r="AH453" s="712">
        <v>0</v>
      </c>
      <c r="AI453" s="712">
        <v>0</v>
      </c>
      <c r="AJ453" s="712">
        <v>0</v>
      </c>
      <c r="AK453" s="712">
        <v>0</v>
      </c>
      <c r="AL453" s="712">
        <v>0</v>
      </c>
      <c r="AM453" s="712">
        <v>0</v>
      </c>
      <c r="AN453" s="712">
        <v>0</v>
      </c>
      <c r="AO453" s="712">
        <v>0</v>
      </c>
      <c r="AP453" s="712">
        <v>0</v>
      </c>
      <c r="AQ453" s="712">
        <v>0</v>
      </c>
      <c r="AR453" s="712">
        <v>0</v>
      </c>
      <c r="AS453" s="712">
        <v>0</v>
      </c>
      <c r="AT453">
        <v>220123042</v>
      </c>
      <c r="AU453" s="615"/>
      <c r="AV453" s="615"/>
      <c r="AW453" s="615"/>
      <c r="AX453" s="615"/>
      <c r="AY453" s="615"/>
      <c r="AZ453" s="615"/>
      <c r="BA453" s="615"/>
      <c r="BB453" s="615"/>
      <c r="BC453" s="615"/>
      <c r="BD453" s="615"/>
      <c r="BE453" s="615"/>
      <c r="BF453" s="615"/>
      <c r="BG453" s="615"/>
      <c r="BH453" s="615"/>
      <c r="BI453" s="615"/>
      <c r="BJ453" s="615"/>
      <c r="BK453" s="615"/>
      <c r="BL453" s="615"/>
      <c r="BM453" s="615"/>
      <c r="BN453" s="615"/>
      <c r="BO453" s="615"/>
      <c r="BP453" s="615"/>
      <c r="BQ453" s="615"/>
      <c r="BR453" s="615"/>
      <c r="BS453" s="615"/>
      <c r="BT453" s="615"/>
      <c r="BU453" s="615"/>
      <c r="BV453" s="615"/>
      <c r="BW453" s="615"/>
      <c r="BX453" s="607"/>
    </row>
    <row r="454" spans="1:76" ht="25.5" x14ac:dyDescent="0.2">
      <c r="A454" s="839"/>
      <c r="B454" s="713" t="s">
        <v>1529</v>
      </c>
      <c r="C454" s="713" t="s">
        <v>3536</v>
      </c>
      <c r="D454" s="712">
        <v>0</v>
      </c>
      <c r="E454" s="712">
        <v>0</v>
      </c>
      <c r="F454" s="712">
        <v>0</v>
      </c>
      <c r="G454" s="712">
        <v>0</v>
      </c>
      <c r="H454" s="712">
        <v>0</v>
      </c>
      <c r="I454" s="712">
        <v>0</v>
      </c>
      <c r="J454" s="712">
        <v>0</v>
      </c>
      <c r="K454" s="712">
        <v>0</v>
      </c>
      <c r="L454" s="712">
        <v>0</v>
      </c>
      <c r="M454" s="712">
        <v>0</v>
      </c>
      <c r="N454" s="712">
        <v>0</v>
      </c>
      <c r="O454" s="712">
        <v>0</v>
      </c>
      <c r="P454" s="712">
        <v>0</v>
      </c>
      <c r="Q454" s="712">
        <v>0</v>
      </c>
      <c r="R454" s="712">
        <v>305777241</v>
      </c>
      <c r="S454" s="712">
        <v>0</v>
      </c>
      <c r="T454" s="712">
        <v>0</v>
      </c>
      <c r="U454" s="712">
        <v>0</v>
      </c>
      <c r="V454" s="712">
        <v>0</v>
      </c>
      <c r="W454" s="712">
        <v>0</v>
      </c>
      <c r="X454" s="712">
        <v>0</v>
      </c>
      <c r="Y454" s="712">
        <v>0</v>
      </c>
      <c r="Z454" s="712">
        <v>0</v>
      </c>
      <c r="AA454" s="712">
        <v>0</v>
      </c>
      <c r="AB454" s="712">
        <v>0</v>
      </c>
      <c r="AC454" s="712">
        <v>0</v>
      </c>
      <c r="AD454" s="712">
        <v>0</v>
      </c>
      <c r="AE454" s="712">
        <v>0</v>
      </c>
      <c r="AF454" s="712">
        <v>0</v>
      </c>
      <c r="AG454" s="712">
        <v>0</v>
      </c>
      <c r="AH454" s="712">
        <v>0</v>
      </c>
      <c r="AI454" s="712">
        <v>0</v>
      </c>
      <c r="AJ454" s="712">
        <v>0</v>
      </c>
      <c r="AK454" s="712">
        <v>0</v>
      </c>
      <c r="AL454" s="712">
        <v>0</v>
      </c>
      <c r="AM454" s="712">
        <v>0</v>
      </c>
      <c r="AN454" s="712">
        <v>0</v>
      </c>
      <c r="AO454" s="712">
        <v>0</v>
      </c>
      <c r="AP454" s="712">
        <v>0</v>
      </c>
      <c r="AQ454" s="712">
        <v>0</v>
      </c>
      <c r="AR454" s="712">
        <v>0</v>
      </c>
      <c r="AS454" s="712">
        <v>0</v>
      </c>
      <c r="AT454">
        <v>305777241</v>
      </c>
      <c r="AU454" s="615"/>
      <c r="AV454" s="615"/>
      <c r="AW454" s="615"/>
      <c r="AX454" s="615"/>
      <c r="AY454" s="615"/>
      <c r="AZ454" s="615"/>
      <c r="BA454" s="615"/>
      <c r="BB454" s="615"/>
      <c r="BC454" s="615"/>
      <c r="BD454" s="615"/>
      <c r="BE454" s="615"/>
      <c r="BF454" s="615"/>
      <c r="BG454" s="615"/>
      <c r="BH454" s="615"/>
      <c r="BI454" s="615"/>
      <c r="BJ454" s="615"/>
      <c r="BK454" s="615"/>
      <c r="BL454" s="615"/>
      <c r="BM454" s="615"/>
      <c r="BN454" s="615"/>
      <c r="BO454" s="615"/>
      <c r="BP454" s="615"/>
      <c r="BQ454" s="615"/>
      <c r="BR454" s="615"/>
      <c r="BS454" s="615"/>
      <c r="BT454" s="615"/>
      <c r="BU454" s="615"/>
      <c r="BV454" s="615"/>
      <c r="BW454" s="615"/>
      <c r="BX454" s="607"/>
    </row>
    <row r="455" spans="1:76" ht="25.5" x14ac:dyDescent="0.2">
      <c r="A455" s="839"/>
      <c r="B455" s="713" t="s">
        <v>2247</v>
      </c>
      <c r="C455" s="713" t="s">
        <v>3595</v>
      </c>
      <c r="D455" s="712">
        <v>0</v>
      </c>
      <c r="E455" s="712">
        <v>0</v>
      </c>
      <c r="F455" s="712">
        <v>0</v>
      </c>
      <c r="G455" s="712">
        <v>0</v>
      </c>
      <c r="H455" s="712">
        <v>0</v>
      </c>
      <c r="I455" s="712">
        <v>0</v>
      </c>
      <c r="J455" s="712">
        <v>0</v>
      </c>
      <c r="K455" s="712">
        <v>0</v>
      </c>
      <c r="L455" s="712">
        <v>0</v>
      </c>
      <c r="M455" s="712">
        <v>0</v>
      </c>
      <c r="N455" s="712">
        <v>0</v>
      </c>
      <c r="O455" s="712">
        <v>0</v>
      </c>
      <c r="P455" s="712">
        <v>0</v>
      </c>
      <c r="Q455" s="712">
        <v>0</v>
      </c>
      <c r="R455" s="712">
        <v>116209323</v>
      </c>
      <c r="S455" s="712">
        <v>0</v>
      </c>
      <c r="T455" s="712">
        <v>0</v>
      </c>
      <c r="U455" s="712">
        <v>0</v>
      </c>
      <c r="V455" s="712">
        <v>0</v>
      </c>
      <c r="W455" s="712">
        <v>0</v>
      </c>
      <c r="X455" s="712">
        <v>0</v>
      </c>
      <c r="Y455" s="712">
        <v>0</v>
      </c>
      <c r="Z455" s="712">
        <v>0</v>
      </c>
      <c r="AA455" s="712">
        <v>0</v>
      </c>
      <c r="AB455" s="712">
        <v>0</v>
      </c>
      <c r="AC455" s="712">
        <v>0</v>
      </c>
      <c r="AD455" s="712">
        <v>0</v>
      </c>
      <c r="AE455" s="712">
        <v>0</v>
      </c>
      <c r="AF455" s="712">
        <v>0</v>
      </c>
      <c r="AG455" s="712">
        <v>0</v>
      </c>
      <c r="AH455" s="712">
        <v>0</v>
      </c>
      <c r="AI455" s="712">
        <v>0</v>
      </c>
      <c r="AJ455" s="712">
        <v>0</v>
      </c>
      <c r="AK455" s="712">
        <v>0</v>
      </c>
      <c r="AL455" s="712">
        <v>0</v>
      </c>
      <c r="AM455" s="712">
        <v>0</v>
      </c>
      <c r="AN455" s="712">
        <v>0</v>
      </c>
      <c r="AO455" s="712">
        <v>0</v>
      </c>
      <c r="AP455" s="712">
        <v>0</v>
      </c>
      <c r="AQ455" s="712">
        <v>0</v>
      </c>
      <c r="AR455" s="712">
        <v>0</v>
      </c>
      <c r="AS455" s="712">
        <v>0</v>
      </c>
      <c r="AT455">
        <v>116209323</v>
      </c>
      <c r="AU455" s="615"/>
      <c r="AV455" s="615"/>
      <c r="AW455" s="615"/>
      <c r="AX455" s="615"/>
      <c r="AY455" s="615"/>
      <c r="AZ455" s="615"/>
      <c r="BA455" s="615"/>
      <c r="BB455" s="615"/>
      <c r="BC455" s="615"/>
      <c r="BD455" s="615"/>
      <c r="BE455" s="615"/>
      <c r="BF455" s="615"/>
      <c r="BG455" s="615"/>
      <c r="BH455" s="615"/>
      <c r="BI455" s="615"/>
      <c r="BJ455" s="615"/>
      <c r="BK455" s="615"/>
      <c r="BL455" s="615"/>
      <c r="BM455" s="615"/>
      <c r="BN455" s="615"/>
      <c r="BO455" s="615"/>
      <c r="BP455" s="615"/>
      <c r="BQ455" s="615"/>
      <c r="BR455" s="615"/>
      <c r="BS455" s="615"/>
      <c r="BT455" s="615"/>
      <c r="BU455" s="615"/>
      <c r="BV455" s="615"/>
      <c r="BW455" s="615"/>
      <c r="BX455" s="607"/>
    </row>
    <row r="456" spans="1:76" ht="25.5" x14ac:dyDescent="0.2">
      <c r="A456" s="839"/>
      <c r="B456" s="713" t="s">
        <v>1473</v>
      </c>
      <c r="C456" s="713" t="s">
        <v>3554</v>
      </c>
      <c r="D456" s="712">
        <v>0</v>
      </c>
      <c r="E456" s="712">
        <v>0</v>
      </c>
      <c r="F456" s="712">
        <v>0</v>
      </c>
      <c r="G456" s="712">
        <v>0</v>
      </c>
      <c r="H456" s="712">
        <v>0</v>
      </c>
      <c r="I456" s="712">
        <v>0</v>
      </c>
      <c r="J456" s="712">
        <v>0</v>
      </c>
      <c r="K456" s="712">
        <v>0</v>
      </c>
      <c r="L456" s="712">
        <v>0</v>
      </c>
      <c r="M456" s="712">
        <v>0</v>
      </c>
      <c r="N456" s="712">
        <v>0</v>
      </c>
      <c r="O456" s="712">
        <v>0</v>
      </c>
      <c r="P456" s="712">
        <v>0</v>
      </c>
      <c r="Q456" s="712">
        <v>0</v>
      </c>
      <c r="R456" s="712">
        <v>0</v>
      </c>
      <c r="S456" s="712">
        <v>909231</v>
      </c>
      <c r="T456" s="712">
        <v>3909234</v>
      </c>
      <c r="U456" s="712">
        <v>3909234</v>
      </c>
      <c r="V456" s="712">
        <v>3909234</v>
      </c>
      <c r="W456" s="712">
        <v>3909234</v>
      </c>
      <c r="X456" s="712">
        <v>3909240</v>
      </c>
      <c r="Y456" s="712">
        <v>361172269</v>
      </c>
      <c r="Z456" s="712">
        <v>0</v>
      </c>
      <c r="AA456" s="712">
        <v>0</v>
      </c>
      <c r="AB456" s="712">
        <v>0</v>
      </c>
      <c r="AC456" s="712">
        <v>0</v>
      </c>
      <c r="AD456" s="712">
        <v>0</v>
      </c>
      <c r="AE456" s="712">
        <v>0</v>
      </c>
      <c r="AF456" s="712">
        <v>0</v>
      </c>
      <c r="AG456" s="712">
        <v>0</v>
      </c>
      <c r="AH456" s="712">
        <v>0</v>
      </c>
      <c r="AI456" s="712">
        <v>0</v>
      </c>
      <c r="AJ456" s="712">
        <v>0</v>
      </c>
      <c r="AK456" s="712">
        <v>0</v>
      </c>
      <c r="AL456" s="712">
        <v>0</v>
      </c>
      <c r="AM456" s="712">
        <v>0</v>
      </c>
      <c r="AN456" s="712">
        <v>0</v>
      </c>
      <c r="AO456" s="712">
        <v>0</v>
      </c>
      <c r="AP456" s="712">
        <v>0</v>
      </c>
      <c r="AQ456" s="712">
        <v>0</v>
      </c>
      <c r="AR456" s="712">
        <v>0</v>
      </c>
      <c r="AS456" s="712">
        <v>0</v>
      </c>
      <c r="AT456">
        <v>381627676</v>
      </c>
      <c r="AU456" s="615"/>
      <c r="AV456" s="615"/>
      <c r="AW456" s="615"/>
      <c r="AX456" s="615"/>
      <c r="AY456" s="615"/>
      <c r="AZ456" s="615"/>
      <c r="BA456" s="615"/>
      <c r="BB456" s="615"/>
      <c r="BC456" s="615"/>
      <c r="BD456" s="615"/>
      <c r="BE456" s="615"/>
      <c r="BF456" s="615"/>
      <c r="BG456" s="615"/>
      <c r="BH456" s="615"/>
      <c r="BI456" s="615"/>
      <c r="BJ456" s="615"/>
      <c r="BK456" s="615"/>
      <c r="BL456" s="615"/>
      <c r="BM456" s="615"/>
      <c r="BN456" s="615"/>
      <c r="BO456" s="615"/>
      <c r="BP456" s="615"/>
      <c r="BQ456" s="615"/>
      <c r="BR456" s="615"/>
      <c r="BS456" s="615"/>
      <c r="BT456" s="615"/>
      <c r="BU456" s="615"/>
      <c r="BV456" s="615"/>
      <c r="BW456" s="615"/>
      <c r="BX456" s="607"/>
    </row>
    <row r="457" spans="1:76" ht="25.5" x14ac:dyDescent="0.2">
      <c r="A457" s="839"/>
      <c r="B457" s="713" t="s">
        <v>1224</v>
      </c>
      <c r="C457" s="713" t="s">
        <v>3523</v>
      </c>
      <c r="D457" s="712">
        <v>0</v>
      </c>
      <c r="E457" s="712">
        <v>0</v>
      </c>
      <c r="F457" s="712">
        <v>0</v>
      </c>
      <c r="G457" s="712">
        <v>0</v>
      </c>
      <c r="H457" s="712">
        <v>0</v>
      </c>
      <c r="I457" s="712">
        <v>0</v>
      </c>
      <c r="J457" s="712">
        <v>0</v>
      </c>
      <c r="K457" s="712">
        <v>0</v>
      </c>
      <c r="L457" s="712">
        <v>0</v>
      </c>
      <c r="M457" s="712">
        <v>0</v>
      </c>
      <c r="N457" s="712">
        <v>0</v>
      </c>
      <c r="O457" s="712">
        <v>0</v>
      </c>
      <c r="P457" s="712">
        <v>0</v>
      </c>
      <c r="Q457" s="712">
        <v>0</v>
      </c>
      <c r="R457" s="712">
        <v>0</v>
      </c>
      <c r="S457" s="712">
        <v>0</v>
      </c>
      <c r="T457" s="712">
        <v>0</v>
      </c>
      <c r="U457" s="712">
        <v>0</v>
      </c>
      <c r="V457" s="712">
        <v>0</v>
      </c>
      <c r="W457" s="712">
        <v>0</v>
      </c>
      <c r="X457" s="712">
        <v>0</v>
      </c>
      <c r="Y457" s="712">
        <v>0</v>
      </c>
      <c r="Z457" s="712">
        <v>0</v>
      </c>
      <c r="AA457" s="712">
        <v>0</v>
      </c>
      <c r="AB457" s="712">
        <v>0</v>
      </c>
      <c r="AC457" s="712">
        <v>0</v>
      </c>
      <c r="AD457" s="712">
        <v>0</v>
      </c>
      <c r="AE457" s="712">
        <v>0</v>
      </c>
      <c r="AF457" s="712">
        <v>0</v>
      </c>
      <c r="AG457" s="712">
        <v>0</v>
      </c>
      <c r="AH457" s="712">
        <v>0</v>
      </c>
      <c r="AI457" s="712">
        <v>0</v>
      </c>
      <c r="AJ457" s="712">
        <v>0</v>
      </c>
      <c r="AK457" s="712">
        <v>0</v>
      </c>
      <c r="AL457" s="712">
        <v>0</v>
      </c>
      <c r="AM457" s="712">
        <v>0</v>
      </c>
      <c r="AN457" s="712">
        <v>0</v>
      </c>
      <c r="AO457" s="712">
        <v>0</v>
      </c>
      <c r="AP457" s="712">
        <v>0</v>
      </c>
      <c r="AQ457" s="712">
        <v>0</v>
      </c>
      <c r="AR457" s="712">
        <v>0</v>
      </c>
      <c r="AS457" s="712">
        <v>0</v>
      </c>
      <c r="AT457">
        <v>0</v>
      </c>
      <c r="AU457" s="615"/>
      <c r="AV457" s="615"/>
      <c r="AW457" s="615"/>
      <c r="AX457" s="615"/>
      <c r="AY457" s="615"/>
      <c r="AZ457" s="615"/>
      <c r="BA457" s="615"/>
      <c r="BB457" s="615"/>
      <c r="BC457" s="615"/>
      <c r="BD457" s="615"/>
      <c r="BE457" s="615"/>
      <c r="BF457" s="615"/>
      <c r="BG457" s="615"/>
      <c r="BH457" s="615"/>
      <c r="BI457" s="615"/>
      <c r="BJ457" s="615"/>
      <c r="BK457" s="615"/>
      <c r="BL457" s="615"/>
      <c r="BM457" s="615"/>
      <c r="BN457" s="615"/>
      <c r="BO457" s="615"/>
      <c r="BP457" s="615"/>
      <c r="BQ457" s="615"/>
      <c r="BR457" s="615"/>
      <c r="BS457" s="615"/>
      <c r="BT457" s="615"/>
      <c r="BU457" s="615"/>
      <c r="BV457" s="615"/>
      <c r="BW457" s="615"/>
      <c r="BX457" s="607"/>
    </row>
    <row r="458" spans="1:76" ht="25.5" x14ac:dyDescent="0.2">
      <c r="A458" s="839"/>
      <c r="B458" s="713" t="s">
        <v>1081</v>
      </c>
      <c r="C458" s="713" t="s">
        <v>3573</v>
      </c>
      <c r="D458" s="712">
        <v>0</v>
      </c>
      <c r="E458" s="712">
        <v>0</v>
      </c>
      <c r="F458" s="712">
        <v>0</v>
      </c>
      <c r="G458" s="712">
        <v>0</v>
      </c>
      <c r="H458" s="712">
        <v>0</v>
      </c>
      <c r="I458" s="712">
        <v>0</v>
      </c>
      <c r="J458" s="712">
        <v>0</v>
      </c>
      <c r="K458" s="712">
        <v>0</v>
      </c>
      <c r="L458" s="712">
        <v>0</v>
      </c>
      <c r="M458" s="712">
        <v>0</v>
      </c>
      <c r="N458" s="712">
        <v>0</v>
      </c>
      <c r="O458" s="712">
        <v>0</v>
      </c>
      <c r="P458" s="712">
        <v>220260854</v>
      </c>
      <c r="Q458" s="712">
        <v>0</v>
      </c>
      <c r="R458" s="712">
        <v>0</v>
      </c>
      <c r="S458" s="712">
        <v>0</v>
      </c>
      <c r="T458" s="712">
        <v>0</v>
      </c>
      <c r="U458" s="712">
        <v>0</v>
      </c>
      <c r="V458" s="712">
        <v>0</v>
      </c>
      <c r="W458" s="712">
        <v>0</v>
      </c>
      <c r="X458" s="712">
        <v>0</v>
      </c>
      <c r="Y458" s="712">
        <v>0</v>
      </c>
      <c r="Z458" s="712">
        <v>0</v>
      </c>
      <c r="AA458" s="712">
        <v>0</v>
      </c>
      <c r="AB458" s="712">
        <v>0</v>
      </c>
      <c r="AC458" s="712">
        <v>0</v>
      </c>
      <c r="AD458" s="712">
        <v>0</v>
      </c>
      <c r="AE458" s="712">
        <v>0</v>
      </c>
      <c r="AF458" s="712">
        <v>0</v>
      </c>
      <c r="AG458" s="712">
        <v>0</v>
      </c>
      <c r="AH458" s="712">
        <v>0</v>
      </c>
      <c r="AI458" s="712">
        <v>0</v>
      </c>
      <c r="AJ458" s="712">
        <v>0</v>
      </c>
      <c r="AK458" s="712">
        <v>0</v>
      </c>
      <c r="AL458" s="712">
        <v>0</v>
      </c>
      <c r="AM458" s="712">
        <v>0</v>
      </c>
      <c r="AN458" s="712">
        <v>0</v>
      </c>
      <c r="AO458" s="712">
        <v>0</v>
      </c>
      <c r="AP458" s="712">
        <v>0</v>
      </c>
      <c r="AQ458" s="712">
        <v>0</v>
      </c>
      <c r="AR458" s="712">
        <v>0</v>
      </c>
      <c r="AS458" s="712">
        <v>0</v>
      </c>
      <c r="AT458">
        <v>220260854</v>
      </c>
      <c r="AU458" s="615"/>
      <c r="AV458" s="615"/>
      <c r="AW458" s="615"/>
      <c r="AX458" s="615"/>
      <c r="AY458" s="615"/>
      <c r="AZ458" s="615"/>
      <c r="BA458" s="615"/>
      <c r="BB458" s="615"/>
      <c r="BC458" s="615"/>
      <c r="BD458" s="615"/>
      <c r="BE458" s="615"/>
      <c r="BF458" s="615"/>
      <c r="BG458" s="615"/>
      <c r="BH458" s="615"/>
      <c r="BI458" s="615"/>
      <c r="BJ458" s="615"/>
      <c r="BK458" s="615"/>
      <c r="BL458" s="615"/>
      <c r="BM458" s="615"/>
      <c r="BN458" s="615"/>
      <c r="BO458" s="615"/>
      <c r="BP458" s="615"/>
      <c r="BQ458" s="615"/>
      <c r="BR458" s="615"/>
      <c r="BS458" s="615"/>
      <c r="BT458" s="615"/>
      <c r="BU458" s="615"/>
      <c r="BV458" s="615"/>
      <c r="BW458" s="615"/>
      <c r="BX458" s="607"/>
    </row>
    <row r="459" spans="1:76" ht="25.5" x14ac:dyDescent="0.2">
      <c r="A459" s="839"/>
      <c r="B459" s="713" t="s">
        <v>4287</v>
      </c>
      <c r="C459" s="713" t="s">
        <v>3512</v>
      </c>
      <c r="D459" s="712">
        <v>0</v>
      </c>
      <c r="E459" s="712">
        <v>0</v>
      </c>
      <c r="F459" s="712">
        <v>0</v>
      </c>
      <c r="G459" s="712">
        <v>0</v>
      </c>
      <c r="H459" s="712">
        <v>0</v>
      </c>
      <c r="I459" s="712">
        <v>0</v>
      </c>
      <c r="J459" s="712">
        <v>0</v>
      </c>
      <c r="K459" s="712">
        <v>0</v>
      </c>
      <c r="L459" s="712">
        <v>0</v>
      </c>
      <c r="M459" s="712">
        <v>0</v>
      </c>
      <c r="N459" s="712">
        <v>0</v>
      </c>
      <c r="O459" s="712">
        <v>0</v>
      </c>
      <c r="P459" s="712">
        <v>0</v>
      </c>
      <c r="Q459" s="712">
        <v>0</v>
      </c>
      <c r="R459" s="712">
        <v>282030000</v>
      </c>
      <c r="S459" s="712">
        <v>0</v>
      </c>
      <c r="T459" s="712">
        <v>0</v>
      </c>
      <c r="U459" s="712">
        <v>0</v>
      </c>
      <c r="V459" s="712">
        <v>0</v>
      </c>
      <c r="W459" s="712">
        <v>0</v>
      </c>
      <c r="X459" s="712">
        <v>0</v>
      </c>
      <c r="Y459" s="712">
        <v>0</v>
      </c>
      <c r="Z459" s="712">
        <v>0</v>
      </c>
      <c r="AA459" s="712">
        <v>0</v>
      </c>
      <c r="AB459" s="712">
        <v>0</v>
      </c>
      <c r="AC459" s="712">
        <v>0</v>
      </c>
      <c r="AD459" s="712">
        <v>0</v>
      </c>
      <c r="AE459" s="712">
        <v>0</v>
      </c>
      <c r="AF459" s="712">
        <v>0</v>
      </c>
      <c r="AG459" s="712">
        <v>0</v>
      </c>
      <c r="AH459" s="712">
        <v>0</v>
      </c>
      <c r="AI459" s="712">
        <v>0</v>
      </c>
      <c r="AJ459" s="712">
        <v>0</v>
      </c>
      <c r="AK459" s="712">
        <v>0</v>
      </c>
      <c r="AL459" s="712">
        <v>0</v>
      </c>
      <c r="AM459" s="712">
        <v>0</v>
      </c>
      <c r="AN459" s="712">
        <v>0</v>
      </c>
      <c r="AO459" s="712">
        <v>0</v>
      </c>
      <c r="AP459" s="712">
        <v>0</v>
      </c>
      <c r="AQ459" s="712">
        <v>0</v>
      </c>
      <c r="AR459" s="712">
        <v>0</v>
      </c>
      <c r="AS459" s="712">
        <v>0</v>
      </c>
      <c r="AT459">
        <v>282030000</v>
      </c>
      <c r="AU459" s="615"/>
      <c r="AV459" s="615"/>
      <c r="AW459" s="615"/>
      <c r="AX459" s="615"/>
      <c r="AY459" s="615"/>
      <c r="AZ459" s="615"/>
      <c r="BA459" s="615"/>
      <c r="BB459" s="615"/>
      <c r="BC459" s="615"/>
      <c r="BD459" s="615"/>
      <c r="BE459" s="615"/>
      <c r="BF459" s="615"/>
      <c r="BG459" s="615"/>
      <c r="BH459" s="615"/>
      <c r="BI459" s="615"/>
      <c r="BJ459" s="615"/>
      <c r="BK459" s="615"/>
      <c r="BL459" s="615"/>
      <c r="BM459" s="615"/>
      <c r="BN459" s="615"/>
      <c r="BO459" s="615"/>
      <c r="BP459" s="615"/>
      <c r="BQ459" s="615"/>
      <c r="BR459" s="615"/>
      <c r="BS459" s="615"/>
      <c r="BT459" s="615"/>
      <c r="BU459" s="615"/>
      <c r="BV459" s="615"/>
      <c r="BW459" s="615"/>
      <c r="BX459" s="607"/>
    </row>
    <row r="460" spans="1:76" ht="25.5" x14ac:dyDescent="0.2">
      <c r="A460" s="839"/>
      <c r="B460" s="713" t="s">
        <v>1239</v>
      </c>
      <c r="C460" s="713" t="s">
        <v>3581</v>
      </c>
      <c r="D460" s="712">
        <v>0</v>
      </c>
      <c r="E460" s="712">
        <v>0</v>
      </c>
      <c r="F460" s="712">
        <v>0</v>
      </c>
      <c r="G460" s="712">
        <v>0</v>
      </c>
      <c r="H460" s="712">
        <v>0</v>
      </c>
      <c r="I460" s="712">
        <v>0</v>
      </c>
      <c r="J460" s="712">
        <v>0</v>
      </c>
      <c r="K460" s="712">
        <v>0</v>
      </c>
      <c r="L460" s="712">
        <v>0</v>
      </c>
      <c r="M460" s="712">
        <v>0</v>
      </c>
      <c r="N460" s="712">
        <v>0</v>
      </c>
      <c r="O460" s="712">
        <v>0</v>
      </c>
      <c r="P460" s="712">
        <v>0</v>
      </c>
      <c r="Q460" s="712">
        <v>0</v>
      </c>
      <c r="R460" s="712">
        <v>99999196</v>
      </c>
      <c r="S460" s="712">
        <v>0</v>
      </c>
      <c r="T460" s="712">
        <v>0</v>
      </c>
      <c r="U460" s="712">
        <v>0</v>
      </c>
      <c r="V460" s="712">
        <v>0</v>
      </c>
      <c r="W460" s="712">
        <v>0</v>
      </c>
      <c r="X460" s="712">
        <v>0</v>
      </c>
      <c r="Y460" s="712">
        <v>0</v>
      </c>
      <c r="Z460" s="712">
        <v>0</v>
      </c>
      <c r="AA460" s="712">
        <v>0</v>
      </c>
      <c r="AB460" s="712">
        <v>0</v>
      </c>
      <c r="AC460" s="712">
        <v>0</v>
      </c>
      <c r="AD460" s="712">
        <v>0</v>
      </c>
      <c r="AE460" s="712">
        <v>0</v>
      </c>
      <c r="AF460" s="712">
        <v>0</v>
      </c>
      <c r="AG460" s="712">
        <v>0</v>
      </c>
      <c r="AH460" s="712">
        <v>0</v>
      </c>
      <c r="AI460" s="712">
        <v>0</v>
      </c>
      <c r="AJ460" s="712">
        <v>0</v>
      </c>
      <c r="AK460" s="712">
        <v>0</v>
      </c>
      <c r="AL460" s="712">
        <v>0</v>
      </c>
      <c r="AM460" s="712">
        <v>0</v>
      </c>
      <c r="AN460" s="712">
        <v>0</v>
      </c>
      <c r="AO460" s="712">
        <v>0</v>
      </c>
      <c r="AP460" s="712">
        <v>0</v>
      </c>
      <c r="AQ460" s="712">
        <v>0</v>
      </c>
      <c r="AR460" s="712">
        <v>0</v>
      </c>
      <c r="AS460" s="712">
        <v>0</v>
      </c>
      <c r="AT460">
        <v>99999196</v>
      </c>
      <c r="AU460" s="615"/>
      <c r="AV460" s="615"/>
      <c r="AW460" s="615"/>
      <c r="AX460" s="615"/>
      <c r="AY460" s="615"/>
      <c r="AZ460" s="615"/>
      <c r="BA460" s="615"/>
      <c r="BB460" s="615"/>
      <c r="BC460" s="615"/>
      <c r="BD460" s="615"/>
      <c r="BE460" s="615"/>
      <c r="BF460" s="615"/>
      <c r="BG460" s="615"/>
      <c r="BH460" s="615"/>
      <c r="BI460" s="615"/>
      <c r="BJ460" s="615"/>
      <c r="BK460" s="615"/>
      <c r="BL460" s="615"/>
      <c r="BM460" s="615"/>
      <c r="BN460" s="615"/>
      <c r="BO460" s="615"/>
      <c r="BP460" s="615"/>
      <c r="BQ460" s="615"/>
      <c r="BR460" s="615"/>
      <c r="BS460" s="615"/>
      <c r="BT460" s="615"/>
      <c r="BU460" s="615"/>
      <c r="BV460" s="615"/>
      <c r="BW460" s="615"/>
      <c r="BX460" s="607"/>
    </row>
    <row r="461" spans="1:76" ht="25.5" x14ac:dyDescent="0.2">
      <c r="A461" s="839"/>
      <c r="B461" s="713" t="s">
        <v>1126</v>
      </c>
      <c r="C461" s="713" t="s">
        <v>3619</v>
      </c>
      <c r="D461" s="712">
        <v>0</v>
      </c>
      <c r="E461" s="712">
        <v>0</v>
      </c>
      <c r="F461" s="712">
        <v>0</v>
      </c>
      <c r="G461" s="712">
        <v>0</v>
      </c>
      <c r="H461" s="712">
        <v>0</v>
      </c>
      <c r="I461" s="712">
        <v>0</v>
      </c>
      <c r="J461" s="712">
        <v>0</v>
      </c>
      <c r="K461" s="712">
        <v>0</v>
      </c>
      <c r="L461" s="712">
        <v>0</v>
      </c>
      <c r="M461" s="712">
        <v>0</v>
      </c>
      <c r="N461" s="712">
        <v>0</v>
      </c>
      <c r="O461" s="712">
        <v>0</v>
      </c>
      <c r="P461" s="712">
        <v>228043896</v>
      </c>
      <c r="Q461" s="712">
        <v>0</v>
      </c>
      <c r="R461" s="712">
        <v>0</v>
      </c>
      <c r="S461" s="712">
        <v>0</v>
      </c>
      <c r="T461" s="712">
        <v>0</v>
      </c>
      <c r="U461" s="712">
        <v>0</v>
      </c>
      <c r="V461" s="712">
        <v>0</v>
      </c>
      <c r="W461" s="712">
        <v>0</v>
      </c>
      <c r="X461" s="712">
        <v>0</v>
      </c>
      <c r="Y461" s="712">
        <v>0</v>
      </c>
      <c r="Z461" s="712">
        <v>0</v>
      </c>
      <c r="AA461" s="712">
        <v>0</v>
      </c>
      <c r="AB461" s="712">
        <v>0</v>
      </c>
      <c r="AC461" s="712">
        <v>0</v>
      </c>
      <c r="AD461" s="712">
        <v>0</v>
      </c>
      <c r="AE461" s="712">
        <v>0</v>
      </c>
      <c r="AF461" s="712">
        <v>0</v>
      </c>
      <c r="AG461" s="712">
        <v>0</v>
      </c>
      <c r="AH461" s="712">
        <v>0</v>
      </c>
      <c r="AI461" s="712">
        <v>0</v>
      </c>
      <c r="AJ461" s="712">
        <v>0</v>
      </c>
      <c r="AK461" s="712">
        <v>0</v>
      </c>
      <c r="AL461" s="712">
        <v>0</v>
      </c>
      <c r="AM461" s="712">
        <v>0</v>
      </c>
      <c r="AN461" s="712">
        <v>0</v>
      </c>
      <c r="AO461" s="712">
        <v>0</v>
      </c>
      <c r="AP461" s="712">
        <v>0</v>
      </c>
      <c r="AQ461" s="712">
        <v>0</v>
      </c>
      <c r="AR461" s="712">
        <v>0</v>
      </c>
      <c r="AS461" s="712">
        <v>0</v>
      </c>
      <c r="AT461">
        <v>228043896</v>
      </c>
      <c r="AU461" s="615"/>
      <c r="AV461" s="615"/>
      <c r="AW461" s="615"/>
      <c r="AX461" s="615"/>
      <c r="AY461" s="615"/>
      <c r="AZ461" s="615"/>
      <c r="BA461" s="615"/>
      <c r="BB461" s="615"/>
      <c r="BC461" s="615"/>
      <c r="BD461" s="615"/>
      <c r="BE461" s="615"/>
      <c r="BF461" s="615"/>
      <c r="BG461" s="615"/>
      <c r="BH461" s="615"/>
      <c r="BI461" s="615"/>
      <c r="BJ461" s="615"/>
      <c r="BK461" s="615"/>
      <c r="BL461" s="615"/>
      <c r="BM461" s="615"/>
      <c r="BN461" s="615"/>
      <c r="BO461" s="615"/>
      <c r="BP461" s="615"/>
      <c r="BQ461" s="615"/>
      <c r="BR461" s="615"/>
      <c r="BS461" s="615"/>
      <c r="BT461" s="615"/>
      <c r="BU461" s="615"/>
      <c r="BV461" s="615"/>
      <c r="BW461" s="615"/>
      <c r="BX461" s="607"/>
    </row>
    <row r="462" spans="1:76" ht="25.5" x14ac:dyDescent="0.2">
      <c r="A462" s="839"/>
      <c r="B462" s="713" t="s">
        <v>1101</v>
      </c>
      <c r="C462" s="713" t="s">
        <v>3631</v>
      </c>
      <c r="D462" s="712">
        <v>0</v>
      </c>
      <c r="E462" s="712">
        <v>0</v>
      </c>
      <c r="F462" s="712">
        <v>0</v>
      </c>
      <c r="G462" s="712">
        <v>0</v>
      </c>
      <c r="H462" s="712">
        <v>0</v>
      </c>
      <c r="I462" s="712">
        <v>0</v>
      </c>
      <c r="J462" s="712">
        <v>0</v>
      </c>
      <c r="K462" s="712">
        <v>0</v>
      </c>
      <c r="L462" s="712">
        <v>0</v>
      </c>
      <c r="M462" s="712">
        <v>0</v>
      </c>
      <c r="N462" s="712">
        <v>0</v>
      </c>
      <c r="O462" s="712">
        <v>0</v>
      </c>
      <c r="P462" s="712">
        <v>0</v>
      </c>
      <c r="Q462" s="712">
        <v>0</v>
      </c>
      <c r="R462" s="712">
        <v>275000000</v>
      </c>
      <c r="S462" s="712">
        <v>0</v>
      </c>
      <c r="T462" s="712">
        <v>0</v>
      </c>
      <c r="U462" s="712">
        <v>0</v>
      </c>
      <c r="V462" s="712">
        <v>0</v>
      </c>
      <c r="W462" s="712">
        <v>0</v>
      </c>
      <c r="X462" s="712">
        <v>0</v>
      </c>
      <c r="Y462" s="712">
        <v>0</v>
      </c>
      <c r="Z462" s="712">
        <v>0</v>
      </c>
      <c r="AA462" s="712">
        <v>0</v>
      </c>
      <c r="AB462" s="712">
        <v>0</v>
      </c>
      <c r="AC462" s="712">
        <v>0</v>
      </c>
      <c r="AD462" s="712">
        <v>0</v>
      </c>
      <c r="AE462" s="712">
        <v>0</v>
      </c>
      <c r="AF462" s="712">
        <v>0</v>
      </c>
      <c r="AG462" s="712">
        <v>0</v>
      </c>
      <c r="AH462" s="712">
        <v>0</v>
      </c>
      <c r="AI462" s="712">
        <v>0</v>
      </c>
      <c r="AJ462" s="712">
        <v>0</v>
      </c>
      <c r="AK462" s="712">
        <v>0</v>
      </c>
      <c r="AL462" s="712">
        <v>0</v>
      </c>
      <c r="AM462" s="712">
        <v>0</v>
      </c>
      <c r="AN462" s="712">
        <v>0</v>
      </c>
      <c r="AO462" s="712">
        <v>0</v>
      </c>
      <c r="AP462" s="712">
        <v>0</v>
      </c>
      <c r="AQ462" s="712">
        <v>0</v>
      </c>
      <c r="AR462" s="712">
        <v>0</v>
      </c>
      <c r="AS462" s="712">
        <v>0</v>
      </c>
      <c r="AT462">
        <v>275000000</v>
      </c>
      <c r="AU462" s="615"/>
      <c r="AV462" s="615"/>
      <c r="AW462" s="615"/>
      <c r="AX462" s="615"/>
      <c r="AY462" s="615"/>
      <c r="AZ462" s="615"/>
      <c r="BA462" s="615"/>
      <c r="BB462" s="615"/>
      <c r="BC462" s="615"/>
      <c r="BD462" s="615"/>
      <c r="BE462" s="615"/>
      <c r="BF462" s="615"/>
      <c r="BG462" s="615"/>
      <c r="BH462" s="615"/>
      <c r="BI462" s="615"/>
      <c r="BJ462" s="615"/>
      <c r="BK462" s="615"/>
      <c r="BL462" s="615"/>
      <c r="BM462" s="615"/>
      <c r="BN462" s="615"/>
      <c r="BO462" s="615"/>
      <c r="BP462" s="615"/>
      <c r="BQ462" s="615"/>
      <c r="BR462" s="615"/>
      <c r="BS462" s="615"/>
      <c r="BT462" s="615"/>
      <c r="BU462" s="615"/>
      <c r="BV462" s="615"/>
      <c r="BW462" s="615"/>
      <c r="BX462" s="607"/>
    </row>
    <row r="463" spans="1:76" ht="25.5" x14ac:dyDescent="0.2">
      <c r="A463" s="839"/>
      <c r="B463" s="713" t="s">
        <v>1613</v>
      </c>
      <c r="C463" s="713" t="s">
        <v>3587</v>
      </c>
      <c r="D463" s="712">
        <v>0</v>
      </c>
      <c r="E463" s="712">
        <v>0</v>
      </c>
      <c r="F463" s="712">
        <v>0</v>
      </c>
      <c r="G463" s="712">
        <v>0</v>
      </c>
      <c r="H463" s="712">
        <v>0</v>
      </c>
      <c r="I463" s="712">
        <v>0</v>
      </c>
      <c r="J463" s="712">
        <v>0</v>
      </c>
      <c r="K463" s="712">
        <v>0</v>
      </c>
      <c r="L463" s="712">
        <v>0</v>
      </c>
      <c r="M463" s="712">
        <v>0</v>
      </c>
      <c r="N463" s="712">
        <v>0</v>
      </c>
      <c r="O463" s="712">
        <v>0</v>
      </c>
      <c r="P463" s="712">
        <v>0</v>
      </c>
      <c r="Q463" s="712">
        <v>0</v>
      </c>
      <c r="R463" s="712">
        <v>199999981</v>
      </c>
      <c r="S463" s="712">
        <v>0</v>
      </c>
      <c r="T463" s="712">
        <v>0</v>
      </c>
      <c r="U463" s="712">
        <v>0</v>
      </c>
      <c r="V463" s="712">
        <v>0</v>
      </c>
      <c r="W463" s="712">
        <v>0</v>
      </c>
      <c r="X463" s="712">
        <v>0</v>
      </c>
      <c r="Y463" s="712">
        <v>0</v>
      </c>
      <c r="Z463" s="712">
        <v>0</v>
      </c>
      <c r="AA463" s="712">
        <v>0</v>
      </c>
      <c r="AB463" s="712">
        <v>0</v>
      </c>
      <c r="AC463" s="712">
        <v>0</v>
      </c>
      <c r="AD463" s="712">
        <v>0</v>
      </c>
      <c r="AE463" s="712">
        <v>0</v>
      </c>
      <c r="AF463" s="712">
        <v>0</v>
      </c>
      <c r="AG463" s="712">
        <v>0</v>
      </c>
      <c r="AH463" s="712">
        <v>0</v>
      </c>
      <c r="AI463" s="712">
        <v>0</v>
      </c>
      <c r="AJ463" s="712">
        <v>0</v>
      </c>
      <c r="AK463" s="712">
        <v>0</v>
      </c>
      <c r="AL463" s="712">
        <v>0</v>
      </c>
      <c r="AM463" s="712">
        <v>0</v>
      </c>
      <c r="AN463" s="712">
        <v>0</v>
      </c>
      <c r="AO463" s="712">
        <v>0</v>
      </c>
      <c r="AP463" s="712">
        <v>0</v>
      </c>
      <c r="AQ463" s="712">
        <v>0</v>
      </c>
      <c r="AR463" s="712">
        <v>0</v>
      </c>
      <c r="AS463" s="712">
        <v>0</v>
      </c>
      <c r="AT463">
        <v>199999981</v>
      </c>
      <c r="AU463" s="615"/>
      <c r="AV463" s="615"/>
      <c r="AW463" s="615"/>
      <c r="AX463" s="615"/>
      <c r="AY463" s="615"/>
      <c r="AZ463" s="615"/>
      <c r="BA463" s="615"/>
      <c r="BB463" s="615"/>
      <c r="BC463" s="615"/>
      <c r="BD463" s="615"/>
      <c r="BE463" s="615"/>
      <c r="BF463" s="615"/>
      <c r="BG463" s="615"/>
      <c r="BH463" s="615"/>
      <c r="BI463" s="615"/>
      <c r="BJ463" s="615"/>
      <c r="BK463" s="615"/>
      <c r="BL463" s="615"/>
      <c r="BM463" s="615"/>
      <c r="BN463" s="615"/>
      <c r="BO463" s="615"/>
      <c r="BP463" s="615"/>
      <c r="BQ463" s="615"/>
      <c r="BR463" s="615"/>
      <c r="BS463" s="615"/>
      <c r="BT463" s="615"/>
      <c r="BU463" s="615"/>
      <c r="BV463" s="615"/>
      <c r="BW463" s="615"/>
      <c r="BX463" s="607"/>
    </row>
    <row r="464" spans="1:76" ht="12.75" x14ac:dyDescent="0.2">
      <c r="A464" s="839"/>
      <c r="B464" s="713" t="s">
        <v>2245</v>
      </c>
      <c r="C464" s="713" t="s">
        <v>3505</v>
      </c>
      <c r="D464" s="712">
        <v>0</v>
      </c>
      <c r="E464" s="712">
        <v>0</v>
      </c>
      <c r="F464" s="712">
        <v>0</v>
      </c>
      <c r="G464" s="712">
        <v>0</v>
      </c>
      <c r="H464" s="712">
        <v>0</v>
      </c>
      <c r="I464" s="712">
        <v>0</v>
      </c>
      <c r="J464" s="712">
        <v>0</v>
      </c>
      <c r="K464" s="712">
        <v>0</v>
      </c>
      <c r="L464" s="712">
        <v>0</v>
      </c>
      <c r="M464" s="712">
        <v>0</v>
      </c>
      <c r="N464" s="712">
        <v>12126774</v>
      </c>
      <c r="O464" s="712">
        <v>339549595</v>
      </c>
      <c r="P464" s="712">
        <v>0</v>
      </c>
      <c r="Q464" s="712">
        <v>0</v>
      </c>
      <c r="R464" s="712">
        <v>0</v>
      </c>
      <c r="S464" s="712">
        <v>0</v>
      </c>
      <c r="T464" s="712">
        <v>0</v>
      </c>
      <c r="U464" s="712">
        <v>0</v>
      </c>
      <c r="V464" s="712">
        <v>0</v>
      </c>
      <c r="W464" s="712">
        <v>0</v>
      </c>
      <c r="X464" s="712">
        <v>0</v>
      </c>
      <c r="Y464" s="712">
        <v>0</v>
      </c>
      <c r="Z464" s="712">
        <v>0</v>
      </c>
      <c r="AA464" s="712">
        <v>0</v>
      </c>
      <c r="AB464" s="712">
        <v>0</v>
      </c>
      <c r="AC464" s="712">
        <v>0</v>
      </c>
      <c r="AD464" s="712">
        <v>0</v>
      </c>
      <c r="AE464" s="712">
        <v>0</v>
      </c>
      <c r="AF464" s="712">
        <v>0</v>
      </c>
      <c r="AG464" s="712">
        <v>0</v>
      </c>
      <c r="AH464" s="712">
        <v>0</v>
      </c>
      <c r="AI464" s="712">
        <v>0</v>
      </c>
      <c r="AJ464" s="712">
        <v>0</v>
      </c>
      <c r="AK464" s="712">
        <v>0</v>
      </c>
      <c r="AL464" s="712">
        <v>0</v>
      </c>
      <c r="AM464" s="712">
        <v>0</v>
      </c>
      <c r="AN464" s="712">
        <v>0</v>
      </c>
      <c r="AO464" s="712">
        <v>0</v>
      </c>
      <c r="AP464" s="712">
        <v>0</v>
      </c>
      <c r="AQ464" s="712">
        <v>0</v>
      </c>
      <c r="AR464" s="712">
        <v>0</v>
      </c>
      <c r="AS464" s="712">
        <v>0</v>
      </c>
      <c r="AT464">
        <v>351676369</v>
      </c>
      <c r="AU464" s="615"/>
      <c r="AV464" s="615"/>
      <c r="AW464" s="615"/>
      <c r="AX464" s="615"/>
      <c r="AY464" s="615"/>
      <c r="AZ464" s="615"/>
      <c r="BA464" s="615"/>
      <c r="BB464" s="615"/>
      <c r="BC464" s="615"/>
      <c r="BD464" s="615"/>
      <c r="BE464" s="615"/>
      <c r="BF464" s="615"/>
      <c r="BG464" s="615"/>
      <c r="BH464" s="615"/>
      <c r="BI464" s="615"/>
      <c r="BJ464" s="615"/>
      <c r="BK464" s="615"/>
      <c r="BL464" s="615"/>
      <c r="BM464" s="615"/>
      <c r="BN464" s="615"/>
      <c r="BO464" s="615"/>
      <c r="BP464" s="615"/>
      <c r="BQ464" s="615"/>
      <c r="BR464" s="615"/>
      <c r="BS464" s="615"/>
      <c r="BT464" s="615"/>
      <c r="BU464" s="615"/>
      <c r="BV464" s="615"/>
      <c r="BW464" s="615"/>
      <c r="BX464" s="607"/>
    </row>
    <row r="465" spans="1:76" ht="25.5" x14ac:dyDescent="0.2">
      <c r="A465" s="839"/>
      <c r="B465" s="713" t="s">
        <v>1466</v>
      </c>
      <c r="C465" s="713" t="s">
        <v>3577</v>
      </c>
      <c r="D465" s="712">
        <v>0</v>
      </c>
      <c r="E465" s="712">
        <v>0</v>
      </c>
      <c r="F465" s="712">
        <v>0</v>
      </c>
      <c r="G465" s="712">
        <v>0</v>
      </c>
      <c r="H465" s="712">
        <v>0</v>
      </c>
      <c r="I465" s="712">
        <v>0</v>
      </c>
      <c r="J465" s="712">
        <v>0</v>
      </c>
      <c r="K465" s="712">
        <v>0</v>
      </c>
      <c r="L465" s="712">
        <v>0</v>
      </c>
      <c r="M465" s="712">
        <v>0</v>
      </c>
      <c r="N465" s="712">
        <v>0</v>
      </c>
      <c r="O465" s="712">
        <v>0</v>
      </c>
      <c r="P465" s="712">
        <v>0</v>
      </c>
      <c r="Q465" s="712">
        <v>0</v>
      </c>
      <c r="R465" s="712">
        <v>304274744</v>
      </c>
      <c r="S465" s="712">
        <v>0</v>
      </c>
      <c r="T465" s="712">
        <v>0</v>
      </c>
      <c r="U465" s="712">
        <v>0</v>
      </c>
      <c r="V465" s="712">
        <v>0</v>
      </c>
      <c r="W465" s="712">
        <v>0</v>
      </c>
      <c r="X465" s="712">
        <v>0</v>
      </c>
      <c r="Y465" s="712">
        <v>0</v>
      </c>
      <c r="Z465" s="712">
        <v>0</v>
      </c>
      <c r="AA465" s="712">
        <v>0</v>
      </c>
      <c r="AB465" s="712">
        <v>0</v>
      </c>
      <c r="AC465" s="712">
        <v>0</v>
      </c>
      <c r="AD465" s="712">
        <v>0</v>
      </c>
      <c r="AE465" s="712">
        <v>0</v>
      </c>
      <c r="AF465" s="712">
        <v>0</v>
      </c>
      <c r="AG465" s="712">
        <v>0</v>
      </c>
      <c r="AH465" s="712">
        <v>0</v>
      </c>
      <c r="AI465" s="712">
        <v>0</v>
      </c>
      <c r="AJ465" s="712">
        <v>0</v>
      </c>
      <c r="AK465" s="712">
        <v>0</v>
      </c>
      <c r="AL465" s="712">
        <v>0</v>
      </c>
      <c r="AM465" s="712">
        <v>0</v>
      </c>
      <c r="AN465" s="712">
        <v>0</v>
      </c>
      <c r="AO465" s="712">
        <v>0</v>
      </c>
      <c r="AP465" s="712">
        <v>0</v>
      </c>
      <c r="AQ465" s="712">
        <v>0</v>
      </c>
      <c r="AR465" s="712">
        <v>0</v>
      </c>
      <c r="AS465" s="712">
        <v>0</v>
      </c>
      <c r="AT465">
        <v>304274744</v>
      </c>
      <c r="AU465" s="615"/>
      <c r="AV465" s="615"/>
      <c r="AW465" s="615"/>
      <c r="AX465" s="615"/>
      <c r="AY465" s="615"/>
      <c r="AZ465" s="615"/>
      <c r="BA465" s="615"/>
      <c r="BB465" s="615"/>
      <c r="BC465" s="615"/>
      <c r="BD465" s="615"/>
      <c r="BE465" s="615"/>
      <c r="BF465" s="615"/>
      <c r="BG465" s="615"/>
      <c r="BH465" s="615"/>
      <c r="BI465" s="615"/>
      <c r="BJ465" s="615"/>
      <c r="BK465" s="615"/>
      <c r="BL465" s="615"/>
      <c r="BM465" s="615"/>
      <c r="BN465" s="615"/>
      <c r="BO465" s="615"/>
      <c r="BP465" s="615"/>
      <c r="BQ465" s="615"/>
      <c r="BR465" s="615"/>
      <c r="BS465" s="615"/>
      <c r="BT465" s="615"/>
      <c r="BU465" s="615"/>
      <c r="BV465" s="615"/>
      <c r="BW465" s="615"/>
      <c r="BX465" s="607"/>
    </row>
    <row r="466" spans="1:76" ht="25.5" x14ac:dyDescent="0.2">
      <c r="A466" s="839"/>
      <c r="B466" s="713" t="s">
        <v>1379</v>
      </c>
      <c r="C466" s="713" t="s">
        <v>3621</v>
      </c>
      <c r="D466" s="712">
        <v>0</v>
      </c>
      <c r="E466" s="712">
        <v>0</v>
      </c>
      <c r="F466" s="712">
        <v>0</v>
      </c>
      <c r="G466" s="712">
        <v>0</v>
      </c>
      <c r="H466" s="712">
        <v>0</v>
      </c>
      <c r="I466" s="712">
        <v>0</v>
      </c>
      <c r="J466" s="712">
        <v>0</v>
      </c>
      <c r="K466" s="712">
        <v>0</v>
      </c>
      <c r="L466" s="712">
        <v>0</v>
      </c>
      <c r="M466" s="712">
        <v>0</v>
      </c>
      <c r="N466" s="712">
        <v>0</v>
      </c>
      <c r="O466" s="712">
        <v>0</v>
      </c>
      <c r="P466" s="712">
        <v>0</v>
      </c>
      <c r="Q466" s="712">
        <v>0</v>
      </c>
      <c r="R466" s="712">
        <v>0</v>
      </c>
      <c r="S466" s="712">
        <v>300247737</v>
      </c>
      <c r="T466" s="712">
        <v>0</v>
      </c>
      <c r="U466" s="712">
        <v>0</v>
      </c>
      <c r="V466" s="712">
        <v>0</v>
      </c>
      <c r="W466" s="712">
        <v>0</v>
      </c>
      <c r="X466" s="712">
        <v>0</v>
      </c>
      <c r="Y466" s="712">
        <v>0</v>
      </c>
      <c r="Z466" s="712">
        <v>0</v>
      </c>
      <c r="AA466" s="712">
        <v>0</v>
      </c>
      <c r="AB466" s="712">
        <v>0</v>
      </c>
      <c r="AC466" s="712">
        <v>0</v>
      </c>
      <c r="AD466" s="712">
        <v>0</v>
      </c>
      <c r="AE466" s="712">
        <v>0</v>
      </c>
      <c r="AF466" s="712">
        <v>0</v>
      </c>
      <c r="AG466" s="712">
        <v>0</v>
      </c>
      <c r="AH466" s="712">
        <v>0</v>
      </c>
      <c r="AI466" s="712">
        <v>0</v>
      </c>
      <c r="AJ466" s="712">
        <v>0</v>
      </c>
      <c r="AK466" s="712">
        <v>0</v>
      </c>
      <c r="AL466" s="712">
        <v>0</v>
      </c>
      <c r="AM466" s="712">
        <v>0</v>
      </c>
      <c r="AN466" s="712">
        <v>0</v>
      </c>
      <c r="AO466" s="712">
        <v>0</v>
      </c>
      <c r="AP466" s="712">
        <v>0</v>
      </c>
      <c r="AQ466" s="712">
        <v>0</v>
      </c>
      <c r="AR466" s="712">
        <v>0</v>
      </c>
      <c r="AS466" s="712">
        <v>0</v>
      </c>
      <c r="AT466">
        <v>300247737</v>
      </c>
      <c r="AU466" s="615"/>
      <c r="AV466" s="615"/>
      <c r="AW466" s="615"/>
      <c r="AX466" s="615"/>
      <c r="AY466" s="615"/>
      <c r="AZ466" s="615"/>
      <c r="BA466" s="615"/>
      <c r="BB466" s="615"/>
      <c r="BC466" s="615"/>
      <c r="BD466" s="615"/>
      <c r="BE466" s="615"/>
      <c r="BF466" s="615"/>
      <c r="BG466" s="615"/>
      <c r="BH466" s="615"/>
      <c r="BI466" s="615"/>
      <c r="BJ466" s="615"/>
      <c r="BK466" s="615"/>
      <c r="BL466" s="615"/>
      <c r="BM466" s="615"/>
      <c r="BN466" s="615"/>
      <c r="BO466" s="615"/>
      <c r="BP466" s="615"/>
      <c r="BQ466" s="615"/>
      <c r="BR466" s="615"/>
      <c r="BS466" s="615"/>
      <c r="BT466" s="615"/>
      <c r="BU466" s="615"/>
      <c r="BV466" s="615"/>
      <c r="BW466" s="615"/>
      <c r="BX466" s="607"/>
    </row>
    <row r="467" spans="1:76" ht="25.5" x14ac:dyDescent="0.2">
      <c r="A467" s="839"/>
      <c r="B467" s="713" t="s">
        <v>1171</v>
      </c>
      <c r="C467" s="713" t="s">
        <v>3518</v>
      </c>
      <c r="D467" s="712">
        <v>0</v>
      </c>
      <c r="E467" s="712">
        <v>0</v>
      </c>
      <c r="F467" s="712">
        <v>0</v>
      </c>
      <c r="G467" s="712">
        <v>0</v>
      </c>
      <c r="H467" s="712">
        <v>0</v>
      </c>
      <c r="I467" s="712">
        <v>0</v>
      </c>
      <c r="J467" s="712">
        <v>0</v>
      </c>
      <c r="K467" s="712">
        <v>0</v>
      </c>
      <c r="L467" s="712">
        <v>0</v>
      </c>
      <c r="M467" s="712">
        <v>0</v>
      </c>
      <c r="N467" s="712">
        <v>0</v>
      </c>
      <c r="O467" s="712">
        <v>0</v>
      </c>
      <c r="P467" s="712">
        <v>53660763</v>
      </c>
      <c r="Q467" s="712">
        <v>0</v>
      </c>
      <c r="R467" s="712">
        <v>0</v>
      </c>
      <c r="S467" s="712">
        <v>0</v>
      </c>
      <c r="T467" s="712">
        <v>0</v>
      </c>
      <c r="U467" s="712">
        <v>0</v>
      </c>
      <c r="V467" s="712">
        <v>0</v>
      </c>
      <c r="W467" s="712">
        <v>0</v>
      </c>
      <c r="X467" s="712">
        <v>0</v>
      </c>
      <c r="Y467" s="712">
        <v>0</v>
      </c>
      <c r="Z467" s="712">
        <v>0</v>
      </c>
      <c r="AA467" s="712">
        <v>0</v>
      </c>
      <c r="AB467" s="712">
        <v>0</v>
      </c>
      <c r="AC467" s="712">
        <v>0</v>
      </c>
      <c r="AD467" s="712">
        <v>0</v>
      </c>
      <c r="AE467" s="712">
        <v>0</v>
      </c>
      <c r="AF467" s="712">
        <v>0</v>
      </c>
      <c r="AG467" s="712">
        <v>0</v>
      </c>
      <c r="AH467" s="712">
        <v>0</v>
      </c>
      <c r="AI467" s="712">
        <v>0</v>
      </c>
      <c r="AJ467" s="712">
        <v>0</v>
      </c>
      <c r="AK467" s="712">
        <v>0</v>
      </c>
      <c r="AL467" s="712">
        <v>0</v>
      </c>
      <c r="AM467" s="712">
        <v>0</v>
      </c>
      <c r="AN467" s="712">
        <v>0</v>
      </c>
      <c r="AO467" s="712">
        <v>0</v>
      </c>
      <c r="AP467" s="712">
        <v>0</v>
      </c>
      <c r="AQ467" s="712">
        <v>0</v>
      </c>
      <c r="AR467" s="712">
        <v>0</v>
      </c>
      <c r="AS467" s="712">
        <v>0</v>
      </c>
      <c r="AT467">
        <v>53660763</v>
      </c>
      <c r="AU467" s="615"/>
      <c r="AV467" s="615"/>
      <c r="AW467" s="615"/>
      <c r="AX467" s="615"/>
      <c r="AY467" s="615"/>
      <c r="AZ467" s="615"/>
      <c r="BA467" s="615"/>
      <c r="BB467" s="615"/>
      <c r="BC467" s="615"/>
      <c r="BD467" s="615"/>
      <c r="BE467" s="615"/>
      <c r="BF467" s="615"/>
      <c r="BG467" s="615"/>
      <c r="BH467" s="615"/>
      <c r="BI467" s="615"/>
      <c r="BJ467" s="615"/>
      <c r="BK467" s="615"/>
      <c r="BL467" s="615"/>
      <c r="BM467" s="615"/>
      <c r="BN467" s="615"/>
      <c r="BO467" s="615"/>
      <c r="BP467" s="615"/>
      <c r="BQ467" s="615"/>
      <c r="BR467" s="615"/>
      <c r="BS467" s="615"/>
      <c r="BT467" s="615"/>
      <c r="BU467" s="615"/>
      <c r="BV467" s="615"/>
      <c r="BW467" s="615"/>
      <c r="BX467" s="607"/>
    </row>
    <row r="468" spans="1:76" ht="25.5" x14ac:dyDescent="0.2">
      <c r="A468" s="839"/>
      <c r="B468" s="713" t="s">
        <v>1170</v>
      </c>
      <c r="C468" s="713" t="s">
        <v>3511</v>
      </c>
      <c r="D468" s="712">
        <v>0</v>
      </c>
      <c r="E468" s="712">
        <v>0</v>
      </c>
      <c r="F468" s="712">
        <v>0</v>
      </c>
      <c r="G468" s="712">
        <v>0</v>
      </c>
      <c r="H468" s="712">
        <v>0</v>
      </c>
      <c r="I468" s="712">
        <v>0</v>
      </c>
      <c r="J468" s="712">
        <v>0</v>
      </c>
      <c r="K468" s="712">
        <v>0</v>
      </c>
      <c r="L468" s="712">
        <v>0</v>
      </c>
      <c r="M468" s="712">
        <v>0</v>
      </c>
      <c r="N468" s="712">
        <v>0</v>
      </c>
      <c r="O468" s="712">
        <v>0</v>
      </c>
      <c r="P468" s="712">
        <v>0</v>
      </c>
      <c r="Q468" s="712">
        <v>0</v>
      </c>
      <c r="R468" s="712">
        <v>0</v>
      </c>
      <c r="S468" s="712">
        <v>0</v>
      </c>
      <c r="T468" s="712">
        <v>0</v>
      </c>
      <c r="U468" s="712">
        <v>0</v>
      </c>
      <c r="V468" s="712">
        <v>0</v>
      </c>
      <c r="W468" s="712">
        <v>0</v>
      </c>
      <c r="X468" s="712">
        <v>0</v>
      </c>
      <c r="Y468" s="712">
        <v>0</v>
      </c>
      <c r="Z468" s="712">
        <v>0</v>
      </c>
      <c r="AA468" s="712">
        <v>0</v>
      </c>
      <c r="AB468" s="712">
        <v>0</v>
      </c>
      <c r="AC468" s="712">
        <v>0</v>
      </c>
      <c r="AD468" s="712">
        <v>0</v>
      </c>
      <c r="AE468" s="712">
        <v>0</v>
      </c>
      <c r="AF468" s="712">
        <v>0</v>
      </c>
      <c r="AG468" s="712">
        <v>0</v>
      </c>
      <c r="AH468" s="712">
        <v>0</v>
      </c>
      <c r="AI468" s="712">
        <v>0</v>
      </c>
      <c r="AJ468" s="712">
        <v>0</v>
      </c>
      <c r="AK468" s="712">
        <v>0</v>
      </c>
      <c r="AL468" s="712">
        <v>0</v>
      </c>
      <c r="AM468" s="712">
        <v>0</v>
      </c>
      <c r="AN468" s="712">
        <v>0</v>
      </c>
      <c r="AO468" s="712">
        <v>0</v>
      </c>
      <c r="AP468" s="712">
        <v>0</v>
      </c>
      <c r="AQ468" s="712">
        <v>0</v>
      </c>
      <c r="AR468" s="712">
        <v>0</v>
      </c>
      <c r="AS468" s="712">
        <v>0</v>
      </c>
      <c r="AT468">
        <v>0</v>
      </c>
      <c r="AU468" s="615"/>
      <c r="AV468" s="615"/>
      <c r="AW468" s="615"/>
      <c r="AX468" s="615"/>
      <c r="AY468" s="615"/>
      <c r="AZ468" s="615"/>
      <c r="BA468" s="615"/>
      <c r="BB468" s="615"/>
      <c r="BC468" s="615"/>
      <c r="BD468" s="615"/>
      <c r="BE468" s="615"/>
      <c r="BF468" s="615"/>
      <c r="BG468" s="615"/>
      <c r="BH468" s="615"/>
      <c r="BI468" s="615"/>
      <c r="BJ468" s="615"/>
      <c r="BK468" s="615"/>
      <c r="BL468" s="615"/>
      <c r="BM468" s="615"/>
      <c r="BN468" s="615"/>
      <c r="BO468" s="615"/>
      <c r="BP468" s="615"/>
      <c r="BQ468" s="615"/>
      <c r="BR468" s="615"/>
      <c r="BS468" s="615"/>
      <c r="BT468" s="615"/>
      <c r="BU468" s="615"/>
      <c r="BV468" s="615"/>
      <c r="BW468" s="615"/>
      <c r="BX468" s="607"/>
    </row>
    <row r="469" spans="1:76" ht="25.5" x14ac:dyDescent="0.2">
      <c r="A469" s="839"/>
      <c r="B469" s="713" t="s">
        <v>1099</v>
      </c>
      <c r="C469" s="713" t="s">
        <v>3605</v>
      </c>
      <c r="D469" s="712">
        <v>0</v>
      </c>
      <c r="E469" s="712">
        <v>0</v>
      </c>
      <c r="F469" s="712">
        <v>0</v>
      </c>
      <c r="G469" s="712">
        <v>0</v>
      </c>
      <c r="H469" s="712">
        <v>0</v>
      </c>
      <c r="I469" s="712">
        <v>0</v>
      </c>
      <c r="J469" s="712">
        <v>0</v>
      </c>
      <c r="K469" s="712">
        <v>0</v>
      </c>
      <c r="L469" s="712">
        <v>0</v>
      </c>
      <c r="M469" s="712">
        <v>0</v>
      </c>
      <c r="N469" s="712">
        <v>0</v>
      </c>
      <c r="O469" s="712">
        <v>0</v>
      </c>
      <c r="P469" s="712">
        <v>0</v>
      </c>
      <c r="Q469" s="712">
        <v>70402</v>
      </c>
      <c r="R469" s="712">
        <v>0</v>
      </c>
      <c r="S469" s="712">
        <v>0</v>
      </c>
      <c r="T469" s="712">
        <v>0</v>
      </c>
      <c r="U469" s="712">
        <v>0</v>
      </c>
      <c r="V469" s="712">
        <v>0</v>
      </c>
      <c r="W469" s="712">
        <v>0</v>
      </c>
      <c r="X469" s="712">
        <v>0</v>
      </c>
      <c r="Y469" s="712">
        <v>0</v>
      </c>
      <c r="Z469" s="712">
        <v>0</v>
      </c>
      <c r="AA469" s="712">
        <v>0</v>
      </c>
      <c r="AB469" s="712">
        <v>0</v>
      </c>
      <c r="AC469" s="712">
        <v>0</v>
      </c>
      <c r="AD469" s="712">
        <v>0</v>
      </c>
      <c r="AE469" s="712">
        <v>0</v>
      </c>
      <c r="AF469" s="712">
        <v>0</v>
      </c>
      <c r="AG469" s="712">
        <v>0</v>
      </c>
      <c r="AH469" s="712">
        <v>0</v>
      </c>
      <c r="AI469" s="712">
        <v>0</v>
      </c>
      <c r="AJ469" s="712">
        <v>0</v>
      </c>
      <c r="AK469" s="712">
        <v>0</v>
      </c>
      <c r="AL469" s="712">
        <v>0</v>
      </c>
      <c r="AM469" s="712">
        <v>0</v>
      </c>
      <c r="AN469" s="712">
        <v>0</v>
      </c>
      <c r="AO469" s="712">
        <v>0</v>
      </c>
      <c r="AP469" s="712">
        <v>0</v>
      </c>
      <c r="AQ469" s="712">
        <v>0</v>
      </c>
      <c r="AR469" s="712">
        <v>0</v>
      </c>
      <c r="AS469" s="712">
        <v>0</v>
      </c>
      <c r="AT469">
        <v>70402</v>
      </c>
      <c r="AU469" s="615"/>
      <c r="AV469" s="615"/>
      <c r="AW469" s="615"/>
      <c r="AX469" s="615"/>
      <c r="AY469" s="615"/>
      <c r="AZ469" s="615"/>
      <c r="BA469" s="615"/>
      <c r="BB469" s="615"/>
      <c r="BC469" s="615"/>
      <c r="BD469" s="615"/>
      <c r="BE469" s="615"/>
      <c r="BF469" s="615"/>
      <c r="BG469" s="615"/>
      <c r="BH469" s="615"/>
      <c r="BI469" s="615"/>
      <c r="BJ469" s="615"/>
      <c r="BK469" s="615"/>
      <c r="BL469" s="615"/>
      <c r="BM469" s="615"/>
      <c r="BN469" s="615"/>
      <c r="BO469" s="615"/>
      <c r="BP469" s="615"/>
      <c r="BQ469" s="615"/>
      <c r="BR469" s="615"/>
      <c r="BS469" s="615"/>
      <c r="BT469" s="615"/>
      <c r="BU469" s="615"/>
      <c r="BV469" s="615"/>
      <c r="BW469" s="615"/>
      <c r="BX469" s="607"/>
    </row>
    <row r="470" spans="1:76" ht="25.5" x14ac:dyDescent="0.2">
      <c r="A470" s="839"/>
      <c r="B470" s="713" t="s">
        <v>1079</v>
      </c>
      <c r="C470" s="713" t="s">
        <v>3560</v>
      </c>
      <c r="D470" s="712">
        <v>0</v>
      </c>
      <c r="E470" s="712">
        <v>0</v>
      </c>
      <c r="F470" s="712">
        <v>0</v>
      </c>
      <c r="G470" s="712">
        <v>0</v>
      </c>
      <c r="H470" s="712">
        <v>0</v>
      </c>
      <c r="I470" s="712">
        <v>0</v>
      </c>
      <c r="J470" s="712">
        <v>0</v>
      </c>
      <c r="K470" s="712">
        <v>0</v>
      </c>
      <c r="L470" s="712">
        <v>0</v>
      </c>
      <c r="M470" s="712">
        <v>0</v>
      </c>
      <c r="N470" s="712">
        <v>0</v>
      </c>
      <c r="O470" s="712">
        <v>0</v>
      </c>
      <c r="P470" s="712">
        <v>0</v>
      </c>
      <c r="Q470" s="712">
        <v>0</v>
      </c>
      <c r="R470" s="712">
        <v>0</v>
      </c>
      <c r="S470" s="712">
        <v>261320335</v>
      </c>
      <c r="T470" s="712">
        <v>0</v>
      </c>
      <c r="U470" s="712">
        <v>0</v>
      </c>
      <c r="V470" s="712">
        <v>0</v>
      </c>
      <c r="W470" s="712">
        <v>0</v>
      </c>
      <c r="X470" s="712">
        <v>0</v>
      </c>
      <c r="Y470" s="712">
        <v>0</v>
      </c>
      <c r="Z470" s="712">
        <v>0</v>
      </c>
      <c r="AA470" s="712">
        <v>0</v>
      </c>
      <c r="AB470" s="712">
        <v>0</v>
      </c>
      <c r="AC470" s="712">
        <v>0</v>
      </c>
      <c r="AD470" s="712">
        <v>0</v>
      </c>
      <c r="AE470" s="712">
        <v>0</v>
      </c>
      <c r="AF470" s="712">
        <v>0</v>
      </c>
      <c r="AG470" s="712">
        <v>0</v>
      </c>
      <c r="AH470" s="712">
        <v>0</v>
      </c>
      <c r="AI470" s="712">
        <v>0</v>
      </c>
      <c r="AJ470" s="712">
        <v>0</v>
      </c>
      <c r="AK470" s="712">
        <v>0</v>
      </c>
      <c r="AL470" s="712">
        <v>0</v>
      </c>
      <c r="AM470" s="712">
        <v>0</v>
      </c>
      <c r="AN470" s="712">
        <v>0</v>
      </c>
      <c r="AO470" s="712">
        <v>0</v>
      </c>
      <c r="AP470" s="712">
        <v>0</v>
      </c>
      <c r="AQ470" s="712">
        <v>0</v>
      </c>
      <c r="AR470" s="712">
        <v>0</v>
      </c>
      <c r="AS470" s="712">
        <v>0</v>
      </c>
      <c r="AT470">
        <v>261320335</v>
      </c>
      <c r="AU470" s="615"/>
      <c r="AV470" s="615"/>
      <c r="AW470" s="615"/>
      <c r="AX470" s="615"/>
      <c r="AY470" s="615"/>
      <c r="AZ470" s="615"/>
      <c r="BA470" s="615"/>
      <c r="BB470" s="615"/>
      <c r="BC470" s="615"/>
      <c r="BD470" s="615"/>
      <c r="BE470" s="615"/>
      <c r="BF470" s="615"/>
      <c r="BG470" s="615"/>
      <c r="BH470" s="615"/>
      <c r="BI470" s="615"/>
      <c r="BJ470" s="615"/>
      <c r="BK470" s="615"/>
      <c r="BL470" s="615"/>
      <c r="BM470" s="615"/>
      <c r="BN470" s="615"/>
      <c r="BO470" s="615"/>
      <c r="BP470" s="615"/>
      <c r="BQ470" s="615"/>
      <c r="BR470" s="615"/>
      <c r="BS470" s="615"/>
      <c r="BT470" s="615"/>
      <c r="BU470" s="615"/>
      <c r="BV470" s="615"/>
      <c r="BW470" s="615"/>
      <c r="BX470" s="607"/>
    </row>
    <row r="471" spans="1:76" ht="25.5" x14ac:dyDescent="0.2">
      <c r="A471" s="839"/>
      <c r="B471" s="713" t="s">
        <v>1150</v>
      </c>
      <c r="C471" s="713" t="s">
        <v>3616</v>
      </c>
      <c r="D471" s="712">
        <v>0</v>
      </c>
      <c r="E471" s="712">
        <v>0</v>
      </c>
      <c r="F471" s="712">
        <v>0</v>
      </c>
      <c r="G471" s="712">
        <v>0</v>
      </c>
      <c r="H471" s="712">
        <v>0</v>
      </c>
      <c r="I471" s="712">
        <v>0</v>
      </c>
      <c r="J471" s="712">
        <v>0</v>
      </c>
      <c r="K471" s="712">
        <v>0</v>
      </c>
      <c r="L471" s="712">
        <v>0</v>
      </c>
      <c r="M471" s="712">
        <v>0</v>
      </c>
      <c r="N471" s="712">
        <v>0</v>
      </c>
      <c r="O471" s="712">
        <v>0</v>
      </c>
      <c r="P471" s="712">
        <v>0</v>
      </c>
      <c r="Q471" s="712">
        <v>96573</v>
      </c>
      <c r="R471" s="712">
        <v>0</v>
      </c>
      <c r="S471" s="712">
        <v>0</v>
      </c>
      <c r="T471" s="712">
        <v>0</v>
      </c>
      <c r="U471" s="712">
        <v>0</v>
      </c>
      <c r="V471" s="712">
        <v>0</v>
      </c>
      <c r="W471" s="712">
        <v>0</v>
      </c>
      <c r="X471" s="712">
        <v>0</v>
      </c>
      <c r="Y471" s="712">
        <v>0</v>
      </c>
      <c r="Z471" s="712">
        <v>0</v>
      </c>
      <c r="AA471" s="712">
        <v>0</v>
      </c>
      <c r="AB471" s="712">
        <v>0</v>
      </c>
      <c r="AC471" s="712">
        <v>0</v>
      </c>
      <c r="AD471" s="712">
        <v>0</v>
      </c>
      <c r="AE471" s="712">
        <v>0</v>
      </c>
      <c r="AF471" s="712">
        <v>0</v>
      </c>
      <c r="AG471" s="712">
        <v>0</v>
      </c>
      <c r="AH471" s="712">
        <v>0</v>
      </c>
      <c r="AI471" s="712">
        <v>0</v>
      </c>
      <c r="AJ471" s="712">
        <v>0</v>
      </c>
      <c r="AK471" s="712">
        <v>0</v>
      </c>
      <c r="AL471" s="712">
        <v>0</v>
      </c>
      <c r="AM471" s="712">
        <v>0</v>
      </c>
      <c r="AN471" s="712">
        <v>0</v>
      </c>
      <c r="AO471" s="712">
        <v>0</v>
      </c>
      <c r="AP471" s="712">
        <v>0</v>
      </c>
      <c r="AQ471" s="712">
        <v>0</v>
      </c>
      <c r="AR471" s="712">
        <v>0</v>
      </c>
      <c r="AS471" s="712">
        <v>0</v>
      </c>
      <c r="AT471">
        <v>96573</v>
      </c>
      <c r="AU471" s="615"/>
      <c r="AV471" s="615"/>
      <c r="AW471" s="615"/>
      <c r="AX471" s="615"/>
      <c r="AY471" s="615"/>
      <c r="AZ471" s="615"/>
      <c r="BA471" s="615"/>
      <c r="BB471" s="615"/>
      <c r="BC471" s="615"/>
      <c r="BD471" s="615"/>
      <c r="BE471" s="615"/>
      <c r="BF471" s="615"/>
      <c r="BG471" s="615"/>
      <c r="BH471" s="615"/>
      <c r="BI471" s="615"/>
      <c r="BJ471" s="615"/>
      <c r="BK471" s="615"/>
      <c r="BL471" s="615"/>
      <c r="BM471" s="615"/>
      <c r="BN471" s="615"/>
      <c r="BO471" s="615"/>
      <c r="BP471" s="615"/>
      <c r="BQ471" s="615"/>
      <c r="BR471" s="615"/>
      <c r="BS471" s="615"/>
      <c r="BT471" s="615"/>
      <c r="BU471" s="615"/>
      <c r="BV471" s="615"/>
      <c r="BW471" s="615"/>
      <c r="BX471" s="607"/>
    </row>
    <row r="472" spans="1:76" ht="25.5" x14ac:dyDescent="0.2">
      <c r="A472" s="839"/>
      <c r="B472" s="713" t="s">
        <v>1630</v>
      </c>
      <c r="C472" s="713" t="s">
        <v>3580</v>
      </c>
      <c r="D472" s="712">
        <v>0</v>
      </c>
      <c r="E472" s="712">
        <v>0</v>
      </c>
      <c r="F472" s="712">
        <v>0</v>
      </c>
      <c r="G472" s="712">
        <v>0</v>
      </c>
      <c r="H472" s="712">
        <v>0</v>
      </c>
      <c r="I472" s="712">
        <v>0</v>
      </c>
      <c r="J472" s="712">
        <v>0</v>
      </c>
      <c r="K472" s="712">
        <v>0</v>
      </c>
      <c r="L472" s="712">
        <v>0</v>
      </c>
      <c r="M472" s="712">
        <v>0</v>
      </c>
      <c r="N472" s="712">
        <v>0</v>
      </c>
      <c r="O472" s="712">
        <v>0</v>
      </c>
      <c r="P472" s="712">
        <v>286382000</v>
      </c>
      <c r="Q472" s="712">
        <v>0</v>
      </c>
      <c r="R472" s="712">
        <v>0</v>
      </c>
      <c r="S472" s="712">
        <v>0</v>
      </c>
      <c r="T472" s="712">
        <v>0</v>
      </c>
      <c r="U472" s="712">
        <v>0</v>
      </c>
      <c r="V472" s="712">
        <v>0</v>
      </c>
      <c r="W472" s="712">
        <v>0</v>
      </c>
      <c r="X472" s="712">
        <v>0</v>
      </c>
      <c r="Y472" s="712">
        <v>0</v>
      </c>
      <c r="Z472" s="712">
        <v>0</v>
      </c>
      <c r="AA472" s="712">
        <v>0</v>
      </c>
      <c r="AB472" s="712">
        <v>0</v>
      </c>
      <c r="AC472" s="712">
        <v>0</v>
      </c>
      <c r="AD472" s="712">
        <v>0</v>
      </c>
      <c r="AE472" s="712">
        <v>0</v>
      </c>
      <c r="AF472" s="712">
        <v>0</v>
      </c>
      <c r="AG472" s="712">
        <v>0</v>
      </c>
      <c r="AH472" s="712">
        <v>0</v>
      </c>
      <c r="AI472" s="712">
        <v>0</v>
      </c>
      <c r="AJ472" s="712">
        <v>0</v>
      </c>
      <c r="AK472" s="712">
        <v>0</v>
      </c>
      <c r="AL472" s="712">
        <v>0</v>
      </c>
      <c r="AM472" s="712">
        <v>0</v>
      </c>
      <c r="AN472" s="712">
        <v>0</v>
      </c>
      <c r="AO472" s="712">
        <v>0</v>
      </c>
      <c r="AP472" s="712">
        <v>0</v>
      </c>
      <c r="AQ472" s="712">
        <v>0</v>
      </c>
      <c r="AR472" s="712">
        <v>0</v>
      </c>
      <c r="AS472" s="712">
        <v>0</v>
      </c>
      <c r="AT472">
        <v>286382000</v>
      </c>
      <c r="AU472" s="615"/>
      <c r="AV472" s="615"/>
      <c r="AW472" s="615"/>
      <c r="AX472" s="615"/>
      <c r="AY472" s="615"/>
      <c r="AZ472" s="615"/>
      <c r="BA472" s="615"/>
      <c r="BB472" s="615"/>
      <c r="BC472" s="615"/>
      <c r="BD472" s="615"/>
      <c r="BE472" s="615"/>
      <c r="BF472" s="615"/>
      <c r="BG472" s="615"/>
      <c r="BH472" s="615"/>
      <c r="BI472" s="615"/>
      <c r="BJ472" s="615"/>
      <c r="BK472" s="615"/>
      <c r="BL472" s="615"/>
      <c r="BM472" s="615"/>
      <c r="BN472" s="615"/>
      <c r="BO472" s="615"/>
      <c r="BP472" s="615"/>
      <c r="BQ472" s="615"/>
      <c r="BR472" s="615"/>
      <c r="BS472" s="615"/>
      <c r="BT472" s="615"/>
      <c r="BU472" s="615"/>
      <c r="BV472" s="615"/>
      <c r="BW472" s="615"/>
      <c r="BX472" s="607"/>
    </row>
    <row r="473" spans="1:76" ht="25.5" x14ac:dyDescent="0.2">
      <c r="A473" s="839"/>
      <c r="B473" s="713" t="s">
        <v>1197</v>
      </c>
      <c r="C473" s="713" t="s">
        <v>3612</v>
      </c>
      <c r="D473" s="712">
        <v>0</v>
      </c>
      <c r="E473" s="712">
        <v>0</v>
      </c>
      <c r="F473" s="712">
        <v>0</v>
      </c>
      <c r="G473" s="712">
        <v>0</v>
      </c>
      <c r="H473" s="712">
        <v>0</v>
      </c>
      <c r="I473" s="712">
        <v>0</v>
      </c>
      <c r="J473" s="712">
        <v>0</v>
      </c>
      <c r="K473" s="712">
        <v>0</v>
      </c>
      <c r="L473" s="712">
        <v>0</v>
      </c>
      <c r="M473" s="712">
        <v>0</v>
      </c>
      <c r="N473" s="712">
        <v>0</v>
      </c>
      <c r="O473" s="712">
        <v>0</v>
      </c>
      <c r="P473" s="712">
        <v>0</v>
      </c>
      <c r="Q473" s="712">
        <v>0</v>
      </c>
      <c r="R473" s="712">
        <v>292838148</v>
      </c>
      <c r="S473" s="712">
        <v>0</v>
      </c>
      <c r="T473" s="712">
        <v>0</v>
      </c>
      <c r="U473" s="712">
        <v>0</v>
      </c>
      <c r="V473" s="712">
        <v>0</v>
      </c>
      <c r="W473" s="712">
        <v>0</v>
      </c>
      <c r="X473" s="712">
        <v>0</v>
      </c>
      <c r="Y473" s="712">
        <v>0</v>
      </c>
      <c r="Z473" s="712">
        <v>0</v>
      </c>
      <c r="AA473" s="712">
        <v>0</v>
      </c>
      <c r="AB473" s="712">
        <v>0</v>
      </c>
      <c r="AC473" s="712">
        <v>0</v>
      </c>
      <c r="AD473" s="712">
        <v>0</v>
      </c>
      <c r="AE473" s="712">
        <v>0</v>
      </c>
      <c r="AF473" s="712">
        <v>0</v>
      </c>
      <c r="AG473" s="712">
        <v>0</v>
      </c>
      <c r="AH473" s="712">
        <v>0</v>
      </c>
      <c r="AI473" s="712">
        <v>0</v>
      </c>
      <c r="AJ473" s="712">
        <v>0</v>
      </c>
      <c r="AK473" s="712">
        <v>0</v>
      </c>
      <c r="AL473" s="712">
        <v>0</v>
      </c>
      <c r="AM473" s="712">
        <v>0</v>
      </c>
      <c r="AN473" s="712">
        <v>0</v>
      </c>
      <c r="AO473" s="712">
        <v>0</v>
      </c>
      <c r="AP473" s="712">
        <v>0</v>
      </c>
      <c r="AQ473" s="712">
        <v>0</v>
      </c>
      <c r="AR473" s="712">
        <v>0</v>
      </c>
      <c r="AS473" s="712">
        <v>0</v>
      </c>
      <c r="AT473">
        <v>292838148</v>
      </c>
      <c r="AU473" s="615"/>
      <c r="AV473" s="615"/>
      <c r="AW473" s="615"/>
      <c r="AX473" s="615"/>
      <c r="AY473" s="615"/>
      <c r="AZ473" s="615"/>
      <c r="BA473" s="615"/>
      <c r="BB473" s="615"/>
      <c r="BC473" s="615"/>
      <c r="BD473" s="615"/>
      <c r="BE473" s="615"/>
      <c r="BF473" s="615"/>
      <c r="BG473" s="615"/>
      <c r="BH473" s="615"/>
      <c r="BI473" s="615"/>
      <c r="BJ473" s="615"/>
      <c r="BK473" s="615"/>
      <c r="BL473" s="615"/>
      <c r="BM473" s="615"/>
      <c r="BN473" s="615"/>
      <c r="BO473" s="615"/>
      <c r="BP473" s="615"/>
      <c r="BQ473" s="615"/>
      <c r="BR473" s="615"/>
      <c r="BS473" s="615"/>
      <c r="BT473" s="615"/>
      <c r="BU473" s="615"/>
      <c r="BV473" s="615"/>
      <c r="BW473" s="615"/>
      <c r="BX473" s="607"/>
    </row>
    <row r="474" spans="1:76" ht="12.75" x14ac:dyDescent="0.2">
      <c r="A474" s="839"/>
      <c r="B474" s="713" t="s">
        <v>1306</v>
      </c>
      <c r="C474" s="713" t="s">
        <v>3578</v>
      </c>
      <c r="D474" s="712">
        <v>0</v>
      </c>
      <c r="E474" s="712">
        <v>0</v>
      </c>
      <c r="F474" s="712">
        <v>0</v>
      </c>
      <c r="G474" s="712">
        <v>0</v>
      </c>
      <c r="H474" s="712">
        <v>0</v>
      </c>
      <c r="I474" s="712">
        <v>0</v>
      </c>
      <c r="J474" s="712">
        <v>0</v>
      </c>
      <c r="K474" s="712">
        <v>0</v>
      </c>
      <c r="L474" s="712">
        <v>0</v>
      </c>
      <c r="M474" s="712">
        <v>0</v>
      </c>
      <c r="N474" s="712">
        <v>0</v>
      </c>
      <c r="O474" s="712">
        <v>0</v>
      </c>
      <c r="P474" s="712">
        <v>0</v>
      </c>
      <c r="Q474" s="712">
        <v>0</v>
      </c>
      <c r="R474" s="712">
        <v>290253403</v>
      </c>
      <c r="S474" s="712">
        <v>0</v>
      </c>
      <c r="T474" s="712">
        <v>0</v>
      </c>
      <c r="U474" s="712">
        <v>0</v>
      </c>
      <c r="V474" s="712">
        <v>0</v>
      </c>
      <c r="W474" s="712">
        <v>0</v>
      </c>
      <c r="X474" s="712">
        <v>0</v>
      </c>
      <c r="Y474" s="712">
        <v>0</v>
      </c>
      <c r="Z474" s="712">
        <v>0</v>
      </c>
      <c r="AA474" s="712">
        <v>0</v>
      </c>
      <c r="AB474" s="712">
        <v>0</v>
      </c>
      <c r="AC474" s="712">
        <v>0</v>
      </c>
      <c r="AD474" s="712">
        <v>0</v>
      </c>
      <c r="AE474" s="712">
        <v>0</v>
      </c>
      <c r="AF474" s="712">
        <v>0</v>
      </c>
      <c r="AG474" s="712">
        <v>0</v>
      </c>
      <c r="AH474" s="712">
        <v>0</v>
      </c>
      <c r="AI474" s="712">
        <v>0</v>
      </c>
      <c r="AJ474" s="712">
        <v>0</v>
      </c>
      <c r="AK474" s="712">
        <v>0</v>
      </c>
      <c r="AL474" s="712">
        <v>0</v>
      </c>
      <c r="AM474" s="712">
        <v>0</v>
      </c>
      <c r="AN474" s="712">
        <v>0</v>
      </c>
      <c r="AO474" s="712">
        <v>0</v>
      </c>
      <c r="AP474" s="712">
        <v>0</v>
      </c>
      <c r="AQ474" s="712">
        <v>0</v>
      </c>
      <c r="AR474" s="712">
        <v>0</v>
      </c>
      <c r="AS474" s="712">
        <v>0</v>
      </c>
      <c r="AT474">
        <v>290253403</v>
      </c>
      <c r="AU474" s="615"/>
      <c r="AV474" s="615"/>
      <c r="AW474" s="615"/>
      <c r="AX474" s="615"/>
      <c r="AY474" s="615"/>
      <c r="AZ474" s="615"/>
      <c r="BA474" s="615"/>
      <c r="BB474" s="615"/>
      <c r="BC474" s="615"/>
      <c r="BD474" s="615"/>
      <c r="BE474" s="615"/>
      <c r="BF474" s="615"/>
      <c r="BG474" s="615"/>
      <c r="BH474" s="615"/>
      <c r="BI474" s="615"/>
      <c r="BJ474" s="615"/>
      <c r="BK474" s="615"/>
      <c r="BL474" s="615"/>
      <c r="BM474" s="615"/>
      <c r="BN474" s="615"/>
      <c r="BO474" s="615"/>
      <c r="BP474" s="615"/>
      <c r="BQ474" s="615"/>
      <c r="BR474" s="615"/>
      <c r="BS474" s="615"/>
      <c r="BT474" s="615"/>
      <c r="BU474" s="615"/>
      <c r="BV474" s="615"/>
      <c r="BW474" s="615"/>
      <c r="BX474" s="607"/>
    </row>
    <row r="475" spans="1:76" ht="25.5" x14ac:dyDescent="0.2">
      <c r="A475" s="839"/>
      <c r="B475" s="713" t="s">
        <v>1561</v>
      </c>
      <c r="C475" s="713" t="s">
        <v>3614</v>
      </c>
      <c r="D475" s="712">
        <v>0</v>
      </c>
      <c r="E475" s="712">
        <v>0</v>
      </c>
      <c r="F475" s="712">
        <v>0</v>
      </c>
      <c r="G475" s="712">
        <v>0</v>
      </c>
      <c r="H475" s="712">
        <v>0</v>
      </c>
      <c r="I475" s="712">
        <v>0</v>
      </c>
      <c r="J475" s="712">
        <v>0</v>
      </c>
      <c r="K475" s="712">
        <v>0</v>
      </c>
      <c r="L475" s="712">
        <v>0</v>
      </c>
      <c r="M475" s="712">
        <v>0</v>
      </c>
      <c r="N475" s="712">
        <v>0</v>
      </c>
      <c r="O475" s="712">
        <v>0</v>
      </c>
      <c r="P475" s="712">
        <v>0</v>
      </c>
      <c r="Q475" s="712">
        <v>0</v>
      </c>
      <c r="R475" s="712">
        <v>311515294</v>
      </c>
      <c r="S475" s="712">
        <v>0</v>
      </c>
      <c r="T475" s="712">
        <v>0</v>
      </c>
      <c r="U475" s="712">
        <v>0</v>
      </c>
      <c r="V475" s="712">
        <v>0</v>
      </c>
      <c r="W475" s="712">
        <v>0</v>
      </c>
      <c r="X475" s="712">
        <v>0</v>
      </c>
      <c r="Y475" s="712">
        <v>0</v>
      </c>
      <c r="Z475" s="712">
        <v>0</v>
      </c>
      <c r="AA475" s="712">
        <v>0</v>
      </c>
      <c r="AB475" s="712">
        <v>0</v>
      </c>
      <c r="AC475" s="712">
        <v>0</v>
      </c>
      <c r="AD475" s="712">
        <v>0</v>
      </c>
      <c r="AE475" s="712">
        <v>0</v>
      </c>
      <c r="AF475" s="712">
        <v>0</v>
      </c>
      <c r="AG475" s="712">
        <v>0</v>
      </c>
      <c r="AH475" s="712">
        <v>0</v>
      </c>
      <c r="AI475" s="712">
        <v>0</v>
      </c>
      <c r="AJ475" s="712">
        <v>0</v>
      </c>
      <c r="AK475" s="712">
        <v>0</v>
      </c>
      <c r="AL475" s="712">
        <v>0</v>
      </c>
      <c r="AM475" s="712">
        <v>0</v>
      </c>
      <c r="AN475" s="712">
        <v>0</v>
      </c>
      <c r="AO475" s="712">
        <v>0</v>
      </c>
      <c r="AP475" s="712">
        <v>0</v>
      </c>
      <c r="AQ475" s="712">
        <v>0</v>
      </c>
      <c r="AR475" s="712">
        <v>0</v>
      </c>
      <c r="AS475" s="712">
        <v>0</v>
      </c>
      <c r="AT475">
        <v>311515294</v>
      </c>
      <c r="AU475" s="615"/>
      <c r="AV475" s="615"/>
      <c r="AW475" s="615"/>
      <c r="AX475" s="615"/>
      <c r="AY475" s="615"/>
      <c r="AZ475" s="615"/>
      <c r="BA475" s="615"/>
      <c r="BB475" s="615"/>
      <c r="BC475" s="615"/>
      <c r="BD475" s="615"/>
      <c r="BE475" s="615"/>
      <c r="BF475" s="615"/>
      <c r="BG475" s="615"/>
      <c r="BH475" s="615"/>
      <c r="BI475" s="615"/>
      <c r="BJ475" s="615"/>
      <c r="BK475" s="615"/>
      <c r="BL475" s="615"/>
      <c r="BM475" s="615"/>
      <c r="BN475" s="615"/>
      <c r="BO475" s="615"/>
      <c r="BP475" s="615"/>
      <c r="BQ475" s="615"/>
      <c r="BR475" s="615"/>
      <c r="BS475" s="615"/>
      <c r="BT475" s="615"/>
      <c r="BU475" s="615"/>
      <c r="BV475" s="615"/>
      <c r="BW475" s="615"/>
      <c r="BX475" s="607"/>
    </row>
    <row r="476" spans="1:76" ht="25.5" x14ac:dyDescent="0.2">
      <c r="A476" s="839"/>
      <c r="B476" s="713" t="s">
        <v>1124</v>
      </c>
      <c r="C476" s="713" t="s">
        <v>3602</v>
      </c>
      <c r="D476" s="712">
        <v>0</v>
      </c>
      <c r="E476" s="712">
        <v>0</v>
      </c>
      <c r="F476" s="712">
        <v>0</v>
      </c>
      <c r="G476" s="712">
        <v>0</v>
      </c>
      <c r="H476" s="712">
        <v>0</v>
      </c>
      <c r="I476" s="712">
        <v>0</v>
      </c>
      <c r="J476" s="712">
        <v>0</v>
      </c>
      <c r="K476" s="712">
        <v>0</v>
      </c>
      <c r="L476" s="712">
        <v>0</v>
      </c>
      <c r="M476" s="712">
        <v>0</v>
      </c>
      <c r="N476" s="712">
        <v>0</v>
      </c>
      <c r="O476" s="712">
        <v>0</v>
      </c>
      <c r="P476" s="712">
        <v>196617367</v>
      </c>
      <c r="Q476" s="712">
        <v>0</v>
      </c>
      <c r="R476" s="712">
        <v>0</v>
      </c>
      <c r="S476" s="712">
        <v>0</v>
      </c>
      <c r="T476" s="712">
        <v>0</v>
      </c>
      <c r="U476" s="712">
        <v>0</v>
      </c>
      <c r="V476" s="712">
        <v>0</v>
      </c>
      <c r="W476" s="712">
        <v>0</v>
      </c>
      <c r="X476" s="712">
        <v>0</v>
      </c>
      <c r="Y476" s="712">
        <v>0</v>
      </c>
      <c r="Z476" s="712">
        <v>0</v>
      </c>
      <c r="AA476" s="712">
        <v>0</v>
      </c>
      <c r="AB476" s="712">
        <v>0</v>
      </c>
      <c r="AC476" s="712">
        <v>0</v>
      </c>
      <c r="AD476" s="712">
        <v>0</v>
      </c>
      <c r="AE476" s="712">
        <v>0</v>
      </c>
      <c r="AF476" s="712">
        <v>0</v>
      </c>
      <c r="AG476" s="712">
        <v>0</v>
      </c>
      <c r="AH476" s="712">
        <v>0</v>
      </c>
      <c r="AI476" s="712">
        <v>0</v>
      </c>
      <c r="AJ476" s="712">
        <v>0</v>
      </c>
      <c r="AK476" s="712">
        <v>0</v>
      </c>
      <c r="AL476" s="712">
        <v>0</v>
      </c>
      <c r="AM476" s="712">
        <v>0</v>
      </c>
      <c r="AN476" s="712">
        <v>0</v>
      </c>
      <c r="AO476" s="712">
        <v>0</v>
      </c>
      <c r="AP476" s="712">
        <v>0</v>
      </c>
      <c r="AQ476" s="712">
        <v>0</v>
      </c>
      <c r="AR476" s="712">
        <v>0</v>
      </c>
      <c r="AS476" s="712">
        <v>0</v>
      </c>
      <c r="AT476">
        <v>196617367</v>
      </c>
      <c r="AU476" s="615"/>
      <c r="AV476" s="615"/>
      <c r="AW476" s="615"/>
      <c r="AX476" s="615"/>
      <c r="AY476" s="615"/>
      <c r="AZ476" s="615"/>
      <c r="BA476" s="615"/>
      <c r="BB476" s="615"/>
      <c r="BC476" s="615"/>
      <c r="BD476" s="615"/>
      <c r="BE476" s="615"/>
      <c r="BF476" s="615"/>
      <c r="BG476" s="615"/>
      <c r="BH476" s="615"/>
      <c r="BI476" s="615"/>
      <c r="BJ476" s="615"/>
      <c r="BK476" s="615"/>
      <c r="BL476" s="615"/>
      <c r="BM476" s="615"/>
      <c r="BN476" s="615"/>
      <c r="BO476" s="615"/>
      <c r="BP476" s="615"/>
      <c r="BQ476" s="615"/>
      <c r="BR476" s="615"/>
      <c r="BS476" s="615"/>
      <c r="BT476" s="615"/>
      <c r="BU476" s="615"/>
      <c r="BV476" s="615"/>
      <c r="BW476" s="615"/>
      <c r="BX476" s="607"/>
    </row>
    <row r="477" spans="1:76" ht="25.5" x14ac:dyDescent="0.2">
      <c r="A477" s="839"/>
      <c r="B477" s="713" t="s">
        <v>4371</v>
      </c>
      <c r="C477" s="713" t="s">
        <v>4288</v>
      </c>
      <c r="D477" s="712">
        <v>0</v>
      </c>
      <c r="E477" s="712">
        <v>0</v>
      </c>
      <c r="F477" s="712">
        <v>0</v>
      </c>
      <c r="G477" s="712">
        <v>0</v>
      </c>
      <c r="H477" s="712">
        <v>0</v>
      </c>
      <c r="I477" s="712">
        <v>0</v>
      </c>
      <c r="J477" s="712">
        <v>0</v>
      </c>
      <c r="K477" s="712">
        <v>0</v>
      </c>
      <c r="L477" s="712">
        <v>0</v>
      </c>
      <c r="M477" s="712">
        <v>0</v>
      </c>
      <c r="N477" s="712">
        <v>0</v>
      </c>
      <c r="O477" s="712">
        <v>0</v>
      </c>
      <c r="P477" s="712">
        <v>0</v>
      </c>
      <c r="Q477" s="712">
        <v>0</v>
      </c>
      <c r="R477" s="712">
        <v>0</v>
      </c>
      <c r="S477" s="712">
        <v>0</v>
      </c>
      <c r="T477" s="712">
        <v>0</v>
      </c>
      <c r="U477" s="712">
        <v>0</v>
      </c>
      <c r="V477" s="712">
        <v>0</v>
      </c>
      <c r="W477" s="712">
        <v>0</v>
      </c>
      <c r="X477" s="712">
        <v>0</v>
      </c>
      <c r="Y477" s="712">
        <v>5297117</v>
      </c>
      <c r="Z477" s="712">
        <v>5297117</v>
      </c>
      <c r="AA477" s="712">
        <v>5297119</v>
      </c>
      <c r="AB477" s="712">
        <v>332703391</v>
      </c>
      <c r="AC477" s="712">
        <v>0</v>
      </c>
      <c r="AD477" s="712">
        <v>0</v>
      </c>
      <c r="AE477" s="712">
        <v>0</v>
      </c>
      <c r="AF477" s="712">
        <v>0</v>
      </c>
      <c r="AG477" s="712">
        <v>0</v>
      </c>
      <c r="AH477" s="712">
        <v>0</v>
      </c>
      <c r="AI477" s="712">
        <v>0</v>
      </c>
      <c r="AJ477" s="712">
        <v>0</v>
      </c>
      <c r="AK477" s="712">
        <v>0</v>
      </c>
      <c r="AL477" s="712">
        <v>0</v>
      </c>
      <c r="AM477" s="712">
        <v>0</v>
      </c>
      <c r="AN477" s="712">
        <v>0</v>
      </c>
      <c r="AO477" s="712">
        <v>0</v>
      </c>
      <c r="AP477" s="712">
        <v>0</v>
      </c>
      <c r="AQ477" s="712">
        <v>0</v>
      </c>
      <c r="AR477" s="712">
        <v>0</v>
      </c>
      <c r="AS477" s="712">
        <v>0</v>
      </c>
      <c r="AT477">
        <v>348594744</v>
      </c>
      <c r="AU477" s="615"/>
      <c r="AV477" s="615"/>
      <c r="AW477" s="615"/>
      <c r="AX477" s="615"/>
      <c r="AY477" s="615"/>
      <c r="AZ477" s="615"/>
      <c r="BA477" s="615"/>
      <c r="BB477" s="615"/>
      <c r="BC477" s="615"/>
      <c r="BD477" s="615"/>
      <c r="BE477" s="615"/>
      <c r="BF477" s="615"/>
      <c r="BG477" s="615"/>
      <c r="BH477" s="615"/>
      <c r="BI477" s="615"/>
      <c r="BJ477" s="615"/>
      <c r="BK477" s="615"/>
      <c r="BL477" s="615"/>
      <c r="BM477" s="615"/>
      <c r="BN477" s="615"/>
      <c r="BO477" s="615"/>
      <c r="BP477" s="615"/>
      <c r="BQ477" s="615"/>
      <c r="BR477" s="615"/>
      <c r="BS477" s="615"/>
      <c r="BT477" s="615"/>
      <c r="BU477" s="615"/>
      <c r="BV477" s="615"/>
      <c r="BW477" s="615"/>
      <c r="BX477" s="607"/>
    </row>
    <row r="478" spans="1:76" ht="25.5" x14ac:dyDescent="0.2">
      <c r="A478" s="839"/>
      <c r="B478" s="713" t="s">
        <v>1184</v>
      </c>
      <c r="C478" s="713" t="s">
        <v>3541</v>
      </c>
      <c r="D478" s="712">
        <v>0</v>
      </c>
      <c r="E478" s="712">
        <v>0</v>
      </c>
      <c r="F478" s="712">
        <v>0</v>
      </c>
      <c r="G478" s="712">
        <v>0</v>
      </c>
      <c r="H478" s="712">
        <v>0</v>
      </c>
      <c r="I478" s="712">
        <v>0</v>
      </c>
      <c r="J478" s="712">
        <v>0</v>
      </c>
      <c r="K478" s="712">
        <v>0</v>
      </c>
      <c r="L478" s="712">
        <v>0</v>
      </c>
      <c r="M478" s="712">
        <v>0</v>
      </c>
      <c r="N478" s="712">
        <v>0</v>
      </c>
      <c r="O478" s="712">
        <v>0</v>
      </c>
      <c r="P478" s="712">
        <v>0</v>
      </c>
      <c r="Q478" s="712">
        <v>0</v>
      </c>
      <c r="R478" s="712">
        <v>263302827</v>
      </c>
      <c r="S478" s="712">
        <v>0</v>
      </c>
      <c r="T478" s="712">
        <v>0</v>
      </c>
      <c r="U478" s="712">
        <v>0</v>
      </c>
      <c r="V478" s="712">
        <v>0</v>
      </c>
      <c r="W478" s="712">
        <v>0</v>
      </c>
      <c r="X478" s="712">
        <v>0</v>
      </c>
      <c r="Y478" s="712">
        <v>0</v>
      </c>
      <c r="Z478" s="712">
        <v>0</v>
      </c>
      <c r="AA478" s="712">
        <v>0</v>
      </c>
      <c r="AB478" s="712">
        <v>0</v>
      </c>
      <c r="AC478" s="712">
        <v>0</v>
      </c>
      <c r="AD478" s="712">
        <v>0</v>
      </c>
      <c r="AE478" s="712">
        <v>0</v>
      </c>
      <c r="AF478" s="712">
        <v>0</v>
      </c>
      <c r="AG478" s="712">
        <v>0</v>
      </c>
      <c r="AH478" s="712">
        <v>0</v>
      </c>
      <c r="AI478" s="712">
        <v>0</v>
      </c>
      <c r="AJ478" s="712">
        <v>0</v>
      </c>
      <c r="AK478" s="712">
        <v>0</v>
      </c>
      <c r="AL478" s="712">
        <v>0</v>
      </c>
      <c r="AM478" s="712">
        <v>0</v>
      </c>
      <c r="AN478" s="712">
        <v>0</v>
      </c>
      <c r="AO478" s="712">
        <v>0</v>
      </c>
      <c r="AP478" s="712">
        <v>0</v>
      </c>
      <c r="AQ478" s="712">
        <v>0</v>
      </c>
      <c r="AR478" s="712">
        <v>0</v>
      </c>
      <c r="AS478" s="712">
        <v>0</v>
      </c>
      <c r="AT478">
        <v>263302827</v>
      </c>
      <c r="AU478" s="615"/>
      <c r="AV478" s="615"/>
      <c r="AW478" s="615"/>
      <c r="AX478" s="615"/>
      <c r="AY478" s="615"/>
      <c r="AZ478" s="615"/>
      <c r="BA478" s="615"/>
      <c r="BB478" s="615"/>
      <c r="BC478" s="615"/>
      <c r="BD478" s="615"/>
      <c r="BE478" s="615"/>
      <c r="BF478" s="615"/>
      <c r="BG478" s="615"/>
      <c r="BH478" s="615"/>
      <c r="BI478" s="615"/>
      <c r="BJ478" s="615"/>
      <c r="BK478" s="615"/>
      <c r="BL478" s="615"/>
      <c r="BM478" s="615"/>
      <c r="BN478" s="615"/>
      <c r="BO478" s="615"/>
      <c r="BP478" s="615"/>
      <c r="BQ478" s="615"/>
      <c r="BR478" s="615"/>
      <c r="BS478" s="615"/>
      <c r="BT478" s="615"/>
      <c r="BU478" s="615"/>
      <c r="BV478" s="615"/>
      <c r="BW478" s="615"/>
      <c r="BX478" s="607"/>
    </row>
    <row r="479" spans="1:76" ht="25.5" x14ac:dyDescent="0.2">
      <c r="A479" s="839"/>
      <c r="B479" s="713" t="s">
        <v>3010</v>
      </c>
      <c r="C479" s="713" t="s">
        <v>3623</v>
      </c>
      <c r="D479" s="712">
        <v>0</v>
      </c>
      <c r="E479" s="712">
        <v>0</v>
      </c>
      <c r="F479" s="712">
        <v>0</v>
      </c>
      <c r="G479" s="712">
        <v>0</v>
      </c>
      <c r="H479" s="712">
        <v>0</v>
      </c>
      <c r="I479" s="712">
        <v>0</v>
      </c>
      <c r="J479" s="712">
        <v>0</v>
      </c>
      <c r="K479" s="712">
        <v>0</v>
      </c>
      <c r="L479" s="712">
        <v>0</v>
      </c>
      <c r="M479" s="712">
        <v>0</v>
      </c>
      <c r="N479" s="712">
        <v>0</v>
      </c>
      <c r="O479" s="712">
        <v>314981578</v>
      </c>
      <c r="P479" s="712">
        <v>0</v>
      </c>
      <c r="Q479" s="712">
        <v>0</v>
      </c>
      <c r="R479" s="712">
        <v>0</v>
      </c>
      <c r="S479" s="712">
        <v>0</v>
      </c>
      <c r="T479" s="712">
        <v>0</v>
      </c>
      <c r="U479" s="712">
        <v>0</v>
      </c>
      <c r="V479" s="712">
        <v>0</v>
      </c>
      <c r="W479" s="712">
        <v>0</v>
      </c>
      <c r="X479" s="712">
        <v>0</v>
      </c>
      <c r="Y479" s="712">
        <v>0</v>
      </c>
      <c r="Z479" s="712">
        <v>0</v>
      </c>
      <c r="AA479" s="712">
        <v>0</v>
      </c>
      <c r="AB479" s="712">
        <v>0</v>
      </c>
      <c r="AC479" s="712">
        <v>0</v>
      </c>
      <c r="AD479" s="712">
        <v>0</v>
      </c>
      <c r="AE479" s="712">
        <v>0</v>
      </c>
      <c r="AF479" s="712">
        <v>0</v>
      </c>
      <c r="AG479" s="712">
        <v>0</v>
      </c>
      <c r="AH479" s="712">
        <v>0</v>
      </c>
      <c r="AI479" s="712">
        <v>0</v>
      </c>
      <c r="AJ479" s="712">
        <v>0</v>
      </c>
      <c r="AK479" s="712">
        <v>0</v>
      </c>
      <c r="AL479" s="712">
        <v>0</v>
      </c>
      <c r="AM479" s="712">
        <v>0</v>
      </c>
      <c r="AN479" s="712">
        <v>0</v>
      </c>
      <c r="AO479" s="712">
        <v>0</v>
      </c>
      <c r="AP479" s="712">
        <v>0</v>
      </c>
      <c r="AQ479" s="712">
        <v>0</v>
      </c>
      <c r="AR479" s="712">
        <v>0</v>
      </c>
      <c r="AS479" s="712">
        <v>0</v>
      </c>
      <c r="AT479">
        <v>314981578</v>
      </c>
      <c r="AU479" s="615"/>
      <c r="AV479" s="615"/>
      <c r="AW479" s="615"/>
      <c r="AX479" s="615"/>
      <c r="AY479" s="615"/>
      <c r="AZ479" s="615"/>
      <c r="BA479" s="615"/>
      <c r="BB479" s="615"/>
      <c r="BC479" s="615"/>
      <c r="BD479" s="615"/>
      <c r="BE479" s="615"/>
      <c r="BF479" s="615"/>
      <c r="BG479" s="615"/>
      <c r="BH479" s="615"/>
      <c r="BI479" s="615"/>
      <c r="BJ479" s="615"/>
      <c r="BK479" s="615"/>
      <c r="BL479" s="615"/>
      <c r="BM479" s="615"/>
      <c r="BN479" s="615"/>
      <c r="BO479" s="615"/>
      <c r="BP479" s="615"/>
      <c r="BQ479" s="615"/>
      <c r="BR479" s="615"/>
      <c r="BS479" s="615"/>
      <c r="BT479" s="615"/>
      <c r="BU479" s="615"/>
      <c r="BV479" s="615"/>
      <c r="BW479" s="615"/>
      <c r="BX479" s="607"/>
    </row>
    <row r="480" spans="1:76" ht="25.5" x14ac:dyDescent="0.2">
      <c r="A480" s="839"/>
      <c r="B480" s="713" t="s">
        <v>1235</v>
      </c>
      <c r="C480" s="713" t="s">
        <v>3528</v>
      </c>
      <c r="D480" s="712">
        <v>0</v>
      </c>
      <c r="E480" s="712">
        <v>0</v>
      </c>
      <c r="F480" s="712">
        <v>0</v>
      </c>
      <c r="G480" s="712">
        <v>0</v>
      </c>
      <c r="H480" s="712">
        <v>0</v>
      </c>
      <c r="I480" s="712">
        <v>0</v>
      </c>
      <c r="J480" s="712">
        <v>0</v>
      </c>
      <c r="K480" s="712">
        <v>0</v>
      </c>
      <c r="L480" s="712">
        <v>0</v>
      </c>
      <c r="M480" s="712">
        <v>0</v>
      </c>
      <c r="N480" s="712">
        <v>0</v>
      </c>
      <c r="O480" s="712">
        <v>0</v>
      </c>
      <c r="P480" s="712">
        <v>0</v>
      </c>
      <c r="Q480" s="712">
        <v>0</v>
      </c>
      <c r="R480" s="712">
        <v>283576772</v>
      </c>
      <c r="S480" s="712">
        <v>0</v>
      </c>
      <c r="T480" s="712">
        <v>0</v>
      </c>
      <c r="U480" s="712">
        <v>0</v>
      </c>
      <c r="V480" s="712">
        <v>0</v>
      </c>
      <c r="W480" s="712">
        <v>0</v>
      </c>
      <c r="X480" s="712">
        <v>0</v>
      </c>
      <c r="Y480" s="712">
        <v>0</v>
      </c>
      <c r="Z480" s="712">
        <v>0</v>
      </c>
      <c r="AA480" s="712">
        <v>0</v>
      </c>
      <c r="AB480" s="712">
        <v>0</v>
      </c>
      <c r="AC480" s="712">
        <v>0</v>
      </c>
      <c r="AD480" s="712">
        <v>0</v>
      </c>
      <c r="AE480" s="712">
        <v>0</v>
      </c>
      <c r="AF480" s="712">
        <v>0</v>
      </c>
      <c r="AG480" s="712">
        <v>0</v>
      </c>
      <c r="AH480" s="712">
        <v>0</v>
      </c>
      <c r="AI480" s="712">
        <v>0</v>
      </c>
      <c r="AJ480" s="712">
        <v>0</v>
      </c>
      <c r="AK480" s="712">
        <v>0</v>
      </c>
      <c r="AL480" s="712">
        <v>0</v>
      </c>
      <c r="AM480" s="712">
        <v>0</v>
      </c>
      <c r="AN480" s="712">
        <v>0</v>
      </c>
      <c r="AO480" s="712">
        <v>0</v>
      </c>
      <c r="AP480" s="712">
        <v>0</v>
      </c>
      <c r="AQ480" s="712">
        <v>0</v>
      </c>
      <c r="AR480" s="712">
        <v>0</v>
      </c>
      <c r="AS480" s="712">
        <v>0</v>
      </c>
      <c r="AT480">
        <v>283576772</v>
      </c>
      <c r="AU480" s="615"/>
      <c r="AV480" s="615"/>
      <c r="AW480" s="615"/>
      <c r="AX480" s="615"/>
      <c r="AY480" s="615"/>
      <c r="AZ480" s="615"/>
      <c r="BA480" s="615"/>
      <c r="BB480" s="615"/>
      <c r="BC480" s="615"/>
      <c r="BD480" s="615"/>
      <c r="BE480" s="615"/>
      <c r="BF480" s="615"/>
      <c r="BG480" s="615"/>
      <c r="BH480" s="615"/>
      <c r="BI480" s="615"/>
      <c r="BJ480" s="615"/>
      <c r="BK480" s="615"/>
      <c r="BL480" s="615"/>
      <c r="BM480" s="615"/>
      <c r="BN480" s="615"/>
      <c r="BO480" s="615"/>
      <c r="BP480" s="615"/>
      <c r="BQ480" s="615"/>
      <c r="BR480" s="615"/>
      <c r="BS480" s="615"/>
      <c r="BT480" s="615"/>
      <c r="BU480" s="615"/>
      <c r="BV480" s="615"/>
      <c r="BW480" s="615"/>
      <c r="BX480" s="607"/>
    </row>
    <row r="481" spans="1:76" ht="25.5" x14ac:dyDescent="0.2">
      <c r="A481" s="839"/>
      <c r="B481" s="713" t="s">
        <v>1669</v>
      </c>
      <c r="C481" s="713" t="s">
        <v>3503</v>
      </c>
      <c r="D481" s="712">
        <v>0</v>
      </c>
      <c r="E481" s="712">
        <v>0</v>
      </c>
      <c r="F481" s="712">
        <v>0</v>
      </c>
      <c r="G481" s="712">
        <v>0</v>
      </c>
      <c r="H481" s="712">
        <v>0</v>
      </c>
      <c r="I481" s="712">
        <v>0</v>
      </c>
      <c r="J481" s="712">
        <v>0</v>
      </c>
      <c r="K481" s="712">
        <v>0</v>
      </c>
      <c r="L481" s="712">
        <v>0</v>
      </c>
      <c r="M481" s="712">
        <v>0</v>
      </c>
      <c r="N481" s="712">
        <v>0</v>
      </c>
      <c r="O481" s="712">
        <v>0</v>
      </c>
      <c r="P481" s="712">
        <v>0</v>
      </c>
      <c r="Q481" s="712">
        <v>0</v>
      </c>
      <c r="R481" s="712">
        <v>273600000</v>
      </c>
      <c r="S481" s="712">
        <v>0</v>
      </c>
      <c r="T481" s="712">
        <v>0</v>
      </c>
      <c r="U481" s="712">
        <v>0</v>
      </c>
      <c r="V481" s="712">
        <v>0</v>
      </c>
      <c r="W481" s="712">
        <v>0</v>
      </c>
      <c r="X481" s="712">
        <v>0</v>
      </c>
      <c r="Y481" s="712">
        <v>0</v>
      </c>
      <c r="Z481" s="712">
        <v>0</v>
      </c>
      <c r="AA481" s="712">
        <v>0</v>
      </c>
      <c r="AB481" s="712">
        <v>0</v>
      </c>
      <c r="AC481" s="712">
        <v>0</v>
      </c>
      <c r="AD481" s="712">
        <v>0</v>
      </c>
      <c r="AE481" s="712">
        <v>0</v>
      </c>
      <c r="AF481" s="712">
        <v>0</v>
      </c>
      <c r="AG481" s="712">
        <v>0</v>
      </c>
      <c r="AH481" s="712">
        <v>0</v>
      </c>
      <c r="AI481" s="712">
        <v>0</v>
      </c>
      <c r="AJ481" s="712">
        <v>0</v>
      </c>
      <c r="AK481" s="712">
        <v>0</v>
      </c>
      <c r="AL481" s="712">
        <v>0</v>
      </c>
      <c r="AM481" s="712">
        <v>0</v>
      </c>
      <c r="AN481" s="712">
        <v>0</v>
      </c>
      <c r="AO481" s="712">
        <v>0</v>
      </c>
      <c r="AP481" s="712">
        <v>0</v>
      </c>
      <c r="AQ481" s="712">
        <v>0</v>
      </c>
      <c r="AR481" s="712">
        <v>0</v>
      </c>
      <c r="AS481" s="712">
        <v>0</v>
      </c>
      <c r="AT481">
        <v>273600000</v>
      </c>
      <c r="AU481" s="615"/>
      <c r="AV481" s="615"/>
      <c r="AW481" s="615"/>
      <c r="AX481" s="615"/>
      <c r="AY481" s="615"/>
      <c r="AZ481" s="615"/>
      <c r="BA481" s="615"/>
      <c r="BB481" s="615"/>
      <c r="BC481" s="615"/>
      <c r="BD481" s="615"/>
      <c r="BE481" s="615"/>
      <c r="BF481" s="615"/>
      <c r="BG481" s="615"/>
      <c r="BH481" s="615"/>
      <c r="BI481" s="615"/>
      <c r="BJ481" s="615"/>
      <c r="BK481" s="615"/>
      <c r="BL481" s="615"/>
      <c r="BM481" s="615"/>
      <c r="BN481" s="615"/>
      <c r="BO481" s="615"/>
      <c r="BP481" s="615"/>
      <c r="BQ481" s="615"/>
      <c r="BR481" s="615"/>
      <c r="BS481" s="615"/>
      <c r="BT481" s="615"/>
      <c r="BU481" s="615"/>
      <c r="BV481" s="615"/>
      <c r="BW481" s="615"/>
      <c r="BX481" s="607"/>
    </row>
    <row r="482" spans="1:76" ht="12.75" x14ac:dyDescent="0.2">
      <c r="A482" s="839"/>
      <c r="B482" s="838" t="s">
        <v>1098</v>
      </c>
      <c r="C482" s="713" t="s">
        <v>3588</v>
      </c>
      <c r="D482" s="712">
        <v>0</v>
      </c>
      <c r="E482" s="712">
        <v>0</v>
      </c>
      <c r="F482" s="712">
        <v>0</v>
      </c>
      <c r="G482" s="712">
        <v>0</v>
      </c>
      <c r="H482" s="712">
        <v>0</v>
      </c>
      <c r="I482" s="712">
        <v>0</v>
      </c>
      <c r="J482" s="712">
        <v>0</v>
      </c>
      <c r="K482" s="712">
        <v>0</v>
      </c>
      <c r="L482" s="712">
        <v>0</v>
      </c>
      <c r="M482" s="712">
        <v>0</v>
      </c>
      <c r="N482" s="712">
        <v>0</v>
      </c>
      <c r="O482" s="712">
        <v>0</v>
      </c>
      <c r="P482" s="712">
        <v>0</v>
      </c>
      <c r="Q482" s="712">
        <v>0</v>
      </c>
      <c r="R482" s="712">
        <v>222270356</v>
      </c>
      <c r="S482" s="712">
        <v>0</v>
      </c>
      <c r="T482" s="712">
        <v>0</v>
      </c>
      <c r="U482" s="712">
        <v>0</v>
      </c>
      <c r="V482" s="712">
        <v>0</v>
      </c>
      <c r="W482" s="712">
        <v>0</v>
      </c>
      <c r="X482" s="712">
        <v>0</v>
      </c>
      <c r="Y482" s="712">
        <v>0</v>
      </c>
      <c r="Z482" s="712">
        <v>0</v>
      </c>
      <c r="AA482" s="712">
        <v>0</v>
      </c>
      <c r="AB482" s="712">
        <v>0</v>
      </c>
      <c r="AC482" s="712">
        <v>0</v>
      </c>
      <c r="AD482" s="712">
        <v>0</v>
      </c>
      <c r="AE482" s="712">
        <v>0</v>
      </c>
      <c r="AF482" s="712">
        <v>0</v>
      </c>
      <c r="AG482" s="712">
        <v>0</v>
      </c>
      <c r="AH482" s="712">
        <v>0</v>
      </c>
      <c r="AI482" s="712">
        <v>0</v>
      </c>
      <c r="AJ482" s="712">
        <v>0</v>
      </c>
      <c r="AK482" s="712">
        <v>0</v>
      </c>
      <c r="AL482" s="712">
        <v>0</v>
      </c>
      <c r="AM482" s="712">
        <v>0</v>
      </c>
      <c r="AN482" s="712">
        <v>0</v>
      </c>
      <c r="AO482" s="712">
        <v>0</v>
      </c>
      <c r="AP482" s="712">
        <v>0</v>
      </c>
      <c r="AQ482" s="712">
        <v>0</v>
      </c>
      <c r="AR482" s="712">
        <v>0</v>
      </c>
      <c r="AS482" s="712">
        <v>0</v>
      </c>
      <c r="AT482">
        <v>222270356</v>
      </c>
      <c r="AU482" s="615"/>
      <c r="AV482" s="615"/>
      <c r="AW482" s="615"/>
      <c r="AX482" s="615"/>
      <c r="AY482" s="615"/>
      <c r="AZ482" s="615"/>
      <c r="BA482" s="615"/>
      <c r="BB482" s="615"/>
      <c r="BC482" s="615"/>
      <c r="BD482" s="615"/>
      <c r="BE482" s="615"/>
      <c r="BF482" s="615"/>
      <c r="BG482" s="615"/>
      <c r="BH482" s="615"/>
      <c r="BI482" s="615"/>
      <c r="BJ482" s="615"/>
      <c r="BK482" s="615"/>
      <c r="BL482" s="615"/>
      <c r="BM482" s="615"/>
      <c r="BN482" s="615"/>
      <c r="BO482" s="615"/>
      <c r="BP482" s="615"/>
      <c r="BQ482" s="615"/>
      <c r="BR482" s="615"/>
      <c r="BS482" s="615"/>
      <c r="BT482" s="615"/>
      <c r="BU482" s="615"/>
      <c r="BV482" s="615"/>
      <c r="BW482" s="615"/>
      <c r="BX482" s="607"/>
    </row>
    <row r="483" spans="1:76" ht="12.75" x14ac:dyDescent="0.2">
      <c r="A483" s="839"/>
      <c r="B483" s="839"/>
      <c r="C483" s="713" t="s">
        <v>3593</v>
      </c>
      <c r="D483" s="712">
        <v>0</v>
      </c>
      <c r="E483" s="712">
        <v>0</v>
      </c>
      <c r="F483" s="712">
        <v>0</v>
      </c>
      <c r="G483" s="712">
        <v>0</v>
      </c>
      <c r="H483" s="712">
        <v>0</v>
      </c>
      <c r="I483" s="712">
        <v>0</v>
      </c>
      <c r="J483" s="712">
        <v>0</v>
      </c>
      <c r="K483" s="712">
        <v>0</v>
      </c>
      <c r="L483" s="712">
        <v>0</v>
      </c>
      <c r="M483" s="712">
        <v>0</v>
      </c>
      <c r="N483" s="712">
        <v>0</v>
      </c>
      <c r="O483" s="712">
        <v>0</v>
      </c>
      <c r="P483" s="712">
        <v>146695387</v>
      </c>
      <c r="Q483" s="712">
        <v>0</v>
      </c>
      <c r="R483" s="712">
        <v>0</v>
      </c>
      <c r="S483" s="712">
        <v>0</v>
      </c>
      <c r="T483" s="712">
        <v>0</v>
      </c>
      <c r="U483" s="712">
        <v>0</v>
      </c>
      <c r="V483" s="712">
        <v>0</v>
      </c>
      <c r="W483" s="712">
        <v>0</v>
      </c>
      <c r="X483" s="712">
        <v>0</v>
      </c>
      <c r="Y483" s="712">
        <v>0</v>
      </c>
      <c r="Z483" s="712">
        <v>0</v>
      </c>
      <c r="AA483" s="712">
        <v>0</v>
      </c>
      <c r="AB483" s="712">
        <v>0</v>
      </c>
      <c r="AC483" s="712">
        <v>0</v>
      </c>
      <c r="AD483" s="712">
        <v>0</v>
      </c>
      <c r="AE483" s="712">
        <v>0</v>
      </c>
      <c r="AF483" s="712">
        <v>0</v>
      </c>
      <c r="AG483" s="712">
        <v>0</v>
      </c>
      <c r="AH483" s="712">
        <v>0</v>
      </c>
      <c r="AI483" s="712">
        <v>0</v>
      </c>
      <c r="AJ483" s="712">
        <v>0</v>
      </c>
      <c r="AK483" s="712">
        <v>0</v>
      </c>
      <c r="AL483" s="712">
        <v>0</v>
      </c>
      <c r="AM483" s="712">
        <v>0</v>
      </c>
      <c r="AN483" s="712">
        <v>0</v>
      </c>
      <c r="AO483" s="712">
        <v>0</v>
      </c>
      <c r="AP483" s="712">
        <v>0</v>
      </c>
      <c r="AQ483" s="712">
        <v>0</v>
      </c>
      <c r="AR483" s="712">
        <v>0</v>
      </c>
      <c r="AS483" s="712">
        <v>0</v>
      </c>
      <c r="AT483">
        <v>146695387</v>
      </c>
      <c r="AU483" s="615"/>
      <c r="AV483" s="615"/>
      <c r="AW483" s="615"/>
      <c r="AX483" s="615"/>
      <c r="AY483" s="615"/>
      <c r="AZ483" s="615"/>
      <c r="BA483" s="615"/>
      <c r="BB483" s="615"/>
      <c r="BC483" s="615"/>
      <c r="BD483" s="615"/>
      <c r="BE483" s="615"/>
      <c r="BF483" s="615"/>
      <c r="BG483" s="615"/>
      <c r="BH483" s="615"/>
      <c r="BI483" s="615"/>
      <c r="BJ483" s="615"/>
      <c r="BK483" s="615"/>
      <c r="BL483" s="615"/>
      <c r="BM483" s="615"/>
      <c r="BN483" s="615"/>
      <c r="BO483" s="615"/>
      <c r="BP483" s="615"/>
      <c r="BQ483" s="615"/>
      <c r="BR483" s="615"/>
      <c r="BS483" s="615"/>
      <c r="BT483" s="615"/>
      <c r="BU483" s="615"/>
      <c r="BV483" s="615"/>
      <c r="BW483" s="615"/>
      <c r="BX483" s="607"/>
    </row>
    <row r="484" spans="1:76" ht="25.5" x14ac:dyDescent="0.2">
      <c r="A484" s="839"/>
      <c r="B484" s="713" t="s">
        <v>1432</v>
      </c>
      <c r="C484" s="713" t="s">
        <v>3618</v>
      </c>
      <c r="D484" s="712">
        <v>0</v>
      </c>
      <c r="E484" s="712">
        <v>0</v>
      </c>
      <c r="F484" s="712">
        <v>0</v>
      </c>
      <c r="G484" s="712">
        <v>0</v>
      </c>
      <c r="H484" s="712">
        <v>0</v>
      </c>
      <c r="I484" s="712">
        <v>0</v>
      </c>
      <c r="J484" s="712">
        <v>0</v>
      </c>
      <c r="K484" s="712">
        <v>0</v>
      </c>
      <c r="L484" s="712">
        <v>0</v>
      </c>
      <c r="M484" s="712">
        <v>0</v>
      </c>
      <c r="N484" s="712">
        <v>0</v>
      </c>
      <c r="O484" s="712">
        <v>0</v>
      </c>
      <c r="P484" s="712">
        <v>254408908</v>
      </c>
      <c r="Q484" s="712">
        <v>0</v>
      </c>
      <c r="R484" s="712">
        <v>0</v>
      </c>
      <c r="S484" s="712">
        <v>0</v>
      </c>
      <c r="T484" s="712">
        <v>0</v>
      </c>
      <c r="U484" s="712">
        <v>0</v>
      </c>
      <c r="V484" s="712">
        <v>0</v>
      </c>
      <c r="W484" s="712">
        <v>0</v>
      </c>
      <c r="X484" s="712">
        <v>0</v>
      </c>
      <c r="Y484" s="712">
        <v>0</v>
      </c>
      <c r="Z484" s="712">
        <v>0</v>
      </c>
      <c r="AA484" s="712">
        <v>0</v>
      </c>
      <c r="AB484" s="712">
        <v>0</v>
      </c>
      <c r="AC484" s="712">
        <v>0</v>
      </c>
      <c r="AD484" s="712">
        <v>0</v>
      </c>
      <c r="AE484" s="712">
        <v>0</v>
      </c>
      <c r="AF484" s="712">
        <v>0</v>
      </c>
      <c r="AG484" s="712">
        <v>0</v>
      </c>
      <c r="AH484" s="712">
        <v>0</v>
      </c>
      <c r="AI484" s="712">
        <v>0</v>
      </c>
      <c r="AJ484" s="712">
        <v>0</v>
      </c>
      <c r="AK484" s="712">
        <v>0</v>
      </c>
      <c r="AL484" s="712">
        <v>0</v>
      </c>
      <c r="AM484" s="712">
        <v>0</v>
      </c>
      <c r="AN484" s="712">
        <v>0</v>
      </c>
      <c r="AO484" s="712">
        <v>0</v>
      </c>
      <c r="AP484" s="712">
        <v>0</v>
      </c>
      <c r="AQ484" s="712">
        <v>0</v>
      </c>
      <c r="AR484" s="712">
        <v>0</v>
      </c>
      <c r="AS484" s="712">
        <v>0</v>
      </c>
      <c r="AT484">
        <v>254408908</v>
      </c>
      <c r="AU484" s="615"/>
      <c r="AV484" s="615"/>
      <c r="AW484" s="615"/>
      <c r="AX484" s="615"/>
      <c r="AY484" s="615"/>
      <c r="AZ484" s="615"/>
      <c r="BA484" s="615"/>
      <c r="BB484" s="615"/>
      <c r="BC484" s="615"/>
      <c r="BD484" s="615"/>
      <c r="BE484" s="615"/>
      <c r="BF484" s="615"/>
      <c r="BG484" s="615"/>
      <c r="BH484" s="615"/>
      <c r="BI484" s="615"/>
      <c r="BJ484" s="615"/>
      <c r="BK484" s="615"/>
      <c r="BL484" s="615"/>
      <c r="BM484" s="615"/>
      <c r="BN484" s="615"/>
      <c r="BO484" s="615"/>
      <c r="BP484" s="615"/>
      <c r="BQ484" s="615"/>
      <c r="BR484" s="615"/>
      <c r="BS484" s="615"/>
      <c r="BT484" s="615"/>
      <c r="BU484" s="615"/>
      <c r="BV484" s="615"/>
      <c r="BW484" s="615"/>
      <c r="BX484" s="607"/>
    </row>
    <row r="485" spans="1:76" ht="25.5" x14ac:dyDescent="0.2">
      <c r="A485" s="839"/>
      <c r="B485" s="713" t="s">
        <v>3633</v>
      </c>
      <c r="C485" s="713" t="s">
        <v>3632</v>
      </c>
      <c r="D485" s="712">
        <v>0</v>
      </c>
      <c r="E485" s="712">
        <v>0</v>
      </c>
      <c r="F485" s="712">
        <v>0</v>
      </c>
      <c r="G485" s="712">
        <v>0</v>
      </c>
      <c r="H485" s="712">
        <v>0</v>
      </c>
      <c r="I485" s="712">
        <v>0</v>
      </c>
      <c r="J485" s="712">
        <v>0</v>
      </c>
      <c r="K485" s="712">
        <v>0</v>
      </c>
      <c r="L485" s="712">
        <v>0</v>
      </c>
      <c r="M485" s="712">
        <v>0</v>
      </c>
      <c r="N485" s="712">
        <v>0</v>
      </c>
      <c r="O485" s="712">
        <v>0</v>
      </c>
      <c r="P485" s="712">
        <v>0</v>
      </c>
      <c r="Q485" s="712">
        <v>0</v>
      </c>
      <c r="R485" s="712">
        <v>0</v>
      </c>
      <c r="S485" s="712">
        <v>0</v>
      </c>
      <c r="T485" s="712">
        <v>0</v>
      </c>
      <c r="U485" s="712">
        <v>0</v>
      </c>
      <c r="V485" s="712">
        <v>0</v>
      </c>
      <c r="W485" s="712">
        <v>0</v>
      </c>
      <c r="X485" s="712">
        <v>0</v>
      </c>
      <c r="Y485" s="712">
        <v>0</v>
      </c>
      <c r="Z485" s="712">
        <v>0</v>
      </c>
      <c r="AA485" s="712">
        <v>0</v>
      </c>
      <c r="AB485" s="712">
        <v>0</v>
      </c>
      <c r="AC485" s="712">
        <v>0</v>
      </c>
      <c r="AD485" s="712">
        <v>0</v>
      </c>
      <c r="AE485" s="712">
        <v>0</v>
      </c>
      <c r="AF485" s="712">
        <v>0</v>
      </c>
      <c r="AG485" s="712">
        <v>0</v>
      </c>
      <c r="AH485" s="712">
        <v>0</v>
      </c>
      <c r="AI485" s="712">
        <v>0</v>
      </c>
      <c r="AJ485" s="712">
        <v>0</v>
      </c>
      <c r="AK485" s="712">
        <v>0</v>
      </c>
      <c r="AL485" s="712">
        <v>0</v>
      </c>
      <c r="AM485" s="712">
        <v>0</v>
      </c>
      <c r="AN485" s="712">
        <v>0</v>
      </c>
      <c r="AO485" s="712">
        <v>0</v>
      </c>
      <c r="AP485" s="712">
        <v>0</v>
      </c>
      <c r="AQ485" s="712">
        <v>0</v>
      </c>
      <c r="AR485" s="712">
        <v>0</v>
      </c>
      <c r="AS485" s="712">
        <v>0</v>
      </c>
      <c r="AT485">
        <v>0</v>
      </c>
      <c r="AU485" s="615"/>
      <c r="AV485" s="615"/>
      <c r="AW485" s="615"/>
      <c r="AX485" s="615"/>
      <c r="AY485" s="615"/>
      <c r="AZ485" s="615"/>
      <c r="BA485" s="615"/>
      <c r="BB485" s="615"/>
      <c r="BC485" s="615"/>
      <c r="BD485" s="615"/>
      <c r="BE485" s="615"/>
      <c r="BF485" s="615"/>
      <c r="BG485" s="615"/>
      <c r="BH485" s="615"/>
      <c r="BI485" s="615"/>
      <c r="BJ485" s="615"/>
      <c r="BK485" s="615"/>
      <c r="BL485" s="615"/>
      <c r="BM485" s="615"/>
      <c r="BN485" s="615"/>
      <c r="BO485" s="615"/>
      <c r="BP485" s="615"/>
      <c r="BQ485" s="615"/>
      <c r="BR485" s="615"/>
      <c r="BS485" s="615"/>
      <c r="BT485" s="615"/>
      <c r="BU485" s="615"/>
      <c r="BV485" s="615"/>
      <c r="BW485" s="615"/>
      <c r="BX485" s="607"/>
    </row>
    <row r="486" spans="1:76" ht="25.5" x14ac:dyDescent="0.2">
      <c r="A486" s="839"/>
      <c r="B486" s="713" t="s">
        <v>2614</v>
      </c>
      <c r="C486" s="713" t="s">
        <v>3569</v>
      </c>
      <c r="D486" s="712">
        <v>0</v>
      </c>
      <c r="E486" s="712">
        <v>0</v>
      </c>
      <c r="F486" s="712">
        <v>0</v>
      </c>
      <c r="G486" s="712">
        <v>0</v>
      </c>
      <c r="H486" s="712">
        <v>0</v>
      </c>
      <c r="I486" s="712">
        <v>0</v>
      </c>
      <c r="J486" s="712">
        <v>0</v>
      </c>
      <c r="K486" s="712">
        <v>0</v>
      </c>
      <c r="L486" s="712">
        <v>0</v>
      </c>
      <c r="M486" s="712">
        <v>0</v>
      </c>
      <c r="N486" s="712">
        <v>0</v>
      </c>
      <c r="O486" s="712">
        <v>0</v>
      </c>
      <c r="P486" s="712">
        <v>0</v>
      </c>
      <c r="Q486" s="712">
        <v>0</v>
      </c>
      <c r="R486" s="712">
        <v>225</v>
      </c>
      <c r="S486" s="712">
        <v>6610153</v>
      </c>
      <c r="T486" s="712">
        <v>6610153</v>
      </c>
      <c r="U486" s="712">
        <v>6610149</v>
      </c>
      <c r="V486" s="712">
        <v>384029548</v>
      </c>
      <c r="W486" s="712">
        <v>0</v>
      </c>
      <c r="X486" s="712">
        <v>0</v>
      </c>
      <c r="Y486" s="712">
        <v>0</v>
      </c>
      <c r="Z486" s="712">
        <v>0</v>
      </c>
      <c r="AA486" s="712">
        <v>0</v>
      </c>
      <c r="AB486" s="712">
        <v>0</v>
      </c>
      <c r="AC486" s="712">
        <v>0</v>
      </c>
      <c r="AD486" s="712">
        <v>0</v>
      </c>
      <c r="AE486" s="712">
        <v>0</v>
      </c>
      <c r="AF486" s="712">
        <v>0</v>
      </c>
      <c r="AG486" s="712">
        <v>0</v>
      </c>
      <c r="AH486" s="712">
        <v>0</v>
      </c>
      <c r="AI486" s="712">
        <v>0</v>
      </c>
      <c r="AJ486" s="712">
        <v>0</v>
      </c>
      <c r="AK486" s="712">
        <v>0</v>
      </c>
      <c r="AL486" s="712">
        <v>0</v>
      </c>
      <c r="AM486" s="712">
        <v>0</v>
      </c>
      <c r="AN486" s="712">
        <v>0</v>
      </c>
      <c r="AO486" s="712">
        <v>0</v>
      </c>
      <c r="AP486" s="712">
        <v>0</v>
      </c>
      <c r="AQ486" s="712">
        <v>0</v>
      </c>
      <c r="AR486" s="712">
        <v>0</v>
      </c>
      <c r="AS486" s="712">
        <v>0</v>
      </c>
      <c r="AT486">
        <v>403860228</v>
      </c>
      <c r="AU486" s="615"/>
      <c r="AV486" s="615"/>
      <c r="AW486" s="615"/>
      <c r="AX486" s="615"/>
      <c r="AY486" s="615"/>
      <c r="AZ486" s="615"/>
      <c r="BA486" s="615"/>
      <c r="BB486" s="615"/>
      <c r="BC486" s="615"/>
      <c r="BD486" s="615"/>
      <c r="BE486" s="615"/>
      <c r="BF486" s="615"/>
      <c r="BG486" s="615"/>
      <c r="BH486" s="615"/>
      <c r="BI486" s="615"/>
      <c r="BJ486" s="615"/>
      <c r="BK486" s="615"/>
      <c r="BL486" s="615"/>
      <c r="BM486" s="615"/>
      <c r="BN486" s="615"/>
      <c r="BO486" s="615"/>
      <c r="BP486" s="615"/>
      <c r="BQ486" s="615"/>
      <c r="BR486" s="615"/>
      <c r="BS486" s="615"/>
      <c r="BT486" s="615"/>
      <c r="BU486" s="615"/>
      <c r="BV486" s="615"/>
      <c r="BW486" s="615"/>
      <c r="BX486" s="607"/>
    </row>
    <row r="487" spans="1:76" ht="25.5" x14ac:dyDescent="0.2">
      <c r="A487" s="839"/>
      <c r="B487" s="713" t="s">
        <v>1193</v>
      </c>
      <c r="C487" s="713" t="s">
        <v>3521</v>
      </c>
      <c r="D487" s="712">
        <v>0</v>
      </c>
      <c r="E487" s="712">
        <v>0</v>
      </c>
      <c r="F487" s="712">
        <v>0</v>
      </c>
      <c r="G487" s="712">
        <v>0</v>
      </c>
      <c r="H487" s="712">
        <v>0</v>
      </c>
      <c r="I487" s="712">
        <v>0</v>
      </c>
      <c r="J487" s="712">
        <v>0</v>
      </c>
      <c r="K487" s="712">
        <v>0</v>
      </c>
      <c r="L487" s="712">
        <v>0</v>
      </c>
      <c r="M487" s="712">
        <v>0</v>
      </c>
      <c r="N487" s="712">
        <v>0</v>
      </c>
      <c r="O487" s="712">
        <v>0</v>
      </c>
      <c r="P487" s="712">
        <v>0</v>
      </c>
      <c r="Q487" s="712">
        <v>0</v>
      </c>
      <c r="R487" s="712">
        <v>0</v>
      </c>
      <c r="S487" s="712">
        <v>0</v>
      </c>
      <c r="T487" s="712">
        <v>0</v>
      </c>
      <c r="U487" s="712">
        <v>0</v>
      </c>
      <c r="V487" s="712">
        <v>0</v>
      </c>
      <c r="W487" s="712">
        <v>0</v>
      </c>
      <c r="X487" s="712">
        <v>0</v>
      </c>
      <c r="Y487" s="712">
        <v>0</v>
      </c>
      <c r="Z487" s="712">
        <v>0</v>
      </c>
      <c r="AA487" s="712">
        <v>0</v>
      </c>
      <c r="AB487" s="712">
        <v>0</v>
      </c>
      <c r="AC487" s="712">
        <v>0</v>
      </c>
      <c r="AD487" s="712">
        <v>0</v>
      </c>
      <c r="AE487" s="712">
        <v>0</v>
      </c>
      <c r="AF487" s="712">
        <v>0</v>
      </c>
      <c r="AG487" s="712">
        <v>0</v>
      </c>
      <c r="AH487" s="712">
        <v>0</v>
      </c>
      <c r="AI487" s="712">
        <v>0</v>
      </c>
      <c r="AJ487" s="712">
        <v>0</v>
      </c>
      <c r="AK487" s="712">
        <v>0</v>
      </c>
      <c r="AL487" s="712">
        <v>0</v>
      </c>
      <c r="AM487" s="712">
        <v>0</v>
      </c>
      <c r="AN487" s="712">
        <v>0</v>
      </c>
      <c r="AO487" s="712">
        <v>0</v>
      </c>
      <c r="AP487" s="712">
        <v>0</v>
      </c>
      <c r="AQ487" s="712">
        <v>0</v>
      </c>
      <c r="AR487" s="712">
        <v>0</v>
      </c>
      <c r="AS487" s="712">
        <v>0</v>
      </c>
      <c r="AT487">
        <v>0</v>
      </c>
      <c r="AU487" s="615"/>
      <c r="AV487" s="615"/>
      <c r="AW487" s="615"/>
      <c r="AX487" s="615"/>
      <c r="AY487" s="615"/>
      <c r="AZ487" s="615"/>
      <c r="BA487" s="615"/>
      <c r="BB487" s="615"/>
      <c r="BC487" s="615"/>
      <c r="BD487" s="615"/>
      <c r="BE487" s="615"/>
      <c r="BF487" s="615"/>
      <c r="BG487" s="615"/>
      <c r="BH487" s="615"/>
      <c r="BI487" s="615"/>
      <c r="BJ487" s="615"/>
      <c r="BK487" s="615"/>
      <c r="BL487" s="615"/>
      <c r="BM487" s="615"/>
      <c r="BN487" s="615"/>
      <c r="BO487" s="615"/>
      <c r="BP487" s="615"/>
      <c r="BQ487" s="615"/>
      <c r="BR487" s="615"/>
      <c r="BS487" s="615"/>
      <c r="BT487" s="615"/>
      <c r="BU487" s="615"/>
      <c r="BV487" s="615"/>
      <c r="BW487" s="615"/>
      <c r="BX487" s="607"/>
    </row>
    <row r="488" spans="1:76" ht="38.25" x14ac:dyDescent="0.2">
      <c r="A488" s="839"/>
      <c r="B488" s="713" t="s">
        <v>1238</v>
      </c>
      <c r="C488" s="713" t="s">
        <v>3575</v>
      </c>
      <c r="D488" s="712">
        <v>0</v>
      </c>
      <c r="E488" s="712">
        <v>0</v>
      </c>
      <c r="F488" s="712">
        <v>0</v>
      </c>
      <c r="G488" s="712">
        <v>0</v>
      </c>
      <c r="H488" s="712">
        <v>0</v>
      </c>
      <c r="I488" s="712">
        <v>0</v>
      </c>
      <c r="J488" s="712">
        <v>0</v>
      </c>
      <c r="K488" s="712">
        <v>0</v>
      </c>
      <c r="L488" s="712">
        <v>0</v>
      </c>
      <c r="M488" s="712">
        <v>0</v>
      </c>
      <c r="N488" s="712">
        <v>0</v>
      </c>
      <c r="O488" s="712">
        <v>0</v>
      </c>
      <c r="P488" s="712">
        <v>0</v>
      </c>
      <c r="Q488" s="712">
        <v>0</v>
      </c>
      <c r="R488" s="712">
        <v>305787990</v>
      </c>
      <c r="S488" s="712">
        <v>0</v>
      </c>
      <c r="T488" s="712">
        <v>0</v>
      </c>
      <c r="U488" s="712">
        <v>0</v>
      </c>
      <c r="V488" s="712">
        <v>0</v>
      </c>
      <c r="W488" s="712">
        <v>0</v>
      </c>
      <c r="X488" s="712">
        <v>0</v>
      </c>
      <c r="Y488" s="712">
        <v>0</v>
      </c>
      <c r="Z488" s="712">
        <v>0</v>
      </c>
      <c r="AA488" s="712">
        <v>0</v>
      </c>
      <c r="AB488" s="712">
        <v>0</v>
      </c>
      <c r="AC488" s="712">
        <v>0</v>
      </c>
      <c r="AD488" s="712">
        <v>0</v>
      </c>
      <c r="AE488" s="712">
        <v>0</v>
      </c>
      <c r="AF488" s="712">
        <v>0</v>
      </c>
      <c r="AG488" s="712">
        <v>0</v>
      </c>
      <c r="AH488" s="712">
        <v>0</v>
      </c>
      <c r="AI488" s="712">
        <v>0</v>
      </c>
      <c r="AJ488" s="712">
        <v>0</v>
      </c>
      <c r="AK488" s="712">
        <v>0</v>
      </c>
      <c r="AL488" s="712">
        <v>0</v>
      </c>
      <c r="AM488" s="712">
        <v>0</v>
      </c>
      <c r="AN488" s="712">
        <v>0</v>
      </c>
      <c r="AO488" s="712">
        <v>0</v>
      </c>
      <c r="AP488" s="712">
        <v>0</v>
      </c>
      <c r="AQ488" s="712">
        <v>0</v>
      </c>
      <c r="AR488" s="712">
        <v>0</v>
      </c>
      <c r="AS488" s="712">
        <v>0</v>
      </c>
      <c r="AT488">
        <v>305787990</v>
      </c>
      <c r="AU488" s="615"/>
      <c r="AV488" s="615"/>
      <c r="AW488" s="615"/>
      <c r="AX488" s="615"/>
      <c r="AY488" s="615"/>
      <c r="AZ488" s="615"/>
      <c r="BA488" s="615"/>
      <c r="BB488" s="615"/>
      <c r="BC488" s="615"/>
      <c r="BD488" s="615"/>
      <c r="BE488" s="615"/>
      <c r="BF488" s="615"/>
      <c r="BG488" s="615"/>
      <c r="BH488" s="615"/>
      <c r="BI488" s="615"/>
      <c r="BJ488" s="615"/>
      <c r="BK488" s="615"/>
      <c r="BL488" s="615"/>
      <c r="BM488" s="615"/>
      <c r="BN488" s="615"/>
      <c r="BO488" s="615"/>
      <c r="BP488" s="615"/>
      <c r="BQ488" s="615"/>
      <c r="BR488" s="615"/>
      <c r="BS488" s="615"/>
      <c r="BT488" s="615"/>
      <c r="BU488" s="615"/>
      <c r="BV488" s="615"/>
      <c r="BW488" s="615"/>
      <c r="BX488" s="607"/>
    </row>
    <row r="489" spans="1:76" ht="25.5" x14ac:dyDescent="0.2">
      <c r="A489" s="839"/>
      <c r="B489" s="713" t="s">
        <v>1096</v>
      </c>
      <c r="C489" s="713" t="s">
        <v>3570</v>
      </c>
      <c r="D489" s="712">
        <v>0</v>
      </c>
      <c r="E489" s="712">
        <v>0</v>
      </c>
      <c r="F489" s="712">
        <v>0</v>
      </c>
      <c r="G489" s="712">
        <v>0</v>
      </c>
      <c r="H489" s="712">
        <v>0</v>
      </c>
      <c r="I489" s="712">
        <v>0</v>
      </c>
      <c r="J489" s="712">
        <v>0</v>
      </c>
      <c r="K489" s="712">
        <v>0</v>
      </c>
      <c r="L489" s="712">
        <v>0</v>
      </c>
      <c r="M489" s="712">
        <v>0</v>
      </c>
      <c r="N489" s="712">
        <v>0</v>
      </c>
      <c r="O489" s="712">
        <v>0</v>
      </c>
      <c r="P489" s="712">
        <v>0</v>
      </c>
      <c r="Q489" s="712">
        <v>0</v>
      </c>
      <c r="R489" s="712">
        <v>130000000</v>
      </c>
      <c r="S489" s="712">
        <v>0</v>
      </c>
      <c r="T489" s="712">
        <v>0</v>
      </c>
      <c r="U489" s="712">
        <v>0</v>
      </c>
      <c r="V489" s="712">
        <v>0</v>
      </c>
      <c r="W489" s="712">
        <v>0</v>
      </c>
      <c r="X489" s="712">
        <v>0</v>
      </c>
      <c r="Y489" s="712">
        <v>0</v>
      </c>
      <c r="Z489" s="712">
        <v>0</v>
      </c>
      <c r="AA489" s="712">
        <v>0</v>
      </c>
      <c r="AB489" s="712">
        <v>0</v>
      </c>
      <c r="AC489" s="712">
        <v>0</v>
      </c>
      <c r="AD489" s="712">
        <v>0</v>
      </c>
      <c r="AE489" s="712">
        <v>0</v>
      </c>
      <c r="AF489" s="712">
        <v>0</v>
      </c>
      <c r="AG489" s="712">
        <v>0</v>
      </c>
      <c r="AH489" s="712">
        <v>0</v>
      </c>
      <c r="AI489" s="712">
        <v>0</v>
      </c>
      <c r="AJ489" s="712">
        <v>0</v>
      </c>
      <c r="AK489" s="712">
        <v>0</v>
      </c>
      <c r="AL489" s="712">
        <v>0</v>
      </c>
      <c r="AM489" s="712">
        <v>0</v>
      </c>
      <c r="AN489" s="712">
        <v>0</v>
      </c>
      <c r="AO489" s="712">
        <v>0</v>
      </c>
      <c r="AP489" s="712">
        <v>0</v>
      </c>
      <c r="AQ489" s="712">
        <v>0</v>
      </c>
      <c r="AR489" s="712">
        <v>0</v>
      </c>
      <c r="AS489" s="712">
        <v>0</v>
      </c>
      <c r="AT489">
        <v>130000000</v>
      </c>
      <c r="AU489" s="615"/>
      <c r="AV489" s="615"/>
      <c r="AW489" s="615"/>
      <c r="AX489" s="615"/>
      <c r="AY489" s="615"/>
      <c r="AZ489" s="615"/>
      <c r="BA489" s="615"/>
      <c r="BB489" s="615"/>
      <c r="BC489" s="615"/>
      <c r="BD489" s="615"/>
      <c r="BE489" s="615"/>
      <c r="BF489" s="615"/>
      <c r="BG489" s="615"/>
      <c r="BH489" s="615"/>
      <c r="BI489" s="615"/>
      <c r="BJ489" s="615"/>
      <c r="BK489" s="615"/>
      <c r="BL489" s="615"/>
      <c r="BM489" s="615"/>
      <c r="BN489" s="615"/>
      <c r="BO489" s="615"/>
      <c r="BP489" s="615"/>
      <c r="BQ489" s="615"/>
      <c r="BR489" s="615"/>
      <c r="BS489" s="615"/>
      <c r="BT489" s="615"/>
      <c r="BU489" s="615"/>
      <c r="BV489" s="615"/>
      <c r="BW489" s="615"/>
      <c r="BX489" s="607"/>
    </row>
    <row r="490" spans="1:76" ht="25.5" x14ac:dyDescent="0.2">
      <c r="A490" s="839"/>
      <c r="B490" s="713" t="s">
        <v>3438</v>
      </c>
      <c r="C490" s="713" t="s">
        <v>3508</v>
      </c>
      <c r="D490" s="712">
        <v>0</v>
      </c>
      <c r="E490" s="712">
        <v>0</v>
      </c>
      <c r="F490" s="712">
        <v>0</v>
      </c>
      <c r="G490" s="712">
        <v>0</v>
      </c>
      <c r="H490" s="712">
        <v>0</v>
      </c>
      <c r="I490" s="712">
        <v>0</v>
      </c>
      <c r="J490" s="712">
        <v>0</v>
      </c>
      <c r="K490" s="712">
        <v>0</v>
      </c>
      <c r="L490" s="712">
        <v>0</v>
      </c>
      <c r="M490" s="712">
        <v>0</v>
      </c>
      <c r="N490" s="712">
        <v>0</v>
      </c>
      <c r="O490" s="712">
        <v>0</v>
      </c>
      <c r="P490" s="712">
        <v>0</v>
      </c>
      <c r="Q490" s="712">
        <v>0</v>
      </c>
      <c r="R490" s="712">
        <v>0</v>
      </c>
      <c r="S490" s="712">
        <v>0</v>
      </c>
      <c r="T490" s="712">
        <v>12849785</v>
      </c>
      <c r="U490" s="712">
        <v>12849785</v>
      </c>
      <c r="V490" s="712">
        <v>51399137</v>
      </c>
      <c r="W490" s="712">
        <v>359793975</v>
      </c>
      <c r="X490" s="712">
        <v>0</v>
      </c>
      <c r="Y490" s="712">
        <v>0</v>
      </c>
      <c r="Z490" s="712">
        <v>0</v>
      </c>
      <c r="AA490" s="712">
        <v>0</v>
      </c>
      <c r="AB490" s="712">
        <v>0</v>
      </c>
      <c r="AC490" s="712">
        <v>0</v>
      </c>
      <c r="AD490" s="712">
        <v>0</v>
      </c>
      <c r="AE490" s="712">
        <v>0</v>
      </c>
      <c r="AF490" s="712">
        <v>0</v>
      </c>
      <c r="AG490" s="712">
        <v>0</v>
      </c>
      <c r="AH490" s="712">
        <v>0</v>
      </c>
      <c r="AI490" s="712">
        <v>0</v>
      </c>
      <c r="AJ490" s="712">
        <v>0</v>
      </c>
      <c r="AK490" s="712">
        <v>0</v>
      </c>
      <c r="AL490" s="712">
        <v>0</v>
      </c>
      <c r="AM490" s="712">
        <v>0</v>
      </c>
      <c r="AN490" s="712">
        <v>0</v>
      </c>
      <c r="AO490" s="712">
        <v>0</v>
      </c>
      <c r="AP490" s="712">
        <v>0</v>
      </c>
      <c r="AQ490" s="712">
        <v>0</v>
      </c>
      <c r="AR490" s="712">
        <v>0</v>
      </c>
      <c r="AS490" s="712">
        <v>0</v>
      </c>
      <c r="AT490">
        <v>436892682</v>
      </c>
      <c r="AU490" s="615"/>
      <c r="AV490" s="615"/>
      <c r="AW490" s="615"/>
      <c r="AX490" s="615"/>
      <c r="AY490" s="615"/>
      <c r="AZ490" s="615"/>
      <c r="BA490" s="615"/>
      <c r="BB490" s="615"/>
      <c r="BC490" s="615"/>
      <c r="BD490" s="615"/>
      <c r="BE490" s="615"/>
      <c r="BF490" s="615"/>
      <c r="BG490" s="615"/>
      <c r="BH490" s="615"/>
      <c r="BI490" s="615"/>
      <c r="BJ490" s="615"/>
      <c r="BK490" s="615"/>
      <c r="BL490" s="615"/>
      <c r="BM490" s="615"/>
      <c r="BN490" s="615"/>
      <c r="BO490" s="615"/>
      <c r="BP490" s="615"/>
      <c r="BQ490" s="615"/>
      <c r="BR490" s="615"/>
      <c r="BS490" s="615"/>
      <c r="BT490" s="615"/>
      <c r="BU490" s="615"/>
      <c r="BV490" s="615"/>
      <c r="BW490" s="615"/>
      <c r="BX490" s="607"/>
    </row>
    <row r="491" spans="1:76" ht="12.75" x14ac:dyDescent="0.2">
      <c r="A491" s="839"/>
      <c r="B491" s="713" t="s">
        <v>4243</v>
      </c>
      <c r="C491" s="713" t="s">
        <v>4242</v>
      </c>
      <c r="D491" s="712">
        <v>0</v>
      </c>
      <c r="E491" s="712">
        <v>0</v>
      </c>
      <c r="F491" s="712">
        <v>0</v>
      </c>
      <c r="G491" s="712">
        <v>0</v>
      </c>
      <c r="H491" s="712">
        <v>0</v>
      </c>
      <c r="I491" s="712">
        <v>0</v>
      </c>
      <c r="J491" s="712">
        <v>0</v>
      </c>
      <c r="K491" s="712">
        <v>0</v>
      </c>
      <c r="L491" s="712">
        <v>0</v>
      </c>
      <c r="M491" s="712">
        <v>0</v>
      </c>
      <c r="N491" s="712">
        <v>0</v>
      </c>
      <c r="O491" s="712">
        <v>0</v>
      </c>
      <c r="P491" s="712">
        <v>0</v>
      </c>
      <c r="Q491" s="712">
        <v>0</v>
      </c>
      <c r="R491" s="712">
        <v>0</v>
      </c>
      <c r="S491" s="712">
        <v>0</v>
      </c>
      <c r="T491" s="712">
        <v>2257059</v>
      </c>
      <c r="U491" s="712">
        <v>2257061</v>
      </c>
      <c r="V491" s="712">
        <v>2257061</v>
      </c>
      <c r="W491" s="712">
        <v>7000000</v>
      </c>
      <c r="X491" s="712">
        <v>2257067</v>
      </c>
      <c r="Y491" s="712">
        <v>391881341</v>
      </c>
      <c r="Z491" s="712">
        <v>0</v>
      </c>
      <c r="AA491" s="712">
        <v>0</v>
      </c>
      <c r="AB491" s="712">
        <v>0</v>
      </c>
      <c r="AC491" s="712">
        <v>0</v>
      </c>
      <c r="AD491" s="712">
        <v>0</v>
      </c>
      <c r="AE491" s="712">
        <v>0</v>
      </c>
      <c r="AF491" s="712">
        <v>0</v>
      </c>
      <c r="AG491" s="712">
        <v>0</v>
      </c>
      <c r="AH491" s="712">
        <v>0</v>
      </c>
      <c r="AI491" s="712">
        <v>0</v>
      </c>
      <c r="AJ491" s="712">
        <v>0</v>
      </c>
      <c r="AK491" s="712">
        <v>0</v>
      </c>
      <c r="AL491" s="712">
        <v>0</v>
      </c>
      <c r="AM491" s="712">
        <v>0</v>
      </c>
      <c r="AN491" s="712">
        <v>0</v>
      </c>
      <c r="AO491" s="712">
        <v>0</v>
      </c>
      <c r="AP491" s="712">
        <v>0</v>
      </c>
      <c r="AQ491" s="712">
        <v>0</v>
      </c>
      <c r="AR491" s="712">
        <v>0</v>
      </c>
      <c r="AS491" s="712">
        <v>0</v>
      </c>
      <c r="AT491">
        <v>407909589</v>
      </c>
      <c r="AU491" s="615"/>
      <c r="AV491" s="615"/>
      <c r="AW491" s="615"/>
      <c r="AX491" s="615"/>
      <c r="AY491" s="615"/>
      <c r="AZ491" s="615"/>
      <c r="BA491" s="615"/>
      <c r="BB491" s="615"/>
      <c r="BC491" s="615"/>
      <c r="BD491" s="615"/>
      <c r="BE491" s="615"/>
      <c r="BF491" s="615"/>
      <c r="BG491" s="615"/>
      <c r="BH491" s="615"/>
      <c r="BI491" s="615"/>
      <c r="BJ491" s="615"/>
      <c r="BK491" s="615"/>
      <c r="BL491" s="615"/>
      <c r="BM491" s="615"/>
      <c r="BN491" s="615"/>
      <c r="BO491" s="615"/>
      <c r="BP491" s="615"/>
      <c r="BQ491" s="615"/>
      <c r="BR491" s="615"/>
      <c r="BS491" s="615"/>
      <c r="BT491" s="615"/>
      <c r="BU491" s="615"/>
      <c r="BV491" s="615"/>
      <c r="BW491" s="615"/>
      <c r="BX491" s="607"/>
    </row>
    <row r="492" spans="1:76" ht="25.5" x14ac:dyDescent="0.2">
      <c r="A492" s="839"/>
      <c r="B492" s="713" t="s">
        <v>1748</v>
      </c>
      <c r="C492" s="713" t="s">
        <v>3607</v>
      </c>
      <c r="D492" s="712">
        <v>0</v>
      </c>
      <c r="E492" s="712">
        <v>0</v>
      </c>
      <c r="F492" s="712">
        <v>0</v>
      </c>
      <c r="G492" s="712">
        <v>0</v>
      </c>
      <c r="H492" s="712">
        <v>0</v>
      </c>
      <c r="I492" s="712">
        <v>0</v>
      </c>
      <c r="J492" s="712">
        <v>0</v>
      </c>
      <c r="K492" s="712">
        <v>0</v>
      </c>
      <c r="L492" s="712">
        <v>0</v>
      </c>
      <c r="M492" s="712">
        <v>0</v>
      </c>
      <c r="N492" s="712">
        <v>0</v>
      </c>
      <c r="O492" s="712">
        <v>0</v>
      </c>
      <c r="P492" s="712">
        <v>0</v>
      </c>
      <c r="Q492" s="712">
        <v>90768</v>
      </c>
      <c r="R492" s="712">
        <v>0</v>
      </c>
      <c r="S492" s="712">
        <v>0</v>
      </c>
      <c r="T492" s="712">
        <v>0</v>
      </c>
      <c r="U492" s="712">
        <v>0</v>
      </c>
      <c r="V492" s="712">
        <v>0</v>
      </c>
      <c r="W492" s="712">
        <v>0</v>
      </c>
      <c r="X492" s="712">
        <v>0</v>
      </c>
      <c r="Y492" s="712">
        <v>0</v>
      </c>
      <c r="Z492" s="712">
        <v>0</v>
      </c>
      <c r="AA492" s="712">
        <v>0</v>
      </c>
      <c r="AB492" s="712">
        <v>0</v>
      </c>
      <c r="AC492" s="712">
        <v>0</v>
      </c>
      <c r="AD492" s="712">
        <v>0</v>
      </c>
      <c r="AE492" s="712">
        <v>0</v>
      </c>
      <c r="AF492" s="712">
        <v>0</v>
      </c>
      <c r="AG492" s="712">
        <v>0</v>
      </c>
      <c r="AH492" s="712">
        <v>0</v>
      </c>
      <c r="AI492" s="712">
        <v>0</v>
      </c>
      <c r="AJ492" s="712">
        <v>0</v>
      </c>
      <c r="AK492" s="712">
        <v>0</v>
      </c>
      <c r="AL492" s="712">
        <v>0</v>
      </c>
      <c r="AM492" s="712">
        <v>0</v>
      </c>
      <c r="AN492" s="712">
        <v>0</v>
      </c>
      <c r="AO492" s="712">
        <v>0</v>
      </c>
      <c r="AP492" s="712">
        <v>0</v>
      </c>
      <c r="AQ492" s="712">
        <v>0</v>
      </c>
      <c r="AR492" s="712">
        <v>0</v>
      </c>
      <c r="AS492" s="712">
        <v>0</v>
      </c>
      <c r="AT492">
        <v>90768</v>
      </c>
      <c r="AU492" s="615"/>
      <c r="AV492" s="615"/>
      <c r="AW492" s="615"/>
      <c r="AX492" s="615"/>
      <c r="AY492" s="615"/>
      <c r="AZ492" s="615"/>
      <c r="BA492" s="615"/>
      <c r="BB492" s="615"/>
      <c r="BC492" s="615"/>
      <c r="BD492" s="615"/>
      <c r="BE492" s="615"/>
      <c r="BF492" s="615"/>
      <c r="BG492" s="615"/>
      <c r="BH492" s="615"/>
      <c r="BI492" s="615"/>
      <c r="BJ492" s="615"/>
      <c r="BK492" s="615"/>
      <c r="BL492" s="615"/>
      <c r="BM492" s="615"/>
      <c r="BN492" s="615"/>
      <c r="BO492" s="615"/>
      <c r="BP492" s="615"/>
      <c r="BQ492" s="615"/>
      <c r="BR492" s="615"/>
      <c r="BS492" s="615"/>
      <c r="BT492" s="615"/>
      <c r="BU492" s="615"/>
      <c r="BV492" s="615"/>
      <c r="BW492" s="615"/>
      <c r="BX492" s="607"/>
    </row>
    <row r="493" spans="1:76" ht="12.75" x14ac:dyDescent="0.2">
      <c r="A493" s="839"/>
      <c r="B493" s="713" t="s">
        <v>1348</v>
      </c>
      <c r="C493" s="713" t="s">
        <v>3540</v>
      </c>
      <c r="D493" s="712">
        <v>0</v>
      </c>
      <c r="E493" s="712">
        <v>0</v>
      </c>
      <c r="F493" s="712">
        <v>0</v>
      </c>
      <c r="G493" s="712">
        <v>0</v>
      </c>
      <c r="H493" s="712">
        <v>0</v>
      </c>
      <c r="I493" s="712">
        <v>0</v>
      </c>
      <c r="J493" s="712">
        <v>0</v>
      </c>
      <c r="K493" s="712">
        <v>0</v>
      </c>
      <c r="L493" s="712">
        <v>0</v>
      </c>
      <c r="M493" s="712">
        <v>0</v>
      </c>
      <c r="N493" s="712">
        <v>0</v>
      </c>
      <c r="O493" s="712">
        <v>0</v>
      </c>
      <c r="P493" s="712">
        <v>243020571</v>
      </c>
      <c r="Q493" s="712">
        <v>0</v>
      </c>
      <c r="R493" s="712">
        <v>0</v>
      </c>
      <c r="S493" s="712">
        <v>0</v>
      </c>
      <c r="T493" s="712">
        <v>0</v>
      </c>
      <c r="U493" s="712">
        <v>0</v>
      </c>
      <c r="V493" s="712">
        <v>0</v>
      </c>
      <c r="W493" s="712">
        <v>0</v>
      </c>
      <c r="X493" s="712">
        <v>0</v>
      </c>
      <c r="Y493" s="712">
        <v>0</v>
      </c>
      <c r="Z493" s="712">
        <v>0</v>
      </c>
      <c r="AA493" s="712">
        <v>0</v>
      </c>
      <c r="AB493" s="712">
        <v>0</v>
      </c>
      <c r="AC493" s="712">
        <v>0</v>
      </c>
      <c r="AD493" s="712">
        <v>0</v>
      </c>
      <c r="AE493" s="712">
        <v>0</v>
      </c>
      <c r="AF493" s="712">
        <v>0</v>
      </c>
      <c r="AG493" s="712">
        <v>0</v>
      </c>
      <c r="AH493" s="712">
        <v>0</v>
      </c>
      <c r="AI493" s="712">
        <v>0</v>
      </c>
      <c r="AJ493" s="712">
        <v>0</v>
      </c>
      <c r="AK493" s="712">
        <v>0</v>
      </c>
      <c r="AL493" s="712">
        <v>0</v>
      </c>
      <c r="AM493" s="712">
        <v>0</v>
      </c>
      <c r="AN493" s="712">
        <v>0</v>
      </c>
      <c r="AO493" s="712">
        <v>0</v>
      </c>
      <c r="AP493" s="712">
        <v>0</v>
      </c>
      <c r="AQ493" s="712">
        <v>0</v>
      </c>
      <c r="AR493" s="712">
        <v>0</v>
      </c>
      <c r="AS493" s="712">
        <v>0</v>
      </c>
      <c r="AT493">
        <v>243020571</v>
      </c>
      <c r="AU493" s="615"/>
      <c r="AV493" s="615"/>
      <c r="AW493" s="615"/>
      <c r="AX493" s="615"/>
      <c r="AY493" s="615"/>
      <c r="AZ493" s="615"/>
      <c r="BA493" s="615"/>
      <c r="BB493" s="615"/>
      <c r="BC493" s="615"/>
      <c r="BD493" s="615"/>
      <c r="BE493" s="615"/>
      <c r="BF493" s="615"/>
      <c r="BG493" s="615"/>
      <c r="BH493" s="615"/>
      <c r="BI493" s="615"/>
      <c r="BJ493" s="615"/>
      <c r="BK493" s="615"/>
      <c r="BL493" s="615"/>
      <c r="BM493" s="615"/>
      <c r="BN493" s="615"/>
      <c r="BO493" s="615"/>
      <c r="BP493" s="615"/>
      <c r="BQ493" s="615"/>
      <c r="BR493" s="615"/>
      <c r="BS493" s="615"/>
      <c r="BT493" s="615"/>
      <c r="BU493" s="615"/>
      <c r="BV493" s="615"/>
      <c r="BW493" s="615"/>
      <c r="BX493" s="607"/>
    </row>
    <row r="494" spans="1:76" ht="25.5" x14ac:dyDescent="0.2">
      <c r="A494" s="839"/>
      <c r="B494" s="713" t="s">
        <v>1080</v>
      </c>
      <c r="C494" s="713" t="s">
        <v>3567</v>
      </c>
      <c r="D494" s="712">
        <v>0</v>
      </c>
      <c r="E494" s="712">
        <v>0</v>
      </c>
      <c r="F494" s="712">
        <v>0</v>
      </c>
      <c r="G494" s="712">
        <v>0</v>
      </c>
      <c r="H494" s="712">
        <v>0</v>
      </c>
      <c r="I494" s="712">
        <v>0</v>
      </c>
      <c r="J494" s="712">
        <v>0</v>
      </c>
      <c r="K494" s="712">
        <v>0</v>
      </c>
      <c r="L494" s="712">
        <v>0</v>
      </c>
      <c r="M494" s="712">
        <v>0</v>
      </c>
      <c r="N494" s="712">
        <v>0</v>
      </c>
      <c r="O494" s="712">
        <v>0</v>
      </c>
      <c r="P494" s="712">
        <v>275349924</v>
      </c>
      <c r="Q494" s="712">
        <v>0</v>
      </c>
      <c r="R494" s="712">
        <v>0</v>
      </c>
      <c r="S494" s="712">
        <v>0</v>
      </c>
      <c r="T494" s="712">
        <v>0</v>
      </c>
      <c r="U494" s="712">
        <v>0</v>
      </c>
      <c r="V494" s="712">
        <v>0</v>
      </c>
      <c r="W494" s="712">
        <v>0</v>
      </c>
      <c r="X494" s="712">
        <v>0</v>
      </c>
      <c r="Y494" s="712">
        <v>0</v>
      </c>
      <c r="Z494" s="712">
        <v>0</v>
      </c>
      <c r="AA494" s="712">
        <v>0</v>
      </c>
      <c r="AB494" s="712">
        <v>0</v>
      </c>
      <c r="AC494" s="712">
        <v>0</v>
      </c>
      <c r="AD494" s="712">
        <v>0</v>
      </c>
      <c r="AE494" s="712">
        <v>0</v>
      </c>
      <c r="AF494" s="712">
        <v>0</v>
      </c>
      <c r="AG494" s="712">
        <v>0</v>
      </c>
      <c r="AH494" s="712">
        <v>0</v>
      </c>
      <c r="AI494" s="712">
        <v>0</v>
      </c>
      <c r="AJ494" s="712">
        <v>0</v>
      </c>
      <c r="AK494" s="712">
        <v>0</v>
      </c>
      <c r="AL494" s="712">
        <v>0</v>
      </c>
      <c r="AM494" s="712">
        <v>0</v>
      </c>
      <c r="AN494" s="712">
        <v>0</v>
      </c>
      <c r="AO494" s="712">
        <v>0</v>
      </c>
      <c r="AP494" s="712">
        <v>0</v>
      </c>
      <c r="AQ494" s="712">
        <v>0</v>
      </c>
      <c r="AR494" s="712">
        <v>0</v>
      </c>
      <c r="AS494" s="712">
        <v>0</v>
      </c>
      <c r="AT494">
        <v>275349924</v>
      </c>
      <c r="AU494" s="615"/>
      <c r="AV494" s="615"/>
      <c r="AW494" s="615"/>
      <c r="AX494" s="615"/>
      <c r="AY494" s="615"/>
      <c r="AZ494" s="615"/>
      <c r="BA494" s="615"/>
      <c r="BB494" s="615"/>
      <c r="BC494" s="615"/>
      <c r="BD494" s="615"/>
      <c r="BE494" s="615"/>
      <c r="BF494" s="615"/>
      <c r="BG494" s="615"/>
      <c r="BH494" s="615"/>
      <c r="BI494" s="615"/>
      <c r="BJ494" s="615"/>
      <c r="BK494" s="615"/>
      <c r="BL494" s="615"/>
      <c r="BM494" s="615"/>
      <c r="BN494" s="615"/>
      <c r="BO494" s="615"/>
      <c r="BP494" s="615"/>
      <c r="BQ494" s="615"/>
      <c r="BR494" s="615"/>
      <c r="BS494" s="615"/>
      <c r="BT494" s="615"/>
      <c r="BU494" s="615"/>
      <c r="BV494" s="615"/>
      <c r="BW494" s="615"/>
      <c r="BX494" s="607"/>
    </row>
    <row r="495" spans="1:76" ht="25.5" x14ac:dyDescent="0.2">
      <c r="A495" s="839"/>
      <c r="B495" s="713" t="s">
        <v>4373</v>
      </c>
      <c r="C495" s="713" t="s">
        <v>4372</v>
      </c>
      <c r="D495" s="712">
        <v>0</v>
      </c>
      <c r="E495" s="712">
        <v>0</v>
      </c>
      <c r="F495" s="712">
        <v>0</v>
      </c>
      <c r="G495" s="712">
        <v>0</v>
      </c>
      <c r="H495" s="712">
        <v>0</v>
      </c>
      <c r="I495" s="712">
        <v>0</v>
      </c>
      <c r="J495" s="712">
        <v>0</v>
      </c>
      <c r="K495" s="712">
        <v>0</v>
      </c>
      <c r="L495" s="712">
        <v>0</v>
      </c>
      <c r="M495" s="712">
        <v>0</v>
      </c>
      <c r="N495" s="712">
        <v>0</v>
      </c>
      <c r="O495" s="712">
        <v>0</v>
      </c>
      <c r="P495" s="712">
        <v>0</v>
      </c>
      <c r="Q495" s="712">
        <v>0</v>
      </c>
      <c r="R495" s="712">
        <v>0</v>
      </c>
      <c r="S495" s="712">
        <v>5831809</v>
      </c>
      <c r="T495" s="712">
        <v>5831809</v>
      </c>
      <c r="U495" s="712">
        <v>5831809</v>
      </c>
      <c r="V495" s="712">
        <v>5831809</v>
      </c>
      <c r="W495" s="712">
        <v>5831809</v>
      </c>
      <c r="X495" s="712">
        <v>5831809</v>
      </c>
      <c r="Y495" s="712">
        <v>5831809</v>
      </c>
      <c r="Z495" s="712">
        <v>5831809</v>
      </c>
      <c r="AA495" s="712">
        <v>5831817</v>
      </c>
      <c r="AB495" s="712">
        <v>524864599</v>
      </c>
      <c r="AC495" s="712">
        <v>0</v>
      </c>
      <c r="AD495" s="712">
        <v>0</v>
      </c>
      <c r="AE495" s="712">
        <v>0</v>
      </c>
      <c r="AF495" s="712">
        <v>0</v>
      </c>
      <c r="AG495" s="712">
        <v>0</v>
      </c>
      <c r="AH495" s="712">
        <v>0</v>
      </c>
      <c r="AI495" s="712">
        <v>0</v>
      </c>
      <c r="AJ495" s="712">
        <v>0</v>
      </c>
      <c r="AK495" s="712">
        <v>0</v>
      </c>
      <c r="AL495" s="712">
        <v>0</v>
      </c>
      <c r="AM495" s="712">
        <v>0</v>
      </c>
      <c r="AN495" s="712">
        <v>0</v>
      </c>
      <c r="AO495" s="712">
        <v>0</v>
      </c>
      <c r="AP495" s="712">
        <v>0</v>
      </c>
      <c r="AQ495" s="712">
        <v>0</v>
      </c>
      <c r="AR495" s="712">
        <v>0</v>
      </c>
      <c r="AS495" s="712">
        <v>0</v>
      </c>
      <c r="AT495">
        <v>577350888</v>
      </c>
      <c r="AU495" s="615"/>
      <c r="AV495" s="615"/>
      <c r="AW495" s="615"/>
      <c r="AX495" s="615"/>
      <c r="AY495" s="615"/>
      <c r="AZ495" s="615"/>
      <c r="BA495" s="615"/>
      <c r="BB495" s="615"/>
      <c r="BC495" s="615"/>
      <c r="BD495" s="615"/>
      <c r="BE495" s="615"/>
      <c r="BF495" s="615"/>
      <c r="BG495" s="615"/>
      <c r="BH495" s="615"/>
      <c r="BI495" s="615"/>
      <c r="BJ495" s="615"/>
      <c r="BK495" s="615"/>
      <c r="BL495" s="615"/>
      <c r="BM495" s="615"/>
      <c r="BN495" s="615"/>
      <c r="BO495" s="615"/>
      <c r="BP495" s="615"/>
      <c r="BQ495" s="615"/>
      <c r="BR495" s="615"/>
      <c r="BS495" s="615"/>
      <c r="BT495" s="615"/>
      <c r="BU495" s="615"/>
      <c r="BV495" s="615"/>
      <c r="BW495" s="615"/>
      <c r="BX495" s="607"/>
    </row>
    <row r="496" spans="1:76" ht="25.5" x14ac:dyDescent="0.2">
      <c r="A496" s="839"/>
      <c r="B496" s="713" t="s">
        <v>1559</v>
      </c>
      <c r="C496" s="713" t="s">
        <v>3568</v>
      </c>
      <c r="D496" s="712">
        <v>0</v>
      </c>
      <c r="E496" s="712">
        <v>0</v>
      </c>
      <c r="F496" s="712">
        <v>0</v>
      </c>
      <c r="G496" s="712">
        <v>0</v>
      </c>
      <c r="H496" s="712">
        <v>0</v>
      </c>
      <c r="I496" s="712">
        <v>0</v>
      </c>
      <c r="J496" s="712">
        <v>0</v>
      </c>
      <c r="K496" s="712">
        <v>0</v>
      </c>
      <c r="L496" s="712">
        <v>0</v>
      </c>
      <c r="M496" s="712">
        <v>0</v>
      </c>
      <c r="N496" s="712">
        <v>0</v>
      </c>
      <c r="O496" s="712">
        <v>0</v>
      </c>
      <c r="P496" s="712">
        <v>275299347</v>
      </c>
      <c r="Q496" s="712">
        <v>0</v>
      </c>
      <c r="R496" s="712">
        <v>0</v>
      </c>
      <c r="S496" s="712">
        <v>0</v>
      </c>
      <c r="T496" s="712">
        <v>0</v>
      </c>
      <c r="U496" s="712">
        <v>0</v>
      </c>
      <c r="V496" s="712">
        <v>0</v>
      </c>
      <c r="W496" s="712">
        <v>0</v>
      </c>
      <c r="X496" s="712">
        <v>0</v>
      </c>
      <c r="Y496" s="712">
        <v>0</v>
      </c>
      <c r="Z496" s="712">
        <v>0</v>
      </c>
      <c r="AA496" s="712">
        <v>0</v>
      </c>
      <c r="AB496" s="712">
        <v>0</v>
      </c>
      <c r="AC496" s="712">
        <v>0</v>
      </c>
      <c r="AD496" s="712">
        <v>0</v>
      </c>
      <c r="AE496" s="712">
        <v>0</v>
      </c>
      <c r="AF496" s="712">
        <v>0</v>
      </c>
      <c r="AG496" s="712">
        <v>0</v>
      </c>
      <c r="AH496" s="712">
        <v>0</v>
      </c>
      <c r="AI496" s="712">
        <v>0</v>
      </c>
      <c r="AJ496" s="712">
        <v>0</v>
      </c>
      <c r="AK496" s="712">
        <v>0</v>
      </c>
      <c r="AL496" s="712">
        <v>0</v>
      </c>
      <c r="AM496" s="712">
        <v>0</v>
      </c>
      <c r="AN496" s="712">
        <v>0</v>
      </c>
      <c r="AO496" s="712">
        <v>0</v>
      </c>
      <c r="AP496" s="712">
        <v>0</v>
      </c>
      <c r="AQ496" s="712">
        <v>0</v>
      </c>
      <c r="AR496" s="712">
        <v>0</v>
      </c>
      <c r="AS496" s="712">
        <v>0</v>
      </c>
      <c r="AT496">
        <v>275299347</v>
      </c>
      <c r="AU496" s="615"/>
      <c r="AV496" s="615"/>
      <c r="AW496" s="615"/>
      <c r="AX496" s="615"/>
      <c r="AY496" s="615"/>
      <c r="AZ496" s="615"/>
      <c r="BA496" s="615"/>
      <c r="BB496" s="615"/>
      <c r="BC496" s="615"/>
      <c r="BD496" s="615"/>
      <c r="BE496" s="615"/>
      <c r="BF496" s="615"/>
      <c r="BG496" s="615"/>
      <c r="BH496" s="615"/>
      <c r="BI496" s="615"/>
      <c r="BJ496" s="615"/>
      <c r="BK496" s="615"/>
      <c r="BL496" s="615"/>
      <c r="BM496" s="615"/>
      <c r="BN496" s="615"/>
      <c r="BO496" s="615"/>
      <c r="BP496" s="615"/>
      <c r="BQ496" s="615"/>
      <c r="BR496" s="615"/>
      <c r="BS496" s="615"/>
      <c r="BT496" s="615"/>
      <c r="BU496" s="615"/>
      <c r="BV496" s="615"/>
      <c r="BW496" s="615"/>
      <c r="BX496" s="607"/>
    </row>
    <row r="497" spans="1:76" ht="25.5" x14ac:dyDescent="0.2">
      <c r="A497" s="839"/>
      <c r="B497" s="713" t="s">
        <v>1084</v>
      </c>
      <c r="C497" s="713" t="s">
        <v>3610</v>
      </c>
      <c r="D497" s="712">
        <v>0</v>
      </c>
      <c r="E497" s="712">
        <v>0</v>
      </c>
      <c r="F497" s="712">
        <v>0</v>
      </c>
      <c r="G497" s="712">
        <v>0</v>
      </c>
      <c r="H497" s="712">
        <v>0</v>
      </c>
      <c r="I497" s="712">
        <v>0</v>
      </c>
      <c r="J497" s="712">
        <v>0</v>
      </c>
      <c r="K497" s="712">
        <v>0</v>
      </c>
      <c r="L497" s="712">
        <v>0</v>
      </c>
      <c r="M497" s="712">
        <v>0</v>
      </c>
      <c r="N497" s="712">
        <v>0</v>
      </c>
      <c r="O497" s="712">
        <v>0</v>
      </c>
      <c r="P497" s="712">
        <v>0</v>
      </c>
      <c r="Q497" s="712">
        <v>0</v>
      </c>
      <c r="R497" s="712">
        <v>0</v>
      </c>
      <c r="S497" s="712">
        <v>0</v>
      </c>
      <c r="T497" s="712">
        <v>0</v>
      </c>
      <c r="U497" s="712">
        <v>0</v>
      </c>
      <c r="V497" s="712">
        <v>0</v>
      </c>
      <c r="W497" s="712">
        <v>0</v>
      </c>
      <c r="X497" s="712">
        <v>0</v>
      </c>
      <c r="Y497" s="712">
        <v>0</v>
      </c>
      <c r="Z497" s="712">
        <v>0</v>
      </c>
      <c r="AA497" s="712">
        <v>0</v>
      </c>
      <c r="AB497" s="712">
        <v>0</v>
      </c>
      <c r="AC497" s="712">
        <v>0</v>
      </c>
      <c r="AD497" s="712">
        <v>0</v>
      </c>
      <c r="AE497" s="712">
        <v>0</v>
      </c>
      <c r="AF497" s="712">
        <v>0</v>
      </c>
      <c r="AG497" s="712">
        <v>0</v>
      </c>
      <c r="AH497" s="712">
        <v>0</v>
      </c>
      <c r="AI497" s="712">
        <v>0</v>
      </c>
      <c r="AJ497" s="712">
        <v>0</v>
      </c>
      <c r="AK497" s="712">
        <v>0</v>
      </c>
      <c r="AL497" s="712">
        <v>0</v>
      </c>
      <c r="AM497" s="712">
        <v>0</v>
      </c>
      <c r="AN497" s="712">
        <v>0</v>
      </c>
      <c r="AO497" s="712">
        <v>0</v>
      </c>
      <c r="AP497" s="712">
        <v>0</v>
      </c>
      <c r="AQ497" s="712">
        <v>0</v>
      </c>
      <c r="AR497" s="712">
        <v>0</v>
      </c>
      <c r="AS497" s="712">
        <v>0</v>
      </c>
      <c r="AT497">
        <v>0</v>
      </c>
      <c r="AU497" s="615"/>
      <c r="AV497" s="615"/>
      <c r="AW497" s="615"/>
      <c r="AX497" s="615"/>
      <c r="AY497" s="615"/>
      <c r="AZ497" s="615"/>
      <c r="BA497" s="615"/>
      <c r="BB497" s="615"/>
      <c r="BC497" s="615"/>
      <c r="BD497" s="615"/>
      <c r="BE497" s="615"/>
      <c r="BF497" s="615"/>
      <c r="BG497" s="615"/>
      <c r="BH497" s="615"/>
      <c r="BI497" s="615"/>
      <c r="BJ497" s="615"/>
      <c r="BK497" s="615"/>
      <c r="BL497" s="615"/>
      <c r="BM497" s="615"/>
      <c r="BN497" s="615"/>
      <c r="BO497" s="615"/>
      <c r="BP497" s="615"/>
      <c r="BQ497" s="615"/>
      <c r="BR497" s="615"/>
      <c r="BS497" s="615"/>
      <c r="BT497" s="615"/>
      <c r="BU497" s="615"/>
      <c r="BV497" s="615"/>
      <c r="BW497" s="615"/>
      <c r="BX497" s="607"/>
    </row>
    <row r="498" spans="1:76" ht="25.5" x14ac:dyDescent="0.2">
      <c r="A498" s="839"/>
      <c r="B498" s="713" t="s">
        <v>4241</v>
      </c>
      <c r="C498" s="713" t="s">
        <v>4240</v>
      </c>
      <c r="D498" s="712">
        <v>0</v>
      </c>
      <c r="E498" s="712">
        <v>0</v>
      </c>
      <c r="F498" s="712">
        <v>0</v>
      </c>
      <c r="G498" s="712">
        <v>0</v>
      </c>
      <c r="H498" s="712">
        <v>0</v>
      </c>
      <c r="I498" s="712">
        <v>0</v>
      </c>
      <c r="J498" s="712">
        <v>0</v>
      </c>
      <c r="K498" s="712">
        <v>0</v>
      </c>
      <c r="L498" s="712">
        <v>0</v>
      </c>
      <c r="M498" s="712">
        <v>0</v>
      </c>
      <c r="N498" s="712">
        <v>0</v>
      </c>
      <c r="O498" s="712">
        <v>0</v>
      </c>
      <c r="P498" s="712">
        <v>0</v>
      </c>
      <c r="Q498" s="712">
        <v>118853</v>
      </c>
      <c r="R498" s="712">
        <v>0</v>
      </c>
      <c r="S498" s="712">
        <v>0</v>
      </c>
      <c r="T498" s="712">
        <v>4000000</v>
      </c>
      <c r="U498" s="712">
        <v>87000000</v>
      </c>
      <c r="V498" s="712">
        <v>6740974</v>
      </c>
      <c r="W498" s="712">
        <v>4000000</v>
      </c>
      <c r="X498" s="712">
        <v>4000000</v>
      </c>
      <c r="Y498" s="712">
        <v>350495536</v>
      </c>
      <c r="Z498" s="712">
        <v>0</v>
      </c>
      <c r="AA498" s="712">
        <v>0</v>
      </c>
      <c r="AB498" s="712">
        <v>0</v>
      </c>
      <c r="AC498" s="712">
        <v>0</v>
      </c>
      <c r="AD498" s="712">
        <v>0</v>
      </c>
      <c r="AE498" s="712">
        <v>0</v>
      </c>
      <c r="AF498" s="712">
        <v>0</v>
      </c>
      <c r="AG498" s="712">
        <v>0</v>
      </c>
      <c r="AH498" s="712">
        <v>0</v>
      </c>
      <c r="AI498" s="712">
        <v>0</v>
      </c>
      <c r="AJ498" s="712">
        <v>0</v>
      </c>
      <c r="AK498" s="712">
        <v>0</v>
      </c>
      <c r="AL498" s="712">
        <v>0</v>
      </c>
      <c r="AM498" s="712">
        <v>0</v>
      </c>
      <c r="AN498" s="712">
        <v>0</v>
      </c>
      <c r="AO498" s="712">
        <v>0</v>
      </c>
      <c r="AP498" s="712">
        <v>0</v>
      </c>
      <c r="AQ498" s="712">
        <v>0</v>
      </c>
      <c r="AR498" s="712">
        <v>0</v>
      </c>
      <c r="AS498" s="712">
        <v>0</v>
      </c>
      <c r="AT498">
        <v>456355363</v>
      </c>
      <c r="AU498" s="615"/>
      <c r="AV498" s="615"/>
      <c r="AW498" s="615"/>
      <c r="AX498" s="615"/>
      <c r="AY498" s="615"/>
      <c r="AZ498" s="615"/>
      <c r="BA498" s="615"/>
      <c r="BB498" s="615"/>
      <c r="BC498" s="615"/>
      <c r="BD498" s="615"/>
      <c r="BE498" s="615"/>
      <c r="BF498" s="615"/>
      <c r="BG498" s="615"/>
      <c r="BH498" s="615"/>
      <c r="BI498" s="615"/>
      <c r="BJ498" s="615"/>
      <c r="BK498" s="615"/>
      <c r="BL498" s="615"/>
      <c r="BM498" s="615"/>
      <c r="BN498" s="615"/>
      <c r="BO498" s="615"/>
      <c r="BP498" s="615"/>
      <c r="BQ498" s="615"/>
      <c r="BR498" s="615"/>
      <c r="BS498" s="615"/>
      <c r="BT498" s="615"/>
      <c r="BU498" s="615"/>
      <c r="BV498" s="615"/>
      <c r="BW498" s="615"/>
      <c r="BX498" s="607"/>
    </row>
    <row r="499" spans="1:76" ht="25.5" x14ac:dyDescent="0.2">
      <c r="A499" s="839"/>
      <c r="B499" s="713" t="s">
        <v>1100</v>
      </c>
      <c r="C499" s="713" t="s">
        <v>3615</v>
      </c>
      <c r="D499" s="712">
        <v>0</v>
      </c>
      <c r="E499" s="712">
        <v>0</v>
      </c>
      <c r="F499" s="712">
        <v>0</v>
      </c>
      <c r="G499" s="712">
        <v>0</v>
      </c>
      <c r="H499" s="712">
        <v>0</v>
      </c>
      <c r="I499" s="712">
        <v>0</v>
      </c>
      <c r="J499" s="712">
        <v>0</v>
      </c>
      <c r="K499" s="712">
        <v>0</v>
      </c>
      <c r="L499" s="712">
        <v>0</v>
      </c>
      <c r="M499" s="712">
        <v>0</v>
      </c>
      <c r="N499" s="712">
        <v>0</v>
      </c>
      <c r="O499" s="712">
        <v>0</v>
      </c>
      <c r="P499" s="712">
        <v>0</v>
      </c>
      <c r="Q499" s="712">
        <v>0</v>
      </c>
      <c r="R499" s="712">
        <v>0</v>
      </c>
      <c r="S499" s="712">
        <v>0</v>
      </c>
      <c r="T499" s="712">
        <v>0</v>
      </c>
      <c r="U499" s="712">
        <v>0</v>
      </c>
      <c r="V499" s="712">
        <v>0</v>
      </c>
      <c r="W499" s="712">
        <v>0</v>
      </c>
      <c r="X499" s="712">
        <v>0</v>
      </c>
      <c r="Y499" s="712">
        <v>0</v>
      </c>
      <c r="Z499" s="712">
        <v>0</v>
      </c>
      <c r="AA499" s="712">
        <v>0</v>
      </c>
      <c r="AB499" s="712">
        <v>0</v>
      </c>
      <c r="AC499" s="712">
        <v>0</v>
      </c>
      <c r="AD499" s="712">
        <v>0</v>
      </c>
      <c r="AE499" s="712">
        <v>0</v>
      </c>
      <c r="AF499" s="712">
        <v>0</v>
      </c>
      <c r="AG499" s="712">
        <v>0</v>
      </c>
      <c r="AH499" s="712">
        <v>0</v>
      </c>
      <c r="AI499" s="712">
        <v>0</v>
      </c>
      <c r="AJ499" s="712">
        <v>0</v>
      </c>
      <c r="AK499" s="712">
        <v>0</v>
      </c>
      <c r="AL499" s="712">
        <v>0</v>
      </c>
      <c r="AM499" s="712">
        <v>0</v>
      </c>
      <c r="AN499" s="712">
        <v>0</v>
      </c>
      <c r="AO499" s="712">
        <v>0</v>
      </c>
      <c r="AP499" s="712">
        <v>0</v>
      </c>
      <c r="AQ499" s="712">
        <v>0</v>
      </c>
      <c r="AR499" s="712">
        <v>0</v>
      </c>
      <c r="AS499" s="712">
        <v>0</v>
      </c>
      <c r="AT499">
        <v>0</v>
      </c>
      <c r="AU499" s="615"/>
      <c r="AV499" s="615"/>
      <c r="AW499" s="615"/>
      <c r="AX499" s="615"/>
      <c r="AY499" s="615"/>
      <c r="AZ499" s="615"/>
      <c r="BA499" s="615"/>
      <c r="BB499" s="615"/>
      <c r="BC499" s="615"/>
      <c r="BD499" s="615"/>
      <c r="BE499" s="615"/>
      <c r="BF499" s="615"/>
      <c r="BG499" s="615"/>
      <c r="BH499" s="615"/>
      <c r="BI499" s="615"/>
      <c r="BJ499" s="615"/>
      <c r="BK499" s="615"/>
      <c r="BL499" s="615"/>
      <c r="BM499" s="615"/>
      <c r="BN499" s="615"/>
      <c r="BO499" s="615"/>
      <c r="BP499" s="615"/>
      <c r="BQ499" s="615"/>
      <c r="BR499" s="615"/>
      <c r="BS499" s="615"/>
      <c r="BT499" s="615"/>
      <c r="BU499" s="615"/>
      <c r="BV499" s="615"/>
      <c r="BW499" s="615"/>
      <c r="BX499" s="607"/>
    </row>
    <row r="500" spans="1:76" ht="25.5" x14ac:dyDescent="0.2">
      <c r="A500" s="839"/>
      <c r="B500" s="713" t="s">
        <v>2246</v>
      </c>
      <c r="C500" s="713" t="s">
        <v>3590</v>
      </c>
      <c r="D500" s="712">
        <v>0</v>
      </c>
      <c r="E500" s="712">
        <v>0</v>
      </c>
      <c r="F500" s="712">
        <v>0</v>
      </c>
      <c r="G500" s="712">
        <v>0</v>
      </c>
      <c r="H500" s="712">
        <v>0</v>
      </c>
      <c r="I500" s="712">
        <v>0</v>
      </c>
      <c r="J500" s="712">
        <v>0</v>
      </c>
      <c r="K500" s="712">
        <v>0</v>
      </c>
      <c r="L500" s="712">
        <v>0</v>
      </c>
      <c r="M500" s="712">
        <v>0</v>
      </c>
      <c r="N500" s="712">
        <v>0</v>
      </c>
      <c r="O500" s="712">
        <v>0</v>
      </c>
      <c r="P500" s="712">
        <v>0</v>
      </c>
      <c r="Q500" s="712">
        <v>0</v>
      </c>
      <c r="R500" s="712">
        <v>219622085</v>
      </c>
      <c r="S500" s="712">
        <v>0</v>
      </c>
      <c r="T500" s="712">
        <v>0</v>
      </c>
      <c r="U500" s="712">
        <v>0</v>
      </c>
      <c r="V500" s="712">
        <v>0</v>
      </c>
      <c r="W500" s="712">
        <v>0</v>
      </c>
      <c r="X500" s="712">
        <v>0</v>
      </c>
      <c r="Y500" s="712">
        <v>0</v>
      </c>
      <c r="Z500" s="712">
        <v>0</v>
      </c>
      <c r="AA500" s="712">
        <v>0</v>
      </c>
      <c r="AB500" s="712">
        <v>0</v>
      </c>
      <c r="AC500" s="712">
        <v>0</v>
      </c>
      <c r="AD500" s="712">
        <v>0</v>
      </c>
      <c r="AE500" s="712">
        <v>0</v>
      </c>
      <c r="AF500" s="712">
        <v>0</v>
      </c>
      <c r="AG500" s="712">
        <v>0</v>
      </c>
      <c r="AH500" s="712">
        <v>0</v>
      </c>
      <c r="AI500" s="712">
        <v>0</v>
      </c>
      <c r="AJ500" s="712">
        <v>0</v>
      </c>
      <c r="AK500" s="712">
        <v>0</v>
      </c>
      <c r="AL500" s="712">
        <v>0</v>
      </c>
      <c r="AM500" s="712">
        <v>0</v>
      </c>
      <c r="AN500" s="712">
        <v>0</v>
      </c>
      <c r="AO500" s="712">
        <v>0</v>
      </c>
      <c r="AP500" s="712">
        <v>0</v>
      </c>
      <c r="AQ500" s="712">
        <v>0</v>
      </c>
      <c r="AR500" s="712">
        <v>0</v>
      </c>
      <c r="AS500" s="712">
        <v>0</v>
      </c>
      <c r="AT500">
        <v>219622085</v>
      </c>
      <c r="AU500" s="615"/>
      <c r="AV500" s="615"/>
      <c r="AW500" s="615"/>
      <c r="AX500" s="615"/>
      <c r="AY500" s="615"/>
      <c r="AZ500" s="615"/>
      <c r="BA500" s="615"/>
      <c r="BB500" s="615"/>
      <c r="BC500" s="615"/>
      <c r="BD500" s="615"/>
      <c r="BE500" s="615"/>
      <c r="BF500" s="615"/>
      <c r="BG500" s="615"/>
      <c r="BH500" s="615"/>
      <c r="BI500" s="615"/>
      <c r="BJ500" s="615"/>
      <c r="BK500" s="615"/>
      <c r="BL500" s="615"/>
      <c r="BM500" s="615"/>
      <c r="BN500" s="615"/>
      <c r="BO500" s="615"/>
      <c r="BP500" s="615"/>
      <c r="BQ500" s="615"/>
      <c r="BR500" s="615"/>
      <c r="BS500" s="615"/>
      <c r="BT500" s="615"/>
      <c r="BU500" s="615"/>
      <c r="BV500" s="615"/>
      <c r="BW500" s="615"/>
      <c r="BX500" s="607"/>
    </row>
    <row r="501" spans="1:76" ht="25.5" x14ac:dyDescent="0.2">
      <c r="A501" s="839"/>
      <c r="B501" s="713" t="s">
        <v>1076</v>
      </c>
      <c r="C501" s="713" t="s">
        <v>3526</v>
      </c>
      <c r="D501" s="712">
        <v>0</v>
      </c>
      <c r="E501" s="712">
        <v>0</v>
      </c>
      <c r="F501" s="712">
        <v>0</v>
      </c>
      <c r="G501" s="712">
        <v>0</v>
      </c>
      <c r="H501" s="712">
        <v>0</v>
      </c>
      <c r="I501" s="712">
        <v>0</v>
      </c>
      <c r="J501" s="712">
        <v>0</v>
      </c>
      <c r="K501" s="712">
        <v>0</v>
      </c>
      <c r="L501" s="712">
        <v>0</v>
      </c>
      <c r="M501" s="712">
        <v>0</v>
      </c>
      <c r="N501" s="712">
        <v>0</v>
      </c>
      <c r="O501" s="712">
        <v>0</v>
      </c>
      <c r="P501" s="712">
        <v>0</v>
      </c>
      <c r="Q501" s="712">
        <v>0</v>
      </c>
      <c r="R501" s="712">
        <v>4</v>
      </c>
      <c r="S501" s="712">
        <v>0</v>
      </c>
      <c r="T501" s="712">
        <v>0</v>
      </c>
      <c r="U501" s="712">
        <v>0</v>
      </c>
      <c r="V501" s="712">
        <v>0</v>
      </c>
      <c r="W501" s="712">
        <v>0</v>
      </c>
      <c r="X501" s="712">
        <v>0</v>
      </c>
      <c r="Y501" s="712">
        <v>0</v>
      </c>
      <c r="Z501" s="712">
        <v>0</v>
      </c>
      <c r="AA501" s="712">
        <v>0</v>
      </c>
      <c r="AB501" s="712">
        <v>0</v>
      </c>
      <c r="AC501" s="712">
        <v>0</v>
      </c>
      <c r="AD501" s="712">
        <v>0</v>
      </c>
      <c r="AE501" s="712">
        <v>0</v>
      </c>
      <c r="AF501" s="712">
        <v>0</v>
      </c>
      <c r="AG501" s="712">
        <v>0</v>
      </c>
      <c r="AH501" s="712">
        <v>0</v>
      </c>
      <c r="AI501" s="712">
        <v>0</v>
      </c>
      <c r="AJ501" s="712">
        <v>0</v>
      </c>
      <c r="AK501" s="712">
        <v>0</v>
      </c>
      <c r="AL501" s="712">
        <v>0</v>
      </c>
      <c r="AM501" s="712">
        <v>0</v>
      </c>
      <c r="AN501" s="712">
        <v>0</v>
      </c>
      <c r="AO501" s="712">
        <v>0</v>
      </c>
      <c r="AP501" s="712">
        <v>0</v>
      </c>
      <c r="AQ501" s="712">
        <v>0</v>
      </c>
      <c r="AR501" s="712">
        <v>0</v>
      </c>
      <c r="AS501" s="712">
        <v>0</v>
      </c>
      <c r="AT501">
        <v>4</v>
      </c>
      <c r="AU501" s="615"/>
      <c r="AV501" s="615"/>
      <c r="AW501" s="615"/>
      <c r="AX501" s="615"/>
      <c r="AY501" s="615"/>
      <c r="AZ501" s="615"/>
      <c r="BA501" s="615"/>
      <c r="BB501" s="615"/>
      <c r="BC501" s="615"/>
      <c r="BD501" s="615"/>
      <c r="BE501" s="615"/>
      <c r="BF501" s="615"/>
      <c r="BG501" s="615"/>
      <c r="BH501" s="615"/>
      <c r="BI501" s="615"/>
      <c r="BJ501" s="615"/>
      <c r="BK501" s="615"/>
      <c r="BL501" s="615"/>
      <c r="BM501" s="615"/>
      <c r="BN501" s="615"/>
      <c r="BO501" s="615"/>
      <c r="BP501" s="615"/>
      <c r="BQ501" s="615"/>
      <c r="BR501" s="615"/>
      <c r="BS501" s="615"/>
      <c r="BT501" s="615"/>
      <c r="BU501" s="615"/>
      <c r="BV501" s="615"/>
      <c r="BW501" s="615"/>
      <c r="BX501" s="607"/>
    </row>
    <row r="502" spans="1:76" ht="25.5" x14ac:dyDescent="0.2">
      <c r="A502" s="839"/>
      <c r="B502" s="713" t="s">
        <v>2578</v>
      </c>
      <c r="C502" s="713" t="s">
        <v>3506</v>
      </c>
      <c r="D502" s="712">
        <v>0</v>
      </c>
      <c r="E502" s="712">
        <v>0</v>
      </c>
      <c r="F502" s="712">
        <v>0</v>
      </c>
      <c r="G502" s="712">
        <v>0</v>
      </c>
      <c r="H502" s="712">
        <v>0</v>
      </c>
      <c r="I502" s="712">
        <v>0</v>
      </c>
      <c r="J502" s="712">
        <v>0</v>
      </c>
      <c r="K502" s="712">
        <v>0</v>
      </c>
      <c r="L502" s="712">
        <v>0</v>
      </c>
      <c r="M502" s="712">
        <v>0</v>
      </c>
      <c r="N502" s="712">
        <v>0</v>
      </c>
      <c r="O502" s="712">
        <v>0</v>
      </c>
      <c r="P502" s="712">
        <v>0</v>
      </c>
      <c r="Q502" s="712">
        <v>0</v>
      </c>
      <c r="R502" s="712">
        <v>343000000</v>
      </c>
      <c r="S502" s="712">
        <v>0</v>
      </c>
      <c r="T502" s="712">
        <v>0</v>
      </c>
      <c r="U502" s="712">
        <v>0</v>
      </c>
      <c r="V502" s="712">
        <v>0</v>
      </c>
      <c r="W502" s="712">
        <v>0</v>
      </c>
      <c r="X502" s="712">
        <v>0</v>
      </c>
      <c r="Y502" s="712">
        <v>0</v>
      </c>
      <c r="Z502" s="712">
        <v>0</v>
      </c>
      <c r="AA502" s="712">
        <v>0</v>
      </c>
      <c r="AB502" s="712">
        <v>0</v>
      </c>
      <c r="AC502" s="712">
        <v>0</v>
      </c>
      <c r="AD502" s="712">
        <v>0</v>
      </c>
      <c r="AE502" s="712">
        <v>0</v>
      </c>
      <c r="AF502" s="712">
        <v>0</v>
      </c>
      <c r="AG502" s="712">
        <v>0</v>
      </c>
      <c r="AH502" s="712">
        <v>0</v>
      </c>
      <c r="AI502" s="712">
        <v>0</v>
      </c>
      <c r="AJ502" s="712">
        <v>0</v>
      </c>
      <c r="AK502" s="712">
        <v>0</v>
      </c>
      <c r="AL502" s="712">
        <v>0</v>
      </c>
      <c r="AM502" s="712">
        <v>0</v>
      </c>
      <c r="AN502" s="712">
        <v>0</v>
      </c>
      <c r="AO502" s="712">
        <v>0</v>
      </c>
      <c r="AP502" s="712">
        <v>0</v>
      </c>
      <c r="AQ502" s="712">
        <v>0</v>
      </c>
      <c r="AR502" s="712">
        <v>0</v>
      </c>
      <c r="AS502" s="712">
        <v>0</v>
      </c>
      <c r="AT502">
        <v>343000000</v>
      </c>
      <c r="AU502" s="615"/>
      <c r="AV502" s="615"/>
      <c r="AW502" s="615"/>
      <c r="AX502" s="615"/>
      <c r="AY502" s="615"/>
      <c r="AZ502" s="615"/>
      <c r="BA502" s="615"/>
      <c r="BB502" s="615"/>
      <c r="BC502" s="615"/>
      <c r="BD502" s="615"/>
      <c r="BE502" s="615"/>
      <c r="BF502" s="615"/>
      <c r="BG502" s="615"/>
      <c r="BH502" s="615"/>
      <c r="BI502" s="615"/>
      <c r="BJ502" s="615"/>
      <c r="BK502" s="615"/>
      <c r="BL502" s="615"/>
      <c r="BM502" s="615"/>
      <c r="BN502" s="615"/>
      <c r="BO502" s="615"/>
      <c r="BP502" s="615"/>
      <c r="BQ502" s="615"/>
      <c r="BR502" s="615"/>
      <c r="BS502" s="615"/>
      <c r="BT502" s="615"/>
      <c r="BU502" s="615"/>
      <c r="BV502" s="615"/>
      <c r="BW502" s="615"/>
      <c r="BX502" s="607"/>
    </row>
    <row r="503" spans="1:76" ht="25.5" x14ac:dyDescent="0.2">
      <c r="A503" s="839"/>
      <c r="B503" s="713" t="s">
        <v>1083</v>
      </c>
      <c r="C503" s="713" t="s">
        <v>3596</v>
      </c>
      <c r="D503" s="712">
        <v>0</v>
      </c>
      <c r="E503" s="712">
        <v>0</v>
      </c>
      <c r="F503" s="712">
        <v>0</v>
      </c>
      <c r="G503" s="712">
        <v>0</v>
      </c>
      <c r="H503" s="712">
        <v>0</v>
      </c>
      <c r="I503" s="712">
        <v>0</v>
      </c>
      <c r="J503" s="712">
        <v>0</v>
      </c>
      <c r="K503" s="712">
        <v>0</v>
      </c>
      <c r="L503" s="712">
        <v>0</v>
      </c>
      <c r="M503" s="712">
        <v>0</v>
      </c>
      <c r="N503" s="712">
        <v>0</v>
      </c>
      <c r="O503" s="712">
        <v>0</v>
      </c>
      <c r="P503" s="712">
        <v>0</v>
      </c>
      <c r="Q503" s="712">
        <v>92441</v>
      </c>
      <c r="R503" s="712">
        <v>0</v>
      </c>
      <c r="S503" s="712">
        <v>0</v>
      </c>
      <c r="T503" s="712">
        <v>0</v>
      </c>
      <c r="U503" s="712">
        <v>0</v>
      </c>
      <c r="V503" s="712">
        <v>0</v>
      </c>
      <c r="W503" s="712">
        <v>0</v>
      </c>
      <c r="X503" s="712">
        <v>0</v>
      </c>
      <c r="Y503" s="712">
        <v>0</v>
      </c>
      <c r="Z503" s="712">
        <v>0</v>
      </c>
      <c r="AA503" s="712">
        <v>0</v>
      </c>
      <c r="AB503" s="712">
        <v>0</v>
      </c>
      <c r="AC503" s="712">
        <v>0</v>
      </c>
      <c r="AD503" s="712">
        <v>0</v>
      </c>
      <c r="AE503" s="712">
        <v>0</v>
      </c>
      <c r="AF503" s="712">
        <v>0</v>
      </c>
      <c r="AG503" s="712">
        <v>0</v>
      </c>
      <c r="AH503" s="712">
        <v>0</v>
      </c>
      <c r="AI503" s="712">
        <v>0</v>
      </c>
      <c r="AJ503" s="712">
        <v>0</v>
      </c>
      <c r="AK503" s="712">
        <v>0</v>
      </c>
      <c r="AL503" s="712">
        <v>0</v>
      </c>
      <c r="AM503" s="712">
        <v>0</v>
      </c>
      <c r="AN503" s="712">
        <v>0</v>
      </c>
      <c r="AO503" s="712">
        <v>0</v>
      </c>
      <c r="AP503" s="712">
        <v>0</v>
      </c>
      <c r="AQ503" s="712">
        <v>0</v>
      </c>
      <c r="AR503" s="712">
        <v>0</v>
      </c>
      <c r="AS503" s="712">
        <v>0</v>
      </c>
      <c r="AT503">
        <v>0</v>
      </c>
      <c r="AU503" s="615"/>
      <c r="AV503" s="615"/>
      <c r="AW503" s="615"/>
      <c r="AX503" s="615"/>
      <c r="AY503" s="615"/>
      <c r="AZ503" s="615"/>
      <c r="BA503" s="615"/>
      <c r="BB503" s="615"/>
      <c r="BC503" s="615"/>
      <c r="BD503" s="615"/>
      <c r="BE503" s="615"/>
      <c r="BF503" s="615"/>
      <c r="BG503" s="615"/>
      <c r="BH503" s="615"/>
      <c r="BI503" s="615"/>
      <c r="BJ503" s="615"/>
      <c r="BK503" s="615"/>
      <c r="BL503" s="615"/>
      <c r="BM503" s="615"/>
      <c r="BN503" s="615"/>
      <c r="BO503" s="615"/>
      <c r="BP503" s="615"/>
      <c r="BQ503" s="615"/>
      <c r="BR503" s="615"/>
      <c r="BS503" s="615"/>
      <c r="BT503" s="615"/>
      <c r="BU503" s="615"/>
      <c r="BV503" s="615"/>
      <c r="BW503" s="615"/>
      <c r="BX503" s="607"/>
    </row>
    <row r="504" spans="1:76" ht="12.75" x14ac:dyDescent="0.2">
      <c r="A504" s="839"/>
      <c r="B504" s="713" t="s">
        <v>1594</v>
      </c>
      <c r="C504" s="713" t="s">
        <v>4245</v>
      </c>
      <c r="D504" s="712">
        <v>0</v>
      </c>
      <c r="E504" s="712">
        <v>0</v>
      </c>
      <c r="F504" s="712">
        <v>0</v>
      </c>
      <c r="G504" s="712">
        <v>0</v>
      </c>
      <c r="H504" s="712">
        <v>0</v>
      </c>
      <c r="I504" s="712">
        <v>0</v>
      </c>
      <c r="J504" s="712">
        <v>0</v>
      </c>
      <c r="K504" s="712">
        <v>0</v>
      </c>
      <c r="L504" s="712">
        <v>0</v>
      </c>
      <c r="M504" s="712">
        <v>0</v>
      </c>
      <c r="N504" s="712">
        <v>0</v>
      </c>
      <c r="O504" s="712">
        <v>0</v>
      </c>
      <c r="P504" s="712">
        <v>0</v>
      </c>
      <c r="Q504" s="712">
        <v>7000000</v>
      </c>
      <c r="R504" s="712">
        <v>0</v>
      </c>
      <c r="S504" s="712">
        <v>0</v>
      </c>
      <c r="T504" s="712">
        <v>0</v>
      </c>
      <c r="U504" s="712">
        <v>0</v>
      </c>
      <c r="V504" s="712">
        <v>0</v>
      </c>
      <c r="W504" s="712">
        <v>0</v>
      </c>
      <c r="X504" s="712">
        <v>0</v>
      </c>
      <c r="Y504" s="712">
        <v>0</v>
      </c>
      <c r="Z504" s="712">
        <v>0</v>
      </c>
      <c r="AA504" s="712">
        <v>0</v>
      </c>
      <c r="AB504" s="712">
        <v>0</v>
      </c>
      <c r="AC504" s="712">
        <v>0</v>
      </c>
      <c r="AD504" s="712">
        <v>0</v>
      </c>
      <c r="AE504" s="712">
        <v>0</v>
      </c>
      <c r="AF504" s="712">
        <v>0</v>
      </c>
      <c r="AG504" s="712">
        <v>0</v>
      </c>
      <c r="AH504" s="712">
        <v>0</v>
      </c>
      <c r="AI504" s="712">
        <v>0</v>
      </c>
      <c r="AJ504" s="712">
        <v>0</v>
      </c>
      <c r="AK504" s="712">
        <v>0</v>
      </c>
      <c r="AL504" s="712">
        <v>0</v>
      </c>
      <c r="AM504" s="712">
        <v>0</v>
      </c>
      <c r="AN504" s="712">
        <v>0</v>
      </c>
      <c r="AO504" s="712">
        <v>0</v>
      </c>
      <c r="AP504" s="712">
        <v>0</v>
      </c>
      <c r="AQ504" s="712">
        <v>0</v>
      </c>
      <c r="AR504" s="712">
        <v>0</v>
      </c>
      <c r="AS504" s="712">
        <v>0</v>
      </c>
      <c r="AT504">
        <v>7000000</v>
      </c>
      <c r="AU504" s="615"/>
      <c r="AV504" s="615"/>
      <c r="AW504" s="615"/>
      <c r="AX504" s="615"/>
      <c r="AY504" s="615"/>
      <c r="AZ504" s="615"/>
      <c r="BA504" s="615"/>
      <c r="BB504" s="615"/>
      <c r="BC504" s="615"/>
      <c r="BD504" s="615"/>
      <c r="BE504" s="615"/>
      <c r="BF504" s="615"/>
      <c r="BG504" s="615"/>
      <c r="BH504" s="615"/>
      <c r="BI504" s="615"/>
      <c r="BJ504" s="615"/>
      <c r="BK504" s="615"/>
      <c r="BL504" s="615"/>
      <c r="BM504" s="615"/>
      <c r="BN504" s="615"/>
      <c r="BO504" s="615"/>
      <c r="BP504" s="615"/>
      <c r="BQ504" s="615"/>
      <c r="BR504" s="615"/>
      <c r="BS504" s="615"/>
      <c r="BT504" s="615"/>
      <c r="BU504" s="615"/>
      <c r="BV504" s="615"/>
      <c r="BW504" s="615"/>
      <c r="BX504" s="607"/>
    </row>
    <row r="505" spans="1:76" ht="25.5" x14ac:dyDescent="0.2">
      <c r="A505" s="839"/>
      <c r="B505" s="713" t="s">
        <v>1147</v>
      </c>
      <c r="C505" s="713" t="s">
        <v>3517</v>
      </c>
      <c r="D505" s="712">
        <v>0</v>
      </c>
      <c r="E505" s="712">
        <v>0</v>
      </c>
      <c r="F505" s="712">
        <v>0</v>
      </c>
      <c r="G505" s="712">
        <v>0</v>
      </c>
      <c r="H505" s="712">
        <v>0</v>
      </c>
      <c r="I505" s="712">
        <v>0</v>
      </c>
      <c r="J505" s="712">
        <v>0</v>
      </c>
      <c r="K505" s="712">
        <v>0</v>
      </c>
      <c r="L505" s="712">
        <v>0</v>
      </c>
      <c r="M505" s="712">
        <v>0</v>
      </c>
      <c r="N505" s="712">
        <v>0</v>
      </c>
      <c r="O505" s="712">
        <v>0</v>
      </c>
      <c r="P505" s="712">
        <v>0</v>
      </c>
      <c r="Q505" s="712">
        <v>0</v>
      </c>
      <c r="R505" s="712">
        <v>224062443</v>
      </c>
      <c r="S505" s="712">
        <v>0</v>
      </c>
      <c r="T505" s="712">
        <v>0</v>
      </c>
      <c r="U505" s="712">
        <v>0</v>
      </c>
      <c r="V505" s="712">
        <v>0</v>
      </c>
      <c r="W505" s="712">
        <v>0</v>
      </c>
      <c r="X505" s="712">
        <v>0</v>
      </c>
      <c r="Y505" s="712">
        <v>0</v>
      </c>
      <c r="Z505" s="712">
        <v>0</v>
      </c>
      <c r="AA505" s="712">
        <v>0</v>
      </c>
      <c r="AB505" s="712">
        <v>0</v>
      </c>
      <c r="AC505" s="712">
        <v>0</v>
      </c>
      <c r="AD505" s="712">
        <v>0</v>
      </c>
      <c r="AE505" s="712">
        <v>0</v>
      </c>
      <c r="AF505" s="712">
        <v>0</v>
      </c>
      <c r="AG505" s="712">
        <v>0</v>
      </c>
      <c r="AH505" s="712">
        <v>0</v>
      </c>
      <c r="AI505" s="712">
        <v>0</v>
      </c>
      <c r="AJ505" s="712">
        <v>0</v>
      </c>
      <c r="AK505" s="712">
        <v>0</v>
      </c>
      <c r="AL505" s="712">
        <v>0</v>
      </c>
      <c r="AM505" s="712">
        <v>0</v>
      </c>
      <c r="AN505" s="712">
        <v>0</v>
      </c>
      <c r="AO505" s="712">
        <v>0</v>
      </c>
      <c r="AP505" s="712">
        <v>0</v>
      </c>
      <c r="AQ505" s="712">
        <v>0</v>
      </c>
      <c r="AR505" s="712">
        <v>0</v>
      </c>
      <c r="AS505" s="712">
        <v>0</v>
      </c>
      <c r="AT505">
        <v>224062443</v>
      </c>
      <c r="AU505" s="615"/>
      <c r="AV505" s="615"/>
      <c r="AW505" s="615"/>
      <c r="AX505" s="615"/>
      <c r="AY505" s="615"/>
      <c r="AZ505" s="615"/>
      <c r="BA505" s="615"/>
      <c r="BB505" s="615"/>
      <c r="BC505" s="615"/>
      <c r="BD505" s="615"/>
      <c r="BE505" s="615"/>
      <c r="BF505" s="615"/>
      <c r="BG505" s="615"/>
      <c r="BH505" s="615"/>
      <c r="BI505" s="615"/>
      <c r="BJ505" s="615"/>
      <c r="BK505" s="615"/>
      <c r="BL505" s="615"/>
      <c r="BM505" s="615"/>
      <c r="BN505" s="615"/>
      <c r="BO505" s="615"/>
      <c r="BP505" s="615"/>
      <c r="BQ505" s="615"/>
      <c r="BR505" s="615"/>
      <c r="BS505" s="615"/>
      <c r="BT505" s="615"/>
      <c r="BU505" s="615"/>
      <c r="BV505" s="615"/>
      <c r="BW505" s="615"/>
      <c r="BX505" s="607"/>
    </row>
    <row r="506" spans="1:76" ht="25.5" x14ac:dyDescent="0.2">
      <c r="A506" s="839"/>
      <c r="B506" s="713" t="s">
        <v>1116</v>
      </c>
      <c r="C506" s="713" t="s">
        <v>3509</v>
      </c>
      <c r="D506" s="712">
        <v>0</v>
      </c>
      <c r="E506" s="712">
        <v>0</v>
      </c>
      <c r="F506" s="712">
        <v>0</v>
      </c>
      <c r="G506" s="712">
        <v>0</v>
      </c>
      <c r="H506" s="712">
        <v>0</v>
      </c>
      <c r="I506" s="712">
        <v>0</v>
      </c>
      <c r="J506" s="712">
        <v>0</v>
      </c>
      <c r="K506" s="712">
        <v>0</v>
      </c>
      <c r="L506" s="712">
        <v>0</v>
      </c>
      <c r="M506" s="712">
        <v>0</v>
      </c>
      <c r="N506" s="712">
        <v>0</v>
      </c>
      <c r="O506" s="712">
        <v>0</v>
      </c>
      <c r="P506" s="712">
        <v>0</v>
      </c>
      <c r="Q506" s="712">
        <v>0</v>
      </c>
      <c r="R506" s="712">
        <v>246557412</v>
      </c>
      <c r="S506" s="712">
        <v>0</v>
      </c>
      <c r="T506" s="712">
        <v>0</v>
      </c>
      <c r="U506" s="712">
        <v>0</v>
      </c>
      <c r="V506" s="712">
        <v>0</v>
      </c>
      <c r="W506" s="712">
        <v>0</v>
      </c>
      <c r="X506" s="712">
        <v>0</v>
      </c>
      <c r="Y506" s="712">
        <v>0</v>
      </c>
      <c r="Z506" s="712">
        <v>0</v>
      </c>
      <c r="AA506" s="712">
        <v>0</v>
      </c>
      <c r="AB506" s="712">
        <v>0</v>
      </c>
      <c r="AC506" s="712">
        <v>0</v>
      </c>
      <c r="AD506" s="712">
        <v>0</v>
      </c>
      <c r="AE506" s="712">
        <v>0</v>
      </c>
      <c r="AF506" s="712">
        <v>0</v>
      </c>
      <c r="AG506" s="712">
        <v>0</v>
      </c>
      <c r="AH506" s="712">
        <v>0</v>
      </c>
      <c r="AI506" s="712">
        <v>0</v>
      </c>
      <c r="AJ506" s="712">
        <v>0</v>
      </c>
      <c r="AK506" s="712">
        <v>0</v>
      </c>
      <c r="AL506" s="712">
        <v>0</v>
      </c>
      <c r="AM506" s="712">
        <v>0</v>
      </c>
      <c r="AN506" s="712">
        <v>0</v>
      </c>
      <c r="AO506" s="712">
        <v>0</v>
      </c>
      <c r="AP506" s="712">
        <v>0</v>
      </c>
      <c r="AQ506" s="712">
        <v>0</v>
      </c>
      <c r="AR506" s="712">
        <v>0</v>
      </c>
      <c r="AS506" s="712">
        <v>0</v>
      </c>
      <c r="AT506">
        <v>246557412</v>
      </c>
      <c r="AU506" s="615"/>
      <c r="AV506" s="615"/>
      <c r="AW506" s="615"/>
      <c r="AX506" s="615"/>
      <c r="AY506" s="615"/>
      <c r="AZ506" s="615"/>
      <c r="BA506" s="615"/>
      <c r="BB506" s="615"/>
      <c r="BC506" s="615"/>
      <c r="BD506" s="615"/>
      <c r="BE506" s="615"/>
      <c r="BF506" s="615"/>
      <c r="BG506" s="615"/>
      <c r="BH506" s="615"/>
      <c r="BI506" s="615"/>
      <c r="BJ506" s="615"/>
      <c r="BK506" s="615"/>
      <c r="BL506" s="615"/>
      <c r="BM506" s="615"/>
      <c r="BN506" s="615"/>
      <c r="BO506" s="615"/>
      <c r="BP506" s="615"/>
      <c r="BQ506" s="615"/>
      <c r="BR506" s="615"/>
      <c r="BS506" s="615"/>
      <c r="BT506" s="615"/>
      <c r="BU506" s="615"/>
      <c r="BV506" s="615"/>
      <c r="BW506" s="615"/>
      <c r="BX506" s="607"/>
    </row>
    <row r="507" spans="1:76" ht="25.5" x14ac:dyDescent="0.2">
      <c r="A507" s="839"/>
      <c r="B507" s="713" t="s">
        <v>1119</v>
      </c>
      <c r="C507" s="713" t="s">
        <v>3530</v>
      </c>
      <c r="D507" s="712">
        <v>0</v>
      </c>
      <c r="E507" s="712">
        <v>0</v>
      </c>
      <c r="F507" s="712">
        <v>0</v>
      </c>
      <c r="G507" s="712">
        <v>0</v>
      </c>
      <c r="H507" s="712">
        <v>0</v>
      </c>
      <c r="I507" s="712">
        <v>0</v>
      </c>
      <c r="J507" s="712">
        <v>0</v>
      </c>
      <c r="K507" s="712">
        <v>0</v>
      </c>
      <c r="L507" s="712">
        <v>0</v>
      </c>
      <c r="M507" s="712">
        <v>0</v>
      </c>
      <c r="N507" s="712">
        <v>0</v>
      </c>
      <c r="O507" s="712">
        <v>0</v>
      </c>
      <c r="P507" s="712">
        <v>0</v>
      </c>
      <c r="Q507" s="712">
        <v>0</v>
      </c>
      <c r="R507" s="712">
        <v>221525500</v>
      </c>
      <c r="S507" s="712">
        <v>0</v>
      </c>
      <c r="T507" s="712">
        <v>0</v>
      </c>
      <c r="U507" s="712">
        <v>0</v>
      </c>
      <c r="V507" s="712">
        <v>0</v>
      </c>
      <c r="W507" s="712">
        <v>0</v>
      </c>
      <c r="X507" s="712">
        <v>0</v>
      </c>
      <c r="Y507" s="712">
        <v>0</v>
      </c>
      <c r="Z507" s="712">
        <v>0</v>
      </c>
      <c r="AA507" s="712">
        <v>0</v>
      </c>
      <c r="AB507" s="712">
        <v>0</v>
      </c>
      <c r="AC507" s="712">
        <v>0</v>
      </c>
      <c r="AD507" s="712">
        <v>0</v>
      </c>
      <c r="AE507" s="712">
        <v>0</v>
      </c>
      <c r="AF507" s="712">
        <v>0</v>
      </c>
      <c r="AG507" s="712">
        <v>0</v>
      </c>
      <c r="AH507" s="712">
        <v>0</v>
      </c>
      <c r="AI507" s="712">
        <v>0</v>
      </c>
      <c r="AJ507" s="712">
        <v>0</v>
      </c>
      <c r="AK507" s="712">
        <v>0</v>
      </c>
      <c r="AL507" s="712">
        <v>0</v>
      </c>
      <c r="AM507" s="712">
        <v>0</v>
      </c>
      <c r="AN507" s="712">
        <v>0</v>
      </c>
      <c r="AO507" s="712">
        <v>0</v>
      </c>
      <c r="AP507" s="712">
        <v>0</v>
      </c>
      <c r="AQ507" s="712">
        <v>0</v>
      </c>
      <c r="AR507" s="712">
        <v>0</v>
      </c>
      <c r="AS507" s="712">
        <v>0</v>
      </c>
      <c r="AT507">
        <v>171525500</v>
      </c>
      <c r="AU507" s="615"/>
      <c r="AV507" s="615"/>
      <c r="AW507" s="615"/>
      <c r="AX507" s="615"/>
      <c r="AY507" s="615"/>
      <c r="AZ507" s="615"/>
      <c r="BA507" s="615"/>
      <c r="BB507" s="615"/>
      <c r="BC507" s="615"/>
      <c r="BD507" s="615"/>
      <c r="BE507" s="615"/>
      <c r="BF507" s="615"/>
      <c r="BG507" s="615"/>
      <c r="BH507" s="615"/>
      <c r="BI507" s="615"/>
      <c r="BJ507" s="615"/>
      <c r="BK507" s="615"/>
      <c r="BL507" s="615"/>
      <c r="BM507" s="615"/>
      <c r="BN507" s="615"/>
      <c r="BO507" s="615"/>
      <c r="BP507" s="615"/>
      <c r="BQ507" s="615"/>
      <c r="BR507" s="615"/>
      <c r="BS507" s="615"/>
      <c r="BT507" s="615"/>
      <c r="BU507" s="615"/>
      <c r="BV507" s="615"/>
      <c r="BW507" s="615"/>
      <c r="BX507" s="607"/>
    </row>
    <row r="508" spans="1:76" ht="25.5" x14ac:dyDescent="0.2">
      <c r="A508" s="839"/>
      <c r="B508" s="713" t="s">
        <v>1195</v>
      </c>
      <c r="C508" s="713" t="s">
        <v>3548</v>
      </c>
      <c r="D508" s="712">
        <v>0</v>
      </c>
      <c r="E508" s="712">
        <v>0</v>
      </c>
      <c r="F508" s="712">
        <v>0</v>
      </c>
      <c r="G508" s="712">
        <v>0</v>
      </c>
      <c r="H508" s="712">
        <v>0</v>
      </c>
      <c r="I508" s="712">
        <v>0</v>
      </c>
      <c r="J508" s="712">
        <v>0</v>
      </c>
      <c r="K508" s="712">
        <v>0</v>
      </c>
      <c r="L508" s="712">
        <v>0</v>
      </c>
      <c r="M508" s="712">
        <v>0</v>
      </c>
      <c r="N508" s="712">
        <v>0</v>
      </c>
      <c r="O508" s="712">
        <v>0</v>
      </c>
      <c r="P508" s="712">
        <v>0</v>
      </c>
      <c r="Q508" s="712">
        <v>0</v>
      </c>
      <c r="R508" s="712">
        <v>162000000</v>
      </c>
      <c r="S508" s="712">
        <v>0</v>
      </c>
      <c r="T508" s="712">
        <v>0</v>
      </c>
      <c r="U508" s="712">
        <v>0</v>
      </c>
      <c r="V508" s="712">
        <v>0</v>
      </c>
      <c r="W508" s="712">
        <v>0</v>
      </c>
      <c r="X508" s="712">
        <v>0</v>
      </c>
      <c r="Y508" s="712">
        <v>0</v>
      </c>
      <c r="Z508" s="712">
        <v>0</v>
      </c>
      <c r="AA508" s="712">
        <v>0</v>
      </c>
      <c r="AB508" s="712">
        <v>0</v>
      </c>
      <c r="AC508" s="712">
        <v>0</v>
      </c>
      <c r="AD508" s="712">
        <v>0</v>
      </c>
      <c r="AE508" s="712">
        <v>0</v>
      </c>
      <c r="AF508" s="712">
        <v>0</v>
      </c>
      <c r="AG508" s="712">
        <v>0</v>
      </c>
      <c r="AH508" s="712">
        <v>0</v>
      </c>
      <c r="AI508" s="712">
        <v>0</v>
      </c>
      <c r="AJ508" s="712">
        <v>0</v>
      </c>
      <c r="AK508" s="712">
        <v>0</v>
      </c>
      <c r="AL508" s="712">
        <v>0</v>
      </c>
      <c r="AM508" s="712">
        <v>0</v>
      </c>
      <c r="AN508" s="712">
        <v>0</v>
      </c>
      <c r="AO508" s="712">
        <v>0</v>
      </c>
      <c r="AP508" s="712">
        <v>0</v>
      </c>
      <c r="AQ508" s="712">
        <v>0</v>
      </c>
      <c r="AR508" s="712">
        <v>0</v>
      </c>
      <c r="AS508" s="712">
        <v>0</v>
      </c>
      <c r="AT508">
        <v>162000000</v>
      </c>
      <c r="AU508" s="615"/>
      <c r="AV508" s="615"/>
      <c r="AW508" s="615"/>
      <c r="AX508" s="615"/>
      <c r="AY508" s="615"/>
      <c r="AZ508" s="615"/>
      <c r="BA508" s="615"/>
      <c r="BB508" s="615"/>
      <c r="BC508" s="615"/>
      <c r="BD508" s="615"/>
      <c r="BE508" s="615"/>
      <c r="BF508" s="615"/>
      <c r="BG508" s="615"/>
      <c r="BH508" s="615"/>
      <c r="BI508" s="615"/>
      <c r="BJ508" s="615"/>
      <c r="BK508" s="615"/>
      <c r="BL508" s="615"/>
      <c r="BM508" s="615"/>
      <c r="BN508" s="615"/>
      <c r="BO508" s="615"/>
      <c r="BP508" s="615"/>
      <c r="BQ508" s="615"/>
      <c r="BR508" s="615"/>
      <c r="BS508" s="615"/>
      <c r="BT508" s="615"/>
      <c r="BU508" s="615"/>
      <c r="BV508" s="615"/>
      <c r="BW508" s="615"/>
      <c r="BX508" s="607"/>
    </row>
    <row r="509" spans="1:76" ht="25.5" x14ac:dyDescent="0.2">
      <c r="A509" s="839"/>
      <c r="B509" s="713" t="s">
        <v>3369</v>
      </c>
      <c r="C509" s="713" t="s">
        <v>3600</v>
      </c>
      <c r="D509" s="712">
        <v>0</v>
      </c>
      <c r="E509" s="712">
        <v>0</v>
      </c>
      <c r="F509" s="712">
        <v>0</v>
      </c>
      <c r="G509" s="712">
        <v>0</v>
      </c>
      <c r="H509" s="712">
        <v>0</v>
      </c>
      <c r="I509" s="712">
        <v>0</v>
      </c>
      <c r="J509" s="712">
        <v>0</v>
      </c>
      <c r="K509" s="712">
        <v>0</v>
      </c>
      <c r="L509" s="712">
        <v>0</v>
      </c>
      <c r="M509" s="712">
        <v>0</v>
      </c>
      <c r="N509" s="712">
        <v>0</v>
      </c>
      <c r="O509" s="712">
        <v>0</v>
      </c>
      <c r="P509" s="712">
        <v>0</v>
      </c>
      <c r="Q509" s="712">
        <v>0</v>
      </c>
      <c r="R509" s="712">
        <v>0</v>
      </c>
      <c r="S509" s="712">
        <v>0</v>
      </c>
      <c r="T509" s="712">
        <v>0</v>
      </c>
      <c r="U509" s="712">
        <v>0</v>
      </c>
      <c r="V509" s="712">
        <v>0</v>
      </c>
      <c r="W509" s="712">
        <v>0</v>
      </c>
      <c r="X509" s="712">
        <v>0</v>
      </c>
      <c r="Y509" s="712">
        <v>444478005</v>
      </c>
      <c r="Z509" s="712">
        <v>0</v>
      </c>
      <c r="AA509" s="712">
        <v>0</v>
      </c>
      <c r="AB509" s="712">
        <v>0</v>
      </c>
      <c r="AC509" s="712">
        <v>0</v>
      </c>
      <c r="AD509" s="712">
        <v>0</v>
      </c>
      <c r="AE509" s="712">
        <v>0</v>
      </c>
      <c r="AF509" s="712">
        <v>0</v>
      </c>
      <c r="AG509" s="712">
        <v>0</v>
      </c>
      <c r="AH509" s="712">
        <v>0</v>
      </c>
      <c r="AI509" s="712">
        <v>0</v>
      </c>
      <c r="AJ509" s="712">
        <v>0</v>
      </c>
      <c r="AK509" s="712">
        <v>0</v>
      </c>
      <c r="AL509" s="712">
        <v>0</v>
      </c>
      <c r="AM509" s="712">
        <v>0</v>
      </c>
      <c r="AN509" s="712">
        <v>0</v>
      </c>
      <c r="AO509" s="712">
        <v>0</v>
      </c>
      <c r="AP509" s="712">
        <v>0</v>
      </c>
      <c r="AQ509" s="712">
        <v>0</v>
      </c>
      <c r="AR509" s="712">
        <v>0</v>
      </c>
      <c r="AS509" s="712">
        <v>0</v>
      </c>
      <c r="AT509">
        <v>444478005</v>
      </c>
      <c r="AU509" s="615"/>
      <c r="AV509" s="615"/>
      <c r="AW509" s="615"/>
      <c r="AX509" s="615"/>
      <c r="AY509" s="615"/>
      <c r="AZ509" s="615"/>
      <c r="BA509" s="615"/>
      <c r="BB509" s="615"/>
      <c r="BC509" s="615"/>
      <c r="BD509" s="615"/>
      <c r="BE509" s="615"/>
      <c r="BF509" s="615"/>
      <c r="BG509" s="615"/>
      <c r="BH509" s="615"/>
      <c r="BI509" s="615"/>
      <c r="BJ509" s="615"/>
      <c r="BK509" s="615"/>
      <c r="BL509" s="615"/>
      <c r="BM509" s="615"/>
      <c r="BN509" s="615"/>
      <c r="BO509" s="615"/>
      <c r="BP509" s="615"/>
      <c r="BQ509" s="615"/>
      <c r="BR509" s="615"/>
      <c r="BS509" s="615"/>
      <c r="BT509" s="615"/>
      <c r="BU509" s="615"/>
      <c r="BV509" s="615"/>
      <c r="BW509" s="615"/>
      <c r="BX509" s="607"/>
    </row>
    <row r="510" spans="1:76" ht="25.5" x14ac:dyDescent="0.2">
      <c r="A510" s="838" t="s">
        <v>4464</v>
      </c>
      <c r="B510" s="713" t="s">
        <v>2292</v>
      </c>
      <c r="C510" s="713" t="s">
        <v>3643</v>
      </c>
      <c r="D510" s="712">
        <v>0</v>
      </c>
      <c r="E510" s="712">
        <v>0</v>
      </c>
      <c r="F510" s="712">
        <v>0</v>
      </c>
      <c r="G510" s="712">
        <v>0</v>
      </c>
      <c r="H510" s="712">
        <v>0</v>
      </c>
      <c r="I510" s="712">
        <v>0</v>
      </c>
      <c r="J510" s="712">
        <v>0</v>
      </c>
      <c r="K510" s="712">
        <v>0</v>
      </c>
      <c r="L510" s="712">
        <v>0</v>
      </c>
      <c r="M510" s="712">
        <v>0</v>
      </c>
      <c r="N510" s="712">
        <v>0</v>
      </c>
      <c r="O510" s="712">
        <v>0</v>
      </c>
      <c r="P510" s="712">
        <v>0</v>
      </c>
      <c r="Q510" s="712">
        <v>0</v>
      </c>
      <c r="R510" s="712">
        <v>0</v>
      </c>
      <c r="S510" s="712">
        <v>4932800</v>
      </c>
      <c r="T510" s="712">
        <v>7466400</v>
      </c>
      <c r="U510" s="712">
        <v>7466400</v>
      </c>
      <c r="V510" s="712">
        <v>7466405</v>
      </c>
      <c r="W510" s="712">
        <v>322922145</v>
      </c>
      <c r="X510" s="712">
        <v>0</v>
      </c>
      <c r="Y510" s="712">
        <v>0</v>
      </c>
      <c r="Z510" s="712">
        <v>0</v>
      </c>
      <c r="AA510" s="712">
        <v>0</v>
      </c>
      <c r="AB510" s="712">
        <v>0</v>
      </c>
      <c r="AC510" s="712">
        <v>0</v>
      </c>
      <c r="AD510" s="712">
        <v>0</v>
      </c>
      <c r="AE510" s="712">
        <v>0</v>
      </c>
      <c r="AF510" s="712">
        <v>0</v>
      </c>
      <c r="AG510" s="712">
        <v>0</v>
      </c>
      <c r="AH510" s="712">
        <v>0</v>
      </c>
      <c r="AI510" s="712">
        <v>0</v>
      </c>
      <c r="AJ510" s="712">
        <v>0</v>
      </c>
      <c r="AK510" s="712">
        <v>0</v>
      </c>
      <c r="AL510" s="712">
        <v>0</v>
      </c>
      <c r="AM510" s="712">
        <v>0</v>
      </c>
      <c r="AN510" s="712">
        <v>0</v>
      </c>
      <c r="AO510" s="712">
        <v>0</v>
      </c>
      <c r="AP510" s="712">
        <v>0</v>
      </c>
      <c r="AQ510" s="712">
        <v>0</v>
      </c>
      <c r="AR510" s="712">
        <v>0</v>
      </c>
      <c r="AS510" s="712">
        <v>0</v>
      </c>
      <c r="AT510">
        <v>350254150</v>
      </c>
      <c r="AU510" s="615"/>
      <c r="AV510" s="615"/>
      <c r="AW510" s="615"/>
      <c r="AX510" s="615"/>
      <c r="AY510" s="615"/>
      <c r="AZ510" s="615"/>
      <c r="BA510" s="615"/>
      <c r="BB510" s="615"/>
      <c r="BC510" s="615"/>
      <c r="BD510" s="615"/>
      <c r="BE510" s="615"/>
      <c r="BF510" s="615"/>
      <c r="BG510" s="615"/>
      <c r="BH510" s="615"/>
      <c r="BI510" s="615"/>
      <c r="BJ510" s="615"/>
      <c r="BK510" s="615"/>
      <c r="BL510" s="615"/>
      <c r="BM510" s="615"/>
      <c r="BN510" s="615"/>
      <c r="BO510" s="615"/>
      <c r="BP510" s="615"/>
      <c r="BQ510" s="615"/>
      <c r="BR510" s="615"/>
      <c r="BS510" s="615"/>
      <c r="BT510" s="615"/>
      <c r="BU510" s="615"/>
      <c r="BV510" s="615"/>
      <c r="BW510" s="615"/>
      <c r="BX510" s="607"/>
    </row>
    <row r="511" spans="1:76" ht="25.5" x14ac:dyDescent="0.2">
      <c r="A511" s="839"/>
      <c r="B511" s="713" t="s">
        <v>1616</v>
      </c>
      <c r="C511" s="713" t="s">
        <v>3702</v>
      </c>
      <c r="D511" s="712">
        <v>0</v>
      </c>
      <c r="E511" s="712">
        <v>0</v>
      </c>
      <c r="F511" s="712">
        <v>0</v>
      </c>
      <c r="G511" s="712">
        <v>0</v>
      </c>
      <c r="H511" s="712">
        <v>0</v>
      </c>
      <c r="I511" s="712">
        <v>0</v>
      </c>
      <c r="J511" s="712">
        <v>0</v>
      </c>
      <c r="K511" s="712">
        <v>0</v>
      </c>
      <c r="L511" s="712">
        <v>0</v>
      </c>
      <c r="M511" s="712">
        <v>0</v>
      </c>
      <c r="N511" s="712">
        <v>0</v>
      </c>
      <c r="O511" s="712">
        <v>0</v>
      </c>
      <c r="P511" s="712">
        <v>0</v>
      </c>
      <c r="Q511" s="712">
        <v>0</v>
      </c>
      <c r="R511" s="712">
        <v>0</v>
      </c>
      <c r="S511" s="712">
        <v>1658279</v>
      </c>
      <c r="T511" s="712">
        <v>12118943</v>
      </c>
      <c r="U511" s="712">
        <v>329539350</v>
      </c>
      <c r="V511" s="712">
        <v>0</v>
      </c>
      <c r="W511" s="712">
        <v>0</v>
      </c>
      <c r="X511" s="712">
        <v>0</v>
      </c>
      <c r="Y511" s="712">
        <v>0</v>
      </c>
      <c r="Z511" s="712">
        <v>0</v>
      </c>
      <c r="AA511" s="712">
        <v>0</v>
      </c>
      <c r="AB511" s="712">
        <v>0</v>
      </c>
      <c r="AC511" s="712">
        <v>0</v>
      </c>
      <c r="AD511" s="712">
        <v>0</v>
      </c>
      <c r="AE511" s="712">
        <v>0</v>
      </c>
      <c r="AF511" s="712">
        <v>0</v>
      </c>
      <c r="AG511" s="712">
        <v>0</v>
      </c>
      <c r="AH511" s="712">
        <v>0</v>
      </c>
      <c r="AI511" s="712">
        <v>0</v>
      </c>
      <c r="AJ511" s="712">
        <v>0</v>
      </c>
      <c r="AK511" s="712">
        <v>0</v>
      </c>
      <c r="AL511" s="712">
        <v>0</v>
      </c>
      <c r="AM511" s="712">
        <v>0</v>
      </c>
      <c r="AN511" s="712">
        <v>0</v>
      </c>
      <c r="AO511" s="712">
        <v>0</v>
      </c>
      <c r="AP511" s="712">
        <v>0</v>
      </c>
      <c r="AQ511" s="712">
        <v>0</v>
      </c>
      <c r="AR511" s="712">
        <v>0</v>
      </c>
      <c r="AS511" s="712">
        <v>0</v>
      </c>
      <c r="AT511">
        <v>343316572</v>
      </c>
      <c r="AU511" s="615"/>
      <c r="AV511" s="615"/>
      <c r="AW511" s="615"/>
      <c r="AX511" s="615"/>
      <c r="AY511" s="615"/>
      <c r="AZ511" s="615"/>
      <c r="BA511" s="615"/>
      <c r="BB511" s="615"/>
      <c r="BC511" s="615"/>
      <c r="BD511" s="615"/>
      <c r="BE511" s="615"/>
      <c r="BF511" s="615"/>
      <c r="BG511" s="615"/>
      <c r="BH511" s="615"/>
      <c r="BI511" s="615"/>
      <c r="BJ511" s="615"/>
      <c r="BK511" s="615"/>
      <c r="BL511" s="615"/>
      <c r="BM511" s="615"/>
      <c r="BN511" s="615"/>
      <c r="BO511" s="615"/>
      <c r="BP511" s="615"/>
      <c r="BQ511" s="615"/>
      <c r="BR511" s="615"/>
      <c r="BS511" s="615"/>
      <c r="BT511" s="615"/>
      <c r="BU511" s="615"/>
      <c r="BV511" s="615"/>
      <c r="BW511" s="615"/>
      <c r="BX511" s="607"/>
    </row>
    <row r="512" spans="1:76" ht="25.5" x14ac:dyDescent="0.2">
      <c r="A512" s="839"/>
      <c r="B512" s="713" t="s">
        <v>3651</v>
      </c>
      <c r="C512" s="713" t="s">
        <v>3650</v>
      </c>
      <c r="D512" s="712">
        <v>0</v>
      </c>
      <c r="E512" s="712">
        <v>0</v>
      </c>
      <c r="F512" s="712">
        <v>0</v>
      </c>
      <c r="G512" s="712">
        <v>0</v>
      </c>
      <c r="H512" s="712">
        <v>0</v>
      </c>
      <c r="I512" s="712">
        <v>0</v>
      </c>
      <c r="J512" s="712">
        <v>0</v>
      </c>
      <c r="K512" s="712">
        <v>0</v>
      </c>
      <c r="L512" s="712">
        <v>0</v>
      </c>
      <c r="M512" s="712">
        <v>0</v>
      </c>
      <c r="N512" s="712">
        <v>0</v>
      </c>
      <c r="O512" s="712">
        <v>0</v>
      </c>
      <c r="P512" s="712">
        <v>6390923</v>
      </c>
      <c r="Q512" s="712">
        <v>7376017</v>
      </c>
      <c r="R512" s="712">
        <v>7376017</v>
      </c>
      <c r="S512" s="712">
        <v>7376017</v>
      </c>
      <c r="T512" s="712">
        <v>7376017</v>
      </c>
      <c r="U512" s="712">
        <v>7376018</v>
      </c>
      <c r="V512" s="712">
        <v>59008136</v>
      </c>
      <c r="W512" s="712">
        <v>472065091</v>
      </c>
      <c r="X512" s="712">
        <v>0</v>
      </c>
      <c r="Y512" s="712">
        <v>0</v>
      </c>
      <c r="Z512" s="712">
        <v>0</v>
      </c>
      <c r="AA512" s="712">
        <v>0</v>
      </c>
      <c r="AB512" s="712">
        <v>0</v>
      </c>
      <c r="AC512" s="712">
        <v>0</v>
      </c>
      <c r="AD512" s="712">
        <v>0</v>
      </c>
      <c r="AE512" s="712">
        <v>0</v>
      </c>
      <c r="AF512" s="712">
        <v>0</v>
      </c>
      <c r="AG512" s="712">
        <v>0</v>
      </c>
      <c r="AH512" s="712">
        <v>0</v>
      </c>
      <c r="AI512" s="712">
        <v>0</v>
      </c>
      <c r="AJ512" s="712">
        <v>0</v>
      </c>
      <c r="AK512" s="712">
        <v>0</v>
      </c>
      <c r="AL512" s="712">
        <v>0</v>
      </c>
      <c r="AM512" s="712">
        <v>0</v>
      </c>
      <c r="AN512" s="712">
        <v>0</v>
      </c>
      <c r="AO512" s="712">
        <v>0</v>
      </c>
      <c r="AP512" s="712">
        <v>0</v>
      </c>
      <c r="AQ512" s="712">
        <v>0</v>
      </c>
      <c r="AR512" s="712">
        <v>0</v>
      </c>
      <c r="AS512" s="712">
        <v>0</v>
      </c>
      <c r="AT512">
        <v>574344236</v>
      </c>
      <c r="AU512" s="603"/>
      <c r="AV512" s="603"/>
      <c r="AW512" s="603"/>
      <c r="AX512" s="603"/>
      <c r="AY512" s="603"/>
      <c r="AZ512" s="603"/>
      <c r="BA512" s="603"/>
      <c r="BB512" s="603"/>
      <c r="BC512" s="603"/>
      <c r="BD512" s="603"/>
      <c r="BE512" s="603"/>
      <c r="BF512" s="603"/>
      <c r="BG512" s="603"/>
      <c r="BH512" s="603"/>
      <c r="BI512" s="603"/>
      <c r="BJ512" s="603"/>
      <c r="BK512" s="603"/>
      <c r="BL512" s="603"/>
      <c r="BM512" s="603"/>
      <c r="BN512" s="603"/>
      <c r="BO512" s="603"/>
      <c r="BP512" s="603"/>
      <c r="BQ512" s="603"/>
      <c r="BR512" s="603"/>
      <c r="BS512" s="603"/>
      <c r="BT512" s="603"/>
      <c r="BU512" s="603"/>
      <c r="BV512" s="603"/>
      <c r="BW512" s="603"/>
      <c r="BX512" s="603"/>
    </row>
    <row r="513" spans="1:76" ht="25.5" x14ac:dyDescent="0.2">
      <c r="A513" s="839"/>
      <c r="B513" s="713" t="s">
        <v>1614</v>
      </c>
      <c r="C513" s="713" t="s">
        <v>3662</v>
      </c>
      <c r="D513" s="712">
        <v>0</v>
      </c>
      <c r="E513" s="712">
        <v>0</v>
      </c>
      <c r="F513" s="712">
        <v>0</v>
      </c>
      <c r="G513" s="712">
        <v>0</v>
      </c>
      <c r="H513" s="712">
        <v>0</v>
      </c>
      <c r="I513" s="712">
        <v>0</v>
      </c>
      <c r="J513" s="712">
        <v>0</v>
      </c>
      <c r="K513" s="712">
        <v>0</v>
      </c>
      <c r="L513" s="712">
        <v>0</v>
      </c>
      <c r="M513" s="712">
        <v>0</v>
      </c>
      <c r="N513" s="712">
        <v>0</v>
      </c>
      <c r="O513" s="712">
        <v>0</v>
      </c>
      <c r="P513" s="712">
        <v>0</v>
      </c>
      <c r="Q513" s="712">
        <v>0</v>
      </c>
      <c r="R513" s="712">
        <v>0</v>
      </c>
      <c r="S513" s="712">
        <v>4590560</v>
      </c>
      <c r="T513" s="712">
        <v>4590560</v>
      </c>
      <c r="U513" s="712">
        <v>277116000</v>
      </c>
      <c r="V513" s="712">
        <v>0</v>
      </c>
      <c r="W513" s="712">
        <v>0</v>
      </c>
      <c r="X513" s="712">
        <v>0</v>
      </c>
      <c r="Y513" s="712">
        <v>0</v>
      </c>
      <c r="Z513" s="712">
        <v>0</v>
      </c>
      <c r="AA513" s="712">
        <v>0</v>
      </c>
      <c r="AB513" s="712">
        <v>0</v>
      </c>
      <c r="AC513" s="712">
        <v>0</v>
      </c>
      <c r="AD513" s="712">
        <v>0</v>
      </c>
      <c r="AE513" s="712">
        <v>0</v>
      </c>
      <c r="AF513" s="712">
        <v>0</v>
      </c>
      <c r="AG513" s="712">
        <v>0</v>
      </c>
      <c r="AH513" s="712">
        <v>0</v>
      </c>
      <c r="AI513" s="712">
        <v>0</v>
      </c>
      <c r="AJ513" s="712">
        <v>0</v>
      </c>
      <c r="AK513" s="712">
        <v>0</v>
      </c>
      <c r="AL513" s="712">
        <v>0</v>
      </c>
      <c r="AM513" s="712">
        <v>0</v>
      </c>
      <c r="AN513" s="712">
        <v>0</v>
      </c>
      <c r="AO513" s="712">
        <v>0</v>
      </c>
      <c r="AP513" s="712">
        <v>0</v>
      </c>
      <c r="AQ513" s="712">
        <v>0</v>
      </c>
      <c r="AR513" s="712">
        <v>0</v>
      </c>
      <c r="AS513" s="712">
        <v>0</v>
      </c>
      <c r="AT513">
        <v>286297120</v>
      </c>
      <c r="AU513" s="609"/>
      <c r="AV513" s="609"/>
      <c r="AW513" s="609"/>
      <c r="AX513" s="609"/>
      <c r="AY513" s="609"/>
      <c r="AZ513" s="615"/>
      <c r="BA513" s="615"/>
      <c r="BB513" s="615"/>
      <c r="BC513" s="615"/>
      <c r="BD513" s="615"/>
      <c r="BE513" s="615"/>
      <c r="BF513" s="615"/>
      <c r="BG513" s="615"/>
      <c r="BH513" s="615"/>
      <c r="BI513" s="615"/>
      <c r="BJ513" s="615"/>
      <c r="BK513" s="615"/>
      <c r="BL513" s="615"/>
      <c r="BM513" s="615"/>
      <c r="BN513" s="615"/>
      <c r="BO513" s="615"/>
      <c r="BP513" s="615"/>
      <c r="BQ513" s="615"/>
      <c r="BR513" s="615"/>
      <c r="BS513" s="615"/>
      <c r="BT513" s="615"/>
      <c r="BU513" s="615"/>
      <c r="BV513" s="615"/>
      <c r="BW513" s="615"/>
      <c r="BX513" s="607"/>
    </row>
    <row r="514" spans="1:76" ht="25.5" x14ac:dyDescent="0.2">
      <c r="A514" s="839"/>
      <c r="B514" s="713" t="s">
        <v>1247</v>
      </c>
      <c r="C514" s="713" t="s">
        <v>3682</v>
      </c>
      <c r="D514" s="712">
        <v>0</v>
      </c>
      <c r="E514" s="712">
        <v>0</v>
      </c>
      <c r="F514" s="712">
        <v>0</v>
      </c>
      <c r="G514" s="712">
        <v>0</v>
      </c>
      <c r="H514" s="712">
        <v>0</v>
      </c>
      <c r="I514" s="712">
        <v>0</v>
      </c>
      <c r="J514" s="712">
        <v>0</v>
      </c>
      <c r="K514" s="712">
        <v>0</v>
      </c>
      <c r="L514" s="712">
        <v>0</v>
      </c>
      <c r="M514" s="712">
        <v>0</v>
      </c>
      <c r="N514" s="712">
        <v>0</v>
      </c>
      <c r="O514" s="712">
        <v>0</v>
      </c>
      <c r="P514" s="712">
        <v>0</v>
      </c>
      <c r="Q514" s="712">
        <v>0</v>
      </c>
      <c r="R514" s="712">
        <v>0</v>
      </c>
      <c r="S514" s="712">
        <v>0</v>
      </c>
      <c r="T514" s="712">
        <v>246638732</v>
      </c>
      <c r="U514" s="712">
        <v>0</v>
      </c>
      <c r="V514" s="712">
        <v>0</v>
      </c>
      <c r="W514" s="712">
        <v>0</v>
      </c>
      <c r="X514" s="712">
        <v>0</v>
      </c>
      <c r="Y514" s="712">
        <v>0</v>
      </c>
      <c r="Z514" s="712">
        <v>0</v>
      </c>
      <c r="AA514" s="712">
        <v>0</v>
      </c>
      <c r="AB514" s="712">
        <v>0</v>
      </c>
      <c r="AC514" s="712">
        <v>0</v>
      </c>
      <c r="AD514" s="712">
        <v>0</v>
      </c>
      <c r="AE514" s="712">
        <v>0</v>
      </c>
      <c r="AF514" s="712">
        <v>0</v>
      </c>
      <c r="AG514" s="712">
        <v>0</v>
      </c>
      <c r="AH514" s="712">
        <v>0</v>
      </c>
      <c r="AI514" s="712">
        <v>0</v>
      </c>
      <c r="AJ514" s="712">
        <v>0</v>
      </c>
      <c r="AK514" s="712">
        <v>0</v>
      </c>
      <c r="AL514" s="712">
        <v>0</v>
      </c>
      <c r="AM514" s="712">
        <v>0</v>
      </c>
      <c r="AN514" s="712">
        <v>0</v>
      </c>
      <c r="AO514" s="712">
        <v>0</v>
      </c>
      <c r="AP514" s="712">
        <v>0</v>
      </c>
      <c r="AQ514" s="712">
        <v>0</v>
      </c>
      <c r="AR514" s="712">
        <v>0</v>
      </c>
      <c r="AS514" s="712">
        <v>0</v>
      </c>
      <c r="AT514">
        <v>246638732</v>
      </c>
      <c r="AU514" s="609"/>
      <c r="AV514" s="609"/>
      <c r="AW514" s="609"/>
      <c r="AX514" s="609"/>
      <c r="AY514" s="609"/>
      <c r="AZ514" s="615"/>
      <c r="BA514" s="615"/>
      <c r="BB514" s="615"/>
      <c r="BC514" s="615"/>
      <c r="BD514" s="615"/>
      <c r="BE514" s="615"/>
      <c r="BF514" s="615"/>
      <c r="BG514" s="615"/>
      <c r="BH514" s="615"/>
      <c r="BI514" s="615"/>
      <c r="BJ514" s="615"/>
      <c r="BK514" s="615"/>
      <c r="BL514" s="615"/>
      <c r="BM514" s="615"/>
      <c r="BN514" s="615"/>
      <c r="BO514" s="615"/>
      <c r="BP514" s="615"/>
      <c r="BQ514" s="615"/>
      <c r="BR514" s="615"/>
      <c r="BS514" s="615"/>
      <c r="BT514" s="615"/>
      <c r="BU514" s="615"/>
      <c r="BV514" s="615"/>
      <c r="BW514" s="615"/>
      <c r="BX514" s="607"/>
    </row>
    <row r="515" spans="1:76" ht="25.5" x14ac:dyDescent="0.2">
      <c r="A515" s="839"/>
      <c r="B515" s="713" t="s">
        <v>1532</v>
      </c>
      <c r="C515" s="713" t="s">
        <v>3687</v>
      </c>
      <c r="D515" s="712">
        <v>0</v>
      </c>
      <c r="E515" s="712">
        <v>0</v>
      </c>
      <c r="F515" s="712">
        <v>0</v>
      </c>
      <c r="G515" s="712">
        <v>0</v>
      </c>
      <c r="H515" s="712">
        <v>0</v>
      </c>
      <c r="I515" s="712">
        <v>0</v>
      </c>
      <c r="J515" s="712">
        <v>0</v>
      </c>
      <c r="K515" s="712">
        <v>0</v>
      </c>
      <c r="L515" s="712">
        <v>0</v>
      </c>
      <c r="M515" s="712">
        <v>0</v>
      </c>
      <c r="N515" s="712">
        <v>0</v>
      </c>
      <c r="O515" s="712">
        <v>0</v>
      </c>
      <c r="P515" s="712">
        <v>0</v>
      </c>
      <c r="Q515" s="712">
        <v>0</v>
      </c>
      <c r="R515" s="712">
        <v>6949512</v>
      </c>
      <c r="S515" s="712">
        <v>7000000</v>
      </c>
      <c r="T515" s="712">
        <v>12877905</v>
      </c>
      <c r="U515" s="712">
        <v>275166591</v>
      </c>
      <c r="V515" s="712">
        <v>0</v>
      </c>
      <c r="W515" s="712">
        <v>0</v>
      </c>
      <c r="X515" s="712">
        <v>0</v>
      </c>
      <c r="Y515" s="712">
        <v>0</v>
      </c>
      <c r="Z515" s="712">
        <v>0</v>
      </c>
      <c r="AA515" s="712">
        <v>0</v>
      </c>
      <c r="AB515" s="712">
        <v>0</v>
      </c>
      <c r="AC515" s="712">
        <v>0</v>
      </c>
      <c r="AD515" s="712">
        <v>0</v>
      </c>
      <c r="AE515" s="712">
        <v>0</v>
      </c>
      <c r="AF515" s="712">
        <v>0</v>
      </c>
      <c r="AG515" s="712">
        <v>0</v>
      </c>
      <c r="AH515" s="712">
        <v>0</v>
      </c>
      <c r="AI515" s="712">
        <v>0</v>
      </c>
      <c r="AJ515" s="712">
        <v>0</v>
      </c>
      <c r="AK515" s="712">
        <v>0</v>
      </c>
      <c r="AL515" s="712">
        <v>0</v>
      </c>
      <c r="AM515" s="712">
        <v>0</v>
      </c>
      <c r="AN515" s="712">
        <v>0</v>
      </c>
      <c r="AO515" s="712">
        <v>0</v>
      </c>
      <c r="AP515" s="712">
        <v>0</v>
      </c>
      <c r="AQ515" s="712">
        <v>0</v>
      </c>
      <c r="AR515" s="712">
        <v>0</v>
      </c>
      <c r="AS515" s="712">
        <v>0</v>
      </c>
      <c r="AT515">
        <v>301994008</v>
      </c>
      <c r="AU515" s="609"/>
      <c r="AV515" s="609"/>
      <c r="AW515" s="609"/>
      <c r="AX515" s="609"/>
      <c r="AY515" s="609"/>
      <c r="AZ515" s="615"/>
      <c r="BA515" s="615"/>
      <c r="BB515" s="615"/>
      <c r="BC515" s="615"/>
      <c r="BD515" s="615"/>
      <c r="BE515" s="615"/>
      <c r="BF515" s="615"/>
      <c r="BG515" s="615"/>
      <c r="BH515" s="615"/>
      <c r="BI515" s="615"/>
      <c r="BJ515" s="615"/>
      <c r="BK515" s="615"/>
      <c r="BL515" s="615"/>
      <c r="BM515" s="615"/>
      <c r="BN515" s="615"/>
      <c r="BO515" s="615"/>
      <c r="BP515" s="615"/>
      <c r="BQ515" s="615"/>
      <c r="BR515" s="615"/>
      <c r="BS515" s="615"/>
      <c r="BT515" s="615"/>
      <c r="BU515" s="615"/>
      <c r="BV515" s="615"/>
      <c r="BW515" s="615"/>
      <c r="BX515" s="607"/>
    </row>
    <row r="516" spans="1:76" ht="25.5" x14ac:dyDescent="0.2">
      <c r="A516" s="839"/>
      <c r="B516" s="713" t="s">
        <v>3227</v>
      </c>
      <c r="C516" s="713" t="s">
        <v>3648</v>
      </c>
      <c r="D516" s="712">
        <v>0</v>
      </c>
      <c r="E516" s="712">
        <v>0</v>
      </c>
      <c r="F516" s="712">
        <v>0</v>
      </c>
      <c r="G516" s="712">
        <v>0</v>
      </c>
      <c r="H516" s="712">
        <v>0</v>
      </c>
      <c r="I516" s="712">
        <v>0</v>
      </c>
      <c r="J516" s="712">
        <v>0</v>
      </c>
      <c r="K516" s="712">
        <v>0</v>
      </c>
      <c r="L516" s="712">
        <v>0</v>
      </c>
      <c r="M516" s="712">
        <v>0</v>
      </c>
      <c r="N516" s="712">
        <v>0</v>
      </c>
      <c r="O516" s="712">
        <v>0</v>
      </c>
      <c r="P516" s="712">
        <v>0</v>
      </c>
      <c r="Q516" s="712">
        <v>0</v>
      </c>
      <c r="R516" s="712">
        <v>0</v>
      </c>
      <c r="S516" s="712">
        <v>0</v>
      </c>
      <c r="T516" s="712">
        <v>12592888</v>
      </c>
      <c r="U516" s="712">
        <v>273784000</v>
      </c>
      <c r="V516" s="712">
        <v>0</v>
      </c>
      <c r="W516" s="712">
        <v>0</v>
      </c>
      <c r="X516" s="712">
        <v>0</v>
      </c>
      <c r="Y516" s="712">
        <v>0</v>
      </c>
      <c r="Z516" s="712">
        <v>0</v>
      </c>
      <c r="AA516" s="712">
        <v>0</v>
      </c>
      <c r="AB516" s="712">
        <v>0</v>
      </c>
      <c r="AC516" s="712">
        <v>0</v>
      </c>
      <c r="AD516" s="712">
        <v>0</v>
      </c>
      <c r="AE516" s="712">
        <v>0</v>
      </c>
      <c r="AF516" s="712">
        <v>0</v>
      </c>
      <c r="AG516" s="712">
        <v>0</v>
      </c>
      <c r="AH516" s="712">
        <v>0</v>
      </c>
      <c r="AI516" s="712">
        <v>0</v>
      </c>
      <c r="AJ516" s="712">
        <v>0</v>
      </c>
      <c r="AK516" s="712">
        <v>0</v>
      </c>
      <c r="AL516" s="712">
        <v>0</v>
      </c>
      <c r="AM516" s="712">
        <v>0</v>
      </c>
      <c r="AN516" s="712">
        <v>0</v>
      </c>
      <c r="AO516" s="712">
        <v>0</v>
      </c>
      <c r="AP516" s="712">
        <v>0</v>
      </c>
      <c r="AQ516" s="712">
        <v>0</v>
      </c>
      <c r="AR516" s="712">
        <v>0</v>
      </c>
      <c r="AS516" s="712">
        <v>0</v>
      </c>
      <c r="AT516">
        <v>286376888</v>
      </c>
      <c r="AU516" s="609"/>
      <c r="AV516" s="609"/>
      <c r="AW516" s="609"/>
      <c r="AX516" s="609"/>
      <c r="AY516" s="609"/>
      <c r="AZ516" s="615"/>
      <c r="BA516" s="615"/>
      <c r="BB516" s="615"/>
      <c r="BC516" s="615"/>
      <c r="BD516" s="615"/>
      <c r="BE516" s="615"/>
      <c r="BF516" s="615"/>
      <c r="BG516" s="615"/>
      <c r="BH516" s="615"/>
      <c r="BI516" s="615"/>
      <c r="BJ516" s="615"/>
      <c r="BK516" s="615"/>
      <c r="BL516" s="615"/>
      <c r="BM516" s="615"/>
      <c r="BN516" s="615"/>
      <c r="BO516" s="615"/>
      <c r="BP516" s="615"/>
      <c r="BQ516" s="615"/>
      <c r="BR516" s="615"/>
      <c r="BS516" s="615"/>
      <c r="BT516" s="615"/>
      <c r="BU516" s="615"/>
      <c r="BV516" s="615"/>
      <c r="BW516" s="615"/>
      <c r="BX516" s="607"/>
    </row>
    <row r="517" spans="1:76" ht="25.5" x14ac:dyDescent="0.2">
      <c r="A517" s="839"/>
      <c r="B517" s="713" t="s">
        <v>1576</v>
      </c>
      <c r="C517" s="713" t="s">
        <v>3660</v>
      </c>
      <c r="D517" s="712">
        <v>0</v>
      </c>
      <c r="E517" s="712">
        <v>0</v>
      </c>
      <c r="F517" s="712">
        <v>0</v>
      </c>
      <c r="G517" s="712">
        <v>0</v>
      </c>
      <c r="H517" s="712">
        <v>0</v>
      </c>
      <c r="I517" s="712">
        <v>0</v>
      </c>
      <c r="J517" s="712">
        <v>0</v>
      </c>
      <c r="K517" s="712">
        <v>0</v>
      </c>
      <c r="L517" s="712">
        <v>0</v>
      </c>
      <c r="M517" s="712">
        <v>0</v>
      </c>
      <c r="N517" s="712">
        <v>0</v>
      </c>
      <c r="O517" s="712">
        <v>0</v>
      </c>
      <c r="P517" s="712">
        <v>0</v>
      </c>
      <c r="Q517" s="712">
        <v>0</v>
      </c>
      <c r="R517" s="712">
        <v>0</v>
      </c>
      <c r="S517" s="712">
        <v>5015969</v>
      </c>
      <c r="T517" s="712">
        <v>5015969</v>
      </c>
      <c r="U517" s="712">
        <v>5015956</v>
      </c>
      <c r="V517" s="712">
        <v>325339350</v>
      </c>
      <c r="W517" s="712">
        <v>0</v>
      </c>
      <c r="X517" s="712">
        <v>0</v>
      </c>
      <c r="Y517" s="712">
        <v>0</v>
      </c>
      <c r="Z517" s="712">
        <v>0</v>
      </c>
      <c r="AA517" s="712">
        <v>0</v>
      </c>
      <c r="AB517" s="712">
        <v>0</v>
      </c>
      <c r="AC517" s="712">
        <v>0</v>
      </c>
      <c r="AD517" s="712">
        <v>0</v>
      </c>
      <c r="AE517" s="712">
        <v>0</v>
      </c>
      <c r="AF517" s="712">
        <v>0</v>
      </c>
      <c r="AG517" s="712">
        <v>0</v>
      </c>
      <c r="AH517" s="712">
        <v>0</v>
      </c>
      <c r="AI517" s="712">
        <v>0</v>
      </c>
      <c r="AJ517" s="712">
        <v>0</v>
      </c>
      <c r="AK517" s="712">
        <v>0</v>
      </c>
      <c r="AL517" s="712">
        <v>0</v>
      </c>
      <c r="AM517" s="712">
        <v>0</v>
      </c>
      <c r="AN517" s="712">
        <v>0</v>
      </c>
      <c r="AO517" s="712">
        <v>0</v>
      </c>
      <c r="AP517" s="712">
        <v>0</v>
      </c>
      <c r="AQ517" s="712">
        <v>0</v>
      </c>
      <c r="AR517" s="712">
        <v>0</v>
      </c>
      <c r="AS517" s="712">
        <v>0</v>
      </c>
      <c r="AT517">
        <v>340387244</v>
      </c>
      <c r="AU517" s="609"/>
      <c r="AV517" s="609"/>
      <c r="AW517" s="609"/>
      <c r="AX517" s="609"/>
      <c r="AY517" s="609"/>
      <c r="AZ517" s="615"/>
      <c r="BA517" s="615"/>
      <c r="BB517" s="615"/>
      <c r="BC517" s="615"/>
      <c r="BD517" s="615"/>
      <c r="BE517" s="615"/>
      <c r="BF517" s="615"/>
      <c r="BG517" s="615"/>
      <c r="BH517" s="615"/>
      <c r="BI517" s="615"/>
      <c r="BJ517" s="615"/>
      <c r="BK517" s="615"/>
      <c r="BL517" s="615"/>
      <c r="BM517" s="615"/>
      <c r="BN517" s="615"/>
      <c r="BO517" s="615"/>
      <c r="BP517" s="615"/>
      <c r="BQ517" s="615"/>
      <c r="BR517" s="615"/>
      <c r="BS517" s="615"/>
      <c r="BT517" s="615"/>
      <c r="BU517" s="615"/>
      <c r="BV517" s="615"/>
      <c r="BW517" s="615"/>
      <c r="BX517" s="607"/>
    </row>
    <row r="518" spans="1:76" ht="25.5" x14ac:dyDescent="0.2">
      <c r="A518" s="839"/>
      <c r="B518" s="713" t="s">
        <v>3012</v>
      </c>
      <c r="C518" s="713" t="s">
        <v>3645</v>
      </c>
      <c r="D518" s="712">
        <v>0</v>
      </c>
      <c r="E518" s="712">
        <v>0</v>
      </c>
      <c r="F518" s="712">
        <v>0</v>
      </c>
      <c r="G518" s="712">
        <v>0</v>
      </c>
      <c r="H518" s="712">
        <v>0</v>
      </c>
      <c r="I518" s="712">
        <v>0</v>
      </c>
      <c r="J518" s="712">
        <v>0</v>
      </c>
      <c r="K518" s="712">
        <v>0</v>
      </c>
      <c r="L518" s="712">
        <v>0</v>
      </c>
      <c r="M518" s="712">
        <v>0</v>
      </c>
      <c r="N518" s="712">
        <v>0</v>
      </c>
      <c r="O518" s="712">
        <v>0</v>
      </c>
      <c r="P518" s="712">
        <v>0</v>
      </c>
      <c r="Q518" s="712">
        <v>0</v>
      </c>
      <c r="R518" s="712">
        <v>0</v>
      </c>
      <c r="S518" s="712">
        <v>0</v>
      </c>
      <c r="T518" s="712">
        <v>0</v>
      </c>
      <c r="U518" s="712">
        <v>279156941</v>
      </c>
      <c r="V518" s="712">
        <v>0</v>
      </c>
      <c r="W518" s="712">
        <v>0</v>
      </c>
      <c r="X518" s="712">
        <v>0</v>
      </c>
      <c r="Y518" s="712">
        <v>0</v>
      </c>
      <c r="Z518" s="712">
        <v>0</v>
      </c>
      <c r="AA518" s="712">
        <v>0</v>
      </c>
      <c r="AB518" s="712">
        <v>0</v>
      </c>
      <c r="AC518" s="712">
        <v>0</v>
      </c>
      <c r="AD518" s="712">
        <v>0</v>
      </c>
      <c r="AE518" s="712">
        <v>0</v>
      </c>
      <c r="AF518" s="712">
        <v>0</v>
      </c>
      <c r="AG518" s="712">
        <v>0</v>
      </c>
      <c r="AH518" s="712">
        <v>0</v>
      </c>
      <c r="AI518" s="712">
        <v>0</v>
      </c>
      <c r="AJ518" s="712">
        <v>0</v>
      </c>
      <c r="AK518" s="712">
        <v>0</v>
      </c>
      <c r="AL518" s="712">
        <v>0</v>
      </c>
      <c r="AM518" s="712">
        <v>0</v>
      </c>
      <c r="AN518" s="712">
        <v>0</v>
      </c>
      <c r="AO518" s="712">
        <v>0</v>
      </c>
      <c r="AP518" s="712">
        <v>0</v>
      </c>
      <c r="AQ518" s="712">
        <v>0</v>
      </c>
      <c r="AR518" s="712">
        <v>0</v>
      </c>
      <c r="AS518" s="712">
        <v>0</v>
      </c>
      <c r="AT518">
        <v>279156941</v>
      </c>
      <c r="AU518" s="609"/>
      <c r="AV518" s="609"/>
      <c r="AW518" s="609"/>
      <c r="AX518" s="609"/>
      <c r="AY518" s="609"/>
      <c r="AZ518" s="615"/>
      <c r="BA518" s="615"/>
      <c r="BB518" s="615"/>
      <c r="BC518" s="615"/>
      <c r="BD518" s="615"/>
      <c r="BE518" s="615"/>
      <c r="BF518" s="615"/>
      <c r="BG518" s="615"/>
      <c r="BH518" s="615"/>
      <c r="BI518" s="615"/>
      <c r="BJ518" s="615"/>
      <c r="BK518" s="615"/>
      <c r="BL518" s="615"/>
      <c r="BM518" s="615"/>
      <c r="BN518" s="615"/>
      <c r="BO518" s="615"/>
      <c r="BP518" s="615"/>
      <c r="BQ518" s="615"/>
      <c r="BR518" s="615"/>
      <c r="BS518" s="615"/>
      <c r="BT518" s="615"/>
      <c r="BU518" s="615"/>
      <c r="BV518" s="615"/>
      <c r="BW518" s="615"/>
      <c r="BX518" s="607"/>
    </row>
    <row r="519" spans="1:76" ht="25.5" x14ac:dyDescent="0.2">
      <c r="A519" s="839"/>
      <c r="B519" s="713" t="s">
        <v>1246</v>
      </c>
      <c r="C519" s="713" t="s">
        <v>3677</v>
      </c>
      <c r="D519" s="712">
        <v>0</v>
      </c>
      <c r="E519" s="712">
        <v>0</v>
      </c>
      <c r="F519" s="712">
        <v>0</v>
      </c>
      <c r="G519" s="712">
        <v>0</v>
      </c>
      <c r="H519" s="712">
        <v>0</v>
      </c>
      <c r="I519" s="712">
        <v>0</v>
      </c>
      <c r="J519" s="712">
        <v>0</v>
      </c>
      <c r="K519" s="712">
        <v>0</v>
      </c>
      <c r="L519" s="712">
        <v>0</v>
      </c>
      <c r="M519" s="712">
        <v>0</v>
      </c>
      <c r="N519" s="712">
        <v>0</v>
      </c>
      <c r="O519" s="712">
        <v>0</v>
      </c>
      <c r="P519" s="712">
        <v>0</v>
      </c>
      <c r="Q519" s="712">
        <v>3224286</v>
      </c>
      <c r="R519" s="712">
        <v>3224286</v>
      </c>
      <c r="S519" s="712">
        <v>3224276</v>
      </c>
      <c r="T519" s="712">
        <v>272650000</v>
      </c>
      <c r="U519" s="712">
        <v>0</v>
      </c>
      <c r="V519" s="712">
        <v>0</v>
      </c>
      <c r="W519" s="712">
        <v>0</v>
      </c>
      <c r="X519" s="712">
        <v>0</v>
      </c>
      <c r="Y519" s="712">
        <v>0</v>
      </c>
      <c r="Z519" s="712">
        <v>0</v>
      </c>
      <c r="AA519" s="712">
        <v>0</v>
      </c>
      <c r="AB519" s="712">
        <v>0</v>
      </c>
      <c r="AC519" s="712">
        <v>0</v>
      </c>
      <c r="AD519" s="712">
        <v>0</v>
      </c>
      <c r="AE519" s="712">
        <v>0</v>
      </c>
      <c r="AF519" s="712">
        <v>0</v>
      </c>
      <c r="AG519" s="712">
        <v>0</v>
      </c>
      <c r="AH519" s="712">
        <v>0</v>
      </c>
      <c r="AI519" s="712">
        <v>0</v>
      </c>
      <c r="AJ519" s="712">
        <v>0</v>
      </c>
      <c r="AK519" s="712">
        <v>0</v>
      </c>
      <c r="AL519" s="712">
        <v>0</v>
      </c>
      <c r="AM519" s="712">
        <v>0</v>
      </c>
      <c r="AN519" s="712">
        <v>0</v>
      </c>
      <c r="AO519" s="712">
        <v>0</v>
      </c>
      <c r="AP519" s="712">
        <v>0</v>
      </c>
      <c r="AQ519" s="712">
        <v>0</v>
      </c>
      <c r="AR519" s="712">
        <v>0</v>
      </c>
      <c r="AS519" s="712">
        <v>0</v>
      </c>
      <c r="AT519">
        <v>282322848</v>
      </c>
      <c r="AU519" s="609"/>
      <c r="AV519" s="609"/>
      <c r="AW519" s="609"/>
      <c r="AX519" s="609"/>
      <c r="AY519" s="609"/>
      <c r="AZ519" s="615"/>
      <c r="BA519" s="615"/>
      <c r="BB519" s="615"/>
      <c r="BC519" s="615"/>
      <c r="BD519" s="615"/>
      <c r="BE519" s="615"/>
      <c r="BF519" s="615"/>
      <c r="BG519" s="615"/>
      <c r="BH519" s="615"/>
      <c r="BI519" s="615"/>
      <c r="BJ519" s="615"/>
      <c r="BK519" s="615"/>
      <c r="BL519" s="615"/>
      <c r="BM519" s="615"/>
      <c r="BN519" s="615"/>
      <c r="BO519" s="615"/>
      <c r="BP519" s="615"/>
      <c r="BQ519" s="615"/>
      <c r="BR519" s="615"/>
      <c r="BS519" s="615"/>
      <c r="BT519" s="615"/>
      <c r="BU519" s="615"/>
      <c r="BV519" s="615"/>
      <c r="BW519" s="615"/>
      <c r="BX519" s="607"/>
    </row>
    <row r="520" spans="1:76" ht="25.5" x14ac:dyDescent="0.2">
      <c r="A520" s="839"/>
      <c r="B520" s="713" t="s">
        <v>1381</v>
      </c>
      <c r="C520" s="713" t="s">
        <v>3673</v>
      </c>
      <c r="D520" s="712">
        <v>0</v>
      </c>
      <c r="E520" s="712">
        <v>0</v>
      </c>
      <c r="F520" s="712">
        <v>0</v>
      </c>
      <c r="G520" s="712">
        <v>0</v>
      </c>
      <c r="H520" s="712">
        <v>0</v>
      </c>
      <c r="I520" s="712">
        <v>0</v>
      </c>
      <c r="J520" s="712">
        <v>0</v>
      </c>
      <c r="K520" s="712">
        <v>0</v>
      </c>
      <c r="L520" s="712">
        <v>0</v>
      </c>
      <c r="M520" s="712">
        <v>0</v>
      </c>
      <c r="N520" s="712">
        <v>0</v>
      </c>
      <c r="O520" s="712">
        <v>0</v>
      </c>
      <c r="P520" s="712">
        <v>0</v>
      </c>
      <c r="Q520" s="712">
        <v>0</v>
      </c>
      <c r="R520" s="712">
        <v>0</v>
      </c>
      <c r="S520" s="712">
        <v>0</v>
      </c>
      <c r="T520" s="712">
        <v>2830600</v>
      </c>
      <c r="U520" s="712">
        <v>321791400</v>
      </c>
      <c r="V520" s="712">
        <v>0</v>
      </c>
      <c r="W520" s="712">
        <v>0</v>
      </c>
      <c r="X520" s="712">
        <v>0</v>
      </c>
      <c r="Y520" s="712">
        <v>0</v>
      </c>
      <c r="Z520" s="712">
        <v>0</v>
      </c>
      <c r="AA520" s="712">
        <v>0</v>
      </c>
      <c r="AB520" s="712">
        <v>0</v>
      </c>
      <c r="AC520" s="712">
        <v>0</v>
      </c>
      <c r="AD520" s="712">
        <v>0</v>
      </c>
      <c r="AE520" s="712">
        <v>0</v>
      </c>
      <c r="AF520" s="712">
        <v>0</v>
      </c>
      <c r="AG520" s="712">
        <v>0</v>
      </c>
      <c r="AH520" s="712">
        <v>0</v>
      </c>
      <c r="AI520" s="712">
        <v>0</v>
      </c>
      <c r="AJ520" s="712">
        <v>0</v>
      </c>
      <c r="AK520" s="712">
        <v>0</v>
      </c>
      <c r="AL520" s="712">
        <v>0</v>
      </c>
      <c r="AM520" s="712">
        <v>0</v>
      </c>
      <c r="AN520" s="712">
        <v>0</v>
      </c>
      <c r="AO520" s="712">
        <v>0</v>
      </c>
      <c r="AP520" s="712">
        <v>0</v>
      </c>
      <c r="AQ520" s="712">
        <v>0</v>
      </c>
      <c r="AR520" s="712">
        <v>0</v>
      </c>
      <c r="AS520" s="712">
        <v>0</v>
      </c>
      <c r="AT520">
        <v>324622000</v>
      </c>
      <c r="AU520" s="609"/>
      <c r="AV520" s="609"/>
      <c r="AW520" s="609"/>
      <c r="AX520" s="609"/>
      <c r="AY520" s="609"/>
      <c r="AZ520" s="615"/>
      <c r="BA520" s="615"/>
      <c r="BB520" s="615"/>
      <c r="BC520" s="615"/>
      <c r="BD520" s="615"/>
      <c r="BE520" s="615"/>
      <c r="BF520" s="615"/>
      <c r="BG520" s="615"/>
      <c r="BH520" s="615"/>
      <c r="BI520" s="615"/>
      <c r="BJ520" s="615"/>
      <c r="BK520" s="615"/>
      <c r="BL520" s="615"/>
      <c r="BM520" s="615"/>
      <c r="BN520" s="615"/>
      <c r="BO520" s="615"/>
      <c r="BP520" s="615"/>
      <c r="BQ520" s="615"/>
      <c r="BR520" s="615"/>
      <c r="BS520" s="615"/>
      <c r="BT520" s="615"/>
      <c r="BU520" s="615"/>
      <c r="BV520" s="615"/>
      <c r="BW520" s="615"/>
      <c r="BX520" s="607"/>
    </row>
    <row r="521" spans="1:76" ht="25.5" x14ac:dyDescent="0.2">
      <c r="A521" s="839"/>
      <c r="B521" s="713" t="s">
        <v>1722</v>
      </c>
      <c r="C521" s="713" t="s">
        <v>3683</v>
      </c>
      <c r="D521" s="712">
        <v>0</v>
      </c>
      <c r="E521" s="712">
        <v>0</v>
      </c>
      <c r="F521" s="712">
        <v>0</v>
      </c>
      <c r="G521" s="712">
        <v>0</v>
      </c>
      <c r="H521" s="712">
        <v>0</v>
      </c>
      <c r="I521" s="712">
        <v>0</v>
      </c>
      <c r="J521" s="712">
        <v>0</v>
      </c>
      <c r="K521" s="712">
        <v>0</v>
      </c>
      <c r="L521" s="712">
        <v>0</v>
      </c>
      <c r="M521" s="712">
        <v>0</v>
      </c>
      <c r="N521" s="712">
        <v>0</v>
      </c>
      <c r="O521" s="712">
        <v>0</v>
      </c>
      <c r="P521" s="712">
        <v>0</v>
      </c>
      <c r="Q521" s="712">
        <v>0</v>
      </c>
      <c r="R521" s="712">
        <v>0</v>
      </c>
      <c r="S521" s="712">
        <v>0</v>
      </c>
      <c r="T521" s="712">
        <v>661445</v>
      </c>
      <c r="U521" s="712">
        <v>4963281</v>
      </c>
      <c r="V521" s="712">
        <v>328334354</v>
      </c>
      <c r="W521" s="712">
        <v>0</v>
      </c>
      <c r="X521" s="712">
        <v>0</v>
      </c>
      <c r="Y521" s="712">
        <v>0</v>
      </c>
      <c r="Z521" s="712">
        <v>0</v>
      </c>
      <c r="AA521" s="712">
        <v>0</v>
      </c>
      <c r="AB521" s="712">
        <v>0</v>
      </c>
      <c r="AC521" s="712">
        <v>0</v>
      </c>
      <c r="AD521" s="712">
        <v>0</v>
      </c>
      <c r="AE521" s="712">
        <v>0</v>
      </c>
      <c r="AF521" s="712">
        <v>0</v>
      </c>
      <c r="AG521" s="712">
        <v>0</v>
      </c>
      <c r="AH521" s="712">
        <v>0</v>
      </c>
      <c r="AI521" s="712">
        <v>0</v>
      </c>
      <c r="AJ521" s="712">
        <v>0</v>
      </c>
      <c r="AK521" s="712">
        <v>0</v>
      </c>
      <c r="AL521" s="712">
        <v>0</v>
      </c>
      <c r="AM521" s="712">
        <v>0</v>
      </c>
      <c r="AN521" s="712">
        <v>0</v>
      </c>
      <c r="AO521" s="712">
        <v>0</v>
      </c>
      <c r="AP521" s="712">
        <v>0</v>
      </c>
      <c r="AQ521" s="712">
        <v>0</v>
      </c>
      <c r="AR521" s="712">
        <v>0</v>
      </c>
      <c r="AS521" s="712">
        <v>0</v>
      </c>
      <c r="AT521">
        <v>333959080</v>
      </c>
      <c r="AU521" s="609"/>
      <c r="AV521" s="609"/>
      <c r="AW521" s="609"/>
      <c r="AX521" s="609"/>
      <c r="AY521" s="609"/>
      <c r="AZ521" s="615"/>
      <c r="BA521" s="615"/>
      <c r="BB521" s="615"/>
      <c r="BC521" s="615"/>
      <c r="BD521" s="615"/>
      <c r="BE521" s="615"/>
      <c r="BF521" s="615"/>
      <c r="BG521" s="615"/>
      <c r="BH521" s="615"/>
      <c r="BI521" s="615"/>
      <c r="BJ521" s="615"/>
      <c r="BK521" s="615"/>
      <c r="BL521" s="615"/>
      <c r="BM521" s="615"/>
      <c r="BN521" s="615"/>
      <c r="BO521" s="615"/>
      <c r="BP521" s="615"/>
      <c r="BQ521" s="615"/>
      <c r="BR521" s="615"/>
      <c r="BS521" s="615"/>
      <c r="BT521" s="615"/>
      <c r="BU521" s="615"/>
      <c r="BV521" s="615"/>
      <c r="BW521" s="615"/>
      <c r="BX521" s="607"/>
    </row>
    <row r="522" spans="1:76" ht="25.5" x14ac:dyDescent="0.2">
      <c r="A522" s="839"/>
      <c r="B522" s="713" t="s">
        <v>1750</v>
      </c>
      <c r="C522" s="713" t="s">
        <v>3714</v>
      </c>
      <c r="D522" s="712">
        <v>0</v>
      </c>
      <c r="E522" s="712">
        <v>0</v>
      </c>
      <c r="F522" s="712">
        <v>0</v>
      </c>
      <c r="G522" s="712">
        <v>0</v>
      </c>
      <c r="H522" s="712">
        <v>0</v>
      </c>
      <c r="I522" s="712">
        <v>0</v>
      </c>
      <c r="J522" s="712">
        <v>0</v>
      </c>
      <c r="K522" s="712">
        <v>0</v>
      </c>
      <c r="L522" s="712">
        <v>0</v>
      </c>
      <c r="M522" s="712">
        <v>0</v>
      </c>
      <c r="N522" s="712">
        <v>0</v>
      </c>
      <c r="O522" s="712">
        <v>0</v>
      </c>
      <c r="P522" s="712">
        <v>0</v>
      </c>
      <c r="Q522" s="712">
        <v>0</v>
      </c>
      <c r="R522" s="712">
        <v>0</v>
      </c>
      <c r="S522" s="712">
        <v>3419075</v>
      </c>
      <c r="T522" s="712">
        <v>3419076</v>
      </c>
      <c r="U522" s="712">
        <v>3419072</v>
      </c>
      <c r="V522" s="712">
        <v>331703750</v>
      </c>
      <c r="W522" s="712">
        <v>0</v>
      </c>
      <c r="X522" s="712">
        <v>0</v>
      </c>
      <c r="Y522" s="712">
        <v>0</v>
      </c>
      <c r="Z522" s="712">
        <v>0</v>
      </c>
      <c r="AA522" s="712">
        <v>0</v>
      </c>
      <c r="AB522" s="712">
        <v>0</v>
      </c>
      <c r="AC522" s="712">
        <v>0</v>
      </c>
      <c r="AD522" s="712">
        <v>0</v>
      </c>
      <c r="AE522" s="712">
        <v>0</v>
      </c>
      <c r="AF522" s="712">
        <v>0</v>
      </c>
      <c r="AG522" s="712">
        <v>0</v>
      </c>
      <c r="AH522" s="712">
        <v>0</v>
      </c>
      <c r="AI522" s="712">
        <v>0</v>
      </c>
      <c r="AJ522" s="712">
        <v>0</v>
      </c>
      <c r="AK522" s="712">
        <v>0</v>
      </c>
      <c r="AL522" s="712">
        <v>0</v>
      </c>
      <c r="AM522" s="712">
        <v>0</v>
      </c>
      <c r="AN522" s="712">
        <v>0</v>
      </c>
      <c r="AO522" s="712">
        <v>0</v>
      </c>
      <c r="AP522" s="712">
        <v>0</v>
      </c>
      <c r="AQ522" s="712">
        <v>0</v>
      </c>
      <c r="AR522" s="712">
        <v>0</v>
      </c>
      <c r="AS522" s="712">
        <v>0</v>
      </c>
      <c r="AT522">
        <v>341960973</v>
      </c>
      <c r="AU522" s="609"/>
      <c r="AV522" s="609"/>
      <c r="AW522" s="609"/>
      <c r="AX522" s="609"/>
      <c r="AY522" s="609"/>
      <c r="AZ522" s="615"/>
      <c r="BA522" s="615"/>
      <c r="BB522" s="615"/>
      <c r="BC522" s="615"/>
      <c r="BD522" s="615"/>
      <c r="BE522" s="615"/>
      <c r="BF522" s="615"/>
      <c r="BG522" s="615"/>
      <c r="BH522" s="615"/>
      <c r="BI522" s="615"/>
      <c r="BJ522" s="615"/>
      <c r="BK522" s="615"/>
      <c r="BL522" s="615"/>
      <c r="BM522" s="615"/>
      <c r="BN522" s="615"/>
      <c r="BO522" s="615"/>
      <c r="BP522" s="615"/>
      <c r="BQ522" s="615"/>
      <c r="BR522" s="615"/>
      <c r="BS522" s="615"/>
      <c r="BT522" s="615"/>
      <c r="BU522" s="615"/>
      <c r="BV522" s="615"/>
      <c r="BW522" s="615"/>
      <c r="BX522" s="607"/>
    </row>
    <row r="523" spans="1:76" ht="25.5" x14ac:dyDescent="0.2">
      <c r="A523" s="839"/>
      <c r="B523" s="713" t="s">
        <v>1985</v>
      </c>
      <c r="C523" s="713" t="s">
        <v>3718</v>
      </c>
      <c r="D523" s="712">
        <v>0</v>
      </c>
      <c r="E523" s="712">
        <v>0</v>
      </c>
      <c r="F523" s="712">
        <v>0</v>
      </c>
      <c r="G523" s="712">
        <v>0</v>
      </c>
      <c r="H523" s="712">
        <v>0</v>
      </c>
      <c r="I523" s="712">
        <v>0</v>
      </c>
      <c r="J523" s="712">
        <v>0</v>
      </c>
      <c r="K523" s="712">
        <v>0</v>
      </c>
      <c r="L523" s="712">
        <v>0</v>
      </c>
      <c r="M523" s="712">
        <v>0</v>
      </c>
      <c r="N523" s="712">
        <v>0</v>
      </c>
      <c r="O523" s="712">
        <v>0</v>
      </c>
      <c r="P523" s="712">
        <v>0</v>
      </c>
      <c r="Q523" s="712">
        <v>0</v>
      </c>
      <c r="R523" s="712">
        <v>0</v>
      </c>
      <c r="S523" s="712">
        <v>0</v>
      </c>
      <c r="T523" s="712">
        <v>4225541</v>
      </c>
      <c r="U523" s="712">
        <v>4225541</v>
      </c>
      <c r="V523" s="712">
        <v>4225544</v>
      </c>
      <c r="W523" s="712">
        <v>333239095</v>
      </c>
      <c r="X523" s="712">
        <v>0</v>
      </c>
      <c r="Y523" s="712">
        <v>0</v>
      </c>
      <c r="Z523" s="712">
        <v>0</v>
      </c>
      <c r="AA523" s="712">
        <v>0</v>
      </c>
      <c r="AB523" s="712">
        <v>0</v>
      </c>
      <c r="AC523" s="712">
        <v>0</v>
      </c>
      <c r="AD523" s="712">
        <v>0</v>
      </c>
      <c r="AE523" s="712">
        <v>0</v>
      </c>
      <c r="AF523" s="712">
        <v>0</v>
      </c>
      <c r="AG523" s="712">
        <v>0</v>
      </c>
      <c r="AH523" s="712">
        <v>0</v>
      </c>
      <c r="AI523" s="712">
        <v>0</v>
      </c>
      <c r="AJ523" s="712">
        <v>0</v>
      </c>
      <c r="AK523" s="712">
        <v>0</v>
      </c>
      <c r="AL523" s="712">
        <v>0</v>
      </c>
      <c r="AM523" s="712">
        <v>0</v>
      </c>
      <c r="AN523" s="712">
        <v>0</v>
      </c>
      <c r="AO523" s="712">
        <v>0</v>
      </c>
      <c r="AP523" s="712">
        <v>0</v>
      </c>
      <c r="AQ523" s="712">
        <v>0</v>
      </c>
      <c r="AR523" s="712">
        <v>0</v>
      </c>
      <c r="AS523" s="712">
        <v>0</v>
      </c>
      <c r="AT523">
        <v>345915721</v>
      </c>
      <c r="AU523" s="609"/>
      <c r="AV523" s="609"/>
      <c r="AW523" s="609"/>
      <c r="AX523" s="609"/>
      <c r="AY523" s="609"/>
      <c r="AZ523" s="615"/>
      <c r="BA523" s="615"/>
      <c r="BB523" s="615"/>
      <c r="BC523" s="615"/>
      <c r="BD523" s="615"/>
      <c r="BE523" s="615"/>
      <c r="BF523" s="615"/>
      <c r="BG523" s="615"/>
      <c r="BH523" s="615"/>
      <c r="BI523" s="615"/>
      <c r="BJ523" s="615"/>
      <c r="BK523" s="615"/>
      <c r="BL523" s="615"/>
      <c r="BM523" s="615"/>
      <c r="BN523" s="615"/>
      <c r="BO523" s="615"/>
      <c r="BP523" s="615"/>
      <c r="BQ523" s="615"/>
      <c r="BR523" s="615"/>
      <c r="BS523" s="615"/>
      <c r="BT523" s="615"/>
      <c r="BU523" s="615"/>
      <c r="BV523" s="615"/>
      <c r="BW523" s="615"/>
      <c r="BX523" s="607"/>
    </row>
    <row r="524" spans="1:76" ht="38.25" x14ac:dyDescent="0.2">
      <c r="A524" s="839"/>
      <c r="B524" s="713" t="s">
        <v>2542</v>
      </c>
      <c r="C524" s="713" t="s">
        <v>3697</v>
      </c>
      <c r="D524" s="712">
        <v>0</v>
      </c>
      <c r="E524" s="712">
        <v>0</v>
      </c>
      <c r="F524" s="712">
        <v>0</v>
      </c>
      <c r="G524" s="712">
        <v>0</v>
      </c>
      <c r="H524" s="712">
        <v>0</v>
      </c>
      <c r="I524" s="712">
        <v>0</v>
      </c>
      <c r="J524" s="712">
        <v>0</v>
      </c>
      <c r="K524" s="712">
        <v>0</v>
      </c>
      <c r="L524" s="712">
        <v>0</v>
      </c>
      <c r="M524" s="712">
        <v>0</v>
      </c>
      <c r="N524" s="712">
        <v>0</v>
      </c>
      <c r="O524" s="712">
        <v>0</v>
      </c>
      <c r="P524" s="712">
        <v>0</v>
      </c>
      <c r="Q524" s="712">
        <v>0</v>
      </c>
      <c r="R524" s="712">
        <v>0</v>
      </c>
      <c r="S524" s="712">
        <v>4841902</v>
      </c>
      <c r="T524" s="712">
        <v>12939246</v>
      </c>
      <c r="U524" s="712">
        <v>12939253</v>
      </c>
      <c r="V524" s="712">
        <v>387016844</v>
      </c>
      <c r="W524" s="712">
        <v>0</v>
      </c>
      <c r="X524" s="712">
        <v>0</v>
      </c>
      <c r="Y524" s="712">
        <v>0</v>
      </c>
      <c r="Z524" s="712">
        <v>0</v>
      </c>
      <c r="AA524" s="712">
        <v>0</v>
      </c>
      <c r="AB524" s="712">
        <v>0</v>
      </c>
      <c r="AC524" s="712">
        <v>0</v>
      </c>
      <c r="AD524" s="712">
        <v>0</v>
      </c>
      <c r="AE524" s="712">
        <v>0</v>
      </c>
      <c r="AF524" s="712">
        <v>0</v>
      </c>
      <c r="AG524" s="712">
        <v>0</v>
      </c>
      <c r="AH524" s="712">
        <v>0</v>
      </c>
      <c r="AI524" s="712">
        <v>0</v>
      </c>
      <c r="AJ524" s="712">
        <v>0</v>
      </c>
      <c r="AK524" s="712">
        <v>0</v>
      </c>
      <c r="AL524" s="712">
        <v>0</v>
      </c>
      <c r="AM524" s="712">
        <v>0</v>
      </c>
      <c r="AN524" s="712">
        <v>0</v>
      </c>
      <c r="AO524" s="712">
        <v>0</v>
      </c>
      <c r="AP524" s="712">
        <v>0</v>
      </c>
      <c r="AQ524" s="712">
        <v>0</v>
      </c>
      <c r="AR524" s="712">
        <v>0</v>
      </c>
      <c r="AS524" s="712">
        <v>0</v>
      </c>
      <c r="AT524">
        <v>417737245</v>
      </c>
      <c r="AU524" s="609"/>
      <c r="AV524" s="609"/>
      <c r="AW524" s="609"/>
      <c r="AX524" s="609"/>
      <c r="AY524" s="609"/>
      <c r="AZ524" s="615"/>
      <c r="BA524" s="615"/>
      <c r="BB524" s="615"/>
      <c r="BC524" s="615"/>
      <c r="BD524" s="615"/>
      <c r="BE524" s="615"/>
      <c r="BF524" s="615"/>
      <c r="BG524" s="615"/>
      <c r="BH524" s="615"/>
      <c r="BI524" s="615"/>
      <c r="BJ524" s="615"/>
      <c r="BK524" s="615"/>
      <c r="BL524" s="615"/>
      <c r="BM524" s="615"/>
      <c r="BN524" s="615"/>
      <c r="BO524" s="615"/>
      <c r="BP524" s="615"/>
      <c r="BQ524" s="615"/>
      <c r="BR524" s="615"/>
      <c r="BS524" s="615"/>
      <c r="BT524" s="615"/>
      <c r="BU524" s="615"/>
      <c r="BV524" s="615"/>
      <c r="BW524" s="615"/>
      <c r="BX524" s="607"/>
    </row>
    <row r="525" spans="1:76" ht="25.5" x14ac:dyDescent="0.2">
      <c r="A525" s="839"/>
      <c r="B525" s="713" t="s">
        <v>1562</v>
      </c>
      <c r="C525" s="713" t="s">
        <v>3649</v>
      </c>
      <c r="D525" s="712">
        <v>0</v>
      </c>
      <c r="E525" s="712">
        <v>0</v>
      </c>
      <c r="F525" s="712">
        <v>0</v>
      </c>
      <c r="G525" s="712">
        <v>0</v>
      </c>
      <c r="H525" s="712">
        <v>0</v>
      </c>
      <c r="I525" s="712">
        <v>0</v>
      </c>
      <c r="J525" s="712">
        <v>0</v>
      </c>
      <c r="K525" s="712">
        <v>0</v>
      </c>
      <c r="L525" s="712">
        <v>0</v>
      </c>
      <c r="M525" s="712">
        <v>0</v>
      </c>
      <c r="N525" s="712">
        <v>0</v>
      </c>
      <c r="O525" s="712">
        <v>0</v>
      </c>
      <c r="P525" s="712">
        <v>0</v>
      </c>
      <c r="Q525" s="712">
        <v>0</v>
      </c>
      <c r="R525" s="712">
        <v>0</v>
      </c>
      <c r="S525" s="712">
        <v>4788613</v>
      </c>
      <c r="T525" s="712">
        <v>4788613</v>
      </c>
      <c r="U525" s="712">
        <v>4788599</v>
      </c>
      <c r="V525" s="712">
        <v>322189350</v>
      </c>
      <c r="W525" s="712">
        <v>0</v>
      </c>
      <c r="X525" s="712">
        <v>0</v>
      </c>
      <c r="Y525" s="712">
        <v>0</v>
      </c>
      <c r="Z525" s="712">
        <v>0</v>
      </c>
      <c r="AA525" s="712">
        <v>0</v>
      </c>
      <c r="AB525" s="712">
        <v>0</v>
      </c>
      <c r="AC525" s="712">
        <v>0</v>
      </c>
      <c r="AD525" s="712">
        <v>0</v>
      </c>
      <c r="AE525" s="712">
        <v>0</v>
      </c>
      <c r="AF525" s="712">
        <v>0</v>
      </c>
      <c r="AG525" s="712">
        <v>0</v>
      </c>
      <c r="AH525" s="712">
        <v>0</v>
      </c>
      <c r="AI525" s="712">
        <v>0</v>
      </c>
      <c r="AJ525" s="712">
        <v>0</v>
      </c>
      <c r="AK525" s="712">
        <v>0</v>
      </c>
      <c r="AL525" s="712">
        <v>0</v>
      </c>
      <c r="AM525" s="712">
        <v>0</v>
      </c>
      <c r="AN525" s="712">
        <v>0</v>
      </c>
      <c r="AO525" s="712">
        <v>0</v>
      </c>
      <c r="AP525" s="712">
        <v>0</v>
      </c>
      <c r="AQ525" s="712">
        <v>0</v>
      </c>
      <c r="AR525" s="712">
        <v>0</v>
      </c>
      <c r="AS525" s="712">
        <v>0</v>
      </c>
      <c r="AT525">
        <v>336555175</v>
      </c>
      <c r="AU525" s="609"/>
      <c r="AV525" s="609"/>
      <c r="AW525" s="609"/>
      <c r="AX525" s="609"/>
      <c r="AY525" s="609"/>
      <c r="AZ525" s="615"/>
      <c r="BA525" s="615"/>
      <c r="BB525" s="615"/>
      <c r="BC525" s="615"/>
      <c r="BD525" s="615"/>
      <c r="BE525" s="615"/>
      <c r="BF525" s="615"/>
      <c r="BG525" s="615"/>
      <c r="BH525" s="615"/>
      <c r="BI525" s="615"/>
      <c r="BJ525" s="615"/>
      <c r="BK525" s="615"/>
      <c r="BL525" s="615"/>
      <c r="BM525" s="615"/>
      <c r="BN525" s="615"/>
      <c r="BO525" s="615"/>
      <c r="BP525" s="615"/>
      <c r="BQ525" s="615"/>
      <c r="BR525" s="615"/>
      <c r="BS525" s="615"/>
      <c r="BT525" s="615"/>
      <c r="BU525" s="615"/>
      <c r="BV525" s="615"/>
      <c r="BW525" s="615"/>
      <c r="BX525" s="607"/>
    </row>
    <row r="526" spans="1:76" ht="25.5" x14ac:dyDescent="0.2">
      <c r="A526" s="839"/>
      <c r="B526" s="713" t="s">
        <v>3282</v>
      </c>
      <c r="C526" s="713" t="s">
        <v>3692</v>
      </c>
      <c r="D526" s="712">
        <v>0</v>
      </c>
      <c r="E526" s="712">
        <v>0</v>
      </c>
      <c r="F526" s="712">
        <v>0</v>
      </c>
      <c r="G526" s="712">
        <v>0</v>
      </c>
      <c r="H526" s="712">
        <v>0</v>
      </c>
      <c r="I526" s="712">
        <v>0</v>
      </c>
      <c r="J526" s="712">
        <v>0</v>
      </c>
      <c r="K526" s="712">
        <v>0</v>
      </c>
      <c r="L526" s="712">
        <v>0</v>
      </c>
      <c r="M526" s="712">
        <v>0</v>
      </c>
      <c r="N526" s="712">
        <v>0</v>
      </c>
      <c r="O526" s="712">
        <v>0</v>
      </c>
      <c r="P526" s="712">
        <v>0</v>
      </c>
      <c r="Q526" s="712">
        <v>0</v>
      </c>
      <c r="R526" s="712">
        <v>0</v>
      </c>
      <c r="S526" s="712">
        <v>0</v>
      </c>
      <c r="T526" s="712">
        <v>0</v>
      </c>
      <c r="U526" s="712">
        <v>376323044</v>
      </c>
      <c r="V526" s="712">
        <v>0</v>
      </c>
      <c r="W526" s="712">
        <v>0</v>
      </c>
      <c r="X526" s="712">
        <v>0</v>
      </c>
      <c r="Y526" s="712">
        <v>0</v>
      </c>
      <c r="Z526" s="712">
        <v>0</v>
      </c>
      <c r="AA526" s="712">
        <v>0</v>
      </c>
      <c r="AB526" s="712">
        <v>0</v>
      </c>
      <c r="AC526" s="712">
        <v>0</v>
      </c>
      <c r="AD526" s="712">
        <v>0</v>
      </c>
      <c r="AE526" s="712">
        <v>0</v>
      </c>
      <c r="AF526" s="712">
        <v>0</v>
      </c>
      <c r="AG526" s="712">
        <v>0</v>
      </c>
      <c r="AH526" s="712">
        <v>0</v>
      </c>
      <c r="AI526" s="712">
        <v>0</v>
      </c>
      <c r="AJ526" s="712">
        <v>0</v>
      </c>
      <c r="AK526" s="712">
        <v>0</v>
      </c>
      <c r="AL526" s="712">
        <v>0</v>
      </c>
      <c r="AM526" s="712">
        <v>0</v>
      </c>
      <c r="AN526" s="712">
        <v>0</v>
      </c>
      <c r="AO526" s="712">
        <v>0</v>
      </c>
      <c r="AP526" s="712">
        <v>0</v>
      </c>
      <c r="AQ526" s="712">
        <v>0</v>
      </c>
      <c r="AR526" s="712">
        <v>0</v>
      </c>
      <c r="AS526" s="712">
        <v>0</v>
      </c>
      <c r="AT526">
        <v>376323044</v>
      </c>
      <c r="AU526" s="609"/>
      <c r="AV526" s="609"/>
      <c r="AW526" s="609"/>
      <c r="AX526" s="609"/>
      <c r="AY526" s="609"/>
      <c r="AZ526" s="615"/>
      <c r="BA526" s="615"/>
      <c r="BB526" s="615"/>
      <c r="BC526" s="615"/>
      <c r="BD526" s="615"/>
      <c r="BE526" s="615"/>
      <c r="BF526" s="615"/>
      <c r="BG526" s="615"/>
      <c r="BH526" s="615"/>
      <c r="BI526" s="615"/>
      <c r="BJ526" s="615"/>
      <c r="BK526" s="615"/>
      <c r="BL526" s="615"/>
      <c r="BM526" s="615"/>
      <c r="BN526" s="615"/>
      <c r="BO526" s="615"/>
      <c r="BP526" s="615"/>
      <c r="BQ526" s="615"/>
      <c r="BR526" s="615"/>
      <c r="BS526" s="615"/>
      <c r="BT526" s="615"/>
      <c r="BU526" s="615"/>
      <c r="BV526" s="615"/>
      <c r="BW526" s="615"/>
      <c r="BX526" s="607"/>
    </row>
    <row r="527" spans="1:76" ht="25.5" x14ac:dyDescent="0.2">
      <c r="A527" s="839"/>
      <c r="B527" s="713" t="s">
        <v>1533</v>
      </c>
      <c r="C527" s="713" t="s">
        <v>3703</v>
      </c>
      <c r="D527" s="712">
        <v>0</v>
      </c>
      <c r="E527" s="712">
        <v>0</v>
      </c>
      <c r="F527" s="712">
        <v>0</v>
      </c>
      <c r="G527" s="712">
        <v>0</v>
      </c>
      <c r="H527" s="712">
        <v>0</v>
      </c>
      <c r="I527" s="712">
        <v>0</v>
      </c>
      <c r="J527" s="712">
        <v>0</v>
      </c>
      <c r="K527" s="712">
        <v>0</v>
      </c>
      <c r="L527" s="712">
        <v>0</v>
      </c>
      <c r="M527" s="712">
        <v>0</v>
      </c>
      <c r="N527" s="712">
        <v>0</v>
      </c>
      <c r="O527" s="712">
        <v>0</v>
      </c>
      <c r="P527" s="712">
        <v>0</v>
      </c>
      <c r="Q527" s="712">
        <v>0</v>
      </c>
      <c r="R527" s="712">
        <v>0</v>
      </c>
      <c r="S527" s="712">
        <v>10858614</v>
      </c>
      <c r="T527" s="712">
        <v>3432860</v>
      </c>
      <c r="U527" s="712">
        <v>281520228</v>
      </c>
      <c r="V527" s="712">
        <v>0</v>
      </c>
      <c r="W527" s="712">
        <v>0</v>
      </c>
      <c r="X527" s="712">
        <v>0</v>
      </c>
      <c r="Y527" s="712">
        <v>0</v>
      </c>
      <c r="Z527" s="712">
        <v>0</v>
      </c>
      <c r="AA527" s="712">
        <v>0</v>
      </c>
      <c r="AB527" s="712">
        <v>0</v>
      </c>
      <c r="AC527" s="712">
        <v>0</v>
      </c>
      <c r="AD527" s="712">
        <v>0</v>
      </c>
      <c r="AE527" s="712">
        <v>0</v>
      </c>
      <c r="AF527" s="712">
        <v>0</v>
      </c>
      <c r="AG527" s="712">
        <v>0</v>
      </c>
      <c r="AH527" s="712">
        <v>0</v>
      </c>
      <c r="AI527" s="712">
        <v>0</v>
      </c>
      <c r="AJ527" s="712">
        <v>0</v>
      </c>
      <c r="AK527" s="712">
        <v>0</v>
      </c>
      <c r="AL527" s="712">
        <v>0</v>
      </c>
      <c r="AM527" s="712">
        <v>0</v>
      </c>
      <c r="AN527" s="712">
        <v>0</v>
      </c>
      <c r="AO527" s="712">
        <v>0</v>
      </c>
      <c r="AP527" s="712">
        <v>0</v>
      </c>
      <c r="AQ527" s="712">
        <v>0</v>
      </c>
      <c r="AR527" s="712">
        <v>0</v>
      </c>
      <c r="AS527" s="712">
        <v>0</v>
      </c>
      <c r="AT527">
        <v>295811702</v>
      </c>
      <c r="AU527" s="609"/>
      <c r="AV527" s="609"/>
      <c r="AW527" s="609"/>
      <c r="AX527" s="609"/>
      <c r="AY527" s="609"/>
      <c r="AZ527" s="615"/>
      <c r="BA527" s="615"/>
      <c r="BB527" s="615"/>
      <c r="BC527" s="615"/>
      <c r="BD527" s="615"/>
      <c r="BE527" s="615"/>
      <c r="BF527" s="615"/>
      <c r="BG527" s="615"/>
      <c r="BH527" s="615"/>
      <c r="BI527" s="615"/>
      <c r="BJ527" s="615"/>
      <c r="BK527" s="615"/>
      <c r="BL527" s="615"/>
      <c r="BM527" s="615"/>
      <c r="BN527" s="615"/>
      <c r="BO527" s="615"/>
      <c r="BP527" s="615"/>
      <c r="BQ527" s="615"/>
      <c r="BR527" s="615"/>
      <c r="BS527" s="615"/>
      <c r="BT527" s="615"/>
      <c r="BU527" s="615"/>
      <c r="BV527" s="615"/>
      <c r="BW527" s="615"/>
      <c r="BX527" s="607"/>
    </row>
    <row r="528" spans="1:76" ht="25.5" x14ac:dyDescent="0.2">
      <c r="A528" s="839"/>
      <c r="B528" s="713" t="s">
        <v>2541</v>
      </c>
      <c r="C528" s="713" t="s">
        <v>3676</v>
      </c>
      <c r="D528" s="712">
        <v>0</v>
      </c>
      <c r="E528" s="712">
        <v>0</v>
      </c>
      <c r="F528" s="712">
        <v>0</v>
      </c>
      <c r="G528" s="712">
        <v>0</v>
      </c>
      <c r="H528" s="712">
        <v>0</v>
      </c>
      <c r="I528" s="712">
        <v>0</v>
      </c>
      <c r="J528" s="712">
        <v>0</v>
      </c>
      <c r="K528" s="712">
        <v>0</v>
      </c>
      <c r="L528" s="712">
        <v>0</v>
      </c>
      <c r="M528" s="712">
        <v>0</v>
      </c>
      <c r="N528" s="712">
        <v>0</v>
      </c>
      <c r="O528" s="712">
        <v>0</v>
      </c>
      <c r="P528" s="712">
        <v>0</v>
      </c>
      <c r="Q528" s="712">
        <v>0</v>
      </c>
      <c r="R528" s="712">
        <v>2718856</v>
      </c>
      <c r="S528" s="712">
        <v>13063886</v>
      </c>
      <c r="T528" s="712">
        <v>13063886</v>
      </c>
      <c r="U528" s="712">
        <v>385815531</v>
      </c>
      <c r="V528" s="712">
        <v>0</v>
      </c>
      <c r="W528" s="712">
        <v>0</v>
      </c>
      <c r="X528" s="712">
        <v>0</v>
      </c>
      <c r="Y528" s="712">
        <v>0</v>
      </c>
      <c r="Z528" s="712">
        <v>0</v>
      </c>
      <c r="AA528" s="712">
        <v>0</v>
      </c>
      <c r="AB528" s="712">
        <v>0</v>
      </c>
      <c r="AC528" s="712">
        <v>0</v>
      </c>
      <c r="AD528" s="712">
        <v>0</v>
      </c>
      <c r="AE528" s="712">
        <v>0</v>
      </c>
      <c r="AF528" s="712">
        <v>0</v>
      </c>
      <c r="AG528" s="712">
        <v>0</v>
      </c>
      <c r="AH528" s="712">
        <v>0</v>
      </c>
      <c r="AI528" s="712">
        <v>0</v>
      </c>
      <c r="AJ528" s="712">
        <v>0</v>
      </c>
      <c r="AK528" s="712">
        <v>0</v>
      </c>
      <c r="AL528" s="712">
        <v>0</v>
      </c>
      <c r="AM528" s="712">
        <v>0</v>
      </c>
      <c r="AN528" s="712">
        <v>0</v>
      </c>
      <c r="AO528" s="712">
        <v>0</v>
      </c>
      <c r="AP528" s="712">
        <v>0</v>
      </c>
      <c r="AQ528" s="712">
        <v>0</v>
      </c>
      <c r="AR528" s="712">
        <v>0</v>
      </c>
      <c r="AS528" s="712">
        <v>0</v>
      </c>
      <c r="AT528">
        <v>414662159</v>
      </c>
      <c r="AU528" s="609"/>
      <c r="AV528" s="609"/>
      <c r="AW528" s="609"/>
      <c r="AX528" s="609"/>
      <c r="AY528" s="609"/>
      <c r="AZ528" s="615"/>
      <c r="BA528" s="615"/>
      <c r="BB528" s="615"/>
      <c r="BC528" s="615"/>
      <c r="BD528" s="615"/>
      <c r="BE528" s="615"/>
      <c r="BF528" s="615"/>
      <c r="BG528" s="615"/>
      <c r="BH528" s="615"/>
      <c r="BI528" s="615"/>
      <c r="BJ528" s="615"/>
      <c r="BK528" s="615"/>
      <c r="BL528" s="615"/>
      <c r="BM528" s="615"/>
      <c r="BN528" s="615"/>
      <c r="BO528" s="615"/>
      <c r="BP528" s="615"/>
      <c r="BQ528" s="615"/>
      <c r="BR528" s="615"/>
      <c r="BS528" s="615"/>
      <c r="BT528" s="615"/>
      <c r="BU528" s="615"/>
      <c r="BV528" s="615"/>
      <c r="BW528" s="615"/>
      <c r="BX528" s="607"/>
    </row>
    <row r="529" spans="1:76" ht="12.75" x14ac:dyDescent="0.2">
      <c r="A529" s="839"/>
      <c r="B529" s="713" t="s">
        <v>1577</v>
      </c>
      <c r="C529" s="713" t="s">
        <v>3670</v>
      </c>
      <c r="D529" s="712">
        <v>0</v>
      </c>
      <c r="E529" s="712">
        <v>0</v>
      </c>
      <c r="F529" s="712">
        <v>0</v>
      </c>
      <c r="G529" s="712">
        <v>0</v>
      </c>
      <c r="H529" s="712">
        <v>0</v>
      </c>
      <c r="I529" s="712">
        <v>0</v>
      </c>
      <c r="J529" s="712">
        <v>0</v>
      </c>
      <c r="K529" s="712">
        <v>0</v>
      </c>
      <c r="L529" s="712">
        <v>0</v>
      </c>
      <c r="M529" s="712">
        <v>0</v>
      </c>
      <c r="N529" s="712">
        <v>0</v>
      </c>
      <c r="O529" s="712">
        <v>0</v>
      </c>
      <c r="P529" s="712">
        <v>0</v>
      </c>
      <c r="Q529" s="712">
        <v>0</v>
      </c>
      <c r="R529" s="712">
        <v>0</v>
      </c>
      <c r="S529" s="712">
        <v>0</v>
      </c>
      <c r="T529" s="712">
        <v>5032635</v>
      </c>
      <c r="U529" s="712">
        <v>5032640</v>
      </c>
      <c r="V529" s="712">
        <v>326389350</v>
      </c>
      <c r="W529" s="712">
        <v>0</v>
      </c>
      <c r="X529" s="712">
        <v>0</v>
      </c>
      <c r="Y529" s="712">
        <v>0</v>
      </c>
      <c r="Z529" s="712">
        <v>0</v>
      </c>
      <c r="AA529" s="712">
        <v>0</v>
      </c>
      <c r="AB529" s="712">
        <v>0</v>
      </c>
      <c r="AC529" s="712">
        <v>0</v>
      </c>
      <c r="AD529" s="712">
        <v>0</v>
      </c>
      <c r="AE529" s="712">
        <v>0</v>
      </c>
      <c r="AF529" s="712">
        <v>0</v>
      </c>
      <c r="AG529" s="712">
        <v>0</v>
      </c>
      <c r="AH529" s="712">
        <v>0</v>
      </c>
      <c r="AI529" s="712">
        <v>0</v>
      </c>
      <c r="AJ529" s="712">
        <v>0</v>
      </c>
      <c r="AK529" s="712">
        <v>0</v>
      </c>
      <c r="AL529" s="712">
        <v>0</v>
      </c>
      <c r="AM529" s="712">
        <v>0</v>
      </c>
      <c r="AN529" s="712">
        <v>0</v>
      </c>
      <c r="AO529" s="712">
        <v>0</v>
      </c>
      <c r="AP529" s="712">
        <v>0</v>
      </c>
      <c r="AQ529" s="712">
        <v>0</v>
      </c>
      <c r="AR529" s="712">
        <v>0</v>
      </c>
      <c r="AS529" s="712">
        <v>0</v>
      </c>
      <c r="AT529">
        <v>336454625</v>
      </c>
      <c r="AU529" s="609"/>
      <c r="AV529" s="609"/>
      <c r="AW529" s="609"/>
      <c r="AX529" s="609"/>
      <c r="AY529" s="609"/>
      <c r="AZ529" s="615"/>
      <c r="BA529" s="615"/>
      <c r="BB529" s="615"/>
      <c r="BC529" s="615"/>
      <c r="BD529" s="615"/>
      <c r="BE529" s="615"/>
      <c r="BF529" s="615"/>
      <c r="BG529" s="615"/>
      <c r="BH529" s="615"/>
      <c r="BI529" s="615"/>
      <c r="BJ529" s="615"/>
      <c r="BK529" s="615"/>
      <c r="BL529" s="615"/>
      <c r="BM529" s="615"/>
      <c r="BN529" s="615"/>
      <c r="BO529" s="615"/>
      <c r="BP529" s="615"/>
      <c r="BQ529" s="615"/>
      <c r="BR529" s="615"/>
      <c r="BS529" s="615"/>
      <c r="BT529" s="615"/>
      <c r="BU529" s="615"/>
      <c r="BV529" s="615"/>
      <c r="BW529" s="615"/>
      <c r="BX529" s="607"/>
    </row>
    <row r="530" spans="1:76" ht="25.5" x14ac:dyDescent="0.2">
      <c r="A530" s="839"/>
      <c r="B530" s="713" t="s">
        <v>2248</v>
      </c>
      <c r="C530" s="713" t="s">
        <v>3701</v>
      </c>
      <c r="D530" s="712">
        <v>0</v>
      </c>
      <c r="E530" s="712">
        <v>0</v>
      </c>
      <c r="F530" s="712">
        <v>0</v>
      </c>
      <c r="G530" s="712">
        <v>0</v>
      </c>
      <c r="H530" s="712">
        <v>0</v>
      </c>
      <c r="I530" s="712">
        <v>0</v>
      </c>
      <c r="J530" s="712">
        <v>0</v>
      </c>
      <c r="K530" s="712">
        <v>0</v>
      </c>
      <c r="L530" s="712">
        <v>0</v>
      </c>
      <c r="M530" s="712">
        <v>0</v>
      </c>
      <c r="N530" s="712">
        <v>0</v>
      </c>
      <c r="O530" s="712">
        <v>0</v>
      </c>
      <c r="P530" s="712">
        <v>0</v>
      </c>
      <c r="Q530" s="712">
        <v>0</v>
      </c>
      <c r="R530" s="712">
        <v>0</v>
      </c>
      <c r="S530" s="712">
        <v>0</v>
      </c>
      <c r="T530" s="712">
        <v>4999233</v>
      </c>
      <c r="U530" s="712">
        <v>273951128</v>
      </c>
      <c r="V530" s="712">
        <v>0</v>
      </c>
      <c r="W530" s="712">
        <v>0</v>
      </c>
      <c r="X530" s="712">
        <v>0</v>
      </c>
      <c r="Y530" s="712">
        <v>0</v>
      </c>
      <c r="Z530" s="712">
        <v>0</v>
      </c>
      <c r="AA530" s="712">
        <v>0</v>
      </c>
      <c r="AB530" s="712">
        <v>0</v>
      </c>
      <c r="AC530" s="712">
        <v>0</v>
      </c>
      <c r="AD530" s="712">
        <v>0</v>
      </c>
      <c r="AE530" s="712">
        <v>0</v>
      </c>
      <c r="AF530" s="712">
        <v>0</v>
      </c>
      <c r="AG530" s="712">
        <v>0</v>
      </c>
      <c r="AH530" s="712">
        <v>0</v>
      </c>
      <c r="AI530" s="712">
        <v>0</v>
      </c>
      <c r="AJ530" s="712">
        <v>0</v>
      </c>
      <c r="AK530" s="712">
        <v>0</v>
      </c>
      <c r="AL530" s="712">
        <v>0</v>
      </c>
      <c r="AM530" s="712">
        <v>0</v>
      </c>
      <c r="AN530" s="712">
        <v>0</v>
      </c>
      <c r="AO530" s="712">
        <v>0</v>
      </c>
      <c r="AP530" s="712">
        <v>0</v>
      </c>
      <c r="AQ530" s="712">
        <v>0</v>
      </c>
      <c r="AR530" s="712">
        <v>0</v>
      </c>
      <c r="AS530" s="712">
        <v>0</v>
      </c>
      <c r="AT530">
        <v>278950361</v>
      </c>
      <c r="AU530" s="609"/>
      <c r="AV530" s="609"/>
      <c r="AW530" s="609"/>
      <c r="AX530" s="609"/>
      <c r="AY530" s="609"/>
      <c r="AZ530" s="615"/>
      <c r="BA530" s="615"/>
      <c r="BB530" s="615"/>
      <c r="BC530" s="615"/>
      <c r="BD530" s="615"/>
      <c r="BE530" s="615"/>
      <c r="BF530" s="615"/>
      <c r="BG530" s="615"/>
      <c r="BH530" s="615"/>
      <c r="BI530" s="615"/>
      <c r="BJ530" s="615"/>
      <c r="BK530" s="615"/>
      <c r="BL530" s="615"/>
      <c r="BM530" s="615"/>
      <c r="BN530" s="615"/>
      <c r="BO530" s="615"/>
      <c r="BP530" s="615"/>
      <c r="BQ530" s="615"/>
      <c r="BR530" s="615"/>
      <c r="BS530" s="615"/>
      <c r="BT530" s="615"/>
      <c r="BU530" s="615"/>
      <c r="BV530" s="615"/>
      <c r="BW530" s="615"/>
      <c r="BX530" s="607"/>
    </row>
    <row r="531" spans="1:76" ht="25.5" x14ac:dyDescent="0.2">
      <c r="A531" s="839"/>
      <c r="B531" s="713" t="s">
        <v>2581</v>
      </c>
      <c r="C531" s="713" t="s">
        <v>3691</v>
      </c>
      <c r="D531" s="712">
        <v>0</v>
      </c>
      <c r="E531" s="712">
        <v>0</v>
      </c>
      <c r="F531" s="712">
        <v>0</v>
      </c>
      <c r="G531" s="712">
        <v>0</v>
      </c>
      <c r="H531" s="712">
        <v>0</v>
      </c>
      <c r="I531" s="712">
        <v>0</v>
      </c>
      <c r="J531" s="712">
        <v>0</v>
      </c>
      <c r="K531" s="712">
        <v>0</v>
      </c>
      <c r="L531" s="712">
        <v>0</v>
      </c>
      <c r="M531" s="712">
        <v>0</v>
      </c>
      <c r="N531" s="712">
        <v>0</v>
      </c>
      <c r="O531" s="712">
        <v>0</v>
      </c>
      <c r="P531" s="712">
        <v>0</v>
      </c>
      <c r="Q531" s="712">
        <v>0</v>
      </c>
      <c r="R531" s="712">
        <v>0</v>
      </c>
      <c r="S531" s="712">
        <v>6465997</v>
      </c>
      <c r="T531" s="712">
        <v>6466073</v>
      </c>
      <c r="U531" s="712">
        <v>378099880</v>
      </c>
      <c r="V531" s="712">
        <v>0</v>
      </c>
      <c r="W531" s="712">
        <v>0</v>
      </c>
      <c r="X531" s="712">
        <v>0</v>
      </c>
      <c r="Y531" s="712">
        <v>0</v>
      </c>
      <c r="Z531" s="712">
        <v>0</v>
      </c>
      <c r="AA531" s="712">
        <v>0</v>
      </c>
      <c r="AB531" s="712">
        <v>0</v>
      </c>
      <c r="AC531" s="712">
        <v>0</v>
      </c>
      <c r="AD531" s="712">
        <v>0</v>
      </c>
      <c r="AE531" s="712">
        <v>0</v>
      </c>
      <c r="AF531" s="712">
        <v>0</v>
      </c>
      <c r="AG531" s="712">
        <v>0</v>
      </c>
      <c r="AH531" s="712">
        <v>0</v>
      </c>
      <c r="AI531" s="712">
        <v>0</v>
      </c>
      <c r="AJ531" s="712">
        <v>0</v>
      </c>
      <c r="AK531" s="712">
        <v>0</v>
      </c>
      <c r="AL531" s="712">
        <v>0</v>
      </c>
      <c r="AM531" s="712">
        <v>0</v>
      </c>
      <c r="AN531" s="712">
        <v>0</v>
      </c>
      <c r="AO531" s="712">
        <v>0</v>
      </c>
      <c r="AP531" s="712">
        <v>0</v>
      </c>
      <c r="AQ531" s="712">
        <v>0</v>
      </c>
      <c r="AR531" s="712">
        <v>0</v>
      </c>
      <c r="AS531" s="712">
        <v>0</v>
      </c>
      <c r="AT531">
        <v>391031950</v>
      </c>
      <c r="AU531" s="609"/>
      <c r="AV531" s="609"/>
      <c r="AW531" s="609"/>
      <c r="AX531" s="609"/>
      <c r="AY531" s="609"/>
      <c r="AZ531" s="615"/>
      <c r="BA531" s="615"/>
      <c r="BB531" s="615"/>
      <c r="BC531" s="615"/>
      <c r="BD531" s="615"/>
      <c r="BE531" s="615"/>
      <c r="BF531" s="615"/>
      <c r="BG531" s="615"/>
      <c r="BH531" s="615"/>
      <c r="BI531" s="615"/>
      <c r="BJ531" s="615"/>
      <c r="BK531" s="615"/>
      <c r="BL531" s="615"/>
      <c r="BM531" s="615"/>
      <c r="BN531" s="615"/>
      <c r="BO531" s="615"/>
      <c r="BP531" s="615"/>
      <c r="BQ531" s="615"/>
      <c r="BR531" s="615"/>
      <c r="BS531" s="615"/>
      <c r="BT531" s="615"/>
      <c r="BU531" s="615"/>
      <c r="BV531" s="615"/>
      <c r="BW531" s="615"/>
      <c r="BX531" s="607"/>
    </row>
    <row r="532" spans="1:76" ht="25.5" x14ac:dyDescent="0.2">
      <c r="A532" s="839"/>
      <c r="B532" s="713" t="s">
        <v>2583</v>
      </c>
      <c r="C532" s="713" t="s">
        <v>3721</v>
      </c>
      <c r="D532" s="712">
        <v>0</v>
      </c>
      <c r="E532" s="712">
        <v>0</v>
      </c>
      <c r="F532" s="712">
        <v>0</v>
      </c>
      <c r="G532" s="712">
        <v>0</v>
      </c>
      <c r="H532" s="712">
        <v>0</v>
      </c>
      <c r="I532" s="712">
        <v>0</v>
      </c>
      <c r="J532" s="712">
        <v>0</v>
      </c>
      <c r="K532" s="712">
        <v>0</v>
      </c>
      <c r="L532" s="712">
        <v>0</v>
      </c>
      <c r="M532" s="712">
        <v>0</v>
      </c>
      <c r="N532" s="712">
        <v>0</v>
      </c>
      <c r="O532" s="712">
        <v>0</v>
      </c>
      <c r="P532" s="712">
        <v>0</v>
      </c>
      <c r="Q532" s="712">
        <v>0</v>
      </c>
      <c r="R532" s="712">
        <v>4295675</v>
      </c>
      <c r="S532" s="712">
        <v>4911827</v>
      </c>
      <c r="T532" s="712">
        <v>4911827</v>
      </c>
      <c r="U532" s="712">
        <v>4911821</v>
      </c>
      <c r="V532" s="712">
        <v>329881326</v>
      </c>
      <c r="W532" s="712">
        <v>0</v>
      </c>
      <c r="X532" s="712">
        <v>0</v>
      </c>
      <c r="Y532" s="712">
        <v>0</v>
      </c>
      <c r="Z532" s="712">
        <v>0</v>
      </c>
      <c r="AA532" s="712">
        <v>0</v>
      </c>
      <c r="AB532" s="712">
        <v>0</v>
      </c>
      <c r="AC532" s="712">
        <v>0</v>
      </c>
      <c r="AD532" s="712">
        <v>0</v>
      </c>
      <c r="AE532" s="712">
        <v>0</v>
      </c>
      <c r="AF532" s="712">
        <v>0</v>
      </c>
      <c r="AG532" s="712">
        <v>0</v>
      </c>
      <c r="AH532" s="712">
        <v>0</v>
      </c>
      <c r="AI532" s="712">
        <v>0</v>
      </c>
      <c r="AJ532" s="712">
        <v>0</v>
      </c>
      <c r="AK532" s="712">
        <v>0</v>
      </c>
      <c r="AL532" s="712">
        <v>0</v>
      </c>
      <c r="AM532" s="712">
        <v>0</v>
      </c>
      <c r="AN532" s="712">
        <v>0</v>
      </c>
      <c r="AO532" s="712">
        <v>0</v>
      </c>
      <c r="AP532" s="712">
        <v>0</v>
      </c>
      <c r="AQ532" s="712">
        <v>0</v>
      </c>
      <c r="AR532" s="712">
        <v>0</v>
      </c>
      <c r="AS532" s="712">
        <v>0</v>
      </c>
      <c r="AT532">
        <v>348912476</v>
      </c>
      <c r="AU532" s="609"/>
      <c r="AV532" s="609"/>
      <c r="AW532" s="609"/>
      <c r="AX532" s="609"/>
      <c r="AY532" s="609"/>
      <c r="AZ532" s="615"/>
      <c r="BA532" s="615"/>
      <c r="BB532" s="615"/>
      <c r="BC532" s="615"/>
      <c r="BD532" s="615"/>
      <c r="BE532" s="615"/>
      <c r="BF532" s="615"/>
      <c r="BG532" s="615"/>
      <c r="BH532" s="615"/>
      <c r="BI532" s="615"/>
      <c r="BJ532" s="615"/>
      <c r="BK532" s="615"/>
      <c r="BL532" s="615"/>
      <c r="BM532" s="615"/>
      <c r="BN532" s="615"/>
      <c r="BO532" s="615"/>
      <c r="BP532" s="615"/>
      <c r="BQ532" s="615"/>
      <c r="BR532" s="615"/>
      <c r="BS532" s="615"/>
      <c r="BT532" s="615"/>
      <c r="BU532" s="615"/>
      <c r="BV532" s="615"/>
      <c r="BW532" s="615"/>
      <c r="BX532" s="607"/>
    </row>
    <row r="533" spans="1:76" ht="25.5" x14ac:dyDescent="0.2">
      <c r="A533" s="839"/>
      <c r="B533" s="713" t="s">
        <v>1553</v>
      </c>
      <c r="C533" s="713" t="s">
        <v>3689</v>
      </c>
      <c r="D533" s="712">
        <v>0</v>
      </c>
      <c r="E533" s="712">
        <v>0</v>
      </c>
      <c r="F533" s="712">
        <v>0</v>
      </c>
      <c r="G533" s="712">
        <v>0</v>
      </c>
      <c r="H533" s="712">
        <v>0</v>
      </c>
      <c r="I533" s="712">
        <v>0</v>
      </c>
      <c r="J533" s="712">
        <v>0</v>
      </c>
      <c r="K533" s="712">
        <v>0</v>
      </c>
      <c r="L533" s="712">
        <v>0</v>
      </c>
      <c r="M533" s="712">
        <v>0</v>
      </c>
      <c r="N533" s="712">
        <v>0</v>
      </c>
      <c r="O533" s="712">
        <v>0</v>
      </c>
      <c r="P533" s="712">
        <v>0</v>
      </c>
      <c r="Q533" s="712">
        <v>0</v>
      </c>
      <c r="R533" s="712">
        <v>0</v>
      </c>
      <c r="S533" s="712">
        <v>0</v>
      </c>
      <c r="T533" s="712">
        <v>3737935</v>
      </c>
      <c r="U533" s="712">
        <v>3737935</v>
      </c>
      <c r="V533" s="712">
        <v>325036411</v>
      </c>
      <c r="W533" s="712">
        <v>0</v>
      </c>
      <c r="X533" s="712">
        <v>0</v>
      </c>
      <c r="Y533" s="712">
        <v>0</v>
      </c>
      <c r="Z533" s="712">
        <v>0</v>
      </c>
      <c r="AA533" s="712">
        <v>0</v>
      </c>
      <c r="AB533" s="712">
        <v>0</v>
      </c>
      <c r="AC533" s="712">
        <v>0</v>
      </c>
      <c r="AD533" s="712">
        <v>0</v>
      </c>
      <c r="AE533" s="712">
        <v>0</v>
      </c>
      <c r="AF533" s="712">
        <v>0</v>
      </c>
      <c r="AG533" s="712">
        <v>0</v>
      </c>
      <c r="AH533" s="712">
        <v>0</v>
      </c>
      <c r="AI533" s="712">
        <v>0</v>
      </c>
      <c r="AJ533" s="712">
        <v>0</v>
      </c>
      <c r="AK533" s="712">
        <v>0</v>
      </c>
      <c r="AL533" s="712">
        <v>0</v>
      </c>
      <c r="AM533" s="712">
        <v>0</v>
      </c>
      <c r="AN533" s="712">
        <v>0</v>
      </c>
      <c r="AO533" s="712">
        <v>0</v>
      </c>
      <c r="AP533" s="712">
        <v>0</v>
      </c>
      <c r="AQ533" s="712">
        <v>0</v>
      </c>
      <c r="AR533" s="712">
        <v>0</v>
      </c>
      <c r="AS533" s="712">
        <v>0</v>
      </c>
      <c r="AT533">
        <v>332512281</v>
      </c>
      <c r="AU533" s="609"/>
      <c r="AV533" s="609"/>
      <c r="AW533" s="609"/>
      <c r="AX533" s="609"/>
      <c r="AY533" s="609"/>
      <c r="AZ533" s="615"/>
      <c r="BA533" s="615"/>
      <c r="BB533" s="615"/>
      <c r="BC533" s="615"/>
      <c r="BD533" s="615"/>
      <c r="BE533" s="615"/>
      <c r="BF533" s="615"/>
      <c r="BG533" s="615"/>
      <c r="BH533" s="615"/>
      <c r="BI533" s="615"/>
      <c r="BJ533" s="615"/>
      <c r="BK533" s="615"/>
      <c r="BL533" s="615"/>
      <c r="BM533" s="615"/>
      <c r="BN533" s="615"/>
      <c r="BO533" s="615"/>
      <c r="BP533" s="615"/>
      <c r="BQ533" s="615"/>
      <c r="BR533" s="615"/>
      <c r="BS533" s="615"/>
      <c r="BT533" s="615"/>
      <c r="BU533" s="615"/>
      <c r="BV533" s="615"/>
      <c r="BW533" s="615"/>
      <c r="BX533" s="607"/>
    </row>
    <row r="534" spans="1:76" ht="25.5" x14ac:dyDescent="0.2">
      <c r="A534" s="839"/>
      <c r="B534" s="713" t="s">
        <v>3283</v>
      </c>
      <c r="C534" s="713" t="s">
        <v>3696</v>
      </c>
      <c r="D534" s="712">
        <v>0</v>
      </c>
      <c r="E534" s="712">
        <v>0</v>
      </c>
      <c r="F534" s="712">
        <v>0</v>
      </c>
      <c r="G534" s="712">
        <v>0</v>
      </c>
      <c r="H534" s="712">
        <v>0</v>
      </c>
      <c r="I534" s="712">
        <v>0</v>
      </c>
      <c r="J534" s="712">
        <v>0</v>
      </c>
      <c r="K534" s="712">
        <v>0</v>
      </c>
      <c r="L534" s="712">
        <v>0</v>
      </c>
      <c r="M534" s="712">
        <v>0</v>
      </c>
      <c r="N534" s="712">
        <v>0</v>
      </c>
      <c r="O534" s="712">
        <v>0</v>
      </c>
      <c r="P534" s="712">
        <v>0</v>
      </c>
      <c r="Q534" s="712">
        <v>0</v>
      </c>
      <c r="R534" s="712">
        <v>0</v>
      </c>
      <c r="S534" s="712">
        <v>0</v>
      </c>
      <c r="T534" s="712">
        <v>5750910</v>
      </c>
      <c r="U534" s="712">
        <v>465823665</v>
      </c>
      <c r="V534" s="712">
        <v>0</v>
      </c>
      <c r="W534" s="712">
        <v>0</v>
      </c>
      <c r="X534" s="712">
        <v>0</v>
      </c>
      <c r="Y534" s="712">
        <v>0</v>
      </c>
      <c r="Z534" s="712">
        <v>0</v>
      </c>
      <c r="AA534" s="712">
        <v>0</v>
      </c>
      <c r="AB534" s="712">
        <v>0</v>
      </c>
      <c r="AC534" s="712">
        <v>0</v>
      </c>
      <c r="AD534" s="712">
        <v>0</v>
      </c>
      <c r="AE534" s="712">
        <v>0</v>
      </c>
      <c r="AF534" s="712">
        <v>0</v>
      </c>
      <c r="AG534" s="712">
        <v>0</v>
      </c>
      <c r="AH534" s="712">
        <v>0</v>
      </c>
      <c r="AI534" s="712">
        <v>0</v>
      </c>
      <c r="AJ534" s="712">
        <v>0</v>
      </c>
      <c r="AK534" s="712">
        <v>0</v>
      </c>
      <c r="AL534" s="712">
        <v>0</v>
      </c>
      <c r="AM534" s="712">
        <v>0</v>
      </c>
      <c r="AN534" s="712">
        <v>0</v>
      </c>
      <c r="AO534" s="712">
        <v>0</v>
      </c>
      <c r="AP534" s="712">
        <v>0</v>
      </c>
      <c r="AQ534" s="712">
        <v>0</v>
      </c>
      <c r="AR534" s="712">
        <v>0</v>
      </c>
      <c r="AS534" s="712">
        <v>0</v>
      </c>
      <c r="AT534">
        <v>471574575</v>
      </c>
      <c r="AU534" s="609"/>
      <c r="AV534" s="609"/>
      <c r="AW534" s="609"/>
      <c r="AX534" s="609"/>
      <c r="AY534" s="609"/>
      <c r="AZ534" s="615"/>
      <c r="BA534" s="615"/>
      <c r="BB534" s="615"/>
      <c r="BC534" s="615"/>
      <c r="BD534" s="615"/>
      <c r="BE534" s="615"/>
      <c r="BF534" s="615"/>
      <c r="BG534" s="615"/>
      <c r="BH534" s="615"/>
      <c r="BI534" s="615"/>
      <c r="BJ534" s="615"/>
      <c r="BK534" s="615"/>
      <c r="BL534" s="615"/>
      <c r="BM534" s="615"/>
      <c r="BN534" s="615"/>
      <c r="BO534" s="615"/>
      <c r="BP534" s="615"/>
      <c r="BQ534" s="615"/>
      <c r="BR534" s="615"/>
      <c r="BS534" s="615"/>
      <c r="BT534" s="615"/>
      <c r="BU534" s="615"/>
      <c r="BV534" s="615"/>
      <c r="BW534" s="615"/>
      <c r="BX534" s="607"/>
    </row>
    <row r="535" spans="1:76" ht="38.25" x14ac:dyDescent="0.2">
      <c r="A535" s="839"/>
      <c r="B535" s="713" t="s">
        <v>1986</v>
      </c>
      <c r="C535" s="713" t="s">
        <v>3724</v>
      </c>
      <c r="D535" s="712">
        <v>0</v>
      </c>
      <c r="E535" s="712">
        <v>0</v>
      </c>
      <c r="F535" s="712">
        <v>0</v>
      </c>
      <c r="G535" s="712">
        <v>0</v>
      </c>
      <c r="H535" s="712">
        <v>0</v>
      </c>
      <c r="I535" s="712">
        <v>0</v>
      </c>
      <c r="J535" s="712">
        <v>0</v>
      </c>
      <c r="K535" s="712">
        <v>0</v>
      </c>
      <c r="L535" s="712">
        <v>0</v>
      </c>
      <c r="M535" s="712">
        <v>0</v>
      </c>
      <c r="N535" s="712">
        <v>0</v>
      </c>
      <c r="O535" s="712">
        <v>0</v>
      </c>
      <c r="P535" s="712">
        <v>0</v>
      </c>
      <c r="Q535" s="712">
        <v>0</v>
      </c>
      <c r="R535" s="712">
        <v>0</v>
      </c>
      <c r="S535" s="712">
        <v>28875050</v>
      </c>
      <c r="T535" s="712">
        <v>271882597</v>
      </c>
      <c r="U535" s="712">
        <v>0</v>
      </c>
      <c r="V535" s="712">
        <v>0</v>
      </c>
      <c r="W535" s="712">
        <v>0</v>
      </c>
      <c r="X535" s="712">
        <v>0</v>
      </c>
      <c r="Y535" s="712">
        <v>0</v>
      </c>
      <c r="Z535" s="712">
        <v>0</v>
      </c>
      <c r="AA535" s="712">
        <v>0</v>
      </c>
      <c r="AB535" s="712">
        <v>0</v>
      </c>
      <c r="AC535" s="712">
        <v>0</v>
      </c>
      <c r="AD535" s="712">
        <v>0</v>
      </c>
      <c r="AE535" s="712">
        <v>0</v>
      </c>
      <c r="AF535" s="712">
        <v>0</v>
      </c>
      <c r="AG535" s="712">
        <v>0</v>
      </c>
      <c r="AH535" s="712">
        <v>0</v>
      </c>
      <c r="AI535" s="712">
        <v>0</v>
      </c>
      <c r="AJ535" s="712">
        <v>0</v>
      </c>
      <c r="AK535" s="712">
        <v>0</v>
      </c>
      <c r="AL535" s="712">
        <v>0</v>
      </c>
      <c r="AM535" s="712">
        <v>0</v>
      </c>
      <c r="AN535" s="712">
        <v>0</v>
      </c>
      <c r="AO535" s="712">
        <v>0</v>
      </c>
      <c r="AP535" s="712">
        <v>0</v>
      </c>
      <c r="AQ535" s="712">
        <v>0</v>
      </c>
      <c r="AR535" s="712">
        <v>0</v>
      </c>
      <c r="AS535" s="712">
        <v>0</v>
      </c>
      <c r="AT535">
        <v>300757647</v>
      </c>
      <c r="AU535" s="609"/>
      <c r="AV535" s="609"/>
      <c r="AW535" s="609"/>
      <c r="AX535" s="609"/>
      <c r="AY535" s="609"/>
      <c r="AZ535" s="615"/>
      <c r="BA535" s="615"/>
      <c r="BB535" s="615"/>
      <c r="BC535" s="615"/>
      <c r="BD535" s="615"/>
      <c r="BE535" s="615"/>
      <c r="BF535" s="615"/>
      <c r="BG535" s="615"/>
      <c r="BH535" s="615"/>
      <c r="BI535" s="615"/>
      <c r="BJ535" s="615"/>
      <c r="BK535" s="615"/>
      <c r="BL535" s="615"/>
      <c r="BM535" s="615"/>
      <c r="BN535" s="615"/>
      <c r="BO535" s="615"/>
      <c r="BP535" s="615"/>
      <c r="BQ535" s="615"/>
      <c r="BR535" s="615"/>
      <c r="BS535" s="615"/>
      <c r="BT535" s="615"/>
      <c r="BU535" s="615"/>
      <c r="BV535" s="615"/>
      <c r="BW535" s="615"/>
      <c r="BX535" s="607"/>
    </row>
    <row r="536" spans="1:76" ht="25.5" x14ac:dyDescent="0.2">
      <c r="A536" s="839"/>
      <c r="B536" s="713" t="s">
        <v>1435</v>
      </c>
      <c r="C536" s="713" t="s">
        <v>3686</v>
      </c>
      <c r="D536" s="712">
        <v>0</v>
      </c>
      <c r="E536" s="712">
        <v>0</v>
      </c>
      <c r="F536" s="712">
        <v>0</v>
      </c>
      <c r="G536" s="712">
        <v>0</v>
      </c>
      <c r="H536" s="712">
        <v>0</v>
      </c>
      <c r="I536" s="712">
        <v>0</v>
      </c>
      <c r="J536" s="712">
        <v>0</v>
      </c>
      <c r="K536" s="712">
        <v>0</v>
      </c>
      <c r="L536" s="712">
        <v>0</v>
      </c>
      <c r="M536" s="712">
        <v>0</v>
      </c>
      <c r="N536" s="712">
        <v>0</v>
      </c>
      <c r="O536" s="712">
        <v>0</v>
      </c>
      <c r="P536" s="712">
        <v>0</v>
      </c>
      <c r="Q536" s="712">
        <v>4141993</v>
      </c>
      <c r="R536" s="712">
        <v>4200000</v>
      </c>
      <c r="S536" s="712">
        <v>4200000</v>
      </c>
      <c r="T536" s="712">
        <v>6295055</v>
      </c>
      <c r="U536" s="712">
        <v>322841400</v>
      </c>
      <c r="V536" s="712">
        <v>0</v>
      </c>
      <c r="W536" s="712">
        <v>0</v>
      </c>
      <c r="X536" s="712">
        <v>0</v>
      </c>
      <c r="Y536" s="712">
        <v>0</v>
      </c>
      <c r="Z536" s="712">
        <v>0</v>
      </c>
      <c r="AA536" s="712">
        <v>0</v>
      </c>
      <c r="AB536" s="712">
        <v>0</v>
      </c>
      <c r="AC536" s="712">
        <v>0</v>
      </c>
      <c r="AD536" s="712">
        <v>0</v>
      </c>
      <c r="AE536" s="712">
        <v>0</v>
      </c>
      <c r="AF536" s="712">
        <v>0</v>
      </c>
      <c r="AG536" s="712">
        <v>0</v>
      </c>
      <c r="AH536" s="712">
        <v>0</v>
      </c>
      <c r="AI536" s="712">
        <v>0</v>
      </c>
      <c r="AJ536" s="712">
        <v>0</v>
      </c>
      <c r="AK536" s="712">
        <v>0</v>
      </c>
      <c r="AL536" s="712">
        <v>0</v>
      </c>
      <c r="AM536" s="712">
        <v>0</v>
      </c>
      <c r="AN536" s="712">
        <v>0</v>
      </c>
      <c r="AO536" s="712">
        <v>0</v>
      </c>
      <c r="AP536" s="712">
        <v>0</v>
      </c>
      <c r="AQ536" s="712">
        <v>0</v>
      </c>
      <c r="AR536" s="712">
        <v>0</v>
      </c>
      <c r="AS536" s="712">
        <v>0</v>
      </c>
      <c r="AT536">
        <v>341678448</v>
      </c>
      <c r="AU536" s="609"/>
      <c r="AV536" s="609"/>
      <c r="AW536" s="609"/>
      <c r="AX536" s="609"/>
      <c r="AY536" s="609"/>
      <c r="AZ536" s="615"/>
      <c r="BA536" s="615"/>
      <c r="BB536" s="615"/>
      <c r="BC536" s="615"/>
      <c r="BD536" s="615"/>
      <c r="BE536" s="615"/>
      <c r="BF536" s="615"/>
      <c r="BG536" s="615"/>
      <c r="BH536" s="615"/>
      <c r="BI536" s="615"/>
      <c r="BJ536" s="615"/>
      <c r="BK536" s="615"/>
      <c r="BL536" s="615"/>
      <c r="BM536" s="615"/>
      <c r="BN536" s="615"/>
      <c r="BO536" s="615"/>
      <c r="BP536" s="615"/>
      <c r="BQ536" s="615"/>
      <c r="BR536" s="615"/>
      <c r="BS536" s="615"/>
      <c r="BT536" s="615"/>
      <c r="BU536" s="615"/>
      <c r="BV536" s="615"/>
      <c r="BW536" s="615"/>
      <c r="BX536" s="607"/>
    </row>
    <row r="537" spans="1:76" ht="25.5" x14ac:dyDescent="0.2">
      <c r="A537" s="839"/>
      <c r="B537" s="713" t="s">
        <v>1724</v>
      </c>
      <c r="C537" s="713" t="s">
        <v>3708</v>
      </c>
      <c r="D537" s="712">
        <v>0</v>
      </c>
      <c r="E537" s="712">
        <v>0</v>
      </c>
      <c r="F537" s="712">
        <v>0</v>
      </c>
      <c r="G537" s="712">
        <v>0</v>
      </c>
      <c r="H537" s="712">
        <v>0</v>
      </c>
      <c r="I537" s="712">
        <v>0</v>
      </c>
      <c r="J537" s="712">
        <v>0</v>
      </c>
      <c r="K537" s="712">
        <v>0</v>
      </c>
      <c r="L537" s="712">
        <v>0</v>
      </c>
      <c r="M537" s="712">
        <v>0</v>
      </c>
      <c r="N537" s="712">
        <v>0</v>
      </c>
      <c r="O537" s="712">
        <v>0</v>
      </c>
      <c r="P537" s="712">
        <v>0</v>
      </c>
      <c r="Q537" s="712">
        <v>0</v>
      </c>
      <c r="R537" s="712">
        <v>0</v>
      </c>
      <c r="S537" s="712">
        <v>0</v>
      </c>
      <c r="T537" s="712">
        <v>0</v>
      </c>
      <c r="U537" s="712">
        <v>4337182</v>
      </c>
      <c r="V537" s="712">
        <v>5160781</v>
      </c>
      <c r="W537" s="712">
        <v>5160781</v>
      </c>
      <c r="X537" s="712">
        <v>5160781</v>
      </c>
      <c r="Y537" s="712">
        <v>5160775</v>
      </c>
      <c r="Z537" s="712">
        <v>321971334</v>
      </c>
      <c r="AA537" s="712">
        <v>0</v>
      </c>
      <c r="AB537" s="712">
        <v>0</v>
      </c>
      <c r="AC537" s="712">
        <v>0</v>
      </c>
      <c r="AD537" s="712">
        <v>0</v>
      </c>
      <c r="AE537" s="712">
        <v>0</v>
      </c>
      <c r="AF537" s="712">
        <v>0</v>
      </c>
      <c r="AG537" s="712">
        <v>0</v>
      </c>
      <c r="AH537" s="712">
        <v>0</v>
      </c>
      <c r="AI537" s="712">
        <v>0</v>
      </c>
      <c r="AJ537" s="712">
        <v>0</v>
      </c>
      <c r="AK537" s="712">
        <v>0</v>
      </c>
      <c r="AL537" s="712">
        <v>0</v>
      </c>
      <c r="AM537" s="712">
        <v>0</v>
      </c>
      <c r="AN537" s="712">
        <v>0</v>
      </c>
      <c r="AO537" s="712">
        <v>0</v>
      </c>
      <c r="AP537" s="712">
        <v>0</v>
      </c>
      <c r="AQ537" s="712">
        <v>0</v>
      </c>
      <c r="AR537" s="712">
        <v>0</v>
      </c>
      <c r="AS537" s="712">
        <v>0</v>
      </c>
      <c r="AT537">
        <v>346951634</v>
      </c>
      <c r="AU537" s="609"/>
      <c r="AV537" s="609"/>
      <c r="AW537" s="609"/>
      <c r="AX537" s="609"/>
      <c r="AY537" s="609"/>
      <c r="AZ537" s="615"/>
      <c r="BA537" s="615"/>
      <c r="BB537" s="615"/>
      <c r="BC537" s="615"/>
      <c r="BD537" s="615"/>
      <c r="BE537" s="615"/>
      <c r="BF537" s="615"/>
      <c r="BG537" s="615"/>
      <c r="BH537" s="615"/>
      <c r="BI537" s="615"/>
      <c r="BJ537" s="615"/>
      <c r="BK537" s="615"/>
      <c r="BL537" s="615"/>
      <c r="BM537" s="615"/>
      <c r="BN537" s="615"/>
      <c r="BO537" s="615"/>
      <c r="BP537" s="615"/>
      <c r="BQ537" s="615"/>
      <c r="BR537" s="615"/>
      <c r="BS537" s="615"/>
      <c r="BT537" s="615"/>
      <c r="BU537" s="615"/>
      <c r="BV537" s="615"/>
      <c r="BW537" s="615"/>
      <c r="BX537" s="607"/>
    </row>
    <row r="538" spans="1:76" ht="25.5" x14ac:dyDescent="0.2">
      <c r="A538" s="839"/>
      <c r="B538" s="713" t="s">
        <v>1673</v>
      </c>
      <c r="C538" s="713" t="s">
        <v>3711</v>
      </c>
      <c r="D538" s="712">
        <v>0</v>
      </c>
      <c r="E538" s="712">
        <v>0</v>
      </c>
      <c r="F538" s="712">
        <v>0</v>
      </c>
      <c r="G538" s="712">
        <v>0</v>
      </c>
      <c r="H538" s="712">
        <v>0</v>
      </c>
      <c r="I538" s="712">
        <v>0</v>
      </c>
      <c r="J538" s="712">
        <v>0</v>
      </c>
      <c r="K538" s="712">
        <v>0</v>
      </c>
      <c r="L538" s="712">
        <v>0</v>
      </c>
      <c r="M538" s="712">
        <v>0</v>
      </c>
      <c r="N538" s="712">
        <v>0</v>
      </c>
      <c r="O538" s="712">
        <v>0</v>
      </c>
      <c r="P538" s="712">
        <v>0</v>
      </c>
      <c r="Q538" s="712">
        <v>0</v>
      </c>
      <c r="R538" s="712">
        <v>0</v>
      </c>
      <c r="S538" s="712">
        <v>4531000</v>
      </c>
      <c r="T538" s="712">
        <v>5166550</v>
      </c>
      <c r="U538" s="712">
        <v>5166550</v>
      </c>
      <c r="V538" s="712">
        <v>5166550</v>
      </c>
      <c r="W538" s="712">
        <v>5166550</v>
      </c>
      <c r="X538" s="712">
        <v>5166550</v>
      </c>
      <c r="Y538" s="712">
        <v>5166550</v>
      </c>
      <c r="Z538" s="712">
        <v>322770700</v>
      </c>
      <c r="AA538" s="712">
        <v>0</v>
      </c>
      <c r="AB538" s="712">
        <v>0</v>
      </c>
      <c r="AC538" s="712">
        <v>0</v>
      </c>
      <c r="AD538" s="712">
        <v>0</v>
      </c>
      <c r="AE538" s="712">
        <v>0</v>
      </c>
      <c r="AF538" s="712">
        <v>0</v>
      </c>
      <c r="AG538" s="712">
        <v>0</v>
      </c>
      <c r="AH538" s="712">
        <v>0</v>
      </c>
      <c r="AI538" s="712">
        <v>0</v>
      </c>
      <c r="AJ538" s="712">
        <v>0</v>
      </c>
      <c r="AK538" s="712">
        <v>0</v>
      </c>
      <c r="AL538" s="712">
        <v>0</v>
      </c>
      <c r="AM538" s="712">
        <v>0</v>
      </c>
      <c r="AN538" s="712">
        <v>0</v>
      </c>
      <c r="AO538" s="712">
        <v>0</v>
      </c>
      <c r="AP538" s="712">
        <v>0</v>
      </c>
      <c r="AQ538" s="712">
        <v>0</v>
      </c>
      <c r="AR538" s="712">
        <v>0</v>
      </c>
      <c r="AS538" s="712">
        <v>0</v>
      </c>
      <c r="AT538">
        <v>358301000</v>
      </c>
      <c r="AU538" s="609"/>
      <c r="AV538" s="609"/>
      <c r="AW538" s="609"/>
      <c r="AX538" s="609"/>
      <c r="AY538" s="609"/>
      <c r="AZ538" s="615"/>
      <c r="BA538" s="615"/>
      <c r="BB538" s="615"/>
      <c r="BC538" s="615"/>
      <c r="BD538" s="615"/>
      <c r="BE538" s="615"/>
      <c r="BF538" s="615"/>
      <c r="BG538" s="615"/>
      <c r="BH538" s="615"/>
      <c r="BI538" s="615"/>
      <c r="BJ538" s="615"/>
      <c r="BK538" s="615"/>
      <c r="BL538" s="615"/>
      <c r="BM538" s="615"/>
      <c r="BN538" s="615"/>
      <c r="BO538" s="615"/>
      <c r="BP538" s="615"/>
      <c r="BQ538" s="615"/>
      <c r="BR538" s="615"/>
      <c r="BS538" s="615"/>
      <c r="BT538" s="615"/>
      <c r="BU538" s="615"/>
      <c r="BV538" s="615"/>
      <c r="BW538" s="615"/>
      <c r="BX538" s="607"/>
    </row>
    <row r="539" spans="1:76" ht="25.5" x14ac:dyDescent="0.2">
      <c r="A539" s="839"/>
      <c r="B539" s="713" t="s">
        <v>1721</v>
      </c>
      <c r="C539" s="713" t="s">
        <v>3672</v>
      </c>
      <c r="D539" s="712">
        <v>0</v>
      </c>
      <c r="E539" s="712">
        <v>0</v>
      </c>
      <c r="F539" s="712">
        <v>0</v>
      </c>
      <c r="G539" s="712">
        <v>0</v>
      </c>
      <c r="H539" s="712">
        <v>0</v>
      </c>
      <c r="I539" s="712">
        <v>0</v>
      </c>
      <c r="J539" s="712">
        <v>0</v>
      </c>
      <c r="K539" s="712">
        <v>0</v>
      </c>
      <c r="L539" s="712">
        <v>0</v>
      </c>
      <c r="M539" s="712">
        <v>0</v>
      </c>
      <c r="N539" s="712">
        <v>0</v>
      </c>
      <c r="O539" s="712">
        <v>0</v>
      </c>
      <c r="P539" s="712">
        <v>0</v>
      </c>
      <c r="Q539" s="712">
        <v>0</v>
      </c>
      <c r="R539" s="712">
        <v>0</v>
      </c>
      <c r="S539" s="712">
        <v>1931850</v>
      </c>
      <c r="T539" s="712">
        <v>5293473</v>
      </c>
      <c r="U539" s="712">
        <v>5293473</v>
      </c>
      <c r="V539" s="712">
        <v>5293473</v>
      </c>
      <c r="W539" s="712">
        <v>5293473</v>
      </c>
      <c r="X539" s="712">
        <v>5293473</v>
      </c>
      <c r="Y539" s="712">
        <v>5293475</v>
      </c>
      <c r="Z539" s="712">
        <v>330470700</v>
      </c>
      <c r="AA539" s="712">
        <v>0</v>
      </c>
      <c r="AB539" s="712">
        <v>0</v>
      </c>
      <c r="AC539" s="712">
        <v>0</v>
      </c>
      <c r="AD539" s="712">
        <v>0</v>
      </c>
      <c r="AE539" s="712">
        <v>0</v>
      </c>
      <c r="AF539" s="712">
        <v>0</v>
      </c>
      <c r="AG539" s="712">
        <v>0</v>
      </c>
      <c r="AH539" s="712">
        <v>0</v>
      </c>
      <c r="AI539" s="712">
        <v>0</v>
      </c>
      <c r="AJ539" s="712">
        <v>0</v>
      </c>
      <c r="AK539" s="712">
        <v>0</v>
      </c>
      <c r="AL539" s="712">
        <v>0</v>
      </c>
      <c r="AM539" s="712">
        <v>0</v>
      </c>
      <c r="AN539" s="712">
        <v>0</v>
      </c>
      <c r="AO539" s="712">
        <v>0</v>
      </c>
      <c r="AP539" s="712">
        <v>0</v>
      </c>
      <c r="AQ539" s="712">
        <v>0</v>
      </c>
      <c r="AR539" s="712">
        <v>0</v>
      </c>
      <c r="AS539" s="712">
        <v>0</v>
      </c>
      <c r="AT539">
        <v>364163390</v>
      </c>
      <c r="AU539" s="609"/>
      <c r="AV539" s="609"/>
      <c r="AW539" s="609"/>
      <c r="AX539" s="609"/>
      <c r="AY539" s="609"/>
      <c r="AZ539" s="615"/>
      <c r="BA539" s="615"/>
      <c r="BB539" s="615"/>
      <c r="BC539" s="615"/>
      <c r="BD539" s="615"/>
      <c r="BE539" s="615"/>
      <c r="BF539" s="615"/>
      <c r="BG539" s="615"/>
      <c r="BH539" s="615"/>
      <c r="BI539" s="615"/>
      <c r="BJ539" s="615"/>
      <c r="BK539" s="615"/>
      <c r="BL539" s="615"/>
      <c r="BM539" s="615"/>
      <c r="BN539" s="615"/>
      <c r="BO539" s="615"/>
      <c r="BP539" s="615"/>
      <c r="BQ539" s="615"/>
      <c r="BR539" s="615"/>
      <c r="BS539" s="615"/>
      <c r="BT539" s="615"/>
      <c r="BU539" s="615"/>
      <c r="BV539" s="615"/>
      <c r="BW539" s="615"/>
      <c r="BX539" s="607"/>
    </row>
    <row r="540" spans="1:76" ht="25.5" x14ac:dyDescent="0.2">
      <c r="A540" s="839"/>
      <c r="B540" s="713" t="s">
        <v>3685</v>
      </c>
      <c r="C540" s="713" t="s">
        <v>3684</v>
      </c>
      <c r="D540" s="712">
        <v>0</v>
      </c>
      <c r="E540" s="712">
        <v>0</v>
      </c>
      <c r="F540" s="712">
        <v>0</v>
      </c>
      <c r="G540" s="712">
        <v>0</v>
      </c>
      <c r="H540" s="712">
        <v>0</v>
      </c>
      <c r="I540" s="712">
        <v>0</v>
      </c>
      <c r="J540" s="712">
        <v>0</v>
      </c>
      <c r="K540" s="712">
        <v>0</v>
      </c>
      <c r="L540" s="712">
        <v>0</v>
      </c>
      <c r="M540" s="712">
        <v>0</v>
      </c>
      <c r="N540" s="712">
        <v>0</v>
      </c>
      <c r="O540" s="712">
        <v>0</v>
      </c>
      <c r="P540" s="712">
        <v>0</v>
      </c>
      <c r="Q540" s="712">
        <v>0</v>
      </c>
      <c r="R540" s="712">
        <v>0</v>
      </c>
      <c r="S540" s="712">
        <v>0</v>
      </c>
      <c r="T540" s="712">
        <v>5291215</v>
      </c>
      <c r="U540" s="712">
        <v>5418243</v>
      </c>
      <c r="V540" s="712">
        <v>5418243</v>
      </c>
      <c r="W540" s="712">
        <v>5418243</v>
      </c>
      <c r="X540" s="712">
        <v>4836490</v>
      </c>
      <c r="Y540" s="712">
        <v>54182435</v>
      </c>
      <c r="Z540" s="712">
        <v>0</v>
      </c>
      <c r="AA540" s="712">
        <v>0</v>
      </c>
      <c r="AB540" s="712">
        <v>0</v>
      </c>
      <c r="AC540" s="712">
        <v>0</v>
      </c>
      <c r="AD540" s="712">
        <v>0</v>
      </c>
      <c r="AE540" s="712">
        <v>0</v>
      </c>
      <c r="AF540" s="712">
        <v>0</v>
      </c>
      <c r="AG540" s="712">
        <v>0</v>
      </c>
      <c r="AH540" s="712">
        <v>0</v>
      </c>
      <c r="AI540" s="712">
        <v>0</v>
      </c>
      <c r="AJ540" s="712">
        <v>0</v>
      </c>
      <c r="AK540" s="712">
        <v>0</v>
      </c>
      <c r="AL540" s="712">
        <v>0</v>
      </c>
      <c r="AM540" s="712">
        <v>0</v>
      </c>
      <c r="AN540" s="712">
        <v>0</v>
      </c>
      <c r="AO540" s="712">
        <v>0</v>
      </c>
      <c r="AP540" s="712">
        <v>0</v>
      </c>
      <c r="AQ540" s="712">
        <v>0</v>
      </c>
      <c r="AR540" s="712">
        <v>433459478</v>
      </c>
      <c r="AS540" s="712">
        <v>0</v>
      </c>
      <c r="AT540">
        <v>514024347</v>
      </c>
      <c r="AU540" s="609"/>
      <c r="AV540" s="609"/>
      <c r="AW540" s="609"/>
      <c r="AX540" s="609"/>
      <c r="AY540" s="609"/>
      <c r="AZ540" s="615"/>
      <c r="BA540" s="615"/>
      <c r="BB540" s="615"/>
      <c r="BC540" s="615"/>
      <c r="BD540" s="615"/>
      <c r="BE540" s="615"/>
      <c r="BF540" s="615"/>
      <c r="BG540" s="615"/>
      <c r="BH540" s="615"/>
      <c r="BI540" s="615"/>
      <c r="BJ540" s="615"/>
      <c r="BK540" s="615"/>
      <c r="BL540" s="615"/>
      <c r="BM540" s="615"/>
      <c r="BN540" s="615"/>
      <c r="BO540" s="615"/>
      <c r="BP540" s="615"/>
      <c r="BQ540" s="615"/>
      <c r="BR540" s="615"/>
      <c r="BS540" s="615"/>
      <c r="BT540" s="615"/>
      <c r="BU540" s="615"/>
      <c r="BV540" s="615"/>
      <c r="BW540" s="615"/>
      <c r="BX540" s="607"/>
    </row>
    <row r="541" spans="1:76" ht="25.5" x14ac:dyDescent="0.2">
      <c r="A541" s="839"/>
      <c r="B541" s="713" t="s">
        <v>1474</v>
      </c>
      <c r="C541" s="713" t="s">
        <v>3699</v>
      </c>
      <c r="D541" s="712">
        <v>0</v>
      </c>
      <c r="E541" s="712">
        <v>0</v>
      </c>
      <c r="F541" s="712">
        <v>0</v>
      </c>
      <c r="G541" s="712">
        <v>0</v>
      </c>
      <c r="H541" s="712">
        <v>0</v>
      </c>
      <c r="I541" s="712">
        <v>0</v>
      </c>
      <c r="J541" s="712">
        <v>0</v>
      </c>
      <c r="K541" s="712">
        <v>0</v>
      </c>
      <c r="L541" s="712">
        <v>0</v>
      </c>
      <c r="M541" s="712">
        <v>0</v>
      </c>
      <c r="N541" s="712">
        <v>0</v>
      </c>
      <c r="O541" s="712">
        <v>0</v>
      </c>
      <c r="P541" s="712">
        <v>0</v>
      </c>
      <c r="Q541" s="712">
        <v>0</v>
      </c>
      <c r="R541" s="712">
        <v>1971306</v>
      </c>
      <c r="S541" s="712">
        <v>4169398</v>
      </c>
      <c r="T541" s="712">
        <v>4169405</v>
      </c>
      <c r="U541" s="712">
        <v>320648402</v>
      </c>
      <c r="V541" s="712">
        <v>0</v>
      </c>
      <c r="W541" s="712">
        <v>0</v>
      </c>
      <c r="X541" s="712">
        <v>0</v>
      </c>
      <c r="Y541" s="712">
        <v>0</v>
      </c>
      <c r="Z541" s="712">
        <v>0</v>
      </c>
      <c r="AA541" s="712">
        <v>0</v>
      </c>
      <c r="AB541" s="712">
        <v>0</v>
      </c>
      <c r="AC541" s="712">
        <v>0</v>
      </c>
      <c r="AD541" s="712">
        <v>0</v>
      </c>
      <c r="AE541" s="712">
        <v>0</v>
      </c>
      <c r="AF541" s="712">
        <v>0</v>
      </c>
      <c r="AG541" s="712">
        <v>0</v>
      </c>
      <c r="AH541" s="712">
        <v>0</v>
      </c>
      <c r="AI541" s="712">
        <v>0</v>
      </c>
      <c r="AJ541" s="712">
        <v>0</v>
      </c>
      <c r="AK541" s="712">
        <v>0</v>
      </c>
      <c r="AL541" s="712">
        <v>0</v>
      </c>
      <c r="AM541" s="712">
        <v>0</v>
      </c>
      <c r="AN541" s="712">
        <v>0</v>
      </c>
      <c r="AO541" s="712">
        <v>0</v>
      </c>
      <c r="AP541" s="712">
        <v>0</v>
      </c>
      <c r="AQ541" s="712">
        <v>0</v>
      </c>
      <c r="AR541" s="712">
        <v>0</v>
      </c>
      <c r="AS541" s="712">
        <v>0</v>
      </c>
      <c r="AT541">
        <v>330958511</v>
      </c>
      <c r="AU541" s="609"/>
      <c r="AV541" s="609"/>
      <c r="AW541" s="609"/>
      <c r="AX541" s="609"/>
      <c r="AY541" s="609"/>
      <c r="AZ541" s="615"/>
      <c r="BA541" s="615"/>
      <c r="BB541" s="615"/>
      <c r="BC541" s="615"/>
      <c r="BD541" s="615"/>
      <c r="BE541" s="615"/>
      <c r="BF541" s="615"/>
      <c r="BG541" s="615"/>
      <c r="BH541" s="615"/>
      <c r="BI541" s="615"/>
      <c r="BJ541" s="615"/>
      <c r="BK541" s="615"/>
      <c r="BL541" s="615"/>
      <c r="BM541" s="615"/>
      <c r="BN541" s="615"/>
      <c r="BO541" s="615"/>
      <c r="BP541" s="615"/>
      <c r="BQ541" s="615"/>
      <c r="BR541" s="615"/>
      <c r="BS541" s="615"/>
      <c r="BT541" s="615"/>
      <c r="BU541" s="615"/>
      <c r="BV541" s="615"/>
      <c r="BW541" s="615"/>
      <c r="BX541" s="607"/>
    </row>
    <row r="542" spans="1:76" ht="25.5" x14ac:dyDescent="0.2">
      <c r="A542" s="839"/>
      <c r="B542" s="713" t="s">
        <v>1475</v>
      </c>
      <c r="C542" s="713" t="s">
        <v>3723</v>
      </c>
      <c r="D542" s="712">
        <v>3392140</v>
      </c>
      <c r="E542" s="712">
        <v>8000000</v>
      </c>
      <c r="F542" s="712">
        <v>8000000</v>
      </c>
      <c r="G542" s="712">
        <v>4300000</v>
      </c>
      <c r="H542" s="712">
        <v>4300000</v>
      </c>
      <c r="I542" s="712">
        <v>4300000</v>
      </c>
      <c r="J542" s="712">
        <v>4300000</v>
      </c>
      <c r="K542" s="712">
        <v>4300000</v>
      </c>
      <c r="L542" s="712">
        <v>4300000</v>
      </c>
      <c r="M542" s="712">
        <v>4300000</v>
      </c>
      <c r="N542" s="712">
        <v>4300000</v>
      </c>
      <c r="O542" s="712">
        <v>4300000</v>
      </c>
      <c r="P542" s="712">
        <v>8000000</v>
      </c>
      <c r="Q542" s="712">
        <v>11771973</v>
      </c>
      <c r="R542" s="712">
        <v>8000000</v>
      </c>
      <c r="S542" s="712">
        <v>10191167</v>
      </c>
      <c r="T542" s="712">
        <v>10191167</v>
      </c>
      <c r="U542" s="712">
        <v>325057943</v>
      </c>
      <c r="V542" s="712">
        <v>0</v>
      </c>
      <c r="W542" s="712">
        <v>0</v>
      </c>
      <c r="X542" s="712">
        <v>0</v>
      </c>
      <c r="Y542" s="712">
        <v>0</v>
      </c>
      <c r="Z542" s="712">
        <v>0</v>
      </c>
      <c r="AA542" s="712">
        <v>0</v>
      </c>
      <c r="AB542" s="712">
        <v>0</v>
      </c>
      <c r="AC542" s="712">
        <v>0</v>
      </c>
      <c r="AD542" s="712">
        <v>0</v>
      </c>
      <c r="AE542" s="712">
        <v>0</v>
      </c>
      <c r="AF542" s="712">
        <v>0</v>
      </c>
      <c r="AG542" s="712">
        <v>0</v>
      </c>
      <c r="AH542" s="712">
        <v>0</v>
      </c>
      <c r="AI542" s="712">
        <v>0</v>
      </c>
      <c r="AJ542" s="712">
        <v>0</v>
      </c>
      <c r="AK542" s="712">
        <v>0</v>
      </c>
      <c r="AL542" s="712">
        <v>0</v>
      </c>
      <c r="AM542" s="712">
        <v>0</v>
      </c>
      <c r="AN542" s="712">
        <v>0</v>
      </c>
      <c r="AO542" s="712">
        <v>0</v>
      </c>
      <c r="AP542" s="712">
        <v>0</v>
      </c>
      <c r="AQ542" s="712">
        <v>0</v>
      </c>
      <c r="AR542" s="712">
        <v>0</v>
      </c>
      <c r="AS542" s="712">
        <v>0</v>
      </c>
      <c r="AT542">
        <v>431304390</v>
      </c>
      <c r="AU542" s="609"/>
      <c r="AV542" s="609"/>
      <c r="AW542" s="609"/>
      <c r="AX542" s="609"/>
      <c r="AY542" s="609"/>
      <c r="AZ542" s="615"/>
      <c r="BA542" s="615"/>
      <c r="BB542" s="615"/>
      <c r="BC542" s="615"/>
      <c r="BD542" s="615"/>
      <c r="BE542" s="615"/>
      <c r="BF542" s="615"/>
      <c r="BG542" s="615"/>
      <c r="BH542" s="615"/>
      <c r="BI542" s="615"/>
      <c r="BJ542" s="615"/>
      <c r="BK542" s="615"/>
      <c r="BL542" s="615"/>
      <c r="BM542" s="615"/>
      <c r="BN542" s="615"/>
      <c r="BO542" s="615"/>
      <c r="BP542" s="615"/>
      <c r="BQ542" s="615"/>
      <c r="BR542" s="615"/>
      <c r="BS542" s="615"/>
      <c r="BT542" s="615"/>
      <c r="BU542" s="615"/>
      <c r="BV542" s="615"/>
      <c r="BW542" s="615"/>
      <c r="BX542" s="607"/>
    </row>
    <row r="543" spans="1:76" ht="25.5" x14ac:dyDescent="0.2">
      <c r="A543" s="839"/>
      <c r="B543" s="713" t="s">
        <v>1347</v>
      </c>
      <c r="C543" s="713" t="s">
        <v>3690</v>
      </c>
      <c r="D543" s="712">
        <v>0</v>
      </c>
      <c r="E543" s="712">
        <v>0</v>
      </c>
      <c r="F543" s="712">
        <v>0</v>
      </c>
      <c r="G543" s="712">
        <v>0</v>
      </c>
      <c r="H543" s="712">
        <v>0</v>
      </c>
      <c r="I543" s="712">
        <v>0</v>
      </c>
      <c r="J543" s="712">
        <v>0</v>
      </c>
      <c r="K543" s="712">
        <v>0</v>
      </c>
      <c r="L543" s="712">
        <v>0</v>
      </c>
      <c r="M543" s="712">
        <v>0</v>
      </c>
      <c r="N543" s="712">
        <v>0</v>
      </c>
      <c r="O543" s="712">
        <v>0</v>
      </c>
      <c r="P543" s="712">
        <v>0</v>
      </c>
      <c r="Q543" s="712">
        <v>0</v>
      </c>
      <c r="R543" s="712">
        <v>0</v>
      </c>
      <c r="S543" s="712">
        <v>0</v>
      </c>
      <c r="T543" s="712">
        <v>4711851</v>
      </c>
      <c r="U543" s="712">
        <v>273117391</v>
      </c>
      <c r="V543" s="712">
        <v>0</v>
      </c>
      <c r="W543" s="712">
        <v>0</v>
      </c>
      <c r="X543" s="712">
        <v>0</v>
      </c>
      <c r="Y543" s="712">
        <v>0</v>
      </c>
      <c r="Z543" s="712">
        <v>0</v>
      </c>
      <c r="AA543" s="712">
        <v>0</v>
      </c>
      <c r="AB543" s="712">
        <v>0</v>
      </c>
      <c r="AC543" s="712">
        <v>0</v>
      </c>
      <c r="AD543" s="712">
        <v>0</v>
      </c>
      <c r="AE543" s="712">
        <v>0</v>
      </c>
      <c r="AF543" s="712">
        <v>0</v>
      </c>
      <c r="AG543" s="712">
        <v>0</v>
      </c>
      <c r="AH543" s="712">
        <v>0</v>
      </c>
      <c r="AI543" s="712">
        <v>0</v>
      </c>
      <c r="AJ543" s="712">
        <v>0</v>
      </c>
      <c r="AK543" s="712">
        <v>0</v>
      </c>
      <c r="AL543" s="712">
        <v>0</v>
      </c>
      <c r="AM543" s="712">
        <v>0</v>
      </c>
      <c r="AN543" s="712">
        <v>0</v>
      </c>
      <c r="AO543" s="712">
        <v>0</v>
      </c>
      <c r="AP543" s="712">
        <v>0</v>
      </c>
      <c r="AQ543" s="712">
        <v>0</v>
      </c>
      <c r="AR543" s="712">
        <v>0</v>
      </c>
      <c r="AS543" s="712">
        <v>0</v>
      </c>
      <c r="AT543">
        <v>277829242</v>
      </c>
      <c r="AU543" s="609"/>
      <c r="AV543" s="609"/>
      <c r="AW543" s="609"/>
      <c r="AX543" s="609"/>
      <c r="AY543" s="609"/>
      <c r="AZ543" s="615"/>
      <c r="BA543" s="615"/>
      <c r="BB543" s="615"/>
      <c r="BC543" s="615"/>
      <c r="BD543" s="615"/>
      <c r="BE543" s="615"/>
      <c r="BF543" s="615"/>
      <c r="BG543" s="615"/>
      <c r="BH543" s="615"/>
      <c r="BI543" s="615"/>
      <c r="BJ543" s="615"/>
      <c r="BK543" s="615"/>
      <c r="BL543" s="615"/>
      <c r="BM543" s="615"/>
      <c r="BN543" s="615"/>
      <c r="BO543" s="615"/>
      <c r="BP543" s="615"/>
      <c r="BQ543" s="615"/>
      <c r="BR543" s="615"/>
      <c r="BS543" s="615"/>
      <c r="BT543" s="615"/>
      <c r="BU543" s="615"/>
      <c r="BV543" s="615"/>
      <c r="BW543" s="615"/>
      <c r="BX543" s="607"/>
    </row>
    <row r="544" spans="1:76" ht="25.5" x14ac:dyDescent="0.2">
      <c r="A544" s="839"/>
      <c r="B544" s="713" t="s">
        <v>1531</v>
      </c>
      <c r="C544" s="713" t="s">
        <v>3659</v>
      </c>
      <c r="D544" s="712">
        <v>0</v>
      </c>
      <c r="E544" s="712">
        <v>0</v>
      </c>
      <c r="F544" s="712">
        <v>0</v>
      </c>
      <c r="G544" s="712">
        <v>0</v>
      </c>
      <c r="H544" s="712">
        <v>0</v>
      </c>
      <c r="I544" s="712">
        <v>0</v>
      </c>
      <c r="J544" s="712">
        <v>0</v>
      </c>
      <c r="K544" s="712">
        <v>0</v>
      </c>
      <c r="L544" s="712">
        <v>0</v>
      </c>
      <c r="M544" s="712">
        <v>0</v>
      </c>
      <c r="N544" s="712">
        <v>0</v>
      </c>
      <c r="O544" s="712">
        <v>0</v>
      </c>
      <c r="P544" s="712">
        <v>0</v>
      </c>
      <c r="Q544" s="712">
        <v>0</v>
      </c>
      <c r="R544" s="712">
        <v>0</v>
      </c>
      <c r="S544" s="712">
        <v>0</v>
      </c>
      <c r="T544" s="712">
        <v>0</v>
      </c>
      <c r="U544" s="712">
        <v>0</v>
      </c>
      <c r="V544" s="712">
        <v>267360141</v>
      </c>
      <c r="W544" s="712">
        <v>0</v>
      </c>
      <c r="X544" s="712">
        <v>0</v>
      </c>
      <c r="Y544" s="712">
        <v>0</v>
      </c>
      <c r="Z544" s="712">
        <v>0</v>
      </c>
      <c r="AA544" s="712">
        <v>0</v>
      </c>
      <c r="AB544" s="712">
        <v>0</v>
      </c>
      <c r="AC544" s="712">
        <v>0</v>
      </c>
      <c r="AD544" s="712">
        <v>0</v>
      </c>
      <c r="AE544" s="712">
        <v>0</v>
      </c>
      <c r="AF544" s="712">
        <v>0</v>
      </c>
      <c r="AG544" s="712">
        <v>0</v>
      </c>
      <c r="AH544" s="712">
        <v>0</v>
      </c>
      <c r="AI544" s="712">
        <v>0</v>
      </c>
      <c r="AJ544" s="712">
        <v>0</v>
      </c>
      <c r="AK544" s="712">
        <v>0</v>
      </c>
      <c r="AL544" s="712">
        <v>0</v>
      </c>
      <c r="AM544" s="712">
        <v>0</v>
      </c>
      <c r="AN544" s="712">
        <v>0</v>
      </c>
      <c r="AO544" s="712">
        <v>0</v>
      </c>
      <c r="AP544" s="712">
        <v>0</v>
      </c>
      <c r="AQ544" s="712">
        <v>0</v>
      </c>
      <c r="AR544" s="712">
        <v>0</v>
      </c>
      <c r="AS544" s="712">
        <v>0</v>
      </c>
      <c r="AT544">
        <v>267360141</v>
      </c>
      <c r="AU544" s="609"/>
      <c r="AV544" s="609"/>
      <c r="AW544" s="609"/>
      <c r="AX544" s="609"/>
      <c r="AY544" s="609"/>
      <c r="AZ544" s="615"/>
      <c r="BA544" s="615"/>
      <c r="BB544" s="615"/>
      <c r="BC544" s="615"/>
      <c r="BD544" s="615"/>
      <c r="BE544" s="615"/>
      <c r="BF544" s="615"/>
      <c r="BG544" s="615"/>
      <c r="BH544" s="615"/>
      <c r="BI544" s="615"/>
      <c r="BJ544" s="615"/>
      <c r="BK544" s="615"/>
      <c r="BL544" s="615"/>
      <c r="BM544" s="615"/>
      <c r="BN544" s="615"/>
      <c r="BO544" s="615"/>
      <c r="BP544" s="615"/>
      <c r="BQ544" s="615"/>
      <c r="BR544" s="615"/>
      <c r="BS544" s="615"/>
      <c r="BT544" s="615"/>
      <c r="BU544" s="615"/>
      <c r="BV544" s="615"/>
      <c r="BW544" s="615"/>
      <c r="BX544" s="607"/>
    </row>
    <row r="545" spans="1:76" ht="25.5" x14ac:dyDescent="0.2">
      <c r="A545" s="839"/>
      <c r="B545" s="713" t="s">
        <v>1720</v>
      </c>
      <c r="C545" s="713" t="s">
        <v>3663</v>
      </c>
      <c r="D545" s="712">
        <v>0</v>
      </c>
      <c r="E545" s="712">
        <v>0</v>
      </c>
      <c r="F545" s="712">
        <v>0</v>
      </c>
      <c r="G545" s="712">
        <v>0</v>
      </c>
      <c r="H545" s="712">
        <v>0</v>
      </c>
      <c r="I545" s="712">
        <v>0</v>
      </c>
      <c r="J545" s="712">
        <v>0</v>
      </c>
      <c r="K545" s="712">
        <v>0</v>
      </c>
      <c r="L545" s="712">
        <v>0</v>
      </c>
      <c r="M545" s="712">
        <v>0</v>
      </c>
      <c r="N545" s="712">
        <v>0</v>
      </c>
      <c r="O545" s="712">
        <v>0</v>
      </c>
      <c r="P545" s="712">
        <v>0</v>
      </c>
      <c r="Q545" s="712">
        <v>0</v>
      </c>
      <c r="R545" s="712">
        <v>0</v>
      </c>
      <c r="S545" s="712">
        <v>5281850</v>
      </c>
      <c r="T545" s="712">
        <v>5500000</v>
      </c>
      <c r="U545" s="712">
        <v>5500000</v>
      </c>
      <c r="V545" s="712">
        <v>5500000</v>
      </c>
      <c r="W545" s="712">
        <v>5500000</v>
      </c>
      <c r="X545" s="712">
        <v>5500000</v>
      </c>
      <c r="Y545" s="712">
        <v>12640546</v>
      </c>
      <c r="Z545" s="712">
        <v>318920700</v>
      </c>
      <c r="AA545" s="712">
        <v>0</v>
      </c>
      <c r="AB545" s="712">
        <v>0</v>
      </c>
      <c r="AC545" s="712">
        <v>0</v>
      </c>
      <c r="AD545" s="712">
        <v>0</v>
      </c>
      <c r="AE545" s="712">
        <v>0</v>
      </c>
      <c r="AF545" s="712">
        <v>0</v>
      </c>
      <c r="AG545" s="712">
        <v>0</v>
      </c>
      <c r="AH545" s="712">
        <v>0</v>
      </c>
      <c r="AI545" s="712">
        <v>0</v>
      </c>
      <c r="AJ545" s="712">
        <v>0</v>
      </c>
      <c r="AK545" s="712">
        <v>0</v>
      </c>
      <c r="AL545" s="712">
        <v>0</v>
      </c>
      <c r="AM545" s="712">
        <v>0</v>
      </c>
      <c r="AN545" s="712">
        <v>0</v>
      </c>
      <c r="AO545" s="712">
        <v>0</v>
      </c>
      <c r="AP545" s="712">
        <v>0</v>
      </c>
      <c r="AQ545" s="712">
        <v>0</v>
      </c>
      <c r="AR545" s="712">
        <v>0</v>
      </c>
      <c r="AS545" s="712">
        <v>0</v>
      </c>
      <c r="AT545">
        <v>364343096</v>
      </c>
      <c r="AU545" s="609"/>
      <c r="AV545" s="609"/>
      <c r="AW545" s="609"/>
      <c r="AX545" s="609"/>
      <c r="AY545" s="609"/>
      <c r="AZ545" s="615"/>
      <c r="BA545" s="615"/>
      <c r="BB545" s="615"/>
      <c r="BC545" s="615"/>
      <c r="BD545" s="615"/>
      <c r="BE545" s="615"/>
      <c r="BF545" s="615"/>
      <c r="BG545" s="615"/>
      <c r="BH545" s="615"/>
      <c r="BI545" s="615"/>
      <c r="BJ545" s="615"/>
      <c r="BK545" s="615"/>
      <c r="BL545" s="615"/>
      <c r="BM545" s="615"/>
      <c r="BN545" s="615"/>
      <c r="BO545" s="615"/>
      <c r="BP545" s="615"/>
      <c r="BQ545" s="615"/>
      <c r="BR545" s="615"/>
      <c r="BS545" s="615"/>
      <c r="BT545" s="615"/>
      <c r="BU545" s="615"/>
      <c r="BV545" s="615"/>
      <c r="BW545" s="615"/>
      <c r="BX545" s="607"/>
    </row>
    <row r="546" spans="1:76" ht="12.75" x14ac:dyDescent="0.2">
      <c r="A546" s="839"/>
      <c r="B546" s="838" t="s">
        <v>1749</v>
      </c>
      <c r="C546" s="713" t="s">
        <v>3646</v>
      </c>
      <c r="D546" s="712">
        <v>0</v>
      </c>
      <c r="E546" s="712">
        <v>0</v>
      </c>
      <c r="F546" s="712">
        <v>0</v>
      </c>
      <c r="G546" s="712">
        <v>0</v>
      </c>
      <c r="H546" s="712">
        <v>0</v>
      </c>
      <c r="I546" s="712">
        <v>0</v>
      </c>
      <c r="J546" s="712">
        <v>0</v>
      </c>
      <c r="K546" s="712">
        <v>0</v>
      </c>
      <c r="L546" s="712">
        <v>0</v>
      </c>
      <c r="M546" s="712">
        <v>0</v>
      </c>
      <c r="N546" s="712">
        <v>0</v>
      </c>
      <c r="O546" s="712">
        <v>0</v>
      </c>
      <c r="P546" s="712">
        <v>0</v>
      </c>
      <c r="Q546" s="712">
        <v>0</v>
      </c>
      <c r="R546" s="712">
        <v>0</v>
      </c>
      <c r="S546" s="712">
        <v>0</v>
      </c>
      <c r="T546" s="712">
        <v>0</v>
      </c>
      <c r="U546" s="712">
        <v>0</v>
      </c>
      <c r="V546" s="712">
        <v>312546595</v>
      </c>
      <c r="W546" s="712">
        <v>0</v>
      </c>
      <c r="X546" s="712">
        <v>0</v>
      </c>
      <c r="Y546" s="712">
        <v>0</v>
      </c>
      <c r="Z546" s="712">
        <v>0</v>
      </c>
      <c r="AA546" s="712">
        <v>0</v>
      </c>
      <c r="AB546" s="712">
        <v>0</v>
      </c>
      <c r="AC546" s="712">
        <v>0</v>
      </c>
      <c r="AD546" s="712">
        <v>0</v>
      </c>
      <c r="AE546" s="712">
        <v>0</v>
      </c>
      <c r="AF546" s="712">
        <v>0</v>
      </c>
      <c r="AG546" s="712">
        <v>0</v>
      </c>
      <c r="AH546" s="712">
        <v>0</v>
      </c>
      <c r="AI546" s="712">
        <v>0</v>
      </c>
      <c r="AJ546" s="712">
        <v>0</v>
      </c>
      <c r="AK546" s="712">
        <v>0</v>
      </c>
      <c r="AL546" s="712">
        <v>0</v>
      </c>
      <c r="AM546" s="712">
        <v>0</v>
      </c>
      <c r="AN546" s="712">
        <v>0</v>
      </c>
      <c r="AO546" s="712">
        <v>0</v>
      </c>
      <c r="AP546" s="712">
        <v>0</v>
      </c>
      <c r="AQ546" s="712">
        <v>0</v>
      </c>
      <c r="AR546" s="712">
        <v>0</v>
      </c>
      <c r="AS546" s="712">
        <v>0</v>
      </c>
      <c r="AT546">
        <v>312546595</v>
      </c>
      <c r="AU546" s="609"/>
      <c r="AV546" s="609"/>
      <c r="AW546" s="609"/>
      <c r="AX546" s="609"/>
      <c r="AY546" s="609"/>
      <c r="AZ546" s="615"/>
      <c r="BA546" s="615"/>
      <c r="BB546" s="615"/>
      <c r="BC546" s="615"/>
      <c r="BD546" s="615"/>
      <c r="BE546" s="615"/>
      <c r="BF546" s="615"/>
      <c r="BG546" s="615"/>
      <c r="BH546" s="615"/>
      <c r="BI546" s="615"/>
      <c r="BJ546" s="615"/>
      <c r="BK546" s="615"/>
      <c r="BL546" s="615"/>
      <c r="BM546" s="615"/>
      <c r="BN546" s="615"/>
      <c r="BO546" s="615"/>
      <c r="BP546" s="615"/>
      <c r="BQ546" s="615"/>
      <c r="BR546" s="615"/>
      <c r="BS546" s="615"/>
      <c r="BT546" s="615"/>
      <c r="BU546" s="615"/>
      <c r="BV546" s="615"/>
      <c r="BW546" s="615"/>
      <c r="BX546" s="607"/>
    </row>
    <row r="547" spans="1:76" ht="12.75" x14ac:dyDescent="0.2">
      <c r="A547" s="839"/>
      <c r="B547" s="839"/>
      <c r="C547" s="713" t="s">
        <v>3647</v>
      </c>
      <c r="D547" s="712">
        <v>0</v>
      </c>
      <c r="E547" s="712">
        <v>0</v>
      </c>
      <c r="F547" s="712">
        <v>0</v>
      </c>
      <c r="G547" s="712">
        <v>0</v>
      </c>
      <c r="H547" s="712">
        <v>0</v>
      </c>
      <c r="I547" s="712">
        <v>0</v>
      </c>
      <c r="J547" s="712">
        <v>0</v>
      </c>
      <c r="K547" s="712">
        <v>0</v>
      </c>
      <c r="L547" s="712">
        <v>0</v>
      </c>
      <c r="M547" s="712">
        <v>0</v>
      </c>
      <c r="N547" s="712">
        <v>0</v>
      </c>
      <c r="O547" s="712">
        <v>0</v>
      </c>
      <c r="P547" s="712">
        <v>0</v>
      </c>
      <c r="Q547" s="712">
        <v>0</v>
      </c>
      <c r="R547" s="712">
        <v>0</v>
      </c>
      <c r="S547" s="712">
        <v>0</v>
      </c>
      <c r="T547" s="712">
        <v>6743000</v>
      </c>
      <c r="U547" s="712">
        <v>6743000</v>
      </c>
      <c r="V547" s="712">
        <v>316927477</v>
      </c>
      <c r="W547" s="712">
        <v>0</v>
      </c>
      <c r="X547" s="712">
        <v>0</v>
      </c>
      <c r="Y547" s="712">
        <v>0</v>
      </c>
      <c r="Z547" s="712">
        <v>0</v>
      </c>
      <c r="AA547" s="712">
        <v>0</v>
      </c>
      <c r="AB547" s="712">
        <v>0</v>
      </c>
      <c r="AC547" s="712">
        <v>0</v>
      </c>
      <c r="AD547" s="712">
        <v>0</v>
      </c>
      <c r="AE547" s="712">
        <v>0</v>
      </c>
      <c r="AF547" s="712">
        <v>0</v>
      </c>
      <c r="AG547" s="712">
        <v>0</v>
      </c>
      <c r="AH547" s="712">
        <v>0</v>
      </c>
      <c r="AI547" s="712">
        <v>0</v>
      </c>
      <c r="AJ547" s="712">
        <v>0</v>
      </c>
      <c r="AK547" s="712">
        <v>0</v>
      </c>
      <c r="AL547" s="712">
        <v>0</v>
      </c>
      <c r="AM547" s="712">
        <v>0</v>
      </c>
      <c r="AN547" s="712">
        <v>0</v>
      </c>
      <c r="AO547" s="712">
        <v>0</v>
      </c>
      <c r="AP547" s="712">
        <v>0</v>
      </c>
      <c r="AQ547" s="712">
        <v>0</v>
      </c>
      <c r="AR547" s="712">
        <v>0</v>
      </c>
      <c r="AS547" s="712">
        <v>0</v>
      </c>
      <c r="AT547">
        <v>330413477</v>
      </c>
      <c r="AU547" s="609"/>
      <c r="AV547" s="609"/>
      <c r="AW547" s="609"/>
      <c r="AX547" s="609"/>
      <c r="AY547" s="609"/>
      <c r="AZ547" s="615"/>
      <c r="BA547" s="615"/>
      <c r="BB547" s="615"/>
      <c r="BC547" s="615"/>
      <c r="BD547" s="615"/>
      <c r="BE547" s="615"/>
      <c r="BF547" s="615"/>
      <c r="BG547" s="615"/>
      <c r="BH547" s="615"/>
      <c r="BI547" s="615"/>
      <c r="BJ547" s="615"/>
      <c r="BK547" s="615"/>
      <c r="BL547" s="615"/>
      <c r="BM547" s="615"/>
      <c r="BN547" s="615"/>
      <c r="BO547" s="615"/>
      <c r="BP547" s="615"/>
      <c r="BQ547" s="615"/>
      <c r="BR547" s="615"/>
      <c r="BS547" s="615"/>
      <c r="BT547" s="615"/>
      <c r="BU547" s="615"/>
      <c r="BV547" s="615"/>
      <c r="BW547" s="615"/>
      <c r="BX547" s="607"/>
    </row>
    <row r="548" spans="1:76" ht="25.5" x14ac:dyDescent="0.2">
      <c r="A548" s="839"/>
      <c r="B548" s="713" t="s">
        <v>1244</v>
      </c>
      <c r="C548" s="713" t="s">
        <v>3654</v>
      </c>
      <c r="D548" s="712">
        <v>0</v>
      </c>
      <c r="E548" s="712">
        <v>0</v>
      </c>
      <c r="F548" s="712">
        <v>0</v>
      </c>
      <c r="G548" s="712">
        <v>0</v>
      </c>
      <c r="H548" s="712">
        <v>0</v>
      </c>
      <c r="I548" s="712">
        <v>0</v>
      </c>
      <c r="J548" s="712">
        <v>0</v>
      </c>
      <c r="K548" s="712">
        <v>0</v>
      </c>
      <c r="L548" s="712">
        <v>0</v>
      </c>
      <c r="M548" s="712">
        <v>0</v>
      </c>
      <c r="N548" s="712">
        <v>0</v>
      </c>
      <c r="O548" s="712">
        <v>0</v>
      </c>
      <c r="P548" s="712">
        <v>0</v>
      </c>
      <c r="Q548" s="712">
        <v>0</v>
      </c>
      <c r="R548" s="712">
        <v>0</v>
      </c>
      <c r="S548" s="712">
        <v>1931849</v>
      </c>
      <c r="T548" s="712">
        <v>311021725</v>
      </c>
      <c r="U548" s="712">
        <v>0</v>
      </c>
      <c r="V548" s="712">
        <v>0</v>
      </c>
      <c r="W548" s="712">
        <v>0</v>
      </c>
      <c r="X548" s="712">
        <v>0</v>
      </c>
      <c r="Y548" s="712">
        <v>0</v>
      </c>
      <c r="Z548" s="712">
        <v>0</v>
      </c>
      <c r="AA548" s="712">
        <v>0</v>
      </c>
      <c r="AB548" s="712">
        <v>0</v>
      </c>
      <c r="AC548" s="712">
        <v>0</v>
      </c>
      <c r="AD548" s="712">
        <v>0</v>
      </c>
      <c r="AE548" s="712">
        <v>0</v>
      </c>
      <c r="AF548" s="712">
        <v>0</v>
      </c>
      <c r="AG548" s="712">
        <v>0</v>
      </c>
      <c r="AH548" s="712">
        <v>0</v>
      </c>
      <c r="AI548" s="712">
        <v>0</v>
      </c>
      <c r="AJ548" s="712">
        <v>0</v>
      </c>
      <c r="AK548" s="712">
        <v>0</v>
      </c>
      <c r="AL548" s="712">
        <v>0</v>
      </c>
      <c r="AM548" s="712">
        <v>0</v>
      </c>
      <c r="AN548" s="712">
        <v>0</v>
      </c>
      <c r="AO548" s="712">
        <v>0</v>
      </c>
      <c r="AP548" s="712">
        <v>0</v>
      </c>
      <c r="AQ548" s="712">
        <v>0</v>
      </c>
      <c r="AR548" s="712">
        <v>0</v>
      </c>
      <c r="AS548" s="712">
        <v>0</v>
      </c>
      <c r="AT548">
        <v>312953574</v>
      </c>
      <c r="AU548" s="609"/>
      <c r="AV548" s="609"/>
      <c r="AW548" s="609"/>
      <c r="AX548" s="609"/>
      <c r="AY548" s="609"/>
      <c r="AZ548" s="615"/>
      <c r="BA548" s="615"/>
      <c r="BB548" s="615"/>
      <c r="BC548" s="615"/>
      <c r="BD548" s="615"/>
      <c r="BE548" s="615"/>
      <c r="BF548" s="615"/>
      <c r="BG548" s="615"/>
      <c r="BH548" s="615"/>
      <c r="BI548" s="615"/>
      <c r="BJ548" s="615"/>
      <c r="BK548" s="615"/>
      <c r="BL548" s="615"/>
      <c r="BM548" s="615"/>
      <c r="BN548" s="615"/>
      <c r="BO548" s="615"/>
      <c r="BP548" s="615"/>
      <c r="BQ548" s="615"/>
      <c r="BR548" s="615"/>
      <c r="BS548" s="615"/>
      <c r="BT548" s="615"/>
      <c r="BU548" s="615"/>
      <c r="BV548" s="615"/>
      <c r="BW548" s="615"/>
      <c r="BX548" s="607"/>
    </row>
    <row r="549" spans="1:76" ht="25.5" x14ac:dyDescent="0.2">
      <c r="A549" s="839"/>
      <c r="B549" s="713" t="s">
        <v>1380</v>
      </c>
      <c r="C549" s="713" t="s">
        <v>3665</v>
      </c>
      <c r="D549" s="712">
        <v>0</v>
      </c>
      <c r="E549" s="712">
        <v>0</v>
      </c>
      <c r="F549" s="712">
        <v>0</v>
      </c>
      <c r="G549" s="712">
        <v>0</v>
      </c>
      <c r="H549" s="712">
        <v>0</v>
      </c>
      <c r="I549" s="712">
        <v>0</v>
      </c>
      <c r="J549" s="712">
        <v>0</v>
      </c>
      <c r="K549" s="712">
        <v>0</v>
      </c>
      <c r="L549" s="712">
        <v>0</v>
      </c>
      <c r="M549" s="712">
        <v>0</v>
      </c>
      <c r="N549" s="712">
        <v>0</v>
      </c>
      <c r="O549" s="712">
        <v>0</v>
      </c>
      <c r="P549" s="712">
        <v>0</v>
      </c>
      <c r="Q549" s="712">
        <v>0</v>
      </c>
      <c r="R549" s="712">
        <v>0</v>
      </c>
      <c r="S549" s="712">
        <v>0</v>
      </c>
      <c r="T549" s="712">
        <v>0</v>
      </c>
      <c r="U549" s="712">
        <v>241557581</v>
      </c>
      <c r="V549" s="712">
        <v>0</v>
      </c>
      <c r="W549" s="712">
        <v>0</v>
      </c>
      <c r="X549" s="712">
        <v>0</v>
      </c>
      <c r="Y549" s="712">
        <v>0</v>
      </c>
      <c r="Z549" s="712">
        <v>0</v>
      </c>
      <c r="AA549" s="712">
        <v>0</v>
      </c>
      <c r="AB549" s="712">
        <v>0</v>
      </c>
      <c r="AC549" s="712">
        <v>0</v>
      </c>
      <c r="AD549" s="712">
        <v>0</v>
      </c>
      <c r="AE549" s="712">
        <v>0</v>
      </c>
      <c r="AF549" s="712">
        <v>0</v>
      </c>
      <c r="AG549" s="712">
        <v>0</v>
      </c>
      <c r="AH549" s="712">
        <v>0</v>
      </c>
      <c r="AI549" s="712">
        <v>0</v>
      </c>
      <c r="AJ549" s="712">
        <v>0</v>
      </c>
      <c r="AK549" s="712">
        <v>0</v>
      </c>
      <c r="AL549" s="712">
        <v>0</v>
      </c>
      <c r="AM549" s="712">
        <v>0</v>
      </c>
      <c r="AN549" s="712">
        <v>0</v>
      </c>
      <c r="AO549" s="712">
        <v>0</v>
      </c>
      <c r="AP549" s="712">
        <v>0</v>
      </c>
      <c r="AQ549" s="712">
        <v>0</v>
      </c>
      <c r="AR549" s="712">
        <v>0</v>
      </c>
      <c r="AS549" s="712">
        <v>0</v>
      </c>
      <c r="AT549">
        <v>241557581</v>
      </c>
      <c r="AU549" s="609"/>
      <c r="AV549" s="609"/>
      <c r="AW549" s="609"/>
      <c r="AX549" s="609"/>
      <c r="AY549" s="609"/>
      <c r="AZ549" s="615"/>
      <c r="BA549" s="615"/>
      <c r="BB549" s="615"/>
      <c r="BC549" s="615"/>
      <c r="BD549" s="615"/>
      <c r="BE549" s="615"/>
      <c r="BF549" s="615"/>
      <c r="BG549" s="615"/>
      <c r="BH549" s="615"/>
      <c r="BI549" s="615"/>
      <c r="BJ549" s="615"/>
      <c r="BK549" s="615"/>
      <c r="BL549" s="615"/>
      <c r="BM549" s="615"/>
      <c r="BN549" s="615"/>
      <c r="BO549" s="615"/>
      <c r="BP549" s="615"/>
      <c r="BQ549" s="615"/>
      <c r="BR549" s="615"/>
      <c r="BS549" s="615"/>
      <c r="BT549" s="615"/>
      <c r="BU549" s="615"/>
      <c r="BV549" s="615"/>
      <c r="BW549" s="615"/>
      <c r="BX549" s="607"/>
    </row>
    <row r="550" spans="1:76" ht="25.5" x14ac:dyDescent="0.2">
      <c r="A550" s="839"/>
      <c r="B550" s="713" t="s">
        <v>2293</v>
      </c>
      <c r="C550" s="713" t="s">
        <v>3693</v>
      </c>
      <c r="D550" s="712">
        <v>0</v>
      </c>
      <c r="E550" s="712">
        <v>0</v>
      </c>
      <c r="F550" s="712">
        <v>0</v>
      </c>
      <c r="G550" s="712">
        <v>0</v>
      </c>
      <c r="H550" s="712">
        <v>0</v>
      </c>
      <c r="I550" s="712">
        <v>0</v>
      </c>
      <c r="J550" s="712">
        <v>0</v>
      </c>
      <c r="K550" s="712">
        <v>0</v>
      </c>
      <c r="L550" s="712">
        <v>0</v>
      </c>
      <c r="M550" s="712">
        <v>0</v>
      </c>
      <c r="N550" s="712">
        <v>0</v>
      </c>
      <c r="O550" s="712">
        <v>0</v>
      </c>
      <c r="P550" s="712">
        <v>0</v>
      </c>
      <c r="Q550" s="712">
        <v>8838704</v>
      </c>
      <c r="R550" s="712">
        <v>8838704</v>
      </c>
      <c r="S550" s="712">
        <v>8838704</v>
      </c>
      <c r="T550" s="712">
        <v>8838704</v>
      </c>
      <c r="U550" s="712">
        <v>8838706</v>
      </c>
      <c r="V550" s="712">
        <v>385346216</v>
      </c>
      <c r="W550" s="712">
        <v>0</v>
      </c>
      <c r="X550" s="712">
        <v>0</v>
      </c>
      <c r="Y550" s="712">
        <v>0</v>
      </c>
      <c r="Z550" s="712">
        <v>0</v>
      </c>
      <c r="AA550" s="712">
        <v>0</v>
      </c>
      <c r="AB550" s="712">
        <v>0</v>
      </c>
      <c r="AC550" s="712">
        <v>0</v>
      </c>
      <c r="AD550" s="712">
        <v>0</v>
      </c>
      <c r="AE550" s="712">
        <v>0</v>
      </c>
      <c r="AF550" s="712">
        <v>0</v>
      </c>
      <c r="AG550" s="712">
        <v>0</v>
      </c>
      <c r="AH550" s="712">
        <v>0</v>
      </c>
      <c r="AI550" s="712">
        <v>0</v>
      </c>
      <c r="AJ550" s="712">
        <v>0</v>
      </c>
      <c r="AK550" s="712">
        <v>0</v>
      </c>
      <c r="AL550" s="712">
        <v>0</v>
      </c>
      <c r="AM550" s="712">
        <v>0</v>
      </c>
      <c r="AN550" s="712">
        <v>0</v>
      </c>
      <c r="AO550" s="712">
        <v>0</v>
      </c>
      <c r="AP550" s="712">
        <v>0</v>
      </c>
      <c r="AQ550" s="712">
        <v>0</v>
      </c>
      <c r="AR550" s="712">
        <v>0</v>
      </c>
      <c r="AS550" s="712">
        <v>0</v>
      </c>
      <c r="AT550">
        <v>429539738</v>
      </c>
      <c r="AU550" s="609"/>
      <c r="AV550" s="609"/>
      <c r="AW550" s="609"/>
      <c r="AX550" s="609"/>
      <c r="AY550" s="609"/>
      <c r="AZ550" s="615"/>
      <c r="BA550" s="615"/>
      <c r="BB550" s="615"/>
      <c r="BC550" s="615"/>
      <c r="BD550" s="615"/>
      <c r="BE550" s="615"/>
      <c r="BF550" s="615"/>
      <c r="BG550" s="615"/>
      <c r="BH550" s="615"/>
      <c r="BI550" s="615"/>
      <c r="BJ550" s="615"/>
      <c r="BK550" s="615"/>
      <c r="BL550" s="615"/>
      <c r="BM550" s="615"/>
      <c r="BN550" s="615"/>
      <c r="BO550" s="615"/>
      <c r="BP550" s="615"/>
      <c r="BQ550" s="615"/>
      <c r="BR550" s="615"/>
      <c r="BS550" s="615"/>
      <c r="BT550" s="615"/>
      <c r="BU550" s="615"/>
      <c r="BV550" s="615"/>
      <c r="BW550" s="615"/>
      <c r="BX550" s="607"/>
    </row>
    <row r="551" spans="1:76" ht="25.5" x14ac:dyDescent="0.2">
      <c r="A551" s="839"/>
      <c r="B551" s="713" t="s">
        <v>1670</v>
      </c>
      <c r="C551" s="713" t="s">
        <v>3656</v>
      </c>
      <c r="D551" s="712">
        <v>0</v>
      </c>
      <c r="E551" s="712">
        <v>0</v>
      </c>
      <c r="F551" s="712">
        <v>0</v>
      </c>
      <c r="G551" s="712">
        <v>0</v>
      </c>
      <c r="H551" s="712">
        <v>0</v>
      </c>
      <c r="I551" s="712">
        <v>0</v>
      </c>
      <c r="J551" s="712">
        <v>0</v>
      </c>
      <c r="K551" s="712">
        <v>0</v>
      </c>
      <c r="L551" s="712">
        <v>0</v>
      </c>
      <c r="M551" s="712">
        <v>0</v>
      </c>
      <c r="N551" s="712">
        <v>0</v>
      </c>
      <c r="O551" s="712">
        <v>0</v>
      </c>
      <c r="P551" s="712">
        <v>0</v>
      </c>
      <c r="Q551" s="712">
        <v>0</v>
      </c>
      <c r="R551" s="712">
        <v>1391352</v>
      </c>
      <c r="S551" s="712">
        <v>4385436</v>
      </c>
      <c r="T551" s="712">
        <v>4385436</v>
      </c>
      <c r="U551" s="712">
        <v>4385436</v>
      </c>
      <c r="V551" s="712">
        <v>4385436</v>
      </c>
      <c r="W551" s="712">
        <v>4385436</v>
      </c>
      <c r="X551" s="712">
        <v>4385428</v>
      </c>
      <c r="Y551" s="712">
        <v>318059474</v>
      </c>
      <c r="Z551" s="712">
        <v>0</v>
      </c>
      <c r="AA551" s="712">
        <v>0</v>
      </c>
      <c r="AB551" s="712">
        <v>0</v>
      </c>
      <c r="AC551" s="712">
        <v>0</v>
      </c>
      <c r="AD551" s="712">
        <v>0</v>
      </c>
      <c r="AE551" s="712">
        <v>0</v>
      </c>
      <c r="AF551" s="712">
        <v>0</v>
      </c>
      <c r="AG551" s="712">
        <v>0</v>
      </c>
      <c r="AH551" s="712">
        <v>0</v>
      </c>
      <c r="AI551" s="712">
        <v>0</v>
      </c>
      <c r="AJ551" s="712">
        <v>0</v>
      </c>
      <c r="AK551" s="712">
        <v>0</v>
      </c>
      <c r="AL551" s="712">
        <v>0</v>
      </c>
      <c r="AM551" s="712">
        <v>0</v>
      </c>
      <c r="AN551" s="712">
        <v>0</v>
      </c>
      <c r="AO551" s="712">
        <v>0</v>
      </c>
      <c r="AP551" s="712">
        <v>0</v>
      </c>
      <c r="AQ551" s="712">
        <v>0</v>
      </c>
      <c r="AR551" s="712">
        <v>0</v>
      </c>
      <c r="AS551" s="712">
        <v>0</v>
      </c>
      <c r="AT551">
        <v>345763434</v>
      </c>
      <c r="AU551" s="609"/>
      <c r="AV551" s="609"/>
      <c r="AW551" s="609"/>
      <c r="AX551" s="609"/>
      <c r="AY551" s="609"/>
      <c r="AZ551" s="615"/>
      <c r="BA551" s="615"/>
      <c r="BB551" s="615"/>
      <c r="BC551" s="615"/>
      <c r="BD551" s="615"/>
      <c r="BE551" s="615"/>
      <c r="BF551" s="615"/>
      <c r="BG551" s="615"/>
      <c r="BH551" s="615"/>
      <c r="BI551" s="615"/>
      <c r="BJ551" s="615"/>
      <c r="BK551" s="615"/>
      <c r="BL551" s="615"/>
      <c r="BM551" s="615"/>
      <c r="BN551" s="615"/>
      <c r="BO551" s="615"/>
      <c r="BP551" s="615"/>
      <c r="BQ551" s="615"/>
      <c r="BR551" s="615"/>
      <c r="BS551" s="615"/>
      <c r="BT551" s="615"/>
      <c r="BU551" s="615"/>
      <c r="BV551" s="615"/>
      <c r="BW551" s="615"/>
      <c r="BX551" s="607"/>
    </row>
    <row r="552" spans="1:76" ht="25.5" x14ac:dyDescent="0.2">
      <c r="A552" s="839"/>
      <c r="B552" s="713" t="s">
        <v>1514</v>
      </c>
      <c r="C552" s="713" t="s">
        <v>3707</v>
      </c>
      <c r="D552" s="712">
        <v>0</v>
      </c>
      <c r="E552" s="712">
        <v>0</v>
      </c>
      <c r="F552" s="712">
        <v>0</v>
      </c>
      <c r="G552" s="712">
        <v>0</v>
      </c>
      <c r="H552" s="712">
        <v>0</v>
      </c>
      <c r="I552" s="712">
        <v>0</v>
      </c>
      <c r="J552" s="712">
        <v>0</v>
      </c>
      <c r="K552" s="712">
        <v>0</v>
      </c>
      <c r="L552" s="712">
        <v>0</v>
      </c>
      <c r="M552" s="712">
        <v>0</v>
      </c>
      <c r="N552" s="712">
        <v>0</v>
      </c>
      <c r="O552" s="712">
        <v>0</v>
      </c>
      <c r="P552" s="712">
        <v>0</v>
      </c>
      <c r="Q552" s="712">
        <v>719667</v>
      </c>
      <c r="R552" s="712">
        <v>3569497</v>
      </c>
      <c r="S552" s="712">
        <v>3569497</v>
      </c>
      <c r="T552" s="712">
        <v>3569503</v>
      </c>
      <c r="U552" s="712">
        <v>275855790</v>
      </c>
      <c r="V552" s="712">
        <v>0</v>
      </c>
      <c r="W552" s="712">
        <v>0</v>
      </c>
      <c r="X552" s="712">
        <v>0</v>
      </c>
      <c r="Y552" s="712">
        <v>0</v>
      </c>
      <c r="Z552" s="712">
        <v>0</v>
      </c>
      <c r="AA552" s="712">
        <v>0</v>
      </c>
      <c r="AB552" s="712">
        <v>0</v>
      </c>
      <c r="AC552" s="712">
        <v>0</v>
      </c>
      <c r="AD552" s="712">
        <v>0</v>
      </c>
      <c r="AE552" s="712">
        <v>0</v>
      </c>
      <c r="AF552" s="712">
        <v>0</v>
      </c>
      <c r="AG552" s="712">
        <v>0</v>
      </c>
      <c r="AH552" s="712">
        <v>0</v>
      </c>
      <c r="AI552" s="712">
        <v>0</v>
      </c>
      <c r="AJ552" s="712">
        <v>0</v>
      </c>
      <c r="AK552" s="712">
        <v>0</v>
      </c>
      <c r="AL552" s="712">
        <v>0</v>
      </c>
      <c r="AM552" s="712">
        <v>0</v>
      </c>
      <c r="AN552" s="712">
        <v>0</v>
      </c>
      <c r="AO552" s="712">
        <v>0</v>
      </c>
      <c r="AP552" s="712">
        <v>0</v>
      </c>
      <c r="AQ552" s="712">
        <v>0</v>
      </c>
      <c r="AR552" s="712">
        <v>0</v>
      </c>
      <c r="AS552" s="712">
        <v>0</v>
      </c>
      <c r="AT552">
        <v>287283954</v>
      </c>
      <c r="AU552" s="609"/>
      <c r="AV552" s="609"/>
      <c r="AW552" s="609"/>
      <c r="AX552" s="609"/>
      <c r="AY552" s="609"/>
      <c r="AZ552" s="615"/>
      <c r="BA552" s="615"/>
      <c r="BB552" s="615"/>
      <c r="BC552" s="615"/>
      <c r="BD552" s="615"/>
      <c r="BE552" s="615"/>
      <c r="BF552" s="615"/>
      <c r="BG552" s="615"/>
      <c r="BH552" s="615"/>
      <c r="BI552" s="615"/>
      <c r="BJ552" s="615"/>
      <c r="BK552" s="615"/>
      <c r="BL552" s="615"/>
      <c r="BM552" s="615"/>
      <c r="BN552" s="615"/>
      <c r="BO552" s="615"/>
      <c r="BP552" s="615"/>
      <c r="BQ552" s="615"/>
      <c r="BR552" s="615"/>
      <c r="BS552" s="615"/>
      <c r="BT552" s="615"/>
      <c r="BU552" s="615"/>
      <c r="BV552" s="615"/>
      <c r="BW552" s="615"/>
      <c r="BX552" s="607"/>
    </row>
    <row r="553" spans="1:76" ht="25.5" x14ac:dyDescent="0.2">
      <c r="A553" s="839"/>
      <c r="B553" s="713" t="s">
        <v>3228</v>
      </c>
      <c r="C553" s="713" t="s">
        <v>3694</v>
      </c>
      <c r="D553" s="712">
        <v>0</v>
      </c>
      <c r="E553" s="712">
        <v>0</v>
      </c>
      <c r="F553" s="712">
        <v>0</v>
      </c>
      <c r="G553" s="712">
        <v>0</v>
      </c>
      <c r="H553" s="712">
        <v>0</v>
      </c>
      <c r="I553" s="712">
        <v>0</v>
      </c>
      <c r="J553" s="712">
        <v>0</v>
      </c>
      <c r="K553" s="712">
        <v>0</v>
      </c>
      <c r="L553" s="712">
        <v>0</v>
      </c>
      <c r="M553" s="712">
        <v>0</v>
      </c>
      <c r="N553" s="712">
        <v>0</v>
      </c>
      <c r="O553" s="712">
        <v>0</v>
      </c>
      <c r="P553" s="712">
        <v>0</v>
      </c>
      <c r="Q553" s="712">
        <v>0</v>
      </c>
      <c r="R553" s="712">
        <v>0</v>
      </c>
      <c r="S553" s="712">
        <v>0</v>
      </c>
      <c r="T553" s="712">
        <v>4164494</v>
      </c>
      <c r="U553" s="712">
        <v>4164494</v>
      </c>
      <c r="V553" s="712">
        <v>4164494</v>
      </c>
      <c r="W553" s="712">
        <v>4164494</v>
      </c>
      <c r="X553" s="712">
        <v>4164492</v>
      </c>
      <c r="Y553" s="712">
        <v>385909761</v>
      </c>
      <c r="Z553" s="712">
        <v>0</v>
      </c>
      <c r="AA553" s="712">
        <v>0</v>
      </c>
      <c r="AB553" s="712">
        <v>0</v>
      </c>
      <c r="AC553" s="712">
        <v>0</v>
      </c>
      <c r="AD553" s="712">
        <v>0</v>
      </c>
      <c r="AE553" s="712">
        <v>0</v>
      </c>
      <c r="AF553" s="712">
        <v>0</v>
      </c>
      <c r="AG553" s="712">
        <v>0</v>
      </c>
      <c r="AH553" s="712">
        <v>0</v>
      </c>
      <c r="AI553" s="712">
        <v>0</v>
      </c>
      <c r="AJ553" s="712">
        <v>0</v>
      </c>
      <c r="AK553" s="712">
        <v>0</v>
      </c>
      <c r="AL553" s="712">
        <v>0</v>
      </c>
      <c r="AM553" s="712">
        <v>0</v>
      </c>
      <c r="AN553" s="712">
        <v>0</v>
      </c>
      <c r="AO553" s="712">
        <v>0</v>
      </c>
      <c r="AP553" s="712">
        <v>0</v>
      </c>
      <c r="AQ553" s="712">
        <v>0</v>
      </c>
      <c r="AR553" s="712">
        <v>0</v>
      </c>
      <c r="AS553" s="712">
        <v>0</v>
      </c>
      <c r="AT553">
        <v>406732229</v>
      </c>
      <c r="AU553" s="609"/>
      <c r="AV553" s="609"/>
      <c r="AW553" s="609"/>
      <c r="AX553" s="609"/>
      <c r="AY553" s="609"/>
      <c r="AZ553" s="615"/>
      <c r="BA553" s="615"/>
      <c r="BB553" s="615"/>
      <c r="BC553" s="615"/>
      <c r="BD553" s="615"/>
      <c r="BE553" s="615"/>
      <c r="BF553" s="615"/>
      <c r="BG553" s="615"/>
      <c r="BH553" s="615"/>
      <c r="BI553" s="615"/>
      <c r="BJ553" s="615"/>
      <c r="BK553" s="615"/>
      <c r="BL553" s="615"/>
      <c r="BM553" s="615"/>
      <c r="BN553" s="615"/>
      <c r="BO553" s="615"/>
      <c r="BP553" s="615"/>
      <c r="BQ553" s="615"/>
      <c r="BR553" s="615"/>
      <c r="BS553" s="615"/>
      <c r="BT553" s="615"/>
      <c r="BU553" s="615"/>
      <c r="BV553" s="615"/>
      <c r="BW553" s="615"/>
      <c r="BX553" s="607"/>
    </row>
    <row r="554" spans="1:76" ht="12.75" x14ac:dyDescent="0.2">
      <c r="A554" s="839"/>
      <c r="B554" s="713" t="s">
        <v>1671</v>
      </c>
      <c r="C554" s="713" t="s">
        <v>3675</v>
      </c>
      <c r="D554" s="712">
        <v>0</v>
      </c>
      <c r="E554" s="712">
        <v>0</v>
      </c>
      <c r="F554" s="712">
        <v>0</v>
      </c>
      <c r="G554" s="712">
        <v>0</v>
      </c>
      <c r="H554" s="712">
        <v>0</v>
      </c>
      <c r="I554" s="712">
        <v>0</v>
      </c>
      <c r="J554" s="712">
        <v>0</v>
      </c>
      <c r="K554" s="712">
        <v>0</v>
      </c>
      <c r="L554" s="712">
        <v>0</v>
      </c>
      <c r="M554" s="712">
        <v>0</v>
      </c>
      <c r="N554" s="712">
        <v>0</v>
      </c>
      <c r="O554" s="712">
        <v>0</v>
      </c>
      <c r="P554" s="712">
        <v>0</v>
      </c>
      <c r="Q554" s="712">
        <v>0</v>
      </c>
      <c r="R554" s="712">
        <v>0</v>
      </c>
      <c r="S554" s="712">
        <v>0</v>
      </c>
      <c r="T554" s="712">
        <v>5096000</v>
      </c>
      <c r="U554" s="712">
        <v>5126000</v>
      </c>
      <c r="V554" s="712">
        <v>5126000</v>
      </c>
      <c r="W554" s="712">
        <v>5126000</v>
      </c>
      <c r="X554" s="712">
        <v>5126000</v>
      </c>
      <c r="Y554" s="712">
        <v>5130300</v>
      </c>
      <c r="Z554" s="712">
        <v>320320700</v>
      </c>
      <c r="AA554" s="712">
        <v>0</v>
      </c>
      <c r="AB554" s="712">
        <v>0</v>
      </c>
      <c r="AC554" s="712">
        <v>0</v>
      </c>
      <c r="AD554" s="712">
        <v>0</v>
      </c>
      <c r="AE554" s="712">
        <v>0</v>
      </c>
      <c r="AF554" s="712">
        <v>0</v>
      </c>
      <c r="AG554" s="712">
        <v>0</v>
      </c>
      <c r="AH554" s="712">
        <v>0</v>
      </c>
      <c r="AI554" s="712">
        <v>0</v>
      </c>
      <c r="AJ554" s="712">
        <v>0</v>
      </c>
      <c r="AK554" s="712">
        <v>0</v>
      </c>
      <c r="AL554" s="712">
        <v>0</v>
      </c>
      <c r="AM554" s="712">
        <v>0</v>
      </c>
      <c r="AN554" s="712">
        <v>0</v>
      </c>
      <c r="AO554" s="712">
        <v>0</v>
      </c>
      <c r="AP554" s="712">
        <v>0</v>
      </c>
      <c r="AQ554" s="712">
        <v>0</v>
      </c>
      <c r="AR554" s="712">
        <v>0</v>
      </c>
      <c r="AS554" s="712">
        <v>0</v>
      </c>
      <c r="AT554">
        <v>351051000</v>
      </c>
      <c r="AU554" s="609"/>
      <c r="AV554" s="609"/>
      <c r="AW554" s="609"/>
      <c r="AX554" s="609"/>
      <c r="AY554" s="609"/>
      <c r="AZ554" s="615"/>
      <c r="BA554" s="615"/>
      <c r="BB554" s="615"/>
      <c r="BC554" s="615"/>
      <c r="BD554" s="615"/>
      <c r="BE554" s="615"/>
      <c r="BF554" s="615"/>
      <c r="BG554" s="615"/>
      <c r="BH554" s="615"/>
      <c r="BI554" s="615"/>
      <c r="BJ554" s="615"/>
      <c r="BK554" s="615"/>
      <c r="BL554" s="615"/>
      <c r="BM554" s="615"/>
      <c r="BN554" s="615"/>
      <c r="BO554" s="615"/>
      <c r="BP554" s="615"/>
      <c r="BQ554" s="615"/>
      <c r="BR554" s="615"/>
      <c r="BS554" s="615"/>
      <c r="BT554" s="615"/>
      <c r="BU554" s="615"/>
      <c r="BV554" s="615"/>
      <c r="BW554" s="615"/>
      <c r="BX554" s="607"/>
    </row>
    <row r="555" spans="1:76" ht="25.5" x14ac:dyDescent="0.2">
      <c r="A555" s="839"/>
      <c r="B555" s="713" t="s">
        <v>1530</v>
      </c>
      <c r="C555" s="713" t="s">
        <v>3655</v>
      </c>
      <c r="D555" s="712">
        <v>0</v>
      </c>
      <c r="E555" s="712">
        <v>0</v>
      </c>
      <c r="F555" s="712">
        <v>0</v>
      </c>
      <c r="G555" s="712">
        <v>0</v>
      </c>
      <c r="H555" s="712">
        <v>0</v>
      </c>
      <c r="I555" s="712">
        <v>0</v>
      </c>
      <c r="J555" s="712">
        <v>0</v>
      </c>
      <c r="K555" s="712">
        <v>0</v>
      </c>
      <c r="L555" s="712">
        <v>0</v>
      </c>
      <c r="M555" s="712">
        <v>0</v>
      </c>
      <c r="N555" s="712">
        <v>0</v>
      </c>
      <c r="O555" s="712">
        <v>0</v>
      </c>
      <c r="P555" s="712">
        <v>0</v>
      </c>
      <c r="Q555" s="712">
        <v>0</v>
      </c>
      <c r="R555" s="712">
        <v>0</v>
      </c>
      <c r="S555" s="712">
        <v>0</v>
      </c>
      <c r="T555" s="712">
        <v>0</v>
      </c>
      <c r="U555" s="712">
        <v>159361279</v>
      </c>
      <c r="V555" s="712">
        <v>0</v>
      </c>
      <c r="W555" s="712">
        <v>0</v>
      </c>
      <c r="X555" s="712">
        <v>0</v>
      </c>
      <c r="Y555" s="712">
        <v>0</v>
      </c>
      <c r="Z555" s="712">
        <v>0</v>
      </c>
      <c r="AA555" s="712">
        <v>0</v>
      </c>
      <c r="AB555" s="712">
        <v>0</v>
      </c>
      <c r="AC555" s="712">
        <v>0</v>
      </c>
      <c r="AD555" s="712">
        <v>0</v>
      </c>
      <c r="AE555" s="712">
        <v>0</v>
      </c>
      <c r="AF555" s="712">
        <v>0</v>
      </c>
      <c r="AG555" s="712">
        <v>0</v>
      </c>
      <c r="AH555" s="712">
        <v>0</v>
      </c>
      <c r="AI555" s="712">
        <v>0</v>
      </c>
      <c r="AJ555" s="712">
        <v>0</v>
      </c>
      <c r="AK555" s="712">
        <v>0</v>
      </c>
      <c r="AL555" s="712">
        <v>0</v>
      </c>
      <c r="AM555" s="712">
        <v>0</v>
      </c>
      <c r="AN555" s="712">
        <v>0</v>
      </c>
      <c r="AO555" s="712">
        <v>0</v>
      </c>
      <c r="AP555" s="712">
        <v>0</v>
      </c>
      <c r="AQ555" s="712">
        <v>0</v>
      </c>
      <c r="AR555" s="712">
        <v>0</v>
      </c>
      <c r="AS555" s="712">
        <v>0</v>
      </c>
      <c r="AT555">
        <v>159361279</v>
      </c>
      <c r="AU555" s="609"/>
      <c r="AV555" s="609"/>
      <c r="AW555" s="609"/>
      <c r="AX555" s="609"/>
      <c r="AY555" s="609"/>
      <c r="AZ555" s="615"/>
      <c r="BA555" s="615"/>
      <c r="BB555" s="615"/>
      <c r="BC555" s="615"/>
      <c r="BD555" s="615"/>
      <c r="BE555" s="615"/>
      <c r="BF555" s="615"/>
      <c r="BG555" s="615"/>
      <c r="BH555" s="615"/>
      <c r="BI555" s="615"/>
      <c r="BJ555" s="615"/>
      <c r="BK555" s="615"/>
      <c r="BL555" s="615"/>
      <c r="BM555" s="615"/>
      <c r="BN555" s="615"/>
      <c r="BO555" s="615"/>
      <c r="BP555" s="615"/>
      <c r="BQ555" s="615"/>
      <c r="BR555" s="615"/>
      <c r="BS555" s="615"/>
      <c r="BT555" s="615"/>
      <c r="BU555" s="615"/>
      <c r="BV555" s="615"/>
      <c r="BW555" s="615"/>
      <c r="BX555" s="607"/>
    </row>
    <row r="556" spans="1:76" ht="12.75" x14ac:dyDescent="0.2">
      <c r="A556" s="839"/>
      <c r="B556" s="713" t="s">
        <v>1723</v>
      </c>
      <c r="C556" s="713" t="s">
        <v>3709</v>
      </c>
      <c r="D556" s="712">
        <v>0</v>
      </c>
      <c r="E556" s="712">
        <v>0</v>
      </c>
      <c r="F556" s="712">
        <v>0</v>
      </c>
      <c r="G556" s="712">
        <v>0</v>
      </c>
      <c r="H556" s="712">
        <v>0</v>
      </c>
      <c r="I556" s="712">
        <v>0</v>
      </c>
      <c r="J556" s="712">
        <v>0</v>
      </c>
      <c r="K556" s="712">
        <v>0</v>
      </c>
      <c r="L556" s="712">
        <v>0</v>
      </c>
      <c r="M556" s="712">
        <v>0</v>
      </c>
      <c r="N556" s="712">
        <v>0</v>
      </c>
      <c r="O556" s="712">
        <v>0</v>
      </c>
      <c r="P556" s="712">
        <v>0</v>
      </c>
      <c r="Q556" s="712">
        <v>0</v>
      </c>
      <c r="R556" s="712">
        <v>0</v>
      </c>
      <c r="S556" s="712">
        <v>0</v>
      </c>
      <c r="T556" s="712">
        <v>5211100</v>
      </c>
      <c r="U556" s="712">
        <v>5211100</v>
      </c>
      <c r="V556" s="712">
        <v>5211100</v>
      </c>
      <c r="W556" s="712">
        <v>5211100</v>
      </c>
      <c r="X556" s="712">
        <v>5211100</v>
      </c>
      <c r="Y556" s="712">
        <v>5211100</v>
      </c>
      <c r="Z556" s="712">
        <v>320818643</v>
      </c>
      <c r="AA556" s="712">
        <v>0</v>
      </c>
      <c r="AB556" s="712">
        <v>0</v>
      </c>
      <c r="AC556" s="712">
        <v>0</v>
      </c>
      <c r="AD556" s="712">
        <v>0</v>
      </c>
      <c r="AE556" s="712">
        <v>0</v>
      </c>
      <c r="AF556" s="712">
        <v>0</v>
      </c>
      <c r="AG556" s="712">
        <v>0</v>
      </c>
      <c r="AH556" s="712">
        <v>0</v>
      </c>
      <c r="AI556" s="712">
        <v>0</v>
      </c>
      <c r="AJ556" s="712">
        <v>0</v>
      </c>
      <c r="AK556" s="712">
        <v>0</v>
      </c>
      <c r="AL556" s="712">
        <v>0</v>
      </c>
      <c r="AM556" s="712">
        <v>0</v>
      </c>
      <c r="AN556" s="712">
        <v>0</v>
      </c>
      <c r="AO556" s="712">
        <v>0</v>
      </c>
      <c r="AP556" s="712">
        <v>0</v>
      </c>
      <c r="AQ556" s="712">
        <v>0</v>
      </c>
      <c r="AR556" s="712">
        <v>0</v>
      </c>
      <c r="AS556" s="712">
        <v>0</v>
      </c>
      <c r="AT556">
        <v>352085243</v>
      </c>
      <c r="AU556" s="609"/>
      <c r="AV556" s="609"/>
      <c r="AW556" s="609"/>
      <c r="AX556" s="609"/>
      <c r="AY556" s="609"/>
      <c r="AZ556" s="615"/>
      <c r="BA556" s="615"/>
      <c r="BB556" s="615"/>
      <c r="BC556" s="615"/>
      <c r="BD556" s="615"/>
      <c r="BE556" s="615"/>
      <c r="BF556" s="615"/>
      <c r="BG556" s="615"/>
      <c r="BH556" s="615"/>
      <c r="BI556" s="615"/>
      <c r="BJ556" s="615"/>
      <c r="BK556" s="615"/>
      <c r="BL556" s="615"/>
      <c r="BM556" s="615"/>
      <c r="BN556" s="615"/>
      <c r="BO556" s="615"/>
      <c r="BP556" s="615"/>
      <c r="BQ556" s="615"/>
      <c r="BR556" s="615"/>
      <c r="BS556" s="615"/>
      <c r="BT556" s="615"/>
      <c r="BU556" s="615"/>
      <c r="BV556" s="615"/>
      <c r="BW556" s="615"/>
      <c r="BX556" s="607"/>
    </row>
    <row r="557" spans="1:76" ht="25.5" x14ac:dyDescent="0.2">
      <c r="A557" s="839"/>
      <c r="B557" s="713" t="s">
        <v>1473</v>
      </c>
      <c r="C557" s="713" t="s">
        <v>3698</v>
      </c>
      <c r="D557" s="712">
        <v>0</v>
      </c>
      <c r="E557" s="712">
        <v>0</v>
      </c>
      <c r="F557" s="712">
        <v>0</v>
      </c>
      <c r="G557" s="712">
        <v>0</v>
      </c>
      <c r="H557" s="712">
        <v>0</v>
      </c>
      <c r="I557" s="712">
        <v>0</v>
      </c>
      <c r="J557" s="712">
        <v>0</v>
      </c>
      <c r="K557" s="712">
        <v>0</v>
      </c>
      <c r="L557" s="712">
        <v>0</v>
      </c>
      <c r="M557" s="712">
        <v>0</v>
      </c>
      <c r="N557" s="712">
        <v>0</v>
      </c>
      <c r="O557" s="712">
        <v>0</v>
      </c>
      <c r="P557" s="712">
        <v>0</v>
      </c>
      <c r="Q557" s="712">
        <v>0</v>
      </c>
      <c r="R557" s="712">
        <v>0</v>
      </c>
      <c r="S557" s="712">
        <v>3622000</v>
      </c>
      <c r="T557" s="712">
        <v>3622000</v>
      </c>
      <c r="U557" s="712">
        <v>3622000</v>
      </c>
      <c r="V557" s="712">
        <v>279776000</v>
      </c>
      <c r="W557" s="712">
        <v>0</v>
      </c>
      <c r="X557" s="712">
        <v>0</v>
      </c>
      <c r="Y557" s="712">
        <v>0</v>
      </c>
      <c r="Z557" s="712">
        <v>0</v>
      </c>
      <c r="AA557" s="712">
        <v>0</v>
      </c>
      <c r="AB557" s="712">
        <v>0</v>
      </c>
      <c r="AC557" s="712">
        <v>0</v>
      </c>
      <c r="AD557" s="712">
        <v>0</v>
      </c>
      <c r="AE557" s="712">
        <v>0</v>
      </c>
      <c r="AF557" s="712">
        <v>0</v>
      </c>
      <c r="AG557" s="712">
        <v>0</v>
      </c>
      <c r="AH557" s="712">
        <v>0</v>
      </c>
      <c r="AI557" s="712">
        <v>0</v>
      </c>
      <c r="AJ557" s="712">
        <v>0</v>
      </c>
      <c r="AK557" s="712">
        <v>0</v>
      </c>
      <c r="AL557" s="712">
        <v>0</v>
      </c>
      <c r="AM557" s="712">
        <v>0</v>
      </c>
      <c r="AN557" s="712">
        <v>0</v>
      </c>
      <c r="AO557" s="712">
        <v>0</v>
      </c>
      <c r="AP557" s="712">
        <v>0</v>
      </c>
      <c r="AQ557" s="712">
        <v>0</v>
      </c>
      <c r="AR557" s="712">
        <v>0</v>
      </c>
      <c r="AS557" s="712">
        <v>0</v>
      </c>
      <c r="AT557">
        <v>290642000</v>
      </c>
      <c r="AU557" s="609"/>
      <c r="AV557" s="609"/>
      <c r="AW557" s="609"/>
      <c r="AX557" s="609"/>
      <c r="AY557" s="609"/>
      <c r="AZ557" s="615"/>
      <c r="BA557" s="615"/>
      <c r="BB557" s="615"/>
      <c r="BC557" s="615"/>
      <c r="BD557" s="615"/>
      <c r="BE557" s="615"/>
      <c r="BF557" s="615"/>
      <c r="BG557" s="615"/>
      <c r="BH557" s="615"/>
      <c r="BI557" s="615"/>
      <c r="BJ557" s="615"/>
      <c r="BK557" s="615"/>
      <c r="BL557" s="615"/>
      <c r="BM557" s="615"/>
      <c r="BN557" s="615"/>
      <c r="BO557" s="615"/>
      <c r="BP557" s="615"/>
      <c r="BQ557" s="615"/>
      <c r="BR557" s="615"/>
      <c r="BS557" s="615"/>
      <c r="BT557" s="615"/>
      <c r="BU557" s="615"/>
      <c r="BV557" s="615"/>
      <c r="BW557" s="615"/>
      <c r="BX557" s="607"/>
    </row>
    <row r="558" spans="1:76" ht="25.5" x14ac:dyDescent="0.2">
      <c r="A558" s="839"/>
      <c r="B558" s="713" t="s">
        <v>1307</v>
      </c>
      <c r="C558" s="713" t="s">
        <v>3653</v>
      </c>
      <c r="D558" s="712">
        <v>0</v>
      </c>
      <c r="E558" s="712">
        <v>0</v>
      </c>
      <c r="F558" s="712">
        <v>0</v>
      </c>
      <c r="G558" s="712">
        <v>0</v>
      </c>
      <c r="H558" s="712">
        <v>0</v>
      </c>
      <c r="I558" s="712">
        <v>0</v>
      </c>
      <c r="J558" s="712">
        <v>0</v>
      </c>
      <c r="K558" s="712">
        <v>0</v>
      </c>
      <c r="L558" s="712">
        <v>0</v>
      </c>
      <c r="M558" s="712">
        <v>0</v>
      </c>
      <c r="N558" s="712">
        <v>0</v>
      </c>
      <c r="O558" s="712">
        <v>1447186</v>
      </c>
      <c r="P558" s="712">
        <v>5235681</v>
      </c>
      <c r="Q558" s="712">
        <v>5235681</v>
      </c>
      <c r="R558" s="712">
        <v>5235681</v>
      </c>
      <c r="S558" s="712">
        <v>5235681</v>
      </c>
      <c r="T558" s="712">
        <v>5235674</v>
      </c>
      <c r="U558" s="712">
        <v>328306658</v>
      </c>
      <c r="V558" s="712">
        <v>0</v>
      </c>
      <c r="W558" s="712">
        <v>0</v>
      </c>
      <c r="X558" s="712">
        <v>0</v>
      </c>
      <c r="Y558" s="712">
        <v>0</v>
      </c>
      <c r="Z558" s="712">
        <v>0</v>
      </c>
      <c r="AA558" s="712">
        <v>0</v>
      </c>
      <c r="AB558" s="712">
        <v>0</v>
      </c>
      <c r="AC558" s="712">
        <v>0</v>
      </c>
      <c r="AD558" s="712">
        <v>0</v>
      </c>
      <c r="AE558" s="712">
        <v>0</v>
      </c>
      <c r="AF558" s="712">
        <v>0</v>
      </c>
      <c r="AG558" s="712">
        <v>0</v>
      </c>
      <c r="AH558" s="712">
        <v>0</v>
      </c>
      <c r="AI558" s="712">
        <v>0</v>
      </c>
      <c r="AJ558" s="712">
        <v>0</v>
      </c>
      <c r="AK558" s="712">
        <v>0</v>
      </c>
      <c r="AL558" s="712">
        <v>0</v>
      </c>
      <c r="AM558" s="712">
        <v>0</v>
      </c>
      <c r="AN558" s="712">
        <v>0</v>
      </c>
      <c r="AO558" s="712">
        <v>0</v>
      </c>
      <c r="AP558" s="712">
        <v>0</v>
      </c>
      <c r="AQ558" s="712">
        <v>0</v>
      </c>
      <c r="AR558" s="712">
        <v>0</v>
      </c>
      <c r="AS558" s="712">
        <v>0</v>
      </c>
      <c r="AT558">
        <v>355932242</v>
      </c>
      <c r="AU558" s="609"/>
      <c r="AV558" s="609"/>
      <c r="AW558" s="609"/>
      <c r="AX558" s="609"/>
      <c r="AY558" s="609"/>
      <c r="AZ558" s="615"/>
      <c r="BA558" s="615"/>
      <c r="BB558" s="615"/>
      <c r="BC558" s="615"/>
      <c r="BD558" s="615"/>
      <c r="BE558" s="615"/>
      <c r="BF558" s="615"/>
      <c r="BG558" s="615"/>
      <c r="BH558" s="615"/>
      <c r="BI558" s="615"/>
      <c r="BJ558" s="615"/>
      <c r="BK558" s="615"/>
      <c r="BL558" s="615"/>
      <c r="BM558" s="615"/>
      <c r="BN558" s="615"/>
      <c r="BO558" s="615"/>
      <c r="BP558" s="615"/>
      <c r="BQ558" s="615"/>
      <c r="BR558" s="615"/>
      <c r="BS558" s="615"/>
      <c r="BT558" s="615"/>
      <c r="BU558" s="615"/>
      <c r="BV558" s="615"/>
      <c r="BW558" s="615"/>
      <c r="BX558" s="607"/>
    </row>
    <row r="559" spans="1:76" ht="25.5" x14ac:dyDescent="0.2">
      <c r="A559" s="839"/>
      <c r="B559" s="713" t="s">
        <v>2249</v>
      </c>
      <c r="C559" s="713" t="s">
        <v>3713</v>
      </c>
      <c r="D559" s="712">
        <v>0</v>
      </c>
      <c r="E559" s="712">
        <v>0</v>
      </c>
      <c r="F559" s="712">
        <v>0</v>
      </c>
      <c r="G559" s="712">
        <v>0</v>
      </c>
      <c r="H559" s="712">
        <v>0</v>
      </c>
      <c r="I559" s="712">
        <v>0</v>
      </c>
      <c r="J559" s="712">
        <v>0</v>
      </c>
      <c r="K559" s="712">
        <v>0</v>
      </c>
      <c r="L559" s="712">
        <v>0</v>
      </c>
      <c r="M559" s="712">
        <v>0</v>
      </c>
      <c r="N559" s="712">
        <v>0</v>
      </c>
      <c r="O559" s="712">
        <v>0</v>
      </c>
      <c r="P559" s="712">
        <v>0</v>
      </c>
      <c r="Q559" s="712">
        <v>0</v>
      </c>
      <c r="R559" s="712">
        <v>0</v>
      </c>
      <c r="S559" s="712">
        <v>0</v>
      </c>
      <c r="T559" s="712">
        <v>6554884</v>
      </c>
      <c r="U559" s="712">
        <v>6665989</v>
      </c>
      <c r="V559" s="712">
        <v>289304873</v>
      </c>
      <c r="W559" s="712">
        <v>0</v>
      </c>
      <c r="X559" s="712">
        <v>0</v>
      </c>
      <c r="Y559" s="712">
        <v>0</v>
      </c>
      <c r="Z559" s="712">
        <v>0</v>
      </c>
      <c r="AA559" s="712">
        <v>0</v>
      </c>
      <c r="AB559" s="712">
        <v>0</v>
      </c>
      <c r="AC559" s="712">
        <v>0</v>
      </c>
      <c r="AD559" s="712">
        <v>0</v>
      </c>
      <c r="AE559" s="712">
        <v>0</v>
      </c>
      <c r="AF559" s="712">
        <v>0</v>
      </c>
      <c r="AG559" s="712">
        <v>0</v>
      </c>
      <c r="AH559" s="712">
        <v>0</v>
      </c>
      <c r="AI559" s="712">
        <v>0</v>
      </c>
      <c r="AJ559" s="712">
        <v>0</v>
      </c>
      <c r="AK559" s="712">
        <v>0</v>
      </c>
      <c r="AL559" s="712">
        <v>0</v>
      </c>
      <c r="AM559" s="712">
        <v>0</v>
      </c>
      <c r="AN559" s="712">
        <v>0</v>
      </c>
      <c r="AO559" s="712">
        <v>0</v>
      </c>
      <c r="AP559" s="712">
        <v>0</v>
      </c>
      <c r="AQ559" s="712">
        <v>0</v>
      </c>
      <c r="AR559" s="712">
        <v>0</v>
      </c>
      <c r="AS559" s="712">
        <v>0</v>
      </c>
      <c r="AT559">
        <v>302525746</v>
      </c>
      <c r="AU559" s="609"/>
      <c r="AV559" s="609"/>
      <c r="AW559" s="609"/>
      <c r="AX559" s="609"/>
      <c r="AY559" s="609"/>
      <c r="AZ559" s="615"/>
      <c r="BA559" s="615"/>
      <c r="BB559" s="615"/>
      <c r="BC559" s="615"/>
      <c r="BD559" s="615"/>
      <c r="BE559" s="615"/>
      <c r="BF559" s="615"/>
      <c r="BG559" s="615"/>
      <c r="BH559" s="615"/>
      <c r="BI559" s="615"/>
      <c r="BJ559" s="615"/>
      <c r="BK559" s="615"/>
      <c r="BL559" s="615"/>
      <c r="BM559" s="615"/>
      <c r="BN559" s="615"/>
      <c r="BO559" s="615"/>
      <c r="BP559" s="615"/>
      <c r="BQ559" s="615"/>
      <c r="BR559" s="615"/>
      <c r="BS559" s="615"/>
      <c r="BT559" s="615"/>
      <c r="BU559" s="615"/>
      <c r="BV559" s="615"/>
      <c r="BW559" s="615"/>
      <c r="BX559" s="607"/>
    </row>
    <row r="560" spans="1:76" ht="25.5" x14ac:dyDescent="0.2">
      <c r="A560" s="839"/>
      <c r="B560" s="713" t="s">
        <v>1434</v>
      </c>
      <c r="C560" s="713" t="s">
        <v>3668</v>
      </c>
      <c r="D560" s="712">
        <v>0</v>
      </c>
      <c r="E560" s="712">
        <v>0</v>
      </c>
      <c r="F560" s="712">
        <v>0</v>
      </c>
      <c r="G560" s="712">
        <v>0</v>
      </c>
      <c r="H560" s="712">
        <v>0</v>
      </c>
      <c r="I560" s="712">
        <v>0</v>
      </c>
      <c r="J560" s="712">
        <v>0</v>
      </c>
      <c r="K560" s="712">
        <v>0</v>
      </c>
      <c r="L560" s="712">
        <v>0</v>
      </c>
      <c r="M560" s="712">
        <v>0</v>
      </c>
      <c r="N560" s="712">
        <v>0</v>
      </c>
      <c r="O560" s="712">
        <v>0</v>
      </c>
      <c r="P560" s="712">
        <v>0</v>
      </c>
      <c r="Q560" s="712">
        <v>0</v>
      </c>
      <c r="R560" s="712">
        <v>0</v>
      </c>
      <c r="S560" s="712">
        <v>0</v>
      </c>
      <c r="T560" s="712">
        <v>2110600</v>
      </c>
      <c r="U560" s="712">
        <v>321091400</v>
      </c>
      <c r="V560" s="712">
        <v>0</v>
      </c>
      <c r="W560" s="712">
        <v>0</v>
      </c>
      <c r="X560" s="712">
        <v>0</v>
      </c>
      <c r="Y560" s="712">
        <v>0</v>
      </c>
      <c r="Z560" s="712">
        <v>0</v>
      </c>
      <c r="AA560" s="712">
        <v>0</v>
      </c>
      <c r="AB560" s="712">
        <v>0</v>
      </c>
      <c r="AC560" s="712">
        <v>0</v>
      </c>
      <c r="AD560" s="712">
        <v>0</v>
      </c>
      <c r="AE560" s="712">
        <v>0</v>
      </c>
      <c r="AF560" s="712">
        <v>0</v>
      </c>
      <c r="AG560" s="712">
        <v>0</v>
      </c>
      <c r="AH560" s="712">
        <v>0</v>
      </c>
      <c r="AI560" s="712">
        <v>0</v>
      </c>
      <c r="AJ560" s="712">
        <v>0</v>
      </c>
      <c r="AK560" s="712">
        <v>0</v>
      </c>
      <c r="AL560" s="712">
        <v>0</v>
      </c>
      <c r="AM560" s="712">
        <v>0</v>
      </c>
      <c r="AN560" s="712">
        <v>0</v>
      </c>
      <c r="AO560" s="712">
        <v>0</v>
      </c>
      <c r="AP560" s="712">
        <v>0</v>
      </c>
      <c r="AQ560" s="712">
        <v>0</v>
      </c>
      <c r="AR560" s="712">
        <v>0</v>
      </c>
      <c r="AS560" s="712">
        <v>0</v>
      </c>
      <c r="AT560">
        <v>323202000</v>
      </c>
      <c r="AU560" s="609"/>
      <c r="AV560" s="609"/>
      <c r="AW560" s="609"/>
      <c r="AX560" s="609"/>
      <c r="AY560" s="609"/>
      <c r="AZ560" s="615"/>
      <c r="BA560" s="615"/>
      <c r="BB560" s="615"/>
      <c r="BC560" s="615"/>
      <c r="BD560" s="615"/>
      <c r="BE560" s="615"/>
      <c r="BF560" s="615"/>
      <c r="BG560" s="615"/>
      <c r="BH560" s="615"/>
      <c r="BI560" s="615"/>
      <c r="BJ560" s="615"/>
      <c r="BK560" s="615"/>
      <c r="BL560" s="615"/>
      <c r="BM560" s="615"/>
      <c r="BN560" s="615"/>
      <c r="BO560" s="615"/>
      <c r="BP560" s="615"/>
      <c r="BQ560" s="615"/>
      <c r="BR560" s="615"/>
      <c r="BS560" s="615"/>
      <c r="BT560" s="615"/>
      <c r="BU560" s="615"/>
      <c r="BV560" s="615"/>
      <c r="BW560" s="615"/>
      <c r="BX560" s="607"/>
    </row>
    <row r="561" spans="1:76" ht="25.5" x14ac:dyDescent="0.2">
      <c r="A561" s="839"/>
      <c r="B561" s="713" t="s">
        <v>1470</v>
      </c>
      <c r="C561" s="713" t="s">
        <v>3667</v>
      </c>
      <c r="D561" s="712">
        <v>0</v>
      </c>
      <c r="E561" s="712">
        <v>0</v>
      </c>
      <c r="F561" s="712">
        <v>0</v>
      </c>
      <c r="G561" s="712">
        <v>0</v>
      </c>
      <c r="H561" s="712">
        <v>0</v>
      </c>
      <c r="I561" s="712">
        <v>0</v>
      </c>
      <c r="J561" s="712">
        <v>0</v>
      </c>
      <c r="K561" s="712">
        <v>0</v>
      </c>
      <c r="L561" s="712">
        <v>0</v>
      </c>
      <c r="M561" s="712">
        <v>0</v>
      </c>
      <c r="N561" s="712">
        <v>0</v>
      </c>
      <c r="O561" s="712">
        <v>0</v>
      </c>
      <c r="P561" s="712">
        <v>0</v>
      </c>
      <c r="Q561" s="712">
        <v>0</v>
      </c>
      <c r="R561" s="712">
        <v>4281035</v>
      </c>
      <c r="S561" s="712">
        <v>0</v>
      </c>
      <c r="T561" s="712">
        <v>4281020</v>
      </c>
      <c r="U561" s="712">
        <v>318994830</v>
      </c>
      <c r="V561" s="712">
        <v>0</v>
      </c>
      <c r="W561" s="712">
        <v>0</v>
      </c>
      <c r="X561" s="712">
        <v>0</v>
      </c>
      <c r="Y561" s="712">
        <v>0</v>
      </c>
      <c r="Z561" s="712">
        <v>0</v>
      </c>
      <c r="AA561" s="712">
        <v>0</v>
      </c>
      <c r="AB561" s="712">
        <v>0</v>
      </c>
      <c r="AC561" s="712">
        <v>0</v>
      </c>
      <c r="AD561" s="712">
        <v>0</v>
      </c>
      <c r="AE561" s="712">
        <v>0</v>
      </c>
      <c r="AF561" s="712">
        <v>0</v>
      </c>
      <c r="AG561" s="712">
        <v>0</v>
      </c>
      <c r="AH561" s="712">
        <v>0</v>
      </c>
      <c r="AI561" s="712">
        <v>0</v>
      </c>
      <c r="AJ561" s="712">
        <v>0</v>
      </c>
      <c r="AK561" s="712">
        <v>0</v>
      </c>
      <c r="AL561" s="712">
        <v>0</v>
      </c>
      <c r="AM561" s="712">
        <v>0</v>
      </c>
      <c r="AN561" s="712">
        <v>0</v>
      </c>
      <c r="AO561" s="712">
        <v>0</v>
      </c>
      <c r="AP561" s="712">
        <v>0</v>
      </c>
      <c r="AQ561" s="712">
        <v>0</v>
      </c>
      <c r="AR561" s="712">
        <v>0</v>
      </c>
      <c r="AS561" s="712">
        <v>0</v>
      </c>
      <c r="AT561">
        <v>327556885</v>
      </c>
      <c r="AU561" s="609"/>
      <c r="AV561" s="609"/>
      <c r="AW561" s="609"/>
      <c r="AX561" s="609"/>
      <c r="AY561" s="609"/>
      <c r="AZ561" s="615"/>
      <c r="BA561" s="615"/>
      <c r="BB561" s="615"/>
      <c r="BC561" s="615"/>
      <c r="BD561" s="615"/>
      <c r="BE561" s="615"/>
      <c r="BF561" s="615"/>
      <c r="BG561" s="615"/>
      <c r="BH561" s="615"/>
      <c r="BI561" s="615"/>
      <c r="BJ561" s="615"/>
      <c r="BK561" s="615"/>
      <c r="BL561" s="615"/>
      <c r="BM561" s="615"/>
      <c r="BN561" s="615"/>
      <c r="BO561" s="615"/>
      <c r="BP561" s="615"/>
      <c r="BQ561" s="615"/>
      <c r="BR561" s="615"/>
      <c r="BS561" s="615"/>
      <c r="BT561" s="615"/>
      <c r="BU561" s="615"/>
      <c r="BV561" s="615"/>
      <c r="BW561" s="615"/>
      <c r="BX561" s="607"/>
    </row>
    <row r="562" spans="1:76" ht="25.5" x14ac:dyDescent="0.2">
      <c r="A562" s="839"/>
      <c r="B562" s="713" t="s">
        <v>1615</v>
      </c>
      <c r="C562" s="713" t="s">
        <v>3671</v>
      </c>
      <c r="D562" s="712">
        <v>0</v>
      </c>
      <c r="E562" s="712">
        <v>0</v>
      </c>
      <c r="F562" s="712">
        <v>0</v>
      </c>
      <c r="G562" s="712">
        <v>0</v>
      </c>
      <c r="H562" s="712">
        <v>0</v>
      </c>
      <c r="I562" s="712">
        <v>0</v>
      </c>
      <c r="J562" s="712">
        <v>0</v>
      </c>
      <c r="K562" s="712">
        <v>0</v>
      </c>
      <c r="L562" s="712">
        <v>0</v>
      </c>
      <c r="M562" s="712">
        <v>0</v>
      </c>
      <c r="N562" s="712">
        <v>0</v>
      </c>
      <c r="O562" s="712">
        <v>0</v>
      </c>
      <c r="P562" s="712">
        <v>0</v>
      </c>
      <c r="Q562" s="712">
        <v>0</v>
      </c>
      <c r="R562" s="712">
        <v>0</v>
      </c>
      <c r="S562" s="712">
        <v>4825583</v>
      </c>
      <c r="T562" s="712">
        <v>4825591</v>
      </c>
      <c r="U562" s="712">
        <v>279566000</v>
      </c>
      <c r="V562" s="712">
        <v>0</v>
      </c>
      <c r="W562" s="712">
        <v>0</v>
      </c>
      <c r="X562" s="712">
        <v>0</v>
      </c>
      <c r="Y562" s="712">
        <v>0</v>
      </c>
      <c r="Z562" s="712">
        <v>0</v>
      </c>
      <c r="AA562" s="712">
        <v>0</v>
      </c>
      <c r="AB562" s="712">
        <v>0</v>
      </c>
      <c r="AC562" s="712">
        <v>0</v>
      </c>
      <c r="AD562" s="712">
        <v>0</v>
      </c>
      <c r="AE562" s="712">
        <v>0</v>
      </c>
      <c r="AF562" s="712">
        <v>0</v>
      </c>
      <c r="AG562" s="712">
        <v>0</v>
      </c>
      <c r="AH562" s="712">
        <v>0</v>
      </c>
      <c r="AI562" s="712">
        <v>0</v>
      </c>
      <c r="AJ562" s="712">
        <v>0</v>
      </c>
      <c r="AK562" s="712">
        <v>0</v>
      </c>
      <c r="AL562" s="712">
        <v>0</v>
      </c>
      <c r="AM562" s="712">
        <v>0</v>
      </c>
      <c r="AN562" s="712">
        <v>0</v>
      </c>
      <c r="AO562" s="712">
        <v>0</v>
      </c>
      <c r="AP562" s="712">
        <v>0</v>
      </c>
      <c r="AQ562" s="712">
        <v>0</v>
      </c>
      <c r="AR562" s="712">
        <v>0</v>
      </c>
      <c r="AS562" s="712">
        <v>0</v>
      </c>
      <c r="AT562">
        <v>289217174</v>
      </c>
      <c r="AU562" s="609"/>
      <c r="AV562" s="609"/>
      <c r="AW562" s="609"/>
      <c r="AX562" s="609"/>
      <c r="AY562" s="609"/>
      <c r="AZ562" s="615"/>
      <c r="BA562" s="615"/>
      <c r="BB562" s="615"/>
      <c r="BC562" s="615"/>
      <c r="BD562" s="615"/>
      <c r="BE562" s="615"/>
      <c r="BF562" s="615"/>
      <c r="BG562" s="615"/>
      <c r="BH562" s="615"/>
      <c r="BI562" s="615"/>
      <c r="BJ562" s="615"/>
      <c r="BK562" s="615"/>
      <c r="BL562" s="615"/>
      <c r="BM562" s="615"/>
      <c r="BN562" s="615"/>
      <c r="BO562" s="615"/>
      <c r="BP562" s="615"/>
      <c r="BQ562" s="615"/>
      <c r="BR562" s="615"/>
      <c r="BS562" s="615"/>
      <c r="BT562" s="615"/>
      <c r="BU562" s="615"/>
      <c r="BV562" s="615"/>
      <c r="BW562" s="615"/>
      <c r="BX562" s="607"/>
    </row>
    <row r="563" spans="1:76" ht="25.5" x14ac:dyDescent="0.2">
      <c r="A563" s="839"/>
      <c r="B563" s="713" t="s">
        <v>1725</v>
      </c>
      <c r="C563" s="713" t="s">
        <v>3719</v>
      </c>
      <c r="D563" s="712">
        <v>0</v>
      </c>
      <c r="E563" s="712">
        <v>0</v>
      </c>
      <c r="F563" s="712">
        <v>0</v>
      </c>
      <c r="G563" s="712">
        <v>0</v>
      </c>
      <c r="H563" s="712">
        <v>0</v>
      </c>
      <c r="I563" s="712">
        <v>0</v>
      </c>
      <c r="J563" s="712">
        <v>0</v>
      </c>
      <c r="K563" s="712">
        <v>0</v>
      </c>
      <c r="L563" s="712">
        <v>0</v>
      </c>
      <c r="M563" s="712">
        <v>0</v>
      </c>
      <c r="N563" s="712">
        <v>0</v>
      </c>
      <c r="O563" s="712">
        <v>0</v>
      </c>
      <c r="P563" s="712">
        <v>0</v>
      </c>
      <c r="Q563" s="712">
        <v>0</v>
      </c>
      <c r="R563" s="712">
        <v>0</v>
      </c>
      <c r="S563" s="712">
        <v>0</v>
      </c>
      <c r="T563" s="712">
        <v>0</v>
      </c>
      <c r="U563" s="712">
        <v>0</v>
      </c>
      <c r="V563" s="712">
        <v>0</v>
      </c>
      <c r="W563" s="712">
        <v>5175423</v>
      </c>
      <c r="X563" s="712">
        <v>5175423</v>
      </c>
      <c r="Y563" s="712">
        <v>5175425</v>
      </c>
      <c r="Z563" s="712">
        <v>322372250</v>
      </c>
      <c r="AA563" s="712">
        <v>0</v>
      </c>
      <c r="AB563" s="712">
        <v>0</v>
      </c>
      <c r="AC563" s="712">
        <v>0</v>
      </c>
      <c r="AD563" s="712">
        <v>0</v>
      </c>
      <c r="AE563" s="712">
        <v>0</v>
      </c>
      <c r="AF563" s="712">
        <v>0</v>
      </c>
      <c r="AG563" s="712">
        <v>0</v>
      </c>
      <c r="AH563" s="712">
        <v>0</v>
      </c>
      <c r="AI563" s="712">
        <v>0</v>
      </c>
      <c r="AJ563" s="712">
        <v>0</v>
      </c>
      <c r="AK563" s="712">
        <v>0</v>
      </c>
      <c r="AL563" s="712">
        <v>0</v>
      </c>
      <c r="AM563" s="712">
        <v>0</v>
      </c>
      <c r="AN563" s="712">
        <v>0</v>
      </c>
      <c r="AO563" s="712">
        <v>0</v>
      </c>
      <c r="AP563" s="712">
        <v>0</v>
      </c>
      <c r="AQ563" s="712">
        <v>0</v>
      </c>
      <c r="AR563" s="712">
        <v>0</v>
      </c>
      <c r="AS563" s="712">
        <v>0</v>
      </c>
      <c r="AT563">
        <v>337898521</v>
      </c>
      <c r="AU563" s="609"/>
      <c r="AV563" s="609"/>
      <c r="AW563" s="609"/>
      <c r="AX563" s="609"/>
      <c r="AY563" s="609"/>
      <c r="AZ563" s="615"/>
      <c r="BA563" s="615"/>
      <c r="BB563" s="615"/>
      <c r="BC563" s="615"/>
      <c r="BD563" s="615"/>
      <c r="BE563" s="615"/>
      <c r="BF563" s="615"/>
      <c r="BG563" s="615"/>
      <c r="BH563" s="615"/>
      <c r="BI563" s="615"/>
      <c r="BJ563" s="615"/>
      <c r="BK563" s="615"/>
      <c r="BL563" s="615"/>
      <c r="BM563" s="615"/>
      <c r="BN563" s="615"/>
      <c r="BO563" s="615"/>
      <c r="BP563" s="615"/>
      <c r="BQ563" s="615"/>
      <c r="BR563" s="615"/>
      <c r="BS563" s="615"/>
      <c r="BT563" s="615"/>
      <c r="BU563" s="615"/>
      <c r="BV563" s="615"/>
      <c r="BW563" s="615"/>
      <c r="BX563" s="607"/>
    </row>
    <row r="564" spans="1:76" ht="25.5" x14ac:dyDescent="0.2">
      <c r="A564" s="839"/>
      <c r="B564" s="713" t="s">
        <v>2615</v>
      </c>
      <c r="C564" s="713" t="s">
        <v>3706</v>
      </c>
      <c r="D564" s="712">
        <v>0</v>
      </c>
      <c r="E564" s="712">
        <v>0</v>
      </c>
      <c r="F564" s="712">
        <v>0</v>
      </c>
      <c r="G564" s="712">
        <v>0</v>
      </c>
      <c r="H564" s="712">
        <v>0</v>
      </c>
      <c r="I564" s="712">
        <v>0</v>
      </c>
      <c r="J564" s="712">
        <v>0</v>
      </c>
      <c r="K564" s="712">
        <v>0</v>
      </c>
      <c r="L564" s="712">
        <v>0</v>
      </c>
      <c r="M564" s="712">
        <v>0</v>
      </c>
      <c r="N564" s="712">
        <v>0</v>
      </c>
      <c r="O564" s="712">
        <v>0</v>
      </c>
      <c r="P564" s="712">
        <v>0</v>
      </c>
      <c r="Q564" s="712">
        <v>0</v>
      </c>
      <c r="R564" s="712">
        <v>31301746</v>
      </c>
      <c r="S564" s="712">
        <v>4000000</v>
      </c>
      <c r="T564" s="712">
        <v>4000000</v>
      </c>
      <c r="U564" s="712">
        <v>381998280</v>
      </c>
      <c r="V564" s="712">
        <v>0</v>
      </c>
      <c r="W564" s="712">
        <v>0</v>
      </c>
      <c r="X564" s="712">
        <v>0</v>
      </c>
      <c r="Y564" s="712">
        <v>0</v>
      </c>
      <c r="Z564" s="712">
        <v>0</v>
      </c>
      <c r="AA564" s="712">
        <v>0</v>
      </c>
      <c r="AB564" s="712">
        <v>0</v>
      </c>
      <c r="AC564" s="712">
        <v>0</v>
      </c>
      <c r="AD564" s="712">
        <v>0</v>
      </c>
      <c r="AE564" s="712">
        <v>0</v>
      </c>
      <c r="AF564" s="712">
        <v>0</v>
      </c>
      <c r="AG564" s="712">
        <v>0</v>
      </c>
      <c r="AH564" s="712">
        <v>0</v>
      </c>
      <c r="AI564" s="712">
        <v>0</v>
      </c>
      <c r="AJ564" s="712">
        <v>0</v>
      </c>
      <c r="AK564" s="712">
        <v>0</v>
      </c>
      <c r="AL564" s="712">
        <v>0</v>
      </c>
      <c r="AM564" s="712">
        <v>0</v>
      </c>
      <c r="AN564" s="712">
        <v>0</v>
      </c>
      <c r="AO564" s="712">
        <v>0</v>
      </c>
      <c r="AP564" s="712">
        <v>0</v>
      </c>
      <c r="AQ564" s="712">
        <v>0</v>
      </c>
      <c r="AR564" s="712">
        <v>0</v>
      </c>
      <c r="AS564" s="712">
        <v>0</v>
      </c>
      <c r="AT564">
        <v>421300026</v>
      </c>
      <c r="AU564" s="609"/>
      <c r="AV564" s="609"/>
      <c r="AW564" s="609"/>
      <c r="AX564" s="609"/>
      <c r="AY564" s="609"/>
      <c r="AZ564" s="615"/>
      <c r="BA564" s="615"/>
      <c r="BB564" s="615"/>
      <c r="BC564" s="615"/>
      <c r="BD564" s="615"/>
      <c r="BE564" s="615"/>
      <c r="BF564" s="615"/>
      <c r="BG564" s="615"/>
      <c r="BH564" s="615"/>
      <c r="BI564" s="615"/>
      <c r="BJ564" s="615"/>
      <c r="BK564" s="615"/>
      <c r="BL564" s="615"/>
      <c r="BM564" s="615"/>
      <c r="BN564" s="615"/>
      <c r="BO564" s="615"/>
      <c r="BP564" s="615"/>
      <c r="BQ564" s="615"/>
      <c r="BR564" s="615"/>
      <c r="BS564" s="615"/>
      <c r="BT564" s="615"/>
      <c r="BU564" s="615"/>
      <c r="BV564" s="615"/>
      <c r="BW564" s="615"/>
      <c r="BX564" s="607"/>
    </row>
    <row r="565" spans="1:76" ht="25.5" x14ac:dyDescent="0.2">
      <c r="A565" s="839"/>
      <c r="B565" s="713" t="s">
        <v>1469</v>
      </c>
      <c r="C565" s="713" t="s">
        <v>3642</v>
      </c>
      <c r="D565" s="712">
        <v>0</v>
      </c>
      <c r="E565" s="712">
        <v>0</v>
      </c>
      <c r="F565" s="712">
        <v>0</v>
      </c>
      <c r="G565" s="712">
        <v>0</v>
      </c>
      <c r="H565" s="712">
        <v>0</v>
      </c>
      <c r="I565" s="712">
        <v>0</v>
      </c>
      <c r="J565" s="712">
        <v>0</v>
      </c>
      <c r="K565" s="712">
        <v>0</v>
      </c>
      <c r="L565" s="712">
        <v>0</v>
      </c>
      <c r="M565" s="712">
        <v>0</v>
      </c>
      <c r="N565" s="712">
        <v>0</v>
      </c>
      <c r="O565" s="712">
        <v>0</v>
      </c>
      <c r="P565" s="712">
        <v>0</v>
      </c>
      <c r="Q565" s="712">
        <v>0</v>
      </c>
      <c r="R565" s="712">
        <v>0</v>
      </c>
      <c r="S565" s="712">
        <v>2800000</v>
      </c>
      <c r="T565" s="712">
        <v>2800000</v>
      </c>
      <c r="U565" s="712">
        <v>265298050</v>
      </c>
      <c r="V565" s="712">
        <v>0</v>
      </c>
      <c r="W565" s="712">
        <v>0</v>
      </c>
      <c r="X565" s="712">
        <v>0</v>
      </c>
      <c r="Y565" s="712">
        <v>0</v>
      </c>
      <c r="Z565" s="712">
        <v>0</v>
      </c>
      <c r="AA565" s="712">
        <v>0</v>
      </c>
      <c r="AB565" s="712">
        <v>0</v>
      </c>
      <c r="AC565" s="712">
        <v>0</v>
      </c>
      <c r="AD565" s="712">
        <v>0</v>
      </c>
      <c r="AE565" s="712">
        <v>0</v>
      </c>
      <c r="AF565" s="712">
        <v>0</v>
      </c>
      <c r="AG565" s="712">
        <v>0</v>
      </c>
      <c r="AH565" s="712">
        <v>0</v>
      </c>
      <c r="AI565" s="712">
        <v>0</v>
      </c>
      <c r="AJ565" s="712">
        <v>0</v>
      </c>
      <c r="AK565" s="712">
        <v>0</v>
      </c>
      <c r="AL565" s="712">
        <v>0</v>
      </c>
      <c r="AM565" s="712">
        <v>0</v>
      </c>
      <c r="AN565" s="712">
        <v>0</v>
      </c>
      <c r="AO565" s="712">
        <v>0</v>
      </c>
      <c r="AP565" s="712">
        <v>0</v>
      </c>
      <c r="AQ565" s="712">
        <v>0</v>
      </c>
      <c r="AR565" s="712">
        <v>0</v>
      </c>
      <c r="AS565" s="712">
        <v>0</v>
      </c>
      <c r="AT565">
        <v>270898050</v>
      </c>
      <c r="AU565" s="609"/>
      <c r="AV565" s="609"/>
      <c r="AW565" s="609"/>
      <c r="AX565" s="609"/>
      <c r="AY565" s="609"/>
      <c r="AZ565" s="615"/>
      <c r="BA565" s="615"/>
      <c r="BB565" s="615"/>
      <c r="BC565" s="615"/>
      <c r="BD565" s="615"/>
      <c r="BE565" s="615"/>
      <c r="BF565" s="615"/>
      <c r="BG565" s="615"/>
      <c r="BH565" s="615"/>
      <c r="BI565" s="615"/>
      <c r="BJ565" s="615"/>
      <c r="BK565" s="615"/>
      <c r="BL565" s="615"/>
      <c r="BM565" s="615"/>
      <c r="BN565" s="615"/>
      <c r="BO565" s="615"/>
      <c r="BP565" s="615"/>
      <c r="BQ565" s="615"/>
      <c r="BR565" s="615"/>
      <c r="BS565" s="615"/>
      <c r="BT565" s="615"/>
      <c r="BU565" s="615"/>
      <c r="BV565" s="615"/>
      <c r="BW565" s="615"/>
      <c r="BX565" s="607"/>
    </row>
    <row r="566" spans="1:76" ht="25.5" x14ac:dyDescent="0.2">
      <c r="A566" s="839"/>
      <c r="B566" s="713" t="s">
        <v>1472</v>
      </c>
      <c r="C566" s="713" t="s">
        <v>3678</v>
      </c>
      <c r="D566" s="712">
        <v>0</v>
      </c>
      <c r="E566" s="712">
        <v>0</v>
      </c>
      <c r="F566" s="712">
        <v>0</v>
      </c>
      <c r="G566" s="712">
        <v>0</v>
      </c>
      <c r="H566" s="712">
        <v>0</v>
      </c>
      <c r="I566" s="712">
        <v>0</v>
      </c>
      <c r="J566" s="712">
        <v>0</v>
      </c>
      <c r="K566" s="712">
        <v>0</v>
      </c>
      <c r="L566" s="712">
        <v>0</v>
      </c>
      <c r="M566" s="712">
        <v>0</v>
      </c>
      <c r="N566" s="712">
        <v>0</v>
      </c>
      <c r="O566" s="712">
        <v>0</v>
      </c>
      <c r="P566" s="712">
        <v>0</v>
      </c>
      <c r="Q566" s="712">
        <v>0</v>
      </c>
      <c r="R566" s="712">
        <v>0</v>
      </c>
      <c r="S566" s="712">
        <v>3000000</v>
      </c>
      <c r="T566" s="712">
        <v>1797011</v>
      </c>
      <c r="U566" s="712">
        <v>321526359</v>
      </c>
      <c r="V566" s="712">
        <v>0</v>
      </c>
      <c r="W566" s="712">
        <v>0</v>
      </c>
      <c r="X566" s="712">
        <v>0</v>
      </c>
      <c r="Y566" s="712">
        <v>0</v>
      </c>
      <c r="Z566" s="712">
        <v>0</v>
      </c>
      <c r="AA566" s="712">
        <v>0</v>
      </c>
      <c r="AB566" s="712">
        <v>0</v>
      </c>
      <c r="AC566" s="712">
        <v>0</v>
      </c>
      <c r="AD566" s="712">
        <v>0</v>
      </c>
      <c r="AE566" s="712">
        <v>0</v>
      </c>
      <c r="AF566" s="712">
        <v>0</v>
      </c>
      <c r="AG566" s="712">
        <v>0</v>
      </c>
      <c r="AH566" s="712">
        <v>0</v>
      </c>
      <c r="AI566" s="712">
        <v>0</v>
      </c>
      <c r="AJ566" s="712">
        <v>0</v>
      </c>
      <c r="AK566" s="712">
        <v>0</v>
      </c>
      <c r="AL566" s="712">
        <v>0</v>
      </c>
      <c r="AM566" s="712">
        <v>0</v>
      </c>
      <c r="AN566" s="712">
        <v>0</v>
      </c>
      <c r="AO566" s="712">
        <v>0</v>
      </c>
      <c r="AP566" s="712">
        <v>0</v>
      </c>
      <c r="AQ566" s="712">
        <v>0</v>
      </c>
      <c r="AR566" s="712">
        <v>0</v>
      </c>
      <c r="AS566" s="712">
        <v>0</v>
      </c>
      <c r="AT566">
        <v>326323370</v>
      </c>
      <c r="AU566" s="609"/>
      <c r="AV566" s="609"/>
      <c r="AW566" s="609"/>
      <c r="AX566" s="609"/>
      <c r="AY566" s="609"/>
      <c r="AZ566" s="615"/>
      <c r="BA566" s="615"/>
      <c r="BB566" s="615"/>
      <c r="BC566" s="615"/>
      <c r="BD566" s="615"/>
      <c r="BE566" s="615"/>
      <c r="BF566" s="615"/>
      <c r="BG566" s="615"/>
      <c r="BH566" s="615"/>
      <c r="BI566" s="615"/>
      <c r="BJ566" s="615"/>
      <c r="BK566" s="615"/>
      <c r="BL566" s="615"/>
      <c r="BM566" s="615"/>
      <c r="BN566" s="615"/>
      <c r="BO566" s="615"/>
      <c r="BP566" s="615"/>
      <c r="BQ566" s="615"/>
      <c r="BR566" s="615"/>
      <c r="BS566" s="615"/>
      <c r="BT566" s="615"/>
      <c r="BU566" s="615"/>
      <c r="BV566" s="615"/>
      <c r="BW566" s="615"/>
      <c r="BX566" s="607"/>
    </row>
    <row r="567" spans="1:76" ht="25.5" x14ac:dyDescent="0.2">
      <c r="A567" s="839"/>
      <c r="B567" s="713" t="s">
        <v>1578</v>
      </c>
      <c r="C567" s="713" t="s">
        <v>3717</v>
      </c>
      <c r="D567" s="712">
        <v>0</v>
      </c>
      <c r="E567" s="712">
        <v>0</v>
      </c>
      <c r="F567" s="712">
        <v>0</v>
      </c>
      <c r="G567" s="712">
        <v>0</v>
      </c>
      <c r="H567" s="712">
        <v>0</v>
      </c>
      <c r="I567" s="712">
        <v>0</v>
      </c>
      <c r="J567" s="712">
        <v>0</v>
      </c>
      <c r="K567" s="712">
        <v>0</v>
      </c>
      <c r="L567" s="712">
        <v>0</v>
      </c>
      <c r="M567" s="712">
        <v>0</v>
      </c>
      <c r="N567" s="712">
        <v>0</v>
      </c>
      <c r="O567" s="712">
        <v>0</v>
      </c>
      <c r="P567" s="712">
        <v>3718904</v>
      </c>
      <c r="Q567" s="712">
        <v>4173714</v>
      </c>
      <c r="R567" s="712">
        <v>4173714</v>
      </c>
      <c r="S567" s="712">
        <v>4173714</v>
      </c>
      <c r="T567" s="712">
        <v>4173714</v>
      </c>
      <c r="U567" s="712">
        <v>4173722</v>
      </c>
      <c r="V567" s="712">
        <v>282016000</v>
      </c>
      <c r="W567" s="712">
        <v>0</v>
      </c>
      <c r="X567" s="712">
        <v>0</v>
      </c>
      <c r="Y567" s="712">
        <v>0</v>
      </c>
      <c r="Z567" s="712">
        <v>0</v>
      </c>
      <c r="AA567" s="712">
        <v>0</v>
      </c>
      <c r="AB567" s="712">
        <v>0</v>
      </c>
      <c r="AC567" s="712">
        <v>0</v>
      </c>
      <c r="AD567" s="712">
        <v>0</v>
      </c>
      <c r="AE567" s="712">
        <v>0</v>
      </c>
      <c r="AF567" s="712">
        <v>0</v>
      </c>
      <c r="AG567" s="712">
        <v>0</v>
      </c>
      <c r="AH567" s="712">
        <v>0</v>
      </c>
      <c r="AI567" s="712">
        <v>0</v>
      </c>
      <c r="AJ567" s="712">
        <v>0</v>
      </c>
      <c r="AK567" s="712">
        <v>0</v>
      </c>
      <c r="AL567" s="712">
        <v>0</v>
      </c>
      <c r="AM567" s="712">
        <v>0</v>
      </c>
      <c r="AN567" s="712">
        <v>0</v>
      </c>
      <c r="AO567" s="712">
        <v>0</v>
      </c>
      <c r="AP567" s="712">
        <v>0</v>
      </c>
      <c r="AQ567" s="712">
        <v>0</v>
      </c>
      <c r="AR567" s="712">
        <v>0</v>
      </c>
      <c r="AS567" s="712">
        <v>0</v>
      </c>
      <c r="AT567">
        <v>306603482</v>
      </c>
      <c r="AU567" s="609"/>
      <c r="AV567" s="609"/>
      <c r="AW567" s="609"/>
      <c r="AX567" s="609"/>
      <c r="AY567" s="609"/>
      <c r="AZ567" s="615"/>
      <c r="BA567" s="615"/>
      <c r="BB567" s="615"/>
      <c r="BC567" s="615"/>
      <c r="BD567" s="615"/>
      <c r="BE567" s="615"/>
      <c r="BF567" s="615"/>
      <c r="BG567" s="615"/>
      <c r="BH567" s="615"/>
      <c r="BI567" s="615"/>
      <c r="BJ567" s="615"/>
      <c r="BK567" s="615"/>
      <c r="BL567" s="615"/>
      <c r="BM567" s="615"/>
      <c r="BN567" s="615"/>
      <c r="BO567" s="615"/>
      <c r="BP567" s="615"/>
      <c r="BQ567" s="615"/>
      <c r="BR567" s="615"/>
      <c r="BS567" s="615"/>
      <c r="BT567" s="615"/>
      <c r="BU567" s="615"/>
      <c r="BV567" s="615"/>
      <c r="BW567" s="615"/>
      <c r="BX567" s="607"/>
    </row>
    <row r="568" spans="1:76" ht="25.5" x14ac:dyDescent="0.2">
      <c r="A568" s="839"/>
      <c r="B568" s="713" t="s">
        <v>4290</v>
      </c>
      <c r="C568" s="713" t="s">
        <v>3640</v>
      </c>
      <c r="D568" s="712">
        <v>0</v>
      </c>
      <c r="E568" s="712">
        <v>0</v>
      </c>
      <c r="F568" s="712">
        <v>0</v>
      </c>
      <c r="G568" s="712">
        <v>0</v>
      </c>
      <c r="H568" s="712">
        <v>0</v>
      </c>
      <c r="I568" s="712">
        <v>0</v>
      </c>
      <c r="J568" s="712">
        <v>0</v>
      </c>
      <c r="K568" s="712">
        <v>0</v>
      </c>
      <c r="L568" s="712">
        <v>0</v>
      </c>
      <c r="M568" s="712">
        <v>0</v>
      </c>
      <c r="N568" s="712">
        <v>0</v>
      </c>
      <c r="O568" s="712">
        <v>0</v>
      </c>
      <c r="P568" s="712">
        <v>0</v>
      </c>
      <c r="Q568" s="712">
        <v>0</v>
      </c>
      <c r="R568" s="712">
        <v>0</v>
      </c>
      <c r="S568" s="712">
        <v>4107482</v>
      </c>
      <c r="T568" s="712">
        <v>345005500</v>
      </c>
      <c r="U568" s="712">
        <v>0</v>
      </c>
      <c r="V568" s="712">
        <v>0</v>
      </c>
      <c r="W568" s="712">
        <v>0</v>
      </c>
      <c r="X568" s="712">
        <v>0</v>
      </c>
      <c r="Y568" s="712">
        <v>0</v>
      </c>
      <c r="Z568" s="712">
        <v>0</v>
      </c>
      <c r="AA568" s="712">
        <v>0</v>
      </c>
      <c r="AB568" s="712">
        <v>0</v>
      </c>
      <c r="AC568" s="712">
        <v>0</v>
      </c>
      <c r="AD568" s="712">
        <v>0</v>
      </c>
      <c r="AE568" s="712">
        <v>0</v>
      </c>
      <c r="AF568" s="712">
        <v>0</v>
      </c>
      <c r="AG568" s="712">
        <v>0</v>
      </c>
      <c r="AH568" s="712">
        <v>0</v>
      </c>
      <c r="AI568" s="712">
        <v>0</v>
      </c>
      <c r="AJ568" s="712">
        <v>0</v>
      </c>
      <c r="AK568" s="712">
        <v>0</v>
      </c>
      <c r="AL568" s="712">
        <v>0</v>
      </c>
      <c r="AM568" s="712">
        <v>0</v>
      </c>
      <c r="AN568" s="712">
        <v>0</v>
      </c>
      <c r="AO568" s="712">
        <v>0</v>
      </c>
      <c r="AP568" s="712">
        <v>0</v>
      </c>
      <c r="AQ568" s="712">
        <v>0</v>
      </c>
      <c r="AR568" s="712">
        <v>0</v>
      </c>
      <c r="AS568" s="712">
        <v>0</v>
      </c>
      <c r="AT568">
        <v>349112982</v>
      </c>
      <c r="AU568" s="609"/>
      <c r="AV568" s="609"/>
      <c r="AW568" s="609"/>
      <c r="AX568" s="609"/>
      <c r="AY568" s="609"/>
      <c r="AZ568" s="615"/>
      <c r="BA568" s="615"/>
      <c r="BB568" s="615"/>
      <c r="BC568" s="615"/>
      <c r="BD568" s="615"/>
      <c r="BE568" s="615"/>
      <c r="BF568" s="615"/>
      <c r="BG568" s="615"/>
      <c r="BH568" s="615"/>
      <c r="BI568" s="615"/>
      <c r="BJ568" s="615"/>
      <c r="BK568" s="615"/>
      <c r="BL568" s="615"/>
      <c r="BM568" s="615"/>
      <c r="BN568" s="615"/>
      <c r="BO568" s="615"/>
      <c r="BP568" s="615"/>
      <c r="BQ568" s="615"/>
      <c r="BR568" s="615"/>
      <c r="BS568" s="615"/>
      <c r="BT568" s="615"/>
      <c r="BU568" s="615"/>
      <c r="BV568" s="615"/>
      <c r="BW568" s="615"/>
      <c r="BX568" s="607"/>
    </row>
    <row r="569" spans="1:76" ht="25.5" x14ac:dyDescent="0.2">
      <c r="A569" s="839"/>
      <c r="B569" s="713" t="s">
        <v>3281</v>
      </c>
      <c r="C569" s="713" t="s">
        <v>3641</v>
      </c>
      <c r="D569" s="712">
        <v>0</v>
      </c>
      <c r="E569" s="712">
        <v>0</v>
      </c>
      <c r="F569" s="712">
        <v>0</v>
      </c>
      <c r="G569" s="712">
        <v>0</v>
      </c>
      <c r="H569" s="712">
        <v>0</v>
      </c>
      <c r="I569" s="712">
        <v>0</v>
      </c>
      <c r="J569" s="712">
        <v>0</v>
      </c>
      <c r="K569" s="712">
        <v>0</v>
      </c>
      <c r="L569" s="712">
        <v>0</v>
      </c>
      <c r="M569" s="712">
        <v>0</v>
      </c>
      <c r="N569" s="712">
        <v>0</v>
      </c>
      <c r="O569" s="712">
        <v>0</v>
      </c>
      <c r="P569" s="712">
        <v>0</v>
      </c>
      <c r="Q569" s="712">
        <v>0</v>
      </c>
      <c r="R569" s="712">
        <v>0</v>
      </c>
      <c r="S569" s="712">
        <v>62500</v>
      </c>
      <c r="T569" s="712">
        <v>230123853</v>
      </c>
      <c r="U569" s="712">
        <v>0</v>
      </c>
      <c r="V569" s="712">
        <v>0</v>
      </c>
      <c r="W569" s="712">
        <v>0</v>
      </c>
      <c r="X569" s="712">
        <v>0</v>
      </c>
      <c r="Y569" s="712">
        <v>0</v>
      </c>
      <c r="Z569" s="712">
        <v>0</v>
      </c>
      <c r="AA569" s="712">
        <v>0</v>
      </c>
      <c r="AB569" s="712">
        <v>0</v>
      </c>
      <c r="AC569" s="712">
        <v>0</v>
      </c>
      <c r="AD569" s="712">
        <v>0</v>
      </c>
      <c r="AE569" s="712">
        <v>0</v>
      </c>
      <c r="AF569" s="712">
        <v>0</v>
      </c>
      <c r="AG569" s="712">
        <v>0</v>
      </c>
      <c r="AH569" s="712">
        <v>0</v>
      </c>
      <c r="AI569" s="712">
        <v>0</v>
      </c>
      <c r="AJ569" s="712">
        <v>0</v>
      </c>
      <c r="AK569" s="712">
        <v>0</v>
      </c>
      <c r="AL569" s="712">
        <v>0</v>
      </c>
      <c r="AM569" s="712">
        <v>0</v>
      </c>
      <c r="AN569" s="712">
        <v>0</v>
      </c>
      <c r="AO569" s="712">
        <v>0</v>
      </c>
      <c r="AP569" s="712">
        <v>0</v>
      </c>
      <c r="AQ569" s="712">
        <v>0</v>
      </c>
      <c r="AR569" s="712">
        <v>0</v>
      </c>
      <c r="AS569" s="712">
        <v>0</v>
      </c>
      <c r="AT569">
        <v>230186353</v>
      </c>
      <c r="AU569" s="609"/>
      <c r="AV569" s="609"/>
      <c r="AW569" s="609"/>
      <c r="AX569" s="609"/>
      <c r="AY569" s="609"/>
      <c r="AZ569" s="615"/>
      <c r="BA569" s="615"/>
      <c r="BB569" s="615"/>
      <c r="BC569" s="615"/>
      <c r="BD569" s="615"/>
      <c r="BE569" s="615"/>
      <c r="BF569" s="615"/>
      <c r="BG569" s="615"/>
      <c r="BH569" s="615"/>
      <c r="BI569" s="615"/>
      <c r="BJ569" s="615"/>
      <c r="BK569" s="615"/>
      <c r="BL569" s="615"/>
      <c r="BM569" s="615"/>
      <c r="BN569" s="615"/>
      <c r="BO569" s="615"/>
      <c r="BP569" s="615"/>
      <c r="BQ569" s="615"/>
      <c r="BR569" s="615"/>
      <c r="BS569" s="615"/>
      <c r="BT569" s="615"/>
      <c r="BU569" s="615"/>
      <c r="BV569" s="615"/>
      <c r="BW569" s="615"/>
      <c r="BX569" s="607"/>
    </row>
    <row r="570" spans="1:76" ht="25.5" x14ac:dyDescent="0.2">
      <c r="A570" s="839"/>
      <c r="B570" s="713" t="s">
        <v>1672</v>
      </c>
      <c r="C570" s="713" t="s">
        <v>3695</v>
      </c>
      <c r="D570" s="712">
        <v>0</v>
      </c>
      <c r="E570" s="712">
        <v>0</v>
      </c>
      <c r="F570" s="712">
        <v>0</v>
      </c>
      <c r="G570" s="712">
        <v>0</v>
      </c>
      <c r="H570" s="712">
        <v>0</v>
      </c>
      <c r="I570" s="712">
        <v>0</v>
      </c>
      <c r="J570" s="712">
        <v>0</v>
      </c>
      <c r="K570" s="712">
        <v>0</v>
      </c>
      <c r="L570" s="712">
        <v>0</v>
      </c>
      <c r="M570" s="712">
        <v>0</v>
      </c>
      <c r="N570" s="712">
        <v>0</v>
      </c>
      <c r="O570" s="712">
        <v>0</v>
      </c>
      <c r="P570" s="712">
        <v>0</v>
      </c>
      <c r="Q570" s="712">
        <v>0</v>
      </c>
      <c r="R570" s="712">
        <v>0</v>
      </c>
      <c r="S570" s="712">
        <v>0</v>
      </c>
      <c r="T570" s="712">
        <v>3739848</v>
      </c>
      <c r="U570" s="712">
        <v>5178088</v>
      </c>
      <c r="V570" s="712">
        <v>5178088</v>
      </c>
      <c r="W570" s="712">
        <v>5178088</v>
      </c>
      <c r="X570" s="712">
        <v>5178088</v>
      </c>
      <c r="Y570" s="712">
        <v>5178100</v>
      </c>
      <c r="Z570" s="712">
        <v>323216591</v>
      </c>
      <c r="AA570" s="712">
        <v>0</v>
      </c>
      <c r="AB570" s="712">
        <v>0</v>
      </c>
      <c r="AC570" s="712">
        <v>0</v>
      </c>
      <c r="AD570" s="712">
        <v>0</v>
      </c>
      <c r="AE570" s="712">
        <v>0</v>
      </c>
      <c r="AF570" s="712">
        <v>0</v>
      </c>
      <c r="AG570" s="712">
        <v>0</v>
      </c>
      <c r="AH570" s="712">
        <v>0</v>
      </c>
      <c r="AI570" s="712">
        <v>0</v>
      </c>
      <c r="AJ570" s="712">
        <v>0</v>
      </c>
      <c r="AK570" s="712">
        <v>0</v>
      </c>
      <c r="AL570" s="712">
        <v>0</v>
      </c>
      <c r="AM570" s="712">
        <v>0</v>
      </c>
      <c r="AN570" s="712">
        <v>0</v>
      </c>
      <c r="AO570" s="712">
        <v>0</v>
      </c>
      <c r="AP570" s="712">
        <v>0</v>
      </c>
      <c r="AQ570" s="712">
        <v>0</v>
      </c>
      <c r="AR570" s="712">
        <v>0</v>
      </c>
      <c r="AS570" s="712">
        <v>0</v>
      </c>
      <c r="AT570">
        <v>352846891</v>
      </c>
      <c r="AU570" s="609"/>
      <c r="AV570" s="609"/>
      <c r="AW570" s="609"/>
      <c r="AX570" s="609"/>
      <c r="AY570" s="609"/>
      <c r="AZ570" s="615"/>
      <c r="BA570" s="615"/>
      <c r="BB570" s="615"/>
      <c r="BC570" s="615"/>
      <c r="BD570" s="615"/>
      <c r="BE570" s="615"/>
      <c r="BF570" s="615"/>
      <c r="BG570" s="615"/>
      <c r="BH570" s="615"/>
      <c r="BI570" s="615"/>
      <c r="BJ570" s="615"/>
      <c r="BK570" s="615"/>
      <c r="BL570" s="615"/>
      <c r="BM570" s="615"/>
      <c r="BN570" s="615"/>
      <c r="BO570" s="615"/>
      <c r="BP570" s="615"/>
      <c r="BQ570" s="615"/>
      <c r="BR570" s="615"/>
      <c r="BS570" s="615"/>
      <c r="BT570" s="615"/>
      <c r="BU570" s="615"/>
      <c r="BV570" s="615"/>
      <c r="BW570" s="615"/>
      <c r="BX570" s="607"/>
    </row>
    <row r="571" spans="1:76" ht="25.5" x14ac:dyDescent="0.2">
      <c r="A571" s="839"/>
      <c r="B571" s="713" t="s">
        <v>1436</v>
      </c>
      <c r="C571" s="713" t="s">
        <v>3716</v>
      </c>
      <c r="D571" s="712">
        <v>0</v>
      </c>
      <c r="E571" s="712">
        <v>0</v>
      </c>
      <c r="F571" s="712">
        <v>0</v>
      </c>
      <c r="G571" s="712">
        <v>0</v>
      </c>
      <c r="H571" s="712">
        <v>0</v>
      </c>
      <c r="I571" s="712">
        <v>0</v>
      </c>
      <c r="J571" s="712">
        <v>0</v>
      </c>
      <c r="K571" s="712">
        <v>0</v>
      </c>
      <c r="L571" s="712">
        <v>0</v>
      </c>
      <c r="M571" s="712">
        <v>0</v>
      </c>
      <c r="N571" s="712">
        <v>0</v>
      </c>
      <c r="O571" s="712">
        <v>0</v>
      </c>
      <c r="P571" s="712">
        <v>0</v>
      </c>
      <c r="Q571" s="712">
        <v>0</v>
      </c>
      <c r="R571" s="712">
        <v>4149274</v>
      </c>
      <c r="S571" s="712">
        <v>4219126</v>
      </c>
      <c r="T571" s="712">
        <v>4219141</v>
      </c>
      <c r="U571" s="712">
        <v>324361443</v>
      </c>
      <c r="V571" s="712">
        <v>0</v>
      </c>
      <c r="W571" s="712">
        <v>0</v>
      </c>
      <c r="X571" s="712">
        <v>0</v>
      </c>
      <c r="Y571" s="712">
        <v>0</v>
      </c>
      <c r="Z571" s="712">
        <v>0</v>
      </c>
      <c r="AA571" s="712">
        <v>0</v>
      </c>
      <c r="AB571" s="712">
        <v>0</v>
      </c>
      <c r="AC571" s="712">
        <v>0</v>
      </c>
      <c r="AD571" s="712">
        <v>0</v>
      </c>
      <c r="AE571" s="712">
        <v>0</v>
      </c>
      <c r="AF571" s="712">
        <v>0</v>
      </c>
      <c r="AG571" s="712">
        <v>0</v>
      </c>
      <c r="AH571" s="712">
        <v>0</v>
      </c>
      <c r="AI571" s="712">
        <v>0</v>
      </c>
      <c r="AJ571" s="712">
        <v>0</v>
      </c>
      <c r="AK571" s="712">
        <v>0</v>
      </c>
      <c r="AL571" s="712">
        <v>0</v>
      </c>
      <c r="AM571" s="712">
        <v>0</v>
      </c>
      <c r="AN571" s="712">
        <v>0</v>
      </c>
      <c r="AO571" s="712">
        <v>0</v>
      </c>
      <c r="AP571" s="712">
        <v>0</v>
      </c>
      <c r="AQ571" s="712">
        <v>0</v>
      </c>
      <c r="AR571" s="712">
        <v>0</v>
      </c>
      <c r="AS571" s="712">
        <v>0</v>
      </c>
      <c r="AT571">
        <v>336948984</v>
      </c>
      <c r="AU571" s="609"/>
      <c r="AV571" s="609"/>
      <c r="AW571" s="609"/>
      <c r="AX571" s="609"/>
      <c r="AY571" s="609"/>
      <c r="AZ571" s="615"/>
      <c r="BA571" s="615"/>
      <c r="BB571" s="615"/>
      <c r="BC571" s="615"/>
      <c r="BD571" s="615"/>
      <c r="BE571" s="615"/>
      <c r="BF571" s="615"/>
      <c r="BG571" s="615"/>
      <c r="BH571" s="615"/>
      <c r="BI571" s="615"/>
      <c r="BJ571" s="615"/>
      <c r="BK571" s="615"/>
      <c r="BL571" s="615"/>
      <c r="BM571" s="615"/>
      <c r="BN571" s="615"/>
      <c r="BO571" s="615"/>
      <c r="BP571" s="615"/>
      <c r="BQ571" s="615"/>
      <c r="BR571" s="615"/>
      <c r="BS571" s="615"/>
      <c r="BT571" s="615"/>
      <c r="BU571" s="615"/>
      <c r="BV571" s="615"/>
      <c r="BW571" s="615"/>
      <c r="BX571" s="607"/>
    </row>
    <row r="572" spans="1:76" ht="25.5" x14ac:dyDescent="0.2">
      <c r="A572" s="839"/>
      <c r="B572" s="713" t="s">
        <v>2582</v>
      </c>
      <c r="C572" s="713" t="s">
        <v>3715</v>
      </c>
      <c r="D572" s="712">
        <v>0</v>
      </c>
      <c r="E572" s="712">
        <v>0</v>
      </c>
      <c r="F572" s="712">
        <v>0</v>
      </c>
      <c r="G572" s="712">
        <v>0</v>
      </c>
      <c r="H572" s="712">
        <v>0</v>
      </c>
      <c r="I572" s="712">
        <v>0</v>
      </c>
      <c r="J572" s="712">
        <v>0</v>
      </c>
      <c r="K572" s="712">
        <v>0</v>
      </c>
      <c r="L572" s="712">
        <v>0</v>
      </c>
      <c r="M572" s="712">
        <v>0</v>
      </c>
      <c r="N572" s="712">
        <v>0</v>
      </c>
      <c r="O572" s="712">
        <v>0</v>
      </c>
      <c r="P572" s="712">
        <v>0</v>
      </c>
      <c r="Q572" s="712">
        <v>0</v>
      </c>
      <c r="R572" s="712">
        <v>0</v>
      </c>
      <c r="S572" s="712">
        <v>0</v>
      </c>
      <c r="T572" s="712">
        <v>0</v>
      </c>
      <c r="U572" s="712">
        <v>386571850</v>
      </c>
      <c r="V572" s="712">
        <v>0</v>
      </c>
      <c r="W572" s="712">
        <v>0</v>
      </c>
      <c r="X572" s="712">
        <v>0</v>
      </c>
      <c r="Y572" s="712">
        <v>0</v>
      </c>
      <c r="Z572" s="712">
        <v>0</v>
      </c>
      <c r="AA572" s="712">
        <v>0</v>
      </c>
      <c r="AB572" s="712">
        <v>0</v>
      </c>
      <c r="AC572" s="712">
        <v>0</v>
      </c>
      <c r="AD572" s="712">
        <v>0</v>
      </c>
      <c r="AE572" s="712">
        <v>0</v>
      </c>
      <c r="AF572" s="712">
        <v>0</v>
      </c>
      <c r="AG572" s="712">
        <v>0</v>
      </c>
      <c r="AH572" s="712">
        <v>0</v>
      </c>
      <c r="AI572" s="712">
        <v>0</v>
      </c>
      <c r="AJ572" s="712">
        <v>0</v>
      </c>
      <c r="AK572" s="712">
        <v>0</v>
      </c>
      <c r="AL572" s="712">
        <v>0</v>
      </c>
      <c r="AM572" s="712">
        <v>0</v>
      </c>
      <c r="AN572" s="712">
        <v>0</v>
      </c>
      <c r="AO572" s="712">
        <v>0</v>
      </c>
      <c r="AP572" s="712">
        <v>0</v>
      </c>
      <c r="AQ572" s="712">
        <v>0</v>
      </c>
      <c r="AR572" s="712">
        <v>0</v>
      </c>
      <c r="AS572" s="712">
        <v>0</v>
      </c>
      <c r="AT572">
        <v>386571850</v>
      </c>
      <c r="AU572" s="609"/>
      <c r="AV572" s="609"/>
      <c r="AW572" s="609"/>
      <c r="AX572" s="609"/>
      <c r="AY572" s="609"/>
      <c r="AZ572" s="615"/>
      <c r="BA572" s="615"/>
      <c r="BB572" s="615"/>
      <c r="BC572" s="615"/>
      <c r="BD572" s="615"/>
      <c r="BE572" s="615"/>
      <c r="BF572" s="615"/>
      <c r="BG572" s="615"/>
      <c r="BH572" s="615"/>
      <c r="BI572" s="615"/>
      <c r="BJ572" s="615"/>
      <c r="BK572" s="615"/>
      <c r="BL572" s="615"/>
      <c r="BM572" s="615"/>
      <c r="BN572" s="615"/>
      <c r="BO572" s="615"/>
      <c r="BP572" s="615"/>
      <c r="BQ572" s="615"/>
      <c r="BR572" s="615"/>
      <c r="BS572" s="615"/>
      <c r="BT572" s="615"/>
      <c r="BU572" s="615"/>
      <c r="BV572" s="615"/>
      <c r="BW572" s="615"/>
      <c r="BX572" s="607"/>
    </row>
    <row r="573" spans="1:76" ht="25.5" x14ac:dyDescent="0.2">
      <c r="A573" s="839"/>
      <c r="B573" s="713" t="s">
        <v>3658</v>
      </c>
      <c r="C573" s="713" t="s">
        <v>3657</v>
      </c>
      <c r="D573" s="712">
        <v>0</v>
      </c>
      <c r="E573" s="712">
        <v>0</v>
      </c>
      <c r="F573" s="712">
        <v>0</v>
      </c>
      <c r="G573" s="712">
        <v>0</v>
      </c>
      <c r="H573" s="712">
        <v>0</v>
      </c>
      <c r="I573" s="712">
        <v>0</v>
      </c>
      <c r="J573" s="712">
        <v>0</v>
      </c>
      <c r="K573" s="712">
        <v>0</v>
      </c>
      <c r="L573" s="712">
        <v>0</v>
      </c>
      <c r="M573" s="712">
        <v>0</v>
      </c>
      <c r="N573" s="712">
        <v>0</v>
      </c>
      <c r="O573" s="712">
        <v>0</v>
      </c>
      <c r="P573" s="712">
        <v>0</v>
      </c>
      <c r="Q573" s="712">
        <v>0</v>
      </c>
      <c r="R573" s="712">
        <v>0</v>
      </c>
      <c r="S573" s="712">
        <v>4894420</v>
      </c>
      <c r="T573" s="712">
        <v>5958884</v>
      </c>
      <c r="U573" s="712">
        <v>5958884</v>
      </c>
      <c r="V573" s="712">
        <v>5958884</v>
      </c>
      <c r="W573" s="712">
        <v>5958883</v>
      </c>
      <c r="X573" s="712">
        <v>542258400</v>
      </c>
      <c r="Y573" s="712">
        <v>0</v>
      </c>
      <c r="Z573" s="712">
        <v>0</v>
      </c>
      <c r="AA573" s="712">
        <v>0</v>
      </c>
      <c r="AB573" s="712">
        <v>0</v>
      </c>
      <c r="AC573" s="712">
        <v>0</v>
      </c>
      <c r="AD573" s="712">
        <v>0</v>
      </c>
      <c r="AE573" s="712">
        <v>0</v>
      </c>
      <c r="AF573" s="712">
        <v>0</v>
      </c>
      <c r="AG573" s="712">
        <v>0</v>
      </c>
      <c r="AH573" s="712">
        <v>0</v>
      </c>
      <c r="AI573" s="712">
        <v>0</v>
      </c>
      <c r="AJ573" s="712">
        <v>0</v>
      </c>
      <c r="AK573" s="712">
        <v>0</v>
      </c>
      <c r="AL573" s="712">
        <v>0</v>
      </c>
      <c r="AM573" s="712">
        <v>0</v>
      </c>
      <c r="AN573" s="712">
        <v>0</v>
      </c>
      <c r="AO573" s="712">
        <v>0</v>
      </c>
      <c r="AP573" s="712">
        <v>0</v>
      </c>
      <c r="AQ573" s="712">
        <v>0</v>
      </c>
      <c r="AR573" s="712">
        <v>0</v>
      </c>
      <c r="AS573" s="712">
        <v>0</v>
      </c>
      <c r="AT573">
        <v>570988355</v>
      </c>
      <c r="AU573" s="609"/>
      <c r="AV573" s="609"/>
      <c r="AW573" s="609"/>
      <c r="AX573" s="609"/>
      <c r="AY573" s="609"/>
      <c r="AZ573" s="615"/>
      <c r="BA573" s="615"/>
      <c r="BB573" s="615"/>
      <c r="BC573" s="615"/>
      <c r="BD573" s="615"/>
      <c r="BE573" s="615"/>
      <c r="BF573" s="615"/>
      <c r="BG573" s="615"/>
      <c r="BH573" s="615"/>
      <c r="BI573" s="615"/>
      <c r="BJ573" s="615"/>
      <c r="BK573" s="615"/>
      <c r="BL573" s="615"/>
      <c r="BM573" s="615"/>
      <c r="BN573" s="615"/>
      <c r="BO573" s="615"/>
      <c r="BP573" s="615"/>
      <c r="BQ573" s="615"/>
      <c r="BR573" s="615"/>
      <c r="BS573" s="615"/>
      <c r="BT573" s="615"/>
      <c r="BU573" s="615"/>
      <c r="BV573" s="615"/>
      <c r="BW573" s="615"/>
      <c r="BX573" s="607"/>
    </row>
    <row r="574" spans="1:76" ht="25.5" x14ac:dyDescent="0.2">
      <c r="A574" s="839"/>
      <c r="B574" s="713" t="s">
        <v>2579</v>
      </c>
      <c r="C574" s="713" t="s">
        <v>3664</v>
      </c>
      <c r="D574" s="712">
        <v>0</v>
      </c>
      <c r="E574" s="712">
        <v>0</v>
      </c>
      <c r="F574" s="712">
        <v>0</v>
      </c>
      <c r="G574" s="712">
        <v>0</v>
      </c>
      <c r="H574" s="712">
        <v>0</v>
      </c>
      <c r="I574" s="712">
        <v>0</v>
      </c>
      <c r="J574" s="712">
        <v>0</v>
      </c>
      <c r="K574" s="712">
        <v>0</v>
      </c>
      <c r="L574" s="712">
        <v>0</v>
      </c>
      <c r="M574" s="712">
        <v>0</v>
      </c>
      <c r="N574" s="712">
        <v>0</v>
      </c>
      <c r="O574" s="712">
        <v>0</v>
      </c>
      <c r="P574" s="712">
        <v>0</v>
      </c>
      <c r="Q574" s="712">
        <v>0</v>
      </c>
      <c r="R574" s="712">
        <v>0</v>
      </c>
      <c r="S574" s="712">
        <v>6019971</v>
      </c>
      <c r="T574" s="712">
        <v>6019976</v>
      </c>
      <c r="U574" s="712">
        <v>377198280</v>
      </c>
      <c r="V574" s="712">
        <v>0</v>
      </c>
      <c r="W574" s="712">
        <v>0</v>
      </c>
      <c r="X574" s="712">
        <v>0</v>
      </c>
      <c r="Y574" s="712">
        <v>0</v>
      </c>
      <c r="Z574" s="712">
        <v>0</v>
      </c>
      <c r="AA574" s="712">
        <v>0</v>
      </c>
      <c r="AB574" s="712">
        <v>0</v>
      </c>
      <c r="AC574" s="712">
        <v>0</v>
      </c>
      <c r="AD574" s="712">
        <v>0</v>
      </c>
      <c r="AE574" s="712">
        <v>0</v>
      </c>
      <c r="AF574" s="712">
        <v>0</v>
      </c>
      <c r="AG574" s="712">
        <v>0</v>
      </c>
      <c r="AH574" s="712">
        <v>0</v>
      </c>
      <c r="AI574" s="712">
        <v>0</v>
      </c>
      <c r="AJ574" s="712">
        <v>0</v>
      </c>
      <c r="AK574" s="712">
        <v>0</v>
      </c>
      <c r="AL574" s="712">
        <v>0</v>
      </c>
      <c r="AM574" s="712">
        <v>0</v>
      </c>
      <c r="AN574" s="712">
        <v>0</v>
      </c>
      <c r="AO574" s="712">
        <v>0</v>
      </c>
      <c r="AP574" s="712">
        <v>0</v>
      </c>
      <c r="AQ574" s="712">
        <v>0</v>
      </c>
      <c r="AR574" s="712">
        <v>0</v>
      </c>
      <c r="AS574" s="712">
        <v>0</v>
      </c>
      <c r="AT574">
        <v>389238227</v>
      </c>
      <c r="AU574" s="609"/>
      <c r="AV574" s="609"/>
      <c r="AW574" s="609"/>
      <c r="AX574" s="609"/>
      <c r="AY574" s="609"/>
      <c r="AZ574" s="615"/>
      <c r="BA574" s="615"/>
      <c r="BB574" s="615"/>
      <c r="BC574" s="615"/>
      <c r="BD574" s="615"/>
      <c r="BE574" s="615"/>
      <c r="BF574" s="615"/>
      <c r="BG574" s="615"/>
      <c r="BH574" s="615"/>
      <c r="BI574" s="615"/>
      <c r="BJ574" s="615"/>
      <c r="BK574" s="615"/>
      <c r="BL574" s="615"/>
      <c r="BM574" s="615"/>
      <c r="BN574" s="615"/>
      <c r="BO574" s="615"/>
      <c r="BP574" s="615"/>
      <c r="BQ574" s="615"/>
      <c r="BR574" s="615"/>
      <c r="BS574" s="615"/>
      <c r="BT574" s="615"/>
      <c r="BU574" s="615"/>
      <c r="BV574" s="615"/>
      <c r="BW574" s="615"/>
      <c r="BX574" s="607"/>
    </row>
    <row r="575" spans="1:76" ht="25.5" x14ac:dyDescent="0.2">
      <c r="A575" s="839"/>
      <c r="B575" s="713" t="s">
        <v>4247</v>
      </c>
      <c r="C575" s="713" t="s">
        <v>4246</v>
      </c>
      <c r="D575" s="712">
        <v>0</v>
      </c>
      <c r="E575" s="712">
        <v>0</v>
      </c>
      <c r="F575" s="712">
        <v>0</v>
      </c>
      <c r="G575" s="712">
        <v>0</v>
      </c>
      <c r="H575" s="712">
        <v>0</v>
      </c>
      <c r="I575" s="712">
        <v>0</v>
      </c>
      <c r="J575" s="712">
        <v>0</v>
      </c>
      <c r="K575" s="712">
        <v>0</v>
      </c>
      <c r="L575" s="712">
        <v>0</v>
      </c>
      <c r="M575" s="712">
        <v>0</v>
      </c>
      <c r="N575" s="712">
        <v>0</v>
      </c>
      <c r="O575" s="712">
        <v>0</v>
      </c>
      <c r="P575" s="712">
        <v>0</v>
      </c>
      <c r="Q575" s="712">
        <v>0</v>
      </c>
      <c r="R575" s="712">
        <v>0</v>
      </c>
      <c r="S575" s="712">
        <v>0</v>
      </c>
      <c r="T575" s="712">
        <v>0</v>
      </c>
      <c r="U575" s="712">
        <v>0</v>
      </c>
      <c r="V575" s="712">
        <v>0</v>
      </c>
      <c r="W575" s="712">
        <v>0</v>
      </c>
      <c r="X575" s="712">
        <v>0</v>
      </c>
      <c r="Y575" s="712">
        <v>525632147</v>
      </c>
      <c r="Z575" s="712">
        <v>0</v>
      </c>
      <c r="AA575" s="712">
        <v>0</v>
      </c>
      <c r="AB575" s="712">
        <v>0</v>
      </c>
      <c r="AC575" s="712">
        <v>0</v>
      </c>
      <c r="AD575" s="712">
        <v>0</v>
      </c>
      <c r="AE575" s="712">
        <v>0</v>
      </c>
      <c r="AF575" s="712">
        <v>0</v>
      </c>
      <c r="AG575" s="712">
        <v>0</v>
      </c>
      <c r="AH575" s="712">
        <v>0</v>
      </c>
      <c r="AI575" s="712">
        <v>0</v>
      </c>
      <c r="AJ575" s="712">
        <v>0</v>
      </c>
      <c r="AK575" s="712">
        <v>0</v>
      </c>
      <c r="AL575" s="712">
        <v>0</v>
      </c>
      <c r="AM575" s="712">
        <v>0</v>
      </c>
      <c r="AN575" s="712">
        <v>0</v>
      </c>
      <c r="AO575" s="712">
        <v>0</v>
      </c>
      <c r="AP575" s="712">
        <v>0</v>
      </c>
      <c r="AQ575" s="712">
        <v>0</v>
      </c>
      <c r="AR575" s="712">
        <v>0</v>
      </c>
      <c r="AS575" s="712">
        <v>0</v>
      </c>
      <c r="AT575">
        <v>525632147</v>
      </c>
      <c r="AU575" s="609"/>
      <c r="AV575" s="609"/>
      <c r="AW575" s="609"/>
      <c r="AX575" s="609"/>
      <c r="AY575" s="609"/>
      <c r="AZ575" s="615"/>
      <c r="BA575" s="615"/>
      <c r="BB575" s="615"/>
      <c r="BC575" s="615"/>
      <c r="BD575" s="615"/>
      <c r="BE575" s="615"/>
      <c r="BF575" s="615"/>
      <c r="BG575" s="615"/>
      <c r="BH575" s="615"/>
      <c r="BI575" s="615"/>
      <c r="BJ575" s="615"/>
      <c r="BK575" s="615"/>
      <c r="BL575" s="615"/>
      <c r="BM575" s="615"/>
      <c r="BN575" s="615"/>
      <c r="BO575" s="615"/>
      <c r="BP575" s="615"/>
      <c r="BQ575" s="615"/>
      <c r="BR575" s="615"/>
      <c r="BS575" s="615"/>
      <c r="BT575" s="615"/>
      <c r="BU575" s="615"/>
      <c r="BV575" s="615"/>
      <c r="BW575" s="615"/>
      <c r="BX575" s="607"/>
    </row>
    <row r="576" spans="1:76" ht="25.5" x14ac:dyDescent="0.2">
      <c r="A576" s="839"/>
      <c r="B576" s="713" t="s">
        <v>3705</v>
      </c>
      <c r="C576" s="713" t="s">
        <v>3704</v>
      </c>
      <c r="D576" s="712">
        <v>0</v>
      </c>
      <c r="E576" s="712">
        <v>0</v>
      </c>
      <c r="F576" s="712">
        <v>0</v>
      </c>
      <c r="G576" s="712">
        <v>0</v>
      </c>
      <c r="H576" s="712">
        <v>0</v>
      </c>
      <c r="I576" s="712">
        <v>0</v>
      </c>
      <c r="J576" s="712">
        <v>0</v>
      </c>
      <c r="K576" s="712">
        <v>0</v>
      </c>
      <c r="L576" s="712">
        <v>0</v>
      </c>
      <c r="M576" s="712">
        <v>0</v>
      </c>
      <c r="N576" s="712">
        <v>0</v>
      </c>
      <c r="O576" s="712">
        <v>0</v>
      </c>
      <c r="P576" s="712">
        <v>0</v>
      </c>
      <c r="Q576" s="712">
        <v>0</v>
      </c>
      <c r="R576" s="712">
        <v>0</v>
      </c>
      <c r="S576" s="712">
        <v>3</v>
      </c>
      <c r="T576" s="712">
        <v>5328915</v>
      </c>
      <c r="U576" s="712">
        <v>5328915</v>
      </c>
      <c r="V576" s="712">
        <v>5328915</v>
      </c>
      <c r="W576" s="712">
        <v>5328915</v>
      </c>
      <c r="X576" s="712">
        <v>484931222</v>
      </c>
      <c r="Y576" s="712">
        <v>0</v>
      </c>
      <c r="Z576" s="712">
        <v>0</v>
      </c>
      <c r="AA576" s="712">
        <v>0</v>
      </c>
      <c r="AB576" s="712">
        <v>0</v>
      </c>
      <c r="AC576" s="712">
        <v>0</v>
      </c>
      <c r="AD576" s="712">
        <v>0</v>
      </c>
      <c r="AE576" s="712">
        <v>0</v>
      </c>
      <c r="AF576" s="712">
        <v>0</v>
      </c>
      <c r="AG576" s="712">
        <v>0</v>
      </c>
      <c r="AH576" s="712">
        <v>0</v>
      </c>
      <c r="AI576" s="712">
        <v>0</v>
      </c>
      <c r="AJ576" s="712">
        <v>0</v>
      </c>
      <c r="AK576" s="712">
        <v>0</v>
      </c>
      <c r="AL576" s="712">
        <v>0</v>
      </c>
      <c r="AM576" s="712">
        <v>0</v>
      </c>
      <c r="AN576" s="712">
        <v>0</v>
      </c>
      <c r="AO576" s="712">
        <v>0</v>
      </c>
      <c r="AP576" s="712">
        <v>0</v>
      </c>
      <c r="AQ576" s="712">
        <v>0</v>
      </c>
      <c r="AR576" s="712">
        <v>0</v>
      </c>
      <c r="AS576" s="712">
        <v>0</v>
      </c>
      <c r="AT576">
        <v>506246885</v>
      </c>
      <c r="AU576" s="609"/>
      <c r="AV576" s="609"/>
      <c r="AW576" s="609"/>
      <c r="AX576" s="609"/>
      <c r="AY576" s="609"/>
      <c r="AZ576" s="615"/>
      <c r="BA576" s="615"/>
      <c r="BB576" s="615"/>
      <c r="BC576" s="615"/>
      <c r="BD576" s="615"/>
      <c r="BE576" s="615"/>
      <c r="BF576" s="615"/>
      <c r="BG576" s="615"/>
      <c r="BH576" s="615"/>
      <c r="BI576" s="615"/>
      <c r="BJ576" s="615"/>
      <c r="BK576" s="615"/>
      <c r="BL576" s="615"/>
      <c r="BM576" s="615"/>
      <c r="BN576" s="615"/>
      <c r="BO576" s="615"/>
      <c r="BP576" s="615"/>
      <c r="BQ576" s="615"/>
      <c r="BR576" s="615"/>
      <c r="BS576" s="615"/>
      <c r="BT576" s="615"/>
      <c r="BU576" s="615"/>
      <c r="BV576" s="615"/>
      <c r="BW576" s="615"/>
      <c r="BX576" s="607"/>
    </row>
    <row r="577" spans="1:76" ht="25.5" x14ac:dyDescent="0.2">
      <c r="A577" s="839"/>
      <c r="B577" s="713" t="s">
        <v>1471</v>
      </c>
      <c r="C577" s="713" t="s">
        <v>3674</v>
      </c>
      <c r="D577" s="712">
        <v>0</v>
      </c>
      <c r="E577" s="712">
        <v>0</v>
      </c>
      <c r="F577" s="712">
        <v>0</v>
      </c>
      <c r="G577" s="712">
        <v>0</v>
      </c>
      <c r="H577" s="712">
        <v>0</v>
      </c>
      <c r="I577" s="712">
        <v>0</v>
      </c>
      <c r="J577" s="712">
        <v>0</v>
      </c>
      <c r="K577" s="712">
        <v>0</v>
      </c>
      <c r="L577" s="712">
        <v>0</v>
      </c>
      <c r="M577" s="712">
        <v>0</v>
      </c>
      <c r="N577" s="712">
        <v>0</v>
      </c>
      <c r="O577" s="712">
        <v>0</v>
      </c>
      <c r="P577" s="712">
        <v>0</v>
      </c>
      <c r="Q577" s="712">
        <v>0</v>
      </c>
      <c r="R577" s="712">
        <v>0</v>
      </c>
      <c r="S577" s="712">
        <v>3671418</v>
      </c>
      <c r="T577" s="712">
        <v>3671420</v>
      </c>
      <c r="U577" s="712">
        <v>274899240</v>
      </c>
      <c r="V577" s="712">
        <v>0</v>
      </c>
      <c r="W577" s="712">
        <v>0</v>
      </c>
      <c r="X577" s="712">
        <v>0</v>
      </c>
      <c r="Y577" s="712">
        <v>0</v>
      </c>
      <c r="Z577" s="712">
        <v>0</v>
      </c>
      <c r="AA577" s="712">
        <v>0</v>
      </c>
      <c r="AB577" s="712">
        <v>0</v>
      </c>
      <c r="AC577" s="712">
        <v>0</v>
      </c>
      <c r="AD577" s="712">
        <v>0</v>
      </c>
      <c r="AE577" s="712">
        <v>0</v>
      </c>
      <c r="AF577" s="712">
        <v>0</v>
      </c>
      <c r="AG577" s="712">
        <v>0</v>
      </c>
      <c r="AH577" s="712">
        <v>0</v>
      </c>
      <c r="AI577" s="712">
        <v>0</v>
      </c>
      <c r="AJ577" s="712">
        <v>0</v>
      </c>
      <c r="AK577" s="712">
        <v>0</v>
      </c>
      <c r="AL577" s="712">
        <v>0</v>
      </c>
      <c r="AM577" s="712">
        <v>0</v>
      </c>
      <c r="AN577" s="712">
        <v>0</v>
      </c>
      <c r="AO577" s="712">
        <v>0</v>
      </c>
      <c r="AP577" s="712">
        <v>0</v>
      </c>
      <c r="AQ577" s="712">
        <v>0</v>
      </c>
      <c r="AR577" s="712">
        <v>0</v>
      </c>
      <c r="AS577" s="712">
        <v>0</v>
      </c>
      <c r="AT577">
        <v>282242078</v>
      </c>
      <c r="AU577" s="609"/>
      <c r="AV577" s="609"/>
      <c r="AW577" s="609"/>
      <c r="AX577" s="609"/>
      <c r="AY577" s="609"/>
      <c r="AZ577" s="615"/>
      <c r="BA577" s="615"/>
      <c r="BB577" s="615"/>
      <c r="BC577" s="615"/>
      <c r="BD577" s="615"/>
      <c r="BE577" s="615"/>
      <c r="BF577" s="615"/>
      <c r="BG577" s="615"/>
      <c r="BH577" s="615"/>
      <c r="BI577" s="615"/>
      <c r="BJ577" s="615"/>
      <c r="BK577" s="615"/>
      <c r="BL577" s="615"/>
      <c r="BM577" s="615"/>
      <c r="BN577" s="615"/>
      <c r="BO577" s="615"/>
      <c r="BP577" s="615"/>
      <c r="BQ577" s="615"/>
      <c r="BR577" s="615"/>
      <c r="BS577" s="615"/>
      <c r="BT577" s="615"/>
      <c r="BU577" s="615"/>
      <c r="BV577" s="615"/>
      <c r="BW577" s="615"/>
      <c r="BX577" s="607"/>
    </row>
    <row r="578" spans="1:76" ht="25.5" x14ac:dyDescent="0.2">
      <c r="A578" s="839"/>
      <c r="B578" s="713" t="s">
        <v>3284</v>
      </c>
      <c r="C578" s="713" t="s">
        <v>3712</v>
      </c>
      <c r="D578" s="712">
        <v>0</v>
      </c>
      <c r="E578" s="712">
        <v>0</v>
      </c>
      <c r="F578" s="712">
        <v>0</v>
      </c>
      <c r="G578" s="712">
        <v>0</v>
      </c>
      <c r="H578" s="712">
        <v>0</v>
      </c>
      <c r="I578" s="712">
        <v>0</v>
      </c>
      <c r="J578" s="712">
        <v>0</v>
      </c>
      <c r="K578" s="712">
        <v>0</v>
      </c>
      <c r="L578" s="712">
        <v>0</v>
      </c>
      <c r="M578" s="712">
        <v>0</v>
      </c>
      <c r="N578" s="712">
        <v>0</v>
      </c>
      <c r="O578" s="712">
        <v>0</v>
      </c>
      <c r="P578" s="712">
        <v>0</v>
      </c>
      <c r="Q578" s="712">
        <v>0</v>
      </c>
      <c r="R578" s="712">
        <v>0</v>
      </c>
      <c r="S578" s="712">
        <v>0</v>
      </c>
      <c r="T578" s="712">
        <v>0</v>
      </c>
      <c r="U578" s="712">
        <v>311689324</v>
      </c>
      <c r="V578" s="712">
        <v>0</v>
      </c>
      <c r="W578" s="712">
        <v>0</v>
      </c>
      <c r="X578" s="712">
        <v>0</v>
      </c>
      <c r="Y578" s="712">
        <v>0</v>
      </c>
      <c r="Z578" s="712">
        <v>0</v>
      </c>
      <c r="AA578" s="712">
        <v>0</v>
      </c>
      <c r="AB578" s="712">
        <v>0</v>
      </c>
      <c r="AC578" s="712">
        <v>0</v>
      </c>
      <c r="AD578" s="712">
        <v>0</v>
      </c>
      <c r="AE578" s="712">
        <v>0</v>
      </c>
      <c r="AF578" s="712">
        <v>0</v>
      </c>
      <c r="AG578" s="712">
        <v>0</v>
      </c>
      <c r="AH578" s="712">
        <v>0</v>
      </c>
      <c r="AI578" s="712">
        <v>0</v>
      </c>
      <c r="AJ578" s="712">
        <v>0</v>
      </c>
      <c r="AK578" s="712">
        <v>0</v>
      </c>
      <c r="AL578" s="712">
        <v>0</v>
      </c>
      <c r="AM578" s="712">
        <v>0</v>
      </c>
      <c r="AN578" s="712">
        <v>0</v>
      </c>
      <c r="AO578" s="712">
        <v>0</v>
      </c>
      <c r="AP578" s="712">
        <v>0</v>
      </c>
      <c r="AQ578" s="712">
        <v>0</v>
      </c>
      <c r="AR578" s="712">
        <v>0</v>
      </c>
      <c r="AS578" s="712">
        <v>0</v>
      </c>
      <c r="AT578">
        <v>311689324</v>
      </c>
      <c r="AU578" s="609"/>
      <c r="AV578" s="609"/>
      <c r="AW578" s="609"/>
      <c r="AX578" s="609"/>
      <c r="AY578" s="609"/>
      <c r="AZ578" s="615"/>
      <c r="BA578" s="615"/>
      <c r="BB578" s="615"/>
      <c r="BC578" s="615"/>
      <c r="BD578" s="615"/>
      <c r="BE578" s="615"/>
      <c r="BF578" s="615"/>
      <c r="BG578" s="615"/>
      <c r="BH578" s="615"/>
      <c r="BI578" s="615"/>
      <c r="BJ578" s="615"/>
      <c r="BK578" s="615"/>
      <c r="BL578" s="615"/>
      <c r="BM578" s="615"/>
      <c r="BN578" s="615"/>
      <c r="BO578" s="615"/>
      <c r="BP578" s="615"/>
      <c r="BQ578" s="615"/>
      <c r="BR578" s="615"/>
      <c r="BS578" s="615"/>
      <c r="BT578" s="615"/>
      <c r="BU578" s="615"/>
      <c r="BV578" s="615"/>
      <c r="BW578" s="615"/>
      <c r="BX578" s="607"/>
    </row>
    <row r="579" spans="1:76" ht="12.75" x14ac:dyDescent="0.2">
      <c r="A579" s="839"/>
      <c r="B579" s="713" t="s">
        <v>4292</v>
      </c>
      <c r="C579" s="713" t="s">
        <v>4291</v>
      </c>
      <c r="D579" s="712">
        <v>0</v>
      </c>
      <c r="E579" s="712">
        <v>0</v>
      </c>
      <c r="F579" s="712">
        <v>0</v>
      </c>
      <c r="G579" s="712">
        <v>0</v>
      </c>
      <c r="H579" s="712">
        <v>0</v>
      </c>
      <c r="I579" s="712">
        <v>0</v>
      </c>
      <c r="J579" s="712">
        <v>0</v>
      </c>
      <c r="K579" s="712">
        <v>0</v>
      </c>
      <c r="L579" s="712">
        <v>0</v>
      </c>
      <c r="M579" s="712">
        <v>0</v>
      </c>
      <c r="N579" s="712">
        <v>0</v>
      </c>
      <c r="O579" s="712">
        <v>0</v>
      </c>
      <c r="P579" s="712">
        <v>0</v>
      </c>
      <c r="Q579" s="712">
        <v>0</v>
      </c>
      <c r="R579" s="712">
        <v>0</v>
      </c>
      <c r="S579" s="712">
        <v>0</v>
      </c>
      <c r="T579" s="712">
        <v>6729586</v>
      </c>
      <c r="U579" s="712">
        <v>6729793</v>
      </c>
      <c r="V579" s="712">
        <v>6729793</v>
      </c>
      <c r="W579" s="712">
        <v>6729793</v>
      </c>
      <c r="X579" s="712">
        <v>67297929</v>
      </c>
      <c r="Y579" s="712">
        <v>484545091</v>
      </c>
      <c r="Z579" s="712">
        <v>0</v>
      </c>
      <c r="AA579" s="712">
        <v>0</v>
      </c>
      <c r="AB579" s="712">
        <v>0</v>
      </c>
      <c r="AC579" s="712">
        <v>0</v>
      </c>
      <c r="AD579" s="712">
        <v>0</v>
      </c>
      <c r="AE579" s="712">
        <v>0</v>
      </c>
      <c r="AF579" s="712">
        <v>0</v>
      </c>
      <c r="AG579" s="712">
        <v>0</v>
      </c>
      <c r="AH579" s="712">
        <v>0</v>
      </c>
      <c r="AI579" s="712">
        <v>0</v>
      </c>
      <c r="AJ579" s="712">
        <v>0</v>
      </c>
      <c r="AK579" s="712">
        <v>0</v>
      </c>
      <c r="AL579" s="712">
        <v>0</v>
      </c>
      <c r="AM579" s="712">
        <v>0</v>
      </c>
      <c r="AN579" s="712">
        <v>0</v>
      </c>
      <c r="AO579" s="712">
        <v>0</v>
      </c>
      <c r="AP579" s="712">
        <v>0</v>
      </c>
      <c r="AQ579" s="712">
        <v>0</v>
      </c>
      <c r="AR579" s="712">
        <v>0</v>
      </c>
      <c r="AS579" s="712">
        <v>0</v>
      </c>
      <c r="AT579">
        <v>578761985</v>
      </c>
      <c r="AU579" s="609"/>
      <c r="AV579" s="609"/>
      <c r="AW579" s="609"/>
      <c r="AX579" s="609"/>
      <c r="AY579" s="609"/>
      <c r="AZ579" s="615"/>
      <c r="BA579" s="615"/>
      <c r="BB579" s="615"/>
      <c r="BC579" s="615"/>
      <c r="BD579" s="615"/>
      <c r="BE579" s="615"/>
      <c r="BF579" s="615"/>
      <c r="BG579" s="615"/>
      <c r="BH579" s="615"/>
      <c r="BI579" s="615"/>
      <c r="BJ579" s="615"/>
      <c r="BK579" s="615"/>
      <c r="BL579" s="615"/>
      <c r="BM579" s="615"/>
      <c r="BN579" s="615"/>
      <c r="BO579" s="615"/>
      <c r="BP579" s="615"/>
      <c r="BQ579" s="615"/>
      <c r="BR579" s="615"/>
      <c r="BS579" s="615"/>
      <c r="BT579" s="615"/>
      <c r="BU579" s="615"/>
      <c r="BV579" s="615"/>
      <c r="BW579" s="615"/>
      <c r="BX579" s="607"/>
    </row>
    <row r="580" spans="1:76" ht="25.5" x14ac:dyDescent="0.2">
      <c r="A580" s="839"/>
      <c r="B580" s="713" t="s">
        <v>1433</v>
      </c>
      <c r="C580" s="713" t="s">
        <v>3652</v>
      </c>
      <c r="D580" s="712">
        <v>0</v>
      </c>
      <c r="E580" s="712">
        <v>0</v>
      </c>
      <c r="F580" s="712">
        <v>0</v>
      </c>
      <c r="G580" s="712">
        <v>0</v>
      </c>
      <c r="H580" s="712">
        <v>0</v>
      </c>
      <c r="I580" s="712">
        <v>0</v>
      </c>
      <c r="J580" s="712">
        <v>0</v>
      </c>
      <c r="K580" s="712">
        <v>0</v>
      </c>
      <c r="L580" s="712">
        <v>0</v>
      </c>
      <c r="M580" s="712">
        <v>0</v>
      </c>
      <c r="N580" s="712">
        <v>0</v>
      </c>
      <c r="O580" s="712">
        <v>0</v>
      </c>
      <c r="P580" s="712">
        <v>0</v>
      </c>
      <c r="Q580" s="712">
        <v>0</v>
      </c>
      <c r="R580" s="712">
        <v>52158</v>
      </c>
      <c r="S580" s="712">
        <v>4026079</v>
      </c>
      <c r="T580" s="712">
        <v>4026072</v>
      </c>
      <c r="U580" s="712">
        <v>319341400</v>
      </c>
      <c r="V580" s="712">
        <v>0</v>
      </c>
      <c r="W580" s="712">
        <v>0</v>
      </c>
      <c r="X580" s="712">
        <v>0</v>
      </c>
      <c r="Y580" s="712">
        <v>0</v>
      </c>
      <c r="Z580" s="712">
        <v>0</v>
      </c>
      <c r="AA580" s="712">
        <v>0</v>
      </c>
      <c r="AB580" s="712">
        <v>0</v>
      </c>
      <c r="AC580" s="712">
        <v>0</v>
      </c>
      <c r="AD580" s="712">
        <v>0</v>
      </c>
      <c r="AE580" s="712">
        <v>0</v>
      </c>
      <c r="AF580" s="712">
        <v>0</v>
      </c>
      <c r="AG580" s="712">
        <v>0</v>
      </c>
      <c r="AH580" s="712">
        <v>0</v>
      </c>
      <c r="AI580" s="712">
        <v>0</v>
      </c>
      <c r="AJ580" s="712">
        <v>0</v>
      </c>
      <c r="AK580" s="712">
        <v>0</v>
      </c>
      <c r="AL580" s="712">
        <v>0</v>
      </c>
      <c r="AM580" s="712">
        <v>0</v>
      </c>
      <c r="AN580" s="712">
        <v>0</v>
      </c>
      <c r="AO580" s="712">
        <v>0</v>
      </c>
      <c r="AP580" s="712">
        <v>0</v>
      </c>
      <c r="AQ580" s="712">
        <v>0</v>
      </c>
      <c r="AR580" s="712">
        <v>0</v>
      </c>
      <c r="AS580" s="712">
        <v>0</v>
      </c>
      <c r="AT580">
        <v>327445709</v>
      </c>
      <c r="AU580" s="609"/>
      <c r="AV580" s="609"/>
      <c r="AW580" s="609"/>
      <c r="AX580" s="609"/>
      <c r="AY580" s="609"/>
      <c r="AZ580" s="615"/>
      <c r="BA580" s="615"/>
      <c r="BB580" s="615"/>
      <c r="BC580" s="615"/>
      <c r="BD580" s="615"/>
      <c r="BE580" s="615"/>
      <c r="BF580" s="615"/>
      <c r="BG580" s="615"/>
      <c r="BH580" s="615"/>
      <c r="BI580" s="615"/>
      <c r="BJ580" s="615"/>
      <c r="BK580" s="615"/>
      <c r="BL580" s="615"/>
      <c r="BM580" s="615"/>
      <c r="BN580" s="615"/>
      <c r="BO580" s="615"/>
      <c r="BP580" s="615"/>
      <c r="BQ580" s="615"/>
      <c r="BR580" s="615"/>
      <c r="BS580" s="615"/>
      <c r="BT580" s="615"/>
      <c r="BU580" s="615"/>
      <c r="BV580" s="615"/>
      <c r="BW580" s="615"/>
      <c r="BX580" s="607"/>
    </row>
    <row r="581" spans="1:76" ht="25.5" x14ac:dyDescent="0.2">
      <c r="A581" s="839"/>
      <c r="B581" s="713" t="s">
        <v>1248</v>
      </c>
      <c r="C581" s="713" t="s">
        <v>3720</v>
      </c>
      <c r="D581" s="712">
        <v>0</v>
      </c>
      <c r="E581" s="712">
        <v>0</v>
      </c>
      <c r="F581" s="712">
        <v>0</v>
      </c>
      <c r="G581" s="712">
        <v>0</v>
      </c>
      <c r="H581" s="712">
        <v>0</v>
      </c>
      <c r="I581" s="712">
        <v>0</v>
      </c>
      <c r="J581" s="712">
        <v>0</v>
      </c>
      <c r="K581" s="712">
        <v>0</v>
      </c>
      <c r="L581" s="712">
        <v>0</v>
      </c>
      <c r="M581" s="712">
        <v>0</v>
      </c>
      <c r="N581" s="712">
        <v>0</v>
      </c>
      <c r="O581" s="712">
        <v>1852852</v>
      </c>
      <c r="P581" s="712">
        <v>3850000</v>
      </c>
      <c r="Q581" s="712">
        <v>3850000</v>
      </c>
      <c r="R581" s="712">
        <v>3850000</v>
      </c>
      <c r="S581" s="712">
        <v>3672746</v>
      </c>
      <c r="T581" s="712">
        <v>278587236</v>
      </c>
      <c r="U581" s="712">
        <v>0</v>
      </c>
      <c r="V581" s="712">
        <v>0</v>
      </c>
      <c r="W581" s="712">
        <v>0</v>
      </c>
      <c r="X581" s="712">
        <v>0</v>
      </c>
      <c r="Y581" s="712">
        <v>0</v>
      </c>
      <c r="Z581" s="712">
        <v>0</v>
      </c>
      <c r="AA581" s="712">
        <v>0</v>
      </c>
      <c r="AB581" s="712">
        <v>0</v>
      </c>
      <c r="AC581" s="712">
        <v>0</v>
      </c>
      <c r="AD581" s="712">
        <v>0</v>
      </c>
      <c r="AE581" s="712">
        <v>0</v>
      </c>
      <c r="AF581" s="712">
        <v>0</v>
      </c>
      <c r="AG581" s="712">
        <v>0</v>
      </c>
      <c r="AH581" s="712">
        <v>0</v>
      </c>
      <c r="AI581" s="712">
        <v>0</v>
      </c>
      <c r="AJ581" s="712">
        <v>0</v>
      </c>
      <c r="AK581" s="712">
        <v>0</v>
      </c>
      <c r="AL581" s="712">
        <v>0</v>
      </c>
      <c r="AM581" s="712">
        <v>0</v>
      </c>
      <c r="AN581" s="712">
        <v>0</v>
      </c>
      <c r="AO581" s="712">
        <v>0</v>
      </c>
      <c r="AP581" s="712">
        <v>0</v>
      </c>
      <c r="AQ581" s="712">
        <v>0</v>
      </c>
      <c r="AR581" s="712">
        <v>0</v>
      </c>
      <c r="AS581" s="712">
        <v>0</v>
      </c>
      <c r="AT581">
        <v>295662834</v>
      </c>
      <c r="AU581" s="609"/>
      <c r="AV581" s="609"/>
      <c r="AW581" s="609"/>
      <c r="AX581" s="609"/>
      <c r="AY581" s="609"/>
      <c r="AZ581" s="615"/>
      <c r="BA581" s="615"/>
      <c r="BB581" s="615"/>
      <c r="BC581" s="615"/>
      <c r="BD581" s="615"/>
      <c r="BE581" s="615"/>
      <c r="BF581" s="615"/>
      <c r="BG581" s="615"/>
      <c r="BH581" s="615"/>
      <c r="BI581" s="615"/>
      <c r="BJ581" s="615"/>
      <c r="BK581" s="615"/>
      <c r="BL581" s="615"/>
      <c r="BM581" s="615"/>
      <c r="BN581" s="615"/>
      <c r="BO581" s="615"/>
      <c r="BP581" s="615"/>
      <c r="BQ581" s="615"/>
      <c r="BR581" s="615"/>
      <c r="BS581" s="615"/>
      <c r="BT581" s="615"/>
      <c r="BU581" s="615"/>
      <c r="BV581" s="615"/>
      <c r="BW581" s="615"/>
      <c r="BX581" s="607"/>
    </row>
    <row r="582" spans="1:76" ht="25.5" x14ac:dyDescent="0.2">
      <c r="A582" s="839"/>
      <c r="B582" s="713" t="s">
        <v>1245</v>
      </c>
      <c r="C582" s="713" t="s">
        <v>3669</v>
      </c>
      <c r="D582" s="712">
        <v>0</v>
      </c>
      <c r="E582" s="712">
        <v>0</v>
      </c>
      <c r="F582" s="712">
        <v>0</v>
      </c>
      <c r="G582" s="712">
        <v>0</v>
      </c>
      <c r="H582" s="712">
        <v>0</v>
      </c>
      <c r="I582" s="712">
        <v>0</v>
      </c>
      <c r="J582" s="712">
        <v>0</v>
      </c>
      <c r="K582" s="712">
        <v>0</v>
      </c>
      <c r="L582" s="712">
        <v>0</v>
      </c>
      <c r="M582" s="712">
        <v>0</v>
      </c>
      <c r="N582" s="712">
        <v>0</v>
      </c>
      <c r="O582" s="712">
        <v>0</v>
      </c>
      <c r="P582" s="712">
        <v>0</v>
      </c>
      <c r="Q582" s="712">
        <v>0</v>
      </c>
      <c r="R582" s="712">
        <v>0</v>
      </c>
      <c r="S582" s="712">
        <v>0</v>
      </c>
      <c r="T582" s="712">
        <v>327223030</v>
      </c>
      <c r="U582" s="712">
        <v>0</v>
      </c>
      <c r="V582" s="712">
        <v>0</v>
      </c>
      <c r="W582" s="712">
        <v>0</v>
      </c>
      <c r="X582" s="712">
        <v>0</v>
      </c>
      <c r="Y582" s="712">
        <v>0</v>
      </c>
      <c r="Z582" s="712">
        <v>0</v>
      </c>
      <c r="AA582" s="712">
        <v>0</v>
      </c>
      <c r="AB582" s="712">
        <v>0</v>
      </c>
      <c r="AC582" s="712">
        <v>0</v>
      </c>
      <c r="AD582" s="712">
        <v>0</v>
      </c>
      <c r="AE582" s="712">
        <v>0</v>
      </c>
      <c r="AF582" s="712">
        <v>0</v>
      </c>
      <c r="AG582" s="712">
        <v>0</v>
      </c>
      <c r="AH582" s="712">
        <v>0</v>
      </c>
      <c r="AI582" s="712">
        <v>0</v>
      </c>
      <c r="AJ582" s="712">
        <v>0</v>
      </c>
      <c r="AK582" s="712">
        <v>0</v>
      </c>
      <c r="AL582" s="712">
        <v>0</v>
      </c>
      <c r="AM582" s="712">
        <v>0</v>
      </c>
      <c r="AN582" s="712">
        <v>0</v>
      </c>
      <c r="AO582" s="712">
        <v>0</v>
      </c>
      <c r="AP582" s="712">
        <v>0</v>
      </c>
      <c r="AQ582" s="712">
        <v>0</v>
      </c>
      <c r="AR582" s="712">
        <v>0</v>
      </c>
      <c r="AS582" s="712">
        <v>0</v>
      </c>
      <c r="AT582">
        <v>327223030</v>
      </c>
      <c r="AU582" s="609"/>
      <c r="AV582" s="609"/>
      <c r="AW582" s="609"/>
      <c r="AX582" s="609"/>
      <c r="AY582" s="609"/>
      <c r="AZ582" s="615"/>
      <c r="BA582" s="615"/>
      <c r="BB582" s="615"/>
      <c r="BC582" s="615"/>
      <c r="BD582" s="615"/>
      <c r="BE582" s="615"/>
      <c r="BF582" s="615"/>
      <c r="BG582" s="615"/>
      <c r="BH582" s="615"/>
      <c r="BI582" s="615"/>
      <c r="BJ582" s="615"/>
      <c r="BK582" s="615"/>
      <c r="BL582" s="615"/>
      <c r="BM582" s="615"/>
      <c r="BN582" s="615"/>
      <c r="BO582" s="615"/>
      <c r="BP582" s="615"/>
      <c r="BQ582" s="615"/>
      <c r="BR582" s="615"/>
      <c r="BS582" s="615"/>
      <c r="BT582" s="615"/>
      <c r="BU582" s="615"/>
      <c r="BV582" s="615"/>
      <c r="BW582" s="615"/>
      <c r="BX582" s="607"/>
    </row>
    <row r="583" spans="1:76" ht="25.5" x14ac:dyDescent="0.2">
      <c r="A583" s="839"/>
      <c r="B583" s="713" t="s">
        <v>1984</v>
      </c>
      <c r="C583" s="713" t="s">
        <v>3644</v>
      </c>
      <c r="D583" s="712">
        <v>0</v>
      </c>
      <c r="E583" s="712">
        <v>0</v>
      </c>
      <c r="F583" s="712">
        <v>0</v>
      </c>
      <c r="G583" s="712">
        <v>0</v>
      </c>
      <c r="H583" s="712">
        <v>0</v>
      </c>
      <c r="I583" s="712">
        <v>0</v>
      </c>
      <c r="J583" s="712">
        <v>0</v>
      </c>
      <c r="K583" s="712">
        <v>0</v>
      </c>
      <c r="L583" s="712">
        <v>0</v>
      </c>
      <c r="M583" s="712">
        <v>0</v>
      </c>
      <c r="N583" s="712">
        <v>0</v>
      </c>
      <c r="O583" s="712">
        <v>0</v>
      </c>
      <c r="P583" s="712">
        <v>0</v>
      </c>
      <c r="Q583" s="712">
        <v>0</v>
      </c>
      <c r="R583" s="712">
        <v>160324</v>
      </c>
      <c r="S583" s="712">
        <v>6839678</v>
      </c>
      <c r="T583" s="712">
        <v>6839678</v>
      </c>
      <c r="U583" s="712">
        <v>335357968</v>
      </c>
      <c r="V583" s="712">
        <v>0</v>
      </c>
      <c r="W583" s="712">
        <v>0</v>
      </c>
      <c r="X583" s="712">
        <v>0</v>
      </c>
      <c r="Y583" s="712">
        <v>0</v>
      </c>
      <c r="Z583" s="712">
        <v>0</v>
      </c>
      <c r="AA583" s="712">
        <v>0</v>
      </c>
      <c r="AB583" s="712">
        <v>0</v>
      </c>
      <c r="AC583" s="712">
        <v>0</v>
      </c>
      <c r="AD583" s="712">
        <v>0</v>
      </c>
      <c r="AE583" s="712">
        <v>0</v>
      </c>
      <c r="AF583" s="712">
        <v>0</v>
      </c>
      <c r="AG583" s="712">
        <v>0</v>
      </c>
      <c r="AH583" s="712">
        <v>0</v>
      </c>
      <c r="AI583" s="712">
        <v>0</v>
      </c>
      <c r="AJ583" s="712">
        <v>0</v>
      </c>
      <c r="AK583" s="712">
        <v>0</v>
      </c>
      <c r="AL583" s="712">
        <v>0</v>
      </c>
      <c r="AM583" s="712">
        <v>0</v>
      </c>
      <c r="AN583" s="712">
        <v>0</v>
      </c>
      <c r="AO583" s="712">
        <v>0</v>
      </c>
      <c r="AP583" s="712">
        <v>0</v>
      </c>
      <c r="AQ583" s="712">
        <v>0</v>
      </c>
      <c r="AR583" s="712">
        <v>0</v>
      </c>
      <c r="AS583" s="712">
        <v>0</v>
      </c>
      <c r="AT583">
        <v>349197648</v>
      </c>
      <c r="AU583" s="609"/>
      <c r="AV583" s="609"/>
      <c r="AW583" s="609"/>
      <c r="AX583" s="609"/>
      <c r="AY583" s="609"/>
      <c r="AZ583" s="615"/>
      <c r="BA583" s="615"/>
      <c r="BB583" s="615"/>
      <c r="BC583" s="615"/>
      <c r="BD583" s="615"/>
      <c r="BE583" s="615"/>
      <c r="BF583" s="615"/>
      <c r="BG583" s="615"/>
      <c r="BH583" s="615"/>
      <c r="BI583" s="615"/>
      <c r="BJ583" s="615"/>
      <c r="BK583" s="615"/>
      <c r="BL583" s="615"/>
      <c r="BM583" s="615"/>
      <c r="BN583" s="615"/>
      <c r="BO583" s="615"/>
      <c r="BP583" s="615"/>
      <c r="BQ583" s="615"/>
      <c r="BR583" s="615"/>
      <c r="BS583" s="615"/>
      <c r="BT583" s="615"/>
      <c r="BU583" s="615"/>
      <c r="BV583" s="615"/>
      <c r="BW583" s="615"/>
      <c r="BX583" s="607"/>
    </row>
    <row r="584" spans="1:76" ht="25.5" x14ac:dyDescent="0.2">
      <c r="A584" s="839"/>
      <c r="B584" s="713" t="s">
        <v>2580</v>
      </c>
      <c r="C584" s="713" t="s">
        <v>3681</v>
      </c>
      <c r="D584" s="712">
        <v>0</v>
      </c>
      <c r="E584" s="712">
        <v>0</v>
      </c>
      <c r="F584" s="712">
        <v>0</v>
      </c>
      <c r="G584" s="712">
        <v>0</v>
      </c>
      <c r="H584" s="712">
        <v>0</v>
      </c>
      <c r="I584" s="712">
        <v>0</v>
      </c>
      <c r="J584" s="712">
        <v>0</v>
      </c>
      <c r="K584" s="712">
        <v>0</v>
      </c>
      <c r="L584" s="712">
        <v>0</v>
      </c>
      <c r="M584" s="712">
        <v>0</v>
      </c>
      <c r="N584" s="712">
        <v>0</v>
      </c>
      <c r="O584" s="712">
        <v>0</v>
      </c>
      <c r="P584" s="712">
        <v>0</v>
      </c>
      <c r="Q584" s="712">
        <v>0</v>
      </c>
      <c r="R584" s="712">
        <v>323189</v>
      </c>
      <c r="S584" s="712">
        <v>4378768</v>
      </c>
      <c r="T584" s="712">
        <v>4378768</v>
      </c>
      <c r="U584" s="712">
        <v>4378760</v>
      </c>
      <c r="V584" s="712">
        <v>326064200</v>
      </c>
      <c r="W584" s="712">
        <v>0</v>
      </c>
      <c r="X584" s="712">
        <v>0</v>
      </c>
      <c r="Y584" s="712">
        <v>0</v>
      </c>
      <c r="Z584" s="712">
        <v>0</v>
      </c>
      <c r="AA584" s="712">
        <v>0</v>
      </c>
      <c r="AB584" s="712">
        <v>0</v>
      </c>
      <c r="AC584" s="712">
        <v>0</v>
      </c>
      <c r="AD584" s="712">
        <v>0</v>
      </c>
      <c r="AE584" s="712">
        <v>0</v>
      </c>
      <c r="AF584" s="712">
        <v>0</v>
      </c>
      <c r="AG584" s="712">
        <v>0</v>
      </c>
      <c r="AH584" s="712">
        <v>0</v>
      </c>
      <c r="AI584" s="712">
        <v>0</v>
      </c>
      <c r="AJ584" s="712">
        <v>0</v>
      </c>
      <c r="AK584" s="712">
        <v>0</v>
      </c>
      <c r="AL584" s="712">
        <v>0</v>
      </c>
      <c r="AM584" s="712">
        <v>0</v>
      </c>
      <c r="AN584" s="712">
        <v>0</v>
      </c>
      <c r="AO584" s="712">
        <v>0</v>
      </c>
      <c r="AP584" s="712">
        <v>0</v>
      </c>
      <c r="AQ584" s="712">
        <v>0</v>
      </c>
      <c r="AR584" s="712">
        <v>0</v>
      </c>
      <c r="AS584" s="712">
        <v>0</v>
      </c>
      <c r="AT584">
        <v>339523685</v>
      </c>
      <c r="AU584" s="609"/>
      <c r="AV584" s="609"/>
      <c r="AW584" s="609"/>
      <c r="AX584" s="609"/>
      <c r="AY584" s="609"/>
      <c r="AZ584" s="615"/>
      <c r="BA584" s="615"/>
      <c r="BB584" s="615"/>
      <c r="BC584" s="615"/>
      <c r="BD584" s="615"/>
      <c r="BE584" s="615"/>
      <c r="BF584" s="615"/>
      <c r="BG584" s="615"/>
      <c r="BH584" s="615"/>
      <c r="BI584" s="615"/>
      <c r="BJ584" s="615"/>
      <c r="BK584" s="615"/>
      <c r="BL584" s="615"/>
      <c r="BM584" s="615"/>
      <c r="BN584" s="615"/>
      <c r="BO584" s="615"/>
      <c r="BP584" s="615"/>
      <c r="BQ584" s="615"/>
      <c r="BR584" s="615"/>
      <c r="BS584" s="615"/>
      <c r="BT584" s="615"/>
      <c r="BU584" s="615"/>
      <c r="BV584" s="615"/>
      <c r="BW584" s="615"/>
      <c r="BX584" s="607"/>
    </row>
    <row r="585" spans="1:76" ht="25.5" x14ac:dyDescent="0.2">
      <c r="A585" s="839"/>
      <c r="B585" s="713" t="s">
        <v>4294</v>
      </c>
      <c r="C585" s="713" t="s">
        <v>4293</v>
      </c>
      <c r="D585" s="712">
        <v>0</v>
      </c>
      <c r="E585" s="712">
        <v>0</v>
      </c>
      <c r="F585" s="712">
        <v>0</v>
      </c>
      <c r="G585" s="712">
        <v>0</v>
      </c>
      <c r="H585" s="712">
        <v>0</v>
      </c>
      <c r="I585" s="712">
        <v>0</v>
      </c>
      <c r="J585" s="712">
        <v>0</v>
      </c>
      <c r="K585" s="712">
        <v>0</v>
      </c>
      <c r="L585" s="712">
        <v>0</v>
      </c>
      <c r="M585" s="712">
        <v>0</v>
      </c>
      <c r="N585" s="712">
        <v>0</v>
      </c>
      <c r="O585" s="712">
        <v>0</v>
      </c>
      <c r="P585" s="712">
        <v>0</v>
      </c>
      <c r="Q585" s="712">
        <v>0</v>
      </c>
      <c r="R585" s="712">
        <v>0</v>
      </c>
      <c r="S585" s="712">
        <v>4000000</v>
      </c>
      <c r="T585" s="712">
        <v>4000000</v>
      </c>
      <c r="U585" s="712">
        <v>4000000</v>
      </c>
      <c r="V585" s="712">
        <v>10000000</v>
      </c>
      <c r="W585" s="712">
        <v>4000000</v>
      </c>
      <c r="X585" s="712">
        <v>4000000</v>
      </c>
      <c r="Y585" s="712">
        <v>4000000</v>
      </c>
      <c r="Z585" s="712">
        <v>9097939</v>
      </c>
      <c r="AA585" s="712">
        <v>4000000</v>
      </c>
      <c r="AB585" s="712">
        <v>493824993</v>
      </c>
      <c r="AC585" s="712">
        <v>0</v>
      </c>
      <c r="AD585" s="712">
        <v>0</v>
      </c>
      <c r="AE585" s="712">
        <v>0</v>
      </c>
      <c r="AF585" s="712">
        <v>0</v>
      </c>
      <c r="AG585" s="712">
        <v>0</v>
      </c>
      <c r="AH585" s="712">
        <v>0</v>
      </c>
      <c r="AI585" s="712">
        <v>0</v>
      </c>
      <c r="AJ585" s="712">
        <v>0</v>
      </c>
      <c r="AK585" s="712">
        <v>0</v>
      </c>
      <c r="AL585" s="712">
        <v>0</v>
      </c>
      <c r="AM585" s="712">
        <v>0</v>
      </c>
      <c r="AN585" s="712">
        <v>0</v>
      </c>
      <c r="AO585" s="712">
        <v>0</v>
      </c>
      <c r="AP585" s="712">
        <v>0</v>
      </c>
      <c r="AQ585" s="712">
        <v>0</v>
      </c>
      <c r="AR585" s="712">
        <v>0</v>
      </c>
      <c r="AS585" s="712">
        <v>0</v>
      </c>
      <c r="AT585">
        <v>540922932</v>
      </c>
      <c r="AU585" s="609"/>
      <c r="AV585" s="609"/>
      <c r="AW585" s="609"/>
      <c r="AX585" s="609"/>
      <c r="AY585" s="609"/>
      <c r="AZ585" s="615"/>
      <c r="BA585" s="615"/>
      <c r="BB585" s="615"/>
      <c r="BC585" s="615"/>
      <c r="BD585" s="615"/>
      <c r="BE585" s="615"/>
      <c r="BF585" s="615"/>
      <c r="BG585" s="615"/>
      <c r="BH585" s="615"/>
      <c r="BI585" s="615"/>
      <c r="BJ585" s="615"/>
      <c r="BK585" s="615"/>
      <c r="BL585" s="615"/>
      <c r="BM585" s="615"/>
      <c r="BN585" s="615"/>
      <c r="BO585" s="615"/>
      <c r="BP585" s="615"/>
      <c r="BQ585" s="615"/>
      <c r="BR585" s="615"/>
      <c r="BS585" s="615"/>
      <c r="BT585" s="615"/>
      <c r="BU585" s="615"/>
      <c r="BV585" s="615"/>
      <c r="BW585" s="615"/>
      <c r="BX585" s="607"/>
    </row>
    <row r="586" spans="1:76" ht="25.5" x14ac:dyDescent="0.2">
      <c r="A586" s="839"/>
      <c r="B586" s="713" t="s">
        <v>1575</v>
      </c>
      <c r="C586" s="713" t="s">
        <v>3661</v>
      </c>
      <c r="D586" s="712">
        <v>0</v>
      </c>
      <c r="E586" s="712">
        <v>0</v>
      </c>
      <c r="F586" s="712">
        <v>0</v>
      </c>
      <c r="G586" s="712">
        <v>0</v>
      </c>
      <c r="H586" s="712">
        <v>0</v>
      </c>
      <c r="I586" s="712">
        <v>0</v>
      </c>
      <c r="J586" s="712">
        <v>0</v>
      </c>
      <c r="K586" s="712">
        <v>0</v>
      </c>
      <c r="L586" s="712">
        <v>0</v>
      </c>
      <c r="M586" s="712">
        <v>0</v>
      </c>
      <c r="N586" s="712">
        <v>0</v>
      </c>
      <c r="O586" s="712">
        <v>0</v>
      </c>
      <c r="P586" s="712">
        <v>0</v>
      </c>
      <c r="Q586" s="712">
        <v>0</v>
      </c>
      <c r="R586" s="712">
        <v>0</v>
      </c>
      <c r="S586" s="712">
        <v>0</v>
      </c>
      <c r="T586" s="712">
        <v>0</v>
      </c>
      <c r="U586" s="712">
        <v>0</v>
      </c>
      <c r="V586" s="712">
        <v>224237088</v>
      </c>
      <c r="W586" s="712">
        <v>0</v>
      </c>
      <c r="X586" s="712">
        <v>0</v>
      </c>
      <c r="Y586" s="712">
        <v>0</v>
      </c>
      <c r="Z586" s="712">
        <v>0</v>
      </c>
      <c r="AA586" s="712">
        <v>0</v>
      </c>
      <c r="AB586" s="712">
        <v>0</v>
      </c>
      <c r="AC586" s="712">
        <v>0</v>
      </c>
      <c r="AD586" s="712">
        <v>0</v>
      </c>
      <c r="AE586" s="712">
        <v>0</v>
      </c>
      <c r="AF586" s="712">
        <v>0</v>
      </c>
      <c r="AG586" s="712">
        <v>0</v>
      </c>
      <c r="AH586" s="712">
        <v>0</v>
      </c>
      <c r="AI586" s="712">
        <v>0</v>
      </c>
      <c r="AJ586" s="712">
        <v>0</v>
      </c>
      <c r="AK586" s="712">
        <v>0</v>
      </c>
      <c r="AL586" s="712">
        <v>0</v>
      </c>
      <c r="AM586" s="712">
        <v>0</v>
      </c>
      <c r="AN586" s="712">
        <v>0</v>
      </c>
      <c r="AO586" s="712">
        <v>0</v>
      </c>
      <c r="AP586" s="712">
        <v>0</v>
      </c>
      <c r="AQ586" s="712">
        <v>0</v>
      </c>
      <c r="AR586" s="712">
        <v>0</v>
      </c>
      <c r="AS586" s="712">
        <v>0</v>
      </c>
      <c r="AT586">
        <v>224237088</v>
      </c>
      <c r="AU586" s="609"/>
      <c r="AV586" s="609"/>
      <c r="AW586" s="609"/>
      <c r="AX586" s="609"/>
      <c r="AY586" s="609"/>
      <c r="AZ586" s="615"/>
      <c r="BA586" s="615"/>
      <c r="BB586" s="615"/>
      <c r="BC586" s="615"/>
      <c r="BD586" s="615"/>
      <c r="BE586" s="615"/>
      <c r="BF586" s="615"/>
      <c r="BG586" s="615"/>
      <c r="BH586" s="615"/>
      <c r="BI586" s="615"/>
      <c r="BJ586" s="615"/>
      <c r="BK586" s="615"/>
      <c r="BL586" s="615"/>
      <c r="BM586" s="615"/>
      <c r="BN586" s="615"/>
      <c r="BO586" s="615"/>
      <c r="BP586" s="615"/>
      <c r="BQ586" s="615"/>
      <c r="BR586" s="615"/>
      <c r="BS586" s="615"/>
      <c r="BT586" s="615"/>
      <c r="BU586" s="615"/>
      <c r="BV586" s="615"/>
      <c r="BW586" s="615"/>
      <c r="BX586" s="607"/>
    </row>
    <row r="587" spans="1:76" ht="12.75" x14ac:dyDescent="0.2">
      <c r="A587" s="839"/>
      <c r="B587" s="713" t="s">
        <v>1515</v>
      </c>
      <c r="C587" s="713" t="s">
        <v>3710</v>
      </c>
      <c r="D587" s="712">
        <v>0</v>
      </c>
      <c r="E587" s="712">
        <v>0</v>
      </c>
      <c r="F587" s="712">
        <v>0</v>
      </c>
      <c r="G587" s="712">
        <v>0</v>
      </c>
      <c r="H587" s="712">
        <v>0</v>
      </c>
      <c r="I587" s="712">
        <v>0</v>
      </c>
      <c r="J587" s="712">
        <v>0</v>
      </c>
      <c r="K587" s="712">
        <v>0</v>
      </c>
      <c r="L587" s="712">
        <v>0</v>
      </c>
      <c r="M587" s="712">
        <v>0</v>
      </c>
      <c r="N587" s="712">
        <v>0</v>
      </c>
      <c r="O587" s="712">
        <v>0</v>
      </c>
      <c r="P587" s="712">
        <v>0</v>
      </c>
      <c r="Q587" s="712">
        <v>2193313</v>
      </c>
      <c r="R587" s="712">
        <v>3719321</v>
      </c>
      <c r="S587" s="712">
        <v>3719321</v>
      </c>
      <c r="T587" s="712">
        <v>3719330</v>
      </c>
      <c r="U587" s="712">
        <v>278364240</v>
      </c>
      <c r="V587" s="712">
        <v>0</v>
      </c>
      <c r="W587" s="712">
        <v>0</v>
      </c>
      <c r="X587" s="712">
        <v>0</v>
      </c>
      <c r="Y587" s="712">
        <v>0</v>
      </c>
      <c r="Z587" s="712">
        <v>0</v>
      </c>
      <c r="AA587" s="712">
        <v>0</v>
      </c>
      <c r="AB587" s="712">
        <v>0</v>
      </c>
      <c r="AC587" s="712">
        <v>0</v>
      </c>
      <c r="AD587" s="712">
        <v>0</v>
      </c>
      <c r="AE587" s="712">
        <v>0</v>
      </c>
      <c r="AF587" s="712">
        <v>0</v>
      </c>
      <c r="AG587" s="712">
        <v>0</v>
      </c>
      <c r="AH587" s="712">
        <v>0</v>
      </c>
      <c r="AI587" s="712">
        <v>0</v>
      </c>
      <c r="AJ587" s="712">
        <v>0</v>
      </c>
      <c r="AK587" s="712">
        <v>0</v>
      </c>
      <c r="AL587" s="712">
        <v>0</v>
      </c>
      <c r="AM587" s="712">
        <v>0</v>
      </c>
      <c r="AN587" s="712">
        <v>0</v>
      </c>
      <c r="AO587" s="712">
        <v>0</v>
      </c>
      <c r="AP587" s="712">
        <v>0</v>
      </c>
      <c r="AQ587" s="712">
        <v>0</v>
      </c>
      <c r="AR587" s="712">
        <v>0</v>
      </c>
      <c r="AS587" s="712">
        <v>0</v>
      </c>
      <c r="AT587">
        <v>291715525</v>
      </c>
      <c r="AU587" s="609"/>
      <c r="AV587" s="609"/>
      <c r="AW587" s="609"/>
      <c r="AX587" s="609"/>
      <c r="AY587" s="609"/>
      <c r="AZ587" s="615"/>
      <c r="BA587" s="615"/>
      <c r="BB587" s="615"/>
      <c r="BC587" s="615"/>
      <c r="BD587" s="615"/>
      <c r="BE587" s="615"/>
      <c r="BF587" s="615"/>
      <c r="BG587" s="615"/>
      <c r="BH587" s="615"/>
      <c r="BI587" s="615"/>
      <c r="BJ587" s="615"/>
      <c r="BK587" s="615"/>
      <c r="BL587" s="615"/>
      <c r="BM587" s="615"/>
      <c r="BN587" s="615"/>
      <c r="BO587" s="615"/>
      <c r="BP587" s="615"/>
      <c r="BQ587" s="615"/>
      <c r="BR587" s="615"/>
      <c r="BS587" s="615"/>
      <c r="BT587" s="615"/>
      <c r="BU587" s="615"/>
      <c r="BV587" s="615"/>
      <c r="BW587" s="615"/>
      <c r="BX587" s="607"/>
    </row>
    <row r="588" spans="1:76" ht="25.5" x14ac:dyDescent="0.2">
      <c r="A588" s="839"/>
      <c r="B588" s="713" t="s">
        <v>2544</v>
      </c>
      <c r="C588" s="713" t="s">
        <v>3722</v>
      </c>
      <c r="D588" s="712">
        <v>0</v>
      </c>
      <c r="E588" s="712">
        <v>0</v>
      </c>
      <c r="F588" s="712">
        <v>0</v>
      </c>
      <c r="G588" s="712">
        <v>0</v>
      </c>
      <c r="H588" s="712">
        <v>0</v>
      </c>
      <c r="I588" s="712">
        <v>0</v>
      </c>
      <c r="J588" s="712">
        <v>0</v>
      </c>
      <c r="K588" s="712">
        <v>0</v>
      </c>
      <c r="L588" s="712">
        <v>0</v>
      </c>
      <c r="M588" s="712">
        <v>0</v>
      </c>
      <c r="N588" s="712">
        <v>0</v>
      </c>
      <c r="O588" s="712">
        <v>0</v>
      </c>
      <c r="P588" s="712">
        <v>0</v>
      </c>
      <c r="Q588" s="712">
        <v>2585928</v>
      </c>
      <c r="R588" s="712">
        <v>15585928</v>
      </c>
      <c r="S588" s="712">
        <v>15585928</v>
      </c>
      <c r="T588" s="712">
        <v>15585928</v>
      </c>
      <c r="U588" s="712">
        <v>380877480</v>
      </c>
      <c r="V588" s="712">
        <v>0</v>
      </c>
      <c r="W588" s="712">
        <v>0</v>
      </c>
      <c r="X588" s="712">
        <v>0</v>
      </c>
      <c r="Y588" s="712">
        <v>0</v>
      </c>
      <c r="Z588" s="712">
        <v>0</v>
      </c>
      <c r="AA588" s="712">
        <v>0</v>
      </c>
      <c r="AB588" s="712">
        <v>0</v>
      </c>
      <c r="AC588" s="712">
        <v>0</v>
      </c>
      <c r="AD588" s="712">
        <v>0</v>
      </c>
      <c r="AE588" s="712">
        <v>0</v>
      </c>
      <c r="AF588" s="712">
        <v>0</v>
      </c>
      <c r="AG588" s="712">
        <v>0</v>
      </c>
      <c r="AH588" s="712">
        <v>0</v>
      </c>
      <c r="AI588" s="712">
        <v>0</v>
      </c>
      <c r="AJ588" s="712">
        <v>0</v>
      </c>
      <c r="AK588" s="712">
        <v>0</v>
      </c>
      <c r="AL588" s="712">
        <v>0</v>
      </c>
      <c r="AM588" s="712">
        <v>0</v>
      </c>
      <c r="AN588" s="712">
        <v>0</v>
      </c>
      <c r="AO588" s="712">
        <v>0</v>
      </c>
      <c r="AP588" s="712">
        <v>0</v>
      </c>
      <c r="AQ588" s="712">
        <v>0</v>
      </c>
      <c r="AR588" s="712">
        <v>0</v>
      </c>
      <c r="AS588" s="712">
        <v>0</v>
      </c>
      <c r="AT588">
        <v>430221192</v>
      </c>
      <c r="AU588" s="609"/>
      <c r="AV588" s="609"/>
      <c r="AW588" s="609"/>
      <c r="AX588" s="609"/>
      <c r="AY588" s="609"/>
      <c r="AZ588" s="615"/>
      <c r="BA588" s="615"/>
      <c r="BB588" s="615"/>
      <c r="BC588" s="615"/>
      <c r="BD588" s="615"/>
      <c r="BE588" s="615"/>
      <c r="BF588" s="615"/>
      <c r="BG588" s="615"/>
      <c r="BH588" s="615"/>
      <c r="BI588" s="615"/>
      <c r="BJ588" s="615"/>
      <c r="BK588" s="615"/>
      <c r="BL588" s="615"/>
      <c r="BM588" s="615"/>
      <c r="BN588" s="615"/>
      <c r="BO588" s="615"/>
      <c r="BP588" s="615"/>
      <c r="BQ588" s="615"/>
      <c r="BR588" s="615"/>
      <c r="BS588" s="615"/>
      <c r="BT588" s="615"/>
      <c r="BU588" s="615"/>
      <c r="BV588" s="615"/>
      <c r="BW588" s="615"/>
      <c r="BX588" s="607"/>
    </row>
    <row r="589" spans="1:76" ht="25.5" x14ac:dyDescent="0.2">
      <c r="A589" s="839"/>
      <c r="B589" s="713" t="s">
        <v>3013</v>
      </c>
      <c r="C589" s="713" t="s">
        <v>3688</v>
      </c>
      <c r="D589" s="712">
        <v>0</v>
      </c>
      <c r="E589" s="712">
        <v>0</v>
      </c>
      <c r="F589" s="712">
        <v>0</v>
      </c>
      <c r="G589" s="712">
        <v>0</v>
      </c>
      <c r="H589" s="712">
        <v>0</v>
      </c>
      <c r="I589" s="712">
        <v>0</v>
      </c>
      <c r="J589" s="712">
        <v>0</v>
      </c>
      <c r="K589" s="712">
        <v>0</v>
      </c>
      <c r="L589" s="712">
        <v>0</v>
      </c>
      <c r="M589" s="712">
        <v>0</v>
      </c>
      <c r="N589" s="712">
        <v>0</v>
      </c>
      <c r="O589" s="712">
        <v>0</v>
      </c>
      <c r="P589" s="712">
        <v>0</v>
      </c>
      <c r="Q589" s="712">
        <v>0</v>
      </c>
      <c r="R589" s="712">
        <v>0</v>
      </c>
      <c r="S589" s="712">
        <v>0</v>
      </c>
      <c r="T589" s="712">
        <v>0</v>
      </c>
      <c r="U589" s="712">
        <v>0</v>
      </c>
      <c r="V589" s="712">
        <v>233161944</v>
      </c>
      <c r="W589" s="712">
        <v>0</v>
      </c>
      <c r="X589" s="712">
        <v>0</v>
      </c>
      <c r="Y589" s="712">
        <v>0</v>
      </c>
      <c r="Z589" s="712">
        <v>0</v>
      </c>
      <c r="AA589" s="712">
        <v>0</v>
      </c>
      <c r="AB589" s="712">
        <v>0</v>
      </c>
      <c r="AC589" s="712">
        <v>0</v>
      </c>
      <c r="AD589" s="712">
        <v>0</v>
      </c>
      <c r="AE589" s="712">
        <v>0</v>
      </c>
      <c r="AF589" s="712">
        <v>0</v>
      </c>
      <c r="AG589" s="712">
        <v>0</v>
      </c>
      <c r="AH589" s="712">
        <v>0</v>
      </c>
      <c r="AI589" s="712">
        <v>0</v>
      </c>
      <c r="AJ589" s="712">
        <v>0</v>
      </c>
      <c r="AK589" s="712">
        <v>0</v>
      </c>
      <c r="AL589" s="712">
        <v>0</v>
      </c>
      <c r="AM589" s="712">
        <v>0</v>
      </c>
      <c r="AN589" s="712">
        <v>0</v>
      </c>
      <c r="AO589" s="712">
        <v>0</v>
      </c>
      <c r="AP589" s="712">
        <v>0</v>
      </c>
      <c r="AQ589" s="712">
        <v>0</v>
      </c>
      <c r="AR589" s="712">
        <v>0</v>
      </c>
      <c r="AS589" s="712">
        <v>0</v>
      </c>
      <c r="AT589">
        <v>233161944</v>
      </c>
      <c r="AU589" s="609"/>
      <c r="AV589" s="609"/>
      <c r="AW589" s="609"/>
      <c r="AX589" s="609"/>
      <c r="AY589" s="609"/>
      <c r="AZ589" s="615"/>
      <c r="BA589" s="615"/>
      <c r="BB589" s="615"/>
      <c r="BC589" s="615"/>
      <c r="BD589" s="615"/>
      <c r="BE589" s="615"/>
      <c r="BF589" s="615"/>
      <c r="BG589" s="615"/>
      <c r="BH589" s="615"/>
      <c r="BI589" s="615"/>
      <c r="BJ589" s="615"/>
      <c r="BK589" s="615"/>
      <c r="BL589" s="615"/>
      <c r="BM589" s="615"/>
      <c r="BN589" s="615"/>
      <c r="BO589" s="615"/>
      <c r="BP589" s="615"/>
      <c r="BQ589" s="615"/>
      <c r="BR589" s="615"/>
      <c r="BS589" s="615"/>
      <c r="BT589" s="615"/>
      <c r="BU589" s="615"/>
      <c r="BV589" s="615"/>
      <c r="BW589" s="615"/>
      <c r="BX589" s="607"/>
    </row>
    <row r="590" spans="1:76" ht="25.5" x14ac:dyDescent="0.2">
      <c r="A590" s="839"/>
      <c r="B590" s="713" t="s">
        <v>3680</v>
      </c>
      <c r="C590" s="713" t="s">
        <v>3679</v>
      </c>
      <c r="D590" s="712">
        <v>0</v>
      </c>
      <c r="E590" s="712">
        <v>0</v>
      </c>
      <c r="F590" s="712">
        <v>0</v>
      </c>
      <c r="G590" s="712">
        <v>0</v>
      </c>
      <c r="H590" s="712">
        <v>0</v>
      </c>
      <c r="I590" s="712">
        <v>0</v>
      </c>
      <c r="J590" s="712">
        <v>0</v>
      </c>
      <c r="K590" s="712">
        <v>0</v>
      </c>
      <c r="L590" s="712">
        <v>0</v>
      </c>
      <c r="M590" s="712">
        <v>0</v>
      </c>
      <c r="N590" s="712">
        <v>0</v>
      </c>
      <c r="O590" s="712">
        <v>0</v>
      </c>
      <c r="P590" s="712">
        <v>0</v>
      </c>
      <c r="Q590" s="712">
        <v>0</v>
      </c>
      <c r="R590" s="712">
        <v>0</v>
      </c>
      <c r="S590" s="712">
        <v>5723070</v>
      </c>
      <c r="T590" s="712">
        <v>5945814</v>
      </c>
      <c r="U590" s="712">
        <v>5945814</v>
      </c>
      <c r="V590" s="712">
        <v>5945814</v>
      </c>
      <c r="W590" s="712">
        <v>5945814</v>
      </c>
      <c r="X590" s="712">
        <v>5945811</v>
      </c>
      <c r="Y590" s="712">
        <v>535123227</v>
      </c>
      <c r="Z590" s="712">
        <v>0</v>
      </c>
      <c r="AA590" s="712">
        <v>0</v>
      </c>
      <c r="AB590" s="712">
        <v>0</v>
      </c>
      <c r="AC590" s="712">
        <v>0</v>
      </c>
      <c r="AD590" s="712">
        <v>0</v>
      </c>
      <c r="AE590" s="712">
        <v>0</v>
      </c>
      <c r="AF590" s="712">
        <v>0</v>
      </c>
      <c r="AG590" s="712">
        <v>0</v>
      </c>
      <c r="AH590" s="712">
        <v>0</v>
      </c>
      <c r="AI590" s="712">
        <v>0</v>
      </c>
      <c r="AJ590" s="712">
        <v>0</v>
      </c>
      <c r="AK590" s="712">
        <v>0</v>
      </c>
      <c r="AL590" s="712">
        <v>0</v>
      </c>
      <c r="AM590" s="712">
        <v>0</v>
      </c>
      <c r="AN590" s="712">
        <v>0</v>
      </c>
      <c r="AO590" s="712">
        <v>0</v>
      </c>
      <c r="AP590" s="712">
        <v>0</v>
      </c>
      <c r="AQ590" s="712">
        <v>0</v>
      </c>
      <c r="AR590" s="712">
        <v>0</v>
      </c>
      <c r="AS590" s="712">
        <v>0</v>
      </c>
      <c r="AT590">
        <v>570575364</v>
      </c>
      <c r="AU590" s="609"/>
      <c r="AV590" s="609"/>
      <c r="AW590" s="609"/>
      <c r="AX590" s="609"/>
      <c r="AY590" s="609"/>
      <c r="AZ590" s="615"/>
      <c r="BA590" s="615"/>
      <c r="BB590" s="615"/>
      <c r="BC590" s="615"/>
      <c r="BD590" s="615"/>
      <c r="BE590" s="615"/>
      <c r="BF590" s="615"/>
      <c r="BG590" s="615"/>
      <c r="BH590" s="615"/>
      <c r="BI590" s="615"/>
      <c r="BJ590" s="615"/>
      <c r="BK590" s="615"/>
      <c r="BL590" s="615"/>
      <c r="BM590" s="615"/>
      <c r="BN590" s="615"/>
      <c r="BO590" s="615"/>
      <c r="BP590" s="615"/>
      <c r="BQ590" s="615"/>
      <c r="BR590" s="615"/>
      <c r="BS590" s="615"/>
      <c r="BT590" s="615"/>
      <c r="BU590" s="615"/>
      <c r="BV590" s="615"/>
      <c r="BW590" s="615"/>
      <c r="BX590" s="607"/>
    </row>
    <row r="591" spans="1:76" ht="12.75" x14ac:dyDescent="0.2">
      <c r="A591" s="713" t="s">
        <v>36</v>
      </c>
      <c r="B591" s="713" t="s">
        <v>1128</v>
      </c>
      <c r="C591" s="713"/>
      <c r="D591" s="712">
        <v>3392140</v>
      </c>
      <c r="E591" s="712">
        <v>382240661</v>
      </c>
      <c r="F591" s="712">
        <v>7999975</v>
      </c>
      <c r="G591" s="712">
        <v>237183003</v>
      </c>
      <c r="H591" s="712">
        <v>5256599</v>
      </c>
      <c r="I591" s="712">
        <v>4110204</v>
      </c>
      <c r="J591" s="712">
        <v>6034324</v>
      </c>
      <c r="K591" s="712">
        <v>22694034</v>
      </c>
      <c r="L591" s="712">
        <v>5934263</v>
      </c>
      <c r="M591" s="712">
        <v>13771755</v>
      </c>
      <c r="N591" s="712">
        <v>20576319</v>
      </c>
      <c r="O591" s="712">
        <v>843878425</v>
      </c>
      <c r="P591" s="712">
        <v>6992693687</v>
      </c>
      <c r="Q591" s="712">
        <v>469975183</v>
      </c>
      <c r="R591" s="712">
        <v>11279585028</v>
      </c>
      <c r="S591" s="712">
        <v>1715738372</v>
      </c>
      <c r="T591" s="712">
        <v>3693993084</v>
      </c>
      <c r="U591" s="712">
        <v>13901518764</v>
      </c>
      <c r="V591" s="712">
        <v>7578948659</v>
      </c>
      <c r="W591" s="712">
        <v>2212209271</v>
      </c>
      <c r="X591" s="712">
        <v>2155916703</v>
      </c>
      <c r="Y591" s="712">
        <v>7292895627</v>
      </c>
      <c r="Z591" s="712">
        <v>3476226661</v>
      </c>
      <c r="AA591" s="712">
        <v>469915825</v>
      </c>
      <c r="AB591" s="712">
        <v>1864481837</v>
      </c>
      <c r="AC591" s="712">
        <v>479686889</v>
      </c>
      <c r="AD591" s="712">
        <v>455086889</v>
      </c>
      <c r="AE591" s="712">
        <v>469936889</v>
      </c>
      <c r="AF591" s="712">
        <v>497686889</v>
      </c>
      <c r="AG591" s="712">
        <v>498637140</v>
      </c>
      <c r="AH591" s="712">
        <v>564828353</v>
      </c>
      <c r="AI591" s="712">
        <v>468679388</v>
      </c>
      <c r="AJ591" s="712">
        <v>495526388</v>
      </c>
      <c r="AK591" s="712">
        <v>752307467</v>
      </c>
      <c r="AL591" s="712">
        <v>469130110</v>
      </c>
      <c r="AM591" s="712">
        <v>473130110</v>
      </c>
      <c r="AN591" s="712">
        <v>541379076</v>
      </c>
      <c r="AO591" s="712">
        <v>842240111</v>
      </c>
      <c r="AP591" s="712">
        <v>465312022</v>
      </c>
      <c r="AQ591" s="712">
        <v>943535296</v>
      </c>
      <c r="AR591" s="712">
        <v>36274546612</v>
      </c>
      <c r="AS591" s="712">
        <v>2773312750</v>
      </c>
      <c r="AT591">
        <v>112122132782</v>
      </c>
      <c r="AU591" s="609"/>
      <c r="AV591" s="609"/>
      <c r="AW591" s="609"/>
      <c r="AX591" s="609"/>
      <c r="AY591" s="609"/>
      <c r="AZ591" s="615"/>
      <c r="BA591" s="615"/>
      <c r="BB591" s="615"/>
      <c r="BC591" s="615"/>
      <c r="BD591" s="615"/>
      <c r="BE591" s="615"/>
      <c r="BF591" s="615"/>
      <c r="BG591" s="615"/>
      <c r="BH591" s="615"/>
      <c r="BI591" s="615"/>
      <c r="BJ591" s="615"/>
      <c r="BK591" s="615"/>
      <c r="BL591" s="615"/>
      <c r="BM591" s="615"/>
      <c r="BN591" s="615"/>
      <c r="BO591" s="615"/>
      <c r="BP591" s="615"/>
      <c r="BQ591" s="615"/>
      <c r="BR591" s="615"/>
      <c r="BS591" s="615"/>
      <c r="BT591" s="615"/>
      <c r="BU591" s="615"/>
      <c r="BV591" s="615"/>
      <c r="BW591" s="615"/>
      <c r="BX591" s="607"/>
    </row>
    <row r="592" spans="1:76" ht="12.75" x14ac:dyDescent="0.2">
      <c r="A592" s="838" t="s">
        <v>4436</v>
      </c>
      <c r="B592" s="839"/>
      <c r="C592" s="839"/>
      <c r="D592" s="712">
        <v>6784280</v>
      </c>
      <c r="E592" s="712">
        <v>765796764</v>
      </c>
      <c r="F592" s="712">
        <v>15999975</v>
      </c>
      <c r="G592" s="712">
        <v>474999637</v>
      </c>
      <c r="H592" s="712">
        <v>10513575</v>
      </c>
      <c r="I592" s="712">
        <v>8410204</v>
      </c>
      <c r="J592" s="712">
        <v>13242265</v>
      </c>
      <c r="K592" s="712">
        <v>46819789</v>
      </c>
      <c r="L592" s="712">
        <v>12303875</v>
      </c>
      <c r="M592" s="712">
        <v>30355623</v>
      </c>
      <c r="N592" s="712">
        <v>41153985</v>
      </c>
      <c r="O592" s="712">
        <v>1687756850</v>
      </c>
      <c r="P592" s="712">
        <v>13994493429</v>
      </c>
      <c r="Q592" s="712">
        <v>992247755</v>
      </c>
      <c r="R592" s="712">
        <v>22598393956</v>
      </c>
      <c r="S592" s="712">
        <v>3436828093</v>
      </c>
      <c r="T592" s="712">
        <v>7387986168</v>
      </c>
      <c r="U592" s="712">
        <v>27803037528</v>
      </c>
      <c r="V592" s="712">
        <v>15157897318</v>
      </c>
      <c r="W592" s="712">
        <v>4424418542</v>
      </c>
      <c r="X592" s="712">
        <v>4311833406</v>
      </c>
      <c r="Y592" s="712">
        <v>14585791254</v>
      </c>
      <c r="Z592" s="712">
        <v>6952453322</v>
      </c>
      <c r="AA592" s="712">
        <v>939831650</v>
      </c>
      <c r="AB592" s="712">
        <v>3728963674</v>
      </c>
      <c r="AC592" s="712">
        <v>959373778</v>
      </c>
      <c r="AD592" s="712">
        <v>910173778</v>
      </c>
      <c r="AE592" s="712">
        <v>939873778</v>
      </c>
      <c r="AF592" s="712">
        <v>995373778</v>
      </c>
      <c r="AG592" s="712">
        <v>997274280</v>
      </c>
      <c r="AH592" s="712">
        <v>1129656706</v>
      </c>
      <c r="AI592" s="712">
        <v>937358776</v>
      </c>
      <c r="AJ592" s="712">
        <v>991052776</v>
      </c>
      <c r="AK592" s="712">
        <v>1504614934</v>
      </c>
      <c r="AL592" s="712">
        <v>938260220</v>
      </c>
      <c r="AM592" s="712">
        <v>946260220</v>
      </c>
      <c r="AN592" s="712">
        <v>1082758152</v>
      </c>
      <c r="AO592" s="712">
        <v>1684480222</v>
      </c>
      <c r="AP592" s="712">
        <v>930624044</v>
      </c>
      <c r="AQ592" s="712">
        <v>1887070592</v>
      </c>
      <c r="AR592" s="712">
        <v>72549093224</v>
      </c>
      <c r="AS592" s="712">
        <v>5546625500</v>
      </c>
      <c r="AT592">
        <v>224308011737</v>
      </c>
      <c r="AU592" s="609"/>
      <c r="AV592" s="609"/>
      <c r="AW592" s="609"/>
      <c r="AX592" s="609"/>
      <c r="AY592" s="609"/>
      <c r="AZ592" s="615"/>
      <c r="BA592" s="615"/>
      <c r="BB592" s="615"/>
      <c r="BC592" s="615"/>
      <c r="BD592" s="615"/>
      <c r="BE592" s="615"/>
      <c r="BF592" s="615"/>
      <c r="BG592" s="615"/>
      <c r="BH592" s="615"/>
      <c r="BI592" s="615"/>
      <c r="BJ592" s="615"/>
      <c r="BK592" s="615"/>
      <c r="BL592" s="615"/>
      <c r="BM592" s="615"/>
      <c r="BN592" s="615"/>
      <c r="BO592" s="615"/>
      <c r="BP592" s="615"/>
      <c r="BQ592" s="615"/>
      <c r="BR592" s="615"/>
      <c r="BS592" s="615"/>
      <c r="BT592" s="615"/>
      <c r="BU592" s="615"/>
      <c r="BV592" s="615"/>
      <c r="BW592" s="615"/>
      <c r="BX592" s="607"/>
    </row>
    <row r="593" spans="1:76" ht="12.75" x14ac:dyDescent="0.2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 s="731"/>
      <c r="AU593" s="609"/>
      <c r="AV593" s="609"/>
      <c r="AW593" s="609"/>
      <c r="AX593" s="609"/>
      <c r="AY593" s="609"/>
      <c r="AZ593" s="615"/>
      <c r="BA593" s="615"/>
      <c r="BB593" s="615"/>
      <c r="BC593" s="615"/>
      <c r="BD593" s="615"/>
      <c r="BE593" s="615"/>
      <c r="BF593" s="615"/>
      <c r="BG593" s="615"/>
      <c r="BH593" s="615"/>
      <c r="BI593" s="615"/>
      <c r="BJ593" s="615"/>
      <c r="BK593" s="615"/>
      <c r="BL593" s="615"/>
      <c r="BM593" s="615"/>
      <c r="BN593" s="615"/>
      <c r="BO593" s="615"/>
      <c r="BP593" s="615"/>
      <c r="BQ593" s="615"/>
      <c r="BR593" s="615"/>
      <c r="BS593" s="615"/>
      <c r="BT593" s="615"/>
      <c r="BU593" s="615"/>
      <c r="BV593" s="615"/>
      <c r="BW593" s="615"/>
      <c r="BX593" s="607"/>
    </row>
    <row r="594" spans="1:76" ht="12.75" x14ac:dyDescent="0.2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 s="731"/>
      <c r="AU594" s="609"/>
      <c r="AV594" s="609"/>
      <c r="AW594" s="609"/>
      <c r="AX594" s="609"/>
      <c r="AY594" s="609"/>
      <c r="AZ594" s="615"/>
      <c r="BA594" s="615"/>
      <c r="BB594" s="615"/>
      <c r="BC594" s="615"/>
      <c r="BD594" s="615"/>
      <c r="BE594" s="615"/>
      <c r="BF594" s="615"/>
      <c r="BG594" s="615"/>
      <c r="BH594" s="615"/>
      <c r="BI594" s="615"/>
      <c r="BJ594" s="615"/>
      <c r="BK594" s="615"/>
      <c r="BL594" s="615"/>
      <c r="BM594" s="615"/>
      <c r="BN594" s="615"/>
      <c r="BO594" s="615"/>
      <c r="BP594" s="615"/>
      <c r="BQ594" s="615"/>
      <c r="BR594" s="615"/>
      <c r="BS594" s="615"/>
      <c r="BT594" s="615"/>
      <c r="BU594" s="615"/>
      <c r="BV594" s="615"/>
      <c r="BW594" s="615"/>
      <c r="BX594" s="607"/>
    </row>
    <row r="595" spans="1:76" ht="12.75" x14ac:dyDescent="0.2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 s="731"/>
      <c r="AU595" s="609"/>
      <c r="AV595" s="609"/>
      <c r="AW595" s="609"/>
      <c r="AX595" s="609"/>
      <c r="AY595" s="609"/>
      <c r="AZ595" s="615"/>
      <c r="BA595" s="615"/>
      <c r="BB595" s="615"/>
      <c r="BC595" s="615"/>
      <c r="BD595" s="615"/>
      <c r="BE595" s="615"/>
      <c r="BF595" s="615"/>
      <c r="BG595" s="615"/>
      <c r="BH595" s="615"/>
      <c r="BI595" s="615"/>
      <c r="BJ595" s="615"/>
      <c r="BK595" s="615"/>
      <c r="BL595" s="615"/>
      <c r="BM595" s="615"/>
      <c r="BN595" s="615"/>
      <c r="BO595" s="615"/>
      <c r="BP595" s="615"/>
      <c r="BQ595" s="615"/>
      <c r="BR595" s="615"/>
      <c r="BS595" s="615"/>
      <c r="BT595" s="615"/>
      <c r="BU595" s="615"/>
      <c r="BV595" s="615"/>
      <c r="BW595" s="615"/>
      <c r="BX595" s="607"/>
    </row>
    <row r="596" spans="1:76" ht="12.75" x14ac:dyDescent="0.2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 s="731"/>
      <c r="AU596" s="603"/>
      <c r="AV596" s="603"/>
      <c r="AW596" s="603"/>
      <c r="AX596" s="603"/>
      <c r="AY596" s="603"/>
      <c r="AZ596" s="603"/>
      <c r="BA596" s="603"/>
      <c r="BB596" s="603"/>
      <c r="BC596" s="603"/>
      <c r="BD596" s="603"/>
      <c r="BE596" s="603"/>
      <c r="BF596" s="603"/>
      <c r="BG596" s="603"/>
      <c r="BH596" s="603"/>
      <c r="BI596" s="603"/>
      <c r="BJ596" s="603"/>
      <c r="BK596" s="603"/>
      <c r="BL596" s="603"/>
      <c r="BM596" s="603"/>
      <c r="BN596" s="603"/>
      <c r="BO596" s="603"/>
      <c r="BP596" s="603"/>
      <c r="BQ596" s="603"/>
      <c r="BR596" s="603"/>
      <c r="BS596" s="603"/>
      <c r="BT596" s="603"/>
      <c r="BU596" s="603"/>
      <c r="BV596" s="603"/>
      <c r="BW596" s="603"/>
      <c r="BX596" s="603"/>
    </row>
    <row r="597" spans="1:76" ht="12.75" x14ac:dyDescent="0.2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 s="731"/>
      <c r="AU597" s="602"/>
      <c r="AV597" s="602"/>
      <c r="AW597" s="602"/>
      <c r="AX597" s="602"/>
      <c r="AY597" s="602"/>
      <c r="AZ597" s="602"/>
      <c r="BA597" s="602"/>
      <c r="BB597" s="602"/>
      <c r="BC597" s="602"/>
      <c r="BD597" s="602"/>
      <c r="BE597" s="602"/>
      <c r="BF597" s="602"/>
      <c r="BG597" s="602"/>
      <c r="BH597" s="602"/>
      <c r="BI597" s="602"/>
      <c r="BJ597" s="602"/>
      <c r="BK597" s="602"/>
      <c r="BL597" s="602"/>
      <c r="BM597" s="602"/>
      <c r="BN597" s="602"/>
      <c r="BO597" s="602"/>
      <c r="BP597" s="602"/>
      <c r="BQ597" s="602"/>
      <c r="BR597" s="602"/>
      <c r="BS597" s="602"/>
      <c r="BT597" s="602"/>
      <c r="BU597" s="602"/>
      <c r="BV597" s="602"/>
      <c r="BW597" s="602"/>
      <c r="BX597" s="602"/>
    </row>
    <row r="598" spans="1:76" s="600" customFormat="1" ht="12.75" x14ac:dyDescent="0.2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 s="731"/>
      <c r="AU598" s="601"/>
      <c r="AV598" s="601"/>
      <c r="AW598" s="601"/>
      <c r="AX598" s="601"/>
      <c r="AY598" s="601"/>
      <c r="AZ598" s="601"/>
      <c r="BA598" s="601"/>
      <c r="BB598" s="601"/>
      <c r="BC598" s="601"/>
      <c r="BD598" s="601"/>
      <c r="BE598" s="601"/>
      <c r="BF598" s="601"/>
      <c r="BG598" s="601"/>
      <c r="BH598" s="601"/>
      <c r="BI598" s="601"/>
      <c r="BJ598" s="601"/>
      <c r="BK598" s="601"/>
      <c r="BL598" s="601"/>
      <c r="BM598" s="601"/>
      <c r="BN598" s="601"/>
      <c r="BO598" s="601"/>
      <c r="BP598" s="601"/>
      <c r="BQ598" s="601"/>
      <c r="BR598" s="601"/>
      <c r="BS598" s="601"/>
      <c r="BT598" s="601"/>
      <c r="BU598" s="601"/>
      <c r="BV598" s="601"/>
      <c r="BW598" s="601"/>
      <c r="BX598" s="601"/>
    </row>
    <row r="599" spans="1:76" ht="12.75" x14ac:dyDescent="0.2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 s="731"/>
      <c r="BC599" s="599"/>
      <c r="BX599" s="599"/>
    </row>
    <row r="600" spans="1:76" ht="12.75" x14ac:dyDescent="0.2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 s="731"/>
    </row>
    <row r="601" spans="1:76" ht="12.75" x14ac:dyDescent="0.2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 s="731"/>
    </row>
    <row r="602" spans="1:76" ht="12.75" x14ac:dyDescent="0.2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 s="731"/>
    </row>
    <row r="603" spans="1:76" ht="12.75" x14ac:dyDescent="0.2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 s="731"/>
    </row>
    <row r="604" spans="1:76" ht="12.75" x14ac:dyDescent="0.2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 s="731"/>
    </row>
    <row r="605" spans="1:76" ht="12.75" x14ac:dyDescent="0.2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 s="731"/>
    </row>
    <row r="606" spans="1:76" ht="12.75" x14ac:dyDescent="0.2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 s="731"/>
    </row>
    <row r="607" spans="1:76" ht="12.75" x14ac:dyDescent="0.2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 s="731"/>
    </row>
    <row r="608" spans="1:76" ht="12.75" x14ac:dyDescent="0.2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 s="731"/>
    </row>
    <row r="609" spans="1:46" ht="12.75" x14ac:dyDescent="0.2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 s="731"/>
    </row>
    <row r="610" spans="1:46" ht="12.75" x14ac:dyDescent="0.2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 s="731"/>
    </row>
    <row r="611" spans="1:46" ht="12.75" x14ac:dyDescent="0.2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 s="731"/>
    </row>
    <row r="612" spans="1:46" ht="12.75" x14ac:dyDescent="0.2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 s="731"/>
    </row>
    <row r="613" spans="1:46" ht="12.75" x14ac:dyDescent="0.2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 s="731"/>
    </row>
    <row r="614" spans="1:46" ht="12.75" x14ac:dyDescent="0.2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 s="731"/>
    </row>
    <row r="615" spans="1:46" ht="12.75" x14ac:dyDescent="0.2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 s="731"/>
    </row>
    <row r="616" spans="1:46" ht="12.75" x14ac:dyDescent="0.2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 s="731"/>
    </row>
    <row r="617" spans="1:46" ht="12.75" x14ac:dyDescent="0.2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 s="731"/>
    </row>
    <row r="618" spans="1:46" ht="12.75" x14ac:dyDescent="0.2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 s="731"/>
    </row>
    <row r="619" spans="1:46" ht="12.75" x14ac:dyDescent="0.2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 s="731"/>
    </row>
    <row r="620" spans="1:46" ht="12.75" x14ac:dyDescent="0.2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 s="731"/>
    </row>
    <row r="621" spans="1:46" ht="12.75" x14ac:dyDescent="0.2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 s="731"/>
    </row>
    <row r="622" spans="1:46" ht="12.75" x14ac:dyDescent="0.2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 s="731"/>
    </row>
    <row r="623" spans="1:46" ht="12.75" x14ac:dyDescent="0.2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 s="731"/>
    </row>
    <row r="624" spans="1:46" ht="12.75" x14ac:dyDescent="0.2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 s="731"/>
    </row>
    <row r="625" spans="1:46" ht="12.75" x14ac:dyDescent="0.2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 s="731"/>
    </row>
    <row r="626" spans="1:46" ht="12.75" x14ac:dyDescent="0.2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 s="731"/>
    </row>
    <row r="627" spans="1:46" ht="12.75" x14ac:dyDescent="0.2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 s="731"/>
    </row>
    <row r="628" spans="1:46" ht="12.75" x14ac:dyDescent="0.2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 s="731"/>
    </row>
    <row r="629" spans="1:46" ht="12.75" x14ac:dyDescent="0.2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 s="731"/>
    </row>
    <row r="630" spans="1:46" ht="12.75" x14ac:dyDescent="0.2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 s="731"/>
    </row>
    <row r="631" spans="1:46" ht="12.75" x14ac:dyDescent="0.2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 s="731"/>
    </row>
    <row r="632" spans="1:46" ht="12.75" x14ac:dyDescent="0.2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 s="731"/>
    </row>
    <row r="633" spans="1:46" ht="12.75" x14ac:dyDescent="0.2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 s="731"/>
    </row>
    <row r="634" spans="1:46" ht="12.75" x14ac:dyDescent="0.2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 s="731"/>
    </row>
    <row r="635" spans="1:46" ht="12.75" x14ac:dyDescent="0.2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 s="731"/>
    </row>
    <row r="636" spans="1:46" ht="12.75" x14ac:dyDescent="0.2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 s="731"/>
    </row>
    <row r="637" spans="1:46" ht="12.75" x14ac:dyDescent="0.2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 s="731"/>
    </row>
    <row r="638" spans="1:46" ht="12.75" x14ac:dyDescent="0.2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 s="731"/>
    </row>
    <row r="639" spans="1:46" ht="12.75" x14ac:dyDescent="0.2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 s="731"/>
    </row>
    <row r="640" spans="1:46" ht="12.75" x14ac:dyDescent="0.2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 s="731"/>
    </row>
    <row r="641" spans="1:46" ht="12.75" x14ac:dyDescent="0.2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 s="731"/>
    </row>
    <row r="642" spans="1:46" ht="12.75" x14ac:dyDescent="0.2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 s="731"/>
    </row>
    <row r="643" spans="1:46" ht="12.75" x14ac:dyDescent="0.2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 s="731"/>
    </row>
    <row r="644" spans="1:46" ht="12.75" x14ac:dyDescent="0.2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 s="731"/>
    </row>
    <row r="645" spans="1:46" ht="12.75" x14ac:dyDescent="0.2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 s="731"/>
    </row>
    <row r="646" spans="1:46" ht="12.75" x14ac:dyDescent="0.2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 s="731"/>
    </row>
    <row r="647" spans="1:46" ht="12.75" x14ac:dyDescent="0.2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 s="731"/>
    </row>
    <row r="648" spans="1:46" ht="12.75" x14ac:dyDescent="0.2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 s="731"/>
    </row>
    <row r="649" spans="1:46" ht="12.75" x14ac:dyDescent="0.2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 s="731"/>
    </row>
    <row r="650" spans="1:46" ht="12.75" x14ac:dyDescent="0.2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 s="731"/>
    </row>
    <row r="651" spans="1:46" ht="12.75" x14ac:dyDescent="0.2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 s="731"/>
    </row>
    <row r="652" spans="1:46" ht="12.75" x14ac:dyDescent="0.2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 s="731"/>
    </row>
    <row r="653" spans="1:46" ht="12.75" x14ac:dyDescent="0.2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 s="731"/>
    </row>
    <row r="654" spans="1:46" ht="12.75" x14ac:dyDescent="0.2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 s="731"/>
    </row>
    <row r="655" spans="1:46" ht="12.75" x14ac:dyDescent="0.2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 s="731"/>
    </row>
    <row r="656" spans="1:46" ht="12.75" x14ac:dyDescent="0.2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 s="731"/>
    </row>
    <row r="657" spans="1:46" ht="12.75" x14ac:dyDescent="0.2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 s="731"/>
    </row>
    <row r="658" spans="1:46" ht="12.75" x14ac:dyDescent="0.2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 s="731"/>
    </row>
    <row r="659" spans="1:46" ht="12.75" x14ac:dyDescent="0.2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 s="731"/>
    </row>
    <row r="660" spans="1:46" ht="12.75" x14ac:dyDescent="0.2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 s="731"/>
    </row>
    <row r="661" spans="1:46" ht="12.75" x14ac:dyDescent="0.2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 s="731"/>
    </row>
    <row r="662" spans="1:46" ht="12.75" x14ac:dyDescent="0.2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 s="731"/>
    </row>
    <row r="663" spans="1:46" ht="12.75" x14ac:dyDescent="0.2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 s="731"/>
    </row>
    <row r="664" spans="1:46" ht="12.75" x14ac:dyDescent="0.2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 s="731"/>
    </row>
    <row r="665" spans="1:46" ht="12.75" x14ac:dyDescent="0.2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 s="731"/>
    </row>
    <row r="666" spans="1:46" ht="12.75" x14ac:dyDescent="0.2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 s="731"/>
    </row>
    <row r="667" spans="1:46" ht="12.75" x14ac:dyDescent="0.2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 s="731"/>
    </row>
    <row r="668" spans="1:46" ht="12.75" x14ac:dyDescent="0.2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 s="731"/>
    </row>
    <row r="669" spans="1:46" ht="12.75" x14ac:dyDescent="0.2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 s="731"/>
    </row>
    <row r="670" spans="1:46" ht="12.75" x14ac:dyDescent="0.2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 s="731"/>
    </row>
    <row r="671" spans="1:46" ht="12.75" x14ac:dyDescent="0.2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 s="731"/>
    </row>
    <row r="672" spans="1:46" ht="12.75" x14ac:dyDescent="0.2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 s="731"/>
    </row>
    <row r="673" spans="1:46" ht="12.75" x14ac:dyDescent="0.2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 s="731"/>
    </row>
    <row r="674" spans="1:46" ht="12.75" x14ac:dyDescent="0.2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 s="731"/>
    </row>
    <row r="675" spans="1:46" ht="12.75" x14ac:dyDescent="0.2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 s="731"/>
    </row>
    <row r="676" spans="1:46" ht="12.75" x14ac:dyDescent="0.2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 s="731"/>
    </row>
    <row r="677" spans="1:46" ht="12.75" x14ac:dyDescent="0.2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 s="731"/>
    </row>
    <row r="678" spans="1:46" ht="12.75" x14ac:dyDescent="0.2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 s="731"/>
    </row>
    <row r="679" spans="1:46" ht="12.75" x14ac:dyDescent="0.2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 s="731"/>
    </row>
    <row r="680" spans="1:46" ht="12.75" x14ac:dyDescent="0.2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 s="731"/>
    </row>
    <row r="681" spans="1:46" ht="12.75" x14ac:dyDescent="0.2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 s="731"/>
    </row>
    <row r="682" spans="1:46" ht="12.75" x14ac:dyDescent="0.2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 s="731"/>
    </row>
    <row r="683" spans="1:46" ht="12.75" x14ac:dyDescent="0.2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 s="731"/>
    </row>
    <row r="684" spans="1:46" ht="12.75" x14ac:dyDescent="0.2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 s="731"/>
    </row>
    <row r="685" spans="1:46" ht="12.75" x14ac:dyDescent="0.2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 s="731"/>
    </row>
    <row r="686" spans="1:46" ht="12.75" x14ac:dyDescent="0.2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 s="731"/>
    </row>
    <row r="687" spans="1:46" ht="12.75" x14ac:dyDescent="0.2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 s="731"/>
    </row>
    <row r="688" spans="1:46" ht="12.75" x14ac:dyDescent="0.2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 s="731"/>
    </row>
    <row r="689" spans="1:46" ht="12.75" x14ac:dyDescent="0.2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 s="731"/>
    </row>
    <row r="690" spans="1:46" ht="12.75" x14ac:dyDescent="0.2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 s="731"/>
    </row>
    <row r="691" spans="1:46" ht="12.75" x14ac:dyDescent="0.2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 s="731"/>
    </row>
    <row r="692" spans="1:46" ht="12.75" x14ac:dyDescent="0.2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 s="731"/>
    </row>
    <row r="693" spans="1:46" ht="12.75" x14ac:dyDescent="0.2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 s="731"/>
    </row>
    <row r="694" spans="1:46" ht="12.75" x14ac:dyDescent="0.2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 s="731"/>
    </row>
    <row r="695" spans="1:46" ht="12.75" x14ac:dyDescent="0.2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 s="731"/>
    </row>
    <row r="696" spans="1:46" ht="12.75" x14ac:dyDescent="0.2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 s="731"/>
    </row>
    <row r="697" spans="1:46" ht="12.75" x14ac:dyDescent="0.2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 s="731"/>
    </row>
    <row r="698" spans="1:46" ht="12.75" x14ac:dyDescent="0.2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 s="731"/>
    </row>
    <row r="699" spans="1:46" ht="12.75" x14ac:dyDescent="0.2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 s="731"/>
    </row>
    <row r="700" spans="1:46" ht="12.75" x14ac:dyDescent="0.2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 s="731"/>
    </row>
    <row r="701" spans="1:46" ht="12.75" x14ac:dyDescent="0.2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 s="731"/>
    </row>
    <row r="702" spans="1:46" ht="12.75" x14ac:dyDescent="0.2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 s="731"/>
    </row>
    <row r="703" spans="1:46" ht="12.75" x14ac:dyDescent="0.2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 s="731"/>
    </row>
    <row r="704" spans="1:46" ht="12.75" x14ac:dyDescent="0.2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 s="731"/>
    </row>
    <row r="705" spans="1:46" ht="12.75" x14ac:dyDescent="0.2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 s="731"/>
    </row>
    <row r="706" spans="1:46" ht="12.75" x14ac:dyDescent="0.2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 s="731"/>
    </row>
    <row r="707" spans="1:46" ht="12.75" x14ac:dyDescent="0.2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 s="731"/>
    </row>
    <row r="708" spans="1:46" ht="12.75" x14ac:dyDescent="0.2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 s="731"/>
    </row>
    <row r="709" spans="1:46" ht="12.75" x14ac:dyDescent="0.2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 s="731"/>
    </row>
    <row r="710" spans="1:46" ht="12.75" x14ac:dyDescent="0.2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 s="731"/>
    </row>
    <row r="711" spans="1:46" ht="12.75" x14ac:dyDescent="0.2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 s="731"/>
    </row>
    <row r="712" spans="1:46" ht="12.75" x14ac:dyDescent="0.2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 s="731"/>
    </row>
    <row r="713" spans="1:46" ht="12.75" x14ac:dyDescent="0.2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 s="731"/>
    </row>
    <row r="714" spans="1:46" ht="12.75" x14ac:dyDescent="0.2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 s="731"/>
    </row>
    <row r="715" spans="1:46" ht="12.75" x14ac:dyDescent="0.2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 s="731"/>
    </row>
    <row r="716" spans="1:46" ht="12.75" x14ac:dyDescent="0.2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 s="731"/>
    </row>
    <row r="717" spans="1:46" ht="12.75" x14ac:dyDescent="0.2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 s="731"/>
    </row>
    <row r="718" spans="1:46" ht="12.75" x14ac:dyDescent="0.2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 s="731"/>
    </row>
    <row r="719" spans="1:46" ht="12.75" x14ac:dyDescent="0.2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 s="731"/>
    </row>
    <row r="720" spans="1:46" ht="12.75" x14ac:dyDescent="0.2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 s="731"/>
    </row>
    <row r="721" spans="1:46" ht="12.75" x14ac:dyDescent="0.2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 s="731"/>
    </row>
    <row r="722" spans="1:46" ht="12.75" x14ac:dyDescent="0.2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 s="731"/>
    </row>
    <row r="723" spans="1:46" ht="12.75" x14ac:dyDescent="0.2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 s="731"/>
    </row>
    <row r="724" spans="1:46" ht="12.75" x14ac:dyDescent="0.2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 s="731"/>
    </row>
    <row r="725" spans="1:46" ht="12.75" x14ac:dyDescent="0.2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 s="731"/>
    </row>
    <row r="726" spans="1:46" ht="12.75" x14ac:dyDescent="0.2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 s="731"/>
    </row>
    <row r="727" spans="1:46" ht="12.75" x14ac:dyDescent="0.2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 s="731"/>
    </row>
    <row r="728" spans="1:46" ht="12.75" x14ac:dyDescent="0.2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 s="731"/>
    </row>
    <row r="729" spans="1:46" ht="12.75" x14ac:dyDescent="0.2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 s="731"/>
    </row>
    <row r="730" spans="1:46" ht="12.75" x14ac:dyDescent="0.2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 s="731"/>
    </row>
    <row r="731" spans="1:46" ht="12.75" x14ac:dyDescent="0.2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 s="731"/>
    </row>
    <row r="732" spans="1:46" ht="12.75" x14ac:dyDescent="0.2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 s="731"/>
    </row>
    <row r="733" spans="1:46" ht="12.75" x14ac:dyDescent="0.2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 s="731"/>
    </row>
    <row r="734" spans="1:46" ht="12.75" x14ac:dyDescent="0.2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 s="731"/>
    </row>
    <row r="735" spans="1:46" ht="12.75" x14ac:dyDescent="0.2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 s="731"/>
    </row>
    <row r="736" spans="1:46" ht="12.75" x14ac:dyDescent="0.2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 s="731"/>
    </row>
    <row r="737" spans="1:46" ht="12.75" x14ac:dyDescent="0.2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 s="731"/>
    </row>
    <row r="738" spans="1:46" ht="12.75" x14ac:dyDescent="0.2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 s="731"/>
    </row>
    <row r="739" spans="1:46" ht="12.75" x14ac:dyDescent="0.2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 s="731"/>
    </row>
    <row r="740" spans="1:46" ht="12.75" x14ac:dyDescent="0.2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 s="731"/>
    </row>
    <row r="741" spans="1:46" ht="12.75" x14ac:dyDescent="0.2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 s="731"/>
    </row>
    <row r="742" spans="1:46" ht="12.75" x14ac:dyDescent="0.2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 s="731"/>
    </row>
    <row r="743" spans="1:46" ht="12.75" x14ac:dyDescent="0.2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 s="731"/>
    </row>
    <row r="744" spans="1:46" ht="12.75" x14ac:dyDescent="0.2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 s="731"/>
    </row>
    <row r="745" spans="1:46" ht="12.75" x14ac:dyDescent="0.2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 s="731"/>
    </row>
    <row r="746" spans="1:46" ht="12.75" x14ac:dyDescent="0.2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 s="731"/>
    </row>
    <row r="747" spans="1:46" ht="12.75" x14ac:dyDescent="0.2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 s="731"/>
    </row>
    <row r="748" spans="1:46" ht="12.75" x14ac:dyDescent="0.2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 s="731"/>
    </row>
    <row r="749" spans="1:46" ht="12.75" x14ac:dyDescent="0.2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 s="731"/>
    </row>
    <row r="750" spans="1:46" ht="12.75" x14ac:dyDescent="0.2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 s="731"/>
    </row>
    <row r="751" spans="1:46" ht="12.75" x14ac:dyDescent="0.2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 s="731"/>
    </row>
    <row r="752" spans="1:46" ht="12.75" x14ac:dyDescent="0.2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 s="731"/>
    </row>
    <row r="753" spans="1:46" ht="12.75" x14ac:dyDescent="0.2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 s="731"/>
    </row>
    <row r="754" spans="1:46" ht="12.75" x14ac:dyDescent="0.2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 s="731"/>
    </row>
    <row r="755" spans="1:46" ht="12.75" x14ac:dyDescent="0.2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 s="731"/>
    </row>
    <row r="756" spans="1:46" ht="12.75" x14ac:dyDescent="0.2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 s="731"/>
    </row>
    <row r="757" spans="1:46" ht="12.75" x14ac:dyDescent="0.2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 s="731"/>
    </row>
    <row r="758" spans="1:46" ht="12.75" x14ac:dyDescent="0.2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 s="731"/>
    </row>
    <row r="759" spans="1:46" ht="12.75" x14ac:dyDescent="0.2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 s="731"/>
    </row>
    <row r="760" spans="1:46" ht="12.75" x14ac:dyDescent="0.2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 s="731"/>
    </row>
    <row r="761" spans="1:46" ht="12.75" x14ac:dyDescent="0.2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 s="731"/>
    </row>
    <row r="762" spans="1:46" ht="12.75" x14ac:dyDescent="0.2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 s="731"/>
    </row>
    <row r="763" spans="1:46" ht="12.75" x14ac:dyDescent="0.2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 s="731"/>
    </row>
    <row r="764" spans="1:46" ht="12.75" x14ac:dyDescent="0.2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 s="731"/>
    </row>
    <row r="765" spans="1:46" ht="12.75" x14ac:dyDescent="0.2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 s="731"/>
    </row>
    <row r="766" spans="1:46" ht="12.75" x14ac:dyDescent="0.2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 s="731"/>
    </row>
    <row r="767" spans="1:46" ht="12.75" x14ac:dyDescent="0.2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 s="731"/>
    </row>
    <row r="768" spans="1:46" ht="12.75" x14ac:dyDescent="0.2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 s="731"/>
    </row>
    <row r="769" spans="1:46" ht="12.75" x14ac:dyDescent="0.2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 s="731"/>
    </row>
    <row r="770" spans="1:46" ht="12.75" x14ac:dyDescent="0.2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 s="731"/>
    </row>
    <row r="771" spans="1:46" ht="12.75" x14ac:dyDescent="0.2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 s="731"/>
    </row>
    <row r="772" spans="1:46" ht="12.75" x14ac:dyDescent="0.2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 s="731"/>
    </row>
    <row r="773" spans="1:46" ht="12.75" x14ac:dyDescent="0.2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 s="731"/>
    </row>
    <row r="774" spans="1:46" ht="12.75" x14ac:dyDescent="0.2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 s="731"/>
    </row>
    <row r="775" spans="1:46" ht="12.75" x14ac:dyDescent="0.2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 s="731"/>
    </row>
    <row r="776" spans="1:46" ht="12.75" x14ac:dyDescent="0.2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 s="731"/>
    </row>
    <row r="777" spans="1:46" ht="12.75" x14ac:dyDescent="0.2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 s="731"/>
    </row>
    <row r="778" spans="1:46" ht="12.75" x14ac:dyDescent="0.2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 s="731"/>
    </row>
    <row r="779" spans="1:46" ht="12.75" x14ac:dyDescent="0.2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 s="731"/>
    </row>
    <row r="780" spans="1:46" ht="12.75" x14ac:dyDescent="0.2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 s="731"/>
    </row>
    <row r="781" spans="1:46" ht="12.75" x14ac:dyDescent="0.2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 s="731"/>
    </row>
    <row r="782" spans="1:46" ht="12.75" x14ac:dyDescent="0.2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 s="731"/>
    </row>
    <row r="783" spans="1:46" ht="12.75" x14ac:dyDescent="0.2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 s="731"/>
    </row>
    <row r="784" spans="1:46" ht="12.75" x14ac:dyDescent="0.2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 s="731"/>
    </row>
    <row r="785" spans="1:46" ht="12.75" x14ac:dyDescent="0.2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 s="731"/>
    </row>
    <row r="786" spans="1:46" ht="12.75" x14ac:dyDescent="0.2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 s="731"/>
    </row>
    <row r="787" spans="1:46" ht="12.75" x14ac:dyDescent="0.2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 s="731"/>
    </row>
    <row r="788" spans="1:46" ht="12.75" x14ac:dyDescent="0.2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 s="731"/>
    </row>
    <row r="789" spans="1:46" ht="12.75" x14ac:dyDescent="0.2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 s="731"/>
    </row>
    <row r="790" spans="1:46" ht="12.75" x14ac:dyDescent="0.2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 s="731"/>
    </row>
    <row r="791" spans="1:46" ht="12.75" x14ac:dyDescent="0.2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 s="731"/>
    </row>
    <row r="792" spans="1:46" ht="12.75" x14ac:dyDescent="0.2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 s="731"/>
    </row>
    <row r="793" spans="1:46" ht="12.75" x14ac:dyDescent="0.2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 s="731"/>
    </row>
    <row r="794" spans="1:46" ht="12.75" x14ac:dyDescent="0.2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 s="731"/>
    </row>
    <row r="795" spans="1:46" ht="12.75" x14ac:dyDescent="0.2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 s="731"/>
    </row>
    <row r="796" spans="1:46" ht="12.75" x14ac:dyDescent="0.2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 s="731"/>
    </row>
    <row r="797" spans="1:46" ht="12.75" x14ac:dyDescent="0.2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 s="731"/>
    </row>
    <row r="798" spans="1:46" ht="12.75" x14ac:dyDescent="0.2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 s="731"/>
    </row>
    <row r="799" spans="1:46" ht="12.75" x14ac:dyDescent="0.2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 s="731"/>
    </row>
    <row r="800" spans="1:46" ht="12.75" x14ac:dyDescent="0.2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 s="731"/>
    </row>
    <row r="801" spans="1:46" ht="12.75" x14ac:dyDescent="0.2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 s="731"/>
    </row>
    <row r="802" spans="1:46" ht="12.75" x14ac:dyDescent="0.2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 s="731"/>
    </row>
    <row r="803" spans="1:46" ht="12.75" x14ac:dyDescent="0.2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 s="731"/>
    </row>
    <row r="804" spans="1:46" ht="12.75" x14ac:dyDescent="0.2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 s="731"/>
    </row>
    <row r="805" spans="1:46" ht="12.75" x14ac:dyDescent="0.2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 s="731"/>
    </row>
    <row r="806" spans="1:46" ht="12.75" x14ac:dyDescent="0.2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 s="731"/>
    </row>
    <row r="807" spans="1:46" ht="12.75" x14ac:dyDescent="0.2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 s="731"/>
    </row>
    <row r="808" spans="1:46" ht="12.75" x14ac:dyDescent="0.2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 s="731"/>
    </row>
    <row r="809" spans="1:46" ht="12.75" x14ac:dyDescent="0.2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 s="731"/>
    </row>
    <row r="810" spans="1:46" ht="12.75" x14ac:dyDescent="0.2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 s="731"/>
    </row>
    <row r="811" spans="1:46" ht="12.75" x14ac:dyDescent="0.2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 s="731"/>
    </row>
    <row r="812" spans="1:46" ht="12.75" x14ac:dyDescent="0.2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 s="731"/>
    </row>
    <row r="813" spans="1:46" ht="12.75" x14ac:dyDescent="0.2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 s="731"/>
    </row>
    <row r="814" spans="1:46" ht="12.75" x14ac:dyDescent="0.2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 s="731"/>
    </row>
    <row r="815" spans="1:46" ht="12.75" x14ac:dyDescent="0.2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 s="731"/>
    </row>
    <row r="816" spans="1:46" ht="12.75" x14ac:dyDescent="0.2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 s="731"/>
    </row>
    <row r="817" spans="1:46" ht="12.75" x14ac:dyDescent="0.2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 s="731"/>
    </row>
    <row r="818" spans="1:46" ht="12.75" x14ac:dyDescent="0.2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 s="731"/>
    </row>
    <row r="819" spans="1:46" ht="12.75" x14ac:dyDescent="0.2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 s="731"/>
    </row>
    <row r="820" spans="1:46" ht="12.75" x14ac:dyDescent="0.2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 s="731"/>
    </row>
    <row r="821" spans="1:46" ht="12.75" x14ac:dyDescent="0.2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 s="731"/>
    </row>
    <row r="822" spans="1:46" ht="12.75" x14ac:dyDescent="0.2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 s="731"/>
    </row>
    <row r="823" spans="1:46" ht="12.75" x14ac:dyDescent="0.2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 s="731"/>
    </row>
    <row r="824" spans="1:46" ht="12.75" x14ac:dyDescent="0.2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 s="731"/>
    </row>
    <row r="825" spans="1:46" ht="12.75" x14ac:dyDescent="0.2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 s="731"/>
    </row>
    <row r="826" spans="1:46" ht="12.75" x14ac:dyDescent="0.2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 s="731"/>
    </row>
    <row r="827" spans="1:46" ht="12.75" x14ac:dyDescent="0.2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 s="731"/>
    </row>
    <row r="828" spans="1:46" ht="12.75" x14ac:dyDescent="0.2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 s="731"/>
    </row>
    <row r="829" spans="1:46" ht="12.75" x14ac:dyDescent="0.2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 s="731"/>
    </row>
    <row r="830" spans="1:46" ht="12.75" x14ac:dyDescent="0.2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 s="731"/>
    </row>
    <row r="831" spans="1:46" ht="12.75" x14ac:dyDescent="0.2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 s="731"/>
    </row>
    <row r="832" spans="1:46" ht="12.75" x14ac:dyDescent="0.2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 s="731"/>
    </row>
    <row r="833" spans="1:46" ht="12.75" x14ac:dyDescent="0.2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 s="731"/>
    </row>
    <row r="834" spans="1:46" ht="12.75" x14ac:dyDescent="0.2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 s="731"/>
    </row>
    <row r="835" spans="1:46" ht="12.75" x14ac:dyDescent="0.2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 s="731"/>
    </row>
    <row r="836" spans="1:46" ht="12.75" x14ac:dyDescent="0.2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 s="731"/>
    </row>
    <row r="837" spans="1:46" ht="12.75" x14ac:dyDescent="0.2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 s="731"/>
    </row>
    <row r="838" spans="1:46" ht="12.75" x14ac:dyDescent="0.2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 s="731"/>
    </row>
    <row r="839" spans="1:46" ht="12.75" x14ac:dyDescent="0.2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 s="731"/>
    </row>
    <row r="840" spans="1:46" ht="12.75" x14ac:dyDescent="0.2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 s="731"/>
    </row>
    <row r="841" spans="1:46" ht="12.75" x14ac:dyDescent="0.2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 s="731"/>
    </row>
    <row r="842" spans="1:46" ht="12.75" x14ac:dyDescent="0.2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 s="731"/>
    </row>
    <row r="843" spans="1:46" ht="12.75" x14ac:dyDescent="0.2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 s="731"/>
    </row>
    <row r="844" spans="1:46" ht="12.75" x14ac:dyDescent="0.2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 s="731"/>
    </row>
    <row r="845" spans="1:46" ht="12.75" x14ac:dyDescent="0.2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 s="731"/>
    </row>
    <row r="846" spans="1:46" ht="12.75" x14ac:dyDescent="0.2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 s="731"/>
    </row>
    <row r="847" spans="1:46" ht="12.75" x14ac:dyDescent="0.2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 s="731"/>
    </row>
    <row r="848" spans="1:46" ht="12.75" x14ac:dyDescent="0.2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 s="731"/>
    </row>
    <row r="849" spans="1:46" ht="12.75" x14ac:dyDescent="0.2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 s="731"/>
    </row>
    <row r="850" spans="1:46" ht="12.75" x14ac:dyDescent="0.2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 s="731"/>
    </row>
    <row r="851" spans="1:46" ht="12.75" x14ac:dyDescent="0.2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 s="731"/>
    </row>
    <row r="852" spans="1:46" ht="12.75" x14ac:dyDescent="0.2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 s="731"/>
    </row>
    <row r="853" spans="1:46" ht="12.75" x14ac:dyDescent="0.2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 s="731"/>
    </row>
    <row r="854" spans="1:46" ht="12.75" x14ac:dyDescent="0.2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 s="731"/>
    </row>
    <row r="855" spans="1:46" ht="12.75" x14ac:dyDescent="0.2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 s="731"/>
    </row>
    <row r="856" spans="1:46" ht="12.75" x14ac:dyDescent="0.2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 s="731"/>
    </row>
    <row r="857" spans="1:46" ht="12.75" x14ac:dyDescent="0.2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 s="731"/>
    </row>
    <row r="858" spans="1:46" ht="12.75" x14ac:dyDescent="0.2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 s="731"/>
    </row>
    <row r="859" spans="1:46" ht="12.75" x14ac:dyDescent="0.2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 s="731"/>
    </row>
    <row r="860" spans="1:46" ht="12.75" x14ac:dyDescent="0.2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 s="731"/>
    </row>
    <row r="861" spans="1:46" ht="12.75" x14ac:dyDescent="0.2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 s="731"/>
    </row>
    <row r="862" spans="1:46" ht="12.75" x14ac:dyDescent="0.2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 s="731"/>
    </row>
    <row r="863" spans="1:46" ht="12.75" x14ac:dyDescent="0.2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 s="731"/>
    </row>
    <row r="864" spans="1:46" ht="12.75" x14ac:dyDescent="0.2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 s="731"/>
    </row>
    <row r="865" spans="1:46" ht="12.75" x14ac:dyDescent="0.2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 s="731"/>
    </row>
    <row r="866" spans="1:46" ht="12.75" x14ac:dyDescent="0.2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 s="731"/>
    </row>
    <row r="867" spans="1:46" ht="12.75" x14ac:dyDescent="0.2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 s="731"/>
    </row>
    <row r="868" spans="1:46" ht="12.75" x14ac:dyDescent="0.2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 s="731"/>
    </row>
    <row r="869" spans="1:46" ht="12.75" x14ac:dyDescent="0.2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 s="731"/>
    </row>
    <row r="870" spans="1:46" ht="12.75" x14ac:dyDescent="0.2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 s="731"/>
    </row>
    <row r="871" spans="1:46" ht="12.75" x14ac:dyDescent="0.2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 s="731"/>
    </row>
    <row r="872" spans="1:46" ht="12.75" x14ac:dyDescent="0.2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 s="731"/>
    </row>
    <row r="873" spans="1:46" ht="12.75" x14ac:dyDescent="0.2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 s="731"/>
    </row>
    <row r="874" spans="1:46" ht="12.75" x14ac:dyDescent="0.2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 s="731"/>
    </row>
    <row r="875" spans="1:46" ht="12.75" x14ac:dyDescent="0.2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 s="731"/>
    </row>
    <row r="876" spans="1:46" ht="12.75" x14ac:dyDescent="0.2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 s="731"/>
    </row>
    <row r="877" spans="1:46" ht="12.75" x14ac:dyDescent="0.2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 s="731"/>
    </row>
    <row r="878" spans="1:46" ht="12.75" x14ac:dyDescent="0.2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 s="731"/>
    </row>
    <row r="879" spans="1:46" ht="12.75" x14ac:dyDescent="0.2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 s="731"/>
    </row>
    <row r="880" spans="1:46" ht="12.75" x14ac:dyDescent="0.2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 s="731"/>
    </row>
    <row r="881" spans="1:46" ht="12.75" x14ac:dyDescent="0.2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 s="731"/>
    </row>
    <row r="882" spans="1:46" ht="12.75" x14ac:dyDescent="0.2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 s="731"/>
    </row>
    <row r="883" spans="1:46" ht="12.75" x14ac:dyDescent="0.2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 s="731"/>
    </row>
    <row r="884" spans="1:46" ht="12.75" x14ac:dyDescent="0.2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 s="731"/>
    </row>
    <row r="885" spans="1:46" ht="12.75" x14ac:dyDescent="0.2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 s="731"/>
    </row>
    <row r="886" spans="1:46" ht="12.75" x14ac:dyDescent="0.2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 s="731"/>
    </row>
    <row r="887" spans="1:46" ht="12.75" x14ac:dyDescent="0.2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 s="731"/>
    </row>
    <row r="888" spans="1:46" ht="12.75" x14ac:dyDescent="0.2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 s="731"/>
    </row>
    <row r="889" spans="1:46" ht="12.75" x14ac:dyDescent="0.2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 s="731"/>
    </row>
    <row r="890" spans="1:46" ht="12.75" x14ac:dyDescent="0.2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 s="731"/>
    </row>
    <row r="891" spans="1:46" ht="12.75" x14ac:dyDescent="0.2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 s="731"/>
    </row>
    <row r="892" spans="1:46" ht="12.75" x14ac:dyDescent="0.2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 s="731"/>
    </row>
    <row r="893" spans="1:46" ht="12.75" x14ac:dyDescent="0.2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 s="731"/>
    </row>
    <row r="894" spans="1:46" ht="12.75" x14ac:dyDescent="0.2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 s="731"/>
    </row>
    <row r="895" spans="1:46" ht="12.75" x14ac:dyDescent="0.2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 s="731"/>
    </row>
    <row r="896" spans="1:46" ht="12.75" x14ac:dyDescent="0.2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 s="731"/>
    </row>
    <row r="897" spans="1:46" ht="12.75" x14ac:dyDescent="0.2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 s="731"/>
    </row>
    <row r="898" spans="1:46" ht="12.75" x14ac:dyDescent="0.2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 s="731"/>
    </row>
    <row r="899" spans="1:46" ht="12.75" x14ac:dyDescent="0.2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 s="731"/>
    </row>
    <row r="900" spans="1:46" ht="12.75" x14ac:dyDescent="0.2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 s="731"/>
    </row>
    <row r="901" spans="1:46" ht="12.75" x14ac:dyDescent="0.2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 s="731"/>
    </row>
    <row r="902" spans="1:46" ht="12.75" x14ac:dyDescent="0.2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 s="731"/>
    </row>
    <row r="903" spans="1:46" ht="12.75" x14ac:dyDescent="0.2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 s="731"/>
    </row>
    <row r="904" spans="1:46" ht="12.75" x14ac:dyDescent="0.2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 s="731"/>
    </row>
    <row r="905" spans="1:46" ht="12.75" x14ac:dyDescent="0.2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 s="731"/>
    </row>
    <row r="906" spans="1:46" ht="12.75" x14ac:dyDescent="0.2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 s="731"/>
    </row>
    <row r="907" spans="1:46" ht="12.75" x14ac:dyDescent="0.2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 s="731"/>
    </row>
    <row r="908" spans="1:46" ht="12.75" x14ac:dyDescent="0.2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 s="731"/>
    </row>
    <row r="909" spans="1:46" ht="12.75" x14ac:dyDescent="0.2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 s="731"/>
    </row>
    <row r="910" spans="1:46" ht="12.75" x14ac:dyDescent="0.2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 s="731"/>
    </row>
    <row r="911" spans="1:46" ht="12.75" x14ac:dyDescent="0.2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 s="731"/>
    </row>
    <row r="912" spans="1:46" ht="12.75" x14ac:dyDescent="0.2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 s="731"/>
    </row>
    <row r="913" spans="1:46" ht="12.75" x14ac:dyDescent="0.2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 s="731"/>
    </row>
    <row r="914" spans="1:46" ht="12.75" x14ac:dyDescent="0.2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 s="731"/>
    </row>
    <row r="915" spans="1:46" ht="12.75" x14ac:dyDescent="0.2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 s="731"/>
    </row>
    <row r="916" spans="1:46" ht="12.75" x14ac:dyDescent="0.2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 s="731"/>
    </row>
    <row r="917" spans="1:46" ht="12.75" x14ac:dyDescent="0.2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 s="731"/>
    </row>
    <row r="918" spans="1:46" ht="12.75" x14ac:dyDescent="0.2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 s="731"/>
    </row>
    <row r="919" spans="1:46" ht="12.75" x14ac:dyDescent="0.2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 s="731"/>
    </row>
    <row r="920" spans="1:46" ht="12.75" x14ac:dyDescent="0.2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 s="731"/>
    </row>
    <row r="921" spans="1:46" ht="12.75" x14ac:dyDescent="0.2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 s="731"/>
    </row>
    <row r="922" spans="1:46" ht="12.75" x14ac:dyDescent="0.2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 s="731"/>
    </row>
    <row r="923" spans="1:46" ht="12.75" x14ac:dyDescent="0.2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 s="731"/>
    </row>
    <row r="924" spans="1:46" ht="12.75" x14ac:dyDescent="0.2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 s="731"/>
    </row>
    <row r="925" spans="1:46" ht="12.75" x14ac:dyDescent="0.2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 s="731"/>
    </row>
    <row r="926" spans="1:46" ht="12.75" x14ac:dyDescent="0.2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 s="731"/>
    </row>
    <row r="927" spans="1:46" ht="12.75" x14ac:dyDescent="0.2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 s="731"/>
    </row>
    <row r="928" spans="1:46" ht="12.75" x14ac:dyDescent="0.2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 s="731"/>
    </row>
    <row r="929" spans="1:46" ht="12.75" x14ac:dyDescent="0.2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 s="731"/>
    </row>
    <row r="930" spans="1:46" ht="12.75" x14ac:dyDescent="0.2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 s="731"/>
    </row>
    <row r="931" spans="1:46" ht="12.75" x14ac:dyDescent="0.2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 s="731"/>
    </row>
    <row r="932" spans="1:46" ht="12.75" x14ac:dyDescent="0.2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 s="731"/>
    </row>
    <row r="933" spans="1:46" ht="12.75" x14ac:dyDescent="0.2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 s="731"/>
    </row>
    <row r="934" spans="1:46" ht="12.75" x14ac:dyDescent="0.2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 s="731"/>
    </row>
    <row r="935" spans="1:46" ht="12.75" x14ac:dyDescent="0.2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 s="731"/>
    </row>
    <row r="936" spans="1:46" ht="12.75" x14ac:dyDescent="0.2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 s="731"/>
    </row>
    <row r="937" spans="1:46" ht="12.75" x14ac:dyDescent="0.2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 s="731"/>
    </row>
    <row r="938" spans="1:46" ht="12.75" x14ac:dyDescent="0.2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 s="731"/>
    </row>
    <row r="939" spans="1:46" ht="12.75" x14ac:dyDescent="0.2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 s="731"/>
    </row>
    <row r="940" spans="1:46" ht="12.75" x14ac:dyDescent="0.2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 s="731"/>
    </row>
    <row r="941" spans="1:46" ht="12.75" x14ac:dyDescent="0.2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 s="731"/>
    </row>
    <row r="942" spans="1:46" ht="12.75" x14ac:dyDescent="0.2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 s="731"/>
    </row>
    <row r="943" spans="1:46" ht="12.75" x14ac:dyDescent="0.2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 s="731"/>
    </row>
    <row r="944" spans="1:46" ht="12.75" x14ac:dyDescent="0.2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 s="731"/>
    </row>
    <row r="945" spans="1:46" ht="12.75" x14ac:dyDescent="0.2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 s="731"/>
    </row>
    <row r="946" spans="1:46" ht="12.75" x14ac:dyDescent="0.2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 s="731"/>
    </row>
    <row r="947" spans="1:46" ht="12.75" x14ac:dyDescent="0.2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 s="731"/>
    </row>
    <row r="948" spans="1:46" ht="12.75" x14ac:dyDescent="0.2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 s="731"/>
    </row>
    <row r="949" spans="1:46" ht="12.75" x14ac:dyDescent="0.2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 s="731"/>
    </row>
    <row r="950" spans="1:46" ht="12.75" x14ac:dyDescent="0.2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 s="731"/>
    </row>
    <row r="951" spans="1:46" ht="12.75" x14ac:dyDescent="0.2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 s="731"/>
    </row>
    <row r="952" spans="1:46" ht="12.75" x14ac:dyDescent="0.2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 s="731"/>
    </row>
    <row r="953" spans="1:46" ht="12.75" x14ac:dyDescent="0.2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 s="731"/>
    </row>
    <row r="954" spans="1:46" ht="12.75" x14ac:dyDescent="0.2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 s="731"/>
    </row>
    <row r="955" spans="1:46" ht="12.75" x14ac:dyDescent="0.2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 s="731"/>
    </row>
    <row r="956" spans="1:46" ht="12.75" x14ac:dyDescent="0.2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 s="731"/>
    </row>
    <row r="957" spans="1:46" ht="12.75" x14ac:dyDescent="0.2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 s="731"/>
    </row>
    <row r="958" spans="1:46" ht="12.75" x14ac:dyDescent="0.2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 s="731"/>
    </row>
    <row r="959" spans="1:46" ht="12.75" x14ac:dyDescent="0.2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 s="731"/>
    </row>
    <row r="960" spans="1:46" ht="12.75" x14ac:dyDescent="0.2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 s="731"/>
    </row>
    <row r="961" spans="1:46" ht="12.75" x14ac:dyDescent="0.2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 s="731"/>
    </row>
    <row r="962" spans="1:46" ht="12.75" x14ac:dyDescent="0.2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 s="731"/>
    </row>
    <row r="963" spans="1:46" ht="12.75" x14ac:dyDescent="0.2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 s="731"/>
    </row>
    <row r="964" spans="1:46" ht="12.75" x14ac:dyDescent="0.2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 s="731"/>
    </row>
    <row r="965" spans="1:46" ht="12.75" x14ac:dyDescent="0.2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 s="731"/>
    </row>
    <row r="966" spans="1:46" ht="12.75" x14ac:dyDescent="0.2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 s="731"/>
    </row>
    <row r="967" spans="1:46" ht="12.75" x14ac:dyDescent="0.2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 s="731"/>
    </row>
    <row r="968" spans="1:46" ht="12.75" x14ac:dyDescent="0.2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 s="731"/>
    </row>
    <row r="969" spans="1:46" ht="12.75" x14ac:dyDescent="0.2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 s="731"/>
    </row>
    <row r="970" spans="1:46" ht="12.75" x14ac:dyDescent="0.2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 s="731"/>
    </row>
    <row r="971" spans="1:46" ht="12.75" x14ac:dyDescent="0.2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 s="731"/>
    </row>
    <row r="972" spans="1:46" ht="12.75" x14ac:dyDescent="0.2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 s="731"/>
    </row>
    <row r="973" spans="1:46" ht="12.75" x14ac:dyDescent="0.2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 s="731"/>
    </row>
    <row r="974" spans="1:46" ht="12.75" x14ac:dyDescent="0.2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 s="731"/>
    </row>
    <row r="975" spans="1:46" ht="12.75" x14ac:dyDescent="0.2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 s="731"/>
    </row>
    <row r="976" spans="1:46" ht="12.75" x14ac:dyDescent="0.2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 s="731"/>
    </row>
    <row r="977" spans="1:46" ht="12.75" x14ac:dyDescent="0.2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 s="731"/>
    </row>
    <row r="978" spans="1:46" ht="12.75" x14ac:dyDescent="0.2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 s="731"/>
    </row>
    <row r="979" spans="1:46" ht="12.75" x14ac:dyDescent="0.2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 s="731"/>
    </row>
    <row r="980" spans="1:46" ht="12.75" x14ac:dyDescent="0.2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 s="731"/>
    </row>
    <row r="981" spans="1:46" ht="12.75" x14ac:dyDescent="0.2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 s="731"/>
    </row>
    <row r="982" spans="1:46" ht="12.75" x14ac:dyDescent="0.2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 s="731"/>
    </row>
    <row r="983" spans="1:46" ht="12.75" x14ac:dyDescent="0.2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 s="731"/>
    </row>
    <row r="984" spans="1:46" ht="12.75" x14ac:dyDescent="0.2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 s="731"/>
    </row>
    <row r="985" spans="1:46" ht="12.75" x14ac:dyDescent="0.2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 s="731"/>
    </row>
    <row r="986" spans="1:46" ht="12.75" x14ac:dyDescent="0.2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 s="731"/>
    </row>
    <row r="987" spans="1:46" ht="12.75" x14ac:dyDescent="0.2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 s="731"/>
    </row>
    <row r="988" spans="1:46" ht="12.75" x14ac:dyDescent="0.2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 s="731"/>
    </row>
    <row r="989" spans="1:46" ht="12.75" x14ac:dyDescent="0.2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 s="731"/>
    </row>
    <row r="990" spans="1:46" ht="12.75" x14ac:dyDescent="0.2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 s="731"/>
    </row>
    <row r="991" spans="1:46" ht="12.75" x14ac:dyDescent="0.2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 s="731"/>
    </row>
    <row r="992" spans="1:46" ht="12.75" x14ac:dyDescent="0.2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 s="731"/>
    </row>
    <row r="993" spans="1:46" ht="12.75" x14ac:dyDescent="0.2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 s="731"/>
    </row>
    <row r="994" spans="1:46" ht="12.75" x14ac:dyDescent="0.2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 s="731"/>
    </row>
    <row r="995" spans="1:46" ht="12.75" x14ac:dyDescent="0.2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 s="731"/>
    </row>
    <row r="996" spans="1:46" ht="12.75" x14ac:dyDescent="0.2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 s="731"/>
    </row>
    <row r="997" spans="1:46" ht="12.75" x14ac:dyDescent="0.2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 s="731"/>
    </row>
    <row r="998" spans="1:46" ht="12.75" x14ac:dyDescent="0.2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 s="731"/>
    </row>
    <row r="999" spans="1:46" ht="12.75" x14ac:dyDescent="0.2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 s="731"/>
    </row>
    <row r="1000" spans="1:46" ht="12.75" x14ac:dyDescent="0.2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 s="731"/>
    </row>
    <row r="1001" spans="1:46" ht="12.75" x14ac:dyDescent="0.2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 s="731"/>
    </row>
    <row r="1002" spans="1:46" ht="12.75" x14ac:dyDescent="0.2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 s="731"/>
    </row>
    <row r="1003" spans="1:46" ht="12.75" x14ac:dyDescent="0.2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 s="731"/>
    </row>
    <row r="1004" spans="1:46" ht="12.75" x14ac:dyDescent="0.2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 s="731"/>
    </row>
    <row r="1005" spans="1:46" ht="12.75" x14ac:dyDescent="0.2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 s="731"/>
    </row>
    <row r="1006" spans="1:46" ht="12.75" x14ac:dyDescent="0.2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 s="731"/>
    </row>
    <row r="1007" spans="1:46" ht="12.75" x14ac:dyDescent="0.2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 s="731"/>
    </row>
    <row r="1008" spans="1:46" ht="12.75" x14ac:dyDescent="0.2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 s="731"/>
    </row>
    <row r="1009" spans="1:46" ht="12.75" x14ac:dyDescent="0.2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 s="731"/>
    </row>
    <row r="1010" spans="1:46" ht="12.75" x14ac:dyDescent="0.2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 s="731"/>
    </row>
    <row r="1011" spans="1:46" ht="12.75" x14ac:dyDescent="0.2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 s="731"/>
    </row>
    <row r="1012" spans="1:46" ht="12.75" x14ac:dyDescent="0.2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 s="731"/>
    </row>
    <row r="1013" spans="1:46" ht="12.75" x14ac:dyDescent="0.2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 s="731"/>
    </row>
    <row r="1014" spans="1:46" ht="12.75" x14ac:dyDescent="0.2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 s="731"/>
    </row>
    <row r="1015" spans="1:46" ht="12.75" x14ac:dyDescent="0.2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 s="731"/>
    </row>
    <row r="1016" spans="1:46" ht="12.75" x14ac:dyDescent="0.2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 s="731"/>
    </row>
    <row r="1017" spans="1:46" ht="12.75" x14ac:dyDescent="0.2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 s="731"/>
    </row>
    <row r="1018" spans="1:46" ht="12.75" x14ac:dyDescent="0.2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 s="731"/>
    </row>
    <row r="1019" spans="1:46" ht="12.75" x14ac:dyDescent="0.2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 s="731"/>
    </row>
    <row r="1020" spans="1:46" ht="12.75" x14ac:dyDescent="0.2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 s="731"/>
    </row>
    <row r="1021" spans="1:46" ht="12.75" x14ac:dyDescent="0.2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 s="731"/>
    </row>
    <row r="1022" spans="1:46" ht="12.75" x14ac:dyDescent="0.2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 s="731"/>
    </row>
    <row r="1023" spans="1:46" ht="12.75" x14ac:dyDescent="0.2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 s="731"/>
    </row>
    <row r="1024" spans="1:46" ht="12.75" x14ac:dyDescent="0.2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 s="731"/>
    </row>
    <row r="1025" spans="1:46" ht="12.75" x14ac:dyDescent="0.2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 s="731"/>
    </row>
    <row r="1026" spans="1:46" ht="12.75" x14ac:dyDescent="0.2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 s="731"/>
    </row>
    <row r="1027" spans="1:46" ht="12.75" x14ac:dyDescent="0.2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 s="731"/>
    </row>
    <row r="1028" spans="1:46" ht="12.75" x14ac:dyDescent="0.2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 s="731"/>
    </row>
    <row r="1029" spans="1:46" ht="12.75" x14ac:dyDescent="0.2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 s="731"/>
    </row>
    <row r="1030" spans="1:46" ht="12.75" x14ac:dyDescent="0.2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 s="731"/>
    </row>
    <row r="1031" spans="1:46" ht="12.75" x14ac:dyDescent="0.2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 s="731"/>
    </row>
    <row r="1032" spans="1:46" ht="12.75" x14ac:dyDescent="0.2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 s="731"/>
    </row>
    <row r="1033" spans="1:46" ht="12.75" x14ac:dyDescent="0.2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 s="731"/>
    </row>
    <row r="1034" spans="1:46" ht="12.75" x14ac:dyDescent="0.2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 s="731"/>
    </row>
    <row r="1035" spans="1:46" ht="12.75" x14ac:dyDescent="0.2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 s="731"/>
    </row>
    <row r="1036" spans="1:46" ht="12.75" x14ac:dyDescent="0.2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 s="731"/>
    </row>
    <row r="1037" spans="1:46" ht="12.75" x14ac:dyDescent="0.2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 s="731"/>
    </row>
    <row r="1038" spans="1:46" ht="12.75" x14ac:dyDescent="0.2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 s="731"/>
    </row>
    <row r="1039" spans="1:46" ht="12.75" x14ac:dyDescent="0.2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 s="731"/>
    </row>
    <row r="1040" spans="1:46" ht="12.75" x14ac:dyDescent="0.2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 s="731"/>
    </row>
    <row r="1041" spans="1:46" ht="12.75" x14ac:dyDescent="0.2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 s="731"/>
    </row>
    <row r="1042" spans="1:46" ht="12.75" x14ac:dyDescent="0.2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 s="731"/>
    </row>
    <row r="1043" spans="1:46" ht="12.75" x14ac:dyDescent="0.2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 s="731"/>
    </row>
    <row r="1044" spans="1:46" ht="12.75" x14ac:dyDescent="0.2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 s="731"/>
    </row>
    <row r="1045" spans="1:46" ht="12.75" x14ac:dyDescent="0.2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 s="731"/>
    </row>
    <row r="1046" spans="1:46" ht="12.75" x14ac:dyDescent="0.2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 s="731"/>
    </row>
    <row r="1047" spans="1:46" ht="12.75" x14ac:dyDescent="0.2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 s="731"/>
    </row>
    <row r="1048" spans="1:46" ht="12.75" x14ac:dyDescent="0.2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 s="731"/>
    </row>
    <row r="1049" spans="1:46" ht="12.75" x14ac:dyDescent="0.2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 s="731"/>
    </row>
    <row r="1050" spans="1:46" ht="12.75" x14ac:dyDescent="0.2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 s="731"/>
    </row>
    <row r="1051" spans="1:46" ht="12.75" x14ac:dyDescent="0.2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 s="731"/>
    </row>
    <row r="1052" spans="1:46" ht="12.75" x14ac:dyDescent="0.2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 s="731"/>
    </row>
    <row r="1053" spans="1:46" ht="12.75" x14ac:dyDescent="0.2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 s="731"/>
    </row>
    <row r="1054" spans="1:46" ht="12.75" x14ac:dyDescent="0.2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 s="731"/>
    </row>
    <row r="1055" spans="1:46" ht="12.75" x14ac:dyDescent="0.2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 s="731"/>
    </row>
    <row r="1056" spans="1:46" ht="12.75" x14ac:dyDescent="0.2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 s="731"/>
    </row>
    <row r="1057" spans="1:46" ht="12.75" x14ac:dyDescent="0.2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 s="731"/>
    </row>
    <row r="1058" spans="1:46" ht="12.75" x14ac:dyDescent="0.2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 s="731"/>
    </row>
    <row r="1059" spans="1:46" ht="12.75" x14ac:dyDescent="0.2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 s="731"/>
    </row>
    <row r="1060" spans="1:46" ht="12.75" x14ac:dyDescent="0.2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 s="731"/>
    </row>
    <row r="1061" spans="1:46" ht="12.75" x14ac:dyDescent="0.2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 s="731"/>
    </row>
    <row r="1062" spans="1:46" ht="12.75" x14ac:dyDescent="0.2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 s="731"/>
    </row>
    <row r="1063" spans="1:46" ht="12.75" x14ac:dyDescent="0.2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 s="731"/>
    </row>
    <row r="1064" spans="1:46" ht="12.75" x14ac:dyDescent="0.2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 s="731"/>
    </row>
    <row r="1065" spans="1:46" ht="12.75" x14ac:dyDescent="0.2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 s="731"/>
    </row>
    <row r="1066" spans="1:46" ht="12.75" x14ac:dyDescent="0.2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 s="731"/>
    </row>
    <row r="1067" spans="1:46" ht="12.75" x14ac:dyDescent="0.2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 s="731"/>
    </row>
    <row r="1068" spans="1:46" ht="12.75" x14ac:dyDescent="0.2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 s="731"/>
    </row>
    <row r="1069" spans="1:46" ht="12.75" x14ac:dyDescent="0.2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 s="731"/>
    </row>
    <row r="1070" spans="1:46" ht="12.75" x14ac:dyDescent="0.2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 s="731"/>
    </row>
    <row r="1071" spans="1:46" ht="12.75" x14ac:dyDescent="0.2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 s="731"/>
    </row>
    <row r="1072" spans="1:46" ht="12.75" x14ac:dyDescent="0.2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 s="731"/>
    </row>
    <row r="1073" spans="1:46" ht="12.75" x14ac:dyDescent="0.2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 s="731"/>
    </row>
    <row r="1074" spans="1:46" ht="12.75" x14ac:dyDescent="0.2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 s="731"/>
    </row>
    <row r="1075" spans="1:46" ht="12.75" x14ac:dyDescent="0.2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 s="731"/>
    </row>
    <row r="1076" spans="1:46" ht="12.75" x14ac:dyDescent="0.2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 s="731"/>
    </row>
    <row r="1077" spans="1:46" ht="12.75" x14ac:dyDescent="0.2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 s="731"/>
    </row>
    <row r="1078" spans="1:46" ht="12.75" x14ac:dyDescent="0.2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 s="731"/>
    </row>
    <row r="1079" spans="1:46" ht="12.75" x14ac:dyDescent="0.2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 s="731"/>
    </row>
    <row r="1080" spans="1:46" ht="12.75" x14ac:dyDescent="0.2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 s="731"/>
    </row>
    <row r="1081" spans="1:46" ht="12.75" x14ac:dyDescent="0.2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 s="731"/>
    </row>
    <row r="1082" spans="1:46" ht="12.75" x14ac:dyDescent="0.2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 s="731"/>
    </row>
    <row r="1083" spans="1:46" ht="12.75" x14ac:dyDescent="0.2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 s="731"/>
    </row>
    <row r="1084" spans="1:46" ht="12.75" x14ac:dyDescent="0.2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 s="731"/>
    </row>
    <row r="1085" spans="1:46" ht="12.75" x14ac:dyDescent="0.2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 s="731"/>
    </row>
    <row r="1086" spans="1:46" ht="12.75" x14ac:dyDescent="0.2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 s="731"/>
    </row>
    <row r="1087" spans="1:46" ht="12.75" x14ac:dyDescent="0.2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 s="731"/>
    </row>
    <row r="1088" spans="1:46" ht="12.75" x14ac:dyDescent="0.2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 s="731"/>
    </row>
    <row r="1089" spans="1:46" ht="12.75" x14ac:dyDescent="0.2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 s="731"/>
    </row>
    <row r="1090" spans="1:46" ht="12.75" x14ac:dyDescent="0.2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 s="731"/>
    </row>
    <row r="1091" spans="1:46" ht="12.75" x14ac:dyDescent="0.2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 s="731"/>
    </row>
    <row r="1092" spans="1:46" ht="12.75" x14ac:dyDescent="0.2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 s="731"/>
    </row>
    <row r="1093" spans="1:46" ht="12.75" x14ac:dyDescent="0.2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 s="731"/>
    </row>
    <row r="1094" spans="1:46" ht="12.75" x14ac:dyDescent="0.2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 s="731"/>
    </row>
    <row r="1095" spans="1:46" ht="12.75" x14ac:dyDescent="0.2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 s="731"/>
    </row>
    <row r="1096" spans="1:46" ht="12.75" x14ac:dyDescent="0.2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 s="731"/>
    </row>
    <row r="1097" spans="1:46" ht="12.75" x14ac:dyDescent="0.2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 s="731"/>
    </row>
    <row r="1098" spans="1:46" ht="12.75" x14ac:dyDescent="0.2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 s="731"/>
    </row>
    <row r="1099" spans="1:46" ht="12.75" x14ac:dyDescent="0.2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 s="731"/>
    </row>
    <row r="1100" spans="1:46" ht="12.75" x14ac:dyDescent="0.2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 s="731"/>
    </row>
    <row r="1101" spans="1:46" ht="12.75" x14ac:dyDescent="0.2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 s="731"/>
    </row>
    <row r="1102" spans="1:46" ht="12.75" x14ac:dyDescent="0.2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 s="731"/>
    </row>
    <row r="1103" spans="1:46" ht="12.75" x14ac:dyDescent="0.2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 s="731"/>
    </row>
    <row r="1104" spans="1:46" ht="12.75" x14ac:dyDescent="0.2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 s="731"/>
    </row>
    <row r="1105" spans="1:46" ht="12.75" x14ac:dyDescent="0.2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 s="731"/>
    </row>
    <row r="1106" spans="1:46" ht="12.75" x14ac:dyDescent="0.2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 s="731"/>
    </row>
    <row r="1107" spans="1:46" ht="12.75" x14ac:dyDescent="0.2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 s="731"/>
    </row>
    <row r="1108" spans="1:46" ht="12.75" x14ac:dyDescent="0.2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 s="731"/>
    </row>
    <row r="1109" spans="1:46" ht="12.75" x14ac:dyDescent="0.2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 s="731"/>
    </row>
    <row r="1110" spans="1:46" ht="12.75" x14ac:dyDescent="0.2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 s="731"/>
    </row>
    <row r="1111" spans="1:46" ht="12.75" x14ac:dyDescent="0.2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 s="731"/>
    </row>
    <row r="1112" spans="1:46" ht="12.75" x14ac:dyDescent="0.2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 s="731"/>
    </row>
    <row r="1113" spans="1:46" ht="12.75" x14ac:dyDescent="0.2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 s="731"/>
    </row>
    <row r="1114" spans="1:46" ht="12.75" x14ac:dyDescent="0.2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 s="731"/>
    </row>
    <row r="1115" spans="1:46" ht="12.75" x14ac:dyDescent="0.2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 s="731"/>
    </row>
    <row r="1116" spans="1:46" ht="12.75" x14ac:dyDescent="0.2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 s="731"/>
    </row>
    <row r="1117" spans="1:46" ht="12.75" x14ac:dyDescent="0.2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 s="731"/>
    </row>
    <row r="1118" spans="1:46" ht="12.75" x14ac:dyDescent="0.2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 s="731"/>
    </row>
    <row r="1119" spans="1:46" ht="12.75" x14ac:dyDescent="0.2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 s="731"/>
    </row>
    <row r="1120" spans="1:46" ht="12.75" x14ac:dyDescent="0.2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 s="731"/>
    </row>
    <row r="1121" spans="1:46" ht="12.75" x14ac:dyDescent="0.2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 s="731"/>
    </row>
    <row r="1122" spans="1:46" ht="12.75" x14ac:dyDescent="0.2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 s="731"/>
    </row>
    <row r="1123" spans="1:46" ht="12.75" x14ac:dyDescent="0.2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 s="731"/>
    </row>
    <row r="1124" spans="1:46" ht="12.75" x14ac:dyDescent="0.2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 s="731"/>
    </row>
    <row r="1125" spans="1:46" ht="12.75" x14ac:dyDescent="0.2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 s="731"/>
    </row>
    <row r="1126" spans="1:46" ht="12.75" x14ac:dyDescent="0.2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 s="731"/>
    </row>
    <row r="1127" spans="1:46" ht="12.75" x14ac:dyDescent="0.2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 s="731"/>
    </row>
    <row r="1128" spans="1:46" ht="12.75" x14ac:dyDescent="0.2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 s="731"/>
    </row>
    <row r="1129" spans="1:46" ht="12.75" x14ac:dyDescent="0.2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 s="731"/>
    </row>
    <row r="1130" spans="1:46" ht="12.75" x14ac:dyDescent="0.2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 s="731"/>
    </row>
    <row r="1131" spans="1:46" ht="12.75" x14ac:dyDescent="0.2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 s="731"/>
    </row>
    <row r="1132" spans="1:46" ht="12.75" x14ac:dyDescent="0.2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 s="731"/>
    </row>
    <row r="1133" spans="1:46" ht="12.75" x14ac:dyDescent="0.2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 s="731"/>
    </row>
    <row r="1134" spans="1:46" ht="12.75" x14ac:dyDescent="0.2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 s="731"/>
    </row>
    <row r="1135" spans="1:46" ht="12.75" x14ac:dyDescent="0.2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 s="731"/>
    </row>
    <row r="1136" spans="1:46" ht="12.75" x14ac:dyDescent="0.2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 s="731"/>
    </row>
    <row r="1137" spans="1:46" ht="12.75" x14ac:dyDescent="0.2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 s="731"/>
    </row>
    <row r="1138" spans="1:46" ht="12.75" x14ac:dyDescent="0.2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 s="731"/>
    </row>
    <row r="1139" spans="1:46" ht="12.75" x14ac:dyDescent="0.2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 s="731"/>
    </row>
    <row r="1140" spans="1:46" ht="12.75" x14ac:dyDescent="0.2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 s="731"/>
    </row>
    <row r="1141" spans="1:46" ht="12.75" x14ac:dyDescent="0.2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 s="731"/>
    </row>
    <row r="1142" spans="1:46" ht="12.75" x14ac:dyDescent="0.2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 s="731"/>
    </row>
    <row r="1143" spans="1:46" ht="12.75" x14ac:dyDescent="0.2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 s="731"/>
    </row>
    <row r="1144" spans="1:46" ht="12.75" x14ac:dyDescent="0.2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 s="731"/>
    </row>
    <row r="1145" spans="1:46" ht="12.75" x14ac:dyDescent="0.2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 s="731"/>
    </row>
    <row r="1146" spans="1:46" ht="12.75" x14ac:dyDescent="0.2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 s="731"/>
    </row>
    <row r="1147" spans="1:46" ht="12.75" x14ac:dyDescent="0.2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 s="731"/>
    </row>
    <row r="1148" spans="1:46" ht="12.75" x14ac:dyDescent="0.2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 s="731"/>
    </row>
    <row r="1149" spans="1:46" ht="12.75" x14ac:dyDescent="0.2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 s="731"/>
    </row>
    <row r="1150" spans="1:46" ht="12.75" x14ac:dyDescent="0.2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 s="731"/>
    </row>
    <row r="1151" spans="1:46" ht="12.75" x14ac:dyDescent="0.2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 s="731"/>
    </row>
    <row r="1152" spans="1:46" ht="12.75" x14ac:dyDescent="0.2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 s="731"/>
    </row>
    <row r="1153" spans="1:46" ht="12.75" x14ac:dyDescent="0.2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 s="731"/>
    </row>
    <row r="1154" spans="1:46" ht="12.75" x14ac:dyDescent="0.2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 s="731"/>
    </row>
    <row r="1155" spans="1:46" ht="12.75" x14ac:dyDescent="0.2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 s="731"/>
    </row>
    <row r="1156" spans="1:46" ht="12.75" x14ac:dyDescent="0.2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 s="731"/>
    </row>
  </sheetData>
  <mergeCells count="26">
    <mergeCell ref="A592:C592"/>
    <mergeCell ref="B16:B24"/>
    <mergeCell ref="B25:B26"/>
    <mergeCell ref="B68:B69"/>
    <mergeCell ref="B71:B73"/>
    <mergeCell ref="B98:B99"/>
    <mergeCell ref="B126:B128"/>
    <mergeCell ref="B129:B130"/>
    <mergeCell ref="B162:B165"/>
    <mergeCell ref="B179:B180"/>
    <mergeCell ref="B185:B186"/>
    <mergeCell ref="B196:B197"/>
    <mergeCell ref="B198:B199"/>
    <mergeCell ref="B225:B226"/>
    <mergeCell ref="B366:B367"/>
    <mergeCell ref="B373:B374"/>
    <mergeCell ref="B388:B389"/>
    <mergeCell ref="B392:B393"/>
    <mergeCell ref="B482:B483"/>
    <mergeCell ref="B546:B547"/>
    <mergeCell ref="A2:B2"/>
    <mergeCell ref="A4:A152"/>
    <mergeCell ref="A153:A254"/>
    <mergeCell ref="A255:A370"/>
    <mergeCell ref="A371:A509"/>
    <mergeCell ref="A510:A590"/>
  </mergeCells>
  <conditionalFormatting sqref="AU4:BW372 AU374:BW595">
    <cfRule type="cellIs" dxfId="6" priority="1" operator="lessThan">
      <formula>0</formula>
    </cfRule>
  </conditionalFormatting>
  <printOptions horizontalCentered="1" verticalCentered="1"/>
  <pageMargins left="0.51181102362204722" right="0.51181102362204722" top="0.35433070866141736" bottom="0.35433070866141736" header="0.31496062992125984" footer="0.31496062992125984"/>
  <pageSetup scale="35" orientation="landscape" r:id="rId2"/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4">
    <tabColor theme="9" tint="0.39997558519241921"/>
    <pageSetUpPr fitToPage="1"/>
  </sheetPr>
  <dimension ref="B1:IV95"/>
  <sheetViews>
    <sheetView zoomScale="70" zoomScaleNormal="70" workbookViewId="0">
      <pane xSplit="3" ySplit="6" topLeftCell="S7" activePane="bottomRight" state="frozen"/>
      <selection activeCell="N17" sqref="N17:O17"/>
      <selection pane="topRight" activeCell="N17" sqref="N17:O17"/>
      <selection pane="bottomLeft" activeCell="N17" sqref="N17:O17"/>
      <selection pane="bottomRight" activeCell="V79" sqref="V79"/>
    </sheetView>
  </sheetViews>
  <sheetFormatPr baseColWidth="10" defaultColWidth="0.5703125" defaultRowHeight="0" customHeight="1" zeroHeight="1" x14ac:dyDescent="0.2"/>
  <cols>
    <col min="1" max="1" width="0.5703125" style="13" customWidth="1"/>
    <col min="2" max="2" width="30.85546875" style="13" bestFit="1" customWidth="1"/>
    <col min="3" max="3" width="0.85546875" style="13" customWidth="1"/>
    <col min="4" max="4" width="7" style="13" customWidth="1"/>
    <col min="5" max="5" width="22.42578125" style="13" bestFit="1" customWidth="1"/>
    <col min="6" max="6" width="9" style="13" bestFit="1" customWidth="1"/>
    <col min="7" max="7" width="0.5703125" style="13" customWidth="1"/>
    <col min="8" max="8" width="5.5703125" style="13" customWidth="1"/>
    <col min="9" max="9" width="25.42578125" style="13" bestFit="1" customWidth="1"/>
    <col min="10" max="10" width="11.140625" style="13" customWidth="1"/>
    <col min="11" max="11" width="0.5703125" style="13" customWidth="1"/>
    <col min="12" max="12" width="8.85546875" style="13" customWidth="1"/>
    <col min="13" max="13" width="21.5703125" style="13" bestFit="1" customWidth="1"/>
    <col min="14" max="14" width="9" style="13" bestFit="1" customWidth="1"/>
    <col min="15" max="15" width="0.85546875" style="13" customWidth="1"/>
    <col min="16" max="16" width="23.5703125" style="13" bestFit="1" customWidth="1"/>
    <col min="17" max="17" width="17.85546875" style="13" customWidth="1"/>
    <col min="18" max="18" width="17.42578125" style="13" customWidth="1"/>
    <col min="19" max="19" width="19.140625" style="13" bestFit="1" customWidth="1"/>
    <col min="20" max="20" width="0.5703125" style="13" customWidth="1"/>
    <col min="21" max="22" width="19.85546875" style="13" bestFit="1" customWidth="1"/>
    <col min="23" max="24" width="17.5703125" style="13" bestFit="1" customWidth="1"/>
    <col min="25" max="26" width="15.140625" style="13" customWidth="1"/>
    <col min="27" max="27" width="15.5703125" style="13" bestFit="1" customWidth="1"/>
    <col min="28" max="28" width="0.5703125" style="13" customWidth="1"/>
    <col min="29" max="29" width="6.42578125" style="13" customWidth="1"/>
    <col min="30" max="255" width="0" style="13" hidden="1" customWidth="1"/>
    <col min="256" max="16384" width="0.5703125" style="13"/>
  </cols>
  <sheetData>
    <row r="1" spans="2:29" s="14" customFormat="1" ht="18" x14ac:dyDescent="0.2">
      <c r="B1" s="918"/>
      <c r="C1" s="918"/>
      <c r="D1" s="918"/>
      <c r="E1" s="918"/>
      <c r="F1" s="918"/>
      <c r="G1" s="918"/>
      <c r="H1" s="918"/>
      <c r="I1" s="918"/>
      <c r="J1" s="918"/>
      <c r="K1" s="918"/>
      <c r="L1" s="918"/>
      <c r="M1" s="918"/>
      <c r="N1" s="918"/>
      <c r="O1" s="918"/>
      <c r="P1" s="918"/>
      <c r="Q1" s="918"/>
      <c r="R1" s="918"/>
      <c r="S1" s="918"/>
      <c r="T1" s="918"/>
      <c r="U1" s="918"/>
      <c r="V1" s="918"/>
      <c r="W1" s="918"/>
      <c r="X1" s="918"/>
      <c r="Y1" s="918"/>
      <c r="Z1" s="918"/>
      <c r="AA1" s="918"/>
      <c r="AB1" s="19"/>
    </row>
    <row r="2" spans="2:29" s="21" customFormat="1" ht="28.5" x14ac:dyDescent="0.2">
      <c r="B2" s="20"/>
      <c r="C2" s="20"/>
      <c r="D2" s="919" t="s">
        <v>103</v>
      </c>
      <c r="E2" s="919"/>
      <c r="F2" s="919"/>
      <c r="G2" s="919"/>
      <c r="H2" s="919"/>
      <c r="I2" s="919"/>
      <c r="J2" s="919"/>
      <c r="K2" s="919"/>
      <c r="L2" s="919"/>
      <c r="M2" s="919"/>
      <c r="N2" s="919"/>
      <c r="O2" s="919"/>
      <c r="P2" s="919"/>
      <c r="Q2" s="919"/>
      <c r="R2" s="919"/>
      <c r="S2" s="919"/>
      <c r="T2" s="919"/>
      <c r="U2" s="919"/>
      <c r="V2" s="919"/>
      <c r="W2" s="919"/>
      <c r="X2" s="919"/>
      <c r="Y2" s="919"/>
      <c r="Z2" s="20"/>
      <c r="AA2" s="20"/>
      <c r="AB2" s="20"/>
    </row>
    <row r="3" spans="2:29" s="14" customFormat="1" ht="21" customHeight="1" x14ac:dyDescent="0.2">
      <c r="B3" s="19"/>
      <c r="C3" s="19"/>
      <c r="D3" s="31"/>
      <c r="E3" s="920" t="e">
        <f>++#REF!</f>
        <v>#REF!</v>
      </c>
      <c r="F3" s="920"/>
      <c r="G3" s="920"/>
      <c r="H3" s="920"/>
      <c r="I3" s="920"/>
      <c r="J3" s="920"/>
      <c r="K3" s="920"/>
      <c r="L3" s="920"/>
      <c r="M3" s="920"/>
      <c r="N3" s="920"/>
      <c r="O3" s="920"/>
      <c r="P3" s="920"/>
      <c r="Q3" s="920"/>
      <c r="R3" s="920"/>
      <c r="S3" s="920"/>
      <c r="T3" s="920"/>
      <c r="U3" s="920"/>
      <c r="V3" s="31"/>
      <c r="W3" s="31"/>
      <c r="X3" s="31"/>
      <c r="Y3" s="31"/>
      <c r="Z3" s="19"/>
      <c r="AA3" s="19"/>
      <c r="AB3" s="19"/>
    </row>
    <row r="4" spans="2:29" s="14" customFormat="1" ht="3" customHeight="1" x14ac:dyDescent="0.2">
      <c r="B4" s="8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</row>
    <row r="5" spans="2:29" ht="35.25" customHeight="1" x14ac:dyDescent="0.2">
      <c r="C5" s="22"/>
      <c r="D5" s="921" t="s">
        <v>78</v>
      </c>
      <c r="E5" s="921"/>
      <c r="F5" s="921"/>
      <c r="G5" s="22"/>
      <c r="H5" s="921" t="s">
        <v>3</v>
      </c>
      <c r="I5" s="921"/>
      <c r="J5" s="921"/>
      <c r="K5" s="22"/>
      <c r="L5" s="921" t="s">
        <v>4</v>
      </c>
      <c r="M5" s="921"/>
      <c r="N5" s="921"/>
      <c r="P5" s="23"/>
      <c r="Q5" s="32"/>
      <c r="W5" s="23"/>
      <c r="AB5" s="19"/>
    </row>
    <row r="6" spans="2:29" ht="51" customHeight="1" x14ac:dyDescent="0.2">
      <c r="B6" s="78" t="s">
        <v>26</v>
      </c>
      <c r="C6" s="24"/>
      <c r="D6" s="91" t="s">
        <v>6</v>
      </c>
      <c r="E6" s="91" t="s">
        <v>7</v>
      </c>
      <c r="F6" s="92" t="s">
        <v>82</v>
      </c>
      <c r="G6" s="25"/>
      <c r="H6" s="91" t="s">
        <v>6</v>
      </c>
      <c r="I6" s="91" t="s">
        <v>79</v>
      </c>
      <c r="J6" s="92" t="s">
        <v>82</v>
      </c>
      <c r="K6" s="25"/>
      <c r="L6" s="91" t="s">
        <v>6</v>
      </c>
      <c r="M6" s="91" t="s">
        <v>80</v>
      </c>
      <c r="N6" s="92" t="s">
        <v>82</v>
      </c>
      <c r="O6" s="26"/>
      <c r="P6" s="91" t="s">
        <v>83</v>
      </c>
      <c r="Q6" s="91" t="s">
        <v>81</v>
      </c>
      <c r="R6" s="91" t="s">
        <v>84</v>
      </c>
      <c r="S6" s="91" t="s">
        <v>13</v>
      </c>
      <c r="T6" s="33"/>
      <c r="U6" s="91" t="s">
        <v>14</v>
      </c>
      <c r="V6" s="95" t="s">
        <v>15</v>
      </c>
      <c r="W6" s="95" t="s">
        <v>16</v>
      </c>
      <c r="X6" s="95" t="s">
        <v>17</v>
      </c>
      <c r="Y6" s="95" t="s">
        <v>18</v>
      </c>
      <c r="Z6" s="95" t="s">
        <v>19</v>
      </c>
      <c r="AA6" s="95" t="s">
        <v>20</v>
      </c>
      <c r="AB6" s="19"/>
    </row>
    <row r="7" spans="2:29" s="16" customFormat="1" ht="19.5" customHeight="1" x14ac:dyDescent="0.2">
      <c r="B7" s="17" t="s">
        <v>52</v>
      </c>
      <c r="D7" s="97" t="e">
        <f>+H7+L7</f>
        <v>#REF!</v>
      </c>
      <c r="E7" s="138" t="e">
        <f>+I7+M7</f>
        <v>#REF!</v>
      </c>
      <c r="F7" s="93" t="e">
        <f>ROUND(J7+N7,0)</f>
        <v>#REF!</v>
      </c>
      <c r="G7" s="17"/>
      <c r="H7" s="97" t="e">
        <f>+#REF!</f>
        <v>#REF!</v>
      </c>
      <c r="I7" s="138" t="e">
        <f>+#REF!</f>
        <v>#REF!</v>
      </c>
      <c r="J7" s="93" t="e">
        <f>+#REF!</f>
        <v>#REF!</v>
      </c>
      <c r="K7" s="17"/>
      <c r="L7" s="97" t="e">
        <f>+#REF!</f>
        <v>#REF!</v>
      </c>
      <c r="M7" s="138" t="e">
        <f>+#REF!</f>
        <v>#REF!</v>
      </c>
      <c r="N7" s="93" t="e">
        <f>+#REF!</f>
        <v>#REF!</v>
      </c>
      <c r="P7" s="99">
        <f>ROUND(+Recaud!B6+Recaud!E6,0)</f>
        <v>45480317779</v>
      </c>
      <c r="Q7" s="99"/>
      <c r="R7" s="99"/>
      <c r="S7" s="99">
        <f>ROUND(SUM(P7:R7),0)</f>
        <v>45480317779</v>
      </c>
      <c r="T7" s="18"/>
      <c r="U7" s="96" t="e">
        <f>+V7+W7</f>
        <v>#REF!</v>
      </c>
      <c r="V7" s="96" t="e">
        <f>++#REF!</f>
        <v>#REF!</v>
      </c>
      <c r="W7" s="96" t="e">
        <f>+X7+Y7+Z7+AA7</f>
        <v>#REF!</v>
      </c>
      <c r="X7" s="96" t="e">
        <f>++#REF!</f>
        <v>#REF!</v>
      </c>
      <c r="Y7" s="96" t="e">
        <f>++#REF!</f>
        <v>#REF!</v>
      </c>
      <c r="Z7" s="96" t="e">
        <f>++#REF!</f>
        <v>#REF!</v>
      </c>
      <c r="AA7" s="96" t="e">
        <f>++#REF!</f>
        <v>#REF!</v>
      </c>
      <c r="AB7" s="98"/>
    </row>
    <row r="8" spans="2:29" s="16" customFormat="1" ht="19.5" customHeight="1" x14ac:dyDescent="0.2">
      <c r="B8" s="17" t="s">
        <v>119</v>
      </c>
      <c r="D8" s="97" t="e">
        <f t="shared" ref="D8:D14" si="0">+H8+L8</f>
        <v>#REF!</v>
      </c>
      <c r="E8" s="138" t="e">
        <f t="shared" ref="E8:E14" si="1">+I8+M8</f>
        <v>#REF!</v>
      </c>
      <c r="F8" s="93" t="e">
        <f t="shared" ref="F8:F14" si="2">ROUND(J8+N8,0)</f>
        <v>#REF!</v>
      </c>
      <c r="G8" s="17"/>
      <c r="H8" s="97" t="e">
        <f>+#REF!</f>
        <v>#REF!</v>
      </c>
      <c r="I8" s="138" t="e">
        <f>+#REF!</f>
        <v>#REF!</v>
      </c>
      <c r="J8" s="93" t="e">
        <f>+#REF!</f>
        <v>#REF!</v>
      </c>
      <c r="K8" s="17"/>
      <c r="L8" s="97" t="e">
        <f>+#REF!</f>
        <v>#REF!</v>
      </c>
      <c r="M8" s="138" t="e">
        <f>+#REF!</f>
        <v>#REF!</v>
      </c>
      <c r="N8" s="93" t="e">
        <f>+#REF!</f>
        <v>#REF!</v>
      </c>
      <c r="P8" s="99" t="e">
        <f>ROUND(+Recaud!#REF!+Recaud!#REF!,0)</f>
        <v>#REF!</v>
      </c>
      <c r="Q8" s="99"/>
      <c r="R8" s="99"/>
      <c r="S8" s="99" t="e">
        <f t="shared" ref="S8:S14" si="3">ROUND(SUM(P8:R8),0)</f>
        <v>#REF!</v>
      </c>
      <c r="T8" s="18"/>
      <c r="U8" s="96" t="e">
        <f>+V8+W8</f>
        <v>#REF!</v>
      </c>
      <c r="V8" s="96" t="e">
        <f>++#REF!</f>
        <v>#REF!</v>
      </c>
      <c r="W8" s="96" t="e">
        <f>+X8+Y8+Z8+AA8</f>
        <v>#REF!</v>
      </c>
      <c r="X8" s="96" t="e">
        <f>++#REF!</f>
        <v>#REF!</v>
      </c>
      <c r="Y8" s="96" t="e">
        <f>++#REF!</f>
        <v>#REF!</v>
      </c>
      <c r="Z8" s="96" t="e">
        <f>++#REF!</f>
        <v>#REF!</v>
      </c>
      <c r="AA8" s="96" t="e">
        <f>++#REF!</f>
        <v>#REF!</v>
      </c>
      <c r="AB8" s="98"/>
    </row>
    <row r="9" spans="2:29" s="16" customFormat="1" ht="19.5" customHeight="1" x14ac:dyDescent="0.2">
      <c r="B9" s="17" t="s">
        <v>123</v>
      </c>
      <c r="D9" s="97" t="e">
        <f t="shared" si="0"/>
        <v>#REF!</v>
      </c>
      <c r="E9" s="138" t="e">
        <f t="shared" si="1"/>
        <v>#REF!</v>
      </c>
      <c r="F9" s="93" t="e">
        <f t="shared" si="2"/>
        <v>#REF!</v>
      </c>
      <c r="G9" s="17"/>
      <c r="H9" s="122" t="e">
        <f>+#REF!</f>
        <v>#REF!</v>
      </c>
      <c r="I9" s="138" t="e">
        <f>+#REF!</f>
        <v>#REF!</v>
      </c>
      <c r="J9" s="93" t="e">
        <f>+#REF!</f>
        <v>#REF!</v>
      </c>
      <c r="K9" s="17"/>
      <c r="L9" s="122" t="e">
        <f>+#REF!</f>
        <v>#REF!</v>
      </c>
      <c r="M9" s="138" t="e">
        <f>+#REF!</f>
        <v>#REF!</v>
      </c>
      <c r="N9" s="93" t="e">
        <f>+#REF!</f>
        <v>#REF!</v>
      </c>
      <c r="P9" s="99">
        <f>ROUND(+Recaud!B8+Recaud!E8,0)</f>
        <v>19139986524</v>
      </c>
      <c r="Q9" s="99"/>
      <c r="R9" s="99"/>
      <c r="S9" s="99">
        <f t="shared" si="3"/>
        <v>19139986524</v>
      </c>
      <c r="T9" s="18"/>
      <c r="U9" s="96" t="e">
        <f t="shared" ref="U9:U14" si="4">+V9+W9</f>
        <v>#REF!</v>
      </c>
      <c r="V9" s="96" t="e">
        <f>++#REF!</f>
        <v>#REF!</v>
      </c>
      <c r="W9" s="96" t="e">
        <f t="shared" ref="W9:W14" si="5">+X9+Y9+Z9+AA9</f>
        <v>#REF!</v>
      </c>
      <c r="X9" s="96" t="e">
        <f>++#REF!</f>
        <v>#REF!</v>
      </c>
      <c r="Y9" s="96" t="e">
        <f>++#REF!</f>
        <v>#REF!</v>
      </c>
      <c r="Z9" s="96" t="e">
        <f>++#REF!</f>
        <v>#REF!</v>
      </c>
      <c r="AA9" s="96" t="e">
        <f>++#REF!</f>
        <v>#REF!</v>
      </c>
      <c r="AB9" s="98"/>
    </row>
    <row r="10" spans="2:29" s="16" customFormat="1" ht="19.5" customHeight="1" x14ac:dyDescent="0.2">
      <c r="B10" s="17" t="s">
        <v>124</v>
      </c>
      <c r="D10" s="97" t="e">
        <f t="shared" si="0"/>
        <v>#REF!</v>
      </c>
      <c r="E10" s="138" t="e">
        <f t="shared" si="1"/>
        <v>#REF!</v>
      </c>
      <c r="F10" s="93" t="e">
        <f t="shared" si="2"/>
        <v>#REF!</v>
      </c>
      <c r="G10" s="17"/>
      <c r="H10" s="122" t="e">
        <f>+#REF!</f>
        <v>#REF!</v>
      </c>
      <c r="I10" s="138" t="e">
        <f>+#REF!</f>
        <v>#REF!</v>
      </c>
      <c r="J10" s="93" t="e">
        <f>+#REF!</f>
        <v>#REF!</v>
      </c>
      <c r="K10" s="17"/>
      <c r="L10" s="122" t="e">
        <f>+#REF!</f>
        <v>#REF!</v>
      </c>
      <c r="M10" s="138" t="e">
        <f>+#REF!</f>
        <v>#REF!</v>
      </c>
      <c r="N10" s="93" t="e">
        <f>+#REF!</f>
        <v>#REF!</v>
      </c>
      <c r="P10" s="99">
        <f>ROUND(+Recaud!B9+Recaud!E9,0)</f>
        <v>403293772</v>
      </c>
      <c r="Q10" s="99"/>
      <c r="R10" s="99"/>
      <c r="S10" s="99">
        <f t="shared" si="3"/>
        <v>403293772</v>
      </c>
      <c r="T10" s="18"/>
      <c r="U10" s="96" t="e">
        <f t="shared" si="4"/>
        <v>#REF!</v>
      </c>
      <c r="V10" s="96" t="e">
        <f>++#REF!</f>
        <v>#REF!</v>
      </c>
      <c r="W10" s="96" t="e">
        <f t="shared" si="5"/>
        <v>#REF!</v>
      </c>
      <c r="X10" s="96" t="e">
        <f>++#REF!</f>
        <v>#REF!</v>
      </c>
      <c r="Y10" s="96" t="e">
        <f>++#REF!</f>
        <v>#REF!</v>
      </c>
      <c r="Z10" s="96" t="e">
        <f>++#REF!</f>
        <v>#REF!</v>
      </c>
      <c r="AA10" s="96" t="e">
        <f>++#REF!</f>
        <v>#REF!</v>
      </c>
      <c r="AB10" s="98"/>
    </row>
    <row r="11" spans="2:29" s="16" customFormat="1" ht="19.5" customHeight="1" x14ac:dyDescent="0.2">
      <c r="B11" s="17" t="s">
        <v>126</v>
      </c>
      <c r="D11" s="97" t="e">
        <f t="shared" si="0"/>
        <v>#REF!</v>
      </c>
      <c r="E11" s="138" t="e">
        <f t="shared" si="1"/>
        <v>#REF!</v>
      </c>
      <c r="F11" s="93" t="e">
        <f t="shared" si="2"/>
        <v>#REF!</v>
      </c>
      <c r="G11" s="17"/>
      <c r="H11" s="122" t="e">
        <f>+#REF!</f>
        <v>#REF!</v>
      </c>
      <c r="I11" s="138" t="e">
        <f>+#REF!</f>
        <v>#REF!</v>
      </c>
      <c r="J11" s="93" t="e">
        <f>+#REF!</f>
        <v>#REF!</v>
      </c>
      <c r="K11" s="17"/>
      <c r="L11" s="122" t="e">
        <f>+#REF!</f>
        <v>#REF!</v>
      </c>
      <c r="M11" s="138" t="e">
        <f>+#REF!</f>
        <v>#REF!</v>
      </c>
      <c r="N11" s="93" t="e">
        <f>+#REF!</f>
        <v>#REF!</v>
      </c>
      <c r="P11" s="99" t="e">
        <f>ROUND(+Recaud!#REF!+Recaud!#REF!,0)</f>
        <v>#REF!</v>
      </c>
      <c r="Q11" s="99"/>
      <c r="R11" s="99"/>
      <c r="S11" s="99" t="e">
        <f t="shared" si="3"/>
        <v>#REF!</v>
      </c>
      <c r="T11" s="18"/>
      <c r="U11" s="96" t="e">
        <f t="shared" si="4"/>
        <v>#REF!</v>
      </c>
      <c r="V11" s="96" t="e">
        <f>++#REF!</f>
        <v>#REF!</v>
      </c>
      <c r="W11" s="96" t="e">
        <f t="shared" si="5"/>
        <v>#REF!</v>
      </c>
      <c r="X11" s="96" t="e">
        <f>++#REF!</f>
        <v>#REF!</v>
      </c>
      <c r="Y11" s="96" t="e">
        <f>++#REF!</f>
        <v>#REF!</v>
      </c>
      <c r="Z11" s="96" t="e">
        <f>++#REF!</f>
        <v>#REF!</v>
      </c>
      <c r="AA11" s="96" t="e">
        <f>++#REF!</f>
        <v>#REF!</v>
      </c>
      <c r="AB11" s="98"/>
    </row>
    <row r="12" spans="2:29" s="16" customFormat="1" ht="19.5" customHeight="1" x14ac:dyDescent="0.2">
      <c r="B12" s="17" t="s">
        <v>125</v>
      </c>
      <c r="D12" s="97" t="e">
        <f t="shared" si="0"/>
        <v>#REF!</v>
      </c>
      <c r="E12" s="138" t="e">
        <f t="shared" si="1"/>
        <v>#REF!</v>
      </c>
      <c r="F12" s="93" t="e">
        <f t="shared" si="2"/>
        <v>#REF!</v>
      </c>
      <c r="G12" s="17"/>
      <c r="H12" s="122" t="e">
        <f>+#REF!</f>
        <v>#REF!</v>
      </c>
      <c r="I12" s="138" t="e">
        <f>+#REF!</f>
        <v>#REF!</v>
      </c>
      <c r="J12" s="93" t="e">
        <f>+#REF!</f>
        <v>#REF!</v>
      </c>
      <c r="K12" s="17"/>
      <c r="L12" s="122" t="e">
        <f>+#REF!</f>
        <v>#REF!</v>
      </c>
      <c r="M12" s="138" t="e">
        <f>+#REF!</f>
        <v>#REF!</v>
      </c>
      <c r="N12" s="93" t="e">
        <f>+#REF!</f>
        <v>#REF!</v>
      </c>
      <c r="P12" s="99" t="e">
        <f>ROUND(+Recaud!#REF!+Recaud!#REF!,0)</f>
        <v>#REF!</v>
      </c>
      <c r="Q12" s="100"/>
      <c r="R12" s="100"/>
      <c r="S12" s="99" t="e">
        <f t="shared" si="3"/>
        <v>#REF!</v>
      </c>
      <c r="T12" s="18"/>
      <c r="U12" s="96" t="e">
        <f t="shared" si="4"/>
        <v>#REF!</v>
      </c>
      <c r="V12" s="96" t="e">
        <f>++#REF!</f>
        <v>#REF!</v>
      </c>
      <c r="W12" s="96" t="e">
        <f t="shared" si="5"/>
        <v>#REF!</v>
      </c>
      <c r="X12" s="96" t="e">
        <f>++#REF!</f>
        <v>#REF!</v>
      </c>
      <c r="Y12" s="96" t="e">
        <f>++#REF!</f>
        <v>#REF!</v>
      </c>
      <c r="Z12" s="96" t="e">
        <f>++#REF!</f>
        <v>#REF!</v>
      </c>
      <c r="AA12" s="96" t="e">
        <f>++#REF!</f>
        <v>#REF!</v>
      </c>
      <c r="AB12" s="98"/>
    </row>
    <row r="13" spans="2:29" s="16" customFormat="1" ht="19.5" customHeight="1" x14ac:dyDescent="0.2">
      <c r="B13" s="17" t="s">
        <v>121</v>
      </c>
      <c r="D13" s="97" t="e">
        <f t="shared" si="0"/>
        <v>#REF!</v>
      </c>
      <c r="E13" s="138" t="e">
        <f t="shared" si="1"/>
        <v>#REF!</v>
      </c>
      <c r="F13" s="93" t="e">
        <f t="shared" si="2"/>
        <v>#REF!</v>
      </c>
      <c r="G13" s="17"/>
      <c r="H13" s="122" t="e">
        <f>+#REF!</f>
        <v>#REF!</v>
      </c>
      <c r="I13" s="138" t="e">
        <f>+#REF!</f>
        <v>#REF!</v>
      </c>
      <c r="J13" s="93" t="e">
        <f>+#REF!</f>
        <v>#REF!</v>
      </c>
      <c r="K13" s="17"/>
      <c r="L13" s="122" t="e">
        <f>+#REF!</f>
        <v>#REF!</v>
      </c>
      <c r="M13" s="138" t="e">
        <f>+#REF!</f>
        <v>#REF!</v>
      </c>
      <c r="N13" s="93" t="e">
        <f>+#REF!</f>
        <v>#REF!</v>
      </c>
      <c r="P13" s="99" t="e">
        <f>ROUND(+Recaud!#REF!+Recaud!#REF!,0)</f>
        <v>#REF!</v>
      </c>
      <c r="Q13" s="100"/>
      <c r="R13" s="100"/>
      <c r="S13" s="99" t="e">
        <f t="shared" si="3"/>
        <v>#REF!</v>
      </c>
      <c r="T13" s="18"/>
      <c r="U13" s="96" t="e">
        <f t="shared" si="4"/>
        <v>#REF!</v>
      </c>
      <c r="V13" s="96" t="e">
        <f>++#REF!</f>
        <v>#REF!</v>
      </c>
      <c r="W13" s="96" t="e">
        <f t="shared" si="5"/>
        <v>#REF!</v>
      </c>
      <c r="X13" s="96" t="e">
        <f>++#REF!</f>
        <v>#REF!</v>
      </c>
      <c r="Y13" s="96" t="e">
        <f>++#REF!</f>
        <v>#REF!</v>
      </c>
      <c r="Z13" s="96" t="e">
        <f>++#REF!</f>
        <v>#REF!</v>
      </c>
      <c r="AA13" s="96" t="e">
        <f>++#REF!</f>
        <v>#REF!</v>
      </c>
      <c r="AB13" s="98"/>
    </row>
    <row r="14" spans="2:29" s="16" customFormat="1" ht="19.5" customHeight="1" x14ac:dyDescent="0.2">
      <c r="B14" s="17" t="s">
        <v>122</v>
      </c>
      <c r="D14" s="97" t="e">
        <f t="shared" si="0"/>
        <v>#REF!</v>
      </c>
      <c r="E14" s="138" t="e">
        <f t="shared" si="1"/>
        <v>#REF!</v>
      </c>
      <c r="F14" s="93" t="e">
        <f t="shared" si="2"/>
        <v>#REF!</v>
      </c>
      <c r="G14" s="17"/>
      <c r="H14" s="122" t="e">
        <f>+#REF!</f>
        <v>#REF!</v>
      </c>
      <c r="I14" s="138" t="e">
        <f>+#REF!</f>
        <v>#REF!</v>
      </c>
      <c r="J14" s="93" t="e">
        <f>+#REF!</f>
        <v>#REF!</v>
      </c>
      <c r="K14" s="17"/>
      <c r="L14" s="122" t="e">
        <f>+#REF!</f>
        <v>#REF!</v>
      </c>
      <c r="M14" s="138" t="e">
        <f>+#REF!</f>
        <v>#REF!</v>
      </c>
      <c r="N14" s="93" t="e">
        <f>+#REF!</f>
        <v>#REF!</v>
      </c>
      <c r="P14" s="99">
        <f>ROUND(+Recaud!B12+Recaud!E12,0)</f>
        <v>207376780</v>
      </c>
      <c r="Q14" s="94"/>
      <c r="R14" s="94"/>
      <c r="S14" s="99">
        <f t="shared" si="3"/>
        <v>207376780</v>
      </c>
      <c r="T14" s="18"/>
      <c r="U14" s="96" t="e">
        <f t="shared" si="4"/>
        <v>#REF!</v>
      </c>
      <c r="V14" s="96" t="e">
        <f>++#REF!</f>
        <v>#REF!</v>
      </c>
      <c r="W14" s="96" t="e">
        <f t="shared" si="5"/>
        <v>#REF!</v>
      </c>
      <c r="X14" s="96" t="e">
        <f>++#REF!</f>
        <v>#REF!</v>
      </c>
      <c r="Y14" s="96" t="e">
        <f>++#REF!</f>
        <v>#REF!</v>
      </c>
      <c r="Z14" s="96" t="e">
        <f>++#REF!</f>
        <v>#REF!</v>
      </c>
      <c r="AA14" s="96" t="e">
        <f>++#REF!</f>
        <v>#REF!</v>
      </c>
      <c r="AB14" s="98"/>
    </row>
    <row r="15" spans="2:29" s="83" customFormat="1" ht="19.5" customHeight="1" x14ac:dyDescent="0.2">
      <c r="B15" s="101" t="s">
        <v>21</v>
      </c>
      <c r="C15" s="102"/>
      <c r="D15" s="81" t="e">
        <f>SUM(D7:D14)</f>
        <v>#REF!</v>
      </c>
      <c r="E15" s="139" t="e">
        <f>SUM(E7:E14)</f>
        <v>#REF!</v>
      </c>
      <c r="F15" s="79" t="e">
        <f>SUM(F7:F14)</f>
        <v>#REF!</v>
      </c>
      <c r="G15" s="104"/>
      <c r="H15" s="81" t="e">
        <f>SUM(H7:H14)</f>
        <v>#REF!</v>
      </c>
      <c r="I15" s="139" t="e">
        <f>SUM(I7:I14)</f>
        <v>#REF!</v>
      </c>
      <c r="J15" s="79" t="e">
        <f>SUM(J7:J14)</f>
        <v>#REF!</v>
      </c>
      <c r="K15" s="103"/>
      <c r="L15" s="81" t="e">
        <f>SUM(L7:L14)</f>
        <v>#REF!</v>
      </c>
      <c r="M15" s="109" t="e">
        <f>SUM(M7:M14)</f>
        <v>#REF!</v>
      </c>
      <c r="N15" s="79" t="e">
        <f>SUM(N7:N14)</f>
        <v>#REF!</v>
      </c>
      <c r="P15" s="82" t="e">
        <f>SUM(P7:P14)</f>
        <v>#REF!</v>
      </c>
      <c r="Q15" s="82">
        <f>SUM(Q7:Q14)</f>
        <v>0</v>
      </c>
      <c r="R15" s="82">
        <f>SUM(R7:R14)</f>
        <v>0</v>
      </c>
      <c r="S15" s="82" t="e">
        <f>SUM(S7:S14)</f>
        <v>#REF!</v>
      </c>
      <c r="T15" s="105"/>
      <c r="U15" s="82" t="e">
        <f t="shared" ref="U15:AA15" si="6">SUM(U7:U14)</f>
        <v>#REF!</v>
      </c>
      <c r="V15" s="82" t="e">
        <f t="shared" si="6"/>
        <v>#REF!</v>
      </c>
      <c r="W15" s="82" t="e">
        <f t="shared" si="6"/>
        <v>#REF!</v>
      </c>
      <c r="X15" s="82" t="e">
        <f t="shared" si="6"/>
        <v>#REF!</v>
      </c>
      <c r="Y15" s="82" t="e">
        <f t="shared" si="6"/>
        <v>#REF!</v>
      </c>
      <c r="Z15" s="82" t="e">
        <f t="shared" si="6"/>
        <v>#REF!</v>
      </c>
      <c r="AA15" s="82" t="e">
        <f t="shared" si="6"/>
        <v>#REF!</v>
      </c>
      <c r="AB15" s="106"/>
      <c r="AC15" s="90"/>
    </row>
    <row r="16" spans="2:29" ht="18" x14ac:dyDescent="0.2">
      <c r="B16" s="27"/>
      <c r="C16" s="12"/>
      <c r="D16" s="74" t="s">
        <v>102</v>
      </c>
      <c r="E16" s="29"/>
      <c r="F16" s="29"/>
      <c r="G16" s="30"/>
      <c r="H16" s="74" t="s">
        <v>102</v>
      </c>
      <c r="I16" s="15"/>
      <c r="J16" s="15"/>
      <c r="K16" s="30"/>
      <c r="L16" s="74" t="s">
        <v>102</v>
      </c>
      <c r="M16" s="15"/>
      <c r="P16" s="123" t="e">
        <f>++S7+U7-M7-M9-M10-M11-M12-M13-M14</f>
        <v>#REF!</v>
      </c>
      <c r="Q16" s="123" t="e">
        <f>+S20+U20-M20</f>
        <v>#REF!</v>
      </c>
      <c r="R16" s="123" t="e">
        <f>++U24+S24-M24</f>
        <v>#REF!</v>
      </c>
      <c r="S16" s="123" t="e">
        <f>++S28+U28-M28</f>
        <v>#REF!</v>
      </c>
      <c r="T16" s="69"/>
      <c r="U16" s="69"/>
      <c r="V16" s="69"/>
      <c r="W16" s="113" t="e">
        <f>+W15/U15</f>
        <v>#REF!</v>
      </c>
      <c r="X16" s="114" t="e">
        <f>+X15/$W$15</f>
        <v>#REF!</v>
      </c>
      <c r="Y16" s="11" t="e">
        <f>+Y15/$W$15</f>
        <v>#REF!</v>
      </c>
      <c r="Z16" s="11" t="e">
        <f>+Z15/$W$15</f>
        <v>#REF!</v>
      </c>
      <c r="AA16" s="11" t="e">
        <f>+AA15/$W$15</f>
        <v>#REF!</v>
      </c>
      <c r="AB16" s="19"/>
    </row>
    <row r="17" spans="2:256" ht="18" x14ac:dyDescent="0.2">
      <c r="B17" s="27"/>
      <c r="C17" s="12"/>
      <c r="D17" s="28"/>
      <c r="E17" s="29"/>
      <c r="F17" s="29"/>
      <c r="G17" s="30"/>
      <c r="H17" s="28"/>
      <c r="I17" s="15"/>
      <c r="J17" s="15"/>
      <c r="K17" s="30"/>
      <c r="L17" s="28"/>
      <c r="M17" s="15"/>
      <c r="P17" s="123" t="e">
        <f>++S12+U12-M12</f>
        <v>#REF!</v>
      </c>
      <c r="Q17" s="123" t="e">
        <f>+S21+U21-M21</f>
        <v>#REF!</v>
      </c>
      <c r="R17" s="123" t="e">
        <f>++U25+S25-M25</f>
        <v>#REF!</v>
      </c>
      <c r="S17" s="123" t="e">
        <f>++S29+U29-M29</f>
        <v>#REF!</v>
      </c>
      <c r="T17" s="69"/>
      <c r="U17" s="69"/>
      <c r="V17" s="69"/>
      <c r="W17" s="115"/>
      <c r="X17" s="115"/>
      <c r="Y17" s="34"/>
      <c r="Z17" s="34"/>
      <c r="AA17" s="34"/>
      <c r="AB17" s="19"/>
    </row>
    <row r="18" spans="2:256" ht="18" x14ac:dyDescent="0.2">
      <c r="B18" s="27"/>
      <c r="C18" s="12"/>
      <c r="D18" s="28"/>
      <c r="E18" s="29"/>
      <c r="F18" s="29"/>
      <c r="G18" s="30"/>
      <c r="H18" s="28"/>
      <c r="I18" s="15"/>
      <c r="J18" s="15"/>
      <c r="K18" s="30"/>
      <c r="L18" s="28"/>
      <c r="M18" s="15"/>
      <c r="P18" s="123"/>
      <c r="Q18" s="123" t="e">
        <f>+S22+U22-M22</f>
        <v>#REF!</v>
      </c>
      <c r="R18" s="123" t="e">
        <f>++U26+S26-M26</f>
        <v>#REF!</v>
      </c>
      <c r="S18" s="123" t="e">
        <f>++S30+U30-M30</f>
        <v>#REF!</v>
      </c>
      <c r="T18" s="69"/>
      <c r="U18" s="69"/>
      <c r="V18" s="69"/>
      <c r="W18" s="115"/>
      <c r="X18" s="115"/>
      <c r="Y18" s="34"/>
      <c r="Z18" s="34"/>
      <c r="AA18" s="34"/>
      <c r="AB18" s="19"/>
    </row>
    <row r="19" spans="2:256" ht="18" hidden="1" x14ac:dyDescent="0.2">
      <c r="B19" s="78" t="s">
        <v>22</v>
      </c>
      <c r="C19" s="12"/>
      <c r="D19" s="37"/>
      <c r="G19" s="36"/>
      <c r="H19" s="37"/>
      <c r="K19" s="36"/>
      <c r="L19" s="37"/>
      <c r="M19" s="23"/>
      <c r="P19" s="128"/>
      <c r="Q19" s="128" t="e">
        <f>+S23+U23-M23</f>
        <v>#REF!</v>
      </c>
      <c r="R19" s="128" t="e">
        <f>++U27+S27-M27</f>
        <v>#REF!</v>
      </c>
      <c r="S19" s="128"/>
      <c r="T19" s="70"/>
      <c r="U19" s="70"/>
      <c r="V19" s="72"/>
      <c r="W19" s="116"/>
      <c r="X19" s="72"/>
      <c r="AB19" s="19"/>
    </row>
    <row r="20" spans="2:256" s="16" customFormat="1" ht="19.5" hidden="1" customHeight="1" x14ac:dyDescent="0.2">
      <c r="B20" s="17" t="s">
        <v>54</v>
      </c>
      <c r="D20" s="97"/>
      <c r="E20" s="96">
        <f>ROUND(+I20+M20,0)</f>
        <v>0</v>
      </c>
      <c r="F20" s="93"/>
      <c r="G20" s="17"/>
      <c r="H20" s="97"/>
      <c r="I20" s="96"/>
      <c r="J20" s="93"/>
      <c r="K20" s="17"/>
      <c r="L20" s="97"/>
      <c r="M20" s="96"/>
      <c r="N20" s="93"/>
      <c r="P20" s="129">
        <f>ROUND((+Recaud!G35+Recaud!J35),0)</f>
        <v>20000000</v>
      </c>
      <c r="Q20" s="129"/>
      <c r="R20" s="129"/>
      <c r="S20" s="129">
        <f>ROUND(SUM(P20:R20),0)</f>
        <v>20000000</v>
      </c>
      <c r="T20" s="70"/>
      <c r="U20" s="130" t="e">
        <f>+V20+W20</f>
        <v>#REF!</v>
      </c>
      <c r="V20" s="130" t="e">
        <f>++#REF!</f>
        <v>#REF!</v>
      </c>
      <c r="W20" s="130" t="e">
        <f>ROUND(+X20+Y20+Z20+AA20,0)</f>
        <v>#REF!</v>
      </c>
      <c r="X20" s="130" t="e">
        <f>++#REF!</f>
        <v>#REF!</v>
      </c>
      <c r="Y20" s="96" t="e">
        <f>++#REF!</f>
        <v>#REF!</v>
      </c>
      <c r="Z20" s="96" t="e">
        <f>++#REF!</f>
        <v>#REF!</v>
      </c>
      <c r="AA20" s="96" t="e">
        <f>++#REF!</f>
        <v>#REF!</v>
      </c>
      <c r="AB20" s="98"/>
    </row>
    <row r="21" spans="2:256" s="16" customFormat="1" ht="19.5" hidden="1" customHeight="1" x14ac:dyDescent="0.2">
      <c r="B21" s="17" t="s">
        <v>56</v>
      </c>
      <c r="D21" s="97"/>
      <c r="E21" s="96" t="e">
        <f t="shared" ref="E21:E29" si="7">ROUND(+I21+M21,0)</f>
        <v>#REF!</v>
      </c>
      <c r="F21" s="93"/>
      <c r="G21" s="17"/>
      <c r="H21" s="97"/>
      <c r="I21" s="96"/>
      <c r="J21" s="93"/>
      <c r="K21" s="17"/>
      <c r="L21" s="97"/>
      <c r="M21" s="96" t="e">
        <f>++#REF!</f>
        <v>#REF!</v>
      </c>
      <c r="N21" s="93"/>
      <c r="P21" s="129" t="e">
        <f>ROUND((+Recaud!#REF!+Recaud!#REF!),0)</f>
        <v>#REF!</v>
      </c>
      <c r="Q21" s="129"/>
      <c r="R21" s="129"/>
      <c r="S21" s="129" t="e">
        <f t="shared" ref="S21:S29" si="8">ROUND(SUM(P21:R21),0)</f>
        <v>#REF!</v>
      </c>
      <c r="T21" s="70"/>
      <c r="U21" s="130" t="e">
        <f>+V21+W21</f>
        <v>#REF!</v>
      </c>
      <c r="V21" s="130" t="e">
        <f>++#REF!</f>
        <v>#REF!</v>
      </c>
      <c r="W21" s="130" t="e">
        <f>ROUND(+X21+Y21+Z21+AA21,0)</f>
        <v>#REF!</v>
      </c>
      <c r="X21" s="130" t="e">
        <f>++#REF!</f>
        <v>#REF!</v>
      </c>
      <c r="Y21" s="96" t="e">
        <f>++#REF!</f>
        <v>#REF!</v>
      </c>
      <c r="Z21" s="96" t="e">
        <f>++#REF!</f>
        <v>#REF!</v>
      </c>
      <c r="AA21" s="96" t="e">
        <f>++#REF!</f>
        <v>#REF!</v>
      </c>
      <c r="AB21" s="98"/>
    </row>
    <row r="22" spans="2:256" s="16" customFormat="1" ht="19.5" hidden="1" customHeight="1" x14ac:dyDescent="0.2">
      <c r="B22" s="17" t="s">
        <v>60</v>
      </c>
      <c r="D22" s="97"/>
      <c r="E22" s="96" t="e">
        <f t="shared" si="7"/>
        <v>#REF!</v>
      </c>
      <c r="F22" s="93"/>
      <c r="G22" s="17"/>
      <c r="H22" s="97"/>
      <c r="I22" s="96"/>
      <c r="J22" s="93"/>
      <c r="K22" s="17"/>
      <c r="L22" s="97"/>
      <c r="M22" s="96" t="e">
        <f>++#REF!</f>
        <v>#REF!</v>
      </c>
      <c r="N22" s="93"/>
      <c r="P22" s="129" t="e">
        <f>++Recaud!#REF!</f>
        <v>#REF!</v>
      </c>
      <c r="Q22" s="129"/>
      <c r="R22" s="129"/>
      <c r="S22" s="129" t="e">
        <f t="shared" si="8"/>
        <v>#REF!</v>
      </c>
      <c r="T22" s="70"/>
      <c r="U22" s="130" t="e">
        <f t="shared" ref="U22:U28" si="9">+V22+W22</f>
        <v>#REF!</v>
      </c>
      <c r="V22" s="130" t="e">
        <f>++#REF!</f>
        <v>#REF!</v>
      </c>
      <c r="W22" s="130" t="e">
        <f t="shared" ref="W22:W28" si="10">ROUND(+X22+Y22+Z22+AA22,0)</f>
        <v>#REF!</v>
      </c>
      <c r="X22" s="130" t="e">
        <f>++#REF!</f>
        <v>#REF!</v>
      </c>
      <c r="Y22" s="96" t="e">
        <f>++#REF!</f>
        <v>#REF!</v>
      </c>
      <c r="Z22" s="96" t="e">
        <f>++#REF!</f>
        <v>#REF!</v>
      </c>
      <c r="AA22" s="96" t="e">
        <f>++#REF!</f>
        <v>#REF!</v>
      </c>
      <c r="AB22" s="98"/>
    </row>
    <row r="23" spans="2:256" s="16" customFormat="1" ht="19.5" hidden="1" customHeight="1" x14ac:dyDescent="0.2">
      <c r="B23" s="17" t="s">
        <v>97</v>
      </c>
      <c r="D23" s="97"/>
      <c r="E23" s="96" t="e">
        <f t="shared" si="7"/>
        <v>#REF!</v>
      </c>
      <c r="F23" s="93"/>
      <c r="G23" s="17"/>
      <c r="H23" s="97"/>
      <c r="I23" s="96"/>
      <c r="J23" s="93"/>
      <c r="K23" s="17"/>
      <c r="L23" s="97"/>
      <c r="M23" s="96" t="e">
        <f>++#REF!</f>
        <v>#REF!</v>
      </c>
      <c r="N23" s="93"/>
      <c r="P23" s="129" t="e">
        <f>+Recaud!#REF!</f>
        <v>#REF!</v>
      </c>
      <c r="Q23" s="129"/>
      <c r="R23" s="129"/>
      <c r="S23" s="129" t="e">
        <f t="shared" si="8"/>
        <v>#REF!</v>
      </c>
      <c r="T23" s="70"/>
      <c r="U23" s="130" t="e">
        <f t="shared" si="9"/>
        <v>#REF!</v>
      </c>
      <c r="V23" s="130" t="e">
        <f>+#REF!</f>
        <v>#REF!</v>
      </c>
      <c r="W23" s="130" t="e">
        <f t="shared" si="10"/>
        <v>#REF!</v>
      </c>
      <c r="X23" s="130" t="e">
        <f>++#REF!</f>
        <v>#REF!</v>
      </c>
      <c r="Y23" s="96" t="e">
        <f>++#REF!</f>
        <v>#REF!</v>
      </c>
      <c r="Z23" s="96" t="e">
        <f>++#REF!</f>
        <v>#REF!</v>
      </c>
      <c r="AA23" s="96" t="e">
        <f>++#REF!</f>
        <v>#REF!</v>
      </c>
      <c r="AB23" s="98"/>
    </row>
    <row r="24" spans="2:256" s="16" customFormat="1" ht="19.5" hidden="1" customHeight="1" x14ac:dyDescent="0.2">
      <c r="B24" s="17" t="s">
        <v>99</v>
      </c>
      <c r="D24" s="97"/>
      <c r="E24" s="96" t="e">
        <f t="shared" si="7"/>
        <v>#REF!</v>
      </c>
      <c r="F24" s="93"/>
      <c r="G24" s="17"/>
      <c r="H24" s="97"/>
      <c r="I24" s="96"/>
      <c r="J24" s="93"/>
      <c r="K24" s="17"/>
      <c r="L24" s="97"/>
      <c r="M24" s="96" t="e">
        <f>++#REF!</f>
        <v>#REF!</v>
      </c>
      <c r="N24" s="93"/>
      <c r="P24" s="129" t="e">
        <f>++Recaud!#REF!</f>
        <v>#REF!</v>
      </c>
      <c r="Q24" s="129"/>
      <c r="R24" s="129"/>
      <c r="S24" s="129" t="e">
        <f t="shared" si="8"/>
        <v>#REF!</v>
      </c>
      <c r="T24" s="70"/>
      <c r="U24" s="130" t="e">
        <f t="shared" si="9"/>
        <v>#REF!</v>
      </c>
      <c r="V24" s="130" t="e">
        <f>++#REF!</f>
        <v>#REF!</v>
      </c>
      <c r="W24" s="130" t="e">
        <f t="shared" si="10"/>
        <v>#REF!</v>
      </c>
      <c r="X24" s="130" t="e">
        <f>++#REF!</f>
        <v>#REF!</v>
      </c>
      <c r="Y24" s="96" t="e">
        <f>++#REF!</f>
        <v>#REF!</v>
      </c>
      <c r="Z24" s="96" t="e">
        <f>++#REF!</f>
        <v>#REF!</v>
      </c>
      <c r="AA24" s="96" t="e">
        <f>++#REF!</f>
        <v>#REF!</v>
      </c>
      <c r="AB24" s="98"/>
    </row>
    <row r="25" spans="2:256" s="16" customFormat="1" ht="19.5" hidden="1" customHeight="1" x14ac:dyDescent="0.2">
      <c r="B25" s="17" t="s">
        <v>100</v>
      </c>
      <c r="D25" s="97"/>
      <c r="E25" s="96" t="e">
        <f t="shared" si="7"/>
        <v>#REF!</v>
      </c>
      <c r="F25" s="93"/>
      <c r="G25" s="17"/>
      <c r="H25" s="97"/>
      <c r="I25" s="96"/>
      <c r="J25" s="93"/>
      <c r="K25" s="17"/>
      <c r="L25" s="97"/>
      <c r="M25" s="96" t="e">
        <f>++#REF!</f>
        <v>#REF!</v>
      </c>
      <c r="N25" s="93"/>
      <c r="P25" s="129"/>
      <c r="Q25" s="129"/>
      <c r="R25" s="129"/>
      <c r="S25" s="129">
        <f t="shared" si="8"/>
        <v>0</v>
      </c>
      <c r="T25" s="70"/>
      <c r="U25" s="130" t="e">
        <f t="shared" si="9"/>
        <v>#REF!</v>
      </c>
      <c r="V25" s="130" t="e">
        <f>++#REF!</f>
        <v>#REF!</v>
      </c>
      <c r="W25" s="130" t="e">
        <f t="shared" si="10"/>
        <v>#REF!</v>
      </c>
      <c r="X25" s="130" t="e">
        <f>++#REF!</f>
        <v>#REF!</v>
      </c>
      <c r="Y25" s="96" t="e">
        <f>++#REF!</f>
        <v>#REF!</v>
      </c>
      <c r="Z25" s="96" t="e">
        <f>++#REF!</f>
        <v>#REF!</v>
      </c>
      <c r="AA25" s="96" t="e">
        <f>++#REF!</f>
        <v>#REF!</v>
      </c>
      <c r="AB25" s="98"/>
    </row>
    <row r="26" spans="2:256" s="16" customFormat="1" ht="19.5" hidden="1" customHeight="1" x14ac:dyDescent="0.2">
      <c r="B26" s="17" t="s">
        <v>93</v>
      </c>
      <c r="D26" s="97"/>
      <c r="E26" s="96" t="e">
        <f t="shared" si="7"/>
        <v>#REF!</v>
      </c>
      <c r="F26" s="93"/>
      <c r="G26" s="17"/>
      <c r="H26" s="97"/>
      <c r="I26" s="96"/>
      <c r="J26" s="93"/>
      <c r="K26" s="17"/>
      <c r="L26" s="97"/>
      <c r="M26" s="96" t="e">
        <f>++#REF!</f>
        <v>#REF!</v>
      </c>
      <c r="N26" s="93"/>
      <c r="P26" s="129">
        <f>++Recaud!N35</f>
        <v>0</v>
      </c>
      <c r="Q26" s="129"/>
      <c r="R26" s="129"/>
      <c r="S26" s="129">
        <f t="shared" si="8"/>
        <v>0</v>
      </c>
      <c r="T26" s="70"/>
      <c r="U26" s="130" t="e">
        <f t="shared" si="9"/>
        <v>#REF!</v>
      </c>
      <c r="V26" s="130" t="e">
        <f>++#REF!</f>
        <v>#REF!</v>
      </c>
      <c r="W26" s="130" t="e">
        <f t="shared" si="10"/>
        <v>#REF!</v>
      </c>
      <c r="X26" s="130" t="e">
        <f>++#REF!</f>
        <v>#REF!</v>
      </c>
      <c r="Y26" s="96" t="e">
        <f>++#REF!</f>
        <v>#REF!</v>
      </c>
      <c r="Z26" s="96" t="e">
        <f>++#REF!</f>
        <v>#REF!</v>
      </c>
      <c r="AA26" s="96" t="e">
        <f>++#REF!</f>
        <v>#REF!</v>
      </c>
      <c r="AB26" s="98"/>
    </row>
    <row r="27" spans="2:256" s="16" customFormat="1" ht="19.5" hidden="1" customHeight="1" x14ac:dyDescent="0.2">
      <c r="B27" s="17" t="s">
        <v>94</v>
      </c>
      <c r="D27" s="97"/>
      <c r="E27" s="96" t="e">
        <f t="shared" si="7"/>
        <v>#REF!</v>
      </c>
      <c r="F27" s="93"/>
      <c r="G27" s="17"/>
      <c r="H27" s="97"/>
      <c r="I27" s="96"/>
      <c r="J27" s="93"/>
      <c r="K27" s="17"/>
      <c r="L27" s="97"/>
      <c r="M27" s="96" t="e">
        <f>++#REF!</f>
        <v>#REF!</v>
      </c>
      <c r="N27" s="93"/>
      <c r="P27" s="129" t="e">
        <f>++Recaud!#REF!</f>
        <v>#REF!</v>
      </c>
      <c r="Q27" s="129"/>
      <c r="R27" s="129"/>
      <c r="S27" s="129" t="e">
        <f t="shared" si="8"/>
        <v>#REF!</v>
      </c>
      <c r="T27" s="70"/>
      <c r="U27" s="130" t="e">
        <f t="shared" si="9"/>
        <v>#REF!</v>
      </c>
      <c r="V27" s="130" t="e">
        <f>++#REF!</f>
        <v>#REF!</v>
      </c>
      <c r="W27" s="130" t="e">
        <f t="shared" si="10"/>
        <v>#REF!</v>
      </c>
      <c r="X27" s="130" t="e">
        <f>++#REF!</f>
        <v>#REF!</v>
      </c>
      <c r="Y27" s="96" t="e">
        <f>++#REF!</f>
        <v>#REF!</v>
      </c>
      <c r="Z27" s="96" t="e">
        <f>++#REF!</f>
        <v>#REF!</v>
      </c>
      <c r="AA27" s="96" t="e">
        <f>++#REF!</f>
        <v>#REF!</v>
      </c>
      <c r="AB27" s="98"/>
    </row>
    <row r="28" spans="2:256" s="16" customFormat="1" ht="19.5" hidden="1" customHeight="1" x14ac:dyDescent="0.2">
      <c r="B28" s="17" t="s">
        <v>95</v>
      </c>
      <c r="D28" s="97"/>
      <c r="E28" s="96" t="e">
        <f t="shared" si="7"/>
        <v>#REF!</v>
      </c>
      <c r="F28" s="93"/>
      <c r="G28" s="17"/>
      <c r="H28" s="97"/>
      <c r="I28" s="96"/>
      <c r="J28" s="93"/>
      <c r="K28" s="17"/>
      <c r="L28" s="97"/>
      <c r="M28" s="96" t="e">
        <f>++#REF!</f>
        <v>#REF!</v>
      </c>
      <c r="N28" s="93"/>
      <c r="P28" s="129"/>
      <c r="Q28" s="129"/>
      <c r="R28" s="129"/>
      <c r="S28" s="129">
        <f t="shared" si="8"/>
        <v>0</v>
      </c>
      <c r="T28" s="70"/>
      <c r="U28" s="130" t="e">
        <f t="shared" si="9"/>
        <v>#REF!</v>
      </c>
      <c r="V28" s="130" t="e">
        <f>++#REF!</f>
        <v>#REF!</v>
      </c>
      <c r="W28" s="130" t="e">
        <f t="shared" si="10"/>
        <v>#REF!</v>
      </c>
      <c r="X28" s="130" t="e">
        <f>++#REF!</f>
        <v>#REF!</v>
      </c>
      <c r="Y28" s="96" t="e">
        <f>++#REF!</f>
        <v>#REF!</v>
      </c>
      <c r="Z28" s="96" t="e">
        <f>++#REF!</f>
        <v>#REF!</v>
      </c>
      <c r="AA28" s="96" t="e">
        <f>++#REF!</f>
        <v>#REF!</v>
      </c>
      <c r="AB28" s="98"/>
    </row>
    <row r="29" spans="2:256" s="16" customFormat="1" ht="19.5" hidden="1" customHeight="1" x14ac:dyDescent="0.2">
      <c r="B29" s="17" t="s">
        <v>96</v>
      </c>
      <c r="D29" s="97"/>
      <c r="E29" s="96" t="e">
        <f t="shared" si="7"/>
        <v>#REF!</v>
      </c>
      <c r="F29" s="93"/>
      <c r="G29" s="17"/>
      <c r="H29" s="97"/>
      <c r="I29" s="96"/>
      <c r="J29" s="93"/>
      <c r="K29" s="17"/>
      <c r="L29" s="97"/>
      <c r="M29" s="96" t="e">
        <f>++#REF!</f>
        <v>#REF!</v>
      </c>
      <c r="N29" s="93"/>
      <c r="P29" s="129" t="e">
        <f>+Recaud!#REF!</f>
        <v>#REF!</v>
      </c>
      <c r="Q29" s="129"/>
      <c r="R29" s="129"/>
      <c r="S29" s="129" t="e">
        <f t="shared" si="8"/>
        <v>#REF!</v>
      </c>
      <c r="T29" s="70"/>
      <c r="U29" s="130" t="e">
        <f>+V29+W29</f>
        <v>#REF!</v>
      </c>
      <c r="V29" s="130" t="e">
        <f>++#REF!</f>
        <v>#REF!</v>
      </c>
      <c r="W29" s="130" t="e">
        <f>ROUND(+X29+Y29+Z29+AA29,0)</f>
        <v>#REF!</v>
      </c>
      <c r="X29" s="130" t="e">
        <f>++#REF!</f>
        <v>#REF!</v>
      </c>
      <c r="Y29" s="96" t="e">
        <f>++#REF!</f>
        <v>#REF!</v>
      </c>
      <c r="Z29" s="96" t="e">
        <f>++#REF!</f>
        <v>#REF!</v>
      </c>
      <c r="AA29" s="96" t="e">
        <f>++#REF!</f>
        <v>#REF!</v>
      </c>
      <c r="AB29" s="98"/>
    </row>
    <row r="30" spans="2:256" s="83" customFormat="1" ht="19.5" hidden="1" customHeight="1" x14ac:dyDescent="0.2">
      <c r="B30" s="101" t="s">
        <v>21</v>
      </c>
      <c r="C30" s="102"/>
      <c r="D30" s="81">
        <f>SUM(D20:D22)</f>
        <v>0</v>
      </c>
      <c r="E30" s="82" t="e">
        <f>SUM(E20:E29)</f>
        <v>#REF!</v>
      </c>
      <c r="F30" s="103"/>
      <c r="G30" s="104"/>
      <c r="H30" s="81">
        <f>SUM(H20:H22)</f>
        <v>0</v>
      </c>
      <c r="I30" s="82">
        <f>SUM(I20:I29)</f>
        <v>0</v>
      </c>
      <c r="J30" s="103"/>
      <c r="K30" s="103"/>
      <c r="L30" s="81">
        <f>SUM(L20:L22)</f>
        <v>0</v>
      </c>
      <c r="M30" s="109" t="e">
        <f>SUM(M20:M29)</f>
        <v>#REF!</v>
      </c>
      <c r="N30" s="103"/>
      <c r="P30" s="131" t="e">
        <f>SUM(P20:P29)</f>
        <v>#REF!</v>
      </c>
      <c r="Q30" s="131">
        <f>SUM(Q20:Q29)</f>
        <v>0</v>
      </c>
      <c r="R30" s="131">
        <f>SUM(R20:R29)</f>
        <v>0</v>
      </c>
      <c r="S30" s="131" t="e">
        <f>SUM(S20:S29)</f>
        <v>#REF!</v>
      </c>
      <c r="T30" s="70"/>
      <c r="U30" s="131" t="e">
        <f>SUM(U20:U29)</f>
        <v>#REF!</v>
      </c>
      <c r="V30" s="131" t="e">
        <f t="shared" ref="V30:AA30" si="11">SUM(V20:V29)</f>
        <v>#REF!</v>
      </c>
      <c r="W30" s="131" t="e">
        <f t="shared" si="11"/>
        <v>#REF!</v>
      </c>
      <c r="X30" s="131" t="e">
        <f t="shared" si="11"/>
        <v>#REF!</v>
      </c>
      <c r="Y30" s="118" t="e">
        <f t="shared" si="11"/>
        <v>#REF!</v>
      </c>
      <c r="Z30" s="118" t="e">
        <f t="shared" si="11"/>
        <v>#REF!</v>
      </c>
      <c r="AA30" s="118" t="e">
        <f t="shared" si="11"/>
        <v>#REF!</v>
      </c>
      <c r="AB30" s="19"/>
      <c r="AC30" s="3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  <c r="FY30" s="2"/>
      <c r="FZ30" s="2"/>
      <c r="GA30" s="2"/>
      <c r="GB30" s="2"/>
      <c r="GC30" s="2"/>
      <c r="GD30" s="2"/>
      <c r="GE30" s="2"/>
      <c r="GF30" s="2"/>
      <c r="GG30" s="2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 s="2"/>
      <c r="GS30" s="2"/>
      <c r="GT30" s="2"/>
      <c r="GU30" s="2"/>
      <c r="GV30" s="2"/>
      <c r="GW30" s="2"/>
      <c r="GX30" s="2"/>
      <c r="GY30" s="2"/>
      <c r="GZ30" s="2"/>
      <c r="HA30" s="2"/>
      <c r="HB30" s="2"/>
      <c r="HC30" s="2"/>
      <c r="HD30" s="2"/>
      <c r="HE30" s="2"/>
      <c r="HF30" s="2"/>
      <c r="HG30" s="2"/>
      <c r="HH30" s="2"/>
      <c r="HI30" s="2"/>
      <c r="HJ30" s="2"/>
      <c r="HK30" s="2"/>
      <c r="HL30" s="2"/>
      <c r="HM30" s="2"/>
      <c r="HN30" s="2"/>
      <c r="HO30" s="2"/>
      <c r="HP30" s="2"/>
      <c r="HQ30" s="2"/>
      <c r="HR30" s="2"/>
      <c r="HS30" s="2"/>
      <c r="HT30" s="2"/>
      <c r="HU30" s="2"/>
      <c r="HV30" s="2"/>
      <c r="HW30" s="2"/>
      <c r="HX30" s="2"/>
      <c r="HY30" s="2"/>
      <c r="HZ30" s="2"/>
      <c r="IA30" s="2"/>
      <c r="IB30" s="2"/>
      <c r="IC30" s="2"/>
      <c r="ID30" s="2"/>
      <c r="IE30" s="2"/>
      <c r="IF30" s="2"/>
      <c r="IG30" s="2"/>
      <c r="IH30" s="2"/>
      <c r="II30" s="2"/>
      <c r="IJ30" s="2"/>
      <c r="IK30" s="2"/>
      <c r="IL30" s="2"/>
      <c r="IM30" s="2"/>
      <c r="IN30" s="2"/>
      <c r="IO30" s="2"/>
      <c r="IP30" s="2"/>
      <c r="IQ30" s="2"/>
      <c r="IR30" s="2"/>
      <c r="IS30" s="2"/>
      <c r="IT30" s="2"/>
      <c r="IU30" s="2"/>
      <c r="IV30" s="2"/>
    </row>
    <row r="31" spans="2:256" ht="18" hidden="1" x14ac:dyDescent="0.2">
      <c r="B31" s="27"/>
      <c r="C31" s="12"/>
      <c r="D31" s="74"/>
      <c r="E31" s="29"/>
      <c r="F31" s="29"/>
      <c r="G31" s="30"/>
      <c r="H31" s="74"/>
      <c r="I31" s="15"/>
      <c r="J31" s="15"/>
      <c r="K31" s="30"/>
      <c r="L31" s="74"/>
      <c r="M31" s="15"/>
      <c r="P31" s="128"/>
      <c r="Q31" s="128"/>
      <c r="R31" s="128"/>
      <c r="S31" s="128"/>
      <c r="T31" s="69"/>
      <c r="U31" s="69"/>
      <c r="V31" s="69"/>
      <c r="W31" s="113" t="e">
        <f>+W30/U30</f>
        <v>#REF!</v>
      </c>
      <c r="X31" s="114" t="e">
        <f>+X30/$W$30</f>
        <v>#REF!</v>
      </c>
      <c r="Y31" s="11" t="e">
        <f>+Y30/$W$30</f>
        <v>#REF!</v>
      </c>
      <c r="Z31" s="11" t="e">
        <f>+Z30/$W$30</f>
        <v>#REF!</v>
      </c>
      <c r="AA31" s="11" t="e">
        <f>+AA30/$W$30</f>
        <v>#REF!</v>
      </c>
      <c r="AB31" s="19"/>
    </row>
    <row r="32" spans="2:256" ht="12.75" hidden="1" x14ac:dyDescent="0.2">
      <c r="D32" s="37"/>
      <c r="G32" s="36"/>
      <c r="H32" s="37"/>
      <c r="K32" s="36"/>
      <c r="L32" s="37"/>
      <c r="P32" s="70"/>
      <c r="Q32" s="70"/>
      <c r="R32" s="70"/>
      <c r="S32" s="72"/>
      <c r="T32" s="72"/>
      <c r="U32" s="72"/>
      <c r="V32" s="72"/>
      <c r="W32" s="72"/>
      <c r="X32" s="72"/>
    </row>
    <row r="33" spans="2:256" s="83" customFormat="1" ht="15.75" hidden="1" x14ac:dyDescent="0.2">
      <c r="B33" s="84" t="s">
        <v>23</v>
      </c>
      <c r="C33" s="85"/>
      <c r="D33" s="86"/>
      <c r="E33" s="80" t="e">
        <f>+E30+E15</f>
        <v>#REF!</v>
      </c>
      <c r="F33" s="87"/>
      <c r="G33" s="88"/>
      <c r="H33" s="86"/>
      <c r="I33" s="80" t="e">
        <f>+I30+I15</f>
        <v>#REF!</v>
      </c>
      <c r="J33" s="87"/>
      <c r="K33" s="88"/>
      <c r="L33" s="86"/>
      <c r="M33" s="110" t="e">
        <f>+M30+M15</f>
        <v>#REF!</v>
      </c>
      <c r="N33" s="87"/>
      <c r="O33" s="89"/>
      <c r="P33" s="132" t="e">
        <f>+P30+P15</f>
        <v>#REF!</v>
      </c>
      <c r="Q33" s="132">
        <f>+Q30+Q15</f>
        <v>0</v>
      </c>
      <c r="R33" s="132">
        <f>+R30+R15</f>
        <v>0</v>
      </c>
      <c r="S33" s="132" t="e">
        <f>+S30+S15</f>
        <v>#REF!</v>
      </c>
      <c r="T33" s="132"/>
      <c r="U33" s="132" t="e">
        <f t="shared" ref="U33:AA33" si="12">+U30+U15</f>
        <v>#REF!</v>
      </c>
      <c r="V33" s="132" t="e">
        <f t="shared" si="12"/>
        <v>#REF!</v>
      </c>
      <c r="W33" s="132" t="e">
        <f t="shared" si="12"/>
        <v>#REF!</v>
      </c>
      <c r="X33" s="132" t="e">
        <f t="shared" si="12"/>
        <v>#REF!</v>
      </c>
      <c r="Y33" s="119" t="e">
        <f t="shared" si="12"/>
        <v>#REF!</v>
      </c>
      <c r="Z33" s="119" t="e">
        <f t="shared" si="12"/>
        <v>#REF!</v>
      </c>
      <c r="AA33" s="119" t="e">
        <f t="shared" si="12"/>
        <v>#REF!</v>
      </c>
      <c r="AB33" s="66"/>
      <c r="AC33" s="66"/>
      <c r="AD33" s="3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  <c r="IR33" s="2"/>
      <c r="IS33" s="2"/>
      <c r="IT33" s="2"/>
      <c r="IU33" s="2"/>
      <c r="IV33" s="2"/>
    </row>
    <row r="34" spans="2:256" s="5" customFormat="1" ht="15.75" hidden="1" x14ac:dyDescent="0.2">
      <c r="D34" s="4"/>
      <c r="G34" s="1"/>
      <c r="H34" s="9"/>
      <c r="K34" s="1"/>
      <c r="L34" s="9"/>
      <c r="M34" s="10"/>
      <c r="N34" s="10"/>
      <c r="O34" s="6"/>
      <c r="P34" s="125"/>
      <c r="Q34" s="133"/>
      <c r="R34" s="125"/>
      <c r="S34" s="125"/>
      <c r="T34" s="125"/>
      <c r="U34" s="124"/>
      <c r="V34" s="124"/>
      <c r="W34" s="124" t="e">
        <f>+W33/U33</f>
        <v>#REF!</v>
      </c>
      <c r="X34" s="124" t="e">
        <f>+X33/$W$33</f>
        <v>#REF!</v>
      </c>
      <c r="Y34" s="73" t="e">
        <f>+Y33/$W$33</f>
        <v>#REF!</v>
      </c>
      <c r="Z34" s="64" t="e">
        <f>+Z33/$W$33</f>
        <v>#REF!</v>
      </c>
      <c r="AA34" s="64" t="e">
        <f>+AA33/$W$33</f>
        <v>#REF!</v>
      </c>
      <c r="AB34" s="64"/>
      <c r="AC34" s="64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  <c r="GM34" s="7"/>
      <c r="GN34" s="7"/>
      <c r="GO34" s="7"/>
      <c r="GP34" s="7"/>
      <c r="GQ34" s="7"/>
      <c r="GR34" s="7"/>
      <c r="GS34" s="7"/>
      <c r="GT34" s="7"/>
      <c r="GU34" s="7"/>
      <c r="GV34" s="7"/>
      <c r="GW34" s="7"/>
      <c r="GX34" s="7"/>
      <c r="GY34" s="7"/>
      <c r="GZ34" s="7"/>
      <c r="HA34" s="7"/>
      <c r="HB34" s="7"/>
      <c r="HC34" s="7"/>
      <c r="HD34" s="7"/>
      <c r="HE34" s="7"/>
      <c r="HF34" s="7"/>
      <c r="HG34" s="7"/>
      <c r="HH34" s="7"/>
      <c r="HI34" s="7"/>
      <c r="HJ34" s="7"/>
      <c r="HK34" s="7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  <c r="IG34" s="7"/>
      <c r="IH34" s="7"/>
      <c r="II34" s="7"/>
      <c r="IJ34" s="7"/>
      <c r="IK34" s="7"/>
      <c r="IL34" s="7"/>
      <c r="IM34" s="7"/>
      <c r="IN34" s="7"/>
      <c r="IO34" s="7"/>
      <c r="IP34" s="7"/>
      <c r="IQ34" s="7"/>
      <c r="IR34" s="7"/>
      <c r="IS34" s="7"/>
      <c r="IT34" s="7"/>
      <c r="IU34" s="7"/>
      <c r="IV34" s="7"/>
    </row>
    <row r="35" spans="2:256" ht="12.75" hidden="1" x14ac:dyDescent="0.2">
      <c r="D35" s="37"/>
      <c r="G35" s="23"/>
      <c r="H35" s="37"/>
      <c r="I35" s="23"/>
      <c r="J35" s="23"/>
      <c r="K35" s="23"/>
      <c r="L35" s="37"/>
      <c r="M35" s="23"/>
      <c r="P35" s="68"/>
      <c r="Q35" s="68"/>
      <c r="R35" s="68"/>
      <c r="S35" s="68"/>
      <c r="T35" s="68"/>
      <c r="U35" s="72"/>
      <c r="V35" s="72"/>
      <c r="W35" s="115"/>
      <c r="X35" s="115"/>
      <c r="Y35" s="34"/>
      <c r="Z35" s="34"/>
      <c r="AA35" s="34"/>
      <c r="AB35" s="15"/>
    </row>
    <row r="36" spans="2:256" ht="15" hidden="1" customHeight="1" x14ac:dyDescent="0.2">
      <c r="B36" s="78" t="s">
        <v>105</v>
      </c>
      <c r="D36" s="912" t="s">
        <v>75</v>
      </c>
      <c r="E36" s="912"/>
      <c r="F36" s="38"/>
      <c r="G36" s="23"/>
      <c r="H36" s="912" t="s">
        <v>77</v>
      </c>
      <c r="I36" s="912"/>
      <c r="J36" s="38"/>
      <c r="K36" s="23"/>
      <c r="L36" s="912" t="s">
        <v>76</v>
      </c>
      <c r="M36" s="912"/>
      <c r="P36" s="68"/>
      <c r="Q36" s="68"/>
      <c r="R36" s="68"/>
      <c r="S36" s="68"/>
      <c r="T36" s="68"/>
      <c r="U36" s="72"/>
      <c r="V36" s="72"/>
      <c r="W36" s="115"/>
      <c r="X36" s="115"/>
      <c r="Y36" s="34"/>
      <c r="Z36" s="34"/>
      <c r="AA36" s="34"/>
      <c r="AB36" s="15"/>
    </row>
    <row r="37" spans="2:256" ht="15" hidden="1" x14ac:dyDescent="0.2">
      <c r="B37" s="17" t="s">
        <v>51</v>
      </c>
      <c r="D37" s="32"/>
      <c r="E37" s="32">
        <f>+Recaud!B12+Recaud!E12</f>
        <v>207376780</v>
      </c>
      <c r="F37" s="32"/>
      <c r="G37" s="23"/>
      <c r="H37" s="32"/>
      <c r="I37" s="32" t="e">
        <f>++Recaud!#REF!</f>
        <v>#REF!</v>
      </c>
      <c r="J37" s="32"/>
      <c r="K37" s="23"/>
      <c r="L37" s="32"/>
      <c r="M37" s="32">
        <f>++Recaud!B16</f>
        <v>0</v>
      </c>
      <c r="P37" s="68" t="e">
        <f>+P33+#REF!+E40+I40</f>
        <v>#REF!</v>
      </c>
      <c r="Q37" s="68"/>
      <c r="R37" s="68"/>
      <c r="S37" s="68"/>
      <c r="T37" s="68"/>
      <c r="U37" s="72"/>
      <c r="V37" s="72"/>
      <c r="W37" s="115"/>
      <c r="X37" s="115"/>
      <c r="Y37" s="34"/>
      <c r="Z37" s="34"/>
      <c r="AA37" s="34"/>
      <c r="AB37" s="15"/>
    </row>
    <row r="38" spans="2:256" ht="15" hidden="1" x14ac:dyDescent="0.2">
      <c r="B38" s="17" t="s">
        <v>53</v>
      </c>
      <c r="D38" s="32"/>
      <c r="E38" s="32" t="e">
        <f>+Recaud!#REF!+Recaud!#REF!</f>
        <v>#REF!</v>
      </c>
      <c r="F38" s="32"/>
      <c r="G38" s="23"/>
      <c r="H38" s="32"/>
      <c r="I38" s="32" t="e">
        <f>+Recaud!#REF!</f>
        <v>#REF!</v>
      </c>
      <c r="J38" s="32"/>
      <c r="K38" s="23"/>
      <c r="L38" s="32"/>
      <c r="M38" s="32" t="e">
        <f>+Recaud!#REF!</f>
        <v>#REF!</v>
      </c>
      <c r="P38" s="68" t="e">
        <f>+Recaud!#REF!-Recaud!G9-Recaud!#REF!-Recaud!#REF!-Recaud!#REF!</f>
        <v>#REF!</v>
      </c>
      <c r="Q38" s="68"/>
      <c r="R38" s="68"/>
      <c r="S38" s="68"/>
      <c r="T38" s="68"/>
      <c r="U38" s="72"/>
      <c r="V38" s="72"/>
      <c r="W38" s="115"/>
      <c r="X38" s="115"/>
      <c r="Y38" s="34"/>
      <c r="Z38" s="34"/>
      <c r="AA38" s="34"/>
      <c r="AB38" s="15"/>
    </row>
    <row r="39" spans="2:256" ht="15" hidden="1" x14ac:dyDescent="0.2">
      <c r="B39" s="17" t="s">
        <v>57</v>
      </c>
      <c r="D39" s="32"/>
      <c r="E39" s="32" t="e">
        <f>++Recaud!#REF!+Recaud!#REF!</f>
        <v>#REF!</v>
      </c>
      <c r="F39" s="32"/>
      <c r="G39" s="23"/>
      <c r="H39" s="32"/>
      <c r="I39" s="32"/>
      <c r="J39" s="32"/>
      <c r="K39" s="23"/>
      <c r="L39" s="32"/>
      <c r="M39" s="32" t="e">
        <f>+Recaud!#REF!</f>
        <v>#REF!</v>
      </c>
      <c r="P39" s="68" t="e">
        <f>+P37-P38+8000000</f>
        <v>#REF!</v>
      </c>
      <c r="Q39" s="68"/>
      <c r="R39" s="68"/>
      <c r="S39" s="68"/>
      <c r="T39" s="68"/>
      <c r="U39" s="72"/>
      <c r="V39" s="72"/>
      <c r="W39" s="115"/>
      <c r="X39" s="115"/>
      <c r="Y39" s="34"/>
      <c r="Z39" s="34"/>
      <c r="AA39" s="34"/>
      <c r="AB39" s="15"/>
    </row>
    <row r="40" spans="2:256" ht="12.75" hidden="1" x14ac:dyDescent="0.2">
      <c r="B40" s="107" t="s">
        <v>24</v>
      </c>
      <c r="D40" s="108"/>
      <c r="E40" s="108" t="e">
        <f>SUM(E37:E39)</f>
        <v>#REF!</v>
      </c>
      <c r="F40" s="35"/>
      <c r="G40" s="23"/>
      <c r="H40" s="108"/>
      <c r="I40" s="108" t="e">
        <f>SUM(I37:I39)</f>
        <v>#REF!</v>
      </c>
      <c r="J40" s="35"/>
      <c r="K40" s="23"/>
      <c r="L40" s="108"/>
      <c r="M40" s="108"/>
      <c r="P40" s="68"/>
      <c r="Q40" s="68"/>
      <c r="R40" s="68"/>
      <c r="S40" s="68"/>
      <c r="T40" s="68"/>
      <c r="U40" s="72"/>
      <c r="V40" s="72"/>
      <c r="W40" s="115"/>
      <c r="X40" s="115"/>
      <c r="Y40" s="34"/>
      <c r="Z40" s="34"/>
      <c r="AA40" s="34"/>
      <c r="AB40" s="15"/>
    </row>
    <row r="41" spans="2:256" ht="12.75" hidden="1" x14ac:dyDescent="0.2">
      <c r="D41" s="77"/>
      <c r="G41" s="23"/>
      <c r="H41" s="37"/>
      <c r="I41" s="23"/>
      <c r="J41" s="23"/>
      <c r="K41" s="23"/>
      <c r="L41" s="37"/>
      <c r="M41" s="23"/>
      <c r="P41" s="68"/>
      <c r="Q41" s="68"/>
      <c r="R41" s="68"/>
      <c r="S41" s="68"/>
      <c r="T41" s="68"/>
      <c r="U41" s="72"/>
      <c r="V41" s="72"/>
      <c r="W41" s="115"/>
      <c r="X41" s="115"/>
      <c r="Y41" s="34"/>
      <c r="Z41" s="34"/>
      <c r="AA41" s="34"/>
      <c r="AB41" s="15"/>
    </row>
    <row r="42" spans="2:256" s="39" customFormat="1" ht="12.75" hidden="1" x14ac:dyDescent="0.2">
      <c r="B42" s="75"/>
      <c r="C42" s="75"/>
      <c r="D42" s="76"/>
      <c r="E42" s="76" t="e">
        <f>+E15+E30</f>
        <v>#REF!</v>
      </c>
      <c r="F42" s="76"/>
      <c r="G42" s="76" t="e">
        <f>+#REF!+#REF!+#REF!+#REF!</f>
        <v>#REF!</v>
      </c>
      <c r="H42" s="76"/>
      <c r="I42" s="76" t="e">
        <f>+I15+I30</f>
        <v>#REF!</v>
      </c>
      <c r="J42" s="76"/>
      <c r="K42" s="76" t="e">
        <f>+K15+K30+#REF!</f>
        <v>#REF!</v>
      </c>
      <c r="L42" s="76"/>
      <c r="M42" s="111" t="e">
        <f>+M15+M30</f>
        <v>#REF!</v>
      </c>
      <c r="N42" s="13"/>
      <c r="O42" s="76"/>
      <c r="P42" s="134" t="e">
        <f>+P15+P30</f>
        <v>#REF!</v>
      </c>
      <c r="Q42" s="134">
        <f>+Q15+Q30</f>
        <v>0</v>
      </c>
      <c r="R42" s="134">
        <f>+R15+R30</f>
        <v>0</v>
      </c>
      <c r="S42" s="134" t="e">
        <f>+S15+S30</f>
        <v>#REF!</v>
      </c>
      <c r="T42" s="68"/>
      <c r="U42" s="134" t="e">
        <f t="shared" ref="U42:AA42" si="13">+U15+U30</f>
        <v>#REF!</v>
      </c>
      <c r="V42" s="134" t="e">
        <f t="shared" si="13"/>
        <v>#REF!</v>
      </c>
      <c r="W42" s="134" t="e">
        <f t="shared" si="13"/>
        <v>#REF!</v>
      </c>
      <c r="X42" s="134" t="e">
        <f t="shared" si="13"/>
        <v>#REF!</v>
      </c>
      <c r="Y42" s="120" t="e">
        <f t="shared" si="13"/>
        <v>#REF!</v>
      </c>
      <c r="Z42" s="120" t="e">
        <f t="shared" si="13"/>
        <v>#REF!</v>
      </c>
      <c r="AA42" s="120" t="e">
        <f t="shared" si="13"/>
        <v>#REF!</v>
      </c>
      <c r="AB42" s="15"/>
      <c r="AC42" s="13"/>
      <c r="AD42" s="121"/>
      <c r="AE42" s="121"/>
      <c r="AF42" s="121"/>
      <c r="AG42" s="121"/>
      <c r="AH42" s="121"/>
      <c r="AI42" s="121"/>
      <c r="AJ42" s="121"/>
      <c r="AK42" s="121"/>
      <c r="AL42" s="121"/>
      <c r="AM42" s="121"/>
      <c r="AN42" s="121"/>
      <c r="AO42" s="121"/>
      <c r="AP42" s="121"/>
      <c r="AQ42" s="121"/>
      <c r="AR42" s="121"/>
      <c r="AS42" s="121"/>
      <c r="AT42" s="121"/>
      <c r="AU42" s="121"/>
      <c r="AV42" s="121"/>
      <c r="AW42" s="121"/>
      <c r="AX42" s="121"/>
      <c r="AY42" s="121"/>
      <c r="AZ42" s="121"/>
      <c r="BA42" s="121"/>
      <c r="BB42" s="121"/>
      <c r="BC42" s="121"/>
      <c r="BD42" s="121"/>
      <c r="BE42" s="121"/>
      <c r="BF42" s="121"/>
      <c r="BG42" s="121"/>
      <c r="BH42" s="121"/>
      <c r="BI42" s="121"/>
      <c r="BJ42" s="121"/>
      <c r="BK42" s="121"/>
      <c r="BL42" s="121"/>
      <c r="BM42" s="121"/>
      <c r="BN42" s="121"/>
      <c r="BO42" s="121"/>
      <c r="BP42" s="121"/>
      <c r="BQ42" s="121"/>
      <c r="BR42" s="121"/>
      <c r="BS42" s="121"/>
      <c r="BT42" s="121"/>
      <c r="BU42" s="121"/>
      <c r="BV42" s="121"/>
      <c r="BW42" s="121"/>
      <c r="BX42" s="121"/>
      <c r="BY42" s="121"/>
      <c r="BZ42" s="121"/>
      <c r="CA42" s="121"/>
      <c r="CB42" s="121"/>
      <c r="CC42" s="121"/>
      <c r="CD42" s="121"/>
      <c r="CE42" s="121"/>
      <c r="CF42" s="121"/>
      <c r="CG42" s="121"/>
      <c r="CH42" s="121"/>
      <c r="CI42" s="121"/>
      <c r="CJ42" s="121"/>
      <c r="CK42" s="121"/>
      <c r="CL42" s="121"/>
      <c r="CM42" s="121"/>
      <c r="CN42" s="121"/>
      <c r="CO42" s="121"/>
      <c r="CP42" s="121"/>
      <c r="CQ42" s="121"/>
      <c r="CR42" s="121"/>
      <c r="CS42" s="121"/>
      <c r="CT42" s="121"/>
      <c r="CU42" s="121"/>
      <c r="CV42" s="121"/>
      <c r="CW42" s="121"/>
      <c r="CX42" s="121"/>
      <c r="CY42" s="121"/>
      <c r="CZ42" s="121"/>
      <c r="DA42" s="121"/>
      <c r="DB42" s="121"/>
      <c r="DC42" s="121"/>
      <c r="DD42" s="121"/>
      <c r="DE42" s="121"/>
      <c r="DF42" s="121"/>
      <c r="DG42" s="121"/>
      <c r="DH42" s="121"/>
      <c r="DI42" s="121"/>
      <c r="DJ42" s="121"/>
      <c r="DK42" s="121"/>
      <c r="DL42" s="121"/>
      <c r="DM42" s="121"/>
      <c r="DN42" s="121"/>
      <c r="DO42" s="121"/>
      <c r="DP42" s="121"/>
      <c r="DQ42" s="121"/>
      <c r="DR42" s="121"/>
      <c r="DS42" s="121"/>
      <c r="DT42" s="121"/>
      <c r="DU42" s="121"/>
      <c r="DV42" s="121"/>
      <c r="DW42" s="121"/>
      <c r="DX42" s="121"/>
      <c r="DY42" s="121"/>
      <c r="DZ42" s="121"/>
      <c r="EA42" s="121"/>
      <c r="EB42" s="121"/>
      <c r="EC42" s="121"/>
      <c r="ED42" s="121"/>
      <c r="EE42" s="121"/>
      <c r="EF42" s="121"/>
      <c r="EG42" s="121"/>
      <c r="EH42" s="121"/>
      <c r="EI42" s="121"/>
      <c r="EJ42" s="121"/>
      <c r="EK42" s="121"/>
      <c r="EL42" s="121"/>
      <c r="EM42" s="121"/>
      <c r="EN42" s="121"/>
      <c r="EO42" s="121"/>
      <c r="EP42" s="121"/>
      <c r="EQ42" s="121"/>
      <c r="ER42" s="121"/>
      <c r="ES42" s="121"/>
      <c r="ET42" s="121"/>
      <c r="EU42" s="121"/>
      <c r="EV42" s="121"/>
      <c r="EW42" s="121"/>
      <c r="EX42" s="121"/>
      <c r="EY42" s="121"/>
      <c r="EZ42" s="121"/>
      <c r="FA42" s="121"/>
      <c r="FB42" s="121"/>
      <c r="FC42" s="121"/>
      <c r="FD42" s="121"/>
      <c r="FE42" s="121"/>
      <c r="FF42" s="121"/>
      <c r="FG42" s="121"/>
      <c r="FH42" s="121"/>
      <c r="FI42" s="121"/>
      <c r="FJ42" s="121"/>
      <c r="FK42" s="121"/>
      <c r="FL42" s="121"/>
      <c r="FM42" s="121"/>
      <c r="FN42" s="121"/>
      <c r="FO42" s="121"/>
      <c r="FP42" s="121"/>
      <c r="FQ42" s="121"/>
      <c r="FR42" s="121"/>
      <c r="FS42" s="121"/>
      <c r="FT42" s="121"/>
      <c r="FU42" s="121"/>
      <c r="FV42" s="121"/>
      <c r="FW42" s="121"/>
      <c r="FX42" s="121"/>
      <c r="FY42" s="121"/>
      <c r="FZ42" s="121"/>
      <c r="GA42" s="121"/>
      <c r="GB42" s="121"/>
      <c r="GC42" s="121"/>
      <c r="GD42" s="121"/>
      <c r="GE42" s="121"/>
      <c r="GF42" s="121"/>
      <c r="GG42" s="121"/>
      <c r="GH42" s="121"/>
      <c r="GI42" s="121"/>
      <c r="GJ42" s="121"/>
      <c r="GK42" s="121"/>
      <c r="GL42" s="121"/>
      <c r="GM42" s="121"/>
      <c r="GN42" s="121"/>
      <c r="GO42" s="121"/>
      <c r="GP42" s="121"/>
      <c r="GQ42" s="121"/>
      <c r="GR42" s="121"/>
      <c r="GS42" s="121"/>
      <c r="GT42" s="121"/>
      <c r="GU42" s="121"/>
      <c r="GV42" s="121"/>
      <c r="GW42" s="121"/>
      <c r="GX42" s="121"/>
      <c r="GY42" s="121"/>
      <c r="GZ42" s="121"/>
      <c r="HA42" s="121"/>
      <c r="HB42" s="121"/>
      <c r="HC42" s="121"/>
      <c r="HD42" s="121"/>
      <c r="HE42" s="121"/>
      <c r="HF42" s="121"/>
      <c r="HG42" s="121"/>
      <c r="HH42" s="121"/>
      <c r="HI42" s="121"/>
      <c r="HJ42" s="121"/>
      <c r="HK42" s="121"/>
      <c r="HL42" s="121"/>
      <c r="HM42" s="121"/>
      <c r="HN42" s="121"/>
      <c r="HO42" s="121"/>
      <c r="HP42" s="121"/>
      <c r="HQ42" s="121"/>
      <c r="HR42" s="121"/>
      <c r="HS42" s="121"/>
      <c r="HT42" s="121"/>
      <c r="HU42" s="121"/>
      <c r="HV42" s="121"/>
      <c r="HW42" s="121"/>
      <c r="HX42" s="121"/>
      <c r="HY42" s="121"/>
      <c r="HZ42" s="121"/>
      <c r="IA42" s="121"/>
      <c r="IB42" s="121"/>
      <c r="IC42" s="121"/>
      <c r="ID42" s="121"/>
      <c r="IE42" s="121"/>
      <c r="IF42" s="121"/>
      <c r="IG42" s="121"/>
      <c r="IH42" s="121"/>
      <c r="II42" s="121"/>
      <c r="IJ42" s="121"/>
      <c r="IK42" s="121"/>
      <c r="IL42" s="121"/>
      <c r="IM42" s="121"/>
      <c r="IN42" s="121"/>
      <c r="IO42" s="121"/>
      <c r="IP42" s="121"/>
      <c r="IQ42" s="121"/>
      <c r="IR42" s="121"/>
      <c r="IS42" s="121"/>
      <c r="IT42" s="121"/>
      <c r="IU42" s="121"/>
      <c r="IV42" s="71"/>
    </row>
    <row r="43" spans="2:256" s="40" customFormat="1" ht="12.75" hidden="1" x14ac:dyDescent="0.2">
      <c r="D43" s="41"/>
      <c r="E43" s="41" t="e">
        <f>++E42-E33</f>
        <v>#REF!</v>
      </c>
      <c r="F43" s="41"/>
      <c r="G43" s="41" t="e">
        <f>++G42-G33</f>
        <v>#REF!</v>
      </c>
      <c r="H43" s="41"/>
      <c r="I43" s="41" t="e">
        <f>++I42-I33</f>
        <v>#REF!</v>
      </c>
      <c r="J43" s="41"/>
      <c r="K43" s="41" t="e">
        <f>++K42-K33</f>
        <v>#REF!</v>
      </c>
      <c r="L43" s="41"/>
      <c r="M43" s="41" t="e">
        <f>++M42-M33</f>
        <v>#REF!</v>
      </c>
      <c r="N43" s="13"/>
      <c r="O43" s="41"/>
      <c r="P43" s="135" t="e">
        <f>++P42-P33</f>
        <v>#REF!</v>
      </c>
      <c r="Q43" s="135">
        <f>++Q42-Q33</f>
        <v>0</v>
      </c>
      <c r="R43" s="135"/>
      <c r="S43" s="135" t="e">
        <f>++S42-S33</f>
        <v>#REF!</v>
      </c>
      <c r="T43" s="68"/>
      <c r="U43" s="135" t="e">
        <f>++U42-U33</f>
        <v>#REF!</v>
      </c>
      <c r="V43" s="135" t="e">
        <f>++V42-V33</f>
        <v>#REF!</v>
      </c>
      <c r="W43" s="135" t="e">
        <f>++W42-W33</f>
        <v>#REF!</v>
      </c>
      <c r="X43" s="135" t="e">
        <f>+X42-X33</f>
        <v>#REF!</v>
      </c>
      <c r="Y43" s="41" t="e">
        <f>++Y42-Y33</f>
        <v>#REF!</v>
      </c>
      <c r="Z43" s="41" t="e">
        <f>++Z42-Z33</f>
        <v>#REF!</v>
      </c>
      <c r="AA43" s="41" t="e">
        <f>++AA42-AA33</f>
        <v>#REF!</v>
      </c>
      <c r="AB43" s="15"/>
      <c r="AC43" s="13"/>
      <c r="IV43" s="71"/>
    </row>
    <row r="44" spans="2:256" ht="12.75" hidden="1" x14ac:dyDescent="0.2">
      <c r="L44" s="18"/>
      <c r="M44" s="18"/>
      <c r="P44" s="70"/>
      <c r="Q44" s="72"/>
      <c r="R44" s="72"/>
      <c r="S44" s="70"/>
      <c r="T44" s="70"/>
      <c r="U44" s="72"/>
      <c r="V44" s="72"/>
      <c r="W44" s="72"/>
      <c r="X44" s="72"/>
    </row>
    <row r="45" spans="2:256" ht="13.5" hidden="1" thickBot="1" x14ac:dyDescent="0.25">
      <c r="I45" s="18"/>
      <c r="J45" s="18"/>
      <c r="L45" s="18"/>
      <c r="M45" s="18"/>
      <c r="P45" s="913"/>
      <c r="Q45" s="913"/>
      <c r="R45" s="913"/>
      <c r="S45" s="913"/>
      <c r="T45" s="117"/>
      <c r="U45" s="72"/>
      <c r="V45" s="72"/>
      <c r="W45" s="72"/>
      <c r="X45" s="72"/>
    </row>
    <row r="46" spans="2:256" ht="17.25" hidden="1" customHeight="1" thickBot="1" x14ac:dyDescent="0.25">
      <c r="B46" s="43" t="s">
        <v>85</v>
      </c>
      <c r="D46" s="914" t="s">
        <v>86</v>
      </c>
      <c r="E46" s="915"/>
      <c r="F46" s="44"/>
      <c r="H46" s="914" t="s">
        <v>87</v>
      </c>
      <c r="I46" s="915"/>
      <c r="J46" s="44"/>
      <c r="L46" s="916" t="s">
        <v>88</v>
      </c>
      <c r="M46" s="917"/>
      <c r="O46" s="42"/>
      <c r="P46" s="117"/>
      <c r="Q46" s="117"/>
      <c r="R46" s="117"/>
      <c r="S46" s="117"/>
      <c r="T46" s="117"/>
      <c r="U46" s="913"/>
      <c r="V46" s="913"/>
      <c r="W46" s="913"/>
      <c r="X46" s="913"/>
    </row>
    <row r="47" spans="2:256" ht="17.25" hidden="1" customHeight="1" x14ac:dyDescent="0.2">
      <c r="B47" s="45" t="s">
        <v>51</v>
      </c>
      <c r="D47" s="46"/>
      <c r="E47" s="47"/>
      <c r="F47" s="23"/>
      <c r="H47" s="46"/>
      <c r="I47" s="47"/>
      <c r="J47" s="23"/>
      <c r="L47" s="46"/>
      <c r="M47" s="47"/>
      <c r="O47" s="48"/>
      <c r="P47" s="68"/>
      <c r="Q47" s="68"/>
      <c r="R47" s="68"/>
      <c r="S47" s="68"/>
      <c r="T47" s="68"/>
      <c r="U47" s="117"/>
      <c r="V47" s="911"/>
      <c r="W47" s="911"/>
      <c r="X47" s="911"/>
      <c r="Y47" s="12"/>
      <c r="Z47" s="12"/>
      <c r="AA47" s="12"/>
      <c r="AB47" s="12"/>
    </row>
    <row r="48" spans="2:256" ht="16.5" hidden="1" customHeight="1" x14ac:dyDescent="0.2">
      <c r="B48" s="49" t="s">
        <v>53</v>
      </c>
      <c r="D48" s="50"/>
      <c r="E48" s="51"/>
      <c r="F48" s="23"/>
      <c r="H48" s="50"/>
      <c r="I48" s="51"/>
      <c r="J48" s="23"/>
      <c r="L48" s="50"/>
      <c r="M48" s="51"/>
      <c r="O48" s="48"/>
      <c r="P48" s="68"/>
      <c r="Q48" s="68"/>
      <c r="R48" s="68"/>
      <c r="S48" s="68"/>
      <c r="T48" s="68"/>
      <c r="U48" s="117"/>
      <c r="V48" s="911"/>
      <c r="W48" s="911"/>
      <c r="X48" s="911"/>
      <c r="Y48" s="12"/>
      <c r="Z48" s="12"/>
      <c r="AA48" s="12"/>
      <c r="AB48" s="12"/>
    </row>
    <row r="49" spans="2:28" ht="15" hidden="1" customHeight="1" x14ac:dyDescent="0.2">
      <c r="B49" s="49" t="s">
        <v>57</v>
      </c>
      <c r="D49" s="50"/>
      <c r="E49" s="51"/>
      <c r="F49" s="23"/>
      <c r="H49" s="50"/>
      <c r="I49" s="51"/>
      <c r="J49" s="23"/>
      <c r="L49" s="50"/>
      <c r="M49" s="51"/>
      <c r="O49" s="48"/>
      <c r="P49" s="68"/>
      <c r="Q49" s="68"/>
      <c r="R49" s="68"/>
      <c r="S49" s="68"/>
      <c r="T49" s="68"/>
      <c r="U49" s="117"/>
      <c r="V49" s="911"/>
      <c r="W49" s="911"/>
      <c r="X49" s="911"/>
      <c r="Y49" s="12"/>
      <c r="Z49" s="12"/>
      <c r="AA49" s="12"/>
      <c r="AB49" s="12"/>
    </row>
    <row r="50" spans="2:28" ht="15" hidden="1" customHeight="1" x14ac:dyDescent="0.2">
      <c r="B50" s="49" t="s">
        <v>58</v>
      </c>
      <c r="D50" s="50"/>
      <c r="E50" s="51"/>
      <c r="F50" s="23"/>
      <c r="H50" s="50"/>
      <c r="I50" s="51"/>
      <c r="J50" s="23"/>
      <c r="L50" s="50"/>
      <c r="M50" s="51"/>
      <c r="O50" s="48"/>
      <c r="P50" s="68"/>
      <c r="Q50" s="68"/>
      <c r="R50" s="68"/>
      <c r="S50" s="68"/>
      <c r="T50" s="68"/>
      <c r="U50" s="117"/>
      <c r="V50" s="911"/>
      <c r="W50" s="911"/>
      <c r="X50" s="911"/>
      <c r="Y50" s="52"/>
      <c r="Z50" s="52"/>
      <c r="AA50" s="52"/>
      <c r="AB50" s="52"/>
    </row>
    <row r="51" spans="2:28" ht="12.75" hidden="1" x14ac:dyDescent="0.2">
      <c r="B51" s="49" t="s">
        <v>89</v>
      </c>
      <c r="D51" s="50"/>
      <c r="E51" s="51"/>
      <c r="F51" s="23"/>
      <c r="H51" s="50"/>
      <c r="I51" s="51"/>
      <c r="J51" s="23"/>
      <c r="L51" s="50"/>
      <c r="M51" s="51"/>
      <c r="O51" s="48"/>
      <c r="P51" s="68"/>
      <c r="Q51" s="68"/>
      <c r="R51" s="68"/>
      <c r="S51" s="68"/>
      <c r="T51" s="68"/>
      <c r="U51" s="117"/>
      <c r="V51" s="911"/>
      <c r="W51" s="911"/>
      <c r="X51" s="911"/>
      <c r="Y51" s="52"/>
      <c r="Z51" s="52"/>
      <c r="AA51" s="52"/>
      <c r="AB51" s="52"/>
    </row>
    <row r="52" spans="2:28" ht="12.75" hidden="1" x14ac:dyDescent="0.2">
      <c r="B52" s="49" t="s">
        <v>90</v>
      </c>
      <c r="D52" s="50"/>
      <c r="E52" s="51"/>
      <c r="F52" s="23"/>
      <c r="H52" s="50"/>
      <c r="I52" s="51"/>
      <c r="J52" s="23"/>
      <c r="L52" s="50"/>
      <c r="M52" s="51"/>
      <c r="O52" s="48"/>
      <c r="P52" s="68"/>
      <c r="Q52" s="72"/>
      <c r="R52" s="72"/>
      <c r="S52" s="72"/>
      <c r="T52" s="72"/>
      <c r="U52" s="72"/>
      <c r="V52" s="72"/>
      <c r="W52" s="72"/>
      <c r="X52" s="72"/>
    </row>
    <row r="53" spans="2:28" ht="12.75" hidden="1" x14ac:dyDescent="0.2">
      <c r="B53" s="49" t="s">
        <v>91</v>
      </c>
      <c r="D53" s="50"/>
      <c r="E53" s="53"/>
      <c r="F53" s="23"/>
      <c r="H53" s="50"/>
      <c r="I53" s="53"/>
      <c r="J53" s="23"/>
      <c r="L53" s="50"/>
      <c r="M53" s="53"/>
      <c r="O53" s="48"/>
      <c r="P53" s="68"/>
      <c r="Q53" s="72"/>
      <c r="R53" s="72"/>
      <c r="S53" s="72"/>
      <c r="T53" s="72"/>
      <c r="U53" s="72"/>
      <c r="V53" s="72"/>
      <c r="W53" s="72"/>
      <c r="X53" s="72"/>
    </row>
    <row r="54" spans="2:28" ht="15.75" hidden="1" customHeight="1" x14ac:dyDescent="0.2">
      <c r="B54" s="54" t="s">
        <v>24</v>
      </c>
      <c r="D54" s="55">
        <f>SUM(D47:D53)</f>
        <v>0</v>
      </c>
      <c r="E54" s="56">
        <f>ROUND(SUM(E47:E53),0)</f>
        <v>0</v>
      </c>
      <c r="F54" s="57"/>
      <c r="H54" s="55">
        <f>SUM(H47:H53)</f>
        <v>0</v>
      </c>
      <c r="I54" s="56">
        <f>ROUND(SUM(I47:I53),0)</f>
        <v>0</v>
      </c>
      <c r="J54" s="57"/>
      <c r="L54" s="55">
        <f>SUM(L47:L53)</f>
        <v>0</v>
      </c>
      <c r="M54" s="56">
        <f>ROUND(SUM(M47:M53),0)</f>
        <v>0</v>
      </c>
      <c r="O54" s="58"/>
      <c r="P54" s="69"/>
      <c r="Q54" s="69"/>
      <c r="R54" s="69"/>
      <c r="S54" s="69"/>
      <c r="T54" s="69"/>
      <c r="U54" s="72"/>
      <c r="V54" s="72"/>
      <c r="W54" s="72"/>
      <c r="X54" s="72"/>
    </row>
    <row r="55" spans="2:28" ht="13.5" hidden="1" thickBot="1" x14ac:dyDescent="0.25">
      <c r="B55" s="59" t="s">
        <v>92</v>
      </c>
      <c r="D55" s="60" t="e">
        <f>+D54/$L$15</f>
        <v>#REF!</v>
      </c>
      <c r="E55" s="61" t="e">
        <f>+E54/$M$15</f>
        <v>#REF!</v>
      </c>
      <c r="F55" s="34"/>
      <c r="G55" s="30"/>
      <c r="H55" s="60" t="e">
        <f>+H54/$L$15</f>
        <v>#REF!</v>
      </c>
      <c r="I55" s="61" t="e">
        <f>+I54/$M$15</f>
        <v>#REF!</v>
      </c>
      <c r="J55" s="34"/>
      <c r="K55" s="30"/>
      <c r="L55" s="60" t="e">
        <f>+L54/$L$15</f>
        <v>#REF!</v>
      </c>
      <c r="M55" s="61" t="e">
        <f>+M54/M15</f>
        <v>#REF!</v>
      </c>
      <c r="N55" s="30"/>
      <c r="O55" s="34"/>
      <c r="P55" s="115"/>
      <c r="Q55" s="115"/>
      <c r="R55" s="115"/>
      <c r="S55" s="115"/>
      <c r="T55" s="115"/>
      <c r="U55" s="72"/>
      <c r="V55" s="72"/>
      <c r="W55" s="72"/>
      <c r="X55" s="72"/>
    </row>
    <row r="56" spans="2:28" ht="12.75" hidden="1" x14ac:dyDescent="0.2">
      <c r="E56" s="23"/>
      <c r="F56" s="23"/>
      <c r="I56" s="23"/>
      <c r="J56" s="23"/>
      <c r="L56" s="18"/>
      <c r="M56" s="18"/>
      <c r="N56" s="18"/>
      <c r="O56" s="18"/>
      <c r="P56" s="136"/>
      <c r="Q56" s="72"/>
      <c r="R56" s="72"/>
      <c r="S56" s="72"/>
      <c r="T56" s="72"/>
      <c r="U56" s="72"/>
      <c r="V56" s="72"/>
      <c r="W56" s="72"/>
      <c r="X56" s="72"/>
    </row>
    <row r="57" spans="2:28" ht="12.75" hidden="1" x14ac:dyDescent="0.2">
      <c r="D57" s="32"/>
      <c r="E57" s="23"/>
      <c r="F57" s="23"/>
      <c r="H57" s="32"/>
      <c r="I57" s="18"/>
      <c r="J57" s="18"/>
      <c r="L57" s="18"/>
      <c r="M57" s="18"/>
      <c r="N57" s="18"/>
      <c r="O57" s="18"/>
      <c r="P57" s="137"/>
      <c r="Q57" s="72"/>
      <c r="R57" s="72"/>
      <c r="S57" s="72"/>
      <c r="T57" s="72"/>
      <c r="U57" s="72"/>
      <c r="V57" s="72"/>
      <c r="W57" s="72"/>
      <c r="X57" s="72"/>
    </row>
    <row r="58" spans="2:28" ht="12.75" hidden="1" x14ac:dyDescent="0.2">
      <c r="B58" s="62">
        <v>1000</v>
      </c>
      <c r="D58" s="32"/>
      <c r="E58" s="23"/>
      <c r="F58" s="23"/>
      <c r="I58" s="18" t="e">
        <f>+E47+I47-M7</f>
        <v>#REF!</v>
      </c>
      <c r="J58" s="18"/>
      <c r="L58" s="18" t="e">
        <f>++D47+H47+L47-L7</f>
        <v>#REF!</v>
      </c>
      <c r="P58" s="72"/>
      <c r="Q58" s="70"/>
      <c r="R58" s="70"/>
      <c r="S58" s="72"/>
      <c r="T58" s="72"/>
      <c r="U58" s="72"/>
      <c r="V58" s="72"/>
      <c r="W58" s="72"/>
      <c r="X58" s="72"/>
    </row>
    <row r="59" spans="2:28" ht="12.75" hidden="1" x14ac:dyDescent="0.2">
      <c r="D59" s="32"/>
      <c r="E59" s="23"/>
      <c r="F59" s="23"/>
      <c r="H59" s="32"/>
      <c r="I59" s="18" t="e">
        <f>+E48+I48-M12+M48</f>
        <v>#REF!</v>
      </c>
      <c r="J59" s="18"/>
      <c r="L59" s="18" t="e">
        <f>++D48+H48+L48-L12</f>
        <v>#REF!</v>
      </c>
      <c r="M59" s="18"/>
      <c r="N59" s="18"/>
      <c r="O59" s="18"/>
      <c r="P59" s="70"/>
      <c r="Q59" s="70"/>
      <c r="R59" s="70"/>
      <c r="S59" s="72"/>
      <c r="T59" s="72"/>
      <c r="U59" s="72"/>
      <c r="V59" s="72"/>
      <c r="W59" s="72"/>
      <c r="X59" s="72"/>
    </row>
    <row r="60" spans="2:28" ht="12.75" hidden="1" x14ac:dyDescent="0.2">
      <c r="H60" s="32"/>
      <c r="I60" s="18" t="e">
        <f>+E49+I49-M14</f>
        <v>#REF!</v>
      </c>
      <c r="J60" s="18"/>
      <c r="L60" s="18" t="e">
        <f>++D49+H49+L49-L14</f>
        <v>#REF!</v>
      </c>
      <c r="N60" s="63"/>
      <c r="O60" s="63"/>
      <c r="P60" s="72"/>
      <c r="Q60" s="70"/>
      <c r="R60" s="70"/>
      <c r="S60" s="72"/>
      <c r="T60" s="72"/>
      <c r="U60" s="72"/>
      <c r="V60" s="72"/>
      <c r="W60" s="72"/>
      <c r="X60" s="72"/>
    </row>
    <row r="61" spans="2:28" ht="12.75" hidden="1" x14ac:dyDescent="0.2">
      <c r="I61" s="18" t="e">
        <f>+E50+I50-#REF!+M50</f>
        <v>#REF!</v>
      </c>
      <c r="J61" s="18"/>
      <c r="L61" s="18" t="e">
        <f>++D50+H50+L50-#REF!</f>
        <v>#REF!</v>
      </c>
      <c r="N61" s="63"/>
      <c r="O61" s="63"/>
      <c r="P61" s="72"/>
      <c r="Q61" s="70"/>
      <c r="R61" s="70"/>
      <c r="S61" s="72"/>
      <c r="T61" s="72"/>
      <c r="U61" s="72"/>
      <c r="V61" s="72"/>
      <c r="W61" s="72"/>
      <c r="X61" s="72"/>
    </row>
    <row r="62" spans="2:28" ht="12.75" hidden="1" x14ac:dyDescent="0.2">
      <c r="I62" s="18" t="e">
        <f>+E51+I51-#REF!+M51</f>
        <v>#REF!</v>
      </c>
      <c r="J62" s="18"/>
      <c r="L62" s="18" t="e">
        <f>++D51+H51+L51-#REF!</f>
        <v>#REF!</v>
      </c>
      <c r="N62" s="63"/>
      <c r="O62" s="63"/>
      <c r="P62" s="72"/>
      <c r="Q62" s="70"/>
      <c r="R62" s="70"/>
      <c r="S62" s="72"/>
      <c r="T62" s="72"/>
      <c r="U62" s="72"/>
      <c r="V62" s="72"/>
      <c r="W62" s="72"/>
      <c r="X62" s="72"/>
    </row>
    <row r="63" spans="2:28" ht="12.75" hidden="1" x14ac:dyDescent="0.2">
      <c r="I63" s="18" t="e">
        <f>+E52+I52-#REF!+M52</f>
        <v>#REF!</v>
      </c>
      <c r="J63" s="18"/>
      <c r="L63" s="18" t="e">
        <f>++D52+H52+L52-#REF!</f>
        <v>#REF!</v>
      </c>
      <c r="P63" s="72"/>
      <c r="Q63" s="70"/>
      <c r="R63" s="70"/>
      <c r="S63" s="72"/>
      <c r="T63" s="72"/>
      <c r="U63" s="72"/>
      <c r="V63" s="72"/>
      <c r="W63" s="72"/>
      <c r="X63" s="72"/>
    </row>
    <row r="64" spans="2:28" ht="12.75" hidden="1" x14ac:dyDescent="0.2">
      <c r="D64" s="18"/>
      <c r="E64" s="18"/>
      <c r="F64" s="18"/>
      <c r="G64" s="18"/>
      <c r="H64" s="18"/>
      <c r="I64" s="18" t="e">
        <f>+E53+I53-#REF!</f>
        <v>#REF!</v>
      </c>
      <c r="J64" s="18"/>
      <c r="K64" s="18"/>
      <c r="L64" s="18" t="e">
        <f>++D53+H53+L53-#REF!</f>
        <v>#REF!</v>
      </c>
      <c r="P64" s="72"/>
      <c r="Q64" s="72"/>
      <c r="R64" s="72"/>
      <c r="S64" s="72"/>
      <c r="T64" s="72"/>
      <c r="U64" s="72"/>
      <c r="V64" s="72"/>
      <c r="W64" s="72"/>
      <c r="X64" s="72"/>
    </row>
    <row r="65" spans="4:24" ht="12.75" hidden="1" x14ac:dyDescent="0.2">
      <c r="D65" s="18"/>
      <c r="E65" s="18"/>
      <c r="F65" s="18"/>
      <c r="G65" s="18"/>
      <c r="H65" s="18"/>
      <c r="I65" s="18" t="e">
        <f>+E54+I54-M15+M54</f>
        <v>#REF!</v>
      </c>
      <c r="J65" s="18"/>
      <c r="K65" s="18"/>
      <c r="L65" s="18" t="e">
        <f>++D54+H54+L54-L15</f>
        <v>#REF!</v>
      </c>
      <c r="P65" s="72"/>
      <c r="Q65" s="72"/>
      <c r="R65" s="72"/>
      <c r="S65" s="72"/>
      <c r="T65" s="72"/>
      <c r="U65" s="72"/>
      <c r="V65" s="72"/>
      <c r="W65" s="72"/>
      <c r="X65" s="72"/>
    </row>
    <row r="66" spans="4:24" ht="12.75" hidden="1" x14ac:dyDescent="0.2">
      <c r="D66" s="18"/>
      <c r="E66" s="18"/>
      <c r="F66" s="18"/>
      <c r="G66" s="18"/>
      <c r="H66" s="18"/>
      <c r="I66" s="18"/>
      <c r="J66" s="18"/>
      <c r="K66" s="18"/>
      <c r="L66" s="18"/>
      <c r="P66" s="72"/>
      <c r="Q66" s="72"/>
      <c r="R66" s="72"/>
      <c r="S66" s="72"/>
      <c r="T66" s="72"/>
      <c r="U66" s="72"/>
      <c r="V66" s="72"/>
      <c r="W66" s="72"/>
      <c r="X66" s="72"/>
    </row>
    <row r="67" spans="4:24" ht="12.75" x14ac:dyDescent="0.2">
      <c r="D67" s="18"/>
      <c r="E67" s="18"/>
      <c r="F67" s="18"/>
      <c r="G67" s="18"/>
      <c r="H67" s="18"/>
      <c r="I67" s="18"/>
      <c r="J67" s="18"/>
      <c r="K67" s="18"/>
      <c r="L67" s="18"/>
      <c r="P67" s="72"/>
      <c r="Q67" s="72"/>
      <c r="R67" s="72"/>
      <c r="S67" s="72"/>
      <c r="T67" s="72"/>
      <c r="U67" s="72"/>
      <c r="V67" s="72"/>
      <c r="W67" s="72"/>
      <c r="X67" s="72"/>
    </row>
    <row r="68" spans="4:24" ht="12.75" x14ac:dyDescent="0.2">
      <c r="D68" s="18"/>
      <c r="E68" s="18"/>
      <c r="F68" s="18"/>
      <c r="G68" s="18"/>
      <c r="H68" s="18"/>
      <c r="I68" s="18"/>
      <c r="J68" s="18"/>
      <c r="K68" s="18"/>
      <c r="L68" s="18"/>
      <c r="P68" s="137"/>
      <c r="Q68" s="72"/>
      <c r="R68" s="72"/>
      <c r="S68" s="72"/>
      <c r="T68" s="72"/>
      <c r="U68" s="72"/>
      <c r="V68" s="72"/>
      <c r="W68" s="72"/>
      <c r="X68" s="72"/>
    </row>
    <row r="69" spans="4:24" ht="12.75" x14ac:dyDescent="0.2">
      <c r="D69" s="18"/>
      <c r="E69" s="18"/>
      <c r="F69" s="18"/>
      <c r="G69" s="18"/>
      <c r="H69" s="18"/>
      <c r="I69" s="18"/>
      <c r="J69" s="18"/>
      <c r="K69" s="18"/>
      <c r="L69" s="18"/>
      <c r="P69" s="72"/>
      <c r="Q69" s="72"/>
      <c r="R69" s="72"/>
      <c r="S69" s="72"/>
      <c r="T69" s="72"/>
      <c r="U69" s="72"/>
      <c r="V69" s="72"/>
      <c r="W69" s="72"/>
      <c r="X69" s="72"/>
    </row>
    <row r="70" spans="4:24" ht="12.75" x14ac:dyDescent="0.2">
      <c r="D70" s="18"/>
      <c r="E70" s="18"/>
      <c r="F70" s="18"/>
      <c r="G70" s="18"/>
      <c r="H70" s="18"/>
      <c r="I70" s="18"/>
      <c r="J70" s="18"/>
      <c r="K70" s="18"/>
      <c r="L70" s="18"/>
      <c r="P70" s="72"/>
      <c r="Q70" s="72"/>
      <c r="R70" s="72"/>
      <c r="S70" s="72"/>
      <c r="T70" s="72"/>
      <c r="U70" s="72"/>
      <c r="V70" s="72"/>
      <c r="W70" s="72"/>
      <c r="X70" s="72"/>
    </row>
    <row r="71" spans="4:24" ht="12.75" x14ac:dyDescent="0.2">
      <c r="D71" s="18"/>
      <c r="E71" s="18"/>
      <c r="F71" s="18"/>
      <c r="G71" s="18"/>
      <c r="H71" s="18"/>
      <c r="I71" s="18"/>
      <c r="J71" s="18"/>
      <c r="K71" s="18"/>
      <c r="L71" s="18"/>
      <c r="P71" s="72"/>
      <c r="Q71" s="72"/>
      <c r="R71" s="72"/>
      <c r="S71" s="72"/>
      <c r="T71" s="72"/>
      <c r="U71" s="72"/>
      <c r="V71" s="72"/>
      <c r="W71" s="72"/>
      <c r="X71" s="72"/>
    </row>
    <row r="72" spans="4:24" ht="12.75" x14ac:dyDescent="0.2">
      <c r="D72" s="18"/>
      <c r="E72" s="18"/>
      <c r="F72" s="18"/>
      <c r="G72" s="18"/>
      <c r="H72" s="18"/>
      <c r="I72" s="18"/>
      <c r="J72" s="18"/>
      <c r="K72" s="18"/>
      <c r="L72" s="18"/>
      <c r="P72" s="72"/>
      <c r="Q72" s="72"/>
      <c r="R72" s="72"/>
      <c r="S72" s="72"/>
      <c r="T72" s="72"/>
      <c r="U72" s="72"/>
      <c r="V72" s="72"/>
      <c r="W72" s="72"/>
      <c r="X72" s="72"/>
    </row>
    <row r="73" spans="4:24" ht="12.75" x14ac:dyDescent="0.2">
      <c r="D73" s="18"/>
      <c r="E73" s="18"/>
      <c r="F73" s="18"/>
      <c r="G73" s="18"/>
      <c r="H73" s="18"/>
      <c r="I73" s="18"/>
      <c r="J73" s="18"/>
      <c r="K73" s="18"/>
      <c r="L73" s="18"/>
      <c r="P73" s="72"/>
      <c r="Q73" s="72"/>
      <c r="R73" s="72"/>
      <c r="S73" s="72"/>
      <c r="T73" s="72"/>
      <c r="U73" s="72"/>
      <c r="V73" s="72"/>
      <c r="W73" s="72"/>
      <c r="X73" s="72"/>
    </row>
    <row r="74" spans="4:24" ht="12.75" x14ac:dyDescent="0.2">
      <c r="D74" s="18"/>
      <c r="E74" s="18"/>
      <c r="F74" s="18"/>
      <c r="G74" s="18"/>
      <c r="H74" s="18"/>
      <c r="I74" s="18"/>
      <c r="J74" s="18"/>
      <c r="K74" s="18"/>
      <c r="L74" s="18"/>
      <c r="P74" s="72"/>
      <c r="Q74" s="72"/>
      <c r="R74" s="72"/>
      <c r="S74" s="72"/>
      <c r="T74" s="72"/>
      <c r="U74" s="72"/>
      <c r="V74" s="72"/>
      <c r="W74" s="72"/>
      <c r="X74" s="72"/>
    </row>
    <row r="75" spans="4:24" ht="12.75" x14ac:dyDescent="0.2">
      <c r="D75" s="18"/>
      <c r="E75" s="18"/>
      <c r="F75" s="18"/>
      <c r="G75" s="18"/>
      <c r="H75" s="18"/>
      <c r="I75" s="18"/>
      <c r="J75" s="18"/>
      <c r="K75" s="18"/>
      <c r="L75" s="18"/>
      <c r="P75" s="72"/>
      <c r="Q75" s="72"/>
      <c r="R75" s="72"/>
      <c r="S75" s="72"/>
      <c r="T75" s="72"/>
      <c r="U75" s="72"/>
      <c r="V75" s="72"/>
      <c r="W75" s="72"/>
      <c r="X75" s="72"/>
    </row>
    <row r="76" spans="4:24" ht="12.75" x14ac:dyDescent="0.2">
      <c r="D76" s="18"/>
      <c r="E76" s="18"/>
      <c r="F76" s="18"/>
      <c r="G76" s="18"/>
      <c r="H76" s="18"/>
      <c r="I76" s="18"/>
      <c r="J76" s="18"/>
      <c r="K76" s="18"/>
      <c r="L76" s="18"/>
      <c r="P76" s="72"/>
      <c r="Q76" s="72"/>
      <c r="R76" s="72"/>
      <c r="S76" s="72"/>
      <c r="T76" s="72"/>
      <c r="U76" s="72"/>
      <c r="V76" s="72"/>
      <c r="W76" s="72"/>
      <c r="X76" s="72"/>
    </row>
    <row r="77" spans="4:24" ht="12.75" x14ac:dyDescent="0.2">
      <c r="D77" s="18"/>
      <c r="E77" s="18"/>
      <c r="F77" s="18"/>
      <c r="G77" s="18"/>
      <c r="H77" s="18"/>
      <c r="I77" s="18"/>
      <c r="J77" s="18"/>
      <c r="K77" s="18"/>
      <c r="L77" s="18"/>
    </row>
    <row r="78" spans="4:24" ht="12.75" x14ac:dyDescent="0.2">
      <c r="D78" s="18"/>
      <c r="E78" s="18"/>
      <c r="F78" s="18"/>
      <c r="G78" s="18"/>
      <c r="H78" s="18"/>
      <c r="I78" s="18"/>
      <c r="J78" s="18"/>
      <c r="K78" s="18"/>
      <c r="L78" s="18"/>
    </row>
    <row r="79" spans="4:24" ht="12.75" x14ac:dyDescent="0.2">
      <c r="D79" s="18"/>
      <c r="E79" s="18"/>
      <c r="F79" s="18"/>
      <c r="G79" s="18"/>
      <c r="H79" s="18"/>
      <c r="I79" s="18"/>
      <c r="J79" s="18"/>
      <c r="K79" s="18"/>
      <c r="L79" s="18"/>
    </row>
    <row r="80" spans="4:24" ht="12.75" x14ac:dyDescent="0.2">
      <c r="D80" s="18"/>
      <c r="E80" s="18"/>
      <c r="F80" s="18"/>
      <c r="G80" s="18"/>
      <c r="H80" s="18"/>
      <c r="I80" s="18"/>
      <c r="J80" s="18"/>
      <c r="K80" s="18"/>
      <c r="L80" s="18"/>
    </row>
    <row r="81" spans="4:12" ht="12.75" x14ac:dyDescent="0.2">
      <c r="D81" s="18"/>
      <c r="E81" s="18"/>
      <c r="F81" s="18"/>
      <c r="G81" s="18"/>
      <c r="H81" s="18"/>
      <c r="I81" s="18"/>
      <c r="J81" s="18"/>
      <c r="K81" s="18"/>
      <c r="L81" s="18"/>
    </row>
    <row r="82" spans="4:12" ht="12.75" x14ac:dyDescent="0.2">
      <c r="D82" s="18"/>
      <c r="E82" s="18"/>
      <c r="F82" s="18"/>
      <c r="G82" s="18"/>
      <c r="H82" s="18"/>
      <c r="I82" s="18"/>
      <c r="J82" s="18"/>
      <c r="K82" s="18"/>
      <c r="L82" s="18"/>
    </row>
    <row r="83" spans="4:12" ht="12.75" x14ac:dyDescent="0.2">
      <c r="D83" s="18"/>
      <c r="E83" s="18"/>
      <c r="F83" s="18"/>
      <c r="G83" s="18"/>
      <c r="H83" s="18"/>
      <c r="I83" s="18"/>
      <c r="J83" s="18"/>
      <c r="K83" s="18"/>
      <c r="L83" s="18"/>
    </row>
    <row r="84" spans="4:12" ht="12.75" x14ac:dyDescent="0.2">
      <c r="D84" s="18"/>
      <c r="E84" s="18"/>
      <c r="F84" s="18"/>
      <c r="G84" s="18"/>
      <c r="H84" s="18"/>
      <c r="I84" s="18"/>
      <c r="J84" s="18"/>
      <c r="K84" s="18"/>
      <c r="L84" s="18"/>
    </row>
    <row r="85" spans="4:12" ht="12.75" x14ac:dyDescent="0.2">
      <c r="D85" s="18"/>
      <c r="E85" s="18"/>
      <c r="F85" s="18"/>
      <c r="G85" s="18"/>
      <c r="H85" s="18"/>
      <c r="I85" s="18"/>
      <c r="J85" s="18"/>
      <c r="K85" s="18"/>
      <c r="L85" s="18"/>
    </row>
    <row r="86" spans="4:12" ht="12.75" x14ac:dyDescent="0.2">
      <c r="D86" s="18"/>
      <c r="E86" s="18"/>
      <c r="F86" s="18"/>
      <c r="G86" s="18"/>
      <c r="H86" s="18"/>
      <c r="I86" s="18"/>
      <c r="J86" s="18"/>
      <c r="K86" s="18"/>
      <c r="L86" s="18"/>
    </row>
    <row r="87" spans="4:12" ht="12.75" x14ac:dyDescent="0.2">
      <c r="D87" s="18"/>
      <c r="E87" s="18"/>
      <c r="F87" s="18"/>
      <c r="G87" s="18"/>
      <c r="H87" s="18"/>
      <c r="I87" s="18"/>
      <c r="J87" s="18"/>
      <c r="K87" s="18"/>
      <c r="L87" s="18"/>
    </row>
    <row r="88" spans="4:12" ht="12.75" x14ac:dyDescent="0.2"/>
    <row r="89" spans="4:12" ht="12.75" x14ac:dyDescent="0.2"/>
    <row r="90" spans="4:12" ht="12.75" x14ac:dyDescent="0.2">
      <c r="D90" s="18"/>
      <c r="E90" s="18"/>
      <c r="F90" s="18"/>
      <c r="G90" s="18"/>
      <c r="H90" s="18"/>
      <c r="I90" s="18"/>
      <c r="J90" s="18"/>
      <c r="K90" s="18"/>
    </row>
    <row r="91" spans="4:12" ht="12.75" customHeight="1" x14ac:dyDescent="0.2"/>
    <row r="92" spans="4:12" ht="12.75" customHeight="1" x14ac:dyDescent="0.2"/>
    <row r="93" spans="4:12" ht="12.75" customHeight="1" x14ac:dyDescent="0.2"/>
    <row r="94" spans="4:12" ht="12.75" customHeight="1" x14ac:dyDescent="0.2"/>
    <row r="95" spans="4:12" ht="12.75" customHeight="1" x14ac:dyDescent="0.2"/>
  </sheetData>
  <mergeCells count="19">
    <mergeCell ref="B1:AA1"/>
    <mergeCell ref="D2:Y2"/>
    <mergeCell ref="E3:U3"/>
    <mergeCell ref="D5:F5"/>
    <mergeCell ref="H5:J5"/>
    <mergeCell ref="L5:N5"/>
    <mergeCell ref="V48:X48"/>
    <mergeCell ref="V49:X49"/>
    <mergeCell ref="V50:X50"/>
    <mergeCell ref="V51:X51"/>
    <mergeCell ref="D36:E36"/>
    <mergeCell ref="H36:I36"/>
    <mergeCell ref="L36:M36"/>
    <mergeCell ref="P45:S45"/>
    <mergeCell ref="D46:E46"/>
    <mergeCell ref="H46:I46"/>
    <mergeCell ref="L46:M46"/>
    <mergeCell ref="U46:X46"/>
    <mergeCell ref="V47:X47"/>
  </mergeCells>
  <printOptions horizontalCentered="1" verticalCentered="1"/>
  <pageMargins left="0.70866141732283472" right="0.47244094488188981" top="0.55118110236220474" bottom="0.98425196850393704" header="0" footer="0"/>
  <pageSetup scale="36" orientation="landscape" r:id="rId1"/>
  <headerFooter alignWithMargins="0">
    <oddFooter>&amp;C&amp;P&amp;RElaborado por EQUILIBRIUM Inmobiliario S.A.S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>
    <tabColor theme="0" tint="-4.9989318521683403E-2"/>
    <pageSetUpPr fitToPage="1"/>
  </sheetPr>
  <dimension ref="A1:BL32"/>
  <sheetViews>
    <sheetView workbookViewId="0">
      <selection activeCell="J5" sqref="J5"/>
    </sheetView>
  </sheetViews>
  <sheetFormatPr baseColWidth="10" defaultColWidth="11.42578125" defaultRowHeight="12.75" x14ac:dyDescent="0.2"/>
  <cols>
    <col min="1" max="1" width="10.42578125" style="112" bestFit="1" customWidth="1"/>
    <col min="2" max="2" width="44.5703125" style="112" bestFit="1" customWidth="1"/>
    <col min="3" max="3" width="13.5703125" style="126" bestFit="1" customWidth="1"/>
    <col min="4" max="4" width="13.42578125" style="112" bestFit="1" customWidth="1"/>
    <col min="5" max="5" width="13.85546875" style="112" bestFit="1" customWidth="1"/>
    <col min="6" max="6" width="11.140625" style="112" bestFit="1" customWidth="1"/>
    <col min="7" max="7" width="10" style="112" bestFit="1" customWidth="1"/>
    <col min="8" max="8" width="6" style="112" bestFit="1" customWidth="1"/>
    <col min="9" max="9" width="10" style="67" bestFit="1" customWidth="1"/>
    <col min="10" max="10" width="14.5703125" style="67" bestFit="1" customWidth="1"/>
    <col min="11" max="11" width="7.42578125" style="67" bestFit="1" customWidth="1"/>
    <col min="12" max="12" width="2.5703125" style="67" bestFit="1" customWidth="1"/>
    <col min="13" max="13" width="10" style="67" bestFit="1" customWidth="1"/>
    <col min="14" max="14" width="21.5703125" style="67" bestFit="1" customWidth="1"/>
    <col min="15" max="15" width="10" style="67" bestFit="1" customWidth="1"/>
    <col min="16" max="16" width="2.5703125" style="67" bestFit="1" customWidth="1"/>
    <col min="17" max="17" width="10" style="67" bestFit="1" customWidth="1"/>
    <col min="18" max="18" width="12.5703125" style="67" bestFit="1" customWidth="1"/>
    <col min="19" max="19" width="10" style="67" bestFit="1" customWidth="1"/>
    <col min="20" max="20" width="6.42578125" style="67" bestFit="1" customWidth="1"/>
    <col min="21" max="21" width="10" style="67" bestFit="1" customWidth="1"/>
    <col min="22" max="64" width="11.42578125" style="65"/>
  </cols>
  <sheetData>
    <row r="1" spans="1:21" x14ac:dyDescent="0.2">
      <c r="A1" s="112" t="s">
        <v>109</v>
      </c>
      <c r="B1" s="112" t="s">
        <v>110</v>
      </c>
      <c r="C1" s="126" t="s">
        <v>128</v>
      </c>
      <c r="D1" s="112" t="s">
        <v>129</v>
      </c>
      <c r="E1" s="112" t="s">
        <v>130</v>
      </c>
      <c r="F1" s="112" t="s">
        <v>131</v>
      </c>
      <c r="I1" s="140"/>
      <c r="J1" s="140" t="s">
        <v>120</v>
      </c>
      <c r="K1" s="140"/>
      <c r="L1" s="140"/>
      <c r="M1" s="140"/>
      <c r="N1" s="140" t="s">
        <v>132</v>
      </c>
      <c r="O1" s="140"/>
      <c r="P1" s="140"/>
      <c r="Q1" s="140"/>
      <c r="R1" s="140" t="s">
        <v>133</v>
      </c>
      <c r="S1" s="140"/>
      <c r="T1" s="140"/>
      <c r="U1" s="140"/>
    </row>
    <row r="2" spans="1:21" x14ac:dyDescent="0.2">
      <c r="F2" s="112" t="s">
        <v>70</v>
      </c>
      <c r="G2" s="112" t="s">
        <v>39</v>
      </c>
      <c r="H2" s="112" t="s">
        <v>134</v>
      </c>
      <c r="I2" s="140" t="s">
        <v>135</v>
      </c>
      <c r="J2" s="140" t="s">
        <v>70</v>
      </c>
      <c r="K2" s="140" t="s">
        <v>39</v>
      </c>
      <c r="L2" s="140" t="s">
        <v>134</v>
      </c>
      <c r="M2" s="140" t="s">
        <v>135</v>
      </c>
      <c r="N2" s="140" t="s">
        <v>136</v>
      </c>
      <c r="O2" s="140" t="s">
        <v>137</v>
      </c>
      <c r="P2" s="140" t="s">
        <v>134</v>
      </c>
      <c r="Q2" s="140" t="s">
        <v>138</v>
      </c>
      <c r="R2" s="140" t="s">
        <v>136</v>
      </c>
      <c r="S2" s="140" t="s">
        <v>137</v>
      </c>
      <c r="T2" s="140" t="s">
        <v>139</v>
      </c>
      <c r="U2" s="140" t="s">
        <v>138</v>
      </c>
    </row>
    <row r="3" spans="1:21" x14ac:dyDescent="0.2">
      <c r="A3" s="140" t="s">
        <v>188</v>
      </c>
      <c r="B3" s="112" t="s">
        <v>191</v>
      </c>
      <c r="C3" s="126">
        <v>230448000</v>
      </c>
      <c r="F3" s="112">
        <v>120000000</v>
      </c>
      <c r="I3" s="140">
        <v>120000000</v>
      </c>
      <c r="J3" s="140">
        <v>92400000</v>
      </c>
      <c r="K3" s="140"/>
      <c r="L3" s="140"/>
      <c r="M3" s="140">
        <v>92400000</v>
      </c>
      <c r="N3" s="140">
        <v>212400000</v>
      </c>
      <c r="O3" s="140"/>
      <c r="P3" s="140"/>
      <c r="Q3" s="140">
        <v>212400000</v>
      </c>
      <c r="R3" s="140">
        <v>212400000</v>
      </c>
      <c r="S3" s="140"/>
      <c r="T3" s="140"/>
      <c r="U3" s="140">
        <v>212400000</v>
      </c>
    </row>
    <row r="4" spans="1:21" x14ac:dyDescent="0.2">
      <c r="A4" s="112" t="s">
        <v>111</v>
      </c>
      <c r="B4" s="112" t="s">
        <v>115</v>
      </c>
      <c r="C4" s="126">
        <v>226084500</v>
      </c>
      <c r="F4" s="112">
        <v>68084500</v>
      </c>
      <c r="G4" s="112">
        <v>19696250</v>
      </c>
      <c r="I4" s="140">
        <v>48388250</v>
      </c>
      <c r="J4" s="140">
        <v>158000000</v>
      </c>
      <c r="K4" s="140"/>
      <c r="L4" s="140"/>
      <c r="M4" s="140">
        <v>158000000</v>
      </c>
      <c r="N4" s="140">
        <v>226084500</v>
      </c>
      <c r="O4" s="140">
        <v>19696250</v>
      </c>
      <c r="P4" s="140"/>
      <c r="Q4" s="140">
        <v>206388250</v>
      </c>
      <c r="R4" s="140">
        <v>226084500</v>
      </c>
      <c r="S4" s="140">
        <v>19696250</v>
      </c>
      <c r="T4" s="140"/>
      <c r="U4" s="140">
        <v>206388250</v>
      </c>
    </row>
    <row r="5" spans="1:21" x14ac:dyDescent="0.2">
      <c r="A5" s="112" t="s">
        <v>189</v>
      </c>
      <c r="B5" s="112" t="s">
        <v>155</v>
      </c>
      <c r="C5" s="127">
        <v>243084500</v>
      </c>
      <c r="F5" s="112">
        <v>238778925</v>
      </c>
      <c r="G5" s="112">
        <v>29000000</v>
      </c>
      <c r="I5" s="140">
        <v>209778925</v>
      </c>
      <c r="J5" s="140"/>
      <c r="K5" s="140"/>
      <c r="L5" s="140"/>
      <c r="M5" s="140"/>
      <c r="N5" s="140">
        <v>238778925</v>
      </c>
      <c r="O5" s="140">
        <v>29000000</v>
      </c>
      <c r="P5" s="140"/>
      <c r="Q5" s="140">
        <v>209778925</v>
      </c>
      <c r="R5" s="140">
        <v>238778925</v>
      </c>
      <c r="S5" s="140">
        <v>29000000</v>
      </c>
      <c r="T5" s="140"/>
      <c r="U5" s="140">
        <v>209778925</v>
      </c>
    </row>
    <row r="6" spans="1:21" x14ac:dyDescent="0.2">
      <c r="A6" s="112" t="s">
        <v>162</v>
      </c>
      <c r="B6" s="112" t="s">
        <v>156</v>
      </c>
      <c r="C6" s="127">
        <v>230564500</v>
      </c>
      <c r="F6" s="112">
        <v>80700000</v>
      </c>
      <c r="G6" s="112">
        <v>1500000</v>
      </c>
      <c r="I6" s="140">
        <v>79200000</v>
      </c>
      <c r="J6" s="140">
        <v>149864500</v>
      </c>
      <c r="K6" s="140"/>
      <c r="L6" s="140"/>
      <c r="M6" s="140">
        <v>149864500</v>
      </c>
      <c r="N6" s="140">
        <v>230564500</v>
      </c>
      <c r="O6" s="140">
        <v>1500000</v>
      </c>
      <c r="P6" s="140"/>
      <c r="Q6" s="140">
        <v>229064500</v>
      </c>
      <c r="R6" s="140">
        <v>230564500</v>
      </c>
      <c r="S6" s="140">
        <v>1500000</v>
      </c>
      <c r="T6" s="140"/>
      <c r="U6" s="140">
        <v>229064500</v>
      </c>
    </row>
    <row r="7" spans="1:21" x14ac:dyDescent="0.2">
      <c r="A7" s="140" t="s">
        <v>167</v>
      </c>
      <c r="B7" s="112" t="s">
        <v>174</v>
      </c>
      <c r="C7" s="127">
        <v>230272000</v>
      </c>
      <c r="F7" s="112">
        <v>66200000</v>
      </c>
      <c r="G7" s="112">
        <v>15200000</v>
      </c>
      <c r="I7" s="140">
        <v>51000000</v>
      </c>
      <c r="J7" s="140">
        <v>154072000</v>
      </c>
      <c r="K7" s="140"/>
      <c r="L7" s="140"/>
      <c r="M7" s="140">
        <v>154072000</v>
      </c>
      <c r="N7" s="140">
        <v>220272000</v>
      </c>
      <c r="O7" s="140">
        <v>15200000</v>
      </c>
      <c r="P7" s="140"/>
      <c r="Q7" s="140">
        <v>205072000</v>
      </c>
      <c r="R7" s="140">
        <v>220272000</v>
      </c>
      <c r="S7" s="140">
        <v>15200000</v>
      </c>
      <c r="T7" s="140"/>
      <c r="U7" s="140">
        <v>205072000</v>
      </c>
    </row>
    <row r="8" spans="1:21" x14ac:dyDescent="0.2">
      <c r="A8" s="112" t="s">
        <v>143</v>
      </c>
      <c r="B8" s="112" t="s">
        <v>148</v>
      </c>
      <c r="C8" s="127">
        <v>222084500</v>
      </c>
      <c r="F8" s="112">
        <v>64500000</v>
      </c>
      <c r="G8" s="112">
        <v>60000000</v>
      </c>
      <c r="I8" s="140">
        <v>4500000</v>
      </c>
      <c r="J8" s="140">
        <v>150500000</v>
      </c>
      <c r="K8" s="140"/>
      <c r="L8" s="140"/>
      <c r="M8" s="140">
        <v>150500000</v>
      </c>
      <c r="N8" s="140">
        <v>215000000</v>
      </c>
      <c r="O8" s="140">
        <v>60000000</v>
      </c>
      <c r="P8" s="140"/>
      <c r="Q8" s="140">
        <v>155000000</v>
      </c>
      <c r="R8" s="140">
        <v>215000000</v>
      </c>
      <c r="S8" s="140">
        <v>60000000</v>
      </c>
      <c r="T8" s="140"/>
      <c r="U8" s="140">
        <v>155000000</v>
      </c>
    </row>
    <row r="9" spans="1:21" x14ac:dyDescent="0.2">
      <c r="A9" s="112" t="s">
        <v>163</v>
      </c>
      <c r="B9" s="112" t="s">
        <v>157</v>
      </c>
      <c r="C9" s="127">
        <v>172904000</v>
      </c>
      <c r="F9" s="112">
        <v>155907822</v>
      </c>
      <c r="G9" s="112">
        <v>148302675</v>
      </c>
      <c r="I9" s="140">
        <v>7605147</v>
      </c>
      <c r="J9" s="140"/>
      <c r="K9" s="140"/>
      <c r="L9" s="140"/>
      <c r="M9" s="140"/>
      <c r="N9" s="140">
        <v>155907822</v>
      </c>
      <c r="O9" s="140">
        <v>148302675</v>
      </c>
      <c r="P9" s="140"/>
      <c r="Q9" s="140">
        <v>7605147</v>
      </c>
      <c r="R9" s="140">
        <v>155907822</v>
      </c>
      <c r="S9" s="140">
        <v>148302675</v>
      </c>
      <c r="T9" s="140"/>
      <c r="U9" s="140">
        <v>7605147</v>
      </c>
    </row>
    <row r="10" spans="1:21" x14ac:dyDescent="0.2">
      <c r="A10" s="112" t="s">
        <v>144</v>
      </c>
      <c r="B10" s="112" t="s">
        <v>149</v>
      </c>
      <c r="C10" s="127">
        <v>172904000</v>
      </c>
      <c r="F10" s="112">
        <v>51374690</v>
      </c>
      <c r="G10" s="112">
        <v>11600000</v>
      </c>
      <c r="I10" s="140">
        <v>39774690</v>
      </c>
      <c r="J10" s="140">
        <v>119800000</v>
      </c>
      <c r="K10" s="140"/>
      <c r="L10" s="140"/>
      <c r="M10" s="140">
        <v>119800000</v>
      </c>
      <c r="N10" s="140">
        <v>171174690</v>
      </c>
      <c r="O10" s="140">
        <v>11600000</v>
      </c>
      <c r="P10" s="140"/>
      <c r="Q10" s="140">
        <v>159574690</v>
      </c>
      <c r="R10" s="140">
        <v>171174690</v>
      </c>
      <c r="S10" s="140">
        <v>11600000</v>
      </c>
      <c r="T10" s="140"/>
      <c r="U10" s="140">
        <v>159574690</v>
      </c>
    </row>
    <row r="11" spans="1:21" x14ac:dyDescent="0.2">
      <c r="A11" s="112" t="s">
        <v>112</v>
      </c>
      <c r="B11" s="112" t="s">
        <v>116</v>
      </c>
      <c r="C11" s="127">
        <v>172904000</v>
      </c>
      <c r="F11" s="112">
        <v>65406896</v>
      </c>
      <c r="G11" s="112">
        <v>65406896</v>
      </c>
      <c r="I11" s="140"/>
      <c r="J11" s="140">
        <v>103742400</v>
      </c>
      <c r="K11" s="140"/>
      <c r="L11" s="140"/>
      <c r="M11" s="140">
        <v>103742400</v>
      </c>
      <c r="N11" s="140">
        <v>169149296</v>
      </c>
      <c r="O11" s="140">
        <v>65406896</v>
      </c>
      <c r="P11" s="140"/>
      <c r="Q11" s="140">
        <v>103742400</v>
      </c>
      <c r="R11" s="140">
        <v>169149296</v>
      </c>
      <c r="S11" s="140">
        <v>65406896</v>
      </c>
      <c r="T11" s="140"/>
      <c r="U11" s="140">
        <v>103742400</v>
      </c>
    </row>
    <row r="12" spans="1:21" x14ac:dyDescent="0.2">
      <c r="A12" s="112" t="s">
        <v>190</v>
      </c>
      <c r="B12" s="112" t="s">
        <v>192</v>
      </c>
      <c r="C12" s="127">
        <v>183368000</v>
      </c>
      <c r="F12" s="112">
        <v>86000000</v>
      </c>
      <c r="G12" s="112">
        <v>5000000</v>
      </c>
      <c r="I12" s="140">
        <v>81000000</v>
      </c>
      <c r="J12" s="140">
        <v>86970575</v>
      </c>
      <c r="K12" s="140"/>
      <c r="L12" s="140"/>
      <c r="M12" s="140">
        <v>86970575</v>
      </c>
      <c r="N12" s="140">
        <v>172970575</v>
      </c>
      <c r="O12" s="140">
        <v>5000000</v>
      </c>
      <c r="P12" s="140"/>
      <c r="Q12" s="140">
        <v>167970575</v>
      </c>
      <c r="R12" s="140">
        <v>172970575</v>
      </c>
      <c r="S12" s="140">
        <v>5000000</v>
      </c>
      <c r="T12" s="140"/>
      <c r="U12" s="140">
        <v>167970575</v>
      </c>
    </row>
    <row r="13" spans="1:21" x14ac:dyDescent="0.2">
      <c r="A13" s="112" t="s">
        <v>113</v>
      </c>
      <c r="B13" s="112" t="s">
        <v>117</v>
      </c>
      <c r="C13" s="127">
        <v>176904000</v>
      </c>
      <c r="F13" s="112">
        <v>52065920</v>
      </c>
      <c r="G13" s="112">
        <v>15184164</v>
      </c>
      <c r="H13" s="112">
        <v>30158</v>
      </c>
      <c r="I13" s="140">
        <v>36851598</v>
      </c>
      <c r="J13" s="140">
        <v>121300000</v>
      </c>
      <c r="K13" s="140"/>
      <c r="L13" s="140"/>
      <c r="M13" s="140">
        <v>121300000</v>
      </c>
      <c r="N13" s="140">
        <v>173365920</v>
      </c>
      <c r="O13" s="140">
        <v>15184164</v>
      </c>
      <c r="P13" s="140">
        <v>30158</v>
      </c>
      <c r="Q13" s="140">
        <v>158151598</v>
      </c>
      <c r="R13" s="140">
        <v>173365920</v>
      </c>
      <c r="S13" s="140">
        <v>15184164</v>
      </c>
      <c r="T13" s="140">
        <v>30158</v>
      </c>
      <c r="U13" s="140">
        <v>158151598</v>
      </c>
    </row>
    <row r="14" spans="1:21" x14ac:dyDescent="0.2">
      <c r="A14" s="112" t="s">
        <v>145</v>
      </c>
      <c r="B14" s="112" t="s">
        <v>150</v>
      </c>
      <c r="C14" s="127">
        <v>168904000</v>
      </c>
      <c r="F14" s="112">
        <v>68000000</v>
      </c>
      <c r="G14" s="112">
        <v>22000000</v>
      </c>
      <c r="I14" s="140">
        <v>46000000</v>
      </c>
      <c r="J14" s="140">
        <v>100904000</v>
      </c>
      <c r="K14" s="140"/>
      <c r="L14" s="140"/>
      <c r="M14" s="140">
        <v>100904000</v>
      </c>
      <c r="N14" s="140">
        <v>168904000</v>
      </c>
      <c r="O14" s="140">
        <v>22000000</v>
      </c>
      <c r="P14" s="140"/>
      <c r="Q14" s="140">
        <v>146904000</v>
      </c>
      <c r="R14" s="140">
        <v>168904000</v>
      </c>
      <c r="S14" s="140">
        <v>22000000</v>
      </c>
      <c r="T14" s="140"/>
      <c r="U14" s="140">
        <v>146904000</v>
      </c>
    </row>
    <row r="15" spans="1:21" x14ac:dyDescent="0.2">
      <c r="A15" s="112" t="s">
        <v>141</v>
      </c>
      <c r="B15" s="112" t="s">
        <v>140</v>
      </c>
      <c r="C15" s="126">
        <v>172904000</v>
      </c>
      <c r="F15" s="112">
        <v>57500000</v>
      </c>
      <c r="G15" s="112">
        <v>27500000</v>
      </c>
      <c r="I15" s="140">
        <v>30000000</v>
      </c>
      <c r="J15" s="140">
        <v>115404000</v>
      </c>
      <c r="K15" s="140"/>
      <c r="L15" s="140"/>
      <c r="M15" s="140">
        <v>115404000</v>
      </c>
      <c r="N15" s="140">
        <v>172904000</v>
      </c>
      <c r="O15" s="140">
        <v>27500000</v>
      </c>
      <c r="P15" s="140"/>
      <c r="Q15" s="140">
        <v>145404000</v>
      </c>
      <c r="R15" s="140">
        <v>172904000</v>
      </c>
      <c r="S15" s="140">
        <v>27500000</v>
      </c>
      <c r="T15" s="140"/>
      <c r="U15" s="140">
        <v>145404000</v>
      </c>
    </row>
    <row r="16" spans="1:21" x14ac:dyDescent="0.2">
      <c r="A16" s="112" t="s">
        <v>114</v>
      </c>
      <c r="B16" s="112" t="s">
        <v>118</v>
      </c>
      <c r="C16" s="126">
        <v>172904000</v>
      </c>
      <c r="F16" s="112">
        <v>155206987</v>
      </c>
      <c r="G16" s="112">
        <v>67945812</v>
      </c>
      <c r="H16" s="112">
        <v>54188</v>
      </c>
      <c r="I16" s="140">
        <v>87206987</v>
      </c>
      <c r="J16" s="140"/>
      <c r="K16" s="140"/>
      <c r="L16" s="140"/>
      <c r="M16" s="140"/>
      <c r="N16" s="140">
        <v>155206987</v>
      </c>
      <c r="O16" s="140">
        <v>67945812</v>
      </c>
      <c r="P16" s="140">
        <v>54188</v>
      </c>
      <c r="Q16" s="140">
        <v>87206987</v>
      </c>
      <c r="R16" s="140">
        <v>155206987</v>
      </c>
      <c r="S16" s="140">
        <v>67945812</v>
      </c>
      <c r="T16" s="140">
        <v>54188</v>
      </c>
      <c r="U16" s="140">
        <v>87206987</v>
      </c>
    </row>
    <row r="17" spans="1:21" x14ac:dyDescent="0.2">
      <c r="A17" s="112" t="s">
        <v>168</v>
      </c>
      <c r="B17" s="112" t="s">
        <v>175</v>
      </c>
      <c r="C17" s="126">
        <v>267710500</v>
      </c>
      <c r="F17" s="112">
        <v>236000000</v>
      </c>
      <c r="G17" s="112">
        <v>4000000</v>
      </c>
      <c r="I17" s="140">
        <v>232000000</v>
      </c>
      <c r="J17" s="140">
        <v>27158962</v>
      </c>
      <c r="K17" s="140"/>
      <c r="L17" s="140"/>
      <c r="M17" s="140">
        <v>27158962</v>
      </c>
      <c r="N17" s="140">
        <v>263158962</v>
      </c>
      <c r="O17" s="140">
        <v>4000000</v>
      </c>
      <c r="P17" s="140"/>
      <c r="Q17" s="140">
        <v>259158962</v>
      </c>
      <c r="R17" s="140">
        <v>263158962</v>
      </c>
      <c r="S17" s="140">
        <v>4000000</v>
      </c>
      <c r="T17" s="140"/>
      <c r="U17" s="140">
        <v>259158962</v>
      </c>
    </row>
    <row r="18" spans="1:21" x14ac:dyDescent="0.2">
      <c r="A18" s="112" t="s">
        <v>169</v>
      </c>
      <c r="B18" s="112" t="s">
        <v>176</v>
      </c>
      <c r="C18" s="126">
        <v>292184000</v>
      </c>
      <c r="F18" s="112">
        <v>268233490</v>
      </c>
      <c r="G18" s="112">
        <v>120000000</v>
      </c>
      <c r="I18" s="140">
        <v>148233490</v>
      </c>
      <c r="J18" s="140"/>
      <c r="K18" s="140"/>
      <c r="L18" s="140"/>
      <c r="M18" s="140"/>
      <c r="N18" s="140">
        <v>268233490</v>
      </c>
      <c r="O18" s="140">
        <v>120000000</v>
      </c>
      <c r="P18" s="140"/>
      <c r="Q18" s="140">
        <v>148233490</v>
      </c>
      <c r="R18" s="140">
        <v>268233490</v>
      </c>
      <c r="S18" s="140">
        <v>120000000</v>
      </c>
      <c r="T18" s="140"/>
      <c r="U18" s="140">
        <v>148233490</v>
      </c>
    </row>
    <row r="19" spans="1:21" x14ac:dyDescent="0.2">
      <c r="A19" s="112" t="s">
        <v>170</v>
      </c>
      <c r="B19" s="112" t="s">
        <v>177</v>
      </c>
      <c r="C19" s="126">
        <v>292184000</v>
      </c>
      <c r="F19" s="112">
        <v>114600000</v>
      </c>
      <c r="G19" s="112">
        <v>90000000</v>
      </c>
      <c r="I19" s="140">
        <v>24600000</v>
      </c>
      <c r="J19" s="140">
        <v>156000000</v>
      </c>
      <c r="K19" s="140"/>
      <c r="L19" s="140"/>
      <c r="M19" s="140">
        <v>156000000</v>
      </c>
      <c r="N19" s="140">
        <v>270600000</v>
      </c>
      <c r="O19" s="140">
        <v>90000000</v>
      </c>
      <c r="P19" s="140"/>
      <c r="Q19" s="140">
        <v>180600000</v>
      </c>
      <c r="R19" s="140">
        <v>270600000</v>
      </c>
      <c r="S19" s="140">
        <v>90000000</v>
      </c>
      <c r="T19" s="140"/>
      <c r="U19" s="140">
        <v>180600000</v>
      </c>
    </row>
    <row r="20" spans="1:21" x14ac:dyDescent="0.2">
      <c r="A20" s="112" t="s">
        <v>183</v>
      </c>
      <c r="B20" s="112" t="s">
        <v>158</v>
      </c>
      <c r="C20" s="126">
        <v>279893500</v>
      </c>
      <c r="F20" s="112">
        <v>84000000</v>
      </c>
      <c r="G20" s="112">
        <v>3000000</v>
      </c>
      <c r="I20" s="140">
        <v>81000000</v>
      </c>
      <c r="J20" s="140">
        <v>195893500</v>
      </c>
      <c r="K20" s="140"/>
      <c r="L20" s="140"/>
      <c r="M20" s="140">
        <v>195893500</v>
      </c>
      <c r="N20" s="140">
        <v>279893500</v>
      </c>
      <c r="O20" s="140">
        <v>3000000</v>
      </c>
      <c r="P20" s="140"/>
      <c r="Q20" s="140">
        <v>276893500</v>
      </c>
      <c r="R20" s="140">
        <v>279893500</v>
      </c>
      <c r="S20" s="140">
        <v>3000000</v>
      </c>
      <c r="T20" s="140"/>
      <c r="U20" s="140">
        <v>276893500</v>
      </c>
    </row>
    <row r="21" spans="1:21" x14ac:dyDescent="0.2">
      <c r="A21" s="112" t="s">
        <v>164</v>
      </c>
      <c r="B21" s="112" t="s">
        <v>159</v>
      </c>
      <c r="C21" s="126">
        <v>351770000</v>
      </c>
      <c r="F21" s="112">
        <v>138500000</v>
      </c>
      <c r="G21" s="112">
        <v>14000000</v>
      </c>
      <c r="I21" s="140">
        <v>124500000</v>
      </c>
      <c r="J21" s="140">
        <v>209270000</v>
      </c>
      <c r="K21" s="140"/>
      <c r="L21" s="140"/>
      <c r="M21" s="140">
        <v>209270000</v>
      </c>
      <c r="N21" s="140">
        <v>347770000</v>
      </c>
      <c r="O21" s="140">
        <v>14000000</v>
      </c>
      <c r="P21" s="140"/>
      <c r="Q21" s="140">
        <v>333770000</v>
      </c>
      <c r="R21" s="140">
        <v>347770000</v>
      </c>
      <c r="S21" s="140">
        <v>14000000</v>
      </c>
      <c r="T21" s="140"/>
      <c r="U21" s="140">
        <v>333770000</v>
      </c>
    </row>
    <row r="22" spans="1:21" x14ac:dyDescent="0.2">
      <c r="A22" s="112" t="s">
        <v>171</v>
      </c>
      <c r="B22" s="112" t="s">
        <v>178</v>
      </c>
      <c r="C22" s="126">
        <v>359225000</v>
      </c>
      <c r="F22" s="112">
        <v>155500000</v>
      </c>
      <c r="G22" s="112">
        <v>100000000</v>
      </c>
      <c r="I22" s="140">
        <v>55500000</v>
      </c>
      <c r="J22" s="140">
        <v>189929931</v>
      </c>
      <c r="K22" s="140"/>
      <c r="L22" s="140"/>
      <c r="M22" s="140">
        <v>189929931</v>
      </c>
      <c r="N22" s="140">
        <v>345429931</v>
      </c>
      <c r="O22" s="140">
        <v>100000000</v>
      </c>
      <c r="P22" s="140"/>
      <c r="Q22" s="140">
        <v>245429931</v>
      </c>
      <c r="R22" s="140">
        <v>345429931</v>
      </c>
      <c r="S22" s="140">
        <v>100000000</v>
      </c>
      <c r="T22" s="140"/>
      <c r="U22" s="140">
        <v>245429931</v>
      </c>
    </row>
    <row r="23" spans="1:21" x14ac:dyDescent="0.2">
      <c r="A23" s="112" t="s">
        <v>172</v>
      </c>
      <c r="B23" s="112" t="s">
        <v>180</v>
      </c>
      <c r="C23" s="126">
        <v>371537500</v>
      </c>
      <c r="F23" s="112">
        <v>148615000</v>
      </c>
      <c r="G23" s="112">
        <v>28913428</v>
      </c>
      <c r="I23" s="140">
        <v>119701572</v>
      </c>
      <c r="J23" s="140">
        <v>222922500</v>
      </c>
      <c r="K23" s="140"/>
      <c r="L23" s="140"/>
      <c r="M23" s="140">
        <v>222922500</v>
      </c>
      <c r="N23" s="140">
        <v>371537500</v>
      </c>
      <c r="O23" s="140">
        <v>28913428</v>
      </c>
      <c r="P23" s="140"/>
      <c r="Q23" s="140">
        <v>342624072</v>
      </c>
      <c r="R23" s="140">
        <v>371537500</v>
      </c>
      <c r="S23" s="140">
        <v>28913428</v>
      </c>
      <c r="T23" s="140"/>
      <c r="U23" s="140">
        <v>342624072</v>
      </c>
    </row>
    <row r="24" spans="1:21" x14ac:dyDescent="0.2">
      <c r="A24" s="112" t="s">
        <v>165</v>
      </c>
      <c r="B24" s="112" t="s">
        <v>160</v>
      </c>
      <c r="C24" s="126">
        <v>360910000</v>
      </c>
      <c r="F24" s="112">
        <v>220000000</v>
      </c>
      <c r="G24" s="112">
        <v>220000000</v>
      </c>
      <c r="I24" s="140"/>
      <c r="J24" s="140">
        <v>116392692</v>
      </c>
      <c r="K24" s="140"/>
      <c r="L24" s="140"/>
      <c r="M24" s="140">
        <v>116392692</v>
      </c>
      <c r="N24" s="140">
        <v>336392692</v>
      </c>
      <c r="O24" s="140">
        <v>220000000</v>
      </c>
      <c r="P24" s="140"/>
      <c r="Q24" s="140">
        <v>116392692</v>
      </c>
      <c r="R24" s="140">
        <v>336392692</v>
      </c>
      <c r="S24" s="140">
        <v>220000000</v>
      </c>
      <c r="T24" s="140"/>
      <c r="U24" s="140">
        <v>116392692</v>
      </c>
    </row>
    <row r="25" spans="1:21" x14ac:dyDescent="0.2">
      <c r="A25" s="112" t="s">
        <v>146</v>
      </c>
      <c r="B25" s="112" t="s">
        <v>179</v>
      </c>
      <c r="C25" s="126">
        <v>367995000</v>
      </c>
      <c r="F25" s="112">
        <v>145261500</v>
      </c>
      <c r="G25" s="112">
        <v>2000000</v>
      </c>
      <c r="I25" s="140">
        <v>143261500</v>
      </c>
      <c r="J25" s="140">
        <v>214683500</v>
      </c>
      <c r="K25" s="140"/>
      <c r="L25" s="140"/>
      <c r="M25" s="140">
        <v>214683500</v>
      </c>
      <c r="N25" s="140">
        <v>359945000</v>
      </c>
      <c r="O25" s="140">
        <v>2000000</v>
      </c>
      <c r="P25" s="140"/>
      <c r="Q25" s="140">
        <v>357945000</v>
      </c>
      <c r="R25" s="140">
        <v>359945000</v>
      </c>
      <c r="S25" s="140">
        <v>2000000</v>
      </c>
      <c r="T25" s="140"/>
      <c r="U25" s="140">
        <v>357945000</v>
      </c>
    </row>
    <row r="26" spans="1:21" x14ac:dyDescent="0.2">
      <c r="A26" s="112" t="s">
        <v>184</v>
      </c>
      <c r="B26" s="112" t="s">
        <v>151</v>
      </c>
      <c r="C26" s="126">
        <v>363910000</v>
      </c>
      <c r="F26" s="112">
        <v>142000000</v>
      </c>
      <c r="G26" s="112">
        <v>33370000</v>
      </c>
      <c r="I26" s="140">
        <v>108630000</v>
      </c>
      <c r="J26" s="140">
        <v>213000000</v>
      </c>
      <c r="K26" s="140"/>
      <c r="L26" s="140"/>
      <c r="M26" s="140">
        <v>213000000</v>
      </c>
      <c r="N26" s="140">
        <v>355000000</v>
      </c>
      <c r="O26" s="140">
        <v>33370000</v>
      </c>
      <c r="P26" s="140"/>
      <c r="Q26" s="140">
        <v>321630000</v>
      </c>
      <c r="R26" s="140">
        <v>355000000</v>
      </c>
      <c r="S26" s="140">
        <v>33370000</v>
      </c>
      <c r="T26" s="140"/>
      <c r="U26" s="140">
        <v>321630000</v>
      </c>
    </row>
    <row r="27" spans="1:21" x14ac:dyDescent="0.2">
      <c r="A27" s="112" t="s">
        <v>185</v>
      </c>
      <c r="B27" s="112" t="s">
        <v>152</v>
      </c>
      <c r="C27" s="126">
        <v>363910000</v>
      </c>
      <c r="F27" s="112">
        <v>142000000</v>
      </c>
      <c r="G27" s="112">
        <v>33370000</v>
      </c>
      <c r="I27" s="140">
        <v>108630000</v>
      </c>
      <c r="J27" s="140">
        <v>213000000</v>
      </c>
      <c r="K27" s="140"/>
      <c r="L27" s="140"/>
      <c r="M27" s="140">
        <v>213000000</v>
      </c>
      <c r="N27" s="140">
        <v>355000000</v>
      </c>
      <c r="O27" s="140">
        <v>33370000</v>
      </c>
      <c r="P27" s="140"/>
      <c r="Q27" s="140">
        <v>321630000</v>
      </c>
      <c r="R27" s="140">
        <v>355000000</v>
      </c>
      <c r="S27" s="140">
        <v>33370000</v>
      </c>
      <c r="T27" s="140"/>
      <c r="U27" s="140">
        <v>321630000</v>
      </c>
    </row>
    <row r="28" spans="1:21" x14ac:dyDescent="0.2">
      <c r="A28" s="112" t="s">
        <v>173</v>
      </c>
      <c r="B28" s="112" t="s">
        <v>181</v>
      </c>
      <c r="C28" s="126">
        <v>330782500</v>
      </c>
      <c r="F28" s="112">
        <v>307000000</v>
      </c>
      <c r="G28" s="112">
        <v>38000000</v>
      </c>
      <c r="I28" s="140">
        <v>269000000</v>
      </c>
      <c r="J28" s="140"/>
      <c r="K28" s="140"/>
      <c r="L28" s="140"/>
      <c r="M28" s="140"/>
      <c r="N28" s="140">
        <v>307000000</v>
      </c>
      <c r="O28" s="140">
        <v>38000000</v>
      </c>
      <c r="P28" s="140"/>
      <c r="Q28" s="140">
        <v>269000000</v>
      </c>
      <c r="R28" s="140">
        <v>307000000</v>
      </c>
      <c r="S28" s="140">
        <v>38000000</v>
      </c>
      <c r="T28" s="140"/>
      <c r="U28" s="140">
        <v>269000000</v>
      </c>
    </row>
    <row r="29" spans="1:21" x14ac:dyDescent="0.2">
      <c r="A29" s="112" t="s">
        <v>147</v>
      </c>
      <c r="B29" s="112" t="s">
        <v>193</v>
      </c>
      <c r="C29" s="126">
        <v>336896000</v>
      </c>
      <c r="F29" s="112">
        <v>101068800</v>
      </c>
      <c r="G29" s="112">
        <v>1000000</v>
      </c>
      <c r="I29" s="140">
        <v>100068800</v>
      </c>
      <c r="J29" s="140">
        <v>235827200</v>
      </c>
      <c r="K29" s="140"/>
      <c r="L29" s="140"/>
      <c r="M29" s="140">
        <v>235827200</v>
      </c>
      <c r="N29" s="140">
        <v>336896000</v>
      </c>
      <c r="O29" s="140">
        <v>1000000</v>
      </c>
      <c r="P29" s="140"/>
      <c r="Q29" s="140">
        <v>335896000</v>
      </c>
      <c r="R29" s="140">
        <v>336896000</v>
      </c>
      <c r="S29" s="140">
        <v>1000000</v>
      </c>
      <c r="T29" s="140"/>
      <c r="U29" s="140">
        <v>335896000</v>
      </c>
    </row>
    <row r="30" spans="1:21" x14ac:dyDescent="0.2">
      <c r="A30" s="112" t="s">
        <v>186</v>
      </c>
      <c r="B30" s="112" t="s">
        <v>182</v>
      </c>
      <c r="C30" s="126">
        <v>333782500</v>
      </c>
      <c r="F30" s="112">
        <v>198151300</v>
      </c>
      <c r="G30" s="112">
        <v>16951300</v>
      </c>
      <c r="I30" s="140">
        <v>181200000</v>
      </c>
      <c r="J30" s="140">
        <v>133661178</v>
      </c>
      <c r="K30" s="140"/>
      <c r="L30" s="140"/>
      <c r="M30" s="140">
        <v>133661178</v>
      </c>
      <c r="N30" s="140">
        <v>331812478</v>
      </c>
      <c r="O30" s="140">
        <v>16951300</v>
      </c>
      <c r="P30" s="140"/>
      <c r="Q30" s="140">
        <v>314861178</v>
      </c>
      <c r="R30" s="140">
        <v>331812478</v>
      </c>
      <c r="S30" s="140">
        <v>16951300</v>
      </c>
      <c r="T30" s="140"/>
      <c r="U30" s="140">
        <v>314861178</v>
      </c>
    </row>
    <row r="31" spans="1:21" x14ac:dyDescent="0.2">
      <c r="A31" s="112" t="s">
        <v>187</v>
      </c>
      <c r="B31" s="112" t="s">
        <v>153</v>
      </c>
      <c r="C31" s="126">
        <v>324442000</v>
      </c>
      <c r="F31" s="112">
        <v>130000000</v>
      </c>
      <c r="G31" s="112">
        <v>45000000</v>
      </c>
      <c r="I31" s="140">
        <v>85000000</v>
      </c>
      <c r="J31" s="140">
        <v>182666122</v>
      </c>
      <c r="K31" s="140"/>
      <c r="L31" s="140"/>
      <c r="M31" s="140">
        <v>182666122</v>
      </c>
      <c r="N31" s="140">
        <v>312666122</v>
      </c>
      <c r="O31" s="140">
        <v>45000000</v>
      </c>
      <c r="P31" s="140"/>
      <c r="Q31" s="140">
        <v>267666122</v>
      </c>
      <c r="R31" s="140">
        <v>312666122</v>
      </c>
      <c r="S31" s="140">
        <v>45000000</v>
      </c>
      <c r="T31" s="140"/>
      <c r="U31" s="140">
        <v>267666122</v>
      </c>
    </row>
    <row r="32" spans="1:21" x14ac:dyDescent="0.2">
      <c r="A32" s="112" t="s">
        <v>166</v>
      </c>
      <c r="B32" s="112" t="s">
        <v>161</v>
      </c>
      <c r="C32" s="126">
        <v>311528000</v>
      </c>
      <c r="F32" s="112">
        <v>124611200</v>
      </c>
      <c r="G32" s="112">
        <v>124611200</v>
      </c>
      <c r="I32" s="140"/>
      <c r="J32" s="140">
        <v>179153948</v>
      </c>
      <c r="K32" s="140"/>
      <c r="L32" s="140"/>
      <c r="M32" s="140">
        <v>179153948</v>
      </c>
      <c r="N32" s="140">
        <v>303765148</v>
      </c>
      <c r="O32" s="140">
        <v>124611200</v>
      </c>
      <c r="P32" s="140"/>
      <c r="Q32" s="140">
        <v>179153948</v>
      </c>
      <c r="R32" s="140">
        <v>303765148</v>
      </c>
      <c r="S32" s="140">
        <v>124611200</v>
      </c>
      <c r="T32" s="140"/>
      <c r="U32" s="140">
        <v>179153948</v>
      </c>
    </row>
  </sheetData>
  <printOptions horizontalCentered="1" verticalCentered="1"/>
  <pageMargins left="0.70866141732283472" right="0.47244094488188981" top="0.55118110236220474" bottom="0.98425196850393704" header="0" footer="0"/>
  <pageSetup scale="51" orientation="landscape" verticalDpi="0" r:id="rId1"/>
  <headerFooter alignWithMargins="0">
    <oddFooter>&amp;C&amp;P&amp;RElaborado por EQUILIBRIUM Inmobiliario S.A.S</oddFooter>
  </headerFooter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9"/>
  <dimension ref="A1:F746"/>
  <sheetViews>
    <sheetView zoomScaleNormal="100" workbookViewId="0">
      <pane ySplit="1" topLeftCell="A2" activePane="bottomLeft" state="frozen"/>
      <selection activeCell="B9" sqref="B9:C9"/>
      <selection pane="bottomLeft" activeCell="I12" sqref="I12"/>
    </sheetView>
  </sheetViews>
  <sheetFormatPr baseColWidth="10" defaultRowHeight="12.75" x14ac:dyDescent="0.2"/>
  <cols>
    <col min="1" max="1" width="9.85546875" style="521" bestFit="1" customWidth="1"/>
    <col min="2" max="2" width="15.42578125" style="522" bestFit="1" customWidth="1"/>
    <col min="3" max="3" width="9.5703125" style="595" bestFit="1" customWidth="1"/>
    <col min="4" max="4" width="9.85546875" style="521" bestFit="1" customWidth="1"/>
  </cols>
  <sheetData>
    <row r="1" spans="1:4" ht="15.75" customHeight="1" x14ac:dyDescent="0.2">
      <c r="A1" s="515" t="s">
        <v>106</v>
      </c>
      <c r="B1" s="516" t="s">
        <v>107</v>
      </c>
      <c r="C1" s="515" t="s">
        <v>108</v>
      </c>
      <c r="D1" s="515" t="s">
        <v>47</v>
      </c>
    </row>
    <row r="2" spans="1:4" x14ac:dyDescent="0.2">
      <c r="A2" s="623" t="s">
        <v>1989</v>
      </c>
      <c r="B2" s="519">
        <v>354035000</v>
      </c>
      <c r="C2" s="594">
        <v>71.900000000000006</v>
      </c>
      <c r="D2" s="519" t="s">
        <v>901</v>
      </c>
    </row>
    <row r="3" spans="1:4" x14ac:dyDescent="0.2">
      <c r="A3" s="623" t="s">
        <v>1990</v>
      </c>
      <c r="B3" s="519">
        <v>262916758</v>
      </c>
      <c r="C3" s="594">
        <v>60.9</v>
      </c>
      <c r="D3" s="519" t="s">
        <v>901</v>
      </c>
    </row>
    <row r="4" spans="1:4" x14ac:dyDescent="0.2">
      <c r="A4" s="623" t="s">
        <v>1991</v>
      </c>
      <c r="B4" s="519">
        <v>292081500</v>
      </c>
      <c r="C4" s="594">
        <v>62.75</v>
      </c>
      <c r="D4" s="519" t="s">
        <v>901</v>
      </c>
    </row>
    <row r="5" spans="1:4" x14ac:dyDescent="0.2">
      <c r="A5" s="623" t="s">
        <v>1992</v>
      </c>
      <c r="B5" s="519">
        <v>334460800</v>
      </c>
      <c r="C5" s="594">
        <v>78.400000000000006</v>
      </c>
      <c r="D5" s="519" t="s">
        <v>901</v>
      </c>
    </row>
    <row r="6" spans="1:4" x14ac:dyDescent="0.2">
      <c r="A6" s="623" t="s">
        <v>1993</v>
      </c>
      <c r="B6" s="519">
        <v>250424111</v>
      </c>
      <c r="C6" s="594">
        <v>60.9</v>
      </c>
      <c r="D6" s="519" t="s">
        <v>901</v>
      </c>
    </row>
    <row r="7" spans="1:4" x14ac:dyDescent="0.2">
      <c r="A7" s="623" t="s">
        <v>1994</v>
      </c>
      <c r="B7" s="519">
        <v>286730000</v>
      </c>
      <c r="C7" s="594">
        <v>71.95</v>
      </c>
      <c r="D7" s="519" t="s">
        <v>901</v>
      </c>
    </row>
    <row r="8" spans="1:4" x14ac:dyDescent="0.2">
      <c r="A8" s="623" t="s">
        <v>1995</v>
      </c>
      <c r="B8" s="519">
        <v>281834220</v>
      </c>
      <c r="C8" s="594">
        <v>60.9</v>
      </c>
      <c r="D8" s="519" t="s">
        <v>901</v>
      </c>
    </row>
    <row r="9" spans="1:4" x14ac:dyDescent="0.2">
      <c r="A9" s="623" t="s">
        <v>1996</v>
      </c>
      <c r="B9" s="519">
        <v>319076000</v>
      </c>
      <c r="C9" s="594">
        <v>77.3</v>
      </c>
      <c r="D9" s="519" t="s">
        <v>901</v>
      </c>
    </row>
    <row r="10" spans="1:4" x14ac:dyDescent="0.2">
      <c r="A10" s="623" t="s">
        <v>1997</v>
      </c>
      <c r="B10" s="519">
        <v>311800000</v>
      </c>
      <c r="C10" s="594">
        <v>78.400000000000006</v>
      </c>
      <c r="D10" s="519" t="s">
        <v>901</v>
      </c>
    </row>
    <row r="11" spans="1:4" x14ac:dyDescent="0.2">
      <c r="A11" s="623" t="s">
        <v>1998</v>
      </c>
      <c r="B11" s="519">
        <v>251272000</v>
      </c>
      <c r="C11" s="594">
        <v>60.95</v>
      </c>
      <c r="D11" s="519" t="s">
        <v>901</v>
      </c>
    </row>
    <row r="12" spans="1:4" x14ac:dyDescent="0.2">
      <c r="A12" s="623" t="s">
        <v>1999</v>
      </c>
      <c r="B12" s="519">
        <v>285620000</v>
      </c>
      <c r="C12" s="594">
        <v>71.900000000000006</v>
      </c>
      <c r="D12" s="519" t="s">
        <v>901</v>
      </c>
    </row>
    <row r="13" spans="1:4" x14ac:dyDescent="0.2">
      <c r="A13" s="623" t="s">
        <v>2000</v>
      </c>
      <c r="B13" s="519">
        <v>284900000</v>
      </c>
      <c r="C13" s="594">
        <v>71</v>
      </c>
      <c r="D13" s="519" t="s">
        <v>901</v>
      </c>
    </row>
    <row r="14" spans="1:4" x14ac:dyDescent="0.2">
      <c r="A14" s="623" t="s">
        <v>2001</v>
      </c>
      <c r="B14" s="519">
        <v>244100000</v>
      </c>
      <c r="C14" s="594">
        <v>60.8</v>
      </c>
      <c r="D14" s="519" t="s">
        <v>901</v>
      </c>
    </row>
    <row r="15" spans="1:4" x14ac:dyDescent="0.2">
      <c r="A15" s="623" t="s">
        <v>2002</v>
      </c>
      <c r="B15" s="519">
        <v>319376000</v>
      </c>
      <c r="C15" s="594">
        <v>78.349999999999994</v>
      </c>
      <c r="D15" s="519" t="s">
        <v>901</v>
      </c>
    </row>
    <row r="16" spans="1:4" x14ac:dyDescent="0.2">
      <c r="A16" s="623" t="s">
        <v>2003</v>
      </c>
      <c r="B16" s="519">
        <v>319057000</v>
      </c>
      <c r="C16" s="594">
        <v>77.3</v>
      </c>
      <c r="D16" s="519" t="s">
        <v>901</v>
      </c>
    </row>
    <row r="17" spans="1:4" x14ac:dyDescent="0.2">
      <c r="A17" s="623" t="s">
        <v>2004</v>
      </c>
      <c r="B17" s="519">
        <v>251572000</v>
      </c>
      <c r="C17" s="594">
        <v>60.95</v>
      </c>
      <c r="D17" s="519" t="s">
        <v>901</v>
      </c>
    </row>
    <row r="18" spans="1:4" x14ac:dyDescent="0.2">
      <c r="A18" s="623" t="s">
        <v>2005</v>
      </c>
      <c r="B18" s="519">
        <v>306952400</v>
      </c>
      <c r="C18" s="594">
        <v>71.900000000000006</v>
      </c>
      <c r="D18" s="519" t="s">
        <v>901</v>
      </c>
    </row>
    <row r="19" spans="1:4" x14ac:dyDescent="0.2">
      <c r="A19" s="623" t="s">
        <v>2006</v>
      </c>
      <c r="B19" s="519">
        <v>286606093</v>
      </c>
      <c r="C19" s="594">
        <v>71.95</v>
      </c>
      <c r="D19" s="519" t="s">
        <v>901</v>
      </c>
    </row>
    <row r="20" spans="1:4" x14ac:dyDescent="0.2">
      <c r="A20" s="623" t="s">
        <v>2007</v>
      </c>
      <c r="B20" s="519">
        <v>244519888</v>
      </c>
      <c r="C20" s="594">
        <v>58.4</v>
      </c>
      <c r="D20" s="519" t="s">
        <v>901</v>
      </c>
    </row>
    <row r="21" spans="1:4" x14ac:dyDescent="0.2">
      <c r="A21" s="623" t="s">
        <v>2008</v>
      </c>
      <c r="B21" s="519">
        <v>319676000</v>
      </c>
      <c r="C21" s="594">
        <v>78.349999999999994</v>
      </c>
      <c r="D21" s="519" t="s">
        <v>901</v>
      </c>
    </row>
    <row r="22" spans="1:4" x14ac:dyDescent="0.2">
      <c r="A22" s="623" t="s">
        <v>2009</v>
      </c>
      <c r="B22" s="519">
        <v>312442475</v>
      </c>
      <c r="C22" s="594">
        <v>78.400000000000006</v>
      </c>
      <c r="D22" s="519" t="s">
        <v>901</v>
      </c>
    </row>
    <row r="23" spans="1:4" x14ac:dyDescent="0.2">
      <c r="A23" s="623" t="s">
        <v>1987</v>
      </c>
      <c r="B23" s="519">
        <v>294110800</v>
      </c>
      <c r="C23" s="594">
        <v>60.86</v>
      </c>
      <c r="D23" s="519" t="s">
        <v>901</v>
      </c>
    </row>
    <row r="24" spans="1:4" x14ac:dyDescent="0.2">
      <c r="A24" s="623" t="s">
        <v>2010</v>
      </c>
      <c r="B24" s="519">
        <v>374976000</v>
      </c>
      <c r="C24" s="594">
        <v>71.88</v>
      </c>
      <c r="D24" s="519" t="s">
        <v>901</v>
      </c>
    </row>
    <row r="25" spans="1:4" x14ac:dyDescent="0.2">
      <c r="A25" s="623" t="s">
        <v>2011</v>
      </c>
      <c r="B25" s="519">
        <v>294020000</v>
      </c>
      <c r="C25" s="594">
        <v>71.95</v>
      </c>
      <c r="D25" s="519" t="s">
        <v>901</v>
      </c>
    </row>
    <row r="26" spans="1:4" x14ac:dyDescent="0.2">
      <c r="A26" s="623" t="s">
        <v>2012</v>
      </c>
      <c r="B26" s="519">
        <v>250389142</v>
      </c>
      <c r="C26" s="594">
        <v>60.9</v>
      </c>
      <c r="D26" s="519" t="s">
        <v>901</v>
      </c>
    </row>
    <row r="27" spans="1:4" x14ac:dyDescent="0.2">
      <c r="A27" s="623" t="s">
        <v>2013</v>
      </c>
      <c r="B27" s="519">
        <v>310700000</v>
      </c>
      <c r="C27" s="594">
        <v>78.349999999999994</v>
      </c>
      <c r="D27" s="519" t="s">
        <v>901</v>
      </c>
    </row>
    <row r="28" spans="1:4" x14ac:dyDescent="0.2">
      <c r="A28" s="623" t="s">
        <v>2014</v>
      </c>
      <c r="B28" s="519">
        <v>320891904</v>
      </c>
      <c r="C28" s="594">
        <v>77.3</v>
      </c>
      <c r="D28" s="519" t="s">
        <v>901</v>
      </c>
    </row>
    <row r="29" spans="1:4" x14ac:dyDescent="0.2">
      <c r="A29" s="623" t="s">
        <v>2015</v>
      </c>
      <c r="B29" s="519">
        <v>252172000</v>
      </c>
      <c r="C29" s="594">
        <v>60.95</v>
      </c>
      <c r="D29" s="519" t="s">
        <v>901</v>
      </c>
    </row>
    <row r="30" spans="1:4" x14ac:dyDescent="0.2">
      <c r="A30" s="623" t="s">
        <v>2016</v>
      </c>
      <c r="B30" s="519">
        <v>288300000</v>
      </c>
      <c r="C30" s="594">
        <v>71.900000000000006</v>
      </c>
      <c r="D30" s="519" t="s">
        <v>901</v>
      </c>
    </row>
    <row r="31" spans="1:4" x14ac:dyDescent="0.2">
      <c r="A31" s="623" t="s">
        <v>2017</v>
      </c>
      <c r="B31" s="519">
        <v>298192800</v>
      </c>
      <c r="C31" s="594">
        <v>71.95</v>
      </c>
      <c r="D31" s="519" t="s">
        <v>901</v>
      </c>
    </row>
    <row r="32" spans="1:4" x14ac:dyDescent="0.2">
      <c r="A32" s="623" t="s">
        <v>2018</v>
      </c>
      <c r="B32" s="519">
        <v>245000000</v>
      </c>
      <c r="C32" s="594">
        <v>60.9</v>
      </c>
      <c r="D32" s="519" t="s">
        <v>901</v>
      </c>
    </row>
    <row r="33" spans="1:6" x14ac:dyDescent="0.2">
      <c r="A33" s="623" t="s">
        <v>2019</v>
      </c>
      <c r="B33" s="519">
        <v>317957000</v>
      </c>
      <c r="C33" s="594">
        <v>78.349999999999994</v>
      </c>
      <c r="D33" s="519" t="s">
        <v>901</v>
      </c>
    </row>
    <row r="34" spans="1:6" x14ac:dyDescent="0.2">
      <c r="A34" s="623" t="s">
        <v>2020</v>
      </c>
      <c r="B34" s="519">
        <v>324276000</v>
      </c>
      <c r="C34" s="594">
        <v>77.3</v>
      </c>
      <c r="D34" s="519" t="s">
        <v>901</v>
      </c>
    </row>
    <row r="35" spans="1:6" x14ac:dyDescent="0.2">
      <c r="A35" s="623" t="s">
        <v>2021</v>
      </c>
      <c r="B35" s="519">
        <v>261245187</v>
      </c>
      <c r="C35" s="594">
        <v>60.95</v>
      </c>
      <c r="D35" s="519" t="s">
        <v>901</v>
      </c>
    </row>
    <row r="36" spans="1:6" x14ac:dyDescent="0.2">
      <c r="A36" s="623" t="s">
        <v>2022</v>
      </c>
      <c r="B36" s="519">
        <v>377680000</v>
      </c>
      <c r="C36" s="594">
        <v>71.900000000000006</v>
      </c>
      <c r="D36" s="519" t="s">
        <v>901</v>
      </c>
    </row>
    <row r="37" spans="1:6" x14ac:dyDescent="0.2">
      <c r="A37" s="623" t="s">
        <v>2023</v>
      </c>
      <c r="B37" s="519">
        <v>294620000</v>
      </c>
      <c r="C37" s="594">
        <v>71</v>
      </c>
      <c r="D37" s="519" t="s">
        <v>901</v>
      </c>
    </row>
    <row r="38" spans="1:6" x14ac:dyDescent="0.2">
      <c r="A38" s="623" t="s">
        <v>2251</v>
      </c>
      <c r="B38" s="519">
        <v>245300000</v>
      </c>
      <c r="C38" s="594">
        <v>60.8</v>
      </c>
      <c r="D38" s="519" t="s">
        <v>901</v>
      </c>
    </row>
    <row r="39" spans="1:6" x14ac:dyDescent="0.2">
      <c r="A39" s="623" t="s">
        <v>1988</v>
      </c>
      <c r="B39" s="519">
        <v>378613000</v>
      </c>
      <c r="C39" s="594">
        <v>78.349999999999994</v>
      </c>
      <c r="D39" s="519" t="s">
        <v>901</v>
      </c>
    </row>
    <row r="40" spans="1:6" x14ac:dyDescent="0.2">
      <c r="A40" s="623" t="s">
        <v>2024</v>
      </c>
      <c r="B40" s="519">
        <v>321987542</v>
      </c>
      <c r="C40" s="594">
        <v>78.400000000000006</v>
      </c>
      <c r="D40" s="519" t="s">
        <v>901</v>
      </c>
    </row>
    <row r="41" spans="1:6" x14ac:dyDescent="0.2">
      <c r="A41" s="623" t="s">
        <v>2025</v>
      </c>
      <c r="B41" s="519">
        <v>245780000</v>
      </c>
      <c r="C41" s="594">
        <v>60.8</v>
      </c>
      <c r="D41" s="519" t="s">
        <v>901</v>
      </c>
    </row>
    <row r="42" spans="1:6" x14ac:dyDescent="0.2">
      <c r="A42" s="623" t="s">
        <v>2026</v>
      </c>
      <c r="B42" s="519">
        <v>290568875</v>
      </c>
      <c r="C42" s="594">
        <v>71.900000000000006</v>
      </c>
      <c r="D42" s="519" t="s">
        <v>901</v>
      </c>
    </row>
    <row r="43" spans="1:6" x14ac:dyDescent="0.2">
      <c r="A43" s="623" t="s">
        <v>2027</v>
      </c>
      <c r="B43" s="519">
        <v>294920000</v>
      </c>
      <c r="C43" s="594">
        <v>71.95</v>
      </c>
      <c r="D43" s="519" t="s">
        <v>901</v>
      </c>
      <c r="F43" s="550"/>
    </row>
    <row r="44" spans="1:6" x14ac:dyDescent="0.2">
      <c r="A44" s="623" t="s">
        <v>2028</v>
      </c>
      <c r="B44" s="519">
        <v>253054837</v>
      </c>
      <c r="C44" s="594">
        <v>60.9</v>
      </c>
      <c r="D44" s="519" t="s">
        <v>901</v>
      </c>
    </row>
    <row r="45" spans="1:6" x14ac:dyDescent="0.2">
      <c r="A45" s="623" t="s">
        <v>2029</v>
      </c>
      <c r="B45" s="519">
        <v>404360000</v>
      </c>
      <c r="C45" s="594">
        <v>77.3</v>
      </c>
      <c r="D45" s="519" t="s">
        <v>901</v>
      </c>
    </row>
    <row r="46" spans="1:6" x14ac:dyDescent="0.2">
      <c r="A46" s="623" t="s">
        <v>2030</v>
      </c>
      <c r="B46" s="519">
        <v>411820000</v>
      </c>
      <c r="C46" s="594">
        <v>78.349999999999994</v>
      </c>
      <c r="D46" s="519" t="s">
        <v>901</v>
      </c>
    </row>
    <row r="47" spans="1:6" x14ac:dyDescent="0.2">
      <c r="A47" s="623" t="s">
        <v>2031</v>
      </c>
      <c r="B47" s="519">
        <v>247600000</v>
      </c>
      <c r="C47" s="594">
        <v>60.8</v>
      </c>
      <c r="D47" s="519" t="s">
        <v>901</v>
      </c>
    </row>
    <row r="48" spans="1:6" x14ac:dyDescent="0.2">
      <c r="A48" s="623" t="s">
        <v>2032</v>
      </c>
      <c r="B48" s="519">
        <v>290123000</v>
      </c>
      <c r="C48" s="594">
        <v>71.2</v>
      </c>
      <c r="D48" s="519" t="s">
        <v>901</v>
      </c>
    </row>
    <row r="49" spans="1:4" x14ac:dyDescent="0.2">
      <c r="A49" s="623" t="s">
        <v>2033</v>
      </c>
      <c r="B49" s="519">
        <v>296666947</v>
      </c>
      <c r="C49" s="594">
        <v>71.95</v>
      </c>
      <c r="D49" s="519" t="s">
        <v>901</v>
      </c>
    </row>
    <row r="50" spans="1:4" x14ac:dyDescent="0.2">
      <c r="A50" s="623" t="s">
        <v>2034</v>
      </c>
      <c r="B50" s="519">
        <v>247724000</v>
      </c>
      <c r="C50" s="594">
        <v>60.8</v>
      </c>
      <c r="D50" s="519" t="s">
        <v>901</v>
      </c>
    </row>
    <row r="51" spans="1:4" x14ac:dyDescent="0.2">
      <c r="A51" s="623" t="s">
        <v>2035</v>
      </c>
      <c r="B51" s="519">
        <v>374862500</v>
      </c>
      <c r="C51" s="594">
        <v>78.349999999999994</v>
      </c>
      <c r="D51" s="519" t="s">
        <v>901</v>
      </c>
    </row>
    <row r="52" spans="1:4" x14ac:dyDescent="0.2">
      <c r="A52" s="623" t="s">
        <v>2036</v>
      </c>
      <c r="B52" s="519">
        <v>313900000</v>
      </c>
      <c r="C52" s="594">
        <v>77.3</v>
      </c>
      <c r="D52" s="519" t="s">
        <v>901</v>
      </c>
    </row>
    <row r="53" spans="1:4" x14ac:dyDescent="0.2">
      <c r="A53" s="623" t="s">
        <v>2037</v>
      </c>
      <c r="B53" s="519">
        <v>247900000</v>
      </c>
      <c r="C53" s="594">
        <v>60.95</v>
      </c>
      <c r="D53" s="519" t="s">
        <v>901</v>
      </c>
    </row>
    <row r="54" spans="1:4" x14ac:dyDescent="0.2">
      <c r="A54" s="623" t="s">
        <v>2038</v>
      </c>
      <c r="B54" s="519">
        <v>298044000</v>
      </c>
      <c r="C54" s="594">
        <v>71.900000000000006</v>
      </c>
      <c r="D54" s="519" t="s">
        <v>901</v>
      </c>
    </row>
    <row r="55" spans="1:4" x14ac:dyDescent="0.2">
      <c r="A55" s="623" t="s">
        <v>2039</v>
      </c>
      <c r="B55" s="519">
        <v>295520000</v>
      </c>
      <c r="C55" s="594">
        <v>71</v>
      </c>
      <c r="D55" s="519" t="s">
        <v>901</v>
      </c>
    </row>
    <row r="56" spans="1:4" x14ac:dyDescent="0.2">
      <c r="A56" s="623" t="s">
        <v>2040</v>
      </c>
      <c r="B56" s="519">
        <v>246200000</v>
      </c>
      <c r="C56" s="594">
        <v>60.9</v>
      </c>
      <c r="D56" s="519" t="s">
        <v>901</v>
      </c>
    </row>
    <row r="57" spans="1:4" x14ac:dyDescent="0.2">
      <c r="A57" s="623" t="s">
        <v>2041</v>
      </c>
      <c r="B57" s="519">
        <v>321628168</v>
      </c>
      <c r="C57" s="594">
        <v>78.349999999999994</v>
      </c>
      <c r="D57" s="519" t="s">
        <v>901</v>
      </c>
    </row>
    <row r="58" spans="1:4" x14ac:dyDescent="0.2">
      <c r="A58" s="623" t="s">
        <v>2042</v>
      </c>
      <c r="B58" s="519">
        <v>317547128</v>
      </c>
      <c r="C58" s="594">
        <v>77.3</v>
      </c>
      <c r="D58" s="519" t="s">
        <v>901</v>
      </c>
    </row>
    <row r="59" spans="1:4" x14ac:dyDescent="0.2">
      <c r="A59" s="623" t="s">
        <v>2727</v>
      </c>
      <c r="B59" s="519">
        <v>246680000</v>
      </c>
      <c r="C59" s="594">
        <v>60.95</v>
      </c>
      <c r="D59" s="519" t="s">
        <v>901</v>
      </c>
    </row>
    <row r="60" spans="1:4" x14ac:dyDescent="0.2">
      <c r="A60" s="623" t="s">
        <v>2043</v>
      </c>
      <c r="B60" s="519">
        <v>298344000</v>
      </c>
      <c r="C60" s="594">
        <v>71.2</v>
      </c>
      <c r="D60" s="519" t="s">
        <v>901</v>
      </c>
    </row>
    <row r="61" spans="1:4" x14ac:dyDescent="0.2">
      <c r="A61" s="623" t="s">
        <v>2044</v>
      </c>
      <c r="B61" s="519">
        <v>343411476</v>
      </c>
      <c r="C61" s="594">
        <v>71.95</v>
      </c>
      <c r="D61" s="519" t="s">
        <v>901</v>
      </c>
    </row>
    <row r="62" spans="1:4" x14ac:dyDescent="0.2">
      <c r="A62" s="623" t="s">
        <v>2045</v>
      </c>
      <c r="B62" s="519">
        <v>246608279</v>
      </c>
      <c r="C62" s="594">
        <v>60.8</v>
      </c>
      <c r="D62" s="519" t="s">
        <v>901</v>
      </c>
    </row>
    <row r="63" spans="1:4" x14ac:dyDescent="0.2">
      <c r="A63" s="623" t="s">
        <v>2046</v>
      </c>
      <c r="B63" s="519">
        <v>321776000</v>
      </c>
      <c r="C63" s="594">
        <v>78.349999999999994</v>
      </c>
      <c r="D63" s="519" t="s">
        <v>901</v>
      </c>
    </row>
    <row r="64" spans="1:4" x14ac:dyDescent="0.2">
      <c r="A64" s="623" t="s">
        <v>2047</v>
      </c>
      <c r="B64" s="519">
        <v>321457000</v>
      </c>
      <c r="C64" s="594">
        <v>77.3</v>
      </c>
      <c r="D64" s="519" t="s">
        <v>901</v>
      </c>
    </row>
    <row r="65" spans="1:4" x14ac:dyDescent="0.2">
      <c r="A65" s="623" t="s">
        <v>2048</v>
      </c>
      <c r="B65" s="519">
        <v>254909890</v>
      </c>
      <c r="C65" s="594">
        <v>60.8</v>
      </c>
      <c r="D65" s="519" t="s">
        <v>901</v>
      </c>
    </row>
    <row r="66" spans="1:4" x14ac:dyDescent="0.2">
      <c r="A66" s="623" t="s">
        <v>2049</v>
      </c>
      <c r="B66" s="519">
        <v>290100000</v>
      </c>
      <c r="C66" s="594">
        <v>71.900000000000006</v>
      </c>
      <c r="D66" s="519" t="s">
        <v>901</v>
      </c>
    </row>
    <row r="67" spans="1:4" x14ac:dyDescent="0.2">
      <c r="A67" s="623" t="s">
        <v>2050</v>
      </c>
      <c r="B67" s="519">
        <v>296120000</v>
      </c>
      <c r="C67" s="594">
        <v>71</v>
      </c>
      <c r="D67" s="519" t="s">
        <v>901</v>
      </c>
    </row>
    <row r="68" spans="1:4" x14ac:dyDescent="0.2">
      <c r="A68" s="623" t="s">
        <v>2051</v>
      </c>
      <c r="B68" s="519">
        <v>246918984</v>
      </c>
      <c r="C68" s="594">
        <v>60.8</v>
      </c>
      <c r="D68" s="519" t="s">
        <v>901</v>
      </c>
    </row>
    <row r="69" spans="1:4" x14ac:dyDescent="0.2">
      <c r="A69" s="623" t="s">
        <v>2052</v>
      </c>
      <c r="B69" s="519">
        <v>322076000</v>
      </c>
      <c r="C69" s="594">
        <v>77.3</v>
      </c>
      <c r="D69" s="519" t="s">
        <v>901</v>
      </c>
    </row>
    <row r="70" spans="1:4" x14ac:dyDescent="0.2">
      <c r="A70" s="623" t="s">
        <v>2053</v>
      </c>
      <c r="B70" s="519">
        <v>314800000</v>
      </c>
      <c r="C70" s="594">
        <v>77.3</v>
      </c>
      <c r="D70" s="519" t="s">
        <v>901</v>
      </c>
    </row>
    <row r="71" spans="1:4" x14ac:dyDescent="0.2">
      <c r="A71" s="623" t="s">
        <v>2054</v>
      </c>
      <c r="B71" s="519">
        <v>248800000</v>
      </c>
      <c r="C71" s="594">
        <v>60.8</v>
      </c>
      <c r="D71" s="519" t="s">
        <v>901</v>
      </c>
    </row>
    <row r="72" spans="1:4" x14ac:dyDescent="0.2">
      <c r="A72" s="623" t="s">
        <v>2055</v>
      </c>
      <c r="B72" s="519">
        <v>290400000</v>
      </c>
      <c r="C72" s="594">
        <v>71.2</v>
      </c>
      <c r="D72" s="519" t="s">
        <v>901</v>
      </c>
    </row>
    <row r="73" spans="1:4" x14ac:dyDescent="0.2">
      <c r="A73" s="623" t="s">
        <v>2056</v>
      </c>
      <c r="B73" s="519">
        <v>296420000</v>
      </c>
      <c r="C73" s="594">
        <v>71.95</v>
      </c>
      <c r="D73" s="519" t="s">
        <v>901</v>
      </c>
    </row>
    <row r="74" spans="1:4" x14ac:dyDescent="0.2">
      <c r="A74" s="623" t="s">
        <v>2057</v>
      </c>
      <c r="B74" s="519">
        <v>247218871</v>
      </c>
      <c r="C74" s="594">
        <v>60.8</v>
      </c>
      <c r="D74" s="519" t="s">
        <v>901</v>
      </c>
    </row>
    <row r="75" spans="1:4" x14ac:dyDescent="0.2">
      <c r="A75" s="623" t="s">
        <v>2058</v>
      </c>
      <c r="B75" s="519">
        <v>322376000</v>
      </c>
      <c r="C75" s="594">
        <v>78.349999999999994</v>
      </c>
      <c r="D75" s="519" t="s">
        <v>901</v>
      </c>
    </row>
    <row r="76" spans="1:4" ht="13.5" customHeight="1" x14ac:dyDescent="0.2">
      <c r="A76" s="623" t="s">
        <v>2059</v>
      </c>
      <c r="B76" s="519">
        <v>322318635</v>
      </c>
      <c r="C76" s="594">
        <v>77.3</v>
      </c>
      <c r="D76" s="519" t="s">
        <v>901</v>
      </c>
    </row>
    <row r="77" spans="1:4" x14ac:dyDescent="0.2">
      <c r="A77" s="623" t="s">
        <v>2060</v>
      </c>
      <c r="B77" s="519">
        <v>249100000</v>
      </c>
      <c r="C77" s="594">
        <v>60.8</v>
      </c>
      <c r="D77" s="519" t="s">
        <v>901</v>
      </c>
    </row>
    <row r="78" spans="1:4" x14ac:dyDescent="0.2">
      <c r="A78" s="623" t="s">
        <v>2061</v>
      </c>
      <c r="B78" s="519">
        <v>345576267</v>
      </c>
      <c r="C78" s="594">
        <v>71.900000000000006</v>
      </c>
      <c r="D78" s="519" t="s">
        <v>901</v>
      </c>
    </row>
    <row r="79" spans="1:4" x14ac:dyDescent="0.2">
      <c r="A79" s="623" t="s">
        <v>2062</v>
      </c>
      <c r="B79" s="519">
        <v>296720000</v>
      </c>
      <c r="C79" s="594">
        <v>71.95</v>
      </c>
      <c r="D79" s="519" t="s">
        <v>901</v>
      </c>
    </row>
    <row r="80" spans="1:4" x14ac:dyDescent="0.2">
      <c r="A80" s="623" t="s">
        <v>2063</v>
      </c>
      <c r="B80" s="519">
        <v>249620622</v>
      </c>
      <c r="C80" s="594">
        <v>60.8</v>
      </c>
      <c r="D80" s="519" t="s">
        <v>901</v>
      </c>
    </row>
    <row r="81" spans="1:4" x14ac:dyDescent="0.2">
      <c r="A81" s="623" t="s">
        <v>2064</v>
      </c>
      <c r="B81" s="519">
        <v>322676000</v>
      </c>
      <c r="C81" s="594">
        <v>78.349999999999994</v>
      </c>
      <c r="D81" s="519" t="s">
        <v>901</v>
      </c>
    </row>
    <row r="82" spans="1:4" x14ac:dyDescent="0.2">
      <c r="A82" s="623" t="s">
        <v>2065</v>
      </c>
      <c r="B82" s="519">
        <v>313467500</v>
      </c>
      <c r="C82" s="594">
        <v>78.400000000000006</v>
      </c>
      <c r="D82" s="519" t="s">
        <v>901</v>
      </c>
    </row>
    <row r="83" spans="1:4" x14ac:dyDescent="0.2">
      <c r="A83" s="623" t="s">
        <v>2066</v>
      </c>
      <c r="B83" s="519">
        <v>251224000</v>
      </c>
      <c r="C83" s="594">
        <v>60.8</v>
      </c>
      <c r="D83" s="519" t="s">
        <v>901</v>
      </c>
    </row>
    <row r="84" spans="1:4" x14ac:dyDescent="0.2">
      <c r="A84" s="623" t="s">
        <v>2067</v>
      </c>
      <c r="B84" s="519">
        <v>292336428</v>
      </c>
      <c r="C84" s="594">
        <v>71.900000000000006</v>
      </c>
      <c r="D84" s="519" t="s">
        <v>901</v>
      </c>
    </row>
    <row r="85" spans="1:4" x14ac:dyDescent="0.2">
      <c r="A85" s="623" t="s">
        <v>2068</v>
      </c>
      <c r="B85" s="519">
        <v>378640000</v>
      </c>
      <c r="C85" s="594">
        <v>71.95</v>
      </c>
      <c r="D85" s="519" t="s">
        <v>901</v>
      </c>
    </row>
    <row r="86" spans="1:4" x14ac:dyDescent="0.2">
      <c r="A86" s="623" t="s">
        <v>2069</v>
      </c>
      <c r="B86" s="519">
        <v>247700000</v>
      </c>
      <c r="C86" s="594">
        <v>60.9</v>
      </c>
      <c r="D86" s="519" t="s">
        <v>901</v>
      </c>
    </row>
    <row r="87" spans="1:4" x14ac:dyDescent="0.2">
      <c r="A87" s="623" t="s">
        <v>2070</v>
      </c>
      <c r="B87" s="519">
        <v>317980000</v>
      </c>
      <c r="C87" s="594">
        <v>77.3</v>
      </c>
      <c r="D87" s="519" t="s">
        <v>901</v>
      </c>
    </row>
    <row r="88" spans="1:4" x14ac:dyDescent="0.2">
      <c r="A88" s="623" t="s">
        <v>2071</v>
      </c>
      <c r="B88" s="519">
        <v>327448000</v>
      </c>
      <c r="C88" s="594">
        <v>78.400000000000006</v>
      </c>
      <c r="D88" s="519" t="s">
        <v>901</v>
      </c>
    </row>
    <row r="89" spans="1:4" x14ac:dyDescent="0.2">
      <c r="A89" s="623" t="s">
        <v>2072</v>
      </c>
      <c r="B89" s="519">
        <v>251524000</v>
      </c>
      <c r="C89" s="594">
        <v>60.8</v>
      </c>
      <c r="D89" s="519" t="s">
        <v>901</v>
      </c>
    </row>
    <row r="90" spans="1:4" x14ac:dyDescent="0.2">
      <c r="A90" s="623" t="s">
        <v>2073</v>
      </c>
      <c r="B90" s="519">
        <v>299844000</v>
      </c>
      <c r="C90" s="594">
        <v>71.2</v>
      </c>
      <c r="D90" s="519" t="s">
        <v>901</v>
      </c>
    </row>
    <row r="91" spans="1:4" x14ac:dyDescent="0.2">
      <c r="A91" s="623" t="s">
        <v>2074</v>
      </c>
      <c r="B91" s="519">
        <v>288800000</v>
      </c>
      <c r="C91" s="594">
        <v>71</v>
      </c>
      <c r="D91" s="519" t="s">
        <v>901</v>
      </c>
    </row>
    <row r="92" spans="1:4" x14ac:dyDescent="0.2">
      <c r="A92" s="623" t="s">
        <v>2075</v>
      </c>
      <c r="B92" s="519">
        <v>254551515</v>
      </c>
      <c r="C92" s="594">
        <v>60.9</v>
      </c>
      <c r="D92" s="519" t="s">
        <v>901</v>
      </c>
    </row>
    <row r="93" spans="1:4" x14ac:dyDescent="0.2">
      <c r="A93" s="623" t="s">
        <v>2076</v>
      </c>
      <c r="B93" s="519">
        <v>322259250</v>
      </c>
      <c r="C93" s="594">
        <v>78.349999999999994</v>
      </c>
      <c r="D93" s="519" t="s">
        <v>901</v>
      </c>
    </row>
    <row r="94" spans="1:4" x14ac:dyDescent="0.2">
      <c r="A94" s="623" t="s">
        <v>2077</v>
      </c>
      <c r="B94" s="519">
        <v>326206953</v>
      </c>
      <c r="C94" s="594">
        <v>77.3</v>
      </c>
      <c r="D94" s="519" t="s">
        <v>901</v>
      </c>
    </row>
    <row r="95" spans="1:4" x14ac:dyDescent="0.2">
      <c r="A95" s="623" t="s">
        <v>2078</v>
      </c>
      <c r="B95" s="519">
        <v>257543200</v>
      </c>
      <c r="C95" s="594">
        <v>60.8</v>
      </c>
      <c r="D95" s="519" t="s">
        <v>901</v>
      </c>
    </row>
    <row r="96" spans="1:4" x14ac:dyDescent="0.2">
      <c r="A96" s="623" t="s">
        <v>2079</v>
      </c>
      <c r="B96" s="519">
        <v>345135019</v>
      </c>
      <c r="C96" s="594">
        <v>71.2</v>
      </c>
      <c r="D96" s="519" t="s">
        <v>901</v>
      </c>
    </row>
    <row r="97" spans="1:4" x14ac:dyDescent="0.2">
      <c r="A97" s="623" t="s">
        <v>2080</v>
      </c>
      <c r="B97" s="519">
        <v>302620000</v>
      </c>
      <c r="C97" s="594">
        <v>71.95</v>
      </c>
      <c r="D97" s="519" t="s">
        <v>901</v>
      </c>
    </row>
    <row r="98" spans="1:4" x14ac:dyDescent="0.2">
      <c r="A98" s="623" t="s">
        <v>2081</v>
      </c>
      <c r="B98" s="519">
        <v>248300000</v>
      </c>
      <c r="C98" s="594">
        <v>60.8</v>
      </c>
      <c r="D98" s="519" t="s">
        <v>901</v>
      </c>
    </row>
    <row r="99" spans="1:4" x14ac:dyDescent="0.2">
      <c r="A99" s="623" t="s">
        <v>2082</v>
      </c>
      <c r="B99" s="519">
        <v>314300000</v>
      </c>
      <c r="C99" s="594">
        <v>77.3</v>
      </c>
      <c r="D99" s="519" t="s">
        <v>901</v>
      </c>
    </row>
    <row r="100" spans="1:4" x14ac:dyDescent="0.2">
      <c r="A100" s="623" t="s">
        <v>2083</v>
      </c>
      <c r="B100" s="519">
        <v>316300000</v>
      </c>
      <c r="C100" s="594">
        <v>78.400000000000006</v>
      </c>
      <c r="D100" s="519" t="s">
        <v>901</v>
      </c>
    </row>
    <row r="101" spans="1:4" x14ac:dyDescent="0.2">
      <c r="A101" s="623" t="s">
        <v>2084</v>
      </c>
      <c r="B101" s="519">
        <v>256706695</v>
      </c>
      <c r="C101" s="594">
        <v>60.95</v>
      </c>
      <c r="D101" s="519" t="s">
        <v>901</v>
      </c>
    </row>
    <row r="102" spans="1:4" x14ac:dyDescent="0.2">
      <c r="A102" s="623" t="s">
        <v>2085</v>
      </c>
      <c r="B102" s="519">
        <v>303245600</v>
      </c>
      <c r="C102" s="594">
        <v>71.900000000000006</v>
      </c>
      <c r="D102" s="519" t="s">
        <v>901</v>
      </c>
    </row>
    <row r="103" spans="1:4" x14ac:dyDescent="0.2">
      <c r="A103" s="623" t="s">
        <v>2086</v>
      </c>
      <c r="B103" s="519">
        <v>297920000</v>
      </c>
      <c r="C103" s="594">
        <v>71.95</v>
      </c>
      <c r="D103" s="519" t="s">
        <v>901</v>
      </c>
    </row>
    <row r="104" spans="1:4" x14ac:dyDescent="0.2">
      <c r="A104" s="623" t="s">
        <v>2087</v>
      </c>
      <c r="B104" s="519">
        <v>248600000</v>
      </c>
      <c r="C104" s="594">
        <v>60.9</v>
      </c>
      <c r="D104" s="519" t="s">
        <v>901</v>
      </c>
    </row>
    <row r="105" spans="1:4" x14ac:dyDescent="0.2">
      <c r="A105" s="623" t="s">
        <v>2088</v>
      </c>
      <c r="B105" s="519">
        <v>323876000</v>
      </c>
      <c r="C105" s="594">
        <v>78.349999999999994</v>
      </c>
      <c r="D105" s="519" t="s">
        <v>901</v>
      </c>
    </row>
    <row r="106" spans="1:4" x14ac:dyDescent="0.2">
      <c r="A106" s="623" t="s">
        <v>2089</v>
      </c>
      <c r="B106" s="519">
        <v>316600000</v>
      </c>
      <c r="C106" s="594">
        <v>78.400000000000006</v>
      </c>
      <c r="D106" s="519" t="s">
        <v>901</v>
      </c>
    </row>
    <row r="107" spans="1:4" x14ac:dyDescent="0.2">
      <c r="A107" s="623" t="s">
        <v>2090</v>
      </c>
      <c r="B107" s="519">
        <v>256072000</v>
      </c>
      <c r="C107" s="594">
        <v>60.8</v>
      </c>
      <c r="D107" s="519" t="s">
        <v>901</v>
      </c>
    </row>
    <row r="108" spans="1:4" x14ac:dyDescent="0.2">
      <c r="A108" s="623" t="s">
        <v>2091</v>
      </c>
      <c r="B108" s="519">
        <v>348010476</v>
      </c>
      <c r="C108" s="594">
        <v>71.900000000000006</v>
      </c>
      <c r="D108" s="519" t="s">
        <v>901</v>
      </c>
    </row>
    <row r="109" spans="1:4" x14ac:dyDescent="0.2">
      <c r="A109" s="623" t="s">
        <v>2092</v>
      </c>
      <c r="B109" s="519">
        <v>287925000</v>
      </c>
      <c r="C109" s="594">
        <v>71.95</v>
      </c>
      <c r="D109" s="519" t="s">
        <v>901</v>
      </c>
    </row>
    <row r="110" spans="1:4" x14ac:dyDescent="0.2">
      <c r="A110" s="623" t="s">
        <v>2093</v>
      </c>
      <c r="B110" s="519">
        <v>249727610</v>
      </c>
      <c r="C110" s="594">
        <v>60.8</v>
      </c>
      <c r="D110" s="519" t="s">
        <v>901</v>
      </c>
    </row>
    <row r="111" spans="1:4" x14ac:dyDescent="0.2">
      <c r="A111" s="623" t="s">
        <v>2094</v>
      </c>
      <c r="B111" s="519">
        <v>324176000</v>
      </c>
      <c r="C111" s="594">
        <v>77.3</v>
      </c>
      <c r="D111" s="519" t="s">
        <v>901</v>
      </c>
    </row>
    <row r="112" spans="1:4" x14ac:dyDescent="0.2">
      <c r="A112" s="623" t="s">
        <v>2095</v>
      </c>
      <c r="B112" s="519">
        <v>316900000</v>
      </c>
      <c r="C112" s="594">
        <v>77.3</v>
      </c>
      <c r="D112" s="519" t="s">
        <v>901</v>
      </c>
    </row>
    <row r="113" spans="1:4" x14ac:dyDescent="0.2">
      <c r="A113" s="623" t="s">
        <v>2096</v>
      </c>
      <c r="B113" s="519">
        <v>258500558</v>
      </c>
      <c r="C113" s="594">
        <v>60.95</v>
      </c>
      <c r="D113" s="519" t="s">
        <v>901</v>
      </c>
    </row>
    <row r="114" spans="1:4" x14ac:dyDescent="0.2">
      <c r="A114" s="623" t="s">
        <v>2097</v>
      </c>
      <c r="B114" s="519">
        <v>303547078</v>
      </c>
      <c r="C114" s="594">
        <v>71.2</v>
      </c>
      <c r="D114" s="519" t="s">
        <v>901</v>
      </c>
    </row>
    <row r="115" spans="1:4" x14ac:dyDescent="0.2">
      <c r="A115" s="623" t="s">
        <v>2098</v>
      </c>
      <c r="B115" s="519">
        <v>296390000</v>
      </c>
      <c r="C115" s="594">
        <v>71.95</v>
      </c>
      <c r="D115" s="519" t="s">
        <v>901</v>
      </c>
    </row>
    <row r="116" spans="1:4" x14ac:dyDescent="0.2">
      <c r="A116" s="623" t="s">
        <v>2099</v>
      </c>
      <c r="B116" s="519">
        <v>257358529</v>
      </c>
      <c r="C116" s="594">
        <v>60.8</v>
      </c>
      <c r="D116" s="519" t="s">
        <v>901</v>
      </c>
    </row>
    <row r="117" spans="1:4" x14ac:dyDescent="0.2">
      <c r="A117" s="623" t="s">
        <v>2100</v>
      </c>
      <c r="B117" s="519">
        <v>325793574</v>
      </c>
      <c r="C117" s="594">
        <v>77.3</v>
      </c>
      <c r="D117" s="519" t="s">
        <v>901</v>
      </c>
    </row>
    <row r="118" spans="1:4" x14ac:dyDescent="0.2">
      <c r="A118" s="623" t="s">
        <v>2101</v>
      </c>
      <c r="B118" s="519">
        <v>317200000</v>
      </c>
      <c r="C118" s="594">
        <v>78.400000000000006</v>
      </c>
      <c r="D118" s="519" t="s">
        <v>901</v>
      </c>
    </row>
    <row r="119" spans="1:4" x14ac:dyDescent="0.2">
      <c r="A119" s="623" t="s">
        <v>2102</v>
      </c>
      <c r="B119" s="519">
        <v>256672000</v>
      </c>
      <c r="C119" s="594">
        <v>60.8</v>
      </c>
      <c r="D119" s="519" t="s">
        <v>901</v>
      </c>
    </row>
    <row r="120" spans="1:4" x14ac:dyDescent="0.2">
      <c r="A120" s="623" t="s">
        <v>2103</v>
      </c>
      <c r="B120" s="519">
        <v>301344000</v>
      </c>
      <c r="C120" s="594">
        <v>71.2</v>
      </c>
      <c r="D120" s="519" t="s">
        <v>901</v>
      </c>
    </row>
    <row r="121" spans="1:4" x14ac:dyDescent="0.2">
      <c r="A121" s="623" t="s">
        <v>2104</v>
      </c>
      <c r="B121" s="519">
        <v>298820000</v>
      </c>
      <c r="C121" s="594">
        <v>71.95</v>
      </c>
      <c r="D121" s="519" t="s">
        <v>901</v>
      </c>
    </row>
    <row r="122" spans="1:4" x14ac:dyDescent="0.2">
      <c r="A122" s="623" t="s">
        <v>2105</v>
      </c>
      <c r="B122" s="519">
        <v>248616971</v>
      </c>
      <c r="C122" s="594">
        <v>60.9</v>
      </c>
      <c r="D122" s="519" t="s">
        <v>901</v>
      </c>
    </row>
    <row r="123" spans="1:4" x14ac:dyDescent="0.2">
      <c r="A123" s="623" t="s">
        <v>2106</v>
      </c>
      <c r="B123" s="519">
        <v>329124400</v>
      </c>
      <c r="C123" s="594">
        <v>78.650000000000006</v>
      </c>
      <c r="D123" s="519" t="s">
        <v>901</v>
      </c>
    </row>
    <row r="124" spans="1:4" x14ac:dyDescent="0.2">
      <c r="A124" s="623" t="s">
        <v>2107</v>
      </c>
      <c r="B124" s="519">
        <v>324457000</v>
      </c>
      <c r="C124" s="594">
        <v>78.400000000000006</v>
      </c>
      <c r="D124" s="519" t="s">
        <v>901</v>
      </c>
    </row>
    <row r="125" spans="1:4" x14ac:dyDescent="0.2">
      <c r="A125" s="623" t="s">
        <v>2108</v>
      </c>
      <c r="B125" s="519">
        <v>256972000</v>
      </c>
      <c r="C125" s="594">
        <v>60.8</v>
      </c>
      <c r="D125" s="519" t="s">
        <v>901</v>
      </c>
    </row>
    <row r="126" spans="1:4" x14ac:dyDescent="0.2">
      <c r="A126" s="623" t="s">
        <v>2109</v>
      </c>
      <c r="B126" s="519">
        <v>355577000</v>
      </c>
      <c r="C126" s="594">
        <v>71.900000000000006</v>
      </c>
      <c r="D126" s="519" t="s">
        <v>901</v>
      </c>
    </row>
    <row r="127" spans="1:4" ht="13.5" customHeight="1" x14ac:dyDescent="0.2">
      <c r="A127" s="623" t="s">
        <v>2110</v>
      </c>
      <c r="B127" s="519">
        <v>299936224</v>
      </c>
      <c r="C127" s="594">
        <v>71</v>
      </c>
      <c r="D127" s="519" t="s">
        <v>901</v>
      </c>
    </row>
    <row r="128" spans="1:4" x14ac:dyDescent="0.2">
      <c r="A128" s="623" t="s">
        <v>2111</v>
      </c>
      <c r="B128" s="519">
        <v>250453223</v>
      </c>
      <c r="C128" s="594">
        <v>60.9</v>
      </c>
      <c r="D128" s="519" t="s">
        <v>901</v>
      </c>
    </row>
    <row r="129" spans="1:4" x14ac:dyDescent="0.2">
      <c r="A129" s="623" t="s">
        <v>2112</v>
      </c>
      <c r="B129" s="519">
        <v>322757000</v>
      </c>
      <c r="C129" s="594">
        <v>77.3</v>
      </c>
      <c r="D129" s="519" t="s">
        <v>901</v>
      </c>
    </row>
    <row r="130" spans="1:4" x14ac:dyDescent="0.2">
      <c r="A130" s="623" t="s">
        <v>2113</v>
      </c>
      <c r="B130" s="519">
        <v>317800000</v>
      </c>
      <c r="C130" s="594">
        <v>77.3</v>
      </c>
      <c r="D130" s="519" t="s">
        <v>901</v>
      </c>
    </row>
    <row r="131" spans="1:4" x14ac:dyDescent="0.2">
      <c r="A131" s="623" t="s">
        <v>2114</v>
      </c>
      <c r="B131" s="519">
        <v>257272000</v>
      </c>
      <c r="C131" s="594">
        <v>60.95</v>
      </c>
      <c r="D131" s="519" t="s">
        <v>901</v>
      </c>
    </row>
    <row r="132" spans="1:4" x14ac:dyDescent="0.2">
      <c r="A132" s="623" t="s">
        <v>2115</v>
      </c>
      <c r="B132" s="519">
        <v>301944000</v>
      </c>
      <c r="C132" s="594">
        <v>71.2</v>
      </c>
      <c r="D132" s="519" t="s">
        <v>901</v>
      </c>
    </row>
    <row r="133" spans="1:4" x14ac:dyDescent="0.2">
      <c r="A133" s="623" t="s">
        <v>2116</v>
      </c>
      <c r="B133" s="519">
        <v>290900000</v>
      </c>
      <c r="C133" s="594">
        <v>71.95</v>
      </c>
      <c r="D133" s="519" t="s">
        <v>901</v>
      </c>
    </row>
    <row r="134" spans="1:4" x14ac:dyDescent="0.2">
      <c r="A134" s="623" t="s">
        <v>2117</v>
      </c>
      <c r="B134" s="519">
        <v>250100000</v>
      </c>
      <c r="C134" s="594">
        <v>60.9</v>
      </c>
      <c r="D134" s="519" t="s">
        <v>901</v>
      </c>
    </row>
    <row r="135" spans="1:4" x14ac:dyDescent="0.2">
      <c r="A135" s="623" t="s">
        <v>2118</v>
      </c>
      <c r="B135" s="519">
        <v>319750803</v>
      </c>
      <c r="C135" s="594">
        <v>78.45</v>
      </c>
      <c r="D135" s="519" t="s">
        <v>901</v>
      </c>
    </row>
    <row r="136" spans="1:4" x14ac:dyDescent="0.2">
      <c r="A136" s="623" t="s">
        <v>2119</v>
      </c>
      <c r="B136" s="519">
        <v>326623201</v>
      </c>
      <c r="C136" s="594">
        <v>77.3</v>
      </c>
      <c r="D136" s="519" t="s">
        <v>901</v>
      </c>
    </row>
    <row r="137" spans="1:4" x14ac:dyDescent="0.2">
      <c r="A137" s="623" t="s">
        <v>2120</v>
      </c>
      <c r="B137" s="519">
        <v>252100000</v>
      </c>
      <c r="C137" s="594">
        <v>60.95</v>
      </c>
      <c r="D137" s="519" t="s">
        <v>901</v>
      </c>
    </row>
    <row r="138" spans="1:4" x14ac:dyDescent="0.2">
      <c r="A138" s="623" t="s">
        <v>2121</v>
      </c>
      <c r="B138" s="519">
        <v>302243520</v>
      </c>
      <c r="C138" s="594">
        <v>71.2</v>
      </c>
      <c r="D138" s="519" t="s">
        <v>901</v>
      </c>
    </row>
    <row r="139" spans="1:4" x14ac:dyDescent="0.2">
      <c r="A139" s="623" t="s">
        <v>2122</v>
      </c>
      <c r="B139" s="519">
        <v>295161500</v>
      </c>
      <c r="C139" s="594">
        <v>71</v>
      </c>
      <c r="D139" s="519" t="s">
        <v>901</v>
      </c>
    </row>
    <row r="140" spans="1:4" ht="12" customHeight="1" x14ac:dyDescent="0.2">
      <c r="A140" s="623" t="s">
        <v>2123</v>
      </c>
      <c r="B140" s="519">
        <v>257696000</v>
      </c>
      <c r="C140" s="594">
        <v>60.9</v>
      </c>
      <c r="D140" s="519" t="s">
        <v>901</v>
      </c>
    </row>
    <row r="141" spans="1:4" x14ac:dyDescent="0.2">
      <c r="A141" s="623" t="s">
        <v>2124</v>
      </c>
      <c r="B141" s="519">
        <v>325676000</v>
      </c>
      <c r="C141" s="594">
        <v>77.3</v>
      </c>
      <c r="D141" s="519" t="s">
        <v>901</v>
      </c>
    </row>
    <row r="142" spans="1:4" x14ac:dyDescent="0.2">
      <c r="A142" s="623" t="s">
        <v>2125</v>
      </c>
      <c r="B142" s="519">
        <v>322164574</v>
      </c>
      <c r="C142" s="594">
        <v>78.400000000000006</v>
      </c>
      <c r="D142" s="519" t="s">
        <v>901</v>
      </c>
    </row>
    <row r="143" spans="1:4" x14ac:dyDescent="0.2">
      <c r="A143" s="623" t="s">
        <v>2126</v>
      </c>
      <c r="B143" s="519">
        <v>252400000</v>
      </c>
      <c r="C143" s="594">
        <v>60.95</v>
      </c>
      <c r="D143" s="519" t="s">
        <v>901</v>
      </c>
    </row>
    <row r="144" spans="1:4" x14ac:dyDescent="0.2">
      <c r="A144" s="623" t="s">
        <v>2127</v>
      </c>
      <c r="B144" s="519">
        <v>311096000</v>
      </c>
      <c r="C144" s="594">
        <v>71.2</v>
      </c>
      <c r="D144" s="519" t="s">
        <v>901</v>
      </c>
    </row>
    <row r="145" spans="1:4" x14ac:dyDescent="0.2">
      <c r="A145" s="623" t="s">
        <v>2128</v>
      </c>
      <c r="B145" s="519">
        <v>310158017</v>
      </c>
      <c r="C145" s="594">
        <v>71</v>
      </c>
      <c r="D145" s="519" t="s">
        <v>901</v>
      </c>
    </row>
    <row r="146" spans="1:4" x14ac:dyDescent="0.2">
      <c r="A146" s="623" t="s">
        <v>2129</v>
      </c>
      <c r="B146" s="519">
        <v>250700000</v>
      </c>
      <c r="C146" s="594">
        <v>58.4</v>
      </c>
      <c r="D146" s="519" t="s">
        <v>901</v>
      </c>
    </row>
    <row r="147" spans="1:4" x14ac:dyDescent="0.2">
      <c r="A147" s="623" t="s">
        <v>2130</v>
      </c>
      <c r="B147" s="519">
        <v>330976000</v>
      </c>
      <c r="C147" s="594">
        <v>78.349999999999994</v>
      </c>
      <c r="D147" s="519" t="s">
        <v>901</v>
      </c>
    </row>
    <row r="148" spans="1:4" x14ac:dyDescent="0.2">
      <c r="A148" s="623" t="s">
        <v>2131</v>
      </c>
      <c r="B148" s="519">
        <v>318700000</v>
      </c>
      <c r="C148" s="594">
        <v>77.3</v>
      </c>
      <c r="D148" s="519" t="s">
        <v>901</v>
      </c>
    </row>
    <row r="149" spans="1:4" x14ac:dyDescent="0.2">
      <c r="A149" s="623" t="s">
        <v>2132</v>
      </c>
      <c r="B149" s="519">
        <v>252700000</v>
      </c>
      <c r="C149" s="594">
        <v>60.8</v>
      </c>
      <c r="D149" s="519" t="s">
        <v>901</v>
      </c>
    </row>
    <row r="150" spans="1:4" x14ac:dyDescent="0.2">
      <c r="A150" s="623" t="s">
        <v>2133</v>
      </c>
      <c r="B150" s="519">
        <v>294619235</v>
      </c>
      <c r="C150" s="594">
        <v>71.900000000000006</v>
      </c>
      <c r="D150" s="519" t="s">
        <v>901</v>
      </c>
    </row>
    <row r="151" spans="1:4" x14ac:dyDescent="0.2">
      <c r="A151" s="623"/>
      <c r="B151" s="519"/>
      <c r="C151" s="594"/>
      <c r="D151" s="519"/>
    </row>
    <row r="152" spans="1:4" x14ac:dyDescent="0.2">
      <c r="A152" s="623" t="s">
        <v>1327</v>
      </c>
      <c r="B152" s="519">
        <v>22000000</v>
      </c>
      <c r="C152" s="594">
        <v>0</v>
      </c>
      <c r="D152" s="519" t="s">
        <v>61</v>
      </c>
    </row>
    <row r="153" spans="1:4" x14ac:dyDescent="0.2">
      <c r="A153" s="521" t="s">
        <v>1617</v>
      </c>
      <c r="B153" s="522">
        <v>22000000</v>
      </c>
      <c r="C153" s="595">
        <v>0</v>
      </c>
      <c r="D153" s="519" t="s">
        <v>61</v>
      </c>
    </row>
    <row r="154" spans="1:4" x14ac:dyDescent="0.2">
      <c r="A154" s="521" t="s">
        <v>1334</v>
      </c>
      <c r="B154" s="522">
        <v>22000000</v>
      </c>
      <c r="C154" s="595">
        <v>0</v>
      </c>
      <c r="D154" s="519" t="s">
        <v>61</v>
      </c>
    </row>
    <row r="155" spans="1:4" x14ac:dyDescent="0.2">
      <c r="A155" s="521" t="s">
        <v>1308</v>
      </c>
      <c r="B155" s="522">
        <v>27000000</v>
      </c>
      <c r="C155" s="595">
        <v>0</v>
      </c>
      <c r="D155" s="519" t="s">
        <v>901</v>
      </c>
    </row>
    <row r="156" spans="1:4" x14ac:dyDescent="0.2">
      <c r="A156" s="521" t="s">
        <v>1228</v>
      </c>
      <c r="B156" s="522">
        <v>22000000</v>
      </c>
      <c r="C156" s="595">
        <v>0</v>
      </c>
      <c r="D156" s="519" t="s">
        <v>901</v>
      </c>
    </row>
    <row r="157" spans="1:4" x14ac:dyDescent="0.2">
      <c r="A157" s="521" t="s">
        <v>1309</v>
      </c>
      <c r="B157" s="522">
        <v>27000000</v>
      </c>
      <c r="C157" s="595">
        <v>0</v>
      </c>
      <c r="D157" s="519" t="s">
        <v>901</v>
      </c>
    </row>
    <row r="158" spans="1:4" x14ac:dyDescent="0.2">
      <c r="A158" s="521" t="s">
        <v>1534</v>
      </c>
      <c r="B158" s="522">
        <v>22000000</v>
      </c>
      <c r="C158" s="595">
        <v>0</v>
      </c>
      <c r="D158" s="519" t="s">
        <v>901</v>
      </c>
    </row>
    <row r="159" spans="1:4" x14ac:dyDescent="0.2">
      <c r="A159" s="521" t="s">
        <v>1579</v>
      </c>
      <c r="B159" s="522">
        <v>27000000</v>
      </c>
      <c r="C159" s="595">
        <v>0</v>
      </c>
      <c r="D159" s="519" t="s">
        <v>901</v>
      </c>
    </row>
    <row r="160" spans="1:4" x14ac:dyDescent="0.2">
      <c r="A160" s="521" t="s">
        <v>1310</v>
      </c>
      <c r="B160" s="522">
        <v>27000000</v>
      </c>
      <c r="C160" s="595">
        <v>0</v>
      </c>
      <c r="D160" s="519" t="s">
        <v>901</v>
      </c>
    </row>
    <row r="161" spans="1:4" x14ac:dyDescent="0.2">
      <c r="A161" s="521" t="s">
        <v>1311</v>
      </c>
      <c r="B161" s="522">
        <v>27000000</v>
      </c>
      <c r="C161" s="595">
        <v>0</v>
      </c>
      <c r="D161" s="519" t="s">
        <v>901</v>
      </c>
    </row>
    <row r="162" spans="1:4" x14ac:dyDescent="0.2">
      <c r="A162" s="521" t="s">
        <v>1312</v>
      </c>
      <c r="B162" s="522">
        <v>27000000</v>
      </c>
      <c r="C162" s="595">
        <v>0</v>
      </c>
      <c r="D162" s="519" t="s">
        <v>901</v>
      </c>
    </row>
    <row r="163" spans="1:4" x14ac:dyDescent="0.2">
      <c r="A163" s="521" t="s">
        <v>1535</v>
      </c>
      <c r="B163" s="522">
        <v>27000000</v>
      </c>
      <c r="C163" s="595">
        <v>0</v>
      </c>
      <c r="D163" s="519" t="s">
        <v>901</v>
      </c>
    </row>
    <row r="164" spans="1:4" x14ac:dyDescent="0.2">
      <c r="A164" s="521" t="s">
        <v>1536</v>
      </c>
      <c r="B164" s="522">
        <v>27000000</v>
      </c>
      <c r="C164" s="595">
        <v>0</v>
      </c>
      <c r="D164" s="519" t="s">
        <v>901</v>
      </c>
    </row>
    <row r="165" spans="1:4" x14ac:dyDescent="0.2">
      <c r="A165" s="521" t="s">
        <v>1249</v>
      </c>
      <c r="B165" s="522">
        <v>27000000</v>
      </c>
      <c r="C165" s="595">
        <v>0</v>
      </c>
      <c r="D165" s="519" t="s">
        <v>901</v>
      </c>
    </row>
    <row r="166" spans="1:4" x14ac:dyDescent="0.2">
      <c r="A166" s="521" t="s">
        <v>1554</v>
      </c>
      <c r="B166" s="522">
        <v>27000000</v>
      </c>
      <c r="C166" s="595">
        <v>0</v>
      </c>
      <c r="D166" s="519" t="s">
        <v>901</v>
      </c>
    </row>
    <row r="167" spans="1:4" x14ac:dyDescent="0.2">
      <c r="A167" s="521" t="s">
        <v>1476</v>
      </c>
      <c r="B167" s="522">
        <v>27000000</v>
      </c>
      <c r="C167" s="595">
        <v>0</v>
      </c>
      <c r="D167" s="519" t="s">
        <v>901</v>
      </c>
    </row>
    <row r="168" spans="1:4" x14ac:dyDescent="0.2">
      <c r="A168" s="521" t="s">
        <v>2617</v>
      </c>
      <c r="B168" s="522">
        <v>22000000</v>
      </c>
      <c r="C168" s="595">
        <v>0</v>
      </c>
      <c r="D168" s="519" t="s">
        <v>901</v>
      </c>
    </row>
    <row r="169" spans="1:4" x14ac:dyDescent="0.2">
      <c r="A169" s="521" t="s">
        <v>1349</v>
      </c>
      <c r="B169" s="522">
        <v>27000000</v>
      </c>
      <c r="C169" s="595">
        <v>0</v>
      </c>
      <c r="D169" s="519" t="s">
        <v>901</v>
      </c>
    </row>
    <row r="170" spans="1:4" x14ac:dyDescent="0.2">
      <c r="A170" s="521" t="s">
        <v>1250</v>
      </c>
      <c r="B170" s="522">
        <v>27000000</v>
      </c>
      <c r="C170" s="595">
        <v>0</v>
      </c>
      <c r="D170" s="519" t="s">
        <v>901</v>
      </c>
    </row>
    <row r="171" spans="1:4" x14ac:dyDescent="0.2">
      <c r="A171" s="521" t="s">
        <v>2618</v>
      </c>
      <c r="B171" s="522">
        <v>27000000</v>
      </c>
      <c r="C171" s="595">
        <v>0</v>
      </c>
      <c r="D171" s="519" t="s">
        <v>901</v>
      </c>
    </row>
    <row r="172" spans="1:4" x14ac:dyDescent="0.2">
      <c r="A172" s="521" t="s">
        <v>1313</v>
      </c>
      <c r="B172" s="522">
        <v>27000000</v>
      </c>
      <c r="C172" s="595">
        <v>0</v>
      </c>
      <c r="D172" s="519" t="s">
        <v>901</v>
      </c>
    </row>
    <row r="173" spans="1:4" x14ac:dyDescent="0.2">
      <c r="A173" s="521" t="s">
        <v>1314</v>
      </c>
      <c r="B173" s="522">
        <v>27000000</v>
      </c>
      <c r="C173" s="595">
        <v>0</v>
      </c>
      <c r="D173" s="519" t="s">
        <v>901</v>
      </c>
    </row>
    <row r="174" spans="1:4" x14ac:dyDescent="0.2">
      <c r="A174" s="521" t="s">
        <v>1477</v>
      </c>
      <c r="B174" s="522">
        <v>27000000</v>
      </c>
      <c r="C174" s="595">
        <v>0</v>
      </c>
      <c r="D174" s="519" t="s">
        <v>901</v>
      </c>
    </row>
    <row r="175" spans="1:4" x14ac:dyDescent="0.2">
      <c r="A175" s="521" t="s">
        <v>3725</v>
      </c>
      <c r="B175" s="522">
        <v>22000000</v>
      </c>
      <c r="C175" s="595">
        <v>0</v>
      </c>
      <c r="D175" s="519" t="s">
        <v>901</v>
      </c>
    </row>
    <row r="176" spans="1:4" x14ac:dyDescent="0.2">
      <c r="A176" s="521" t="s">
        <v>1619</v>
      </c>
      <c r="B176" s="522">
        <v>22000000</v>
      </c>
      <c r="C176" s="595">
        <v>0</v>
      </c>
      <c r="D176" s="519" t="s">
        <v>901</v>
      </c>
    </row>
    <row r="177" spans="1:4" x14ac:dyDescent="0.2">
      <c r="A177" s="521" t="s">
        <v>2619</v>
      </c>
      <c r="B177" s="522">
        <v>22000000</v>
      </c>
      <c r="C177" s="595">
        <v>0</v>
      </c>
      <c r="D177" s="519" t="s">
        <v>901</v>
      </c>
    </row>
    <row r="178" spans="1:4" x14ac:dyDescent="0.2">
      <c r="A178" s="521" t="s">
        <v>2620</v>
      </c>
      <c r="B178" s="522">
        <v>22000000</v>
      </c>
      <c r="C178" s="595">
        <v>0</v>
      </c>
      <c r="D178" s="519" t="s">
        <v>901</v>
      </c>
    </row>
    <row r="179" spans="1:4" x14ac:dyDescent="0.2">
      <c r="A179" s="521" t="s">
        <v>3726</v>
      </c>
      <c r="B179" s="522">
        <v>22000000</v>
      </c>
      <c r="C179" s="595">
        <v>0</v>
      </c>
      <c r="D179" s="519" t="s">
        <v>901</v>
      </c>
    </row>
    <row r="180" spans="1:4" x14ac:dyDescent="0.2">
      <c r="A180" s="521" t="s">
        <v>1382</v>
      </c>
      <c r="B180" s="522">
        <v>22000000</v>
      </c>
      <c r="C180" s="595">
        <v>0</v>
      </c>
      <c r="D180" s="519" t="s">
        <v>901</v>
      </c>
    </row>
    <row r="181" spans="1:4" x14ac:dyDescent="0.2">
      <c r="A181" s="521" t="s">
        <v>2621</v>
      </c>
      <c r="B181" s="522">
        <v>22000000</v>
      </c>
      <c r="C181" s="595">
        <v>0</v>
      </c>
      <c r="D181" s="519" t="s">
        <v>901</v>
      </c>
    </row>
    <row r="182" spans="1:4" x14ac:dyDescent="0.2">
      <c r="A182" s="521" t="s">
        <v>1338</v>
      </c>
      <c r="B182" s="522">
        <v>22000000</v>
      </c>
      <c r="C182" s="595">
        <v>0</v>
      </c>
      <c r="D182" s="519" t="s">
        <v>901</v>
      </c>
    </row>
    <row r="183" spans="1:4" x14ac:dyDescent="0.2">
      <c r="A183" s="521" t="s">
        <v>1360</v>
      </c>
      <c r="B183" s="522">
        <v>22000000</v>
      </c>
      <c r="C183" s="595">
        <v>0</v>
      </c>
      <c r="D183" s="519" t="s">
        <v>901</v>
      </c>
    </row>
    <row r="184" spans="1:4" x14ac:dyDescent="0.2">
      <c r="A184" s="521" t="s">
        <v>3229</v>
      </c>
      <c r="B184" s="522">
        <v>22000000</v>
      </c>
      <c r="C184" s="595">
        <v>0</v>
      </c>
      <c r="D184" s="519" t="s">
        <v>901</v>
      </c>
    </row>
    <row r="185" spans="1:4" x14ac:dyDescent="0.2">
      <c r="A185" s="521" t="s">
        <v>1383</v>
      </c>
      <c r="B185" s="522">
        <v>22000000</v>
      </c>
      <c r="C185" s="595">
        <v>0</v>
      </c>
      <c r="D185" s="519" t="s">
        <v>901</v>
      </c>
    </row>
    <row r="186" spans="1:4" x14ac:dyDescent="0.2">
      <c r="A186" s="521" t="s">
        <v>3163</v>
      </c>
      <c r="B186" s="522">
        <v>22000000</v>
      </c>
      <c r="C186" s="595">
        <v>0</v>
      </c>
      <c r="D186" s="519" t="s">
        <v>901</v>
      </c>
    </row>
    <row r="187" spans="1:4" x14ac:dyDescent="0.2">
      <c r="A187" s="521" t="s">
        <v>1437</v>
      </c>
      <c r="B187" s="522">
        <v>22000000</v>
      </c>
      <c r="C187" s="595">
        <v>0</v>
      </c>
      <c r="D187" s="519" t="s">
        <v>901</v>
      </c>
    </row>
    <row r="188" spans="1:4" x14ac:dyDescent="0.2">
      <c r="A188" s="521" t="s">
        <v>1516</v>
      </c>
      <c r="B188" s="522">
        <v>22000000</v>
      </c>
      <c r="C188" s="595">
        <v>0</v>
      </c>
      <c r="D188" s="519" t="s">
        <v>901</v>
      </c>
    </row>
    <row r="189" spans="1:4" x14ac:dyDescent="0.2">
      <c r="A189" s="521" t="s">
        <v>1600</v>
      </c>
      <c r="B189" s="522">
        <v>27000000</v>
      </c>
      <c r="C189" s="595">
        <v>0</v>
      </c>
      <c r="D189" s="519" t="s">
        <v>901</v>
      </c>
    </row>
    <row r="190" spans="1:4" x14ac:dyDescent="0.2">
      <c r="A190" s="521" t="s">
        <v>1315</v>
      </c>
      <c r="B190" s="522">
        <v>27000000</v>
      </c>
      <c r="C190" s="595">
        <v>0</v>
      </c>
      <c r="D190" s="519" t="s">
        <v>901</v>
      </c>
    </row>
    <row r="191" spans="1:4" x14ac:dyDescent="0.2">
      <c r="A191" s="521" t="s">
        <v>1251</v>
      </c>
      <c r="B191" s="522">
        <v>22000000</v>
      </c>
      <c r="C191" s="595">
        <v>0</v>
      </c>
      <c r="D191" s="519" t="s">
        <v>901</v>
      </c>
    </row>
    <row r="192" spans="1:4" x14ac:dyDescent="0.2">
      <c r="A192" s="521" t="s">
        <v>1537</v>
      </c>
      <c r="B192" s="522">
        <v>27000000</v>
      </c>
      <c r="C192" s="595">
        <v>0</v>
      </c>
      <c r="D192" s="519" t="s">
        <v>901</v>
      </c>
    </row>
    <row r="193" spans="1:4" x14ac:dyDescent="0.2">
      <c r="A193" s="521" t="s">
        <v>1384</v>
      </c>
      <c r="B193" s="522">
        <v>27000000</v>
      </c>
      <c r="C193" s="595">
        <v>0</v>
      </c>
      <c r="D193" s="519" t="s">
        <v>901</v>
      </c>
    </row>
    <row r="194" spans="1:4" x14ac:dyDescent="0.2">
      <c r="A194" s="521" t="s">
        <v>1316</v>
      </c>
      <c r="B194" s="522">
        <v>27000000</v>
      </c>
      <c r="C194" s="595">
        <v>0</v>
      </c>
      <c r="D194" s="519" t="s">
        <v>901</v>
      </c>
    </row>
    <row r="195" spans="1:4" x14ac:dyDescent="0.2">
      <c r="A195" s="521" t="s">
        <v>1478</v>
      </c>
      <c r="B195" s="522">
        <v>27000000</v>
      </c>
      <c r="C195" s="595">
        <v>0</v>
      </c>
      <c r="D195" s="519" t="s">
        <v>901</v>
      </c>
    </row>
    <row r="196" spans="1:4" x14ac:dyDescent="0.2">
      <c r="A196" s="521" t="s">
        <v>1350</v>
      </c>
      <c r="B196" s="522">
        <v>27000000</v>
      </c>
      <c r="C196" s="595">
        <v>0</v>
      </c>
      <c r="D196" s="519" t="s">
        <v>901</v>
      </c>
    </row>
    <row r="197" spans="1:4" x14ac:dyDescent="0.2">
      <c r="A197" s="521" t="s">
        <v>1317</v>
      </c>
      <c r="B197" s="522">
        <v>27000000</v>
      </c>
      <c r="C197" s="595">
        <v>0</v>
      </c>
      <c r="D197" s="519" t="s">
        <v>901</v>
      </c>
    </row>
    <row r="198" spans="1:4" x14ac:dyDescent="0.2">
      <c r="A198" s="521" t="s">
        <v>2545</v>
      </c>
      <c r="B198" s="522">
        <v>27000000</v>
      </c>
      <c r="C198" s="595">
        <v>0</v>
      </c>
      <c r="D198" s="519" t="s">
        <v>901</v>
      </c>
    </row>
    <row r="199" spans="1:4" x14ac:dyDescent="0.2">
      <c r="A199" s="521" t="s">
        <v>1385</v>
      </c>
      <c r="B199" s="522">
        <v>27000000</v>
      </c>
      <c r="C199" s="595">
        <v>0</v>
      </c>
      <c r="D199" s="519" t="s">
        <v>901</v>
      </c>
    </row>
    <row r="200" spans="1:4" x14ac:dyDescent="0.2">
      <c r="A200" s="521" t="s">
        <v>1318</v>
      </c>
      <c r="B200" s="522">
        <v>27000000</v>
      </c>
      <c r="C200" s="595">
        <v>0</v>
      </c>
      <c r="D200" s="519" t="s">
        <v>901</v>
      </c>
    </row>
    <row r="201" spans="1:4" x14ac:dyDescent="0.2">
      <c r="A201" s="521" t="s">
        <v>1438</v>
      </c>
      <c r="B201" s="522">
        <v>22000000</v>
      </c>
      <c r="C201" s="595">
        <v>0</v>
      </c>
      <c r="D201" s="519" t="s">
        <v>901</v>
      </c>
    </row>
    <row r="202" spans="1:4" x14ac:dyDescent="0.2">
      <c r="A202" s="521" t="s">
        <v>1319</v>
      </c>
      <c r="B202" s="522">
        <v>27000000</v>
      </c>
      <c r="C202" s="595">
        <v>0</v>
      </c>
      <c r="D202" s="519" t="s">
        <v>901</v>
      </c>
    </row>
    <row r="203" spans="1:4" x14ac:dyDescent="0.2">
      <c r="A203" s="521" t="s">
        <v>1683</v>
      </c>
      <c r="B203" s="522">
        <v>27000000</v>
      </c>
      <c r="C203" s="595">
        <v>0</v>
      </c>
      <c r="D203" s="519" t="s">
        <v>901</v>
      </c>
    </row>
    <row r="204" spans="1:4" x14ac:dyDescent="0.2">
      <c r="A204" s="521" t="s">
        <v>3014</v>
      </c>
      <c r="B204" s="522">
        <v>27000000</v>
      </c>
      <c r="C204" s="595">
        <v>0</v>
      </c>
      <c r="D204" s="519" t="s">
        <v>901</v>
      </c>
    </row>
    <row r="205" spans="1:4" x14ac:dyDescent="0.2">
      <c r="A205" s="521" t="s">
        <v>2252</v>
      </c>
      <c r="B205" s="522">
        <v>22000000</v>
      </c>
      <c r="C205" s="595">
        <v>0</v>
      </c>
      <c r="D205" s="519" t="s">
        <v>901</v>
      </c>
    </row>
    <row r="206" spans="1:4" x14ac:dyDescent="0.2">
      <c r="A206" s="521" t="s">
        <v>1320</v>
      </c>
      <c r="B206" s="522">
        <v>22000000</v>
      </c>
      <c r="C206" s="595">
        <v>0</v>
      </c>
      <c r="D206" s="519" t="s">
        <v>901</v>
      </c>
    </row>
    <row r="207" spans="1:4" x14ac:dyDescent="0.2">
      <c r="A207" s="521" t="s">
        <v>1351</v>
      </c>
      <c r="B207" s="522">
        <v>22000000</v>
      </c>
      <c r="C207" s="595">
        <v>0</v>
      </c>
      <c r="D207" s="519" t="s">
        <v>901</v>
      </c>
    </row>
    <row r="208" spans="1:4" x14ac:dyDescent="0.2">
      <c r="A208" s="521" t="s">
        <v>1386</v>
      </c>
      <c r="B208" s="522">
        <v>22000000</v>
      </c>
      <c r="C208" s="595">
        <v>0</v>
      </c>
      <c r="D208" s="519" t="s">
        <v>901</v>
      </c>
    </row>
    <row r="209" spans="1:4" x14ac:dyDescent="0.2">
      <c r="A209" s="521" t="s">
        <v>3442</v>
      </c>
      <c r="B209" s="522">
        <v>22000000</v>
      </c>
      <c r="C209" s="595">
        <v>0</v>
      </c>
      <c r="D209" s="519" t="s">
        <v>901</v>
      </c>
    </row>
    <row r="210" spans="1:4" x14ac:dyDescent="0.2">
      <c r="A210" s="521" t="s">
        <v>1352</v>
      </c>
      <c r="B210" s="522">
        <v>22000000</v>
      </c>
      <c r="C210" s="595">
        <v>0</v>
      </c>
      <c r="D210" s="519" t="s">
        <v>901</v>
      </c>
    </row>
    <row r="211" spans="1:4" x14ac:dyDescent="0.2">
      <c r="A211" s="521" t="s">
        <v>1486</v>
      </c>
      <c r="B211" s="522">
        <v>22000000</v>
      </c>
      <c r="C211" s="595">
        <v>0</v>
      </c>
      <c r="D211" s="519" t="s">
        <v>901</v>
      </c>
    </row>
    <row r="212" spans="1:4" x14ac:dyDescent="0.2">
      <c r="A212" s="521" t="s">
        <v>2546</v>
      </c>
      <c r="B212" s="522">
        <v>27000000</v>
      </c>
      <c r="C212" s="595">
        <v>0</v>
      </c>
      <c r="D212" s="519" t="s">
        <v>901</v>
      </c>
    </row>
    <row r="213" spans="1:4" x14ac:dyDescent="0.2">
      <c r="A213" s="521" t="s">
        <v>1597</v>
      </c>
      <c r="B213" s="522">
        <v>27000000</v>
      </c>
      <c r="C213" s="595">
        <v>0</v>
      </c>
      <c r="D213" s="519" t="s">
        <v>901</v>
      </c>
    </row>
    <row r="214" spans="1:4" x14ac:dyDescent="0.2">
      <c r="A214" s="521" t="s">
        <v>3285</v>
      </c>
      <c r="B214" s="522">
        <v>27000000</v>
      </c>
      <c r="C214" s="595">
        <v>0</v>
      </c>
      <c r="D214" s="519" t="s">
        <v>901</v>
      </c>
    </row>
    <row r="215" spans="1:4" x14ac:dyDescent="0.2">
      <c r="A215" s="521" t="s">
        <v>2584</v>
      </c>
      <c r="B215" s="522">
        <v>22000000</v>
      </c>
      <c r="C215" s="595">
        <v>0</v>
      </c>
      <c r="D215" s="519" t="s">
        <v>901</v>
      </c>
    </row>
    <row r="216" spans="1:4" x14ac:dyDescent="0.2">
      <c r="A216" s="521" t="s">
        <v>1439</v>
      </c>
      <c r="B216" s="522">
        <v>22000000</v>
      </c>
      <c r="C216" s="595">
        <v>0</v>
      </c>
      <c r="D216" s="519" t="s">
        <v>901</v>
      </c>
    </row>
    <row r="217" spans="1:4" x14ac:dyDescent="0.2">
      <c r="A217" s="521" t="s">
        <v>2622</v>
      </c>
      <c r="B217" s="522">
        <v>27000000</v>
      </c>
      <c r="C217" s="595">
        <v>0</v>
      </c>
      <c r="D217" s="519" t="s">
        <v>901</v>
      </c>
    </row>
    <row r="218" spans="1:4" x14ac:dyDescent="0.2">
      <c r="A218" s="521" t="s">
        <v>1321</v>
      </c>
      <c r="B218" s="522">
        <v>27000000</v>
      </c>
      <c r="C218" s="595">
        <v>0</v>
      </c>
      <c r="D218" s="519" t="s">
        <v>901</v>
      </c>
    </row>
    <row r="219" spans="1:4" x14ac:dyDescent="0.2">
      <c r="A219" s="521" t="s">
        <v>2623</v>
      </c>
      <c r="B219" s="522">
        <v>27000000</v>
      </c>
      <c r="C219" s="595">
        <v>0</v>
      </c>
      <c r="D219" s="519" t="s">
        <v>901</v>
      </c>
    </row>
    <row r="220" spans="1:4" x14ac:dyDescent="0.2">
      <c r="A220" s="521" t="s">
        <v>1387</v>
      </c>
      <c r="B220" s="522">
        <v>22000000</v>
      </c>
      <c r="C220" s="595">
        <v>0</v>
      </c>
      <c r="D220" s="519" t="s">
        <v>901</v>
      </c>
    </row>
    <row r="221" spans="1:4" x14ac:dyDescent="0.2">
      <c r="A221" s="521" t="s">
        <v>1684</v>
      </c>
      <c r="B221" s="522">
        <v>27000000</v>
      </c>
      <c r="C221" s="595">
        <v>0</v>
      </c>
      <c r="D221" s="519" t="s">
        <v>901</v>
      </c>
    </row>
    <row r="222" spans="1:4" x14ac:dyDescent="0.2">
      <c r="A222" s="521" t="s">
        <v>1229</v>
      </c>
      <c r="B222" s="522">
        <v>27000000</v>
      </c>
      <c r="C222" s="595">
        <v>0</v>
      </c>
      <c r="D222" s="519" t="s">
        <v>901</v>
      </c>
    </row>
    <row r="223" spans="1:4" x14ac:dyDescent="0.2">
      <c r="A223" s="521" t="s">
        <v>2547</v>
      </c>
      <c r="B223" s="522">
        <v>27000000</v>
      </c>
      <c r="C223" s="595">
        <v>0</v>
      </c>
      <c r="D223" s="519" t="s">
        <v>901</v>
      </c>
    </row>
    <row r="224" spans="1:4" x14ac:dyDescent="0.2">
      <c r="A224" s="521" t="s">
        <v>1388</v>
      </c>
      <c r="B224" s="522">
        <v>22000000</v>
      </c>
      <c r="C224" s="595">
        <v>0</v>
      </c>
      <c r="D224" s="519" t="s">
        <v>901</v>
      </c>
    </row>
    <row r="225" spans="1:4" x14ac:dyDescent="0.2">
      <c r="A225" s="521" t="s">
        <v>1389</v>
      </c>
      <c r="B225" s="522">
        <v>27000000</v>
      </c>
      <c r="C225" s="595">
        <v>0</v>
      </c>
      <c r="D225" s="519" t="s">
        <v>901</v>
      </c>
    </row>
    <row r="226" spans="1:4" x14ac:dyDescent="0.2">
      <c r="A226" s="521" t="s">
        <v>1390</v>
      </c>
      <c r="B226" s="522">
        <v>27000000</v>
      </c>
      <c r="C226" s="595">
        <v>0</v>
      </c>
      <c r="D226" s="519" t="s">
        <v>901</v>
      </c>
    </row>
    <row r="227" spans="1:4" x14ac:dyDescent="0.2">
      <c r="A227" s="521" t="s">
        <v>1391</v>
      </c>
      <c r="B227" s="522">
        <v>22000000</v>
      </c>
      <c r="C227" s="595">
        <v>0</v>
      </c>
      <c r="D227" s="519" t="s">
        <v>901</v>
      </c>
    </row>
    <row r="228" spans="1:4" x14ac:dyDescent="0.2">
      <c r="A228" s="521" t="s">
        <v>2728</v>
      </c>
      <c r="B228" s="522">
        <v>27000000</v>
      </c>
      <c r="C228" s="595">
        <v>0</v>
      </c>
      <c r="D228" s="519" t="s">
        <v>901</v>
      </c>
    </row>
    <row r="229" spans="1:4" x14ac:dyDescent="0.2">
      <c r="A229" s="521" t="s">
        <v>1392</v>
      </c>
      <c r="B229" s="522">
        <v>27000000</v>
      </c>
      <c r="C229" s="595">
        <v>0</v>
      </c>
      <c r="D229" s="519" t="s">
        <v>901</v>
      </c>
    </row>
    <row r="230" spans="1:4" x14ac:dyDescent="0.2">
      <c r="A230" s="521" t="s">
        <v>1393</v>
      </c>
      <c r="B230" s="522">
        <v>27000000</v>
      </c>
      <c r="C230" s="595">
        <v>0</v>
      </c>
      <c r="D230" s="519" t="s">
        <v>901</v>
      </c>
    </row>
    <row r="231" spans="1:4" x14ac:dyDescent="0.2">
      <c r="A231" s="521" t="s">
        <v>1440</v>
      </c>
      <c r="B231" s="522">
        <v>27000000</v>
      </c>
      <c r="C231" s="595">
        <v>0</v>
      </c>
      <c r="D231" s="519" t="s">
        <v>901</v>
      </c>
    </row>
    <row r="232" spans="1:4" x14ac:dyDescent="0.2">
      <c r="A232" s="521" t="s">
        <v>1479</v>
      </c>
      <c r="B232" s="522">
        <v>22000000</v>
      </c>
      <c r="C232" s="595">
        <v>0</v>
      </c>
      <c r="D232" s="519" t="s">
        <v>901</v>
      </c>
    </row>
    <row r="233" spans="1:4" x14ac:dyDescent="0.2">
      <c r="A233" s="521" t="s">
        <v>1441</v>
      </c>
      <c r="B233" s="522">
        <v>27000000</v>
      </c>
      <c r="C233" s="595">
        <v>0</v>
      </c>
      <c r="D233" s="519" t="s">
        <v>901</v>
      </c>
    </row>
    <row r="234" spans="1:4" x14ac:dyDescent="0.2">
      <c r="A234" s="521" t="s">
        <v>1580</v>
      </c>
      <c r="B234" s="522">
        <v>22000000</v>
      </c>
      <c r="C234" s="595">
        <v>0</v>
      </c>
      <c r="D234" s="519" t="s">
        <v>901</v>
      </c>
    </row>
    <row r="235" spans="1:4" x14ac:dyDescent="0.2">
      <c r="A235" s="521" t="s">
        <v>1394</v>
      </c>
      <c r="B235" s="522">
        <v>22000000</v>
      </c>
      <c r="C235" s="595">
        <v>0</v>
      </c>
      <c r="D235" s="519" t="s">
        <v>901</v>
      </c>
    </row>
    <row r="236" spans="1:4" x14ac:dyDescent="0.2">
      <c r="A236" s="521" t="s">
        <v>2729</v>
      </c>
      <c r="B236" s="522">
        <v>22000000</v>
      </c>
      <c r="C236" s="595">
        <v>0</v>
      </c>
      <c r="D236" s="519" t="s">
        <v>901</v>
      </c>
    </row>
    <row r="237" spans="1:4" x14ac:dyDescent="0.2">
      <c r="A237" s="521" t="s">
        <v>2548</v>
      </c>
      <c r="B237" s="522">
        <v>22000000</v>
      </c>
      <c r="C237" s="595">
        <v>0</v>
      </c>
      <c r="D237" s="519" t="s">
        <v>901</v>
      </c>
    </row>
    <row r="238" spans="1:4" x14ac:dyDescent="0.2">
      <c r="A238" s="521" t="s">
        <v>1322</v>
      </c>
      <c r="B238" s="522">
        <v>22000000</v>
      </c>
      <c r="C238" s="595">
        <v>0</v>
      </c>
      <c r="D238" s="519" t="s">
        <v>901</v>
      </c>
    </row>
    <row r="239" spans="1:4" x14ac:dyDescent="0.2">
      <c r="A239" s="521" t="s">
        <v>1581</v>
      </c>
      <c r="B239" s="522">
        <v>22000000</v>
      </c>
      <c r="C239" s="595">
        <v>0</v>
      </c>
      <c r="D239" s="519" t="s">
        <v>901</v>
      </c>
    </row>
    <row r="240" spans="1:4" x14ac:dyDescent="0.2">
      <c r="A240" s="521" t="s">
        <v>2549</v>
      </c>
      <c r="B240" s="522">
        <v>22000000</v>
      </c>
      <c r="C240" s="595">
        <v>0</v>
      </c>
      <c r="D240" s="519" t="s">
        <v>901</v>
      </c>
    </row>
    <row r="241" spans="1:4" x14ac:dyDescent="0.2">
      <c r="A241" s="521" t="s">
        <v>1538</v>
      </c>
      <c r="B241" s="522">
        <v>22000000</v>
      </c>
      <c r="C241" s="595">
        <v>0</v>
      </c>
      <c r="D241" s="519" t="s">
        <v>901</v>
      </c>
    </row>
    <row r="242" spans="1:4" x14ac:dyDescent="0.2">
      <c r="A242" s="521" t="s">
        <v>2253</v>
      </c>
      <c r="B242" s="522">
        <v>22000000</v>
      </c>
      <c r="C242" s="595">
        <v>0</v>
      </c>
      <c r="D242" s="519" t="s">
        <v>901</v>
      </c>
    </row>
    <row r="243" spans="1:4" x14ac:dyDescent="0.2">
      <c r="A243" s="521" t="s">
        <v>2296</v>
      </c>
      <c r="B243" s="522">
        <v>22000000</v>
      </c>
      <c r="C243" s="595">
        <v>0</v>
      </c>
      <c r="D243" s="519" t="s">
        <v>901</v>
      </c>
    </row>
    <row r="244" spans="1:4" x14ac:dyDescent="0.2">
      <c r="A244" s="521" t="s">
        <v>2254</v>
      </c>
      <c r="B244" s="522">
        <v>27000000</v>
      </c>
      <c r="C244" s="595">
        <v>0</v>
      </c>
      <c r="D244" s="519" t="s">
        <v>901</v>
      </c>
    </row>
    <row r="245" spans="1:4" x14ac:dyDescent="0.2">
      <c r="A245" s="521" t="s">
        <v>2585</v>
      </c>
      <c r="B245" s="522">
        <v>27000000</v>
      </c>
      <c r="C245" s="595">
        <v>0</v>
      </c>
      <c r="D245" s="519" t="s">
        <v>901</v>
      </c>
    </row>
    <row r="246" spans="1:4" x14ac:dyDescent="0.2">
      <c r="A246" s="521" t="s">
        <v>2624</v>
      </c>
      <c r="B246" s="522">
        <v>27000000</v>
      </c>
      <c r="C246" s="595">
        <v>0</v>
      </c>
      <c r="D246" s="519" t="s">
        <v>901</v>
      </c>
    </row>
    <row r="247" spans="1:4" x14ac:dyDescent="0.2">
      <c r="A247" s="521" t="s">
        <v>1598</v>
      </c>
      <c r="B247" s="522">
        <v>27000000</v>
      </c>
      <c r="C247" s="595">
        <v>0</v>
      </c>
      <c r="D247" s="519" t="s">
        <v>901</v>
      </c>
    </row>
    <row r="248" spans="1:4" x14ac:dyDescent="0.2">
      <c r="A248" s="521" t="s">
        <v>1353</v>
      </c>
      <c r="B248" s="522">
        <v>27000000</v>
      </c>
      <c r="C248" s="595">
        <v>0</v>
      </c>
      <c r="D248" s="519" t="s">
        <v>901</v>
      </c>
    </row>
    <row r="249" spans="1:4" x14ac:dyDescent="0.2">
      <c r="A249" s="521" t="s">
        <v>2297</v>
      </c>
      <c r="B249" s="522">
        <v>27000000</v>
      </c>
      <c r="C249" s="595">
        <v>0</v>
      </c>
      <c r="D249" s="519" t="s">
        <v>901</v>
      </c>
    </row>
    <row r="250" spans="1:4" x14ac:dyDescent="0.2">
      <c r="A250" s="521" t="s">
        <v>1323</v>
      </c>
      <c r="B250" s="522">
        <v>27000000</v>
      </c>
      <c r="C250" s="595">
        <v>0</v>
      </c>
      <c r="D250" s="519" t="s">
        <v>901</v>
      </c>
    </row>
    <row r="251" spans="1:4" x14ac:dyDescent="0.2">
      <c r="A251" s="521" t="s">
        <v>1442</v>
      </c>
      <c r="B251" s="522">
        <v>27000000</v>
      </c>
      <c r="C251" s="595">
        <v>0</v>
      </c>
      <c r="D251" s="519" t="s">
        <v>901</v>
      </c>
    </row>
    <row r="252" spans="1:4" x14ac:dyDescent="0.2">
      <c r="A252" s="521" t="s">
        <v>1252</v>
      </c>
      <c r="B252" s="522">
        <v>27000000</v>
      </c>
      <c r="C252" s="595">
        <v>0</v>
      </c>
      <c r="D252" s="519" t="s">
        <v>901</v>
      </c>
    </row>
    <row r="253" spans="1:4" x14ac:dyDescent="0.2">
      <c r="A253" s="521" t="s">
        <v>1395</v>
      </c>
      <c r="B253" s="522">
        <v>22000000</v>
      </c>
      <c r="C253" s="595">
        <v>0</v>
      </c>
      <c r="D253" s="519" t="s">
        <v>901</v>
      </c>
    </row>
    <row r="254" spans="1:4" x14ac:dyDescent="0.2">
      <c r="A254" s="521" t="s">
        <v>1324</v>
      </c>
      <c r="B254" s="522">
        <v>27000000</v>
      </c>
      <c r="C254" s="595">
        <v>0</v>
      </c>
      <c r="D254" s="519" t="s">
        <v>901</v>
      </c>
    </row>
    <row r="255" spans="1:4" x14ac:dyDescent="0.2">
      <c r="A255" s="521" t="s">
        <v>1325</v>
      </c>
      <c r="B255" s="522">
        <v>27000000</v>
      </c>
      <c r="C255" s="595">
        <v>0</v>
      </c>
      <c r="D255" s="519" t="s">
        <v>901</v>
      </c>
    </row>
    <row r="256" spans="1:4" x14ac:dyDescent="0.2">
      <c r="A256" s="521" t="s">
        <v>1253</v>
      </c>
      <c r="B256" s="522">
        <v>27000000</v>
      </c>
      <c r="C256" s="595">
        <v>0</v>
      </c>
      <c r="D256" s="519" t="s">
        <v>901</v>
      </c>
    </row>
    <row r="257" spans="1:4" x14ac:dyDescent="0.2">
      <c r="A257" s="521" t="s">
        <v>2625</v>
      </c>
      <c r="B257" s="522">
        <v>27000000</v>
      </c>
      <c r="C257" s="595">
        <v>0</v>
      </c>
      <c r="D257" s="519" t="s">
        <v>901</v>
      </c>
    </row>
    <row r="258" spans="1:4" x14ac:dyDescent="0.2">
      <c r="A258" s="521" t="s">
        <v>1354</v>
      </c>
      <c r="B258" s="522">
        <v>27000000</v>
      </c>
      <c r="C258" s="595">
        <v>0</v>
      </c>
      <c r="D258" s="519" t="s">
        <v>901</v>
      </c>
    </row>
    <row r="259" spans="1:4" x14ac:dyDescent="0.2">
      <c r="A259" s="521" t="s">
        <v>1355</v>
      </c>
      <c r="B259" s="522">
        <v>27000000</v>
      </c>
      <c r="C259" s="595">
        <v>0</v>
      </c>
      <c r="D259" s="519" t="s">
        <v>901</v>
      </c>
    </row>
    <row r="260" spans="1:4" x14ac:dyDescent="0.2">
      <c r="A260" s="521" t="s">
        <v>1326</v>
      </c>
      <c r="B260" s="522">
        <v>27000000</v>
      </c>
      <c r="C260" s="595">
        <v>0</v>
      </c>
      <c r="D260" s="519" t="s">
        <v>901</v>
      </c>
    </row>
    <row r="261" spans="1:4" x14ac:dyDescent="0.2">
      <c r="A261" s="521" t="s">
        <v>1396</v>
      </c>
      <c r="B261" s="522">
        <v>27000000</v>
      </c>
      <c r="C261" s="595">
        <v>0</v>
      </c>
      <c r="D261" s="519" t="s">
        <v>901</v>
      </c>
    </row>
    <row r="262" spans="1:4" x14ac:dyDescent="0.2">
      <c r="A262" s="521" t="s">
        <v>1397</v>
      </c>
      <c r="B262" s="522">
        <v>27000000</v>
      </c>
      <c r="C262" s="595">
        <v>0</v>
      </c>
      <c r="D262" s="519" t="s">
        <v>901</v>
      </c>
    </row>
    <row r="263" spans="1:4" x14ac:dyDescent="0.2">
      <c r="A263" s="521" t="s">
        <v>1328</v>
      </c>
      <c r="B263" s="522">
        <v>27000000</v>
      </c>
      <c r="C263" s="595">
        <v>0</v>
      </c>
      <c r="D263" s="519" t="s">
        <v>901</v>
      </c>
    </row>
    <row r="264" spans="1:4" x14ac:dyDescent="0.2">
      <c r="A264" s="521" t="s">
        <v>1329</v>
      </c>
      <c r="B264" s="522">
        <v>27000000</v>
      </c>
      <c r="C264" s="595">
        <v>0</v>
      </c>
      <c r="D264" s="519" t="s">
        <v>901</v>
      </c>
    </row>
    <row r="265" spans="1:4" x14ac:dyDescent="0.2">
      <c r="A265" s="521" t="s">
        <v>1330</v>
      </c>
      <c r="B265" s="522">
        <v>27000000</v>
      </c>
      <c r="C265" s="595">
        <v>0</v>
      </c>
      <c r="D265" s="519" t="s">
        <v>901</v>
      </c>
    </row>
    <row r="266" spans="1:4" x14ac:dyDescent="0.2">
      <c r="A266" s="521" t="s">
        <v>1443</v>
      </c>
      <c r="B266" s="522">
        <v>22000000</v>
      </c>
      <c r="C266" s="595">
        <v>0</v>
      </c>
      <c r="D266" s="519" t="s">
        <v>901</v>
      </c>
    </row>
    <row r="267" spans="1:4" x14ac:dyDescent="0.2">
      <c r="A267" s="521" t="s">
        <v>2550</v>
      </c>
      <c r="B267" s="522">
        <v>22000000</v>
      </c>
      <c r="C267" s="595">
        <v>0</v>
      </c>
      <c r="D267" s="519" t="s">
        <v>901</v>
      </c>
    </row>
    <row r="268" spans="1:4" x14ac:dyDescent="0.2">
      <c r="A268" s="521" t="s">
        <v>2626</v>
      </c>
      <c r="B268" s="522">
        <v>22000000</v>
      </c>
      <c r="C268" s="595">
        <v>0</v>
      </c>
      <c r="D268" s="519" t="s">
        <v>901</v>
      </c>
    </row>
    <row r="269" spans="1:4" x14ac:dyDescent="0.2">
      <c r="A269" s="521" t="s">
        <v>1331</v>
      </c>
      <c r="B269" s="522">
        <v>22000000</v>
      </c>
      <c r="C269" s="595">
        <v>0</v>
      </c>
      <c r="D269" s="519" t="s">
        <v>901</v>
      </c>
    </row>
    <row r="270" spans="1:4" x14ac:dyDescent="0.2">
      <c r="A270" s="521" t="s">
        <v>1398</v>
      </c>
      <c r="B270" s="522">
        <v>22000000</v>
      </c>
      <c r="C270" s="595">
        <v>0</v>
      </c>
      <c r="D270" s="519" t="s">
        <v>901</v>
      </c>
    </row>
    <row r="271" spans="1:4" x14ac:dyDescent="0.2">
      <c r="A271" s="521" t="s">
        <v>1399</v>
      </c>
      <c r="B271" s="522">
        <v>22000000</v>
      </c>
      <c r="C271" s="595">
        <v>0</v>
      </c>
      <c r="D271" s="519" t="s">
        <v>901</v>
      </c>
    </row>
    <row r="272" spans="1:4" x14ac:dyDescent="0.2">
      <c r="A272" s="521" t="s">
        <v>2586</v>
      </c>
      <c r="B272" s="522">
        <v>22000000</v>
      </c>
      <c r="C272" s="595">
        <v>0</v>
      </c>
      <c r="D272" s="519" t="s">
        <v>901</v>
      </c>
    </row>
    <row r="273" spans="1:4" x14ac:dyDescent="0.2">
      <c r="A273" s="521" t="s">
        <v>3286</v>
      </c>
      <c r="B273" s="522">
        <v>27000000</v>
      </c>
      <c r="C273" s="595">
        <v>0</v>
      </c>
      <c r="D273" s="519" t="s">
        <v>901</v>
      </c>
    </row>
    <row r="274" spans="1:4" x14ac:dyDescent="0.2">
      <c r="A274" s="521" t="s">
        <v>1332</v>
      </c>
      <c r="B274" s="522">
        <v>27000000</v>
      </c>
      <c r="C274" s="595">
        <v>0</v>
      </c>
      <c r="D274" s="519" t="s">
        <v>901</v>
      </c>
    </row>
    <row r="275" spans="1:4" x14ac:dyDescent="0.2">
      <c r="A275" s="521" t="s">
        <v>1254</v>
      </c>
      <c r="B275" s="522">
        <v>22000000</v>
      </c>
      <c r="C275" s="595">
        <v>0</v>
      </c>
      <c r="D275" s="519" t="s">
        <v>901</v>
      </c>
    </row>
    <row r="276" spans="1:4" x14ac:dyDescent="0.2">
      <c r="A276" s="521" t="s">
        <v>1255</v>
      </c>
      <c r="B276" s="522">
        <v>27000000</v>
      </c>
      <c r="C276" s="595">
        <v>0</v>
      </c>
      <c r="D276" s="519" t="s">
        <v>901</v>
      </c>
    </row>
    <row r="277" spans="1:4" x14ac:dyDescent="0.2">
      <c r="A277" s="521" t="s">
        <v>1445</v>
      </c>
      <c r="B277" s="522">
        <v>27000000</v>
      </c>
      <c r="C277" s="595">
        <v>0</v>
      </c>
      <c r="D277" s="519" t="s">
        <v>901</v>
      </c>
    </row>
    <row r="278" spans="1:4" x14ac:dyDescent="0.2">
      <c r="A278" s="521" t="s">
        <v>1356</v>
      </c>
      <c r="B278" s="522">
        <v>27000000</v>
      </c>
      <c r="C278" s="595">
        <v>0</v>
      </c>
      <c r="D278" s="519" t="s">
        <v>901</v>
      </c>
    </row>
    <row r="279" spans="1:4" x14ac:dyDescent="0.2">
      <c r="A279" s="521" t="s">
        <v>1256</v>
      </c>
      <c r="B279" s="522">
        <v>27000000</v>
      </c>
      <c r="C279" s="595">
        <v>0</v>
      </c>
      <c r="D279" s="519" t="s">
        <v>901</v>
      </c>
    </row>
    <row r="280" spans="1:4" x14ac:dyDescent="0.2">
      <c r="A280" s="521" t="s">
        <v>1357</v>
      </c>
      <c r="B280" s="522">
        <v>27000000</v>
      </c>
      <c r="C280" s="595">
        <v>0</v>
      </c>
      <c r="D280" s="519" t="s">
        <v>901</v>
      </c>
    </row>
    <row r="281" spans="1:4" x14ac:dyDescent="0.2">
      <c r="A281" s="521" t="s">
        <v>2551</v>
      </c>
      <c r="B281" s="522">
        <v>27000000</v>
      </c>
      <c r="C281" s="595">
        <v>0</v>
      </c>
      <c r="D281" s="519" t="s">
        <v>901</v>
      </c>
    </row>
    <row r="282" spans="1:4" x14ac:dyDescent="0.2">
      <c r="A282" s="521" t="s">
        <v>1333</v>
      </c>
      <c r="B282" s="522">
        <v>27000000</v>
      </c>
      <c r="C282" s="595">
        <v>0</v>
      </c>
      <c r="D282" s="519" t="s">
        <v>901</v>
      </c>
    </row>
    <row r="283" spans="1:4" x14ac:dyDescent="0.2">
      <c r="A283" s="521" t="s">
        <v>1257</v>
      </c>
      <c r="B283" s="522">
        <v>27000000</v>
      </c>
      <c r="C283" s="595">
        <v>0</v>
      </c>
      <c r="D283" s="519" t="s">
        <v>901</v>
      </c>
    </row>
    <row r="284" spans="1:4" x14ac:dyDescent="0.2">
      <c r="A284" s="521" t="s">
        <v>1400</v>
      </c>
      <c r="B284" s="522">
        <v>27000000</v>
      </c>
      <c r="C284" s="595">
        <v>0</v>
      </c>
      <c r="D284" s="519" t="s">
        <v>901</v>
      </c>
    </row>
    <row r="285" spans="1:4" x14ac:dyDescent="0.2">
      <c r="A285" s="521" t="s">
        <v>1358</v>
      </c>
      <c r="B285" s="522">
        <v>27000000</v>
      </c>
      <c r="C285" s="595">
        <v>0</v>
      </c>
      <c r="D285" s="519" t="s">
        <v>901</v>
      </c>
    </row>
    <row r="286" spans="1:4" x14ac:dyDescent="0.2">
      <c r="A286" s="521" t="s">
        <v>1401</v>
      </c>
      <c r="B286" s="522">
        <v>27000000</v>
      </c>
      <c r="C286" s="595">
        <v>0</v>
      </c>
      <c r="D286" s="519" t="s">
        <v>901</v>
      </c>
    </row>
    <row r="287" spans="1:4" x14ac:dyDescent="0.2">
      <c r="A287" s="521" t="s">
        <v>3727</v>
      </c>
      <c r="B287" s="522">
        <v>27000000</v>
      </c>
      <c r="C287" s="595">
        <v>0</v>
      </c>
      <c r="D287" s="519" t="s">
        <v>901</v>
      </c>
    </row>
    <row r="288" spans="1:4" x14ac:dyDescent="0.2">
      <c r="A288" s="521" t="s">
        <v>1425</v>
      </c>
      <c r="B288" s="522">
        <v>22000000</v>
      </c>
      <c r="C288" s="595">
        <v>0</v>
      </c>
      <c r="D288" s="519" t="s">
        <v>901</v>
      </c>
    </row>
    <row r="289" spans="1:4" x14ac:dyDescent="0.2">
      <c r="A289" s="521" t="s">
        <v>1335</v>
      </c>
      <c r="B289" s="522">
        <v>22000000</v>
      </c>
      <c r="C289" s="595">
        <v>0</v>
      </c>
      <c r="D289" s="519" t="s">
        <v>901</v>
      </c>
    </row>
    <row r="290" spans="1:4" x14ac:dyDescent="0.2">
      <c r="A290" s="521" t="s">
        <v>3443</v>
      </c>
      <c r="B290" s="522">
        <v>22000000</v>
      </c>
      <c r="C290" s="595">
        <v>0</v>
      </c>
      <c r="D290" s="519" t="s">
        <v>901</v>
      </c>
    </row>
    <row r="291" spans="1:4" x14ac:dyDescent="0.2">
      <c r="A291" s="521" t="s">
        <v>1539</v>
      </c>
      <c r="B291" s="519">
        <v>27000000</v>
      </c>
      <c r="C291" s="594">
        <v>0</v>
      </c>
      <c r="D291" s="519" t="s">
        <v>901</v>
      </c>
    </row>
    <row r="292" spans="1:4" x14ac:dyDescent="0.2">
      <c r="A292" s="521" t="s">
        <v>2255</v>
      </c>
      <c r="B292" s="519">
        <v>22000000</v>
      </c>
      <c r="C292" s="594">
        <v>0</v>
      </c>
      <c r="D292" s="519" t="s">
        <v>901</v>
      </c>
    </row>
    <row r="293" spans="1:4" x14ac:dyDescent="0.2">
      <c r="A293" s="521" t="s">
        <v>2256</v>
      </c>
      <c r="B293" s="519">
        <v>22000000</v>
      </c>
      <c r="C293" s="594">
        <v>0</v>
      </c>
      <c r="D293" s="519" t="s">
        <v>901</v>
      </c>
    </row>
    <row r="294" spans="1:4" x14ac:dyDescent="0.2">
      <c r="A294" s="521" t="s">
        <v>3444</v>
      </c>
      <c r="B294" s="519">
        <v>22000000</v>
      </c>
      <c r="C294" s="594">
        <v>0</v>
      </c>
      <c r="D294" s="519" t="s">
        <v>901</v>
      </c>
    </row>
    <row r="295" spans="1:4" x14ac:dyDescent="0.2">
      <c r="A295" s="521" t="s">
        <v>3230</v>
      </c>
      <c r="B295" s="519">
        <v>27000000</v>
      </c>
      <c r="C295" s="594">
        <v>0</v>
      </c>
      <c r="D295" s="519" t="s">
        <v>901</v>
      </c>
    </row>
    <row r="296" spans="1:4" x14ac:dyDescent="0.2">
      <c r="A296" s="521" t="s">
        <v>3164</v>
      </c>
      <c r="B296" s="519">
        <v>27000000</v>
      </c>
      <c r="C296" s="594">
        <v>0</v>
      </c>
      <c r="D296" s="519" t="s">
        <v>901</v>
      </c>
    </row>
    <row r="297" spans="1:4" x14ac:dyDescent="0.2">
      <c r="A297" s="521" t="s">
        <v>3165</v>
      </c>
      <c r="B297" s="519">
        <v>27000000</v>
      </c>
      <c r="C297" s="594">
        <v>0</v>
      </c>
      <c r="D297" s="519" t="s">
        <v>901</v>
      </c>
    </row>
    <row r="298" spans="1:4" x14ac:dyDescent="0.2">
      <c r="A298" s="521" t="s">
        <v>904</v>
      </c>
      <c r="B298" s="519">
        <v>22000000</v>
      </c>
      <c r="C298" s="594">
        <v>0</v>
      </c>
      <c r="D298" s="519" t="s">
        <v>901</v>
      </c>
    </row>
    <row r="299" spans="1:4" x14ac:dyDescent="0.2">
      <c r="A299" s="521" t="s">
        <v>923</v>
      </c>
      <c r="B299" s="519">
        <v>22000000</v>
      </c>
      <c r="C299" s="594">
        <v>0</v>
      </c>
      <c r="D299" s="519" t="s">
        <v>901</v>
      </c>
    </row>
    <row r="300" spans="1:4" x14ac:dyDescent="0.2">
      <c r="A300" s="521" t="s">
        <v>905</v>
      </c>
      <c r="B300" s="519">
        <v>22000000</v>
      </c>
      <c r="C300" s="594">
        <v>0</v>
      </c>
      <c r="D300" s="519" t="s">
        <v>901</v>
      </c>
    </row>
    <row r="301" spans="1:4" x14ac:dyDescent="0.2">
      <c r="A301" s="521" t="s">
        <v>982</v>
      </c>
      <c r="B301" s="519">
        <v>22000000</v>
      </c>
      <c r="C301" s="594">
        <v>0</v>
      </c>
      <c r="D301" s="519" t="s">
        <v>901</v>
      </c>
    </row>
    <row r="302" spans="1:4" x14ac:dyDescent="0.2">
      <c r="A302" s="521" t="s">
        <v>906</v>
      </c>
      <c r="B302" s="519">
        <v>22000000</v>
      </c>
      <c r="C302" s="594">
        <v>0</v>
      </c>
      <c r="D302" s="519" t="s">
        <v>901</v>
      </c>
    </row>
    <row r="303" spans="1:4" x14ac:dyDescent="0.2">
      <c r="A303" s="521" t="s">
        <v>907</v>
      </c>
      <c r="B303" s="519">
        <v>22000000</v>
      </c>
      <c r="C303" s="594">
        <v>0</v>
      </c>
      <c r="D303" s="519" t="s">
        <v>901</v>
      </c>
    </row>
    <row r="304" spans="1:4" x14ac:dyDescent="0.2">
      <c r="B304" s="519"/>
      <c r="C304" s="594"/>
      <c r="D304" s="519"/>
    </row>
    <row r="305" spans="1:4" x14ac:dyDescent="0.2">
      <c r="A305" s="521" t="s">
        <v>912</v>
      </c>
      <c r="B305" s="519">
        <v>5000000</v>
      </c>
      <c r="C305" s="594">
        <v>0</v>
      </c>
      <c r="D305" s="519" t="s">
        <v>61</v>
      </c>
    </row>
    <row r="306" spans="1:4" x14ac:dyDescent="0.2">
      <c r="A306" s="521" t="s">
        <v>913</v>
      </c>
      <c r="B306" s="519">
        <v>5000000</v>
      </c>
      <c r="C306" s="594">
        <v>0</v>
      </c>
      <c r="D306" s="519" t="s">
        <v>61</v>
      </c>
    </row>
    <row r="307" spans="1:4" x14ac:dyDescent="0.2">
      <c r="A307" s="521" t="s">
        <v>1599</v>
      </c>
      <c r="B307" s="519">
        <v>5000000</v>
      </c>
      <c r="C307" s="594">
        <v>0</v>
      </c>
      <c r="D307" s="519" t="s">
        <v>901</v>
      </c>
    </row>
    <row r="308" spans="1:4" x14ac:dyDescent="0.2">
      <c r="A308" s="521" t="s">
        <v>3445</v>
      </c>
      <c r="B308" s="519">
        <v>5000000</v>
      </c>
      <c r="C308" s="594">
        <v>0</v>
      </c>
      <c r="D308" s="519" t="s">
        <v>901</v>
      </c>
    </row>
    <row r="309" spans="1:4" x14ac:dyDescent="0.2">
      <c r="A309" s="521" t="s">
        <v>2298</v>
      </c>
      <c r="B309" s="519">
        <v>5000000</v>
      </c>
      <c r="C309" s="594">
        <v>0</v>
      </c>
      <c r="D309" s="519" t="s">
        <v>901</v>
      </c>
    </row>
    <row r="310" spans="1:4" x14ac:dyDescent="0.2">
      <c r="A310" s="521" t="s">
        <v>2552</v>
      </c>
      <c r="B310" s="519">
        <v>5000000</v>
      </c>
      <c r="C310" s="594">
        <v>0</v>
      </c>
      <c r="D310" s="519" t="s">
        <v>901</v>
      </c>
    </row>
    <row r="311" spans="1:4" x14ac:dyDescent="0.2">
      <c r="A311" s="521" t="s">
        <v>1481</v>
      </c>
      <c r="B311" s="519">
        <v>5000000</v>
      </c>
      <c r="C311" s="594">
        <v>0</v>
      </c>
      <c r="D311" s="519" t="s">
        <v>901</v>
      </c>
    </row>
    <row r="312" spans="1:4" x14ac:dyDescent="0.2">
      <c r="A312" s="521" t="s">
        <v>1482</v>
      </c>
      <c r="B312" s="519">
        <v>5000000</v>
      </c>
      <c r="C312" s="594">
        <v>0</v>
      </c>
      <c r="D312" s="519" t="s">
        <v>901</v>
      </c>
    </row>
    <row r="313" spans="1:4" x14ac:dyDescent="0.2">
      <c r="A313" s="521" t="s">
        <v>2587</v>
      </c>
      <c r="B313" s="519">
        <v>5000000</v>
      </c>
      <c r="C313" s="594">
        <v>0</v>
      </c>
      <c r="D313" s="519" t="s">
        <v>901</v>
      </c>
    </row>
    <row r="314" spans="1:4" x14ac:dyDescent="0.2">
      <c r="A314" s="521" t="s">
        <v>1618</v>
      </c>
      <c r="B314" s="519">
        <v>5000000</v>
      </c>
      <c r="C314" s="594">
        <v>0</v>
      </c>
      <c r="D314" s="519" t="s">
        <v>901</v>
      </c>
    </row>
    <row r="315" spans="1:4" x14ac:dyDescent="0.2">
      <c r="A315" s="521" t="s">
        <v>1359</v>
      </c>
      <c r="B315" s="519">
        <v>5000000</v>
      </c>
      <c r="C315" s="594">
        <v>0</v>
      </c>
      <c r="D315" s="519" t="s">
        <v>901</v>
      </c>
    </row>
    <row r="316" spans="1:4" x14ac:dyDescent="0.2">
      <c r="A316" s="521" t="s">
        <v>1447</v>
      </c>
      <c r="B316" s="519">
        <v>5000000</v>
      </c>
      <c r="C316" s="594">
        <v>0</v>
      </c>
      <c r="D316" s="519" t="s">
        <v>901</v>
      </c>
    </row>
    <row r="317" spans="1:4" x14ac:dyDescent="0.2">
      <c r="A317" s="521" t="s">
        <v>2257</v>
      </c>
      <c r="B317" s="519">
        <v>5000000</v>
      </c>
      <c r="C317" s="594">
        <v>0</v>
      </c>
      <c r="D317" s="519" t="s">
        <v>901</v>
      </c>
    </row>
    <row r="318" spans="1:4" x14ac:dyDescent="0.2">
      <c r="A318" s="521" t="s">
        <v>2258</v>
      </c>
      <c r="B318" s="519">
        <v>5000000</v>
      </c>
      <c r="C318" s="594">
        <v>0</v>
      </c>
      <c r="D318" s="519" t="s">
        <v>901</v>
      </c>
    </row>
    <row r="319" spans="1:4" x14ac:dyDescent="0.2">
      <c r="A319" s="521" t="s">
        <v>2588</v>
      </c>
      <c r="B319" s="519">
        <v>5000000</v>
      </c>
      <c r="C319" s="594">
        <v>0</v>
      </c>
      <c r="D319" s="519" t="s">
        <v>901</v>
      </c>
    </row>
    <row r="320" spans="1:4" x14ac:dyDescent="0.2">
      <c r="A320" s="521" t="s">
        <v>2259</v>
      </c>
      <c r="B320" s="519">
        <v>5000000</v>
      </c>
      <c r="C320" s="594">
        <v>0</v>
      </c>
      <c r="D320" s="519" t="s">
        <v>901</v>
      </c>
    </row>
    <row r="321" spans="1:4" x14ac:dyDescent="0.2">
      <c r="A321" s="521" t="s">
        <v>1402</v>
      </c>
      <c r="B321" s="519">
        <v>5000000</v>
      </c>
      <c r="C321" s="594">
        <v>0</v>
      </c>
      <c r="D321" s="519" t="s">
        <v>901</v>
      </c>
    </row>
    <row r="322" spans="1:4" x14ac:dyDescent="0.2">
      <c r="A322" s="521" t="s">
        <v>3446</v>
      </c>
      <c r="B322" s="519">
        <v>5000000</v>
      </c>
      <c r="C322" s="594">
        <v>0</v>
      </c>
      <c r="D322" s="519" t="s">
        <v>901</v>
      </c>
    </row>
    <row r="323" spans="1:4" x14ac:dyDescent="0.2">
      <c r="A323" s="521" t="s">
        <v>1403</v>
      </c>
      <c r="B323" s="519">
        <v>5000000</v>
      </c>
      <c r="C323" s="594">
        <v>0</v>
      </c>
      <c r="D323" s="519" t="s">
        <v>901</v>
      </c>
    </row>
    <row r="324" spans="1:4" x14ac:dyDescent="0.2">
      <c r="A324" s="521" t="s">
        <v>2730</v>
      </c>
      <c r="B324" s="519">
        <v>5000000</v>
      </c>
      <c r="C324" s="594">
        <v>0</v>
      </c>
      <c r="D324" s="519" t="s">
        <v>901</v>
      </c>
    </row>
    <row r="325" spans="1:4" x14ac:dyDescent="0.2">
      <c r="A325" s="521" t="s">
        <v>1404</v>
      </c>
      <c r="B325" s="519">
        <v>5000000</v>
      </c>
      <c r="C325" s="594">
        <v>0</v>
      </c>
      <c r="D325" s="519" t="s">
        <v>901</v>
      </c>
    </row>
    <row r="326" spans="1:4" x14ac:dyDescent="0.2">
      <c r="A326" s="521" t="s">
        <v>1483</v>
      </c>
      <c r="B326" s="519">
        <v>5000000</v>
      </c>
      <c r="C326" s="594">
        <v>0</v>
      </c>
      <c r="D326" s="519" t="s">
        <v>901</v>
      </c>
    </row>
    <row r="327" spans="1:4" x14ac:dyDescent="0.2">
      <c r="A327" s="521" t="s">
        <v>1336</v>
      </c>
      <c r="B327" s="519">
        <v>5000000</v>
      </c>
      <c r="C327" s="594">
        <v>0</v>
      </c>
      <c r="D327" s="519" t="s">
        <v>901</v>
      </c>
    </row>
    <row r="328" spans="1:4" x14ac:dyDescent="0.2">
      <c r="A328" s="521" t="s">
        <v>4295</v>
      </c>
      <c r="B328" s="519">
        <v>5000000</v>
      </c>
      <c r="C328" s="594">
        <v>0</v>
      </c>
      <c r="D328" s="519" t="s">
        <v>901</v>
      </c>
    </row>
    <row r="329" spans="1:4" x14ac:dyDescent="0.2">
      <c r="A329" s="521" t="s">
        <v>1337</v>
      </c>
      <c r="B329" s="519">
        <v>5000000</v>
      </c>
      <c r="C329" s="594">
        <v>0</v>
      </c>
      <c r="D329" s="519" t="s">
        <v>901</v>
      </c>
    </row>
    <row r="330" spans="1:4" x14ac:dyDescent="0.2">
      <c r="A330" s="521" t="s">
        <v>3287</v>
      </c>
      <c r="B330" s="519">
        <v>5000000</v>
      </c>
      <c r="C330" s="594">
        <v>0</v>
      </c>
      <c r="D330" s="519" t="s">
        <v>901</v>
      </c>
    </row>
    <row r="331" spans="1:4" x14ac:dyDescent="0.2">
      <c r="A331" s="521" t="s">
        <v>2553</v>
      </c>
      <c r="B331" s="519">
        <v>5000000</v>
      </c>
      <c r="C331" s="594">
        <v>0</v>
      </c>
      <c r="D331" s="519" t="s">
        <v>901</v>
      </c>
    </row>
    <row r="332" spans="1:4" x14ac:dyDescent="0.2">
      <c r="A332" s="521" t="s">
        <v>2554</v>
      </c>
      <c r="B332" s="519">
        <v>5000000</v>
      </c>
      <c r="C332" s="594">
        <v>0</v>
      </c>
      <c r="D332" s="519" t="s">
        <v>901</v>
      </c>
    </row>
    <row r="333" spans="1:4" x14ac:dyDescent="0.2">
      <c r="A333" s="521" t="s">
        <v>3447</v>
      </c>
      <c r="B333" s="519">
        <v>5000000</v>
      </c>
      <c r="C333" s="594">
        <v>0</v>
      </c>
      <c r="D333" s="519" t="s">
        <v>901</v>
      </c>
    </row>
    <row r="334" spans="1:4" x14ac:dyDescent="0.2">
      <c r="A334" s="521" t="s">
        <v>914</v>
      </c>
      <c r="B334" s="519">
        <v>5000000</v>
      </c>
      <c r="C334" s="594">
        <v>0</v>
      </c>
      <c r="D334" s="519" t="s">
        <v>901</v>
      </c>
    </row>
    <row r="335" spans="1:4" x14ac:dyDescent="0.2">
      <c r="A335" s="521" t="s">
        <v>2627</v>
      </c>
      <c r="B335" s="519">
        <v>5000000</v>
      </c>
      <c r="C335" s="594">
        <v>0</v>
      </c>
      <c r="D335" s="519" t="s">
        <v>901</v>
      </c>
    </row>
    <row r="336" spans="1:4" x14ac:dyDescent="0.2">
      <c r="A336" s="521" t="s">
        <v>3448</v>
      </c>
      <c r="B336" s="519">
        <v>5000000</v>
      </c>
      <c r="C336" s="594">
        <v>0</v>
      </c>
      <c r="D336" s="519" t="s">
        <v>901</v>
      </c>
    </row>
    <row r="337" spans="1:4" x14ac:dyDescent="0.2">
      <c r="A337" s="521" t="s">
        <v>2628</v>
      </c>
      <c r="B337" s="519">
        <v>5000000</v>
      </c>
      <c r="C337" s="594">
        <v>0</v>
      </c>
      <c r="D337" s="519" t="s">
        <v>901</v>
      </c>
    </row>
    <row r="338" spans="1:4" x14ac:dyDescent="0.2">
      <c r="A338" s="521" t="s">
        <v>924</v>
      </c>
      <c r="B338" s="519">
        <v>5000000</v>
      </c>
      <c r="C338" s="594">
        <v>0</v>
      </c>
      <c r="D338" s="519" t="s">
        <v>901</v>
      </c>
    </row>
    <row r="339" spans="1:4" x14ac:dyDescent="0.2">
      <c r="A339" s="521" t="s">
        <v>3449</v>
      </c>
      <c r="B339" s="519">
        <v>5000000</v>
      </c>
      <c r="C339" s="594">
        <v>0</v>
      </c>
      <c r="D339" s="519" t="s">
        <v>901</v>
      </c>
    </row>
    <row r="340" spans="1:4" x14ac:dyDescent="0.2">
      <c r="A340" s="521" t="s">
        <v>2260</v>
      </c>
      <c r="B340" s="519">
        <v>5000000</v>
      </c>
      <c r="C340" s="594">
        <v>0</v>
      </c>
      <c r="D340" s="519" t="s">
        <v>901</v>
      </c>
    </row>
    <row r="341" spans="1:4" x14ac:dyDescent="0.2">
      <c r="A341" s="521" t="s">
        <v>2629</v>
      </c>
      <c r="B341" s="519">
        <v>5000000</v>
      </c>
      <c r="C341" s="594">
        <v>0</v>
      </c>
      <c r="D341" s="519" t="s">
        <v>901</v>
      </c>
    </row>
    <row r="342" spans="1:4" x14ac:dyDescent="0.2">
      <c r="A342" s="521" t="s">
        <v>2555</v>
      </c>
      <c r="B342" s="519">
        <v>5000000</v>
      </c>
      <c r="C342" s="594">
        <v>0</v>
      </c>
      <c r="D342" s="519" t="s">
        <v>901</v>
      </c>
    </row>
    <row r="343" spans="1:4" x14ac:dyDescent="0.2">
      <c r="A343" s="521" t="s">
        <v>2299</v>
      </c>
      <c r="B343" s="519">
        <v>5000000</v>
      </c>
      <c r="C343" s="594">
        <v>0</v>
      </c>
      <c r="D343" s="519" t="s">
        <v>901</v>
      </c>
    </row>
    <row r="344" spans="1:4" x14ac:dyDescent="0.2">
      <c r="A344" s="521" t="s">
        <v>915</v>
      </c>
      <c r="B344" s="519">
        <v>5000000</v>
      </c>
      <c r="C344" s="594">
        <v>0</v>
      </c>
      <c r="D344" s="519" t="s">
        <v>901</v>
      </c>
    </row>
    <row r="345" spans="1:4" x14ac:dyDescent="0.2">
      <c r="A345" s="521" t="s">
        <v>2300</v>
      </c>
      <c r="B345" s="519">
        <v>5000000</v>
      </c>
      <c r="C345" s="594">
        <v>0</v>
      </c>
      <c r="D345" s="519" t="s">
        <v>901</v>
      </c>
    </row>
    <row r="346" spans="1:4" x14ac:dyDescent="0.2">
      <c r="A346" s="521" t="s">
        <v>983</v>
      </c>
      <c r="B346" s="519">
        <v>5000000</v>
      </c>
      <c r="C346" s="594">
        <v>0</v>
      </c>
      <c r="D346" s="519" t="s">
        <v>901</v>
      </c>
    </row>
    <row r="347" spans="1:4" x14ac:dyDescent="0.2">
      <c r="A347" s="521" t="s">
        <v>3231</v>
      </c>
      <c r="B347" s="519">
        <v>5000000</v>
      </c>
      <c r="C347" s="594">
        <v>0</v>
      </c>
      <c r="D347" s="519" t="s">
        <v>901</v>
      </c>
    </row>
    <row r="348" spans="1:4" x14ac:dyDescent="0.2">
      <c r="A348" s="521" t="s">
        <v>2630</v>
      </c>
      <c r="B348" s="519">
        <v>5000000</v>
      </c>
      <c r="C348" s="594">
        <v>0</v>
      </c>
      <c r="D348" s="519" t="s">
        <v>901</v>
      </c>
    </row>
    <row r="349" spans="1:4" x14ac:dyDescent="0.2">
      <c r="A349" s="521" t="s">
        <v>2261</v>
      </c>
      <c r="B349" s="519">
        <v>5000000</v>
      </c>
      <c r="C349" s="594">
        <v>0</v>
      </c>
      <c r="D349" s="519" t="s">
        <v>901</v>
      </c>
    </row>
    <row r="350" spans="1:4" x14ac:dyDescent="0.2">
      <c r="A350" s="521" t="s">
        <v>2589</v>
      </c>
      <c r="B350" s="519">
        <v>5000000</v>
      </c>
      <c r="C350" s="594">
        <v>0</v>
      </c>
      <c r="D350" s="519" t="s">
        <v>901</v>
      </c>
    </row>
    <row r="351" spans="1:4" x14ac:dyDescent="0.2">
      <c r="A351" s="521" t="s">
        <v>3450</v>
      </c>
      <c r="B351" s="519">
        <v>5000000</v>
      </c>
      <c r="C351" s="594">
        <v>0</v>
      </c>
      <c r="D351" s="519" t="s">
        <v>901</v>
      </c>
    </row>
    <row r="352" spans="1:4" x14ac:dyDescent="0.2">
      <c r="A352" s="521" t="s">
        <v>916</v>
      </c>
      <c r="B352" s="519">
        <v>5000000</v>
      </c>
      <c r="C352" s="594">
        <v>0</v>
      </c>
      <c r="D352" s="519" t="s">
        <v>901</v>
      </c>
    </row>
    <row r="353" spans="1:4" x14ac:dyDescent="0.2">
      <c r="A353" s="521" t="s">
        <v>2262</v>
      </c>
      <c r="B353" s="519">
        <v>5000000</v>
      </c>
      <c r="C353" s="594">
        <v>0</v>
      </c>
      <c r="D353" s="519" t="s">
        <v>901</v>
      </c>
    </row>
    <row r="354" spans="1:4" x14ac:dyDescent="0.2">
      <c r="A354" s="521" t="s">
        <v>3166</v>
      </c>
      <c r="B354" s="519">
        <v>5000000</v>
      </c>
      <c r="C354" s="594">
        <v>0</v>
      </c>
      <c r="D354" s="519" t="s">
        <v>901</v>
      </c>
    </row>
    <row r="355" spans="1:4" x14ac:dyDescent="0.2">
      <c r="A355" s="521" t="s">
        <v>917</v>
      </c>
      <c r="B355" s="519">
        <v>5000000</v>
      </c>
      <c r="C355" s="594">
        <v>0</v>
      </c>
      <c r="D355" s="519" t="s">
        <v>901</v>
      </c>
    </row>
    <row r="356" spans="1:4" x14ac:dyDescent="0.2">
      <c r="A356" s="521" t="s">
        <v>2556</v>
      </c>
      <c r="B356" s="519">
        <v>5000000</v>
      </c>
      <c r="C356" s="594">
        <v>0</v>
      </c>
      <c r="D356" s="519" t="s">
        <v>901</v>
      </c>
    </row>
    <row r="357" spans="1:4" x14ac:dyDescent="0.2">
      <c r="A357" s="521" t="s">
        <v>2590</v>
      </c>
      <c r="B357" s="519">
        <v>5000000</v>
      </c>
      <c r="C357" s="594">
        <v>0</v>
      </c>
      <c r="D357" s="519" t="s">
        <v>901</v>
      </c>
    </row>
    <row r="358" spans="1:4" x14ac:dyDescent="0.2">
      <c r="A358" s="521" t="s">
        <v>2263</v>
      </c>
      <c r="B358" s="519">
        <v>5000000</v>
      </c>
      <c r="C358" s="594">
        <v>0</v>
      </c>
      <c r="D358" s="519" t="s">
        <v>901</v>
      </c>
    </row>
    <row r="359" spans="1:4" x14ac:dyDescent="0.2">
      <c r="A359" s="521" t="s">
        <v>2631</v>
      </c>
      <c r="B359" s="519">
        <v>5000000</v>
      </c>
      <c r="C359" s="594">
        <v>0</v>
      </c>
      <c r="D359" s="519" t="s">
        <v>901</v>
      </c>
    </row>
    <row r="360" spans="1:4" x14ac:dyDescent="0.2">
      <c r="A360" s="521" t="s">
        <v>2591</v>
      </c>
      <c r="B360" s="519">
        <v>5000000</v>
      </c>
      <c r="C360" s="594">
        <v>0</v>
      </c>
      <c r="D360" s="519" t="s">
        <v>901</v>
      </c>
    </row>
    <row r="361" spans="1:4" x14ac:dyDescent="0.2">
      <c r="A361" s="521" t="s">
        <v>2592</v>
      </c>
      <c r="B361" s="519">
        <v>5000000</v>
      </c>
      <c r="C361" s="594">
        <v>0</v>
      </c>
      <c r="D361" s="519" t="s">
        <v>901</v>
      </c>
    </row>
    <row r="362" spans="1:4" x14ac:dyDescent="0.2">
      <c r="A362" s="521" t="s">
        <v>2264</v>
      </c>
      <c r="B362" s="519">
        <v>5000000</v>
      </c>
      <c r="C362" s="594">
        <v>0</v>
      </c>
      <c r="D362" s="519" t="s">
        <v>901</v>
      </c>
    </row>
    <row r="363" spans="1:4" x14ac:dyDescent="0.2">
      <c r="B363" s="519"/>
      <c r="C363" s="594"/>
      <c r="D363" s="519"/>
    </row>
    <row r="364" spans="1:4" x14ac:dyDescent="0.2">
      <c r="B364" s="519"/>
      <c r="C364" s="594"/>
      <c r="D364" s="519"/>
    </row>
    <row r="365" spans="1:4" x14ac:dyDescent="0.2">
      <c r="B365" s="519"/>
      <c r="C365" s="594"/>
      <c r="D365" s="519"/>
    </row>
    <row r="366" spans="1:4" x14ac:dyDescent="0.2">
      <c r="B366" s="519"/>
      <c r="C366" s="594"/>
      <c r="D366" s="519"/>
    </row>
    <row r="367" spans="1:4" x14ac:dyDescent="0.2">
      <c r="B367" s="519"/>
      <c r="C367" s="594"/>
      <c r="D367" s="519"/>
    </row>
    <row r="368" spans="1:4" x14ac:dyDescent="0.2">
      <c r="B368" s="519"/>
      <c r="C368" s="594"/>
      <c r="D368" s="519"/>
    </row>
    <row r="369" spans="2:4" x14ac:dyDescent="0.2">
      <c r="B369" s="519"/>
      <c r="C369" s="594"/>
      <c r="D369" s="519"/>
    </row>
    <row r="370" spans="2:4" x14ac:dyDescent="0.2">
      <c r="B370" s="519"/>
      <c r="C370" s="594"/>
      <c r="D370" s="519"/>
    </row>
    <row r="371" spans="2:4" x14ac:dyDescent="0.2">
      <c r="B371" s="519"/>
      <c r="C371" s="594"/>
      <c r="D371" s="519"/>
    </row>
    <row r="372" spans="2:4" x14ac:dyDescent="0.2">
      <c r="B372" s="519"/>
      <c r="C372" s="594"/>
      <c r="D372" s="519"/>
    </row>
    <row r="373" spans="2:4" x14ac:dyDescent="0.2">
      <c r="B373" s="519"/>
      <c r="C373" s="594"/>
      <c r="D373" s="519"/>
    </row>
    <row r="374" spans="2:4" x14ac:dyDescent="0.2">
      <c r="B374" s="519"/>
      <c r="C374" s="594"/>
      <c r="D374" s="519"/>
    </row>
    <row r="375" spans="2:4" x14ac:dyDescent="0.2">
      <c r="B375" s="519"/>
      <c r="C375" s="594"/>
      <c r="D375" s="519"/>
    </row>
    <row r="376" spans="2:4" x14ac:dyDescent="0.2">
      <c r="B376" s="519"/>
      <c r="C376" s="594"/>
      <c r="D376" s="519"/>
    </row>
    <row r="377" spans="2:4" x14ac:dyDescent="0.2">
      <c r="B377" s="519"/>
      <c r="C377" s="594"/>
      <c r="D377" s="519"/>
    </row>
    <row r="378" spans="2:4" x14ac:dyDescent="0.2">
      <c r="B378" s="519"/>
      <c r="C378" s="594"/>
      <c r="D378" s="519"/>
    </row>
    <row r="379" spans="2:4" x14ac:dyDescent="0.2">
      <c r="B379" s="519"/>
      <c r="C379" s="594"/>
      <c r="D379" s="519"/>
    </row>
    <row r="380" spans="2:4" x14ac:dyDescent="0.2">
      <c r="B380" s="519"/>
      <c r="C380" s="594"/>
      <c r="D380" s="519"/>
    </row>
    <row r="381" spans="2:4" x14ac:dyDescent="0.2">
      <c r="B381" s="519"/>
      <c r="C381" s="594"/>
      <c r="D381" s="519"/>
    </row>
    <row r="382" spans="2:4" x14ac:dyDescent="0.2">
      <c r="B382" s="519"/>
      <c r="C382" s="594"/>
      <c r="D382" s="519"/>
    </row>
    <row r="383" spans="2:4" x14ac:dyDescent="0.2">
      <c r="B383" s="519"/>
      <c r="C383" s="594"/>
      <c r="D383" s="519"/>
    </row>
    <row r="384" spans="2:4" x14ac:dyDescent="0.2">
      <c r="B384" s="519"/>
      <c r="C384" s="594"/>
      <c r="D384" s="519"/>
    </row>
    <row r="385" spans="2:4" x14ac:dyDescent="0.2">
      <c r="B385" s="519"/>
      <c r="C385" s="594"/>
      <c r="D385" s="519"/>
    </row>
    <row r="386" spans="2:4" x14ac:dyDescent="0.2">
      <c r="B386" s="519"/>
      <c r="C386" s="594"/>
      <c r="D386" s="519"/>
    </row>
    <row r="387" spans="2:4" x14ac:dyDescent="0.2">
      <c r="B387" s="519"/>
      <c r="C387" s="594"/>
      <c r="D387" s="519"/>
    </row>
    <row r="388" spans="2:4" x14ac:dyDescent="0.2">
      <c r="B388" s="519"/>
      <c r="C388" s="594"/>
      <c r="D388" s="519"/>
    </row>
    <row r="389" spans="2:4" x14ac:dyDescent="0.2">
      <c r="B389" s="519"/>
      <c r="C389" s="594"/>
      <c r="D389" s="519"/>
    </row>
    <row r="390" spans="2:4" x14ac:dyDescent="0.2">
      <c r="B390" s="519"/>
      <c r="C390" s="594"/>
      <c r="D390" s="519"/>
    </row>
    <row r="391" spans="2:4" x14ac:dyDescent="0.2">
      <c r="B391" s="519"/>
      <c r="C391" s="594"/>
      <c r="D391" s="519"/>
    </row>
    <row r="392" spans="2:4" x14ac:dyDescent="0.2">
      <c r="B392" s="519"/>
      <c r="C392" s="594"/>
      <c r="D392" s="519"/>
    </row>
    <row r="393" spans="2:4" x14ac:dyDescent="0.2">
      <c r="B393" s="519"/>
      <c r="C393" s="594"/>
      <c r="D393" s="519"/>
    </row>
    <row r="394" spans="2:4" x14ac:dyDescent="0.2">
      <c r="B394" s="519"/>
      <c r="C394" s="594"/>
      <c r="D394" s="519"/>
    </row>
    <row r="395" spans="2:4" x14ac:dyDescent="0.2">
      <c r="B395" s="519"/>
      <c r="C395" s="594"/>
      <c r="D395" s="519"/>
    </row>
    <row r="396" spans="2:4" x14ac:dyDescent="0.2">
      <c r="B396" s="519"/>
      <c r="C396" s="594"/>
      <c r="D396" s="519"/>
    </row>
    <row r="397" spans="2:4" x14ac:dyDescent="0.2">
      <c r="B397" s="519"/>
      <c r="C397" s="594"/>
      <c r="D397" s="519"/>
    </row>
    <row r="398" spans="2:4" x14ac:dyDescent="0.2">
      <c r="B398" s="519"/>
      <c r="C398" s="594"/>
      <c r="D398" s="519"/>
    </row>
    <row r="399" spans="2:4" x14ac:dyDescent="0.2">
      <c r="B399" s="519"/>
      <c r="C399" s="594"/>
      <c r="D399" s="519"/>
    </row>
    <row r="400" spans="2:4" x14ac:dyDescent="0.2">
      <c r="B400" s="519"/>
      <c r="C400" s="594"/>
      <c r="D400" s="519"/>
    </row>
    <row r="401" spans="2:4" x14ac:dyDescent="0.2">
      <c r="B401" s="519"/>
      <c r="C401" s="594"/>
      <c r="D401" s="519"/>
    </row>
    <row r="402" spans="2:4" x14ac:dyDescent="0.2">
      <c r="B402" s="519"/>
      <c r="C402" s="594"/>
      <c r="D402" s="519"/>
    </row>
    <row r="403" spans="2:4" x14ac:dyDescent="0.2">
      <c r="B403" s="519"/>
      <c r="C403" s="594"/>
      <c r="D403" s="519"/>
    </row>
    <row r="404" spans="2:4" x14ac:dyDescent="0.2">
      <c r="B404" s="519"/>
      <c r="C404" s="594"/>
      <c r="D404" s="519"/>
    </row>
    <row r="405" spans="2:4" x14ac:dyDescent="0.2">
      <c r="B405" s="519"/>
      <c r="C405" s="594"/>
      <c r="D405" s="519"/>
    </row>
    <row r="406" spans="2:4" x14ac:dyDescent="0.2">
      <c r="B406" s="519"/>
      <c r="C406" s="594"/>
      <c r="D406" s="519"/>
    </row>
    <row r="407" spans="2:4" x14ac:dyDescent="0.2">
      <c r="B407" s="519"/>
      <c r="C407" s="594"/>
      <c r="D407" s="519"/>
    </row>
    <row r="408" spans="2:4" x14ac:dyDescent="0.2">
      <c r="B408" s="519"/>
      <c r="C408" s="594"/>
      <c r="D408" s="519"/>
    </row>
    <row r="409" spans="2:4" x14ac:dyDescent="0.2">
      <c r="B409" s="519"/>
      <c r="C409" s="594"/>
      <c r="D409" s="519"/>
    </row>
    <row r="410" spans="2:4" x14ac:dyDescent="0.2">
      <c r="B410" s="519"/>
      <c r="C410" s="594"/>
      <c r="D410" s="519"/>
    </row>
    <row r="411" spans="2:4" x14ac:dyDescent="0.2">
      <c r="B411" s="519"/>
      <c r="C411" s="594"/>
      <c r="D411" s="519"/>
    </row>
    <row r="412" spans="2:4" x14ac:dyDescent="0.2">
      <c r="B412" s="519"/>
      <c r="C412" s="594"/>
      <c r="D412" s="519"/>
    </row>
    <row r="413" spans="2:4" x14ac:dyDescent="0.2">
      <c r="B413" s="519"/>
      <c r="C413" s="594"/>
      <c r="D413" s="519"/>
    </row>
    <row r="414" spans="2:4" x14ac:dyDescent="0.2">
      <c r="B414" s="519"/>
      <c r="C414" s="594"/>
      <c r="D414" s="519"/>
    </row>
    <row r="415" spans="2:4" x14ac:dyDescent="0.2">
      <c r="B415" s="519"/>
      <c r="C415" s="594"/>
      <c r="D415" s="519"/>
    </row>
    <row r="416" spans="2:4" x14ac:dyDescent="0.2">
      <c r="B416" s="519"/>
      <c r="C416" s="594"/>
      <c r="D416" s="519"/>
    </row>
    <row r="417" spans="2:4" x14ac:dyDescent="0.2">
      <c r="B417" s="519"/>
      <c r="C417" s="594"/>
      <c r="D417" s="519"/>
    </row>
    <row r="418" spans="2:4" x14ac:dyDescent="0.2">
      <c r="B418" s="519"/>
      <c r="C418" s="594"/>
      <c r="D418" s="519"/>
    </row>
    <row r="419" spans="2:4" x14ac:dyDescent="0.2">
      <c r="B419" s="519"/>
      <c r="C419" s="594"/>
      <c r="D419" s="519"/>
    </row>
    <row r="420" spans="2:4" x14ac:dyDescent="0.2">
      <c r="B420" s="519"/>
      <c r="C420" s="594"/>
      <c r="D420" s="519"/>
    </row>
    <row r="421" spans="2:4" x14ac:dyDescent="0.2">
      <c r="B421" s="519"/>
      <c r="C421" s="594"/>
      <c r="D421" s="519"/>
    </row>
    <row r="422" spans="2:4" x14ac:dyDescent="0.2">
      <c r="B422" s="519"/>
      <c r="C422" s="594"/>
      <c r="D422" s="519"/>
    </row>
    <row r="423" spans="2:4" x14ac:dyDescent="0.2">
      <c r="B423" s="519"/>
      <c r="C423" s="594"/>
      <c r="D423" s="519"/>
    </row>
    <row r="424" spans="2:4" x14ac:dyDescent="0.2">
      <c r="B424" s="519"/>
      <c r="C424" s="594"/>
      <c r="D424" s="519"/>
    </row>
    <row r="425" spans="2:4" x14ac:dyDescent="0.2">
      <c r="B425" s="519"/>
      <c r="C425" s="594"/>
      <c r="D425" s="519"/>
    </row>
    <row r="426" spans="2:4" x14ac:dyDescent="0.2">
      <c r="B426" s="519"/>
      <c r="C426" s="594"/>
      <c r="D426" s="519"/>
    </row>
    <row r="427" spans="2:4" x14ac:dyDescent="0.2">
      <c r="B427" s="519"/>
      <c r="C427" s="594"/>
      <c r="D427" s="519"/>
    </row>
    <row r="428" spans="2:4" x14ac:dyDescent="0.2">
      <c r="B428" s="519"/>
      <c r="C428" s="594"/>
      <c r="D428" s="519"/>
    </row>
    <row r="429" spans="2:4" x14ac:dyDescent="0.2">
      <c r="B429" s="519"/>
      <c r="C429" s="594"/>
      <c r="D429" s="519"/>
    </row>
    <row r="430" spans="2:4" x14ac:dyDescent="0.2">
      <c r="B430" s="519"/>
      <c r="C430" s="594"/>
      <c r="D430" s="519"/>
    </row>
    <row r="431" spans="2:4" x14ac:dyDescent="0.2">
      <c r="B431" s="519"/>
      <c r="C431" s="594"/>
      <c r="D431" s="519"/>
    </row>
    <row r="432" spans="2:4" x14ac:dyDescent="0.2">
      <c r="B432" s="519"/>
      <c r="C432" s="594"/>
      <c r="D432" s="519"/>
    </row>
    <row r="433" spans="2:4" x14ac:dyDescent="0.2">
      <c r="B433" s="519"/>
      <c r="C433" s="594"/>
      <c r="D433" s="519"/>
    </row>
    <row r="434" spans="2:4" x14ac:dyDescent="0.2">
      <c r="B434" s="519"/>
      <c r="C434" s="594"/>
      <c r="D434" s="519"/>
    </row>
    <row r="435" spans="2:4" x14ac:dyDescent="0.2">
      <c r="B435" s="519"/>
      <c r="C435" s="594"/>
      <c r="D435" s="519"/>
    </row>
    <row r="546" spans="1:4" x14ac:dyDescent="0.2">
      <c r="A546" s="523"/>
      <c r="B546" s="532"/>
      <c r="C546" s="596"/>
      <c r="D546" s="523"/>
    </row>
    <row r="547" spans="1:4" x14ac:dyDescent="0.2">
      <c r="A547" s="523"/>
      <c r="B547" s="532"/>
      <c r="C547" s="596"/>
      <c r="D547" s="523"/>
    </row>
    <row r="548" spans="1:4" x14ac:dyDescent="0.2">
      <c r="A548" s="523"/>
      <c r="B548" s="532"/>
      <c r="C548" s="596"/>
      <c r="D548" s="523"/>
    </row>
    <row r="549" spans="1:4" x14ac:dyDescent="0.2">
      <c r="A549" s="523"/>
      <c r="B549" s="532"/>
      <c r="C549" s="596"/>
      <c r="D549" s="523"/>
    </row>
    <row r="550" spans="1:4" x14ac:dyDescent="0.2">
      <c r="A550" s="523"/>
      <c r="B550" s="532"/>
      <c r="C550" s="596"/>
      <c r="D550" s="523"/>
    </row>
    <row r="564" spans="1:4" x14ac:dyDescent="0.2">
      <c r="A564" s="524"/>
      <c r="B564" s="533"/>
      <c r="C564" s="597"/>
      <c r="D564" s="524"/>
    </row>
    <row r="576" spans="1:4" x14ac:dyDescent="0.2">
      <c r="A576" s="524"/>
      <c r="B576" s="533"/>
      <c r="C576" s="597"/>
      <c r="D576" s="524"/>
    </row>
    <row r="582" spans="1:4" x14ac:dyDescent="0.2">
      <c r="A582" s="524"/>
      <c r="B582" s="533"/>
      <c r="C582" s="597"/>
      <c r="D582" s="524"/>
    </row>
    <row r="599" spans="1:4" x14ac:dyDescent="0.2">
      <c r="A599" s="524"/>
      <c r="B599" s="533"/>
      <c r="C599" s="597"/>
      <c r="D599" s="524"/>
    </row>
    <row r="608" spans="1:4" x14ac:dyDescent="0.2">
      <c r="A608" s="524"/>
      <c r="B608" s="533"/>
      <c r="C608" s="597"/>
      <c r="D608" s="524"/>
    </row>
    <row r="613" spans="1:4" x14ac:dyDescent="0.2">
      <c r="A613" s="524"/>
      <c r="B613" s="533"/>
      <c r="C613" s="597"/>
      <c r="D613" s="524"/>
    </row>
    <row r="614" spans="1:4" x14ac:dyDescent="0.2">
      <c r="A614" s="524"/>
      <c r="B614" s="533"/>
      <c r="C614" s="597"/>
      <c r="D614" s="524"/>
    </row>
    <row r="650" spans="1:4" x14ac:dyDescent="0.2">
      <c r="A650" s="523"/>
      <c r="B650" s="532"/>
      <c r="C650" s="596"/>
      <c r="D650" s="523"/>
    </row>
    <row r="651" spans="1:4" x14ac:dyDescent="0.2">
      <c r="A651" s="523"/>
      <c r="B651" s="532"/>
      <c r="C651" s="596"/>
      <c r="D651" s="523"/>
    </row>
    <row r="652" spans="1:4" x14ac:dyDescent="0.2">
      <c r="A652" s="523"/>
      <c r="B652" s="532"/>
      <c r="C652" s="596"/>
      <c r="D652" s="523"/>
    </row>
    <row r="653" spans="1:4" x14ac:dyDescent="0.2">
      <c r="A653" s="523"/>
      <c r="B653" s="532"/>
      <c r="C653" s="596"/>
      <c r="D653" s="523"/>
    </row>
    <row r="654" spans="1:4" x14ac:dyDescent="0.2">
      <c r="A654" s="523"/>
      <c r="B654" s="532"/>
      <c r="C654" s="596"/>
      <c r="D654" s="523"/>
    </row>
    <row r="655" spans="1:4" x14ac:dyDescent="0.2">
      <c r="A655" s="523"/>
      <c r="B655" s="532"/>
      <c r="C655" s="596"/>
      <c r="D655" s="523"/>
    </row>
    <row r="657" spans="1:4" x14ac:dyDescent="0.2">
      <c r="A657" s="523"/>
      <c r="B657" s="532"/>
      <c r="C657" s="596"/>
      <c r="D657" s="523"/>
    </row>
    <row r="658" spans="1:4" x14ac:dyDescent="0.2">
      <c r="A658" s="523"/>
      <c r="B658" s="532"/>
      <c r="C658" s="596"/>
      <c r="D658" s="523"/>
    </row>
    <row r="659" spans="1:4" x14ac:dyDescent="0.2">
      <c r="A659" s="523"/>
      <c r="B659" s="532"/>
      <c r="C659" s="596"/>
      <c r="D659" s="523"/>
    </row>
    <row r="660" spans="1:4" x14ac:dyDescent="0.2">
      <c r="A660" s="523"/>
      <c r="B660" s="532"/>
      <c r="C660" s="596"/>
      <c r="D660" s="523"/>
    </row>
    <row r="661" spans="1:4" x14ac:dyDescent="0.2">
      <c r="A661" s="523"/>
      <c r="B661" s="532"/>
      <c r="C661" s="596"/>
      <c r="D661" s="523"/>
    </row>
    <row r="742" spans="1:4" x14ac:dyDescent="0.2">
      <c r="A742" s="520"/>
      <c r="B742" s="520"/>
      <c r="D742" s="520"/>
    </row>
    <row r="743" spans="1:4" x14ac:dyDescent="0.2">
      <c r="A743" s="520"/>
      <c r="B743" s="520"/>
      <c r="D743" s="520"/>
    </row>
    <row r="744" spans="1:4" x14ac:dyDescent="0.2">
      <c r="A744" s="520"/>
      <c r="B744" s="520"/>
      <c r="D744" s="520"/>
    </row>
    <row r="745" spans="1:4" x14ac:dyDescent="0.2">
      <c r="A745" s="520"/>
      <c r="D745" s="520"/>
    </row>
    <row r="746" spans="1:4" x14ac:dyDescent="0.2">
      <c r="A746" s="520"/>
      <c r="D746" s="520"/>
    </row>
  </sheetData>
  <autoFilter ref="A1:D150" xr:uid="{00000000-0009-0000-0000-00000B000000}"/>
  <sortState xmlns:xlrd2="http://schemas.microsoft.com/office/spreadsheetml/2017/richdata2" ref="A2:D150">
    <sortCondition ref="D2:D150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G488"/>
  <sheetViews>
    <sheetView zoomScale="130" zoomScaleNormal="130" workbookViewId="0">
      <pane ySplit="1" topLeftCell="A2" activePane="bottomLeft" state="frozen"/>
      <selection activeCell="I12" sqref="I12"/>
      <selection pane="bottomLeft" activeCell="I12" sqref="I12"/>
    </sheetView>
  </sheetViews>
  <sheetFormatPr baseColWidth="10" defaultRowHeight="12.75" x14ac:dyDescent="0.2"/>
  <cols>
    <col min="1" max="1" width="12.5703125" style="629" bestFit="1" customWidth="1"/>
    <col min="2" max="2" width="11.5703125" style="484" bestFit="1" customWidth="1"/>
    <col min="3" max="3" width="10.7109375" customWidth="1"/>
    <col min="4" max="6" width="10.7109375" hidden="1" customWidth="1"/>
    <col min="7" max="7" width="13.140625" hidden="1" customWidth="1"/>
    <col min="8" max="8" width="10.7109375" customWidth="1"/>
  </cols>
  <sheetData>
    <row r="1" spans="1:7" ht="15.75" customHeight="1" x14ac:dyDescent="0.2">
      <c r="A1" s="622" t="s">
        <v>30</v>
      </c>
      <c r="B1" s="554" t="s">
        <v>70</v>
      </c>
      <c r="D1" t="s">
        <v>1287</v>
      </c>
      <c r="E1" t="s">
        <v>1182</v>
      </c>
    </row>
    <row r="2" spans="1:7" x14ac:dyDescent="0.2">
      <c r="A2" s="628" t="s">
        <v>1989</v>
      </c>
      <c r="B2" s="542">
        <v>334272235</v>
      </c>
      <c r="D2" s="639" t="s">
        <v>2305</v>
      </c>
      <c r="E2" s="639">
        <v>19762765</v>
      </c>
      <c r="G2" s="709">
        <v>334272235</v>
      </c>
    </row>
    <row r="3" spans="1:7" x14ac:dyDescent="0.2">
      <c r="A3" s="628" t="s">
        <v>1990</v>
      </c>
      <c r="B3" s="542">
        <v>260029214</v>
      </c>
      <c r="D3" s="639" t="s">
        <v>2306</v>
      </c>
      <c r="E3" s="640">
        <v>2887544</v>
      </c>
      <c r="G3" s="709">
        <v>260029214</v>
      </c>
    </row>
    <row r="4" spans="1:7" x14ac:dyDescent="0.2">
      <c r="A4" s="628" t="s">
        <v>1991</v>
      </c>
      <c r="B4" s="542">
        <v>278802542</v>
      </c>
      <c r="D4" s="639" t="s">
        <v>2307</v>
      </c>
      <c r="E4" s="640">
        <v>13278958</v>
      </c>
      <c r="G4" s="709">
        <v>278802542</v>
      </c>
    </row>
    <row r="5" spans="1:7" x14ac:dyDescent="0.2">
      <c r="A5" s="628" t="s">
        <v>1992</v>
      </c>
      <c r="B5" s="542">
        <v>332277062</v>
      </c>
      <c r="D5" s="639" t="s">
        <v>2308</v>
      </c>
      <c r="E5" s="640">
        <v>2183738</v>
      </c>
      <c r="G5" s="709">
        <v>332277062</v>
      </c>
    </row>
    <row r="6" spans="1:7" x14ac:dyDescent="0.2">
      <c r="A6" s="628" t="s">
        <v>1993</v>
      </c>
      <c r="B6" s="542">
        <v>243099835</v>
      </c>
      <c r="D6" s="639" t="s">
        <v>2309</v>
      </c>
      <c r="E6" s="640">
        <v>7324276</v>
      </c>
      <c r="G6" s="709">
        <v>243099835</v>
      </c>
    </row>
    <row r="7" spans="1:7" x14ac:dyDescent="0.2">
      <c r="A7" s="628" t="s">
        <v>1994</v>
      </c>
      <c r="B7" s="542">
        <v>274653522</v>
      </c>
      <c r="D7" s="639" t="s">
        <v>2310</v>
      </c>
      <c r="E7" s="639">
        <v>12076478</v>
      </c>
      <c r="G7" s="709">
        <v>274653522</v>
      </c>
    </row>
    <row r="8" spans="1:7" x14ac:dyDescent="0.2">
      <c r="A8" s="628" t="s">
        <v>1995</v>
      </c>
      <c r="B8" s="542">
        <v>279000000</v>
      </c>
      <c r="D8" s="639" t="s">
        <v>2311</v>
      </c>
      <c r="E8" s="639">
        <v>2834220</v>
      </c>
      <c r="G8" s="709">
        <v>279000000</v>
      </c>
    </row>
    <row r="9" spans="1:7" x14ac:dyDescent="0.2">
      <c r="A9" s="628" t="s">
        <v>1996</v>
      </c>
      <c r="B9" s="542">
        <v>318322113</v>
      </c>
      <c r="D9" s="639" t="s">
        <v>2312</v>
      </c>
      <c r="E9" s="639">
        <v>753887</v>
      </c>
      <c r="G9" s="709">
        <v>318322113</v>
      </c>
    </row>
    <row r="10" spans="1:7" x14ac:dyDescent="0.2">
      <c r="A10" s="628" t="s">
        <v>1997</v>
      </c>
      <c r="B10" s="542">
        <v>311236938</v>
      </c>
      <c r="D10" s="639" t="s">
        <v>2313</v>
      </c>
      <c r="E10" s="640">
        <v>563062</v>
      </c>
      <c r="G10" s="709">
        <v>311236938</v>
      </c>
    </row>
    <row r="11" spans="1:7" x14ac:dyDescent="0.2">
      <c r="A11" s="628" t="s">
        <v>1998</v>
      </c>
      <c r="B11" s="542">
        <v>251272000</v>
      </c>
      <c r="D11" s="639" t="s">
        <v>2314</v>
      </c>
      <c r="E11" s="639">
        <v>0</v>
      </c>
      <c r="G11" s="709">
        <v>251272000</v>
      </c>
    </row>
    <row r="12" spans="1:7" x14ac:dyDescent="0.2">
      <c r="A12" s="628" t="s">
        <v>1999</v>
      </c>
      <c r="B12" s="542">
        <v>279143327</v>
      </c>
      <c r="D12" s="639" t="s">
        <v>2315</v>
      </c>
      <c r="E12" s="639">
        <v>6476673</v>
      </c>
      <c r="G12" s="709">
        <v>279143327</v>
      </c>
    </row>
    <row r="13" spans="1:7" x14ac:dyDescent="0.2">
      <c r="A13" s="628" t="s">
        <v>2000</v>
      </c>
      <c r="B13" s="542">
        <v>284290254</v>
      </c>
      <c r="D13" s="639" t="s">
        <v>2316</v>
      </c>
      <c r="E13" s="640">
        <v>609746</v>
      </c>
      <c r="G13" s="709">
        <v>284290254</v>
      </c>
    </row>
    <row r="14" spans="1:7" x14ac:dyDescent="0.2">
      <c r="A14" s="628" t="s">
        <v>2001</v>
      </c>
      <c r="B14" s="542">
        <v>244084552</v>
      </c>
      <c r="D14" s="639" t="s">
        <v>2317</v>
      </c>
      <c r="E14" s="639">
        <v>15448</v>
      </c>
      <c r="G14" s="709">
        <v>244084552</v>
      </c>
    </row>
    <row r="15" spans="1:7" x14ac:dyDescent="0.2">
      <c r="A15" s="628" t="s">
        <v>2002</v>
      </c>
      <c r="B15" s="542">
        <v>319376000</v>
      </c>
      <c r="D15" s="639" t="s">
        <v>2318</v>
      </c>
      <c r="E15" s="639">
        <v>0</v>
      </c>
      <c r="G15" s="709">
        <v>319376000</v>
      </c>
    </row>
    <row r="16" spans="1:7" x14ac:dyDescent="0.2">
      <c r="A16" s="628" t="s">
        <v>2003</v>
      </c>
      <c r="B16" s="542">
        <v>319057000</v>
      </c>
      <c r="D16" s="639" t="s">
        <v>2319</v>
      </c>
      <c r="E16" s="639">
        <v>0</v>
      </c>
      <c r="G16" s="709">
        <v>319057000</v>
      </c>
    </row>
    <row r="17" spans="1:7" x14ac:dyDescent="0.2">
      <c r="A17" s="628" t="s">
        <v>2004</v>
      </c>
      <c r="B17" s="542">
        <v>251572000</v>
      </c>
      <c r="D17" s="639" t="s">
        <v>2320</v>
      </c>
      <c r="E17" s="639">
        <v>0</v>
      </c>
      <c r="G17" s="709">
        <v>251572000</v>
      </c>
    </row>
    <row r="18" spans="1:7" x14ac:dyDescent="0.2">
      <c r="A18" s="628" t="s">
        <v>2005</v>
      </c>
      <c r="B18" s="542">
        <v>299655996</v>
      </c>
      <c r="D18" s="639" t="s">
        <v>2321</v>
      </c>
      <c r="E18" s="639">
        <v>7296404</v>
      </c>
      <c r="G18" s="709">
        <v>299655996</v>
      </c>
    </row>
    <row r="19" spans="1:7" x14ac:dyDescent="0.2">
      <c r="A19" s="628" t="s">
        <v>2006</v>
      </c>
      <c r="B19" s="542">
        <v>271517227</v>
      </c>
      <c r="D19" s="639" t="s">
        <v>2322</v>
      </c>
      <c r="E19" s="639">
        <v>15088866</v>
      </c>
      <c r="G19" s="709">
        <v>271517227</v>
      </c>
    </row>
    <row r="20" spans="1:7" x14ac:dyDescent="0.2">
      <c r="A20" s="628" t="s">
        <v>2007</v>
      </c>
      <c r="B20" s="542">
        <v>239329528</v>
      </c>
      <c r="D20" s="639" t="s">
        <v>2323</v>
      </c>
      <c r="E20" s="639">
        <v>5190360</v>
      </c>
      <c r="G20" s="709">
        <v>239329528</v>
      </c>
    </row>
    <row r="21" spans="1:7" x14ac:dyDescent="0.2">
      <c r="A21" s="628" t="s">
        <v>2008</v>
      </c>
      <c r="B21" s="542">
        <v>295048531</v>
      </c>
      <c r="D21" s="639" t="s">
        <v>2324</v>
      </c>
      <c r="E21" s="640">
        <v>24627469</v>
      </c>
      <c r="G21" s="709">
        <v>295048531</v>
      </c>
    </row>
    <row r="22" spans="1:7" x14ac:dyDescent="0.2">
      <c r="A22" s="628" t="s">
        <v>2009</v>
      </c>
      <c r="B22" s="542">
        <v>293662611</v>
      </c>
      <c r="D22" s="639" t="s">
        <v>2325</v>
      </c>
      <c r="E22" s="640">
        <v>18779864</v>
      </c>
      <c r="G22" s="709">
        <v>293662611</v>
      </c>
    </row>
    <row r="23" spans="1:7" x14ac:dyDescent="0.2">
      <c r="A23" s="628" t="s">
        <v>1987</v>
      </c>
      <c r="B23" s="542">
        <v>292161339</v>
      </c>
      <c r="D23" s="639" t="s">
        <v>2326</v>
      </c>
      <c r="E23" s="640">
        <v>1949461</v>
      </c>
      <c r="G23" s="709">
        <v>292161339</v>
      </c>
    </row>
    <row r="24" spans="1:7" x14ac:dyDescent="0.2">
      <c r="A24" s="628" t="s">
        <v>2010</v>
      </c>
      <c r="B24" s="542">
        <v>373976000</v>
      </c>
      <c r="D24" s="639" t="s">
        <v>4352</v>
      </c>
      <c r="E24" s="640">
        <v>1000000</v>
      </c>
      <c r="G24" s="709">
        <v>373976000</v>
      </c>
    </row>
    <row r="25" spans="1:7" x14ac:dyDescent="0.2">
      <c r="A25" s="628" t="s">
        <v>2011</v>
      </c>
      <c r="B25" s="542">
        <v>266843906</v>
      </c>
      <c r="D25" s="639" t="s">
        <v>2327</v>
      </c>
      <c r="E25" s="640">
        <v>27176094</v>
      </c>
      <c r="G25" s="709">
        <v>266843906</v>
      </c>
    </row>
    <row r="26" spans="1:7" x14ac:dyDescent="0.2">
      <c r="A26" s="628" t="s">
        <v>2012</v>
      </c>
      <c r="B26" s="542">
        <v>247172000</v>
      </c>
      <c r="D26" s="639" t="s">
        <v>2328</v>
      </c>
      <c r="E26" s="639">
        <v>3217142</v>
      </c>
      <c r="G26" s="709">
        <v>247172000</v>
      </c>
    </row>
    <row r="27" spans="1:7" x14ac:dyDescent="0.2">
      <c r="A27" s="628" t="s">
        <v>2013</v>
      </c>
      <c r="B27" s="542">
        <v>310699997</v>
      </c>
      <c r="D27" s="639" t="s">
        <v>2329</v>
      </c>
      <c r="E27" s="640">
        <v>3</v>
      </c>
      <c r="G27" s="709">
        <v>310699997</v>
      </c>
    </row>
    <row r="28" spans="1:7" x14ac:dyDescent="0.2">
      <c r="A28" s="628" t="s">
        <v>2014</v>
      </c>
      <c r="B28" s="542">
        <v>318752518</v>
      </c>
      <c r="D28" s="639" t="s">
        <v>2330</v>
      </c>
      <c r="E28" s="640">
        <v>2139386</v>
      </c>
      <c r="G28" s="709">
        <v>318752518</v>
      </c>
    </row>
    <row r="29" spans="1:7" x14ac:dyDescent="0.2">
      <c r="A29" s="628" t="s">
        <v>2015</v>
      </c>
      <c r="B29" s="542">
        <v>226342611</v>
      </c>
      <c r="D29" s="639" t="s">
        <v>2331</v>
      </c>
      <c r="E29" s="639">
        <v>25829389</v>
      </c>
      <c r="G29" s="709">
        <v>226342611</v>
      </c>
    </row>
    <row r="30" spans="1:7" x14ac:dyDescent="0.2">
      <c r="A30" s="628" t="s">
        <v>2016</v>
      </c>
      <c r="B30" s="542">
        <v>288300000</v>
      </c>
      <c r="D30" s="639" t="s">
        <v>2332</v>
      </c>
      <c r="E30" s="640">
        <v>0</v>
      </c>
      <c r="G30" s="709">
        <v>288300000</v>
      </c>
    </row>
    <row r="31" spans="1:7" x14ac:dyDescent="0.2">
      <c r="A31" s="628" t="s">
        <v>2017</v>
      </c>
      <c r="B31" s="542">
        <v>298192800</v>
      </c>
      <c r="D31" s="639" t="s">
        <v>2333</v>
      </c>
      <c r="E31" s="639">
        <v>0</v>
      </c>
      <c r="G31" s="709">
        <v>298192800</v>
      </c>
    </row>
    <row r="32" spans="1:7" x14ac:dyDescent="0.2">
      <c r="A32" s="628" t="s">
        <v>2018</v>
      </c>
      <c r="B32" s="542">
        <v>244000000</v>
      </c>
      <c r="D32" s="639" t="s">
        <v>2334</v>
      </c>
      <c r="E32" s="640">
        <v>1000000</v>
      </c>
      <c r="G32" s="709">
        <v>244000000</v>
      </c>
    </row>
    <row r="33" spans="1:7" x14ac:dyDescent="0.2">
      <c r="A33" s="628" t="s">
        <v>2019</v>
      </c>
      <c r="B33" s="542">
        <v>317957000</v>
      </c>
      <c r="D33" s="639" t="s">
        <v>2335</v>
      </c>
      <c r="E33" s="639">
        <v>0</v>
      </c>
      <c r="G33" s="709">
        <v>317957000</v>
      </c>
    </row>
    <row r="34" spans="1:7" x14ac:dyDescent="0.2">
      <c r="A34" s="628" t="s">
        <v>2020</v>
      </c>
      <c r="B34" s="542">
        <v>322276000</v>
      </c>
      <c r="D34" s="639" t="s">
        <v>2336</v>
      </c>
      <c r="E34" s="639">
        <v>2000000</v>
      </c>
      <c r="G34" s="709">
        <v>322276000</v>
      </c>
    </row>
    <row r="35" spans="1:7" x14ac:dyDescent="0.2">
      <c r="A35" s="628" t="s">
        <v>2021</v>
      </c>
      <c r="B35" s="542">
        <v>261245187</v>
      </c>
      <c r="D35" s="639" t="s">
        <v>2337</v>
      </c>
      <c r="E35" s="639">
        <v>0</v>
      </c>
      <c r="G35" s="709">
        <v>261245187</v>
      </c>
    </row>
    <row r="36" spans="1:7" x14ac:dyDescent="0.2">
      <c r="A36" s="628" t="s">
        <v>2022</v>
      </c>
      <c r="B36" s="542">
        <v>365680000</v>
      </c>
      <c r="D36" s="639" t="s">
        <v>3476</v>
      </c>
      <c r="E36" s="639">
        <v>12000000</v>
      </c>
      <c r="G36" s="709">
        <v>365680000</v>
      </c>
    </row>
    <row r="37" spans="1:7" x14ac:dyDescent="0.2">
      <c r="A37" s="628" t="s">
        <v>2023</v>
      </c>
      <c r="B37" s="542">
        <v>294620000</v>
      </c>
      <c r="D37" s="639" t="s">
        <v>2338</v>
      </c>
      <c r="E37" s="639">
        <v>0</v>
      </c>
      <c r="G37" s="709">
        <v>294620000</v>
      </c>
    </row>
    <row r="38" spans="1:7" x14ac:dyDescent="0.2">
      <c r="A38" s="628" t="s">
        <v>2251</v>
      </c>
      <c r="B38" s="542">
        <v>245300000</v>
      </c>
      <c r="D38" s="639" t="s">
        <v>2339</v>
      </c>
      <c r="E38" s="640">
        <v>0</v>
      </c>
      <c r="G38" s="709">
        <v>245300000</v>
      </c>
    </row>
    <row r="39" spans="1:7" x14ac:dyDescent="0.2">
      <c r="A39" s="628" t="s">
        <v>1988</v>
      </c>
      <c r="B39" s="542">
        <v>368613000</v>
      </c>
      <c r="D39" s="639" t="s">
        <v>2340</v>
      </c>
      <c r="E39" s="639">
        <v>10000000</v>
      </c>
      <c r="G39" s="709">
        <v>368613000</v>
      </c>
    </row>
    <row r="40" spans="1:7" x14ac:dyDescent="0.2">
      <c r="A40" s="628" t="s">
        <v>2024</v>
      </c>
      <c r="B40" s="542">
        <v>321987542</v>
      </c>
      <c r="D40" s="639" t="s">
        <v>2341</v>
      </c>
      <c r="E40" s="640">
        <v>0</v>
      </c>
      <c r="G40" s="709">
        <v>321987542</v>
      </c>
    </row>
    <row r="41" spans="1:7" x14ac:dyDescent="0.2">
      <c r="A41" s="628" t="s">
        <v>2025</v>
      </c>
      <c r="B41" s="542">
        <v>240324400</v>
      </c>
      <c r="D41" s="639" t="s">
        <v>2342</v>
      </c>
      <c r="E41" s="639">
        <v>5455600</v>
      </c>
      <c r="G41" s="709">
        <v>240324400</v>
      </c>
    </row>
    <row r="42" spans="1:7" x14ac:dyDescent="0.2">
      <c r="A42" s="628" t="s">
        <v>2026</v>
      </c>
      <c r="B42" s="542">
        <v>290500385</v>
      </c>
      <c r="D42" s="639" t="s">
        <v>2343</v>
      </c>
      <c r="E42" s="639">
        <v>68490</v>
      </c>
      <c r="G42" s="709">
        <v>290500385</v>
      </c>
    </row>
    <row r="43" spans="1:7" x14ac:dyDescent="0.2">
      <c r="A43" s="628" t="s">
        <v>2027</v>
      </c>
      <c r="B43" s="542">
        <v>292062668</v>
      </c>
      <c r="D43" s="639" t="s">
        <v>2344</v>
      </c>
      <c r="E43" s="639">
        <v>2857332</v>
      </c>
      <c r="G43" s="709">
        <v>292062668</v>
      </c>
    </row>
    <row r="44" spans="1:7" x14ac:dyDescent="0.2">
      <c r="A44" s="628" t="s">
        <v>2028</v>
      </c>
      <c r="B44" s="542">
        <v>252896000</v>
      </c>
      <c r="D44" s="639" t="s">
        <v>2345</v>
      </c>
      <c r="E44" s="639">
        <v>158837</v>
      </c>
      <c r="G44" s="709">
        <v>252896000</v>
      </c>
    </row>
    <row r="45" spans="1:7" x14ac:dyDescent="0.2">
      <c r="A45" s="628" t="s">
        <v>2029</v>
      </c>
      <c r="B45" s="542">
        <v>402845494</v>
      </c>
      <c r="D45" s="639" t="s">
        <v>3408</v>
      </c>
      <c r="E45" s="640">
        <v>1514506</v>
      </c>
      <c r="G45" s="709">
        <v>402845494</v>
      </c>
    </row>
    <row r="46" spans="1:7" x14ac:dyDescent="0.2">
      <c r="A46" s="628" t="s">
        <v>2030</v>
      </c>
      <c r="B46" s="542">
        <v>399820000</v>
      </c>
      <c r="D46" s="639" t="s">
        <v>3477</v>
      </c>
      <c r="E46" s="640">
        <v>12000000</v>
      </c>
      <c r="G46" s="709">
        <v>399820000</v>
      </c>
    </row>
    <row r="47" spans="1:7" x14ac:dyDescent="0.2">
      <c r="A47" s="628" t="s">
        <v>2031</v>
      </c>
      <c r="B47" s="542">
        <v>243479247</v>
      </c>
      <c r="D47" s="639" t="s">
        <v>2346</v>
      </c>
      <c r="E47" s="639">
        <v>4120753</v>
      </c>
      <c r="G47" s="709">
        <v>243479247</v>
      </c>
    </row>
    <row r="48" spans="1:7" x14ac:dyDescent="0.2">
      <c r="A48" s="628" t="s">
        <v>2032</v>
      </c>
      <c r="B48" s="542">
        <v>283780540</v>
      </c>
      <c r="D48" s="639" t="s">
        <v>2347</v>
      </c>
      <c r="E48" s="639">
        <v>6342460</v>
      </c>
      <c r="G48" s="709">
        <v>283780540</v>
      </c>
    </row>
    <row r="49" spans="1:7" x14ac:dyDescent="0.2">
      <c r="A49" s="628" t="s">
        <v>2033</v>
      </c>
      <c r="B49" s="542">
        <v>296666947</v>
      </c>
      <c r="D49" s="639" t="s">
        <v>2348</v>
      </c>
      <c r="E49" s="639">
        <v>0</v>
      </c>
      <c r="G49" s="709">
        <v>296666947</v>
      </c>
    </row>
    <row r="50" spans="1:7" x14ac:dyDescent="0.2">
      <c r="A50" s="628" t="s">
        <v>2034</v>
      </c>
      <c r="B50" s="542">
        <v>247724000</v>
      </c>
      <c r="D50" s="639" t="s">
        <v>2349</v>
      </c>
      <c r="E50" s="640">
        <v>0</v>
      </c>
      <c r="G50" s="709">
        <v>247724000</v>
      </c>
    </row>
    <row r="51" spans="1:7" x14ac:dyDescent="0.2">
      <c r="A51" s="628" t="s">
        <v>2035</v>
      </c>
      <c r="B51" s="542">
        <v>357320298</v>
      </c>
      <c r="D51" s="639" t="s">
        <v>2350</v>
      </c>
      <c r="E51" s="639">
        <v>17542202</v>
      </c>
      <c r="G51" s="709">
        <v>357320298</v>
      </c>
    </row>
    <row r="52" spans="1:7" x14ac:dyDescent="0.2">
      <c r="A52" s="628" t="s">
        <v>2036</v>
      </c>
      <c r="B52" s="542">
        <v>312900000</v>
      </c>
      <c r="D52" s="639" t="s">
        <v>2351</v>
      </c>
      <c r="E52" s="639">
        <v>1000000</v>
      </c>
      <c r="G52" s="709">
        <v>312900000</v>
      </c>
    </row>
    <row r="53" spans="1:7" x14ac:dyDescent="0.2">
      <c r="A53" s="628" t="s">
        <v>2037</v>
      </c>
      <c r="B53" s="542">
        <v>247900000</v>
      </c>
      <c r="D53" s="639" t="s">
        <v>2352</v>
      </c>
      <c r="E53" s="639">
        <v>0</v>
      </c>
      <c r="G53" s="709">
        <v>247900000</v>
      </c>
    </row>
    <row r="54" spans="1:7" x14ac:dyDescent="0.2">
      <c r="A54" s="628" t="s">
        <v>2038</v>
      </c>
      <c r="B54" s="542">
        <v>236219927</v>
      </c>
      <c r="D54" s="639" t="s">
        <v>2353</v>
      </c>
      <c r="E54" s="639">
        <v>61824073</v>
      </c>
      <c r="G54" s="709">
        <v>236219927</v>
      </c>
    </row>
    <row r="55" spans="1:7" x14ac:dyDescent="0.2">
      <c r="A55" s="628" t="s">
        <v>2039</v>
      </c>
      <c r="B55" s="542">
        <v>295520000</v>
      </c>
      <c r="D55" s="639" t="s">
        <v>2354</v>
      </c>
      <c r="E55" s="640">
        <v>0</v>
      </c>
      <c r="G55" s="709">
        <v>295520000</v>
      </c>
    </row>
    <row r="56" spans="1:7" x14ac:dyDescent="0.2">
      <c r="A56" s="628" t="s">
        <v>2040</v>
      </c>
      <c r="B56" s="542">
        <v>246200000</v>
      </c>
      <c r="D56" s="639" t="s">
        <v>2355</v>
      </c>
      <c r="E56" s="640">
        <v>0</v>
      </c>
      <c r="G56" s="709">
        <v>246200000</v>
      </c>
    </row>
    <row r="57" spans="1:7" x14ac:dyDescent="0.2">
      <c r="A57" s="628" t="s">
        <v>2041</v>
      </c>
      <c r="B57" s="542">
        <v>320702695</v>
      </c>
      <c r="D57" s="639" t="s">
        <v>2356</v>
      </c>
      <c r="E57" s="639">
        <v>925473</v>
      </c>
      <c r="G57" s="709">
        <v>320702695</v>
      </c>
    </row>
    <row r="58" spans="1:7" x14ac:dyDescent="0.2">
      <c r="A58" s="628" t="s">
        <v>2042</v>
      </c>
      <c r="B58" s="542">
        <v>266657354</v>
      </c>
      <c r="D58" s="639" t="s">
        <v>2357</v>
      </c>
      <c r="E58" s="639">
        <v>50889774</v>
      </c>
      <c r="G58" s="709">
        <v>266657354</v>
      </c>
    </row>
    <row r="59" spans="1:7" x14ac:dyDescent="0.2">
      <c r="A59" s="628" t="s">
        <v>2727</v>
      </c>
      <c r="B59" s="542">
        <v>221576216</v>
      </c>
      <c r="D59" s="639" t="s">
        <v>2925</v>
      </c>
      <c r="E59" s="639">
        <v>25103784</v>
      </c>
      <c r="G59" s="709">
        <v>221576216</v>
      </c>
    </row>
    <row r="60" spans="1:7" x14ac:dyDescent="0.2">
      <c r="A60" s="628" t="s">
        <v>2043</v>
      </c>
      <c r="B60" s="542">
        <v>298232358</v>
      </c>
      <c r="D60" s="639" t="s">
        <v>2358</v>
      </c>
      <c r="E60" s="639">
        <v>111642</v>
      </c>
      <c r="G60" s="709">
        <v>298232358</v>
      </c>
    </row>
    <row r="61" spans="1:7" x14ac:dyDescent="0.2">
      <c r="A61" s="628" t="s">
        <v>2044</v>
      </c>
      <c r="B61" s="542">
        <v>338411476</v>
      </c>
      <c r="D61" s="639" t="s">
        <v>2359</v>
      </c>
      <c r="E61" s="639">
        <v>5000000</v>
      </c>
      <c r="G61" s="709">
        <v>338411476</v>
      </c>
    </row>
    <row r="62" spans="1:7" x14ac:dyDescent="0.2">
      <c r="A62" s="628" t="s">
        <v>2045</v>
      </c>
      <c r="B62" s="542">
        <v>246608279</v>
      </c>
      <c r="D62" s="639" t="s">
        <v>2360</v>
      </c>
      <c r="E62" s="639">
        <v>0</v>
      </c>
      <c r="G62" s="709">
        <v>246608279</v>
      </c>
    </row>
    <row r="63" spans="1:7" x14ac:dyDescent="0.2">
      <c r="A63" s="628" t="s">
        <v>2046</v>
      </c>
      <c r="B63" s="542">
        <v>315676935</v>
      </c>
      <c r="D63" s="639" t="s">
        <v>2361</v>
      </c>
      <c r="E63" s="639">
        <v>6099065</v>
      </c>
      <c r="G63" s="709">
        <v>315676935</v>
      </c>
    </row>
    <row r="64" spans="1:7" x14ac:dyDescent="0.2">
      <c r="A64" s="628" t="s">
        <v>2047</v>
      </c>
      <c r="B64" s="542">
        <v>321457000</v>
      </c>
      <c r="D64" s="639" t="s">
        <v>2362</v>
      </c>
      <c r="E64" s="639">
        <v>0</v>
      </c>
      <c r="G64" s="709">
        <v>321457000</v>
      </c>
    </row>
    <row r="65" spans="1:7" x14ac:dyDescent="0.2">
      <c r="A65" s="628" t="s">
        <v>2048</v>
      </c>
      <c r="B65" s="542">
        <v>254909890</v>
      </c>
      <c r="D65" s="639" t="s">
        <v>2363</v>
      </c>
      <c r="E65" s="639">
        <v>0</v>
      </c>
      <c r="G65" s="709">
        <v>254909890</v>
      </c>
    </row>
    <row r="66" spans="1:7" x14ac:dyDescent="0.2">
      <c r="A66" s="628" t="s">
        <v>2049</v>
      </c>
      <c r="B66" s="542">
        <v>290100000</v>
      </c>
      <c r="D66" s="639" t="s">
        <v>2364</v>
      </c>
      <c r="E66" s="639">
        <v>0</v>
      </c>
      <c r="G66" s="709">
        <v>290100000</v>
      </c>
    </row>
    <row r="67" spans="1:7" x14ac:dyDescent="0.2">
      <c r="A67" s="628" t="s">
        <v>2050</v>
      </c>
      <c r="B67" s="542">
        <v>292905792</v>
      </c>
      <c r="D67" s="639" t="s">
        <v>2365</v>
      </c>
      <c r="E67" s="639">
        <v>3214208</v>
      </c>
      <c r="G67" s="709">
        <v>292905792</v>
      </c>
    </row>
    <row r="68" spans="1:7" x14ac:dyDescent="0.2">
      <c r="A68" s="628" t="s">
        <v>2051</v>
      </c>
      <c r="B68" s="542">
        <v>246800000</v>
      </c>
      <c r="D68" s="639" t="s">
        <v>2366</v>
      </c>
      <c r="E68" s="639">
        <v>118984</v>
      </c>
      <c r="G68" s="709">
        <v>246800000</v>
      </c>
    </row>
    <row r="69" spans="1:7" x14ac:dyDescent="0.2">
      <c r="A69" s="628" t="s">
        <v>2052</v>
      </c>
      <c r="B69" s="542">
        <v>322076000</v>
      </c>
      <c r="D69" s="639" t="s">
        <v>2367</v>
      </c>
      <c r="E69" s="639">
        <v>0</v>
      </c>
      <c r="G69" s="709">
        <v>322076000</v>
      </c>
    </row>
    <row r="70" spans="1:7" x14ac:dyDescent="0.2">
      <c r="A70" s="628" t="s">
        <v>2053</v>
      </c>
      <c r="B70" s="542">
        <v>314800000</v>
      </c>
      <c r="D70" s="639" t="s">
        <v>2368</v>
      </c>
      <c r="E70" s="639">
        <v>0</v>
      </c>
      <c r="G70" s="709">
        <v>314800000</v>
      </c>
    </row>
    <row r="71" spans="1:7" x14ac:dyDescent="0.2">
      <c r="A71" s="628" t="s">
        <v>2054</v>
      </c>
      <c r="B71" s="542">
        <v>248800000</v>
      </c>
      <c r="D71" s="639" t="s">
        <v>2369</v>
      </c>
      <c r="E71" s="639">
        <v>0</v>
      </c>
      <c r="G71" s="709">
        <v>248800000</v>
      </c>
    </row>
    <row r="72" spans="1:7" x14ac:dyDescent="0.2">
      <c r="A72" s="628" t="s">
        <v>2055</v>
      </c>
      <c r="B72" s="542">
        <v>290400000</v>
      </c>
      <c r="D72" s="639" t="s">
        <v>2370</v>
      </c>
      <c r="E72" s="639">
        <v>0</v>
      </c>
      <c r="G72" s="709">
        <v>290400000</v>
      </c>
    </row>
    <row r="73" spans="1:7" x14ac:dyDescent="0.2">
      <c r="A73" s="628" t="s">
        <v>2056</v>
      </c>
      <c r="B73" s="542">
        <v>281344500</v>
      </c>
      <c r="D73" s="639" t="s">
        <v>2371</v>
      </c>
      <c r="E73" s="639">
        <v>15075500</v>
      </c>
      <c r="G73" s="709">
        <v>281344500</v>
      </c>
    </row>
    <row r="74" spans="1:7" x14ac:dyDescent="0.2">
      <c r="A74" s="628" t="s">
        <v>2057</v>
      </c>
      <c r="B74" s="542">
        <v>246978674</v>
      </c>
      <c r="D74" s="639" t="s">
        <v>2372</v>
      </c>
      <c r="E74" s="639">
        <v>240197</v>
      </c>
      <c r="G74" s="709">
        <v>246978674</v>
      </c>
    </row>
    <row r="75" spans="1:7" x14ac:dyDescent="0.2">
      <c r="A75" s="628" t="s">
        <v>2058</v>
      </c>
      <c r="B75" s="542">
        <v>322376000</v>
      </c>
      <c r="D75" s="639" t="s">
        <v>2373</v>
      </c>
      <c r="E75" s="639">
        <v>0</v>
      </c>
      <c r="G75" s="709">
        <v>322376000</v>
      </c>
    </row>
    <row r="76" spans="1:7" x14ac:dyDescent="0.2">
      <c r="A76" s="628" t="s">
        <v>2059</v>
      </c>
      <c r="B76" s="542">
        <v>322318635</v>
      </c>
      <c r="D76" s="639" t="s">
        <v>2374</v>
      </c>
      <c r="E76" s="639">
        <v>0</v>
      </c>
      <c r="G76" s="709">
        <v>322318635</v>
      </c>
    </row>
    <row r="77" spans="1:7" x14ac:dyDescent="0.2">
      <c r="A77" s="628" t="s">
        <v>2060</v>
      </c>
      <c r="B77" s="542">
        <v>249100000</v>
      </c>
      <c r="D77" s="639" t="s">
        <v>2375</v>
      </c>
      <c r="E77" s="639">
        <v>0</v>
      </c>
      <c r="G77" s="709">
        <v>249100000</v>
      </c>
    </row>
    <row r="78" spans="1:7" x14ac:dyDescent="0.2">
      <c r="A78" s="628" t="s">
        <v>2061</v>
      </c>
      <c r="B78" s="542">
        <v>340981258</v>
      </c>
      <c r="D78" s="639" t="s">
        <v>2376</v>
      </c>
      <c r="E78" s="639">
        <v>4595009</v>
      </c>
      <c r="G78" s="709">
        <v>340981258</v>
      </c>
    </row>
    <row r="79" spans="1:7" x14ac:dyDescent="0.2">
      <c r="A79" s="628" t="s">
        <v>2062</v>
      </c>
      <c r="B79" s="542">
        <v>291292593</v>
      </c>
      <c r="D79" s="639" t="s">
        <v>2377</v>
      </c>
      <c r="E79" s="639">
        <v>5427407</v>
      </c>
      <c r="G79" s="709">
        <v>291292593</v>
      </c>
    </row>
    <row r="80" spans="1:7" x14ac:dyDescent="0.2">
      <c r="A80" s="628" t="s">
        <v>2063</v>
      </c>
      <c r="B80" s="542">
        <v>249620622</v>
      </c>
      <c r="D80" s="639" t="s">
        <v>2378</v>
      </c>
      <c r="E80" s="639">
        <v>0</v>
      </c>
      <c r="G80" s="709">
        <v>249620622</v>
      </c>
    </row>
    <row r="81" spans="1:7" x14ac:dyDescent="0.2">
      <c r="A81" s="628" t="s">
        <v>2064</v>
      </c>
      <c r="B81" s="542">
        <v>322676000</v>
      </c>
      <c r="D81" s="639" t="s">
        <v>2379</v>
      </c>
      <c r="E81" s="640">
        <v>0</v>
      </c>
      <c r="G81" s="709">
        <v>322676000</v>
      </c>
    </row>
    <row r="82" spans="1:7" x14ac:dyDescent="0.2">
      <c r="A82" s="628" t="s">
        <v>2065</v>
      </c>
      <c r="B82" s="542">
        <v>306658150</v>
      </c>
      <c r="D82" s="639" t="s">
        <v>2380</v>
      </c>
      <c r="E82" s="640">
        <v>6809350</v>
      </c>
      <c r="G82" s="709">
        <v>306658150</v>
      </c>
    </row>
    <row r="83" spans="1:7" x14ac:dyDescent="0.2">
      <c r="A83" s="628" t="s">
        <v>2066</v>
      </c>
      <c r="B83" s="542">
        <v>250306412</v>
      </c>
      <c r="D83" s="639" t="s">
        <v>2381</v>
      </c>
      <c r="E83" s="640">
        <v>917588</v>
      </c>
      <c r="G83" s="709">
        <v>250306412</v>
      </c>
    </row>
    <row r="84" spans="1:7" x14ac:dyDescent="0.2">
      <c r="A84" s="628" t="s">
        <v>2067</v>
      </c>
      <c r="B84" s="542">
        <v>284781315</v>
      </c>
      <c r="D84" s="639" t="s">
        <v>2382</v>
      </c>
      <c r="E84" s="639">
        <v>7555113</v>
      </c>
      <c r="G84" s="709">
        <v>284781315</v>
      </c>
    </row>
    <row r="85" spans="1:7" x14ac:dyDescent="0.2">
      <c r="A85" s="628" t="s">
        <v>2068</v>
      </c>
      <c r="B85" s="542">
        <v>366640000</v>
      </c>
      <c r="D85" s="639" t="s">
        <v>3478</v>
      </c>
      <c r="E85" s="639">
        <v>12000000</v>
      </c>
      <c r="G85" s="709">
        <v>366640000</v>
      </c>
    </row>
    <row r="86" spans="1:7" x14ac:dyDescent="0.2">
      <c r="A86" s="628" t="s">
        <v>2069</v>
      </c>
      <c r="B86" s="542">
        <v>245960910</v>
      </c>
      <c r="D86" s="639" t="s">
        <v>2383</v>
      </c>
      <c r="E86" s="639">
        <v>1739090</v>
      </c>
      <c r="G86" s="709">
        <v>245960910</v>
      </c>
    </row>
    <row r="87" spans="1:7" x14ac:dyDescent="0.2">
      <c r="A87" s="628" t="s">
        <v>2070</v>
      </c>
      <c r="B87" s="542">
        <v>311080400</v>
      </c>
      <c r="D87" s="639" t="s">
        <v>2384</v>
      </c>
      <c r="E87" s="639">
        <v>6899600</v>
      </c>
      <c r="G87" s="709">
        <v>311080400</v>
      </c>
    </row>
    <row r="88" spans="1:7" x14ac:dyDescent="0.2">
      <c r="A88" s="628" t="s">
        <v>2071</v>
      </c>
      <c r="B88" s="542">
        <v>322540790</v>
      </c>
      <c r="D88" s="639" t="s">
        <v>2385</v>
      </c>
      <c r="E88" s="639">
        <v>4907210</v>
      </c>
      <c r="G88" s="709">
        <v>322540790</v>
      </c>
    </row>
    <row r="89" spans="1:7" x14ac:dyDescent="0.2">
      <c r="A89" s="628" t="s">
        <v>2072</v>
      </c>
      <c r="B89" s="542">
        <v>251524000</v>
      </c>
      <c r="D89" s="639" t="s">
        <v>2386</v>
      </c>
      <c r="E89" s="639">
        <v>0</v>
      </c>
      <c r="G89" s="709">
        <v>251524000</v>
      </c>
    </row>
    <row r="90" spans="1:7" x14ac:dyDescent="0.2">
      <c r="A90" s="628" t="s">
        <v>2073</v>
      </c>
      <c r="B90" s="542">
        <v>287647857</v>
      </c>
      <c r="D90" s="639" t="s">
        <v>2387</v>
      </c>
      <c r="E90" s="639">
        <v>12196143</v>
      </c>
      <c r="G90" s="709">
        <v>287647857</v>
      </c>
    </row>
    <row r="91" spans="1:7" x14ac:dyDescent="0.2">
      <c r="A91" s="628" t="s">
        <v>2074</v>
      </c>
      <c r="B91" s="542">
        <v>288800000</v>
      </c>
      <c r="D91" s="639" t="s">
        <v>2388</v>
      </c>
      <c r="E91" s="639">
        <v>0</v>
      </c>
      <c r="G91" s="709">
        <v>288800000</v>
      </c>
    </row>
    <row r="92" spans="1:7" x14ac:dyDescent="0.2">
      <c r="A92" s="628" t="s">
        <v>2075</v>
      </c>
      <c r="B92" s="542">
        <v>254277159</v>
      </c>
      <c r="D92" s="639" t="s">
        <v>2389</v>
      </c>
      <c r="E92" s="639">
        <v>274356</v>
      </c>
      <c r="G92" s="709">
        <v>254277159</v>
      </c>
    </row>
    <row r="93" spans="1:7" x14ac:dyDescent="0.2">
      <c r="A93" s="628" t="s">
        <v>2076</v>
      </c>
      <c r="B93" s="542">
        <v>319438716</v>
      </c>
      <c r="D93" s="639" t="s">
        <v>2390</v>
      </c>
      <c r="E93" s="639">
        <v>2820534</v>
      </c>
      <c r="G93" s="709">
        <v>319438716</v>
      </c>
    </row>
    <row r="94" spans="1:7" x14ac:dyDescent="0.2">
      <c r="A94" s="628" t="s">
        <v>2077</v>
      </c>
      <c r="B94" s="542">
        <v>324474090</v>
      </c>
      <c r="D94" s="639" t="s">
        <v>2391</v>
      </c>
      <c r="E94" s="639">
        <v>1732863</v>
      </c>
      <c r="G94" s="709">
        <v>324474090</v>
      </c>
    </row>
    <row r="95" spans="1:7" x14ac:dyDescent="0.2">
      <c r="A95" s="628" t="s">
        <v>2078</v>
      </c>
      <c r="B95" s="542">
        <v>255361803</v>
      </c>
      <c r="D95" s="639" t="s">
        <v>2392</v>
      </c>
      <c r="E95" s="639">
        <v>2181397</v>
      </c>
      <c r="G95" s="709">
        <v>255361803</v>
      </c>
    </row>
    <row r="96" spans="1:7" x14ac:dyDescent="0.2">
      <c r="A96" s="628" t="s">
        <v>2079</v>
      </c>
      <c r="B96" s="542">
        <v>343135019</v>
      </c>
      <c r="D96" s="639" t="s">
        <v>2393</v>
      </c>
      <c r="E96" s="639">
        <v>2000000</v>
      </c>
      <c r="G96" s="709">
        <v>343135019</v>
      </c>
    </row>
    <row r="97" spans="1:7" x14ac:dyDescent="0.2">
      <c r="A97" s="628" t="s">
        <v>2080</v>
      </c>
      <c r="B97" s="542">
        <v>302620000</v>
      </c>
      <c r="D97" s="639" t="s">
        <v>2394</v>
      </c>
      <c r="E97" s="639">
        <v>0</v>
      </c>
      <c r="G97" s="709">
        <v>302620000</v>
      </c>
    </row>
    <row r="98" spans="1:7" x14ac:dyDescent="0.2">
      <c r="A98" s="628" t="s">
        <v>2081</v>
      </c>
      <c r="B98" s="542">
        <v>246213733</v>
      </c>
      <c r="D98" s="639" t="s">
        <v>2395</v>
      </c>
      <c r="E98" s="639">
        <v>2086267</v>
      </c>
      <c r="G98" s="709">
        <v>246213733</v>
      </c>
    </row>
    <row r="99" spans="1:7" x14ac:dyDescent="0.2">
      <c r="A99" s="628" t="s">
        <v>2082</v>
      </c>
      <c r="B99" s="542">
        <v>314300000</v>
      </c>
      <c r="D99" s="639" t="s">
        <v>2396</v>
      </c>
      <c r="E99" s="640">
        <v>0</v>
      </c>
      <c r="G99" s="709">
        <v>314300000</v>
      </c>
    </row>
    <row r="100" spans="1:7" x14ac:dyDescent="0.2">
      <c r="A100" s="628" t="s">
        <v>2083</v>
      </c>
      <c r="B100" s="542">
        <v>314447367</v>
      </c>
      <c r="D100" s="639" t="s">
        <v>2397</v>
      </c>
      <c r="E100" s="640">
        <v>1852633</v>
      </c>
      <c r="G100" s="709">
        <v>314447367</v>
      </c>
    </row>
    <row r="101" spans="1:7" x14ac:dyDescent="0.2">
      <c r="A101" s="628" t="s">
        <v>2084</v>
      </c>
      <c r="B101" s="542">
        <v>255706695</v>
      </c>
      <c r="D101" s="639" t="s">
        <v>2398</v>
      </c>
      <c r="E101" s="640">
        <v>1000000</v>
      </c>
      <c r="G101" s="709">
        <v>255706695</v>
      </c>
    </row>
    <row r="102" spans="1:7" x14ac:dyDescent="0.2">
      <c r="A102" s="628" t="s">
        <v>2085</v>
      </c>
      <c r="B102" s="542">
        <v>303245600</v>
      </c>
      <c r="D102" s="639" t="s">
        <v>2399</v>
      </c>
      <c r="E102" s="639">
        <v>0</v>
      </c>
      <c r="G102" s="709">
        <v>303245600</v>
      </c>
    </row>
    <row r="103" spans="1:7" x14ac:dyDescent="0.2">
      <c r="A103" s="628" t="s">
        <v>2086</v>
      </c>
      <c r="B103" s="542">
        <v>262169830</v>
      </c>
      <c r="D103" s="639" t="s">
        <v>2400</v>
      </c>
      <c r="E103" s="640">
        <v>35750170</v>
      </c>
      <c r="G103" s="709">
        <v>262169830</v>
      </c>
    </row>
    <row r="104" spans="1:7" x14ac:dyDescent="0.2">
      <c r="A104" s="628" t="s">
        <v>2087</v>
      </c>
      <c r="B104" s="542">
        <v>247300000</v>
      </c>
      <c r="D104" s="639" t="s">
        <v>2401</v>
      </c>
      <c r="E104" s="640">
        <v>1300000</v>
      </c>
      <c r="G104" s="709">
        <v>247300000</v>
      </c>
    </row>
    <row r="105" spans="1:7" x14ac:dyDescent="0.2">
      <c r="A105" s="628" t="s">
        <v>2088</v>
      </c>
      <c r="B105" s="542">
        <v>323876000</v>
      </c>
      <c r="D105" s="639" t="s">
        <v>2402</v>
      </c>
      <c r="E105" s="640">
        <v>0</v>
      </c>
      <c r="G105" s="709">
        <v>323876000</v>
      </c>
    </row>
    <row r="106" spans="1:7" x14ac:dyDescent="0.2">
      <c r="A106" s="628" t="s">
        <v>2089</v>
      </c>
      <c r="B106" s="542">
        <v>316600000</v>
      </c>
      <c r="D106" s="639" t="s">
        <v>2403</v>
      </c>
      <c r="E106" s="640">
        <v>0</v>
      </c>
      <c r="G106" s="709">
        <v>316600000</v>
      </c>
    </row>
    <row r="107" spans="1:7" x14ac:dyDescent="0.2">
      <c r="A107" s="628" t="s">
        <v>2090</v>
      </c>
      <c r="B107" s="542">
        <v>249637525</v>
      </c>
      <c r="D107" s="639" t="s">
        <v>2404</v>
      </c>
      <c r="E107" s="639">
        <v>6434475</v>
      </c>
      <c r="G107" s="709">
        <v>249637525</v>
      </c>
    </row>
    <row r="108" spans="1:7" x14ac:dyDescent="0.2">
      <c r="A108" s="628" t="s">
        <v>2091</v>
      </c>
      <c r="B108" s="542">
        <v>346010476</v>
      </c>
      <c r="D108" s="639" t="s">
        <v>2405</v>
      </c>
      <c r="E108" s="639">
        <v>2000000</v>
      </c>
      <c r="G108" s="709">
        <v>346010476</v>
      </c>
    </row>
    <row r="109" spans="1:7" x14ac:dyDescent="0.2">
      <c r="A109" s="628" t="s">
        <v>2092</v>
      </c>
      <c r="B109" s="542">
        <v>281598258</v>
      </c>
      <c r="D109" s="639" t="s">
        <v>2406</v>
      </c>
      <c r="E109" s="639">
        <v>6326742</v>
      </c>
      <c r="G109" s="709">
        <v>281598258</v>
      </c>
    </row>
    <row r="110" spans="1:7" x14ac:dyDescent="0.2">
      <c r="A110" s="628" t="s">
        <v>2093</v>
      </c>
      <c r="B110" s="542">
        <v>218818349</v>
      </c>
      <c r="D110" s="639" t="s">
        <v>2407</v>
      </c>
      <c r="E110" s="639">
        <v>30909261</v>
      </c>
      <c r="G110" s="709">
        <v>218818349</v>
      </c>
    </row>
    <row r="111" spans="1:7" x14ac:dyDescent="0.2">
      <c r="A111" s="628" t="s">
        <v>2094</v>
      </c>
      <c r="B111" s="542">
        <v>324176000</v>
      </c>
      <c r="D111" s="639" t="s">
        <v>2408</v>
      </c>
      <c r="E111" s="640">
        <v>0</v>
      </c>
      <c r="G111" s="709">
        <v>324176000</v>
      </c>
    </row>
    <row r="112" spans="1:7" x14ac:dyDescent="0.2">
      <c r="A112" s="628" t="s">
        <v>2095</v>
      </c>
      <c r="B112" s="542">
        <v>316900000</v>
      </c>
      <c r="D112" s="639" t="s">
        <v>2409</v>
      </c>
      <c r="E112" s="639">
        <v>0</v>
      </c>
      <c r="G112" s="709">
        <v>316900000</v>
      </c>
    </row>
    <row r="113" spans="1:7" x14ac:dyDescent="0.2">
      <c r="A113" s="628" t="s">
        <v>2096</v>
      </c>
      <c r="B113" s="542">
        <v>258469228</v>
      </c>
      <c r="D113" s="639" t="s">
        <v>2410</v>
      </c>
      <c r="E113" s="639">
        <v>31330</v>
      </c>
      <c r="G113" s="709">
        <v>258469228</v>
      </c>
    </row>
    <row r="114" spans="1:7" x14ac:dyDescent="0.2">
      <c r="A114" s="628" t="s">
        <v>2097</v>
      </c>
      <c r="B114" s="542">
        <v>302547078</v>
      </c>
      <c r="D114" s="639" t="s">
        <v>2411</v>
      </c>
      <c r="E114" s="640">
        <v>1000000</v>
      </c>
      <c r="G114" s="709">
        <v>302547078</v>
      </c>
    </row>
    <row r="115" spans="1:7" x14ac:dyDescent="0.2">
      <c r="A115" s="628" t="s">
        <v>2098</v>
      </c>
      <c r="B115" s="542">
        <v>285140067</v>
      </c>
      <c r="D115" s="639" t="s">
        <v>2412</v>
      </c>
      <c r="E115" s="639">
        <v>11249933</v>
      </c>
      <c r="G115" s="709">
        <v>285140067</v>
      </c>
    </row>
    <row r="116" spans="1:7" x14ac:dyDescent="0.2">
      <c r="A116" s="628" t="s">
        <v>2099</v>
      </c>
      <c r="B116" s="542">
        <v>251864929</v>
      </c>
      <c r="D116" s="639" t="s">
        <v>2413</v>
      </c>
      <c r="E116" s="639">
        <v>5493600</v>
      </c>
      <c r="G116" s="709">
        <v>251864929</v>
      </c>
    </row>
    <row r="117" spans="1:7" x14ac:dyDescent="0.2">
      <c r="A117" s="628" t="s">
        <v>2100</v>
      </c>
      <c r="B117" s="542">
        <v>325608351</v>
      </c>
      <c r="D117" s="639" t="s">
        <v>2414</v>
      </c>
      <c r="E117" s="639">
        <v>185223</v>
      </c>
      <c r="G117" s="709">
        <v>325608351</v>
      </c>
    </row>
    <row r="118" spans="1:7" x14ac:dyDescent="0.2">
      <c r="A118" s="628" t="s">
        <v>2101</v>
      </c>
      <c r="B118" s="542">
        <v>313733421</v>
      </c>
      <c r="D118" s="639" t="s">
        <v>2415</v>
      </c>
      <c r="E118" s="639">
        <v>3466579</v>
      </c>
      <c r="G118" s="709">
        <v>313733421</v>
      </c>
    </row>
    <row r="119" spans="1:7" x14ac:dyDescent="0.2">
      <c r="A119" s="628" t="s">
        <v>2102</v>
      </c>
      <c r="B119" s="542">
        <v>256672000</v>
      </c>
      <c r="D119" s="639" t="s">
        <v>2416</v>
      </c>
      <c r="E119" s="639">
        <v>0</v>
      </c>
      <c r="G119" s="709">
        <v>256672000</v>
      </c>
    </row>
    <row r="120" spans="1:7" x14ac:dyDescent="0.2">
      <c r="A120" s="628" t="s">
        <v>2103</v>
      </c>
      <c r="B120" s="542">
        <v>301203680</v>
      </c>
      <c r="D120" s="639" t="s">
        <v>2417</v>
      </c>
      <c r="E120" s="639">
        <v>140320</v>
      </c>
      <c r="G120" s="709">
        <v>301203680</v>
      </c>
    </row>
    <row r="121" spans="1:7" x14ac:dyDescent="0.2">
      <c r="A121" s="628" t="s">
        <v>2104</v>
      </c>
      <c r="B121" s="542">
        <v>296998348</v>
      </c>
      <c r="D121" s="639" t="s">
        <v>2418</v>
      </c>
      <c r="E121" s="639">
        <v>1821652</v>
      </c>
      <c r="G121" s="709">
        <v>296998348</v>
      </c>
    </row>
    <row r="122" spans="1:7" x14ac:dyDescent="0.2">
      <c r="A122" s="628" t="s">
        <v>2105</v>
      </c>
      <c r="B122" s="542">
        <v>242480400</v>
      </c>
      <c r="D122" s="639" t="s">
        <v>2419</v>
      </c>
      <c r="E122" s="639">
        <v>6136571</v>
      </c>
      <c r="G122" s="709">
        <v>242480400</v>
      </c>
    </row>
    <row r="123" spans="1:7" x14ac:dyDescent="0.2">
      <c r="A123" s="628" t="s">
        <v>2106</v>
      </c>
      <c r="B123" s="542">
        <v>325563156</v>
      </c>
      <c r="D123" s="639" t="s">
        <v>2420</v>
      </c>
      <c r="E123" s="639">
        <v>3561244</v>
      </c>
      <c r="G123" s="709">
        <v>325563156</v>
      </c>
    </row>
    <row r="124" spans="1:7" x14ac:dyDescent="0.2">
      <c r="A124" s="628" t="s">
        <v>2107</v>
      </c>
      <c r="B124" s="542">
        <v>321692895</v>
      </c>
      <c r="D124" s="639" t="s">
        <v>2421</v>
      </c>
      <c r="E124" s="639">
        <v>2764105</v>
      </c>
      <c r="G124" s="709">
        <v>321692895</v>
      </c>
    </row>
    <row r="125" spans="1:7" x14ac:dyDescent="0.2">
      <c r="A125" s="628" t="s">
        <v>2108</v>
      </c>
      <c r="B125" s="542">
        <v>256962396</v>
      </c>
      <c r="D125" s="639" t="s">
        <v>2422</v>
      </c>
      <c r="E125" s="639">
        <v>9604</v>
      </c>
      <c r="G125" s="709">
        <v>256962396</v>
      </c>
    </row>
    <row r="126" spans="1:7" x14ac:dyDescent="0.2">
      <c r="A126" s="628" t="s">
        <v>2109</v>
      </c>
      <c r="B126" s="542">
        <v>340577000</v>
      </c>
      <c r="D126" s="639" t="s">
        <v>2570</v>
      </c>
      <c r="E126" s="640">
        <v>15000000</v>
      </c>
      <c r="G126" s="709">
        <v>340577000</v>
      </c>
    </row>
    <row r="127" spans="1:7" x14ac:dyDescent="0.2">
      <c r="A127" s="628" t="s">
        <v>2110</v>
      </c>
      <c r="B127" s="542">
        <v>298609123</v>
      </c>
      <c r="D127" s="639" t="s">
        <v>2423</v>
      </c>
      <c r="E127" s="639">
        <v>1327101</v>
      </c>
      <c r="G127" s="709">
        <v>298609123</v>
      </c>
    </row>
    <row r="128" spans="1:7" x14ac:dyDescent="0.2">
      <c r="A128" s="628" t="s">
        <v>2111</v>
      </c>
      <c r="B128" s="542">
        <v>234591999</v>
      </c>
      <c r="D128" s="639" t="s">
        <v>2424</v>
      </c>
      <c r="E128" s="639">
        <v>15861224</v>
      </c>
      <c r="G128" s="709">
        <v>234591999</v>
      </c>
    </row>
    <row r="129" spans="1:7" x14ac:dyDescent="0.2">
      <c r="A129" s="628" t="s">
        <v>2112</v>
      </c>
      <c r="B129" s="542">
        <v>320120750</v>
      </c>
      <c r="D129" s="639" t="s">
        <v>2425</v>
      </c>
      <c r="E129" s="639">
        <v>2636250</v>
      </c>
      <c r="G129" s="709">
        <v>320120750</v>
      </c>
    </row>
    <row r="130" spans="1:7" x14ac:dyDescent="0.2">
      <c r="A130" s="628" t="s">
        <v>2113</v>
      </c>
      <c r="B130" s="542">
        <v>317111805</v>
      </c>
      <c r="D130" s="639" t="s">
        <v>2426</v>
      </c>
      <c r="E130" s="639">
        <v>688195</v>
      </c>
      <c r="G130" s="709">
        <v>317111805</v>
      </c>
    </row>
    <row r="131" spans="1:7" x14ac:dyDescent="0.2">
      <c r="A131" s="628" t="s">
        <v>2114</v>
      </c>
      <c r="B131" s="542">
        <v>226369524</v>
      </c>
      <c r="D131" s="639" t="s">
        <v>2427</v>
      </c>
      <c r="E131" s="639">
        <v>30902476</v>
      </c>
      <c r="G131" s="709">
        <v>226369524</v>
      </c>
    </row>
    <row r="132" spans="1:7" x14ac:dyDescent="0.2">
      <c r="A132" s="628" t="s">
        <v>2115</v>
      </c>
      <c r="B132" s="542">
        <v>299271421</v>
      </c>
      <c r="D132" s="639" t="s">
        <v>2428</v>
      </c>
      <c r="E132" s="640">
        <v>2672579</v>
      </c>
      <c r="G132" s="709">
        <v>299271421</v>
      </c>
    </row>
    <row r="133" spans="1:7" x14ac:dyDescent="0.2">
      <c r="A133" s="628" t="s">
        <v>2116</v>
      </c>
      <c r="B133" s="542">
        <v>282208144</v>
      </c>
      <c r="D133" s="639" t="s">
        <v>2429</v>
      </c>
      <c r="E133" s="639">
        <v>8691856</v>
      </c>
      <c r="G133" s="709">
        <v>282208144</v>
      </c>
    </row>
    <row r="134" spans="1:7" x14ac:dyDescent="0.2">
      <c r="A134" s="628" t="s">
        <v>2117</v>
      </c>
      <c r="B134" s="542">
        <v>249850283</v>
      </c>
      <c r="D134" s="639" t="s">
        <v>2430</v>
      </c>
      <c r="E134" s="639">
        <v>249717</v>
      </c>
      <c r="G134" s="709">
        <v>249850283</v>
      </c>
    </row>
    <row r="135" spans="1:7" x14ac:dyDescent="0.2">
      <c r="A135" s="628" t="s">
        <v>2118</v>
      </c>
      <c r="B135" s="542">
        <v>313506333</v>
      </c>
      <c r="D135" s="639" t="s">
        <v>2431</v>
      </c>
      <c r="E135" s="640">
        <v>6244470</v>
      </c>
      <c r="G135" s="709">
        <v>313506333</v>
      </c>
    </row>
    <row r="136" spans="1:7" x14ac:dyDescent="0.2">
      <c r="A136" s="628" t="s">
        <v>2119</v>
      </c>
      <c r="B136" s="542">
        <v>326591458</v>
      </c>
      <c r="D136" s="639" t="s">
        <v>2432</v>
      </c>
      <c r="E136" s="640">
        <v>31743</v>
      </c>
      <c r="G136" s="709">
        <v>326591458</v>
      </c>
    </row>
    <row r="137" spans="1:7" x14ac:dyDescent="0.2">
      <c r="A137" s="628" t="s">
        <v>2120</v>
      </c>
      <c r="B137" s="542">
        <v>252100000</v>
      </c>
      <c r="D137" s="639" t="s">
        <v>2433</v>
      </c>
      <c r="E137" s="639">
        <v>0</v>
      </c>
      <c r="G137" s="709">
        <v>252100000</v>
      </c>
    </row>
    <row r="138" spans="1:7" x14ac:dyDescent="0.2">
      <c r="A138" s="628" t="s">
        <v>2121</v>
      </c>
      <c r="B138" s="542">
        <v>294594774</v>
      </c>
      <c r="D138" s="639" t="s">
        <v>2434</v>
      </c>
      <c r="E138" s="639">
        <v>7648746</v>
      </c>
      <c r="G138" s="709">
        <v>294594774</v>
      </c>
    </row>
    <row r="139" spans="1:7" x14ac:dyDescent="0.2">
      <c r="A139" s="628" t="s">
        <v>2122</v>
      </c>
      <c r="B139" s="542">
        <v>288718270</v>
      </c>
      <c r="D139" s="639" t="s">
        <v>2435</v>
      </c>
      <c r="E139" s="639">
        <v>6443230</v>
      </c>
      <c r="G139" s="709">
        <v>288718270</v>
      </c>
    </row>
    <row r="140" spans="1:7" x14ac:dyDescent="0.2">
      <c r="A140" s="628" t="s">
        <v>2123</v>
      </c>
      <c r="B140" s="542">
        <v>251250221</v>
      </c>
      <c r="D140" s="639" t="s">
        <v>2436</v>
      </c>
      <c r="E140" s="639">
        <v>6445779</v>
      </c>
      <c r="G140" s="709">
        <v>251250221</v>
      </c>
    </row>
    <row r="141" spans="1:7" x14ac:dyDescent="0.2">
      <c r="A141" s="628" t="s">
        <v>2124</v>
      </c>
      <c r="B141" s="542">
        <v>325631376</v>
      </c>
      <c r="D141" s="639" t="s">
        <v>2437</v>
      </c>
      <c r="E141" s="640">
        <v>44624</v>
      </c>
      <c r="G141" s="709">
        <v>325631376</v>
      </c>
    </row>
    <row r="142" spans="1:7" x14ac:dyDescent="0.2">
      <c r="A142" s="628" t="s">
        <v>2125</v>
      </c>
      <c r="B142" s="542">
        <v>298118082</v>
      </c>
      <c r="D142" s="639" t="s">
        <v>2438</v>
      </c>
      <c r="E142" s="639">
        <v>24046492</v>
      </c>
      <c r="G142" s="709">
        <v>298118082</v>
      </c>
    </row>
    <row r="143" spans="1:7" x14ac:dyDescent="0.2">
      <c r="A143" s="628" t="s">
        <v>2126</v>
      </c>
      <c r="B143" s="542">
        <v>252400000</v>
      </c>
      <c r="D143" s="639" t="s">
        <v>2439</v>
      </c>
      <c r="E143" s="640">
        <v>0</v>
      </c>
      <c r="G143" s="709">
        <v>252400000</v>
      </c>
    </row>
    <row r="144" spans="1:7" x14ac:dyDescent="0.2">
      <c r="A144" s="628" t="s">
        <v>2127</v>
      </c>
      <c r="B144" s="542">
        <v>300687844</v>
      </c>
      <c r="D144" s="639" t="s">
        <v>2440</v>
      </c>
      <c r="E144" s="640">
        <v>10408156</v>
      </c>
      <c r="G144" s="709">
        <v>300687844</v>
      </c>
    </row>
    <row r="145" spans="1:7" x14ac:dyDescent="0.2">
      <c r="A145" s="628" t="s">
        <v>2128</v>
      </c>
      <c r="B145" s="542">
        <v>309658017</v>
      </c>
      <c r="D145" s="639" t="s">
        <v>2441</v>
      </c>
      <c r="E145" s="640">
        <v>500000</v>
      </c>
      <c r="G145" s="709">
        <v>309658017</v>
      </c>
    </row>
    <row r="146" spans="1:7" x14ac:dyDescent="0.2">
      <c r="A146" s="628" t="s">
        <v>2129</v>
      </c>
      <c r="B146" s="542">
        <v>250700000</v>
      </c>
      <c r="D146" s="639" t="s">
        <v>2442</v>
      </c>
      <c r="E146" s="640">
        <v>0</v>
      </c>
      <c r="G146" s="709">
        <v>250700000</v>
      </c>
    </row>
    <row r="147" spans="1:7" x14ac:dyDescent="0.2">
      <c r="A147" s="628" t="s">
        <v>2130</v>
      </c>
      <c r="B147" s="542">
        <v>323276157</v>
      </c>
      <c r="D147" t="s">
        <v>2443</v>
      </c>
      <c r="E147">
        <v>7699843</v>
      </c>
      <c r="G147" s="709">
        <v>323276157</v>
      </c>
    </row>
    <row r="148" spans="1:7" x14ac:dyDescent="0.2">
      <c r="A148" s="628" t="s">
        <v>2131</v>
      </c>
      <c r="B148" s="542">
        <v>315700000</v>
      </c>
      <c r="D148" t="s">
        <v>2444</v>
      </c>
      <c r="E148">
        <v>3000000</v>
      </c>
      <c r="G148" s="709">
        <v>315700000</v>
      </c>
    </row>
    <row r="149" spans="1:7" x14ac:dyDescent="0.2">
      <c r="A149" s="628" t="s">
        <v>2132</v>
      </c>
      <c r="B149" s="542">
        <v>252494246</v>
      </c>
      <c r="D149" t="s">
        <v>2445</v>
      </c>
      <c r="E149">
        <v>205754</v>
      </c>
      <c r="G149" s="709">
        <v>252494246</v>
      </c>
    </row>
    <row r="150" spans="1:7" x14ac:dyDescent="0.2">
      <c r="A150" s="628" t="s">
        <v>2133</v>
      </c>
      <c r="B150" s="542">
        <v>294515293</v>
      </c>
      <c r="D150" t="s">
        <v>2446</v>
      </c>
      <c r="E150">
        <v>103942</v>
      </c>
      <c r="G150" s="709">
        <v>294515293</v>
      </c>
    </row>
    <row r="151" spans="1:7" x14ac:dyDescent="0.2">
      <c r="A151" s="628" t="s">
        <v>1308</v>
      </c>
      <c r="B151" s="542">
        <v>27000000</v>
      </c>
    </row>
    <row r="152" spans="1:7" x14ac:dyDescent="0.2">
      <c r="A152" s="628" t="s">
        <v>1228</v>
      </c>
      <c r="B152" s="542">
        <v>22000000</v>
      </c>
    </row>
    <row r="153" spans="1:7" x14ac:dyDescent="0.2">
      <c r="A153" s="628" t="s">
        <v>1309</v>
      </c>
      <c r="B153" s="542">
        <v>27000000</v>
      </c>
    </row>
    <row r="154" spans="1:7" x14ac:dyDescent="0.2">
      <c r="A154" s="628" t="s">
        <v>1534</v>
      </c>
      <c r="B154" s="542">
        <v>22000000</v>
      </c>
    </row>
    <row r="155" spans="1:7" x14ac:dyDescent="0.2">
      <c r="A155" s="628" t="s">
        <v>1579</v>
      </c>
      <c r="B155" s="542">
        <v>27000000</v>
      </c>
    </row>
    <row r="156" spans="1:7" x14ac:dyDescent="0.2">
      <c r="A156" s="628" t="s">
        <v>1310</v>
      </c>
      <c r="B156" s="542">
        <v>27000000</v>
      </c>
    </row>
    <row r="157" spans="1:7" x14ac:dyDescent="0.2">
      <c r="A157" s="628" t="s">
        <v>1311</v>
      </c>
      <c r="B157" s="542">
        <v>27000000</v>
      </c>
    </row>
    <row r="158" spans="1:7" x14ac:dyDescent="0.2">
      <c r="A158" s="628" t="s">
        <v>1312</v>
      </c>
      <c r="B158" s="542">
        <v>27000000</v>
      </c>
    </row>
    <row r="159" spans="1:7" x14ac:dyDescent="0.2">
      <c r="A159" s="628" t="s">
        <v>1535</v>
      </c>
      <c r="B159" s="542">
        <v>27000000</v>
      </c>
    </row>
    <row r="160" spans="1:7" x14ac:dyDescent="0.2">
      <c r="A160" s="628" t="s">
        <v>1536</v>
      </c>
      <c r="B160" s="542">
        <v>27000000</v>
      </c>
    </row>
    <row r="161" spans="1:2" x14ac:dyDescent="0.2">
      <c r="A161" s="628" t="s">
        <v>1249</v>
      </c>
      <c r="B161" s="542">
        <v>27000000</v>
      </c>
    </row>
    <row r="162" spans="1:2" x14ac:dyDescent="0.2">
      <c r="A162" s="628" t="s">
        <v>1554</v>
      </c>
      <c r="B162" s="542">
        <v>27000000</v>
      </c>
    </row>
    <row r="163" spans="1:2" x14ac:dyDescent="0.2">
      <c r="A163" s="628" t="s">
        <v>1476</v>
      </c>
      <c r="B163" s="542">
        <v>27000000</v>
      </c>
    </row>
    <row r="164" spans="1:2" x14ac:dyDescent="0.2">
      <c r="A164" s="628" t="s">
        <v>2617</v>
      </c>
      <c r="B164" s="542">
        <v>22000000</v>
      </c>
    </row>
    <row r="165" spans="1:2" x14ac:dyDescent="0.2">
      <c r="A165" s="628" t="s">
        <v>1349</v>
      </c>
      <c r="B165" s="542">
        <v>27000000</v>
      </c>
    </row>
    <row r="166" spans="1:2" x14ac:dyDescent="0.2">
      <c r="A166" s="628" t="s">
        <v>1250</v>
      </c>
      <c r="B166" s="542">
        <v>27000000</v>
      </c>
    </row>
    <row r="167" spans="1:2" x14ac:dyDescent="0.2">
      <c r="A167" s="628" t="s">
        <v>2618</v>
      </c>
      <c r="B167" s="542">
        <v>27000000</v>
      </c>
    </row>
    <row r="168" spans="1:2" x14ac:dyDescent="0.2">
      <c r="A168" s="628" t="s">
        <v>1313</v>
      </c>
      <c r="B168" s="542">
        <v>27000000</v>
      </c>
    </row>
    <row r="169" spans="1:2" x14ac:dyDescent="0.2">
      <c r="A169" s="628" t="s">
        <v>1314</v>
      </c>
      <c r="B169" s="542">
        <v>27000000</v>
      </c>
    </row>
    <row r="170" spans="1:2" x14ac:dyDescent="0.2">
      <c r="A170" s="628" t="s">
        <v>1477</v>
      </c>
      <c r="B170" s="542">
        <v>27000000</v>
      </c>
    </row>
    <row r="171" spans="1:2" x14ac:dyDescent="0.2">
      <c r="A171" s="628" t="s">
        <v>3725</v>
      </c>
      <c r="B171" s="542">
        <v>22000000</v>
      </c>
    </row>
    <row r="172" spans="1:2" x14ac:dyDescent="0.2">
      <c r="A172" s="628" t="s">
        <v>1619</v>
      </c>
      <c r="B172" s="542">
        <v>22000000</v>
      </c>
    </row>
    <row r="173" spans="1:2" x14ac:dyDescent="0.2">
      <c r="A173" s="628" t="s">
        <v>2619</v>
      </c>
      <c r="B173" s="542">
        <v>22000000</v>
      </c>
    </row>
    <row r="174" spans="1:2" x14ac:dyDescent="0.2">
      <c r="A174" s="628" t="s">
        <v>2620</v>
      </c>
      <c r="B174" s="542">
        <v>22000000</v>
      </c>
    </row>
    <row r="175" spans="1:2" x14ac:dyDescent="0.2">
      <c r="A175" s="628" t="s">
        <v>3726</v>
      </c>
      <c r="B175" s="542">
        <v>22000000</v>
      </c>
    </row>
    <row r="176" spans="1:2" x14ac:dyDescent="0.2">
      <c r="A176" s="628" t="s">
        <v>1382</v>
      </c>
      <c r="B176" s="542">
        <v>22000000</v>
      </c>
    </row>
    <row r="177" spans="1:2" x14ac:dyDescent="0.2">
      <c r="A177" s="628" t="s">
        <v>2621</v>
      </c>
      <c r="B177" s="542">
        <v>22000000</v>
      </c>
    </row>
    <row r="178" spans="1:2" x14ac:dyDescent="0.2">
      <c r="A178" s="628" t="s">
        <v>1338</v>
      </c>
      <c r="B178" s="542">
        <v>22000000</v>
      </c>
    </row>
    <row r="179" spans="1:2" x14ac:dyDescent="0.2">
      <c r="A179" s="628" t="s">
        <v>1360</v>
      </c>
      <c r="B179" s="542">
        <v>22000000</v>
      </c>
    </row>
    <row r="180" spans="1:2" x14ac:dyDescent="0.2">
      <c r="A180" s="628" t="s">
        <v>3229</v>
      </c>
      <c r="B180" s="542">
        <v>22000000</v>
      </c>
    </row>
    <row r="181" spans="1:2" x14ac:dyDescent="0.2">
      <c r="A181" s="628" t="s">
        <v>1383</v>
      </c>
      <c r="B181" s="542">
        <v>22000000</v>
      </c>
    </row>
    <row r="182" spans="1:2" x14ac:dyDescent="0.2">
      <c r="A182" s="628" t="s">
        <v>3163</v>
      </c>
      <c r="B182" s="542">
        <v>22000000</v>
      </c>
    </row>
    <row r="183" spans="1:2" x14ac:dyDescent="0.2">
      <c r="A183" s="628" t="s">
        <v>1437</v>
      </c>
      <c r="B183" s="542">
        <v>22000000</v>
      </c>
    </row>
    <row r="184" spans="1:2" x14ac:dyDescent="0.2">
      <c r="A184" s="628" t="s">
        <v>1516</v>
      </c>
      <c r="B184" s="542">
        <v>22000000</v>
      </c>
    </row>
    <row r="185" spans="1:2" x14ac:dyDescent="0.2">
      <c r="A185" s="628" t="s">
        <v>1600</v>
      </c>
      <c r="B185" s="542">
        <v>27000000</v>
      </c>
    </row>
    <row r="186" spans="1:2" x14ac:dyDescent="0.2">
      <c r="A186" s="628" t="s">
        <v>1315</v>
      </c>
      <c r="B186" s="542">
        <v>27000000</v>
      </c>
    </row>
    <row r="187" spans="1:2" x14ac:dyDescent="0.2">
      <c r="A187" s="628" t="s">
        <v>1251</v>
      </c>
      <c r="B187" s="542">
        <v>22000000</v>
      </c>
    </row>
    <row r="188" spans="1:2" x14ac:dyDescent="0.2">
      <c r="A188" s="628" t="s">
        <v>1537</v>
      </c>
      <c r="B188" s="542">
        <v>27000000</v>
      </c>
    </row>
    <row r="189" spans="1:2" x14ac:dyDescent="0.2">
      <c r="A189" s="628" t="s">
        <v>1384</v>
      </c>
      <c r="B189" s="542">
        <v>27000000</v>
      </c>
    </row>
    <row r="190" spans="1:2" x14ac:dyDescent="0.2">
      <c r="A190" s="628" t="s">
        <v>1316</v>
      </c>
      <c r="B190" s="542">
        <v>27000000</v>
      </c>
    </row>
    <row r="191" spans="1:2" x14ac:dyDescent="0.2">
      <c r="A191" s="628" t="s">
        <v>1478</v>
      </c>
      <c r="B191" s="542">
        <v>27000000</v>
      </c>
    </row>
    <row r="192" spans="1:2" x14ac:dyDescent="0.2">
      <c r="A192" s="628" t="s">
        <v>1350</v>
      </c>
      <c r="B192" s="542">
        <v>27000000</v>
      </c>
    </row>
    <row r="193" spans="1:2" x14ac:dyDescent="0.2">
      <c r="A193" s="628" t="s">
        <v>1317</v>
      </c>
      <c r="B193" s="542">
        <v>27000000</v>
      </c>
    </row>
    <row r="194" spans="1:2" x14ac:dyDescent="0.2">
      <c r="A194" s="628" t="s">
        <v>2545</v>
      </c>
      <c r="B194" s="542">
        <v>27000000</v>
      </c>
    </row>
    <row r="195" spans="1:2" x14ac:dyDescent="0.2">
      <c r="A195" s="628" t="s">
        <v>1385</v>
      </c>
      <c r="B195" s="542">
        <v>27000000</v>
      </c>
    </row>
    <row r="196" spans="1:2" x14ac:dyDescent="0.2">
      <c r="A196" s="628" t="s">
        <v>1318</v>
      </c>
      <c r="B196" s="542">
        <v>27000000</v>
      </c>
    </row>
    <row r="197" spans="1:2" x14ac:dyDescent="0.2">
      <c r="A197" s="628" t="s">
        <v>1438</v>
      </c>
      <c r="B197" s="542">
        <v>22000000</v>
      </c>
    </row>
    <row r="198" spans="1:2" x14ac:dyDescent="0.2">
      <c r="A198" s="628" t="s">
        <v>1319</v>
      </c>
      <c r="B198" s="542">
        <v>27000000</v>
      </c>
    </row>
    <row r="199" spans="1:2" x14ac:dyDescent="0.2">
      <c r="A199" s="628" t="s">
        <v>1683</v>
      </c>
      <c r="B199" s="542">
        <v>27000000</v>
      </c>
    </row>
    <row r="200" spans="1:2" x14ac:dyDescent="0.2">
      <c r="A200" s="628" t="s">
        <v>3014</v>
      </c>
      <c r="B200" s="542">
        <v>27000000</v>
      </c>
    </row>
    <row r="201" spans="1:2" x14ac:dyDescent="0.2">
      <c r="A201" s="628" t="s">
        <v>2252</v>
      </c>
      <c r="B201" s="542">
        <v>22000000</v>
      </c>
    </row>
    <row r="202" spans="1:2" x14ac:dyDescent="0.2">
      <c r="A202" s="628" t="s">
        <v>1320</v>
      </c>
      <c r="B202" s="542">
        <v>22000000</v>
      </c>
    </row>
    <row r="203" spans="1:2" x14ac:dyDescent="0.2">
      <c r="A203" s="628" t="s">
        <v>1351</v>
      </c>
      <c r="B203" s="542">
        <v>22000000</v>
      </c>
    </row>
    <row r="204" spans="1:2" x14ac:dyDescent="0.2">
      <c r="A204" s="628" t="s">
        <v>1386</v>
      </c>
      <c r="B204" s="542">
        <v>22000000</v>
      </c>
    </row>
    <row r="205" spans="1:2" x14ac:dyDescent="0.2">
      <c r="A205" s="628" t="s">
        <v>3442</v>
      </c>
      <c r="B205" s="542">
        <v>22000000</v>
      </c>
    </row>
    <row r="206" spans="1:2" x14ac:dyDescent="0.2">
      <c r="A206" s="628" t="s">
        <v>1352</v>
      </c>
      <c r="B206" s="542">
        <v>22000000</v>
      </c>
    </row>
    <row r="207" spans="1:2" x14ac:dyDescent="0.2">
      <c r="A207" s="628" t="s">
        <v>1486</v>
      </c>
      <c r="B207" s="542">
        <v>22000000</v>
      </c>
    </row>
    <row r="208" spans="1:2" x14ac:dyDescent="0.2">
      <c r="A208" s="628" t="s">
        <v>2546</v>
      </c>
      <c r="B208" s="542">
        <v>27000000</v>
      </c>
    </row>
    <row r="209" spans="1:2" x14ac:dyDescent="0.2">
      <c r="A209" s="628" t="s">
        <v>1597</v>
      </c>
      <c r="B209" s="542">
        <v>27000000</v>
      </c>
    </row>
    <row r="210" spans="1:2" x14ac:dyDescent="0.2">
      <c r="A210" s="628" t="s">
        <v>3285</v>
      </c>
      <c r="B210" s="542">
        <v>27000000</v>
      </c>
    </row>
    <row r="211" spans="1:2" x14ac:dyDescent="0.2">
      <c r="A211" s="628" t="s">
        <v>2584</v>
      </c>
      <c r="B211" s="542">
        <v>22000000</v>
      </c>
    </row>
    <row r="212" spans="1:2" x14ac:dyDescent="0.2">
      <c r="A212" s="628" t="s">
        <v>1439</v>
      </c>
      <c r="B212" s="542">
        <v>22000000</v>
      </c>
    </row>
    <row r="213" spans="1:2" x14ac:dyDescent="0.2">
      <c r="A213" s="628" t="s">
        <v>2622</v>
      </c>
      <c r="B213" s="542">
        <v>27000000</v>
      </c>
    </row>
    <row r="214" spans="1:2" x14ac:dyDescent="0.2">
      <c r="A214" s="628" t="s">
        <v>1321</v>
      </c>
      <c r="B214" s="542">
        <v>27000000</v>
      </c>
    </row>
    <row r="215" spans="1:2" x14ac:dyDescent="0.2">
      <c r="A215" s="628" t="s">
        <v>2623</v>
      </c>
      <c r="B215" s="542">
        <v>27000000</v>
      </c>
    </row>
    <row r="216" spans="1:2" x14ac:dyDescent="0.2">
      <c r="A216" s="628" t="s">
        <v>1387</v>
      </c>
      <c r="B216" s="542">
        <v>22000000</v>
      </c>
    </row>
    <row r="217" spans="1:2" x14ac:dyDescent="0.2">
      <c r="A217" s="628" t="s">
        <v>1684</v>
      </c>
      <c r="B217" s="542">
        <v>27000000</v>
      </c>
    </row>
    <row r="218" spans="1:2" x14ac:dyDescent="0.2">
      <c r="A218" s="628" t="s">
        <v>1229</v>
      </c>
      <c r="B218" s="542">
        <v>27000000</v>
      </c>
    </row>
    <row r="219" spans="1:2" x14ac:dyDescent="0.2">
      <c r="A219" s="628" t="s">
        <v>2547</v>
      </c>
      <c r="B219" s="542">
        <v>27000000</v>
      </c>
    </row>
    <row r="220" spans="1:2" x14ac:dyDescent="0.2">
      <c r="A220" s="628" t="s">
        <v>1388</v>
      </c>
      <c r="B220" s="542">
        <v>22000000</v>
      </c>
    </row>
    <row r="221" spans="1:2" x14ac:dyDescent="0.2">
      <c r="A221" s="628" t="s">
        <v>1389</v>
      </c>
      <c r="B221" s="542">
        <v>27000000</v>
      </c>
    </row>
    <row r="222" spans="1:2" x14ac:dyDescent="0.2">
      <c r="A222" s="628" t="s">
        <v>1390</v>
      </c>
      <c r="B222" s="542">
        <v>27000000</v>
      </c>
    </row>
    <row r="223" spans="1:2" x14ac:dyDescent="0.2">
      <c r="A223" s="628" t="s">
        <v>1391</v>
      </c>
      <c r="B223" s="542">
        <v>22000000</v>
      </c>
    </row>
    <row r="224" spans="1:2" x14ac:dyDescent="0.2">
      <c r="A224" s="628" t="s">
        <v>2728</v>
      </c>
      <c r="B224" s="542">
        <v>27000000</v>
      </c>
    </row>
    <row r="225" spans="1:2" x14ac:dyDescent="0.2">
      <c r="A225" s="628" t="s">
        <v>1392</v>
      </c>
      <c r="B225" s="542">
        <v>27000000</v>
      </c>
    </row>
    <row r="226" spans="1:2" x14ac:dyDescent="0.2">
      <c r="A226" s="628" t="s">
        <v>1393</v>
      </c>
      <c r="B226" s="542">
        <v>27000000</v>
      </c>
    </row>
    <row r="227" spans="1:2" x14ac:dyDescent="0.2">
      <c r="A227" s="628" t="s">
        <v>1440</v>
      </c>
      <c r="B227" s="542">
        <v>27000000</v>
      </c>
    </row>
    <row r="228" spans="1:2" x14ac:dyDescent="0.2">
      <c r="A228" s="628" t="s">
        <v>1479</v>
      </c>
      <c r="B228" s="542">
        <v>22000000</v>
      </c>
    </row>
    <row r="229" spans="1:2" x14ac:dyDescent="0.2">
      <c r="A229" s="628" t="s">
        <v>1441</v>
      </c>
      <c r="B229" s="542">
        <v>27000000</v>
      </c>
    </row>
    <row r="230" spans="1:2" x14ac:dyDescent="0.2">
      <c r="A230" s="628" t="s">
        <v>1580</v>
      </c>
      <c r="B230" s="542">
        <v>22000000</v>
      </c>
    </row>
    <row r="231" spans="1:2" x14ac:dyDescent="0.2">
      <c r="A231" s="628" t="s">
        <v>1394</v>
      </c>
      <c r="B231" s="542">
        <v>22000000</v>
      </c>
    </row>
    <row r="232" spans="1:2" x14ac:dyDescent="0.2">
      <c r="A232" s="628" t="s">
        <v>2729</v>
      </c>
      <c r="B232" s="542">
        <v>22000000</v>
      </c>
    </row>
    <row r="233" spans="1:2" x14ac:dyDescent="0.2">
      <c r="A233" s="628" t="s">
        <v>2548</v>
      </c>
      <c r="B233" s="542">
        <v>22000000</v>
      </c>
    </row>
    <row r="234" spans="1:2" x14ac:dyDescent="0.2">
      <c r="A234" s="628" t="s">
        <v>1322</v>
      </c>
      <c r="B234" s="542">
        <v>22000000</v>
      </c>
    </row>
    <row r="235" spans="1:2" x14ac:dyDescent="0.2">
      <c r="A235" s="628" t="s">
        <v>1581</v>
      </c>
      <c r="B235" s="542">
        <v>22000000</v>
      </c>
    </row>
    <row r="236" spans="1:2" x14ac:dyDescent="0.2">
      <c r="A236" s="628" t="s">
        <v>2549</v>
      </c>
      <c r="B236" s="542">
        <v>22000000</v>
      </c>
    </row>
    <row r="237" spans="1:2" x14ac:dyDescent="0.2">
      <c r="A237" s="628" t="s">
        <v>1538</v>
      </c>
      <c r="B237" s="542">
        <v>22000000</v>
      </c>
    </row>
    <row r="238" spans="1:2" x14ac:dyDescent="0.2">
      <c r="A238" s="628" t="s">
        <v>2253</v>
      </c>
      <c r="B238" s="542">
        <v>22000000</v>
      </c>
    </row>
    <row r="239" spans="1:2" x14ac:dyDescent="0.2">
      <c r="A239" s="628" t="s">
        <v>2296</v>
      </c>
      <c r="B239" s="542">
        <v>22000000</v>
      </c>
    </row>
    <row r="240" spans="1:2" x14ac:dyDescent="0.2">
      <c r="A240" s="628" t="s">
        <v>2254</v>
      </c>
      <c r="B240" s="542">
        <v>27000000</v>
      </c>
    </row>
    <row r="241" spans="1:2" x14ac:dyDescent="0.2">
      <c r="A241" s="628" t="s">
        <v>2585</v>
      </c>
      <c r="B241" s="542">
        <v>27000000</v>
      </c>
    </row>
    <row r="242" spans="1:2" x14ac:dyDescent="0.2">
      <c r="A242" s="628" t="s">
        <v>2624</v>
      </c>
      <c r="B242" s="542">
        <v>27000000</v>
      </c>
    </row>
    <row r="243" spans="1:2" x14ac:dyDescent="0.2">
      <c r="A243" s="628" t="s">
        <v>1598</v>
      </c>
      <c r="B243" s="542">
        <v>27000000</v>
      </c>
    </row>
    <row r="244" spans="1:2" x14ac:dyDescent="0.2">
      <c r="A244" s="628" t="s">
        <v>1353</v>
      </c>
      <c r="B244" s="542">
        <v>27000000</v>
      </c>
    </row>
    <row r="245" spans="1:2" x14ac:dyDescent="0.2">
      <c r="A245" s="628" t="s">
        <v>2297</v>
      </c>
      <c r="B245" s="542">
        <v>27000000</v>
      </c>
    </row>
    <row r="246" spans="1:2" x14ac:dyDescent="0.2">
      <c r="A246" s="628" t="s">
        <v>1323</v>
      </c>
      <c r="B246" s="542">
        <v>27000000</v>
      </c>
    </row>
    <row r="247" spans="1:2" x14ac:dyDescent="0.2">
      <c r="A247" s="628" t="s">
        <v>1442</v>
      </c>
      <c r="B247" s="542">
        <v>27000000</v>
      </c>
    </row>
    <row r="248" spans="1:2" x14ac:dyDescent="0.2">
      <c r="A248" s="628" t="s">
        <v>1252</v>
      </c>
      <c r="B248" s="542">
        <v>27000000</v>
      </c>
    </row>
    <row r="249" spans="1:2" x14ac:dyDescent="0.2">
      <c r="A249" s="628" t="s">
        <v>1395</v>
      </c>
      <c r="B249" s="542">
        <v>22000000</v>
      </c>
    </row>
    <row r="250" spans="1:2" x14ac:dyDescent="0.2">
      <c r="A250" s="628" t="s">
        <v>1324</v>
      </c>
      <c r="B250" s="542">
        <v>27000000</v>
      </c>
    </row>
    <row r="251" spans="1:2" x14ac:dyDescent="0.2">
      <c r="A251" s="628" t="s">
        <v>1325</v>
      </c>
      <c r="B251" s="542">
        <v>27000000</v>
      </c>
    </row>
    <row r="252" spans="1:2" x14ac:dyDescent="0.2">
      <c r="A252" s="628" t="s">
        <v>1253</v>
      </c>
      <c r="B252" s="542">
        <v>27000000</v>
      </c>
    </row>
    <row r="253" spans="1:2" x14ac:dyDescent="0.2">
      <c r="A253" s="628" t="s">
        <v>2625</v>
      </c>
      <c r="B253" s="542">
        <v>27000000</v>
      </c>
    </row>
    <row r="254" spans="1:2" x14ac:dyDescent="0.2">
      <c r="A254" s="628" t="s">
        <v>1354</v>
      </c>
      <c r="B254" s="542">
        <v>27000000</v>
      </c>
    </row>
    <row r="255" spans="1:2" x14ac:dyDescent="0.2">
      <c r="A255" s="628" t="s">
        <v>1355</v>
      </c>
      <c r="B255" s="542">
        <v>27000000</v>
      </c>
    </row>
    <row r="256" spans="1:2" x14ac:dyDescent="0.2">
      <c r="A256" s="628" t="s">
        <v>1326</v>
      </c>
      <c r="B256" s="542">
        <v>27000000</v>
      </c>
    </row>
    <row r="257" spans="1:2" x14ac:dyDescent="0.2">
      <c r="A257" s="628" t="s">
        <v>1396</v>
      </c>
      <c r="B257" s="542">
        <v>27000000</v>
      </c>
    </row>
    <row r="258" spans="1:2" x14ac:dyDescent="0.2">
      <c r="A258" s="628" t="s">
        <v>1397</v>
      </c>
      <c r="B258" s="542">
        <v>27000000</v>
      </c>
    </row>
    <row r="259" spans="1:2" x14ac:dyDescent="0.2">
      <c r="A259" s="628" t="s">
        <v>1328</v>
      </c>
      <c r="B259" s="542">
        <v>27000000</v>
      </c>
    </row>
    <row r="260" spans="1:2" x14ac:dyDescent="0.2">
      <c r="A260" s="628" t="s">
        <v>1329</v>
      </c>
      <c r="B260" s="542">
        <v>27000000</v>
      </c>
    </row>
    <row r="261" spans="1:2" x14ac:dyDescent="0.2">
      <c r="A261" s="628" t="s">
        <v>1330</v>
      </c>
      <c r="B261" s="542">
        <v>27000000</v>
      </c>
    </row>
    <row r="262" spans="1:2" x14ac:dyDescent="0.2">
      <c r="A262" s="628" t="s">
        <v>1443</v>
      </c>
      <c r="B262" s="542">
        <v>22000000</v>
      </c>
    </row>
    <row r="263" spans="1:2" x14ac:dyDescent="0.2">
      <c r="A263" s="628" t="s">
        <v>2550</v>
      </c>
      <c r="B263" s="542">
        <v>22000000</v>
      </c>
    </row>
    <row r="264" spans="1:2" x14ac:dyDescent="0.2">
      <c r="A264" s="628" t="s">
        <v>2626</v>
      </c>
      <c r="B264" s="542">
        <v>22000000</v>
      </c>
    </row>
    <row r="265" spans="1:2" x14ac:dyDescent="0.2">
      <c r="A265" s="628" t="s">
        <v>1331</v>
      </c>
      <c r="B265" s="542">
        <v>22000000</v>
      </c>
    </row>
    <row r="266" spans="1:2" x14ac:dyDescent="0.2">
      <c r="A266" s="628" t="s">
        <v>1398</v>
      </c>
      <c r="B266" s="542">
        <v>22000000</v>
      </c>
    </row>
    <row r="267" spans="1:2" x14ac:dyDescent="0.2">
      <c r="A267" s="628" t="s">
        <v>1399</v>
      </c>
      <c r="B267" s="542">
        <v>22000000</v>
      </c>
    </row>
    <row r="268" spans="1:2" x14ac:dyDescent="0.2">
      <c r="A268" s="628" t="s">
        <v>2586</v>
      </c>
      <c r="B268" s="542">
        <v>22000000</v>
      </c>
    </row>
    <row r="269" spans="1:2" x14ac:dyDescent="0.2">
      <c r="A269" s="628" t="s">
        <v>3286</v>
      </c>
      <c r="B269" s="542">
        <v>27000000</v>
      </c>
    </row>
    <row r="270" spans="1:2" x14ac:dyDescent="0.2">
      <c r="A270" s="628" t="s">
        <v>1332</v>
      </c>
      <c r="B270" s="542">
        <v>27000000</v>
      </c>
    </row>
    <row r="271" spans="1:2" x14ac:dyDescent="0.2">
      <c r="A271" s="628" t="s">
        <v>1254</v>
      </c>
      <c r="B271" s="542">
        <v>22000000</v>
      </c>
    </row>
    <row r="272" spans="1:2" x14ac:dyDescent="0.2">
      <c r="A272" s="628" t="s">
        <v>1255</v>
      </c>
      <c r="B272" s="542">
        <v>27000000</v>
      </c>
    </row>
    <row r="273" spans="1:2" x14ac:dyDescent="0.2">
      <c r="A273" s="628" t="s">
        <v>1445</v>
      </c>
      <c r="B273" s="542">
        <v>27000000</v>
      </c>
    </row>
    <row r="274" spans="1:2" x14ac:dyDescent="0.2">
      <c r="A274" s="628" t="s">
        <v>1356</v>
      </c>
      <c r="B274" s="542">
        <v>27000000</v>
      </c>
    </row>
    <row r="275" spans="1:2" x14ac:dyDescent="0.2">
      <c r="A275" s="628" t="s">
        <v>1256</v>
      </c>
      <c r="B275" s="542">
        <v>27000000</v>
      </c>
    </row>
    <row r="276" spans="1:2" x14ac:dyDescent="0.2">
      <c r="A276" s="628" t="s">
        <v>1357</v>
      </c>
      <c r="B276" s="542">
        <v>27000000</v>
      </c>
    </row>
    <row r="277" spans="1:2" x14ac:dyDescent="0.2">
      <c r="A277" s="628" t="s">
        <v>2551</v>
      </c>
      <c r="B277" s="542">
        <v>27000000</v>
      </c>
    </row>
    <row r="278" spans="1:2" x14ac:dyDescent="0.2">
      <c r="A278" s="628" t="s">
        <v>1333</v>
      </c>
      <c r="B278" s="542">
        <v>27000000</v>
      </c>
    </row>
    <row r="279" spans="1:2" x14ac:dyDescent="0.2">
      <c r="A279" s="628" t="s">
        <v>1257</v>
      </c>
      <c r="B279" s="542">
        <v>27000000</v>
      </c>
    </row>
    <row r="280" spans="1:2" x14ac:dyDescent="0.2">
      <c r="A280" s="628" t="s">
        <v>1400</v>
      </c>
      <c r="B280" s="542">
        <v>27000000</v>
      </c>
    </row>
    <row r="281" spans="1:2" x14ac:dyDescent="0.2">
      <c r="A281" s="628" t="s">
        <v>1358</v>
      </c>
      <c r="B281" s="542">
        <v>27000000</v>
      </c>
    </row>
    <row r="282" spans="1:2" x14ac:dyDescent="0.2">
      <c r="A282" s="628" t="s">
        <v>1401</v>
      </c>
      <c r="B282" s="542">
        <v>27000000</v>
      </c>
    </row>
    <row r="283" spans="1:2" x14ac:dyDescent="0.2">
      <c r="A283" s="628" t="s">
        <v>3727</v>
      </c>
      <c r="B283" s="542">
        <v>27000000</v>
      </c>
    </row>
    <row r="284" spans="1:2" x14ac:dyDescent="0.2">
      <c r="A284" s="628" t="s">
        <v>1425</v>
      </c>
      <c r="B284" s="542">
        <v>22000000</v>
      </c>
    </row>
    <row r="285" spans="1:2" x14ac:dyDescent="0.2">
      <c r="A285" s="628" t="s">
        <v>1335</v>
      </c>
      <c r="B285" s="542">
        <v>22000000</v>
      </c>
    </row>
    <row r="286" spans="1:2" x14ac:dyDescent="0.2">
      <c r="A286" s="628" t="s">
        <v>3443</v>
      </c>
      <c r="B286" s="542">
        <v>22000000</v>
      </c>
    </row>
    <row r="287" spans="1:2" ht="12" customHeight="1" x14ac:dyDescent="0.2">
      <c r="A287" s="628" t="s">
        <v>1539</v>
      </c>
      <c r="B287" s="542">
        <v>27000000</v>
      </c>
    </row>
    <row r="288" spans="1:2" ht="12" customHeight="1" x14ac:dyDescent="0.2">
      <c r="A288" s="628" t="s">
        <v>2255</v>
      </c>
      <c r="B288" s="542">
        <v>22000000</v>
      </c>
    </row>
    <row r="289" spans="1:2" ht="12" customHeight="1" x14ac:dyDescent="0.2">
      <c r="A289" s="628" t="s">
        <v>2256</v>
      </c>
      <c r="B289" s="542">
        <v>22000000</v>
      </c>
    </row>
    <row r="290" spans="1:2" ht="12" customHeight="1" x14ac:dyDescent="0.2">
      <c r="A290" s="628" t="s">
        <v>3444</v>
      </c>
      <c r="B290" s="542">
        <v>22000000</v>
      </c>
    </row>
    <row r="291" spans="1:2" ht="12" customHeight="1" x14ac:dyDescent="0.2">
      <c r="A291" s="628" t="s">
        <v>3230</v>
      </c>
      <c r="B291" s="542">
        <v>27000000</v>
      </c>
    </row>
    <row r="292" spans="1:2" ht="12" customHeight="1" x14ac:dyDescent="0.2">
      <c r="A292" s="628" t="s">
        <v>3164</v>
      </c>
      <c r="B292" s="542">
        <v>27000000</v>
      </c>
    </row>
    <row r="293" spans="1:2" ht="12" customHeight="1" x14ac:dyDescent="0.2">
      <c r="A293" s="628" t="s">
        <v>3165</v>
      </c>
      <c r="B293" s="542">
        <v>27000000</v>
      </c>
    </row>
    <row r="294" spans="1:2" ht="12" customHeight="1" x14ac:dyDescent="0.2">
      <c r="A294" s="628" t="s">
        <v>904</v>
      </c>
      <c r="B294" s="542">
        <v>22000000</v>
      </c>
    </row>
    <row r="295" spans="1:2" x14ac:dyDescent="0.2">
      <c r="A295" s="628" t="s">
        <v>923</v>
      </c>
      <c r="B295" s="542">
        <v>22000000</v>
      </c>
    </row>
    <row r="296" spans="1:2" x14ac:dyDescent="0.2">
      <c r="A296" s="628" t="s">
        <v>905</v>
      </c>
      <c r="B296" s="542">
        <v>22000000</v>
      </c>
    </row>
    <row r="297" spans="1:2" x14ac:dyDescent="0.2">
      <c r="A297" s="628" t="s">
        <v>982</v>
      </c>
      <c r="B297" s="542">
        <v>22000000</v>
      </c>
    </row>
    <row r="298" spans="1:2" x14ac:dyDescent="0.2">
      <c r="A298" s="628" t="s">
        <v>906</v>
      </c>
      <c r="B298" s="542">
        <v>22000000</v>
      </c>
    </row>
    <row r="299" spans="1:2" x14ac:dyDescent="0.2">
      <c r="A299" s="628" t="s">
        <v>907</v>
      </c>
      <c r="B299" s="542">
        <v>22000000</v>
      </c>
    </row>
    <row r="300" spans="1:2" x14ac:dyDescent="0.2">
      <c r="A300" s="628" t="s">
        <v>1599</v>
      </c>
      <c r="B300" s="542">
        <v>5000000</v>
      </c>
    </row>
    <row r="301" spans="1:2" x14ac:dyDescent="0.2">
      <c r="A301" s="628" t="s">
        <v>3445</v>
      </c>
      <c r="B301" s="542">
        <v>5000000</v>
      </c>
    </row>
    <row r="302" spans="1:2" x14ac:dyDescent="0.2">
      <c r="A302" s="628" t="s">
        <v>2298</v>
      </c>
      <c r="B302" s="542">
        <v>5000000</v>
      </c>
    </row>
    <row r="303" spans="1:2" x14ac:dyDescent="0.2">
      <c r="A303" s="628" t="s">
        <v>2552</v>
      </c>
      <c r="B303" s="542">
        <v>5000000</v>
      </c>
    </row>
    <row r="304" spans="1:2" x14ac:dyDescent="0.2">
      <c r="A304" s="628" t="s">
        <v>1481</v>
      </c>
      <c r="B304" s="542">
        <v>5000000</v>
      </c>
    </row>
    <row r="305" spans="1:2" x14ac:dyDescent="0.2">
      <c r="A305" s="628" t="s">
        <v>1482</v>
      </c>
      <c r="B305" s="542">
        <v>5000000</v>
      </c>
    </row>
    <row r="306" spans="1:2" x14ac:dyDescent="0.2">
      <c r="A306" s="628" t="s">
        <v>2587</v>
      </c>
      <c r="B306" s="542">
        <v>5000000</v>
      </c>
    </row>
    <row r="307" spans="1:2" x14ac:dyDescent="0.2">
      <c r="A307" s="628" t="s">
        <v>1618</v>
      </c>
      <c r="B307" s="542">
        <v>5000000</v>
      </c>
    </row>
    <row r="308" spans="1:2" x14ac:dyDescent="0.2">
      <c r="A308" s="628" t="s">
        <v>1359</v>
      </c>
      <c r="B308" s="542">
        <v>5000000</v>
      </c>
    </row>
    <row r="309" spans="1:2" x14ac:dyDescent="0.2">
      <c r="A309" s="628" t="s">
        <v>1447</v>
      </c>
      <c r="B309" s="542">
        <v>5000000</v>
      </c>
    </row>
    <row r="310" spans="1:2" x14ac:dyDescent="0.2">
      <c r="A310" s="628" t="s">
        <v>2257</v>
      </c>
      <c r="B310" s="542">
        <v>5000000</v>
      </c>
    </row>
    <row r="311" spans="1:2" x14ac:dyDescent="0.2">
      <c r="A311" s="628" t="s">
        <v>2258</v>
      </c>
      <c r="B311" s="542">
        <v>5000000</v>
      </c>
    </row>
    <row r="312" spans="1:2" x14ac:dyDescent="0.2">
      <c r="A312" s="628" t="s">
        <v>2588</v>
      </c>
      <c r="B312" s="542">
        <v>5000000</v>
      </c>
    </row>
    <row r="313" spans="1:2" x14ac:dyDescent="0.2">
      <c r="A313" s="628" t="s">
        <v>2259</v>
      </c>
      <c r="B313" s="542">
        <v>5000000</v>
      </c>
    </row>
    <row r="314" spans="1:2" x14ac:dyDescent="0.2">
      <c r="A314" s="628" t="s">
        <v>1402</v>
      </c>
      <c r="B314" s="542">
        <v>5000000</v>
      </c>
    </row>
    <row r="315" spans="1:2" x14ac:dyDescent="0.2">
      <c r="A315" s="628" t="s">
        <v>3446</v>
      </c>
      <c r="B315" s="542">
        <v>5000000</v>
      </c>
    </row>
    <row r="316" spans="1:2" x14ac:dyDescent="0.2">
      <c r="A316" s="628" t="s">
        <v>1403</v>
      </c>
      <c r="B316" s="542">
        <v>5000000</v>
      </c>
    </row>
    <row r="317" spans="1:2" x14ac:dyDescent="0.2">
      <c r="A317" s="628" t="s">
        <v>2730</v>
      </c>
      <c r="B317" s="542">
        <v>5000000</v>
      </c>
    </row>
    <row r="318" spans="1:2" x14ac:dyDescent="0.2">
      <c r="A318" s="628" t="s">
        <v>1404</v>
      </c>
      <c r="B318" s="542">
        <v>5000000</v>
      </c>
    </row>
    <row r="319" spans="1:2" x14ac:dyDescent="0.2">
      <c r="A319" s="628" t="s">
        <v>1483</v>
      </c>
      <c r="B319" s="542">
        <v>5000000</v>
      </c>
    </row>
    <row r="320" spans="1:2" x14ac:dyDescent="0.2">
      <c r="A320" s="628" t="s">
        <v>1336</v>
      </c>
      <c r="B320" s="542">
        <v>5000000</v>
      </c>
    </row>
    <row r="321" spans="1:2" x14ac:dyDescent="0.2">
      <c r="A321" s="628" t="s">
        <v>4295</v>
      </c>
      <c r="B321" s="542">
        <v>5000000</v>
      </c>
    </row>
    <row r="322" spans="1:2" x14ac:dyDescent="0.2">
      <c r="A322" s="628" t="s">
        <v>1337</v>
      </c>
      <c r="B322" s="542">
        <v>5000000</v>
      </c>
    </row>
    <row r="323" spans="1:2" x14ac:dyDescent="0.2">
      <c r="A323" s="628" t="s">
        <v>3287</v>
      </c>
      <c r="B323" s="542">
        <v>5000000</v>
      </c>
    </row>
    <row r="324" spans="1:2" x14ac:dyDescent="0.2">
      <c r="A324" s="628" t="s">
        <v>2553</v>
      </c>
      <c r="B324" s="542">
        <v>5000000</v>
      </c>
    </row>
    <row r="325" spans="1:2" x14ac:dyDescent="0.2">
      <c r="A325" s="628" t="s">
        <v>2554</v>
      </c>
      <c r="B325" s="542">
        <v>5000000</v>
      </c>
    </row>
    <row r="326" spans="1:2" x14ac:dyDescent="0.2">
      <c r="A326" s="628" t="s">
        <v>3447</v>
      </c>
      <c r="B326" s="542">
        <v>5000000</v>
      </c>
    </row>
    <row r="327" spans="1:2" x14ac:dyDescent="0.2">
      <c r="A327" s="628" t="s">
        <v>914</v>
      </c>
      <c r="B327" s="542">
        <v>5000000</v>
      </c>
    </row>
    <row r="328" spans="1:2" x14ac:dyDescent="0.2">
      <c r="A328" s="628" t="s">
        <v>2627</v>
      </c>
      <c r="B328" s="542">
        <v>5000000</v>
      </c>
    </row>
    <row r="329" spans="1:2" x14ac:dyDescent="0.2">
      <c r="A329" s="628" t="s">
        <v>3448</v>
      </c>
      <c r="B329" s="542">
        <v>5000000</v>
      </c>
    </row>
    <row r="330" spans="1:2" x14ac:dyDescent="0.2">
      <c r="A330" s="628" t="s">
        <v>2628</v>
      </c>
      <c r="B330" s="542">
        <v>5000000</v>
      </c>
    </row>
    <row r="331" spans="1:2" x14ac:dyDescent="0.2">
      <c r="A331" s="628" t="s">
        <v>924</v>
      </c>
      <c r="B331" s="542">
        <v>5000000</v>
      </c>
    </row>
    <row r="332" spans="1:2" x14ac:dyDescent="0.2">
      <c r="A332" s="628" t="s">
        <v>3449</v>
      </c>
      <c r="B332" s="542">
        <v>5000000</v>
      </c>
    </row>
    <row r="333" spans="1:2" x14ac:dyDescent="0.2">
      <c r="A333" s="628" t="s">
        <v>2260</v>
      </c>
      <c r="B333" s="542">
        <v>5000000</v>
      </c>
    </row>
    <row r="334" spans="1:2" x14ac:dyDescent="0.2">
      <c r="A334" s="628" t="s">
        <v>2629</v>
      </c>
      <c r="B334" s="542">
        <v>5000000</v>
      </c>
    </row>
    <row r="335" spans="1:2" x14ac:dyDescent="0.2">
      <c r="A335" s="628" t="s">
        <v>2555</v>
      </c>
      <c r="B335" s="542">
        <v>5000000</v>
      </c>
    </row>
    <row r="336" spans="1:2" x14ac:dyDescent="0.2">
      <c r="A336" s="628" t="s">
        <v>2299</v>
      </c>
      <c r="B336" s="542">
        <v>5000000</v>
      </c>
    </row>
    <row r="337" spans="1:2" x14ac:dyDescent="0.2">
      <c r="A337" s="628" t="s">
        <v>915</v>
      </c>
      <c r="B337" s="542">
        <v>5000000</v>
      </c>
    </row>
    <row r="338" spans="1:2" x14ac:dyDescent="0.2">
      <c r="A338" s="628" t="s">
        <v>2300</v>
      </c>
      <c r="B338" s="542">
        <v>5000000</v>
      </c>
    </row>
    <row r="339" spans="1:2" x14ac:dyDescent="0.2">
      <c r="A339" s="628" t="s">
        <v>983</v>
      </c>
      <c r="B339" s="542">
        <v>5000000</v>
      </c>
    </row>
    <row r="340" spans="1:2" x14ac:dyDescent="0.2">
      <c r="A340" s="628" t="s">
        <v>3231</v>
      </c>
      <c r="B340" s="542">
        <v>5000000</v>
      </c>
    </row>
    <row r="341" spans="1:2" x14ac:dyDescent="0.2">
      <c r="A341" s="628" t="s">
        <v>2630</v>
      </c>
      <c r="B341" s="542">
        <v>5000000</v>
      </c>
    </row>
    <row r="342" spans="1:2" x14ac:dyDescent="0.2">
      <c r="A342" s="628" t="s">
        <v>2261</v>
      </c>
      <c r="B342" s="542">
        <v>5000000</v>
      </c>
    </row>
    <row r="343" spans="1:2" x14ac:dyDescent="0.2">
      <c r="A343" s="628" t="s">
        <v>2589</v>
      </c>
      <c r="B343" s="542">
        <v>5000000</v>
      </c>
    </row>
    <row r="344" spans="1:2" x14ac:dyDescent="0.2">
      <c r="A344" s="628" t="s">
        <v>3450</v>
      </c>
      <c r="B344" s="542">
        <v>5000000</v>
      </c>
    </row>
    <row r="345" spans="1:2" x14ac:dyDescent="0.2">
      <c r="A345" s="628" t="s">
        <v>916</v>
      </c>
      <c r="B345" s="542">
        <v>5000000</v>
      </c>
    </row>
    <row r="346" spans="1:2" x14ac:dyDescent="0.2">
      <c r="A346" s="628" t="s">
        <v>2262</v>
      </c>
      <c r="B346" s="542">
        <v>5000000</v>
      </c>
    </row>
    <row r="347" spans="1:2" x14ac:dyDescent="0.2">
      <c r="A347" s="628" t="s">
        <v>3166</v>
      </c>
      <c r="B347" s="542">
        <v>5000000</v>
      </c>
    </row>
    <row r="348" spans="1:2" x14ac:dyDescent="0.2">
      <c r="A348" s="628" t="s">
        <v>917</v>
      </c>
      <c r="B348" s="542">
        <v>5000000</v>
      </c>
    </row>
    <row r="349" spans="1:2" x14ac:dyDescent="0.2">
      <c r="A349" s="628" t="s">
        <v>2556</v>
      </c>
      <c r="B349" s="542">
        <v>5000000</v>
      </c>
    </row>
    <row r="350" spans="1:2" x14ac:dyDescent="0.2">
      <c r="A350" s="628" t="s">
        <v>2590</v>
      </c>
      <c r="B350" s="542">
        <v>5000000</v>
      </c>
    </row>
    <row r="351" spans="1:2" x14ac:dyDescent="0.2">
      <c r="A351" s="628" t="s">
        <v>2263</v>
      </c>
      <c r="B351" s="542">
        <v>5000000</v>
      </c>
    </row>
    <row r="352" spans="1:2" x14ac:dyDescent="0.2">
      <c r="A352" s="628" t="s">
        <v>2631</v>
      </c>
      <c r="B352" s="542">
        <v>5000000</v>
      </c>
    </row>
    <row r="353" spans="1:2" x14ac:dyDescent="0.2">
      <c r="A353" s="628" t="s">
        <v>2591</v>
      </c>
      <c r="B353" s="542">
        <v>5000000</v>
      </c>
    </row>
    <row r="354" spans="1:2" x14ac:dyDescent="0.2">
      <c r="A354" s="628" t="s">
        <v>2592</v>
      </c>
      <c r="B354" s="542">
        <v>5000000</v>
      </c>
    </row>
    <row r="355" spans="1:2" x14ac:dyDescent="0.2">
      <c r="A355" s="628" t="s">
        <v>2264</v>
      </c>
      <c r="B355" s="542">
        <v>5000000</v>
      </c>
    </row>
    <row r="356" spans="1:2" x14ac:dyDescent="0.2">
      <c r="A356" s="628"/>
      <c r="B356" s="542"/>
    </row>
    <row r="357" spans="1:2" x14ac:dyDescent="0.2">
      <c r="A357" s="628"/>
      <c r="B357" s="542"/>
    </row>
    <row r="358" spans="1:2" x14ac:dyDescent="0.2">
      <c r="A358" s="628"/>
      <c r="B358" s="542"/>
    </row>
    <row r="359" spans="1:2" x14ac:dyDescent="0.2">
      <c r="A359" s="628"/>
      <c r="B359" s="542"/>
    </row>
    <row r="360" spans="1:2" x14ac:dyDescent="0.2">
      <c r="A360" s="628"/>
      <c r="B360" s="542"/>
    </row>
    <row r="361" spans="1:2" x14ac:dyDescent="0.2">
      <c r="A361" s="628"/>
      <c r="B361" s="542"/>
    </row>
    <row r="362" spans="1:2" x14ac:dyDescent="0.2">
      <c r="A362" s="628"/>
      <c r="B362" s="542"/>
    </row>
    <row r="363" spans="1:2" x14ac:dyDescent="0.2">
      <c r="A363" s="628"/>
      <c r="B363" s="542"/>
    </row>
    <row r="364" spans="1:2" x14ac:dyDescent="0.2">
      <c r="A364" s="628"/>
      <c r="B364" s="542"/>
    </row>
    <row r="365" spans="1:2" x14ac:dyDescent="0.2">
      <c r="A365" s="628"/>
      <c r="B365" s="542"/>
    </row>
    <row r="366" spans="1:2" x14ac:dyDescent="0.2">
      <c r="A366" s="628"/>
      <c r="B366" s="542"/>
    </row>
    <row r="367" spans="1:2" x14ac:dyDescent="0.2">
      <c r="A367" s="628"/>
      <c r="B367" s="542"/>
    </row>
    <row r="368" spans="1:2" x14ac:dyDescent="0.2">
      <c r="A368" s="628"/>
      <c r="B368" s="542"/>
    </row>
    <row r="369" spans="1:2" x14ac:dyDescent="0.2">
      <c r="A369" s="628"/>
      <c r="B369" s="542"/>
    </row>
    <row r="370" spans="1:2" x14ac:dyDescent="0.2">
      <c r="A370" s="628"/>
      <c r="B370" s="542"/>
    </row>
    <row r="371" spans="1:2" x14ac:dyDescent="0.2">
      <c r="A371" s="628"/>
      <c r="B371" s="542"/>
    </row>
    <row r="372" spans="1:2" x14ac:dyDescent="0.2">
      <c r="A372" s="628"/>
      <c r="B372" s="542"/>
    </row>
    <row r="373" spans="1:2" x14ac:dyDescent="0.2">
      <c r="A373" s="628"/>
      <c r="B373" s="542"/>
    </row>
    <row r="374" spans="1:2" x14ac:dyDescent="0.2">
      <c r="A374" s="628"/>
      <c r="B374" s="542"/>
    </row>
    <row r="375" spans="1:2" x14ac:dyDescent="0.2">
      <c r="A375" s="628"/>
      <c r="B375" s="542"/>
    </row>
    <row r="376" spans="1:2" x14ac:dyDescent="0.2">
      <c r="A376" s="628"/>
      <c r="B376" s="542"/>
    </row>
    <row r="377" spans="1:2" x14ac:dyDescent="0.2">
      <c r="A377" s="628"/>
      <c r="B377" s="542"/>
    </row>
    <row r="378" spans="1:2" x14ac:dyDescent="0.2">
      <c r="A378" s="628"/>
      <c r="B378" s="542"/>
    </row>
    <row r="379" spans="1:2" x14ac:dyDescent="0.2">
      <c r="A379" s="628"/>
      <c r="B379" s="542"/>
    </row>
    <row r="380" spans="1:2" x14ac:dyDescent="0.2">
      <c r="A380" s="628"/>
      <c r="B380" s="542"/>
    </row>
    <row r="381" spans="1:2" x14ac:dyDescent="0.2">
      <c r="A381" s="628"/>
      <c r="B381" s="542"/>
    </row>
    <row r="382" spans="1:2" x14ac:dyDescent="0.2">
      <c r="A382" s="628"/>
      <c r="B382" s="542"/>
    </row>
    <row r="383" spans="1:2" x14ac:dyDescent="0.2">
      <c r="A383" s="628"/>
      <c r="B383" s="542"/>
    </row>
    <row r="384" spans="1:2" x14ac:dyDescent="0.2">
      <c r="A384" s="628"/>
      <c r="B384" s="542"/>
    </row>
    <row r="385" spans="1:2" x14ac:dyDescent="0.2">
      <c r="A385" s="628"/>
      <c r="B385" s="542"/>
    </row>
    <row r="386" spans="1:2" x14ac:dyDescent="0.2">
      <c r="A386" s="628"/>
      <c r="B386" s="542"/>
    </row>
    <row r="387" spans="1:2" x14ac:dyDescent="0.2">
      <c r="A387" s="628"/>
      <c r="B387" s="542"/>
    </row>
    <row r="388" spans="1:2" x14ac:dyDescent="0.2">
      <c r="A388" s="628"/>
      <c r="B388" s="542"/>
    </row>
    <row r="389" spans="1:2" x14ac:dyDescent="0.2">
      <c r="A389" s="628"/>
      <c r="B389" s="542"/>
    </row>
    <row r="390" spans="1:2" x14ac:dyDescent="0.2">
      <c r="A390" s="628"/>
      <c r="B390" s="542"/>
    </row>
    <row r="391" spans="1:2" x14ac:dyDescent="0.2">
      <c r="A391" s="628"/>
      <c r="B391" s="542"/>
    </row>
    <row r="392" spans="1:2" x14ac:dyDescent="0.2">
      <c r="A392" s="628"/>
      <c r="B392" s="542"/>
    </row>
    <row r="393" spans="1:2" x14ac:dyDescent="0.2">
      <c r="A393" s="628"/>
      <c r="B393" s="542"/>
    </row>
    <row r="394" spans="1:2" x14ac:dyDescent="0.2">
      <c r="A394" s="628"/>
      <c r="B394" s="542"/>
    </row>
    <row r="395" spans="1:2" x14ac:dyDescent="0.2">
      <c r="A395" s="628"/>
      <c r="B395" s="542"/>
    </row>
    <row r="396" spans="1:2" x14ac:dyDescent="0.2">
      <c r="A396" s="628"/>
      <c r="B396" s="542"/>
    </row>
    <row r="397" spans="1:2" x14ac:dyDescent="0.2">
      <c r="A397" s="628"/>
      <c r="B397" s="542"/>
    </row>
    <row r="398" spans="1:2" x14ac:dyDescent="0.2">
      <c r="A398" s="628"/>
      <c r="B398" s="542"/>
    </row>
    <row r="399" spans="1:2" x14ac:dyDescent="0.2">
      <c r="A399" s="628"/>
      <c r="B399" s="542"/>
    </row>
    <row r="400" spans="1:2" x14ac:dyDescent="0.2">
      <c r="A400" s="628"/>
      <c r="B400" s="542"/>
    </row>
    <row r="401" spans="1:2" x14ac:dyDescent="0.2">
      <c r="A401" s="628"/>
      <c r="B401" s="542"/>
    </row>
    <row r="402" spans="1:2" x14ac:dyDescent="0.2">
      <c r="A402" s="628"/>
      <c r="B402" s="542"/>
    </row>
    <row r="403" spans="1:2" x14ac:dyDescent="0.2">
      <c r="A403" s="628"/>
      <c r="B403" s="542"/>
    </row>
    <row r="404" spans="1:2" x14ac:dyDescent="0.2">
      <c r="A404" s="628"/>
      <c r="B404" s="542"/>
    </row>
    <row r="405" spans="1:2" x14ac:dyDescent="0.2">
      <c r="A405" s="628"/>
      <c r="B405" s="542"/>
    </row>
    <row r="406" spans="1:2" x14ac:dyDescent="0.2">
      <c r="A406" s="628"/>
      <c r="B406" s="542"/>
    </row>
    <row r="407" spans="1:2" x14ac:dyDescent="0.2">
      <c r="A407" s="628"/>
      <c r="B407" s="542"/>
    </row>
    <row r="408" spans="1:2" x14ac:dyDescent="0.2">
      <c r="A408" s="628"/>
      <c r="B408" s="542"/>
    </row>
    <row r="409" spans="1:2" x14ac:dyDescent="0.2">
      <c r="A409" s="628"/>
      <c r="B409" s="542"/>
    </row>
    <row r="410" spans="1:2" x14ac:dyDescent="0.2">
      <c r="A410" s="628"/>
      <c r="B410" s="542"/>
    </row>
    <row r="411" spans="1:2" x14ac:dyDescent="0.2">
      <c r="A411" s="628"/>
      <c r="B411" s="542"/>
    </row>
    <row r="412" spans="1:2" x14ac:dyDescent="0.2">
      <c r="A412" s="628"/>
      <c r="B412" s="542"/>
    </row>
    <row r="413" spans="1:2" x14ac:dyDescent="0.2">
      <c r="A413" s="628"/>
      <c r="B413" s="542"/>
    </row>
    <row r="414" spans="1:2" x14ac:dyDescent="0.2">
      <c r="A414" s="628"/>
      <c r="B414" s="542"/>
    </row>
    <row r="415" spans="1:2" x14ac:dyDescent="0.2">
      <c r="A415" s="628"/>
      <c r="B415" s="542"/>
    </row>
    <row r="416" spans="1:2" x14ac:dyDescent="0.2">
      <c r="A416" s="628"/>
      <c r="B416" s="542"/>
    </row>
    <row r="417" spans="1:2" x14ac:dyDescent="0.2">
      <c r="A417" s="628"/>
      <c r="B417" s="542"/>
    </row>
    <row r="418" spans="1:2" x14ac:dyDescent="0.2">
      <c r="A418" s="628"/>
      <c r="B418" s="542"/>
    </row>
    <row r="419" spans="1:2" x14ac:dyDescent="0.2">
      <c r="A419" s="628"/>
      <c r="B419" s="542"/>
    </row>
    <row r="420" spans="1:2" x14ac:dyDescent="0.2">
      <c r="A420" s="628"/>
      <c r="B420" s="542"/>
    </row>
    <row r="421" spans="1:2" x14ac:dyDescent="0.2">
      <c r="A421" s="628"/>
      <c r="B421" s="542"/>
    </row>
    <row r="422" spans="1:2" x14ac:dyDescent="0.2">
      <c r="A422" s="628"/>
      <c r="B422" s="542"/>
    </row>
    <row r="423" spans="1:2" x14ac:dyDescent="0.2">
      <c r="A423" s="628"/>
      <c r="B423" s="542"/>
    </row>
    <row r="424" spans="1:2" x14ac:dyDescent="0.2">
      <c r="A424" s="628"/>
      <c r="B424" s="542"/>
    </row>
    <row r="425" spans="1:2" x14ac:dyDescent="0.2">
      <c r="A425" s="628"/>
      <c r="B425" s="542"/>
    </row>
    <row r="426" spans="1:2" x14ac:dyDescent="0.2">
      <c r="A426" s="628"/>
      <c r="B426" s="542"/>
    </row>
    <row r="427" spans="1:2" x14ac:dyDescent="0.2">
      <c r="A427" s="628"/>
      <c r="B427" s="542"/>
    </row>
    <row r="428" spans="1:2" x14ac:dyDescent="0.2">
      <c r="A428" s="628"/>
      <c r="B428" s="542"/>
    </row>
    <row r="429" spans="1:2" x14ac:dyDescent="0.2">
      <c r="A429" s="628"/>
      <c r="B429" s="542"/>
    </row>
    <row r="430" spans="1:2" x14ac:dyDescent="0.2">
      <c r="A430" s="628"/>
      <c r="B430" s="542"/>
    </row>
    <row r="431" spans="1:2" x14ac:dyDescent="0.2">
      <c r="A431" s="628"/>
      <c r="B431" s="542"/>
    </row>
    <row r="432" spans="1:2" x14ac:dyDescent="0.2">
      <c r="A432" s="628"/>
      <c r="B432" s="542"/>
    </row>
    <row r="433" spans="1:2" x14ac:dyDescent="0.2">
      <c r="A433" s="628"/>
      <c r="B433" s="542"/>
    </row>
    <row r="434" spans="1:2" x14ac:dyDescent="0.2">
      <c r="A434" s="628"/>
      <c r="B434" s="542"/>
    </row>
    <row r="435" spans="1:2" x14ac:dyDescent="0.2">
      <c r="A435" s="628"/>
      <c r="B435" s="542"/>
    </row>
    <row r="436" spans="1:2" x14ac:dyDescent="0.2">
      <c r="A436" s="628"/>
      <c r="B436" s="542"/>
    </row>
    <row r="437" spans="1:2" x14ac:dyDescent="0.2">
      <c r="A437" s="628"/>
      <c r="B437" s="542"/>
    </row>
    <row r="438" spans="1:2" x14ac:dyDescent="0.2">
      <c r="A438" s="628"/>
      <c r="B438" s="542"/>
    </row>
    <row r="439" spans="1:2" x14ac:dyDescent="0.2">
      <c r="A439" s="628"/>
      <c r="B439" s="542"/>
    </row>
    <row r="440" spans="1:2" x14ac:dyDescent="0.2">
      <c r="A440" s="628"/>
      <c r="B440" s="542"/>
    </row>
    <row r="441" spans="1:2" x14ac:dyDescent="0.2">
      <c r="A441" s="628"/>
      <c r="B441" s="542"/>
    </row>
    <row r="442" spans="1:2" x14ac:dyDescent="0.2">
      <c r="A442" s="628"/>
      <c r="B442" s="542"/>
    </row>
    <row r="443" spans="1:2" x14ac:dyDescent="0.2">
      <c r="A443" s="628"/>
      <c r="B443" s="542"/>
    </row>
    <row r="444" spans="1:2" x14ac:dyDescent="0.2">
      <c r="A444" s="628"/>
      <c r="B444" s="542"/>
    </row>
    <row r="445" spans="1:2" x14ac:dyDescent="0.2">
      <c r="A445" s="628"/>
      <c r="B445" s="542"/>
    </row>
    <row r="446" spans="1:2" x14ac:dyDescent="0.2">
      <c r="A446" s="628"/>
      <c r="B446" s="542"/>
    </row>
    <row r="447" spans="1:2" x14ac:dyDescent="0.2">
      <c r="A447" s="628"/>
      <c r="B447" s="542"/>
    </row>
    <row r="448" spans="1:2" x14ac:dyDescent="0.2">
      <c r="A448" s="628"/>
      <c r="B448" s="542"/>
    </row>
    <row r="449" spans="1:2" x14ac:dyDescent="0.2">
      <c r="A449" s="628"/>
      <c r="B449" s="542"/>
    </row>
    <row r="450" spans="1:2" x14ac:dyDescent="0.2">
      <c r="A450" s="628"/>
      <c r="B450" s="542"/>
    </row>
    <row r="451" spans="1:2" x14ac:dyDescent="0.2">
      <c r="A451" s="628"/>
      <c r="B451" s="542"/>
    </row>
    <row r="452" spans="1:2" x14ac:dyDescent="0.2">
      <c r="A452" s="628"/>
      <c r="B452" s="542"/>
    </row>
    <row r="453" spans="1:2" x14ac:dyDescent="0.2">
      <c r="A453" s="628"/>
      <c r="B453" s="542"/>
    </row>
    <row r="454" spans="1:2" x14ac:dyDescent="0.2">
      <c r="A454" s="628"/>
      <c r="B454" s="542"/>
    </row>
    <row r="455" spans="1:2" x14ac:dyDescent="0.2">
      <c r="A455" s="628"/>
      <c r="B455" s="542"/>
    </row>
    <row r="456" spans="1:2" x14ac:dyDescent="0.2">
      <c r="A456" s="628"/>
      <c r="B456" s="542"/>
    </row>
    <row r="457" spans="1:2" x14ac:dyDescent="0.2">
      <c r="A457" s="628"/>
      <c r="B457" s="542"/>
    </row>
    <row r="458" spans="1:2" x14ac:dyDescent="0.2">
      <c r="A458" s="628"/>
      <c r="B458" s="542"/>
    </row>
    <row r="459" spans="1:2" x14ac:dyDescent="0.2">
      <c r="A459" s="628"/>
      <c r="B459" s="542"/>
    </row>
    <row r="460" spans="1:2" x14ac:dyDescent="0.2">
      <c r="A460" s="628"/>
      <c r="B460" s="542"/>
    </row>
    <row r="461" spans="1:2" x14ac:dyDescent="0.2">
      <c r="A461" s="628"/>
      <c r="B461" s="542"/>
    </row>
    <row r="462" spans="1:2" x14ac:dyDescent="0.2">
      <c r="A462" s="628"/>
      <c r="B462" s="542"/>
    </row>
    <row r="463" spans="1:2" x14ac:dyDescent="0.2">
      <c r="A463" s="628"/>
      <c r="B463" s="542"/>
    </row>
    <row r="464" spans="1:2" x14ac:dyDescent="0.2">
      <c r="A464" s="628"/>
      <c r="B464" s="542"/>
    </row>
    <row r="465" spans="1:2" x14ac:dyDescent="0.2">
      <c r="A465" s="628"/>
      <c r="B465" s="542"/>
    </row>
    <row r="466" spans="1:2" x14ac:dyDescent="0.2">
      <c r="A466" s="628"/>
      <c r="B466" s="542"/>
    </row>
    <row r="467" spans="1:2" x14ac:dyDescent="0.2">
      <c r="A467" s="628"/>
      <c r="B467" s="542"/>
    </row>
    <row r="468" spans="1:2" x14ac:dyDescent="0.2">
      <c r="A468" s="628"/>
      <c r="B468" s="542"/>
    </row>
    <row r="469" spans="1:2" x14ac:dyDescent="0.2">
      <c r="A469" s="628"/>
      <c r="B469" s="542"/>
    </row>
    <row r="470" spans="1:2" x14ac:dyDescent="0.2">
      <c r="A470" s="628"/>
      <c r="B470" s="542"/>
    </row>
    <row r="471" spans="1:2" x14ac:dyDescent="0.2">
      <c r="A471" s="628"/>
      <c r="B471" s="542"/>
    </row>
    <row r="472" spans="1:2" x14ac:dyDescent="0.2">
      <c r="A472" s="628"/>
      <c r="B472" s="542"/>
    </row>
    <row r="473" spans="1:2" x14ac:dyDescent="0.2">
      <c r="A473" s="628"/>
      <c r="B473" s="542"/>
    </row>
    <row r="474" spans="1:2" x14ac:dyDescent="0.2">
      <c r="A474" s="628"/>
      <c r="B474" s="542"/>
    </row>
    <row r="475" spans="1:2" x14ac:dyDescent="0.2">
      <c r="A475" s="628"/>
      <c r="B475" s="542"/>
    </row>
    <row r="476" spans="1:2" x14ac:dyDescent="0.2">
      <c r="A476" s="628"/>
      <c r="B476" s="542"/>
    </row>
    <row r="477" spans="1:2" x14ac:dyDescent="0.2">
      <c r="A477" s="628"/>
      <c r="B477" s="542"/>
    </row>
    <row r="478" spans="1:2" x14ac:dyDescent="0.2">
      <c r="A478" s="628"/>
      <c r="B478" s="542"/>
    </row>
    <row r="479" spans="1:2" x14ac:dyDescent="0.2">
      <c r="A479" s="628"/>
      <c r="B479" s="542"/>
    </row>
    <row r="480" spans="1:2" x14ac:dyDescent="0.2">
      <c r="A480" s="628"/>
      <c r="B480" s="542"/>
    </row>
    <row r="481" spans="1:2" x14ac:dyDescent="0.2">
      <c r="A481" s="628"/>
      <c r="B481" s="542"/>
    </row>
    <row r="482" spans="1:2" x14ac:dyDescent="0.2">
      <c r="A482" s="628"/>
      <c r="B482" s="542"/>
    </row>
    <row r="483" spans="1:2" x14ac:dyDescent="0.2">
      <c r="A483" s="628"/>
      <c r="B483" s="542"/>
    </row>
    <row r="484" spans="1:2" x14ac:dyDescent="0.2">
      <c r="A484" s="628"/>
      <c r="B484" s="542"/>
    </row>
    <row r="485" spans="1:2" x14ac:dyDescent="0.2">
      <c r="A485" s="628"/>
      <c r="B485" s="542"/>
    </row>
    <row r="486" spans="1:2" x14ac:dyDescent="0.2">
      <c r="A486" s="628"/>
      <c r="B486" s="542"/>
    </row>
    <row r="487" spans="1:2" x14ac:dyDescent="0.2">
      <c r="A487" s="628"/>
      <c r="B487" s="542"/>
    </row>
    <row r="488" spans="1:2" x14ac:dyDescent="0.2">
      <c r="A488" s="628"/>
      <c r="B488" s="542"/>
    </row>
  </sheetData>
  <autoFilter ref="A1:B283" xr:uid="{00000000-0009-0000-0000-00000C000000}"/>
  <sortState xmlns:xlrd2="http://schemas.microsoft.com/office/spreadsheetml/2017/richdata2" ref="A2:B132">
    <sortCondition ref="A2:A132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>
    <pageSetUpPr fitToPage="1"/>
  </sheetPr>
  <dimension ref="A1:D272"/>
  <sheetViews>
    <sheetView zoomScaleNormal="100" workbookViewId="0">
      <pane xSplit="1" ySplit="1" topLeftCell="B2" activePane="bottomRight" state="frozen"/>
      <selection activeCell="B9" sqref="B9:C9"/>
      <selection pane="topRight" activeCell="B9" sqref="B9:C9"/>
      <selection pane="bottomLeft" activeCell="B9" sqref="B9:C9"/>
      <selection pane="bottomRight" activeCell="J8" sqref="J8"/>
    </sheetView>
  </sheetViews>
  <sheetFormatPr baseColWidth="10" defaultRowHeight="12.75" x14ac:dyDescent="0.2"/>
  <cols>
    <col min="1" max="1" width="9.85546875" style="520" bestFit="1" customWidth="1"/>
    <col min="2" max="2" width="15.42578125" style="531" bestFit="1" customWidth="1"/>
    <col min="3" max="3" width="8.85546875" style="520" bestFit="1" customWidth="1"/>
    <col min="4" max="4" width="9.85546875" style="520" bestFit="1" customWidth="1"/>
    <col min="9" max="9" width="12.140625" customWidth="1"/>
  </cols>
  <sheetData>
    <row r="1" spans="1:4" ht="15" customHeight="1" x14ac:dyDescent="0.2">
      <c r="A1" s="515" t="s">
        <v>106</v>
      </c>
      <c r="B1" s="516" t="s">
        <v>107</v>
      </c>
      <c r="C1" s="515" t="s">
        <v>108</v>
      </c>
      <c r="D1" s="515" t="s">
        <v>47</v>
      </c>
    </row>
    <row r="2" spans="1:4" x14ac:dyDescent="0.2">
      <c r="A2" s="520" t="s">
        <v>2134</v>
      </c>
      <c r="B2" s="531">
        <v>396580000</v>
      </c>
      <c r="C2" s="520">
        <v>76.150000000000006</v>
      </c>
      <c r="D2" s="520" t="s">
        <v>61</v>
      </c>
    </row>
    <row r="3" spans="1:4" x14ac:dyDescent="0.2">
      <c r="A3" s="520" t="s">
        <v>2161</v>
      </c>
      <c r="B3" s="531">
        <v>397780000</v>
      </c>
      <c r="C3" s="520">
        <v>76.150000000000006</v>
      </c>
      <c r="D3" s="520" t="s">
        <v>61</v>
      </c>
    </row>
    <row r="4" spans="1:4" x14ac:dyDescent="0.2">
      <c r="A4" s="520" t="s">
        <v>2141</v>
      </c>
      <c r="B4" s="531">
        <v>402280000</v>
      </c>
      <c r="C4" s="520">
        <v>76.150000000000006</v>
      </c>
      <c r="D4" s="520" t="s">
        <v>61</v>
      </c>
    </row>
    <row r="5" spans="1:4" x14ac:dyDescent="0.2">
      <c r="A5" s="520" t="s">
        <v>2145</v>
      </c>
      <c r="B5" s="531">
        <v>378253500</v>
      </c>
      <c r="C5" s="520">
        <v>77.25</v>
      </c>
      <c r="D5" s="520" t="s">
        <v>901</v>
      </c>
    </row>
    <row r="6" spans="1:4" x14ac:dyDescent="0.2">
      <c r="A6" s="520" t="s">
        <v>2146</v>
      </c>
      <c r="B6" s="531">
        <v>274861600</v>
      </c>
      <c r="C6" s="520">
        <v>64</v>
      </c>
      <c r="D6" s="520" t="s">
        <v>901</v>
      </c>
    </row>
    <row r="7" spans="1:4" x14ac:dyDescent="0.2">
      <c r="A7" s="518" t="s">
        <v>2147</v>
      </c>
      <c r="B7" s="548">
        <v>317054400</v>
      </c>
      <c r="C7" s="518">
        <v>75.5</v>
      </c>
      <c r="D7" s="519" t="s">
        <v>901</v>
      </c>
    </row>
    <row r="8" spans="1:4" x14ac:dyDescent="0.2">
      <c r="A8" s="518" t="s">
        <v>2148</v>
      </c>
      <c r="B8" s="548">
        <v>321422000</v>
      </c>
      <c r="C8" s="518">
        <v>75.91</v>
      </c>
      <c r="D8" s="519" t="s">
        <v>901</v>
      </c>
    </row>
    <row r="9" spans="1:4" x14ac:dyDescent="0.2">
      <c r="A9" s="518" t="s">
        <v>2149</v>
      </c>
      <c r="B9" s="548">
        <v>271022000</v>
      </c>
      <c r="C9" s="518">
        <v>64</v>
      </c>
      <c r="D9" s="519" t="s">
        <v>901</v>
      </c>
    </row>
    <row r="10" spans="1:4" x14ac:dyDescent="0.2">
      <c r="A10" s="518" t="s">
        <v>2150</v>
      </c>
      <c r="B10" s="548">
        <v>368607900</v>
      </c>
      <c r="C10" s="518">
        <v>76.150000000000006</v>
      </c>
      <c r="D10" s="519" t="s">
        <v>901</v>
      </c>
    </row>
    <row r="11" spans="1:4" x14ac:dyDescent="0.2">
      <c r="A11" s="518" t="s">
        <v>2151</v>
      </c>
      <c r="B11" s="548">
        <v>327937000</v>
      </c>
      <c r="C11" s="518">
        <v>75.5</v>
      </c>
      <c r="D11" s="519" t="s">
        <v>901</v>
      </c>
    </row>
    <row r="12" spans="1:4" x14ac:dyDescent="0.2">
      <c r="A12" s="518" t="s">
        <v>2152</v>
      </c>
      <c r="B12" s="548">
        <v>315649200</v>
      </c>
      <c r="C12" s="518">
        <v>76.3</v>
      </c>
      <c r="D12" s="519" t="s">
        <v>901</v>
      </c>
    </row>
    <row r="13" spans="1:4" x14ac:dyDescent="0.2">
      <c r="A13" s="518" t="s">
        <v>2153</v>
      </c>
      <c r="B13" s="548">
        <v>268765600</v>
      </c>
      <c r="C13" s="518">
        <v>64</v>
      </c>
      <c r="D13" s="519" t="s">
        <v>901</v>
      </c>
    </row>
    <row r="14" spans="1:4" ht="12" customHeight="1" x14ac:dyDescent="0.2">
      <c r="A14" s="518" t="s">
        <v>2154</v>
      </c>
      <c r="B14" s="548">
        <v>323229900</v>
      </c>
      <c r="C14" s="518">
        <v>76.13</v>
      </c>
      <c r="D14" s="519" t="s">
        <v>901</v>
      </c>
    </row>
    <row r="15" spans="1:4" x14ac:dyDescent="0.2">
      <c r="A15" s="518" t="s">
        <v>2155</v>
      </c>
      <c r="B15" s="548">
        <v>354753529</v>
      </c>
      <c r="C15" s="518">
        <v>75.5</v>
      </c>
      <c r="D15" s="519" t="s">
        <v>901</v>
      </c>
    </row>
    <row r="16" spans="1:4" x14ac:dyDescent="0.2">
      <c r="A16" s="518" t="s">
        <v>2156</v>
      </c>
      <c r="B16" s="548">
        <v>316900364</v>
      </c>
      <c r="C16" s="518">
        <v>76.3</v>
      </c>
      <c r="D16" s="519" t="s">
        <v>901</v>
      </c>
    </row>
    <row r="17" spans="1:4" x14ac:dyDescent="0.2">
      <c r="A17" s="518" t="s">
        <v>2157</v>
      </c>
      <c r="B17" s="548">
        <v>267787400</v>
      </c>
      <c r="C17" s="518">
        <v>64</v>
      </c>
      <c r="D17" s="519" t="s">
        <v>901</v>
      </c>
    </row>
    <row r="18" spans="1:4" x14ac:dyDescent="0.2">
      <c r="A18" s="518" t="s">
        <v>2135</v>
      </c>
      <c r="B18" s="548">
        <v>367033815</v>
      </c>
      <c r="C18" s="518">
        <v>76.150000000000006</v>
      </c>
      <c r="D18" s="519" t="s">
        <v>901</v>
      </c>
    </row>
    <row r="19" spans="1:4" x14ac:dyDescent="0.2">
      <c r="A19" s="518" t="s">
        <v>2158</v>
      </c>
      <c r="B19" s="548">
        <v>357547679</v>
      </c>
      <c r="C19" s="518">
        <v>75.5</v>
      </c>
      <c r="D19" s="519" t="s">
        <v>901</v>
      </c>
    </row>
    <row r="20" spans="1:4" x14ac:dyDescent="0.2">
      <c r="A20" s="520" t="s">
        <v>2159</v>
      </c>
      <c r="B20" s="531">
        <v>322279331</v>
      </c>
      <c r="C20" s="520">
        <v>76.3</v>
      </c>
      <c r="D20" s="520" t="s">
        <v>901</v>
      </c>
    </row>
    <row r="21" spans="1:4" x14ac:dyDescent="0.2">
      <c r="A21" s="520" t="s">
        <v>2160</v>
      </c>
      <c r="B21" s="531">
        <v>267749367</v>
      </c>
      <c r="C21" s="520">
        <v>63.91</v>
      </c>
      <c r="D21" s="520" t="s">
        <v>901</v>
      </c>
    </row>
    <row r="22" spans="1:4" x14ac:dyDescent="0.2">
      <c r="A22" s="520" t="s">
        <v>2162</v>
      </c>
      <c r="B22" s="531">
        <v>316278000</v>
      </c>
      <c r="C22" s="520">
        <v>75.59</v>
      </c>
      <c r="D22" s="520" t="s">
        <v>901</v>
      </c>
    </row>
    <row r="23" spans="1:4" x14ac:dyDescent="0.2">
      <c r="A23" s="520" t="s">
        <v>2163</v>
      </c>
      <c r="B23" s="531">
        <v>319585600</v>
      </c>
      <c r="C23" s="520">
        <v>75.91</v>
      </c>
      <c r="D23" s="520" t="s">
        <v>901</v>
      </c>
    </row>
    <row r="24" spans="1:4" x14ac:dyDescent="0.2">
      <c r="A24" s="520" t="s">
        <v>2164</v>
      </c>
      <c r="B24" s="531">
        <v>268387400</v>
      </c>
      <c r="C24" s="520">
        <v>63.91</v>
      </c>
      <c r="D24" s="520" t="s">
        <v>901</v>
      </c>
    </row>
    <row r="25" spans="1:4" x14ac:dyDescent="0.2">
      <c r="A25" s="520" t="s">
        <v>2136</v>
      </c>
      <c r="B25" s="531">
        <v>366097000</v>
      </c>
      <c r="C25" s="520">
        <v>76.150000000000006</v>
      </c>
      <c r="D25" s="520" t="s">
        <v>901</v>
      </c>
    </row>
    <row r="26" spans="1:4" x14ac:dyDescent="0.2">
      <c r="A26" s="520" t="s">
        <v>2165</v>
      </c>
      <c r="B26" s="531">
        <v>336696000</v>
      </c>
      <c r="C26" s="520">
        <v>75.5</v>
      </c>
      <c r="D26" s="520" t="s">
        <v>901</v>
      </c>
    </row>
    <row r="27" spans="1:4" x14ac:dyDescent="0.2">
      <c r="A27" s="520" t="s">
        <v>2166</v>
      </c>
      <c r="B27" s="531">
        <v>319885600</v>
      </c>
      <c r="C27" s="520">
        <v>75.91</v>
      </c>
      <c r="D27" s="520" t="s">
        <v>901</v>
      </c>
    </row>
    <row r="28" spans="1:4" x14ac:dyDescent="0.2">
      <c r="A28" s="520" t="s">
        <v>2167</v>
      </c>
      <c r="B28" s="531">
        <v>267480517</v>
      </c>
      <c r="C28" s="520">
        <v>63.91</v>
      </c>
      <c r="D28" s="520" t="s">
        <v>901</v>
      </c>
    </row>
    <row r="29" spans="1:4" x14ac:dyDescent="0.2">
      <c r="A29" s="520" t="s">
        <v>2168</v>
      </c>
      <c r="B29" s="531">
        <v>324429900</v>
      </c>
      <c r="C29" s="520">
        <v>76.13</v>
      </c>
      <c r="D29" s="520" t="s">
        <v>901</v>
      </c>
    </row>
    <row r="30" spans="1:4" x14ac:dyDescent="0.2">
      <c r="A30" s="520" t="s">
        <v>2169</v>
      </c>
      <c r="B30" s="531">
        <v>324145700</v>
      </c>
      <c r="C30" s="520">
        <v>75.59</v>
      </c>
      <c r="D30" s="520" t="s">
        <v>901</v>
      </c>
    </row>
    <row r="31" spans="1:4" x14ac:dyDescent="0.2">
      <c r="A31" s="520" t="s">
        <v>2170</v>
      </c>
      <c r="B31" s="531">
        <v>363010000</v>
      </c>
      <c r="C31" s="520">
        <v>75.91</v>
      </c>
      <c r="D31" s="520" t="s">
        <v>901</v>
      </c>
    </row>
    <row r="32" spans="1:4" x14ac:dyDescent="0.2">
      <c r="A32" s="520" t="s">
        <v>2171</v>
      </c>
      <c r="B32" s="531">
        <v>268571788</v>
      </c>
      <c r="C32" s="520">
        <v>63.91</v>
      </c>
      <c r="D32" s="520" t="s">
        <v>901</v>
      </c>
    </row>
    <row r="33" spans="1:4" x14ac:dyDescent="0.2">
      <c r="A33" s="520" t="s">
        <v>2172</v>
      </c>
      <c r="B33" s="531">
        <v>398680000</v>
      </c>
      <c r="C33" s="520">
        <v>76.150000000000006</v>
      </c>
      <c r="D33" s="520" t="s">
        <v>901</v>
      </c>
    </row>
    <row r="34" spans="1:4" x14ac:dyDescent="0.2">
      <c r="A34" s="520" t="s">
        <v>2173</v>
      </c>
      <c r="B34" s="531">
        <v>317642600</v>
      </c>
      <c r="C34" s="520">
        <v>75.5</v>
      </c>
      <c r="D34" s="520" t="s">
        <v>901</v>
      </c>
    </row>
    <row r="35" spans="1:4" x14ac:dyDescent="0.2">
      <c r="A35" s="520" t="s">
        <v>2174</v>
      </c>
      <c r="B35" s="531">
        <v>318967400</v>
      </c>
      <c r="C35" s="520">
        <v>76.3</v>
      </c>
      <c r="D35" s="520" t="s">
        <v>901</v>
      </c>
    </row>
    <row r="36" spans="1:4" x14ac:dyDescent="0.2">
      <c r="A36" s="520" t="s">
        <v>2175</v>
      </c>
      <c r="B36" s="531">
        <v>269287400</v>
      </c>
      <c r="C36" s="520">
        <v>64</v>
      </c>
      <c r="D36" s="520" t="s">
        <v>901</v>
      </c>
    </row>
    <row r="37" spans="1:4" x14ac:dyDescent="0.2">
      <c r="A37" s="520" t="s">
        <v>2176</v>
      </c>
      <c r="B37" s="531">
        <v>318178200</v>
      </c>
      <c r="C37" s="520">
        <v>76.150000000000006</v>
      </c>
      <c r="D37" s="520" t="s">
        <v>901</v>
      </c>
    </row>
    <row r="38" spans="1:4" x14ac:dyDescent="0.2">
      <c r="A38" s="520" t="s">
        <v>2177</v>
      </c>
      <c r="B38" s="531">
        <v>369665000</v>
      </c>
      <c r="C38" s="520">
        <v>75.5</v>
      </c>
      <c r="D38" s="520" t="s">
        <v>901</v>
      </c>
    </row>
    <row r="39" spans="1:4" x14ac:dyDescent="0.2">
      <c r="A39" s="520" t="s">
        <v>2178</v>
      </c>
      <c r="B39" s="531">
        <v>319267400</v>
      </c>
      <c r="C39" s="520">
        <v>75.91</v>
      </c>
      <c r="D39" s="520" t="s">
        <v>901</v>
      </c>
    </row>
    <row r="40" spans="1:4" x14ac:dyDescent="0.2">
      <c r="A40" s="520" t="s">
        <v>2179</v>
      </c>
      <c r="B40" s="531">
        <v>269587400</v>
      </c>
      <c r="C40" s="520">
        <v>64</v>
      </c>
      <c r="D40" s="520" t="s">
        <v>901</v>
      </c>
    </row>
    <row r="41" spans="1:4" x14ac:dyDescent="0.2">
      <c r="A41" s="520" t="s">
        <v>2180</v>
      </c>
      <c r="B41" s="531">
        <v>318478200</v>
      </c>
      <c r="C41" s="520">
        <v>76.13</v>
      </c>
      <c r="D41" s="520" t="s">
        <v>901</v>
      </c>
    </row>
    <row r="42" spans="1:4" x14ac:dyDescent="0.2">
      <c r="A42" s="520" t="s">
        <v>2181</v>
      </c>
      <c r="B42" s="531">
        <v>322778000</v>
      </c>
      <c r="C42" s="520">
        <v>75.5</v>
      </c>
      <c r="D42" s="520" t="s">
        <v>901</v>
      </c>
    </row>
    <row r="43" spans="1:4" x14ac:dyDescent="0.2">
      <c r="A43" s="520" t="s">
        <v>2182</v>
      </c>
      <c r="B43" s="531">
        <v>324153997</v>
      </c>
      <c r="C43" s="520">
        <v>75.91</v>
      </c>
      <c r="D43" s="520" t="s">
        <v>901</v>
      </c>
    </row>
    <row r="44" spans="1:4" x14ac:dyDescent="0.2">
      <c r="A44" s="520" t="s">
        <v>2183</v>
      </c>
      <c r="B44" s="531">
        <v>269887400</v>
      </c>
      <c r="C44" s="520">
        <v>63.91</v>
      </c>
      <c r="D44" s="520" t="s">
        <v>901</v>
      </c>
    </row>
    <row r="45" spans="1:4" x14ac:dyDescent="0.2">
      <c r="A45" s="520" t="s">
        <v>2184</v>
      </c>
      <c r="B45" s="531">
        <v>318778200</v>
      </c>
      <c r="C45" s="520">
        <v>76.13</v>
      </c>
      <c r="D45" s="520" t="s">
        <v>901</v>
      </c>
    </row>
    <row r="46" spans="1:4" x14ac:dyDescent="0.2">
      <c r="A46" s="520" t="s">
        <v>2185</v>
      </c>
      <c r="B46" s="531">
        <v>330637000</v>
      </c>
      <c r="C46" s="520">
        <v>75.5</v>
      </c>
      <c r="D46" s="520" t="s">
        <v>901</v>
      </c>
    </row>
    <row r="47" spans="1:4" x14ac:dyDescent="0.2">
      <c r="A47" s="520" t="s">
        <v>2186</v>
      </c>
      <c r="B47" s="531">
        <v>324422000</v>
      </c>
      <c r="C47" s="520">
        <v>75.91</v>
      </c>
      <c r="D47" s="520" t="s">
        <v>901</v>
      </c>
    </row>
    <row r="48" spans="1:4" x14ac:dyDescent="0.2">
      <c r="A48" s="520" t="s">
        <v>2187</v>
      </c>
      <c r="B48" s="531">
        <v>270187400</v>
      </c>
      <c r="C48" s="520">
        <v>63.91</v>
      </c>
      <c r="D48" s="520" t="s">
        <v>901</v>
      </c>
    </row>
    <row r="49" spans="1:4" x14ac:dyDescent="0.2">
      <c r="A49" s="520" t="s">
        <v>2188</v>
      </c>
      <c r="B49" s="531">
        <v>365612500</v>
      </c>
      <c r="C49" s="520">
        <v>76.150000000000006</v>
      </c>
      <c r="D49" s="520" t="s">
        <v>901</v>
      </c>
    </row>
    <row r="50" spans="1:4" x14ac:dyDescent="0.2">
      <c r="A50" s="520" t="s">
        <v>2189</v>
      </c>
      <c r="B50" s="531">
        <v>318842600</v>
      </c>
      <c r="C50" s="520">
        <v>75.59</v>
      </c>
      <c r="D50" s="520" t="s">
        <v>901</v>
      </c>
    </row>
    <row r="51" spans="1:4" x14ac:dyDescent="0.2">
      <c r="A51" s="520" t="s">
        <v>2190</v>
      </c>
      <c r="B51" s="531">
        <v>318649200</v>
      </c>
      <c r="C51" s="520">
        <v>76.3</v>
      </c>
      <c r="D51" s="520" t="s">
        <v>901</v>
      </c>
    </row>
    <row r="52" spans="1:4" x14ac:dyDescent="0.2">
      <c r="A52" s="520" t="s">
        <v>2191</v>
      </c>
      <c r="B52" s="531">
        <v>270174980</v>
      </c>
      <c r="C52" s="520">
        <v>64</v>
      </c>
      <c r="D52" s="520" t="s">
        <v>901</v>
      </c>
    </row>
    <row r="53" spans="1:4" x14ac:dyDescent="0.2">
      <c r="A53" s="520" t="s">
        <v>2192</v>
      </c>
      <c r="B53" s="531">
        <v>366429900</v>
      </c>
      <c r="C53" s="520">
        <v>76.150000000000006</v>
      </c>
      <c r="D53" s="520" t="s">
        <v>901</v>
      </c>
    </row>
    <row r="54" spans="1:4" x14ac:dyDescent="0.2">
      <c r="A54" s="520" t="s">
        <v>2193</v>
      </c>
      <c r="B54" s="531">
        <v>323678000</v>
      </c>
      <c r="C54" s="520">
        <v>75.59</v>
      </c>
      <c r="D54" s="520" t="s">
        <v>901</v>
      </c>
    </row>
    <row r="55" spans="1:4" x14ac:dyDescent="0.2">
      <c r="A55" s="520" t="s">
        <v>2194</v>
      </c>
      <c r="B55" s="531">
        <v>320467400</v>
      </c>
      <c r="C55" s="520">
        <v>75.91</v>
      </c>
      <c r="D55" s="520" t="s">
        <v>901</v>
      </c>
    </row>
    <row r="56" spans="1:4" x14ac:dyDescent="0.2">
      <c r="A56" s="520" t="s">
        <v>2195</v>
      </c>
      <c r="B56" s="531">
        <v>270787400</v>
      </c>
      <c r="C56" s="520">
        <v>63.91</v>
      </c>
      <c r="D56" s="520" t="s">
        <v>901</v>
      </c>
    </row>
    <row r="57" spans="1:4" x14ac:dyDescent="0.2">
      <c r="A57" s="520" t="s">
        <v>2196</v>
      </c>
      <c r="B57" s="531">
        <v>324246000</v>
      </c>
      <c r="C57" s="520">
        <v>76.150000000000006</v>
      </c>
      <c r="D57" s="520" t="s">
        <v>901</v>
      </c>
    </row>
    <row r="58" spans="1:4" x14ac:dyDescent="0.2">
      <c r="A58" s="520" t="s">
        <v>2197</v>
      </c>
      <c r="B58" s="531">
        <v>323978000</v>
      </c>
      <c r="C58" s="520">
        <v>75.5</v>
      </c>
      <c r="D58" s="520" t="s">
        <v>901</v>
      </c>
    </row>
    <row r="59" spans="1:4" x14ac:dyDescent="0.2">
      <c r="A59" s="520" t="s">
        <v>2198</v>
      </c>
      <c r="B59" s="531">
        <v>320767400</v>
      </c>
      <c r="C59" s="520">
        <v>76.3</v>
      </c>
      <c r="D59" s="520" t="s">
        <v>901</v>
      </c>
    </row>
    <row r="60" spans="1:4" x14ac:dyDescent="0.2">
      <c r="A60" s="520" t="s">
        <v>2199</v>
      </c>
      <c r="B60" s="531">
        <v>269809200</v>
      </c>
      <c r="C60" s="520">
        <v>63.91</v>
      </c>
      <c r="D60" s="520" t="s">
        <v>901</v>
      </c>
    </row>
    <row r="61" spans="1:4" x14ac:dyDescent="0.2">
      <c r="A61" s="520" t="s">
        <v>2137</v>
      </c>
      <c r="B61" s="531">
        <v>368797000</v>
      </c>
      <c r="C61" s="520">
        <v>76.150000000000006</v>
      </c>
      <c r="D61" s="520" t="s">
        <v>901</v>
      </c>
    </row>
    <row r="62" spans="1:4" x14ac:dyDescent="0.2">
      <c r="A62" s="520" t="s">
        <v>2200</v>
      </c>
      <c r="B62" s="531">
        <v>319742600</v>
      </c>
      <c r="C62" s="520">
        <v>75.59</v>
      </c>
      <c r="D62" s="520" t="s">
        <v>901</v>
      </c>
    </row>
    <row r="63" spans="1:4" x14ac:dyDescent="0.2">
      <c r="A63" s="520" t="s">
        <v>2201</v>
      </c>
      <c r="B63" s="531">
        <v>325622000</v>
      </c>
      <c r="C63" s="520">
        <v>75.91</v>
      </c>
      <c r="D63" s="520" t="s">
        <v>901</v>
      </c>
    </row>
    <row r="64" spans="1:4" x14ac:dyDescent="0.2">
      <c r="A64" s="520" t="s">
        <v>2202</v>
      </c>
      <c r="B64" s="531">
        <v>271387397</v>
      </c>
      <c r="C64" s="520">
        <v>64</v>
      </c>
      <c r="D64" s="520" t="s">
        <v>901</v>
      </c>
    </row>
    <row r="65" spans="1:4" x14ac:dyDescent="0.2">
      <c r="A65" s="518" t="s">
        <v>2203</v>
      </c>
      <c r="B65" s="548">
        <v>324846000</v>
      </c>
      <c r="C65" s="518">
        <v>76.13</v>
      </c>
      <c r="D65" s="519" t="s">
        <v>901</v>
      </c>
    </row>
    <row r="66" spans="1:4" x14ac:dyDescent="0.2">
      <c r="A66" s="518" t="s">
        <v>2204</v>
      </c>
      <c r="B66" s="548">
        <v>321554400</v>
      </c>
      <c r="C66" s="518">
        <v>75.59</v>
      </c>
      <c r="D66" s="519" t="s">
        <v>901</v>
      </c>
    </row>
    <row r="67" spans="1:4" x14ac:dyDescent="0.2">
      <c r="A67" s="520" t="s">
        <v>2205</v>
      </c>
      <c r="B67" s="531">
        <v>325922000</v>
      </c>
      <c r="C67" s="520">
        <v>75.91</v>
      </c>
      <c r="D67" s="520" t="s">
        <v>901</v>
      </c>
    </row>
    <row r="68" spans="1:4" x14ac:dyDescent="0.2">
      <c r="A68" s="520" t="s">
        <v>2206</v>
      </c>
      <c r="B68" s="531">
        <v>271687400</v>
      </c>
      <c r="C68" s="520">
        <v>63.91</v>
      </c>
      <c r="D68" s="520" t="s">
        <v>901</v>
      </c>
    </row>
    <row r="69" spans="1:4" x14ac:dyDescent="0.2">
      <c r="A69" s="520" t="s">
        <v>2138</v>
      </c>
      <c r="B69" s="531">
        <v>369397000</v>
      </c>
      <c r="C69" s="520">
        <v>76.150000000000006</v>
      </c>
      <c r="D69" s="520" t="s">
        <v>901</v>
      </c>
    </row>
    <row r="70" spans="1:4" x14ac:dyDescent="0.2">
      <c r="A70" s="520" t="s">
        <v>2207</v>
      </c>
      <c r="B70" s="531">
        <v>320342600</v>
      </c>
      <c r="C70" s="520">
        <v>75.59</v>
      </c>
      <c r="D70" s="520" t="s">
        <v>901</v>
      </c>
    </row>
    <row r="71" spans="1:4" x14ac:dyDescent="0.2">
      <c r="A71" s="520" t="s">
        <v>2208</v>
      </c>
      <c r="B71" s="531">
        <v>321667400</v>
      </c>
      <c r="C71" s="520">
        <v>75.91</v>
      </c>
      <c r="D71" s="520" t="s">
        <v>901</v>
      </c>
    </row>
    <row r="72" spans="1:4" x14ac:dyDescent="0.2">
      <c r="A72" s="520" t="s">
        <v>2209</v>
      </c>
      <c r="B72" s="531">
        <v>271987400</v>
      </c>
      <c r="C72" s="520">
        <v>64</v>
      </c>
      <c r="D72" s="520" t="s">
        <v>901</v>
      </c>
    </row>
    <row r="73" spans="1:4" x14ac:dyDescent="0.2">
      <c r="A73" s="520" t="s">
        <v>2139</v>
      </c>
      <c r="B73" s="531">
        <v>374414700</v>
      </c>
      <c r="C73" s="520">
        <v>76.150000000000006</v>
      </c>
      <c r="D73" s="520" t="s">
        <v>901</v>
      </c>
    </row>
    <row r="74" spans="1:4" x14ac:dyDescent="0.2">
      <c r="A74" s="520" t="s">
        <v>2210</v>
      </c>
      <c r="B74" s="531">
        <v>364451074</v>
      </c>
      <c r="C74" s="520">
        <v>75.59</v>
      </c>
      <c r="D74" s="520" t="s">
        <v>901</v>
      </c>
    </row>
    <row r="75" spans="1:4" x14ac:dyDescent="0.2">
      <c r="A75" s="520" t="s">
        <v>2211</v>
      </c>
      <c r="B75" s="531">
        <v>323485600</v>
      </c>
      <c r="C75" s="520">
        <v>75.91</v>
      </c>
      <c r="D75" s="520" t="s">
        <v>901</v>
      </c>
    </row>
    <row r="76" spans="1:4" x14ac:dyDescent="0.2">
      <c r="A76" s="520" t="s">
        <v>2212</v>
      </c>
      <c r="B76" s="531">
        <v>275755605</v>
      </c>
      <c r="C76" s="520">
        <v>63.91</v>
      </c>
      <c r="D76" s="520" t="s">
        <v>901</v>
      </c>
    </row>
    <row r="77" spans="1:4" x14ac:dyDescent="0.2">
      <c r="A77" s="520" t="s">
        <v>2140</v>
      </c>
      <c r="B77" s="531">
        <v>401980000</v>
      </c>
      <c r="C77" s="520">
        <v>76.150000000000006</v>
      </c>
      <c r="D77" s="520" t="s">
        <v>901</v>
      </c>
    </row>
    <row r="78" spans="1:4" x14ac:dyDescent="0.2">
      <c r="A78" s="520" t="s">
        <v>2213</v>
      </c>
      <c r="B78" s="531">
        <v>319430800</v>
      </c>
      <c r="C78" s="520">
        <v>75.59</v>
      </c>
      <c r="D78" s="520" t="s">
        <v>901</v>
      </c>
    </row>
    <row r="79" spans="1:4" x14ac:dyDescent="0.2">
      <c r="A79" s="520" t="s">
        <v>2214</v>
      </c>
      <c r="B79" s="531">
        <v>323785600</v>
      </c>
      <c r="C79" s="520">
        <v>76.3</v>
      </c>
      <c r="D79" s="520" t="s">
        <v>901</v>
      </c>
    </row>
    <row r="80" spans="1:4" x14ac:dyDescent="0.2">
      <c r="A80" s="520" t="s">
        <v>2215</v>
      </c>
      <c r="B80" s="531">
        <v>272587400</v>
      </c>
      <c r="C80" s="520">
        <v>64</v>
      </c>
      <c r="D80" s="520" t="s">
        <v>901</v>
      </c>
    </row>
    <row r="81" spans="1:4" x14ac:dyDescent="0.2">
      <c r="A81" s="520" t="s">
        <v>2216</v>
      </c>
      <c r="B81" s="531">
        <v>325778000</v>
      </c>
      <c r="C81" s="520">
        <v>75.5</v>
      </c>
      <c r="D81" s="520" t="s">
        <v>901</v>
      </c>
    </row>
    <row r="82" spans="1:4" x14ac:dyDescent="0.2">
      <c r="A82" s="520" t="s">
        <v>2217</v>
      </c>
      <c r="B82" s="531">
        <v>324331124</v>
      </c>
      <c r="C82" s="520">
        <v>75.91</v>
      </c>
      <c r="D82" s="520" t="s">
        <v>901</v>
      </c>
    </row>
    <row r="83" spans="1:4" x14ac:dyDescent="0.2">
      <c r="A83" s="520" t="s">
        <v>2218</v>
      </c>
      <c r="B83" s="531">
        <v>279165600</v>
      </c>
      <c r="C83" s="520">
        <v>63.91</v>
      </c>
      <c r="D83" s="520" t="s">
        <v>901</v>
      </c>
    </row>
    <row r="84" spans="1:4" x14ac:dyDescent="0.2">
      <c r="A84" s="520" t="s">
        <v>2142</v>
      </c>
      <c r="B84" s="531">
        <v>374104500</v>
      </c>
      <c r="C84" s="520">
        <v>76.13</v>
      </c>
      <c r="D84" s="520" t="s">
        <v>901</v>
      </c>
    </row>
    <row r="85" spans="1:4" x14ac:dyDescent="0.2">
      <c r="A85" s="520" t="s">
        <v>2219</v>
      </c>
      <c r="B85" s="531">
        <v>322490541</v>
      </c>
      <c r="C85" s="520">
        <v>75.59</v>
      </c>
      <c r="D85" s="520" t="s">
        <v>901</v>
      </c>
    </row>
    <row r="86" spans="1:4" x14ac:dyDescent="0.2">
      <c r="A86" s="520" t="s">
        <v>2220</v>
      </c>
      <c r="B86" s="531">
        <v>324385600</v>
      </c>
      <c r="C86" s="520">
        <v>75.91</v>
      </c>
      <c r="D86" s="520" t="s">
        <v>901</v>
      </c>
    </row>
    <row r="87" spans="1:4" x14ac:dyDescent="0.2">
      <c r="A87" s="520" t="s">
        <v>2221</v>
      </c>
      <c r="B87" s="531">
        <v>276841056</v>
      </c>
      <c r="C87" s="520">
        <v>63.91</v>
      </c>
      <c r="D87" s="520" t="s">
        <v>901</v>
      </c>
    </row>
    <row r="88" spans="1:4" x14ac:dyDescent="0.2">
      <c r="A88" s="520" t="s">
        <v>2143</v>
      </c>
      <c r="B88" s="531">
        <v>374704500</v>
      </c>
      <c r="C88" s="520">
        <v>76.150000000000006</v>
      </c>
      <c r="D88" s="520" t="s">
        <v>901</v>
      </c>
    </row>
    <row r="89" spans="1:4" x14ac:dyDescent="0.2">
      <c r="A89" s="520" t="s">
        <v>2222</v>
      </c>
      <c r="B89" s="531">
        <v>321842600</v>
      </c>
      <c r="C89" s="520">
        <v>60.9</v>
      </c>
      <c r="D89" s="520" t="s">
        <v>901</v>
      </c>
    </row>
    <row r="90" spans="1:4" x14ac:dyDescent="0.2">
      <c r="A90" s="520" t="s">
        <v>2223</v>
      </c>
      <c r="B90" s="531">
        <v>405660000</v>
      </c>
      <c r="C90" s="520">
        <v>76.3</v>
      </c>
      <c r="D90" s="520" t="s">
        <v>901</v>
      </c>
    </row>
    <row r="91" spans="1:4" x14ac:dyDescent="0.2">
      <c r="A91" s="520" t="s">
        <v>2224</v>
      </c>
      <c r="B91" s="531">
        <v>274765600</v>
      </c>
      <c r="C91" s="520">
        <v>63.91</v>
      </c>
      <c r="D91" s="520" t="s">
        <v>901</v>
      </c>
    </row>
    <row r="92" spans="1:4" x14ac:dyDescent="0.2">
      <c r="A92" s="520" t="s">
        <v>2144</v>
      </c>
      <c r="B92" s="531">
        <v>403180000</v>
      </c>
      <c r="C92" s="520">
        <v>76.150000000000006</v>
      </c>
      <c r="D92" s="520" t="s">
        <v>901</v>
      </c>
    </row>
    <row r="93" spans="1:4" x14ac:dyDescent="0.2">
      <c r="A93" s="520" t="s">
        <v>2225</v>
      </c>
      <c r="B93" s="531">
        <v>320630800</v>
      </c>
      <c r="C93" s="520">
        <v>75.59</v>
      </c>
      <c r="D93" s="520" t="s">
        <v>901</v>
      </c>
    </row>
    <row r="94" spans="1:4" x14ac:dyDescent="0.2">
      <c r="A94" s="520" t="s">
        <v>2226</v>
      </c>
      <c r="B94" s="531">
        <v>323467400</v>
      </c>
      <c r="C94" s="520">
        <v>75.91</v>
      </c>
      <c r="D94" s="520" t="s">
        <v>901</v>
      </c>
    </row>
    <row r="95" spans="1:4" x14ac:dyDescent="0.2">
      <c r="A95" s="520" t="s">
        <v>2227</v>
      </c>
      <c r="B95" s="531">
        <v>275065600</v>
      </c>
      <c r="C95" s="520">
        <v>63.91</v>
      </c>
      <c r="D95" s="520" t="s">
        <v>901</v>
      </c>
    </row>
    <row r="96" spans="1:4" x14ac:dyDescent="0.2">
      <c r="A96" s="520" t="s">
        <v>2228</v>
      </c>
      <c r="B96" s="531">
        <v>323155600</v>
      </c>
      <c r="C96" s="520">
        <v>76.13</v>
      </c>
      <c r="D96" s="520" t="s">
        <v>901</v>
      </c>
    </row>
    <row r="97" spans="1:4" x14ac:dyDescent="0.2">
      <c r="A97" s="520" t="s">
        <v>2229</v>
      </c>
      <c r="B97" s="531">
        <v>320930800</v>
      </c>
      <c r="C97" s="520">
        <v>75.59</v>
      </c>
      <c r="D97" s="520" t="s">
        <v>901</v>
      </c>
    </row>
    <row r="98" spans="1:4" x14ac:dyDescent="0.2">
      <c r="A98" s="520" t="s">
        <v>2230</v>
      </c>
      <c r="B98" s="531">
        <v>323767400</v>
      </c>
      <c r="C98" s="520">
        <v>76.3</v>
      </c>
      <c r="D98" s="520" t="s">
        <v>901</v>
      </c>
    </row>
    <row r="99" spans="1:4" x14ac:dyDescent="0.2">
      <c r="A99" s="520" t="s">
        <v>2231</v>
      </c>
      <c r="B99" s="531">
        <v>313711600</v>
      </c>
      <c r="C99" s="520">
        <v>63.91</v>
      </c>
      <c r="D99" s="520" t="s">
        <v>901</v>
      </c>
    </row>
    <row r="101" spans="1:4" x14ac:dyDescent="0.2">
      <c r="A101" s="520" t="s">
        <v>1425</v>
      </c>
      <c r="B101" s="531">
        <v>22000000</v>
      </c>
      <c r="C101" s="520">
        <v>0</v>
      </c>
      <c r="D101" s="520" t="s">
        <v>61</v>
      </c>
    </row>
    <row r="102" spans="1:4" x14ac:dyDescent="0.2">
      <c r="A102" s="520" t="s">
        <v>1540</v>
      </c>
      <c r="B102" s="531">
        <v>22000000</v>
      </c>
      <c r="C102" s="520">
        <v>0</v>
      </c>
      <c r="D102" s="520" t="s">
        <v>61</v>
      </c>
    </row>
    <row r="103" spans="1:4" x14ac:dyDescent="0.2">
      <c r="A103" s="520" t="s">
        <v>925</v>
      </c>
      <c r="B103" s="531">
        <v>22000000</v>
      </c>
      <c r="C103" s="520">
        <v>0</v>
      </c>
      <c r="D103" s="520" t="s">
        <v>61</v>
      </c>
    </row>
    <row r="104" spans="1:4" x14ac:dyDescent="0.2">
      <c r="A104" s="520" t="s">
        <v>1405</v>
      </c>
      <c r="B104" s="531">
        <v>22000000</v>
      </c>
      <c r="C104" s="520">
        <v>0</v>
      </c>
      <c r="D104" s="520" t="s">
        <v>901</v>
      </c>
    </row>
    <row r="105" spans="1:4" x14ac:dyDescent="0.2">
      <c r="A105" s="520" t="s">
        <v>1619</v>
      </c>
      <c r="B105" s="531">
        <v>22000000</v>
      </c>
      <c r="C105" s="520">
        <v>0</v>
      </c>
      <c r="D105" s="520" t="s">
        <v>901</v>
      </c>
    </row>
    <row r="106" spans="1:4" x14ac:dyDescent="0.2">
      <c r="A106" s="520" t="s">
        <v>3015</v>
      </c>
      <c r="B106" s="531">
        <v>22000000</v>
      </c>
      <c r="C106" s="520">
        <v>0</v>
      </c>
      <c r="D106" s="520" t="s">
        <v>901</v>
      </c>
    </row>
    <row r="107" spans="1:4" x14ac:dyDescent="0.2">
      <c r="A107" s="520" t="s">
        <v>3016</v>
      </c>
      <c r="B107" s="531">
        <v>22000000</v>
      </c>
      <c r="C107" s="520">
        <v>0</v>
      </c>
      <c r="D107" s="520" t="s">
        <v>901</v>
      </c>
    </row>
    <row r="108" spans="1:4" x14ac:dyDescent="0.2">
      <c r="A108" s="520" t="s">
        <v>2731</v>
      </c>
      <c r="B108" s="531">
        <v>22000000</v>
      </c>
      <c r="C108" s="520">
        <v>0</v>
      </c>
      <c r="D108" s="520" t="s">
        <v>901</v>
      </c>
    </row>
    <row r="109" spans="1:4" x14ac:dyDescent="0.2">
      <c r="A109" s="520" t="s">
        <v>2732</v>
      </c>
      <c r="B109" s="531">
        <v>22000000</v>
      </c>
      <c r="C109" s="520">
        <v>0</v>
      </c>
      <c r="D109" s="520" t="s">
        <v>901</v>
      </c>
    </row>
    <row r="110" spans="1:4" x14ac:dyDescent="0.2">
      <c r="A110" s="520" t="s">
        <v>3017</v>
      </c>
      <c r="B110" s="531">
        <v>22000000</v>
      </c>
      <c r="C110" s="520">
        <v>0</v>
      </c>
      <c r="D110" s="520" t="s">
        <v>901</v>
      </c>
    </row>
    <row r="111" spans="1:4" x14ac:dyDescent="0.2">
      <c r="A111" s="520" t="s">
        <v>1601</v>
      </c>
      <c r="B111" s="531">
        <v>27000000</v>
      </c>
      <c r="C111" s="520">
        <v>0</v>
      </c>
      <c r="D111" s="520" t="s">
        <v>901</v>
      </c>
    </row>
    <row r="112" spans="1:4" x14ac:dyDescent="0.2">
      <c r="A112" s="520" t="s">
        <v>1361</v>
      </c>
      <c r="B112" s="531">
        <v>27000000</v>
      </c>
      <c r="C112" s="520">
        <v>0</v>
      </c>
      <c r="D112" s="520" t="s">
        <v>901</v>
      </c>
    </row>
    <row r="113" spans="1:4" x14ac:dyDescent="0.2">
      <c r="A113" s="520" t="s">
        <v>3232</v>
      </c>
      <c r="B113" s="531">
        <v>27000000</v>
      </c>
      <c r="C113" s="520">
        <v>0</v>
      </c>
      <c r="D113" s="520" t="s">
        <v>901</v>
      </c>
    </row>
    <row r="114" spans="1:4" x14ac:dyDescent="0.2">
      <c r="A114" s="520" t="s">
        <v>3728</v>
      </c>
      <c r="B114" s="531">
        <v>27000000</v>
      </c>
      <c r="C114" s="520">
        <v>0</v>
      </c>
      <c r="D114" s="520" t="s">
        <v>901</v>
      </c>
    </row>
    <row r="115" spans="1:4" x14ac:dyDescent="0.2">
      <c r="A115" s="520" t="s">
        <v>1362</v>
      </c>
      <c r="B115" s="531">
        <v>27000000</v>
      </c>
      <c r="C115" s="520">
        <v>0</v>
      </c>
      <c r="D115" s="520" t="s">
        <v>901</v>
      </c>
    </row>
    <row r="116" spans="1:4" x14ac:dyDescent="0.2">
      <c r="A116" s="520" t="s">
        <v>1406</v>
      </c>
      <c r="B116" s="531">
        <v>27000000</v>
      </c>
      <c r="C116" s="520">
        <v>0</v>
      </c>
      <c r="D116" s="520" t="s">
        <v>901</v>
      </c>
    </row>
    <row r="117" spans="1:4" x14ac:dyDescent="0.2">
      <c r="A117" s="520" t="s">
        <v>3288</v>
      </c>
      <c r="B117" s="531">
        <v>27000000</v>
      </c>
      <c r="C117" s="520">
        <v>0</v>
      </c>
      <c r="D117" s="520" t="s">
        <v>901</v>
      </c>
    </row>
    <row r="118" spans="1:4" x14ac:dyDescent="0.2">
      <c r="A118" s="520" t="s">
        <v>1339</v>
      </c>
      <c r="B118" s="531">
        <v>27000000</v>
      </c>
      <c r="C118" s="520">
        <v>0</v>
      </c>
      <c r="D118" s="520" t="s">
        <v>901</v>
      </c>
    </row>
    <row r="119" spans="1:4" x14ac:dyDescent="0.2">
      <c r="A119" s="520" t="s">
        <v>1340</v>
      </c>
      <c r="B119" s="531">
        <v>27000000</v>
      </c>
      <c r="C119" s="520">
        <v>0</v>
      </c>
      <c r="D119" s="520" t="s">
        <v>901</v>
      </c>
    </row>
    <row r="120" spans="1:4" x14ac:dyDescent="0.2">
      <c r="A120" s="520" t="s">
        <v>1484</v>
      </c>
      <c r="B120" s="531">
        <v>22000000</v>
      </c>
      <c r="C120" s="520">
        <v>0</v>
      </c>
      <c r="D120" s="520" t="s">
        <v>901</v>
      </c>
    </row>
    <row r="121" spans="1:4" x14ac:dyDescent="0.2">
      <c r="A121" s="520" t="s">
        <v>3729</v>
      </c>
      <c r="B121" s="531">
        <v>22000000</v>
      </c>
      <c r="C121" s="520">
        <v>0</v>
      </c>
      <c r="D121" s="520" t="s">
        <v>901</v>
      </c>
    </row>
    <row r="122" spans="1:4" x14ac:dyDescent="0.2">
      <c r="A122" s="520" t="s">
        <v>3451</v>
      </c>
      <c r="B122" s="531">
        <v>22000000</v>
      </c>
      <c r="C122" s="520">
        <v>0</v>
      </c>
      <c r="D122" s="520" t="s">
        <v>901</v>
      </c>
    </row>
    <row r="123" spans="1:4" x14ac:dyDescent="0.2">
      <c r="A123" s="520" t="s">
        <v>1363</v>
      </c>
      <c r="B123" s="531">
        <v>22000000</v>
      </c>
      <c r="C123" s="520">
        <v>0</v>
      </c>
      <c r="D123" s="520" t="s">
        <v>901</v>
      </c>
    </row>
    <row r="124" spans="1:4" x14ac:dyDescent="0.2">
      <c r="A124" s="520" t="s">
        <v>1407</v>
      </c>
      <c r="B124" s="531">
        <v>22000000</v>
      </c>
      <c r="C124" s="520">
        <v>0</v>
      </c>
      <c r="D124" s="520" t="s">
        <v>901</v>
      </c>
    </row>
    <row r="125" spans="1:4" x14ac:dyDescent="0.2">
      <c r="A125" s="520" t="s">
        <v>1364</v>
      </c>
      <c r="B125" s="531">
        <v>22000000</v>
      </c>
      <c r="C125" s="520">
        <v>0</v>
      </c>
      <c r="D125" s="520" t="s">
        <v>901</v>
      </c>
    </row>
    <row r="126" spans="1:4" x14ac:dyDescent="0.2">
      <c r="A126" s="518" t="s">
        <v>1408</v>
      </c>
      <c r="B126" s="531">
        <v>22000000</v>
      </c>
      <c r="C126" s="518">
        <v>0</v>
      </c>
      <c r="D126" s="519" t="s">
        <v>901</v>
      </c>
    </row>
    <row r="127" spans="1:4" x14ac:dyDescent="0.2">
      <c r="A127" s="520" t="s">
        <v>1409</v>
      </c>
      <c r="B127" s="531">
        <v>22000000</v>
      </c>
      <c r="C127" s="520">
        <v>0</v>
      </c>
      <c r="D127" s="520" t="s">
        <v>901</v>
      </c>
    </row>
    <row r="128" spans="1:4" x14ac:dyDescent="0.2">
      <c r="A128" s="520" t="s">
        <v>1410</v>
      </c>
      <c r="B128" s="531">
        <v>22000000</v>
      </c>
      <c r="C128" s="520">
        <v>0</v>
      </c>
      <c r="D128" s="520" t="s">
        <v>901</v>
      </c>
    </row>
    <row r="129" spans="1:4" x14ac:dyDescent="0.2">
      <c r="A129" s="520" t="s">
        <v>3018</v>
      </c>
      <c r="B129" s="531">
        <v>22000000</v>
      </c>
      <c r="C129" s="520">
        <v>0</v>
      </c>
      <c r="D129" s="520" t="s">
        <v>901</v>
      </c>
    </row>
    <row r="130" spans="1:4" x14ac:dyDescent="0.2">
      <c r="A130" s="520" t="s">
        <v>1485</v>
      </c>
      <c r="B130" s="531">
        <v>22000000</v>
      </c>
      <c r="C130" s="520">
        <v>0</v>
      </c>
      <c r="D130" s="520" t="s">
        <v>901</v>
      </c>
    </row>
    <row r="131" spans="1:4" x14ac:dyDescent="0.2">
      <c r="A131" s="520" t="s">
        <v>1486</v>
      </c>
      <c r="B131" s="531">
        <v>22000000</v>
      </c>
      <c r="C131" s="520">
        <v>0</v>
      </c>
      <c r="D131" s="520" t="s">
        <v>901</v>
      </c>
    </row>
    <row r="132" spans="1:4" x14ac:dyDescent="0.2">
      <c r="A132" s="518" t="s">
        <v>3019</v>
      </c>
      <c r="B132" s="531">
        <v>22000000</v>
      </c>
      <c r="C132" s="518">
        <v>0</v>
      </c>
      <c r="D132" s="519" t="s">
        <v>901</v>
      </c>
    </row>
    <row r="133" spans="1:4" x14ac:dyDescent="0.2">
      <c r="A133" s="520" t="s">
        <v>1411</v>
      </c>
      <c r="B133" s="531">
        <v>22000000</v>
      </c>
      <c r="C133" s="520">
        <v>0</v>
      </c>
      <c r="D133" s="520" t="s">
        <v>901</v>
      </c>
    </row>
    <row r="134" spans="1:4" x14ac:dyDescent="0.2">
      <c r="A134" s="520" t="s">
        <v>1597</v>
      </c>
      <c r="B134" s="531">
        <v>27000000</v>
      </c>
      <c r="C134" s="520">
        <v>0</v>
      </c>
      <c r="D134" s="520" t="s">
        <v>901</v>
      </c>
    </row>
    <row r="135" spans="1:4" x14ac:dyDescent="0.2">
      <c r="A135" s="520" t="s">
        <v>1685</v>
      </c>
      <c r="B135" s="531">
        <v>22000000</v>
      </c>
      <c r="C135" s="520">
        <v>0</v>
      </c>
      <c r="D135" s="520" t="s">
        <v>901</v>
      </c>
    </row>
    <row r="136" spans="1:4" x14ac:dyDescent="0.2">
      <c r="A136" s="520" t="s">
        <v>1341</v>
      </c>
      <c r="B136" s="531">
        <v>22000000</v>
      </c>
      <c r="C136" s="520">
        <v>0</v>
      </c>
      <c r="D136" s="520" t="s">
        <v>901</v>
      </c>
    </row>
    <row r="137" spans="1:4" x14ac:dyDescent="0.2">
      <c r="A137" s="520" t="s">
        <v>1365</v>
      </c>
      <c r="B137" s="531">
        <v>27000000</v>
      </c>
      <c r="C137" s="520">
        <v>0</v>
      </c>
      <c r="D137" s="520" t="s">
        <v>901</v>
      </c>
    </row>
    <row r="138" spans="1:4" x14ac:dyDescent="0.2">
      <c r="A138" s="520" t="s">
        <v>1412</v>
      </c>
      <c r="B138" s="531">
        <v>27000000</v>
      </c>
      <c r="C138" s="520">
        <v>0</v>
      </c>
      <c r="D138" s="520" t="s">
        <v>901</v>
      </c>
    </row>
    <row r="139" spans="1:4" x14ac:dyDescent="0.2">
      <c r="A139" s="520" t="s">
        <v>1448</v>
      </c>
      <c r="B139" s="531">
        <v>22000000</v>
      </c>
      <c r="C139" s="520">
        <v>0</v>
      </c>
      <c r="D139" s="520" t="s">
        <v>901</v>
      </c>
    </row>
    <row r="140" spans="1:4" x14ac:dyDescent="0.2">
      <c r="A140" s="520" t="s">
        <v>3372</v>
      </c>
      <c r="B140" s="531">
        <v>27000000</v>
      </c>
      <c r="C140" s="520">
        <v>0</v>
      </c>
      <c r="D140" s="520" t="s">
        <v>901</v>
      </c>
    </row>
    <row r="141" spans="1:4" x14ac:dyDescent="0.2">
      <c r="A141" s="520" t="s">
        <v>1413</v>
      </c>
      <c r="B141" s="531">
        <v>22000000</v>
      </c>
      <c r="C141" s="520">
        <v>0</v>
      </c>
      <c r="D141" s="520" t="s">
        <v>901</v>
      </c>
    </row>
    <row r="142" spans="1:4" x14ac:dyDescent="0.2">
      <c r="A142" s="520" t="s">
        <v>3020</v>
      </c>
      <c r="B142" s="531">
        <v>22000000</v>
      </c>
      <c r="C142" s="520">
        <v>0</v>
      </c>
      <c r="D142" s="520" t="s">
        <v>901</v>
      </c>
    </row>
    <row r="143" spans="1:4" x14ac:dyDescent="0.2">
      <c r="A143" s="520" t="s">
        <v>1414</v>
      </c>
      <c r="B143" s="531">
        <v>22000000</v>
      </c>
      <c r="C143" s="520">
        <v>0</v>
      </c>
      <c r="D143" s="520" t="s">
        <v>901</v>
      </c>
    </row>
    <row r="144" spans="1:4" x14ac:dyDescent="0.2">
      <c r="A144" s="520" t="s">
        <v>1415</v>
      </c>
      <c r="B144" s="531">
        <v>22000000</v>
      </c>
      <c r="C144" s="520">
        <v>0</v>
      </c>
      <c r="D144" s="520" t="s">
        <v>901</v>
      </c>
    </row>
    <row r="145" spans="1:4" x14ac:dyDescent="0.2">
      <c r="A145" s="520" t="s">
        <v>1416</v>
      </c>
      <c r="B145" s="531">
        <v>22000000</v>
      </c>
      <c r="C145" s="520">
        <v>0</v>
      </c>
      <c r="D145" s="520" t="s">
        <v>901</v>
      </c>
    </row>
    <row r="146" spans="1:4" x14ac:dyDescent="0.2">
      <c r="A146" s="520" t="s">
        <v>3021</v>
      </c>
      <c r="B146" s="531">
        <v>22000000</v>
      </c>
      <c r="C146" s="520">
        <v>0</v>
      </c>
      <c r="D146" s="520" t="s">
        <v>901</v>
      </c>
    </row>
    <row r="147" spans="1:4" x14ac:dyDescent="0.2">
      <c r="A147" s="520" t="s">
        <v>1417</v>
      </c>
      <c r="B147" s="531">
        <v>22000000</v>
      </c>
      <c r="C147" s="520">
        <v>0</v>
      </c>
      <c r="D147" s="520" t="s">
        <v>901</v>
      </c>
    </row>
    <row r="148" spans="1:4" x14ac:dyDescent="0.2">
      <c r="A148" s="520" t="s">
        <v>2557</v>
      </c>
      <c r="B148" s="531">
        <v>22000000</v>
      </c>
      <c r="C148" s="520">
        <v>0</v>
      </c>
      <c r="D148" s="520" t="s">
        <v>901</v>
      </c>
    </row>
    <row r="149" spans="1:4" x14ac:dyDescent="0.2">
      <c r="A149" s="520" t="s">
        <v>3022</v>
      </c>
      <c r="B149" s="531">
        <v>22000000</v>
      </c>
      <c r="C149" s="520">
        <v>0</v>
      </c>
      <c r="D149" s="520" t="s">
        <v>901</v>
      </c>
    </row>
    <row r="150" spans="1:4" x14ac:dyDescent="0.2">
      <c r="A150" s="520" t="s">
        <v>3452</v>
      </c>
      <c r="B150" s="531">
        <v>22000000</v>
      </c>
      <c r="C150" s="520">
        <v>0</v>
      </c>
      <c r="D150" s="520" t="s">
        <v>901</v>
      </c>
    </row>
    <row r="151" spans="1:4" x14ac:dyDescent="0.2">
      <c r="A151" s="520" t="s">
        <v>3289</v>
      </c>
      <c r="B151" s="531">
        <v>27000000</v>
      </c>
      <c r="C151" s="520">
        <v>0</v>
      </c>
      <c r="D151" s="520" t="s">
        <v>901</v>
      </c>
    </row>
    <row r="152" spans="1:4" x14ac:dyDescent="0.2">
      <c r="A152" s="520" t="s">
        <v>3023</v>
      </c>
      <c r="B152" s="531">
        <v>22000000</v>
      </c>
      <c r="C152" s="520">
        <v>0</v>
      </c>
      <c r="D152" s="520" t="s">
        <v>901</v>
      </c>
    </row>
    <row r="153" spans="1:4" x14ac:dyDescent="0.2">
      <c r="A153" s="520" t="s">
        <v>2632</v>
      </c>
      <c r="B153" s="531">
        <v>22000000</v>
      </c>
      <c r="C153" s="520">
        <v>0</v>
      </c>
      <c r="D153" s="520" t="s">
        <v>901</v>
      </c>
    </row>
    <row r="154" spans="1:4" x14ac:dyDescent="0.2">
      <c r="A154" s="520" t="s">
        <v>1366</v>
      </c>
      <c r="B154" s="531">
        <v>27000000</v>
      </c>
      <c r="C154" s="520">
        <v>0</v>
      </c>
      <c r="D154" s="520" t="s">
        <v>901</v>
      </c>
    </row>
    <row r="155" spans="1:4" x14ac:dyDescent="0.2">
      <c r="A155" s="520" t="s">
        <v>1327</v>
      </c>
      <c r="B155" s="531">
        <v>27000000</v>
      </c>
      <c r="C155" s="520">
        <v>0</v>
      </c>
      <c r="D155" s="520" t="s">
        <v>901</v>
      </c>
    </row>
    <row r="156" spans="1:4" x14ac:dyDescent="0.2">
      <c r="A156" s="520" t="s">
        <v>1367</v>
      </c>
      <c r="B156" s="531">
        <v>27000000</v>
      </c>
      <c r="C156" s="520">
        <v>0</v>
      </c>
      <c r="D156" s="520" t="s">
        <v>901</v>
      </c>
    </row>
    <row r="157" spans="1:4" x14ac:dyDescent="0.2">
      <c r="A157" s="520" t="s">
        <v>3453</v>
      </c>
      <c r="B157" s="531">
        <v>22000000</v>
      </c>
      <c r="C157" s="520">
        <v>0</v>
      </c>
      <c r="D157" s="520" t="s">
        <v>901</v>
      </c>
    </row>
    <row r="158" spans="1:4" x14ac:dyDescent="0.2">
      <c r="A158" s="520" t="s">
        <v>1418</v>
      </c>
      <c r="B158" s="531">
        <v>22000000</v>
      </c>
      <c r="C158" s="520">
        <v>0</v>
      </c>
      <c r="D158" s="520" t="s">
        <v>901</v>
      </c>
    </row>
    <row r="159" spans="1:4" x14ac:dyDescent="0.2">
      <c r="A159" s="520" t="s">
        <v>1419</v>
      </c>
      <c r="B159" s="531">
        <v>22000000</v>
      </c>
      <c r="C159" s="520">
        <v>0</v>
      </c>
      <c r="D159" s="520" t="s">
        <v>901</v>
      </c>
    </row>
    <row r="160" spans="1:4" x14ac:dyDescent="0.2">
      <c r="A160" s="520" t="s">
        <v>2733</v>
      </c>
      <c r="B160" s="531">
        <v>22000000</v>
      </c>
      <c r="C160" s="520">
        <v>0</v>
      </c>
      <c r="D160" s="520" t="s">
        <v>901</v>
      </c>
    </row>
    <row r="161" spans="1:4" x14ac:dyDescent="0.2">
      <c r="A161" s="520" t="s">
        <v>2633</v>
      </c>
      <c r="B161" s="531">
        <v>22000000</v>
      </c>
      <c r="C161" s="520">
        <v>0</v>
      </c>
      <c r="D161" s="520" t="s">
        <v>901</v>
      </c>
    </row>
    <row r="162" spans="1:4" x14ac:dyDescent="0.2">
      <c r="A162" s="520" t="s">
        <v>3290</v>
      </c>
      <c r="B162" s="531">
        <v>22000000</v>
      </c>
      <c r="C162" s="520">
        <v>0</v>
      </c>
      <c r="D162" s="520" t="s">
        <v>901</v>
      </c>
    </row>
    <row r="163" spans="1:4" x14ac:dyDescent="0.2">
      <c r="A163" s="520" t="s">
        <v>1487</v>
      </c>
      <c r="B163" s="531">
        <v>22000000</v>
      </c>
      <c r="C163" s="520">
        <v>0</v>
      </c>
      <c r="D163" s="520" t="s">
        <v>901</v>
      </c>
    </row>
    <row r="164" spans="1:4" x14ac:dyDescent="0.2">
      <c r="A164" s="520" t="s">
        <v>3291</v>
      </c>
      <c r="B164" s="531">
        <v>22000000</v>
      </c>
      <c r="C164" s="520">
        <v>0</v>
      </c>
      <c r="D164" s="520" t="s">
        <v>901</v>
      </c>
    </row>
    <row r="165" spans="1:4" x14ac:dyDescent="0.2">
      <c r="A165" s="520" t="s">
        <v>1488</v>
      </c>
      <c r="B165" s="531">
        <v>22000000</v>
      </c>
      <c r="C165" s="520">
        <v>0</v>
      </c>
      <c r="D165" s="520" t="s">
        <v>901</v>
      </c>
    </row>
    <row r="166" spans="1:4" x14ac:dyDescent="0.2">
      <c r="A166" s="520" t="s">
        <v>1480</v>
      </c>
      <c r="B166" s="531">
        <v>22000000</v>
      </c>
      <c r="C166" s="520">
        <v>0</v>
      </c>
      <c r="D166" s="520" t="s">
        <v>901</v>
      </c>
    </row>
    <row r="167" spans="1:4" x14ac:dyDescent="0.2">
      <c r="A167" s="520" t="s">
        <v>1444</v>
      </c>
      <c r="B167" s="531">
        <v>27000000</v>
      </c>
      <c r="C167" s="520">
        <v>0</v>
      </c>
      <c r="D167" s="520" t="s">
        <v>901</v>
      </c>
    </row>
    <row r="168" spans="1:4" x14ac:dyDescent="0.2">
      <c r="A168" s="520" t="s">
        <v>3292</v>
      </c>
      <c r="B168" s="531">
        <v>27000000</v>
      </c>
      <c r="C168" s="520">
        <v>0</v>
      </c>
      <c r="D168" s="520" t="s">
        <v>901</v>
      </c>
    </row>
    <row r="169" spans="1:4" x14ac:dyDescent="0.2">
      <c r="A169" s="520" t="s">
        <v>3730</v>
      </c>
      <c r="B169" s="531">
        <v>27000000</v>
      </c>
      <c r="C169" s="520">
        <v>0</v>
      </c>
      <c r="D169" s="520" t="s">
        <v>901</v>
      </c>
    </row>
    <row r="170" spans="1:4" x14ac:dyDescent="0.2">
      <c r="A170" s="520" t="s">
        <v>1617</v>
      </c>
      <c r="B170" s="531">
        <v>22000000</v>
      </c>
      <c r="C170" s="520">
        <v>0</v>
      </c>
      <c r="D170" s="520" t="s">
        <v>901</v>
      </c>
    </row>
    <row r="171" spans="1:4" x14ac:dyDescent="0.2">
      <c r="A171" s="520" t="s">
        <v>2265</v>
      </c>
      <c r="B171" s="531">
        <v>22000000</v>
      </c>
      <c r="C171" s="520">
        <v>0</v>
      </c>
      <c r="D171" s="520" t="s">
        <v>901</v>
      </c>
    </row>
    <row r="172" spans="1:4" x14ac:dyDescent="0.2">
      <c r="A172" s="520" t="s">
        <v>3024</v>
      </c>
      <c r="B172" s="531">
        <v>22000000</v>
      </c>
      <c r="C172" s="520">
        <v>0</v>
      </c>
      <c r="D172" s="520" t="s">
        <v>901</v>
      </c>
    </row>
    <row r="173" spans="1:4" x14ac:dyDescent="0.2">
      <c r="A173" s="520" t="s">
        <v>1420</v>
      </c>
      <c r="B173" s="531">
        <v>27000000</v>
      </c>
      <c r="C173" s="520">
        <v>0</v>
      </c>
      <c r="D173" s="520" t="s">
        <v>901</v>
      </c>
    </row>
    <row r="174" spans="1:4" x14ac:dyDescent="0.2">
      <c r="A174" s="520" t="s">
        <v>1421</v>
      </c>
      <c r="B174" s="531">
        <v>27000000</v>
      </c>
      <c r="C174" s="520">
        <v>0</v>
      </c>
      <c r="D174" s="520" t="s">
        <v>901</v>
      </c>
    </row>
    <row r="175" spans="1:4" x14ac:dyDescent="0.2">
      <c r="A175" s="520" t="s">
        <v>1342</v>
      </c>
      <c r="B175" s="531">
        <v>27000000</v>
      </c>
      <c r="C175" s="520">
        <v>0</v>
      </c>
      <c r="D175" s="520" t="s">
        <v>901</v>
      </c>
    </row>
    <row r="176" spans="1:4" x14ac:dyDescent="0.2">
      <c r="A176" s="520" t="s">
        <v>1422</v>
      </c>
      <c r="B176" s="531">
        <v>27000000</v>
      </c>
      <c r="C176" s="520">
        <v>0</v>
      </c>
      <c r="D176" s="520" t="s">
        <v>901</v>
      </c>
    </row>
    <row r="177" spans="1:4" x14ac:dyDescent="0.2">
      <c r="A177" s="520" t="s">
        <v>1423</v>
      </c>
      <c r="B177" s="531">
        <v>27000000</v>
      </c>
      <c r="C177" s="520">
        <v>0</v>
      </c>
      <c r="D177" s="520" t="s">
        <v>901</v>
      </c>
    </row>
    <row r="178" spans="1:4" x14ac:dyDescent="0.2">
      <c r="A178" s="520" t="s">
        <v>3293</v>
      </c>
      <c r="B178" s="531">
        <v>27000000</v>
      </c>
      <c r="C178" s="520">
        <v>0</v>
      </c>
      <c r="D178" s="520" t="s">
        <v>901</v>
      </c>
    </row>
    <row r="179" spans="1:4" x14ac:dyDescent="0.2">
      <c r="A179" s="520" t="s">
        <v>1424</v>
      </c>
      <c r="B179" s="531">
        <v>27000000</v>
      </c>
      <c r="C179" s="520">
        <v>0</v>
      </c>
      <c r="D179" s="520" t="s">
        <v>901</v>
      </c>
    </row>
    <row r="180" spans="1:4" x14ac:dyDescent="0.2">
      <c r="A180" s="520" t="s">
        <v>1334</v>
      </c>
      <c r="B180" s="531">
        <v>27000000</v>
      </c>
      <c r="C180" s="520">
        <v>0</v>
      </c>
      <c r="D180" s="520" t="s">
        <v>901</v>
      </c>
    </row>
    <row r="181" spans="1:4" x14ac:dyDescent="0.2">
      <c r="A181" s="520" t="s">
        <v>1686</v>
      </c>
      <c r="B181" s="531">
        <v>22000000</v>
      </c>
      <c r="C181" s="520">
        <v>0</v>
      </c>
      <c r="D181" s="520" t="s">
        <v>901</v>
      </c>
    </row>
    <row r="182" spans="1:4" x14ac:dyDescent="0.2">
      <c r="A182" s="520" t="s">
        <v>3025</v>
      </c>
      <c r="B182" s="531">
        <v>22000000</v>
      </c>
      <c r="C182" s="520">
        <v>0</v>
      </c>
      <c r="D182" s="520" t="s">
        <v>901</v>
      </c>
    </row>
    <row r="183" spans="1:4" x14ac:dyDescent="0.2">
      <c r="A183" s="520" t="s">
        <v>1563</v>
      </c>
      <c r="B183" s="531">
        <v>22000000</v>
      </c>
      <c r="C183" s="520">
        <v>0</v>
      </c>
      <c r="D183" s="520" t="s">
        <v>901</v>
      </c>
    </row>
    <row r="184" spans="1:4" x14ac:dyDescent="0.2">
      <c r="A184" s="520" t="s">
        <v>1489</v>
      </c>
      <c r="B184" s="531">
        <v>22000000</v>
      </c>
      <c r="C184" s="520">
        <v>0</v>
      </c>
      <c r="D184" s="520" t="s">
        <v>901</v>
      </c>
    </row>
    <row r="185" spans="1:4" x14ac:dyDescent="0.2">
      <c r="A185" s="520" t="s">
        <v>2634</v>
      </c>
      <c r="B185" s="531">
        <v>22000000</v>
      </c>
      <c r="C185" s="520">
        <v>0</v>
      </c>
      <c r="D185" s="520" t="s">
        <v>901</v>
      </c>
    </row>
    <row r="186" spans="1:4" x14ac:dyDescent="0.2">
      <c r="A186" s="520" t="s">
        <v>1631</v>
      </c>
      <c r="B186" s="531">
        <v>22000000</v>
      </c>
      <c r="C186" s="520">
        <v>0</v>
      </c>
      <c r="D186" s="520" t="s">
        <v>901</v>
      </c>
    </row>
    <row r="187" spans="1:4" x14ac:dyDescent="0.2">
      <c r="A187" s="520" t="s">
        <v>3026</v>
      </c>
      <c r="B187" s="531">
        <v>22000000</v>
      </c>
      <c r="C187" s="520">
        <v>0</v>
      </c>
      <c r="D187" s="520" t="s">
        <v>901</v>
      </c>
    </row>
    <row r="188" spans="1:4" x14ac:dyDescent="0.2">
      <c r="A188" s="520" t="s">
        <v>1490</v>
      </c>
      <c r="B188" s="531">
        <v>22000000</v>
      </c>
      <c r="C188" s="520">
        <v>0</v>
      </c>
      <c r="D188" s="520" t="s">
        <v>901</v>
      </c>
    </row>
    <row r="189" spans="1:4" x14ac:dyDescent="0.2">
      <c r="A189" s="520" t="s">
        <v>2266</v>
      </c>
      <c r="B189" s="531">
        <v>22000000</v>
      </c>
      <c r="C189" s="520">
        <v>0</v>
      </c>
      <c r="D189" s="520" t="s">
        <v>901</v>
      </c>
    </row>
    <row r="190" spans="1:4" x14ac:dyDescent="0.2">
      <c r="A190" s="520" t="s">
        <v>4296</v>
      </c>
      <c r="B190" s="531">
        <v>27000000</v>
      </c>
      <c r="C190" s="520">
        <v>0</v>
      </c>
      <c r="D190" s="520" t="s">
        <v>901</v>
      </c>
    </row>
    <row r="191" spans="1:4" x14ac:dyDescent="0.2">
      <c r="A191" s="520" t="s">
        <v>1446</v>
      </c>
      <c r="B191" s="531">
        <v>27000000</v>
      </c>
      <c r="C191" s="520">
        <v>0</v>
      </c>
      <c r="D191" s="520" t="s">
        <v>901</v>
      </c>
    </row>
    <row r="192" spans="1:4" x14ac:dyDescent="0.2">
      <c r="A192" s="520" t="s">
        <v>3233</v>
      </c>
      <c r="B192" s="531">
        <v>22000000</v>
      </c>
      <c r="C192" s="520">
        <v>0</v>
      </c>
      <c r="D192" s="520" t="s">
        <v>901</v>
      </c>
    </row>
    <row r="193" spans="1:4" x14ac:dyDescent="0.2">
      <c r="A193" s="520" t="s">
        <v>3027</v>
      </c>
      <c r="B193" s="531">
        <v>22000000</v>
      </c>
      <c r="C193" s="520">
        <v>0</v>
      </c>
      <c r="D193" s="520" t="s">
        <v>901</v>
      </c>
    </row>
    <row r="194" spans="1:4" x14ac:dyDescent="0.2">
      <c r="A194" s="520" t="s">
        <v>984</v>
      </c>
      <c r="B194" s="531">
        <v>22000000</v>
      </c>
      <c r="C194" s="520">
        <v>0</v>
      </c>
      <c r="D194" s="520" t="s">
        <v>901</v>
      </c>
    </row>
    <row r="195" spans="1:4" x14ac:dyDescent="0.2">
      <c r="A195" s="520" t="s">
        <v>985</v>
      </c>
      <c r="B195" s="531">
        <v>22000000</v>
      </c>
      <c r="C195" s="520">
        <v>0</v>
      </c>
      <c r="D195" s="520" t="s">
        <v>901</v>
      </c>
    </row>
    <row r="196" spans="1:4" x14ac:dyDescent="0.2">
      <c r="A196" s="520" t="s">
        <v>3454</v>
      </c>
      <c r="B196" s="531">
        <v>22000000</v>
      </c>
      <c r="C196" s="520">
        <v>0</v>
      </c>
      <c r="D196" s="520" t="s">
        <v>901</v>
      </c>
    </row>
    <row r="197" spans="1:4" x14ac:dyDescent="0.2">
      <c r="A197" s="520" t="s">
        <v>4297</v>
      </c>
      <c r="B197" s="531">
        <v>22000000</v>
      </c>
      <c r="C197" s="520">
        <v>0</v>
      </c>
      <c r="D197" s="520" t="s">
        <v>901</v>
      </c>
    </row>
    <row r="198" spans="1:4" x14ac:dyDescent="0.2">
      <c r="A198" s="520" t="s">
        <v>986</v>
      </c>
      <c r="B198" s="531">
        <v>22000000</v>
      </c>
      <c r="C198" s="520">
        <v>0</v>
      </c>
      <c r="D198" s="520" t="s">
        <v>901</v>
      </c>
    </row>
    <row r="200" spans="1:4" x14ac:dyDescent="0.2">
      <c r="A200" s="520" t="s">
        <v>926</v>
      </c>
      <c r="B200" s="531">
        <v>5000000</v>
      </c>
      <c r="C200" s="520">
        <v>0</v>
      </c>
      <c r="D200" s="520" t="s">
        <v>61</v>
      </c>
    </row>
    <row r="201" spans="1:4" x14ac:dyDescent="0.2">
      <c r="A201" s="520" t="s">
        <v>927</v>
      </c>
      <c r="B201" s="531">
        <v>5000000</v>
      </c>
      <c r="C201" s="520">
        <v>0</v>
      </c>
      <c r="D201" s="520" t="s">
        <v>61</v>
      </c>
    </row>
    <row r="202" spans="1:4" x14ac:dyDescent="0.2">
      <c r="A202" s="520" t="s">
        <v>928</v>
      </c>
      <c r="B202" s="531">
        <v>5000000</v>
      </c>
      <c r="C202" s="520">
        <v>0</v>
      </c>
      <c r="D202" s="520" t="s">
        <v>61</v>
      </c>
    </row>
    <row r="203" spans="1:4" x14ac:dyDescent="0.2">
      <c r="A203" s="520" t="s">
        <v>929</v>
      </c>
      <c r="B203" s="531">
        <v>5000000</v>
      </c>
      <c r="C203" s="520">
        <v>0</v>
      </c>
      <c r="D203" s="520" t="s">
        <v>61</v>
      </c>
    </row>
    <row r="204" spans="1:4" x14ac:dyDescent="0.2">
      <c r="A204" s="520" t="s">
        <v>930</v>
      </c>
      <c r="B204" s="531">
        <v>5000000</v>
      </c>
      <c r="C204" s="520">
        <v>0</v>
      </c>
      <c r="D204" s="520" t="s">
        <v>61</v>
      </c>
    </row>
    <row r="205" spans="1:4" x14ac:dyDescent="0.2">
      <c r="A205" s="520" t="s">
        <v>931</v>
      </c>
      <c r="B205" s="531">
        <v>5000000</v>
      </c>
      <c r="C205" s="520">
        <v>0</v>
      </c>
      <c r="D205" s="520" t="s">
        <v>61</v>
      </c>
    </row>
    <row r="206" spans="1:4" x14ac:dyDescent="0.2">
      <c r="A206" s="520" t="s">
        <v>932</v>
      </c>
      <c r="B206" s="531">
        <v>5000000</v>
      </c>
      <c r="C206" s="520">
        <v>0</v>
      </c>
      <c r="D206" s="520" t="s">
        <v>61</v>
      </c>
    </row>
    <row r="207" spans="1:4" x14ac:dyDescent="0.2">
      <c r="A207" s="520" t="s">
        <v>933</v>
      </c>
      <c r="B207" s="531">
        <v>5000000</v>
      </c>
      <c r="C207" s="520">
        <v>0</v>
      </c>
      <c r="D207" s="520" t="s">
        <v>61</v>
      </c>
    </row>
    <row r="208" spans="1:4" x14ac:dyDescent="0.2">
      <c r="A208" s="520" t="s">
        <v>934</v>
      </c>
      <c r="B208" s="531">
        <v>5000000</v>
      </c>
      <c r="C208" s="520">
        <v>0</v>
      </c>
      <c r="D208" s="520" t="s">
        <v>61</v>
      </c>
    </row>
    <row r="209" spans="1:4" x14ac:dyDescent="0.2">
      <c r="A209" s="520" t="s">
        <v>937</v>
      </c>
      <c r="B209" s="531">
        <v>5000000</v>
      </c>
      <c r="C209" s="520">
        <v>0</v>
      </c>
      <c r="D209" s="520" t="s">
        <v>61</v>
      </c>
    </row>
    <row r="210" spans="1:4" x14ac:dyDescent="0.2">
      <c r="A210" s="520" t="s">
        <v>939</v>
      </c>
      <c r="B210" s="531">
        <v>5000000</v>
      </c>
      <c r="C210" s="520">
        <v>0</v>
      </c>
      <c r="D210" s="520" t="s">
        <v>61</v>
      </c>
    </row>
    <row r="211" spans="1:4" x14ac:dyDescent="0.2">
      <c r="A211" s="520" t="s">
        <v>940</v>
      </c>
      <c r="B211" s="531">
        <v>5000000</v>
      </c>
      <c r="C211" s="520">
        <v>0</v>
      </c>
      <c r="D211" s="520" t="s">
        <v>61</v>
      </c>
    </row>
    <row r="212" spans="1:4" x14ac:dyDescent="0.2">
      <c r="A212" s="520" t="s">
        <v>3455</v>
      </c>
      <c r="B212" s="531">
        <v>5000000</v>
      </c>
      <c r="C212" s="520">
        <v>0</v>
      </c>
      <c r="D212" s="520" t="s">
        <v>901</v>
      </c>
    </row>
    <row r="213" spans="1:4" x14ac:dyDescent="0.2">
      <c r="A213" s="520" t="s">
        <v>3294</v>
      </c>
      <c r="B213" s="531">
        <v>5000000</v>
      </c>
      <c r="C213" s="520">
        <v>0</v>
      </c>
      <c r="D213" s="520" t="s">
        <v>901</v>
      </c>
    </row>
    <row r="214" spans="1:4" x14ac:dyDescent="0.2">
      <c r="A214" s="520" t="s">
        <v>3295</v>
      </c>
      <c r="B214" s="531">
        <v>5000000</v>
      </c>
      <c r="C214" s="520">
        <v>0</v>
      </c>
      <c r="D214" s="520" t="s">
        <v>901</v>
      </c>
    </row>
    <row r="215" spans="1:4" x14ac:dyDescent="0.2">
      <c r="A215" s="520" t="s">
        <v>3731</v>
      </c>
      <c r="B215" s="531">
        <v>5000000</v>
      </c>
      <c r="C215" s="520">
        <v>0</v>
      </c>
      <c r="D215" s="520" t="s">
        <v>901</v>
      </c>
    </row>
    <row r="216" spans="1:4" x14ac:dyDescent="0.2">
      <c r="A216" s="520" t="s">
        <v>1449</v>
      </c>
      <c r="B216" s="531">
        <v>5000000</v>
      </c>
      <c r="C216" s="520">
        <v>0</v>
      </c>
      <c r="D216" s="520" t="s">
        <v>901</v>
      </c>
    </row>
    <row r="217" spans="1:4" x14ac:dyDescent="0.2">
      <c r="A217" s="520" t="s">
        <v>1450</v>
      </c>
      <c r="B217" s="531">
        <v>5000000</v>
      </c>
      <c r="C217" s="520">
        <v>0</v>
      </c>
      <c r="D217" s="520" t="s">
        <v>901</v>
      </c>
    </row>
    <row r="218" spans="1:4" x14ac:dyDescent="0.2">
      <c r="A218" s="520" t="s">
        <v>1491</v>
      </c>
      <c r="B218" s="531">
        <v>5000000</v>
      </c>
      <c r="C218" s="520">
        <v>0</v>
      </c>
      <c r="D218" s="520" t="s">
        <v>901</v>
      </c>
    </row>
    <row r="219" spans="1:4" x14ac:dyDescent="0.2">
      <c r="A219" s="520" t="s">
        <v>4298</v>
      </c>
      <c r="B219" s="531">
        <v>5000000</v>
      </c>
      <c r="C219" s="520">
        <v>0</v>
      </c>
      <c r="D219" s="520" t="s">
        <v>901</v>
      </c>
    </row>
    <row r="220" spans="1:4" x14ac:dyDescent="0.2">
      <c r="A220" s="520" t="s">
        <v>1451</v>
      </c>
      <c r="B220" s="531">
        <v>5000000</v>
      </c>
      <c r="C220" s="520">
        <v>0</v>
      </c>
      <c r="D220" s="520" t="s">
        <v>901</v>
      </c>
    </row>
    <row r="221" spans="1:4" x14ac:dyDescent="0.2">
      <c r="A221" s="520" t="s">
        <v>2558</v>
      </c>
      <c r="B221" s="531">
        <v>5000000</v>
      </c>
      <c r="C221" s="520">
        <v>0</v>
      </c>
      <c r="D221" s="520" t="s">
        <v>901</v>
      </c>
    </row>
    <row r="222" spans="1:4" x14ac:dyDescent="0.2">
      <c r="A222" s="520" t="s">
        <v>2267</v>
      </c>
      <c r="B222" s="531">
        <v>5000000</v>
      </c>
      <c r="C222" s="520">
        <v>0</v>
      </c>
      <c r="D222" s="520" t="s">
        <v>901</v>
      </c>
    </row>
    <row r="223" spans="1:4" x14ac:dyDescent="0.2">
      <c r="A223" s="520" t="s">
        <v>1492</v>
      </c>
      <c r="B223" s="531">
        <v>5000000</v>
      </c>
      <c r="C223" s="520">
        <v>0</v>
      </c>
      <c r="D223" s="520" t="s">
        <v>901</v>
      </c>
    </row>
    <row r="224" spans="1:4" x14ac:dyDescent="0.2">
      <c r="A224" s="520" t="s">
        <v>1452</v>
      </c>
      <c r="B224" s="531">
        <v>5000000</v>
      </c>
      <c r="C224" s="520">
        <v>0</v>
      </c>
      <c r="D224" s="520" t="s">
        <v>901</v>
      </c>
    </row>
    <row r="225" spans="1:4" x14ac:dyDescent="0.2">
      <c r="A225" s="520" t="s">
        <v>2635</v>
      </c>
      <c r="B225" s="531">
        <v>5000000</v>
      </c>
      <c r="C225" s="520">
        <v>0</v>
      </c>
      <c r="D225" s="520" t="s">
        <v>901</v>
      </c>
    </row>
    <row r="226" spans="1:4" x14ac:dyDescent="0.2">
      <c r="A226" s="520" t="s">
        <v>3028</v>
      </c>
      <c r="B226" s="531">
        <v>5000000</v>
      </c>
      <c r="C226" s="520">
        <v>0</v>
      </c>
      <c r="D226" s="520" t="s">
        <v>901</v>
      </c>
    </row>
    <row r="227" spans="1:4" x14ac:dyDescent="0.2">
      <c r="A227" s="520" t="s">
        <v>1493</v>
      </c>
      <c r="B227" s="531">
        <v>5000000</v>
      </c>
      <c r="C227" s="520">
        <v>0</v>
      </c>
      <c r="D227" s="520" t="s">
        <v>901</v>
      </c>
    </row>
    <row r="228" spans="1:4" x14ac:dyDescent="0.2">
      <c r="A228" s="520" t="s">
        <v>2636</v>
      </c>
      <c r="B228" s="531">
        <v>5000000</v>
      </c>
      <c r="C228" s="520">
        <v>0</v>
      </c>
      <c r="D228" s="520" t="s">
        <v>901</v>
      </c>
    </row>
    <row r="229" spans="1:4" x14ac:dyDescent="0.2">
      <c r="A229" s="520" t="s">
        <v>1687</v>
      </c>
      <c r="B229" s="531">
        <v>5000000</v>
      </c>
      <c r="C229" s="520">
        <v>0</v>
      </c>
      <c r="D229" s="520" t="s">
        <v>901</v>
      </c>
    </row>
    <row r="230" spans="1:4" x14ac:dyDescent="0.2">
      <c r="A230" s="520" t="s">
        <v>3456</v>
      </c>
      <c r="B230" s="531">
        <v>5000000</v>
      </c>
      <c r="C230" s="520">
        <v>0</v>
      </c>
      <c r="D230" s="520" t="s">
        <v>901</v>
      </c>
    </row>
    <row r="231" spans="1:4" x14ac:dyDescent="0.2">
      <c r="A231" s="520" t="s">
        <v>3457</v>
      </c>
      <c r="B231" s="531">
        <v>5000000</v>
      </c>
      <c r="C231" s="520">
        <v>0</v>
      </c>
      <c r="D231" s="520" t="s">
        <v>901</v>
      </c>
    </row>
    <row r="232" spans="1:4" x14ac:dyDescent="0.2">
      <c r="A232" s="520" t="s">
        <v>3029</v>
      </c>
      <c r="B232" s="531">
        <v>5000000</v>
      </c>
      <c r="C232" s="520">
        <v>0</v>
      </c>
      <c r="D232" s="520" t="s">
        <v>901</v>
      </c>
    </row>
    <row r="233" spans="1:4" x14ac:dyDescent="0.2">
      <c r="A233" s="520" t="s">
        <v>3167</v>
      </c>
      <c r="B233" s="531">
        <v>5000000</v>
      </c>
      <c r="C233" s="520">
        <v>0</v>
      </c>
      <c r="D233" s="520" t="s">
        <v>901</v>
      </c>
    </row>
    <row r="234" spans="1:4" x14ac:dyDescent="0.2">
      <c r="A234" s="520" t="s">
        <v>2637</v>
      </c>
      <c r="B234" s="531">
        <v>5000000</v>
      </c>
      <c r="C234" s="520">
        <v>0</v>
      </c>
      <c r="D234" s="520" t="s">
        <v>901</v>
      </c>
    </row>
    <row r="235" spans="1:4" x14ac:dyDescent="0.2">
      <c r="A235" s="520" t="s">
        <v>3030</v>
      </c>
      <c r="B235" s="531">
        <v>5000000</v>
      </c>
      <c r="C235" s="520">
        <v>0</v>
      </c>
      <c r="D235" s="520" t="s">
        <v>901</v>
      </c>
    </row>
    <row r="236" spans="1:4" x14ac:dyDescent="0.2">
      <c r="A236" s="520" t="s">
        <v>3031</v>
      </c>
      <c r="B236" s="531">
        <v>5000000</v>
      </c>
      <c r="C236" s="520">
        <v>0</v>
      </c>
      <c r="D236" s="520" t="s">
        <v>901</v>
      </c>
    </row>
    <row r="237" spans="1:4" x14ac:dyDescent="0.2">
      <c r="A237" s="520" t="s">
        <v>1632</v>
      </c>
      <c r="B237" s="531">
        <v>5000000</v>
      </c>
      <c r="C237" s="520">
        <v>0</v>
      </c>
      <c r="D237" s="520" t="s">
        <v>901</v>
      </c>
    </row>
    <row r="238" spans="1:4" x14ac:dyDescent="0.2">
      <c r="A238" s="520" t="s">
        <v>3032</v>
      </c>
      <c r="B238" s="531">
        <v>5000000</v>
      </c>
      <c r="C238" s="520">
        <v>0</v>
      </c>
      <c r="D238" s="520" t="s">
        <v>901</v>
      </c>
    </row>
    <row r="239" spans="1:4" x14ac:dyDescent="0.2">
      <c r="A239" s="520" t="s">
        <v>3458</v>
      </c>
      <c r="B239" s="531">
        <v>5000000</v>
      </c>
      <c r="C239" s="520">
        <v>0</v>
      </c>
      <c r="D239" s="520" t="s">
        <v>901</v>
      </c>
    </row>
    <row r="240" spans="1:4" x14ac:dyDescent="0.2">
      <c r="A240" s="520" t="s">
        <v>3033</v>
      </c>
      <c r="B240" s="531">
        <v>5000000</v>
      </c>
      <c r="C240" s="520">
        <v>0</v>
      </c>
      <c r="D240" s="520" t="s">
        <v>901</v>
      </c>
    </row>
    <row r="241" spans="1:4" x14ac:dyDescent="0.2">
      <c r="A241" s="520" t="s">
        <v>3296</v>
      </c>
      <c r="B241" s="531">
        <v>5000000</v>
      </c>
      <c r="C241" s="520">
        <v>0</v>
      </c>
      <c r="D241" s="520" t="s">
        <v>901</v>
      </c>
    </row>
    <row r="242" spans="1:4" x14ac:dyDescent="0.2">
      <c r="A242" s="520" t="s">
        <v>987</v>
      </c>
      <c r="B242" s="531">
        <v>5000000</v>
      </c>
      <c r="C242" s="520">
        <v>0</v>
      </c>
      <c r="D242" s="520" t="s">
        <v>901</v>
      </c>
    </row>
    <row r="243" spans="1:4" x14ac:dyDescent="0.2">
      <c r="A243" s="520" t="s">
        <v>3459</v>
      </c>
      <c r="B243" s="531">
        <v>5000000</v>
      </c>
      <c r="C243" s="520">
        <v>0</v>
      </c>
      <c r="D243" s="520" t="s">
        <v>901</v>
      </c>
    </row>
    <row r="244" spans="1:4" x14ac:dyDescent="0.2">
      <c r="A244" s="520" t="s">
        <v>3234</v>
      </c>
      <c r="B244" s="531">
        <v>5000000</v>
      </c>
      <c r="C244" s="520">
        <v>0</v>
      </c>
      <c r="D244" s="520" t="s">
        <v>901</v>
      </c>
    </row>
    <row r="245" spans="1:4" x14ac:dyDescent="0.2">
      <c r="A245" s="520" t="s">
        <v>1582</v>
      </c>
      <c r="B245" s="531">
        <v>5000000</v>
      </c>
      <c r="C245" s="520">
        <v>0</v>
      </c>
      <c r="D245" s="520" t="s">
        <v>901</v>
      </c>
    </row>
    <row r="246" spans="1:4" x14ac:dyDescent="0.2">
      <c r="A246" s="520" t="s">
        <v>3235</v>
      </c>
      <c r="B246" s="531">
        <v>5000000</v>
      </c>
      <c r="C246" s="520">
        <v>0</v>
      </c>
      <c r="D246" s="520" t="s">
        <v>901</v>
      </c>
    </row>
    <row r="247" spans="1:4" x14ac:dyDescent="0.2">
      <c r="A247" s="520" t="s">
        <v>2734</v>
      </c>
      <c r="B247" s="531">
        <v>5000000</v>
      </c>
      <c r="C247" s="520">
        <v>0</v>
      </c>
      <c r="D247" s="520" t="s">
        <v>901</v>
      </c>
    </row>
    <row r="248" spans="1:4" x14ac:dyDescent="0.2">
      <c r="A248" s="520" t="s">
        <v>3034</v>
      </c>
      <c r="B248" s="531">
        <v>5000000</v>
      </c>
      <c r="C248" s="520">
        <v>0</v>
      </c>
      <c r="D248" s="520" t="s">
        <v>901</v>
      </c>
    </row>
    <row r="249" spans="1:4" x14ac:dyDescent="0.2">
      <c r="A249" s="520" t="s">
        <v>3297</v>
      </c>
      <c r="B249" s="531">
        <v>5000000</v>
      </c>
      <c r="C249" s="520">
        <v>0</v>
      </c>
      <c r="D249" s="520" t="s">
        <v>901</v>
      </c>
    </row>
    <row r="250" spans="1:4" x14ac:dyDescent="0.2">
      <c r="A250" s="520" t="s">
        <v>3168</v>
      </c>
      <c r="B250" s="531">
        <v>5000000</v>
      </c>
      <c r="C250" s="520">
        <v>0</v>
      </c>
      <c r="D250" s="520" t="s">
        <v>901</v>
      </c>
    </row>
    <row r="251" spans="1:4" x14ac:dyDescent="0.2">
      <c r="A251" s="520" t="s">
        <v>3460</v>
      </c>
      <c r="B251" s="531">
        <v>5000000</v>
      </c>
      <c r="C251" s="520">
        <v>0</v>
      </c>
      <c r="D251" s="520" t="s">
        <v>901</v>
      </c>
    </row>
    <row r="252" spans="1:4" x14ac:dyDescent="0.2">
      <c r="A252" s="520" t="s">
        <v>2735</v>
      </c>
      <c r="B252" s="531">
        <v>5000000</v>
      </c>
      <c r="C252" s="520">
        <v>0</v>
      </c>
      <c r="D252" s="520" t="s">
        <v>901</v>
      </c>
    </row>
    <row r="253" spans="1:4" x14ac:dyDescent="0.2">
      <c r="A253" s="520" t="s">
        <v>3035</v>
      </c>
      <c r="B253" s="531">
        <v>5000000</v>
      </c>
      <c r="C253" s="520">
        <v>0</v>
      </c>
      <c r="D253" s="520" t="s">
        <v>901</v>
      </c>
    </row>
    <row r="254" spans="1:4" x14ac:dyDescent="0.2">
      <c r="A254" s="520" t="s">
        <v>988</v>
      </c>
      <c r="B254" s="531">
        <v>5000000</v>
      </c>
      <c r="C254" s="520">
        <v>0</v>
      </c>
      <c r="D254" s="520" t="s">
        <v>901</v>
      </c>
    </row>
    <row r="255" spans="1:4" x14ac:dyDescent="0.2">
      <c r="A255" s="520" t="s">
        <v>2736</v>
      </c>
      <c r="B255" s="531">
        <v>5000000</v>
      </c>
      <c r="C255" s="520">
        <v>0</v>
      </c>
      <c r="D255" s="520" t="s">
        <v>901</v>
      </c>
    </row>
    <row r="256" spans="1:4" x14ac:dyDescent="0.2">
      <c r="A256" s="520" t="s">
        <v>3036</v>
      </c>
      <c r="B256" s="531">
        <v>5000000</v>
      </c>
      <c r="C256" s="520">
        <v>0</v>
      </c>
      <c r="D256" s="520" t="s">
        <v>901</v>
      </c>
    </row>
    <row r="257" spans="1:4" x14ac:dyDescent="0.2">
      <c r="A257" s="520" t="s">
        <v>3298</v>
      </c>
      <c r="B257" s="531">
        <v>5000000</v>
      </c>
      <c r="C257" s="520">
        <v>0</v>
      </c>
      <c r="D257" s="520" t="s">
        <v>901</v>
      </c>
    </row>
    <row r="258" spans="1:4" x14ac:dyDescent="0.2">
      <c r="A258" s="520" t="s">
        <v>3037</v>
      </c>
      <c r="B258" s="531">
        <v>5000000</v>
      </c>
      <c r="C258" s="520">
        <v>0</v>
      </c>
      <c r="D258" s="520" t="s">
        <v>901</v>
      </c>
    </row>
    <row r="259" spans="1:4" x14ac:dyDescent="0.2">
      <c r="A259" s="520" t="s">
        <v>2268</v>
      </c>
      <c r="B259" s="531">
        <v>5000000</v>
      </c>
      <c r="C259" s="520">
        <v>0</v>
      </c>
      <c r="D259" s="520" t="s">
        <v>901</v>
      </c>
    </row>
    <row r="260" spans="1:4" x14ac:dyDescent="0.2">
      <c r="A260" s="520" t="s">
        <v>2737</v>
      </c>
      <c r="B260" s="531">
        <v>5000000</v>
      </c>
      <c r="C260" s="520">
        <v>0</v>
      </c>
      <c r="D260" s="520" t="s">
        <v>901</v>
      </c>
    </row>
    <row r="261" spans="1:4" x14ac:dyDescent="0.2">
      <c r="A261" s="520" t="s">
        <v>3236</v>
      </c>
      <c r="B261" s="531">
        <v>5000000</v>
      </c>
      <c r="C261" s="520">
        <v>0</v>
      </c>
      <c r="D261" s="520" t="s">
        <v>901</v>
      </c>
    </row>
    <row r="262" spans="1:4" x14ac:dyDescent="0.2">
      <c r="A262" s="520" t="s">
        <v>2559</v>
      </c>
      <c r="B262" s="531">
        <v>5000000</v>
      </c>
      <c r="C262" s="520">
        <v>0</v>
      </c>
      <c r="D262" s="520" t="s">
        <v>901</v>
      </c>
    </row>
    <row r="263" spans="1:4" x14ac:dyDescent="0.2">
      <c r="A263" s="520" t="s">
        <v>2638</v>
      </c>
      <c r="B263" s="531">
        <v>5000000</v>
      </c>
      <c r="C263" s="520">
        <v>0</v>
      </c>
      <c r="D263" s="520" t="s">
        <v>901</v>
      </c>
    </row>
    <row r="264" spans="1:4" x14ac:dyDescent="0.2">
      <c r="A264" s="520" t="s">
        <v>3461</v>
      </c>
      <c r="B264" s="531">
        <v>5000000</v>
      </c>
      <c r="C264" s="520">
        <v>0</v>
      </c>
      <c r="D264" s="520" t="s">
        <v>901</v>
      </c>
    </row>
    <row r="265" spans="1:4" x14ac:dyDescent="0.2">
      <c r="A265" s="520" t="s">
        <v>3038</v>
      </c>
      <c r="B265" s="531">
        <v>5000000</v>
      </c>
      <c r="C265" s="520">
        <v>0</v>
      </c>
      <c r="D265" s="520" t="s">
        <v>901</v>
      </c>
    </row>
    <row r="266" spans="1:4" x14ac:dyDescent="0.2">
      <c r="A266" s="520" t="s">
        <v>3373</v>
      </c>
      <c r="B266" s="531">
        <v>5000000</v>
      </c>
      <c r="C266" s="520">
        <v>0</v>
      </c>
      <c r="D266" s="520" t="s">
        <v>901</v>
      </c>
    </row>
    <row r="267" spans="1:4" x14ac:dyDescent="0.2">
      <c r="A267" s="520" t="s">
        <v>3039</v>
      </c>
      <c r="B267" s="531">
        <v>5000000</v>
      </c>
      <c r="C267" s="520">
        <v>0</v>
      </c>
      <c r="D267" s="520" t="s">
        <v>901</v>
      </c>
    </row>
    <row r="268" spans="1:4" x14ac:dyDescent="0.2">
      <c r="A268" s="520" t="s">
        <v>3040</v>
      </c>
      <c r="B268" s="531">
        <v>5000000</v>
      </c>
      <c r="C268" s="520">
        <v>0</v>
      </c>
      <c r="D268" s="520" t="s">
        <v>901</v>
      </c>
    </row>
    <row r="269" spans="1:4" x14ac:dyDescent="0.2">
      <c r="A269" s="520" t="s">
        <v>3237</v>
      </c>
      <c r="B269" s="531">
        <v>5000000</v>
      </c>
      <c r="C269" s="520">
        <v>0</v>
      </c>
      <c r="D269" s="520" t="s">
        <v>901</v>
      </c>
    </row>
    <row r="270" spans="1:4" x14ac:dyDescent="0.2">
      <c r="A270" s="520" t="s">
        <v>3462</v>
      </c>
      <c r="B270" s="531">
        <v>5000000</v>
      </c>
      <c r="C270" s="520">
        <v>0</v>
      </c>
      <c r="D270" s="520" t="s">
        <v>901</v>
      </c>
    </row>
    <row r="271" spans="1:4" x14ac:dyDescent="0.2">
      <c r="A271" s="520" t="s">
        <v>4299</v>
      </c>
      <c r="B271" s="531">
        <v>5000000</v>
      </c>
      <c r="C271" s="520">
        <v>0</v>
      </c>
      <c r="D271" s="520" t="s">
        <v>901</v>
      </c>
    </row>
    <row r="272" spans="1:4" x14ac:dyDescent="0.2">
      <c r="A272" s="520" t="s">
        <v>989</v>
      </c>
      <c r="B272" s="531">
        <v>5000000</v>
      </c>
      <c r="C272" s="520">
        <v>0</v>
      </c>
      <c r="D272" s="520" t="s">
        <v>901</v>
      </c>
    </row>
  </sheetData>
  <autoFilter ref="A1:D246" xr:uid="{00000000-0009-0000-0000-00000D000000}">
    <sortState xmlns:xlrd2="http://schemas.microsoft.com/office/spreadsheetml/2017/richdata2" ref="A2:D285">
      <sortCondition ref="D1:D114"/>
    </sortState>
  </autoFilter>
  <sortState xmlns:xlrd2="http://schemas.microsoft.com/office/spreadsheetml/2017/richdata2" ref="A67:D168">
    <sortCondition ref="A67:A168"/>
  </sortState>
  <printOptions horizontalCentered="1" verticalCentered="1"/>
  <pageMargins left="0.70866141732283472" right="0.47244094488188981" top="0.55118110236220474" bottom="0.98425196850393704" header="0" footer="0"/>
  <pageSetup scale="11" orientation="landscape" verticalDpi="300" r:id="rId1"/>
  <headerFooter alignWithMargins="0">
    <oddFooter>&amp;C&amp;P&amp;RElaborado por EQUILIBRIUM Inmobiliario S.A.S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>
    <pageSetUpPr fitToPage="1"/>
  </sheetPr>
  <dimension ref="A1:L252"/>
  <sheetViews>
    <sheetView workbookViewId="0">
      <pane xSplit="1" ySplit="1" topLeftCell="B2" activePane="bottomRight" state="frozen"/>
      <selection activeCell="B9" sqref="B9:C9"/>
      <selection pane="topRight" activeCell="B9" sqref="B9:C9"/>
      <selection pane="bottomLeft" activeCell="B9" sqref="B9:C9"/>
      <selection pane="bottomRight" activeCell="D1" sqref="D1:G1048576"/>
    </sheetView>
  </sheetViews>
  <sheetFormatPr baseColWidth="10" defaultRowHeight="12.75" x14ac:dyDescent="0.2"/>
  <cols>
    <col min="2" max="2" width="14.5703125" style="514" bestFit="1" customWidth="1"/>
    <col min="4" max="6" width="11.42578125" hidden="1" customWidth="1"/>
    <col min="7" max="7" width="13.5703125" hidden="1" customWidth="1"/>
  </cols>
  <sheetData>
    <row r="1" spans="1:12" ht="15.75" customHeight="1" x14ac:dyDescent="0.2">
      <c r="A1" s="622" t="s">
        <v>30</v>
      </c>
      <c r="B1" s="554" t="s">
        <v>70</v>
      </c>
    </row>
    <row r="2" spans="1:12" x14ac:dyDescent="0.2">
      <c r="A2" s="628" t="s">
        <v>2145</v>
      </c>
      <c r="B2" s="542">
        <v>373219879</v>
      </c>
      <c r="D2" s="639" t="s">
        <v>2447</v>
      </c>
      <c r="E2" s="640">
        <v>5033621</v>
      </c>
      <c r="G2" s="637">
        <v>373219879</v>
      </c>
    </row>
    <row r="3" spans="1:12" x14ac:dyDescent="0.2">
      <c r="A3" s="628" t="s">
        <v>2146</v>
      </c>
      <c r="B3" s="542">
        <v>274515673</v>
      </c>
      <c r="D3" s="639" t="s">
        <v>2448</v>
      </c>
      <c r="E3" s="640">
        <v>345927</v>
      </c>
      <c r="G3" s="637">
        <v>274515673</v>
      </c>
    </row>
    <row r="4" spans="1:12" x14ac:dyDescent="0.2">
      <c r="A4" s="628" t="s">
        <v>2147</v>
      </c>
      <c r="B4" s="542">
        <v>314409833</v>
      </c>
      <c r="D4" s="639" t="s">
        <v>2449</v>
      </c>
      <c r="E4" s="640">
        <v>2644567</v>
      </c>
      <c r="G4" s="637">
        <v>314409833</v>
      </c>
    </row>
    <row r="5" spans="1:12" x14ac:dyDescent="0.2">
      <c r="A5" s="628" t="s">
        <v>2148</v>
      </c>
      <c r="B5" s="542">
        <v>312867258</v>
      </c>
      <c r="D5" s="639" t="s">
        <v>2450</v>
      </c>
      <c r="E5" s="640">
        <v>8554742</v>
      </c>
      <c r="G5" s="637">
        <v>312867258</v>
      </c>
    </row>
    <row r="6" spans="1:12" x14ac:dyDescent="0.2">
      <c r="A6" s="628" t="s">
        <v>2149</v>
      </c>
      <c r="B6" s="542">
        <v>268933812</v>
      </c>
      <c r="D6" s="639" t="s">
        <v>2451</v>
      </c>
      <c r="E6" s="639">
        <v>2088188</v>
      </c>
      <c r="G6" s="637">
        <v>268933812</v>
      </c>
    </row>
    <row r="7" spans="1:12" x14ac:dyDescent="0.2">
      <c r="A7" s="628" t="s">
        <v>2150</v>
      </c>
      <c r="B7" s="542">
        <v>353607900</v>
      </c>
      <c r="D7" s="639" t="s">
        <v>2647</v>
      </c>
      <c r="E7" s="639">
        <v>15000000</v>
      </c>
      <c r="G7" s="637">
        <v>353607900</v>
      </c>
    </row>
    <row r="8" spans="1:12" x14ac:dyDescent="0.2">
      <c r="A8" s="628" t="s">
        <v>2151</v>
      </c>
      <c r="B8" s="542">
        <v>306677340</v>
      </c>
      <c r="D8" s="639" t="s">
        <v>2452</v>
      </c>
      <c r="E8" s="639">
        <v>21259660</v>
      </c>
      <c r="G8" s="637">
        <v>306677340</v>
      </c>
    </row>
    <row r="9" spans="1:12" x14ac:dyDescent="0.2">
      <c r="A9" s="628" t="s">
        <v>2152</v>
      </c>
      <c r="B9" s="542">
        <v>298392021</v>
      </c>
      <c r="D9" s="639" t="s">
        <v>2453</v>
      </c>
      <c r="E9" s="639">
        <v>17257179</v>
      </c>
      <c r="G9" s="637">
        <v>298392021</v>
      </c>
    </row>
    <row r="10" spans="1:12" x14ac:dyDescent="0.2">
      <c r="A10" s="628" t="s">
        <v>2153</v>
      </c>
      <c r="B10" s="542">
        <v>268765600</v>
      </c>
      <c r="D10" s="639" t="s">
        <v>2454</v>
      </c>
      <c r="E10" s="639">
        <v>0</v>
      </c>
      <c r="G10" s="637">
        <v>268765600</v>
      </c>
    </row>
    <row r="11" spans="1:12" x14ac:dyDescent="0.2">
      <c r="A11" s="628" t="s">
        <v>2154</v>
      </c>
      <c r="B11" s="542">
        <v>318519992</v>
      </c>
      <c r="D11" s="639" t="s">
        <v>2455</v>
      </c>
      <c r="E11" s="639">
        <v>4709908</v>
      </c>
      <c r="G11" s="637">
        <v>318519992</v>
      </c>
    </row>
    <row r="12" spans="1:12" x14ac:dyDescent="0.2">
      <c r="A12" s="628" t="s">
        <v>2155</v>
      </c>
      <c r="B12" s="542">
        <v>337751526</v>
      </c>
      <c r="D12" s="639" t="s">
        <v>2456</v>
      </c>
      <c r="E12" s="640">
        <v>17002003</v>
      </c>
      <c r="G12" s="637">
        <v>337751526</v>
      </c>
    </row>
    <row r="13" spans="1:12" x14ac:dyDescent="0.2">
      <c r="A13" s="628" t="s">
        <v>2156</v>
      </c>
      <c r="B13" s="542">
        <v>316834334</v>
      </c>
      <c r="D13" s="639" t="s">
        <v>2457</v>
      </c>
      <c r="E13" s="640">
        <v>66030</v>
      </c>
      <c r="G13" s="637">
        <v>316834334</v>
      </c>
    </row>
    <row r="14" spans="1:12" x14ac:dyDescent="0.2">
      <c r="A14" s="628" t="s">
        <v>2157</v>
      </c>
      <c r="B14" s="542">
        <v>267787400</v>
      </c>
      <c r="D14" s="639" t="s">
        <v>2458</v>
      </c>
      <c r="E14" s="640">
        <v>0</v>
      </c>
      <c r="G14" s="637">
        <v>267787400</v>
      </c>
    </row>
    <row r="15" spans="1:12" x14ac:dyDescent="0.2">
      <c r="A15" s="628" t="s">
        <v>2135</v>
      </c>
      <c r="B15" s="542">
        <v>357033815</v>
      </c>
      <c r="D15" s="639" t="s">
        <v>2571</v>
      </c>
      <c r="E15" s="640">
        <v>10000000</v>
      </c>
      <c r="G15" s="637">
        <v>357033815</v>
      </c>
      <c r="K15" s="628"/>
      <c r="L15" s="542"/>
    </row>
    <row r="16" spans="1:12" x14ac:dyDescent="0.2">
      <c r="A16" s="628" t="s">
        <v>2158</v>
      </c>
      <c r="B16" s="542">
        <v>334491358</v>
      </c>
      <c r="D16" s="639" t="s">
        <v>2459</v>
      </c>
      <c r="E16" s="640">
        <v>23056321</v>
      </c>
      <c r="G16" s="637">
        <v>334491358</v>
      </c>
    </row>
    <row r="17" spans="1:7" x14ac:dyDescent="0.2">
      <c r="A17" s="628" t="s">
        <v>2159</v>
      </c>
      <c r="B17" s="542">
        <v>305996531</v>
      </c>
      <c r="D17" s="639" t="s">
        <v>2460</v>
      </c>
      <c r="E17" s="640">
        <v>16282800</v>
      </c>
      <c r="G17" s="637">
        <v>305996531</v>
      </c>
    </row>
    <row r="18" spans="1:7" x14ac:dyDescent="0.2">
      <c r="A18" s="628" t="s">
        <v>2160</v>
      </c>
      <c r="B18" s="542">
        <v>267249367</v>
      </c>
      <c r="D18" s="639" t="s">
        <v>2461</v>
      </c>
      <c r="E18" s="640">
        <v>500000</v>
      </c>
      <c r="G18" s="637">
        <v>267249367</v>
      </c>
    </row>
    <row r="19" spans="1:7" x14ac:dyDescent="0.2">
      <c r="A19" s="628" t="s">
        <v>2162</v>
      </c>
      <c r="B19" s="542">
        <v>312398953</v>
      </c>
      <c r="D19" s="639" t="s">
        <v>2462</v>
      </c>
      <c r="E19" s="639">
        <v>3879047</v>
      </c>
      <c r="G19" s="637">
        <v>312398953</v>
      </c>
    </row>
    <row r="20" spans="1:7" x14ac:dyDescent="0.2">
      <c r="A20" s="628" t="s">
        <v>2163</v>
      </c>
      <c r="B20" s="542">
        <v>315320740</v>
      </c>
      <c r="D20" s="639" t="s">
        <v>2463</v>
      </c>
      <c r="E20" s="640">
        <v>4264860</v>
      </c>
      <c r="G20" s="637">
        <v>315320740</v>
      </c>
    </row>
    <row r="21" spans="1:7" x14ac:dyDescent="0.2">
      <c r="A21" s="628" t="s">
        <v>2164</v>
      </c>
      <c r="B21" s="542">
        <v>264842751</v>
      </c>
      <c r="D21" s="639" t="s">
        <v>2464</v>
      </c>
      <c r="E21" s="640">
        <v>3544649</v>
      </c>
      <c r="G21" s="637">
        <v>264842751</v>
      </c>
    </row>
    <row r="22" spans="1:7" x14ac:dyDescent="0.2">
      <c r="A22" s="628" t="s">
        <v>2136</v>
      </c>
      <c r="B22" s="542">
        <v>350141388</v>
      </c>
      <c r="D22" s="639" t="s">
        <v>2572</v>
      </c>
      <c r="E22" s="639">
        <v>15955612</v>
      </c>
      <c r="G22" s="637">
        <v>350141388</v>
      </c>
    </row>
    <row r="23" spans="1:7" x14ac:dyDescent="0.2">
      <c r="A23" s="628" t="s">
        <v>2165</v>
      </c>
      <c r="B23" s="542">
        <v>335558193</v>
      </c>
      <c r="D23" s="639" t="s">
        <v>2465</v>
      </c>
      <c r="E23" s="639">
        <v>1137807</v>
      </c>
      <c r="G23" s="637">
        <v>335558193</v>
      </c>
    </row>
    <row r="24" spans="1:7" x14ac:dyDescent="0.2">
      <c r="A24" s="628" t="s">
        <v>2166</v>
      </c>
      <c r="B24" s="542">
        <v>300872200</v>
      </c>
      <c r="D24" s="639" t="s">
        <v>2466</v>
      </c>
      <c r="E24" s="640">
        <v>19013400</v>
      </c>
      <c r="G24" s="637">
        <v>300872200</v>
      </c>
    </row>
    <row r="25" spans="1:7" x14ac:dyDescent="0.2">
      <c r="A25" s="628" t="s">
        <v>2167</v>
      </c>
      <c r="B25" s="542">
        <v>267409200</v>
      </c>
      <c r="D25" s="639" t="s">
        <v>2467</v>
      </c>
      <c r="E25" s="639">
        <v>71317</v>
      </c>
      <c r="G25" s="637">
        <v>267409200</v>
      </c>
    </row>
    <row r="26" spans="1:7" x14ac:dyDescent="0.2">
      <c r="A26" s="628" t="s">
        <v>2168</v>
      </c>
      <c r="B26" s="542">
        <v>324429900</v>
      </c>
      <c r="D26" s="639" t="s">
        <v>2468</v>
      </c>
      <c r="E26" s="639">
        <v>0</v>
      </c>
      <c r="G26" s="637">
        <v>324429900</v>
      </c>
    </row>
    <row r="27" spans="1:7" x14ac:dyDescent="0.2">
      <c r="A27" s="628" t="s">
        <v>2169</v>
      </c>
      <c r="B27" s="542">
        <v>323738344</v>
      </c>
      <c r="D27" s="639" t="s">
        <v>2469</v>
      </c>
      <c r="E27" s="640">
        <v>407356</v>
      </c>
      <c r="G27" s="637">
        <v>323738344</v>
      </c>
    </row>
    <row r="28" spans="1:7" x14ac:dyDescent="0.2">
      <c r="A28" s="628" t="s">
        <v>2170</v>
      </c>
      <c r="B28" s="542">
        <v>363010000</v>
      </c>
      <c r="D28" s="639" t="s">
        <v>2470</v>
      </c>
      <c r="E28" s="639">
        <v>0</v>
      </c>
      <c r="G28" s="637">
        <v>363010000</v>
      </c>
    </row>
    <row r="29" spans="1:7" x14ac:dyDescent="0.2">
      <c r="A29" s="628" t="s">
        <v>2171</v>
      </c>
      <c r="B29" s="542">
        <v>268071788</v>
      </c>
      <c r="D29" s="639" t="s">
        <v>2471</v>
      </c>
      <c r="E29" s="639">
        <v>500000</v>
      </c>
      <c r="G29" s="637">
        <v>268071788</v>
      </c>
    </row>
    <row r="30" spans="1:7" x14ac:dyDescent="0.2">
      <c r="A30" s="628" t="s">
        <v>2172</v>
      </c>
      <c r="B30" s="542">
        <v>388680000</v>
      </c>
      <c r="D30" s="639" t="s">
        <v>4353</v>
      </c>
      <c r="E30" s="640">
        <v>10000000</v>
      </c>
      <c r="G30" s="637">
        <v>388680000</v>
      </c>
    </row>
    <row r="31" spans="1:7" x14ac:dyDescent="0.2">
      <c r="A31" s="628" t="s">
        <v>2173</v>
      </c>
      <c r="B31" s="542">
        <v>315322000</v>
      </c>
      <c r="D31" s="639" t="s">
        <v>2472</v>
      </c>
      <c r="E31" s="639">
        <v>2320600</v>
      </c>
      <c r="G31" s="637">
        <v>315322000</v>
      </c>
    </row>
    <row r="32" spans="1:7" x14ac:dyDescent="0.2">
      <c r="A32" s="628" t="s">
        <v>2174</v>
      </c>
      <c r="B32" s="542">
        <v>313548519</v>
      </c>
      <c r="D32" s="639" t="s">
        <v>2473</v>
      </c>
      <c r="E32" s="640">
        <v>5418881</v>
      </c>
      <c r="G32" s="637">
        <v>313548519</v>
      </c>
    </row>
    <row r="33" spans="1:7" x14ac:dyDescent="0.2">
      <c r="A33" s="628" t="s">
        <v>2175</v>
      </c>
      <c r="B33" s="542">
        <v>268000000</v>
      </c>
      <c r="D33" s="639" t="s">
        <v>2474</v>
      </c>
      <c r="E33" s="639">
        <v>1287400</v>
      </c>
      <c r="G33" s="637">
        <v>268000000</v>
      </c>
    </row>
    <row r="34" spans="1:7" x14ac:dyDescent="0.2">
      <c r="A34" s="628" t="s">
        <v>2176</v>
      </c>
      <c r="B34" s="542">
        <v>308354936</v>
      </c>
      <c r="D34" s="639" t="s">
        <v>2475</v>
      </c>
      <c r="E34" s="640">
        <v>9823264</v>
      </c>
      <c r="G34" s="637">
        <v>308354936</v>
      </c>
    </row>
    <row r="35" spans="1:7" x14ac:dyDescent="0.2">
      <c r="A35" s="628" t="s">
        <v>2177</v>
      </c>
      <c r="B35" s="542">
        <v>356171070</v>
      </c>
      <c r="D35" s="639" t="s">
        <v>2648</v>
      </c>
      <c r="E35" s="640">
        <v>13493930</v>
      </c>
      <c r="G35" s="637">
        <v>356171070</v>
      </c>
    </row>
    <row r="36" spans="1:7" x14ac:dyDescent="0.2">
      <c r="A36" s="628" t="s">
        <v>2178</v>
      </c>
      <c r="B36" s="542">
        <v>319267400</v>
      </c>
      <c r="D36" s="639" t="s">
        <v>2476</v>
      </c>
      <c r="E36" s="640">
        <v>0</v>
      </c>
      <c r="G36" s="637">
        <v>319267400</v>
      </c>
    </row>
    <row r="37" spans="1:7" x14ac:dyDescent="0.2">
      <c r="A37" s="628" t="s">
        <v>2179</v>
      </c>
      <c r="B37" s="542">
        <v>268000000</v>
      </c>
      <c r="D37" s="639" t="s">
        <v>2477</v>
      </c>
      <c r="E37" s="639">
        <v>1587400</v>
      </c>
      <c r="G37" s="637">
        <v>268000000</v>
      </c>
    </row>
    <row r="38" spans="1:7" x14ac:dyDescent="0.2">
      <c r="A38" s="628" t="s">
        <v>2180</v>
      </c>
      <c r="B38" s="542">
        <v>316169704</v>
      </c>
      <c r="D38" s="639" t="s">
        <v>2478</v>
      </c>
      <c r="E38" s="640">
        <v>2308496</v>
      </c>
      <c r="G38" s="637">
        <v>316169704</v>
      </c>
    </row>
    <row r="39" spans="1:7" x14ac:dyDescent="0.2">
      <c r="A39" s="628" t="s">
        <v>2181</v>
      </c>
      <c r="B39" s="542">
        <v>286538386</v>
      </c>
      <c r="D39" s="639" t="s">
        <v>2479</v>
      </c>
      <c r="E39" s="639">
        <v>36239614</v>
      </c>
      <c r="G39" s="637">
        <v>286538386</v>
      </c>
    </row>
    <row r="40" spans="1:7" x14ac:dyDescent="0.2">
      <c r="A40" s="628" t="s">
        <v>2182</v>
      </c>
      <c r="B40" s="542">
        <v>320710032</v>
      </c>
      <c r="D40" s="639" t="s">
        <v>2480</v>
      </c>
      <c r="E40" s="639">
        <v>3443965</v>
      </c>
      <c r="G40" s="637">
        <v>320710032</v>
      </c>
    </row>
    <row r="41" spans="1:7" x14ac:dyDescent="0.2">
      <c r="A41" s="628" t="s">
        <v>2183</v>
      </c>
      <c r="B41" s="542">
        <v>265955042</v>
      </c>
      <c r="D41" s="639" t="s">
        <v>2481</v>
      </c>
      <c r="E41" s="639">
        <v>3932358</v>
      </c>
      <c r="G41" s="637">
        <v>265955042</v>
      </c>
    </row>
    <row r="42" spans="1:7" x14ac:dyDescent="0.2">
      <c r="A42" s="628" t="s">
        <v>2184</v>
      </c>
      <c r="B42" s="542">
        <v>316083021</v>
      </c>
      <c r="D42" s="639" t="s">
        <v>2482</v>
      </c>
      <c r="E42" s="640">
        <v>2695179</v>
      </c>
      <c r="G42" s="637">
        <v>316083021</v>
      </c>
    </row>
    <row r="43" spans="1:7" x14ac:dyDescent="0.2">
      <c r="A43" s="628" t="s">
        <v>2185</v>
      </c>
      <c r="B43" s="542">
        <v>330637000</v>
      </c>
      <c r="D43" s="639" t="s">
        <v>2483</v>
      </c>
      <c r="E43" s="639">
        <v>0</v>
      </c>
      <c r="G43" s="637">
        <v>330637000</v>
      </c>
    </row>
    <row r="44" spans="1:7" x14ac:dyDescent="0.2">
      <c r="A44" s="628" t="s">
        <v>2186</v>
      </c>
      <c r="B44" s="542">
        <v>320957780</v>
      </c>
      <c r="D44" s="639" t="s">
        <v>2484</v>
      </c>
      <c r="E44" s="640">
        <v>3464220</v>
      </c>
      <c r="G44" s="637">
        <v>320957780</v>
      </c>
    </row>
    <row r="45" spans="1:7" x14ac:dyDescent="0.2">
      <c r="A45" s="628" t="s">
        <v>2187</v>
      </c>
      <c r="B45" s="542">
        <v>267845335</v>
      </c>
      <c r="D45" s="639" t="s">
        <v>2485</v>
      </c>
      <c r="E45" s="640">
        <v>2342065</v>
      </c>
      <c r="G45" s="637">
        <v>267845335</v>
      </c>
    </row>
    <row r="46" spans="1:7" x14ac:dyDescent="0.2">
      <c r="A46" s="628" t="s">
        <v>2188</v>
      </c>
      <c r="B46" s="542">
        <v>360612500</v>
      </c>
      <c r="D46" s="639" t="s">
        <v>2486</v>
      </c>
      <c r="E46" s="640">
        <v>5000000</v>
      </c>
      <c r="G46" s="637">
        <v>360612500</v>
      </c>
    </row>
    <row r="47" spans="1:7" x14ac:dyDescent="0.2">
      <c r="A47" s="628" t="s">
        <v>2189</v>
      </c>
      <c r="B47" s="542">
        <v>310931017</v>
      </c>
      <c r="D47" s="639" t="s">
        <v>2487</v>
      </c>
      <c r="E47" s="640">
        <v>7911583</v>
      </c>
      <c r="G47" s="637">
        <v>310931017</v>
      </c>
    </row>
    <row r="48" spans="1:7" x14ac:dyDescent="0.2">
      <c r="A48" s="628" t="s">
        <v>2190</v>
      </c>
      <c r="B48" s="542">
        <v>318649200</v>
      </c>
      <c r="D48" s="639" t="s">
        <v>2488</v>
      </c>
      <c r="E48" s="639">
        <v>0</v>
      </c>
      <c r="G48" s="637">
        <v>318649200</v>
      </c>
    </row>
    <row r="49" spans="1:7" x14ac:dyDescent="0.2">
      <c r="A49" s="628" t="s">
        <v>2191</v>
      </c>
      <c r="B49" s="542">
        <v>268848918</v>
      </c>
      <c r="D49" s="639" t="s">
        <v>2489</v>
      </c>
      <c r="E49" s="640">
        <v>1326062</v>
      </c>
      <c r="G49" s="637">
        <v>268848918</v>
      </c>
    </row>
    <row r="50" spans="1:7" x14ac:dyDescent="0.2">
      <c r="A50" s="628" t="s">
        <v>2192</v>
      </c>
      <c r="B50" s="542">
        <v>351949319</v>
      </c>
      <c r="D50" s="639" t="s">
        <v>2490</v>
      </c>
      <c r="E50" s="640">
        <v>14480581</v>
      </c>
      <c r="G50" s="637">
        <v>351949319</v>
      </c>
    </row>
    <row r="51" spans="1:7" x14ac:dyDescent="0.2">
      <c r="A51" s="628" t="s">
        <v>2193</v>
      </c>
      <c r="B51" s="542">
        <v>319994795</v>
      </c>
      <c r="D51" s="639" t="s">
        <v>2491</v>
      </c>
      <c r="E51" s="640">
        <v>3683205</v>
      </c>
      <c r="G51" s="637">
        <v>319994795</v>
      </c>
    </row>
    <row r="52" spans="1:7" x14ac:dyDescent="0.2">
      <c r="A52" s="628" t="s">
        <v>2194</v>
      </c>
      <c r="B52" s="542">
        <v>320467400</v>
      </c>
      <c r="D52" s="639" t="s">
        <v>2492</v>
      </c>
      <c r="E52" s="640">
        <v>0</v>
      </c>
      <c r="G52" s="637">
        <v>320467400</v>
      </c>
    </row>
    <row r="53" spans="1:7" x14ac:dyDescent="0.2">
      <c r="A53" s="628" t="s">
        <v>2195</v>
      </c>
      <c r="B53" s="542">
        <v>261819037</v>
      </c>
      <c r="D53" s="639" t="s">
        <v>2493</v>
      </c>
      <c r="E53" s="639">
        <v>8968363</v>
      </c>
      <c r="G53" s="637">
        <v>261819037</v>
      </c>
    </row>
    <row r="54" spans="1:7" x14ac:dyDescent="0.2">
      <c r="A54" s="628" t="s">
        <v>2196</v>
      </c>
      <c r="B54" s="542">
        <v>324246000</v>
      </c>
      <c r="D54" s="639" t="s">
        <v>2494</v>
      </c>
      <c r="E54" s="639">
        <v>0</v>
      </c>
      <c r="G54" s="637">
        <v>324246000</v>
      </c>
    </row>
    <row r="55" spans="1:7" x14ac:dyDescent="0.2">
      <c r="A55" s="628" t="s">
        <v>2197</v>
      </c>
      <c r="B55" s="542">
        <v>320518220</v>
      </c>
      <c r="D55" s="639" t="s">
        <v>2495</v>
      </c>
      <c r="E55" s="640">
        <v>3459780</v>
      </c>
      <c r="G55" s="637">
        <v>320518220</v>
      </c>
    </row>
    <row r="56" spans="1:7" x14ac:dyDescent="0.2">
      <c r="A56" s="628" t="s">
        <v>2198</v>
      </c>
      <c r="B56" s="542">
        <v>282152411</v>
      </c>
      <c r="D56" s="639" t="s">
        <v>2496</v>
      </c>
      <c r="E56" s="639">
        <v>38614989</v>
      </c>
      <c r="G56" s="637">
        <v>282152411</v>
      </c>
    </row>
    <row r="57" spans="1:7" x14ac:dyDescent="0.2">
      <c r="A57" s="628" t="s">
        <v>2199</v>
      </c>
      <c r="B57" s="542">
        <v>267870177</v>
      </c>
      <c r="D57" s="639" t="s">
        <v>2497</v>
      </c>
      <c r="E57" s="639">
        <v>1939023</v>
      </c>
      <c r="G57" s="637">
        <v>267870177</v>
      </c>
    </row>
    <row r="58" spans="1:7" x14ac:dyDescent="0.2">
      <c r="A58" s="628" t="s">
        <v>2137</v>
      </c>
      <c r="B58" s="542">
        <v>352260170</v>
      </c>
      <c r="D58" s="639" t="s">
        <v>2498</v>
      </c>
      <c r="E58" s="639">
        <v>16536830</v>
      </c>
      <c r="G58" s="637">
        <v>352260170</v>
      </c>
    </row>
    <row r="59" spans="1:7" x14ac:dyDescent="0.2">
      <c r="A59" s="628" t="s">
        <v>2200</v>
      </c>
      <c r="B59" s="542">
        <v>309980251</v>
      </c>
      <c r="D59" s="639" t="s">
        <v>2499</v>
      </c>
      <c r="E59" s="640">
        <v>9762349</v>
      </c>
      <c r="G59" s="637">
        <v>309980251</v>
      </c>
    </row>
    <row r="60" spans="1:7" x14ac:dyDescent="0.2">
      <c r="A60" s="628" t="s">
        <v>2201</v>
      </c>
      <c r="B60" s="542">
        <v>322095780</v>
      </c>
      <c r="D60" s="639" t="s">
        <v>2500</v>
      </c>
      <c r="E60" s="640">
        <v>3526220</v>
      </c>
      <c r="G60" s="637">
        <v>322095780</v>
      </c>
    </row>
    <row r="61" spans="1:7" x14ac:dyDescent="0.2">
      <c r="A61" s="628" t="s">
        <v>2202</v>
      </c>
      <c r="B61" s="542">
        <v>268403523</v>
      </c>
      <c r="D61" s="639" t="s">
        <v>2501</v>
      </c>
      <c r="E61" s="639">
        <v>2983874</v>
      </c>
      <c r="G61" s="637">
        <v>268403523</v>
      </c>
    </row>
    <row r="62" spans="1:7" x14ac:dyDescent="0.2">
      <c r="A62" s="628" t="s">
        <v>2203</v>
      </c>
      <c r="B62" s="542">
        <v>318288439</v>
      </c>
      <c r="D62" s="639" t="s">
        <v>2502</v>
      </c>
      <c r="E62" s="639">
        <v>6557561</v>
      </c>
      <c r="G62" s="637">
        <v>318288439</v>
      </c>
    </row>
    <row r="63" spans="1:7" x14ac:dyDescent="0.2">
      <c r="A63" s="628" t="s">
        <v>2204</v>
      </c>
      <c r="B63" s="542">
        <v>321554400</v>
      </c>
      <c r="D63" s="639" t="s">
        <v>2503</v>
      </c>
      <c r="E63" s="639">
        <v>0</v>
      </c>
      <c r="G63" s="637">
        <v>321554400</v>
      </c>
    </row>
    <row r="64" spans="1:7" x14ac:dyDescent="0.2">
      <c r="A64" s="628" t="s">
        <v>2205</v>
      </c>
      <c r="B64" s="542">
        <v>325863254</v>
      </c>
      <c r="D64" s="639" t="s">
        <v>2504</v>
      </c>
      <c r="E64" s="640">
        <v>58746</v>
      </c>
      <c r="G64" s="637">
        <v>325863254</v>
      </c>
    </row>
    <row r="65" spans="1:7" x14ac:dyDescent="0.2">
      <c r="A65" s="628" t="s">
        <v>2206</v>
      </c>
      <c r="B65" s="542">
        <v>270687400</v>
      </c>
      <c r="D65" s="639" t="s">
        <v>2505</v>
      </c>
      <c r="E65" s="640">
        <v>1000000</v>
      </c>
      <c r="G65" s="637">
        <v>270687400</v>
      </c>
    </row>
    <row r="66" spans="1:7" x14ac:dyDescent="0.2">
      <c r="A66" s="628" t="s">
        <v>2138</v>
      </c>
      <c r="B66" s="542">
        <v>348449883</v>
      </c>
      <c r="D66" s="639" t="s">
        <v>2506</v>
      </c>
      <c r="E66" s="640">
        <v>20947117</v>
      </c>
      <c r="G66" s="637">
        <v>348449883</v>
      </c>
    </row>
    <row r="67" spans="1:7" x14ac:dyDescent="0.2">
      <c r="A67" s="628" t="s">
        <v>2207</v>
      </c>
      <c r="B67" s="542">
        <v>320342600</v>
      </c>
      <c r="D67" s="639" t="s">
        <v>2507</v>
      </c>
      <c r="E67" s="640">
        <v>0</v>
      </c>
      <c r="G67" s="637">
        <v>320342600</v>
      </c>
    </row>
    <row r="68" spans="1:7" x14ac:dyDescent="0.2">
      <c r="A68" s="628" t="s">
        <v>2208</v>
      </c>
      <c r="B68" s="542">
        <v>321667400</v>
      </c>
      <c r="D68" s="639" t="s">
        <v>2508</v>
      </c>
      <c r="E68" s="640">
        <v>0</v>
      </c>
      <c r="G68" s="637">
        <v>321667400</v>
      </c>
    </row>
    <row r="69" spans="1:7" x14ac:dyDescent="0.2">
      <c r="A69" s="628" t="s">
        <v>2209</v>
      </c>
      <c r="B69" s="542">
        <v>249950688</v>
      </c>
      <c r="D69" s="639" t="s">
        <v>2509</v>
      </c>
      <c r="E69" s="639">
        <v>22036712</v>
      </c>
      <c r="G69" s="637">
        <v>249950688</v>
      </c>
    </row>
    <row r="70" spans="1:7" x14ac:dyDescent="0.2">
      <c r="A70" s="628" t="s">
        <v>2139</v>
      </c>
      <c r="B70" s="542">
        <v>364414700</v>
      </c>
      <c r="D70" s="639" t="s">
        <v>2573</v>
      </c>
      <c r="E70" s="640">
        <v>10000000</v>
      </c>
      <c r="G70" s="637">
        <v>364414700</v>
      </c>
    </row>
    <row r="71" spans="1:7" x14ac:dyDescent="0.2">
      <c r="A71" s="628" t="s">
        <v>2210</v>
      </c>
      <c r="B71" s="542">
        <v>362379214</v>
      </c>
      <c r="D71" s="639" t="s">
        <v>2510</v>
      </c>
      <c r="E71" s="640">
        <v>2071860</v>
      </c>
      <c r="G71" s="637">
        <v>362379214</v>
      </c>
    </row>
    <row r="72" spans="1:7" x14ac:dyDescent="0.2">
      <c r="A72" s="628" t="s">
        <v>2211</v>
      </c>
      <c r="B72" s="542">
        <v>296084621</v>
      </c>
      <c r="D72" s="639" t="s">
        <v>2511</v>
      </c>
      <c r="E72" s="639">
        <v>27400979</v>
      </c>
      <c r="G72" s="637">
        <v>296084621</v>
      </c>
    </row>
    <row r="73" spans="1:7" x14ac:dyDescent="0.2">
      <c r="A73" s="628" t="s">
        <v>2212</v>
      </c>
      <c r="B73" s="542">
        <v>272328870</v>
      </c>
      <c r="D73" s="639" t="s">
        <v>2512</v>
      </c>
      <c r="E73" s="640">
        <v>3426735</v>
      </c>
      <c r="G73" s="637">
        <v>272328870</v>
      </c>
    </row>
    <row r="74" spans="1:7" x14ac:dyDescent="0.2">
      <c r="A74" s="628" t="s">
        <v>2140</v>
      </c>
      <c r="B74" s="542">
        <v>391980000</v>
      </c>
      <c r="D74" s="639" t="s">
        <v>4354</v>
      </c>
      <c r="E74" s="640">
        <v>10000000</v>
      </c>
      <c r="G74" s="637">
        <v>391980000</v>
      </c>
    </row>
    <row r="75" spans="1:7" x14ac:dyDescent="0.2">
      <c r="A75" s="628" t="s">
        <v>2213</v>
      </c>
      <c r="B75" s="542">
        <v>318430800</v>
      </c>
      <c r="D75" s="639" t="s">
        <v>2513</v>
      </c>
      <c r="E75" s="640">
        <v>1000000</v>
      </c>
      <c r="G75" s="637">
        <v>318430800</v>
      </c>
    </row>
    <row r="76" spans="1:7" x14ac:dyDescent="0.2">
      <c r="A76" s="628" t="s">
        <v>2214</v>
      </c>
      <c r="B76" s="542">
        <v>323785600</v>
      </c>
      <c r="D76" s="639" t="s">
        <v>2514</v>
      </c>
      <c r="E76" s="639">
        <v>0</v>
      </c>
      <c r="G76" s="637">
        <v>323785600</v>
      </c>
    </row>
    <row r="77" spans="1:7" x14ac:dyDescent="0.2">
      <c r="A77" s="628" t="s">
        <v>2215</v>
      </c>
      <c r="B77" s="542">
        <v>272587400</v>
      </c>
      <c r="D77" s="639" t="s">
        <v>2515</v>
      </c>
      <c r="E77" s="639">
        <v>0</v>
      </c>
      <c r="G77" s="637">
        <v>272587400</v>
      </c>
    </row>
    <row r="78" spans="1:7" x14ac:dyDescent="0.2">
      <c r="A78" s="628" t="s">
        <v>2216</v>
      </c>
      <c r="B78" s="542">
        <v>316982418</v>
      </c>
      <c r="D78" s="639" t="s">
        <v>2516</v>
      </c>
      <c r="E78" s="639">
        <v>8795582</v>
      </c>
      <c r="G78" s="637">
        <v>316982418</v>
      </c>
    </row>
    <row r="79" spans="1:7" x14ac:dyDescent="0.2">
      <c r="A79" s="628" t="s">
        <v>2217</v>
      </c>
      <c r="B79" s="542">
        <v>323000000</v>
      </c>
      <c r="D79" s="639" t="s">
        <v>2517</v>
      </c>
      <c r="E79" s="640">
        <v>1331124</v>
      </c>
      <c r="G79" s="637">
        <v>323000000</v>
      </c>
    </row>
    <row r="80" spans="1:7" x14ac:dyDescent="0.2">
      <c r="A80" s="628" t="s">
        <v>2218</v>
      </c>
      <c r="B80" s="542">
        <v>276153944</v>
      </c>
      <c r="D80" s="639" t="s">
        <v>2518</v>
      </c>
      <c r="E80" s="640">
        <v>3011656</v>
      </c>
      <c r="G80" s="637">
        <v>276153944</v>
      </c>
    </row>
    <row r="81" spans="1:7" x14ac:dyDescent="0.2">
      <c r="A81" s="628" t="s">
        <v>2142</v>
      </c>
      <c r="B81" s="542">
        <v>354985931</v>
      </c>
      <c r="D81" s="639" t="s">
        <v>2649</v>
      </c>
      <c r="E81" s="640">
        <v>19118569</v>
      </c>
      <c r="G81" s="637">
        <v>354985931</v>
      </c>
    </row>
    <row r="82" spans="1:7" x14ac:dyDescent="0.2">
      <c r="A82" s="628" t="s">
        <v>2219</v>
      </c>
      <c r="B82" s="542">
        <v>319005115</v>
      </c>
      <c r="D82" s="639" t="s">
        <v>2519</v>
      </c>
      <c r="E82" s="640">
        <v>3485426</v>
      </c>
      <c r="G82" s="637">
        <v>319005115</v>
      </c>
    </row>
    <row r="83" spans="1:7" x14ac:dyDescent="0.2">
      <c r="A83" s="628" t="s">
        <v>2220</v>
      </c>
      <c r="B83" s="542">
        <v>324385600</v>
      </c>
      <c r="D83" s="639" t="s">
        <v>2520</v>
      </c>
      <c r="E83" s="640">
        <v>0</v>
      </c>
      <c r="G83" s="637">
        <v>324385600</v>
      </c>
    </row>
    <row r="84" spans="1:7" x14ac:dyDescent="0.2">
      <c r="A84" s="628" t="s">
        <v>2221</v>
      </c>
      <c r="B84" s="542">
        <v>275562856</v>
      </c>
      <c r="D84" s="639" t="s">
        <v>2521</v>
      </c>
      <c r="E84" s="640">
        <v>1278200</v>
      </c>
      <c r="G84" s="637">
        <v>275562856</v>
      </c>
    </row>
    <row r="85" spans="1:7" x14ac:dyDescent="0.2">
      <c r="A85" s="628" t="s">
        <v>2143</v>
      </c>
      <c r="B85" s="542">
        <v>369704500</v>
      </c>
      <c r="D85" s="639" t="s">
        <v>3102</v>
      </c>
      <c r="E85" s="640">
        <v>5000000</v>
      </c>
      <c r="G85" s="637">
        <v>369704500</v>
      </c>
    </row>
    <row r="86" spans="1:7" x14ac:dyDescent="0.2">
      <c r="A86" s="628" t="s">
        <v>2222</v>
      </c>
      <c r="B86" s="542">
        <v>298341427</v>
      </c>
      <c r="D86" s="639" t="s">
        <v>2522</v>
      </c>
      <c r="E86" s="640">
        <v>23501173</v>
      </c>
      <c r="G86" s="637">
        <v>298341427</v>
      </c>
    </row>
    <row r="87" spans="1:7" x14ac:dyDescent="0.2">
      <c r="A87" s="628" t="s">
        <v>2223</v>
      </c>
      <c r="B87" s="542">
        <v>405660000</v>
      </c>
      <c r="D87" s="639" t="s">
        <v>3321</v>
      </c>
      <c r="E87" s="640">
        <v>0</v>
      </c>
      <c r="G87" s="637">
        <v>405660000</v>
      </c>
    </row>
    <row r="88" spans="1:7" x14ac:dyDescent="0.2">
      <c r="A88" s="628" t="s">
        <v>2224</v>
      </c>
      <c r="B88" s="542">
        <v>274668718</v>
      </c>
      <c r="D88" s="639" t="s">
        <v>2523</v>
      </c>
      <c r="E88" s="640">
        <v>96882</v>
      </c>
      <c r="G88" s="637">
        <v>274668718</v>
      </c>
    </row>
    <row r="89" spans="1:7" x14ac:dyDescent="0.2">
      <c r="A89" s="628" t="s">
        <v>2144</v>
      </c>
      <c r="B89" s="542">
        <v>377689321</v>
      </c>
      <c r="D89" s="639" t="s">
        <v>3409</v>
      </c>
      <c r="E89" s="640">
        <v>25490679</v>
      </c>
      <c r="G89" s="637">
        <v>377689321</v>
      </c>
    </row>
    <row r="90" spans="1:7" x14ac:dyDescent="0.2">
      <c r="A90" s="628" t="s">
        <v>2225</v>
      </c>
      <c r="B90" s="542">
        <v>320630800</v>
      </c>
      <c r="D90" s="639" t="s">
        <v>2524</v>
      </c>
      <c r="E90" s="640">
        <v>0</v>
      </c>
      <c r="G90" s="637">
        <v>320630800</v>
      </c>
    </row>
    <row r="91" spans="1:7" x14ac:dyDescent="0.2">
      <c r="A91" s="628" t="s">
        <v>2226</v>
      </c>
      <c r="B91" s="542">
        <v>322780212</v>
      </c>
      <c r="D91" s="639" t="s">
        <v>2525</v>
      </c>
      <c r="E91" s="640">
        <v>687188</v>
      </c>
      <c r="G91" s="637">
        <v>322780212</v>
      </c>
    </row>
    <row r="92" spans="1:7" x14ac:dyDescent="0.2">
      <c r="A92" s="628" t="s">
        <v>2227</v>
      </c>
      <c r="B92" s="542">
        <v>272044944</v>
      </c>
      <c r="D92" s="639" t="s">
        <v>2526</v>
      </c>
      <c r="E92" s="640">
        <v>3020656</v>
      </c>
      <c r="G92" s="637">
        <v>272044944</v>
      </c>
    </row>
    <row r="93" spans="1:7" x14ac:dyDescent="0.2">
      <c r="A93" s="628" t="s">
        <v>2228</v>
      </c>
      <c r="B93" s="542">
        <v>321925751</v>
      </c>
      <c r="D93" s="639" t="s">
        <v>2527</v>
      </c>
      <c r="E93" s="640">
        <v>1229849</v>
      </c>
      <c r="G93" s="637">
        <v>321925751</v>
      </c>
    </row>
    <row r="94" spans="1:7" x14ac:dyDescent="0.2">
      <c r="A94" s="628" t="s">
        <v>2229</v>
      </c>
      <c r="B94" s="542">
        <v>317930800</v>
      </c>
      <c r="D94" s="639" t="s">
        <v>2528</v>
      </c>
      <c r="E94" s="640">
        <v>3000000</v>
      </c>
      <c r="G94" s="637">
        <v>317930800</v>
      </c>
    </row>
    <row r="95" spans="1:7" x14ac:dyDescent="0.2">
      <c r="A95" s="628" t="s">
        <v>2230</v>
      </c>
      <c r="B95" s="542">
        <v>323617513</v>
      </c>
      <c r="D95" s="639" t="s">
        <v>2529</v>
      </c>
      <c r="E95" s="640">
        <v>149887</v>
      </c>
      <c r="G95" s="637">
        <v>323617513</v>
      </c>
    </row>
    <row r="96" spans="1:7" x14ac:dyDescent="0.2">
      <c r="A96" s="628" t="s">
        <v>2231</v>
      </c>
      <c r="B96" s="542">
        <v>311236058</v>
      </c>
      <c r="D96" s="639" t="s">
        <v>2530</v>
      </c>
      <c r="E96" s="640">
        <v>2475542</v>
      </c>
      <c r="G96" s="637">
        <v>311236058</v>
      </c>
    </row>
    <row r="97" spans="1:2" x14ac:dyDescent="0.2">
      <c r="A97" s="628" t="s">
        <v>1405</v>
      </c>
      <c r="B97" s="542">
        <v>22000000</v>
      </c>
    </row>
    <row r="98" spans="1:2" x14ac:dyDescent="0.2">
      <c r="A98" s="628" t="s">
        <v>1619</v>
      </c>
      <c r="B98" s="542">
        <v>22000000</v>
      </c>
    </row>
    <row r="99" spans="1:2" x14ac:dyDescent="0.2">
      <c r="A99" s="628" t="s">
        <v>3015</v>
      </c>
      <c r="B99" s="542">
        <v>22000000</v>
      </c>
    </row>
    <row r="100" spans="1:2" x14ac:dyDescent="0.2">
      <c r="A100" s="628" t="s">
        <v>3016</v>
      </c>
      <c r="B100" s="542">
        <v>22000000</v>
      </c>
    </row>
    <row r="101" spans="1:2" x14ac:dyDescent="0.2">
      <c r="A101" s="628" t="s">
        <v>2731</v>
      </c>
      <c r="B101" s="542">
        <v>22000000</v>
      </c>
    </row>
    <row r="102" spans="1:2" x14ac:dyDescent="0.2">
      <c r="A102" s="628" t="s">
        <v>2732</v>
      </c>
      <c r="B102" s="542">
        <v>22000000</v>
      </c>
    </row>
    <row r="103" spans="1:2" x14ac:dyDescent="0.2">
      <c r="A103" s="628" t="s">
        <v>3017</v>
      </c>
      <c r="B103" s="542">
        <v>22000000</v>
      </c>
    </row>
    <row r="104" spans="1:2" x14ac:dyDescent="0.2">
      <c r="A104" s="628" t="s">
        <v>1601</v>
      </c>
      <c r="B104" s="542">
        <v>27000000</v>
      </c>
    </row>
    <row r="105" spans="1:2" x14ac:dyDescent="0.2">
      <c r="A105" s="628" t="s">
        <v>1361</v>
      </c>
      <c r="B105" s="542">
        <v>27000000</v>
      </c>
    </row>
    <row r="106" spans="1:2" x14ac:dyDescent="0.2">
      <c r="A106" s="628" t="s">
        <v>3232</v>
      </c>
      <c r="B106" s="542">
        <v>27000000</v>
      </c>
    </row>
    <row r="107" spans="1:2" x14ac:dyDescent="0.2">
      <c r="A107" s="628" t="s">
        <v>3728</v>
      </c>
      <c r="B107" s="542">
        <v>27000000</v>
      </c>
    </row>
    <row r="108" spans="1:2" x14ac:dyDescent="0.2">
      <c r="A108" s="628" t="s">
        <v>1362</v>
      </c>
      <c r="B108" s="542">
        <v>27000000</v>
      </c>
    </row>
    <row r="109" spans="1:2" x14ac:dyDescent="0.2">
      <c r="A109" s="628" t="s">
        <v>1406</v>
      </c>
      <c r="B109" s="542">
        <v>27000000</v>
      </c>
    </row>
    <row r="110" spans="1:2" x14ac:dyDescent="0.2">
      <c r="A110" s="628" t="s">
        <v>3288</v>
      </c>
      <c r="B110" s="542">
        <v>27000000</v>
      </c>
    </row>
    <row r="111" spans="1:2" x14ac:dyDescent="0.2">
      <c r="A111" s="628" t="s">
        <v>1339</v>
      </c>
      <c r="B111" s="542">
        <v>27000000</v>
      </c>
    </row>
    <row r="112" spans="1:2" x14ac:dyDescent="0.2">
      <c r="A112" s="628" t="s">
        <v>1340</v>
      </c>
      <c r="B112" s="542">
        <v>27000000</v>
      </c>
    </row>
    <row r="113" spans="1:2" x14ac:dyDescent="0.2">
      <c r="A113" s="628" t="s">
        <v>1484</v>
      </c>
      <c r="B113" s="542">
        <v>22000000</v>
      </c>
    </row>
    <row r="114" spans="1:2" x14ac:dyDescent="0.2">
      <c r="A114" s="628" t="s">
        <v>3729</v>
      </c>
      <c r="B114" s="542">
        <v>22000000</v>
      </c>
    </row>
    <row r="115" spans="1:2" x14ac:dyDescent="0.2">
      <c r="A115" s="628" t="s">
        <v>3451</v>
      </c>
      <c r="B115" s="542">
        <v>22000000</v>
      </c>
    </row>
    <row r="116" spans="1:2" x14ac:dyDescent="0.2">
      <c r="A116" s="628" t="s">
        <v>1363</v>
      </c>
      <c r="B116" s="542">
        <v>22000000</v>
      </c>
    </row>
    <row r="117" spans="1:2" x14ac:dyDescent="0.2">
      <c r="A117" s="628" t="s">
        <v>1407</v>
      </c>
      <c r="B117" s="542">
        <v>22000000</v>
      </c>
    </row>
    <row r="118" spans="1:2" x14ac:dyDescent="0.2">
      <c r="A118" s="628" t="s">
        <v>1364</v>
      </c>
      <c r="B118" s="542">
        <v>22000000</v>
      </c>
    </row>
    <row r="119" spans="1:2" x14ac:dyDescent="0.2">
      <c r="A119" s="628" t="s">
        <v>1408</v>
      </c>
      <c r="B119" s="542">
        <v>22000000</v>
      </c>
    </row>
    <row r="120" spans="1:2" x14ac:dyDescent="0.2">
      <c r="A120" s="628" t="s">
        <v>1409</v>
      </c>
      <c r="B120" s="542">
        <v>22000000</v>
      </c>
    </row>
    <row r="121" spans="1:2" x14ac:dyDescent="0.2">
      <c r="A121" s="628" t="s">
        <v>1410</v>
      </c>
      <c r="B121" s="542">
        <v>22000000</v>
      </c>
    </row>
    <row r="122" spans="1:2" x14ac:dyDescent="0.2">
      <c r="A122" s="628" t="s">
        <v>3018</v>
      </c>
      <c r="B122" s="542">
        <v>22000000</v>
      </c>
    </row>
    <row r="123" spans="1:2" x14ac:dyDescent="0.2">
      <c r="A123" s="628" t="s">
        <v>1485</v>
      </c>
      <c r="B123" s="542">
        <v>22000000</v>
      </c>
    </row>
    <row r="124" spans="1:2" x14ac:dyDescent="0.2">
      <c r="A124" s="628" t="s">
        <v>1486</v>
      </c>
      <c r="B124" s="542">
        <v>22000000</v>
      </c>
    </row>
    <row r="125" spans="1:2" x14ac:dyDescent="0.2">
      <c r="A125" s="628" t="s">
        <v>3019</v>
      </c>
      <c r="B125" s="542">
        <v>22000000</v>
      </c>
    </row>
    <row r="126" spans="1:2" x14ac:dyDescent="0.2">
      <c r="A126" s="628" t="s">
        <v>1411</v>
      </c>
      <c r="B126" s="542">
        <v>22000000</v>
      </c>
    </row>
    <row r="127" spans="1:2" x14ac:dyDescent="0.2">
      <c r="A127" s="628" t="s">
        <v>1597</v>
      </c>
      <c r="B127" s="542">
        <v>27000000</v>
      </c>
    </row>
    <row r="128" spans="1:2" x14ac:dyDescent="0.2">
      <c r="A128" s="628" t="s">
        <v>1685</v>
      </c>
      <c r="B128" s="542">
        <v>22000000</v>
      </c>
    </row>
    <row r="129" spans="1:2" x14ac:dyDescent="0.2">
      <c r="A129" s="628" t="s">
        <v>1341</v>
      </c>
      <c r="B129" s="542">
        <v>22000000</v>
      </c>
    </row>
    <row r="130" spans="1:2" x14ac:dyDescent="0.2">
      <c r="A130" s="628" t="s">
        <v>1365</v>
      </c>
      <c r="B130" s="542">
        <v>27000000</v>
      </c>
    </row>
    <row r="131" spans="1:2" x14ac:dyDescent="0.2">
      <c r="A131" s="628" t="s">
        <v>1412</v>
      </c>
      <c r="B131" s="542">
        <v>27000000</v>
      </c>
    </row>
    <row r="132" spans="1:2" x14ac:dyDescent="0.2">
      <c r="A132" s="628" t="s">
        <v>1448</v>
      </c>
      <c r="B132" s="542">
        <v>22000000</v>
      </c>
    </row>
    <row r="133" spans="1:2" x14ac:dyDescent="0.2">
      <c r="A133" s="628" t="s">
        <v>3372</v>
      </c>
      <c r="B133" s="542">
        <v>27000000</v>
      </c>
    </row>
    <row r="134" spans="1:2" x14ac:dyDescent="0.2">
      <c r="A134" s="628" t="s">
        <v>1413</v>
      </c>
      <c r="B134" s="542">
        <v>22000000</v>
      </c>
    </row>
    <row r="135" spans="1:2" x14ac:dyDescent="0.2">
      <c r="A135" s="628" t="s">
        <v>3020</v>
      </c>
      <c r="B135" s="542">
        <v>22000000</v>
      </c>
    </row>
    <row r="136" spans="1:2" x14ac:dyDescent="0.2">
      <c r="A136" s="628" t="s">
        <v>1414</v>
      </c>
      <c r="B136" s="542">
        <v>22000000</v>
      </c>
    </row>
    <row r="137" spans="1:2" x14ac:dyDescent="0.2">
      <c r="A137" s="628" t="s">
        <v>1415</v>
      </c>
      <c r="B137" s="542">
        <v>22000000</v>
      </c>
    </row>
    <row r="138" spans="1:2" x14ac:dyDescent="0.2">
      <c r="A138" s="628" t="s">
        <v>1416</v>
      </c>
      <c r="B138" s="542">
        <v>22000000</v>
      </c>
    </row>
    <row r="139" spans="1:2" x14ac:dyDescent="0.2">
      <c r="A139" s="628" t="s">
        <v>3021</v>
      </c>
      <c r="B139" s="542">
        <v>22000000</v>
      </c>
    </row>
    <row r="140" spans="1:2" x14ac:dyDescent="0.2">
      <c r="A140" s="628" t="s">
        <v>1417</v>
      </c>
      <c r="B140" s="542">
        <v>22000000</v>
      </c>
    </row>
    <row r="141" spans="1:2" x14ac:dyDescent="0.2">
      <c r="A141" s="628" t="s">
        <v>2557</v>
      </c>
      <c r="B141" s="542">
        <v>22000000</v>
      </c>
    </row>
    <row r="142" spans="1:2" x14ac:dyDescent="0.2">
      <c r="A142" s="628" t="s">
        <v>3022</v>
      </c>
      <c r="B142" s="542">
        <v>22000000</v>
      </c>
    </row>
    <row r="143" spans="1:2" x14ac:dyDescent="0.2">
      <c r="A143" s="628" t="s">
        <v>3452</v>
      </c>
      <c r="B143" s="542">
        <v>22000000</v>
      </c>
    </row>
    <row r="144" spans="1:2" x14ac:dyDescent="0.2">
      <c r="A144" s="628" t="s">
        <v>3289</v>
      </c>
      <c r="B144" s="542">
        <v>27000000</v>
      </c>
    </row>
    <row r="145" spans="1:2" x14ac:dyDescent="0.2">
      <c r="A145" s="628" t="s">
        <v>3023</v>
      </c>
      <c r="B145" s="542">
        <v>22000000</v>
      </c>
    </row>
    <row r="146" spans="1:2" x14ac:dyDescent="0.2">
      <c r="A146" s="628" t="s">
        <v>2632</v>
      </c>
      <c r="B146" s="542">
        <v>22000000</v>
      </c>
    </row>
    <row r="147" spans="1:2" x14ac:dyDescent="0.2">
      <c r="A147" s="628" t="s">
        <v>1366</v>
      </c>
      <c r="B147" s="542">
        <v>27000000</v>
      </c>
    </row>
    <row r="148" spans="1:2" x14ac:dyDescent="0.2">
      <c r="A148" s="628" t="s">
        <v>1327</v>
      </c>
      <c r="B148" s="542">
        <v>27000000</v>
      </c>
    </row>
    <row r="149" spans="1:2" x14ac:dyDescent="0.2">
      <c r="A149" s="628" t="s">
        <v>1367</v>
      </c>
      <c r="B149" s="542">
        <v>27000000</v>
      </c>
    </row>
    <row r="150" spans="1:2" x14ac:dyDescent="0.2">
      <c r="A150" s="628" t="s">
        <v>3453</v>
      </c>
      <c r="B150" s="542">
        <v>22000000</v>
      </c>
    </row>
    <row r="151" spans="1:2" x14ac:dyDescent="0.2">
      <c r="A151" s="628" t="s">
        <v>1418</v>
      </c>
      <c r="B151" s="542">
        <v>22000000</v>
      </c>
    </row>
    <row r="152" spans="1:2" x14ac:dyDescent="0.2">
      <c r="A152" s="628" t="s">
        <v>1419</v>
      </c>
      <c r="B152" s="542">
        <v>22000000</v>
      </c>
    </row>
    <row r="153" spans="1:2" x14ac:dyDescent="0.2">
      <c r="A153" s="628" t="s">
        <v>2733</v>
      </c>
      <c r="B153" s="542">
        <v>22000000</v>
      </c>
    </row>
    <row r="154" spans="1:2" x14ac:dyDescent="0.2">
      <c r="A154" s="628" t="s">
        <v>2633</v>
      </c>
      <c r="B154" s="542">
        <v>22000000</v>
      </c>
    </row>
    <row r="155" spans="1:2" x14ac:dyDescent="0.2">
      <c r="A155" s="628" t="s">
        <v>3290</v>
      </c>
      <c r="B155" s="542">
        <v>22000000</v>
      </c>
    </row>
    <row r="156" spans="1:2" x14ac:dyDescent="0.2">
      <c r="A156" s="628" t="s">
        <v>1487</v>
      </c>
      <c r="B156" s="542">
        <v>22000000</v>
      </c>
    </row>
    <row r="157" spans="1:2" x14ac:dyDescent="0.2">
      <c r="A157" s="628" t="s">
        <v>3291</v>
      </c>
      <c r="B157" s="542">
        <v>22000000</v>
      </c>
    </row>
    <row r="158" spans="1:2" x14ac:dyDescent="0.2">
      <c r="A158" s="628" t="s">
        <v>1488</v>
      </c>
      <c r="B158" s="542">
        <v>22000000</v>
      </c>
    </row>
    <row r="159" spans="1:2" x14ac:dyDescent="0.2">
      <c r="A159" s="628" t="s">
        <v>1480</v>
      </c>
      <c r="B159" s="542">
        <v>22000000</v>
      </c>
    </row>
    <row r="160" spans="1:2" x14ac:dyDescent="0.2">
      <c r="A160" s="628" t="s">
        <v>1444</v>
      </c>
      <c r="B160" s="542">
        <v>27000000</v>
      </c>
    </row>
    <row r="161" spans="1:2" x14ac:dyDescent="0.2">
      <c r="A161" s="628" t="s">
        <v>3292</v>
      </c>
      <c r="B161" s="542">
        <v>27000000</v>
      </c>
    </row>
    <row r="162" spans="1:2" x14ac:dyDescent="0.2">
      <c r="A162" s="628" t="s">
        <v>3730</v>
      </c>
      <c r="B162" s="542">
        <v>27000000</v>
      </c>
    </row>
    <row r="163" spans="1:2" x14ac:dyDescent="0.2">
      <c r="A163" s="628" t="s">
        <v>1617</v>
      </c>
      <c r="B163" s="542">
        <v>22000000</v>
      </c>
    </row>
    <row r="164" spans="1:2" x14ac:dyDescent="0.2">
      <c r="A164" s="628" t="s">
        <v>2265</v>
      </c>
      <c r="B164" s="542">
        <v>22000000</v>
      </c>
    </row>
    <row r="165" spans="1:2" x14ac:dyDescent="0.2">
      <c r="A165" s="628" t="s">
        <v>3024</v>
      </c>
      <c r="B165" s="542">
        <v>22000000</v>
      </c>
    </row>
    <row r="166" spans="1:2" x14ac:dyDescent="0.2">
      <c r="A166" s="628" t="s">
        <v>1420</v>
      </c>
      <c r="B166" s="542">
        <v>27000000</v>
      </c>
    </row>
    <row r="167" spans="1:2" x14ac:dyDescent="0.2">
      <c r="A167" s="628" t="s">
        <v>1421</v>
      </c>
      <c r="B167" s="542">
        <v>27000000</v>
      </c>
    </row>
    <row r="168" spans="1:2" x14ac:dyDescent="0.2">
      <c r="A168" s="628" t="s">
        <v>1342</v>
      </c>
      <c r="B168" s="542">
        <v>27000000</v>
      </c>
    </row>
    <row r="169" spans="1:2" x14ac:dyDescent="0.2">
      <c r="A169" s="628" t="s">
        <v>1422</v>
      </c>
      <c r="B169" s="542">
        <v>27000000</v>
      </c>
    </row>
    <row r="170" spans="1:2" x14ac:dyDescent="0.2">
      <c r="A170" s="628" t="s">
        <v>1423</v>
      </c>
      <c r="B170" s="542">
        <v>27000000</v>
      </c>
    </row>
    <row r="171" spans="1:2" x14ac:dyDescent="0.2">
      <c r="A171" s="628" t="s">
        <v>3293</v>
      </c>
      <c r="B171" s="542">
        <v>27000000</v>
      </c>
    </row>
    <row r="172" spans="1:2" x14ac:dyDescent="0.2">
      <c r="A172" s="628" t="s">
        <v>1424</v>
      </c>
      <c r="B172" s="542">
        <v>27000000</v>
      </c>
    </row>
    <row r="173" spans="1:2" x14ac:dyDescent="0.2">
      <c r="A173" s="628" t="s">
        <v>1334</v>
      </c>
      <c r="B173" s="542">
        <v>27000000</v>
      </c>
    </row>
    <row r="174" spans="1:2" x14ac:dyDescent="0.2">
      <c r="A174" s="628" t="s">
        <v>1686</v>
      </c>
      <c r="B174" s="542">
        <v>22000000</v>
      </c>
    </row>
    <row r="175" spans="1:2" x14ac:dyDescent="0.2">
      <c r="A175" s="628" t="s">
        <v>3025</v>
      </c>
      <c r="B175" s="542">
        <v>22000000</v>
      </c>
    </row>
    <row r="176" spans="1:2" x14ac:dyDescent="0.2">
      <c r="A176" s="628" t="s">
        <v>1563</v>
      </c>
      <c r="B176" s="542">
        <v>22000000</v>
      </c>
    </row>
    <row r="177" spans="1:2" x14ac:dyDescent="0.2">
      <c r="A177" s="628" t="s">
        <v>1489</v>
      </c>
      <c r="B177" s="542">
        <v>22000000</v>
      </c>
    </row>
    <row r="178" spans="1:2" x14ac:dyDescent="0.2">
      <c r="A178" s="628" t="s">
        <v>2634</v>
      </c>
      <c r="B178" s="542">
        <v>22000000</v>
      </c>
    </row>
    <row r="179" spans="1:2" x14ac:dyDescent="0.2">
      <c r="A179" s="628" t="s">
        <v>1631</v>
      </c>
      <c r="B179" s="542">
        <v>22000000</v>
      </c>
    </row>
    <row r="180" spans="1:2" x14ac:dyDescent="0.2">
      <c r="A180" s="628" t="s">
        <v>3026</v>
      </c>
      <c r="B180" s="542">
        <v>22000000</v>
      </c>
    </row>
    <row r="181" spans="1:2" x14ac:dyDescent="0.2">
      <c r="A181" s="628" t="s">
        <v>1490</v>
      </c>
      <c r="B181" s="542">
        <v>22000000</v>
      </c>
    </row>
    <row r="182" spans="1:2" x14ac:dyDescent="0.2">
      <c r="A182" s="628" t="s">
        <v>2266</v>
      </c>
      <c r="B182" s="542">
        <v>22000000</v>
      </c>
    </row>
    <row r="183" spans="1:2" x14ac:dyDescent="0.2">
      <c r="A183" s="628" t="s">
        <v>4296</v>
      </c>
      <c r="B183" s="542">
        <v>27000000</v>
      </c>
    </row>
    <row r="184" spans="1:2" x14ac:dyDescent="0.2">
      <c r="A184" s="628" t="s">
        <v>1446</v>
      </c>
      <c r="B184" s="542">
        <v>27000000</v>
      </c>
    </row>
    <row r="185" spans="1:2" x14ac:dyDescent="0.2">
      <c r="A185" s="628" t="s">
        <v>3233</v>
      </c>
      <c r="B185" s="542">
        <v>22000000</v>
      </c>
    </row>
    <row r="186" spans="1:2" x14ac:dyDescent="0.2">
      <c r="A186" s="628" t="s">
        <v>3027</v>
      </c>
      <c r="B186" s="542">
        <v>22000000</v>
      </c>
    </row>
    <row r="187" spans="1:2" x14ac:dyDescent="0.2">
      <c r="A187" s="628" t="s">
        <v>984</v>
      </c>
      <c r="B187" s="542">
        <v>22000000</v>
      </c>
    </row>
    <row r="188" spans="1:2" x14ac:dyDescent="0.2">
      <c r="A188" s="628" t="s">
        <v>985</v>
      </c>
      <c r="B188" s="542">
        <v>22000000</v>
      </c>
    </row>
    <row r="189" spans="1:2" x14ac:dyDescent="0.2">
      <c r="A189" s="628" t="s">
        <v>3454</v>
      </c>
      <c r="B189" s="542">
        <v>22000000</v>
      </c>
    </row>
    <row r="190" spans="1:2" x14ac:dyDescent="0.2">
      <c r="A190" s="628" t="s">
        <v>4297</v>
      </c>
      <c r="B190" s="542">
        <v>22000000</v>
      </c>
    </row>
    <row r="191" spans="1:2" x14ac:dyDescent="0.2">
      <c r="A191" s="628" t="s">
        <v>986</v>
      </c>
      <c r="B191" s="542">
        <v>22000000</v>
      </c>
    </row>
    <row r="192" spans="1:2" x14ac:dyDescent="0.2">
      <c r="A192" s="628" t="s">
        <v>3455</v>
      </c>
      <c r="B192" s="542">
        <v>5000000</v>
      </c>
    </row>
    <row r="193" spans="1:2" x14ac:dyDescent="0.2">
      <c r="A193" s="628" t="s">
        <v>3294</v>
      </c>
      <c r="B193" s="542">
        <v>5000000</v>
      </c>
    </row>
    <row r="194" spans="1:2" x14ac:dyDescent="0.2">
      <c r="A194" s="628" t="s">
        <v>3295</v>
      </c>
      <c r="B194" s="542">
        <v>5000000</v>
      </c>
    </row>
    <row r="195" spans="1:2" x14ac:dyDescent="0.2">
      <c r="A195" s="628" t="s">
        <v>3731</v>
      </c>
      <c r="B195" s="542">
        <v>5000000</v>
      </c>
    </row>
    <row r="196" spans="1:2" x14ac:dyDescent="0.2">
      <c r="A196" s="628" t="s">
        <v>1449</v>
      </c>
      <c r="B196" s="542">
        <v>5000000</v>
      </c>
    </row>
    <row r="197" spans="1:2" x14ac:dyDescent="0.2">
      <c r="A197" s="628" t="s">
        <v>1450</v>
      </c>
      <c r="B197" s="542">
        <v>5000000</v>
      </c>
    </row>
    <row r="198" spans="1:2" x14ac:dyDescent="0.2">
      <c r="A198" s="628" t="s">
        <v>1491</v>
      </c>
      <c r="B198" s="542">
        <v>5000000</v>
      </c>
    </row>
    <row r="199" spans="1:2" x14ac:dyDescent="0.2">
      <c r="A199" s="628" t="s">
        <v>4298</v>
      </c>
      <c r="B199" s="542">
        <v>5000000</v>
      </c>
    </row>
    <row r="200" spans="1:2" x14ac:dyDescent="0.2">
      <c r="A200" s="628" t="s">
        <v>1451</v>
      </c>
      <c r="B200" s="542">
        <v>5000000</v>
      </c>
    </row>
    <row r="201" spans="1:2" x14ac:dyDescent="0.2">
      <c r="A201" s="628" t="s">
        <v>2558</v>
      </c>
      <c r="B201" s="542">
        <v>5000000</v>
      </c>
    </row>
    <row r="202" spans="1:2" x14ac:dyDescent="0.2">
      <c r="A202" s="628" t="s">
        <v>2267</v>
      </c>
      <c r="B202" s="542">
        <v>5000000</v>
      </c>
    </row>
    <row r="203" spans="1:2" x14ac:dyDescent="0.2">
      <c r="A203" s="628" t="s">
        <v>1492</v>
      </c>
      <c r="B203" s="542">
        <v>5000000</v>
      </c>
    </row>
    <row r="204" spans="1:2" x14ac:dyDescent="0.2">
      <c r="A204" s="628" t="s">
        <v>1452</v>
      </c>
      <c r="B204" s="542">
        <v>5000000</v>
      </c>
    </row>
    <row r="205" spans="1:2" x14ac:dyDescent="0.2">
      <c r="A205" s="628" t="s">
        <v>2635</v>
      </c>
      <c r="B205" s="542">
        <v>5000000</v>
      </c>
    </row>
    <row r="206" spans="1:2" x14ac:dyDescent="0.2">
      <c r="A206" s="628" t="s">
        <v>3028</v>
      </c>
      <c r="B206" s="542">
        <v>5000000</v>
      </c>
    </row>
    <row r="207" spans="1:2" x14ac:dyDescent="0.2">
      <c r="A207" s="628" t="s">
        <v>1493</v>
      </c>
      <c r="B207" s="542">
        <v>5000000</v>
      </c>
    </row>
    <row r="208" spans="1:2" x14ac:dyDescent="0.2">
      <c r="A208" s="628" t="s">
        <v>2636</v>
      </c>
      <c r="B208" s="542">
        <v>5000000</v>
      </c>
    </row>
    <row r="209" spans="1:2" x14ac:dyDescent="0.2">
      <c r="A209" s="628" t="s">
        <v>1687</v>
      </c>
      <c r="B209" s="542">
        <v>5000000</v>
      </c>
    </row>
    <row r="210" spans="1:2" x14ac:dyDescent="0.2">
      <c r="A210" s="628" t="s">
        <v>3456</v>
      </c>
      <c r="B210" s="542">
        <v>5000000</v>
      </c>
    </row>
    <row r="211" spans="1:2" x14ac:dyDescent="0.2">
      <c r="A211" s="628" t="s">
        <v>3457</v>
      </c>
      <c r="B211" s="542">
        <v>5000000</v>
      </c>
    </row>
    <row r="212" spans="1:2" x14ac:dyDescent="0.2">
      <c r="A212" s="628" t="s">
        <v>3029</v>
      </c>
      <c r="B212" s="542">
        <v>5000000</v>
      </c>
    </row>
    <row r="213" spans="1:2" x14ac:dyDescent="0.2">
      <c r="A213" s="628" t="s">
        <v>3167</v>
      </c>
      <c r="B213" s="542">
        <v>5000000</v>
      </c>
    </row>
    <row r="214" spans="1:2" x14ac:dyDescent="0.2">
      <c r="A214" s="628" t="s">
        <v>2637</v>
      </c>
      <c r="B214" s="542">
        <v>5000000</v>
      </c>
    </row>
    <row r="215" spans="1:2" x14ac:dyDescent="0.2">
      <c r="A215" s="628" t="s">
        <v>3030</v>
      </c>
      <c r="B215" s="542">
        <v>5000000</v>
      </c>
    </row>
    <row r="216" spans="1:2" x14ac:dyDescent="0.2">
      <c r="A216" s="628" t="s">
        <v>3031</v>
      </c>
      <c r="B216" s="542">
        <v>5000000</v>
      </c>
    </row>
    <row r="217" spans="1:2" x14ac:dyDescent="0.2">
      <c r="A217" s="628" t="s">
        <v>1632</v>
      </c>
      <c r="B217" s="542">
        <v>5000000</v>
      </c>
    </row>
    <row r="218" spans="1:2" x14ac:dyDescent="0.2">
      <c r="A218" s="628" t="s">
        <v>3032</v>
      </c>
      <c r="B218" s="542">
        <v>5000000</v>
      </c>
    </row>
    <row r="219" spans="1:2" x14ac:dyDescent="0.2">
      <c r="A219" s="628" t="s">
        <v>3458</v>
      </c>
      <c r="B219" s="542">
        <v>5000000</v>
      </c>
    </row>
    <row r="220" spans="1:2" x14ac:dyDescent="0.2">
      <c r="A220" s="628" t="s">
        <v>3033</v>
      </c>
      <c r="B220" s="542">
        <v>5000000</v>
      </c>
    </row>
    <row r="221" spans="1:2" x14ac:dyDescent="0.2">
      <c r="A221" s="628" t="s">
        <v>3296</v>
      </c>
      <c r="B221" s="542">
        <v>5000000</v>
      </c>
    </row>
    <row r="222" spans="1:2" x14ac:dyDescent="0.2">
      <c r="A222" s="628" t="s">
        <v>987</v>
      </c>
      <c r="B222" s="542">
        <v>5000000</v>
      </c>
    </row>
    <row r="223" spans="1:2" x14ac:dyDescent="0.2">
      <c r="A223" s="628" t="s">
        <v>3459</v>
      </c>
      <c r="B223" s="542">
        <v>5000000</v>
      </c>
    </row>
    <row r="224" spans="1:2" x14ac:dyDescent="0.2">
      <c r="A224" s="628" t="s">
        <v>3234</v>
      </c>
      <c r="B224" s="542">
        <v>5000000</v>
      </c>
    </row>
    <row r="225" spans="1:9" x14ac:dyDescent="0.2">
      <c r="A225" s="628" t="s">
        <v>1582</v>
      </c>
      <c r="B225" s="542">
        <v>5000000</v>
      </c>
    </row>
    <row r="226" spans="1:9" x14ac:dyDescent="0.2">
      <c r="A226" s="628" t="s">
        <v>3235</v>
      </c>
      <c r="B226" s="542">
        <v>5000000</v>
      </c>
    </row>
    <row r="227" spans="1:9" x14ac:dyDescent="0.2">
      <c r="A227" s="628" t="s">
        <v>2734</v>
      </c>
      <c r="B227" s="542">
        <v>5000000</v>
      </c>
    </row>
    <row r="228" spans="1:9" x14ac:dyDescent="0.2">
      <c r="A228" s="628" t="s">
        <v>3034</v>
      </c>
      <c r="B228" s="542">
        <v>5000000</v>
      </c>
      <c r="H228" s="628"/>
      <c r="I228" s="542"/>
    </row>
    <row r="229" spans="1:9" x14ac:dyDescent="0.2">
      <c r="A229" s="628" t="s">
        <v>3297</v>
      </c>
      <c r="B229" s="542">
        <v>5000000</v>
      </c>
    </row>
    <row r="230" spans="1:9" x14ac:dyDescent="0.2">
      <c r="A230" s="628" t="s">
        <v>3168</v>
      </c>
      <c r="B230" s="542">
        <v>5000000</v>
      </c>
    </row>
    <row r="231" spans="1:9" x14ac:dyDescent="0.2">
      <c r="A231" s="628" t="s">
        <v>3460</v>
      </c>
      <c r="B231" s="542">
        <v>5000000</v>
      </c>
    </row>
    <row r="232" spans="1:9" x14ac:dyDescent="0.2">
      <c r="A232" s="628" t="s">
        <v>2735</v>
      </c>
      <c r="B232" s="542">
        <v>5000000</v>
      </c>
    </row>
    <row r="233" spans="1:9" x14ac:dyDescent="0.2">
      <c r="A233" s="628" t="s">
        <v>3035</v>
      </c>
      <c r="B233" s="542">
        <v>5000000</v>
      </c>
    </row>
    <row r="234" spans="1:9" x14ac:dyDescent="0.2">
      <c r="A234" s="628" t="s">
        <v>988</v>
      </c>
      <c r="B234" s="542">
        <v>5000000</v>
      </c>
    </row>
    <row r="235" spans="1:9" x14ac:dyDescent="0.2">
      <c r="A235" s="628" t="s">
        <v>2736</v>
      </c>
      <c r="B235" s="542">
        <v>5000000</v>
      </c>
    </row>
    <row r="236" spans="1:9" x14ac:dyDescent="0.2">
      <c r="A236" s="628" t="s">
        <v>3036</v>
      </c>
      <c r="B236" s="542">
        <v>5000000</v>
      </c>
    </row>
    <row r="237" spans="1:9" x14ac:dyDescent="0.2">
      <c r="A237" s="628" t="s">
        <v>3298</v>
      </c>
      <c r="B237" s="542">
        <v>5000000</v>
      </c>
    </row>
    <row r="238" spans="1:9" x14ac:dyDescent="0.2">
      <c r="A238" s="628" t="s">
        <v>3037</v>
      </c>
      <c r="B238" s="542">
        <v>5000000</v>
      </c>
    </row>
    <row r="239" spans="1:9" x14ac:dyDescent="0.2">
      <c r="A239" s="628" t="s">
        <v>2268</v>
      </c>
      <c r="B239" s="542">
        <v>5000000</v>
      </c>
    </row>
    <row r="240" spans="1:9" x14ac:dyDescent="0.2">
      <c r="A240" s="628" t="s">
        <v>2737</v>
      </c>
      <c r="B240" s="542">
        <v>5000000</v>
      </c>
    </row>
    <row r="241" spans="1:2" x14ac:dyDescent="0.2">
      <c r="A241" s="628" t="s">
        <v>3236</v>
      </c>
      <c r="B241" s="542">
        <v>5000000</v>
      </c>
    </row>
    <row r="242" spans="1:2" x14ac:dyDescent="0.2">
      <c r="A242" s="628" t="s">
        <v>2559</v>
      </c>
      <c r="B242" s="542">
        <v>5000000</v>
      </c>
    </row>
    <row r="243" spans="1:2" x14ac:dyDescent="0.2">
      <c r="A243" s="628" t="s">
        <v>2638</v>
      </c>
      <c r="B243" s="542">
        <v>5000000</v>
      </c>
    </row>
    <row r="244" spans="1:2" x14ac:dyDescent="0.2">
      <c r="A244" s="628" t="s">
        <v>3461</v>
      </c>
      <c r="B244" s="542">
        <v>5000000</v>
      </c>
    </row>
    <row r="245" spans="1:2" x14ac:dyDescent="0.2">
      <c r="A245" s="628" t="s">
        <v>3038</v>
      </c>
      <c r="B245" s="542">
        <v>5000000</v>
      </c>
    </row>
    <row r="246" spans="1:2" x14ac:dyDescent="0.2">
      <c r="A246" s="628" t="s">
        <v>3373</v>
      </c>
      <c r="B246" s="542">
        <v>5000000</v>
      </c>
    </row>
    <row r="247" spans="1:2" x14ac:dyDescent="0.2">
      <c r="A247" s="628" t="s">
        <v>3039</v>
      </c>
      <c r="B247" s="542">
        <v>5000000</v>
      </c>
    </row>
    <row r="248" spans="1:2" x14ac:dyDescent="0.2">
      <c r="A248" s="628" t="s">
        <v>3040</v>
      </c>
      <c r="B248" s="542">
        <v>5000000</v>
      </c>
    </row>
    <row r="249" spans="1:2" x14ac:dyDescent="0.2">
      <c r="A249" s="628" t="s">
        <v>3237</v>
      </c>
      <c r="B249" s="542">
        <v>5000000</v>
      </c>
    </row>
    <row r="250" spans="1:2" x14ac:dyDescent="0.2">
      <c r="A250" s="628" t="s">
        <v>3462</v>
      </c>
      <c r="B250" s="542">
        <v>5000000</v>
      </c>
    </row>
    <row r="251" spans="1:2" x14ac:dyDescent="0.2">
      <c r="A251" s="628" t="s">
        <v>4299</v>
      </c>
      <c r="B251" s="542">
        <v>5000000</v>
      </c>
    </row>
    <row r="252" spans="1:2" x14ac:dyDescent="0.2">
      <c r="A252" s="628" t="s">
        <v>989</v>
      </c>
      <c r="B252" s="542">
        <v>5000000</v>
      </c>
    </row>
  </sheetData>
  <autoFilter ref="A1:B1" xr:uid="{00000000-0009-0000-0000-00000E000000}"/>
  <sortState xmlns:xlrd2="http://schemas.microsoft.com/office/spreadsheetml/2017/richdata2" ref="A2:B93">
    <sortCondition ref="A2:A93"/>
  </sortState>
  <dataConsolidate/>
  <printOptions horizontalCentered="1" verticalCentered="1"/>
  <pageMargins left="0.70866141732283472" right="0.47244094488188981" top="0.55118110236220474" bottom="0.98425196850393704" header="0" footer="0"/>
  <pageSetup scale="22" orientation="landscape" verticalDpi="0" r:id="rId1"/>
  <headerFooter alignWithMargins="0">
    <oddFooter>&amp;C&amp;P&amp;RElaborado por EQUILIBRIUM Inmobiliario S.A.S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0F6B4-9B10-4EB3-BD26-F095B9E8AFA3}">
  <dimension ref="A1:F744"/>
  <sheetViews>
    <sheetView zoomScaleNormal="100" workbookViewId="0">
      <pane ySplit="1" topLeftCell="A2" activePane="bottomLeft" state="frozen"/>
      <selection activeCell="B9" sqref="B9:C9"/>
      <selection pane="bottomLeft" activeCell="C14" sqref="C14"/>
    </sheetView>
  </sheetViews>
  <sheetFormatPr baseColWidth="10" defaultColWidth="11.42578125" defaultRowHeight="12.75" x14ac:dyDescent="0.2"/>
  <cols>
    <col min="1" max="1" width="9.85546875" style="521" bestFit="1" customWidth="1"/>
    <col min="2" max="2" width="15.42578125" style="696" bestFit="1" customWidth="1"/>
    <col min="3" max="3" width="9.5703125" style="697" bestFit="1" customWidth="1"/>
    <col min="4" max="4" width="9.85546875" style="521" bestFit="1" customWidth="1"/>
    <col min="5" max="16384" width="11.42578125" style="691"/>
  </cols>
  <sheetData>
    <row r="1" spans="1:4" ht="15.75" customHeight="1" x14ac:dyDescent="0.2">
      <c r="A1" s="689" t="s">
        <v>106</v>
      </c>
      <c r="B1" s="690" t="s">
        <v>107</v>
      </c>
      <c r="C1" s="689" t="s">
        <v>108</v>
      </c>
      <c r="D1" s="689" t="s">
        <v>47</v>
      </c>
    </row>
    <row r="2" spans="1:4" x14ac:dyDescent="0.2">
      <c r="A2" s="692" t="s">
        <v>2744</v>
      </c>
      <c r="B2" s="693">
        <v>536835000</v>
      </c>
      <c r="C2" s="694">
        <v>80.05</v>
      </c>
      <c r="D2" s="693" t="s">
        <v>61</v>
      </c>
    </row>
    <row r="3" spans="1:4" x14ac:dyDescent="0.2">
      <c r="A3" s="692" t="s">
        <v>2746</v>
      </c>
      <c r="B3" s="693">
        <v>551600000</v>
      </c>
      <c r="C3" s="694">
        <v>82.25</v>
      </c>
      <c r="D3" s="693" t="s">
        <v>61</v>
      </c>
    </row>
    <row r="4" spans="1:4" x14ac:dyDescent="0.2">
      <c r="A4" s="692" t="s">
        <v>2756</v>
      </c>
      <c r="B4" s="693">
        <v>552345000</v>
      </c>
      <c r="C4" s="694">
        <v>80.349999999999994</v>
      </c>
      <c r="D4" s="693" t="s">
        <v>61</v>
      </c>
    </row>
    <row r="5" spans="1:4" x14ac:dyDescent="0.2">
      <c r="A5" s="692" t="s">
        <v>2759</v>
      </c>
      <c r="B5" s="693">
        <v>552845000</v>
      </c>
      <c r="C5" s="694">
        <v>80.349999999999994</v>
      </c>
      <c r="D5" s="693" t="s">
        <v>61</v>
      </c>
    </row>
    <row r="6" spans="1:4" x14ac:dyDescent="0.2">
      <c r="A6" s="692" t="s">
        <v>2775</v>
      </c>
      <c r="B6" s="693">
        <v>555410000</v>
      </c>
      <c r="C6" s="694">
        <v>82.3</v>
      </c>
      <c r="D6" s="693" t="s">
        <v>61</v>
      </c>
    </row>
    <row r="7" spans="1:4" x14ac:dyDescent="0.2">
      <c r="A7" s="692" t="s">
        <v>2778</v>
      </c>
      <c r="B7" s="693">
        <v>555910000</v>
      </c>
      <c r="C7" s="694">
        <v>82.3</v>
      </c>
      <c r="D7" s="693" t="s">
        <v>61</v>
      </c>
    </row>
    <row r="8" spans="1:4" x14ac:dyDescent="0.2">
      <c r="A8" s="692" t="s">
        <v>2784</v>
      </c>
      <c r="B8" s="693">
        <v>555845000</v>
      </c>
      <c r="C8" s="694">
        <v>80.349999999999994</v>
      </c>
      <c r="D8" s="693" t="s">
        <v>61</v>
      </c>
    </row>
    <row r="9" spans="1:4" x14ac:dyDescent="0.2">
      <c r="A9" s="692" t="s">
        <v>2792</v>
      </c>
      <c r="B9" s="693">
        <v>557410000</v>
      </c>
      <c r="C9" s="694">
        <v>82.3</v>
      </c>
      <c r="D9" s="693" t="s">
        <v>61</v>
      </c>
    </row>
    <row r="10" spans="1:4" x14ac:dyDescent="0.2">
      <c r="A10" s="692" t="s">
        <v>2830</v>
      </c>
      <c r="B10" s="693">
        <v>542042000</v>
      </c>
      <c r="C10" s="694">
        <v>79.260000000000005</v>
      </c>
      <c r="D10" s="693" t="s">
        <v>61</v>
      </c>
    </row>
    <row r="11" spans="1:4" x14ac:dyDescent="0.2">
      <c r="A11" s="692" t="s">
        <v>2738</v>
      </c>
      <c r="B11" s="693">
        <v>518245000</v>
      </c>
      <c r="C11" s="694">
        <v>95.65</v>
      </c>
      <c r="D11" s="693" t="s">
        <v>901</v>
      </c>
    </row>
    <row r="12" spans="1:4" x14ac:dyDescent="0.2">
      <c r="A12" s="692" t="s">
        <v>2739</v>
      </c>
      <c r="B12" s="693">
        <v>406250000</v>
      </c>
      <c r="C12" s="694">
        <v>71.41</v>
      </c>
      <c r="D12" s="693" t="s">
        <v>901</v>
      </c>
    </row>
    <row r="13" spans="1:4" x14ac:dyDescent="0.2">
      <c r="A13" s="692" t="s">
        <v>2740</v>
      </c>
      <c r="B13" s="693">
        <v>513920000</v>
      </c>
      <c r="C13" s="694">
        <v>113.38</v>
      </c>
      <c r="D13" s="693" t="s">
        <v>901</v>
      </c>
    </row>
    <row r="14" spans="1:4" x14ac:dyDescent="0.2">
      <c r="A14" s="692" t="s">
        <v>2741</v>
      </c>
      <c r="B14" s="693">
        <v>424225000</v>
      </c>
      <c r="C14" s="694">
        <v>79.66</v>
      </c>
      <c r="D14" s="693" t="s">
        <v>901</v>
      </c>
    </row>
    <row r="15" spans="1:4" x14ac:dyDescent="0.2">
      <c r="A15" s="692" t="s">
        <v>2742</v>
      </c>
      <c r="B15" s="693">
        <v>565350000</v>
      </c>
      <c r="C15" s="694">
        <v>112.7</v>
      </c>
      <c r="D15" s="693" t="s">
        <v>901</v>
      </c>
    </row>
    <row r="16" spans="1:4" x14ac:dyDescent="0.2">
      <c r="A16" s="692" t="s">
        <v>2837</v>
      </c>
      <c r="B16" s="693">
        <v>494300000</v>
      </c>
      <c r="C16" s="694">
        <v>80.3</v>
      </c>
      <c r="D16" s="693" t="s">
        <v>901</v>
      </c>
    </row>
    <row r="17" spans="1:4" x14ac:dyDescent="0.2">
      <c r="A17" s="692" t="s">
        <v>2743</v>
      </c>
      <c r="B17" s="693">
        <v>389225000</v>
      </c>
      <c r="C17" s="694">
        <v>57.65</v>
      </c>
      <c r="D17" s="693" t="s">
        <v>901</v>
      </c>
    </row>
    <row r="18" spans="1:4" x14ac:dyDescent="0.2">
      <c r="A18" s="692" t="s">
        <v>2745</v>
      </c>
      <c r="B18" s="693">
        <v>405180000</v>
      </c>
      <c r="C18" s="694">
        <v>60.4</v>
      </c>
      <c r="D18" s="693" t="s">
        <v>901</v>
      </c>
    </row>
    <row r="19" spans="1:4" x14ac:dyDescent="0.2">
      <c r="A19" s="692" t="s">
        <v>2747</v>
      </c>
      <c r="B19" s="693">
        <v>496517600</v>
      </c>
      <c r="C19" s="694">
        <v>80.3</v>
      </c>
      <c r="D19" s="693" t="s">
        <v>901</v>
      </c>
    </row>
    <row r="20" spans="1:4" x14ac:dyDescent="0.2">
      <c r="A20" s="692" t="s">
        <v>2748</v>
      </c>
      <c r="B20" s="693">
        <v>389725000</v>
      </c>
      <c r="C20" s="694">
        <v>57.65</v>
      </c>
      <c r="D20" s="693" t="s">
        <v>901</v>
      </c>
    </row>
    <row r="21" spans="1:4" x14ac:dyDescent="0.2">
      <c r="A21" s="692" t="s">
        <v>2749</v>
      </c>
      <c r="B21" s="693">
        <v>533332500</v>
      </c>
      <c r="C21" s="694">
        <v>80.05</v>
      </c>
      <c r="D21" s="693" t="s">
        <v>901</v>
      </c>
    </row>
    <row r="22" spans="1:4" x14ac:dyDescent="0.2">
      <c r="A22" s="692" t="s">
        <v>2750</v>
      </c>
      <c r="B22" s="693">
        <v>393600000</v>
      </c>
      <c r="C22" s="694">
        <v>60.4</v>
      </c>
      <c r="D22" s="693" t="s">
        <v>901</v>
      </c>
    </row>
    <row r="23" spans="1:4" x14ac:dyDescent="0.2">
      <c r="A23" s="692" t="s">
        <v>2838</v>
      </c>
      <c r="B23" s="693">
        <v>494500000</v>
      </c>
      <c r="C23" s="694">
        <v>82.25</v>
      </c>
      <c r="D23" s="693" t="s">
        <v>901</v>
      </c>
    </row>
    <row r="24" spans="1:4" x14ac:dyDescent="0.2">
      <c r="A24" s="692" t="s">
        <v>2751</v>
      </c>
      <c r="B24" s="693">
        <v>535775000</v>
      </c>
      <c r="C24" s="694">
        <v>80.349999999999994</v>
      </c>
      <c r="D24" s="693" t="s">
        <v>901</v>
      </c>
    </row>
    <row r="25" spans="1:4" x14ac:dyDescent="0.2">
      <c r="A25" s="692" t="s">
        <v>2752</v>
      </c>
      <c r="B25" s="693">
        <v>360500000</v>
      </c>
      <c r="C25" s="694">
        <v>57.65</v>
      </c>
      <c r="D25" s="693" t="s">
        <v>901</v>
      </c>
    </row>
    <row r="26" spans="1:4" x14ac:dyDescent="0.2">
      <c r="A26" s="692" t="s">
        <v>2753</v>
      </c>
      <c r="B26" s="693">
        <v>477060000</v>
      </c>
      <c r="C26" s="694">
        <v>79.260000000000005</v>
      </c>
      <c r="D26" s="693" t="s">
        <v>901</v>
      </c>
    </row>
    <row r="27" spans="1:4" x14ac:dyDescent="0.2">
      <c r="A27" s="692" t="s">
        <v>2754</v>
      </c>
      <c r="B27" s="693">
        <v>363900000</v>
      </c>
      <c r="C27" s="694">
        <v>59.7</v>
      </c>
      <c r="D27" s="693" t="s">
        <v>901</v>
      </c>
    </row>
    <row r="28" spans="1:4" x14ac:dyDescent="0.2">
      <c r="A28" s="692" t="s">
        <v>2755</v>
      </c>
      <c r="B28" s="693">
        <v>500857562</v>
      </c>
      <c r="C28" s="694">
        <v>82.3</v>
      </c>
      <c r="D28" s="693" t="s">
        <v>901</v>
      </c>
    </row>
    <row r="29" spans="1:4" x14ac:dyDescent="0.2">
      <c r="A29" s="692" t="s">
        <v>3041</v>
      </c>
      <c r="B29" s="693">
        <v>361000000</v>
      </c>
      <c r="C29" s="694">
        <v>57.5</v>
      </c>
      <c r="D29" s="693" t="s">
        <v>901</v>
      </c>
    </row>
    <row r="30" spans="1:4" x14ac:dyDescent="0.2">
      <c r="A30" s="692" t="s">
        <v>2839</v>
      </c>
      <c r="B30" s="693">
        <v>477560000</v>
      </c>
      <c r="C30" s="694">
        <v>79.260000000000005</v>
      </c>
      <c r="D30" s="693" t="s">
        <v>901</v>
      </c>
    </row>
    <row r="31" spans="1:4" x14ac:dyDescent="0.2">
      <c r="A31" s="692" t="s">
        <v>2757</v>
      </c>
      <c r="B31" s="693">
        <v>364400000</v>
      </c>
      <c r="C31" s="694">
        <v>59.7</v>
      </c>
      <c r="D31" s="693" t="s">
        <v>901</v>
      </c>
    </row>
    <row r="32" spans="1:4" x14ac:dyDescent="0.2">
      <c r="A32" s="692" t="s">
        <v>2758</v>
      </c>
      <c r="B32" s="693">
        <v>536950000</v>
      </c>
      <c r="C32" s="694">
        <v>82.3</v>
      </c>
      <c r="D32" s="693" t="s">
        <v>901</v>
      </c>
    </row>
    <row r="33" spans="1:6" x14ac:dyDescent="0.2">
      <c r="A33" s="692" t="s">
        <v>2760</v>
      </c>
      <c r="B33" s="693">
        <v>362191674</v>
      </c>
      <c r="C33" s="694">
        <v>57.5</v>
      </c>
      <c r="D33" s="693" t="s">
        <v>901</v>
      </c>
    </row>
    <row r="34" spans="1:6" x14ac:dyDescent="0.2">
      <c r="A34" s="692" t="s">
        <v>2761</v>
      </c>
      <c r="B34" s="693">
        <v>530830000</v>
      </c>
      <c r="C34" s="694">
        <v>80.05</v>
      </c>
      <c r="D34" s="693" t="s">
        <v>901</v>
      </c>
    </row>
    <row r="35" spans="1:6" x14ac:dyDescent="0.2">
      <c r="A35" s="692" t="s">
        <v>2762</v>
      </c>
      <c r="B35" s="693">
        <v>395100000</v>
      </c>
      <c r="C35" s="694">
        <v>60.4</v>
      </c>
      <c r="D35" s="693" t="s">
        <v>901</v>
      </c>
    </row>
    <row r="36" spans="1:6" x14ac:dyDescent="0.2">
      <c r="A36" s="692" t="s">
        <v>2840</v>
      </c>
      <c r="B36" s="693">
        <v>496000000</v>
      </c>
      <c r="C36" s="694">
        <v>82.25</v>
      </c>
      <c r="D36" s="693" t="s">
        <v>901</v>
      </c>
    </row>
    <row r="37" spans="1:6" x14ac:dyDescent="0.2">
      <c r="A37" s="692" t="s">
        <v>2763</v>
      </c>
      <c r="B37" s="693">
        <v>504954327</v>
      </c>
      <c r="C37" s="694">
        <v>80.3</v>
      </c>
      <c r="D37" s="693" t="s">
        <v>901</v>
      </c>
    </row>
    <row r="38" spans="1:6" x14ac:dyDescent="0.2">
      <c r="A38" s="692" t="s">
        <v>2764</v>
      </c>
      <c r="B38" s="693">
        <v>395171917</v>
      </c>
      <c r="C38" s="694">
        <v>57.65</v>
      </c>
      <c r="D38" s="693" t="s">
        <v>901</v>
      </c>
    </row>
    <row r="39" spans="1:6" x14ac:dyDescent="0.2">
      <c r="A39" s="692" t="s">
        <v>2765</v>
      </c>
      <c r="B39" s="693">
        <v>523325000</v>
      </c>
      <c r="C39" s="694">
        <v>80.05</v>
      </c>
      <c r="D39" s="693" t="s">
        <v>901</v>
      </c>
    </row>
    <row r="40" spans="1:6" x14ac:dyDescent="0.2">
      <c r="A40" s="692" t="s">
        <v>2766</v>
      </c>
      <c r="B40" s="693">
        <v>395600000</v>
      </c>
      <c r="C40" s="694">
        <v>60.4</v>
      </c>
      <c r="D40" s="693" t="s">
        <v>901</v>
      </c>
    </row>
    <row r="41" spans="1:6" x14ac:dyDescent="0.2">
      <c r="A41" s="692" t="s">
        <v>2767</v>
      </c>
      <c r="B41" s="693">
        <v>500612500</v>
      </c>
      <c r="C41" s="694">
        <v>82.25</v>
      </c>
      <c r="D41" s="693" t="s">
        <v>901</v>
      </c>
    </row>
    <row r="42" spans="1:6" x14ac:dyDescent="0.2">
      <c r="A42" s="692" t="s">
        <v>2768</v>
      </c>
      <c r="B42" s="693">
        <v>549827500</v>
      </c>
      <c r="C42" s="694">
        <v>80.349999999999994</v>
      </c>
      <c r="D42" s="693" t="s">
        <v>901</v>
      </c>
    </row>
    <row r="43" spans="1:6" x14ac:dyDescent="0.2">
      <c r="A43" s="692" t="s">
        <v>2769</v>
      </c>
      <c r="B43" s="693">
        <v>365375000</v>
      </c>
      <c r="C43" s="694">
        <v>57.65</v>
      </c>
      <c r="D43" s="693" t="s">
        <v>901</v>
      </c>
      <c r="F43" s="695"/>
    </row>
    <row r="44" spans="1:6" x14ac:dyDescent="0.2">
      <c r="A44" s="692" t="s">
        <v>2770</v>
      </c>
      <c r="B44" s="693">
        <v>535832500</v>
      </c>
      <c r="C44" s="694">
        <v>80.05</v>
      </c>
      <c r="D44" s="693" t="s">
        <v>901</v>
      </c>
    </row>
    <row r="45" spans="1:6" x14ac:dyDescent="0.2">
      <c r="A45" s="692" t="s">
        <v>2771</v>
      </c>
      <c r="B45" s="693">
        <v>402140000</v>
      </c>
      <c r="C45" s="694">
        <v>60.4</v>
      </c>
      <c r="D45" s="693" t="s">
        <v>901</v>
      </c>
    </row>
    <row r="46" spans="1:6" x14ac:dyDescent="0.2">
      <c r="A46" s="692" t="s">
        <v>2772</v>
      </c>
      <c r="B46" s="693">
        <v>556406110</v>
      </c>
      <c r="C46" s="694">
        <v>82.3</v>
      </c>
      <c r="D46" s="693" t="s">
        <v>901</v>
      </c>
    </row>
    <row r="47" spans="1:6" x14ac:dyDescent="0.2">
      <c r="A47" s="692" t="s">
        <v>2773</v>
      </c>
      <c r="B47" s="693">
        <v>554345000</v>
      </c>
      <c r="C47" s="694">
        <v>80.349999999999994</v>
      </c>
      <c r="D47" s="693" t="s">
        <v>901</v>
      </c>
    </row>
    <row r="48" spans="1:6" x14ac:dyDescent="0.2">
      <c r="A48" s="692" t="s">
        <v>2841</v>
      </c>
      <c r="B48" s="693">
        <v>363000000</v>
      </c>
      <c r="C48" s="694">
        <v>57.5</v>
      </c>
      <c r="D48" s="693" t="s">
        <v>901</v>
      </c>
    </row>
    <row r="49" spans="1:4" x14ac:dyDescent="0.2">
      <c r="A49" s="692" t="s">
        <v>2774</v>
      </c>
      <c r="B49" s="693">
        <v>532330000</v>
      </c>
      <c r="C49" s="694">
        <v>80.05</v>
      </c>
      <c r="D49" s="693" t="s">
        <v>901</v>
      </c>
    </row>
    <row r="50" spans="1:4" x14ac:dyDescent="0.2">
      <c r="A50" s="692" t="s">
        <v>2842</v>
      </c>
      <c r="B50" s="693">
        <v>362200000</v>
      </c>
      <c r="C50" s="694">
        <v>59.7</v>
      </c>
      <c r="D50" s="693" t="s">
        <v>901</v>
      </c>
    </row>
    <row r="51" spans="1:4" x14ac:dyDescent="0.2">
      <c r="A51" s="692" t="s">
        <v>2776</v>
      </c>
      <c r="B51" s="693">
        <v>498300000</v>
      </c>
      <c r="C51" s="694">
        <v>80.3</v>
      </c>
      <c r="D51" s="693" t="s">
        <v>901</v>
      </c>
    </row>
    <row r="52" spans="1:4" x14ac:dyDescent="0.2">
      <c r="A52" s="692" t="s">
        <v>2777</v>
      </c>
      <c r="B52" s="693">
        <v>363500000</v>
      </c>
      <c r="C52" s="694">
        <v>57.5</v>
      </c>
      <c r="D52" s="693" t="s">
        <v>901</v>
      </c>
    </row>
    <row r="53" spans="1:4" x14ac:dyDescent="0.2">
      <c r="A53" s="692" t="s">
        <v>2843</v>
      </c>
      <c r="B53" s="693">
        <v>480060000</v>
      </c>
      <c r="C53" s="694">
        <v>79.260000000000005</v>
      </c>
      <c r="D53" s="693" t="s">
        <v>901</v>
      </c>
    </row>
    <row r="54" spans="1:4" x14ac:dyDescent="0.2">
      <c r="A54" s="692" t="s">
        <v>2844</v>
      </c>
      <c r="B54" s="693">
        <v>362700000</v>
      </c>
      <c r="C54" s="694">
        <v>59.7</v>
      </c>
      <c r="D54" s="693" t="s">
        <v>901</v>
      </c>
    </row>
    <row r="55" spans="1:4" x14ac:dyDescent="0.2">
      <c r="A55" s="692" t="s">
        <v>2779</v>
      </c>
      <c r="B55" s="693">
        <v>498800000</v>
      </c>
      <c r="C55" s="694">
        <v>80.349999999999994</v>
      </c>
      <c r="D55" s="693" t="s">
        <v>901</v>
      </c>
    </row>
    <row r="56" spans="1:4" x14ac:dyDescent="0.2">
      <c r="A56" s="692" t="s">
        <v>2780</v>
      </c>
      <c r="B56" s="693">
        <v>364000000</v>
      </c>
      <c r="C56" s="694">
        <v>57.5</v>
      </c>
      <c r="D56" s="693" t="s">
        <v>901</v>
      </c>
    </row>
    <row r="57" spans="1:4" x14ac:dyDescent="0.2">
      <c r="A57" s="692" t="s">
        <v>2781</v>
      </c>
      <c r="B57" s="693">
        <v>489302500</v>
      </c>
      <c r="C57" s="694">
        <v>80.05</v>
      </c>
      <c r="D57" s="693" t="s">
        <v>901</v>
      </c>
    </row>
    <row r="58" spans="1:4" x14ac:dyDescent="0.2">
      <c r="A58" s="692" t="s">
        <v>2782</v>
      </c>
      <c r="B58" s="693">
        <v>397600000</v>
      </c>
      <c r="C58" s="694">
        <v>60.4</v>
      </c>
      <c r="D58" s="693" t="s">
        <v>901</v>
      </c>
    </row>
    <row r="59" spans="1:4" x14ac:dyDescent="0.2">
      <c r="A59" s="692" t="s">
        <v>2783</v>
      </c>
      <c r="B59" s="693">
        <v>556410000</v>
      </c>
      <c r="C59" s="694">
        <v>82.3</v>
      </c>
      <c r="D59" s="693" t="s">
        <v>901</v>
      </c>
    </row>
    <row r="60" spans="1:4" x14ac:dyDescent="0.2">
      <c r="A60" s="692" t="s">
        <v>2845</v>
      </c>
      <c r="B60" s="693">
        <v>364500000</v>
      </c>
      <c r="C60" s="694">
        <v>57.5</v>
      </c>
      <c r="D60" s="693" t="s">
        <v>901</v>
      </c>
    </row>
    <row r="61" spans="1:4" x14ac:dyDescent="0.2">
      <c r="A61" s="692" t="s">
        <v>2785</v>
      </c>
      <c r="B61" s="693">
        <v>525825000</v>
      </c>
      <c r="C61" s="694">
        <v>80.05</v>
      </c>
      <c r="D61" s="693" t="s">
        <v>901</v>
      </c>
    </row>
    <row r="62" spans="1:4" x14ac:dyDescent="0.2">
      <c r="A62" s="692" t="s">
        <v>2786</v>
      </c>
      <c r="B62" s="693">
        <v>398100000</v>
      </c>
      <c r="C62" s="694">
        <v>60.4</v>
      </c>
      <c r="D62" s="693" t="s">
        <v>901</v>
      </c>
    </row>
    <row r="63" spans="1:4" x14ac:dyDescent="0.2">
      <c r="A63" s="692" t="s">
        <v>2787</v>
      </c>
      <c r="B63" s="693">
        <v>556910000</v>
      </c>
      <c r="C63" s="694">
        <v>82.3</v>
      </c>
      <c r="D63" s="693" t="s">
        <v>901</v>
      </c>
    </row>
    <row r="64" spans="1:4" x14ac:dyDescent="0.2">
      <c r="A64" s="692" t="s">
        <v>2788</v>
      </c>
      <c r="B64" s="693">
        <v>504117500</v>
      </c>
      <c r="C64" s="694">
        <v>80.349999999999994</v>
      </c>
      <c r="D64" s="693" t="s">
        <v>901</v>
      </c>
    </row>
    <row r="65" spans="1:4" x14ac:dyDescent="0.2">
      <c r="A65" s="692" t="s">
        <v>2789</v>
      </c>
      <c r="B65" s="693">
        <v>365900000</v>
      </c>
      <c r="C65" s="694">
        <v>57.5</v>
      </c>
      <c r="D65" s="693" t="s">
        <v>901</v>
      </c>
    </row>
    <row r="66" spans="1:4" x14ac:dyDescent="0.2">
      <c r="A66" s="692" t="s">
        <v>2790</v>
      </c>
      <c r="B66" s="693">
        <v>486300000</v>
      </c>
      <c r="C66" s="694">
        <v>79.260000000000005</v>
      </c>
      <c r="D66" s="693" t="s">
        <v>901</v>
      </c>
    </row>
    <row r="67" spans="1:4" x14ac:dyDescent="0.2">
      <c r="A67" s="692" t="s">
        <v>2791</v>
      </c>
      <c r="B67" s="693">
        <v>410680000</v>
      </c>
      <c r="C67" s="694">
        <v>60.4</v>
      </c>
      <c r="D67" s="693" t="s">
        <v>901</v>
      </c>
    </row>
    <row r="68" spans="1:4" x14ac:dyDescent="0.2">
      <c r="A68" s="692" t="s">
        <v>2793</v>
      </c>
      <c r="B68" s="693">
        <v>552827500</v>
      </c>
      <c r="C68" s="694">
        <v>80.349999999999994</v>
      </c>
      <c r="D68" s="693" t="s">
        <v>901</v>
      </c>
    </row>
    <row r="69" spans="1:4" x14ac:dyDescent="0.2">
      <c r="A69" s="692" t="s">
        <v>2794</v>
      </c>
      <c r="B69" s="693">
        <v>374314608</v>
      </c>
      <c r="C69" s="694">
        <v>57.5</v>
      </c>
      <c r="D69" s="693" t="s">
        <v>901</v>
      </c>
    </row>
    <row r="70" spans="1:4" x14ac:dyDescent="0.2">
      <c r="A70" s="692" t="s">
        <v>2795</v>
      </c>
      <c r="B70" s="693">
        <v>490802500</v>
      </c>
      <c r="C70" s="694">
        <v>80.05</v>
      </c>
      <c r="D70" s="693" t="s">
        <v>901</v>
      </c>
    </row>
    <row r="71" spans="1:4" x14ac:dyDescent="0.2">
      <c r="A71" s="692" t="s">
        <v>2796</v>
      </c>
      <c r="B71" s="693">
        <v>405140000</v>
      </c>
      <c r="C71" s="694">
        <v>60.4</v>
      </c>
      <c r="D71" s="693" t="s">
        <v>901</v>
      </c>
    </row>
    <row r="72" spans="1:4" x14ac:dyDescent="0.2">
      <c r="A72" s="692" t="s">
        <v>2797</v>
      </c>
      <c r="B72" s="693">
        <v>541450000</v>
      </c>
      <c r="C72" s="694">
        <v>82.3</v>
      </c>
      <c r="D72" s="693" t="s">
        <v>901</v>
      </c>
    </row>
    <row r="73" spans="1:4" x14ac:dyDescent="0.2">
      <c r="A73" s="692" t="s">
        <v>2846</v>
      </c>
      <c r="B73" s="693">
        <v>500800000</v>
      </c>
      <c r="C73" s="694">
        <v>80.3</v>
      </c>
      <c r="D73" s="693" t="s">
        <v>901</v>
      </c>
    </row>
    <row r="74" spans="1:4" x14ac:dyDescent="0.2">
      <c r="A74" s="692" t="s">
        <v>2798</v>
      </c>
      <c r="B74" s="693">
        <v>366000000</v>
      </c>
      <c r="C74" s="694">
        <v>57.5</v>
      </c>
      <c r="D74" s="693" t="s">
        <v>901</v>
      </c>
    </row>
    <row r="75" spans="1:4" x14ac:dyDescent="0.2">
      <c r="A75" s="692" t="s">
        <v>2847</v>
      </c>
      <c r="B75" s="693">
        <v>482560000</v>
      </c>
      <c r="C75" s="694">
        <v>79.260000000000005</v>
      </c>
      <c r="D75" s="693" t="s">
        <v>901</v>
      </c>
    </row>
    <row r="76" spans="1:4" ht="13.5" customHeight="1" x14ac:dyDescent="0.2">
      <c r="A76" s="692" t="s">
        <v>2799</v>
      </c>
      <c r="B76" s="693">
        <v>399600000</v>
      </c>
      <c r="C76" s="694">
        <v>60.4</v>
      </c>
      <c r="D76" s="693" t="s">
        <v>901</v>
      </c>
    </row>
    <row r="77" spans="1:4" x14ac:dyDescent="0.2">
      <c r="A77" s="692" t="s">
        <v>2800</v>
      </c>
      <c r="B77" s="693">
        <v>541950000</v>
      </c>
      <c r="C77" s="694">
        <v>82.3</v>
      </c>
      <c r="D77" s="693" t="s">
        <v>901</v>
      </c>
    </row>
    <row r="78" spans="1:4" x14ac:dyDescent="0.2">
      <c r="A78" s="692" t="s">
        <v>2801</v>
      </c>
      <c r="B78" s="693">
        <v>553827500</v>
      </c>
      <c r="C78" s="694">
        <v>80.349999999999994</v>
      </c>
      <c r="D78" s="693" t="s">
        <v>901</v>
      </c>
    </row>
    <row r="79" spans="1:4" x14ac:dyDescent="0.2">
      <c r="A79" s="692" t="s">
        <v>2848</v>
      </c>
      <c r="B79" s="693">
        <v>366500000</v>
      </c>
      <c r="C79" s="694">
        <v>57.5</v>
      </c>
      <c r="D79" s="693" t="s">
        <v>901</v>
      </c>
    </row>
    <row r="80" spans="1:4" x14ac:dyDescent="0.2">
      <c r="A80" s="692" t="s">
        <v>2802</v>
      </c>
      <c r="B80" s="693">
        <v>491800000</v>
      </c>
      <c r="C80" s="694">
        <v>80.05</v>
      </c>
      <c r="D80" s="693" t="s">
        <v>901</v>
      </c>
    </row>
    <row r="81" spans="1:4" x14ac:dyDescent="0.2">
      <c r="A81" s="692" t="s">
        <v>2803</v>
      </c>
      <c r="B81" s="693">
        <v>381980000</v>
      </c>
      <c r="C81" s="694">
        <v>60.4</v>
      </c>
      <c r="D81" s="693" t="s">
        <v>901</v>
      </c>
    </row>
    <row r="82" spans="1:4" x14ac:dyDescent="0.2">
      <c r="A82" s="692" t="s">
        <v>2804</v>
      </c>
      <c r="B82" s="693">
        <v>542450000</v>
      </c>
      <c r="C82" s="694">
        <v>82.3</v>
      </c>
      <c r="D82" s="693" t="s">
        <v>901</v>
      </c>
    </row>
    <row r="83" spans="1:4" x14ac:dyDescent="0.2">
      <c r="A83" s="692" t="s">
        <v>2805</v>
      </c>
      <c r="B83" s="693">
        <v>542275000</v>
      </c>
      <c r="C83" s="694">
        <v>80.349999999999994</v>
      </c>
      <c r="D83" s="693" t="s">
        <v>901</v>
      </c>
    </row>
    <row r="84" spans="1:4" x14ac:dyDescent="0.2">
      <c r="A84" s="692" t="s">
        <v>2849</v>
      </c>
      <c r="B84" s="693">
        <v>371212269</v>
      </c>
      <c r="C84" s="694">
        <v>57.5</v>
      </c>
      <c r="D84" s="693" t="s">
        <v>901</v>
      </c>
    </row>
    <row r="85" spans="1:4" x14ac:dyDescent="0.2">
      <c r="A85" s="692" t="s">
        <v>2806</v>
      </c>
      <c r="B85" s="693">
        <v>528325000</v>
      </c>
      <c r="C85" s="694">
        <v>80.05</v>
      </c>
      <c r="D85" s="693" t="s">
        <v>901</v>
      </c>
    </row>
    <row r="86" spans="1:4" x14ac:dyDescent="0.2">
      <c r="A86" s="692" t="s">
        <v>2807</v>
      </c>
      <c r="B86" s="693">
        <v>366200000</v>
      </c>
      <c r="C86" s="694">
        <v>60.4</v>
      </c>
      <c r="D86" s="693" t="s">
        <v>901</v>
      </c>
    </row>
    <row r="87" spans="1:4" x14ac:dyDescent="0.2">
      <c r="A87" s="692" t="s">
        <v>2808</v>
      </c>
      <c r="B87" s="693">
        <v>501500000</v>
      </c>
      <c r="C87" s="694">
        <v>82.3</v>
      </c>
      <c r="D87" s="693" t="s">
        <v>901</v>
      </c>
    </row>
    <row r="88" spans="1:4" x14ac:dyDescent="0.2">
      <c r="A88" s="692" t="s">
        <v>2809</v>
      </c>
      <c r="B88" s="693">
        <v>506617500</v>
      </c>
      <c r="C88" s="694">
        <v>80.349999999999994</v>
      </c>
      <c r="D88" s="693" t="s">
        <v>901</v>
      </c>
    </row>
    <row r="89" spans="1:4" x14ac:dyDescent="0.2">
      <c r="A89" s="692" t="s">
        <v>2810</v>
      </c>
      <c r="B89" s="693">
        <v>397225000</v>
      </c>
      <c r="C89" s="694">
        <v>57.65</v>
      </c>
      <c r="D89" s="693" t="s">
        <v>901</v>
      </c>
    </row>
    <row r="90" spans="1:4" x14ac:dyDescent="0.2">
      <c r="A90" s="692" t="s">
        <v>2811</v>
      </c>
      <c r="B90" s="693">
        <v>488800000</v>
      </c>
      <c r="C90" s="694">
        <v>79.260000000000005</v>
      </c>
      <c r="D90" s="693" t="s">
        <v>901</v>
      </c>
    </row>
    <row r="91" spans="1:4" x14ac:dyDescent="0.2">
      <c r="A91" s="692" t="s">
        <v>2812</v>
      </c>
      <c r="B91" s="693">
        <v>373920000</v>
      </c>
      <c r="C91" s="694">
        <v>60.4</v>
      </c>
      <c r="D91" s="693" t="s">
        <v>901</v>
      </c>
    </row>
    <row r="92" spans="1:4" x14ac:dyDescent="0.2">
      <c r="A92" s="692" t="s">
        <v>2850</v>
      </c>
      <c r="B92" s="693">
        <v>502000000</v>
      </c>
      <c r="C92" s="694">
        <v>82.25</v>
      </c>
      <c r="D92" s="693" t="s">
        <v>901</v>
      </c>
    </row>
    <row r="93" spans="1:4" x14ac:dyDescent="0.2">
      <c r="A93" s="692" t="s">
        <v>2851</v>
      </c>
      <c r="B93" s="693">
        <v>502800000</v>
      </c>
      <c r="C93" s="694">
        <v>80.3</v>
      </c>
      <c r="D93" s="693" t="s">
        <v>901</v>
      </c>
    </row>
    <row r="94" spans="1:4" x14ac:dyDescent="0.2">
      <c r="A94" s="692" t="s">
        <v>2813</v>
      </c>
      <c r="B94" s="693">
        <v>368000000</v>
      </c>
      <c r="C94" s="694">
        <v>57.5</v>
      </c>
      <c r="D94" s="693" t="s">
        <v>901</v>
      </c>
    </row>
    <row r="95" spans="1:4" x14ac:dyDescent="0.2">
      <c r="A95" s="692" t="s">
        <v>2814</v>
      </c>
      <c r="B95" s="693">
        <v>493302500</v>
      </c>
      <c r="C95" s="694">
        <v>80.05</v>
      </c>
      <c r="D95" s="693" t="s">
        <v>901</v>
      </c>
    </row>
    <row r="96" spans="1:4" x14ac:dyDescent="0.2">
      <c r="A96" s="692" t="s">
        <v>2852</v>
      </c>
      <c r="B96" s="693">
        <v>367200000</v>
      </c>
      <c r="C96" s="694">
        <v>59.7</v>
      </c>
      <c r="D96" s="693" t="s">
        <v>901</v>
      </c>
    </row>
    <row r="97" spans="1:4" x14ac:dyDescent="0.2">
      <c r="A97" s="692" t="s">
        <v>2815</v>
      </c>
      <c r="B97" s="693">
        <v>560410000</v>
      </c>
      <c r="C97" s="694">
        <v>82.3</v>
      </c>
      <c r="D97" s="693" t="s">
        <v>901</v>
      </c>
    </row>
    <row r="98" spans="1:4" x14ac:dyDescent="0.2">
      <c r="A98" s="692" t="s">
        <v>2816</v>
      </c>
      <c r="B98" s="693">
        <v>559845000</v>
      </c>
      <c r="C98" s="694">
        <v>80.349999999999994</v>
      </c>
      <c r="D98" s="693" t="s">
        <v>901</v>
      </c>
    </row>
    <row r="99" spans="1:4" x14ac:dyDescent="0.2">
      <c r="A99" s="692" t="s">
        <v>2853</v>
      </c>
      <c r="B99" s="693">
        <v>368500000</v>
      </c>
      <c r="C99" s="694">
        <v>57.5</v>
      </c>
      <c r="D99" s="693" t="s">
        <v>901</v>
      </c>
    </row>
    <row r="100" spans="1:4" x14ac:dyDescent="0.2">
      <c r="A100" s="692" t="s">
        <v>2817</v>
      </c>
      <c r="B100" s="693">
        <v>529825000</v>
      </c>
      <c r="C100" s="694">
        <v>80.05</v>
      </c>
      <c r="D100" s="693" t="s">
        <v>901</v>
      </c>
    </row>
    <row r="101" spans="1:4" x14ac:dyDescent="0.2">
      <c r="A101" s="692" t="s">
        <v>2818</v>
      </c>
      <c r="B101" s="693">
        <v>367700000</v>
      </c>
      <c r="C101" s="694">
        <v>59.7</v>
      </c>
      <c r="D101" s="693" t="s">
        <v>901</v>
      </c>
    </row>
    <row r="102" spans="1:4" x14ac:dyDescent="0.2">
      <c r="A102" s="692" t="s">
        <v>2819</v>
      </c>
      <c r="B102" s="693">
        <v>503000000</v>
      </c>
      <c r="C102" s="694">
        <v>82.25</v>
      </c>
      <c r="D102" s="693" t="s">
        <v>901</v>
      </c>
    </row>
    <row r="103" spans="1:4" x14ac:dyDescent="0.2">
      <c r="A103" s="692" t="s">
        <v>2820</v>
      </c>
      <c r="B103" s="693">
        <v>544275000</v>
      </c>
      <c r="C103" s="694">
        <v>80.349999999999994</v>
      </c>
      <c r="D103" s="693" t="s">
        <v>901</v>
      </c>
    </row>
    <row r="104" spans="1:4" x14ac:dyDescent="0.2">
      <c r="A104" s="692" t="s">
        <v>2821</v>
      </c>
      <c r="B104" s="693">
        <v>410255000</v>
      </c>
      <c r="C104" s="694">
        <v>57.65</v>
      </c>
      <c r="D104" s="693" t="s">
        <v>901</v>
      </c>
    </row>
    <row r="105" spans="1:4" x14ac:dyDescent="0.2">
      <c r="A105" s="692" t="s">
        <v>2822</v>
      </c>
      <c r="B105" s="693">
        <v>506310000</v>
      </c>
      <c r="C105" s="694">
        <v>80.05</v>
      </c>
      <c r="D105" s="693" t="s">
        <v>901</v>
      </c>
    </row>
    <row r="106" spans="1:4" x14ac:dyDescent="0.2">
      <c r="A106" s="692" t="s">
        <v>2823</v>
      </c>
      <c r="B106" s="693">
        <v>375420000</v>
      </c>
      <c r="C106" s="694">
        <v>60.4</v>
      </c>
      <c r="D106" s="693" t="s">
        <v>901</v>
      </c>
    </row>
    <row r="107" spans="1:4" x14ac:dyDescent="0.2">
      <c r="A107" s="692" t="s">
        <v>2824</v>
      </c>
      <c r="B107" s="693">
        <v>503800000</v>
      </c>
      <c r="C107" s="694">
        <v>82.25</v>
      </c>
      <c r="D107" s="693" t="s">
        <v>901</v>
      </c>
    </row>
    <row r="108" spans="1:4" x14ac:dyDescent="0.2">
      <c r="A108" s="692" t="s">
        <v>2825</v>
      </c>
      <c r="B108" s="693">
        <v>508617500</v>
      </c>
      <c r="C108" s="694">
        <v>80.349999999999994</v>
      </c>
      <c r="D108" s="693" t="s">
        <v>901</v>
      </c>
    </row>
    <row r="109" spans="1:4" x14ac:dyDescent="0.2">
      <c r="A109" s="692" t="s">
        <v>2826</v>
      </c>
      <c r="B109" s="693">
        <v>399225000</v>
      </c>
      <c r="C109" s="694">
        <v>57.65</v>
      </c>
      <c r="D109" s="693" t="s">
        <v>901</v>
      </c>
    </row>
    <row r="110" spans="1:4" x14ac:dyDescent="0.2">
      <c r="A110" s="692" t="s">
        <v>2827</v>
      </c>
      <c r="B110" s="693">
        <v>490800000</v>
      </c>
      <c r="C110" s="694">
        <v>79.260000000000005</v>
      </c>
      <c r="D110" s="693" t="s">
        <v>901</v>
      </c>
    </row>
    <row r="111" spans="1:4" x14ac:dyDescent="0.2">
      <c r="A111" s="692" t="s">
        <v>2828</v>
      </c>
      <c r="B111" s="693">
        <v>375920000</v>
      </c>
      <c r="C111" s="694">
        <v>60.4</v>
      </c>
      <c r="D111" s="693" t="s">
        <v>901</v>
      </c>
    </row>
    <row r="112" spans="1:4" x14ac:dyDescent="0.2">
      <c r="A112" s="692" t="s">
        <v>2854</v>
      </c>
      <c r="B112" s="693">
        <v>504000000</v>
      </c>
      <c r="C112" s="694">
        <v>82.25</v>
      </c>
      <c r="D112" s="693" t="s">
        <v>901</v>
      </c>
    </row>
    <row r="113" spans="1:4" x14ac:dyDescent="0.2">
      <c r="A113" s="692" t="s">
        <v>2855</v>
      </c>
      <c r="B113" s="693">
        <v>509219901</v>
      </c>
      <c r="C113" s="694">
        <v>80.3</v>
      </c>
      <c r="D113" s="693" t="s">
        <v>901</v>
      </c>
    </row>
    <row r="114" spans="1:4" x14ac:dyDescent="0.2">
      <c r="A114" s="692" t="s">
        <v>2829</v>
      </c>
      <c r="B114" s="693">
        <v>411255000</v>
      </c>
      <c r="C114" s="694">
        <v>57.65</v>
      </c>
      <c r="D114" s="693" t="s">
        <v>901</v>
      </c>
    </row>
    <row r="115" spans="1:4" x14ac:dyDescent="0.2">
      <c r="A115" s="692" t="s">
        <v>2831</v>
      </c>
      <c r="B115" s="693">
        <v>376372116</v>
      </c>
      <c r="C115" s="694">
        <v>59.7</v>
      </c>
      <c r="D115" s="693" t="s">
        <v>901</v>
      </c>
    </row>
    <row r="116" spans="1:4" x14ac:dyDescent="0.2">
      <c r="A116" s="692" t="s">
        <v>2856</v>
      </c>
      <c r="B116" s="693">
        <v>504500000</v>
      </c>
      <c r="C116" s="694">
        <v>82.25</v>
      </c>
      <c r="D116" s="693" t="s">
        <v>901</v>
      </c>
    </row>
    <row r="117" spans="1:4" x14ac:dyDescent="0.2">
      <c r="A117" s="692" t="s">
        <v>2857</v>
      </c>
      <c r="B117" s="693">
        <v>505300000</v>
      </c>
      <c r="C117" s="694">
        <v>80.3</v>
      </c>
      <c r="D117" s="693" t="s">
        <v>901</v>
      </c>
    </row>
    <row r="118" spans="1:4" x14ac:dyDescent="0.2">
      <c r="A118" s="692" t="s">
        <v>2858</v>
      </c>
      <c r="B118" s="693">
        <v>370500000</v>
      </c>
      <c r="C118" s="694">
        <v>57.5</v>
      </c>
      <c r="D118" s="693" t="s">
        <v>901</v>
      </c>
    </row>
    <row r="119" spans="1:4" x14ac:dyDescent="0.2">
      <c r="A119" s="692" t="s">
        <v>2832</v>
      </c>
      <c r="B119" s="693">
        <v>487060000</v>
      </c>
      <c r="C119" s="694">
        <v>79.260000000000005</v>
      </c>
      <c r="D119" s="693" t="s">
        <v>901</v>
      </c>
    </row>
    <row r="120" spans="1:4" x14ac:dyDescent="0.2">
      <c r="A120" s="692" t="s">
        <v>4377</v>
      </c>
      <c r="B120" s="693">
        <v>375674266</v>
      </c>
      <c r="C120" s="694">
        <v>59.7</v>
      </c>
      <c r="D120" s="693" t="s">
        <v>901</v>
      </c>
    </row>
    <row r="121" spans="1:4" x14ac:dyDescent="0.2">
      <c r="A121" s="692" t="s">
        <v>2833</v>
      </c>
      <c r="B121" s="693">
        <v>509112500</v>
      </c>
      <c r="C121" s="694">
        <v>82.25</v>
      </c>
      <c r="D121" s="693" t="s">
        <v>901</v>
      </c>
    </row>
    <row r="122" spans="1:4" x14ac:dyDescent="0.2">
      <c r="A122" s="692" t="s">
        <v>2834</v>
      </c>
      <c r="B122" s="693">
        <v>562345000</v>
      </c>
      <c r="C122" s="694">
        <v>80.349999999999994</v>
      </c>
      <c r="D122" s="693" t="s">
        <v>901</v>
      </c>
    </row>
    <row r="123" spans="1:4" x14ac:dyDescent="0.2">
      <c r="A123" s="692" t="s">
        <v>2835</v>
      </c>
      <c r="B123" s="693">
        <v>400725000</v>
      </c>
      <c r="C123" s="694">
        <v>57.65</v>
      </c>
      <c r="D123" s="693" t="s">
        <v>901</v>
      </c>
    </row>
    <row r="124" spans="1:4" x14ac:dyDescent="0.2">
      <c r="A124" s="692" t="s">
        <v>2859</v>
      </c>
      <c r="B124" s="693">
        <v>544332500</v>
      </c>
      <c r="C124" s="694">
        <v>80.05</v>
      </c>
      <c r="D124" s="693" t="s">
        <v>901</v>
      </c>
    </row>
    <row r="125" spans="1:4" x14ac:dyDescent="0.2">
      <c r="A125" s="692" t="s">
        <v>2836</v>
      </c>
      <c r="B125" s="693">
        <v>377420000</v>
      </c>
      <c r="C125" s="694">
        <v>60.4</v>
      </c>
      <c r="D125" s="693" t="s">
        <v>901</v>
      </c>
    </row>
    <row r="126" spans="1:4" x14ac:dyDescent="0.2">
      <c r="A126" s="692" t="s">
        <v>2860</v>
      </c>
      <c r="B126" s="693">
        <v>505500000</v>
      </c>
      <c r="C126" s="694">
        <v>82.25</v>
      </c>
      <c r="D126" s="693" t="s">
        <v>901</v>
      </c>
    </row>
    <row r="127" spans="1:4" ht="13.5" customHeight="1" x14ac:dyDescent="0.2">
      <c r="A127" s="691"/>
      <c r="B127" s="693"/>
      <c r="C127" s="694"/>
      <c r="D127" s="693"/>
    </row>
    <row r="128" spans="1:4" x14ac:dyDescent="0.2">
      <c r="A128" s="692" t="s">
        <v>2861</v>
      </c>
      <c r="B128" s="693">
        <v>26000000</v>
      </c>
      <c r="C128" s="694">
        <v>0</v>
      </c>
      <c r="D128" s="693" t="s">
        <v>61</v>
      </c>
    </row>
    <row r="129" spans="1:4" x14ac:dyDescent="0.2">
      <c r="A129" s="692" t="s">
        <v>2862</v>
      </c>
      <c r="B129" s="693">
        <v>26000000</v>
      </c>
      <c r="C129" s="694">
        <v>0</v>
      </c>
      <c r="D129" s="693" t="s">
        <v>61</v>
      </c>
    </row>
    <row r="130" spans="1:4" x14ac:dyDescent="0.2">
      <c r="A130" s="692" t="s">
        <v>1024</v>
      </c>
      <c r="B130" s="693">
        <v>26000000</v>
      </c>
      <c r="C130" s="694">
        <v>0</v>
      </c>
      <c r="D130" s="693" t="s">
        <v>61</v>
      </c>
    </row>
    <row r="131" spans="1:4" x14ac:dyDescent="0.2">
      <c r="A131" s="692" t="s">
        <v>2863</v>
      </c>
      <c r="B131" s="693">
        <v>26000000</v>
      </c>
      <c r="C131" s="694">
        <v>0</v>
      </c>
      <c r="D131" s="693" t="s">
        <v>61</v>
      </c>
    </row>
    <row r="132" spans="1:4" x14ac:dyDescent="0.2">
      <c r="A132" s="692" t="s">
        <v>1025</v>
      </c>
      <c r="B132" s="693">
        <v>26000000</v>
      </c>
      <c r="C132" s="694">
        <v>0</v>
      </c>
      <c r="D132" s="693" t="s">
        <v>61</v>
      </c>
    </row>
    <row r="133" spans="1:4" x14ac:dyDescent="0.2">
      <c r="A133" s="692" t="s">
        <v>1026</v>
      </c>
      <c r="B133" s="693">
        <v>26000000</v>
      </c>
      <c r="C133" s="694">
        <v>0</v>
      </c>
      <c r="D133" s="693" t="s">
        <v>61</v>
      </c>
    </row>
    <row r="134" spans="1:4" x14ac:dyDescent="0.2">
      <c r="A134" s="692" t="s">
        <v>2864</v>
      </c>
      <c r="B134" s="693">
        <v>26000000</v>
      </c>
      <c r="C134" s="694">
        <v>0</v>
      </c>
      <c r="D134" s="693" t="s">
        <v>61</v>
      </c>
    </row>
    <row r="135" spans="1:4" x14ac:dyDescent="0.2">
      <c r="A135" s="692" t="s">
        <v>3239</v>
      </c>
      <c r="B135" s="693">
        <v>26000000</v>
      </c>
      <c r="C135" s="694">
        <v>0</v>
      </c>
      <c r="D135" s="693" t="s">
        <v>61</v>
      </c>
    </row>
    <row r="136" spans="1:4" x14ac:dyDescent="0.2">
      <c r="A136" s="692" t="s">
        <v>3066</v>
      </c>
      <c r="B136" s="693">
        <v>26000000</v>
      </c>
      <c r="C136" s="694">
        <v>0</v>
      </c>
      <c r="D136" s="693" t="s">
        <v>61</v>
      </c>
    </row>
    <row r="137" spans="1:4" x14ac:dyDescent="0.2">
      <c r="A137" s="692" t="s">
        <v>3463</v>
      </c>
      <c r="B137" s="693">
        <v>26000000</v>
      </c>
      <c r="C137" s="694">
        <v>0</v>
      </c>
      <c r="D137" s="693" t="s">
        <v>901</v>
      </c>
    </row>
    <row r="138" spans="1:4" x14ac:dyDescent="0.2">
      <c r="A138" s="692" t="s">
        <v>3732</v>
      </c>
      <c r="B138" s="693">
        <v>26000000</v>
      </c>
      <c r="C138" s="694">
        <v>0</v>
      </c>
      <c r="D138" s="693" t="s">
        <v>901</v>
      </c>
    </row>
    <row r="139" spans="1:4" x14ac:dyDescent="0.2">
      <c r="A139" s="692" t="s">
        <v>4248</v>
      </c>
      <c r="B139" s="693">
        <v>26000000</v>
      </c>
      <c r="C139" s="694">
        <v>0</v>
      </c>
      <c r="D139" s="693" t="s">
        <v>901</v>
      </c>
    </row>
    <row r="140" spans="1:4" ht="12" customHeight="1" x14ac:dyDescent="0.2">
      <c r="A140" s="692" t="s">
        <v>4300</v>
      </c>
      <c r="B140" s="693">
        <v>26000000</v>
      </c>
      <c r="C140" s="694">
        <v>0</v>
      </c>
      <c r="D140" s="693" t="s">
        <v>901</v>
      </c>
    </row>
    <row r="141" spans="1:4" x14ac:dyDescent="0.2">
      <c r="A141" s="692" t="s">
        <v>3374</v>
      </c>
      <c r="B141" s="693">
        <v>26000000</v>
      </c>
      <c r="C141" s="694">
        <v>0</v>
      </c>
      <c r="D141" s="693" t="s">
        <v>901</v>
      </c>
    </row>
    <row r="142" spans="1:4" x14ac:dyDescent="0.2">
      <c r="A142" s="692" t="s">
        <v>2865</v>
      </c>
      <c r="B142" s="693">
        <v>26000000</v>
      </c>
      <c r="C142" s="694">
        <v>0</v>
      </c>
      <c r="D142" s="693" t="s">
        <v>901</v>
      </c>
    </row>
    <row r="143" spans="1:4" x14ac:dyDescent="0.2">
      <c r="A143" s="692" t="s">
        <v>3375</v>
      </c>
      <c r="B143" s="693">
        <v>26000000</v>
      </c>
      <c r="C143" s="694">
        <v>0</v>
      </c>
      <c r="D143" s="693" t="s">
        <v>901</v>
      </c>
    </row>
    <row r="144" spans="1:4" x14ac:dyDescent="0.2">
      <c r="A144" s="692" t="s">
        <v>4249</v>
      </c>
      <c r="B144" s="693">
        <v>26000000</v>
      </c>
      <c r="C144" s="694">
        <v>0</v>
      </c>
      <c r="D144" s="693" t="s">
        <v>901</v>
      </c>
    </row>
    <row r="145" spans="1:4" x14ac:dyDescent="0.2">
      <c r="A145" s="692" t="s">
        <v>3042</v>
      </c>
      <c r="B145" s="693">
        <v>26000000</v>
      </c>
      <c r="C145" s="694">
        <v>0</v>
      </c>
      <c r="D145" s="693" t="s">
        <v>901</v>
      </c>
    </row>
    <row r="146" spans="1:4" x14ac:dyDescent="0.2">
      <c r="A146" s="692" t="s">
        <v>3299</v>
      </c>
      <c r="B146" s="693">
        <v>26000000</v>
      </c>
      <c r="C146" s="694">
        <v>0</v>
      </c>
      <c r="D146" s="693" t="s">
        <v>901</v>
      </c>
    </row>
    <row r="147" spans="1:4" x14ac:dyDescent="0.2">
      <c r="A147" s="692" t="s">
        <v>3733</v>
      </c>
      <c r="B147" s="693">
        <v>26000000</v>
      </c>
      <c r="C147" s="694">
        <v>0</v>
      </c>
      <c r="D147" s="693" t="s">
        <v>901</v>
      </c>
    </row>
    <row r="148" spans="1:4" x14ac:dyDescent="0.2">
      <c r="A148" s="692" t="s">
        <v>3376</v>
      </c>
      <c r="B148" s="693">
        <v>26000000</v>
      </c>
      <c r="C148" s="694">
        <v>0</v>
      </c>
      <c r="D148" s="693" t="s">
        <v>901</v>
      </c>
    </row>
    <row r="149" spans="1:4" x14ac:dyDescent="0.2">
      <c r="A149" s="692" t="s">
        <v>2866</v>
      </c>
      <c r="B149" s="693">
        <v>26000000</v>
      </c>
      <c r="C149" s="694">
        <v>0</v>
      </c>
      <c r="D149" s="693" t="s">
        <v>901</v>
      </c>
    </row>
    <row r="150" spans="1:4" x14ac:dyDescent="0.2">
      <c r="A150" s="692" t="s">
        <v>3300</v>
      </c>
      <c r="B150" s="693">
        <v>26000000</v>
      </c>
      <c r="C150" s="694">
        <v>0</v>
      </c>
      <c r="D150" s="693" t="s">
        <v>901</v>
      </c>
    </row>
    <row r="151" spans="1:4" x14ac:dyDescent="0.2">
      <c r="A151" s="692" t="s">
        <v>3169</v>
      </c>
      <c r="B151" s="693">
        <v>26000000</v>
      </c>
      <c r="C151" s="694">
        <v>0</v>
      </c>
      <c r="D151" s="693" t="s">
        <v>901</v>
      </c>
    </row>
    <row r="152" spans="1:4" x14ac:dyDescent="0.2">
      <c r="A152" s="692" t="s">
        <v>3043</v>
      </c>
      <c r="B152" s="693">
        <v>26000000</v>
      </c>
      <c r="C152" s="694">
        <v>0</v>
      </c>
      <c r="D152" s="693" t="s">
        <v>901</v>
      </c>
    </row>
    <row r="153" spans="1:4" x14ac:dyDescent="0.2">
      <c r="A153" s="692" t="s">
        <v>3044</v>
      </c>
      <c r="B153" s="696">
        <v>26000000</v>
      </c>
      <c r="C153" s="697">
        <v>0</v>
      </c>
      <c r="D153" s="693" t="s">
        <v>901</v>
      </c>
    </row>
    <row r="154" spans="1:4" x14ac:dyDescent="0.2">
      <c r="A154" s="692" t="s">
        <v>3170</v>
      </c>
      <c r="B154" s="696">
        <v>26000000</v>
      </c>
      <c r="C154" s="697">
        <v>0</v>
      </c>
      <c r="D154" s="693" t="s">
        <v>901</v>
      </c>
    </row>
    <row r="155" spans="1:4" x14ac:dyDescent="0.2">
      <c r="A155" s="692" t="s">
        <v>2867</v>
      </c>
      <c r="B155" s="696">
        <v>26000000</v>
      </c>
      <c r="C155" s="697">
        <v>0</v>
      </c>
      <c r="D155" s="693" t="s">
        <v>901</v>
      </c>
    </row>
    <row r="156" spans="1:4" x14ac:dyDescent="0.2">
      <c r="A156" s="692" t="s">
        <v>2868</v>
      </c>
      <c r="B156" s="696">
        <v>26000000</v>
      </c>
      <c r="C156" s="697">
        <v>0</v>
      </c>
      <c r="D156" s="693" t="s">
        <v>901</v>
      </c>
    </row>
    <row r="157" spans="1:4" x14ac:dyDescent="0.2">
      <c r="A157" s="692" t="s">
        <v>3045</v>
      </c>
      <c r="B157" s="696">
        <v>26000000</v>
      </c>
      <c r="C157" s="697">
        <v>0</v>
      </c>
      <c r="D157" s="693" t="s">
        <v>901</v>
      </c>
    </row>
    <row r="158" spans="1:4" x14ac:dyDescent="0.2">
      <c r="A158" s="692" t="s">
        <v>3377</v>
      </c>
      <c r="B158" s="696">
        <v>26000000</v>
      </c>
      <c r="C158" s="697">
        <v>0</v>
      </c>
      <c r="D158" s="693" t="s">
        <v>901</v>
      </c>
    </row>
    <row r="159" spans="1:4" x14ac:dyDescent="0.2">
      <c r="A159" s="692" t="s">
        <v>3046</v>
      </c>
      <c r="B159" s="696">
        <v>26000000</v>
      </c>
      <c r="C159" s="697">
        <v>0</v>
      </c>
      <c r="D159" s="693" t="s">
        <v>901</v>
      </c>
    </row>
    <row r="160" spans="1:4" x14ac:dyDescent="0.2">
      <c r="A160" s="692" t="s">
        <v>3464</v>
      </c>
      <c r="B160" s="696">
        <v>26000000</v>
      </c>
      <c r="C160" s="697">
        <v>0</v>
      </c>
      <c r="D160" s="693" t="s">
        <v>901</v>
      </c>
    </row>
    <row r="161" spans="1:4" x14ac:dyDescent="0.2">
      <c r="A161" s="692" t="s">
        <v>3378</v>
      </c>
      <c r="B161" s="696">
        <v>26000000</v>
      </c>
      <c r="C161" s="697">
        <v>0</v>
      </c>
      <c r="D161" s="693" t="s">
        <v>901</v>
      </c>
    </row>
    <row r="162" spans="1:4" x14ac:dyDescent="0.2">
      <c r="A162" s="692" t="s">
        <v>2869</v>
      </c>
      <c r="B162" s="696">
        <v>26000000</v>
      </c>
      <c r="C162" s="697">
        <v>0</v>
      </c>
      <c r="D162" s="693" t="s">
        <v>901</v>
      </c>
    </row>
    <row r="163" spans="1:4" x14ac:dyDescent="0.2">
      <c r="A163" s="692" t="s">
        <v>3047</v>
      </c>
      <c r="B163" s="696">
        <v>26000000</v>
      </c>
      <c r="C163" s="697">
        <v>0</v>
      </c>
      <c r="D163" s="693" t="s">
        <v>901</v>
      </c>
    </row>
    <row r="164" spans="1:4" x14ac:dyDescent="0.2">
      <c r="A164" s="692" t="s">
        <v>3379</v>
      </c>
      <c r="B164" s="696">
        <v>26000000</v>
      </c>
      <c r="C164" s="697">
        <v>0</v>
      </c>
      <c r="D164" s="693" t="s">
        <v>901</v>
      </c>
    </row>
    <row r="165" spans="1:4" x14ac:dyDescent="0.2">
      <c r="A165" s="692" t="s">
        <v>3380</v>
      </c>
      <c r="B165" s="696">
        <v>26000000</v>
      </c>
      <c r="C165" s="697">
        <v>0</v>
      </c>
      <c r="D165" s="693" t="s">
        <v>901</v>
      </c>
    </row>
    <row r="166" spans="1:4" x14ac:dyDescent="0.2">
      <c r="A166" s="692" t="s">
        <v>3301</v>
      </c>
      <c r="B166" s="696">
        <v>26000000</v>
      </c>
      <c r="C166" s="697">
        <v>0</v>
      </c>
      <c r="D166" s="693" t="s">
        <v>901</v>
      </c>
    </row>
    <row r="167" spans="1:4" x14ac:dyDescent="0.2">
      <c r="A167" s="692" t="s">
        <v>3048</v>
      </c>
      <c r="B167" s="696">
        <v>26000000</v>
      </c>
      <c r="C167" s="697">
        <v>0</v>
      </c>
      <c r="D167" s="693" t="s">
        <v>901</v>
      </c>
    </row>
    <row r="168" spans="1:4" x14ac:dyDescent="0.2">
      <c r="A168" s="692" t="s">
        <v>4378</v>
      </c>
      <c r="B168" s="696">
        <v>26000000</v>
      </c>
      <c r="C168" s="697">
        <v>0</v>
      </c>
      <c r="D168" s="693" t="s">
        <v>901</v>
      </c>
    </row>
    <row r="169" spans="1:4" x14ac:dyDescent="0.2">
      <c r="A169" s="692" t="s">
        <v>3049</v>
      </c>
      <c r="B169" s="696">
        <v>26000000</v>
      </c>
      <c r="C169" s="697">
        <v>0</v>
      </c>
      <c r="D169" s="693" t="s">
        <v>901</v>
      </c>
    </row>
    <row r="170" spans="1:4" x14ac:dyDescent="0.2">
      <c r="A170" s="692" t="s">
        <v>3734</v>
      </c>
      <c r="B170" s="696">
        <v>26000000</v>
      </c>
      <c r="C170" s="697">
        <v>0</v>
      </c>
      <c r="D170" s="693" t="s">
        <v>901</v>
      </c>
    </row>
    <row r="171" spans="1:4" x14ac:dyDescent="0.2">
      <c r="A171" s="692" t="s">
        <v>3465</v>
      </c>
      <c r="B171" s="696">
        <v>26000000</v>
      </c>
      <c r="C171" s="697">
        <v>0</v>
      </c>
      <c r="D171" s="693" t="s">
        <v>901</v>
      </c>
    </row>
    <row r="172" spans="1:4" x14ac:dyDescent="0.2">
      <c r="A172" s="692" t="s">
        <v>4301</v>
      </c>
      <c r="B172" s="696">
        <v>26000000</v>
      </c>
      <c r="C172" s="697">
        <v>0</v>
      </c>
      <c r="D172" s="693" t="s">
        <v>901</v>
      </c>
    </row>
    <row r="173" spans="1:4" x14ac:dyDescent="0.2">
      <c r="A173" s="692" t="s">
        <v>4379</v>
      </c>
      <c r="B173" s="696">
        <v>26000000</v>
      </c>
      <c r="C173" s="697">
        <v>0</v>
      </c>
      <c r="D173" s="693" t="s">
        <v>901</v>
      </c>
    </row>
    <row r="174" spans="1:4" x14ac:dyDescent="0.2">
      <c r="A174" s="692" t="s">
        <v>2870</v>
      </c>
      <c r="B174" s="696">
        <v>26000000</v>
      </c>
      <c r="C174" s="697">
        <v>0</v>
      </c>
      <c r="D174" s="693" t="s">
        <v>901</v>
      </c>
    </row>
    <row r="175" spans="1:4" x14ac:dyDescent="0.2">
      <c r="A175" s="692" t="s">
        <v>3735</v>
      </c>
      <c r="B175" s="696">
        <v>26000000</v>
      </c>
      <c r="C175" s="697">
        <v>0</v>
      </c>
      <c r="D175" s="693" t="s">
        <v>901</v>
      </c>
    </row>
    <row r="176" spans="1:4" x14ac:dyDescent="0.2">
      <c r="A176" s="692" t="s">
        <v>2871</v>
      </c>
      <c r="B176" s="696">
        <v>26000000</v>
      </c>
      <c r="C176" s="697">
        <v>0</v>
      </c>
      <c r="D176" s="693" t="s">
        <v>901</v>
      </c>
    </row>
    <row r="177" spans="1:4" x14ac:dyDescent="0.2">
      <c r="A177" s="692" t="s">
        <v>3050</v>
      </c>
      <c r="B177" s="696">
        <v>26000000</v>
      </c>
      <c r="C177" s="697">
        <v>0</v>
      </c>
      <c r="D177" s="693" t="s">
        <v>901</v>
      </c>
    </row>
    <row r="178" spans="1:4" x14ac:dyDescent="0.2">
      <c r="A178" s="692" t="s">
        <v>3051</v>
      </c>
      <c r="B178" s="696">
        <v>26000000</v>
      </c>
      <c r="C178" s="697">
        <v>0</v>
      </c>
      <c r="D178" s="693" t="s">
        <v>901</v>
      </c>
    </row>
    <row r="179" spans="1:4" x14ac:dyDescent="0.2">
      <c r="A179" s="692" t="s">
        <v>2872</v>
      </c>
      <c r="B179" s="696">
        <v>26000000</v>
      </c>
      <c r="C179" s="697">
        <v>0</v>
      </c>
      <c r="D179" s="693" t="s">
        <v>901</v>
      </c>
    </row>
    <row r="180" spans="1:4" x14ac:dyDescent="0.2">
      <c r="A180" s="692" t="s">
        <v>2873</v>
      </c>
      <c r="B180" s="696">
        <v>26000000</v>
      </c>
      <c r="C180" s="697">
        <v>0</v>
      </c>
      <c r="D180" s="693" t="s">
        <v>901</v>
      </c>
    </row>
    <row r="181" spans="1:4" x14ac:dyDescent="0.2">
      <c r="A181" s="692" t="s">
        <v>3171</v>
      </c>
      <c r="B181" s="696">
        <v>26000000</v>
      </c>
      <c r="C181" s="697">
        <v>0</v>
      </c>
      <c r="D181" s="693" t="s">
        <v>901</v>
      </c>
    </row>
    <row r="182" spans="1:4" x14ac:dyDescent="0.2">
      <c r="A182" s="692" t="s">
        <v>3052</v>
      </c>
      <c r="B182" s="696">
        <v>26000000</v>
      </c>
      <c r="C182" s="697">
        <v>0</v>
      </c>
      <c r="D182" s="693" t="s">
        <v>901</v>
      </c>
    </row>
    <row r="183" spans="1:4" x14ac:dyDescent="0.2">
      <c r="A183" s="692" t="s">
        <v>3172</v>
      </c>
      <c r="B183" s="696">
        <v>26000000</v>
      </c>
      <c r="C183" s="697">
        <v>0</v>
      </c>
      <c r="D183" s="693" t="s">
        <v>901</v>
      </c>
    </row>
    <row r="184" spans="1:4" x14ac:dyDescent="0.2">
      <c r="A184" s="692" t="s">
        <v>3238</v>
      </c>
      <c r="B184" s="696">
        <v>26000000</v>
      </c>
      <c r="C184" s="697">
        <v>0</v>
      </c>
      <c r="D184" s="693" t="s">
        <v>901</v>
      </c>
    </row>
    <row r="185" spans="1:4" x14ac:dyDescent="0.2">
      <c r="A185" s="692" t="s">
        <v>4250</v>
      </c>
      <c r="B185" s="696">
        <v>26000000</v>
      </c>
      <c r="C185" s="697">
        <v>0</v>
      </c>
      <c r="D185" s="693" t="s">
        <v>901</v>
      </c>
    </row>
    <row r="186" spans="1:4" x14ac:dyDescent="0.2">
      <c r="A186" s="692" t="s">
        <v>2874</v>
      </c>
      <c r="B186" s="696">
        <v>26000000</v>
      </c>
      <c r="C186" s="697">
        <v>0</v>
      </c>
      <c r="D186" s="693" t="s">
        <v>901</v>
      </c>
    </row>
    <row r="187" spans="1:4" x14ac:dyDescent="0.2">
      <c r="A187" s="692" t="s">
        <v>3302</v>
      </c>
      <c r="B187" s="696">
        <v>26000000</v>
      </c>
      <c r="C187" s="697">
        <v>0</v>
      </c>
      <c r="D187" s="693" t="s">
        <v>901</v>
      </c>
    </row>
    <row r="188" spans="1:4" x14ac:dyDescent="0.2">
      <c r="A188" s="692" t="s">
        <v>3303</v>
      </c>
      <c r="B188" s="696">
        <v>26000000</v>
      </c>
      <c r="C188" s="697">
        <v>0</v>
      </c>
      <c r="D188" s="693" t="s">
        <v>901</v>
      </c>
    </row>
    <row r="189" spans="1:4" x14ac:dyDescent="0.2">
      <c r="A189" s="692" t="s">
        <v>4251</v>
      </c>
      <c r="B189" s="696">
        <v>26000000</v>
      </c>
      <c r="C189" s="697">
        <v>0</v>
      </c>
      <c r="D189" s="693" t="s">
        <v>901</v>
      </c>
    </row>
    <row r="190" spans="1:4" x14ac:dyDescent="0.2">
      <c r="A190" s="692" t="s">
        <v>3173</v>
      </c>
      <c r="B190" s="696">
        <v>26000000</v>
      </c>
      <c r="C190" s="697">
        <v>0</v>
      </c>
      <c r="D190" s="693" t="s">
        <v>901</v>
      </c>
    </row>
    <row r="191" spans="1:4" x14ac:dyDescent="0.2">
      <c r="A191" s="692" t="s">
        <v>3053</v>
      </c>
      <c r="B191" s="696">
        <v>26000000</v>
      </c>
      <c r="C191" s="697">
        <v>0</v>
      </c>
      <c r="D191" s="693" t="s">
        <v>901</v>
      </c>
    </row>
    <row r="192" spans="1:4" x14ac:dyDescent="0.2">
      <c r="A192" s="692" t="s">
        <v>3054</v>
      </c>
      <c r="B192" s="696">
        <v>26000000</v>
      </c>
      <c r="C192" s="697">
        <v>0</v>
      </c>
      <c r="D192" s="693" t="s">
        <v>901</v>
      </c>
    </row>
    <row r="193" spans="1:4" x14ac:dyDescent="0.2">
      <c r="A193" s="692" t="s">
        <v>4252</v>
      </c>
      <c r="B193" s="696">
        <v>26000000</v>
      </c>
      <c r="C193" s="697">
        <v>0</v>
      </c>
      <c r="D193" s="693" t="s">
        <v>901</v>
      </c>
    </row>
    <row r="194" spans="1:4" x14ac:dyDescent="0.2">
      <c r="A194" s="692" t="s">
        <v>4253</v>
      </c>
      <c r="B194" s="696">
        <v>26000000</v>
      </c>
      <c r="C194" s="697">
        <v>0</v>
      </c>
      <c r="D194" s="693" t="s">
        <v>901</v>
      </c>
    </row>
    <row r="195" spans="1:4" x14ac:dyDescent="0.2">
      <c r="A195" s="692" t="s">
        <v>3055</v>
      </c>
      <c r="B195" s="696">
        <v>26000000</v>
      </c>
      <c r="C195" s="697">
        <v>0</v>
      </c>
      <c r="D195" s="693" t="s">
        <v>901</v>
      </c>
    </row>
    <row r="196" spans="1:4" x14ac:dyDescent="0.2">
      <c r="A196" s="692" t="s">
        <v>3174</v>
      </c>
      <c r="B196" s="696">
        <v>26000000</v>
      </c>
      <c r="C196" s="697">
        <v>0</v>
      </c>
      <c r="D196" s="693" t="s">
        <v>901</v>
      </c>
    </row>
    <row r="197" spans="1:4" x14ac:dyDescent="0.2">
      <c r="A197" s="692" t="s">
        <v>3466</v>
      </c>
      <c r="B197" s="696">
        <v>26000000</v>
      </c>
      <c r="C197" s="697">
        <v>0</v>
      </c>
      <c r="D197" s="693" t="s">
        <v>901</v>
      </c>
    </row>
    <row r="198" spans="1:4" x14ac:dyDescent="0.2">
      <c r="A198" s="692" t="s">
        <v>3240</v>
      </c>
      <c r="B198" s="696">
        <v>26000000</v>
      </c>
      <c r="C198" s="697">
        <v>0</v>
      </c>
      <c r="D198" s="693" t="s">
        <v>901</v>
      </c>
    </row>
    <row r="199" spans="1:4" x14ac:dyDescent="0.2">
      <c r="A199" s="692" t="s">
        <v>2875</v>
      </c>
      <c r="B199" s="696">
        <v>26000000</v>
      </c>
      <c r="C199" s="697">
        <v>0</v>
      </c>
      <c r="D199" s="693" t="s">
        <v>901</v>
      </c>
    </row>
    <row r="200" spans="1:4" x14ac:dyDescent="0.2">
      <c r="A200" s="692" t="s">
        <v>3056</v>
      </c>
      <c r="B200" s="696">
        <v>26000000</v>
      </c>
      <c r="C200" s="697">
        <v>0</v>
      </c>
      <c r="D200" s="693" t="s">
        <v>901</v>
      </c>
    </row>
    <row r="201" spans="1:4" x14ac:dyDescent="0.2">
      <c r="A201" s="692" t="s">
        <v>2876</v>
      </c>
      <c r="B201" s="696">
        <v>26000000</v>
      </c>
      <c r="C201" s="697">
        <v>0</v>
      </c>
      <c r="D201" s="693" t="s">
        <v>901</v>
      </c>
    </row>
    <row r="202" spans="1:4" x14ac:dyDescent="0.2">
      <c r="A202" s="692" t="s">
        <v>3381</v>
      </c>
      <c r="B202" s="696">
        <v>26000000</v>
      </c>
      <c r="C202" s="697">
        <v>0</v>
      </c>
      <c r="D202" s="693" t="s">
        <v>901</v>
      </c>
    </row>
    <row r="203" spans="1:4" x14ac:dyDescent="0.2">
      <c r="A203" s="692" t="s">
        <v>3241</v>
      </c>
      <c r="B203" s="696">
        <v>26000000</v>
      </c>
      <c r="C203" s="697">
        <v>0</v>
      </c>
      <c r="D203" s="693" t="s">
        <v>901</v>
      </c>
    </row>
    <row r="204" spans="1:4" x14ac:dyDescent="0.2">
      <c r="A204" s="692" t="s">
        <v>3736</v>
      </c>
      <c r="B204" s="696">
        <v>26000000</v>
      </c>
      <c r="C204" s="697">
        <v>0</v>
      </c>
      <c r="D204" s="693" t="s">
        <v>901</v>
      </c>
    </row>
    <row r="205" spans="1:4" x14ac:dyDescent="0.2">
      <c r="A205" s="692" t="s">
        <v>2877</v>
      </c>
      <c r="B205" s="696">
        <v>26000000</v>
      </c>
      <c r="C205" s="697">
        <v>0</v>
      </c>
      <c r="D205" s="693" t="s">
        <v>901</v>
      </c>
    </row>
    <row r="206" spans="1:4" x14ac:dyDescent="0.2">
      <c r="A206" s="692" t="s">
        <v>3175</v>
      </c>
      <c r="B206" s="696">
        <v>26000000</v>
      </c>
      <c r="C206" s="697">
        <v>0</v>
      </c>
      <c r="D206" s="693" t="s">
        <v>901</v>
      </c>
    </row>
    <row r="207" spans="1:4" x14ac:dyDescent="0.2">
      <c r="A207" s="692" t="s">
        <v>3176</v>
      </c>
      <c r="B207" s="696">
        <v>26000000</v>
      </c>
      <c r="C207" s="697">
        <v>0</v>
      </c>
      <c r="D207" s="693" t="s">
        <v>901</v>
      </c>
    </row>
    <row r="208" spans="1:4" x14ac:dyDescent="0.2">
      <c r="A208" s="692" t="s">
        <v>3382</v>
      </c>
      <c r="B208" s="696">
        <v>26000000</v>
      </c>
      <c r="C208" s="697">
        <v>0</v>
      </c>
      <c r="D208" s="693" t="s">
        <v>901</v>
      </c>
    </row>
    <row r="209" spans="1:4" x14ac:dyDescent="0.2">
      <c r="A209" s="692" t="s">
        <v>3304</v>
      </c>
      <c r="B209" s="696">
        <v>26000000</v>
      </c>
      <c r="C209" s="697">
        <v>0</v>
      </c>
      <c r="D209" s="693" t="s">
        <v>901</v>
      </c>
    </row>
    <row r="210" spans="1:4" x14ac:dyDescent="0.2">
      <c r="A210" s="692" t="s">
        <v>2878</v>
      </c>
      <c r="B210" s="696">
        <v>26000000</v>
      </c>
      <c r="C210" s="697">
        <v>0</v>
      </c>
      <c r="D210" s="693" t="s">
        <v>901</v>
      </c>
    </row>
    <row r="211" spans="1:4" x14ac:dyDescent="0.2">
      <c r="A211" s="692" t="s">
        <v>3383</v>
      </c>
      <c r="B211" s="696">
        <v>26000000</v>
      </c>
      <c r="C211" s="697">
        <v>0</v>
      </c>
      <c r="D211" s="693" t="s">
        <v>901</v>
      </c>
    </row>
    <row r="212" spans="1:4" x14ac:dyDescent="0.2">
      <c r="A212" s="692" t="s">
        <v>3177</v>
      </c>
      <c r="B212" s="696">
        <v>26000000</v>
      </c>
      <c r="C212" s="697">
        <v>0</v>
      </c>
      <c r="D212" s="693" t="s">
        <v>901</v>
      </c>
    </row>
    <row r="213" spans="1:4" x14ac:dyDescent="0.2">
      <c r="A213" s="692" t="s">
        <v>3057</v>
      </c>
      <c r="B213" s="696">
        <v>26000000</v>
      </c>
      <c r="C213" s="697">
        <v>0</v>
      </c>
      <c r="D213" s="693" t="s">
        <v>901</v>
      </c>
    </row>
    <row r="214" spans="1:4" x14ac:dyDescent="0.2">
      <c r="A214" s="692" t="s">
        <v>3384</v>
      </c>
      <c r="B214" s="696">
        <v>26000000</v>
      </c>
      <c r="C214" s="697">
        <v>0</v>
      </c>
      <c r="D214" s="693" t="s">
        <v>901</v>
      </c>
    </row>
    <row r="215" spans="1:4" x14ac:dyDescent="0.2">
      <c r="A215" s="692" t="s">
        <v>3385</v>
      </c>
      <c r="B215" s="696">
        <v>26000000</v>
      </c>
      <c r="C215" s="697">
        <v>0</v>
      </c>
      <c r="D215" s="693" t="s">
        <v>901</v>
      </c>
    </row>
    <row r="216" spans="1:4" x14ac:dyDescent="0.2">
      <c r="A216" s="692" t="s">
        <v>3058</v>
      </c>
      <c r="B216" s="696">
        <v>26000000</v>
      </c>
      <c r="C216" s="697">
        <v>0</v>
      </c>
      <c r="D216" s="693" t="s">
        <v>901</v>
      </c>
    </row>
    <row r="217" spans="1:4" x14ac:dyDescent="0.2">
      <c r="A217" s="692" t="s">
        <v>3178</v>
      </c>
      <c r="B217" s="696">
        <v>26000000</v>
      </c>
      <c r="C217" s="697">
        <v>0</v>
      </c>
      <c r="D217" s="693" t="s">
        <v>901</v>
      </c>
    </row>
    <row r="218" spans="1:4" x14ac:dyDescent="0.2">
      <c r="A218" s="692" t="s">
        <v>2879</v>
      </c>
      <c r="B218" s="696">
        <v>26000000</v>
      </c>
      <c r="C218" s="697">
        <v>0</v>
      </c>
      <c r="D218" s="693" t="s">
        <v>901</v>
      </c>
    </row>
    <row r="219" spans="1:4" x14ac:dyDescent="0.2">
      <c r="A219" s="692" t="s">
        <v>2880</v>
      </c>
      <c r="B219" s="696">
        <v>26000000</v>
      </c>
      <c r="C219" s="697">
        <v>0</v>
      </c>
      <c r="D219" s="693" t="s">
        <v>901</v>
      </c>
    </row>
    <row r="220" spans="1:4" x14ac:dyDescent="0.2">
      <c r="A220" s="692" t="s">
        <v>3059</v>
      </c>
      <c r="B220" s="696">
        <v>26000000</v>
      </c>
      <c r="C220" s="697">
        <v>0</v>
      </c>
      <c r="D220" s="693" t="s">
        <v>901</v>
      </c>
    </row>
    <row r="221" spans="1:4" x14ac:dyDescent="0.2">
      <c r="A221" s="692" t="s">
        <v>3060</v>
      </c>
      <c r="B221" s="696">
        <v>26000000</v>
      </c>
      <c r="C221" s="697">
        <v>0</v>
      </c>
      <c r="D221" s="693" t="s">
        <v>901</v>
      </c>
    </row>
    <row r="222" spans="1:4" x14ac:dyDescent="0.2">
      <c r="A222" s="692" t="s">
        <v>2881</v>
      </c>
      <c r="B222" s="696">
        <v>26000000</v>
      </c>
      <c r="C222" s="697">
        <v>0</v>
      </c>
      <c r="D222" s="693" t="s">
        <v>901</v>
      </c>
    </row>
    <row r="223" spans="1:4" x14ac:dyDescent="0.2">
      <c r="A223" s="692" t="s">
        <v>3179</v>
      </c>
      <c r="B223" s="696">
        <v>26000000</v>
      </c>
      <c r="C223" s="697">
        <v>0</v>
      </c>
      <c r="D223" s="693" t="s">
        <v>901</v>
      </c>
    </row>
    <row r="224" spans="1:4" x14ac:dyDescent="0.2">
      <c r="A224" s="692" t="s">
        <v>3737</v>
      </c>
      <c r="B224" s="696">
        <v>26000000</v>
      </c>
      <c r="C224" s="697">
        <v>0</v>
      </c>
      <c r="D224" s="693" t="s">
        <v>901</v>
      </c>
    </row>
    <row r="225" spans="1:4" x14ac:dyDescent="0.2">
      <c r="A225" s="692" t="s">
        <v>2882</v>
      </c>
      <c r="B225" s="696">
        <v>26000000</v>
      </c>
      <c r="C225" s="697">
        <v>0</v>
      </c>
      <c r="D225" s="693" t="s">
        <v>901</v>
      </c>
    </row>
    <row r="226" spans="1:4" x14ac:dyDescent="0.2">
      <c r="A226" s="692" t="s">
        <v>3305</v>
      </c>
      <c r="B226" s="696">
        <v>26000000</v>
      </c>
      <c r="C226" s="697">
        <v>0</v>
      </c>
      <c r="D226" s="693" t="s">
        <v>901</v>
      </c>
    </row>
    <row r="227" spans="1:4" x14ac:dyDescent="0.2">
      <c r="A227" s="692" t="s">
        <v>3061</v>
      </c>
      <c r="B227" s="696">
        <v>26000000</v>
      </c>
      <c r="C227" s="697">
        <v>0</v>
      </c>
      <c r="D227" s="693" t="s">
        <v>901</v>
      </c>
    </row>
    <row r="228" spans="1:4" x14ac:dyDescent="0.2">
      <c r="A228" s="692" t="s">
        <v>3062</v>
      </c>
      <c r="B228" s="696">
        <v>26000000</v>
      </c>
      <c r="C228" s="697">
        <v>0</v>
      </c>
      <c r="D228" s="693" t="s">
        <v>901</v>
      </c>
    </row>
    <row r="229" spans="1:4" x14ac:dyDescent="0.2">
      <c r="A229" s="692" t="s">
        <v>3242</v>
      </c>
      <c r="B229" s="696">
        <v>26000000</v>
      </c>
      <c r="C229" s="697">
        <v>0</v>
      </c>
      <c r="D229" s="693" t="s">
        <v>901</v>
      </c>
    </row>
    <row r="230" spans="1:4" x14ac:dyDescent="0.2">
      <c r="A230" s="692" t="s">
        <v>4302</v>
      </c>
      <c r="B230" s="696">
        <v>26000000</v>
      </c>
      <c r="C230" s="697">
        <v>0</v>
      </c>
      <c r="D230" s="693" t="s">
        <v>901</v>
      </c>
    </row>
    <row r="231" spans="1:4" x14ac:dyDescent="0.2">
      <c r="A231" s="692" t="s">
        <v>3180</v>
      </c>
      <c r="B231" s="696">
        <v>26000000</v>
      </c>
      <c r="C231" s="697">
        <v>0</v>
      </c>
      <c r="D231" s="693" t="s">
        <v>901</v>
      </c>
    </row>
    <row r="232" spans="1:4" x14ac:dyDescent="0.2">
      <c r="A232" s="692" t="s">
        <v>3063</v>
      </c>
      <c r="B232" s="696">
        <v>26000000</v>
      </c>
      <c r="C232" s="697">
        <v>0</v>
      </c>
      <c r="D232" s="693" t="s">
        <v>901</v>
      </c>
    </row>
    <row r="233" spans="1:4" x14ac:dyDescent="0.2">
      <c r="A233" s="692" t="s">
        <v>3064</v>
      </c>
      <c r="B233" s="696">
        <v>26000000</v>
      </c>
      <c r="C233" s="697">
        <v>0</v>
      </c>
      <c r="D233" s="693" t="s">
        <v>901</v>
      </c>
    </row>
    <row r="234" spans="1:4" x14ac:dyDescent="0.2">
      <c r="A234" s="692" t="s">
        <v>3181</v>
      </c>
      <c r="B234" s="696">
        <v>26000000</v>
      </c>
      <c r="C234" s="697">
        <v>0</v>
      </c>
      <c r="D234" s="693" t="s">
        <v>901</v>
      </c>
    </row>
    <row r="235" spans="1:4" x14ac:dyDescent="0.2">
      <c r="A235" s="692" t="s">
        <v>3243</v>
      </c>
      <c r="B235" s="696">
        <v>26000000</v>
      </c>
      <c r="C235" s="697">
        <v>0</v>
      </c>
      <c r="D235" s="693" t="s">
        <v>901</v>
      </c>
    </row>
    <row r="236" spans="1:4" x14ac:dyDescent="0.2">
      <c r="A236" s="692" t="s">
        <v>3065</v>
      </c>
      <c r="B236" s="696">
        <v>26000000</v>
      </c>
      <c r="C236" s="697">
        <v>0</v>
      </c>
      <c r="D236" s="693" t="s">
        <v>901</v>
      </c>
    </row>
    <row r="237" spans="1:4" x14ac:dyDescent="0.2">
      <c r="A237" s="692" t="s">
        <v>3182</v>
      </c>
      <c r="B237" s="696">
        <v>26000000</v>
      </c>
      <c r="C237" s="697">
        <v>0</v>
      </c>
      <c r="D237" s="693" t="s">
        <v>901</v>
      </c>
    </row>
    <row r="238" spans="1:4" x14ac:dyDescent="0.2">
      <c r="A238" s="692" t="s">
        <v>2883</v>
      </c>
      <c r="B238" s="696">
        <v>26000000</v>
      </c>
      <c r="C238" s="697">
        <v>0</v>
      </c>
      <c r="D238" s="693" t="s">
        <v>901</v>
      </c>
    </row>
    <row r="239" spans="1:4" x14ac:dyDescent="0.2">
      <c r="A239" s="692" t="s">
        <v>2884</v>
      </c>
      <c r="B239" s="696">
        <v>26000000</v>
      </c>
      <c r="C239" s="697">
        <v>0</v>
      </c>
      <c r="D239" s="693" t="s">
        <v>901</v>
      </c>
    </row>
    <row r="240" spans="1:4" x14ac:dyDescent="0.2">
      <c r="A240" s="692" t="s">
        <v>4380</v>
      </c>
      <c r="B240" s="696">
        <v>26000000</v>
      </c>
      <c r="C240" s="697">
        <v>0</v>
      </c>
      <c r="D240" s="693" t="s">
        <v>901</v>
      </c>
    </row>
    <row r="241" spans="1:4" x14ac:dyDescent="0.2">
      <c r="A241" s="692" t="s">
        <v>3067</v>
      </c>
      <c r="B241" s="696">
        <v>26000000</v>
      </c>
      <c r="C241" s="697">
        <v>0</v>
      </c>
      <c r="D241" s="693" t="s">
        <v>901</v>
      </c>
    </row>
    <row r="242" spans="1:4" x14ac:dyDescent="0.2">
      <c r="A242" s="692" t="s">
        <v>2885</v>
      </c>
      <c r="B242" s="696">
        <v>26000000</v>
      </c>
      <c r="C242" s="697">
        <v>0</v>
      </c>
      <c r="D242" s="693" t="s">
        <v>901</v>
      </c>
    </row>
    <row r="243" spans="1:4" x14ac:dyDescent="0.2">
      <c r="A243" s="692" t="s">
        <v>2886</v>
      </c>
      <c r="B243" s="696">
        <v>26000000</v>
      </c>
      <c r="C243" s="697">
        <v>0</v>
      </c>
      <c r="D243" s="693" t="s">
        <v>901</v>
      </c>
    </row>
    <row r="244" spans="1:4" x14ac:dyDescent="0.2">
      <c r="A244" s="692" t="s">
        <v>2887</v>
      </c>
      <c r="B244" s="696">
        <v>26000000</v>
      </c>
      <c r="C244" s="697">
        <v>0</v>
      </c>
      <c r="D244" s="693" t="s">
        <v>901</v>
      </c>
    </row>
    <row r="245" spans="1:4" x14ac:dyDescent="0.2">
      <c r="A245" s="692" t="s">
        <v>3068</v>
      </c>
      <c r="B245" s="696">
        <v>26000000</v>
      </c>
      <c r="C245" s="697">
        <v>0</v>
      </c>
      <c r="D245" s="693" t="s">
        <v>901</v>
      </c>
    </row>
    <row r="246" spans="1:4" x14ac:dyDescent="0.2">
      <c r="A246" s="692" t="s">
        <v>2888</v>
      </c>
      <c r="B246" s="696">
        <v>26000000</v>
      </c>
      <c r="C246" s="697">
        <v>0</v>
      </c>
      <c r="D246" s="693" t="s">
        <v>901</v>
      </c>
    </row>
    <row r="247" spans="1:4" x14ac:dyDescent="0.2">
      <c r="A247" s="692" t="s">
        <v>3069</v>
      </c>
      <c r="B247" s="696">
        <v>26000000</v>
      </c>
      <c r="C247" s="697">
        <v>0</v>
      </c>
      <c r="D247" s="693" t="s">
        <v>901</v>
      </c>
    </row>
    <row r="248" spans="1:4" x14ac:dyDescent="0.2">
      <c r="A248" s="692" t="s">
        <v>4381</v>
      </c>
      <c r="B248" s="696">
        <v>26000000</v>
      </c>
      <c r="C248" s="697">
        <v>0</v>
      </c>
      <c r="D248" s="693" t="s">
        <v>901</v>
      </c>
    </row>
    <row r="249" spans="1:4" x14ac:dyDescent="0.2">
      <c r="A249" s="692" t="s">
        <v>3386</v>
      </c>
      <c r="B249" s="696">
        <v>26000000</v>
      </c>
      <c r="C249" s="697">
        <v>0</v>
      </c>
      <c r="D249" s="693" t="s">
        <v>901</v>
      </c>
    </row>
    <row r="250" spans="1:4" x14ac:dyDescent="0.2">
      <c r="A250" s="692" t="s">
        <v>2889</v>
      </c>
      <c r="B250" s="696">
        <v>26000000</v>
      </c>
      <c r="C250" s="697">
        <v>0</v>
      </c>
      <c r="D250" s="693" t="s">
        <v>901</v>
      </c>
    </row>
    <row r="251" spans="1:4" x14ac:dyDescent="0.2">
      <c r="A251" s="692" t="s">
        <v>3183</v>
      </c>
      <c r="B251" s="696">
        <v>26000000</v>
      </c>
      <c r="C251" s="697">
        <v>0</v>
      </c>
      <c r="D251" s="693" t="s">
        <v>901</v>
      </c>
    </row>
    <row r="252" spans="1:4" x14ac:dyDescent="0.2">
      <c r="A252" s="692" t="s">
        <v>2890</v>
      </c>
      <c r="B252" s="696">
        <v>26000000</v>
      </c>
      <c r="C252" s="697">
        <v>0</v>
      </c>
      <c r="D252" s="693" t="s">
        <v>901</v>
      </c>
    </row>
    <row r="253" spans="1:4" x14ac:dyDescent="0.2">
      <c r="D253" s="693"/>
    </row>
    <row r="254" spans="1:4" x14ac:dyDescent="0.2">
      <c r="A254" s="521" t="s">
        <v>2891</v>
      </c>
      <c r="B254" s="696">
        <v>6000000</v>
      </c>
      <c r="C254" s="697">
        <v>0</v>
      </c>
      <c r="D254" s="693" t="s">
        <v>61</v>
      </c>
    </row>
    <row r="255" spans="1:4" x14ac:dyDescent="0.2">
      <c r="A255" s="521" t="s">
        <v>2892</v>
      </c>
      <c r="B255" s="696">
        <v>6000000</v>
      </c>
      <c r="C255" s="697">
        <v>0</v>
      </c>
      <c r="D255" s="693" t="s">
        <v>61</v>
      </c>
    </row>
    <row r="256" spans="1:4" x14ac:dyDescent="0.2">
      <c r="A256" s="521" t="s">
        <v>2893</v>
      </c>
      <c r="B256" s="696">
        <v>6000000</v>
      </c>
      <c r="C256" s="697">
        <v>0</v>
      </c>
      <c r="D256" s="693" t="s">
        <v>61</v>
      </c>
    </row>
    <row r="257" spans="1:4" x14ac:dyDescent="0.2">
      <c r="A257" s="521" t="s">
        <v>2894</v>
      </c>
      <c r="B257" s="696">
        <v>6000000</v>
      </c>
      <c r="C257" s="697">
        <v>0</v>
      </c>
      <c r="D257" s="693" t="s">
        <v>61</v>
      </c>
    </row>
    <row r="258" spans="1:4" x14ac:dyDescent="0.2">
      <c r="A258" s="521" t="s">
        <v>2895</v>
      </c>
      <c r="B258" s="696">
        <v>6000000</v>
      </c>
      <c r="C258" s="697">
        <v>0</v>
      </c>
      <c r="D258" s="693" t="s">
        <v>61</v>
      </c>
    </row>
    <row r="259" spans="1:4" x14ac:dyDescent="0.2">
      <c r="A259" s="521" t="s">
        <v>2896</v>
      </c>
      <c r="B259" s="696">
        <v>6000000</v>
      </c>
      <c r="C259" s="697">
        <v>0</v>
      </c>
      <c r="D259" s="693" t="s">
        <v>61</v>
      </c>
    </row>
    <row r="260" spans="1:4" x14ac:dyDescent="0.2">
      <c r="A260" s="521" t="s">
        <v>2897</v>
      </c>
      <c r="B260" s="696">
        <v>6000000</v>
      </c>
      <c r="C260" s="697">
        <v>0</v>
      </c>
      <c r="D260" s="693" t="s">
        <v>61</v>
      </c>
    </row>
    <row r="261" spans="1:4" x14ac:dyDescent="0.2">
      <c r="A261" s="521" t="s">
        <v>2898</v>
      </c>
      <c r="B261" s="696">
        <v>6000000</v>
      </c>
      <c r="C261" s="697">
        <v>0</v>
      </c>
      <c r="D261" s="693" t="s">
        <v>61</v>
      </c>
    </row>
    <row r="262" spans="1:4" x14ac:dyDescent="0.2">
      <c r="A262" s="521" t="s">
        <v>3245</v>
      </c>
      <c r="B262" s="696">
        <v>6000000</v>
      </c>
      <c r="C262" s="697">
        <v>0</v>
      </c>
      <c r="D262" s="693" t="s">
        <v>61</v>
      </c>
    </row>
    <row r="263" spans="1:4" x14ac:dyDescent="0.2">
      <c r="A263" s="521" t="s">
        <v>3094</v>
      </c>
      <c r="B263" s="696">
        <v>6000000</v>
      </c>
      <c r="C263" s="697">
        <v>0</v>
      </c>
      <c r="D263" s="693" t="s">
        <v>61</v>
      </c>
    </row>
    <row r="264" spans="1:4" x14ac:dyDescent="0.2">
      <c r="A264" s="521" t="s">
        <v>3467</v>
      </c>
      <c r="B264" s="696">
        <v>6000000</v>
      </c>
      <c r="C264" s="697">
        <v>0</v>
      </c>
      <c r="D264" s="693" t="s">
        <v>901</v>
      </c>
    </row>
    <row r="265" spans="1:4" x14ac:dyDescent="0.2">
      <c r="A265" s="521" t="s">
        <v>3738</v>
      </c>
      <c r="B265" s="696">
        <v>6000000</v>
      </c>
      <c r="C265" s="697">
        <v>0</v>
      </c>
      <c r="D265" s="693" t="s">
        <v>901</v>
      </c>
    </row>
    <row r="266" spans="1:4" x14ac:dyDescent="0.2">
      <c r="A266" s="521" t="s">
        <v>4254</v>
      </c>
      <c r="B266" s="696">
        <v>6000000</v>
      </c>
      <c r="C266" s="697">
        <v>0</v>
      </c>
      <c r="D266" s="693" t="s">
        <v>901</v>
      </c>
    </row>
    <row r="267" spans="1:4" x14ac:dyDescent="0.2">
      <c r="A267" s="521" t="s">
        <v>4303</v>
      </c>
      <c r="B267" s="696">
        <v>6000000</v>
      </c>
      <c r="C267" s="697">
        <v>0</v>
      </c>
      <c r="D267" s="693" t="s">
        <v>901</v>
      </c>
    </row>
    <row r="268" spans="1:4" x14ac:dyDescent="0.2">
      <c r="A268" s="521" t="s">
        <v>3387</v>
      </c>
      <c r="B268" s="696">
        <v>6000000</v>
      </c>
      <c r="C268" s="697">
        <v>0</v>
      </c>
      <c r="D268" s="693" t="s">
        <v>901</v>
      </c>
    </row>
    <row r="269" spans="1:4" x14ac:dyDescent="0.2">
      <c r="A269" s="521" t="s">
        <v>2899</v>
      </c>
      <c r="B269" s="696">
        <v>6000000</v>
      </c>
      <c r="C269" s="697">
        <v>0</v>
      </c>
      <c r="D269" s="693" t="s">
        <v>901</v>
      </c>
    </row>
    <row r="270" spans="1:4" x14ac:dyDescent="0.2">
      <c r="A270" s="521" t="s">
        <v>3388</v>
      </c>
      <c r="B270" s="696">
        <v>6000000</v>
      </c>
      <c r="C270" s="697">
        <v>0</v>
      </c>
      <c r="D270" s="693" t="s">
        <v>901</v>
      </c>
    </row>
    <row r="271" spans="1:4" x14ac:dyDescent="0.2">
      <c r="A271" s="521" t="s">
        <v>4255</v>
      </c>
      <c r="B271" s="696">
        <v>6000000</v>
      </c>
      <c r="C271" s="697">
        <v>0</v>
      </c>
      <c r="D271" s="693" t="s">
        <v>901</v>
      </c>
    </row>
    <row r="272" spans="1:4" x14ac:dyDescent="0.2">
      <c r="A272" s="521" t="s">
        <v>3070</v>
      </c>
      <c r="B272" s="696">
        <v>6000000</v>
      </c>
      <c r="C272" s="697">
        <v>0</v>
      </c>
      <c r="D272" s="693" t="s">
        <v>901</v>
      </c>
    </row>
    <row r="273" spans="1:4" x14ac:dyDescent="0.2">
      <c r="A273" s="521" t="s">
        <v>3306</v>
      </c>
      <c r="B273" s="696">
        <v>6000000</v>
      </c>
      <c r="C273" s="697">
        <v>0</v>
      </c>
      <c r="D273" s="693" t="s">
        <v>901</v>
      </c>
    </row>
    <row r="274" spans="1:4" x14ac:dyDescent="0.2">
      <c r="A274" s="521" t="s">
        <v>3739</v>
      </c>
      <c r="B274" s="696">
        <v>6000000</v>
      </c>
      <c r="C274" s="697">
        <v>0</v>
      </c>
      <c r="D274" s="693" t="s">
        <v>901</v>
      </c>
    </row>
    <row r="275" spans="1:4" x14ac:dyDescent="0.2">
      <c r="A275" s="521" t="s">
        <v>3389</v>
      </c>
      <c r="B275" s="696">
        <v>6000000</v>
      </c>
      <c r="C275" s="697">
        <v>0</v>
      </c>
      <c r="D275" s="693" t="s">
        <v>901</v>
      </c>
    </row>
    <row r="276" spans="1:4" x14ac:dyDescent="0.2">
      <c r="A276" s="521" t="s">
        <v>2900</v>
      </c>
      <c r="B276" s="696">
        <v>6000000</v>
      </c>
      <c r="C276" s="697">
        <v>0</v>
      </c>
      <c r="D276" s="693" t="s">
        <v>901</v>
      </c>
    </row>
    <row r="277" spans="1:4" x14ac:dyDescent="0.2">
      <c r="A277" s="521" t="s">
        <v>3307</v>
      </c>
      <c r="B277" s="696">
        <v>6000000</v>
      </c>
      <c r="C277" s="697">
        <v>0</v>
      </c>
      <c r="D277" s="693" t="s">
        <v>901</v>
      </c>
    </row>
    <row r="278" spans="1:4" x14ac:dyDescent="0.2">
      <c r="A278" s="521" t="s">
        <v>3184</v>
      </c>
      <c r="B278" s="696">
        <v>6000000</v>
      </c>
      <c r="C278" s="697">
        <v>0</v>
      </c>
      <c r="D278" s="693" t="s">
        <v>901</v>
      </c>
    </row>
    <row r="279" spans="1:4" x14ac:dyDescent="0.2">
      <c r="A279" s="521" t="s">
        <v>3071</v>
      </c>
      <c r="B279" s="696">
        <v>6000000</v>
      </c>
      <c r="C279" s="697">
        <v>0</v>
      </c>
      <c r="D279" s="693" t="s">
        <v>901</v>
      </c>
    </row>
    <row r="280" spans="1:4" x14ac:dyDescent="0.2">
      <c r="A280" s="521" t="s">
        <v>3072</v>
      </c>
      <c r="B280" s="696">
        <v>6000000</v>
      </c>
      <c r="C280" s="697">
        <v>0</v>
      </c>
      <c r="D280" s="693" t="s">
        <v>901</v>
      </c>
    </row>
    <row r="281" spans="1:4" x14ac:dyDescent="0.2">
      <c r="A281" s="521" t="s">
        <v>3185</v>
      </c>
      <c r="B281" s="696">
        <v>6000000</v>
      </c>
      <c r="C281" s="697">
        <v>0</v>
      </c>
      <c r="D281" s="693" t="s">
        <v>901</v>
      </c>
    </row>
    <row r="282" spans="1:4" x14ac:dyDescent="0.2">
      <c r="A282" s="521" t="s">
        <v>2901</v>
      </c>
      <c r="B282" s="696">
        <v>6000000</v>
      </c>
      <c r="C282" s="697">
        <v>0</v>
      </c>
      <c r="D282" s="693" t="s">
        <v>901</v>
      </c>
    </row>
    <row r="283" spans="1:4" x14ac:dyDescent="0.2">
      <c r="A283" s="521" t="s">
        <v>2902</v>
      </c>
      <c r="B283" s="696">
        <v>6000000</v>
      </c>
      <c r="C283" s="697">
        <v>0</v>
      </c>
      <c r="D283" s="693" t="s">
        <v>901</v>
      </c>
    </row>
    <row r="284" spans="1:4" x14ac:dyDescent="0.2">
      <c r="A284" s="521" t="s">
        <v>3073</v>
      </c>
      <c r="B284" s="696">
        <v>6000000</v>
      </c>
      <c r="C284" s="697">
        <v>0</v>
      </c>
      <c r="D284" s="693" t="s">
        <v>901</v>
      </c>
    </row>
    <row r="285" spans="1:4" x14ac:dyDescent="0.2">
      <c r="A285" s="521" t="s">
        <v>3390</v>
      </c>
      <c r="B285" s="696">
        <v>6000000</v>
      </c>
      <c r="C285" s="697">
        <v>0</v>
      </c>
      <c r="D285" s="693" t="s">
        <v>901</v>
      </c>
    </row>
    <row r="286" spans="1:4" x14ac:dyDescent="0.2">
      <c r="A286" s="521" t="s">
        <v>3074</v>
      </c>
      <c r="B286" s="696">
        <v>6000000</v>
      </c>
      <c r="C286" s="697">
        <v>0</v>
      </c>
      <c r="D286" s="693" t="s">
        <v>901</v>
      </c>
    </row>
    <row r="287" spans="1:4" x14ac:dyDescent="0.2">
      <c r="A287" s="521" t="s">
        <v>3468</v>
      </c>
      <c r="B287" s="696">
        <v>6000000</v>
      </c>
      <c r="C287" s="697">
        <v>0</v>
      </c>
      <c r="D287" s="693" t="s">
        <v>901</v>
      </c>
    </row>
    <row r="288" spans="1:4" x14ac:dyDescent="0.2">
      <c r="A288" s="521" t="s">
        <v>3391</v>
      </c>
      <c r="B288" s="696">
        <v>6000000</v>
      </c>
      <c r="C288" s="697">
        <v>0</v>
      </c>
      <c r="D288" s="693" t="s">
        <v>901</v>
      </c>
    </row>
    <row r="289" spans="1:4" x14ac:dyDescent="0.2">
      <c r="A289" s="521" t="s">
        <v>2903</v>
      </c>
      <c r="B289" s="696">
        <v>6000000</v>
      </c>
      <c r="C289" s="697">
        <v>0</v>
      </c>
      <c r="D289" s="693" t="s">
        <v>901</v>
      </c>
    </row>
    <row r="290" spans="1:4" x14ac:dyDescent="0.2">
      <c r="A290" s="521" t="s">
        <v>3075</v>
      </c>
      <c r="B290" s="696">
        <v>6000000</v>
      </c>
      <c r="C290" s="697">
        <v>0</v>
      </c>
      <c r="D290" s="693" t="s">
        <v>901</v>
      </c>
    </row>
    <row r="291" spans="1:4" x14ac:dyDescent="0.2">
      <c r="A291" s="521" t="s">
        <v>3392</v>
      </c>
      <c r="B291" s="693">
        <v>6000000</v>
      </c>
      <c r="C291" s="694">
        <v>0</v>
      </c>
      <c r="D291" s="693" t="s">
        <v>901</v>
      </c>
    </row>
    <row r="292" spans="1:4" x14ac:dyDescent="0.2">
      <c r="A292" s="521" t="s">
        <v>3393</v>
      </c>
      <c r="B292" s="693">
        <v>6000000</v>
      </c>
      <c r="C292" s="694">
        <v>0</v>
      </c>
      <c r="D292" s="693" t="s">
        <v>901</v>
      </c>
    </row>
    <row r="293" spans="1:4" x14ac:dyDescent="0.2">
      <c r="A293" s="521" t="s">
        <v>3308</v>
      </c>
      <c r="B293" s="693">
        <v>6000000</v>
      </c>
      <c r="C293" s="694">
        <v>0</v>
      </c>
      <c r="D293" s="693" t="s">
        <v>901</v>
      </c>
    </row>
    <row r="294" spans="1:4" x14ac:dyDescent="0.2">
      <c r="A294" s="521" t="s">
        <v>3076</v>
      </c>
      <c r="B294" s="693">
        <v>6000000</v>
      </c>
      <c r="C294" s="694">
        <v>0</v>
      </c>
      <c r="D294" s="693" t="s">
        <v>901</v>
      </c>
    </row>
    <row r="295" spans="1:4" x14ac:dyDescent="0.2">
      <c r="A295" s="521" t="s">
        <v>4382</v>
      </c>
      <c r="B295" s="693">
        <v>6000000</v>
      </c>
      <c r="C295" s="694">
        <v>0</v>
      </c>
      <c r="D295" s="693" t="s">
        <v>901</v>
      </c>
    </row>
    <row r="296" spans="1:4" x14ac:dyDescent="0.2">
      <c r="A296" s="521" t="s">
        <v>3077</v>
      </c>
      <c r="B296" s="693">
        <v>6000000</v>
      </c>
      <c r="C296" s="694">
        <v>0</v>
      </c>
      <c r="D296" s="693" t="s">
        <v>901</v>
      </c>
    </row>
    <row r="297" spans="1:4" x14ac:dyDescent="0.2">
      <c r="A297" s="521" t="s">
        <v>3740</v>
      </c>
      <c r="B297" s="693">
        <v>6000000</v>
      </c>
      <c r="C297" s="694">
        <v>0</v>
      </c>
      <c r="D297" s="693" t="s">
        <v>901</v>
      </c>
    </row>
    <row r="298" spans="1:4" x14ac:dyDescent="0.2">
      <c r="A298" s="521" t="s">
        <v>3469</v>
      </c>
      <c r="B298" s="693">
        <v>6000000</v>
      </c>
      <c r="C298" s="694">
        <v>0</v>
      </c>
      <c r="D298" s="693" t="s">
        <v>901</v>
      </c>
    </row>
    <row r="299" spans="1:4" x14ac:dyDescent="0.2">
      <c r="A299" s="521" t="s">
        <v>4304</v>
      </c>
      <c r="B299" s="693">
        <v>6000000</v>
      </c>
      <c r="C299" s="694">
        <v>0</v>
      </c>
      <c r="D299" s="693" t="s">
        <v>901</v>
      </c>
    </row>
    <row r="300" spans="1:4" x14ac:dyDescent="0.2">
      <c r="A300" s="521" t="s">
        <v>4383</v>
      </c>
      <c r="B300" s="693">
        <v>6000000</v>
      </c>
      <c r="C300" s="694">
        <v>0</v>
      </c>
      <c r="D300" s="693" t="s">
        <v>901</v>
      </c>
    </row>
    <row r="301" spans="1:4" x14ac:dyDescent="0.2">
      <c r="A301" s="521" t="s">
        <v>2904</v>
      </c>
      <c r="B301" s="693">
        <v>6000000</v>
      </c>
      <c r="C301" s="694">
        <v>0</v>
      </c>
      <c r="D301" s="693" t="s">
        <v>901</v>
      </c>
    </row>
    <row r="302" spans="1:4" x14ac:dyDescent="0.2">
      <c r="A302" s="521" t="s">
        <v>3741</v>
      </c>
      <c r="B302" s="693">
        <v>6000000</v>
      </c>
      <c r="C302" s="694">
        <v>0</v>
      </c>
      <c r="D302" s="693" t="s">
        <v>901</v>
      </c>
    </row>
    <row r="303" spans="1:4" x14ac:dyDescent="0.2">
      <c r="A303" s="521" t="s">
        <v>2905</v>
      </c>
      <c r="B303" s="693">
        <v>6000000</v>
      </c>
      <c r="C303" s="694">
        <v>0</v>
      </c>
      <c r="D303" s="693" t="s">
        <v>901</v>
      </c>
    </row>
    <row r="304" spans="1:4" x14ac:dyDescent="0.2">
      <c r="A304" s="521" t="s">
        <v>3078</v>
      </c>
      <c r="B304" s="693">
        <v>6000000</v>
      </c>
      <c r="C304" s="694">
        <v>0</v>
      </c>
      <c r="D304" s="693" t="s">
        <v>901</v>
      </c>
    </row>
    <row r="305" spans="1:4" x14ac:dyDescent="0.2">
      <c r="A305" s="521" t="s">
        <v>3079</v>
      </c>
      <c r="B305" s="693">
        <v>6000000</v>
      </c>
      <c r="C305" s="694">
        <v>0</v>
      </c>
      <c r="D305" s="693" t="s">
        <v>901</v>
      </c>
    </row>
    <row r="306" spans="1:4" x14ac:dyDescent="0.2">
      <c r="A306" s="521" t="s">
        <v>2906</v>
      </c>
      <c r="B306" s="693">
        <v>6000000</v>
      </c>
      <c r="C306" s="694">
        <v>0</v>
      </c>
      <c r="D306" s="693" t="s">
        <v>901</v>
      </c>
    </row>
    <row r="307" spans="1:4" x14ac:dyDescent="0.2">
      <c r="A307" s="521" t="s">
        <v>2907</v>
      </c>
      <c r="B307" s="693">
        <v>6000000</v>
      </c>
      <c r="C307" s="694">
        <v>0</v>
      </c>
      <c r="D307" s="693" t="s">
        <v>901</v>
      </c>
    </row>
    <row r="308" spans="1:4" x14ac:dyDescent="0.2">
      <c r="A308" s="521" t="s">
        <v>3186</v>
      </c>
      <c r="B308" s="693">
        <v>6000000</v>
      </c>
      <c r="C308" s="694">
        <v>0</v>
      </c>
      <c r="D308" s="693" t="s">
        <v>901</v>
      </c>
    </row>
    <row r="309" spans="1:4" x14ac:dyDescent="0.2">
      <c r="A309" s="521" t="s">
        <v>3080</v>
      </c>
      <c r="B309" s="693">
        <v>6000000</v>
      </c>
      <c r="C309" s="694">
        <v>0</v>
      </c>
      <c r="D309" s="693" t="s">
        <v>901</v>
      </c>
    </row>
    <row r="310" spans="1:4" x14ac:dyDescent="0.2">
      <c r="A310" s="521" t="s">
        <v>3187</v>
      </c>
      <c r="B310" s="693">
        <v>6000000</v>
      </c>
      <c r="C310" s="694">
        <v>0</v>
      </c>
      <c r="D310" s="693" t="s">
        <v>901</v>
      </c>
    </row>
    <row r="311" spans="1:4" x14ac:dyDescent="0.2">
      <c r="A311" s="521" t="s">
        <v>3244</v>
      </c>
      <c r="B311" s="693">
        <v>6000000</v>
      </c>
      <c r="C311" s="694">
        <v>0</v>
      </c>
      <c r="D311" s="693" t="s">
        <v>901</v>
      </c>
    </row>
    <row r="312" spans="1:4" x14ac:dyDescent="0.2">
      <c r="A312" s="521" t="s">
        <v>4256</v>
      </c>
      <c r="B312" s="693">
        <v>6000000</v>
      </c>
      <c r="C312" s="694">
        <v>0</v>
      </c>
      <c r="D312" s="693" t="s">
        <v>901</v>
      </c>
    </row>
    <row r="313" spans="1:4" x14ac:dyDescent="0.2">
      <c r="A313" s="521" t="s">
        <v>2908</v>
      </c>
      <c r="B313" s="693">
        <v>6000000</v>
      </c>
      <c r="C313" s="694">
        <v>0</v>
      </c>
      <c r="D313" s="693" t="s">
        <v>901</v>
      </c>
    </row>
    <row r="314" spans="1:4" x14ac:dyDescent="0.2">
      <c r="A314" s="521" t="s">
        <v>3309</v>
      </c>
      <c r="B314" s="693">
        <v>6000000</v>
      </c>
      <c r="C314" s="694">
        <v>0</v>
      </c>
      <c r="D314" s="693" t="s">
        <v>901</v>
      </c>
    </row>
    <row r="315" spans="1:4" x14ac:dyDescent="0.2">
      <c r="A315" s="521" t="s">
        <v>3310</v>
      </c>
      <c r="B315" s="693">
        <v>6000000</v>
      </c>
      <c r="C315" s="694">
        <v>0</v>
      </c>
      <c r="D315" s="693" t="s">
        <v>901</v>
      </c>
    </row>
    <row r="316" spans="1:4" x14ac:dyDescent="0.2">
      <c r="A316" s="521" t="s">
        <v>4257</v>
      </c>
      <c r="B316" s="693">
        <v>6000000</v>
      </c>
      <c r="C316" s="694">
        <v>0</v>
      </c>
      <c r="D316" s="693" t="s">
        <v>901</v>
      </c>
    </row>
    <row r="317" spans="1:4" x14ac:dyDescent="0.2">
      <c r="A317" s="521" t="s">
        <v>3188</v>
      </c>
      <c r="B317" s="693">
        <v>6000000</v>
      </c>
      <c r="C317" s="694">
        <v>0</v>
      </c>
      <c r="D317" s="693" t="s">
        <v>901</v>
      </c>
    </row>
    <row r="318" spans="1:4" x14ac:dyDescent="0.2">
      <c r="A318" s="521" t="s">
        <v>3081</v>
      </c>
      <c r="B318" s="693">
        <v>6000000</v>
      </c>
      <c r="C318" s="694">
        <v>0</v>
      </c>
      <c r="D318" s="693" t="s">
        <v>901</v>
      </c>
    </row>
    <row r="319" spans="1:4" x14ac:dyDescent="0.2">
      <c r="A319" s="521" t="s">
        <v>3082</v>
      </c>
      <c r="B319" s="693">
        <v>6000000</v>
      </c>
      <c r="C319" s="694">
        <v>0</v>
      </c>
      <c r="D319" s="693" t="s">
        <v>901</v>
      </c>
    </row>
    <row r="320" spans="1:4" x14ac:dyDescent="0.2">
      <c r="A320" s="521" t="s">
        <v>4258</v>
      </c>
      <c r="B320" s="693">
        <v>6000000</v>
      </c>
      <c r="C320" s="694">
        <v>0</v>
      </c>
      <c r="D320" s="693" t="s">
        <v>901</v>
      </c>
    </row>
    <row r="321" spans="1:4" x14ac:dyDescent="0.2">
      <c r="A321" s="521" t="s">
        <v>4259</v>
      </c>
      <c r="B321" s="693">
        <v>6000000</v>
      </c>
      <c r="C321" s="694">
        <v>0</v>
      </c>
      <c r="D321" s="693" t="s">
        <v>901</v>
      </c>
    </row>
    <row r="322" spans="1:4" x14ac:dyDescent="0.2">
      <c r="A322" s="521" t="s">
        <v>3083</v>
      </c>
      <c r="B322" s="693">
        <v>6000000</v>
      </c>
      <c r="C322" s="694">
        <v>0</v>
      </c>
      <c r="D322" s="693" t="s">
        <v>901</v>
      </c>
    </row>
    <row r="323" spans="1:4" x14ac:dyDescent="0.2">
      <c r="A323" s="521" t="s">
        <v>3189</v>
      </c>
      <c r="B323" s="693">
        <v>6000000</v>
      </c>
      <c r="C323" s="694">
        <v>0</v>
      </c>
      <c r="D323" s="693" t="s">
        <v>901</v>
      </c>
    </row>
    <row r="324" spans="1:4" x14ac:dyDescent="0.2">
      <c r="A324" s="521" t="s">
        <v>3470</v>
      </c>
      <c r="B324" s="693">
        <v>6000000</v>
      </c>
      <c r="C324" s="694">
        <v>0</v>
      </c>
      <c r="D324" s="693" t="s">
        <v>901</v>
      </c>
    </row>
    <row r="325" spans="1:4" x14ac:dyDescent="0.2">
      <c r="A325" s="521" t="s">
        <v>3246</v>
      </c>
      <c r="B325" s="693">
        <v>6000000</v>
      </c>
      <c r="C325" s="694">
        <v>0</v>
      </c>
      <c r="D325" s="693" t="s">
        <v>901</v>
      </c>
    </row>
    <row r="326" spans="1:4" x14ac:dyDescent="0.2">
      <c r="A326" s="521" t="s">
        <v>2909</v>
      </c>
      <c r="B326" s="693">
        <v>6000000</v>
      </c>
      <c r="C326" s="694">
        <v>0</v>
      </c>
      <c r="D326" s="693" t="s">
        <v>901</v>
      </c>
    </row>
    <row r="327" spans="1:4" x14ac:dyDescent="0.2">
      <c r="A327" s="521" t="s">
        <v>3084</v>
      </c>
      <c r="B327" s="693">
        <v>6000000</v>
      </c>
      <c r="C327" s="694">
        <v>0</v>
      </c>
      <c r="D327" s="693" t="s">
        <v>901</v>
      </c>
    </row>
    <row r="328" spans="1:4" x14ac:dyDescent="0.2">
      <c r="A328" s="521" t="s">
        <v>2910</v>
      </c>
      <c r="B328" s="693">
        <v>6000000</v>
      </c>
      <c r="C328" s="694">
        <v>0</v>
      </c>
      <c r="D328" s="693" t="s">
        <v>901</v>
      </c>
    </row>
    <row r="329" spans="1:4" x14ac:dyDescent="0.2">
      <c r="A329" s="521" t="s">
        <v>3394</v>
      </c>
      <c r="B329" s="693">
        <v>6000000</v>
      </c>
      <c r="C329" s="694">
        <v>0</v>
      </c>
      <c r="D329" s="693" t="s">
        <v>901</v>
      </c>
    </row>
    <row r="330" spans="1:4" x14ac:dyDescent="0.2">
      <c r="A330" s="521" t="s">
        <v>3247</v>
      </c>
      <c r="B330" s="693">
        <v>6000000</v>
      </c>
      <c r="C330" s="694">
        <v>0</v>
      </c>
      <c r="D330" s="693" t="s">
        <v>901</v>
      </c>
    </row>
    <row r="331" spans="1:4" x14ac:dyDescent="0.2">
      <c r="A331" s="521" t="s">
        <v>3742</v>
      </c>
      <c r="B331" s="693">
        <v>6000000</v>
      </c>
      <c r="C331" s="694">
        <v>0</v>
      </c>
      <c r="D331" s="693" t="s">
        <v>901</v>
      </c>
    </row>
    <row r="332" spans="1:4" x14ac:dyDescent="0.2">
      <c r="A332" s="521" t="s">
        <v>2911</v>
      </c>
      <c r="B332" s="693">
        <v>6000000</v>
      </c>
      <c r="C332" s="694">
        <v>0</v>
      </c>
      <c r="D332" s="693" t="s">
        <v>901</v>
      </c>
    </row>
    <row r="333" spans="1:4" x14ac:dyDescent="0.2">
      <c r="A333" s="521" t="s">
        <v>3190</v>
      </c>
      <c r="B333" s="693">
        <v>6000000</v>
      </c>
      <c r="C333" s="694">
        <v>0</v>
      </c>
      <c r="D333" s="693" t="s">
        <v>901</v>
      </c>
    </row>
    <row r="334" spans="1:4" x14ac:dyDescent="0.2">
      <c r="A334" s="521" t="s">
        <v>3191</v>
      </c>
      <c r="B334" s="693">
        <v>6000000</v>
      </c>
      <c r="C334" s="694">
        <v>0</v>
      </c>
      <c r="D334" s="693" t="s">
        <v>901</v>
      </c>
    </row>
    <row r="335" spans="1:4" x14ac:dyDescent="0.2">
      <c r="A335" s="521" t="s">
        <v>3395</v>
      </c>
      <c r="B335" s="693">
        <v>6000000</v>
      </c>
      <c r="C335" s="694">
        <v>0</v>
      </c>
      <c r="D335" s="693" t="s">
        <v>901</v>
      </c>
    </row>
    <row r="336" spans="1:4" x14ac:dyDescent="0.2">
      <c r="A336" s="521" t="s">
        <v>3311</v>
      </c>
      <c r="B336" s="693">
        <v>6000000</v>
      </c>
      <c r="C336" s="694">
        <v>0</v>
      </c>
      <c r="D336" s="693" t="s">
        <v>901</v>
      </c>
    </row>
    <row r="337" spans="1:4" x14ac:dyDescent="0.2">
      <c r="A337" s="521" t="s">
        <v>2912</v>
      </c>
      <c r="B337" s="693">
        <v>6000000</v>
      </c>
      <c r="C337" s="694">
        <v>0</v>
      </c>
      <c r="D337" s="693" t="s">
        <v>901</v>
      </c>
    </row>
    <row r="338" spans="1:4" x14ac:dyDescent="0.2">
      <c r="A338" s="521" t="s">
        <v>3396</v>
      </c>
      <c r="B338" s="693">
        <v>6000000</v>
      </c>
      <c r="C338" s="694">
        <v>0</v>
      </c>
      <c r="D338" s="693" t="s">
        <v>901</v>
      </c>
    </row>
    <row r="339" spans="1:4" x14ac:dyDescent="0.2">
      <c r="A339" s="521" t="s">
        <v>3192</v>
      </c>
      <c r="B339" s="693">
        <v>6000000</v>
      </c>
      <c r="C339" s="694">
        <v>0</v>
      </c>
      <c r="D339" s="693" t="s">
        <v>901</v>
      </c>
    </row>
    <row r="340" spans="1:4" x14ac:dyDescent="0.2">
      <c r="A340" s="521" t="s">
        <v>3085</v>
      </c>
      <c r="B340" s="693">
        <v>6000000</v>
      </c>
      <c r="C340" s="694">
        <v>0</v>
      </c>
      <c r="D340" s="693" t="s">
        <v>901</v>
      </c>
    </row>
    <row r="341" spans="1:4" x14ac:dyDescent="0.2">
      <c r="A341" s="521" t="s">
        <v>3397</v>
      </c>
      <c r="B341" s="693">
        <v>6000000</v>
      </c>
      <c r="C341" s="694">
        <v>0</v>
      </c>
      <c r="D341" s="693" t="s">
        <v>901</v>
      </c>
    </row>
    <row r="342" spans="1:4" x14ac:dyDescent="0.2">
      <c r="A342" s="521" t="s">
        <v>3398</v>
      </c>
      <c r="B342" s="693">
        <v>6000000</v>
      </c>
      <c r="C342" s="694">
        <v>0</v>
      </c>
      <c r="D342" s="693" t="s">
        <v>901</v>
      </c>
    </row>
    <row r="343" spans="1:4" x14ac:dyDescent="0.2">
      <c r="A343" s="521" t="s">
        <v>3086</v>
      </c>
      <c r="B343" s="693">
        <v>6000000</v>
      </c>
      <c r="C343" s="694">
        <v>0</v>
      </c>
      <c r="D343" s="693" t="s">
        <v>901</v>
      </c>
    </row>
    <row r="344" spans="1:4" x14ac:dyDescent="0.2">
      <c r="A344" s="521" t="s">
        <v>3193</v>
      </c>
      <c r="B344" s="693">
        <v>6000000</v>
      </c>
      <c r="C344" s="694">
        <v>0</v>
      </c>
      <c r="D344" s="693" t="s">
        <v>901</v>
      </c>
    </row>
    <row r="345" spans="1:4" x14ac:dyDescent="0.2">
      <c r="A345" s="521" t="s">
        <v>2913</v>
      </c>
      <c r="B345" s="693">
        <v>6000000</v>
      </c>
      <c r="C345" s="694">
        <v>0</v>
      </c>
      <c r="D345" s="693" t="s">
        <v>901</v>
      </c>
    </row>
    <row r="346" spans="1:4" x14ac:dyDescent="0.2">
      <c r="A346" s="521" t="s">
        <v>2914</v>
      </c>
      <c r="B346" s="693">
        <v>6000000</v>
      </c>
      <c r="C346" s="694">
        <v>0</v>
      </c>
      <c r="D346" s="693" t="s">
        <v>901</v>
      </c>
    </row>
    <row r="347" spans="1:4" x14ac:dyDescent="0.2">
      <c r="A347" s="521" t="s">
        <v>3087</v>
      </c>
      <c r="B347" s="693">
        <v>6000000</v>
      </c>
      <c r="C347" s="694">
        <v>0</v>
      </c>
      <c r="D347" s="693" t="s">
        <v>901</v>
      </c>
    </row>
    <row r="348" spans="1:4" x14ac:dyDescent="0.2">
      <c r="A348" s="521" t="s">
        <v>3088</v>
      </c>
      <c r="B348" s="693">
        <v>6000000</v>
      </c>
      <c r="C348" s="694">
        <v>0</v>
      </c>
      <c r="D348" s="693" t="s">
        <v>901</v>
      </c>
    </row>
    <row r="349" spans="1:4" x14ac:dyDescent="0.2">
      <c r="A349" s="521" t="s">
        <v>2915</v>
      </c>
      <c r="B349" s="693">
        <v>6000000</v>
      </c>
      <c r="C349" s="694">
        <v>0</v>
      </c>
      <c r="D349" s="693" t="s">
        <v>901</v>
      </c>
    </row>
    <row r="350" spans="1:4" x14ac:dyDescent="0.2">
      <c r="A350" s="521" t="s">
        <v>3194</v>
      </c>
      <c r="B350" s="693">
        <v>6000000</v>
      </c>
      <c r="C350" s="694">
        <v>0</v>
      </c>
      <c r="D350" s="693" t="s">
        <v>901</v>
      </c>
    </row>
    <row r="351" spans="1:4" x14ac:dyDescent="0.2">
      <c r="A351" s="521" t="s">
        <v>3743</v>
      </c>
      <c r="B351" s="693">
        <v>6000000</v>
      </c>
      <c r="C351" s="694">
        <v>0</v>
      </c>
      <c r="D351" s="693" t="s">
        <v>901</v>
      </c>
    </row>
    <row r="352" spans="1:4" x14ac:dyDescent="0.2">
      <c r="A352" s="521" t="s">
        <v>2916</v>
      </c>
      <c r="B352" s="693">
        <v>6000000</v>
      </c>
      <c r="C352" s="694">
        <v>0</v>
      </c>
      <c r="D352" s="693" t="s">
        <v>901</v>
      </c>
    </row>
    <row r="353" spans="1:4" x14ac:dyDescent="0.2">
      <c r="A353" s="521" t="s">
        <v>3312</v>
      </c>
      <c r="B353" s="693">
        <v>6000000</v>
      </c>
      <c r="C353" s="694">
        <v>0</v>
      </c>
      <c r="D353" s="693" t="s">
        <v>901</v>
      </c>
    </row>
    <row r="354" spans="1:4" x14ac:dyDescent="0.2">
      <c r="A354" s="521" t="s">
        <v>3089</v>
      </c>
      <c r="B354" s="693">
        <v>6000000</v>
      </c>
      <c r="C354" s="694">
        <v>0</v>
      </c>
      <c r="D354" s="693" t="s">
        <v>901</v>
      </c>
    </row>
    <row r="355" spans="1:4" x14ac:dyDescent="0.2">
      <c r="A355" s="521" t="s">
        <v>3090</v>
      </c>
      <c r="B355" s="693">
        <v>6000000</v>
      </c>
      <c r="C355" s="694">
        <v>0</v>
      </c>
      <c r="D355" s="693" t="s">
        <v>901</v>
      </c>
    </row>
    <row r="356" spans="1:4" x14ac:dyDescent="0.2">
      <c r="A356" s="521" t="s">
        <v>3248</v>
      </c>
      <c r="B356" s="693">
        <v>6000000</v>
      </c>
      <c r="C356" s="694">
        <v>0</v>
      </c>
      <c r="D356" s="693" t="s">
        <v>901</v>
      </c>
    </row>
    <row r="357" spans="1:4" x14ac:dyDescent="0.2">
      <c r="A357" s="521" t="s">
        <v>4305</v>
      </c>
      <c r="B357" s="693">
        <v>6000000</v>
      </c>
      <c r="C357" s="694">
        <v>0</v>
      </c>
      <c r="D357" s="693" t="s">
        <v>901</v>
      </c>
    </row>
    <row r="358" spans="1:4" x14ac:dyDescent="0.2">
      <c r="A358" s="521" t="s">
        <v>3091</v>
      </c>
      <c r="B358" s="693">
        <v>6000000</v>
      </c>
      <c r="C358" s="694">
        <v>0</v>
      </c>
      <c r="D358" s="693" t="s">
        <v>901</v>
      </c>
    </row>
    <row r="359" spans="1:4" x14ac:dyDescent="0.2">
      <c r="A359" s="521" t="s">
        <v>3092</v>
      </c>
      <c r="B359" s="693">
        <v>6000000</v>
      </c>
      <c r="C359" s="694">
        <v>0</v>
      </c>
      <c r="D359" s="693" t="s">
        <v>901</v>
      </c>
    </row>
    <row r="360" spans="1:4" x14ac:dyDescent="0.2">
      <c r="A360" s="521" t="s">
        <v>3195</v>
      </c>
      <c r="B360" s="693">
        <v>6000000</v>
      </c>
      <c r="C360" s="694">
        <v>0</v>
      </c>
      <c r="D360" s="693" t="s">
        <v>901</v>
      </c>
    </row>
    <row r="361" spans="1:4" x14ac:dyDescent="0.2">
      <c r="A361" s="521" t="s">
        <v>3249</v>
      </c>
      <c r="B361" s="693">
        <v>6000000</v>
      </c>
      <c r="C361" s="694">
        <v>0</v>
      </c>
      <c r="D361" s="693" t="s">
        <v>901</v>
      </c>
    </row>
    <row r="362" spans="1:4" x14ac:dyDescent="0.2">
      <c r="A362" s="521" t="s">
        <v>3093</v>
      </c>
      <c r="B362" s="693">
        <v>6000000</v>
      </c>
      <c r="C362" s="694">
        <v>0</v>
      </c>
      <c r="D362" s="693" t="s">
        <v>901</v>
      </c>
    </row>
    <row r="363" spans="1:4" x14ac:dyDescent="0.2">
      <c r="A363" s="521" t="s">
        <v>3196</v>
      </c>
      <c r="B363" s="693">
        <v>6000000</v>
      </c>
      <c r="C363" s="694">
        <v>0</v>
      </c>
      <c r="D363" s="693" t="s">
        <v>901</v>
      </c>
    </row>
    <row r="364" spans="1:4" x14ac:dyDescent="0.2">
      <c r="A364" s="521" t="s">
        <v>2917</v>
      </c>
      <c r="B364" s="693">
        <v>6000000</v>
      </c>
      <c r="C364" s="694">
        <v>0</v>
      </c>
      <c r="D364" s="693" t="s">
        <v>901</v>
      </c>
    </row>
    <row r="365" spans="1:4" x14ac:dyDescent="0.2">
      <c r="A365" s="521" t="s">
        <v>2918</v>
      </c>
      <c r="B365" s="693">
        <v>6000000</v>
      </c>
      <c r="C365" s="694">
        <v>0</v>
      </c>
      <c r="D365" s="693" t="s">
        <v>901</v>
      </c>
    </row>
    <row r="366" spans="1:4" x14ac:dyDescent="0.2">
      <c r="A366" s="521" t="s">
        <v>4384</v>
      </c>
      <c r="B366" s="693">
        <v>6000000</v>
      </c>
      <c r="C366" s="694">
        <v>0</v>
      </c>
      <c r="D366" s="693" t="s">
        <v>901</v>
      </c>
    </row>
    <row r="367" spans="1:4" x14ac:dyDescent="0.2">
      <c r="A367" s="521" t="s">
        <v>3095</v>
      </c>
      <c r="B367" s="693">
        <v>6000000</v>
      </c>
      <c r="C367" s="694">
        <v>0</v>
      </c>
      <c r="D367" s="693" t="s">
        <v>901</v>
      </c>
    </row>
    <row r="368" spans="1:4" x14ac:dyDescent="0.2">
      <c r="A368" s="521" t="s">
        <v>2919</v>
      </c>
      <c r="B368" s="693">
        <v>6000000</v>
      </c>
      <c r="C368" s="694">
        <v>0</v>
      </c>
      <c r="D368" s="693" t="s">
        <v>901</v>
      </c>
    </row>
    <row r="369" spans="1:4" x14ac:dyDescent="0.2">
      <c r="A369" s="521" t="s">
        <v>2920</v>
      </c>
      <c r="B369" s="693">
        <v>6000000</v>
      </c>
      <c r="C369" s="694">
        <v>0</v>
      </c>
      <c r="D369" s="693" t="s">
        <v>901</v>
      </c>
    </row>
    <row r="370" spans="1:4" x14ac:dyDescent="0.2">
      <c r="A370" s="521" t="s">
        <v>2921</v>
      </c>
      <c r="B370" s="693">
        <v>6000000</v>
      </c>
      <c r="C370" s="694">
        <v>0</v>
      </c>
      <c r="D370" s="693" t="s">
        <v>901</v>
      </c>
    </row>
    <row r="371" spans="1:4" x14ac:dyDescent="0.2">
      <c r="A371" s="521" t="s">
        <v>3096</v>
      </c>
      <c r="B371" s="693">
        <v>6000000</v>
      </c>
      <c r="C371" s="694">
        <v>0</v>
      </c>
      <c r="D371" s="693" t="s">
        <v>901</v>
      </c>
    </row>
    <row r="372" spans="1:4" x14ac:dyDescent="0.2">
      <c r="A372" s="521" t="s">
        <v>2922</v>
      </c>
      <c r="B372" s="693">
        <v>6000000</v>
      </c>
      <c r="C372" s="694">
        <v>0</v>
      </c>
      <c r="D372" s="693" t="s">
        <v>901</v>
      </c>
    </row>
    <row r="373" spans="1:4" x14ac:dyDescent="0.2">
      <c r="A373" s="521" t="s">
        <v>3097</v>
      </c>
      <c r="B373" s="693">
        <v>6000000</v>
      </c>
      <c r="C373" s="694">
        <v>0</v>
      </c>
      <c r="D373" s="693" t="s">
        <v>901</v>
      </c>
    </row>
    <row r="374" spans="1:4" x14ac:dyDescent="0.2">
      <c r="A374" s="521" t="s">
        <v>4385</v>
      </c>
      <c r="B374" s="693">
        <v>6000000</v>
      </c>
      <c r="C374" s="694">
        <v>0</v>
      </c>
      <c r="D374" s="693" t="s">
        <v>901</v>
      </c>
    </row>
    <row r="375" spans="1:4" x14ac:dyDescent="0.2">
      <c r="A375" s="521" t="s">
        <v>3399</v>
      </c>
      <c r="B375" s="693">
        <v>6000000</v>
      </c>
      <c r="C375" s="694">
        <v>0</v>
      </c>
      <c r="D375" s="693" t="s">
        <v>901</v>
      </c>
    </row>
    <row r="376" spans="1:4" x14ac:dyDescent="0.2">
      <c r="A376" s="521" t="s">
        <v>2923</v>
      </c>
      <c r="B376" s="693">
        <v>6000000</v>
      </c>
      <c r="C376" s="694">
        <v>0</v>
      </c>
      <c r="D376" s="693" t="s">
        <v>901</v>
      </c>
    </row>
    <row r="377" spans="1:4" x14ac:dyDescent="0.2">
      <c r="A377" s="521" t="s">
        <v>3197</v>
      </c>
      <c r="B377" s="693">
        <v>6000000</v>
      </c>
      <c r="C377" s="694">
        <v>0</v>
      </c>
      <c r="D377" s="693" t="s">
        <v>901</v>
      </c>
    </row>
    <row r="378" spans="1:4" x14ac:dyDescent="0.2">
      <c r="A378" s="521" t="s">
        <v>2924</v>
      </c>
      <c r="B378" s="693">
        <v>6000000</v>
      </c>
      <c r="C378" s="694">
        <v>0</v>
      </c>
      <c r="D378" s="693" t="s">
        <v>901</v>
      </c>
    </row>
    <row r="379" spans="1:4" x14ac:dyDescent="0.2">
      <c r="B379" s="693"/>
      <c r="C379" s="694"/>
      <c r="D379" s="693"/>
    </row>
    <row r="380" spans="1:4" x14ac:dyDescent="0.2">
      <c r="B380" s="693"/>
      <c r="C380" s="694"/>
      <c r="D380" s="693"/>
    </row>
    <row r="381" spans="1:4" x14ac:dyDescent="0.2">
      <c r="B381" s="693"/>
      <c r="C381" s="694"/>
      <c r="D381" s="693"/>
    </row>
    <row r="382" spans="1:4" x14ac:dyDescent="0.2">
      <c r="B382" s="693"/>
      <c r="C382" s="694"/>
      <c r="D382" s="693"/>
    </row>
    <row r="383" spans="1:4" x14ac:dyDescent="0.2">
      <c r="B383" s="693"/>
      <c r="C383" s="694"/>
      <c r="D383" s="693"/>
    </row>
    <row r="384" spans="1:4" x14ac:dyDescent="0.2">
      <c r="B384" s="693"/>
      <c r="C384" s="694"/>
      <c r="D384" s="693"/>
    </row>
    <row r="385" spans="2:4" x14ac:dyDescent="0.2">
      <c r="B385" s="693"/>
      <c r="C385" s="694"/>
      <c r="D385" s="693"/>
    </row>
    <row r="386" spans="2:4" x14ac:dyDescent="0.2">
      <c r="B386" s="693"/>
      <c r="C386" s="694"/>
      <c r="D386" s="693"/>
    </row>
    <row r="387" spans="2:4" x14ac:dyDescent="0.2">
      <c r="B387" s="693"/>
      <c r="C387" s="694"/>
      <c r="D387" s="693"/>
    </row>
    <row r="388" spans="2:4" x14ac:dyDescent="0.2">
      <c r="B388" s="693"/>
      <c r="C388" s="694"/>
      <c r="D388" s="693"/>
    </row>
    <row r="389" spans="2:4" x14ac:dyDescent="0.2">
      <c r="B389" s="693"/>
      <c r="C389" s="694"/>
      <c r="D389" s="693"/>
    </row>
    <row r="390" spans="2:4" x14ac:dyDescent="0.2">
      <c r="B390" s="693"/>
      <c r="C390" s="694"/>
      <c r="D390" s="693"/>
    </row>
    <row r="391" spans="2:4" x14ac:dyDescent="0.2">
      <c r="B391" s="693"/>
      <c r="C391" s="694"/>
      <c r="D391" s="693"/>
    </row>
    <row r="392" spans="2:4" x14ac:dyDescent="0.2">
      <c r="B392" s="693"/>
      <c r="C392" s="694"/>
      <c r="D392" s="693"/>
    </row>
    <row r="393" spans="2:4" x14ac:dyDescent="0.2">
      <c r="B393" s="693"/>
      <c r="C393" s="694"/>
      <c r="D393" s="693"/>
    </row>
    <row r="394" spans="2:4" x14ac:dyDescent="0.2">
      <c r="B394" s="693"/>
      <c r="C394" s="694"/>
      <c r="D394" s="693"/>
    </row>
    <row r="395" spans="2:4" x14ac:dyDescent="0.2">
      <c r="B395" s="693"/>
      <c r="C395" s="694"/>
      <c r="D395" s="693"/>
    </row>
    <row r="396" spans="2:4" x14ac:dyDescent="0.2">
      <c r="B396" s="693"/>
      <c r="C396" s="694"/>
      <c r="D396" s="693"/>
    </row>
    <row r="397" spans="2:4" x14ac:dyDescent="0.2">
      <c r="B397" s="693"/>
      <c r="C397" s="694"/>
      <c r="D397" s="693"/>
    </row>
    <row r="398" spans="2:4" x14ac:dyDescent="0.2">
      <c r="B398" s="693"/>
      <c r="C398" s="694"/>
      <c r="D398" s="693"/>
    </row>
    <row r="399" spans="2:4" x14ac:dyDescent="0.2">
      <c r="B399" s="693"/>
      <c r="C399" s="694"/>
      <c r="D399" s="693"/>
    </row>
    <row r="400" spans="2:4" x14ac:dyDescent="0.2">
      <c r="B400" s="693"/>
      <c r="C400" s="694"/>
      <c r="D400" s="693"/>
    </row>
    <row r="401" spans="2:4" x14ac:dyDescent="0.2">
      <c r="B401" s="693"/>
      <c r="C401" s="694"/>
      <c r="D401" s="693"/>
    </row>
    <row r="402" spans="2:4" x14ac:dyDescent="0.2">
      <c r="B402" s="693"/>
      <c r="C402" s="694"/>
      <c r="D402" s="693"/>
    </row>
    <row r="403" spans="2:4" x14ac:dyDescent="0.2">
      <c r="B403" s="693"/>
      <c r="C403" s="694"/>
      <c r="D403" s="693"/>
    </row>
    <row r="404" spans="2:4" x14ac:dyDescent="0.2">
      <c r="B404" s="693"/>
      <c r="C404" s="694"/>
      <c r="D404" s="693"/>
    </row>
    <row r="405" spans="2:4" x14ac:dyDescent="0.2">
      <c r="B405" s="693"/>
      <c r="C405" s="694"/>
      <c r="D405" s="693"/>
    </row>
    <row r="406" spans="2:4" x14ac:dyDescent="0.2">
      <c r="B406" s="693"/>
      <c r="C406" s="694"/>
      <c r="D406" s="693"/>
    </row>
    <row r="407" spans="2:4" x14ac:dyDescent="0.2">
      <c r="B407" s="693"/>
      <c r="C407" s="694"/>
      <c r="D407" s="693"/>
    </row>
    <row r="408" spans="2:4" x14ac:dyDescent="0.2">
      <c r="B408" s="693"/>
      <c r="C408" s="694"/>
      <c r="D408" s="693"/>
    </row>
    <row r="409" spans="2:4" x14ac:dyDescent="0.2">
      <c r="B409" s="693"/>
      <c r="C409" s="694"/>
      <c r="D409" s="693"/>
    </row>
    <row r="410" spans="2:4" x14ac:dyDescent="0.2">
      <c r="B410" s="693"/>
      <c r="C410" s="694"/>
      <c r="D410" s="693"/>
    </row>
    <row r="411" spans="2:4" x14ac:dyDescent="0.2">
      <c r="B411" s="693"/>
      <c r="C411" s="694"/>
      <c r="D411" s="693"/>
    </row>
    <row r="412" spans="2:4" x14ac:dyDescent="0.2">
      <c r="B412" s="693"/>
      <c r="C412" s="694"/>
      <c r="D412" s="693"/>
    </row>
    <row r="413" spans="2:4" x14ac:dyDescent="0.2">
      <c r="B413" s="693"/>
      <c r="C413" s="694"/>
      <c r="D413" s="693"/>
    </row>
    <row r="414" spans="2:4" x14ac:dyDescent="0.2">
      <c r="B414" s="693"/>
      <c r="C414" s="694"/>
      <c r="D414" s="693"/>
    </row>
    <row r="415" spans="2:4" x14ac:dyDescent="0.2">
      <c r="B415" s="693"/>
      <c r="C415" s="694"/>
      <c r="D415" s="693"/>
    </row>
    <row r="416" spans="2:4" x14ac:dyDescent="0.2">
      <c r="B416" s="693"/>
      <c r="C416" s="694"/>
      <c r="D416" s="693"/>
    </row>
    <row r="417" spans="2:4" x14ac:dyDescent="0.2">
      <c r="B417" s="693"/>
      <c r="C417" s="694"/>
      <c r="D417" s="693"/>
    </row>
    <row r="418" spans="2:4" x14ac:dyDescent="0.2">
      <c r="B418" s="693"/>
      <c r="C418" s="694"/>
      <c r="D418" s="693"/>
    </row>
    <row r="419" spans="2:4" x14ac:dyDescent="0.2">
      <c r="B419" s="693"/>
      <c r="C419" s="694"/>
      <c r="D419" s="693"/>
    </row>
    <row r="420" spans="2:4" x14ac:dyDescent="0.2">
      <c r="B420" s="693"/>
      <c r="C420" s="694"/>
      <c r="D420" s="693"/>
    </row>
    <row r="421" spans="2:4" x14ac:dyDescent="0.2">
      <c r="B421" s="693"/>
      <c r="C421" s="694"/>
      <c r="D421" s="693"/>
    </row>
    <row r="422" spans="2:4" x14ac:dyDescent="0.2">
      <c r="B422" s="693"/>
      <c r="C422" s="694"/>
      <c r="D422" s="693"/>
    </row>
    <row r="423" spans="2:4" x14ac:dyDescent="0.2">
      <c r="B423" s="693"/>
      <c r="C423" s="694"/>
      <c r="D423" s="693"/>
    </row>
    <row r="424" spans="2:4" x14ac:dyDescent="0.2">
      <c r="B424" s="693"/>
      <c r="C424" s="694"/>
      <c r="D424" s="693"/>
    </row>
    <row r="425" spans="2:4" x14ac:dyDescent="0.2">
      <c r="B425" s="693"/>
      <c r="C425" s="694"/>
      <c r="D425" s="693"/>
    </row>
    <row r="426" spans="2:4" x14ac:dyDescent="0.2">
      <c r="B426" s="693"/>
      <c r="C426" s="694"/>
      <c r="D426" s="693"/>
    </row>
    <row r="427" spans="2:4" x14ac:dyDescent="0.2">
      <c r="B427" s="693"/>
      <c r="C427" s="694"/>
      <c r="D427" s="693"/>
    </row>
    <row r="428" spans="2:4" x14ac:dyDescent="0.2">
      <c r="B428" s="693"/>
      <c r="C428" s="694"/>
      <c r="D428" s="693"/>
    </row>
    <row r="429" spans="2:4" x14ac:dyDescent="0.2">
      <c r="B429" s="693"/>
      <c r="C429" s="694"/>
      <c r="D429" s="693"/>
    </row>
    <row r="430" spans="2:4" x14ac:dyDescent="0.2">
      <c r="B430" s="693"/>
      <c r="C430" s="694"/>
      <c r="D430" s="693"/>
    </row>
    <row r="431" spans="2:4" x14ac:dyDescent="0.2">
      <c r="B431" s="693"/>
      <c r="C431" s="694"/>
      <c r="D431" s="693"/>
    </row>
    <row r="432" spans="2:4" x14ac:dyDescent="0.2">
      <c r="B432" s="693"/>
      <c r="C432" s="694"/>
      <c r="D432" s="693"/>
    </row>
    <row r="433" spans="2:4" x14ac:dyDescent="0.2">
      <c r="B433" s="693"/>
      <c r="C433" s="694"/>
      <c r="D433" s="693"/>
    </row>
    <row r="434" spans="2:4" x14ac:dyDescent="0.2">
      <c r="B434" s="693"/>
      <c r="C434" s="694"/>
      <c r="D434" s="693"/>
    </row>
    <row r="435" spans="2:4" x14ac:dyDescent="0.2">
      <c r="B435" s="693"/>
      <c r="C435" s="694"/>
      <c r="D435" s="693"/>
    </row>
    <row r="546" spans="1:4" x14ac:dyDescent="0.2">
      <c r="A546" s="523"/>
      <c r="B546" s="698"/>
      <c r="C546" s="699"/>
      <c r="D546" s="523"/>
    </row>
    <row r="547" spans="1:4" x14ac:dyDescent="0.2">
      <c r="A547" s="523"/>
      <c r="B547" s="698"/>
      <c r="C547" s="699"/>
      <c r="D547" s="523"/>
    </row>
    <row r="548" spans="1:4" x14ac:dyDescent="0.2">
      <c r="A548" s="523"/>
      <c r="B548" s="698"/>
      <c r="C548" s="699"/>
      <c r="D548" s="523"/>
    </row>
    <row r="549" spans="1:4" x14ac:dyDescent="0.2">
      <c r="A549" s="523"/>
      <c r="B549" s="698"/>
      <c r="C549" s="699"/>
      <c r="D549" s="523"/>
    </row>
    <row r="550" spans="1:4" x14ac:dyDescent="0.2">
      <c r="A550" s="523"/>
      <c r="B550" s="698"/>
      <c r="C550" s="699"/>
      <c r="D550" s="523"/>
    </row>
    <row r="564" spans="1:4" x14ac:dyDescent="0.2">
      <c r="A564" s="524"/>
      <c r="B564" s="700"/>
      <c r="C564" s="701"/>
      <c r="D564" s="524"/>
    </row>
    <row r="576" spans="1:4" x14ac:dyDescent="0.2">
      <c r="A576" s="524"/>
      <c r="B576" s="700"/>
      <c r="C576" s="701"/>
      <c r="D576" s="524"/>
    </row>
    <row r="582" spans="1:4" x14ac:dyDescent="0.2">
      <c r="A582" s="524"/>
      <c r="B582" s="700"/>
      <c r="C582" s="701"/>
      <c r="D582" s="524"/>
    </row>
    <row r="599" spans="1:4" x14ac:dyDescent="0.2">
      <c r="A599" s="524"/>
      <c r="B599" s="700"/>
      <c r="C599" s="701"/>
      <c r="D599" s="524"/>
    </row>
    <row r="608" spans="1:4" x14ac:dyDescent="0.2">
      <c r="A608" s="524"/>
      <c r="B608" s="700"/>
      <c r="C608" s="701"/>
      <c r="D608" s="524"/>
    </row>
    <row r="613" spans="1:4" x14ac:dyDescent="0.2">
      <c r="A613" s="524"/>
      <c r="B613" s="700"/>
      <c r="C613" s="701"/>
      <c r="D613" s="524"/>
    </row>
    <row r="614" spans="1:4" x14ac:dyDescent="0.2">
      <c r="A614" s="524"/>
      <c r="B614" s="700"/>
      <c r="C614" s="701"/>
      <c r="D614" s="524"/>
    </row>
    <row r="650" spans="1:4" x14ac:dyDescent="0.2">
      <c r="A650" s="523"/>
      <c r="B650" s="698"/>
      <c r="C650" s="699"/>
      <c r="D650" s="523"/>
    </row>
    <row r="651" spans="1:4" x14ac:dyDescent="0.2">
      <c r="A651" s="523"/>
      <c r="B651" s="698"/>
      <c r="C651" s="699"/>
      <c r="D651" s="523"/>
    </row>
    <row r="652" spans="1:4" x14ac:dyDescent="0.2">
      <c r="A652" s="523"/>
      <c r="B652" s="698"/>
      <c r="C652" s="699"/>
      <c r="D652" s="523"/>
    </row>
    <row r="653" spans="1:4" x14ac:dyDescent="0.2">
      <c r="A653" s="523"/>
      <c r="B653" s="698"/>
      <c r="C653" s="699"/>
      <c r="D653" s="523"/>
    </row>
    <row r="654" spans="1:4" x14ac:dyDescent="0.2">
      <c r="A654" s="523"/>
      <c r="B654" s="698"/>
      <c r="C654" s="699"/>
      <c r="D654" s="523"/>
    </row>
    <row r="655" spans="1:4" x14ac:dyDescent="0.2">
      <c r="A655" s="523"/>
      <c r="B655" s="698"/>
      <c r="C655" s="699"/>
      <c r="D655" s="523"/>
    </row>
    <row r="657" spans="1:4" x14ac:dyDescent="0.2">
      <c r="A657" s="523"/>
      <c r="B657" s="698"/>
      <c r="C657" s="699"/>
      <c r="D657" s="523"/>
    </row>
    <row r="658" spans="1:4" x14ac:dyDescent="0.2">
      <c r="A658" s="523"/>
      <c r="B658" s="698"/>
      <c r="C658" s="699"/>
      <c r="D658" s="523"/>
    </row>
    <row r="659" spans="1:4" x14ac:dyDescent="0.2">
      <c r="A659" s="523"/>
      <c r="B659" s="698"/>
      <c r="C659" s="699"/>
      <c r="D659" s="523"/>
    </row>
    <row r="660" spans="1:4" x14ac:dyDescent="0.2">
      <c r="A660" s="523"/>
      <c r="B660" s="698"/>
      <c r="C660" s="699"/>
      <c r="D660" s="523"/>
    </row>
    <row r="661" spans="1:4" x14ac:dyDescent="0.2">
      <c r="A661" s="523"/>
      <c r="B661" s="698"/>
      <c r="C661" s="699"/>
      <c r="D661" s="523"/>
    </row>
    <row r="742" spans="2:2" x14ac:dyDescent="0.2">
      <c r="B742" s="521"/>
    </row>
    <row r="743" spans="2:2" x14ac:dyDescent="0.2">
      <c r="B743" s="521"/>
    </row>
    <row r="744" spans="2:2" x14ac:dyDescent="0.2">
      <c r="B744" s="521"/>
    </row>
  </sheetData>
  <autoFilter ref="A1:D150" xr:uid="{00000000-0009-0000-0000-00000B000000}"/>
  <phoneticPr fontId="6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940E1-745B-429C-A41E-502C7E953ABB}">
  <sheetPr>
    <pageSetUpPr fitToPage="1"/>
  </sheetPr>
  <dimension ref="A1:L356"/>
  <sheetViews>
    <sheetView workbookViewId="0">
      <pane xSplit="1" ySplit="1" topLeftCell="B2" activePane="bottomRight" state="frozen"/>
      <selection activeCell="B9" sqref="B9:C9"/>
      <selection pane="topRight" activeCell="B9" sqref="B9:C9"/>
      <selection pane="bottomLeft" activeCell="B9" sqref="B9:C9"/>
      <selection pane="bottomRight" activeCell="D1" sqref="D1:F1048576"/>
    </sheetView>
  </sheetViews>
  <sheetFormatPr baseColWidth="10" defaultRowHeight="12.75" x14ac:dyDescent="0.2"/>
  <cols>
    <col min="2" max="2" width="14.5703125" style="514" bestFit="1" customWidth="1"/>
    <col min="4" max="5" width="11.42578125" hidden="1" customWidth="1"/>
    <col min="6" max="6" width="14" hidden="1" customWidth="1"/>
    <col min="7" max="7" width="13.5703125" customWidth="1"/>
  </cols>
  <sheetData>
    <row r="1" spans="1:12" ht="15.75" customHeight="1" x14ac:dyDescent="0.2">
      <c r="A1" s="622" t="s">
        <v>30</v>
      </c>
      <c r="B1" s="554" t="s">
        <v>70</v>
      </c>
    </row>
    <row r="2" spans="1:12" x14ac:dyDescent="0.2">
      <c r="A2" s="628" t="s">
        <v>2738</v>
      </c>
      <c r="B2" s="542">
        <v>518245000</v>
      </c>
      <c r="D2" s="639" t="s">
        <v>3479</v>
      </c>
      <c r="E2" s="640">
        <v>0</v>
      </c>
      <c r="F2" s="637">
        <v>518245000</v>
      </c>
      <c r="G2" s="637"/>
    </row>
    <row r="3" spans="1:12" x14ac:dyDescent="0.2">
      <c r="A3" s="628" t="s">
        <v>2739</v>
      </c>
      <c r="B3" s="542">
        <v>406250000</v>
      </c>
      <c r="D3" s="639" t="s">
        <v>4010</v>
      </c>
      <c r="E3" s="640">
        <v>0</v>
      </c>
      <c r="F3" s="637">
        <v>406250000</v>
      </c>
      <c r="G3" s="637"/>
    </row>
    <row r="4" spans="1:12" x14ac:dyDescent="0.2">
      <c r="A4" s="628" t="s">
        <v>2740</v>
      </c>
      <c r="B4" s="542">
        <v>508920000</v>
      </c>
      <c r="D4" s="639" t="s">
        <v>3410</v>
      </c>
      <c r="E4" s="640">
        <v>5000000</v>
      </c>
      <c r="F4" s="637">
        <v>508920000</v>
      </c>
      <c r="G4" s="637"/>
    </row>
    <row r="5" spans="1:12" x14ac:dyDescent="0.2">
      <c r="A5" s="628" t="s">
        <v>2741</v>
      </c>
      <c r="B5" s="542">
        <v>424225000</v>
      </c>
      <c r="D5" s="639" t="s">
        <v>4355</v>
      </c>
      <c r="E5" s="640">
        <v>0</v>
      </c>
      <c r="F5" s="637">
        <v>424225000</v>
      </c>
      <c r="G5" s="637"/>
    </row>
    <row r="6" spans="1:12" x14ac:dyDescent="0.2">
      <c r="A6" s="628" t="s">
        <v>2742</v>
      </c>
      <c r="B6" s="542">
        <v>564350000</v>
      </c>
      <c r="D6" s="639" t="s">
        <v>3411</v>
      </c>
      <c r="E6" s="639">
        <v>1000000</v>
      </c>
      <c r="F6" s="637">
        <v>564350000</v>
      </c>
      <c r="G6" s="637"/>
    </row>
    <row r="7" spans="1:12" x14ac:dyDescent="0.2">
      <c r="A7" s="628" t="s">
        <v>2837</v>
      </c>
      <c r="B7" s="542">
        <v>489300000</v>
      </c>
      <c r="D7" s="639" t="s">
        <v>2926</v>
      </c>
      <c r="E7" s="639">
        <v>5000000</v>
      </c>
      <c r="F7" s="637">
        <v>489300000</v>
      </c>
      <c r="G7" s="637"/>
    </row>
    <row r="8" spans="1:12" x14ac:dyDescent="0.2">
      <c r="A8" s="628" t="s">
        <v>2743</v>
      </c>
      <c r="B8" s="542">
        <v>389225000</v>
      </c>
      <c r="D8" s="639" t="s">
        <v>3412</v>
      </c>
      <c r="E8" s="639">
        <v>0</v>
      </c>
      <c r="F8" s="637">
        <v>389225000</v>
      </c>
      <c r="G8" s="637"/>
    </row>
    <row r="9" spans="1:12" x14ac:dyDescent="0.2">
      <c r="A9" s="628" t="s">
        <v>2745</v>
      </c>
      <c r="B9" s="542">
        <v>405180000</v>
      </c>
      <c r="D9" s="639" t="s">
        <v>4264</v>
      </c>
      <c r="E9" s="639">
        <v>0</v>
      </c>
      <c r="F9" s="637">
        <v>405180000</v>
      </c>
      <c r="G9" s="637"/>
    </row>
    <row r="10" spans="1:12" x14ac:dyDescent="0.2">
      <c r="A10" s="628" t="s">
        <v>2747</v>
      </c>
      <c r="B10" s="542">
        <v>491517600</v>
      </c>
      <c r="D10" s="639" t="s">
        <v>3103</v>
      </c>
      <c r="E10" s="639">
        <v>5000000</v>
      </c>
      <c r="F10" s="637">
        <v>491517600</v>
      </c>
      <c r="G10" s="637"/>
    </row>
    <row r="11" spans="1:12" x14ac:dyDescent="0.2">
      <c r="A11" s="628" t="s">
        <v>2748</v>
      </c>
      <c r="B11" s="542">
        <v>389725000</v>
      </c>
      <c r="D11" s="639" t="s">
        <v>3322</v>
      </c>
      <c r="E11" s="639">
        <v>0</v>
      </c>
      <c r="F11" s="637">
        <v>389725000</v>
      </c>
      <c r="G11" s="637"/>
    </row>
    <row r="12" spans="1:12" x14ac:dyDescent="0.2">
      <c r="A12" s="628" t="s">
        <v>2749</v>
      </c>
      <c r="B12" s="542">
        <v>533332500</v>
      </c>
      <c r="D12" s="639" t="s">
        <v>4011</v>
      </c>
      <c r="E12" s="640">
        <v>0</v>
      </c>
      <c r="F12" s="637">
        <v>533332500</v>
      </c>
      <c r="G12" s="637"/>
    </row>
    <row r="13" spans="1:12" x14ac:dyDescent="0.2">
      <c r="A13" s="628" t="s">
        <v>2750</v>
      </c>
      <c r="B13" s="542">
        <v>393600000</v>
      </c>
      <c r="D13" s="639" t="s">
        <v>3413</v>
      </c>
      <c r="E13" s="640">
        <v>0</v>
      </c>
      <c r="F13" s="637">
        <v>393600000</v>
      </c>
      <c r="G13" s="637"/>
    </row>
    <row r="14" spans="1:12" x14ac:dyDescent="0.2">
      <c r="A14" s="628" t="s">
        <v>2838</v>
      </c>
      <c r="B14" s="542">
        <v>494500000</v>
      </c>
      <c r="D14" s="639" t="s">
        <v>2927</v>
      </c>
      <c r="E14" s="640">
        <v>0</v>
      </c>
      <c r="F14" s="637">
        <v>494500000</v>
      </c>
      <c r="G14" s="637"/>
    </row>
    <row r="15" spans="1:12" x14ac:dyDescent="0.2">
      <c r="A15" s="628" t="s">
        <v>2751</v>
      </c>
      <c r="B15" s="542">
        <v>532775000</v>
      </c>
      <c r="D15" s="639" t="s">
        <v>3323</v>
      </c>
      <c r="E15" s="640">
        <v>3000000</v>
      </c>
      <c r="F15" s="637">
        <v>532775000</v>
      </c>
      <c r="G15" s="637"/>
      <c r="K15" s="628"/>
      <c r="L15" s="542"/>
    </row>
    <row r="16" spans="1:12" x14ac:dyDescent="0.2">
      <c r="A16" s="628" t="s">
        <v>2752</v>
      </c>
      <c r="B16" s="542">
        <v>355500000</v>
      </c>
      <c r="D16" s="639" t="s">
        <v>3198</v>
      </c>
      <c r="E16" s="640">
        <v>5000000</v>
      </c>
      <c r="F16" s="637">
        <v>355500000</v>
      </c>
      <c r="G16" s="637"/>
    </row>
    <row r="17" spans="1:7" x14ac:dyDescent="0.2">
      <c r="A17" s="628" t="s">
        <v>2753</v>
      </c>
      <c r="B17" s="542">
        <v>472060000</v>
      </c>
      <c r="D17" s="639" t="s">
        <v>3104</v>
      </c>
      <c r="E17" s="640">
        <v>5000000</v>
      </c>
      <c r="F17" s="637">
        <v>472060000</v>
      </c>
      <c r="G17" s="637"/>
    </row>
    <row r="18" spans="1:7" x14ac:dyDescent="0.2">
      <c r="A18" s="628" t="s">
        <v>2754</v>
      </c>
      <c r="B18" s="542">
        <v>358900000</v>
      </c>
      <c r="D18" s="639" t="s">
        <v>3105</v>
      </c>
      <c r="E18" s="640">
        <v>5000000</v>
      </c>
      <c r="F18" s="637">
        <v>358900000</v>
      </c>
      <c r="G18" s="637"/>
    </row>
    <row r="19" spans="1:7" x14ac:dyDescent="0.2">
      <c r="A19" s="628" t="s">
        <v>2755</v>
      </c>
      <c r="B19" s="542">
        <v>497857562</v>
      </c>
      <c r="D19" s="639" t="s">
        <v>3199</v>
      </c>
      <c r="E19" s="639">
        <v>3000000</v>
      </c>
      <c r="F19" s="637">
        <v>497857562</v>
      </c>
      <c r="G19" s="637"/>
    </row>
    <row r="20" spans="1:7" x14ac:dyDescent="0.2">
      <c r="A20" s="628" t="s">
        <v>3041</v>
      </c>
      <c r="B20" s="542">
        <v>355105000</v>
      </c>
      <c r="D20" s="639" t="s">
        <v>3106</v>
      </c>
      <c r="E20" s="640">
        <v>5895000</v>
      </c>
      <c r="F20" s="637">
        <v>355105000</v>
      </c>
      <c r="G20" s="637"/>
    </row>
    <row r="21" spans="1:7" x14ac:dyDescent="0.2">
      <c r="A21" s="628" t="s">
        <v>2839</v>
      </c>
      <c r="B21" s="542">
        <v>472560000</v>
      </c>
      <c r="D21" s="639" t="s">
        <v>2928</v>
      </c>
      <c r="E21" s="640">
        <v>5000000</v>
      </c>
      <c r="F21" s="637">
        <v>472560000</v>
      </c>
      <c r="G21" s="637"/>
    </row>
    <row r="22" spans="1:7" x14ac:dyDescent="0.2">
      <c r="A22" s="628" t="s">
        <v>2757</v>
      </c>
      <c r="B22" s="542">
        <v>359400000</v>
      </c>
      <c r="D22" s="639" t="s">
        <v>3107</v>
      </c>
      <c r="E22" s="639">
        <v>5000000</v>
      </c>
      <c r="F22" s="637">
        <v>359400000</v>
      </c>
      <c r="G22" s="637"/>
    </row>
    <row r="23" spans="1:7" x14ac:dyDescent="0.2">
      <c r="A23" s="628" t="s">
        <v>2758</v>
      </c>
      <c r="B23" s="542">
        <v>536950000</v>
      </c>
      <c r="D23" s="639" t="s">
        <v>3414</v>
      </c>
      <c r="E23" s="639">
        <v>0</v>
      </c>
      <c r="F23" s="637">
        <v>536950000</v>
      </c>
      <c r="G23" s="637"/>
    </row>
    <row r="24" spans="1:7" x14ac:dyDescent="0.2">
      <c r="A24" s="628" t="s">
        <v>2760</v>
      </c>
      <c r="B24" s="542">
        <v>357191674</v>
      </c>
      <c r="D24" s="639" t="s">
        <v>3108</v>
      </c>
      <c r="E24" s="640">
        <v>5000000</v>
      </c>
      <c r="F24" s="637">
        <v>357191674</v>
      </c>
      <c r="G24" s="637"/>
    </row>
    <row r="25" spans="1:7" x14ac:dyDescent="0.2">
      <c r="A25" s="628" t="s">
        <v>2761</v>
      </c>
      <c r="B25" s="542">
        <v>530830000</v>
      </c>
      <c r="D25" s="639" t="s">
        <v>3480</v>
      </c>
      <c r="E25" s="639">
        <v>0</v>
      </c>
      <c r="F25" s="637">
        <v>530830000</v>
      </c>
      <c r="G25" s="637"/>
    </row>
    <row r="26" spans="1:7" x14ac:dyDescent="0.2">
      <c r="A26" s="628" t="s">
        <v>2762</v>
      </c>
      <c r="B26" s="542">
        <v>395100000</v>
      </c>
      <c r="D26" s="639" t="s">
        <v>3415</v>
      </c>
      <c r="E26" s="639">
        <v>0</v>
      </c>
      <c r="F26" s="637">
        <v>395100000</v>
      </c>
      <c r="G26" s="637"/>
    </row>
    <row r="27" spans="1:7" x14ac:dyDescent="0.2">
      <c r="A27" s="628" t="s">
        <v>2840</v>
      </c>
      <c r="B27" s="542">
        <v>491000000</v>
      </c>
      <c r="D27" s="639" t="s">
        <v>2929</v>
      </c>
      <c r="E27" s="640">
        <v>5000000</v>
      </c>
      <c r="F27" s="637">
        <v>491000000</v>
      </c>
      <c r="G27" s="637"/>
    </row>
    <row r="28" spans="1:7" x14ac:dyDescent="0.2">
      <c r="A28" s="628" t="s">
        <v>2763</v>
      </c>
      <c r="B28" s="542">
        <v>501954327</v>
      </c>
      <c r="D28" s="639" t="s">
        <v>3109</v>
      </c>
      <c r="E28" s="639">
        <v>3000000</v>
      </c>
      <c r="F28" s="637">
        <v>501954327</v>
      </c>
      <c r="G28" s="637"/>
    </row>
    <row r="29" spans="1:7" x14ac:dyDescent="0.2">
      <c r="A29" s="628" t="s">
        <v>2764</v>
      </c>
      <c r="B29" s="542">
        <v>392171917</v>
      </c>
      <c r="D29" s="639" t="s">
        <v>3416</v>
      </c>
      <c r="E29" s="639">
        <v>3000000</v>
      </c>
      <c r="F29" s="637">
        <v>392171917</v>
      </c>
      <c r="G29" s="637"/>
    </row>
    <row r="30" spans="1:7" x14ac:dyDescent="0.2">
      <c r="A30" s="628" t="s">
        <v>2765</v>
      </c>
      <c r="B30" s="542">
        <v>523325000</v>
      </c>
      <c r="D30" s="639" t="s">
        <v>3417</v>
      </c>
      <c r="E30" s="640">
        <v>0</v>
      </c>
      <c r="F30" s="637">
        <v>523325000</v>
      </c>
      <c r="G30" s="637"/>
    </row>
    <row r="31" spans="1:7" x14ac:dyDescent="0.2">
      <c r="A31" s="628" t="s">
        <v>2766</v>
      </c>
      <c r="B31" s="542">
        <v>395600000</v>
      </c>
      <c r="D31" s="639" t="s">
        <v>3324</v>
      </c>
      <c r="E31" s="639">
        <v>0</v>
      </c>
      <c r="F31" s="637">
        <v>395600000</v>
      </c>
      <c r="G31" s="637"/>
    </row>
    <row r="32" spans="1:7" x14ac:dyDescent="0.2">
      <c r="A32" s="628" t="s">
        <v>2767</v>
      </c>
      <c r="B32" s="542">
        <v>497612500</v>
      </c>
      <c r="D32" s="639" t="s">
        <v>3110</v>
      </c>
      <c r="E32" s="640">
        <v>3000000</v>
      </c>
      <c r="F32" s="637">
        <v>497612500</v>
      </c>
      <c r="G32" s="637"/>
    </row>
    <row r="33" spans="1:7" x14ac:dyDescent="0.2">
      <c r="A33" s="628" t="s">
        <v>2768</v>
      </c>
      <c r="B33" s="542">
        <v>549827500</v>
      </c>
      <c r="D33" s="639" t="s">
        <v>4423</v>
      </c>
      <c r="E33" s="639">
        <v>0</v>
      </c>
      <c r="F33" s="637">
        <v>549827500</v>
      </c>
      <c r="G33" s="637"/>
    </row>
    <row r="34" spans="1:7" x14ac:dyDescent="0.2">
      <c r="A34" s="628" t="s">
        <v>2769</v>
      </c>
      <c r="B34" s="542">
        <v>365375000</v>
      </c>
      <c r="D34" s="639" t="s">
        <v>3111</v>
      </c>
      <c r="E34" s="640">
        <v>0</v>
      </c>
      <c r="F34" s="637">
        <v>365375000</v>
      </c>
      <c r="G34" s="637"/>
    </row>
    <row r="35" spans="1:7" x14ac:dyDescent="0.2">
      <c r="A35" s="628" t="s">
        <v>2770</v>
      </c>
      <c r="B35" s="542">
        <v>534832500</v>
      </c>
      <c r="D35" s="639" t="s">
        <v>4012</v>
      </c>
      <c r="E35" s="640">
        <v>1000000</v>
      </c>
      <c r="F35" s="637">
        <v>534832500</v>
      </c>
      <c r="G35" s="637"/>
    </row>
    <row r="36" spans="1:7" x14ac:dyDescent="0.2">
      <c r="A36" s="628" t="s">
        <v>2771</v>
      </c>
      <c r="B36" s="542">
        <v>402140000</v>
      </c>
      <c r="D36" s="639" t="s">
        <v>3481</v>
      </c>
      <c r="E36" s="640">
        <v>0</v>
      </c>
      <c r="F36" s="637">
        <v>402140000</v>
      </c>
      <c r="G36" s="637"/>
    </row>
    <row r="37" spans="1:7" x14ac:dyDescent="0.2">
      <c r="A37" s="628" t="s">
        <v>2772</v>
      </c>
      <c r="B37" s="542">
        <v>556406110</v>
      </c>
      <c r="D37" s="639" t="s">
        <v>4356</v>
      </c>
      <c r="E37" s="639">
        <v>0</v>
      </c>
      <c r="F37" s="637">
        <v>556406110</v>
      </c>
      <c r="G37" s="637"/>
    </row>
    <row r="38" spans="1:7" x14ac:dyDescent="0.2">
      <c r="A38" s="628" t="s">
        <v>2773</v>
      </c>
      <c r="B38" s="542">
        <v>554345000</v>
      </c>
      <c r="D38" s="639" t="s">
        <v>4424</v>
      </c>
      <c r="E38" s="640">
        <v>0</v>
      </c>
      <c r="F38" s="637">
        <v>554345000</v>
      </c>
      <c r="G38" s="637"/>
    </row>
    <row r="39" spans="1:7" x14ac:dyDescent="0.2">
      <c r="A39" s="628" t="s">
        <v>2841</v>
      </c>
      <c r="B39" s="542">
        <v>358000000</v>
      </c>
      <c r="D39" s="639" t="s">
        <v>2930</v>
      </c>
      <c r="E39" s="639">
        <v>5000000</v>
      </c>
      <c r="F39" s="637">
        <v>358000000</v>
      </c>
      <c r="G39" s="637"/>
    </row>
    <row r="40" spans="1:7" x14ac:dyDescent="0.2">
      <c r="A40" s="628" t="s">
        <v>2774</v>
      </c>
      <c r="B40" s="542">
        <v>532330000</v>
      </c>
      <c r="D40" s="639" t="s">
        <v>4013</v>
      </c>
      <c r="E40" s="639">
        <v>0</v>
      </c>
      <c r="F40" s="637">
        <v>532330000</v>
      </c>
      <c r="G40" s="637"/>
    </row>
    <row r="41" spans="1:7" x14ac:dyDescent="0.2">
      <c r="A41" s="628" t="s">
        <v>2842</v>
      </c>
      <c r="B41" s="542">
        <v>357200000</v>
      </c>
      <c r="D41" s="639" t="s">
        <v>2931</v>
      </c>
      <c r="E41" s="639">
        <v>5000000</v>
      </c>
      <c r="F41" s="637">
        <v>357200000</v>
      </c>
      <c r="G41" s="637"/>
    </row>
    <row r="42" spans="1:7" x14ac:dyDescent="0.2">
      <c r="A42" s="628" t="s">
        <v>2776</v>
      </c>
      <c r="B42" s="542">
        <v>498300000</v>
      </c>
      <c r="D42" s="639" t="s">
        <v>3112</v>
      </c>
      <c r="E42" s="640">
        <v>0</v>
      </c>
      <c r="F42" s="637">
        <v>498300000</v>
      </c>
      <c r="G42" s="637"/>
    </row>
    <row r="43" spans="1:7" x14ac:dyDescent="0.2">
      <c r="A43" s="628" t="s">
        <v>2777</v>
      </c>
      <c r="B43" s="542">
        <v>358500000</v>
      </c>
      <c r="D43" s="639" t="s">
        <v>3113</v>
      </c>
      <c r="E43" s="639">
        <v>5000000</v>
      </c>
      <c r="F43" s="637">
        <v>358500000</v>
      </c>
      <c r="G43" s="637"/>
    </row>
    <row r="44" spans="1:7" x14ac:dyDescent="0.2">
      <c r="A44" s="628" t="s">
        <v>2843</v>
      </c>
      <c r="B44" s="542">
        <v>475060000</v>
      </c>
      <c r="D44" s="639" t="s">
        <v>2932</v>
      </c>
      <c r="E44" s="640">
        <v>5000000</v>
      </c>
      <c r="F44" s="637">
        <v>475060000</v>
      </c>
      <c r="G44" s="637"/>
    </row>
    <row r="45" spans="1:7" x14ac:dyDescent="0.2">
      <c r="A45" s="628" t="s">
        <v>2844</v>
      </c>
      <c r="B45" s="542">
        <v>357700000</v>
      </c>
      <c r="D45" s="639" t="s">
        <v>2933</v>
      </c>
      <c r="E45" s="640">
        <v>5000000</v>
      </c>
      <c r="F45" s="637">
        <v>357700000</v>
      </c>
      <c r="G45" s="637"/>
    </row>
    <row r="46" spans="1:7" x14ac:dyDescent="0.2">
      <c r="A46" s="628" t="s">
        <v>2779</v>
      </c>
      <c r="B46" s="542">
        <v>498800000</v>
      </c>
      <c r="D46" s="639" t="s">
        <v>3200</v>
      </c>
      <c r="E46" s="640">
        <v>0</v>
      </c>
      <c r="F46" s="637">
        <v>498800000</v>
      </c>
      <c r="G46" s="637"/>
    </row>
    <row r="47" spans="1:7" x14ac:dyDescent="0.2">
      <c r="A47" s="628" t="s">
        <v>2780</v>
      </c>
      <c r="B47" s="542">
        <v>359000000</v>
      </c>
      <c r="D47" s="639" t="s">
        <v>3114</v>
      </c>
      <c r="E47" s="640">
        <v>5000000</v>
      </c>
      <c r="F47" s="637">
        <v>359000000</v>
      </c>
      <c r="G47" s="637"/>
    </row>
    <row r="48" spans="1:7" x14ac:dyDescent="0.2">
      <c r="A48" s="628" t="s">
        <v>2781</v>
      </c>
      <c r="B48" s="542">
        <v>489302500</v>
      </c>
      <c r="D48" s="639" t="s">
        <v>3201</v>
      </c>
      <c r="E48" s="639">
        <v>0</v>
      </c>
      <c r="F48" s="637">
        <v>489302500</v>
      </c>
      <c r="G48" s="637"/>
    </row>
    <row r="49" spans="1:7" x14ac:dyDescent="0.2">
      <c r="A49" s="628" t="s">
        <v>2782</v>
      </c>
      <c r="B49" s="542">
        <v>397600000</v>
      </c>
      <c r="D49" s="639" t="s">
        <v>3254</v>
      </c>
      <c r="E49" s="640">
        <v>0</v>
      </c>
      <c r="F49" s="637">
        <v>397600000</v>
      </c>
      <c r="G49" s="637"/>
    </row>
    <row r="50" spans="1:7" x14ac:dyDescent="0.2">
      <c r="A50" s="628" t="s">
        <v>2783</v>
      </c>
      <c r="B50" s="542">
        <v>556410000</v>
      </c>
      <c r="D50" s="639" t="s">
        <v>4265</v>
      </c>
      <c r="E50" s="640">
        <v>0</v>
      </c>
      <c r="F50" s="637">
        <v>556410000</v>
      </c>
      <c r="G50" s="637"/>
    </row>
    <row r="51" spans="1:7" x14ac:dyDescent="0.2">
      <c r="A51" s="628" t="s">
        <v>2845</v>
      </c>
      <c r="B51" s="542">
        <v>359500000</v>
      </c>
      <c r="D51" s="639" t="s">
        <v>2934</v>
      </c>
      <c r="E51" s="640">
        <v>5000000</v>
      </c>
      <c r="F51" s="637">
        <v>359500000</v>
      </c>
      <c r="G51" s="637"/>
    </row>
    <row r="52" spans="1:7" x14ac:dyDescent="0.2">
      <c r="A52" s="628" t="s">
        <v>2785</v>
      </c>
      <c r="B52" s="542">
        <v>525825000</v>
      </c>
      <c r="D52" s="639" t="s">
        <v>3325</v>
      </c>
      <c r="E52" s="640">
        <v>0</v>
      </c>
      <c r="F52" s="637">
        <v>525825000</v>
      </c>
      <c r="G52" s="637"/>
    </row>
    <row r="53" spans="1:7" x14ac:dyDescent="0.2">
      <c r="A53" s="628" t="s">
        <v>2786</v>
      </c>
      <c r="B53" s="542">
        <v>398100000</v>
      </c>
      <c r="D53" s="639" t="s">
        <v>3326</v>
      </c>
      <c r="E53" s="639">
        <v>0</v>
      </c>
      <c r="F53" s="637">
        <v>398100000</v>
      </c>
      <c r="G53" s="637"/>
    </row>
    <row r="54" spans="1:7" x14ac:dyDescent="0.2">
      <c r="A54" s="628" t="s">
        <v>2787</v>
      </c>
      <c r="B54" s="542">
        <v>556910000</v>
      </c>
      <c r="D54" s="639" t="s">
        <v>4266</v>
      </c>
      <c r="E54" s="639">
        <v>0</v>
      </c>
      <c r="F54" s="637">
        <v>556910000</v>
      </c>
      <c r="G54" s="637"/>
    </row>
    <row r="55" spans="1:7" x14ac:dyDescent="0.2">
      <c r="A55" s="628" t="s">
        <v>2788</v>
      </c>
      <c r="B55" s="542">
        <v>504117500</v>
      </c>
      <c r="D55" s="639" t="s">
        <v>3202</v>
      </c>
      <c r="E55" s="640">
        <v>0</v>
      </c>
      <c r="F55" s="637">
        <v>504117500</v>
      </c>
      <c r="G55" s="637"/>
    </row>
    <row r="56" spans="1:7" x14ac:dyDescent="0.2">
      <c r="A56" s="628" t="s">
        <v>2789</v>
      </c>
      <c r="B56" s="542">
        <v>360900000</v>
      </c>
      <c r="D56" s="639" t="s">
        <v>3115</v>
      </c>
      <c r="E56" s="639">
        <v>5000000</v>
      </c>
      <c r="F56" s="637">
        <v>360900000</v>
      </c>
      <c r="G56" s="637"/>
    </row>
    <row r="57" spans="1:7" x14ac:dyDescent="0.2">
      <c r="A57" s="628" t="s">
        <v>2790</v>
      </c>
      <c r="B57" s="542">
        <v>486300000</v>
      </c>
      <c r="D57" s="639" t="s">
        <v>3116</v>
      </c>
      <c r="E57" s="639">
        <v>0</v>
      </c>
      <c r="F57" s="637">
        <v>486300000</v>
      </c>
      <c r="G57" s="637"/>
    </row>
    <row r="58" spans="1:7" x14ac:dyDescent="0.2">
      <c r="A58" s="628" t="s">
        <v>2791</v>
      </c>
      <c r="B58" s="542">
        <v>409000000</v>
      </c>
      <c r="D58" s="639" t="s">
        <v>4267</v>
      </c>
      <c r="E58" s="639">
        <v>1680000</v>
      </c>
      <c r="F58" s="637">
        <v>409000000</v>
      </c>
      <c r="G58" s="637"/>
    </row>
    <row r="59" spans="1:7" x14ac:dyDescent="0.2">
      <c r="A59" s="628" t="s">
        <v>2793</v>
      </c>
      <c r="B59" s="542">
        <v>546979225</v>
      </c>
      <c r="D59" s="639" t="s">
        <v>4268</v>
      </c>
      <c r="E59" s="640">
        <v>5848275</v>
      </c>
      <c r="F59" s="637">
        <v>546979225</v>
      </c>
      <c r="G59" s="637"/>
    </row>
    <row r="60" spans="1:7" x14ac:dyDescent="0.2">
      <c r="A60" s="628" t="s">
        <v>2794</v>
      </c>
      <c r="B60" s="542">
        <v>369314608</v>
      </c>
      <c r="D60" s="639" t="s">
        <v>3117</v>
      </c>
      <c r="E60" s="640">
        <v>5000000</v>
      </c>
      <c r="F60" s="637">
        <v>369314608</v>
      </c>
      <c r="G60" s="637"/>
    </row>
    <row r="61" spans="1:7" x14ac:dyDescent="0.2">
      <c r="A61" s="628" t="s">
        <v>2795</v>
      </c>
      <c r="B61" s="542">
        <v>490802500</v>
      </c>
      <c r="D61" s="639" t="s">
        <v>3203</v>
      </c>
      <c r="E61" s="639">
        <v>0</v>
      </c>
      <c r="F61" s="637">
        <v>490802500</v>
      </c>
      <c r="G61" s="637"/>
    </row>
    <row r="62" spans="1:7" x14ac:dyDescent="0.2">
      <c r="A62" s="628" t="s">
        <v>2796</v>
      </c>
      <c r="B62" s="542">
        <v>402140000</v>
      </c>
      <c r="D62" s="639" t="s">
        <v>3482</v>
      </c>
      <c r="E62" s="639">
        <v>3000000</v>
      </c>
      <c r="F62" s="637">
        <v>402140000</v>
      </c>
      <c r="G62" s="637"/>
    </row>
    <row r="63" spans="1:7" x14ac:dyDescent="0.2">
      <c r="A63" s="628" t="s">
        <v>2797</v>
      </c>
      <c r="B63" s="542">
        <v>541450000</v>
      </c>
      <c r="D63" s="639" t="s">
        <v>3255</v>
      </c>
      <c r="E63" s="639">
        <v>0</v>
      </c>
      <c r="F63" s="637">
        <v>541450000</v>
      </c>
      <c r="G63" s="637"/>
    </row>
    <row r="64" spans="1:7" x14ac:dyDescent="0.2">
      <c r="A64" s="628" t="s">
        <v>2846</v>
      </c>
      <c r="B64" s="542">
        <v>495800000</v>
      </c>
      <c r="D64" s="639" t="s">
        <v>2935</v>
      </c>
      <c r="E64" s="640">
        <v>5000000</v>
      </c>
      <c r="F64" s="637">
        <v>495800000</v>
      </c>
      <c r="G64" s="637"/>
    </row>
    <row r="65" spans="1:7" x14ac:dyDescent="0.2">
      <c r="A65" s="628" t="s">
        <v>2798</v>
      </c>
      <c r="B65" s="542">
        <v>366000000</v>
      </c>
      <c r="D65" s="639" t="s">
        <v>3118</v>
      </c>
      <c r="E65" s="640">
        <v>0</v>
      </c>
      <c r="F65" s="637">
        <v>366000000</v>
      </c>
      <c r="G65" s="637"/>
    </row>
    <row r="66" spans="1:7" x14ac:dyDescent="0.2">
      <c r="A66" s="628" t="s">
        <v>2847</v>
      </c>
      <c r="B66" s="542">
        <v>477560000</v>
      </c>
      <c r="D66" s="639" t="s">
        <v>2936</v>
      </c>
      <c r="E66" s="640">
        <v>5000000</v>
      </c>
      <c r="F66" s="637">
        <v>477560000</v>
      </c>
      <c r="G66" s="637"/>
    </row>
    <row r="67" spans="1:7" x14ac:dyDescent="0.2">
      <c r="A67" s="628" t="s">
        <v>2799</v>
      </c>
      <c r="B67" s="542">
        <v>399600000</v>
      </c>
      <c r="D67" s="639" t="s">
        <v>3418</v>
      </c>
      <c r="E67" s="640">
        <v>0</v>
      </c>
      <c r="F67" s="637">
        <v>399600000</v>
      </c>
      <c r="G67" s="637"/>
    </row>
    <row r="68" spans="1:7" x14ac:dyDescent="0.2">
      <c r="A68" s="628" t="s">
        <v>2800</v>
      </c>
      <c r="B68" s="542">
        <v>541950000</v>
      </c>
      <c r="D68" s="639" t="s">
        <v>3256</v>
      </c>
      <c r="E68" s="640">
        <v>0</v>
      </c>
      <c r="F68" s="637">
        <v>541950000</v>
      </c>
      <c r="G68" s="637"/>
    </row>
    <row r="69" spans="1:7" x14ac:dyDescent="0.2">
      <c r="A69" s="628" t="s">
        <v>2801</v>
      </c>
      <c r="B69" s="542">
        <v>553827500</v>
      </c>
      <c r="D69" s="639" t="s">
        <v>4014</v>
      </c>
      <c r="E69" s="639">
        <v>0</v>
      </c>
      <c r="F69" s="637">
        <v>553827500</v>
      </c>
      <c r="G69" s="637"/>
    </row>
    <row r="70" spans="1:7" x14ac:dyDescent="0.2">
      <c r="A70" s="628" t="s">
        <v>2848</v>
      </c>
      <c r="B70" s="542">
        <v>361500000</v>
      </c>
      <c r="D70" s="639" t="s">
        <v>2937</v>
      </c>
      <c r="E70" s="640">
        <v>5000000</v>
      </c>
      <c r="F70" s="637">
        <v>361500000</v>
      </c>
      <c r="G70" s="637"/>
    </row>
    <row r="71" spans="1:7" x14ac:dyDescent="0.2">
      <c r="A71" s="628" t="s">
        <v>2802</v>
      </c>
      <c r="B71" s="542">
        <v>491800000</v>
      </c>
      <c r="D71" s="639" t="s">
        <v>3204</v>
      </c>
      <c r="E71" s="640">
        <v>0</v>
      </c>
      <c r="F71" s="637">
        <v>491800000</v>
      </c>
      <c r="G71" s="637"/>
    </row>
    <row r="72" spans="1:7" x14ac:dyDescent="0.2">
      <c r="A72" s="628" t="s">
        <v>2803</v>
      </c>
      <c r="B72" s="542">
        <v>381980000</v>
      </c>
      <c r="D72" s="639" t="s">
        <v>3205</v>
      </c>
      <c r="E72" s="639">
        <v>0</v>
      </c>
      <c r="F72" s="637">
        <v>381980000</v>
      </c>
      <c r="G72" s="637"/>
    </row>
    <row r="73" spans="1:7" x14ac:dyDescent="0.2">
      <c r="A73" s="628" t="s">
        <v>2804</v>
      </c>
      <c r="B73" s="542">
        <v>542450000</v>
      </c>
      <c r="D73" s="639" t="s">
        <v>3419</v>
      </c>
      <c r="E73" s="640">
        <v>0</v>
      </c>
      <c r="F73" s="637">
        <v>542450000</v>
      </c>
      <c r="G73" s="637"/>
    </row>
    <row r="74" spans="1:7" x14ac:dyDescent="0.2">
      <c r="A74" s="628" t="s">
        <v>2805</v>
      </c>
      <c r="B74" s="542">
        <v>542275000</v>
      </c>
      <c r="D74" s="639" t="s">
        <v>3327</v>
      </c>
      <c r="E74" s="640">
        <v>0</v>
      </c>
      <c r="F74" s="637">
        <v>542275000</v>
      </c>
      <c r="G74" s="637"/>
    </row>
    <row r="75" spans="1:7" x14ac:dyDescent="0.2">
      <c r="A75" s="628" t="s">
        <v>2849</v>
      </c>
      <c r="B75" s="542">
        <v>366212269</v>
      </c>
      <c r="D75" s="639" t="s">
        <v>2938</v>
      </c>
      <c r="E75" s="640">
        <v>5000000</v>
      </c>
      <c r="F75" s="637">
        <v>366212269</v>
      </c>
      <c r="G75" s="637"/>
    </row>
    <row r="76" spans="1:7" x14ac:dyDescent="0.2">
      <c r="A76" s="628" t="s">
        <v>2806</v>
      </c>
      <c r="B76" s="542">
        <v>528325000</v>
      </c>
      <c r="D76" s="639" t="s">
        <v>3420</v>
      </c>
      <c r="E76" s="639">
        <v>0</v>
      </c>
      <c r="F76" s="637">
        <v>528325000</v>
      </c>
      <c r="G76" s="637"/>
    </row>
    <row r="77" spans="1:7" x14ac:dyDescent="0.2">
      <c r="A77" s="628" t="s">
        <v>2807</v>
      </c>
      <c r="B77" s="542">
        <v>360227000</v>
      </c>
      <c r="D77" s="639" t="s">
        <v>3206</v>
      </c>
      <c r="E77" s="639">
        <v>5973000</v>
      </c>
      <c r="F77" s="637">
        <v>360227000</v>
      </c>
      <c r="G77" s="637"/>
    </row>
    <row r="78" spans="1:7" x14ac:dyDescent="0.2">
      <c r="A78" s="628" t="s">
        <v>2808</v>
      </c>
      <c r="B78" s="542">
        <v>493497500</v>
      </c>
      <c r="D78" s="639" t="s">
        <v>3119</v>
      </c>
      <c r="E78" s="639">
        <v>8002500</v>
      </c>
      <c r="F78" s="637">
        <v>493497500</v>
      </c>
      <c r="G78" s="637"/>
    </row>
    <row r="79" spans="1:7" x14ac:dyDescent="0.2">
      <c r="A79" s="628" t="s">
        <v>2809</v>
      </c>
      <c r="B79" s="542">
        <v>503617500</v>
      </c>
      <c r="D79" s="639" t="s">
        <v>3421</v>
      </c>
      <c r="E79" s="640">
        <v>3000000</v>
      </c>
      <c r="F79" s="637">
        <v>503617500</v>
      </c>
      <c r="G79" s="637"/>
    </row>
    <row r="80" spans="1:7" x14ac:dyDescent="0.2">
      <c r="A80" s="628" t="s">
        <v>2810</v>
      </c>
      <c r="B80" s="542">
        <v>397225000</v>
      </c>
      <c r="D80" s="639" t="s">
        <v>3422</v>
      </c>
      <c r="E80" s="640">
        <v>0</v>
      </c>
      <c r="F80" s="637">
        <v>397225000</v>
      </c>
      <c r="G80" s="637"/>
    </row>
    <row r="81" spans="1:7" x14ac:dyDescent="0.2">
      <c r="A81" s="628" t="s">
        <v>2811</v>
      </c>
      <c r="B81" s="542">
        <v>483800000</v>
      </c>
      <c r="D81" s="639" t="s">
        <v>3120</v>
      </c>
      <c r="E81" s="640">
        <v>5000000</v>
      </c>
      <c r="F81" s="637">
        <v>483800000</v>
      </c>
      <c r="G81" s="637"/>
    </row>
    <row r="82" spans="1:7" x14ac:dyDescent="0.2">
      <c r="A82" s="628" t="s">
        <v>2812</v>
      </c>
      <c r="B82" s="542">
        <v>373920000</v>
      </c>
      <c r="D82" s="639" t="s">
        <v>3207</v>
      </c>
      <c r="E82" s="640">
        <v>0</v>
      </c>
      <c r="F82" s="637">
        <v>373920000</v>
      </c>
      <c r="G82" s="637"/>
    </row>
    <row r="83" spans="1:7" x14ac:dyDescent="0.2">
      <c r="A83" s="628" t="s">
        <v>2850</v>
      </c>
      <c r="B83" s="542">
        <v>493990000</v>
      </c>
      <c r="D83" s="639" t="s">
        <v>2939</v>
      </c>
      <c r="E83" s="640">
        <v>8010000</v>
      </c>
      <c r="F83" s="637">
        <v>493990000</v>
      </c>
      <c r="G83" s="637"/>
    </row>
    <row r="84" spans="1:7" x14ac:dyDescent="0.2">
      <c r="A84" s="628" t="s">
        <v>2851</v>
      </c>
      <c r="B84" s="542">
        <v>497800000</v>
      </c>
      <c r="D84" s="639" t="s">
        <v>2940</v>
      </c>
      <c r="E84" s="640">
        <v>5000000</v>
      </c>
      <c r="F84" s="637">
        <v>497800000</v>
      </c>
      <c r="G84" s="637"/>
    </row>
    <row r="85" spans="1:7" x14ac:dyDescent="0.2">
      <c r="A85" s="628" t="s">
        <v>2813</v>
      </c>
      <c r="B85" s="542">
        <v>368000000</v>
      </c>
      <c r="D85" s="639" t="s">
        <v>3121</v>
      </c>
      <c r="E85" s="640">
        <v>0</v>
      </c>
      <c r="F85" s="637">
        <v>368000000</v>
      </c>
      <c r="G85" s="637"/>
    </row>
    <row r="86" spans="1:7" x14ac:dyDescent="0.2">
      <c r="A86" s="628" t="s">
        <v>2814</v>
      </c>
      <c r="B86" s="542">
        <v>493302500</v>
      </c>
      <c r="D86" s="639" t="s">
        <v>3122</v>
      </c>
      <c r="E86" s="640">
        <v>0</v>
      </c>
      <c r="F86" s="637">
        <v>493302500</v>
      </c>
      <c r="G86" s="637"/>
    </row>
    <row r="87" spans="1:7" x14ac:dyDescent="0.2">
      <c r="A87" s="628" t="s">
        <v>2852</v>
      </c>
      <c r="B87" s="542">
        <v>362200000</v>
      </c>
      <c r="D87" s="639" t="s">
        <v>2941</v>
      </c>
      <c r="E87" s="640">
        <v>5000000</v>
      </c>
      <c r="F87" s="637">
        <v>362200000</v>
      </c>
      <c r="G87" s="637"/>
    </row>
    <row r="88" spans="1:7" x14ac:dyDescent="0.2">
      <c r="A88" s="628" t="s">
        <v>2815</v>
      </c>
      <c r="B88" s="542">
        <v>560410000</v>
      </c>
      <c r="D88" s="639" t="s">
        <v>4425</v>
      </c>
      <c r="E88" s="640">
        <v>0</v>
      </c>
      <c r="F88" s="637">
        <v>560410000</v>
      </c>
      <c r="G88" s="637"/>
    </row>
    <row r="89" spans="1:7" x14ac:dyDescent="0.2">
      <c r="A89" s="628" t="s">
        <v>2816</v>
      </c>
      <c r="B89" s="542">
        <v>559845000</v>
      </c>
      <c r="D89" s="639" t="s">
        <v>4015</v>
      </c>
      <c r="E89" s="640">
        <v>0</v>
      </c>
      <c r="F89" s="637">
        <v>559845000</v>
      </c>
      <c r="G89" s="637"/>
    </row>
    <row r="90" spans="1:7" x14ac:dyDescent="0.2">
      <c r="A90" s="628" t="s">
        <v>2853</v>
      </c>
      <c r="B90" s="542">
        <v>363500000</v>
      </c>
      <c r="D90" s="639" t="s">
        <v>2942</v>
      </c>
      <c r="E90" s="640">
        <v>5000000</v>
      </c>
      <c r="F90" s="637">
        <v>363500000</v>
      </c>
      <c r="G90" s="637"/>
    </row>
    <row r="91" spans="1:7" x14ac:dyDescent="0.2">
      <c r="A91" s="628" t="s">
        <v>2817</v>
      </c>
      <c r="B91" s="542">
        <v>529825000</v>
      </c>
      <c r="D91" s="639" t="s">
        <v>3328</v>
      </c>
      <c r="E91" s="640">
        <v>0</v>
      </c>
      <c r="F91" s="637">
        <v>529825000</v>
      </c>
      <c r="G91" s="637"/>
    </row>
    <row r="92" spans="1:7" x14ac:dyDescent="0.2">
      <c r="A92" s="628" t="s">
        <v>2818</v>
      </c>
      <c r="B92" s="542">
        <v>362700000</v>
      </c>
      <c r="D92" s="639" t="s">
        <v>3123</v>
      </c>
      <c r="E92" s="640">
        <v>5000000</v>
      </c>
      <c r="F92" s="637">
        <v>362700000</v>
      </c>
      <c r="G92" s="637"/>
    </row>
    <row r="93" spans="1:7" x14ac:dyDescent="0.2">
      <c r="A93" s="628" t="s">
        <v>2819</v>
      </c>
      <c r="B93" s="542">
        <v>498000000</v>
      </c>
      <c r="D93" s="639" t="s">
        <v>3124</v>
      </c>
      <c r="E93" s="640">
        <v>5000000</v>
      </c>
      <c r="F93" s="637">
        <v>498000000</v>
      </c>
      <c r="G93" s="637"/>
    </row>
    <row r="94" spans="1:7" x14ac:dyDescent="0.2">
      <c r="A94" s="628" t="s">
        <v>2820</v>
      </c>
      <c r="B94" s="542">
        <v>544275000</v>
      </c>
      <c r="D94" s="639" t="s">
        <v>3257</v>
      </c>
      <c r="E94" s="640">
        <v>0</v>
      </c>
      <c r="F94" s="637">
        <v>544275000</v>
      </c>
      <c r="G94" s="637"/>
    </row>
    <row r="95" spans="1:7" x14ac:dyDescent="0.2">
      <c r="A95" s="628" t="s">
        <v>2821</v>
      </c>
      <c r="B95" s="542">
        <v>410255000</v>
      </c>
      <c r="D95" s="639" t="s">
        <v>4357</v>
      </c>
      <c r="E95" s="640">
        <v>0</v>
      </c>
      <c r="F95" s="637">
        <v>410255000</v>
      </c>
      <c r="G95" s="637"/>
    </row>
    <row r="96" spans="1:7" x14ac:dyDescent="0.2">
      <c r="A96" s="628" t="s">
        <v>2822</v>
      </c>
      <c r="B96" s="542">
        <v>503310000</v>
      </c>
      <c r="D96" s="639" t="s">
        <v>3208</v>
      </c>
      <c r="E96" s="640">
        <v>3000000</v>
      </c>
      <c r="F96" s="637">
        <v>503310000</v>
      </c>
    </row>
    <row r="97" spans="1:6" x14ac:dyDescent="0.2">
      <c r="A97" s="628" t="s">
        <v>2823</v>
      </c>
      <c r="B97" s="542">
        <v>375420000</v>
      </c>
      <c r="D97" t="s">
        <v>3125</v>
      </c>
      <c r="E97">
        <v>0</v>
      </c>
      <c r="F97" s="637">
        <v>375420000</v>
      </c>
    </row>
    <row r="98" spans="1:6" x14ac:dyDescent="0.2">
      <c r="A98" s="628" t="s">
        <v>2824</v>
      </c>
      <c r="B98" s="542">
        <v>498800000</v>
      </c>
      <c r="D98" t="s">
        <v>3126</v>
      </c>
      <c r="E98">
        <v>5000000</v>
      </c>
      <c r="F98" s="637">
        <v>498800000</v>
      </c>
    </row>
    <row r="99" spans="1:6" x14ac:dyDescent="0.2">
      <c r="A99" s="628" t="s">
        <v>2825</v>
      </c>
      <c r="B99" s="542">
        <v>508617500</v>
      </c>
      <c r="D99" t="s">
        <v>3209</v>
      </c>
      <c r="E99">
        <v>0</v>
      </c>
      <c r="F99" s="637">
        <v>508617500</v>
      </c>
    </row>
    <row r="100" spans="1:6" x14ac:dyDescent="0.2">
      <c r="A100" s="628" t="s">
        <v>2826</v>
      </c>
      <c r="B100" s="542">
        <v>399225000</v>
      </c>
      <c r="D100" t="s">
        <v>3258</v>
      </c>
      <c r="E100">
        <v>0</v>
      </c>
      <c r="F100" s="637">
        <v>399225000</v>
      </c>
    </row>
    <row r="101" spans="1:6" x14ac:dyDescent="0.2">
      <c r="A101" s="628" t="s">
        <v>2827</v>
      </c>
      <c r="B101" s="542">
        <v>485800000</v>
      </c>
      <c r="D101" t="s">
        <v>3127</v>
      </c>
      <c r="E101">
        <v>5000000</v>
      </c>
      <c r="F101" s="637">
        <v>485800000</v>
      </c>
    </row>
    <row r="102" spans="1:6" x14ac:dyDescent="0.2">
      <c r="A102" s="628" t="s">
        <v>2828</v>
      </c>
      <c r="B102" s="542">
        <v>375420000</v>
      </c>
      <c r="D102" t="s">
        <v>3210</v>
      </c>
      <c r="E102">
        <v>500000</v>
      </c>
      <c r="F102" s="637">
        <v>375420000</v>
      </c>
    </row>
    <row r="103" spans="1:6" x14ac:dyDescent="0.2">
      <c r="A103" s="628" t="s">
        <v>2854</v>
      </c>
      <c r="B103" s="542">
        <v>495960000</v>
      </c>
      <c r="D103" t="s">
        <v>2943</v>
      </c>
      <c r="E103">
        <v>8040000</v>
      </c>
      <c r="F103" s="637">
        <v>495960000</v>
      </c>
    </row>
    <row r="104" spans="1:6" x14ac:dyDescent="0.2">
      <c r="A104" s="628" t="s">
        <v>2855</v>
      </c>
      <c r="B104" s="542">
        <v>504219901</v>
      </c>
      <c r="D104" t="s">
        <v>2944</v>
      </c>
      <c r="E104">
        <v>5000000</v>
      </c>
      <c r="F104" s="637">
        <v>504219901</v>
      </c>
    </row>
    <row r="105" spans="1:6" x14ac:dyDescent="0.2">
      <c r="A105" s="628" t="s">
        <v>2829</v>
      </c>
      <c r="B105" s="542">
        <v>411255000</v>
      </c>
      <c r="D105" t="s">
        <v>4426</v>
      </c>
      <c r="E105">
        <v>0</v>
      </c>
      <c r="F105" s="637">
        <v>411255000</v>
      </c>
    </row>
    <row r="106" spans="1:6" x14ac:dyDescent="0.2">
      <c r="A106" s="628" t="s">
        <v>2831</v>
      </c>
      <c r="B106" s="542">
        <v>363182000</v>
      </c>
      <c r="D106" t="s">
        <v>3128</v>
      </c>
      <c r="E106">
        <v>13190116</v>
      </c>
      <c r="F106" s="637">
        <v>363182000</v>
      </c>
    </row>
    <row r="107" spans="1:6" x14ac:dyDescent="0.2">
      <c r="A107" s="628" t="s">
        <v>2856</v>
      </c>
      <c r="B107" s="542">
        <v>504500000</v>
      </c>
      <c r="D107" t="s">
        <v>2945</v>
      </c>
      <c r="E107">
        <v>0</v>
      </c>
      <c r="F107" s="637">
        <v>504500000</v>
      </c>
    </row>
    <row r="108" spans="1:6" x14ac:dyDescent="0.2">
      <c r="A108" s="628" t="s">
        <v>2857</v>
      </c>
      <c r="B108" s="542">
        <v>500300000</v>
      </c>
      <c r="D108" t="s">
        <v>2946</v>
      </c>
      <c r="E108">
        <v>5000000</v>
      </c>
      <c r="F108" s="637">
        <v>500300000</v>
      </c>
    </row>
    <row r="109" spans="1:6" x14ac:dyDescent="0.2">
      <c r="A109" s="628" t="s">
        <v>2858</v>
      </c>
      <c r="B109" s="542">
        <v>365500000</v>
      </c>
      <c r="D109" t="s">
        <v>2947</v>
      </c>
      <c r="E109">
        <v>5000000</v>
      </c>
      <c r="F109" s="637">
        <v>365500000</v>
      </c>
    </row>
    <row r="110" spans="1:6" x14ac:dyDescent="0.2">
      <c r="A110" s="628" t="s">
        <v>2832</v>
      </c>
      <c r="B110" s="542">
        <v>482060000</v>
      </c>
      <c r="D110" t="s">
        <v>3129</v>
      </c>
      <c r="E110">
        <v>5000000</v>
      </c>
      <c r="F110" s="637">
        <v>482060000</v>
      </c>
    </row>
    <row r="111" spans="1:6" x14ac:dyDescent="0.2">
      <c r="A111" s="628" t="s">
        <v>4377</v>
      </c>
      <c r="B111" s="542">
        <v>363674500</v>
      </c>
      <c r="D111" t="s">
        <v>4427</v>
      </c>
      <c r="E111">
        <v>11999766</v>
      </c>
      <c r="F111" s="637">
        <v>363674500</v>
      </c>
    </row>
    <row r="112" spans="1:6" x14ac:dyDescent="0.2">
      <c r="A112" s="628" t="s">
        <v>2833</v>
      </c>
      <c r="B112" s="542">
        <v>509112500</v>
      </c>
      <c r="D112" t="s">
        <v>3130</v>
      </c>
      <c r="E112">
        <v>0</v>
      </c>
      <c r="F112" s="637">
        <v>509112500</v>
      </c>
    </row>
    <row r="113" spans="1:6" x14ac:dyDescent="0.2">
      <c r="A113" s="628" t="s">
        <v>2834</v>
      </c>
      <c r="B113" s="542">
        <v>562345000</v>
      </c>
      <c r="D113" t="s">
        <v>4428</v>
      </c>
      <c r="E113">
        <v>0</v>
      </c>
      <c r="F113" s="637">
        <v>562345000</v>
      </c>
    </row>
    <row r="114" spans="1:6" x14ac:dyDescent="0.2">
      <c r="A114" s="628" t="s">
        <v>2835</v>
      </c>
      <c r="B114" s="542">
        <v>400725000</v>
      </c>
      <c r="D114" t="s">
        <v>3423</v>
      </c>
      <c r="E114">
        <v>0</v>
      </c>
      <c r="F114" s="637">
        <v>400725000</v>
      </c>
    </row>
    <row r="115" spans="1:6" x14ac:dyDescent="0.2">
      <c r="A115" s="628" t="s">
        <v>2859</v>
      </c>
      <c r="B115" s="542">
        <v>538569175</v>
      </c>
      <c r="D115" t="s">
        <v>4269</v>
      </c>
      <c r="E115">
        <v>5763325</v>
      </c>
      <c r="F115" s="637">
        <v>538569175</v>
      </c>
    </row>
    <row r="116" spans="1:6" x14ac:dyDescent="0.2">
      <c r="A116" s="628" t="s">
        <v>2836</v>
      </c>
      <c r="B116" s="542">
        <v>377420000</v>
      </c>
      <c r="D116" t="s">
        <v>3211</v>
      </c>
      <c r="E116">
        <v>0</v>
      </c>
      <c r="F116" s="637">
        <v>377420000</v>
      </c>
    </row>
    <row r="117" spans="1:6" x14ac:dyDescent="0.2">
      <c r="A117" s="628" t="s">
        <v>2860</v>
      </c>
      <c r="B117" s="542">
        <v>500500000</v>
      </c>
      <c r="D117" t="s">
        <v>2948</v>
      </c>
      <c r="E117">
        <v>5000000</v>
      </c>
      <c r="F117" s="637">
        <v>500500000</v>
      </c>
    </row>
    <row r="118" spans="1:6" x14ac:dyDescent="0.2">
      <c r="A118" s="628" t="s">
        <v>3463</v>
      </c>
      <c r="B118" s="542">
        <v>26000000</v>
      </c>
    </row>
    <row r="119" spans="1:6" x14ac:dyDescent="0.2">
      <c r="A119" s="628" t="s">
        <v>3732</v>
      </c>
      <c r="B119" s="542">
        <v>26000000</v>
      </c>
    </row>
    <row r="120" spans="1:6" x14ac:dyDescent="0.2">
      <c r="A120" s="628" t="s">
        <v>4248</v>
      </c>
      <c r="B120" s="542">
        <v>26000000</v>
      </c>
    </row>
    <row r="121" spans="1:6" x14ac:dyDescent="0.2">
      <c r="A121" s="628" t="s">
        <v>4300</v>
      </c>
      <c r="B121" s="542">
        <v>26000000</v>
      </c>
    </row>
    <row r="122" spans="1:6" x14ac:dyDescent="0.2">
      <c r="A122" s="628" t="s">
        <v>3374</v>
      </c>
      <c r="B122" s="542">
        <v>26000000</v>
      </c>
    </row>
    <row r="123" spans="1:6" x14ac:dyDescent="0.2">
      <c r="A123" s="628" t="s">
        <v>2865</v>
      </c>
      <c r="B123" s="542">
        <v>26000000</v>
      </c>
    </row>
    <row r="124" spans="1:6" x14ac:dyDescent="0.2">
      <c r="A124" s="628" t="s">
        <v>3375</v>
      </c>
      <c r="B124" s="542">
        <v>26000000</v>
      </c>
    </row>
    <row r="125" spans="1:6" x14ac:dyDescent="0.2">
      <c r="A125" s="628" t="s">
        <v>4249</v>
      </c>
      <c r="B125" s="542">
        <v>26000000</v>
      </c>
    </row>
    <row r="126" spans="1:6" x14ac:dyDescent="0.2">
      <c r="A126" s="628" t="s">
        <v>3042</v>
      </c>
      <c r="B126" s="542">
        <v>26000000</v>
      </c>
    </row>
    <row r="127" spans="1:6" x14ac:dyDescent="0.2">
      <c r="A127" s="628" t="s">
        <v>3299</v>
      </c>
      <c r="B127" s="542">
        <v>26000000</v>
      </c>
    </row>
    <row r="128" spans="1:6" x14ac:dyDescent="0.2">
      <c r="A128" s="628" t="s">
        <v>3733</v>
      </c>
      <c r="B128" s="542">
        <v>26000000</v>
      </c>
    </row>
    <row r="129" spans="1:2" x14ac:dyDescent="0.2">
      <c r="A129" s="628" t="s">
        <v>3376</v>
      </c>
      <c r="B129" s="542">
        <v>26000000</v>
      </c>
    </row>
    <row r="130" spans="1:2" x14ac:dyDescent="0.2">
      <c r="A130" s="628" t="s">
        <v>2866</v>
      </c>
      <c r="B130" s="542">
        <v>26000000</v>
      </c>
    </row>
    <row r="131" spans="1:2" x14ac:dyDescent="0.2">
      <c r="A131" s="628" t="s">
        <v>3300</v>
      </c>
      <c r="B131" s="542">
        <v>26000000</v>
      </c>
    </row>
    <row r="132" spans="1:2" x14ac:dyDescent="0.2">
      <c r="A132" s="628" t="s">
        <v>3169</v>
      </c>
      <c r="B132" s="542">
        <v>26000000</v>
      </c>
    </row>
    <row r="133" spans="1:2" x14ac:dyDescent="0.2">
      <c r="A133" s="628" t="s">
        <v>3043</v>
      </c>
      <c r="B133" s="542">
        <v>26000000</v>
      </c>
    </row>
    <row r="134" spans="1:2" x14ac:dyDescent="0.2">
      <c r="A134" s="628" t="s">
        <v>3044</v>
      </c>
      <c r="B134" s="542">
        <v>26000000</v>
      </c>
    </row>
    <row r="135" spans="1:2" x14ac:dyDescent="0.2">
      <c r="A135" s="628" t="s">
        <v>3170</v>
      </c>
      <c r="B135" s="542">
        <v>26000000</v>
      </c>
    </row>
    <row r="136" spans="1:2" x14ac:dyDescent="0.2">
      <c r="A136" s="628" t="s">
        <v>2867</v>
      </c>
      <c r="B136" s="542">
        <v>26000000</v>
      </c>
    </row>
    <row r="137" spans="1:2" x14ac:dyDescent="0.2">
      <c r="A137" s="628" t="s">
        <v>2868</v>
      </c>
      <c r="B137" s="542">
        <v>26000000</v>
      </c>
    </row>
    <row r="138" spans="1:2" x14ac:dyDescent="0.2">
      <c r="A138" s="628" t="s">
        <v>3045</v>
      </c>
      <c r="B138" s="542">
        <v>26000000</v>
      </c>
    </row>
    <row r="139" spans="1:2" x14ac:dyDescent="0.2">
      <c r="A139" s="628" t="s">
        <v>3377</v>
      </c>
      <c r="B139" s="542">
        <v>26000000</v>
      </c>
    </row>
    <row r="140" spans="1:2" x14ac:dyDescent="0.2">
      <c r="A140" s="628" t="s">
        <v>3046</v>
      </c>
      <c r="B140" s="542">
        <v>26000000</v>
      </c>
    </row>
    <row r="141" spans="1:2" x14ac:dyDescent="0.2">
      <c r="A141" s="628" t="s">
        <v>3464</v>
      </c>
      <c r="B141" s="542">
        <v>26000000</v>
      </c>
    </row>
    <row r="142" spans="1:2" x14ac:dyDescent="0.2">
      <c r="A142" s="628" t="s">
        <v>3378</v>
      </c>
      <c r="B142" s="542">
        <v>26000000</v>
      </c>
    </row>
    <row r="143" spans="1:2" x14ac:dyDescent="0.2">
      <c r="A143" s="628" t="s">
        <v>2869</v>
      </c>
      <c r="B143" s="542">
        <v>26000000</v>
      </c>
    </row>
    <row r="144" spans="1:2" x14ac:dyDescent="0.2">
      <c r="A144" s="628" t="s">
        <v>3047</v>
      </c>
      <c r="B144" s="542">
        <v>26000000</v>
      </c>
    </row>
    <row r="145" spans="1:2" x14ac:dyDescent="0.2">
      <c r="A145" s="628" t="s">
        <v>3379</v>
      </c>
      <c r="B145" s="542">
        <v>26000000</v>
      </c>
    </row>
    <row r="146" spans="1:2" x14ac:dyDescent="0.2">
      <c r="A146" s="628" t="s">
        <v>3380</v>
      </c>
      <c r="B146" s="542">
        <v>26000000</v>
      </c>
    </row>
    <row r="147" spans="1:2" x14ac:dyDescent="0.2">
      <c r="A147" s="628" t="s">
        <v>3301</v>
      </c>
      <c r="B147" s="542">
        <v>26000000</v>
      </c>
    </row>
    <row r="148" spans="1:2" x14ac:dyDescent="0.2">
      <c r="A148" s="628" t="s">
        <v>3048</v>
      </c>
      <c r="B148" s="542">
        <v>26000000</v>
      </c>
    </row>
    <row r="149" spans="1:2" x14ac:dyDescent="0.2">
      <c r="A149" s="628" t="s">
        <v>4378</v>
      </c>
      <c r="B149" s="542">
        <v>26000000</v>
      </c>
    </row>
    <row r="150" spans="1:2" x14ac:dyDescent="0.2">
      <c r="A150" s="628" t="s">
        <v>3049</v>
      </c>
      <c r="B150" s="542">
        <v>26000000</v>
      </c>
    </row>
    <row r="151" spans="1:2" x14ac:dyDescent="0.2">
      <c r="A151" s="628" t="s">
        <v>3734</v>
      </c>
      <c r="B151" s="542">
        <v>26000000</v>
      </c>
    </row>
    <row r="152" spans="1:2" x14ac:dyDescent="0.2">
      <c r="A152" s="628" t="s">
        <v>3465</v>
      </c>
      <c r="B152" s="542">
        <v>26000000</v>
      </c>
    </row>
    <row r="153" spans="1:2" x14ac:dyDescent="0.2">
      <c r="A153" s="628" t="s">
        <v>4301</v>
      </c>
      <c r="B153" s="542">
        <v>26000000</v>
      </c>
    </row>
    <row r="154" spans="1:2" x14ac:dyDescent="0.2">
      <c r="A154" s="628" t="s">
        <v>4379</v>
      </c>
      <c r="B154" s="542">
        <v>26000000</v>
      </c>
    </row>
    <row r="155" spans="1:2" x14ac:dyDescent="0.2">
      <c r="A155" s="628" t="s">
        <v>2870</v>
      </c>
      <c r="B155" s="542">
        <v>26000000</v>
      </c>
    </row>
    <row r="156" spans="1:2" x14ac:dyDescent="0.2">
      <c r="A156" s="628" t="s">
        <v>3735</v>
      </c>
      <c r="B156" s="542">
        <v>26000000</v>
      </c>
    </row>
    <row r="157" spans="1:2" x14ac:dyDescent="0.2">
      <c r="A157" s="628" t="s">
        <v>2871</v>
      </c>
      <c r="B157" s="542">
        <v>26000000</v>
      </c>
    </row>
    <row r="158" spans="1:2" x14ac:dyDescent="0.2">
      <c r="A158" s="628" t="s">
        <v>3050</v>
      </c>
      <c r="B158" s="542">
        <v>26000000</v>
      </c>
    </row>
    <row r="159" spans="1:2" x14ac:dyDescent="0.2">
      <c r="A159" s="628" t="s">
        <v>3051</v>
      </c>
      <c r="B159" s="542">
        <v>26000000</v>
      </c>
    </row>
    <row r="160" spans="1:2" x14ac:dyDescent="0.2">
      <c r="A160" s="628" t="s">
        <v>2872</v>
      </c>
      <c r="B160" s="542">
        <v>26000000</v>
      </c>
    </row>
    <row r="161" spans="1:2" x14ac:dyDescent="0.2">
      <c r="A161" s="628" t="s">
        <v>2873</v>
      </c>
      <c r="B161" s="542">
        <v>26000000</v>
      </c>
    </row>
    <row r="162" spans="1:2" x14ac:dyDescent="0.2">
      <c r="A162" s="628" t="s">
        <v>3171</v>
      </c>
      <c r="B162" s="542">
        <v>26000000</v>
      </c>
    </row>
    <row r="163" spans="1:2" x14ac:dyDescent="0.2">
      <c r="A163" s="628" t="s">
        <v>3052</v>
      </c>
      <c r="B163" s="542">
        <v>26000000</v>
      </c>
    </row>
    <row r="164" spans="1:2" x14ac:dyDescent="0.2">
      <c r="A164" s="628" t="s">
        <v>3172</v>
      </c>
      <c r="B164" s="542">
        <v>26000000</v>
      </c>
    </row>
    <row r="165" spans="1:2" x14ac:dyDescent="0.2">
      <c r="A165" s="628" t="s">
        <v>3238</v>
      </c>
      <c r="B165" s="542">
        <v>26000000</v>
      </c>
    </row>
    <row r="166" spans="1:2" x14ac:dyDescent="0.2">
      <c r="A166" s="628" t="s">
        <v>4250</v>
      </c>
      <c r="B166" s="542">
        <v>26000000</v>
      </c>
    </row>
    <row r="167" spans="1:2" x14ac:dyDescent="0.2">
      <c r="A167" s="628" t="s">
        <v>2874</v>
      </c>
      <c r="B167" s="542">
        <v>26000000</v>
      </c>
    </row>
    <row r="168" spans="1:2" x14ac:dyDescent="0.2">
      <c r="A168" s="628" t="s">
        <v>3302</v>
      </c>
      <c r="B168" s="542">
        <v>26000000</v>
      </c>
    </row>
    <row r="169" spans="1:2" x14ac:dyDescent="0.2">
      <c r="A169" s="628" t="s">
        <v>3303</v>
      </c>
      <c r="B169" s="542">
        <v>26000000</v>
      </c>
    </row>
    <row r="170" spans="1:2" x14ac:dyDescent="0.2">
      <c r="A170" s="628" t="s">
        <v>4251</v>
      </c>
      <c r="B170" s="542">
        <v>26000000</v>
      </c>
    </row>
    <row r="171" spans="1:2" x14ac:dyDescent="0.2">
      <c r="A171" s="628" t="s">
        <v>3173</v>
      </c>
      <c r="B171" s="542">
        <v>26000000</v>
      </c>
    </row>
    <row r="172" spans="1:2" x14ac:dyDescent="0.2">
      <c r="A172" s="628" t="s">
        <v>3053</v>
      </c>
      <c r="B172" s="542">
        <v>26000000</v>
      </c>
    </row>
    <row r="173" spans="1:2" x14ac:dyDescent="0.2">
      <c r="A173" s="628" t="s">
        <v>3054</v>
      </c>
      <c r="B173" s="542">
        <v>26000000</v>
      </c>
    </row>
    <row r="174" spans="1:2" x14ac:dyDescent="0.2">
      <c r="A174" s="628" t="s">
        <v>4252</v>
      </c>
      <c r="B174" s="542">
        <v>26000000</v>
      </c>
    </row>
    <row r="175" spans="1:2" x14ac:dyDescent="0.2">
      <c r="A175" s="628" t="s">
        <v>4253</v>
      </c>
      <c r="B175" s="542">
        <v>26000000</v>
      </c>
    </row>
    <row r="176" spans="1:2" x14ac:dyDescent="0.2">
      <c r="A176" s="628" t="s">
        <v>3055</v>
      </c>
      <c r="B176" s="542">
        <v>26000000</v>
      </c>
    </row>
    <row r="177" spans="1:2" x14ac:dyDescent="0.2">
      <c r="A177" s="628" t="s">
        <v>3174</v>
      </c>
      <c r="B177" s="542">
        <v>26000000</v>
      </c>
    </row>
    <row r="178" spans="1:2" x14ac:dyDescent="0.2">
      <c r="A178" s="628" t="s">
        <v>3466</v>
      </c>
      <c r="B178" s="542">
        <v>26000000</v>
      </c>
    </row>
    <row r="179" spans="1:2" x14ac:dyDescent="0.2">
      <c r="A179" s="628" t="s">
        <v>3240</v>
      </c>
      <c r="B179" s="542">
        <v>26000000</v>
      </c>
    </row>
    <row r="180" spans="1:2" x14ac:dyDescent="0.2">
      <c r="A180" s="628" t="s">
        <v>2875</v>
      </c>
      <c r="B180" s="542">
        <v>26000000</v>
      </c>
    </row>
    <row r="181" spans="1:2" x14ac:dyDescent="0.2">
      <c r="A181" s="628" t="s">
        <v>3056</v>
      </c>
      <c r="B181" s="542">
        <v>26000000</v>
      </c>
    </row>
    <row r="182" spans="1:2" x14ac:dyDescent="0.2">
      <c r="A182" s="628" t="s">
        <v>2876</v>
      </c>
      <c r="B182" s="542">
        <v>26000000</v>
      </c>
    </row>
    <row r="183" spans="1:2" x14ac:dyDescent="0.2">
      <c r="A183" s="628" t="s">
        <v>3381</v>
      </c>
      <c r="B183" s="542">
        <v>26000000</v>
      </c>
    </row>
    <row r="184" spans="1:2" x14ac:dyDescent="0.2">
      <c r="A184" s="628" t="s">
        <v>3241</v>
      </c>
      <c r="B184" s="542">
        <v>26000000</v>
      </c>
    </row>
    <row r="185" spans="1:2" x14ac:dyDescent="0.2">
      <c r="A185" s="628" t="s">
        <v>3736</v>
      </c>
      <c r="B185" s="542">
        <v>26000000</v>
      </c>
    </row>
    <row r="186" spans="1:2" x14ac:dyDescent="0.2">
      <c r="A186" s="628" t="s">
        <v>2877</v>
      </c>
      <c r="B186" s="542">
        <v>26000000</v>
      </c>
    </row>
    <row r="187" spans="1:2" x14ac:dyDescent="0.2">
      <c r="A187" s="628" t="s">
        <v>3175</v>
      </c>
      <c r="B187" s="542">
        <v>26000000</v>
      </c>
    </row>
    <row r="188" spans="1:2" x14ac:dyDescent="0.2">
      <c r="A188" s="628" t="s">
        <v>3176</v>
      </c>
      <c r="B188" s="542">
        <v>26000000</v>
      </c>
    </row>
    <row r="189" spans="1:2" x14ac:dyDescent="0.2">
      <c r="A189" s="628" t="s">
        <v>3382</v>
      </c>
      <c r="B189" s="542">
        <v>26000000</v>
      </c>
    </row>
    <row r="190" spans="1:2" x14ac:dyDescent="0.2">
      <c r="A190" s="628" t="s">
        <v>3304</v>
      </c>
      <c r="B190" s="542">
        <v>26000000</v>
      </c>
    </row>
    <row r="191" spans="1:2" x14ac:dyDescent="0.2">
      <c r="A191" s="628" t="s">
        <v>2878</v>
      </c>
      <c r="B191" s="542">
        <v>26000000</v>
      </c>
    </row>
    <row r="192" spans="1:2" x14ac:dyDescent="0.2">
      <c r="A192" s="628" t="s">
        <v>3383</v>
      </c>
      <c r="B192" s="542">
        <v>26000000</v>
      </c>
    </row>
    <row r="193" spans="1:2" x14ac:dyDescent="0.2">
      <c r="A193" s="628" t="s">
        <v>3177</v>
      </c>
      <c r="B193" s="542">
        <v>26000000</v>
      </c>
    </row>
    <row r="194" spans="1:2" x14ac:dyDescent="0.2">
      <c r="A194" s="628" t="s">
        <v>3057</v>
      </c>
      <c r="B194" s="542">
        <v>26000000</v>
      </c>
    </row>
    <row r="195" spans="1:2" x14ac:dyDescent="0.2">
      <c r="A195" s="628" t="s">
        <v>3384</v>
      </c>
      <c r="B195" s="542">
        <v>26000000</v>
      </c>
    </row>
    <row r="196" spans="1:2" x14ac:dyDescent="0.2">
      <c r="A196" s="628" t="s">
        <v>3385</v>
      </c>
      <c r="B196" s="542">
        <v>26000000</v>
      </c>
    </row>
    <row r="197" spans="1:2" x14ac:dyDescent="0.2">
      <c r="A197" s="628" t="s">
        <v>3058</v>
      </c>
      <c r="B197" s="542">
        <v>26000000</v>
      </c>
    </row>
    <row r="198" spans="1:2" x14ac:dyDescent="0.2">
      <c r="A198" s="628" t="s">
        <v>3178</v>
      </c>
      <c r="B198" s="542">
        <v>26000000</v>
      </c>
    </row>
    <row r="199" spans="1:2" x14ac:dyDescent="0.2">
      <c r="A199" s="628" t="s">
        <v>2879</v>
      </c>
      <c r="B199" s="542">
        <v>26000000</v>
      </c>
    </row>
    <row r="200" spans="1:2" x14ac:dyDescent="0.2">
      <c r="A200" s="628" t="s">
        <v>2880</v>
      </c>
      <c r="B200" s="542">
        <v>26000000</v>
      </c>
    </row>
    <row r="201" spans="1:2" x14ac:dyDescent="0.2">
      <c r="A201" s="628" t="s">
        <v>3059</v>
      </c>
      <c r="B201" s="542">
        <v>26000000</v>
      </c>
    </row>
    <row r="202" spans="1:2" x14ac:dyDescent="0.2">
      <c r="A202" s="628" t="s">
        <v>3060</v>
      </c>
      <c r="B202" s="542">
        <v>26000000</v>
      </c>
    </row>
    <row r="203" spans="1:2" x14ac:dyDescent="0.2">
      <c r="A203" s="628" t="s">
        <v>2881</v>
      </c>
      <c r="B203" s="542">
        <v>26000000</v>
      </c>
    </row>
    <row r="204" spans="1:2" x14ac:dyDescent="0.2">
      <c r="A204" s="628" t="s">
        <v>3179</v>
      </c>
      <c r="B204" s="542">
        <v>26000000</v>
      </c>
    </row>
    <row r="205" spans="1:2" x14ac:dyDescent="0.2">
      <c r="A205" s="628" t="s">
        <v>3737</v>
      </c>
      <c r="B205" s="542">
        <v>26000000</v>
      </c>
    </row>
    <row r="206" spans="1:2" x14ac:dyDescent="0.2">
      <c r="A206" s="628" t="s">
        <v>2882</v>
      </c>
      <c r="B206" s="542">
        <v>26000000</v>
      </c>
    </row>
    <row r="207" spans="1:2" x14ac:dyDescent="0.2">
      <c r="A207" s="628" t="s">
        <v>3305</v>
      </c>
      <c r="B207" s="542">
        <v>26000000</v>
      </c>
    </row>
    <row r="208" spans="1:2" x14ac:dyDescent="0.2">
      <c r="A208" s="628" t="s">
        <v>3061</v>
      </c>
      <c r="B208" s="542">
        <v>26000000</v>
      </c>
    </row>
    <row r="209" spans="1:2" x14ac:dyDescent="0.2">
      <c r="A209" s="628" t="s">
        <v>3062</v>
      </c>
      <c r="B209" s="542">
        <v>26000000</v>
      </c>
    </row>
    <row r="210" spans="1:2" x14ac:dyDescent="0.2">
      <c r="A210" s="628" t="s">
        <v>3242</v>
      </c>
      <c r="B210" s="542">
        <v>26000000</v>
      </c>
    </row>
    <row r="211" spans="1:2" x14ac:dyDescent="0.2">
      <c r="A211" s="628" t="s">
        <v>4302</v>
      </c>
      <c r="B211" s="542">
        <v>26000000</v>
      </c>
    </row>
    <row r="212" spans="1:2" x14ac:dyDescent="0.2">
      <c r="A212" s="628" t="s">
        <v>3180</v>
      </c>
      <c r="B212" s="542">
        <v>26000000</v>
      </c>
    </row>
    <row r="213" spans="1:2" x14ac:dyDescent="0.2">
      <c r="A213" s="628" t="s">
        <v>3063</v>
      </c>
      <c r="B213" s="542">
        <v>26000000</v>
      </c>
    </row>
    <row r="214" spans="1:2" x14ac:dyDescent="0.2">
      <c r="A214" s="628" t="s">
        <v>3064</v>
      </c>
      <c r="B214" s="542">
        <v>26000000</v>
      </c>
    </row>
    <row r="215" spans="1:2" x14ac:dyDescent="0.2">
      <c r="A215" s="628" t="s">
        <v>3181</v>
      </c>
      <c r="B215" s="542">
        <v>26000000</v>
      </c>
    </row>
    <row r="216" spans="1:2" x14ac:dyDescent="0.2">
      <c r="A216" s="628" t="s">
        <v>3243</v>
      </c>
      <c r="B216" s="542">
        <v>26000000</v>
      </c>
    </row>
    <row r="217" spans="1:2" x14ac:dyDescent="0.2">
      <c r="A217" s="628" t="s">
        <v>3065</v>
      </c>
      <c r="B217" s="542">
        <v>26000000</v>
      </c>
    </row>
    <row r="218" spans="1:2" x14ac:dyDescent="0.2">
      <c r="A218" s="628" t="s">
        <v>3182</v>
      </c>
      <c r="B218" s="542">
        <v>26000000</v>
      </c>
    </row>
    <row r="219" spans="1:2" x14ac:dyDescent="0.2">
      <c r="A219" s="628" t="s">
        <v>2883</v>
      </c>
      <c r="B219" s="542">
        <v>26000000</v>
      </c>
    </row>
    <row r="220" spans="1:2" x14ac:dyDescent="0.2">
      <c r="A220" s="628" t="s">
        <v>2884</v>
      </c>
      <c r="B220" s="542">
        <v>26000000</v>
      </c>
    </row>
    <row r="221" spans="1:2" x14ac:dyDescent="0.2">
      <c r="A221" s="628" t="s">
        <v>4380</v>
      </c>
      <c r="B221" s="542">
        <v>26000000</v>
      </c>
    </row>
    <row r="222" spans="1:2" x14ac:dyDescent="0.2">
      <c r="A222" s="628" t="s">
        <v>3067</v>
      </c>
      <c r="B222" s="542">
        <v>26000000</v>
      </c>
    </row>
    <row r="223" spans="1:2" x14ac:dyDescent="0.2">
      <c r="A223" s="628" t="s">
        <v>2885</v>
      </c>
      <c r="B223" s="542">
        <v>26000000</v>
      </c>
    </row>
    <row r="224" spans="1:2" x14ac:dyDescent="0.2">
      <c r="A224" s="628" t="s">
        <v>2886</v>
      </c>
      <c r="B224" s="542">
        <v>26000000</v>
      </c>
    </row>
    <row r="225" spans="1:9" x14ac:dyDescent="0.2">
      <c r="A225" s="628" t="s">
        <v>2887</v>
      </c>
      <c r="B225" s="542">
        <v>26000000</v>
      </c>
    </row>
    <row r="226" spans="1:9" x14ac:dyDescent="0.2">
      <c r="A226" s="628" t="s">
        <v>3068</v>
      </c>
      <c r="B226" s="542">
        <v>26000000</v>
      </c>
    </row>
    <row r="227" spans="1:9" x14ac:dyDescent="0.2">
      <c r="A227" s="628" t="s">
        <v>2888</v>
      </c>
      <c r="B227" s="542">
        <v>26000000</v>
      </c>
    </row>
    <row r="228" spans="1:9" x14ac:dyDescent="0.2">
      <c r="A228" s="628" t="s">
        <v>3069</v>
      </c>
      <c r="B228" s="542">
        <v>26000000</v>
      </c>
      <c r="H228" s="628"/>
      <c r="I228" s="542"/>
    </row>
    <row r="229" spans="1:9" x14ac:dyDescent="0.2">
      <c r="A229" s="628" t="s">
        <v>4381</v>
      </c>
      <c r="B229" s="542">
        <v>26000000</v>
      </c>
    </row>
    <row r="230" spans="1:9" x14ac:dyDescent="0.2">
      <c r="A230" s="628" t="s">
        <v>3386</v>
      </c>
      <c r="B230" s="542">
        <v>26000000</v>
      </c>
    </row>
    <row r="231" spans="1:9" x14ac:dyDescent="0.2">
      <c r="A231" s="628" t="s">
        <v>2889</v>
      </c>
      <c r="B231" s="542">
        <v>26000000</v>
      </c>
    </row>
    <row r="232" spans="1:9" x14ac:dyDescent="0.2">
      <c r="A232" s="628" t="s">
        <v>3183</v>
      </c>
      <c r="B232" s="542">
        <v>26000000</v>
      </c>
    </row>
    <row r="233" spans="1:9" x14ac:dyDescent="0.2">
      <c r="A233" s="628" t="s">
        <v>2890</v>
      </c>
      <c r="B233" s="542">
        <v>26000000</v>
      </c>
    </row>
    <row r="234" spans="1:9" x14ac:dyDescent="0.2">
      <c r="A234" s="628" t="s">
        <v>3467</v>
      </c>
      <c r="B234" s="542">
        <v>6000000</v>
      </c>
    </row>
    <row r="235" spans="1:9" x14ac:dyDescent="0.2">
      <c r="A235" s="628" t="s">
        <v>3738</v>
      </c>
      <c r="B235" s="542">
        <v>6000000</v>
      </c>
    </row>
    <row r="236" spans="1:9" x14ac:dyDescent="0.2">
      <c r="A236" s="628" t="s">
        <v>4254</v>
      </c>
      <c r="B236" s="542">
        <v>6000000</v>
      </c>
    </row>
    <row r="237" spans="1:9" x14ac:dyDescent="0.2">
      <c r="A237" s="628" t="s">
        <v>4303</v>
      </c>
      <c r="B237" s="542">
        <v>6000000</v>
      </c>
    </row>
    <row r="238" spans="1:9" x14ac:dyDescent="0.2">
      <c r="A238" s="628" t="s">
        <v>3387</v>
      </c>
      <c r="B238" s="542">
        <v>6000000</v>
      </c>
    </row>
    <row r="239" spans="1:9" x14ac:dyDescent="0.2">
      <c r="A239" s="628" t="s">
        <v>2899</v>
      </c>
      <c r="B239" s="542">
        <v>6000000</v>
      </c>
    </row>
    <row r="240" spans="1:9" x14ac:dyDescent="0.2">
      <c r="A240" s="628" t="s">
        <v>3388</v>
      </c>
      <c r="B240" s="542">
        <v>6000000</v>
      </c>
    </row>
    <row r="241" spans="1:2" x14ac:dyDescent="0.2">
      <c r="A241" s="628" t="s">
        <v>4255</v>
      </c>
      <c r="B241" s="542">
        <v>6000000</v>
      </c>
    </row>
    <row r="242" spans="1:2" x14ac:dyDescent="0.2">
      <c r="A242" s="628" t="s">
        <v>3070</v>
      </c>
      <c r="B242" s="542">
        <v>6000000</v>
      </c>
    </row>
    <row r="243" spans="1:2" x14ac:dyDescent="0.2">
      <c r="A243" s="628" t="s">
        <v>3306</v>
      </c>
      <c r="B243" s="542">
        <v>6000000</v>
      </c>
    </row>
    <row r="244" spans="1:2" x14ac:dyDescent="0.2">
      <c r="A244" s="628" t="s">
        <v>3739</v>
      </c>
      <c r="B244" s="542">
        <v>6000000</v>
      </c>
    </row>
    <row r="245" spans="1:2" x14ac:dyDescent="0.2">
      <c r="A245" s="628" t="s">
        <v>3389</v>
      </c>
      <c r="B245" s="542">
        <v>6000000</v>
      </c>
    </row>
    <row r="246" spans="1:2" x14ac:dyDescent="0.2">
      <c r="A246" s="628" t="s">
        <v>2900</v>
      </c>
      <c r="B246" s="542">
        <v>6000000</v>
      </c>
    </row>
    <row r="247" spans="1:2" x14ac:dyDescent="0.2">
      <c r="A247" s="628" t="s">
        <v>3307</v>
      </c>
      <c r="B247" s="542">
        <v>6000000</v>
      </c>
    </row>
    <row r="248" spans="1:2" x14ac:dyDescent="0.2">
      <c r="A248" s="628" t="s">
        <v>3184</v>
      </c>
      <c r="B248" s="542">
        <v>6000000</v>
      </c>
    </row>
    <row r="249" spans="1:2" x14ac:dyDescent="0.2">
      <c r="A249" s="628" t="s">
        <v>3071</v>
      </c>
      <c r="B249" s="542">
        <v>6000000</v>
      </c>
    </row>
    <row r="250" spans="1:2" x14ac:dyDescent="0.2">
      <c r="A250" s="628" t="s">
        <v>3072</v>
      </c>
      <c r="B250" s="542">
        <v>6000000</v>
      </c>
    </row>
    <row r="251" spans="1:2" x14ac:dyDescent="0.2">
      <c r="A251" s="628" t="s">
        <v>3185</v>
      </c>
      <c r="B251" s="542">
        <v>6000000</v>
      </c>
    </row>
    <row r="252" spans="1:2" x14ac:dyDescent="0.2">
      <c r="A252" s="628" t="s">
        <v>2901</v>
      </c>
      <c r="B252" s="542">
        <v>6000000</v>
      </c>
    </row>
    <row r="253" spans="1:2" x14ac:dyDescent="0.2">
      <c r="A253" s="628" t="s">
        <v>2902</v>
      </c>
      <c r="B253" s="542">
        <v>6000000</v>
      </c>
    </row>
    <row r="254" spans="1:2" x14ac:dyDescent="0.2">
      <c r="A254" s="628" t="s">
        <v>3073</v>
      </c>
      <c r="B254" s="542">
        <v>6000000</v>
      </c>
    </row>
    <row r="255" spans="1:2" x14ac:dyDescent="0.2">
      <c r="A255" s="628" t="s">
        <v>3390</v>
      </c>
      <c r="B255" s="542">
        <v>6000000</v>
      </c>
    </row>
    <row r="256" spans="1:2" x14ac:dyDescent="0.2">
      <c r="A256" s="628" t="s">
        <v>3074</v>
      </c>
      <c r="B256" s="542">
        <v>6000000</v>
      </c>
    </row>
    <row r="257" spans="1:2" x14ac:dyDescent="0.2">
      <c r="A257" s="628" t="s">
        <v>3468</v>
      </c>
      <c r="B257" s="542">
        <v>6000000</v>
      </c>
    </row>
    <row r="258" spans="1:2" x14ac:dyDescent="0.2">
      <c r="A258" s="628" t="s">
        <v>3391</v>
      </c>
      <c r="B258" s="542">
        <v>6000000</v>
      </c>
    </row>
    <row r="259" spans="1:2" x14ac:dyDescent="0.2">
      <c r="A259" s="628" t="s">
        <v>2903</v>
      </c>
      <c r="B259" s="542">
        <v>6000000</v>
      </c>
    </row>
    <row r="260" spans="1:2" x14ac:dyDescent="0.2">
      <c r="A260" s="628" t="s">
        <v>3075</v>
      </c>
      <c r="B260" s="542">
        <v>6000000</v>
      </c>
    </row>
    <row r="261" spans="1:2" x14ac:dyDescent="0.2">
      <c r="A261" s="628" t="s">
        <v>3392</v>
      </c>
      <c r="B261" s="542">
        <v>6000000</v>
      </c>
    </row>
    <row r="262" spans="1:2" x14ac:dyDescent="0.2">
      <c r="A262" s="628" t="s">
        <v>3393</v>
      </c>
      <c r="B262" s="542">
        <v>6000000</v>
      </c>
    </row>
    <row r="263" spans="1:2" x14ac:dyDescent="0.2">
      <c r="A263" s="628" t="s">
        <v>3308</v>
      </c>
      <c r="B263" s="542">
        <v>6000000</v>
      </c>
    </row>
    <row r="264" spans="1:2" x14ac:dyDescent="0.2">
      <c r="A264" s="628" t="s">
        <v>3076</v>
      </c>
      <c r="B264" s="542">
        <v>6000000</v>
      </c>
    </row>
    <row r="265" spans="1:2" x14ac:dyDescent="0.2">
      <c r="A265" s="628" t="s">
        <v>4382</v>
      </c>
      <c r="B265" s="542">
        <v>6000000</v>
      </c>
    </row>
    <row r="266" spans="1:2" x14ac:dyDescent="0.2">
      <c r="A266" s="628" t="s">
        <v>3077</v>
      </c>
      <c r="B266" s="542">
        <v>6000000</v>
      </c>
    </row>
    <row r="267" spans="1:2" x14ac:dyDescent="0.2">
      <c r="A267" s="628" t="s">
        <v>3740</v>
      </c>
      <c r="B267" s="542">
        <v>6000000</v>
      </c>
    </row>
    <row r="268" spans="1:2" x14ac:dyDescent="0.2">
      <c r="A268" s="628" t="s">
        <v>3469</v>
      </c>
      <c r="B268" s="542">
        <v>6000000</v>
      </c>
    </row>
    <row r="269" spans="1:2" x14ac:dyDescent="0.2">
      <c r="A269" s="628" t="s">
        <v>4304</v>
      </c>
      <c r="B269" s="542">
        <v>6000000</v>
      </c>
    </row>
    <row r="270" spans="1:2" x14ac:dyDescent="0.2">
      <c r="A270" s="628" t="s">
        <v>4383</v>
      </c>
      <c r="B270" s="542">
        <v>6000000</v>
      </c>
    </row>
    <row r="271" spans="1:2" x14ac:dyDescent="0.2">
      <c r="A271" s="628" t="s">
        <v>2904</v>
      </c>
      <c r="B271" s="542">
        <v>6000000</v>
      </c>
    </row>
    <row r="272" spans="1:2" x14ac:dyDescent="0.2">
      <c r="A272" s="628" t="s">
        <v>3741</v>
      </c>
      <c r="B272" s="542">
        <v>6000000</v>
      </c>
    </row>
    <row r="273" spans="1:2" x14ac:dyDescent="0.2">
      <c r="A273" s="628" t="s">
        <v>2905</v>
      </c>
      <c r="B273" s="542">
        <v>6000000</v>
      </c>
    </row>
    <row r="274" spans="1:2" x14ac:dyDescent="0.2">
      <c r="A274" s="628" t="s">
        <v>3078</v>
      </c>
      <c r="B274" s="542">
        <v>6000000</v>
      </c>
    </row>
    <row r="275" spans="1:2" x14ac:dyDescent="0.2">
      <c r="A275" s="628" t="s">
        <v>3079</v>
      </c>
      <c r="B275" s="542">
        <v>6000000</v>
      </c>
    </row>
    <row r="276" spans="1:2" x14ac:dyDescent="0.2">
      <c r="A276" s="628" t="s">
        <v>2906</v>
      </c>
      <c r="B276" s="542">
        <v>6000000</v>
      </c>
    </row>
    <row r="277" spans="1:2" x14ac:dyDescent="0.2">
      <c r="A277" s="628" t="s">
        <v>2907</v>
      </c>
      <c r="B277" s="542">
        <v>6000000</v>
      </c>
    </row>
    <row r="278" spans="1:2" x14ac:dyDescent="0.2">
      <c r="A278" s="628" t="s">
        <v>3186</v>
      </c>
      <c r="B278" s="542">
        <v>6000000</v>
      </c>
    </row>
    <row r="279" spans="1:2" x14ac:dyDescent="0.2">
      <c r="A279" s="628" t="s">
        <v>3080</v>
      </c>
      <c r="B279" s="542">
        <v>6000000</v>
      </c>
    </row>
    <row r="280" spans="1:2" x14ac:dyDescent="0.2">
      <c r="A280" s="628" t="s">
        <v>3187</v>
      </c>
      <c r="B280" s="542">
        <v>6000000</v>
      </c>
    </row>
    <row r="281" spans="1:2" x14ac:dyDescent="0.2">
      <c r="A281" s="628" t="s">
        <v>3244</v>
      </c>
      <c r="B281" s="542">
        <v>6000000</v>
      </c>
    </row>
    <row r="282" spans="1:2" x14ac:dyDescent="0.2">
      <c r="A282" s="628" t="s">
        <v>4256</v>
      </c>
      <c r="B282" s="542">
        <v>6000000</v>
      </c>
    </row>
    <row r="283" spans="1:2" x14ac:dyDescent="0.2">
      <c r="A283" s="628" t="s">
        <v>2908</v>
      </c>
      <c r="B283" s="542">
        <v>6000000</v>
      </c>
    </row>
    <row r="284" spans="1:2" x14ac:dyDescent="0.2">
      <c r="A284" s="628" t="s">
        <v>3309</v>
      </c>
      <c r="B284" s="542">
        <v>6000000</v>
      </c>
    </row>
    <row r="285" spans="1:2" x14ac:dyDescent="0.2">
      <c r="A285" s="628" t="s">
        <v>3310</v>
      </c>
      <c r="B285" s="542">
        <v>6000000</v>
      </c>
    </row>
    <row r="286" spans="1:2" x14ac:dyDescent="0.2">
      <c r="A286" s="628" t="s">
        <v>4257</v>
      </c>
      <c r="B286" s="542">
        <v>6000000</v>
      </c>
    </row>
    <row r="287" spans="1:2" x14ac:dyDescent="0.2">
      <c r="A287" s="628" t="s">
        <v>3188</v>
      </c>
      <c r="B287" s="542">
        <v>6000000</v>
      </c>
    </row>
    <row r="288" spans="1:2" x14ac:dyDescent="0.2">
      <c r="A288" s="628" t="s">
        <v>3081</v>
      </c>
      <c r="B288" s="542">
        <v>6000000</v>
      </c>
    </row>
    <row r="289" spans="1:2" x14ac:dyDescent="0.2">
      <c r="A289" s="628" t="s">
        <v>3082</v>
      </c>
      <c r="B289" s="542">
        <v>6000000</v>
      </c>
    </row>
    <row r="290" spans="1:2" x14ac:dyDescent="0.2">
      <c r="A290" s="628" t="s">
        <v>4258</v>
      </c>
      <c r="B290" s="542">
        <v>6000000</v>
      </c>
    </row>
    <row r="291" spans="1:2" x14ac:dyDescent="0.2">
      <c r="A291" s="628" t="s">
        <v>4259</v>
      </c>
      <c r="B291" s="542">
        <v>6000000</v>
      </c>
    </row>
    <row r="292" spans="1:2" x14ac:dyDescent="0.2">
      <c r="A292" s="628" t="s">
        <v>3083</v>
      </c>
      <c r="B292" s="542">
        <v>6000000</v>
      </c>
    </row>
    <row r="293" spans="1:2" x14ac:dyDescent="0.2">
      <c r="A293" s="628" t="s">
        <v>3189</v>
      </c>
      <c r="B293" s="542">
        <v>6000000</v>
      </c>
    </row>
    <row r="294" spans="1:2" x14ac:dyDescent="0.2">
      <c r="A294" s="628" t="s">
        <v>3470</v>
      </c>
      <c r="B294" s="542">
        <v>6000000</v>
      </c>
    </row>
    <row r="295" spans="1:2" x14ac:dyDescent="0.2">
      <c r="A295" s="628" t="s">
        <v>3246</v>
      </c>
      <c r="B295" s="542">
        <v>6000000</v>
      </c>
    </row>
    <row r="296" spans="1:2" x14ac:dyDescent="0.2">
      <c r="A296" s="628" t="s">
        <v>2909</v>
      </c>
      <c r="B296" s="542">
        <v>6000000</v>
      </c>
    </row>
    <row r="297" spans="1:2" x14ac:dyDescent="0.2">
      <c r="A297" s="628" t="s">
        <v>3084</v>
      </c>
      <c r="B297" s="542">
        <v>6000000</v>
      </c>
    </row>
    <row r="298" spans="1:2" x14ac:dyDescent="0.2">
      <c r="A298" s="628" t="s">
        <v>2910</v>
      </c>
      <c r="B298" s="542">
        <v>6000000</v>
      </c>
    </row>
    <row r="299" spans="1:2" x14ac:dyDescent="0.2">
      <c r="A299" s="628" t="s">
        <v>3394</v>
      </c>
      <c r="B299" s="542">
        <v>6000000</v>
      </c>
    </row>
    <row r="300" spans="1:2" x14ac:dyDescent="0.2">
      <c r="A300" s="628" t="s">
        <v>3247</v>
      </c>
      <c r="B300" s="542">
        <v>6000000</v>
      </c>
    </row>
    <row r="301" spans="1:2" x14ac:dyDescent="0.2">
      <c r="A301" s="628" t="s">
        <v>3742</v>
      </c>
      <c r="B301" s="542">
        <v>6000000</v>
      </c>
    </row>
    <row r="302" spans="1:2" x14ac:dyDescent="0.2">
      <c r="A302" s="628" t="s">
        <v>2911</v>
      </c>
      <c r="B302" s="542">
        <v>6000000</v>
      </c>
    </row>
    <row r="303" spans="1:2" x14ac:dyDescent="0.2">
      <c r="A303" s="628" t="s">
        <v>3190</v>
      </c>
      <c r="B303" s="542">
        <v>6000000</v>
      </c>
    </row>
    <row r="304" spans="1:2" x14ac:dyDescent="0.2">
      <c r="A304" s="628" t="s">
        <v>3191</v>
      </c>
      <c r="B304" s="542">
        <v>6000000</v>
      </c>
    </row>
    <row r="305" spans="1:2" x14ac:dyDescent="0.2">
      <c r="A305" s="628" t="s">
        <v>3395</v>
      </c>
      <c r="B305" s="542">
        <v>6000000</v>
      </c>
    </row>
    <row r="306" spans="1:2" x14ac:dyDescent="0.2">
      <c r="A306" s="628" t="s">
        <v>3311</v>
      </c>
      <c r="B306" s="542">
        <v>6000000</v>
      </c>
    </row>
    <row r="307" spans="1:2" x14ac:dyDescent="0.2">
      <c r="A307" s="628" t="s">
        <v>2912</v>
      </c>
      <c r="B307" s="542">
        <v>6000000</v>
      </c>
    </row>
    <row r="308" spans="1:2" x14ac:dyDescent="0.2">
      <c r="A308" s="628" t="s">
        <v>3396</v>
      </c>
      <c r="B308" s="542">
        <v>6000000</v>
      </c>
    </row>
    <row r="309" spans="1:2" x14ac:dyDescent="0.2">
      <c r="A309" s="628" t="s">
        <v>3192</v>
      </c>
      <c r="B309" s="542">
        <v>6000000</v>
      </c>
    </row>
    <row r="310" spans="1:2" x14ac:dyDescent="0.2">
      <c r="A310" s="628" t="s">
        <v>3085</v>
      </c>
      <c r="B310" s="542">
        <v>6000000</v>
      </c>
    </row>
    <row r="311" spans="1:2" x14ac:dyDescent="0.2">
      <c r="A311" s="628" t="s">
        <v>3397</v>
      </c>
      <c r="B311" s="542">
        <v>6000000</v>
      </c>
    </row>
    <row r="312" spans="1:2" x14ac:dyDescent="0.2">
      <c r="A312" s="628" t="s">
        <v>3398</v>
      </c>
      <c r="B312" s="542">
        <v>6000000</v>
      </c>
    </row>
    <row r="313" spans="1:2" x14ac:dyDescent="0.2">
      <c r="A313" s="628" t="s">
        <v>3086</v>
      </c>
      <c r="B313" s="542">
        <v>6000000</v>
      </c>
    </row>
    <row r="314" spans="1:2" x14ac:dyDescent="0.2">
      <c r="A314" s="628" t="s">
        <v>3193</v>
      </c>
      <c r="B314" s="542">
        <v>6000000</v>
      </c>
    </row>
    <row r="315" spans="1:2" x14ac:dyDescent="0.2">
      <c r="A315" s="628" t="s">
        <v>2913</v>
      </c>
      <c r="B315" s="542">
        <v>6000000</v>
      </c>
    </row>
    <row r="316" spans="1:2" x14ac:dyDescent="0.2">
      <c r="A316" s="628" t="s">
        <v>2914</v>
      </c>
      <c r="B316" s="542">
        <v>6000000</v>
      </c>
    </row>
    <row r="317" spans="1:2" x14ac:dyDescent="0.2">
      <c r="A317" s="628" t="s">
        <v>3087</v>
      </c>
      <c r="B317" s="542">
        <v>6000000</v>
      </c>
    </row>
    <row r="318" spans="1:2" x14ac:dyDescent="0.2">
      <c r="A318" s="628" t="s">
        <v>3088</v>
      </c>
      <c r="B318" s="542">
        <v>6000000</v>
      </c>
    </row>
    <row r="319" spans="1:2" x14ac:dyDescent="0.2">
      <c r="A319" s="628" t="s">
        <v>2915</v>
      </c>
      <c r="B319" s="542">
        <v>6000000</v>
      </c>
    </row>
    <row r="320" spans="1:2" x14ac:dyDescent="0.2">
      <c r="A320" s="628" t="s">
        <v>3194</v>
      </c>
      <c r="B320" s="542">
        <v>6000000</v>
      </c>
    </row>
    <row r="321" spans="1:2" x14ac:dyDescent="0.2">
      <c r="A321" s="628" t="s">
        <v>3743</v>
      </c>
      <c r="B321" s="542">
        <v>6000000</v>
      </c>
    </row>
    <row r="322" spans="1:2" x14ac:dyDescent="0.2">
      <c r="A322" s="628" t="s">
        <v>2916</v>
      </c>
      <c r="B322" s="542">
        <v>6000000</v>
      </c>
    </row>
    <row r="323" spans="1:2" x14ac:dyDescent="0.2">
      <c r="A323" s="628" t="s">
        <v>3312</v>
      </c>
      <c r="B323" s="542">
        <v>6000000</v>
      </c>
    </row>
    <row r="324" spans="1:2" x14ac:dyDescent="0.2">
      <c r="A324" s="628" t="s">
        <v>3089</v>
      </c>
      <c r="B324" s="542">
        <v>6000000</v>
      </c>
    </row>
    <row r="325" spans="1:2" x14ac:dyDescent="0.2">
      <c r="A325" s="628" t="s">
        <v>3090</v>
      </c>
      <c r="B325" s="542">
        <v>6000000</v>
      </c>
    </row>
    <row r="326" spans="1:2" x14ac:dyDescent="0.2">
      <c r="A326" s="628" t="s">
        <v>3248</v>
      </c>
      <c r="B326" s="542">
        <v>6000000</v>
      </c>
    </row>
    <row r="327" spans="1:2" x14ac:dyDescent="0.2">
      <c r="A327" s="628" t="s">
        <v>4305</v>
      </c>
      <c r="B327" s="542">
        <v>6000000</v>
      </c>
    </row>
    <row r="328" spans="1:2" x14ac:dyDescent="0.2">
      <c r="A328" s="628" t="s">
        <v>3091</v>
      </c>
      <c r="B328" s="542">
        <v>6000000</v>
      </c>
    </row>
    <row r="329" spans="1:2" x14ac:dyDescent="0.2">
      <c r="A329" s="628" t="s">
        <v>3092</v>
      </c>
      <c r="B329" s="542">
        <v>6000000</v>
      </c>
    </row>
    <row r="330" spans="1:2" x14ac:dyDescent="0.2">
      <c r="A330" s="628" t="s">
        <v>3195</v>
      </c>
      <c r="B330" s="542">
        <v>6000000</v>
      </c>
    </row>
    <row r="331" spans="1:2" x14ac:dyDescent="0.2">
      <c r="A331" s="628" t="s">
        <v>3249</v>
      </c>
      <c r="B331" s="542">
        <v>6000000</v>
      </c>
    </row>
    <row r="332" spans="1:2" x14ac:dyDescent="0.2">
      <c r="A332" s="628" t="s">
        <v>3093</v>
      </c>
      <c r="B332" s="542">
        <v>6000000</v>
      </c>
    </row>
    <row r="333" spans="1:2" x14ac:dyDescent="0.2">
      <c r="A333" s="628" t="s">
        <v>3196</v>
      </c>
      <c r="B333" s="542">
        <v>6000000</v>
      </c>
    </row>
    <row r="334" spans="1:2" x14ac:dyDescent="0.2">
      <c r="A334" s="628" t="s">
        <v>2917</v>
      </c>
      <c r="B334" s="542">
        <v>6000000</v>
      </c>
    </row>
    <row r="335" spans="1:2" x14ac:dyDescent="0.2">
      <c r="A335" s="628" t="s">
        <v>2918</v>
      </c>
      <c r="B335" s="542">
        <v>6000000</v>
      </c>
    </row>
    <row r="336" spans="1:2" x14ac:dyDescent="0.2">
      <c r="A336" s="628" t="s">
        <v>4384</v>
      </c>
      <c r="B336" s="542">
        <v>6000000</v>
      </c>
    </row>
    <row r="337" spans="1:2" x14ac:dyDescent="0.2">
      <c r="A337" s="628" t="s">
        <v>3095</v>
      </c>
      <c r="B337" s="542">
        <v>6000000</v>
      </c>
    </row>
    <row r="338" spans="1:2" x14ac:dyDescent="0.2">
      <c r="A338" s="628" t="s">
        <v>2919</v>
      </c>
      <c r="B338" s="542">
        <v>6000000</v>
      </c>
    </row>
    <row r="339" spans="1:2" x14ac:dyDescent="0.2">
      <c r="A339" s="628" t="s">
        <v>2920</v>
      </c>
      <c r="B339" s="542">
        <v>6000000</v>
      </c>
    </row>
    <row r="340" spans="1:2" x14ac:dyDescent="0.2">
      <c r="A340" s="628" t="s">
        <v>2921</v>
      </c>
      <c r="B340" s="542">
        <v>6000000</v>
      </c>
    </row>
    <row r="341" spans="1:2" x14ac:dyDescent="0.2">
      <c r="A341" s="628" t="s">
        <v>3096</v>
      </c>
      <c r="B341" s="542">
        <v>6000000</v>
      </c>
    </row>
    <row r="342" spans="1:2" x14ac:dyDescent="0.2">
      <c r="A342" s="628" t="s">
        <v>2922</v>
      </c>
      <c r="B342" s="542">
        <v>6000000</v>
      </c>
    </row>
    <row r="343" spans="1:2" x14ac:dyDescent="0.2">
      <c r="A343" s="628" t="s">
        <v>3097</v>
      </c>
      <c r="B343" s="542">
        <v>6000000</v>
      </c>
    </row>
    <row r="344" spans="1:2" x14ac:dyDescent="0.2">
      <c r="A344" s="628" t="s">
        <v>4385</v>
      </c>
      <c r="B344" s="542">
        <v>6000000</v>
      </c>
    </row>
    <row r="345" spans="1:2" x14ac:dyDescent="0.2">
      <c r="A345" s="628" t="s">
        <v>3399</v>
      </c>
      <c r="B345" s="542">
        <v>6000000</v>
      </c>
    </row>
    <row r="346" spans="1:2" x14ac:dyDescent="0.2">
      <c r="A346" s="628" t="s">
        <v>2923</v>
      </c>
      <c r="B346" s="542">
        <v>6000000</v>
      </c>
    </row>
    <row r="347" spans="1:2" x14ac:dyDescent="0.2">
      <c r="A347" s="628" t="s">
        <v>3197</v>
      </c>
      <c r="B347" s="542">
        <v>6000000</v>
      </c>
    </row>
    <row r="348" spans="1:2" x14ac:dyDescent="0.2">
      <c r="A348" s="628" t="s">
        <v>2924</v>
      </c>
      <c r="B348" s="542">
        <v>6000000</v>
      </c>
    </row>
    <row r="349" spans="1:2" x14ac:dyDescent="0.2">
      <c r="A349" s="628"/>
      <c r="B349" s="542"/>
    </row>
    <row r="350" spans="1:2" x14ac:dyDescent="0.2">
      <c r="A350" s="628"/>
      <c r="B350" s="542"/>
    </row>
    <row r="351" spans="1:2" x14ac:dyDescent="0.2">
      <c r="A351" s="628"/>
      <c r="B351" s="542"/>
    </row>
    <row r="352" spans="1:2" x14ac:dyDescent="0.2">
      <c r="A352" s="628"/>
      <c r="B352" s="542"/>
    </row>
    <row r="353" spans="1:2" x14ac:dyDescent="0.2">
      <c r="A353" s="628"/>
      <c r="B353" s="542"/>
    </row>
    <row r="354" spans="1:2" x14ac:dyDescent="0.2">
      <c r="A354" s="628"/>
      <c r="B354" s="542"/>
    </row>
    <row r="355" spans="1:2" x14ac:dyDescent="0.2">
      <c r="A355" s="628"/>
      <c r="B355" s="542"/>
    </row>
    <row r="356" spans="1:2" x14ac:dyDescent="0.2">
      <c r="A356" s="628"/>
      <c r="B356" s="542"/>
    </row>
  </sheetData>
  <autoFilter ref="A1:B1" xr:uid="{00000000-0009-0000-0000-00000E000000}"/>
  <dataConsolidate/>
  <printOptions horizontalCentered="1" verticalCentered="1"/>
  <pageMargins left="0.70866141732283472" right="0.47244094488188981" top="0.55118110236220474" bottom="0.98425196850393704" header="0" footer="0"/>
  <pageSetup scale="22" orientation="landscape" verticalDpi="0" r:id="rId1"/>
  <headerFooter alignWithMargins="0">
    <oddFooter>&amp;C&amp;P&amp;RElaborado por EQUILIBRIUM Inmobiliario S.A.S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0"/>
  <dimension ref="A1:E460"/>
  <sheetViews>
    <sheetView zoomScaleNormal="100" workbookViewId="0">
      <pane ySplit="1" topLeftCell="A393" activePane="bottomLeft" state="frozen"/>
      <selection activeCell="B9" sqref="B9:C9"/>
      <selection pane="bottomLeft" activeCell="A312" sqref="A312:A416"/>
    </sheetView>
  </sheetViews>
  <sheetFormatPr baseColWidth="10" defaultRowHeight="12.75" x14ac:dyDescent="0.2"/>
  <cols>
    <col min="1" max="1" width="9.85546875" style="517" bestFit="1" customWidth="1"/>
    <col min="2" max="2" width="15.42578125" style="517" bestFit="1" customWidth="1"/>
    <col min="3" max="3" width="8.85546875" style="517" bestFit="1" customWidth="1"/>
    <col min="4" max="4" width="9.85546875" style="517" bestFit="1" customWidth="1"/>
    <col min="5" max="5" width="13.85546875" bestFit="1" customWidth="1"/>
  </cols>
  <sheetData>
    <row r="1" spans="1:4" x14ac:dyDescent="0.2">
      <c r="A1" s="515" t="s">
        <v>106</v>
      </c>
      <c r="B1" s="516" t="s">
        <v>107</v>
      </c>
      <c r="C1" s="515" t="s">
        <v>108</v>
      </c>
      <c r="D1" s="515" t="s">
        <v>47</v>
      </c>
    </row>
    <row r="2" spans="1:4" x14ac:dyDescent="0.2">
      <c r="A2" s="519" t="s">
        <v>3744</v>
      </c>
      <c r="B2" s="519">
        <v>467850000</v>
      </c>
      <c r="C2" s="519">
        <v>71.900000000000006</v>
      </c>
      <c r="D2" s="519" t="s">
        <v>61</v>
      </c>
    </row>
    <row r="3" spans="1:4" x14ac:dyDescent="0.2">
      <c r="A3" s="519" t="s">
        <v>3748</v>
      </c>
      <c r="B3" s="519">
        <v>469850000</v>
      </c>
      <c r="C3" s="519">
        <v>71.900000000000006</v>
      </c>
      <c r="D3" s="519" t="s">
        <v>61</v>
      </c>
    </row>
    <row r="4" spans="1:4" x14ac:dyDescent="0.2">
      <c r="A4" s="519" t="s">
        <v>3749</v>
      </c>
      <c r="B4" s="519">
        <v>471850000</v>
      </c>
      <c r="C4" s="519">
        <v>71.900000000000006</v>
      </c>
      <c r="D4" s="519" t="s">
        <v>61</v>
      </c>
    </row>
    <row r="5" spans="1:4" x14ac:dyDescent="0.2">
      <c r="A5" s="519" t="s">
        <v>3750</v>
      </c>
      <c r="B5" s="519">
        <v>472350000</v>
      </c>
      <c r="C5" s="519">
        <v>71.900000000000006</v>
      </c>
      <c r="D5" s="519" t="s">
        <v>61</v>
      </c>
    </row>
    <row r="6" spans="1:4" x14ac:dyDescent="0.2">
      <c r="A6" s="519" t="s">
        <v>3751</v>
      </c>
      <c r="B6" s="519">
        <v>474350000</v>
      </c>
      <c r="C6" s="519">
        <v>71.900000000000006</v>
      </c>
      <c r="D6" s="519" t="s">
        <v>61</v>
      </c>
    </row>
    <row r="7" spans="1:4" x14ac:dyDescent="0.2">
      <c r="A7" s="519" t="s">
        <v>3752</v>
      </c>
      <c r="B7" s="519">
        <v>474850000</v>
      </c>
      <c r="C7" s="519">
        <v>71.900000000000006</v>
      </c>
      <c r="D7" s="519" t="s">
        <v>61</v>
      </c>
    </row>
    <row r="8" spans="1:4" x14ac:dyDescent="0.2">
      <c r="A8" s="519" t="s">
        <v>3753</v>
      </c>
      <c r="B8" s="519">
        <v>475350000</v>
      </c>
      <c r="C8" s="519">
        <v>71.900000000000006</v>
      </c>
      <c r="D8" s="519" t="s">
        <v>61</v>
      </c>
    </row>
    <row r="9" spans="1:4" x14ac:dyDescent="0.2">
      <c r="A9" s="519" t="s">
        <v>3754</v>
      </c>
      <c r="B9" s="519">
        <v>475850000</v>
      </c>
      <c r="C9" s="519">
        <v>71.900000000000006</v>
      </c>
      <c r="D9" s="519" t="s">
        <v>61</v>
      </c>
    </row>
    <row r="10" spans="1:4" x14ac:dyDescent="0.2">
      <c r="A10" s="519" t="s">
        <v>3755</v>
      </c>
      <c r="B10" s="519">
        <v>478675000</v>
      </c>
      <c r="C10" s="519">
        <v>71.95</v>
      </c>
      <c r="D10" s="519" t="s">
        <v>61</v>
      </c>
    </row>
    <row r="11" spans="1:4" x14ac:dyDescent="0.2">
      <c r="A11" s="519" t="s">
        <v>3756</v>
      </c>
      <c r="B11" s="519">
        <v>476350000</v>
      </c>
      <c r="C11" s="519">
        <v>71.900000000000006</v>
      </c>
      <c r="D11" s="519" t="s">
        <v>61</v>
      </c>
    </row>
    <row r="12" spans="1:4" x14ac:dyDescent="0.2">
      <c r="A12" s="519" t="s">
        <v>3757</v>
      </c>
      <c r="B12" s="519">
        <v>479675000</v>
      </c>
      <c r="C12" s="519">
        <v>71.95</v>
      </c>
      <c r="D12" s="519" t="s">
        <v>61</v>
      </c>
    </row>
    <row r="13" spans="1:4" x14ac:dyDescent="0.2">
      <c r="A13" s="519" t="s">
        <v>3759</v>
      </c>
      <c r="B13" s="519">
        <v>480175000</v>
      </c>
      <c r="C13" s="519">
        <v>71.95</v>
      </c>
      <c r="D13" s="519" t="s">
        <v>61</v>
      </c>
    </row>
    <row r="14" spans="1:4" x14ac:dyDescent="0.2">
      <c r="A14" s="519" t="s">
        <v>3760</v>
      </c>
      <c r="B14" s="519">
        <v>477850000</v>
      </c>
      <c r="C14" s="519">
        <v>71.900000000000006</v>
      </c>
      <c r="D14" s="519" t="s">
        <v>61</v>
      </c>
    </row>
    <row r="15" spans="1:4" x14ac:dyDescent="0.2">
      <c r="A15" s="519" t="s">
        <v>3761</v>
      </c>
      <c r="B15" s="519">
        <v>478350000</v>
      </c>
      <c r="C15" s="519">
        <v>71.900000000000006</v>
      </c>
      <c r="D15" s="519" t="s">
        <v>61</v>
      </c>
    </row>
    <row r="16" spans="1:4" x14ac:dyDescent="0.2">
      <c r="A16" s="519" t="s">
        <v>3762</v>
      </c>
      <c r="B16" s="519">
        <v>478850000</v>
      </c>
      <c r="C16" s="519">
        <v>71.900000000000006</v>
      </c>
      <c r="D16" s="519" t="s">
        <v>61</v>
      </c>
    </row>
    <row r="17" spans="1:4" x14ac:dyDescent="0.2">
      <c r="A17" s="519" t="s">
        <v>3763</v>
      </c>
      <c r="B17" s="519">
        <v>408175000</v>
      </c>
      <c r="C17" s="519">
        <v>60.95</v>
      </c>
      <c r="D17" s="519" t="s">
        <v>61</v>
      </c>
    </row>
    <row r="18" spans="1:4" x14ac:dyDescent="0.2">
      <c r="A18" s="519" t="s">
        <v>3764</v>
      </c>
      <c r="B18" s="519">
        <v>479350000</v>
      </c>
      <c r="C18" s="519">
        <v>71.900000000000006</v>
      </c>
      <c r="D18" s="519" t="s">
        <v>61</v>
      </c>
    </row>
    <row r="19" spans="1:4" x14ac:dyDescent="0.2">
      <c r="A19" s="519" t="s">
        <v>3765</v>
      </c>
      <c r="B19" s="519">
        <v>432878000</v>
      </c>
      <c r="C19" s="519">
        <v>71.900000000000006</v>
      </c>
      <c r="D19" s="519" t="s">
        <v>901</v>
      </c>
    </row>
    <row r="20" spans="1:4" x14ac:dyDescent="0.2">
      <c r="A20" s="519" t="s">
        <v>3766</v>
      </c>
      <c r="B20" s="519">
        <v>354926000</v>
      </c>
      <c r="C20" s="519">
        <v>60.9</v>
      </c>
      <c r="D20" s="519" t="s">
        <v>901</v>
      </c>
    </row>
    <row r="21" spans="1:4" x14ac:dyDescent="0.2">
      <c r="A21" s="519" t="s">
        <v>3767</v>
      </c>
      <c r="B21" s="519">
        <v>466139000</v>
      </c>
      <c r="C21" s="519">
        <v>79.7</v>
      </c>
      <c r="D21" s="519" t="s">
        <v>901</v>
      </c>
    </row>
    <row r="22" spans="1:4" x14ac:dyDescent="0.2">
      <c r="A22" s="519" t="s">
        <v>3768</v>
      </c>
      <c r="B22" s="519">
        <v>474914500</v>
      </c>
      <c r="C22" s="519">
        <v>78.400000000000006</v>
      </c>
      <c r="D22" s="519" t="s">
        <v>901</v>
      </c>
    </row>
    <row r="23" spans="1:4" x14ac:dyDescent="0.2">
      <c r="A23" s="519" t="s">
        <v>3769</v>
      </c>
      <c r="B23" s="519">
        <v>294836543</v>
      </c>
      <c r="C23" s="519">
        <v>60.89</v>
      </c>
      <c r="D23" s="519" t="s">
        <v>901</v>
      </c>
    </row>
    <row r="24" spans="1:4" x14ac:dyDescent="0.2">
      <c r="A24" s="519" t="s">
        <v>3770</v>
      </c>
      <c r="B24" s="519">
        <v>446355000</v>
      </c>
      <c r="C24" s="519">
        <v>70.849999999999994</v>
      </c>
      <c r="D24" s="519" t="s">
        <v>901</v>
      </c>
    </row>
    <row r="25" spans="1:4" x14ac:dyDescent="0.2">
      <c r="A25" s="519" t="s">
        <v>3771</v>
      </c>
      <c r="B25" s="519">
        <v>336208800</v>
      </c>
      <c r="C25" s="519">
        <v>71.92</v>
      </c>
      <c r="D25" s="519" t="s">
        <v>901</v>
      </c>
    </row>
    <row r="26" spans="1:4" x14ac:dyDescent="0.2">
      <c r="A26" s="519" t="s">
        <v>3772</v>
      </c>
      <c r="B26" s="519">
        <v>299832791</v>
      </c>
      <c r="C26" s="519">
        <v>60.91</v>
      </c>
      <c r="D26" s="519" t="s">
        <v>901</v>
      </c>
    </row>
    <row r="27" spans="1:4" x14ac:dyDescent="0.2">
      <c r="A27" s="519" t="s">
        <v>3773</v>
      </c>
      <c r="B27" s="519">
        <v>382982500</v>
      </c>
      <c r="C27" s="519">
        <v>78.45</v>
      </c>
      <c r="D27" s="519" t="s">
        <v>901</v>
      </c>
    </row>
    <row r="28" spans="1:4" x14ac:dyDescent="0.2">
      <c r="A28" s="519" t="s">
        <v>3774</v>
      </c>
      <c r="B28" s="519">
        <v>375375836</v>
      </c>
      <c r="C28" s="519">
        <v>77.98</v>
      </c>
      <c r="D28" s="519" t="s">
        <v>901</v>
      </c>
    </row>
    <row r="29" spans="1:4" x14ac:dyDescent="0.2">
      <c r="A29" s="519" t="s">
        <v>3775</v>
      </c>
      <c r="B29" s="519">
        <v>384485000</v>
      </c>
      <c r="C29" s="519">
        <v>60.95</v>
      </c>
      <c r="D29" s="519" t="s">
        <v>901</v>
      </c>
    </row>
    <row r="30" spans="1:4" x14ac:dyDescent="0.2">
      <c r="A30" s="519" t="s">
        <v>3776</v>
      </c>
      <c r="B30" s="519">
        <v>456285000</v>
      </c>
      <c r="C30" s="519">
        <v>71.95</v>
      </c>
      <c r="D30" s="519" t="s">
        <v>901</v>
      </c>
    </row>
    <row r="31" spans="1:4" x14ac:dyDescent="0.2">
      <c r="A31" s="519" t="s">
        <v>3777</v>
      </c>
      <c r="B31" s="519">
        <v>294470985</v>
      </c>
      <c r="C31" s="519">
        <v>60.91</v>
      </c>
      <c r="D31" s="519" t="s">
        <v>901</v>
      </c>
    </row>
    <row r="32" spans="1:4" x14ac:dyDescent="0.2">
      <c r="A32" s="519" t="s">
        <v>3778</v>
      </c>
      <c r="B32" s="519">
        <v>383482500</v>
      </c>
      <c r="C32" s="519">
        <v>78.45</v>
      </c>
      <c r="D32" s="519" t="s">
        <v>901</v>
      </c>
    </row>
    <row r="33" spans="1:4" x14ac:dyDescent="0.2">
      <c r="A33" s="519" t="s">
        <v>3779</v>
      </c>
      <c r="B33" s="519">
        <v>385592000</v>
      </c>
      <c r="C33" s="519">
        <v>77.98</v>
      </c>
      <c r="D33" s="519" t="s">
        <v>901</v>
      </c>
    </row>
    <row r="34" spans="1:4" x14ac:dyDescent="0.2">
      <c r="A34" s="519" t="s">
        <v>3780</v>
      </c>
      <c r="B34" s="519">
        <v>282311800</v>
      </c>
      <c r="C34" s="519">
        <v>71.92</v>
      </c>
      <c r="D34" s="519" t="s">
        <v>901</v>
      </c>
    </row>
    <row r="35" spans="1:4" x14ac:dyDescent="0.2">
      <c r="A35" s="519" t="s">
        <v>3781</v>
      </c>
      <c r="B35" s="519">
        <v>351969600</v>
      </c>
      <c r="C35" s="519">
        <v>71.900000000000006</v>
      </c>
      <c r="D35" s="519" t="s">
        <v>901</v>
      </c>
    </row>
    <row r="36" spans="1:4" x14ac:dyDescent="0.2">
      <c r="A36" s="519" t="s">
        <v>3745</v>
      </c>
      <c r="B36" s="519">
        <v>460382500</v>
      </c>
      <c r="C36" s="519">
        <v>71.95</v>
      </c>
      <c r="D36" s="519" t="s">
        <v>901</v>
      </c>
    </row>
    <row r="37" spans="1:4" x14ac:dyDescent="0.2">
      <c r="A37" s="519" t="s">
        <v>3782</v>
      </c>
      <c r="B37" s="519">
        <v>290429946</v>
      </c>
      <c r="C37" s="519">
        <v>60.91</v>
      </c>
      <c r="D37" s="519" t="s">
        <v>901</v>
      </c>
    </row>
    <row r="38" spans="1:4" x14ac:dyDescent="0.2">
      <c r="A38" s="519" t="s">
        <v>3783</v>
      </c>
      <c r="B38" s="519">
        <v>414457027</v>
      </c>
      <c r="C38" s="519">
        <v>78.45</v>
      </c>
      <c r="D38" s="519" t="s">
        <v>901</v>
      </c>
    </row>
    <row r="39" spans="1:4" x14ac:dyDescent="0.2">
      <c r="A39" s="519" t="s">
        <v>3784</v>
      </c>
      <c r="B39" s="519">
        <v>386092000</v>
      </c>
      <c r="C39" s="519">
        <v>77.98</v>
      </c>
      <c r="D39" s="519" t="s">
        <v>901</v>
      </c>
    </row>
    <row r="40" spans="1:4" x14ac:dyDescent="0.2">
      <c r="A40" s="519" t="s">
        <v>3785</v>
      </c>
      <c r="B40" s="519">
        <v>298326500</v>
      </c>
      <c r="C40" s="519">
        <v>60.95</v>
      </c>
      <c r="D40" s="519" t="s">
        <v>901</v>
      </c>
    </row>
    <row r="41" spans="1:4" x14ac:dyDescent="0.2">
      <c r="A41" s="519" t="s">
        <v>3786</v>
      </c>
      <c r="B41" s="519">
        <v>331688000</v>
      </c>
      <c r="C41" s="519">
        <v>71.78</v>
      </c>
      <c r="D41" s="519" t="s">
        <v>901</v>
      </c>
    </row>
    <row r="42" spans="1:4" x14ac:dyDescent="0.2">
      <c r="A42" s="519" t="s">
        <v>3746</v>
      </c>
      <c r="B42" s="519">
        <v>471675000</v>
      </c>
      <c r="C42" s="519">
        <v>71.95</v>
      </c>
      <c r="D42" s="519" t="s">
        <v>901</v>
      </c>
    </row>
    <row r="43" spans="1:4" ht="14.25" customHeight="1" x14ac:dyDescent="0.2">
      <c r="A43" s="519" t="s">
        <v>3787</v>
      </c>
      <c r="B43" s="519">
        <v>292322120</v>
      </c>
      <c r="C43" s="519">
        <v>60.91</v>
      </c>
      <c r="D43" s="519" t="s">
        <v>901</v>
      </c>
    </row>
    <row r="44" spans="1:4" x14ac:dyDescent="0.2">
      <c r="A44" s="519" t="s">
        <v>3788</v>
      </c>
      <c r="B44" s="519">
        <v>404095000</v>
      </c>
      <c r="C44" s="519">
        <v>78.45</v>
      </c>
      <c r="D44" s="519" t="s">
        <v>901</v>
      </c>
    </row>
    <row r="45" spans="1:4" x14ac:dyDescent="0.2">
      <c r="A45" s="519" t="s">
        <v>3789</v>
      </c>
      <c r="B45" s="519">
        <v>403840000</v>
      </c>
      <c r="C45" s="519">
        <v>77.98</v>
      </c>
      <c r="D45" s="519" t="s">
        <v>901</v>
      </c>
    </row>
    <row r="46" spans="1:4" x14ac:dyDescent="0.2">
      <c r="A46" s="519" t="s">
        <v>3790</v>
      </c>
      <c r="B46" s="519">
        <v>288465000</v>
      </c>
      <c r="C46" s="519">
        <v>60.95</v>
      </c>
      <c r="D46" s="519" t="s">
        <v>901</v>
      </c>
    </row>
    <row r="47" spans="1:4" x14ac:dyDescent="0.2">
      <c r="A47" s="519" t="s">
        <v>3791</v>
      </c>
      <c r="B47" s="519">
        <v>342351519</v>
      </c>
      <c r="C47" s="519">
        <v>71.78</v>
      </c>
      <c r="D47" s="519" t="s">
        <v>901</v>
      </c>
    </row>
    <row r="48" spans="1:4" x14ac:dyDescent="0.2">
      <c r="A48" s="519" t="s">
        <v>3747</v>
      </c>
      <c r="B48" s="519">
        <v>472175000</v>
      </c>
      <c r="C48" s="519">
        <v>71.95</v>
      </c>
      <c r="D48" s="519" t="s">
        <v>901</v>
      </c>
    </row>
    <row r="49" spans="1:4" x14ac:dyDescent="0.2">
      <c r="A49" s="519" t="s">
        <v>3792</v>
      </c>
      <c r="B49" s="519">
        <v>295467840</v>
      </c>
      <c r="C49" s="519">
        <v>60.91</v>
      </c>
      <c r="D49" s="519" t="s">
        <v>901</v>
      </c>
    </row>
    <row r="50" spans="1:4" x14ac:dyDescent="0.2">
      <c r="A50" s="519" t="s">
        <v>3793</v>
      </c>
      <c r="B50" s="519">
        <v>377137500</v>
      </c>
      <c r="C50" s="519">
        <v>78.45</v>
      </c>
      <c r="D50" s="519" t="s">
        <v>901</v>
      </c>
    </row>
    <row r="51" spans="1:4" x14ac:dyDescent="0.2">
      <c r="A51" s="519" t="s">
        <v>3794</v>
      </c>
      <c r="B51" s="519">
        <v>365956000</v>
      </c>
      <c r="C51" s="519">
        <v>77.900000000000006</v>
      </c>
      <c r="D51" s="519" t="s">
        <v>901</v>
      </c>
    </row>
    <row r="52" spans="1:4" x14ac:dyDescent="0.2">
      <c r="A52" s="519" t="s">
        <v>3795</v>
      </c>
      <c r="B52" s="519">
        <v>313801204</v>
      </c>
      <c r="C52" s="519">
        <v>60.95</v>
      </c>
      <c r="D52" s="519" t="s">
        <v>901</v>
      </c>
    </row>
    <row r="53" spans="1:4" x14ac:dyDescent="0.2">
      <c r="A53" s="519" t="s">
        <v>3796</v>
      </c>
      <c r="B53" s="519">
        <v>415880616</v>
      </c>
      <c r="C53" s="519">
        <v>71.95</v>
      </c>
      <c r="D53" s="519" t="s">
        <v>901</v>
      </c>
    </row>
    <row r="54" spans="1:4" x14ac:dyDescent="0.2">
      <c r="A54" s="519" t="s">
        <v>3797</v>
      </c>
      <c r="B54" s="519">
        <v>400850000</v>
      </c>
      <c r="C54" s="519">
        <v>60.9</v>
      </c>
      <c r="D54" s="519" t="s">
        <v>901</v>
      </c>
    </row>
    <row r="55" spans="1:4" x14ac:dyDescent="0.2">
      <c r="A55" s="519" t="s">
        <v>3798</v>
      </c>
      <c r="B55" s="519">
        <v>377637500</v>
      </c>
      <c r="C55" s="519">
        <v>78.45</v>
      </c>
      <c r="D55" s="519" t="s">
        <v>901</v>
      </c>
    </row>
    <row r="56" spans="1:4" x14ac:dyDescent="0.2">
      <c r="A56" s="519" t="s">
        <v>3799</v>
      </c>
      <c r="B56" s="519">
        <v>373480000</v>
      </c>
      <c r="C56" s="519">
        <v>77.98</v>
      </c>
      <c r="D56" s="519" t="s">
        <v>901</v>
      </c>
    </row>
    <row r="57" spans="1:4" x14ac:dyDescent="0.2">
      <c r="A57" s="519" t="s">
        <v>3800</v>
      </c>
      <c r="B57" s="519">
        <v>322987500</v>
      </c>
      <c r="C57" s="519">
        <v>60.95</v>
      </c>
      <c r="D57" s="519" t="s">
        <v>901</v>
      </c>
    </row>
    <row r="58" spans="1:4" x14ac:dyDescent="0.2">
      <c r="A58" s="519" t="s">
        <v>3801</v>
      </c>
      <c r="B58" s="519">
        <v>353153000</v>
      </c>
      <c r="C58" s="519">
        <v>71.900000000000006</v>
      </c>
      <c r="D58" s="519" t="s">
        <v>901</v>
      </c>
    </row>
    <row r="59" spans="1:4" x14ac:dyDescent="0.2">
      <c r="A59" s="519" t="s">
        <v>3802</v>
      </c>
      <c r="B59" s="519">
        <v>458785000</v>
      </c>
      <c r="C59" s="519">
        <v>71.95</v>
      </c>
      <c r="D59" s="519" t="s">
        <v>901</v>
      </c>
    </row>
    <row r="60" spans="1:4" x14ac:dyDescent="0.2">
      <c r="A60" s="519" t="s">
        <v>3803</v>
      </c>
      <c r="B60" s="519">
        <v>288122400</v>
      </c>
      <c r="C60" s="519">
        <v>60.91</v>
      </c>
      <c r="D60" s="519" t="s">
        <v>901</v>
      </c>
    </row>
    <row r="61" spans="1:4" x14ac:dyDescent="0.2">
      <c r="A61" s="519" t="s">
        <v>3804</v>
      </c>
      <c r="B61" s="519">
        <v>385982500</v>
      </c>
      <c r="C61" s="519">
        <v>78.45</v>
      </c>
      <c r="D61" s="519" t="s">
        <v>901</v>
      </c>
    </row>
    <row r="62" spans="1:4" x14ac:dyDescent="0.2">
      <c r="A62" s="519" t="s">
        <v>3805</v>
      </c>
      <c r="B62" s="519">
        <v>439836000</v>
      </c>
      <c r="C62" s="519">
        <v>78.400000000000006</v>
      </c>
      <c r="D62" s="519" t="s">
        <v>901</v>
      </c>
    </row>
    <row r="63" spans="1:4" x14ac:dyDescent="0.2">
      <c r="A63" s="519" t="s">
        <v>3806</v>
      </c>
      <c r="B63" s="519">
        <v>357879800</v>
      </c>
      <c r="C63" s="519">
        <v>60.95</v>
      </c>
      <c r="D63" s="519" t="s">
        <v>901</v>
      </c>
    </row>
    <row r="64" spans="1:4" x14ac:dyDescent="0.2">
      <c r="A64" s="519" t="s">
        <v>3807</v>
      </c>
      <c r="B64" s="519">
        <v>354469600</v>
      </c>
      <c r="C64" s="519">
        <v>71.900000000000006</v>
      </c>
      <c r="D64" s="519" t="s">
        <v>901</v>
      </c>
    </row>
    <row r="65" spans="1:4" x14ac:dyDescent="0.2">
      <c r="A65" s="519" t="s">
        <v>3808</v>
      </c>
      <c r="B65" s="519">
        <v>338321631</v>
      </c>
      <c r="C65" s="519">
        <v>71.92</v>
      </c>
      <c r="D65" s="519" t="s">
        <v>901</v>
      </c>
    </row>
    <row r="66" spans="1:4" x14ac:dyDescent="0.2">
      <c r="A66" s="519" t="s">
        <v>3809</v>
      </c>
      <c r="B66" s="519">
        <v>303192000</v>
      </c>
      <c r="C66" s="519">
        <v>60.91</v>
      </c>
      <c r="D66" s="519" t="s">
        <v>901</v>
      </c>
    </row>
    <row r="67" spans="1:4" x14ac:dyDescent="0.2">
      <c r="A67" s="519" t="s">
        <v>3810</v>
      </c>
      <c r="B67" s="519">
        <v>374715000</v>
      </c>
      <c r="C67" s="519">
        <v>78.45</v>
      </c>
      <c r="D67" s="519" t="s">
        <v>901</v>
      </c>
    </row>
    <row r="68" spans="1:4" x14ac:dyDescent="0.2">
      <c r="A68" s="519" t="s">
        <v>3811</v>
      </c>
      <c r="B68" s="519">
        <v>499920000</v>
      </c>
      <c r="C68" s="519">
        <v>78.400000000000006</v>
      </c>
      <c r="D68" s="519" t="s">
        <v>901</v>
      </c>
    </row>
    <row r="69" spans="1:4" x14ac:dyDescent="0.2">
      <c r="A69" s="519" t="s">
        <v>3812</v>
      </c>
      <c r="B69" s="519">
        <v>387985000</v>
      </c>
      <c r="C69" s="519">
        <v>60.95</v>
      </c>
      <c r="D69" s="519" t="s">
        <v>901</v>
      </c>
    </row>
    <row r="70" spans="1:4" x14ac:dyDescent="0.2">
      <c r="A70" s="519" t="s">
        <v>3813</v>
      </c>
      <c r="B70" s="519">
        <v>457163113</v>
      </c>
      <c r="C70" s="519">
        <v>71.900000000000006</v>
      </c>
      <c r="D70" s="519" t="s">
        <v>901</v>
      </c>
    </row>
    <row r="71" spans="1:4" x14ac:dyDescent="0.2">
      <c r="A71" s="519" t="s">
        <v>3814</v>
      </c>
      <c r="B71" s="519">
        <v>340208800</v>
      </c>
      <c r="C71" s="519">
        <v>71.92</v>
      </c>
      <c r="D71" s="519" t="s">
        <v>901</v>
      </c>
    </row>
    <row r="72" spans="1:4" x14ac:dyDescent="0.2">
      <c r="A72" s="519" t="s">
        <v>3815</v>
      </c>
      <c r="B72" s="519">
        <v>287904200</v>
      </c>
      <c r="C72" s="519">
        <v>60.91</v>
      </c>
      <c r="D72" s="519" t="s">
        <v>901</v>
      </c>
    </row>
    <row r="73" spans="1:4" x14ac:dyDescent="0.2">
      <c r="A73" s="519" t="s">
        <v>3816</v>
      </c>
      <c r="B73" s="519">
        <v>381336631</v>
      </c>
      <c r="C73" s="519">
        <v>78.45</v>
      </c>
      <c r="D73" s="519" t="s">
        <v>901</v>
      </c>
    </row>
    <row r="74" spans="1:4" x14ac:dyDescent="0.2">
      <c r="A74" s="519" t="s">
        <v>3817</v>
      </c>
      <c r="B74" s="519">
        <v>366398000</v>
      </c>
      <c r="C74" s="519">
        <v>77.900000000000006</v>
      </c>
      <c r="D74" s="519" t="s">
        <v>901</v>
      </c>
    </row>
    <row r="75" spans="1:4" x14ac:dyDescent="0.2">
      <c r="A75" s="519" t="s">
        <v>3818</v>
      </c>
      <c r="B75" s="519">
        <v>285811800</v>
      </c>
      <c r="C75" s="519">
        <v>60.89</v>
      </c>
      <c r="D75" s="519" t="s">
        <v>901</v>
      </c>
    </row>
    <row r="76" spans="1:4" x14ac:dyDescent="0.2">
      <c r="A76" s="519" t="s">
        <v>3819</v>
      </c>
      <c r="B76" s="519">
        <v>355812000</v>
      </c>
      <c r="C76" s="519">
        <v>71.95</v>
      </c>
      <c r="D76" s="519" t="s">
        <v>901</v>
      </c>
    </row>
    <row r="77" spans="1:4" x14ac:dyDescent="0.2">
      <c r="A77" s="519" t="s">
        <v>3820</v>
      </c>
      <c r="B77" s="519">
        <v>289749485</v>
      </c>
      <c r="C77" s="519">
        <v>60.91</v>
      </c>
      <c r="D77" s="519" t="s">
        <v>901</v>
      </c>
    </row>
    <row r="78" spans="1:4" x14ac:dyDescent="0.2">
      <c r="A78" s="519" t="s">
        <v>3821</v>
      </c>
      <c r="B78" s="519">
        <v>376196619</v>
      </c>
      <c r="C78" s="519">
        <v>78.45</v>
      </c>
      <c r="D78" s="519" t="s">
        <v>901</v>
      </c>
    </row>
    <row r="79" spans="1:4" x14ac:dyDescent="0.2">
      <c r="A79" s="519" t="s">
        <v>3822</v>
      </c>
      <c r="B79" s="519">
        <v>388808000</v>
      </c>
      <c r="C79" s="519">
        <v>77.98</v>
      </c>
      <c r="D79" s="519" t="s">
        <v>901</v>
      </c>
    </row>
    <row r="80" spans="1:4" x14ac:dyDescent="0.2">
      <c r="A80" s="519" t="s">
        <v>3823</v>
      </c>
      <c r="B80" s="519">
        <v>287529600</v>
      </c>
      <c r="C80" s="519">
        <v>60.89</v>
      </c>
      <c r="D80" s="519" t="s">
        <v>901</v>
      </c>
    </row>
    <row r="81" spans="1:4" x14ac:dyDescent="0.2">
      <c r="A81" s="519" t="s">
        <v>3824</v>
      </c>
      <c r="B81" s="519">
        <v>460785000</v>
      </c>
      <c r="C81" s="519">
        <v>71.95</v>
      </c>
      <c r="D81" s="519" t="s">
        <v>901</v>
      </c>
    </row>
    <row r="82" spans="1:4" x14ac:dyDescent="0.2">
      <c r="A82" s="519" t="s">
        <v>3825</v>
      </c>
      <c r="B82" s="519">
        <v>289717304</v>
      </c>
      <c r="C82" s="519">
        <v>60.91</v>
      </c>
      <c r="D82" s="519" t="s">
        <v>901</v>
      </c>
    </row>
    <row r="83" spans="1:4" x14ac:dyDescent="0.2">
      <c r="A83" s="519" t="s">
        <v>3826</v>
      </c>
      <c r="B83" s="519">
        <v>380137500</v>
      </c>
      <c r="C83" s="519">
        <v>78.45</v>
      </c>
      <c r="D83" s="519" t="s">
        <v>901</v>
      </c>
    </row>
    <row r="84" spans="1:4" x14ac:dyDescent="0.2">
      <c r="A84" s="519" t="s">
        <v>3827</v>
      </c>
      <c r="B84" s="519">
        <v>461489136</v>
      </c>
      <c r="C84" s="519">
        <v>78.400000000000006</v>
      </c>
      <c r="D84" s="519" t="s">
        <v>901</v>
      </c>
    </row>
    <row r="85" spans="1:4" x14ac:dyDescent="0.2">
      <c r="A85" s="519" t="s">
        <v>3828</v>
      </c>
      <c r="B85" s="519">
        <v>288029590</v>
      </c>
      <c r="C85" s="519">
        <v>60.89</v>
      </c>
      <c r="D85" s="519" t="s">
        <v>901</v>
      </c>
    </row>
    <row r="86" spans="1:4" x14ac:dyDescent="0.2">
      <c r="A86" s="519" t="s">
        <v>3829</v>
      </c>
      <c r="B86" s="519">
        <v>338559200</v>
      </c>
      <c r="C86" s="519">
        <v>71.78</v>
      </c>
      <c r="D86" s="519" t="s">
        <v>901</v>
      </c>
    </row>
    <row r="87" spans="1:4" x14ac:dyDescent="0.2">
      <c r="A87" s="519" t="s">
        <v>3830</v>
      </c>
      <c r="B87" s="519">
        <v>461285000</v>
      </c>
      <c r="C87" s="519">
        <v>71.95</v>
      </c>
      <c r="D87" s="519" t="s">
        <v>901</v>
      </c>
    </row>
    <row r="88" spans="1:4" x14ac:dyDescent="0.2">
      <c r="A88" s="519" t="s">
        <v>3831</v>
      </c>
      <c r="B88" s="519">
        <v>288186000</v>
      </c>
      <c r="C88" s="519">
        <v>60.91</v>
      </c>
      <c r="D88" s="519" t="s">
        <v>901</v>
      </c>
    </row>
    <row r="89" spans="1:4" x14ac:dyDescent="0.2">
      <c r="A89" s="519" t="s">
        <v>3832</v>
      </c>
      <c r="B89" s="519">
        <v>376715000</v>
      </c>
      <c r="C89" s="519">
        <v>78.45</v>
      </c>
      <c r="D89" s="519" t="s">
        <v>901</v>
      </c>
    </row>
    <row r="90" spans="1:4" x14ac:dyDescent="0.2">
      <c r="A90" s="519" t="s">
        <v>3833</v>
      </c>
      <c r="B90" s="519">
        <v>407840000</v>
      </c>
      <c r="C90" s="519">
        <v>77.98</v>
      </c>
      <c r="D90" s="519" t="s">
        <v>901</v>
      </c>
    </row>
    <row r="91" spans="1:4" x14ac:dyDescent="0.2">
      <c r="A91" s="519" t="s">
        <v>3834</v>
      </c>
      <c r="B91" s="519">
        <v>295512500</v>
      </c>
      <c r="C91" s="519">
        <v>60.95</v>
      </c>
      <c r="D91" s="519" t="s">
        <v>901</v>
      </c>
    </row>
    <row r="92" spans="1:4" x14ac:dyDescent="0.2">
      <c r="A92" s="519" t="s">
        <v>3835</v>
      </c>
      <c r="B92" s="519">
        <v>410078000</v>
      </c>
      <c r="C92" s="519">
        <v>71.900000000000006</v>
      </c>
      <c r="D92" s="519" t="s">
        <v>901</v>
      </c>
    </row>
    <row r="93" spans="1:4" x14ac:dyDescent="0.2">
      <c r="A93" s="519" t="s">
        <v>3836</v>
      </c>
      <c r="B93" s="519">
        <v>391237500</v>
      </c>
      <c r="C93" s="519">
        <v>71.95</v>
      </c>
      <c r="D93" s="519" t="s">
        <v>901</v>
      </c>
    </row>
    <row r="94" spans="1:4" x14ac:dyDescent="0.2">
      <c r="A94" s="519" t="s">
        <v>3837</v>
      </c>
      <c r="B94" s="519">
        <v>353803000</v>
      </c>
      <c r="C94" s="519">
        <v>60.9</v>
      </c>
      <c r="D94" s="519" t="s">
        <v>901</v>
      </c>
    </row>
    <row r="95" spans="1:4" x14ac:dyDescent="0.2">
      <c r="A95" s="519" t="s">
        <v>3838</v>
      </c>
      <c r="B95" s="519">
        <v>381137500</v>
      </c>
      <c r="C95" s="519">
        <v>78.45</v>
      </c>
      <c r="D95" s="519" t="s">
        <v>901</v>
      </c>
    </row>
    <row r="96" spans="1:4" x14ac:dyDescent="0.2">
      <c r="A96" s="519" t="s">
        <v>3839</v>
      </c>
      <c r="B96" s="519">
        <v>411104585</v>
      </c>
      <c r="C96" s="519">
        <v>78.400000000000006</v>
      </c>
      <c r="D96" s="519" t="s">
        <v>901</v>
      </c>
    </row>
    <row r="97" spans="1:4" x14ac:dyDescent="0.2">
      <c r="A97" s="519" t="s">
        <v>3840</v>
      </c>
      <c r="B97" s="519">
        <v>302107500</v>
      </c>
      <c r="C97" s="519">
        <v>60.95</v>
      </c>
      <c r="D97" s="519" t="s">
        <v>901</v>
      </c>
    </row>
    <row r="98" spans="1:4" x14ac:dyDescent="0.2">
      <c r="A98" s="519" t="s">
        <v>3841</v>
      </c>
      <c r="B98" s="519">
        <v>410578000</v>
      </c>
      <c r="C98" s="519">
        <v>71.900000000000006</v>
      </c>
      <c r="D98" s="519" t="s">
        <v>901</v>
      </c>
    </row>
    <row r="99" spans="1:4" x14ac:dyDescent="0.2">
      <c r="A99" s="519" t="s">
        <v>3842</v>
      </c>
      <c r="B99" s="519">
        <v>413359000</v>
      </c>
      <c r="C99" s="519">
        <v>71.95</v>
      </c>
      <c r="D99" s="519" t="s">
        <v>901</v>
      </c>
    </row>
    <row r="100" spans="1:4" x14ac:dyDescent="0.2">
      <c r="A100" s="519" t="s">
        <v>3843</v>
      </c>
      <c r="B100" s="519">
        <v>289186000</v>
      </c>
      <c r="C100" s="519">
        <v>60.91</v>
      </c>
      <c r="D100" s="519" t="s">
        <v>901</v>
      </c>
    </row>
    <row r="101" spans="1:4" x14ac:dyDescent="0.2">
      <c r="A101" s="519" t="s">
        <v>3844</v>
      </c>
      <c r="B101" s="519">
        <v>370316800</v>
      </c>
      <c r="C101" s="519">
        <v>77.87</v>
      </c>
      <c r="D101" s="519" t="s">
        <v>901</v>
      </c>
    </row>
    <row r="102" spans="1:4" x14ac:dyDescent="0.2">
      <c r="A102" s="519" t="s">
        <v>3845</v>
      </c>
      <c r="B102" s="519">
        <v>391736090</v>
      </c>
      <c r="C102" s="519">
        <v>77.98</v>
      </c>
      <c r="D102" s="519" t="s">
        <v>901</v>
      </c>
    </row>
    <row r="103" spans="1:4" x14ac:dyDescent="0.2">
      <c r="A103" s="519" t="s">
        <v>3846</v>
      </c>
      <c r="B103" s="519">
        <v>289529600</v>
      </c>
      <c r="C103" s="519">
        <v>60.89</v>
      </c>
      <c r="D103" s="519" t="s">
        <v>901</v>
      </c>
    </row>
    <row r="104" spans="1:4" x14ac:dyDescent="0.2">
      <c r="A104" s="519" t="s">
        <v>3847</v>
      </c>
      <c r="B104" s="519">
        <v>462785000</v>
      </c>
      <c r="C104" s="519">
        <v>71.95</v>
      </c>
      <c r="D104" s="519" t="s">
        <v>901</v>
      </c>
    </row>
    <row r="105" spans="1:4" x14ac:dyDescent="0.2">
      <c r="A105" s="519" t="s">
        <v>3848</v>
      </c>
      <c r="B105" s="519">
        <v>289686000</v>
      </c>
      <c r="C105" s="519">
        <v>60.91</v>
      </c>
      <c r="D105" s="519" t="s">
        <v>901</v>
      </c>
    </row>
    <row r="106" spans="1:4" x14ac:dyDescent="0.2">
      <c r="A106" s="519" t="s">
        <v>3849</v>
      </c>
      <c r="B106" s="519">
        <v>412901590</v>
      </c>
      <c r="C106" s="519">
        <v>78.45</v>
      </c>
      <c r="D106" s="519" t="s">
        <v>901</v>
      </c>
    </row>
    <row r="107" spans="1:4" x14ac:dyDescent="0.2">
      <c r="A107" s="519" t="s">
        <v>3850</v>
      </c>
      <c r="B107" s="519">
        <v>391308000</v>
      </c>
      <c r="C107" s="519">
        <v>78.400000000000006</v>
      </c>
      <c r="D107" s="519" t="s">
        <v>901</v>
      </c>
    </row>
    <row r="108" spans="1:4" x14ac:dyDescent="0.2">
      <c r="A108" s="519" t="s">
        <v>3851</v>
      </c>
      <c r="B108" s="519">
        <v>290029600</v>
      </c>
      <c r="C108" s="519">
        <v>60.89</v>
      </c>
      <c r="D108" s="519" t="s">
        <v>901</v>
      </c>
    </row>
    <row r="109" spans="1:4" x14ac:dyDescent="0.2">
      <c r="A109" s="519" t="s">
        <v>3852</v>
      </c>
      <c r="B109" s="519">
        <v>464285000</v>
      </c>
      <c r="C109" s="519">
        <v>71.95</v>
      </c>
      <c r="D109" s="519" t="s">
        <v>901</v>
      </c>
    </row>
    <row r="110" spans="1:4" x14ac:dyDescent="0.2">
      <c r="A110" s="519" t="s">
        <v>3853</v>
      </c>
      <c r="B110" s="519">
        <v>290186000</v>
      </c>
      <c r="C110" s="519">
        <v>60.91</v>
      </c>
      <c r="D110" s="519" t="s">
        <v>901</v>
      </c>
    </row>
    <row r="111" spans="1:4" x14ac:dyDescent="0.2">
      <c r="A111" s="519" t="s">
        <v>3854</v>
      </c>
      <c r="B111" s="519">
        <v>369759400</v>
      </c>
      <c r="C111" s="519">
        <v>77.87</v>
      </c>
      <c r="D111" s="519" t="s">
        <v>901</v>
      </c>
    </row>
    <row r="112" spans="1:4" x14ac:dyDescent="0.2">
      <c r="A112" s="519" t="s">
        <v>3855</v>
      </c>
      <c r="B112" s="519">
        <v>390240000</v>
      </c>
      <c r="C112" s="519">
        <v>78.400000000000006</v>
      </c>
      <c r="D112" s="519" t="s">
        <v>901</v>
      </c>
    </row>
    <row r="113" spans="1:4" x14ac:dyDescent="0.2">
      <c r="A113" s="519" t="s">
        <v>3856</v>
      </c>
      <c r="B113" s="519">
        <v>391985000</v>
      </c>
      <c r="C113" s="519">
        <v>60.95</v>
      </c>
      <c r="D113" s="519" t="s">
        <v>901</v>
      </c>
    </row>
    <row r="114" spans="1:4" x14ac:dyDescent="0.2">
      <c r="A114" s="519" t="s">
        <v>3857</v>
      </c>
      <c r="B114" s="519">
        <v>463785000</v>
      </c>
      <c r="C114" s="519">
        <v>71.95</v>
      </c>
      <c r="D114" s="519" t="s">
        <v>901</v>
      </c>
    </row>
    <row r="115" spans="1:4" x14ac:dyDescent="0.2">
      <c r="A115" s="519" t="s">
        <v>3858</v>
      </c>
      <c r="B115" s="519">
        <v>296777000</v>
      </c>
      <c r="C115" s="519">
        <v>60.91</v>
      </c>
      <c r="D115" s="519" t="s">
        <v>901</v>
      </c>
    </row>
    <row r="116" spans="1:4" x14ac:dyDescent="0.2">
      <c r="A116" s="519" t="s">
        <v>3859</v>
      </c>
      <c r="B116" s="519">
        <v>383137500</v>
      </c>
      <c r="C116" s="519">
        <v>78.45</v>
      </c>
      <c r="D116" s="519" t="s">
        <v>901</v>
      </c>
    </row>
    <row r="117" spans="1:4" x14ac:dyDescent="0.2">
      <c r="A117" s="519" t="s">
        <v>3860</v>
      </c>
      <c r="B117" s="519">
        <v>410340000</v>
      </c>
      <c r="C117" s="519">
        <v>77.98</v>
      </c>
      <c r="D117" s="519" t="s">
        <v>901</v>
      </c>
    </row>
    <row r="118" spans="1:4" x14ac:dyDescent="0.2">
      <c r="A118" s="519" t="s">
        <v>3861</v>
      </c>
      <c r="B118" s="519">
        <v>392107000</v>
      </c>
      <c r="C118" s="519">
        <v>60.95</v>
      </c>
      <c r="D118" s="519" t="s">
        <v>901</v>
      </c>
    </row>
    <row r="119" spans="1:4" x14ac:dyDescent="0.2">
      <c r="A119" s="519" t="s">
        <v>3862</v>
      </c>
      <c r="B119" s="519">
        <v>292404200</v>
      </c>
      <c r="C119" s="519">
        <v>60.91</v>
      </c>
      <c r="D119" s="519" t="s">
        <v>901</v>
      </c>
    </row>
    <row r="120" spans="1:4" x14ac:dyDescent="0.2">
      <c r="A120" s="519" t="s">
        <v>3863</v>
      </c>
      <c r="B120" s="519">
        <v>383637500</v>
      </c>
      <c r="C120" s="519">
        <v>78.45</v>
      </c>
      <c r="D120" s="519" t="s">
        <v>901</v>
      </c>
    </row>
    <row r="121" spans="1:4" x14ac:dyDescent="0.2">
      <c r="A121" s="519" t="s">
        <v>3864</v>
      </c>
      <c r="B121" s="519">
        <v>377130000</v>
      </c>
      <c r="C121" s="519">
        <v>77.98</v>
      </c>
      <c r="D121" s="519" t="s">
        <v>901</v>
      </c>
    </row>
    <row r="122" spans="1:4" x14ac:dyDescent="0.2">
      <c r="A122" s="519" t="s">
        <v>3865</v>
      </c>
      <c r="B122" s="519">
        <v>321673698</v>
      </c>
      <c r="C122" s="519">
        <v>60.95</v>
      </c>
      <c r="D122" s="519" t="s">
        <v>901</v>
      </c>
    </row>
    <row r="123" spans="1:4" x14ac:dyDescent="0.2">
      <c r="A123" s="519" t="s">
        <v>3866</v>
      </c>
      <c r="B123" s="519">
        <v>361821765</v>
      </c>
      <c r="C123" s="519">
        <v>71.95</v>
      </c>
      <c r="D123" s="519" t="s">
        <v>901</v>
      </c>
    </row>
    <row r="124" spans="1:4" x14ac:dyDescent="0.2">
      <c r="A124" s="519" t="s">
        <v>3867</v>
      </c>
      <c r="B124" s="519">
        <v>291686000</v>
      </c>
      <c r="C124" s="519">
        <v>60.91</v>
      </c>
      <c r="D124" s="519" t="s">
        <v>901</v>
      </c>
    </row>
    <row r="125" spans="1:4" x14ac:dyDescent="0.2">
      <c r="A125" s="519" t="s">
        <v>3868</v>
      </c>
      <c r="B125" s="519">
        <v>384465915</v>
      </c>
      <c r="C125" s="519">
        <v>78.45</v>
      </c>
      <c r="D125" s="519" t="s">
        <v>901</v>
      </c>
    </row>
    <row r="126" spans="1:4" x14ac:dyDescent="0.2">
      <c r="A126" s="519" t="s">
        <v>3869</v>
      </c>
      <c r="B126" s="519">
        <v>394092000</v>
      </c>
      <c r="C126" s="519">
        <v>77.98</v>
      </c>
      <c r="D126" s="519" t="s">
        <v>901</v>
      </c>
    </row>
    <row r="127" spans="1:4" x14ac:dyDescent="0.2">
      <c r="A127" s="519" t="s">
        <v>3870</v>
      </c>
      <c r="B127" s="519">
        <v>299012500</v>
      </c>
      <c r="C127" s="519">
        <v>60.95</v>
      </c>
      <c r="D127" s="519" t="s">
        <v>901</v>
      </c>
    </row>
    <row r="128" spans="1:4" x14ac:dyDescent="0.2">
      <c r="A128" s="519" t="s">
        <v>3871</v>
      </c>
      <c r="B128" s="519">
        <v>421535969</v>
      </c>
      <c r="C128" s="519">
        <v>71.900000000000006</v>
      </c>
      <c r="D128" s="519" t="s">
        <v>901</v>
      </c>
    </row>
    <row r="129" spans="1:4" x14ac:dyDescent="0.2">
      <c r="A129" s="519" t="s">
        <v>3872</v>
      </c>
      <c r="B129" s="519">
        <v>292186000</v>
      </c>
      <c r="C129" s="519">
        <v>60.91</v>
      </c>
      <c r="D129" s="519" t="s">
        <v>901</v>
      </c>
    </row>
    <row r="130" spans="1:4" x14ac:dyDescent="0.2">
      <c r="A130" s="519" t="s">
        <v>3873</v>
      </c>
      <c r="B130" s="519">
        <v>393232804</v>
      </c>
      <c r="C130" s="519">
        <v>78.45</v>
      </c>
      <c r="D130" s="519" t="s">
        <v>901</v>
      </c>
    </row>
    <row r="131" spans="1:4" x14ac:dyDescent="0.2">
      <c r="A131" s="519" t="s">
        <v>3874</v>
      </c>
      <c r="B131" s="519">
        <v>446336000</v>
      </c>
      <c r="C131" s="519">
        <v>78.400000000000006</v>
      </c>
      <c r="D131" s="519" t="s">
        <v>901</v>
      </c>
    </row>
    <row r="132" spans="1:4" x14ac:dyDescent="0.2">
      <c r="A132" s="519" t="s">
        <v>3758</v>
      </c>
      <c r="B132" s="519">
        <v>393985000</v>
      </c>
      <c r="C132" s="519">
        <v>60.95</v>
      </c>
      <c r="D132" s="519" t="s">
        <v>901</v>
      </c>
    </row>
    <row r="133" spans="1:4" x14ac:dyDescent="0.2">
      <c r="A133" s="519" t="s">
        <v>3875</v>
      </c>
      <c r="B133" s="519">
        <v>365636242</v>
      </c>
      <c r="C133" s="519">
        <v>71.900000000000006</v>
      </c>
      <c r="D133" s="519" t="s">
        <v>901</v>
      </c>
    </row>
    <row r="134" spans="1:4" x14ac:dyDescent="0.2">
      <c r="A134" s="519" t="s">
        <v>3876</v>
      </c>
      <c r="B134" s="519">
        <v>298777000</v>
      </c>
      <c r="C134" s="519">
        <v>60.91</v>
      </c>
      <c r="D134" s="519" t="s">
        <v>901</v>
      </c>
    </row>
    <row r="135" spans="1:4" x14ac:dyDescent="0.2">
      <c r="A135" s="519" t="s">
        <v>3877</v>
      </c>
      <c r="B135" s="519">
        <v>412595000</v>
      </c>
      <c r="C135" s="519">
        <v>78.45</v>
      </c>
      <c r="D135" s="519" t="s">
        <v>901</v>
      </c>
    </row>
    <row r="136" spans="1:4" x14ac:dyDescent="0.2">
      <c r="A136" s="519" t="s">
        <v>3878</v>
      </c>
      <c r="B136" s="519">
        <v>394308000</v>
      </c>
      <c r="C136" s="519">
        <v>77.98</v>
      </c>
      <c r="D136" s="519" t="s">
        <v>901</v>
      </c>
    </row>
    <row r="137" spans="1:4" x14ac:dyDescent="0.2">
      <c r="A137" s="519" t="s">
        <v>3879</v>
      </c>
      <c r="B137" s="519">
        <v>394485000</v>
      </c>
      <c r="C137" s="519">
        <v>60.95</v>
      </c>
      <c r="D137" s="519" t="s">
        <v>901</v>
      </c>
    </row>
    <row r="138" spans="1:4" x14ac:dyDescent="0.2">
      <c r="A138" s="519" t="s">
        <v>3880</v>
      </c>
      <c r="B138" s="519">
        <v>425993000</v>
      </c>
      <c r="C138" s="519">
        <v>71.95</v>
      </c>
      <c r="D138" s="519" t="s">
        <v>901</v>
      </c>
    </row>
    <row r="139" spans="1:4" x14ac:dyDescent="0.2">
      <c r="A139" s="519" t="s">
        <v>3881</v>
      </c>
      <c r="B139" s="519">
        <v>358303000</v>
      </c>
      <c r="C139" s="519">
        <v>60.91</v>
      </c>
      <c r="D139" s="519" t="s">
        <v>901</v>
      </c>
    </row>
    <row r="140" spans="1:4" x14ac:dyDescent="0.2">
      <c r="A140" s="519" t="s">
        <v>3882</v>
      </c>
      <c r="B140" s="519">
        <v>381715000</v>
      </c>
      <c r="C140" s="519">
        <v>78.45</v>
      </c>
      <c r="D140" s="519" t="s">
        <v>901</v>
      </c>
    </row>
    <row r="141" spans="1:4" x14ac:dyDescent="0.2">
      <c r="A141" s="519" t="s">
        <v>3883</v>
      </c>
      <c r="B141" s="519">
        <v>447336000</v>
      </c>
      <c r="C141" s="519">
        <v>77.900000000000006</v>
      </c>
      <c r="D141" s="519" t="s">
        <v>901</v>
      </c>
    </row>
    <row r="142" spans="1:4" x14ac:dyDescent="0.2">
      <c r="A142" s="519" t="s">
        <v>3884</v>
      </c>
      <c r="B142" s="519">
        <v>306607500</v>
      </c>
      <c r="C142" s="519">
        <v>60.95</v>
      </c>
      <c r="D142" s="519" t="s">
        <v>901</v>
      </c>
    </row>
    <row r="143" spans="1:4" x14ac:dyDescent="0.2">
      <c r="A143" s="519" t="s">
        <v>3885</v>
      </c>
      <c r="B143" s="519">
        <v>380659987</v>
      </c>
      <c r="C143" s="519">
        <v>71.95</v>
      </c>
      <c r="D143" s="519" t="s">
        <v>901</v>
      </c>
    </row>
    <row r="144" spans="1:4" x14ac:dyDescent="0.2">
      <c r="A144" s="519" t="s">
        <v>3886</v>
      </c>
      <c r="B144" s="519">
        <v>294904200</v>
      </c>
      <c r="C144" s="519">
        <v>60.91</v>
      </c>
      <c r="D144" s="519" t="s">
        <v>901</v>
      </c>
    </row>
    <row r="145" spans="1:4" x14ac:dyDescent="0.2">
      <c r="A145" s="519" t="s">
        <v>3887</v>
      </c>
      <c r="B145" s="519">
        <v>373259400</v>
      </c>
      <c r="C145" s="519">
        <v>77.87</v>
      </c>
      <c r="D145" s="519" t="s">
        <v>901</v>
      </c>
    </row>
    <row r="146" spans="1:4" x14ac:dyDescent="0.2">
      <c r="A146" s="519" t="s">
        <v>3888</v>
      </c>
      <c r="B146" s="519">
        <v>373398000</v>
      </c>
      <c r="C146" s="519">
        <v>77.900000000000006</v>
      </c>
      <c r="D146" s="519" t="s">
        <v>901</v>
      </c>
    </row>
    <row r="147" spans="1:4" x14ac:dyDescent="0.2">
      <c r="A147" s="519" t="s">
        <v>3889</v>
      </c>
      <c r="B147" s="519">
        <v>323345000</v>
      </c>
      <c r="C147" s="519">
        <v>60.95</v>
      </c>
      <c r="D147" s="519" t="s">
        <v>901</v>
      </c>
    </row>
    <row r="148" spans="1:4" x14ac:dyDescent="0.2">
      <c r="A148" s="519" t="s">
        <v>3890</v>
      </c>
      <c r="B148" s="519">
        <v>433468500</v>
      </c>
      <c r="C148" s="519">
        <v>71.95</v>
      </c>
      <c r="D148" s="519" t="s">
        <v>901</v>
      </c>
    </row>
    <row r="149" spans="1:4" x14ac:dyDescent="0.2">
      <c r="A149" s="519" t="s">
        <v>3891</v>
      </c>
      <c r="B149" s="519">
        <v>300230000</v>
      </c>
      <c r="C149" s="519">
        <v>60.91</v>
      </c>
      <c r="D149" s="519" t="s">
        <v>901</v>
      </c>
    </row>
    <row r="150" spans="1:4" x14ac:dyDescent="0.2">
      <c r="A150" s="519" t="s">
        <v>3892</v>
      </c>
      <c r="B150" s="519">
        <v>372202000</v>
      </c>
      <c r="C150" s="519">
        <v>77.87</v>
      </c>
      <c r="D150" s="519" t="s">
        <v>901</v>
      </c>
    </row>
    <row r="151" spans="1:4" x14ac:dyDescent="0.2">
      <c r="A151" s="519" t="s">
        <v>3893</v>
      </c>
      <c r="B151" s="519">
        <v>373898000</v>
      </c>
      <c r="C151" s="519">
        <v>77.900000000000006</v>
      </c>
      <c r="D151" s="519" t="s">
        <v>901</v>
      </c>
    </row>
    <row r="152" spans="1:4" x14ac:dyDescent="0.2">
      <c r="A152" s="519"/>
      <c r="B152" s="519"/>
      <c r="C152" s="519"/>
      <c r="D152" s="519"/>
    </row>
    <row r="153" spans="1:4" x14ac:dyDescent="0.2">
      <c r="A153" s="519" t="s">
        <v>1027</v>
      </c>
      <c r="B153" s="519">
        <v>23000000</v>
      </c>
      <c r="C153" s="519">
        <v>0</v>
      </c>
      <c r="D153" s="519" t="s">
        <v>61</v>
      </c>
    </row>
    <row r="154" spans="1:4" x14ac:dyDescent="0.2">
      <c r="A154" s="519" t="s">
        <v>1028</v>
      </c>
      <c r="B154" s="519">
        <v>23000000</v>
      </c>
      <c r="C154" s="519">
        <v>0</v>
      </c>
      <c r="D154" s="519" t="s">
        <v>61</v>
      </c>
    </row>
    <row r="155" spans="1:4" x14ac:dyDescent="0.2">
      <c r="A155" s="519" t="s">
        <v>1029</v>
      </c>
      <c r="B155" s="519">
        <v>23000000</v>
      </c>
      <c r="C155" s="519">
        <v>0</v>
      </c>
      <c r="D155" s="519" t="s">
        <v>61</v>
      </c>
    </row>
    <row r="156" spans="1:4" x14ac:dyDescent="0.2">
      <c r="A156" s="519" t="s">
        <v>902</v>
      </c>
      <c r="B156" s="519">
        <v>23000000</v>
      </c>
      <c r="C156" s="519">
        <v>0</v>
      </c>
      <c r="D156" s="519" t="s">
        <v>61</v>
      </c>
    </row>
    <row r="157" spans="1:4" x14ac:dyDescent="0.2">
      <c r="A157" s="519" t="s">
        <v>903</v>
      </c>
      <c r="B157" s="519">
        <v>23000000</v>
      </c>
      <c r="C157" s="519">
        <v>0</v>
      </c>
      <c r="D157" s="519" t="s">
        <v>61</v>
      </c>
    </row>
    <row r="158" spans="1:4" x14ac:dyDescent="0.2">
      <c r="A158" s="519" t="s">
        <v>1130</v>
      </c>
      <c r="B158" s="519">
        <v>23000000</v>
      </c>
      <c r="C158" s="519">
        <v>0</v>
      </c>
      <c r="D158" s="519" t="s">
        <v>61</v>
      </c>
    </row>
    <row r="159" spans="1:4" x14ac:dyDescent="0.2">
      <c r="A159" s="519" t="s">
        <v>1259</v>
      </c>
      <c r="B159" s="519">
        <v>23000000</v>
      </c>
      <c r="C159" s="519">
        <v>0</v>
      </c>
      <c r="D159" s="519" t="s">
        <v>61</v>
      </c>
    </row>
    <row r="160" spans="1:4" x14ac:dyDescent="0.2">
      <c r="A160" s="519" t="s">
        <v>1030</v>
      </c>
      <c r="B160" s="519">
        <v>23000000</v>
      </c>
      <c r="C160" s="519">
        <v>0</v>
      </c>
      <c r="D160" s="519" t="s">
        <v>61</v>
      </c>
    </row>
    <row r="161" spans="1:4" x14ac:dyDescent="0.2">
      <c r="A161" s="519" t="s">
        <v>1034</v>
      </c>
      <c r="B161" s="519">
        <v>23000000</v>
      </c>
      <c r="C161" s="519">
        <v>0</v>
      </c>
      <c r="D161" s="519" t="s">
        <v>61</v>
      </c>
    </row>
    <row r="162" spans="1:4" x14ac:dyDescent="0.2">
      <c r="A162" s="519" t="s">
        <v>1260</v>
      </c>
      <c r="B162" s="519">
        <v>23000000</v>
      </c>
      <c r="C162" s="519">
        <v>0</v>
      </c>
      <c r="D162" s="519" t="s">
        <v>61</v>
      </c>
    </row>
    <row r="163" spans="1:4" x14ac:dyDescent="0.2">
      <c r="A163" s="519" t="s">
        <v>1129</v>
      </c>
      <c r="B163" s="519">
        <v>23000000</v>
      </c>
      <c r="C163" s="519">
        <v>0</v>
      </c>
      <c r="D163" s="519" t="s">
        <v>61</v>
      </c>
    </row>
    <row r="164" spans="1:4" x14ac:dyDescent="0.2">
      <c r="A164" s="519" t="s">
        <v>1178</v>
      </c>
      <c r="B164" s="519">
        <v>23000000</v>
      </c>
      <c r="C164" s="519">
        <v>0</v>
      </c>
      <c r="D164" s="519" t="s">
        <v>61</v>
      </c>
    </row>
    <row r="165" spans="1:4" x14ac:dyDescent="0.2">
      <c r="A165" s="519" t="s">
        <v>1343</v>
      </c>
      <c r="B165" s="519">
        <v>23000000</v>
      </c>
      <c r="C165" s="519">
        <v>0</v>
      </c>
      <c r="D165" s="519" t="s">
        <v>61</v>
      </c>
    </row>
    <row r="166" spans="1:4" x14ac:dyDescent="0.2">
      <c r="A166" s="519" t="s">
        <v>1728</v>
      </c>
      <c r="B166" s="519">
        <v>23000000</v>
      </c>
      <c r="C166" s="519">
        <v>0</v>
      </c>
      <c r="D166" s="519" t="s">
        <v>61</v>
      </c>
    </row>
    <row r="167" spans="1:4" x14ac:dyDescent="0.2">
      <c r="A167" s="519" t="s">
        <v>4386</v>
      </c>
      <c r="B167" s="519">
        <v>23000000</v>
      </c>
      <c r="C167" s="519">
        <v>0</v>
      </c>
      <c r="D167" s="519" t="s">
        <v>901</v>
      </c>
    </row>
    <row r="168" spans="1:4" x14ac:dyDescent="0.2">
      <c r="A168" s="519" t="s">
        <v>3894</v>
      </c>
      <c r="B168" s="519">
        <v>24000000</v>
      </c>
      <c r="C168" s="519">
        <v>0</v>
      </c>
      <c r="D168" s="519" t="s">
        <v>901</v>
      </c>
    </row>
    <row r="169" spans="1:4" x14ac:dyDescent="0.2">
      <c r="A169" s="519" t="s">
        <v>3400</v>
      </c>
      <c r="B169" s="519">
        <v>24000000</v>
      </c>
      <c r="C169" s="519">
        <v>0</v>
      </c>
      <c r="D169" s="519" t="s">
        <v>901</v>
      </c>
    </row>
    <row r="170" spans="1:4" x14ac:dyDescent="0.2">
      <c r="A170" s="519" t="s">
        <v>4387</v>
      </c>
      <c r="B170" s="519">
        <v>29000000</v>
      </c>
      <c r="C170" s="519">
        <v>0</v>
      </c>
      <c r="D170" s="519" t="s">
        <v>901</v>
      </c>
    </row>
    <row r="171" spans="1:4" x14ac:dyDescent="0.2">
      <c r="A171" s="519" t="s">
        <v>4388</v>
      </c>
      <c r="B171" s="519">
        <v>28000000</v>
      </c>
      <c r="C171" s="519">
        <v>0</v>
      </c>
      <c r="D171" s="519" t="s">
        <v>901</v>
      </c>
    </row>
    <row r="172" spans="1:4" x14ac:dyDescent="0.2">
      <c r="A172" s="519" t="s">
        <v>2593</v>
      </c>
      <c r="B172" s="519">
        <v>23000000</v>
      </c>
      <c r="C172" s="519">
        <v>0</v>
      </c>
      <c r="D172" s="519" t="s">
        <v>901</v>
      </c>
    </row>
    <row r="173" spans="1:4" x14ac:dyDescent="0.2">
      <c r="A173" s="519" t="s">
        <v>2269</v>
      </c>
      <c r="B173" s="519">
        <v>23000000</v>
      </c>
      <c r="C173" s="519">
        <v>0</v>
      </c>
      <c r="D173" s="519" t="s">
        <v>901</v>
      </c>
    </row>
    <row r="174" spans="1:4" x14ac:dyDescent="0.2">
      <c r="A174" s="519" t="s">
        <v>4389</v>
      </c>
      <c r="B174" s="519">
        <v>29000000</v>
      </c>
      <c r="C174" s="519">
        <v>0</v>
      </c>
      <c r="D174" s="519" t="s">
        <v>901</v>
      </c>
    </row>
    <row r="175" spans="1:4" x14ac:dyDescent="0.2">
      <c r="A175" s="519" t="s">
        <v>4390</v>
      </c>
      <c r="B175" s="519">
        <v>28000000</v>
      </c>
      <c r="C175" s="519">
        <v>0</v>
      </c>
      <c r="D175" s="519" t="s">
        <v>901</v>
      </c>
    </row>
    <row r="176" spans="1:4" x14ac:dyDescent="0.2">
      <c r="A176" s="519" t="s">
        <v>4306</v>
      </c>
      <c r="B176" s="519">
        <v>28000000</v>
      </c>
      <c r="C176" s="519">
        <v>0</v>
      </c>
      <c r="D176" s="519" t="s">
        <v>901</v>
      </c>
    </row>
    <row r="177" spans="1:5" x14ac:dyDescent="0.2">
      <c r="A177" s="519" t="s">
        <v>4391</v>
      </c>
      <c r="B177" s="519">
        <v>28000000</v>
      </c>
      <c r="C177" s="519">
        <v>0</v>
      </c>
      <c r="D177" s="519" t="s">
        <v>901</v>
      </c>
    </row>
    <row r="178" spans="1:5" x14ac:dyDescent="0.2">
      <c r="A178" s="519" t="s">
        <v>4307</v>
      </c>
      <c r="B178" s="519">
        <v>28000000</v>
      </c>
      <c r="C178" s="519">
        <v>0</v>
      </c>
      <c r="D178" s="519" t="s">
        <v>901</v>
      </c>
    </row>
    <row r="179" spans="1:5" x14ac:dyDescent="0.2">
      <c r="A179" s="519" t="s">
        <v>4308</v>
      </c>
      <c r="B179" s="519">
        <v>28000000</v>
      </c>
      <c r="C179" s="519">
        <v>0</v>
      </c>
      <c r="D179" s="519" t="s">
        <v>901</v>
      </c>
    </row>
    <row r="180" spans="1:5" x14ac:dyDescent="0.2">
      <c r="A180" s="519" t="s">
        <v>4309</v>
      </c>
      <c r="B180" s="519">
        <v>28000000</v>
      </c>
      <c r="C180" s="519">
        <v>0</v>
      </c>
      <c r="D180" s="519" t="s">
        <v>901</v>
      </c>
    </row>
    <row r="181" spans="1:5" x14ac:dyDescent="0.2">
      <c r="A181" s="519" t="s">
        <v>4392</v>
      </c>
      <c r="B181" s="519">
        <v>28000000</v>
      </c>
      <c r="C181" s="519">
        <v>0</v>
      </c>
      <c r="D181" s="519" t="s">
        <v>901</v>
      </c>
    </row>
    <row r="182" spans="1:5" x14ac:dyDescent="0.2">
      <c r="A182" s="519" t="s">
        <v>4310</v>
      </c>
      <c r="B182" s="519">
        <v>28000000</v>
      </c>
      <c r="C182" s="519">
        <v>0</v>
      </c>
      <c r="D182" s="519" t="s">
        <v>901</v>
      </c>
      <c r="E182" s="549"/>
    </row>
    <row r="183" spans="1:5" x14ac:dyDescent="0.2">
      <c r="A183" s="519" t="s">
        <v>4393</v>
      </c>
      <c r="B183" s="519">
        <v>28000000</v>
      </c>
      <c r="C183" s="519">
        <v>0</v>
      </c>
      <c r="D183" s="519" t="s">
        <v>901</v>
      </c>
    </row>
    <row r="184" spans="1:5" x14ac:dyDescent="0.2">
      <c r="A184" s="519" t="s">
        <v>4311</v>
      </c>
      <c r="B184" s="519">
        <v>24000000</v>
      </c>
      <c r="C184" s="519">
        <v>0</v>
      </c>
      <c r="D184" s="519" t="s">
        <v>901</v>
      </c>
    </row>
    <row r="185" spans="1:5" x14ac:dyDescent="0.2">
      <c r="A185" s="519" t="s">
        <v>4312</v>
      </c>
      <c r="B185" s="519">
        <v>23000000</v>
      </c>
      <c r="C185" s="519">
        <v>0</v>
      </c>
      <c r="D185" s="519" t="s">
        <v>901</v>
      </c>
    </row>
    <row r="186" spans="1:5" x14ac:dyDescent="0.2">
      <c r="A186" s="519" t="s">
        <v>4313</v>
      </c>
      <c r="B186" s="519">
        <v>24000000</v>
      </c>
      <c r="C186" s="519">
        <v>0</v>
      </c>
      <c r="D186" s="519" t="s">
        <v>901</v>
      </c>
    </row>
    <row r="187" spans="1:5" x14ac:dyDescent="0.2">
      <c r="A187" s="519" t="s">
        <v>3471</v>
      </c>
      <c r="B187" s="519">
        <v>24000000</v>
      </c>
      <c r="C187" s="519">
        <v>0</v>
      </c>
      <c r="D187" s="519" t="s">
        <v>901</v>
      </c>
    </row>
    <row r="188" spans="1:5" x14ac:dyDescent="0.2">
      <c r="A188" s="519" t="s">
        <v>4394</v>
      </c>
      <c r="B188" s="519">
        <v>23000000</v>
      </c>
      <c r="C188" s="519">
        <v>0</v>
      </c>
      <c r="D188" s="519" t="s">
        <v>901</v>
      </c>
    </row>
    <row r="189" spans="1:5" x14ac:dyDescent="0.2">
      <c r="A189" s="519" t="s">
        <v>3401</v>
      </c>
      <c r="B189" s="519">
        <v>24000000</v>
      </c>
      <c r="C189" s="519">
        <v>0</v>
      </c>
      <c r="D189" s="519" t="s">
        <v>901</v>
      </c>
    </row>
    <row r="190" spans="1:5" x14ac:dyDescent="0.2">
      <c r="A190" s="519" t="s">
        <v>3402</v>
      </c>
      <c r="B190" s="519">
        <v>24000000</v>
      </c>
      <c r="C190" s="519">
        <v>0</v>
      </c>
      <c r="D190" s="519" t="s">
        <v>901</v>
      </c>
    </row>
    <row r="191" spans="1:5" x14ac:dyDescent="0.2">
      <c r="A191" s="519" t="s">
        <v>4260</v>
      </c>
      <c r="B191" s="519">
        <v>24000000</v>
      </c>
      <c r="C191" s="519">
        <v>0</v>
      </c>
      <c r="D191" s="519" t="s">
        <v>901</v>
      </c>
    </row>
    <row r="192" spans="1:5" x14ac:dyDescent="0.2">
      <c r="A192" s="519" t="s">
        <v>3472</v>
      </c>
      <c r="B192" s="519">
        <v>24000000</v>
      </c>
      <c r="C192" s="519">
        <v>0</v>
      </c>
      <c r="D192" s="519" t="s">
        <v>901</v>
      </c>
    </row>
    <row r="193" spans="1:4" x14ac:dyDescent="0.2">
      <c r="A193" s="519" t="s">
        <v>4395</v>
      </c>
      <c r="B193" s="519">
        <v>24000000</v>
      </c>
      <c r="C193" s="519">
        <v>0</v>
      </c>
      <c r="D193" s="519" t="s">
        <v>901</v>
      </c>
    </row>
    <row r="194" spans="1:4" x14ac:dyDescent="0.2">
      <c r="A194" s="519" t="s">
        <v>4314</v>
      </c>
      <c r="B194" s="519">
        <v>24000000</v>
      </c>
      <c r="C194" s="519">
        <v>0</v>
      </c>
      <c r="D194" s="519" t="s">
        <v>901</v>
      </c>
    </row>
    <row r="195" spans="1:4" x14ac:dyDescent="0.2">
      <c r="A195" s="519" t="s">
        <v>3403</v>
      </c>
      <c r="B195" s="519">
        <v>24000000</v>
      </c>
      <c r="C195" s="519">
        <v>0</v>
      </c>
      <c r="D195" s="519" t="s">
        <v>901</v>
      </c>
    </row>
    <row r="196" spans="1:4" x14ac:dyDescent="0.2">
      <c r="A196" s="519" t="s">
        <v>4315</v>
      </c>
      <c r="B196" s="519">
        <v>24000000</v>
      </c>
      <c r="C196" s="519">
        <v>0</v>
      </c>
      <c r="D196" s="519" t="s">
        <v>901</v>
      </c>
    </row>
    <row r="197" spans="1:4" x14ac:dyDescent="0.2">
      <c r="A197" s="519" t="s">
        <v>4396</v>
      </c>
      <c r="B197" s="519">
        <v>28000000</v>
      </c>
      <c r="C197" s="519">
        <v>0</v>
      </c>
      <c r="D197" s="519" t="s">
        <v>901</v>
      </c>
    </row>
    <row r="198" spans="1:4" x14ac:dyDescent="0.2">
      <c r="A198" s="519" t="s">
        <v>4316</v>
      </c>
      <c r="B198" s="519">
        <v>28000000</v>
      </c>
      <c r="C198" s="519">
        <v>0</v>
      </c>
      <c r="D198" s="519" t="s">
        <v>901</v>
      </c>
    </row>
    <row r="199" spans="1:4" x14ac:dyDescent="0.2">
      <c r="A199" s="519" t="s">
        <v>4317</v>
      </c>
      <c r="B199" s="519">
        <v>28000000</v>
      </c>
      <c r="C199" s="519">
        <v>0</v>
      </c>
      <c r="D199" s="519" t="s">
        <v>901</v>
      </c>
    </row>
    <row r="200" spans="1:4" x14ac:dyDescent="0.2">
      <c r="A200" s="519" t="s">
        <v>3313</v>
      </c>
      <c r="B200" s="519">
        <v>24000000</v>
      </c>
      <c r="C200" s="519">
        <v>0</v>
      </c>
      <c r="D200" s="519" t="s">
        <v>901</v>
      </c>
    </row>
    <row r="201" spans="1:4" x14ac:dyDescent="0.2">
      <c r="A201" s="519" t="s">
        <v>4318</v>
      </c>
      <c r="B201" s="519">
        <v>28000000</v>
      </c>
      <c r="C201" s="519">
        <v>0</v>
      </c>
      <c r="D201" s="519" t="s">
        <v>901</v>
      </c>
    </row>
    <row r="202" spans="1:4" x14ac:dyDescent="0.2">
      <c r="A202" s="519" t="s">
        <v>4397</v>
      </c>
      <c r="B202" s="519">
        <v>28000000</v>
      </c>
      <c r="C202" s="519">
        <v>0</v>
      </c>
      <c r="D202" s="519" t="s">
        <v>901</v>
      </c>
    </row>
    <row r="203" spans="1:4" x14ac:dyDescent="0.2">
      <c r="A203" s="519" t="s">
        <v>4319</v>
      </c>
      <c r="B203" s="519">
        <v>28000000</v>
      </c>
      <c r="C203" s="519">
        <v>0</v>
      </c>
      <c r="D203" s="519" t="s">
        <v>901</v>
      </c>
    </row>
    <row r="204" spans="1:4" x14ac:dyDescent="0.2">
      <c r="A204" s="519" t="s">
        <v>4398</v>
      </c>
      <c r="B204" s="519">
        <v>28000000</v>
      </c>
      <c r="C204" s="519">
        <v>0</v>
      </c>
      <c r="D204" s="519" t="s">
        <v>901</v>
      </c>
    </row>
    <row r="205" spans="1:4" x14ac:dyDescent="0.2">
      <c r="A205" s="519" t="s">
        <v>4399</v>
      </c>
      <c r="B205" s="519">
        <v>28000000</v>
      </c>
      <c r="C205" s="519">
        <v>0</v>
      </c>
      <c r="D205" s="519" t="s">
        <v>901</v>
      </c>
    </row>
    <row r="206" spans="1:4" x14ac:dyDescent="0.2">
      <c r="A206" s="519" t="s">
        <v>4320</v>
      </c>
      <c r="B206" s="519">
        <v>23000000</v>
      </c>
      <c r="C206" s="519">
        <v>0</v>
      </c>
      <c r="D206" s="519" t="s">
        <v>901</v>
      </c>
    </row>
    <row r="207" spans="1:4" x14ac:dyDescent="0.2">
      <c r="A207" s="519" t="s">
        <v>3473</v>
      </c>
      <c r="B207" s="519">
        <v>24000000</v>
      </c>
      <c r="C207" s="519">
        <v>0</v>
      </c>
      <c r="D207" s="519" t="s">
        <v>901</v>
      </c>
    </row>
    <row r="208" spans="1:4" x14ac:dyDescent="0.2">
      <c r="A208" s="519" t="s">
        <v>4321</v>
      </c>
      <c r="B208" s="519">
        <v>23000000</v>
      </c>
      <c r="C208" s="519">
        <v>0</v>
      </c>
      <c r="D208" s="519" t="s">
        <v>901</v>
      </c>
    </row>
    <row r="209" spans="1:4" x14ac:dyDescent="0.2">
      <c r="A209" s="519" t="s">
        <v>3314</v>
      </c>
      <c r="B209" s="519">
        <v>23000000</v>
      </c>
      <c r="C209" s="519">
        <v>0</v>
      </c>
      <c r="D209" s="519" t="s">
        <v>901</v>
      </c>
    </row>
    <row r="210" spans="1:4" x14ac:dyDescent="0.2">
      <c r="A210" s="519" t="s">
        <v>4322</v>
      </c>
      <c r="B210" s="519">
        <v>23000000</v>
      </c>
      <c r="C210" s="519">
        <v>0</v>
      </c>
      <c r="D210" s="519" t="s">
        <v>901</v>
      </c>
    </row>
    <row r="211" spans="1:4" x14ac:dyDescent="0.2">
      <c r="A211" s="519" t="s">
        <v>4400</v>
      </c>
      <c r="B211" s="519">
        <v>29000000</v>
      </c>
      <c r="C211" s="519">
        <v>0</v>
      </c>
      <c r="D211" s="519" t="s">
        <v>901</v>
      </c>
    </row>
    <row r="212" spans="1:4" x14ac:dyDescent="0.2">
      <c r="A212" s="519" t="s">
        <v>4401</v>
      </c>
      <c r="B212" s="519">
        <v>29000000</v>
      </c>
      <c r="C212" s="519">
        <v>0</v>
      </c>
      <c r="D212" s="519" t="s">
        <v>901</v>
      </c>
    </row>
    <row r="213" spans="1:4" x14ac:dyDescent="0.2">
      <c r="A213" s="519" t="s">
        <v>4323</v>
      </c>
      <c r="B213" s="519">
        <v>24000000</v>
      </c>
      <c r="C213" s="519">
        <v>0</v>
      </c>
      <c r="D213" s="519" t="s">
        <v>901</v>
      </c>
    </row>
    <row r="214" spans="1:4" x14ac:dyDescent="0.2">
      <c r="A214" s="519" t="s">
        <v>4324</v>
      </c>
      <c r="B214" s="519">
        <v>28000000</v>
      </c>
      <c r="C214" s="519">
        <v>0</v>
      </c>
      <c r="D214" s="519" t="s">
        <v>901</v>
      </c>
    </row>
    <row r="215" spans="1:4" x14ac:dyDescent="0.2">
      <c r="A215" s="519" t="s">
        <v>4325</v>
      </c>
      <c r="B215" s="519">
        <v>28000000</v>
      </c>
      <c r="C215" s="519">
        <v>0</v>
      </c>
      <c r="D215" s="519" t="s">
        <v>901</v>
      </c>
    </row>
    <row r="216" spans="1:4" x14ac:dyDescent="0.2">
      <c r="A216" s="519" t="s">
        <v>4326</v>
      </c>
      <c r="B216" s="519">
        <v>29000000</v>
      </c>
      <c r="C216" s="519">
        <v>0</v>
      </c>
      <c r="D216" s="519" t="s">
        <v>901</v>
      </c>
    </row>
    <row r="217" spans="1:4" x14ac:dyDescent="0.2">
      <c r="A217" s="519" t="s">
        <v>4402</v>
      </c>
      <c r="B217" s="519">
        <v>29000000</v>
      </c>
      <c r="C217" s="519">
        <v>0</v>
      </c>
      <c r="D217" s="519" t="s">
        <v>901</v>
      </c>
    </row>
    <row r="218" spans="1:4" x14ac:dyDescent="0.2">
      <c r="A218" s="519" t="s">
        <v>4327</v>
      </c>
      <c r="B218" s="519">
        <v>29000000</v>
      </c>
      <c r="C218" s="519">
        <v>0</v>
      </c>
      <c r="D218" s="519" t="s">
        <v>901</v>
      </c>
    </row>
    <row r="219" spans="1:4" x14ac:dyDescent="0.2">
      <c r="A219" s="519" t="s">
        <v>4403</v>
      </c>
      <c r="B219" s="519">
        <v>28000000</v>
      </c>
      <c r="C219" s="519">
        <v>0</v>
      </c>
      <c r="D219" s="519" t="s">
        <v>901</v>
      </c>
    </row>
    <row r="220" spans="1:4" x14ac:dyDescent="0.2">
      <c r="A220" s="519" t="s">
        <v>4404</v>
      </c>
      <c r="B220" s="519">
        <v>28000000</v>
      </c>
      <c r="C220" s="519">
        <v>0</v>
      </c>
      <c r="D220" s="519" t="s">
        <v>901</v>
      </c>
    </row>
    <row r="221" spans="1:4" x14ac:dyDescent="0.2">
      <c r="A221" s="519" t="s">
        <v>4328</v>
      </c>
      <c r="B221" s="519">
        <v>28000000</v>
      </c>
      <c r="C221" s="519">
        <v>0</v>
      </c>
      <c r="D221" s="519" t="s">
        <v>901</v>
      </c>
    </row>
    <row r="222" spans="1:4" x14ac:dyDescent="0.2">
      <c r="A222" s="519" t="s">
        <v>4329</v>
      </c>
      <c r="B222" s="519">
        <v>23000000</v>
      </c>
      <c r="C222" s="519">
        <v>0</v>
      </c>
      <c r="D222" s="519" t="s">
        <v>901</v>
      </c>
    </row>
    <row r="223" spans="1:4" x14ac:dyDescent="0.2">
      <c r="A223" s="519" t="s">
        <v>3098</v>
      </c>
      <c r="B223" s="519">
        <v>24000000</v>
      </c>
      <c r="C223" s="519">
        <v>0</v>
      </c>
      <c r="D223" s="519" t="s">
        <v>901</v>
      </c>
    </row>
    <row r="224" spans="1:4" x14ac:dyDescent="0.2">
      <c r="A224" s="519" t="s">
        <v>4405</v>
      </c>
      <c r="B224" s="519">
        <v>23000000</v>
      </c>
      <c r="C224" s="519">
        <v>0</v>
      </c>
      <c r="D224" s="519" t="s">
        <v>901</v>
      </c>
    </row>
    <row r="225" spans="1:4" x14ac:dyDescent="0.2">
      <c r="A225" s="519" t="s">
        <v>3250</v>
      </c>
      <c r="B225" s="519">
        <v>24000000</v>
      </c>
      <c r="C225" s="519">
        <v>0</v>
      </c>
      <c r="D225" s="519" t="s">
        <v>901</v>
      </c>
    </row>
    <row r="226" spans="1:4" x14ac:dyDescent="0.2">
      <c r="A226" s="519" t="s">
        <v>3895</v>
      </c>
      <c r="B226" s="519">
        <v>24000000</v>
      </c>
      <c r="C226" s="519">
        <v>0</v>
      </c>
      <c r="D226" s="519" t="s">
        <v>901</v>
      </c>
    </row>
    <row r="227" spans="1:4" x14ac:dyDescent="0.2">
      <c r="A227" s="519" t="s">
        <v>4261</v>
      </c>
      <c r="B227" s="519">
        <v>24000000</v>
      </c>
      <c r="C227" s="519">
        <v>0</v>
      </c>
      <c r="D227" s="519" t="s">
        <v>901</v>
      </c>
    </row>
    <row r="228" spans="1:4" x14ac:dyDescent="0.2">
      <c r="A228" s="519" t="s">
        <v>4330</v>
      </c>
      <c r="B228" s="519">
        <v>23000000</v>
      </c>
      <c r="C228" s="519">
        <v>0</v>
      </c>
      <c r="D228" s="519" t="s">
        <v>901</v>
      </c>
    </row>
    <row r="229" spans="1:4" x14ac:dyDescent="0.2">
      <c r="A229" s="519" t="s">
        <v>4331</v>
      </c>
      <c r="B229" s="519">
        <v>24000000</v>
      </c>
      <c r="C229" s="519">
        <v>0</v>
      </c>
      <c r="D229" s="519" t="s">
        <v>901</v>
      </c>
    </row>
    <row r="230" spans="1:4" x14ac:dyDescent="0.2">
      <c r="A230" s="519" t="s">
        <v>4406</v>
      </c>
      <c r="B230" s="519">
        <v>28000000</v>
      </c>
      <c r="C230" s="519">
        <v>0</v>
      </c>
      <c r="D230" s="519" t="s">
        <v>901</v>
      </c>
    </row>
    <row r="231" spans="1:4" x14ac:dyDescent="0.2">
      <c r="A231" s="519" t="s">
        <v>4407</v>
      </c>
      <c r="B231" s="519">
        <v>23000000</v>
      </c>
      <c r="C231" s="519">
        <v>0</v>
      </c>
      <c r="D231" s="519" t="s">
        <v>901</v>
      </c>
    </row>
    <row r="232" spans="1:4" x14ac:dyDescent="0.2">
      <c r="A232" s="519" t="s">
        <v>4332</v>
      </c>
      <c r="B232" s="519">
        <v>28000000</v>
      </c>
      <c r="C232" s="519">
        <v>0</v>
      </c>
      <c r="D232" s="519" t="s">
        <v>901</v>
      </c>
    </row>
    <row r="233" spans="1:4" x14ac:dyDescent="0.2">
      <c r="A233" s="519" t="s">
        <v>4408</v>
      </c>
      <c r="B233" s="519">
        <v>28000000</v>
      </c>
      <c r="C233" s="519">
        <v>0</v>
      </c>
      <c r="D233" s="519" t="s">
        <v>901</v>
      </c>
    </row>
    <row r="234" spans="1:4" x14ac:dyDescent="0.2">
      <c r="A234" s="519" t="s">
        <v>4333</v>
      </c>
      <c r="B234" s="519">
        <v>28000000</v>
      </c>
      <c r="C234" s="519">
        <v>0</v>
      </c>
      <c r="D234" s="519" t="s">
        <v>901</v>
      </c>
    </row>
    <row r="235" spans="1:4" x14ac:dyDescent="0.2">
      <c r="A235" s="519" t="s">
        <v>4334</v>
      </c>
      <c r="B235" s="519">
        <v>28000000</v>
      </c>
      <c r="C235" s="519">
        <v>0</v>
      </c>
      <c r="D235" s="519" t="s">
        <v>901</v>
      </c>
    </row>
    <row r="236" spans="1:4" x14ac:dyDescent="0.2">
      <c r="A236" s="519" t="s">
        <v>4335</v>
      </c>
      <c r="B236" s="519">
        <v>28000000</v>
      </c>
      <c r="C236" s="519">
        <v>0</v>
      </c>
      <c r="D236" s="519" t="s">
        <v>901</v>
      </c>
    </row>
    <row r="237" spans="1:4" x14ac:dyDescent="0.2">
      <c r="A237" s="519" t="s">
        <v>4409</v>
      </c>
      <c r="B237" s="519">
        <v>28000000</v>
      </c>
      <c r="C237" s="519">
        <v>0</v>
      </c>
      <c r="D237" s="519" t="s">
        <v>901</v>
      </c>
    </row>
    <row r="238" spans="1:4" x14ac:dyDescent="0.2">
      <c r="A238" s="519" t="s">
        <v>4336</v>
      </c>
      <c r="B238" s="519">
        <v>28000000</v>
      </c>
      <c r="C238" s="519">
        <v>0</v>
      </c>
      <c r="D238" s="519" t="s">
        <v>901</v>
      </c>
    </row>
    <row r="239" spans="1:4" x14ac:dyDescent="0.2">
      <c r="A239" s="519" t="s">
        <v>4410</v>
      </c>
      <c r="B239" s="519">
        <v>28000000</v>
      </c>
      <c r="C239" s="519">
        <v>0</v>
      </c>
      <c r="D239" s="519" t="s">
        <v>901</v>
      </c>
    </row>
    <row r="240" spans="1:4" x14ac:dyDescent="0.2">
      <c r="A240" s="519" t="s">
        <v>3251</v>
      </c>
      <c r="B240" s="519">
        <v>24000000</v>
      </c>
      <c r="C240" s="519">
        <v>0</v>
      </c>
      <c r="D240" s="519" t="s">
        <v>901</v>
      </c>
    </row>
    <row r="241" spans="1:4" x14ac:dyDescent="0.2">
      <c r="A241" s="519" t="s">
        <v>4411</v>
      </c>
      <c r="B241" s="519">
        <v>29000000</v>
      </c>
      <c r="C241" s="519">
        <v>0</v>
      </c>
      <c r="D241" s="519" t="s">
        <v>901</v>
      </c>
    </row>
    <row r="242" spans="1:4" x14ac:dyDescent="0.2">
      <c r="A242" s="519" t="s">
        <v>4412</v>
      </c>
      <c r="B242" s="519">
        <v>28000000</v>
      </c>
      <c r="C242" s="519">
        <v>0</v>
      </c>
      <c r="D242" s="519" t="s">
        <v>901</v>
      </c>
    </row>
    <row r="243" spans="1:4" x14ac:dyDescent="0.2">
      <c r="A243" s="519" t="s">
        <v>4337</v>
      </c>
      <c r="B243" s="519">
        <v>28000000</v>
      </c>
      <c r="C243" s="519">
        <v>0</v>
      </c>
      <c r="D243" s="519" t="s">
        <v>901</v>
      </c>
    </row>
    <row r="244" spans="1:4" x14ac:dyDescent="0.2">
      <c r="A244" s="519" t="s">
        <v>4413</v>
      </c>
      <c r="B244" s="519">
        <v>28000000</v>
      </c>
      <c r="C244" s="519">
        <v>0</v>
      </c>
      <c r="D244" s="519" t="s">
        <v>901</v>
      </c>
    </row>
    <row r="245" spans="1:4" x14ac:dyDescent="0.2">
      <c r="A245" s="519" t="s">
        <v>3896</v>
      </c>
      <c r="B245" s="519">
        <v>24000000</v>
      </c>
      <c r="C245" s="519">
        <v>0</v>
      </c>
      <c r="D245" s="519" t="s">
        <v>901</v>
      </c>
    </row>
    <row r="246" spans="1:4" x14ac:dyDescent="0.2">
      <c r="A246" s="519" t="s">
        <v>2639</v>
      </c>
      <c r="B246" s="519">
        <v>24000000</v>
      </c>
      <c r="C246" s="519">
        <v>0</v>
      </c>
      <c r="D246" s="519" t="s">
        <v>901</v>
      </c>
    </row>
    <row r="247" spans="1:4" x14ac:dyDescent="0.2">
      <c r="A247" s="519" t="s">
        <v>2640</v>
      </c>
      <c r="B247" s="519">
        <v>24000000</v>
      </c>
      <c r="C247" s="519">
        <v>0</v>
      </c>
      <c r="D247" s="519" t="s">
        <v>901</v>
      </c>
    </row>
    <row r="248" spans="1:4" x14ac:dyDescent="0.2">
      <c r="A248" s="519" t="s">
        <v>4338</v>
      </c>
      <c r="B248" s="519">
        <v>24000000</v>
      </c>
      <c r="C248" s="519">
        <v>0</v>
      </c>
      <c r="D248" s="519" t="s">
        <v>901</v>
      </c>
    </row>
    <row r="249" spans="1:4" x14ac:dyDescent="0.2">
      <c r="A249" s="519" t="s">
        <v>4414</v>
      </c>
      <c r="B249" s="519">
        <v>23000000</v>
      </c>
      <c r="C249" s="519">
        <v>0</v>
      </c>
      <c r="D249" s="519" t="s">
        <v>901</v>
      </c>
    </row>
    <row r="250" spans="1:4" x14ac:dyDescent="0.2">
      <c r="A250" s="519" t="s">
        <v>2270</v>
      </c>
      <c r="B250" s="519">
        <v>24000000</v>
      </c>
      <c r="C250" s="519">
        <v>0</v>
      </c>
      <c r="D250" s="519" t="s">
        <v>901</v>
      </c>
    </row>
    <row r="251" spans="1:4" x14ac:dyDescent="0.2">
      <c r="A251" s="519" t="s">
        <v>1541</v>
      </c>
      <c r="B251" s="519">
        <v>24000000</v>
      </c>
      <c r="C251" s="519">
        <v>0</v>
      </c>
      <c r="D251" s="519" t="s">
        <v>901</v>
      </c>
    </row>
    <row r="252" spans="1:4" x14ac:dyDescent="0.2">
      <c r="A252" s="519" t="s">
        <v>1177</v>
      </c>
      <c r="B252" s="519">
        <v>23000000</v>
      </c>
      <c r="C252" s="519">
        <v>0</v>
      </c>
      <c r="D252" s="519" t="s">
        <v>901</v>
      </c>
    </row>
    <row r="253" spans="1:4" x14ac:dyDescent="0.2">
      <c r="A253" s="519" t="s">
        <v>1198</v>
      </c>
      <c r="B253" s="519">
        <v>23000000</v>
      </c>
      <c r="C253" s="519">
        <v>0</v>
      </c>
      <c r="D253" s="519" t="s">
        <v>901</v>
      </c>
    </row>
    <row r="254" spans="1:4" x14ac:dyDescent="0.2">
      <c r="A254" s="519" t="s">
        <v>1494</v>
      </c>
      <c r="B254" s="519">
        <v>24000000</v>
      </c>
      <c r="C254" s="519">
        <v>0</v>
      </c>
      <c r="D254" s="519" t="s">
        <v>901</v>
      </c>
    </row>
    <row r="255" spans="1:4" x14ac:dyDescent="0.2">
      <c r="A255" s="519" t="s">
        <v>1230</v>
      </c>
      <c r="B255" s="519">
        <v>23000000</v>
      </c>
      <c r="C255" s="519">
        <v>0</v>
      </c>
      <c r="D255" s="519" t="s">
        <v>901</v>
      </c>
    </row>
    <row r="256" spans="1:4" x14ac:dyDescent="0.2">
      <c r="A256" s="519" t="s">
        <v>1022</v>
      </c>
      <c r="B256" s="519">
        <v>24000000</v>
      </c>
      <c r="C256" s="519">
        <v>0</v>
      </c>
      <c r="D256" s="519" t="s">
        <v>901</v>
      </c>
    </row>
    <row r="257" spans="1:4" x14ac:dyDescent="0.2">
      <c r="A257" s="519" t="s">
        <v>1023</v>
      </c>
      <c r="B257" s="519">
        <v>24000000</v>
      </c>
      <c r="C257" s="519">
        <v>0</v>
      </c>
      <c r="D257" s="519" t="s">
        <v>901</v>
      </c>
    </row>
    <row r="258" spans="1:4" x14ac:dyDescent="0.2">
      <c r="A258" s="519" t="s">
        <v>1154</v>
      </c>
      <c r="B258" s="519">
        <v>23000000</v>
      </c>
      <c r="C258" s="519">
        <v>0</v>
      </c>
      <c r="D258" s="519" t="s">
        <v>901</v>
      </c>
    </row>
    <row r="259" spans="1:4" x14ac:dyDescent="0.2">
      <c r="A259" s="519" t="s">
        <v>1258</v>
      </c>
      <c r="B259" s="519">
        <v>24000000</v>
      </c>
      <c r="C259" s="519">
        <v>0</v>
      </c>
      <c r="D259" s="519" t="s">
        <v>901</v>
      </c>
    </row>
    <row r="260" spans="1:4" x14ac:dyDescent="0.2">
      <c r="A260" s="519" t="s">
        <v>1155</v>
      </c>
      <c r="B260" s="519">
        <v>23000000</v>
      </c>
      <c r="C260" s="519">
        <v>0</v>
      </c>
      <c r="D260" s="519" t="s">
        <v>901</v>
      </c>
    </row>
    <row r="261" spans="1:4" x14ac:dyDescent="0.2">
      <c r="A261" s="519" t="s">
        <v>1368</v>
      </c>
      <c r="B261" s="519">
        <v>24000000</v>
      </c>
      <c r="C261" s="519">
        <v>0</v>
      </c>
      <c r="D261" s="519" t="s">
        <v>901</v>
      </c>
    </row>
    <row r="262" spans="1:4" x14ac:dyDescent="0.2">
      <c r="A262" s="519" t="s">
        <v>1102</v>
      </c>
      <c r="B262" s="519">
        <v>23000000</v>
      </c>
      <c r="C262" s="519">
        <v>0</v>
      </c>
      <c r="D262" s="519" t="s">
        <v>901</v>
      </c>
    </row>
    <row r="263" spans="1:4" x14ac:dyDescent="0.2">
      <c r="A263" s="519" t="s">
        <v>1103</v>
      </c>
      <c r="B263" s="519">
        <v>24000000</v>
      </c>
      <c r="C263" s="519">
        <v>0</v>
      </c>
      <c r="D263" s="519" t="s">
        <v>901</v>
      </c>
    </row>
    <row r="264" spans="1:4" x14ac:dyDescent="0.2">
      <c r="A264" s="519" t="s">
        <v>1031</v>
      </c>
      <c r="B264" s="519">
        <v>23000000</v>
      </c>
      <c r="C264" s="519">
        <v>0</v>
      </c>
      <c r="D264" s="519" t="s">
        <v>901</v>
      </c>
    </row>
    <row r="265" spans="1:4" x14ac:dyDescent="0.2">
      <c r="A265" s="519" t="s">
        <v>1032</v>
      </c>
      <c r="B265" s="519">
        <v>23000000</v>
      </c>
      <c r="C265" s="519">
        <v>0</v>
      </c>
      <c r="D265" s="519" t="s">
        <v>901</v>
      </c>
    </row>
    <row r="266" spans="1:4" x14ac:dyDescent="0.2">
      <c r="A266" s="519" t="s">
        <v>1033</v>
      </c>
      <c r="B266" s="519">
        <v>23000000</v>
      </c>
      <c r="C266" s="519">
        <v>0</v>
      </c>
      <c r="D266" s="519" t="s">
        <v>901</v>
      </c>
    </row>
    <row r="267" spans="1:4" x14ac:dyDescent="0.2">
      <c r="A267" s="519" t="s">
        <v>1188</v>
      </c>
      <c r="B267" s="519">
        <v>23000000</v>
      </c>
      <c r="C267" s="519">
        <v>0</v>
      </c>
      <c r="D267" s="519" t="s">
        <v>901</v>
      </c>
    </row>
    <row r="268" spans="1:4" x14ac:dyDescent="0.2">
      <c r="A268" s="519" t="s">
        <v>1104</v>
      </c>
      <c r="B268" s="519">
        <v>23000000</v>
      </c>
      <c r="C268" s="519">
        <v>0</v>
      </c>
      <c r="D268" s="519" t="s">
        <v>901</v>
      </c>
    </row>
    <row r="269" spans="1:4" x14ac:dyDescent="0.2">
      <c r="A269" s="519" t="s">
        <v>1156</v>
      </c>
      <c r="B269" s="519">
        <v>23000000</v>
      </c>
      <c r="C269" s="519">
        <v>0</v>
      </c>
      <c r="D269" s="519" t="s">
        <v>901</v>
      </c>
    </row>
    <row r="270" spans="1:4" x14ac:dyDescent="0.2">
      <c r="A270" s="519" t="s">
        <v>1035</v>
      </c>
      <c r="B270" s="519">
        <v>23000000</v>
      </c>
      <c r="C270" s="519">
        <v>0</v>
      </c>
      <c r="D270" s="519" t="s">
        <v>901</v>
      </c>
    </row>
    <row r="271" spans="1:4" x14ac:dyDescent="0.2">
      <c r="A271" s="519" t="s">
        <v>1105</v>
      </c>
      <c r="B271" s="519">
        <v>23000000</v>
      </c>
      <c r="C271" s="519">
        <v>0</v>
      </c>
      <c r="D271" s="519" t="s">
        <v>901</v>
      </c>
    </row>
    <row r="272" spans="1:4" x14ac:dyDescent="0.2">
      <c r="A272" s="519" t="s">
        <v>1131</v>
      </c>
      <c r="B272" s="519">
        <v>23000000</v>
      </c>
      <c r="C272" s="519">
        <v>0</v>
      </c>
      <c r="D272" s="519" t="s">
        <v>901</v>
      </c>
    </row>
    <row r="273" spans="1:4" x14ac:dyDescent="0.2">
      <c r="A273" s="519" t="s">
        <v>1036</v>
      </c>
      <c r="B273" s="519">
        <v>23000000</v>
      </c>
      <c r="C273" s="519">
        <v>0</v>
      </c>
      <c r="D273" s="519" t="s">
        <v>901</v>
      </c>
    </row>
    <row r="274" spans="1:4" x14ac:dyDescent="0.2">
      <c r="A274" s="519" t="s">
        <v>1157</v>
      </c>
      <c r="B274" s="519">
        <v>23000000</v>
      </c>
      <c r="C274" s="519">
        <v>0</v>
      </c>
      <c r="D274" s="519" t="s">
        <v>901</v>
      </c>
    </row>
    <row r="275" spans="1:4" x14ac:dyDescent="0.2">
      <c r="A275" s="519" t="s">
        <v>1158</v>
      </c>
      <c r="B275" s="519">
        <v>23000000</v>
      </c>
      <c r="C275" s="519">
        <v>0</v>
      </c>
      <c r="D275" s="519" t="s">
        <v>901</v>
      </c>
    </row>
    <row r="276" spans="1:4" x14ac:dyDescent="0.2">
      <c r="A276" s="519" t="s">
        <v>1159</v>
      </c>
      <c r="B276" s="519">
        <v>23000000</v>
      </c>
      <c r="C276" s="519">
        <v>0</v>
      </c>
      <c r="D276" s="519" t="s">
        <v>901</v>
      </c>
    </row>
    <row r="277" spans="1:4" x14ac:dyDescent="0.2">
      <c r="A277" s="519" t="s">
        <v>1106</v>
      </c>
      <c r="B277" s="519">
        <v>23000000</v>
      </c>
      <c r="C277" s="519">
        <v>0</v>
      </c>
      <c r="D277" s="519" t="s">
        <v>901</v>
      </c>
    </row>
    <row r="278" spans="1:4" x14ac:dyDescent="0.2">
      <c r="A278" s="519" t="s">
        <v>1495</v>
      </c>
      <c r="B278" s="519">
        <v>24000000</v>
      </c>
      <c r="C278" s="519">
        <v>0</v>
      </c>
      <c r="D278" s="519" t="s">
        <v>901</v>
      </c>
    </row>
    <row r="279" spans="1:4" x14ac:dyDescent="0.2">
      <c r="A279" s="519" t="s">
        <v>1132</v>
      </c>
      <c r="B279" s="519">
        <v>24000000</v>
      </c>
      <c r="C279" s="519">
        <v>0</v>
      </c>
      <c r="D279" s="519" t="s">
        <v>901</v>
      </c>
    </row>
    <row r="280" spans="1:4" x14ac:dyDescent="0.2">
      <c r="A280" s="519" t="s">
        <v>1107</v>
      </c>
      <c r="B280" s="519">
        <v>23000000</v>
      </c>
      <c r="C280" s="519">
        <v>0</v>
      </c>
      <c r="D280" s="519" t="s">
        <v>901</v>
      </c>
    </row>
    <row r="281" spans="1:4" x14ac:dyDescent="0.2">
      <c r="A281" s="519" t="s">
        <v>1037</v>
      </c>
      <c r="B281" s="519">
        <v>23000000</v>
      </c>
      <c r="C281" s="519">
        <v>0</v>
      </c>
      <c r="D281" s="519" t="s">
        <v>901</v>
      </c>
    </row>
    <row r="282" spans="1:4" x14ac:dyDescent="0.2">
      <c r="A282" s="519" t="s">
        <v>1038</v>
      </c>
      <c r="B282" s="519">
        <v>23000000</v>
      </c>
      <c r="C282" s="519">
        <v>0</v>
      </c>
      <c r="D282" s="519" t="s">
        <v>901</v>
      </c>
    </row>
    <row r="283" spans="1:4" x14ac:dyDescent="0.2">
      <c r="A283" s="519" t="s">
        <v>1133</v>
      </c>
      <c r="B283" s="519">
        <v>23000000</v>
      </c>
      <c r="C283" s="519">
        <v>0</v>
      </c>
      <c r="D283" s="519" t="s">
        <v>901</v>
      </c>
    </row>
    <row r="284" spans="1:4" x14ac:dyDescent="0.2">
      <c r="A284" s="519" t="s">
        <v>1261</v>
      </c>
      <c r="B284" s="519">
        <v>24000000</v>
      </c>
      <c r="C284" s="519">
        <v>0</v>
      </c>
      <c r="D284" s="519" t="s">
        <v>901</v>
      </c>
    </row>
    <row r="285" spans="1:4" x14ac:dyDescent="0.2">
      <c r="A285" s="519" t="s">
        <v>1262</v>
      </c>
      <c r="B285" s="519">
        <v>24000000</v>
      </c>
      <c r="C285" s="519">
        <v>0</v>
      </c>
      <c r="D285" s="519" t="s">
        <v>901</v>
      </c>
    </row>
    <row r="286" spans="1:4" x14ac:dyDescent="0.2">
      <c r="A286" s="519" t="s">
        <v>1134</v>
      </c>
      <c r="B286" s="519">
        <v>23000000</v>
      </c>
      <c r="C286" s="519">
        <v>0</v>
      </c>
      <c r="D286" s="519" t="s">
        <v>901</v>
      </c>
    </row>
    <row r="287" spans="1:4" x14ac:dyDescent="0.2">
      <c r="A287" s="519" t="s">
        <v>1160</v>
      </c>
      <c r="B287" s="519">
        <v>23000000</v>
      </c>
      <c r="C287" s="519">
        <v>0</v>
      </c>
      <c r="D287" s="519" t="s">
        <v>901</v>
      </c>
    </row>
    <row r="288" spans="1:4" x14ac:dyDescent="0.2">
      <c r="A288" s="519" t="s">
        <v>1161</v>
      </c>
      <c r="B288" s="519">
        <v>23000000</v>
      </c>
      <c r="C288" s="519">
        <v>0</v>
      </c>
      <c r="D288" s="519" t="s">
        <v>901</v>
      </c>
    </row>
    <row r="289" spans="1:4" x14ac:dyDescent="0.2">
      <c r="A289" s="519" t="s">
        <v>1199</v>
      </c>
      <c r="B289" s="519">
        <v>23000000</v>
      </c>
      <c r="C289" s="519">
        <v>0</v>
      </c>
      <c r="D289" s="519" t="s">
        <v>901</v>
      </c>
    </row>
    <row r="290" spans="1:4" x14ac:dyDescent="0.2">
      <c r="A290" s="519" t="s">
        <v>1135</v>
      </c>
      <c r="B290" s="519">
        <v>24000000</v>
      </c>
      <c r="C290" s="519">
        <v>0</v>
      </c>
      <c r="D290" s="519" t="s">
        <v>901</v>
      </c>
    </row>
    <row r="291" spans="1:4" x14ac:dyDescent="0.2">
      <c r="A291" s="519" t="s">
        <v>1136</v>
      </c>
      <c r="B291" s="519">
        <v>23000000</v>
      </c>
      <c r="C291" s="519">
        <v>0</v>
      </c>
      <c r="D291" s="519" t="s">
        <v>901</v>
      </c>
    </row>
    <row r="292" spans="1:4" x14ac:dyDescent="0.2">
      <c r="A292" s="519" t="s">
        <v>1189</v>
      </c>
      <c r="B292" s="519">
        <v>23000000</v>
      </c>
      <c r="C292" s="519">
        <v>0</v>
      </c>
      <c r="D292" s="519" t="s">
        <v>901</v>
      </c>
    </row>
    <row r="293" spans="1:4" x14ac:dyDescent="0.2">
      <c r="A293" s="519" t="s">
        <v>1688</v>
      </c>
      <c r="B293" s="519">
        <v>24000000</v>
      </c>
      <c r="C293" s="519">
        <v>0</v>
      </c>
      <c r="D293" s="519" t="s">
        <v>901</v>
      </c>
    </row>
    <row r="294" spans="1:4" x14ac:dyDescent="0.2">
      <c r="A294" s="519" t="s">
        <v>1179</v>
      </c>
      <c r="B294" s="519">
        <v>23000000</v>
      </c>
      <c r="C294" s="519">
        <v>0</v>
      </c>
      <c r="D294" s="519" t="s">
        <v>901</v>
      </c>
    </row>
    <row r="295" spans="1:4" x14ac:dyDescent="0.2">
      <c r="A295" s="519" t="s">
        <v>1039</v>
      </c>
      <c r="B295" s="519">
        <v>23000000</v>
      </c>
      <c r="C295" s="519">
        <v>0</v>
      </c>
      <c r="D295" s="519" t="s">
        <v>901</v>
      </c>
    </row>
    <row r="296" spans="1:4" x14ac:dyDescent="0.2">
      <c r="A296" s="519" t="s">
        <v>1231</v>
      </c>
      <c r="B296" s="519">
        <v>24000000</v>
      </c>
      <c r="C296" s="519">
        <v>0</v>
      </c>
      <c r="D296" s="519" t="s">
        <v>901</v>
      </c>
    </row>
    <row r="297" spans="1:4" x14ac:dyDescent="0.2">
      <c r="A297" s="519" t="s">
        <v>1137</v>
      </c>
      <c r="B297" s="519">
        <v>23000000</v>
      </c>
      <c r="C297" s="519">
        <v>0</v>
      </c>
      <c r="D297" s="519" t="s">
        <v>901</v>
      </c>
    </row>
    <row r="298" spans="1:4" x14ac:dyDescent="0.2">
      <c r="A298" s="519" t="s">
        <v>1040</v>
      </c>
      <c r="B298" s="519">
        <v>23000000</v>
      </c>
      <c r="C298" s="519">
        <v>0</v>
      </c>
      <c r="D298" s="519" t="s">
        <v>901</v>
      </c>
    </row>
    <row r="299" spans="1:4" x14ac:dyDescent="0.2">
      <c r="A299" s="519" t="s">
        <v>4415</v>
      </c>
      <c r="B299" s="519">
        <v>29000000</v>
      </c>
      <c r="C299" s="519">
        <v>0</v>
      </c>
      <c r="D299" s="519" t="s">
        <v>901</v>
      </c>
    </row>
    <row r="300" spans="1:4" x14ac:dyDescent="0.2">
      <c r="A300" s="519" t="s">
        <v>2273</v>
      </c>
      <c r="B300" s="519">
        <v>10000000</v>
      </c>
      <c r="C300" s="519">
        <v>0</v>
      </c>
      <c r="D300" s="519" t="s">
        <v>61</v>
      </c>
    </row>
    <row r="301" spans="1:4" x14ac:dyDescent="0.2">
      <c r="A301" s="519" t="s">
        <v>2274</v>
      </c>
      <c r="B301" s="519">
        <v>10000000</v>
      </c>
      <c r="C301" s="519">
        <v>0</v>
      </c>
      <c r="D301" s="519" t="s">
        <v>61</v>
      </c>
    </row>
    <row r="302" spans="1:4" x14ac:dyDescent="0.2">
      <c r="A302" s="519" t="s">
        <v>2280</v>
      </c>
      <c r="B302" s="519">
        <v>10000000</v>
      </c>
      <c r="C302" s="519">
        <v>0</v>
      </c>
      <c r="D302" s="519" t="s">
        <v>61</v>
      </c>
    </row>
    <row r="303" spans="1:4" x14ac:dyDescent="0.2">
      <c r="A303" s="519" t="s">
        <v>2281</v>
      </c>
      <c r="B303" s="519">
        <v>10000000</v>
      </c>
      <c r="C303" s="519">
        <v>0</v>
      </c>
      <c r="D303" s="519" t="s">
        <v>901</v>
      </c>
    </row>
    <row r="304" spans="1:4" x14ac:dyDescent="0.2">
      <c r="A304" s="519" t="s">
        <v>2271</v>
      </c>
      <c r="B304" s="519">
        <v>12000000</v>
      </c>
      <c r="C304" s="519">
        <v>0</v>
      </c>
      <c r="D304" s="519" t="s">
        <v>901</v>
      </c>
    </row>
    <row r="305" spans="1:4" x14ac:dyDescent="0.2">
      <c r="A305" s="519" t="s">
        <v>2272</v>
      </c>
      <c r="B305" s="519">
        <v>12000000</v>
      </c>
      <c r="C305" s="519">
        <v>0</v>
      </c>
      <c r="D305" s="519" t="s">
        <v>901</v>
      </c>
    </row>
    <row r="306" spans="1:4" x14ac:dyDescent="0.2">
      <c r="A306" s="519" t="s">
        <v>2275</v>
      </c>
      <c r="B306" s="519">
        <v>10000000</v>
      </c>
      <c r="C306" s="519">
        <v>0</v>
      </c>
      <c r="D306" s="519" t="s">
        <v>901</v>
      </c>
    </row>
    <row r="307" spans="1:4" x14ac:dyDescent="0.2">
      <c r="A307" s="519" t="s">
        <v>2276</v>
      </c>
      <c r="B307" s="519">
        <v>10000000</v>
      </c>
      <c r="C307" s="519">
        <v>0</v>
      </c>
      <c r="D307" s="519" t="s">
        <v>901</v>
      </c>
    </row>
    <row r="308" spans="1:4" x14ac:dyDescent="0.2">
      <c r="A308" s="519" t="s">
        <v>2277</v>
      </c>
      <c r="B308" s="519">
        <v>12000000</v>
      </c>
      <c r="C308" s="519">
        <v>0</v>
      </c>
      <c r="D308" s="519" t="s">
        <v>901</v>
      </c>
    </row>
    <row r="309" spans="1:4" x14ac:dyDescent="0.2">
      <c r="A309" s="519" t="s">
        <v>2278</v>
      </c>
      <c r="B309" s="519">
        <v>12000000</v>
      </c>
      <c r="C309" s="519">
        <v>0</v>
      </c>
      <c r="D309" s="519" t="s">
        <v>901</v>
      </c>
    </row>
    <row r="310" spans="1:4" x14ac:dyDescent="0.2">
      <c r="A310" s="519" t="s">
        <v>2279</v>
      </c>
      <c r="B310" s="519">
        <v>12000000</v>
      </c>
      <c r="C310" s="519">
        <v>0</v>
      </c>
      <c r="D310" s="519" t="s">
        <v>901</v>
      </c>
    </row>
    <row r="311" spans="1:4" x14ac:dyDescent="0.2">
      <c r="A311" s="519"/>
      <c r="B311" s="519"/>
      <c r="C311" s="519"/>
      <c r="D311" s="519"/>
    </row>
    <row r="312" spans="1:4" x14ac:dyDescent="0.2">
      <c r="A312" s="519" t="s">
        <v>3897</v>
      </c>
      <c r="B312" s="519">
        <v>5000000</v>
      </c>
      <c r="C312" s="519">
        <v>0</v>
      </c>
      <c r="D312" s="519" t="s">
        <v>61</v>
      </c>
    </row>
    <row r="313" spans="1:4" x14ac:dyDescent="0.2">
      <c r="A313" s="519" t="s">
        <v>1043</v>
      </c>
      <c r="B313" s="519">
        <v>5000000</v>
      </c>
      <c r="C313" s="519">
        <v>0</v>
      </c>
      <c r="D313" s="519" t="s">
        <v>61</v>
      </c>
    </row>
    <row r="314" spans="1:4" x14ac:dyDescent="0.2">
      <c r="A314" s="519" t="s">
        <v>1044</v>
      </c>
      <c r="B314" s="519">
        <v>5000000</v>
      </c>
      <c r="C314" s="519">
        <v>0</v>
      </c>
      <c r="D314" s="519" t="s">
        <v>61</v>
      </c>
    </row>
    <row r="315" spans="1:4" x14ac:dyDescent="0.2">
      <c r="A315" s="519" t="s">
        <v>908</v>
      </c>
      <c r="B315" s="519">
        <v>5000000</v>
      </c>
      <c r="C315" s="519">
        <v>0</v>
      </c>
      <c r="D315" s="519" t="s">
        <v>61</v>
      </c>
    </row>
    <row r="316" spans="1:4" x14ac:dyDescent="0.2">
      <c r="A316" s="519" t="s">
        <v>909</v>
      </c>
      <c r="B316" s="519">
        <v>5000000</v>
      </c>
      <c r="C316" s="519">
        <v>0</v>
      </c>
      <c r="D316" s="519" t="s">
        <v>61</v>
      </c>
    </row>
    <row r="317" spans="1:4" x14ac:dyDescent="0.2">
      <c r="A317" s="519" t="s">
        <v>910</v>
      </c>
      <c r="B317" s="519">
        <v>5000000</v>
      </c>
      <c r="C317" s="519">
        <v>0</v>
      </c>
      <c r="D317" s="519" t="s">
        <v>61</v>
      </c>
    </row>
    <row r="318" spans="1:4" x14ac:dyDescent="0.2">
      <c r="A318" s="519" t="s">
        <v>911</v>
      </c>
      <c r="B318" s="519">
        <v>5000000</v>
      </c>
      <c r="C318" s="519">
        <v>0</v>
      </c>
      <c r="D318" s="519" t="s">
        <v>61</v>
      </c>
    </row>
    <row r="319" spans="1:4" x14ac:dyDescent="0.2">
      <c r="A319" s="519" t="s">
        <v>912</v>
      </c>
      <c r="B319" s="519">
        <v>5000000</v>
      </c>
      <c r="C319" s="519">
        <v>0</v>
      </c>
      <c r="D319" s="519" t="s">
        <v>61</v>
      </c>
    </row>
    <row r="320" spans="1:4" x14ac:dyDescent="0.2">
      <c r="A320" s="519" t="s">
        <v>913</v>
      </c>
      <c r="B320" s="519">
        <v>5000000</v>
      </c>
      <c r="C320" s="519">
        <v>0</v>
      </c>
      <c r="D320" s="519" t="s">
        <v>61</v>
      </c>
    </row>
    <row r="321" spans="1:4" x14ac:dyDescent="0.2">
      <c r="A321" s="519" t="s">
        <v>1138</v>
      </c>
      <c r="B321" s="519">
        <v>5000000</v>
      </c>
      <c r="C321" s="519">
        <v>0</v>
      </c>
      <c r="D321" s="519" t="s">
        <v>61</v>
      </c>
    </row>
    <row r="322" spans="1:4" x14ac:dyDescent="0.2">
      <c r="A322" s="519" t="s">
        <v>1264</v>
      </c>
      <c r="B322" s="519">
        <v>5000000</v>
      </c>
      <c r="C322" s="519">
        <v>0</v>
      </c>
      <c r="D322" s="519" t="s">
        <v>61</v>
      </c>
    </row>
    <row r="323" spans="1:4" x14ac:dyDescent="0.2">
      <c r="A323" s="519" t="s">
        <v>1045</v>
      </c>
      <c r="B323" s="519">
        <v>5000000</v>
      </c>
      <c r="C323" s="519">
        <v>0</v>
      </c>
      <c r="D323" s="519" t="s">
        <v>61</v>
      </c>
    </row>
    <row r="324" spans="1:4" x14ac:dyDescent="0.2">
      <c r="A324" s="519" t="s">
        <v>1049</v>
      </c>
      <c r="B324" s="519">
        <v>5000000</v>
      </c>
      <c r="C324" s="519">
        <v>0</v>
      </c>
      <c r="D324" s="519" t="s">
        <v>61</v>
      </c>
    </row>
    <row r="325" spans="1:4" x14ac:dyDescent="0.2">
      <c r="A325" s="519" t="s">
        <v>1265</v>
      </c>
      <c r="B325" s="519">
        <v>5000000</v>
      </c>
      <c r="C325" s="519">
        <v>0</v>
      </c>
      <c r="D325" s="519" t="s">
        <v>61</v>
      </c>
    </row>
    <row r="326" spans="1:4" x14ac:dyDescent="0.2">
      <c r="A326" s="519" t="s">
        <v>1344</v>
      </c>
      <c r="B326" s="519">
        <v>5000000</v>
      </c>
      <c r="C326" s="519">
        <v>0</v>
      </c>
      <c r="D326" s="519" t="s">
        <v>61</v>
      </c>
    </row>
    <row r="327" spans="1:4" x14ac:dyDescent="0.2">
      <c r="A327" s="519" t="s">
        <v>1729</v>
      </c>
      <c r="B327" s="519">
        <v>5000000</v>
      </c>
      <c r="C327" s="519">
        <v>0</v>
      </c>
      <c r="D327" s="519" t="s">
        <v>61</v>
      </c>
    </row>
    <row r="328" spans="1:4" x14ac:dyDescent="0.2">
      <c r="A328" s="519" t="s">
        <v>2282</v>
      </c>
      <c r="B328" s="519">
        <v>5000000</v>
      </c>
      <c r="C328" s="519">
        <v>0</v>
      </c>
      <c r="D328" s="519" t="s">
        <v>901</v>
      </c>
    </row>
    <row r="329" spans="1:4" x14ac:dyDescent="0.2">
      <c r="A329" s="519" t="s">
        <v>4416</v>
      </c>
      <c r="B329" s="519">
        <v>5000000</v>
      </c>
      <c r="C329" s="519">
        <v>0</v>
      </c>
      <c r="D329" s="519" t="s">
        <v>901</v>
      </c>
    </row>
    <row r="330" spans="1:4" x14ac:dyDescent="0.2">
      <c r="A330" s="519" t="s">
        <v>2594</v>
      </c>
      <c r="B330" s="519">
        <v>5000000</v>
      </c>
      <c r="C330" s="519">
        <v>0</v>
      </c>
      <c r="D330" s="519" t="s">
        <v>901</v>
      </c>
    </row>
    <row r="331" spans="1:4" x14ac:dyDescent="0.2">
      <c r="A331" s="519" t="s">
        <v>2283</v>
      </c>
      <c r="B331" s="519">
        <v>5000000</v>
      </c>
      <c r="C331" s="519">
        <v>0</v>
      </c>
      <c r="D331" s="519" t="s">
        <v>901</v>
      </c>
    </row>
    <row r="332" spans="1:4" x14ac:dyDescent="0.2">
      <c r="A332" s="519" t="s">
        <v>3898</v>
      </c>
      <c r="B332" s="519">
        <v>5000000</v>
      </c>
      <c r="C332" s="519">
        <v>0</v>
      </c>
      <c r="D332" s="519" t="s">
        <v>901</v>
      </c>
    </row>
    <row r="333" spans="1:4" x14ac:dyDescent="0.2">
      <c r="A333" s="519" t="s">
        <v>4417</v>
      </c>
      <c r="B333" s="519">
        <v>5000000</v>
      </c>
      <c r="C333" s="519">
        <v>0</v>
      </c>
      <c r="D333" s="519" t="s">
        <v>901</v>
      </c>
    </row>
    <row r="334" spans="1:4" x14ac:dyDescent="0.2">
      <c r="A334" s="519" t="s">
        <v>3252</v>
      </c>
      <c r="B334" s="519">
        <v>5000000</v>
      </c>
      <c r="C334" s="519">
        <v>0</v>
      </c>
      <c r="D334" s="519" t="s">
        <v>901</v>
      </c>
    </row>
    <row r="335" spans="1:4" x14ac:dyDescent="0.2">
      <c r="A335" s="519" t="s">
        <v>4339</v>
      </c>
      <c r="B335" s="519">
        <v>5000000</v>
      </c>
      <c r="C335" s="519">
        <v>0</v>
      </c>
      <c r="D335" s="519" t="s">
        <v>901</v>
      </c>
    </row>
    <row r="336" spans="1:4" x14ac:dyDescent="0.2">
      <c r="A336" s="519" t="s">
        <v>3404</v>
      </c>
      <c r="B336" s="519">
        <v>5000000</v>
      </c>
      <c r="C336" s="519">
        <v>0</v>
      </c>
      <c r="D336" s="519" t="s">
        <v>901</v>
      </c>
    </row>
    <row r="337" spans="1:4" x14ac:dyDescent="0.2">
      <c r="A337" s="519" t="s">
        <v>4340</v>
      </c>
      <c r="B337" s="519">
        <v>5000000</v>
      </c>
      <c r="C337" s="519">
        <v>0</v>
      </c>
      <c r="D337" s="519" t="s">
        <v>901</v>
      </c>
    </row>
    <row r="338" spans="1:4" x14ac:dyDescent="0.2">
      <c r="A338" s="519" t="s">
        <v>3405</v>
      </c>
      <c r="B338" s="519">
        <v>5000000</v>
      </c>
      <c r="C338" s="519">
        <v>0</v>
      </c>
      <c r="D338" s="519" t="s">
        <v>901</v>
      </c>
    </row>
    <row r="339" spans="1:4" x14ac:dyDescent="0.2">
      <c r="A339" s="519" t="s">
        <v>4262</v>
      </c>
      <c r="B339" s="519">
        <v>5000000</v>
      </c>
      <c r="C339" s="519">
        <v>0</v>
      </c>
      <c r="D339" s="519" t="s">
        <v>901</v>
      </c>
    </row>
    <row r="340" spans="1:4" x14ac:dyDescent="0.2">
      <c r="A340" s="519" t="s">
        <v>3315</v>
      </c>
      <c r="B340" s="519">
        <v>5000000</v>
      </c>
      <c r="C340" s="519">
        <v>0</v>
      </c>
      <c r="D340" s="519" t="s">
        <v>901</v>
      </c>
    </row>
    <row r="341" spans="1:4" x14ac:dyDescent="0.2">
      <c r="A341" s="519" t="s">
        <v>4418</v>
      </c>
      <c r="B341" s="519">
        <v>5000000</v>
      </c>
      <c r="C341" s="519">
        <v>0</v>
      </c>
      <c r="D341" s="519" t="s">
        <v>901</v>
      </c>
    </row>
    <row r="342" spans="1:4" x14ac:dyDescent="0.2">
      <c r="A342" s="519" t="s">
        <v>4341</v>
      </c>
      <c r="B342" s="519">
        <v>5000000</v>
      </c>
      <c r="C342" s="519">
        <v>0</v>
      </c>
      <c r="D342" s="519" t="s">
        <v>901</v>
      </c>
    </row>
    <row r="343" spans="1:4" x14ac:dyDescent="0.2">
      <c r="A343" s="519" t="s">
        <v>4342</v>
      </c>
      <c r="B343" s="519">
        <v>5000000</v>
      </c>
      <c r="C343" s="519">
        <v>0</v>
      </c>
      <c r="D343" s="519" t="s">
        <v>901</v>
      </c>
    </row>
    <row r="344" spans="1:4" x14ac:dyDescent="0.2">
      <c r="A344" s="519" t="s">
        <v>3406</v>
      </c>
      <c r="B344" s="519">
        <v>5000000</v>
      </c>
      <c r="C344" s="519">
        <v>0</v>
      </c>
      <c r="D344" s="519" t="s">
        <v>901</v>
      </c>
    </row>
    <row r="345" spans="1:4" x14ac:dyDescent="0.2">
      <c r="A345" s="519" t="s">
        <v>3407</v>
      </c>
      <c r="B345" s="519">
        <v>5000000</v>
      </c>
      <c r="C345" s="519">
        <v>0</v>
      </c>
      <c r="D345" s="519" t="s">
        <v>901</v>
      </c>
    </row>
    <row r="346" spans="1:4" x14ac:dyDescent="0.2">
      <c r="A346" s="519" t="s">
        <v>3474</v>
      </c>
      <c r="B346" s="519">
        <v>5000000</v>
      </c>
      <c r="C346" s="519">
        <v>0</v>
      </c>
      <c r="D346" s="519" t="s">
        <v>901</v>
      </c>
    </row>
    <row r="347" spans="1:4" x14ac:dyDescent="0.2">
      <c r="A347" s="519" t="s">
        <v>3099</v>
      </c>
      <c r="B347" s="519">
        <v>5000000</v>
      </c>
      <c r="C347" s="519">
        <v>0</v>
      </c>
      <c r="D347" s="519" t="s">
        <v>901</v>
      </c>
    </row>
    <row r="348" spans="1:4" x14ac:dyDescent="0.2">
      <c r="A348" s="519" t="s">
        <v>3316</v>
      </c>
      <c r="B348" s="519">
        <v>5000000</v>
      </c>
      <c r="C348" s="519">
        <v>0</v>
      </c>
      <c r="D348" s="519" t="s">
        <v>901</v>
      </c>
    </row>
    <row r="349" spans="1:4" x14ac:dyDescent="0.2">
      <c r="A349" s="519" t="s">
        <v>4343</v>
      </c>
      <c r="B349" s="519">
        <v>5000000</v>
      </c>
      <c r="C349" s="519">
        <v>0</v>
      </c>
      <c r="D349" s="519" t="s">
        <v>901</v>
      </c>
    </row>
    <row r="350" spans="1:4" x14ac:dyDescent="0.2">
      <c r="A350" s="519" t="s">
        <v>4344</v>
      </c>
      <c r="B350" s="519">
        <v>5000000</v>
      </c>
      <c r="C350" s="519">
        <v>0</v>
      </c>
      <c r="D350" s="519" t="s">
        <v>901</v>
      </c>
    </row>
    <row r="351" spans="1:4" x14ac:dyDescent="0.2">
      <c r="A351" s="519" t="s">
        <v>3475</v>
      </c>
      <c r="B351" s="519">
        <v>5000000</v>
      </c>
      <c r="C351" s="519">
        <v>0</v>
      </c>
      <c r="D351" s="519" t="s">
        <v>901</v>
      </c>
    </row>
    <row r="352" spans="1:4" x14ac:dyDescent="0.2">
      <c r="A352" s="519" t="s">
        <v>4263</v>
      </c>
      <c r="B352" s="519">
        <v>5000000</v>
      </c>
      <c r="C352" s="519">
        <v>0</v>
      </c>
      <c r="D352" s="519" t="s">
        <v>901</v>
      </c>
    </row>
    <row r="353" spans="1:4" x14ac:dyDescent="0.2">
      <c r="A353" s="519" t="s">
        <v>4419</v>
      </c>
      <c r="B353" s="519">
        <v>5000000</v>
      </c>
      <c r="C353" s="519">
        <v>0</v>
      </c>
      <c r="D353" s="519" t="s">
        <v>901</v>
      </c>
    </row>
    <row r="354" spans="1:4" x14ac:dyDescent="0.2">
      <c r="A354" s="519" t="s">
        <v>3253</v>
      </c>
      <c r="B354" s="519">
        <v>5000000</v>
      </c>
      <c r="C354" s="519">
        <v>0</v>
      </c>
      <c r="D354" s="519" t="s">
        <v>901</v>
      </c>
    </row>
    <row r="355" spans="1:4" x14ac:dyDescent="0.2">
      <c r="A355" s="519" t="s">
        <v>4345</v>
      </c>
      <c r="B355" s="519">
        <v>5000000</v>
      </c>
      <c r="C355" s="519">
        <v>0</v>
      </c>
      <c r="D355" s="519" t="s">
        <v>901</v>
      </c>
    </row>
    <row r="356" spans="1:4" x14ac:dyDescent="0.2">
      <c r="A356" s="519" t="s">
        <v>2641</v>
      </c>
      <c r="B356" s="519">
        <v>5000000</v>
      </c>
      <c r="C356" s="519">
        <v>0</v>
      </c>
      <c r="D356" s="519" t="s">
        <v>901</v>
      </c>
    </row>
    <row r="357" spans="1:4" x14ac:dyDescent="0.2">
      <c r="A357" s="519" t="s">
        <v>2642</v>
      </c>
      <c r="B357" s="519">
        <v>5000000</v>
      </c>
      <c r="C357" s="519">
        <v>0</v>
      </c>
      <c r="D357" s="519" t="s">
        <v>901</v>
      </c>
    </row>
    <row r="358" spans="1:4" x14ac:dyDescent="0.2">
      <c r="A358" s="519" t="s">
        <v>4420</v>
      </c>
      <c r="B358" s="519">
        <v>5000000</v>
      </c>
      <c r="C358" s="519">
        <v>0</v>
      </c>
      <c r="D358" s="519" t="s">
        <v>901</v>
      </c>
    </row>
    <row r="359" spans="1:4" x14ac:dyDescent="0.2">
      <c r="A359" s="519" t="s">
        <v>4346</v>
      </c>
      <c r="B359" s="519">
        <v>5000000</v>
      </c>
      <c r="C359" s="519">
        <v>0</v>
      </c>
      <c r="D359" s="519" t="s">
        <v>901</v>
      </c>
    </row>
    <row r="360" spans="1:4" x14ac:dyDescent="0.2">
      <c r="A360" s="519" t="s">
        <v>2284</v>
      </c>
      <c r="B360" s="519">
        <v>5000000</v>
      </c>
      <c r="C360" s="519">
        <v>0</v>
      </c>
      <c r="D360" s="519" t="s">
        <v>901</v>
      </c>
    </row>
    <row r="361" spans="1:4" x14ac:dyDescent="0.2">
      <c r="A361" s="519" t="s">
        <v>1542</v>
      </c>
      <c r="B361" s="519">
        <v>5000000</v>
      </c>
      <c r="C361" s="519">
        <v>0</v>
      </c>
      <c r="D361" s="519" t="s">
        <v>901</v>
      </c>
    </row>
    <row r="362" spans="1:4" x14ac:dyDescent="0.2">
      <c r="A362" s="519" t="s">
        <v>3899</v>
      </c>
      <c r="B362" s="519">
        <v>5000000</v>
      </c>
      <c r="C362" s="519">
        <v>0</v>
      </c>
      <c r="D362" s="519" t="s">
        <v>901</v>
      </c>
    </row>
    <row r="363" spans="1:4" x14ac:dyDescent="0.2">
      <c r="A363" s="519" t="s">
        <v>4347</v>
      </c>
      <c r="B363" s="519">
        <v>5000000</v>
      </c>
      <c r="C363" s="519">
        <v>0</v>
      </c>
      <c r="D363" s="519" t="s">
        <v>901</v>
      </c>
    </row>
    <row r="364" spans="1:4" x14ac:dyDescent="0.2">
      <c r="A364" s="519" t="s">
        <v>3900</v>
      </c>
      <c r="B364" s="519">
        <v>5000000</v>
      </c>
      <c r="C364" s="519">
        <v>0</v>
      </c>
      <c r="D364" s="519" t="s">
        <v>901</v>
      </c>
    </row>
    <row r="365" spans="1:4" x14ac:dyDescent="0.2">
      <c r="A365" s="519" t="s">
        <v>1180</v>
      </c>
      <c r="B365" s="519">
        <v>5000000</v>
      </c>
      <c r="C365" s="519">
        <v>0</v>
      </c>
      <c r="D365" s="519" t="s">
        <v>901</v>
      </c>
    </row>
    <row r="366" spans="1:4" x14ac:dyDescent="0.2">
      <c r="A366" s="519" t="s">
        <v>1200</v>
      </c>
      <c r="B366" s="519">
        <v>5000000</v>
      </c>
      <c r="C366" s="519">
        <v>0</v>
      </c>
      <c r="D366" s="519" t="s">
        <v>901</v>
      </c>
    </row>
    <row r="367" spans="1:4" x14ac:dyDescent="0.2">
      <c r="A367" s="519" t="s">
        <v>4348</v>
      </c>
      <c r="B367" s="519">
        <v>5000000</v>
      </c>
      <c r="C367" s="519">
        <v>0</v>
      </c>
      <c r="D367" s="519" t="s">
        <v>901</v>
      </c>
    </row>
    <row r="368" spans="1:4" x14ac:dyDescent="0.2">
      <c r="A368" s="519" t="s">
        <v>1042</v>
      </c>
      <c r="B368" s="519">
        <v>5000000</v>
      </c>
      <c r="C368" s="519">
        <v>0</v>
      </c>
      <c r="D368" s="519" t="s">
        <v>901</v>
      </c>
    </row>
    <row r="369" spans="1:4" x14ac:dyDescent="0.2">
      <c r="A369" s="519" t="s">
        <v>1496</v>
      </c>
      <c r="B369" s="519">
        <v>5000000</v>
      </c>
      <c r="C369" s="519">
        <v>0</v>
      </c>
      <c r="D369" s="519" t="s">
        <v>901</v>
      </c>
    </row>
    <row r="370" spans="1:4" x14ac:dyDescent="0.2">
      <c r="A370" s="519" t="s">
        <v>1232</v>
      </c>
      <c r="B370" s="519">
        <v>5000000</v>
      </c>
      <c r="C370" s="519">
        <v>0</v>
      </c>
      <c r="D370" s="519" t="s">
        <v>901</v>
      </c>
    </row>
    <row r="371" spans="1:4" x14ac:dyDescent="0.2">
      <c r="A371" s="519" t="s">
        <v>4421</v>
      </c>
      <c r="B371" s="519">
        <v>5000000</v>
      </c>
      <c r="C371" s="519">
        <v>0</v>
      </c>
      <c r="D371" s="519" t="s">
        <v>901</v>
      </c>
    </row>
    <row r="372" spans="1:4" x14ac:dyDescent="0.2">
      <c r="A372" s="519" t="s">
        <v>1162</v>
      </c>
      <c r="B372" s="519">
        <v>5000000</v>
      </c>
      <c r="C372" s="519">
        <v>0</v>
      </c>
      <c r="D372" s="519" t="s">
        <v>901</v>
      </c>
    </row>
    <row r="373" spans="1:4" x14ac:dyDescent="0.2">
      <c r="A373" s="519" t="s">
        <v>1263</v>
      </c>
      <c r="B373" s="519">
        <v>5000000</v>
      </c>
      <c r="C373" s="519">
        <v>0</v>
      </c>
      <c r="D373" s="519" t="s">
        <v>901</v>
      </c>
    </row>
    <row r="374" spans="1:4" x14ac:dyDescent="0.2">
      <c r="A374" s="519" t="s">
        <v>4349</v>
      </c>
      <c r="B374" s="519">
        <v>5000000</v>
      </c>
      <c r="C374" s="519">
        <v>0</v>
      </c>
      <c r="D374" s="519" t="s">
        <v>901</v>
      </c>
    </row>
    <row r="375" spans="1:4" x14ac:dyDescent="0.2">
      <c r="A375" s="519" t="s">
        <v>1163</v>
      </c>
      <c r="B375" s="519">
        <v>5000000</v>
      </c>
      <c r="C375" s="519">
        <v>0</v>
      </c>
      <c r="D375" s="519" t="s">
        <v>901</v>
      </c>
    </row>
    <row r="376" spans="1:4" x14ac:dyDescent="0.2">
      <c r="A376" s="519" t="s">
        <v>1369</v>
      </c>
      <c r="B376" s="519">
        <v>5000000</v>
      </c>
      <c r="C376" s="519">
        <v>0</v>
      </c>
      <c r="D376" s="519" t="s">
        <v>901</v>
      </c>
    </row>
    <row r="377" spans="1:4" x14ac:dyDescent="0.2">
      <c r="A377" s="519" t="s">
        <v>1108</v>
      </c>
      <c r="B377" s="519">
        <v>5000000</v>
      </c>
      <c r="C377" s="519">
        <v>0</v>
      </c>
      <c r="D377" s="519" t="s">
        <v>901</v>
      </c>
    </row>
    <row r="378" spans="1:4" x14ac:dyDescent="0.2">
      <c r="A378" s="519" t="s">
        <v>1109</v>
      </c>
      <c r="B378" s="519">
        <v>5000000</v>
      </c>
      <c r="C378" s="519">
        <v>0</v>
      </c>
      <c r="D378" s="519" t="s">
        <v>901</v>
      </c>
    </row>
    <row r="379" spans="1:4" x14ac:dyDescent="0.2">
      <c r="A379" s="519" t="s">
        <v>1046</v>
      </c>
      <c r="B379" s="519">
        <v>5000000</v>
      </c>
      <c r="C379" s="519">
        <v>0</v>
      </c>
      <c r="D379" s="519" t="s">
        <v>901</v>
      </c>
    </row>
    <row r="380" spans="1:4" x14ac:dyDescent="0.2">
      <c r="A380" s="519" t="s">
        <v>1047</v>
      </c>
      <c r="B380" s="519">
        <v>5000000</v>
      </c>
      <c r="C380" s="519">
        <v>0</v>
      </c>
      <c r="D380" s="519" t="s">
        <v>901</v>
      </c>
    </row>
    <row r="381" spans="1:4" x14ac:dyDescent="0.2">
      <c r="A381" s="519" t="s">
        <v>1048</v>
      </c>
      <c r="B381" s="519">
        <v>5000000</v>
      </c>
      <c r="C381" s="519">
        <v>0</v>
      </c>
      <c r="D381" s="519" t="s">
        <v>901</v>
      </c>
    </row>
    <row r="382" spans="1:4" x14ac:dyDescent="0.2">
      <c r="A382" s="519" t="s">
        <v>1190</v>
      </c>
      <c r="B382" s="519">
        <v>5000000</v>
      </c>
      <c r="C382" s="519">
        <v>0</v>
      </c>
      <c r="D382" s="519" t="s">
        <v>901</v>
      </c>
    </row>
    <row r="383" spans="1:4" x14ac:dyDescent="0.2">
      <c r="A383" s="519" t="s">
        <v>1110</v>
      </c>
      <c r="B383" s="519">
        <v>5000000</v>
      </c>
      <c r="C383" s="519">
        <v>0</v>
      </c>
      <c r="D383" s="519" t="s">
        <v>901</v>
      </c>
    </row>
    <row r="384" spans="1:4" x14ac:dyDescent="0.2">
      <c r="A384" s="519" t="s">
        <v>4422</v>
      </c>
      <c r="B384" s="519">
        <v>5000000</v>
      </c>
      <c r="C384" s="519">
        <v>0</v>
      </c>
      <c r="D384" s="519" t="s">
        <v>901</v>
      </c>
    </row>
    <row r="385" spans="1:4" x14ac:dyDescent="0.2">
      <c r="A385" s="519" t="s">
        <v>1164</v>
      </c>
      <c r="B385" s="519">
        <v>5000000</v>
      </c>
      <c r="C385" s="519">
        <v>0</v>
      </c>
      <c r="D385" s="519" t="s">
        <v>901</v>
      </c>
    </row>
    <row r="386" spans="1:4" x14ac:dyDescent="0.2">
      <c r="A386" s="519" t="s">
        <v>1050</v>
      </c>
      <c r="B386" s="519">
        <v>5000000</v>
      </c>
      <c r="C386" s="519">
        <v>0</v>
      </c>
      <c r="D386" s="519" t="s">
        <v>901</v>
      </c>
    </row>
    <row r="387" spans="1:4" x14ac:dyDescent="0.2">
      <c r="A387" s="519" t="s">
        <v>1111</v>
      </c>
      <c r="B387" s="519">
        <v>5000000</v>
      </c>
      <c r="C387" s="519">
        <v>0</v>
      </c>
      <c r="D387" s="519" t="s">
        <v>901</v>
      </c>
    </row>
    <row r="388" spans="1:4" x14ac:dyDescent="0.2">
      <c r="A388" s="519" t="s">
        <v>1139</v>
      </c>
      <c r="B388" s="519">
        <v>5000000</v>
      </c>
      <c r="C388" s="519">
        <v>0</v>
      </c>
      <c r="D388" s="519" t="s">
        <v>901</v>
      </c>
    </row>
    <row r="389" spans="1:4" x14ac:dyDescent="0.2">
      <c r="A389" s="519" t="s">
        <v>1051</v>
      </c>
      <c r="B389" s="519">
        <v>5000000</v>
      </c>
      <c r="C389" s="519">
        <v>0</v>
      </c>
      <c r="D389" s="519" t="s">
        <v>901</v>
      </c>
    </row>
    <row r="390" spans="1:4" x14ac:dyDescent="0.2">
      <c r="A390" s="519" t="s">
        <v>1165</v>
      </c>
      <c r="B390" s="519">
        <v>5000000</v>
      </c>
      <c r="C390" s="519">
        <v>0</v>
      </c>
      <c r="D390" s="519" t="s">
        <v>901</v>
      </c>
    </row>
    <row r="391" spans="1:4" x14ac:dyDescent="0.2">
      <c r="A391" s="519" t="s">
        <v>2285</v>
      </c>
      <c r="B391" s="519">
        <v>5000000</v>
      </c>
      <c r="C391" s="519">
        <v>0</v>
      </c>
      <c r="D391" s="519" t="s">
        <v>901</v>
      </c>
    </row>
    <row r="392" spans="1:4" x14ac:dyDescent="0.2">
      <c r="A392" s="519" t="s">
        <v>1166</v>
      </c>
      <c r="B392" s="519">
        <v>5000000</v>
      </c>
      <c r="C392" s="519">
        <v>0</v>
      </c>
      <c r="D392" s="519" t="s">
        <v>901</v>
      </c>
    </row>
    <row r="393" spans="1:4" x14ac:dyDescent="0.2">
      <c r="A393" s="519" t="s">
        <v>1564</v>
      </c>
      <c r="B393" s="519">
        <v>5000000</v>
      </c>
      <c r="C393" s="519">
        <v>0</v>
      </c>
      <c r="D393" s="519" t="s">
        <v>901</v>
      </c>
    </row>
    <row r="394" spans="1:4" x14ac:dyDescent="0.2">
      <c r="A394" s="519" t="s">
        <v>1167</v>
      </c>
      <c r="B394" s="519">
        <v>5000000</v>
      </c>
      <c r="C394" s="519">
        <v>0</v>
      </c>
      <c r="D394" s="519" t="s">
        <v>901</v>
      </c>
    </row>
    <row r="395" spans="1:4" x14ac:dyDescent="0.2">
      <c r="A395" s="519" t="s">
        <v>1112</v>
      </c>
      <c r="B395" s="519">
        <v>5000000</v>
      </c>
      <c r="C395" s="519">
        <v>0</v>
      </c>
      <c r="D395" s="519" t="s">
        <v>901</v>
      </c>
    </row>
    <row r="396" spans="1:4" x14ac:dyDescent="0.2">
      <c r="A396" s="519" t="s">
        <v>1497</v>
      </c>
      <c r="B396" s="519">
        <v>5000000</v>
      </c>
      <c r="C396" s="519">
        <v>0</v>
      </c>
      <c r="D396" s="519" t="s">
        <v>901</v>
      </c>
    </row>
    <row r="397" spans="1:4" x14ac:dyDescent="0.2">
      <c r="A397" s="519" t="s">
        <v>1140</v>
      </c>
      <c r="B397" s="519">
        <v>5000000</v>
      </c>
      <c r="C397" s="519">
        <v>0</v>
      </c>
      <c r="D397" s="519" t="s">
        <v>901</v>
      </c>
    </row>
    <row r="398" spans="1:4" x14ac:dyDescent="0.2">
      <c r="A398" s="519" t="s">
        <v>1113</v>
      </c>
      <c r="B398" s="519">
        <v>5000000</v>
      </c>
      <c r="C398" s="519">
        <v>0</v>
      </c>
      <c r="D398" s="519" t="s">
        <v>901</v>
      </c>
    </row>
    <row r="399" spans="1:4" x14ac:dyDescent="0.2">
      <c r="A399" s="519" t="s">
        <v>1052</v>
      </c>
      <c r="B399" s="519">
        <v>5000000</v>
      </c>
      <c r="C399" s="519">
        <v>0</v>
      </c>
      <c r="D399" s="519" t="s">
        <v>901</v>
      </c>
    </row>
    <row r="400" spans="1:4" x14ac:dyDescent="0.2">
      <c r="A400" s="519" t="s">
        <v>1053</v>
      </c>
      <c r="B400" s="519">
        <v>5000000</v>
      </c>
      <c r="C400" s="519">
        <v>0</v>
      </c>
      <c r="D400" s="519" t="s">
        <v>901</v>
      </c>
    </row>
    <row r="401" spans="1:4" x14ac:dyDescent="0.2">
      <c r="A401" s="519" t="s">
        <v>1141</v>
      </c>
      <c r="B401" s="519">
        <v>5000000</v>
      </c>
      <c r="C401" s="519">
        <v>0</v>
      </c>
      <c r="D401" s="519" t="s">
        <v>901</v>
      </c>
    </row>
    <row r="402" spans="1:4" x14ac:dyDescent="0.2">
      <c r="A402" s="519" t="s">
        <v>1266</v>
      </c>
      <c r="B402" s="519">
        <v>5000000</v>
      </c>
      <c r="C402" s="519">
        <v>0</v>
      </c>
      <c r="D402" s="519" t="s">
        <v>901</v>
      </c>
    </row>
    <row r="403" spans="1:4" x14ac:dyDescent="0.2">
      <c r="A403" s="519" t="s">
        <v>1267</v>
      </c>
      <c r="B403" s="519">
        <v>5000000</v>
      </c>
      <c r="C403" s="519">
        <v>0</v>
      </c>
      <c r="D403" s="519" t="s">
        <v>901</v>
      </c>
    </row>
    <row r="404" spans="1:4" x14ac:dyDescent="0.2">
      <c r="A404" s="519" t="s">
        <v>1142</v>
      </c>
      <c r="B404" s="519">
        <v>5000000</v>
      </c>
      <c r="C404" s="519">
        <v>0</v>
      </c>
      <c r="D404" s="519" t="s">
        <v>901</v>
      </c>
    </row>
    <row r="405" spans="1:4" x14ac:dyDescent="0.2">
      <c r="A405" s="519" t="s">
        <v>1168</v>
      </c>
      <c r="B405" s="519">
        <v>5000000</v>
      </c>
      <c r="C405" s="519">
        <v>0</v>
      </c>
      <c r="D405" s="519" t="s">
        <v>901</v>
      </c>
    </row>
    <row r="406" spans="1:4" x14ac:dyDescent="0.2">
      <c r="A406" s="519" t="s">
        <v>1169</v>
      </c>
      <c r="B406" s="519">
        <v>5000000</v>
      </c>
      <c r="C406" s="519">
        <v>0</v>
      </c>
      <c r="D406" s="519" t="s">
        <v>901</v>
      </c>
    </row>
    <row r="407" spans="1:4" x14ac:dyDescent="0.2">
      <c r="A407" s="519" t="s">
        <v>1201</v>
      </c>
      <c r="B407" s="519">
        <v>5000000</v>
      </c>
      <c r="C407" s="519">
        <v>0</v>
      </c>
      <c r="D407" s="519" t="s">
        <v>901</v>
      </c>
    </row>
    <row r="408" spans="1:4" x14ac:dyDescent="0.2">
      <c r="A408" s="519" t="s">
        <v>1143</v>
      </c>
      <c r="B408" s="519">
        <v>5000000</v>
      </c>
      <c r="C408" s="519">
        <v>0</v>
      </c>
      <c r="D408" s="519" t="s">
        <v>901</v>
      </c>
    </row>
    <row r="409" spans="1:4" x14ac:dyDescent="0.2">
      <c r="A409" s="519" t="s">
        <v>1144</v>
      </c>
      <c r="B409" s="519">
        <v>5000000</v>
      </c>
      <c r="C409" s="519">
        <v>0</v>
      </c>
      <c r="D409" s="519" t="s">
        <v>901</v>
      </c>
    </row>
    <row r="410" spans="1:4" x14ac:dyDescent="0.2">
      <c r="A410" s="519" t="s">
        <v>1191</v>
      </c>
      <c r="B410" s="519">
        <v>5000000</v>
      </c>
      <c r="C410" s="519">
        <v>0</v>
      </c>
      <c r="D410" s="519" t="s">
        <v>901</v>
      </c>
    </row>
    <row r="411" spans="1:4" x14ac:dyDescent="0.2">
      <c r="A411" s="519" t="s">
        <v>1689</v>
      </c>
      <c r="B411" s="519">
        <v>5000000</v>
      </c>
      <c r="C411" s="519">
        <v>0</v>
      </c>
      <c r="D411" s="519" t="s">
        <v>901</v>
      </c>
    </row>
    <row r="412" spans="1:4" x14ac:dyDescent="0.2">
      <c r="A412" s="519" t="s">
        <v>1181</v>
      </c>
      <c r="B412" s="519">
        <v>5000000</v>
      </c>
      <c r="C412" s="519">
        <v>0</v>
      </c>
      <c r="D412" s="519" t="s">
        <v>901</v>
      </c>
    </row>
    <row r="413" spans="1:4" x14ac:dyDescent="0.2">
      <c r="A413" s="519" t="s">
        <v>1054</v>
      </c>
      <c r="B413" s="519">
        <v>5000000</v>
      </c>
      <c r="C413" s="519">
        <v>0</v>
      </c>
      <c r="D413" s="519" t="s">
        <v>901</v>
      </c>
    </row>
    <row r="414" spans="1:4" x14ac:dyDescent="0.2">
      <c r="A414" s="519" t="s">
        <v>1233</v>
      </c>
      <c r="B414" s="519">
        <v>5000000</v>
      </c>
      <c r="C414" s="519">
        <v>0</v>
      </c>
      <c r="D414" s="519" t="s">
        <v>901</v>
      </c>
    </row>
    <row r="415" spans="1:4" x14ac:dyDescent="0.2">
      <c r="A415" s="519" t="s">
        <v>1145</v>
      </c>
      <c r="B415" s="519">
        <v>5000000</v>
      </c>
      <c r="C415" s="519">
        <v>0</v>
      </c>
      <c r="D415" s="519" t="s">
        <v>901</v>
      </c>
    </row>
    <row r="416" spans="1:4" x14ac:dyDescent="0.2">
      <c r="A416" s="519" t="s">
        <v>1055</v>
      </c>
      <c r="B416" s="519">
        <v>5000000</v>
      </c>
      <c r="C416" s="519">
        <v>0</v>
      </c>
      <c r="D416" s="519" t="s">
        <v>901</v>
      </c>
    </row>
    <row r="417" spans="1:4" x14ac:dyDescent="0.2">
      <c r="A417" s="519"/>
      <c r="B417" s="519"/>
      <c r="C417" s="519"/>
      <c r="D417" s="519"/>
    </row>
    <row r="418" spans="1:4" x14ac:dyDescent="0.2">
      <c r="A418" s="519"/>
      <c r="B418" s="519"/>
      <c r="C418" s="519"/>
      <c r="D418" s="519"/>
    </row>
    <row r="419" spans="1:4" x14ac:dyDescent="0.2">
      <c r="A419" s="519"/>
      <c r="B419" s="519"/>
      <c r="C419" s="519"/>
      <c r="D419" s="519"/>
    </row>
    <row r="420" spans="1:4" x14ac:dyDescent="0.2">
      <c r="A420" s="519"/>
      <c r="B420" s="519"/>
      <c r="C420" s="519"/>
      <c r="D420" s="519"/>
    </row>
    <row r="421" spans="1:4" x14ac:dyDescent="0.2">
      <c r="A421" s="519"/>
      <c r="B421" s="519"/>
      <c r="C421" s="519"/>
      <c r="D421" s="519"/>
    </row>
    <row r="422" spans="1:4" x14ac:dyDescent="0.2">
      <c r="A422" s="519"/>
      <c r="B422" s="519"/>
      <c r="C422" s="519"/>
      <c r="D422" s="519"/>
    </row>
    <row r="423" spans="1:4" x14ac:dyDescent="0.2">
      <c r="A423" s="519"/>
      <c r="B423" s="519"/>
      <c r="C423" s="519"/>
      <c r="D423" s="519"/>
    </row>
    <row r="424" spans="1:4" x14ac:dyDescent="0.2">
      <c r="A424" s="519"/>
      <c r="B424" s="519"/>
      <c r="C424" s="519"/>
      <c r="D424" s="519"/>
    </row>
    <row r="425" spans="1:4" x14ac:dyDescent="0.2">
      <c r="A425" s="519"/>
      <c r="B425" s="519"/>
      <c r="C425" s="519"/>
      <c r="D425" s="519"/>
    </row>
    <row r="426" spans="1:4" x14ac:dyDescent="0.2">
      <c r="A426" s="519"/>
      <c r="B426" s="519"/>
      <c r="C426" s="519"/>
      <c r="D426" s="519"/>
    </row>
    <row r="427" spans="1:4" x14ac:dyDescent="0.2">
      <c r="A427" s="519"/>
      <c r="B427" s="519"/>
      <c r="C427" s="519"/>
      <c r="D427" s="519"/>
    </row>
    <row r="428" spans="1:4" x14ac:dyDescent="0.2">
      <c r="A428" s="519"/>
      <c r="B428" s="519"/>
      <c r="C428" s="519"/>
      <c r="D428" s="519"/>
    </row>
    <row r="429" spans="1:4" x14ac:dyDescent="0.2">
      <c r="A429" s="519"/>
      <c r="B429" s="519"/>
      <c r="C429" s="519"/>
      <c r="D429" s="519"/>
    </row>
    <row r="430" spans="1:4" x14ac:dyDescent="0.2">
      <c r="A430" s="519"/>
      <c r="B430" s="519"/>
      <c r="C430" s="519"/>
      <c r="D430" s="519"/>
    </row>
    <row r="431" spans="1:4" x14ac:dyDescent="0.2">
      <c r="A431" s="519"/>
      <c r="B431" s="519"/>
      <c r="C431" s="519"/>
      <c r="D431" s="519"/>
    </row>
    <row r="432" spans="1:4" x14ac:dyDescent="0.2">
      <c r="A432" s="519"/>
      <c r="B432" s="519"/>
      <c r="C432" s="519"/>
      <c r="D432" s="519"/>
    </row>
    <row r="433" spans="1:4" x14ac:dyDescent="0.2">
      <c r="A433" s="519"/>
      <c r="B433" s="519"/>
      <c r="C433" s="519"/>
      <c r="D433" s="519"/>
    </row>
    <row r="434" spans="1:4" x14ac:dyDescent="0.2">
      <c r="A434" s="519"/>
      <c r="B434" s="519"/>
      <c r="C434" s="519"/>
      <c r="D434" s="519"/>
    </row>
    <row r="435" spans="1:4" x14ac:dyDescent="0.2">
      <c r="A435" s="519"/>
      <c r="B435" s="519"/>
      <c r="C435" s="519"/>
      <c r="D435" s="519"/>
    </row>
    <row r="436" spans="1:4" x14ac:dyDescent="0.2">
      <c r="A436" s="519"/>
      <c r="B436" s="519"/>
      <c r="C436" s="519"/>
      <c r="D436" s="519"/>
    </row>
    <row r="437" spans="1:4" x14ac:dyDescent="0.2">
      <c r="A437" s="519"/>
      <c r="B437" s="519"/>
      <c r="C437" s="519"/>
      <c r="D437" s="519"/>
    </row>
    <row r="438" spans="1:4" x14ac:dyDescent="0.2">
      <c r="A438" s="519"/>
      <c r="B438" s="519"/>
      <c r="C438" s="519"/>
      <c r="D438" s="519"/>
    </row>
    <row r="439" spans="1:4" x14ac:dyDescent="0.2">
      <c r="A439" s="519"/>
      <c r="B439" s="519"/>
      <c r="C439" s="519"/>
      <c r="D439" s="519"/>
    </row>
    <row r="440" spans="1:4" x14ac:dyDescent="0.2">
      <c r="A440" s="519"/>
      <c r="B440" s="519"/>
      <c r="C440" s="519"/>
      <c r="D440" s="519"/>
    </row>
    <row r="441" spans="1:4" x14ac:dyDescent="0.2">
      <c r="A441" s="519"/>
      <c r="B441" s="519"/>
      <c r="C441" s="519"/>
      <c r="D441" s="519"/>
    </row>
    <row r="442" spans="1:4" x14ac:dyDescent="0.2">
      <c r="A442" s="519"/>
      <c r="B442" s="519"/>
      <c r="C442" s="519"/>
      <c r="D442" s="519"/>
    </row>
    <row r="443" spans="1:4" x14ac:dyDescent="0.2">
      <c r="A443" s="519"/>
      <c r="B443" s="519"/>
      <c r="C443" s="519"/>
      <c r="D443" s="519"/>
    </row>
    <row r="444" spans="1:4" x14ac:dyDescent="0.2">
      <c r="A444" s="519"/>
      <c r="B444" s="519"/>
      <c r="C444" s="519"/>
      <c r="D444" s="519"/>
    </row>
    <row r="445" spans="1:4" x14ac:dyDescent="0.2">
      <c r="A445" s="519"/>
      <c r="B445" s="519"/>
      <c r="C445" s="519"/>
      <c r="D445" s="519"/>
    </row>
    <row r="446" spans="1:4" x14ac:dyDescent="0.2">
      <c r="A446" s="519"/>
      <c r="B446" s="519"/>
      <c r="C446" s="519"/>
      <c r="D446" s="519"/>
    </row>
    <row r="447" spans="1:4" x14ac:dyDescent="0.2">
      <c r="A447" s="519"/>
      <c r="B447" s="519"/>
      <c r="C447" s="519"/>
      <c r="D447" s="519"/>
    </row>
    <row r="448" spans="1:4" x14ac:dyDescent="0.2">
      <c r="A448" s="519"/>
      <c r="B448" s="519"/>
      <c r="C448" s="519"/>
      <c r="D448" s="519"/>
    </row>
    <row r="449" spans="1:4" x14ac:dyDescent="0.2">
      <c r="A449" s="519"/>
      <c r="B449" s="519"/>
      <c r="C449" s="519"/>
      <c r="D449" s="519"/>
    </row>
    <row r="450" spans="1:4" x14ac:dyDescent="0.2">
      <c r="A450" s="519"/>
      <c r="B450" s="519"/>
      <c r="C450" s="519"/>
      <c r="D450" s="519"/>
    </row>
    <row r="451" spans="1:4" x14ac:dyDescent="0.2">
      <c r="A451" s="519"/>
      <c r="B451" s="519"/>
      <c r="C451" s="519"/>
      <c r="D451" s="519"/>
    </row>
    <row r="452" spans="1:4" x14ac:dyDescent="0.2">
      <c r="A452" s="519"/>
      <c r="B452" s="519"/>
      <c r="C452" s="519"/>
      <c r="D452" s="519"/>
    </row>
    <row r="453" spans="1:4" x14ac:dyDescent="0.2">
      <c r="A453" s="519"/>
      <c r="B453" s="519"/>
      <c r="C453" s="519"/>
      <c r="D453" s="519"/>
    </row>
    <row r="454" spans="1:4" x14ac:dyDescent="0.2">
      <c r="A454" s="519"/>
      <c r="B454" s="519"/>
      <c r="C454" s="519"/>
      <c r="D454" s="519"/>
    </row>
    <row r="455" spans="1:4" x14ac:dyDescent="0.2">
      <c r="A455" s="519"/>
      <c r="B455" s="519"/>
      <c r="C455" s="519"/>
      <c r="D455" s="519"/>
    </row>
    <row r="456" spans="1:4" x14ac:dyDescent="0.2">
      <c r="A456" s="519"/>
      <c r="B456" s="519"/>
      <c r="C456" s="519"/>
      <c r="D456" s="519"/>
    </row>
    <row r="457" spans="1:4" x14ac:dyDescent="0.2">
      <c r="A457" s="519"/>
      <c r="B457" s="519"/>
      <c r="C457" s="519"/>
      <c r="D457" s="519"/>
    </row>
    <row r="458" spans="1:4" x14ac:dyDescent="0.2">
      <c r="A458" s="519"/>
      <c r="B458" s="519"/>
      <c r="C458" s="519"/>
      <c r="D458" s="519"/>
    </row>
    <row r="459" spans="1:4" x14ac:dyDescent="0.2">
      <c r="A459" s="519"/>
      <c r="B459" s="519"/>
      <c r="C459" s="519"/>
      <c r="D459" s="519"/>
    </row>
    <row r="460" spans="1:4" x14ac:dyDescent="0.2">
      <c r="A460" s="519"/>
      <c r="B460" s="519"/>
      <c r="C460" s="519"/>
      <c r="D460" s="519"/>
    </row>
  </sheetData>
  <autoFilter ref="A1:D337" xr:uid="{00000000-0009-0000-0000-00000F000000}"/>
  <sortState xmlns:xlrd2="http://schemas.microsoft.com/office/spreadsheetml/2017/richdata2" ref="A81:D188">
    <sortCondition ref="A81:A188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6"/>
  <dimension ref="A1:G431"/>
  <sheetViews>
    <sheetView workbookViewId="0">
      <pane ySplit="1" topLeftCell="A2" activePane="bottomLeft" state="frozen"/>
      <selection pane="bottomLeft" activeCell="D1" sqref="D1:G1048576"/>
    </sheetView>
  </sheetViews>
  <sheetFormatPr baseColWidth="10" defaultRowHeight="12.75" x14ac:dyDescent="0.2"/>
  <cols>
    <col min="2" max="2" width="14.140625" style="141" bestFit="1" customWidth="1"/>
    <col min="4" max="6" width="11.42578125" hidden="1" customWidth="1"/>
    <col min="7" max="7" width="13.5703125" hidden="1" customWidth="1"/>
  </cols>
  <sheetData>
    <row r="1" spans="1:7" ht="14.25" customHeight="1" x14ac:dyDescent="0.2">
      <c r="A1" s="552" t="s">
        <v>30</v>
      </c>
      <c r="B1" s="553" t="s">
        <v>70</v>
      </c>
    </row>
    <row r="2" spans="1:7" x14ac:dyDescent="0.2">
      <c r="A2" s="543" t="s">
        <v>3765</v>
      </c>
      <c r="B2" s="544">
        <v>427877995</v>
      </c>
      <c r="D2" s="639" t="s">
        <v>4016</v>
      </c>
      <c r="E2" s="640">
        <v>5000005</v>
      </c>
      <c r="G2" s="637">
        <v>427877995</v>
      </c>
    </row>
    <row r="3" spans="1:7" x14ac:dyDescent="0.2">
      <c r="A3" s="543" t="s">
        <v>3766</v>
      </c>
      <c r="B3" s="544">
        <v>354926000</v>
      </c>
      <c r="D3" s="639" t="s">
        <v>4017</v>
      </c>
      <c r="E3" s="639">
        <v>0</v>
      </c>
      <c r="G3" s="637">
        <v>354926000</v>
      </c>
    </row>
    <row r="4" spans="1:7" x14ac:dyDescent="0.2">
      <c r="A4" s="543" t="s">
        <v>3767</v>
      </c>
      <c r="B4" s="544">
        <v>454139000</v>
      </c>
      <c r="D4" s="639" t="s">
        <v>4018</v>
      </c>
      <c r="E4" s="640">
        <v>12000000</v>
      </c>
      <c r="G4" s="637">
        <v>454139000</v>
      </c>
    </row>
    <row r="5" spans="1:7" x14ac:dyDescent="0.2">
      <c r="A5" s="543" t="s">
        <v>3768</v>
      </c>
      <c r="B5" s="544">
        <v>461549437</v>
      </c>
      <c r="D5" s="639" t="s">
        <v>4019</v>
      </c>
      <c r="E5" s="639">
        <v>13365063</v>
      </c>
      <c r="G5" s="637">
        <v>461549437</v>
      </c>
    </row>
    <row r="6" spans="1:7" x14ac:dyDescent="0.2">
      <c r="A6" s="543" t="s">
        <v>3769</v>
      </c>
      <c r="B6" s="544">
        <v>291630490</v>
      </c>
      <c r="D6" s="639" t="s">
        <v>4020</v>
      </c>
      <c r="E6" s="639">
        <v>3206053</v>
      </c>
      <c r="G6" s="637">
        <v>291630490</v>
      </c>
    </row>
    <row r="7" spans="1:7" x14ac:dyDescent="0.2">
      <c r="A7" s="543" t="s">
        <v>3770</v>
      </c>
      <c r="B7" s="544">
        <v>446355000</v>
      </c>
      <c r="D7" s="639" t="s">
        <v>4021</v>
      </c>
      <c r="E7" s="639">
        <v>0</v>
      </c>
      <c r="G7" s="637">
        <v>446355000</v>
      </c>
    </row>
    <row r="8" spans="1:7" x14ac:dyDescent="0.2">
      <c r="A8" s="543" t="s">
        <v>3771</v>
      </c>
      <c r="B8" s="544">
        <v>336151913</v>
      </c>
      <c r="D8" s="639" t="s">
        <v>4022</v>
      </c>
      <c r="E8" s="640">
        <v>56887</v>
      </c>
      <c r="G8" s="637">
        <v>336151913</v>
      </c>
    </row>
    <row r="9" spans="1:7" x14ac:dyDescent="0.2">
      <c r="A9" s="543" t="s">
        <v>3772</v>
      </c>
      <c r="B9" s="544">
        <v>290351042</v>
      </c>
      <c r="D9" s="639" t="s">
        <v>4023</v>
      </c>
      <c r="E9" s="640">
        <v>9481749</v>
      </c>
      <c r="G9" s="637">
        <v>290351042</v>
      </c>
    </row>
    <row r="10" spans="1:7" x14ac:dyDescent="0.2">
      <c r="A10" s="543" t="s">
        <v>3773</v>
      </c>
      <c r="B10" s="544">
        <v>341935319</v>
      </c>
      <c r="D10" s="639" t="s">
        <v>4024</v>
      </c>
      <c r="E10" s="640">
        <v>41047181</v>
      </c>
      <c r="G10" s="637">
        <v>341935319</v>
      </c>
    </row>
    <row r="11" spans="1:7" x14ac:dyDescent="0.2">
      <c r="A11" s="543" t="s">
        <v>3774</v>
      </c>
      <c r="B11" s="544">
        <v>375375836</v>
      </c>
      <c r="D11" s="639" t="s">
        <v>4025</v>
      </c>
      <c r="E11" s="639">
        <v>0</v>
      </c>
      <c r="G11" s="637">
        <v>375375836</v>
      </c>
    </row>
    <row r="12" spans="1:7" x14ac:dyDescent="0.2">
      <c r="A12" s="543" t="s">
        <v>3775</v>
      </c>
      <c r="B12" s="544">
        <v>384485000</v>
      </c>
      <c r="D12" s="639" t="s">
        <v>4026</v>
      </c>
      <c r="E12" s="639">
        <v>0</v>
      </c>
      <c r="G12" s="637">
        <v>384485000</v>
      </c>
    </row>
    <row r="13" spans="1:7" x14ac:dyDescent="0.2">
      <c r="A13" s="543" t="s">
        <v>3776</v>
      </c>
      <c r="B13" s="544">
        <v>456285000</v>
      </c>
      <c r="D13" s="639" t="s">
        <v>4027</v>
      </c>
      <c r="E13" s="640">
        <v>0</v>
      </c>
      <c r="G13" s="637">
        <v>456285000</v>
      </c>
    </row>
    <row r="14" spans="1:7" x14ac:dyDescent="0.2">
      <c r="A14" s="543" t="s">
        <v>3777</v>
      </c>
      <c r="B14" s="544">
        <v>294340929</v>
      </c>
      <c r="D14" s="639" t="s">
        <v>4028</v>
      </c>
      <c r="E14" s="639">
        <v>130056</v>
      </c>
      <c r="G14" s="637">
        <v>294340929</v>
      </c>
    </row>
    <row r="15" spans="1:7" x14ac:dyDescent="0.2">
      <c r="A15" s="543" t="s">
        <v>3778</v>
      </c>
      <c r="B15" s="544">
        <v>382482500</v>
      </c>
      <c r="D15" s="639" t="s">
        <v>4029</v>
      </c>
      <c r="E15" s="640">
        <v>1000000</v>
      </c>
      <c r="G15" s="637">
        <v>382482500</v>
      </c>
    </row>
    <row r="16" spans="1:7" x14ac:dyDescent="0.2">
      <c r="A16" s="543" t="s">
        <v>3779</v>
      </c>
      <c r="B16" s="544">
        <v>385592000</v>
      </c>
      <c r="D16" s="639" t="s">
        <v>4030</v>
      </c>
      <c r="E16" s="639">
        <v>0</v>
      </c>
      <c r="G16" s="637">
        <v>385592000</v>
      </c>
    </row>
    <row r="17" spans="1:7" x14ac:dyDescent="0.2">
      <c r="A17" s="543" t="s">
        <v>3780</v>
      </c>
      <c r="B17" s="544">
        <v>282311800</v>
      </c>
      <c r="D17" s="639" t="s">
        <v>4031</v>
      </c>
      <c r="E17" s="639">
        <v>0</v>
      </c>
      <c r="G17" s="637">
        <v>282311800</v>
      </c>
    </row>
    <row r="18" spans="1:7" x14ac:dyDescent="0.2">
      <c r="A18" s="543" t="s">
        <v>3781</v>
      </c>
      <c r="B18" s="544">
        <v>347884059</v>
      </c>
      <c r="D18" s="639" t="s">
        <v>4032</v>
      </c>
      <c r="E18" s="639">
        <v>4085541</v>
      </c>
      <c r="G18" s="637">
        <v>347884059</v>
      </c>
    </row>
    <row r="19" spans="1:7" x14ac:dyDescent="0.2">
      <c r="A19" s="543" t="s">
        <v>3745</v>
      </c>
      <c r="B19" s="544">
        <v>460382500</v>
      </c>
      <c r="D19" s="639" t="s">
        <v>4270</v>
      </c>
      <c r="E19" s="640">
        <v>0</v>
      </c>
      <c r="G19" s="637">
        <v>460382500</v>
      </c>
    </row>
    <row r="20" spans="1:7" x14ac:dyDescent="0.2">
      <c r="A20" s="543" t="s">
        <v>3782</v>
      </c>
      <c r="B20" s="544">
        <v>287252176</v>
      </c>
      <c r="D20" s="639" t="s">
        <v>4033</v>
      </c>
      <c r="E20" s="640">
        <v>3177770</v>
      </c>
      <c r="G20" s="637">
        <v>287252176</v>
      </c>
    </row>
    <row r="21" spans="1:7" x14ac:dyDescent="0.2">
      <c r="A21" s="543" t="s">
        <v>3783</v>
      </c>
      <c r="B21" s="544">
        <v>409957027</v>
      </c>
      <c r="D21" s="639" t="s">
        <v>4034</v>
      </c>
      <c r="E21" s="640">
        <v>4500000</v>
      </c>
      <c r="G21" s="637">
        <v>409957027</v>
      </c>
    </row>
    <row r="22" spans="1:7" x14ac:dyDescent="0.2">
      <c r="A22" s="543" t="s">
        <v>3784</v>
      </c>
      <c r="B22" s="544">
        <v>385092000</v>
      </c>
      <c r="D22" s="639" t="s">
        <v>4035</v>
      </c>
      <c r="E22" s="639">
        <v>1000000</v>
      </c>
      <c r="G22" s="637">
        <v>385092000</v>
      </c>
    </row>
    <row r="23" spans="1:7" x14ac:dyDescent="0.2">
      <c r="A23" s="543" t="s">
        <v>3785</v>
      </c>
      <c r="B23" s="544">
        <v>296663237</v>
      </c>
      <c r="D23" s="639" t="s">
        <v>4036</v>
      </c>
      <c r="E23" s="640">
        <v>1663263</v>
      </c>
      <c r="G23" s="637">
        <v>296663237</v>
      </c>
    </row>
    <row r="24" spans="1:7" x14ac:dyDescent="0.2">
      <c r="A24" s="543" t="s">
        <v>3786</v>
      </c>
      <c r="B24" s="544">
        <v>323949273</v>
      </c>
      <c r="D24" s="639" t="s">
        <v>4037</v>
      </c>
      <c r="E24" s="640">
        <v>7738727</v>
      </c>
      <c r="G24" s="637">
        <v>323949273</v>
      </c>
    </row>
    <row r="25" spans="1:7" x14ac:dyDescent="0.2">
      <c r="A25" s="543" t="s">
        <v>3746</v>
      </c>
      <c r="B25" s="544">
        <v>471675000</v>
      </c>
      <c r="D25" s="639" t="s">
        <v>4358</v>
      </c>
      <c r="E25" s="639">
        <v>0</v>
      </c>
      <c r="G25" s="637">
        <v>471675000</v>
      </c>
    </row>
    <row r="26" spans="1:7" x14ac:dyDescent="0.2">
      <c r="A26" s="543" t="s">
        <v>3787</v>
      </c>
      <c r="B26" s="544">
        <v>286029672</v>
      </c>
      <c r="D26" s="639" t="s">
        <v>4038</v>
      </c>
      <c r="E26" s="640">
        <v>6292448</v>
      </c>
      <c r="G26" s="637">
        <v>286029672</v>
      </c>
    </row>
    <row r="27" spans="1:7" x14ac:dyDescent="0.2">
      <c r="A27" s="543" t="s">
        <v>3788</v>
      </c>
      <c r="B27" s="544">
        <v>400095000</v>
      </c>
      <c r="D27" s="639" t="s">
        <v>4039</v>
      </c>
      <c r="E27" s="639">
        <v>4000000</v>
      </c>
      <c r="G27" s="637">
        <v>400095000</v>
      </c>
    </row>
    <row r="28" spans="1:7" x14ac:dyDescent="0.2">
      <c r="A28" s="543" t="s">
        <v>3789</v>
      </c>
      <c r="B28" s="544">
        <v>373542265</v>
      </c>
      <c r="D28" s="639" t="s">
        <v>4040</v>
      </c>
      <c r="E28" s="639">
        <v>30297735</v>
      </c>
      <c r="G28" s="637">
        <v>373542265</v>
      </c>
    </row>
    <row r="29" spans="1:7" x14ac:dyDescent="0.2">
      <c r="A29" s="543" t="s">
        <v>3790</v>
      </c>
      <c r="B29" s="544">
        <v>288465000</v>
      </c>
      <c r="D29" s="639" t="s">
        <v>4041</v>
      </c>
      <c r="E29" s="639">
        <v>0</v>
      </c>
      <c r="G29" s="637">
        <v>288465000</v>
      </c>
    </row>
    <row r="30" spans="1:7" x14ac:dyDescent="0.2">
      <c r="A30" s="543" t="s">
        <v>3791</v>
      </c>
      <c r="B30" s="544">
        <v>342351519</v>
      </c>
      <c r="D30" s="639" t="s">
        <v>4042</v>
      </c>
      <c r="E30" s="639">
        <v>0</v>
      </c>
      <c r="G30" s="637">
        <v>342351519</v>
      </c>
    </row>
    <row r="31" spans="1:7" x14ac:dyDescent="0.2">
      <c r="A31" s="543" t="s">
        <v>3747</v>
      </c>
      <c r="B31" s="544">
        <v>472175000</v>
      </c>
      <c r="D31" s="639" t="s">
        <v>4429</v>
      </c>
      <c r="E31" s="640">
        <v>0</v>
      </c>
      <c r="G31" s="637">
        <v>472175000</v>
      </c>
    </row>
    <row r="32" spans="1:7" x14ac:dyDescent="0.2">
      <c r="A32" s="543" t="s">
        <v>3792</v>
      </c>
      <c r="B32" s="544">
        <v>291440975</v>
      </c>
      <c r="D32" s="639" t="s">
        <v>4043</v>
      </c>
      <c r="E32" s="639">
        <v>4026865</v>
      </c>
      <c r="G32" s="637">
        <v>291440975</v>
      </c>
    </row>
    <row r="33" spans="1:7" x14ac:dyDescent="0.2">
      <c r="A33" s="543" t="s">
        <v>3793</v>
      </c>
      <c r="B33" s="544">
        <v>372137500</v>
      </c>
      <c r="D33" s="639" t="s">
        <v>4044</v>
      </c>
      <c r="E33" s="639">
        <v>5000000</v>
      </c>
      <c r="G33" s="637">
        <v>372137500</v>
      </c>
    </row>
    <row r="34" spans="1:7" x14ac:dyDescent="0.2">
      <c r="A34" s="543" t="s">
        <v>3794</v>
      </c>
      <c r="B34" s="544">
        <v>363710822</v>
      </c>
      <c r="D34" s="639" t="s">
        <v>4045</v>
      </c>
      <c r="E34" s="639">
        <v>2245178</v>
      </c>
      <c r="G34" s="637">
        <v>363710822</v>
      </c>
    </row>
    <row r="35" spans="1:7" x14ac:dyDescent="0.2">
      <c r="A35" s="543" t="s">
        <v>3795</v>
      </c>
      <c r="B35" s="544">
        <v>312801204</v>
      </c>
      <c r="D35" s="639" t="s">
        <v>4046</v>
      </c>
      <c r="E35" s="640">
        <v>1000000</v>
      </c>
      <c r="G35" s="637">
        <v>312801204</v>
      </c>
    </row>
    <row r="36" spans="1:7" x14ac:dyDescent="0.2">
      <c r="A36" s="543" t="s">
        <v>3796</v>
      </c>
      <c r="B36" s="544">
        <v>411468246</v>
      </c>
      <c r="D36" s="639" t="s">
        <v>4047</v>
      </c>
      <c r="E36" s="640">
        <v>4412370</v>
      </c>
      <c r="G36" s="637">
        <v>411468246</v>
      </c>
    </row>
    <row r="37" spans="1:7" x14ac:dyDescent="0.2">
      <c r="A37" s="543" t="s">
        <v>3797</v>
      </c>
      <c r="B37" s="544">
        <v>400850000</v>
      </c>
      <c r="D37" s="639" t="s">
        <v>4048</v>
      </c>
      <c r="E37" s="639">
        <v>0</v>
      </c>
      <c r="G37" s="637">
        <v>400850000</v>
      </c>
    </row>
    <row r="38" spans="1:7" x14ac:dyDescent="0.2">
      <c r="A38" s="543" t="s">
        <v>3798</v>
      </c>
      <c r="B38" s="544">
        <v>377637500</v>
      </c>
      <c r="D38" s="639" t="s">
        <v>4049</v>
      </c>
      <c r="E38" s="639">
        <v>0</v>
      </c>
      <c r="G38" s="637">
        <v>377637500</v>
      </c>
    </row>
    <row r="39" spans="1:7" x14ac:dyDescent="0.2">
      <c r="A39" s="543" t="s">
        <v>3799</v>
      </c>
      <c r="B39" s="544">
        <v>373252145</v>
      </c>
      <c r="D39" s="639" t="s">
        <v>4050</v>
      </c>
      <c r="E39" s="640">
        <v>227855</v>
      </c>
      <c r="G39" s="637">
        <v>373252145</v>
      </c>
    </row>
    <row r="40" spans="1:7" x14ac:dyDescent="0.2">
      <c r="A40" s="543" t="s">
        <v>3800</v>
      </c>
      <c r="B40" s="544">
        <v>321987500</v>
      </c>
      <c r="D40" s="639" t="s">
        <v>4051</v>
      </c>
      <c r="E40" s="639">
        <v>1000000</v>
      </c>
      <c r="G40" s="637">
        <v>321987500</v>
      </c>
    </row>
    <row r="41" spans="1:7" x14ac:dyDescent="0.2">
      <c r="A41" s="543" t="s">
        <v>3801</v>
      </c>
      <c r="B41" s="544">
        <v>349812162</v>
      </c>
      <c r="D41" s="639" t="s">
        <v>4052</v>
      </c>
      <c r="E41" s="640">
        <v>3340838</v>
      </c>
      <c r="G41" s="637">
        <v>349812162</v>
      </c>
    </row>
    <row r="42" spans="1:7" x14ac:dyDescent="0.2">
      <c r="A42" s="543" t="s">
        <v>3802</v>
      </c>
      <c r="B42" s="544">
        <v>458785000</v>
      </c>
      <c r="D42" s="639" t="s">
        <v>4053</v>
      </c>
      <c r="E42" s="639">
        <v>0</v>
      </c>
      <c r="G42" s="637">
        <v>458785000</v>
      </c>
    </row>
    <row r="43" spans="1:7" x14ac:dyDescent="0.2">
      <c r="A43" s="543" t="s">
        <v>3803</v>
      </c>
      <c r="B43" s="544">
        <v>288122400</v>
      </c>
      <c r="D43" s="639" t="s">
        <v>4054</v>
      </c>
      <c r="E43" s="640">
        <v>0</v>
      </c>
      <c r="G43" s="637">
        <v>288122400</v>
      </c>
    </row>
    <row r="44" spans="1:7" x14ac:dyDescent="0.2">
      <c r="A44" s="543" t="s">
        <v>3804</v>
      </c>
      <c r="B44" s="544">
        <v>381557022</v>
      </c>
      <c r="D44" s="639" t="s">
        <v>4055</v>
      </c>
      <c r="E44" s="639">
        <v>4425478</v>
      </c>
      <c r="G44" s="637">
        <v>381557022</v>
      </c>
    </row>
    <row r="45" spans="1:7" x14ac:dyDescent="0.2">
      <c r="A45" s="543" t="s">
        <v>3805</v>
      </c>
      <c r="B45" s="544">
        <v>439290260</v>
      </c>
      <c r="D45" s="639" t="s">
        <v>4056</v>
      </c>
      <c r="E45" s="639">
        <v>545740</v>
      </c>
      <c r="G45" s="637">
        <v>439290260</v>
      </c>
    </row>
    <row r="46" spans="1:7" x14ac:dyDescent="0.2">
      <c r="A46" s="543" t="s">
        <v>3806</v>
      </c>
      <c r="B46" s="544">
        <v>347879800</v>
      </c>
      <c r="D46" s="639" t="s">
        <v>4057</v>
      </c>
      <c r="E46" s="640">
        <v>10000000</v>
      </c>
      <c r="G46" s="637">
        <v>347879800</v>
      </c>
    </row>
    <row r="47" spans="1:7" x14ac:dyDescent="0.2">
      <c r="A47" s="543" t="s">
        <v>3807</v>
      </c>
      <c r="B47" s="544">
        <v>350730557</v>
      </c>
      <c r="D47" s="639" t="s">
        <v>4058</v>
      </c>
      <c r="E47" s="640">
        <v>3739043</v>
      </c>
      <c r="G47" s="637">
        <v>350730557</v>
      </c>
    </row>
    <row r="48" spans="1:7" x14ac:dyDescent="0.2">
      <c r="A48" s="543" t="s">
        <v>3808</v>
      </c>
      <c r="B48" s="544">
        <v>335821631</v>
      </c>
      <c r="D48" s="639" t="s">
        <v>4059</v>
      </c>
      <c r="E48" s="640">
        <v>2500000</v>
      </c>
      <c r="G48" s="637">
        <v>335821631</v>
      </c>
    </row>
    <row r="49" spans="1:7" x14ac:dyDescent="0.2">
      <c r="A49" s="543" t="s">
        <v>3809</v>
      </c>
      <c r="B49" s="544">
        <v>303192000</v>
      </c>
      <c r="D49" s="639" t="s">
        <v>4060</v>
      </c>
      <c r="E49" s="639">
        <v>0</v>
      </c>
      <c r="G49" s="637">
        <v>303192000</v>
      </c>
    </row>
    <row r="50" spans="1:7" x14ac:dyDescent="0.2">
      <c r="A50" s="543" t="s">
        <v>3810</v>
      </c>
      <c r="B50" s="544">
        <v>370651866</v>
      </c>
      <c r="D50" s="639" t="s">
        <v>4061</v>
      </c>
      <c r="E50" s="640">
        <v>4063134</v>
      </c>
      <c r="G50" s="637">
        <v>370651866</v>
      </c>
    </row>
    <row r="51" spans="1:7" x14ac:dyDescent="0.2">
      <c r="A51" s="543" t="s">
        <v>3811</v>
      </c>
      <c r="B51" s="544">
        <v>499920000</v>
      </c>
      <c r="D51" s="639" t="s">
        <v>4062</v>
      </c>
      <c r="E51" s="639">
        <v>0</v>
      </c>
      <c r="G51" s="637">
        <v>499920000</v>
      </c>
    </row>
    <row r="52" spans="1:7" x14ac:dyDescent="0.2">
      <c r="A52" s="543" t="s">
        <v>3812</v>
      </c>
      <c r="B52" s="544">
        <v>387985000</v>
      </c>
      <c r="D52" s="639" t="s">
        <v>4063</v>
      </c>
      <c r="E52" s="640">
        <v>0</v>
      </c>
      <c r="G52" s="637">
        <v>387985000</v>
      </c>
    </row>
    <row r="53" spans="1:7" x14ac:dyDescent="0.2">
      <c r="A53" s="543" t="s">
        <v>3813</v>
      </c>
      <c r="B53" s="544">
        <v>457163113</v>
      </c>
      <c r="D53" s="639" t="s">
        <v>4064</v>
      </c>
      <c r="E53" s="639">
        <v>0</v>
      </c>
      <c r="G53" s="637">
        <v>457163113</v>
      </c>
    </row>
    <row r="54" spans="1:7" x14ac:dyDescent="0.2">
      <c r="A54" s="543" t="s">
        <v>3814</v>
      </c>
      <c r="B54" s="544">
        <v>340208800</v>
      </c>
      <c r="D54" s="639" t="s">
        <v>4065</v>
      </c>
      <c r="E54" s="640">
        <v>0</v>
      </c>
      <c r="G54" s="637">
        <v>340208800</v>
      </c>
    </row>
    <row r="55" spans="1:7" x14ac:dyDescent="0.2">
      <c r="A55" s="543" t="s">
        <v>3815</v>
      </c>
      <c r="B55" s="544">
        <v>285404200</v>
      </c>
      <c r="D55" s="639" t="s">
        <v>4066</v>
      </c>
      <c r="E55" s="640">
        <v>2500000</v>
      </c>
      <c r="G55" s="637">
        <v>285404200</v>
      </c>
    </row>
    <row r="56" spans="1:7" x14ac:dyDescent="0.2">
      <c r="A56" s="543" t="s">
        <v>3816</v>
      </c>
      <c r="B56" s="544">
        <v>360699265</v>
      </c>
      <c r="D56" s="639" t="s">
        <v>4067</v>
      </c>
      <c r="E56" s="640">
        <v>20637366</v>
      </c>
      <c r="G56" s="637">
        <v>360699265</v>
      </c>
    </row>
    <row r="57" spans="1:7" x14ac:dyDescent="0.2">
      <c r="A57" s="543" t="s">
        <v>3817</v>
      </c>
      <c r="B57" s="544">
        <v>366398000</v>
      </c>
      <c r="D57" s="639" t="s">
        <v>4068</v>
      </c>
      <c r="E57" s="640">
        <v>0</v>
      </c>
      <c r="G57" s="637">
        <v>366398000</v>
      </c>
    </row>
    <row r="58" spans="1:7" x14ac:dyDescent="0.2">
      <c r="A58" s="543" t="s">
        <v>3818</v>
      </c>
      <c r="B58" s="544">
        <v>283811800</v>
      </c>
      <c r="D58" s="639" t="s">
        <v>4069</v>
      </c>
      <c r="E58" s="640">
        <v>2000000</v>
      </c>
      <c r="G58" s="637">
        <v>283811800</v>
      </c>
    </row>
    <row r="59" spans="1:7" x14ac:dyDescent="0.2">
      <c r="A59" s="543" t="s">
        <v>3819</v>
      </c>
      <c r="B59" s="544">
        <v>355812000</v>
      </c>
      <c r="D59" s="639" t="s">
        <v>4070</v>
      </c>
      <c r="E59" s="639">
        <v>0</v>
      </c>
      <c r="G59" s="637">
        <v>355812000</v>
      </c>
    </row>
    <row r="60" spans="1:7" x14ac:dyDescent="0.2">
      <c r="A60" s="543" t="s">
        <v>3820</v>
      </c>
      <c r="B60" s="544">
        <v>289749485</v>
      </c>
      <c r="D60" s="639" t="s">
        <v>4071</v>
      </c>
      <c r="E60" s="640">
        <v>0</v>
      </c>
      <c r="G60" s="637">
        <v>289749485</v>
      </c>
    </row>
    <row r="61" spans="1:7" x14ac:dyDescent="0.2">
      <c r="A61" s="543" t="s">
        <v>3821</v>
      </c>
      <c r="B61" s="544">
        <v>376196619</v>
      </c>
      <c r="D61" s="639" t="s">
        <v>4072</v>
      </c>
      <c r="E61" s="639">
        <v>0</v>
      </c>
      <c r="G61" s="637">
        <v>376196619</v>
      </c>
    </row>
    <row r="62" spans="1:7" x14ac:dyDescent="0.2">
      <c r="A62" s="543" t="s">
        <v>3822</v>
      </c>
      <c r="B62" s="544">
        <v>362020962</v>
      </c>
      <c r="D62" s="639" t="s">
        <v>4073</v>
      </c>
      <c r="E62" s="640">
        <v>26787038</v>
      </c>
      <c r="G62" s="637">
        <v>362020962</v>
      </c>
    </row>
    <row r="63" spans="1:7" x14ac:dyDescent="0.2">
      <c r="A63" s="543" t="s">
        <v>3823</v>
      </c>
      <c r="B63" s="544">
        <v>287529600</v>
      </c>
      <c r="D63" s="639" t="s">
        <v>4074</v>
      </c>
      <c r="E63" s="640">
        <v>0</v>
      </c>
      <c r="G63" s="637">
        <v>287529600</v>
      </c>
    </row>
    <row r="64" spans="1:7" x14ac:dyDescent="0.2">
      <c r="A64" s="543" t="s">
        <v>3824</v>
      </c>
      <c r="B64" s="544">
        <v>460785000</v>
      </c>
      <c r="D64" s="639" t="s">
        <v>4075</v>
      </c>
      <c r="E64" s="640">
        <v>0</v>
      </c>
      <c r="G64" s="637">
        <v>460785000</v>
      </c>
    </row>
    <row r="65" spans="1:7" x14ac:dyDescent="0.2">
      <c r="A65" s="543" t="s">
        <v>3825</v>
      </c>
      <c r="B65" s="544">
        <v>289717304</v>
      </c>
      <c r="D65" s="639" t="s">
        <v>4076</v>
      </c>
      <c r="E65" s="639">
        <v>0</v>
      </c>
      <c r="G65" s="637">
        <v>289717304</v>
      </c>
    </row>
    <row r="66" spans="1:7" x14ac:dyDescent="0.2">
      <c r="A66" s="543" t="s">
        <v>3826</v>
      </c>
      <c r="B66" s="544">
        <v>375137500</v>
      </c>
      <c r="D66" s="639" t="s">
        <v>4077</v>
      </c>
      <c r="E66" s="640">
        <v>5000000</v>
      </c>
      <c r="G66" s="637">
        <v>375137500</v>
      </c>
    </row>
    <row r="67" spans="1:7" x14ac:dyDescent="0.2">
      <c r="A67" s="543" t="s">
        <v>3827</v>
      </c>
      <c r="B67" s="544">
        <v>449640048</v>
      </c>
      <c r="D67" s="639" t="s">
        <v>4078</v>
      </c>
      <c r="E67" s="640">
        <v>11849088</v>
      </c>
      <c r="G67" s="637">
        <v>449640048</v>
      </c>
    </row>
    <row r="68" spans="1:7" x14ac:dyDescent="0.2">
      <c r="A68" s="543" t="s">
        <v>3828</v>
      </c>
      <c r="B68" s="544">
        <v>287353620</v>
      </c>
      <c r="D68" s="639" t="s">
        <v>4079</v>
      </c>
      <c r="E68" s="640">
        <v>675970</v>
      </c>
      <c r="G68" s="637">
        <v>287353620</v>
      </c>
    </row>
    <row r="69" spans="1:7" x14ac:dyDescent="0.2">
      <c r="A69" s="543" t="s">
        <v>3829</v>
      </c>
      <c r="B69" s="544">
        <v>338559200</v>
      </c>
      <c r="D69" s="639" t="s">
        <v>4080</v>
      </c>
      <c r="E69" s="640">
        <v>0</v>
      </c>
      <c r="G69" s="637">
        <v>338559200</v>
      </c>
    </row>
    <row r="70" spans="1:7" x14ac:dyDescent="0.2">
      <c r="A70" s="543" t="s">
        <v>3830</v>
      </c>
      <c r="B70" s="544">
        <v>461285000</v>
      </c>
      <c r="D70" s="639" t="s">
        <v>4081</v>
      </c>
      <c r="E70" s="640">
        <v>0</v>
      </c>
      <c r="G70" s="637">
        <v>461285000</v>
      </c>
    </row>
    <row r="71" spans="1:7" x14ac:dyDescent="0.2">
      <c r="A71" s="543" t="s">
        <v>3831</v>
      </c>
      <c r="B71" s="544">
        <v>286686000</v>
      </c>
      <c r="D71" s="639" t="s">
        <v>4082</v>
      </c>
      <c r="E71" s="640">
        <v>1500000</v>
      </c>
      <c r="G71" s="637">
        <v>286686000</v>
      </c>
    </row>
    <row r="72" spans="1:7" x14ac:dyDescent="0.2">
      <c r="A72" s="543" t="s">
        <v>3832</v>
      </c>
      <c r="B72" s="544">
        <v>375715000</v>
      </c>
      <c r="D72" s="639" t="s">
        <v>4083</v>
      </c>
      <c r="E72" s="640">
        <v>1000000</v>
      </c>
      <c r="G72" s="637">
        <v>375715000</v>
      </c>
    </row>
    <row r="73" spans="1:7" x14ac:dyDescent="0.2">
      <c r="A73" s="543" t="s">
        <v>3833</v>
      </c>
      <c r="B73" s="544">
        <v>407840000</v>
      </c>
      <c r="D73" s="639" t="s">
        <v>4084</v>
      </c>
      <c r="E73" s="640">
        <v>0</v>
      </c>
      <c r="G73" s="637">
        <v>407840000</v>
      </c>
    </row>
    <row r="74" spans="1:7" x14ac:dyDescent="0.2">
      <c r="A74" s="543" t="s">
        <v>3834</v>
      </c>
      <c r="B74" s="544">
        <v>295512500</v>
      </c>
      <c r="D74" s="639" t="s">
        <v>4085</v>
      </c>
      <c r="E74" s="640">
        <v>0</v>
      </c>
      <c r="G74" s="637">
        <v>295512500</v>
      </c>
    </row>
    <row r="75" spans="1:7" x14ac:dyDescent="0.2">
      <c r="A75" s="543" t="s">
        <v>3835</v>
      </c>
      <c r="B75" s="544">
        <v>405687220</v>
      </c>
      <c r="D75" s="639" t="s">
        <v>4086</v>
      </c>
      <c r="E75" s="640">
        <v>4390780</v>
      </c>
      <c r="G75" s="637">
        <v>405687220</v>
      </c>
    </row>
    <row r="76" spans="1:7" x14ac:dyDescent="0.2">
      <c r="A76" s="543" t="s">
        <v>3836</v>
      </c>
      <c r="B76" s="544">
        <v>390824653</v>
      </c>
      <c r="D76" s="639" t="s">
        <v>4087</v>
      </c>
      <c r="E76" s="640">
        <v>412847</v>
      </c>
      <c r="G76" s="637">
        <v>390824653</v>
      </c>
    </row>
    <row r="77" spans="1:7" x14ac:dyDescent="0.2">
      <c r="A77" s="543" t="s">
        <v>3837</v>
      </c>
      <c r="B77" s="544">
        <v>349831552</v>
      </c>
      <c r="D77" s="639" t="s">
        <v>4088</v>
      </c>
      <c r="E77" s="640">
        <v>3971448</v>
      </c>
      <c r="G77" s="637">
        <v>349831552</v>
      </c>
    </row>
    <row r="78" spans="1:7" x14ac:dyDescent="0.2">
      <c r="A78" s="543" t="s">
        <v>3838</v>
      </c>
      <c r="B78" s="544">
        <v>381137500</v>
      </c>
      <c r="D78" s="639" t="s">
        <v>4089</v>
      </c>
      <c r="E78" s="640">
        <v>0</v>
      </c>
      <c r="G78" s="637">
        <v>381137500</v>
      </c>
    </row>
    <row r="79" spans="1:7" x14ac:dyDescent="0.2">
      <c r="A79" s="543" t="s">
        <v>3839</v>
      </c>
      <c r="B79" s="544">
        <v>407549196</v>
      </c>
      <c r="D79" s="639" t="s">
        <v>4090</v>
      </c>
      <c r="E79" s="640">
        <v>3555389</v>
      </c>
      <c r="G79" s="637">
        <v>407549196</v>
      </c>
    </row>
    <row r="80" spans="1:7" x14ac:dyDescent="0.2">
      <c r="A80" s="543" t="s">
        <v>3840</v>
      </c>
      <c r="B80" s="544">
        <v>294975610</v>
      </c>
      <c r="D80" s="639" t="s">
        <v>4091</v>
      </c>
      <c r="E80" s="640">
        <v>7131890</v>
      </c>
      <c r="G80" s="637">
        <v>294975610</v>
      </c>
    </row>
    <row r="81" spans="1:7" x14ac:dyDescent="0.2">
      <c r="A81" s="543" t="s">
        <v>3841</v>
      </c>
      <c r="B81" s="544">
        <v>406182220</v>
      </c>
      <c r="D81" s="639" t="s">
        <v>4092</v>
      </c>
      <c r="E81" s="640">
        <v>4395780</v>
      </c>
      <c r="G81" s="637">
        <v>406182220</v>
      </c>
    </row>
    <row r="82" spans="1:7" x14ac:dyDescent="0.2">
      <c r="A82" s="543" t="s">
        <v>3842</v>
      </c>
      <c r="B82" s="544">
        <v>408935410</v>
      </c>
      <c r="D82" s="639" t="s">
        <v>4093</v>
      </c>
      <c r="E82" s="640">
        <v>4423590</v>
      </c>
      <c r="G82" s="637">
        <v>408935410</v>
      </c>
    </row>
    <row r="83" spans="1:7" x14ac:dyDescent="0.2">
      <c r="A83" s="543" t="s">
        <v>3843</v>
      </c>
      <c r="B83" s="544">
        <v>281426002</v>
      </c>
      <c r="D83" s="639" t="s">
        <v>4094</v>
      </c>
      <c r="E83" s="640">
        <v>7759998</v>
      </c>
      <c r="G83" s="637">
        <v>281426002</v>
      </c>
    </row>
    <row r="84" spans="1:7" x14ac:dyDescent="0.2">
      <c r="A84" s="543" t="s">
        <v>3844</v>
      </c>
      <c r="B84" s="544">
        <v>370316800</v>
      </c>
      <c r="D84" s="639" t="s">
        <v>4095</v>
      </c>
      <c r="E84" s="640">
        <v>0</v>
      </c>
      <c r="G84" s="637">
        <v>370316800</v>
      </c>
    </row>
    <row r="85" spans="1:7" x14ac:dyDescent="0.2">
      <c r="A85" s="543" t="s">
        <v>3845</v>
      </c>
      <c r="B85" s="544">
        <v>386136881</v>
      </c>
      <c r="D85" s="639" t="s">
        <v>4096</v>
      </c>
      <c r="E85" s="640">
        <v>5599209</v>
      </c>
      <c r="G85" s="637">
        <v>386136881</v>
      </c>
    </row>
    <row r="86" spans="1:7" x14ac:dyDescent="0.2">
      <c r="A86" s="543" t="s">
        <v>3846</v>
      </c>
      <c r="B86" s="544">
        <v>289529600</v>
      </c>
      <c r="D86" s="639" t="s">
        <v>4097</v>
      </c>
      <c r="E86" s="640">
        <v>0</v>
      </c>
      <c r="G86" s="637">
        <v>289529600</v>
      </c>
    </row>
    <row r="87" spans="1:7" x14ac:dyDescent="0.2">
      <c r="A87" s="543" t="s">
        <v>3847</v>
      </c>
      <c r="B87" s="544">
        <v>462785000</v>
      </c>
      <c r="D87" s="639" t="s">
        <v>4098</v>
      </c>
      <c r="E87" s="640">
        <v>0</v>
      </c>
      <c r="G87" s="637">
        <v>462785000</v>
      </c>
    </row>
    <row r="88" spans="1:7" x14ac:dyDescent="0.2">
      <c r="A88" s="543" t="s">
        <v>3848</v>
      </c>
      <c r="B88" s="544">
        <v>289593898</v>
      </c>
      <c r="D88" s="639" t="s">
        <v>4099</v>
      </c>
      <c r="E88" s="640">
        <v>92102</v>
      </c>
      <c r="G88" s="637">
        <v>289593898</v>
      </c>
    </row>
    <row r="89" spans="1:7" x14ac:dyDescent="0.2">
      <c r="A89" s="543" t="s">
        <v>3849</v>
      </c>
      <c r="B89" s="544">
        <v>406901590</v>
      </c>
      <c r="D89" s="639" t="s">
        <v>4100</v>
      </c>
      <c r="E89" s="640">
        <v>6000000</v>
      </c>
      <c r="G89" s="637">
        <v>406901590</v>
      </c>
    </row>
    <row r="90" spans="1:7" x14ac:dyDescent="0.2">
      <c r="A90" s="543" t="s">
        <v>3850</v>
      </c>
      <c r="B90" s="544">
        <v>391308000</v>
      </c>
      <c r="D90" s="639" t="s">
        <v>4101</v>
      </c>
      <c r="E90" s="640">
        <v>0</v>
      </c>
      <c r="G90" s="637">
        <v>391308000</v>
      </c>
    </row>
    <row r="91" spans="1:7" x14ac:dyDescent="0.2">
      <c r="A91" s="543" t="s">
        <v>3851</v>
      </c>
      <c r="B91" s="544">
        <v>289029600</v>
      </c>
      <c r="D91" s="639" t="s">
        <v>4102</v>
      </c>
      <c r="E91" s="640">
        <v>1000000</v>
      </c>
      <c r="G91" s="637">
        <v>289029600</v>
      </c>
    </row>
    <row r="92" spans="1:7" x14ac:dyDescent="0.2">
      <c r="A92" s="543" t="s">
        <v>3852</v>
      </c>
      <c r="B92" s="544">
        <v>464285000</v>
      </c>
      <c r="D92" s="639" t="s">
        <v>4103</v>
      </c>
      <c r="E92" s="640">
        <v>0</v>
      </c>
      <c r="G92" s="637">
        <v>464285000</v>
      </c>
    </row>
    <row r="93" spans="1:7" x14ac:dyDescent="0.2">
      <c r="A93" s="543" t="s">
        <v>3853</v>
      </c>
      <c r="B93" s="544">
        <v>283665123</v>
      </c>
      <c r="D93" s="639" t="s">
        <v>4104</v>
      </c>
      <c r="E93" s="640">
        <v>6520877</v>
      </c>
      <c r="G93" s="637">
        <v>283665123</v>
      </c>
    </row>
    <row r="94" spans="1:7" x14ac:dyDescent="0.2">
      <c r="A94" s="543" t="s">
        <v>3854</v>
      </c>
      <c r="B94" s="544">
        <v>367759400</v>
      </c>
      <c r="D94" s="639" t="s">
        <v>4105</v>
      </c>
      <c r="E94" s="640">
        <v>2000000</v>
      </c>
      <c r="G94" s="637">
        <v>367759400</v>
      </c>
    </row>
    <row r="95" spans="1:7" x14ac:dyDescent="0.2">
      <c r="A95" s="543" t="s">
        <v>3855</v>
      </c>
      <c r="B95" s="544">
        <v>386269670</v>
      </c>
      <c r="D95" s="639" t="s">
        <v>4106</v>
      </c>
      <c r="E95" s="640">
        <v>3970330</v>
      </c>
      <c r="G95" s="637">
        <v>386269670</v>
      </c>
    </row>
    <row r="96" spans="1:7" x14ac:dyDescent="0.2">
      <c r="A96" s="543" t="s">
        <v>3856</v>
      </c>
      <c r="B96" s="544">
        <v>391985000</v>
      </c>
      <c r="D96" s="639" t="s">
        <v>4107</v>
      </c>
      <c r="E96" s="640">
        <v>0</v>
      </c>
      <c r="G96" s="637">
        <v>391985000</v>
      </c>
    </row>
    <row r="97" spans="1:7" x14ac:dyDescent="0.2">
      <c r="A97" s="543" t="s">
        <v>3857</v>
      </c>
      <c r="B97" s="544">
        <v>463785000</v>
      </c>
      <c r="D97" s="639" t="s">
        <v>4108</v>
      </c>
      <c r="E97" s="640">
        <v>0</v>
      </c>
      <c r="G97" s="637">
        <v>463785000</v>
      </c>
    </row>
    <row r="98" spans="1:7" x14ac:dyDescent="0.2">
      <c r="A98" s="543" t="s">
        <v>3858</v>
      </c>
      <c r="B98" s="544">
        <v>293529230</v>
      </c>
      <c r="D98" s="639" t="s">
        <v>4109</v>
      </c>
      <c r="E98" s="640">
        <v>3247770</v>
      </c>
      <c r="G98" s="637">
        <v>293529230</v>
      </c>
    </row>
    <row r="99" spans="1:7" x14ac:dyDescent="0.2">
      <c r="A99" s="543" t="s">
        <v>3859</v>
      </c>
      <c r="B99" s="544">
        <v>383137500</v>
      </c>
      <c r="D99" s="639" t="s">
        <v>4110</v>
      </c>
      <c r="E99" s="640">
        <v>0</v>
      </c>
      <c r="G99" s="637">
        <v>383137500</v>
      </c>
    </row>
    <row r="100" spans="1:7" x14ac:dyDescent="0.2">
      <c r="A100" s="543" t="s">
        <v>3860</v>
      </c>
      <c r="B100" s="544">
        <v>410340000</v>
      </c>
      <c r="D100" s="639" t="s">
        <v>4111</v>
      </c>
      <c r="E100" s="640">
        <v>0</v>
      </c>
      <c r="G100" s="637">
        <v>410340000</v>
      </c>
    </row>
    <row r="101" spans="1:7" x14ac:dyDescent="0.2">
      <c r="A101" s="543" t="s">
        <v>3861</v>
      </c>
      <c r="B101" s="544">
        <v>392107000</v>
      </c>
      <c r="D101" s="639" t="s">
        <v>4112</v>
      </c>
      <c r="E101" s="640">
        <v>0</v>
      </c>
      <c r="G101" s="637">
        <v>392107000</v>
      </c>
    </row>
    <row r="102" spans="1:7" x14ac:dyDescent="0.2">
      <c r="A102" s="543" t="s">
        <v>3862</v>
      </c>
      <c r="B102" s="544">
        <v>289904190</v>
      </c>
      <c r="D102" s="639" t="s">
        <v>4113</v>
      </c>
      <c r="E102" s="640">
        <v>2500010</v>
      </c>
      <c r="G102" s="637">
        <v>289904190</v>
      </c>
    </row>
    <row r="103" spans="1:7" x14ac:dyDescent="0.2">
      <c r="A103" s="543" t="s">
        <v>3863</v>
      </c>
      <c r="B103" s="544">
        <v>383637500</v>
      </c>
      <c r="D103" s="639" t="s">
        <v>4114</v>
      </c>
      <c r="E103" s="640">
        <v>0</v>
      </c>
      <c r="G103" s="637">
        <v>383637500</v>
      </c>
    </row>
    <row r="104" spans="1:7" x14ac:dyDescent="0.2">
      <c r="A104" s="543" t="s">
        <v>3864</v>
      </c>
      <c r="B104" s="544">
        <v>373078700</v>
      </c>
      <c r="D104" s="639" t="s">
        <v>4115</v>
      </c>
      <c r="E104" s="640">
        <v>4051300</v>
      </c>
      <c r="G104" s="637">
        <v>373078700</v>
      </c>
    </row>
    <row r="105" spans="1:7" x14ac:dyDescent="0.2">
      <c r="A105" s="543" t="s">
        <v>3865</v>
      </c>
      <c r="B105" s="544">
        <v>321673698</v>
      </c>
      <c r="D105" s="639" t="s">
        <v>4116</v>
      </c>
      <c r="E105" s="640">
        <v>0</v>
      </c>
      <c r="G105" s="637">
        <v>321673698</v>
      </c>
    </row>
    <row r="106" spans="1:7" x14ac:dyDescent="0.2">
      <c r="A106" s="543" t="s">
        <v>3866</v>
      </c>
      <c r="B106" s="544">
        <v>360920846</v>
      </c>
      <c r="D106" s="639" t="s">
        <v>4117</v>
      </c>
      <c r="E106" s="640">
        <v>900919</v>
      </c>
      <c r="G106" s="637">
        <v>360920846</v>
      </c>
    </row>
    <row r="107" spans="1:7" x14ac:dyDescent="0.2">
      <c r="A107" s="543" t="s">
        <v>3867</v>
      </c>
      <c r="B107" s="544">
        <v>285384644</v>
      </c>
      <c r="D107" s="639" t="s">
        <v>4118</v>
      </c>
      <c r="E107" s="640">
        <v>6301356</v>
      </c>
      <c r="G107" s="637">
        <v>285384644</v>
      </c>
    </row>
    <row r="108" spans="1:7" x14ac:dyDescent="0.2">
      <c r="A108" s="543" t="s">
        <v>3868</v>
      </c>
      <c r="B108" s="544">
        <v>379465915</v>
      </c>
      <c r="D108" s="639" t="s">
        <v>4119</v>
      </c>
      <c r="E108" s="640">
        <v>5000000</v>
      </c>
      <c r="G108" s="637">
        <v>379465915</v>
      </c>
    </row>
    <row r="109" spans="1:7" x14ac:dyDescent="0.2">
      <c r="A109" s="543" t="s">
        <v>3869</v>
      </c>
      <c r="B109" s="544">
        <v>391465748</v>
      </c>
      <c r="D109" s="639" t="s">
        <v>4120</v>
      </c>
      <c r="E109" s="640">
        <v>2626252</v>
      </c>
      <c r="G109" s="637">
        <v>391465748</v>
      </c>
    </row>
    <row r="110" spans="1:7" x14ac:dyDescent="0.2">
      <c r="A110" s="543" t="s">
        <v>3870</v>
      </c>
      <c r="B110" s="544">
        <v>291349355</v>
      </c>
      <c r="D110" s="639" t="s">
        <v>4121</v>
      </c>
      <c r="E110" s="640">
        <v>7663145</v>
      </c>
      <c r="G110" s="637">
        <v>291349355</v>
      </c>
    </row>
    <row r="111" spans="1:7" x14ac:dyDescent="0.2">
      <c r="A111" s="543" t="s">
        <v>3871</v>
      </c>
      <c r="B111" s="544">
        <v>420430444</v>
      </c>
      <c r="D111" s="639" t="s">
        <v>4122</v>
      </c>
      <c r="E111" s="640">
        <v>1105525</v>
      </c>
      <c r="G111" s="637">
        <v>420430444</v>
      </c>
    </row>
    <row r="112" spans="1:7" x14ac:dyDescent="0.2">
      <c r="A112" s="543" t="s">
        <v>3872</v>
      </c>
      <c r="B112" s="544">
        <v>285381512</v>
      </c>
      <c r="D112" s="639" t="s">
        <v>4123</v>
      </c>
      <c r="E112" s="640">
        <v>6804488</v>
      </c>
      <c r="G112" s="637">
        <v>285381512</v>
      </c>
    </row>
    <row r="113" spans="1:7" x14ac:dyDescent="0.2">
      <c r="A113" s="543" t="s">
        <v>3873</v>
      </c>
      <c r="B113" s="544">
        <v>393232804</v>
      </c>
      <c r="D113" s="639" t="s">
        <v>4124</v>
      </c>
      <c r="E113" s="640">
        <v>0</v>
      </c>
      <c r="G113" s="637">
        <v>393232804</v>
      </c>
    </row>
    <row r="114" spans="1:7" x14ac:dyDescent="0.2">
      <c r="A114" s="543" t="s">
        <v>3874</v>
      </c>
      <c r="B114" s="544">
        <v>442715827</v>
      </c>
      <c r="D114" s="639" t="s">
        <v>4125</v>
      </c>
      <c r="E114" s="640">
        <v>3620173</v>
      </c>
      <c r="G114" s="637">
        <v>442715827</v>
      </c>
    </row>
    <row r="115" spans="1:7" x14ac:dyDescent="0.2">
      <c r="A115" s="543" t="s">
        <v>3758</v>
      </c>
      <c r="B115" s="544">
        <v>393985000</v>
      </c>
      <c r="D115" s="639" t="s">
        <v>4271</v>
      </c>
      <c r="E115" s="640">
        <v>0</v>
      </c>
      <c r="G115" s="637">
        <v>393985000</v>
      </c>
    </row>
    <row r="116" spans="1:7" x14ac:dyDescent="0.2">
      <c r="A116" s="543" t="s">
        <v>3875</v>
      </c>
      <c r="B116" s="545">
        <v>363136242</v>
      </c>
      <c r="D116" s="639" t="s">
        <v>4126</v>
      </c>
      <c r="E116" s="640">
        <v>2500000</v>
      </c>
      <c r="G116" s="637">
        <v>363136242</v>
      </c>
    </row>
    <row r="117" spans="1:7" x14ac:dyDescent="0.2">
      <c r="A117" s="517" t="s">
        <v>3876</v>
      </c>
      <c r="B117" s="545">
        <v>297777000</v>
      </c>
      <c r="D117" s="639" t="s">
        <v>4127</v>
      </c>
      <c r="E117" s="640">
        <v>1000000</v>
      </c>
      <c r="G117" s="637">
        <v>297777000</v>
      </c>
    </row>
    <row r="118" spans="1:7" x14ac:dyDescent="0.2">
      <c r="A118" s="517" t="s">
        <v>3877</v>
      </c>
      <c r="B118" s="545">
        <v>411726844</v>
      </c>
      <c r="D118" s="639" t="s">
        <v>4128</v>
      </c>
      <c r="E118" s="640">
        <v>868156</v>
      </c>
      <c r="G118" s="637">
        <v>411726844</v>
      </c>
    </row>
    <row r="119" spans="1:7" x14ac:dyDescent="0.2">
      <c r="A119" s="517" t="s">
        <v>3878</v>
      </c>
      <c r="B119" s="545">
        <v>394308000</v>
      </c>
      <c r="D119" s="639" t="s">
        <v>4129</v>
      </c>
      <c r="E119" s="640">
        <v>0</v>
      </c>
      <c r="G119" s="637">
        <v>394308000</v>
      </c>
    </row>
    <row r="120" spans="1:7" x14ac:dyDescent="0.2">
      <c r="A120" s="517" t="s">
        <v>3879</v>
      </c>
      <c r="B120" s="545">
        <v>394485000</v>
      </c>
      <c r="D120" s="639" t="s">
        <v>4130</v>
      </c>
      <c r="E120" s="640">
        <v>0</v>
      </c>
      <c r="G120" s="637">
        <v>394485000</v>
      </c>
    </row>
    <row r="121" spans="1:7" x14ac:dyDescent="0.2">
      <c r="A121" s="517" t="s">
        <v>3880</v>
      </c>
      <c r="B121" s="545">
        <v>420993000</v>
      </c>
      <c r="D121" s="639" t="s">
        <v>4131</v>
      </c>
      <c r="E121" s="640">
        <v>5000000</v>
      </c>
      <c r="G121" s="637">
        <v>420993000</v>
      </c>
    </row>
    <row r="122" spans="1:7" x14ac:dyDescent="0.2">
      <c r="A122" s="517" t="s">
        <v>3881</v>
      </c>
      <c r="B122" s="545">
        <v>350338462</v>
      </c>
      <c r="D122" s="639" t="s">
        <v>4132</v>
      </c>
      <c r="E122" s="640">
        <v>7964538</v>
      </c>
      <c r="G122" s="637">
        <v>350338462</v>
      </c>
    </row>
    <row r="123" spans="1:7" x14ac:dyDescent="0.2">
      <c r="A123" s="517" t="s">
        <v>3882</v>
      </c>
      <c r="B123" s="545">
        <v>379083293</v>
      </c>
      <c r="D123" s="639" t="s">
        <v>4133</v>
      </c>
      <c r="E123" s="640">
        <v>2631707</v>
      </c>
      <c r="G123" s="637">
        <v>379083293</v>
      </c>
    </row>
    <row r="124" spans="1:7" x14ac:dyDescent="0.2">
      <c r="A124" s="517" t="s">
        <v>3883</v>
      </c>
      <c r="B124" s="545">
        <v>444439932</v>
      </c>
      <c r="D124" s="639" t="s">
        <v>4134</v>
      </c>
      <c r="E124" s="640">
        <v>2896068</v>
      </c>
      <c r="G124" s="637">
        <v>444439932</v>
      </c>
    </row>
    <row r="125" spans="1:7" x14ac:dyDescent="0.2">
      <c r="A125" s="517" t="s">
        <v>3884</v>
      </c>
      <c r="B125" s="545">
        <v>301607500</v>
      </c>
      <c r="D125" s="639" t="s">
        <v>4135</v>
      </c>
      <c r="E125" s="640">
        <v>5000000</v>
      </c>
      <c r="G125" s="637">
        <v>301607500</v>
      </c>
    </row>
    <row r="126" spans="1:7" x14ac:dyDescent="0.2">
      <c r="A126" s="517" t="s">
        <v>3885</v>
      </c>
      <c r="B126" s="545">
        <v>375659987</v>
      </c>
      <c r="D126" s="639" t="s">
        <v>4136</v>
      </c>
      <c r="E126" s="640">
        <v>5000000</v>
      </c>
      <c r="G126" s="637">
        <v>375659987</v>
      </c>
    </row>
    <row r="127" spans="1:7" x14ac:dyDescent="0.2">
      <c r="A127" s="517" t="s">
        <v>3886</v>
      </c>
      <c r="B127" s="545">
        <v>291759190</v>
      </c>
      <c r="D127" s="639" t="s">
        <v>4137</v>
      </c>
      <c r="E127" s="640">
        <v>3145010</v>
      </c>
      <c r="G127" s="637">
        <v>291759190</v>
      </c>
    </row>
    <row r="128" spans="1:7" x14ac:dyDescent="0.2">
      <c r="A128" s="517" t="s">
        <v>3887</v>
      </c>
      <c r="B128" s="545">
        <v>372259400</v>
      </c>
      <c r="D128" s="639" t="s">
        <v>4138</v>
      </c>
      <c r="E128" s="640">
        <v>1000000</v>
      </c>
      <c r="G128" s="637">
        <v>372259400</v>
      </c>
    </row>
    <row r="129" spans="1:7" x14ac:dyDescent="0.2">
      <c r="A129" s="517" t="s">
        <v>3888</v>
      </c>
      <c r="B129" s="545">
        <v>370752584</v>
      </c>
      <c r="D129" s="639" t="s">
        <v>4139</v>
      </c>
      <c r="E129" s="640">
        <v>2645416</v>
      </c>
      <c r="G129" s="637">
        <v>370752584</v>
      </c>
    </row>
    <row r="130" spans="1:7" x14ac:dyDescent="0.2">
      <c r="A130" s="517" t="s">
        <v>3889</v>
      </c>
      <c r="B130" s="545">
        <v>317701319</v>
      </c>
      <c r="D130" s="639" t="s">
        <v>4140</v>
      </c>
      <c r="E130" s="640">
        <v>5643681</v>
      </c>
      <c r="G130" s="637">
        <v>317701319</v>
      </c>
    </row>
    <row r="131" spans="1:7" x14ac:dyDescent="0.2">
      <c r="A131" s="517" t="s">
        <v>3890</v>
      </c>
      <c r="B131" s="545">
        <v>419068150</v>
      </c>
      <c r="D131" s="639" t="s">
        <v>4141</v>
      </c>
      <c r="E131" s="640">
        <v>14400350</v>
      </c>
      <c r="G131" s="637">
        <v>419068150</v>
      </c>
    </row>
    <row r="132" spans="1:7" x14ac:dyDescent="0.2">
      <c r="A132" s="517" t="s">
        <v>3891</v>
      </c>
      <c r="B132" s="545">
        <v>299230000</v>
      </c>
      <c r="D132" s="639" t="s">
        <v>4142</v>
      </c>
      <c r="E132" s="640">
        <v>1000000</v>
      </c>
      <c r="G132" s="637">
        <v>299230000</v>
      </c>
    </row>
    <row r="133" spans="1:7" x14ac:dyDescent="0.2">
      <c r="A133" s="517" t="s">
        <v>3892</v>
      </c>
      <c r="B133" s="545">
        <v>369941698</v>
      </c>
      <c r="D133" s="639" t="s">
        <v>4143</v>
      </c>
      <c r="E133" s="640">
        <v>2260302</v>
      </c>
      <c r="G133" s="637">
        <v>369941698</v>
      </c>
    </row>
    <row r="134" spans="1:7" x14ac:dyDescent="0.2">
      <c r="A134" s="517" t="s">
        <v>3893</v>
      </c>
      <c r="B134" s="545">
        <v>371398000</v>
      </c>
      <c r="D134" s="639" t="s">
        <v>4144</v>
      </c>
      <c r="E134" s="640">
        <v>2500000</v>
      </c>
      <c r="G134" s="637">
        <v>371398000</v>
      </c>
    </row>
    <row r="135" spans="1:7" x14ac:dyDescent="0.2">
      <c r="A135" s="517" t="s">
        <v>4386</v>
      </c>
      <c r="B135" s="545">
        <v>23000000</v>
      </c>
      <c r="D135" s="639"/>
      <c r="E135" s="640"/>
    </row>
    <row r="136" spans="1:7" x14ac:dyDescent="0.2">
      <c r="A136" s="517" t="s">
        <v>3894</v>
      </c>
      <c r="B136" s="545">
        <v>24000000</v>
      </c>
      <c r="D136" s="639"/>
      <c r="E136" s="640"/>
    </row>
    <row r="137" spans="1:7" x14ac:dyDescent="0.2">
      <c r="A137" s="517" t="s">
        <v>3400</v>
      </c>
      <c r="B137" s="545">
        <v>24000000</v>
      </c>
      <c r="D137" s="639"/>
      <c r="E137" s="640"/>
    </row>
    <row r="138" spans="1:7" x14ac:dyDescent="0.2">
      <c r="A138" s="517" t="s">
        <v>4387</v>
      </c>
      <c r="B138" s="545">
        <v>29000000</v>
      </c>
      <c r="D138" s="639"/>
      <c r="E138" s="640"/>
    </row>
    <row r="139" spans="1:7" x14ac:dyDescent="0.2">
      <c r="A139" s="517" t="s">
        <v>4388</v>
      </c>
      <c r="B139" s="545">
        <v>28000000</v>
      </c>
      <c r="D139" s="639"/>
      <c r="E139" s="640"/>
    </row>
    <row r="140" spans="1:7" x14ac:dyDescent="0.2">
      <c r="A140" s="517" t="s">
        <v>2593</v>
      </c>
      <c r="B140" s="545">
        <v>23000000</v>
      </c>
      <c r="D140" s="639"/>
      <c r="E140" s="640"/>
    </row>
    <row r="141" spans="1:7" x14ac:dyDescent="0.2">
      <c r="A141" s="517" t="s">
        <v>2269</v>
      </c>
      <c r="B141" s="545">
        <v>23000000</v>
      </c>
      <c r="D141" s="639"/>
      <c r="E141" s="640"/>
    </row>
    <row r="142" spans="1:7" x14ac:dyDescent="0.2">
      <c r="A142" s="517" t="s">
        <v>4389</v>
      </c>
      <c r="B142" s="545">
        <v>29000000</v>
      </c>
      <c r="D142" s="639"/>
      <c r="E142" s="640"/>
    </row>
    <row r="143" spans="1:7" x14ac:dyDescent="0.2">
      <c r="A143" s="517" t="s">
        <v>4390</v>
      </c>
      <c r="B143" s="545">
        <v>28000000</v>
      </c>
      <c r="D143" s="639"/>
      <c r="E143" s="640"/>
    </row>
    <row r="144" spans="1:7" x14ac:dyDescent="0.2">
      <c r="A144" s="517" t="s">
        <v>4306</v>
      </c>
      <c r="B144" s="545">
        <v>28000000</v>
      </c>
      <c r="D144" s="639"/>
      <c r="E144" s="640"/>
    </row>
    <row r="145" spans="1:5" x14ac:dyDescent="0.2">
      <c r="A145" s="517" t="s">
        <v>4391</v>
      </c>
      <c r="B145" s="545">
        <v>28000000</v>
      </c>
      <c r="D145" s="639"/>
      <c r="E145" s="640"/>
    </row>
    <row r="146" spans="1:5" x14ac:dyDescent="0.2">
      <c r="A146" s="517" t="s">
        <v>4307</v>
      </c>
      <c r="B146" s="545">
        <v>28000000</v>
      </c>
      <c r="D146" s="639"/>
      <c r="E146" s="640"/>
    </row>
    <row r="147" spans="1:5" x14ac:dyDescent="0.2">
      <c r="A147" s="517" t="s">
        <v>4308</v>
      </c>
      <c r="B147" s="545">
        <v>28000000</v>
      </c>
      <c r="D147" s="639"/>
      <c r="E147" s="640"/>
    </row>
    <row r="148" spans="1:5" x14ac:dyDescent="0.2">
      <c r="A148" s="517" t="s">
        <v>4309</v>
      </c>
      <c r="B148" s="545">
        <v>28000000</v>
      </c>
      <c r="D148" s="639"/>
      <c r="E148" s="640"/>
    </row>
    <row r="149" spans="1:5" x14ac:dyDescent="0.2">
      <c r="A149" s="517" t="s">
        <v>4392</v>
      </c>
      <c r="B149" s="545">
        <v>28000000</v>
      </c>
      <c r="D149" s="639"/>
      <c r="E149" s="640"/>
    </row>
    <row r="150" spans="1:5" x14ac:dyDescent="0.2">
      <c r="A150" s="517" t="s">
        <v>4310</v>
      </c>
      <c r="B150" s="545">
        <v>28000000</v>
      </c>
      <c r="D150" s="639"/>
      <c r="E150" s="640"/>
    </row>
    <row r="151" spans="1:5" x14ac:dyDescent="0.2">
      <c r="A151" s="517" t="s">
        <v>4393</v>
      </c>
      <c r="B151" s="545">
        <v>28000000</v>
      </c>
      <c r="D151" s="639"/>
      <c r="E151" s="640"/>
    </row>
    <row r="152" spans="1:5" x14ac:dyDescent="0.2">
      <c r="A152" s="517" t="s">
        <v>4311</v>
      </c>
      <c r="B152" s="545">
        <v>24000000</v>
      </c>
      <c r="D152" s="639"/>
      <c r="E152" s="640"/>
    </row>
    <row r="153" spans="1:5" x14ac:dyDescent="0.2">
      <c r="A153" s="517" t="s">
        <v>4312</v>
      </c>
      <c r="B153" s="545">
        <v>23000000</v>
      </c>
      <c r="D153" s="639"/>
      <c r="E153" s="640"/>
    </row>
    <row r="154" spans="1:5" x14ac:dyDescent="0.2">
      <c r="A154" s="517" t="s">
        <v>4313</v>
      </c>
      <c r="B154" s="545">
        <v>24000000</v>
      </c>
      <c r="D154" s="639"/>
      <c r="E154" s="640"/>
    </row>
    <row r="155" spans="1:5" x14ac:dyDescent="0.2">
      <c r="A155" s="517" t="s">
        <v>3471</v>
      </c>
      <c r="B155" s="545">
        <v>24000000</v>
      </c>
      <c r="D155" s="639"/>
      <c r="E155" s="640"/>
    </row>
    <row r="156" spans="1:5" x14ac:dyDescent="0.2">
      <c r="A156" s="517" t="s">
        <v>4394</v>
      </c>
      <c r="B156" s="545">
        <v>23000000</v>
      </c>
      <c r="D156" s="639"/>
      <c r="E156" s="640"/>
    </row>
    <row r="157" spans="1:5" x14ac:dyDescent="0.2">
      <c r="A157" s="517" t="s">
        <v>3401</v>
      </c>
      <c r="B157" s="545">
        <v>24000000</v>
      </c>
      <c r="D157" s="639"/>
      <c r="E157" s="640"/>
    </row>
    <row r="158" spans="1:5" x14ac:dyDescent="0.2">
      <c r="A158" s="517" t="s">
        <v>3402</v>
      </c>
      <c r="B158" s="545">
        <v>24000000</v>
      </c>
      <c r="D158" s="639"/>
      <c r="E158" s="640"/>
    </row>
    <row r="159" spans="1:5" x14ac:dyDescent="0.2">
      <c r="A159" s="517" t="s">
        <v>4260</v>
      </c>
      <c r="B159" s="545">
        <v>24000000</v>
      </c>
      <c r="D159" s="639"/>
      <c r="E159" s="640"/>
    </row>
    <row r="160" spans="1:5" x14ac:dyDescent="0.2">
      <c r="A160" s="517" t="s">
        <v>3472</v>
      </c>
      <c r="B160" s="545">
        <v>24000000</v>
      </c>
      <c r="D160" s="639"/>
      <c r="E160" s="640"/>
    </row>
    <row r="161" spans="1:5" x14ac:dyDescent="0.2">
      <c r="A161" s="517" t="s">
        <v>4395</v>
      </c>
      <c r="B161" s="545">
        <v>24000000</v>
      </c>
      <c r="D161" s="639"/>
      <c r="E161" s="640"/>
    </row>
    <row r="162" spans="1:5" x14ac:dyDescent="0.2">
      <c r="A162" s="517" t="s">
        <v>4314</v>
      </c>
      <c r="B162" s="545">
        <v>24000000</v>
      </c>
      <c r="D162" s="639"/>
      <c r="E162" s="640"/>
    </row>
    <row r="163" spans="1:5" x14ac:dyDescent="0.2">
      <c r="A163" s="517" t="s">
        <v>3403</v>
      </c>
      <c r="B163" s="545">
        <v>24000000</v>
      </c>
      <c r="D163" s="639"/>
      <c r="E163" s="640"/>
    </row>
    <row r="164" spans="1:5" x14ac:dyDescent="0.2">
      <c r="A164" s="517" t="s">
        <v>4315</v>
      </c>
      <c r="B164" s="545">
        <v>24000000</v>
      </c>
      <c r="D164" s="639"/>
      <c r="E164" s="640"/>
    </row>
    <row r="165" spans="1:5" x14ac:dyDescent="0.2">
      <c r="A165" s="517" t="s">
        <v>4396</v>
      </c>
      <c r="B165" s="545">
        <v>28000000</v>
      </c>
      <c r="D165" s="639"/>
      <c r="E165" s="640"/>
    </row>
    <row r="166" spans="1:5" x14ac:dyDescent="0.2">
      <c r="A166" s="517" t="s">
        <v>4316</v>
      </c>
      <c r="B166" s="545">
        <v>28000000</v>
      </c>
      <c r="D166" s="639"/>
      <c r="E166" s="640"/>
    </row>
    <row r="167" spans="1:5" x14ac:dyDescent="0.2">
      <c r="A167" s="517" t="s">
        <v>4317</v>
      </c>
      <c r="B167" s="545">
        <v>28000000</v>
      </c>
      <c r="D167" s="639"/>
      <c r="E167" s="640"/>
    </row>
    <row r="168" spans="1:5" x14ac:dyDescent="0.2">
      <c r="A168" s="517" t="s">
        <v>3313</v>
      </c>
      <c r="B168" s="545">
        <v>24000000</v>
      </c>
      <c r="D168" s="639"/>
      <c r="E168" s="640"/>
    </row>
    <row r="169" spans="1:5" x14ac:dyDescent="0.2">
      <c r="A169" s="517" t="s">
        <v>4318</v>
      </c>
      <c r="B169" s="545">
        <v>28000000</v>
      </c>
      <c r="D169" s="639"/>
      <c r="E169" s="640"/>
    </row>
    <row r="170" spans="1:5" x14ac:dyDescent="0.2">
      <c r="A170" s="517" t="s">
        <v>4397</v>
      </c>
      <c r="B170" s="545">
        <v>28000000</v>
      </c>
      <c r="D170" s="639"/>
      <c r="E170" s="640"/>
    </row>
    <row r="171" spans="1:5" x14ac:dyDescent="0.2">
      <c r="A171" s="517" t="s">
        <v>4319</v>
      </c>
      <c r="B171" s="545">
        <v>28000000</v>
      </c>
      <c r="D171" s="639"/>
      <c r="E171" s="640"/>
    </row>
    <row r="172" spans="1:5" x14ac:dyDescent="0.2">
      <c r="A172" s="517" t="s">
        <v>4398</v>
      </c>
      <c r="B172" s="545">
        <v>28000000</v>
      </c>
      <c r="D172" s="639"/>
      <c r="E172" s="640"/>
    </row>
    <row r="173" spans="1:5" x14ac:dyDescent="0.2">
      <c r="A173" s="517" t="s">
        <v>4399</v>
      </c>
      <c r="B173" s="545">
        <v>28000000</v>
      </c>
      <c r="D173" s="639"/>
      <c r="E173" s="640"/>
    </row>
    <row r="174" spans="1:5" x14ac:dyDescent="0.2">
      <c r="A174" s="517" t="s">
        <v>4320</v>
      </c>
      <c r="B174" s="545">
        <v>23000000</v>
      </c>
      <c r="D174" s="639"/>
      <c r="E174" s="640"/>
    </row>
    <row r="175" spans="1:5" x14ac:dyDescent="0.2">
      <c r="A175" s="517" t="s">
        <v>3473</v>
      </c>
      <c r="B175" s="545">
        <v>24000000</v>
      </c>
      <c r="D175" s="639"/>
      <c r="E175" s="640"/>
    </row>
    <row r="176" spans="1:5" x14ac:dyDescent="0.2">
      <c r="A176" s="517" t="s">
        <v>4321</v>
      </c>
      <c r="B176" s="545">
        <v>23000000</v>
      </c>
      <c r="D176" s="639"/>
      <c r="E176" s="640"/>
    </row>
    <row r="177" spans="1:5" x14ac:dyDescent="0.2">
      <c r="A177" s="517" t="s">
        <v>3314</v>
      </c>
      <c r="B177" s="545">
        <v>23000000</v>
      </c>
      <c r="D177" s="639"/>
      <c r="E177" s="640"/>
    </row>
    <row r="178" spans="1:5" x14ac:dyDescent="0.2">
      <c r="A178" s="517" t="s">
        <v>4322</v>
      </c>
      <c r="B178" s="545">
        <v>23000000</v>
      </c>
      <c r="D178" s="639"/>
      <c r="E178" s="640"/>
    </row>
    <row r="179" spans="1:5" x14ac:dyDescent="0.2">
      <c r="A179" s="517" t="s">
        <v>4400</v>
      </c>
      <c r="B179" s="545">
        <v>29000000</v>
      </c>
      <c r="D179" s="639"/>
      <c r="E179" s="640"/>
    </row>
    <row r="180" spans="1:5" x14ac:dyDescent="0.2">
      <c r="A180" s="517" t="s">
        <v>4401</v>
      </c>
      <c r="B180" s="545">
        <v>29000000</v>
      </c>
    </row>
    <row r="181" spans="1:5" x14ac:dyDescent="0.2">
      <c r="A181" s="517" t="s">
        <v>4323</v>
      </c>
      <c r="B181" s="545">
        <v>24000000</v>
      </c>
    </row>
    <row r="182" spans="1:5" x14ac:dyDescent="0.2">
      <c r="A182" s="517" t="s">
        <v>4324</v>
      </c>
      <c r="B182" s="545">
        <v>28000000</v>
      </c>
    </row>
    <row r="183" spans="1:5" x14ac:dyDescent="0.2">
      <c r="A183" s="517" t="s">
        <v>4325</v>
      </c>
      <c r="B183" s="545">
        <v>28000000</v>
      </c>
    </row>
    <row r="184" spans="1:5" x14ac:dyDescent="0.2">
      <c r="A184" s="517" t="s">
        <v>4326</v>
      </c>
      <c r="B184" s="545">
        <v>29000000</v>
      </c>
    </row>
    <row r="185" spans="1:5" x14ac:dyDescent="0.2">
      <c r="A185" s="517" t="s">
        <v>4402</v>
      </c>
      <c r="B185" s="545">
        <v>29000000</v>
      </c>
    </row>
    <row r="186" spans="1:5" x14ac:dyDescent="0.2">
      <c r="A186" s="517" t="s">
        <v>4327</v>
      </c>
      <c r="B186" s="545">
        <v>29000000</v>
      </c>
    </row>
    <row r="187" spans="1:5" x14ac:dyDescent="0.2">
      <c r="A187" s="517" t="s">
        <v>4403</v>
      </c>
      <c r="B187" s="545">
        <v>28000000</v>
      </c>
    </row>
    <row r="188" spans="1:5" x14ac:dyDescent="0.2">
      <c r="A188" s="517" t="s">
        <v>4404</v>
      </c>
      <c r="B188" s="545">
        <v>28000000</v>
      </c>
    </row>
    <row r="189" spans="1:5" x14ac:dyDescent="0.2">
      <c r="A189" s="517" t="s">
        <v>4328</v>
      </c>
      <c r="B189" s="545">
        <v>28000000</v>
      </c>
    </row>
    <row r="190" spans="1:5" x14ac:dyDescent="0.2">
      <c r="A190" s="517" t="s">
        <v>4329</v>
      </c>
      <c r="B190" s="545">
        <v>23000000</v>
      </c>
    </row>
    <row r="191" spans="1:5" x14ac:dyDescent="0.2">
      <c r="A191" s="517" t="s">
        <v>3098</v>
      </c>
      <c r="B191" s="545">
        <v>24000000</v>
      </c>
    </row>
    <row r="192" spans="1:5" x14ac:dyDescent="0.2">
      <c r="A192" s="517" t="s">
        <v>4405</v>
      </c>
      <c r="B192" s="545">
        <v>23000000</v>
      </c>
    </row>
    <row r="193" spans="1:2" x14ac:dyDescent="0.2">
      <c r="A193" s="517" t="s">
        <v>3250</v>
      </c>
      <c r="B193" s="545">
        <v>24000000</v>
      </c>
    </row>
    <row r="194" spans="1:2" x14ac:dyDescent="0.2">
      <c r="A194" s="517" t="s">
        <v>3895</v>
      </c>
      <c r="B194" s="545">
        <v>24000000</v>
      </c>
    </row>
    <row r="195" spans="1:2" x14ac:dyDescent="0.2">
      <c r="A195" s="517" t="s">
        <v>4261</v>
      </c>
      <c r="B195" s="545">
        <v>24000000</v>
      </c>
    </row>
    <row r="196" spans="1:2" x14ac:dyDescent="0.2">
      <c r="A196" s="517" t="s">
        <v>4330</v>
      </c>
      <c r="B196" s="545">
        <v>23000000</v>
      </c>
    </row>
    <row r="197" spans="1:2" x14ac:dyDescent="0.2">
      <c r="A197" s="517" t="s">
        <v>4331</v>
      </c>
      <c r="B197" s="545">
        <v>24000000</v>
      </c>
    </row>
    <row r="198" spans="1:2" x14ac:dyDescent="0.2">
      <c r="A198" s="517" t="s">
        <v>4406</v>
      </c>
      <c r="B198" s="545">
        <v>28000000</v>
      </c>
    </row>
    <row r="199" spans="1:2" x14ac:dyDescent="0.2">
      <c r="A199" s="517" t="s">
        <v>4407</v>
      </c>
      <c r="B199" s="545">
        <v>23000000</v>
      </c>
    </row>
    <row r="200" spans="1:2" x14ac:dyDescent="0.2">
      <c r="A200" s="517" t="s">
        <v>4332</v>
      </c>
      <c r="B200" s="545">
        <v>28000000</v>
      </c>
    </row>
    <row r="201" spans="1:2" x14ac:dyDescent="0.2">
      <c r="A201" s="517" t="s">
        <v>4408</v>
      </c>
      <c r="B201" s="545">
        <v>28000000</v>
      </c>
    </row>
    <row r="202" spans="1:2" x14ac:dyDescent="0.2">
      <c r="A202" s="517" t="s">
        <v>4333</v>
      </c>
      <c r="B202" s="545">
        <v>28000000</v>
      </c>
    </row>
    <row r="203" spans="1:2" x14ac:dyDescent="0.2">
      <c r="A203" s="517" t="s">
        <v>4334</v>
      </c>
      <c r="B203" s="545">
        <v>28000000</v>
      </c>
    </row>
    <row r="204" spans="1:2" x14ac:dyDescent="0.2">
      <c r="A204" s="517" t="s">
        <v>4335</v>
      </c>
      <c r="B204" s="545">
        <v>28000000</v>
      </c>
    </row>
    <row r="205" spans="1:2" x14ac:dyDescent="0.2">
      <c r="A205" s="517" t="s">
        <v>4409</v>
      </c>
      <c r="B205" s="545">
        <v>28000000</v>
      </c>
    </row>
    <row r="206" spans="1:2" x14ac:dyDescent="0.2">
      <c r="A206" s="517" t="s">
        <v>4336</v>
      </c>
      <c r="B206" s="545">
        <v>28000000</v>
      </c>
    </row>
    <row r="207" spans="1:2" x14ac:dyDescent="0.2">
      <c r="A207" s="517" t="s">
        <v>4410</v>
      </c>
      <c r="B207" s="545">
        <v>28000000</v>
      </c>
    </row>
    <row r="208" spans="1:2" x14ac:dyDescent="0.2">
      <c r="A208" s="517" t="s">
        <v>3251</v>
      </c>
      <c r="B208" s="545">
        <v>24000000</v>
      </c>
    </row>
    <row r="209" spans="1:2" x14ac:dyDescent="0.2">
      <c r="A209" s="517" t="s">
        <v>4411</v>
      </c>
      <c r="B209" s="545">
        <v>29000000</v>
      </c>
    </row>
    <row r="210" spans="1:2" x14ac:dyDescent="0.2">
      <c r="A210" s="517" t="s">
        <v>4412</v>
      </c>
      <c r="B210" s="545">
        <v>28000000</v>
      </c>
    </row>
    <row r="211" spans="1:2" x14ac:dyDescent="0.2">
      <c r="A211" s="517" t="s">
        <v>4337</v>
      </c>
      <c r="B211" s="545">
        <v>28000000</v>
      </c>
    </row>
    <row r="212" spans="1:2" x14ac:dyDescent="0.2">
      <c r="A212" s="517" t="s">
        <v>4413</v>
      </c>
      <c r="B212" s="545">
        <v>28000000</v>
      </c>
    </row>
    <row r="213" spans="1:2" x14ac:dyDescent="0.2">
      <c r="A213" s="517" t="s">
        <v>3896</v>
      </c>
      <c r="B213" s="545">
        <v>24000000</v>
      </c>
    </row>
    <row r="214" spans="1:2" x14ac:dyDescent="0.2">
      <c r="A214" s="517" t="s">
        <v>2639</v>
      </c>
      <c r="B214" s="545">
        <v>24000000</v>
      </c>
    </row>
    <row r="215" spans="1:2" x14ac:dyDescent="0.2">
      <c r="A215" s="517" t="s">
        <v>2640</v>
      </c>
      <c r="B215" s="545">
        <v>24000000</v>
      </c>
    </row>
    <row r="216" spans="1:2" x14ac:dyDescent="0.2">
      <c r="A216" s="517" t="s">
        <v>4338</v>
      </c>
      <c r="B216" s="545">
        <v>24000000</v>
      </c>
    </row>
    <row r="217" spans="1:2" x14ac:dyDescent="0.2">
      <c r="A217" s="517" t="s">
        <v>4414</v>
      </c>
      <c r="B217" s="545">
        <v>23000000</v>
      </c>
    </row>
    <row r="218" spans="1:2" x14ac:dyDescent="0.2">
      <c r="A218" s="517" t="s">
        <v>2270</v>
      </c>
      <c r="B218" s="545">
        <v>24000000</v>
      </c>
    </row>
    <row r="219" spans="1:2" x14ac:dyDescent="0.2">
      <c r="A219" s="517" t="s">
        <v>1541</v>
      </c>
      <c r="B219" s="545">
        <v>24000000</v>
      </c>
    </row>
    <row r="220" spans="1:2" x14ac:dyDescent="0.2">
      <c r="A220" s="517" t="s">
        <v>1177</v>
      </c>
      <c r="B220" s="545">
        <v>23000000</v>
      </c>
    </row>
    <row r="221" spans="1:2" x14ac:dyDescent="0.2">
      <c r="A221" s="517" t="s">
        <v>1198</v>
      </c>
      <c r="B221" s="545">
        <v>23000000</v>
      </c>
    </row>
    <row r="222" spans="1:2" x14ac:dyDescent="0.2">
      <c r="A222" s="517" t="s">
        <v>1494</v>
      </c>
      <c r="B222" s="545">
        <v>24000000</v>
      </c>
    </row>
    <row r="223" spans="1:2" x14ac:dyDescent="0.2">
      <c r="A223" s="517" t="s">
        <v>1230</v>
      </c>
      <c r="B223" s="545">
        <v>23000000</v>
      </c>
    </row>
    <row r="224" spans="1:2" x14ac:dyDescent="0.2">
      <c r="A224" s="517" t="s">
        <v>1022</v>
      </c>
      <c r="B224" s="545">
        <v>24000000</v>
      </c>
    </row>
    <row r="225" spans="1:2" x14ac:dyDescent="0.2">
      <c r="A225" s="517" t="s">
        <v>1023</v>
      </c>
      <c r="B225" s="545">
        <v>24000000</v>
      </c>
    </row>
    <row r="226" spans="1:2" x14ac:dyDescent="0.2">
      <c r="A226" s="517" t="s">
        <v>1154</v>
      </c>
      <c r="B226" s="545">
        <v>23000000</v>
      </c>
    </row>
    <row r="227" spans="1:2" x14ac:dyDescent="0.2">
      <c r="A227" s="517" t="s">
        <v>1258</v>
      </c>
      <c r="B227" s="545">
        <v>24000000</v>
      </c>
    </row>
    <row r="228" spans="1:2" x14ac:dyDescent="0.2">
      <c r="A228" s="517" t="s">
        <v>1155</v>
      </c>
      <c r="B228" s="545">
        <v>23000000</v>
      </c>
    </row>
    <row r="229" spans="1:2" x14ac:dyDescent="0.2">
      <c r="A229" s="517" t="s">
        <v>1368</v>
      </c>
      <c r="B229" s="545">
        <v>24000000</v>
      </c>
    </row>
    <row r="230" spans="1:2" x14ac:dyDescent="0.2">
      <c r="A230" s="517" t="s">
        <v>1102</v>
      </c>
      <c r="B230" s="545">
        <v>23000000</v>
      </c>
    </row>
    <row r="231" spans="1:2" x14ac:dyDescent="0.2">
      <c r="A231" s="517" t="s">
        <v>1103</v>
      </c>
      <c r="B231" s="545">
        <v>24000000</v>
      </c>
    </row>
    <row r="232" spans="1:2" x14ac:dyDescent="0.2">
      <c r="A232" s="517" t="s">
        <v>1031</v>
      </c>
      <c r="B232" s="545">
        <v>23000000</v>
      </c>
    </row>
    <row r="233" spans="1:2" x14ac:dyDescent="0.2">
      <c r="A233" s="517" t="s">
        <v>1032</v>
      </c>
      <c r="B233" s="545">
        <v>23000000</v>
      </c>
    </row>
    <row r="234" spans="1:2" x14ac:dyDescent="0.2">
      <c r="A234" s="517" t="s">
        <v>1033</v>
      </c>
      <c r="B234" s="545">
        <v>23000000</v>
      </c>
    </row>
    <row r="235" spans="1:2" x14ac:dyDescent="0.2">
      <c r="A235" s="517" t="s">
        <v>1188</v>
      </c>
      <c r="B235" s="545">
        <v>23000000</v>
      </c>
    </row>
    <row r="236" spans="1:2" x14ac:dyDescent="0.2">
      <c r="A236" s="517" t="s">
        <v>1104</v>
      </c>
      <c r="B236" s="545">
        <v>23000000</v>
      </c>
    </row>
    <row r="237" spans="1:2" x14ac:dyDescent="0.2">
      <c r="A237" s="517" t="s">
        <v>1156</v>
      </c>
      <c r="B237" s="545">
        <v>23000000</v>
      </c>
    </row>
    <row r="238" spans="1:2" x14ac:dyDescent="0.2">
      <c r="A238" s="517" t="s">
        <v>1035</v>
      </c>
      <c r="B238" s="545">
        <v>23000000</v>
      </c>
    </row>
    <row r="239" spans="1:2" x14ac:dyDescent="0.2">
      <c r="A239" s="517" t="s">
        <v>1105</v>
      </c>
      <c r="B239" s="545">
        <v>23000000</v>
      </c>
    </row>
    <row r="240" spans="1:2" x14ac:dyDescent="0.2">
      <c r="A240" s="517" t="s">
        <v>1131</v>
      </c>
      <c r="B240" s="545">
        <v>23000000</v>
      </c>
    </row>
    <row r="241" spans="1:2" x14ac:dyDescent="0.2">
      <c r="A241" s="517" t="s">
        <v>1036</v>
      </c>
      <c r="B241" s="545">
        <v>23000000</v>
      </c>
    </row>
    <row r="242" spans="1:2" x14ac:dyDescent="0.2">
      <c r="A242" s="517" t="s">
        <v>1157</v>
      </c>
      <c r="B242" s="545">
        <v>23000000</v>
      </c>
    </row>
    <row r="243" spans="1:2" x14ac:dyDescent="0.2">
      <c r="A243" s="517" t="s">
        <v>1158</v>
      </c>
      <c r="B243" s="545">
        <v>23000000</v>
      </c>
    </row>
    <row r="244" spans="1:2" x14ac:dyDescent="0.2">
      <c r="A244" s="517" t="s">
        <v>1159</v>
      </c>
      <c r="B244" s="545">
        <v>23000000</v>
      </c>
    </row>
    <row r="245" spans="1:2" x14ac:dyDescent="0.2">
      <c r="A245" s="517" t="s">
        <v>1106</v>
      </c>
      <c r="B245" s="545">
        <v>23000000</v>
      </c>
    </row>
    <row r="246" spans="1:2" x14ac:dyDescent="0.2">
      <c r="A246" s="517" t="s">
        <v>1495</v>
      </c>
      <c r="B246" s="545">
        <v>24000000</v>
      </c>
    </row>
    <row r="247" spans="1:2" x14ac:dyDescent="0.2">
      <c r="A247" s="517" t="s">
        <v>1132</v>
      </c>
      <c r="B247" s="545">
        <v>24000000</v>
      </c>
    </row>
    <row r="248" spans="1:2" x14ac:dyDescent="0.2">
      <c r="A248" s="517" t="s">
        <v>1107</v>
      </c>
      <c r="B248" s="545">
        <v>23000000</v>
      </c>
    </row>
    <row r="249" spans="1:2" x14ac:dyDescent="0.2">
      <c r="A249" s="517" t="s">
        <v>1037</v>
      </c>
      <c r="B249" s="545">
        <v>23000000</v>
      </c>
    </row>
    <row r="250" spans="1:2" x14ac:dyDescent="0.2">
      <c r="A250" s="517" t="s">
        <v>1038</v>
      </c>
      <c r="B250" s="545">
        <v>23000000</v>
      </c>
    </row>
    <row r="251" spans="1:2" x14ac:dyDescent="0.2">
      <c r="A251" s="517" t="s">
        <v>1133</v>
      </c>
      <c r="B251" s="545">
        <v>23000000</v>
      </c>
    </row>
    <row r="252" spans="1:2" x14ac:dyDescent="0.2">
      <c r="A252" s="517" t="s">
        <v>1261</v>
      </c>
      <c r="B252" s="545">
        <v>24000000</v>
      </c>
    </row>
    <row r="253" spans="1:2" x14ac:dyDescent="0.2">
      <c r="A253" s="517" t="s">
        <v>1262</v>
      </c>
      <c r="B253" s="545">
        <v>24000000</v>
      </c>
    </row>
    <row r="254" spans="1:2" x14ac:dyDescent="0.2">
      <c r="A254" s="517" t="s">
        <v>1134</v>
      </c>
      <c r="B254" s="545">
        <v>23000000</v>
      </c>
    </row>
    <row r="255" spans="1:2" x14ac:dyDescent="0.2">
      <c r="A255" s="517" t="s">
        <v>1160</v>
      </c>
      <c r="B255" s="545">
        <v>23000000</v>
      </c>
    </row>
    <row r="256" spans="1:2" x14ac:dyDescent="0.2">
      <c r="A256" s="517" t="s">
        <v>1161</v>
      </c>
      <c r="B256" s="545">
        <v>23000000</v>
      </c>
    </row>
    <row r="257" spans="1:6" x14ac:dyDescent="0.2">
      <c r="A257" s="517" t="s">
        <v>1199</v>
      </c>
      <c r="B257" s="545">
        <v>23000000</v>
      </c>
    </row>
    <row r="258" spans="1:6" x14ac:dyDescent="0.2">
      <c r="A258" s="517" t="s">
        <v>1135</v>
      </c>
      <c r="B258" s="545">
        <v>24000000</v>
      </c>
    </row>
    <row r="259" spans="1:6" x14ac:dyDescent="0.2">
      <c r="A259" s="517" t="s">
        <v>1136</v>
      </c>
      <c r="B259" s="545">
        <v>23000000</v>
      </c>
    </row>
    <row r="260" spans="1:6" x14ac:dyDescent="0.2">
      <c r="A260" s="517" t="s">
        <v>1189</v>
      </c>
      <c r="B260" s="545">
        <v>23000000</v>
      </c>
    </row>
    <row r="261" spans="1:6" x14ac:dyDescent="0.2">
      <c r="A261" s="517" t="s">
        <v>1688</v>
      </c>
      <c r="B261" s="545">
        <v>24000000</v>
      </c>
    </row>
    <row r="262" spans="1:6" x14ac:dyDescent="0.2">
      <c r="A262" s="517" t="s">
        <v>1179</v>
      </c>
      <c r="B262" s="545">
        <v>23000000</v>
      </c>
      <c r="D262" t="s">
        <v>4145</v>
      </c>
      <c r="E262">
        <v>5000000</v>
      </c>
      <c r="F262" s="637">
        <v>5000000</v>
      </c>
    </row>
    <row r="263" spans="1:6" x14ac:dyDescent="0.2">
      <c r="A263" s="517" t="s">
        <v>1039</v>
      </c>
      <c r="B263" s="545">
        <v>23000000</v>
      </c>
    </row>
    <row r="264" spans="1:6" x14ac:dyDescent="0.2">
      <c r="A264" s="517" t="s">
        <v>1231</v>
      </c>
      <c r="B264" s="545">
        <v>24000000</v>
      </c>
    </row>
    <row r="265" spans="1:6" x14ac:dyDescent="0.2">
      <c r="A265" s="517" t="s">
        <v>1137</v>
      </c>
      <c r="B265" s="545">
        <v>23000000</v>
      </c>
    </row>
    <row r="266" spans="1:6" x14ac:dyDescent="0.2">
      <c r="A266" s="517" t="s">
        <v>1040</v>
      </c>
      <c r="B266" s="545">
        <v>23000000</v>
      </c>
    </row>
    <row r="267" spans="1:6" x14ac:dyDescent="0.2">
      <c r="A267" s="517" t="s">
        <v>4415</v>
      </c>
      <c r="B267" s="545">
        <v>29000000</v>
      </c>
    </row>
    <row r="268" spans="1:6" x14ac:dyDescent="0.2">
      <c r="A268" s="517" t="s">
        <v>2281</v>
      </c>
      <c r="B268" s="545">
        <v>10000000</v>
      </c>
    </row>
    <row r="269" spans="1:6" x14ac:dyDescent="0.2">
      <c r="A269" s="517" t="s">
        <v>2271</v>
      </c>
      <c r="B269" s="545">
        <v>12000000</v>
      </c>
    </row>
    <row r="270" spans="1:6" x14ac:dyDescent="0.2">
      <c r="A270" s="517" t="s">
        <v>2272</v>
      </c>
      <c r="B270" s="545">
        <v>12000000</v>
      </c>
    </row>
    <row r="271" spans="1:6" x14ac:dyDescent="0.2">
      <c r="A271" s="517" t="s">
        <v>2275</v>
      </c>
      <c r="B271" s="545">
        <v>10000000</v>
      </c>
    </row>
    <row r="272" spans="1:6" x14ac:dyDescent="0.2">
      <c r="A272" s="517" t="s">
        <v>2276</v>
      </c>
      <c r="B272" s="545">
        <v>10000000</v>
      </c>
    </row>
    <row r="273" spans="1:2" x14ac:dyDescent="0.2">
      <c r="A273" s="517" t="s">
        <v>2277</v>
      </c>
      <c r="B273" s="545">
        <v>12000000</v>
      </c>
    </row>
    <row r="274" spans="1:2" x14ac:dyDescent="0.2">
      <c r="A274" s="517" t="s">
        <v>2278</v>
      </c>
      <c r="B274" s="545">
        <v>12000000</v>
      </c>
    </row>
    <row r="275" spans="1:2" x14ac:dyDescent="0.2">
      <c r="A275" s="517" t="s">
        <v>2279</v>
      </c>
      <c r="B275" s="545">
        <v>12000000</v>
      </c>
    </row>
    <row r="276" spans="1:2" x14ac:dyDescent="0.2">
      <c r="A276" s="517" t="s">
        <v>2282</v>
      </c>
      <c r="B276" s="545">
        <v>5000000</v>
      </c>
    </row>
    <row r="277" spans="1:2" x14ac:dyDescent="0.2">
      <c r="A277" s="517" t="s">
        <v>4416</v>
      </c>
      <c r="B277" s="545">
        <v>5000000</v>
      </c>
    </row>
    <row r="278" spans="1:2" x14ac:dyDescent="0.2">
      <c r="A278" s="517" t="s">
        <v>2594</v>
      </c>
      <c r="B278" s="545">
        <v>5000000</v>
      </c>
    </row>
    <row r="279" spans="1:2" x14ac:dyDescent="0.2">
      <c r="A279" s="517" t="s">
        <v>2283</v>
      </c>
      <c r="B279" s="545">
        <v>5000000</v>
      </c>
    </row>
    <row r="280" spans="1:2" x14ac:dyDescent="0.2">
      <c r="A280" s="517" t="s">
        <v>3898</v>
      </c>
      <c r="B280" s="545">
        <v>5000000</v>
      </c>
    </row>
    <row r="281" spans="1:2" x14ac:dyDescent="0.2">
      <c r="A281" s="517" t="s">
        <v>4417</v>
      </c>
      <c r="B281" s="545">
        <v>5000000</v>
      </c>
    </row>
    <row r="282" spans="1:2" x14ac:dyDescent="0.2">
      <c r="A282" s="517" t="s">
        <v>3252</v>
      </c>
      <c r="B282" s="545">
        <v>5000000</v>
      </c>
    </row>
    <row r="283" spans="1:2" x14ac:dyDescent="0.2">
      <c r="A283" s="517" t="s">
        <v>4339</v>
      </c>
      <c r="B283" s="545">
        <v>5000000</v>
      </c>
    </row>
    <row r="284" spans="1:2" x14ac:dyDescent="0.2">
      <c r="A284" s="517" t="s">
        <v>3404</v>
      </c>
      <c r="B284" s="545">
        <v>5000000</v>
      </c>
    </row>
    <row r="285" spans="1:2" x14ac:dyDescent="0.2">
      <c r="A285" s="517" t="s">
        <v>4340</v>
      </c>
      <c r="B285" s="545">
        <v>5000000</v>
      </c>
    </row>
    <row r="286" spans="1:2" x14ac:dyDescent="0.2">
      <c r="A286" s="517" t="s">
        <v>3405</v>
      </c>
      <c r="B286" s="545">
        <v>5000000</v>
      </c>
    </row>
    <row r="287" spans="1:2" x14ac:dyDescent="0.2">
      <c r="A287" s="517" t="s">
        <v>4262</v>
      </c>
      <c r="B287" s="545">
        <v>5000000</v>
      </c>
    </row>
    <row r="288" spans="1:2" x14ac:dyDescent="0.2">
      <c r="A288" s="517" t="s">
        <v>3315</v>
      </c>
      <c r="B288" s="545">
        <v>5000000</v>
      </c>
    </row>
    <row r="289" spans="1:2" x14ac:dyDescent="0.2">
      <c r="A289" s="517" t="s">
        <v>4418</v>
      </c>
      <c r="B289" s="545">
        <v>5000000</v>
      </c>
    </row>
    <row r="290" spans="1:2" x14ac:dyDescent="0.2">
      <c r="A290" s="517" t="s">
        <v>4341</v>
      </c>
      <c r="B290" s="545">
        <v>5000000</v>
      </c>
    </row>
    <row r="291" spans="1:2" x14ac:dyDescent="0.2">
      <c r="A291" s="517" t="s">
        <v>4342</v>
      </c>
      <c r="B291" s="545">
        <v>5000000</v>
      </c>
    </row>
    <row r="292" spans="1:2" x14ac:dyDescent="0.2">
      <c r="A292" s="517" t="s">
        <v>3406</v>
      </c>
      <c r="B292" s="545">
        <v>5000000</v>
      </c>
    </row>
    <row r="293" spans="1:2" x14ac:dyDescent="0.2">
      <c r="A293" s="517" t="s">
        <v>3407</v>
      </c>
      <c r="B293" s="545">
        <v>5000000</v>
      </c>
    </row>
    <row r="294" spans="1:2" x14ac:dyDescent="0.2">
      <c r="A294" s="517" t="s">
        <v>3474</v>
      </c>
      <c r="B294" s="545">
        <v>5000000</v>
      </c>
    </row>
    <row r="295" spans="1:2" x14ac:dyDescent="0.2">
      <c r="A295" s="517" t="s">
        <v>3099</v>
      </c>
      <c r="B295" s="545">
        <v>5000000</v>
      </c>
    </row>
    <row r="296" spans="1:2" x14ac:dyDescent="0.2">
      <c r="A296" s="517" t="s">
        <v>3316</v>
      </c>
      <c r="B296" s="545">
        <v>5000000</v>
      </c>
    </row>
    <row r="297" spans="1:2" x14ac:dyDescent="0.2">
      <c r="A297" s="517" t="s">
        <v>4343</v>
      </c>
      <c r="B297" s="545">
        <v>5000000</v>
      </c>
    </row>
    <row r="298" spans="1:2" x14ac:dyDescent="0.2">
      <c r="A298" s="517" t="s">
        <v>4344</v>
      </c>
      <c r="B298" s="545">
        <v>5000000</v>
      </c>
    </row>
    <row r="299" spans="1:2" x14ac:dyDescent="0.2">
      <c r="A299" s="517" t="s">
        <v>3475</v>
      </c>
      <c r="B299" s="545">
        <v>5000000</v>
      </c>
    </row>
    <row r="300" spans="1:2" x14ac:dyDescent="0.2">
      <c r="A300" s="517" t="s">
        <v>4263</v>
      </c>
      <c r="B300" s="545">
        <v>5000000</v>
      </c>
    </row>
    <row r="301" spans="1:2" x14ac:dyDescent="0.2">
      <c r="A301" s="517" t="s">
        <v>4419</v>
      </c>
      <c r="B301" s="545">
        <v>5000000</v>
      </c>
    </row>
    <row r="302" spans="1:2" x14ac:dyDescent="0.2">
      <c r="A302" s="517" t="s">
        <v>3253</v>
      </c>
      <c r="B302" s="545">
        <v>5000000</v>
      </c>
    </row>
    <row r="303" spans="1:2" x14ac:dyDescent="0.2">
      <c r="A303" s="517" t="s">
        <v>4345</v>
      </c>
      <c r="B303" s="545">
        <v>5000000</v>
      </c>
    </row>
    <row r="304" spans="1:2" x14ac:dyDescent="0.2">
      <c r="A304" s="517" t="s">
        <v>2641</v>
      </c>
      <c r="B304" s="545">
        <v>5000000</v>
      </c>
    </row>
    <row r="305" spans="1:2" x14ac:dyDescent="0.2">
      <c r="A305" s="517" t="s">
        <v>2642</v>
      </c>
      <c r="B305" s="545">
        <v>5000000</v>
      </c>
    </row>
    <row r="306" spans="1:2" x14ac:dyDescent="0.2">
      <c r="A306" s="517" t="s">
        <v>4420</v>
      </c>
      <c r="B306" s="545">
        <v>5000000</v>
      </c>
    </row>
    <row r="307" spans="1:2" x14ac:dyDescent="0.2">
      <c r="A307" s="517" t="s">
        <v>4346</v>
      </c>
      <c r="B307" s="545">
        <v>5000000</v>
      </c>
    </row>
    <row r="308" spans="1:2" x14ac:dyDescent="0.2">
      <c r="A308" s="517" t="s">
        <v>2284</v>
      </c>
      <c r="B308" s="545">
        <v>5000000</v>
      </c>
    </row>
    <row r="309" spans="1:2" x14ac:dyDescent="0.2">
      <c r="A309" s="517" t="s">
        <v>1542</v>
      </c>
      <c r="B309" s="545">
        <v>5000000</v>
      </c>
    </row>
    <row r="310" spans="1:2" x14ac:dyDescent="0.2">
      <c r="A310" s="517" t="s">
        <v>3899</v>
      </c>
      <c r="B310" s="545">
        <v>5000000</v>
      </c>
    </row>
    <row r="311" spans="1:2" x14ac:dyDescent="0.2">
      <c r="A311" s="517" t="s">
        <v>4347</v>
      </c>
      <c r="B311" s="545">
        <v>5000000</v>
      </c>
    </row>
    <row r="312" spans="1:2" x14ac:dyDescent="0.2">
      <c r="A312" s="517" t="s">
        <v>3900</v>
      </c>
      <c r="B312" s="545">
        <v>5000000</v>
      </c>
    </row>
    <row r="313" spans="1:2" x14ac:dyDescent="0.2">
      <c r="A313" s="517" t="s">
        <v>1180</v>
      </c>
      <c r="B313" s="545">
        <v>5000000</v>
      </c>
    </row>
    <row r="314" spans="1:2" x14ac:dyDescent="0.2">
      <c r="A314" s="517" t="s">
        <v>1200</v>
      </c>
      <c r="B314" s="545">
        <v>5000000</v>
      </c>
    </row>
    <row r="315" spans="1:2" x14ac:dyDescent="0.2">
      <c r="A315" s="517" t="s">
        <v>4348</v>
      </c>
      <c r="B315" s="545">
        <v>5000000</v>
      </c>
    </row>
    <row r="316" spans="1:2" x14ac:dyDescent="0.2">
      <c r="A316" s="517" t="s">
        <v>1042</v>
      </c>
      <c r="B316" s="545">
        <v>5000000</v>
      </c>
    </row>
    <row r="317" spans="1:2" x14ac:dyDescent="0.2">
      <c r="A317" s="517" t="s">
        <v>1496</v>
      </c>
      <c r="B317" s="545">
        <v>5000000</v>
      </c>
    </row>
    <row r="318" spans="1:2" x14ac:dyDescent="0.2">
      <c r="A318" s="517" t="s">
        <v>1232</v>
      </c>
      <c r="B318" s="545">
        <v>5000000</v>
      </c>
    </row>
    <row r="319" spans="1:2" x14ac:dyDescent="0.2">
      <c r="A319" s="517" t="s">
        <v>4421</v>
      </c>
      <c r="B319" s="545">
        <v>5000000</v>
      </c>
    </row>
    <row r="320" spans="1:2" x14ac:dyDescent="0.2">
      <c r="A320" s="517" t="s">
        <v>1162</v>
      </c>
      <c r="B320" s="545">
        <v>5000000</v>
      </c>
    </row>
    <row r="321" spans="1:2" x14ac:dyDescent="0.2">
      <c r="A321" s="517" t="s">
        <v>1263</v>
      </c>
      <c r="B321" s="545">
        <v>5000000</v>
      </c>
    </row>
    <row r="322" spans="1:2" x14ac:dyDescent="0.2">
      <c r="A322" s="517" t="s">
        <v>4349</v>
      </c>
      <c r="B322" s="545">
        <v>5000000</v>
      </c>
    </row>
    <row r="323" spans="1:2" x14ac:dyDescent="0.2">
      <c r="A323" s="517" t="s">
        <v>1163</v>
      </c>
      <c r="B323" s="545">
        <v>5000000</v>
      </c>
    </row>
    <row r="324" spans="1:2" x14ac:dyDescent="0.2">
      <c r="A324" s="517" t="s">
        <v>1369</v>
      </c>
      <c r="B324" s="545">
        <v>5000000</v>
      </c>
    </row>
    <row r="325" spans="1:2" x14ac:dyDescent="0.2">
      <c r="A325" s="517" t="s">
        <v>1108</v>
      </c>
      <c r="B325" s="545">
        <v>5000000</v>
      </c>
    </row>
    <row r="326" spans="1:2" x14ac:dyDescent="0.2">
      <c r="A326" s="517" t="s">
        <v>1109</v>
      </c>
      <c r="B326" s="545">
        <v>5000000</v>
      </c>
    </row>
    <row r="327" spans="1:2" x14ac:dyDescent="0.2">
      <c r="A327" s="517" t="s">
        <v>1046</v>
      </c>
      <c r="B327" s="545">
        <v>5000000</v>
      </c>
    </row>
    <row r="328" spans="1:2" x14ac:dyDescent="0.2">
      <c r="A328" s="517" t="s">
        <v>1047</v>
      </c>
      <c r="B328" s="545">
        <v>5000000</v>
      </c>
    </row>
    <row r="329" spans="1:2" x14ac:dyDescent="0.2">
      <c r="A329" s="517" t="s">
        <v>1048</v>
      </c>
      <c r="B329" s="545">
        <v>5000000</v>
      </c>
    </row>
    <row r="330" spans="1:2" x14ac:dyDescent="0.2">
      <c r="A330" s="517" t="s">
        <v>1190</v>
      </c>
      <c r="B330" s="545">
        <v>5000000</v>
      </c>
    </row>
    <row r="331" spans="1:2" x14ac:dyDescent="0.2">
      <c r="A331" s="517" t="s">
        <v>1110</v>
      </c>
      <c r="B331" s="545">
        <v>5000000</v>
      </c>
    </row>
    <row r="332" spans="1:2" x14ac:dyDescent="0.2">
      <c r="A332" s="517" t="s">
        <v>4422</v>
      </c>
      <c r="B332" s="545">
        <v>5000000</v>
      </c>
    </row>
    <row r="333" spans="1:2" x14ac:dyDescent="0.2">
      <c r="A333" s="517" t="s">
        <v>1164</v>
      </c>
      <c r="B333" s="545">
        <v>5000000</v>
      </c>
    </row>
    <row r="334" spans="1:2" x14ac:dyDescent="0.2">
      <c r="A334" s="517" t="s">
        <v>1050</v>
      </c>
      <c r="B334" s="545">
        <v>5000000</v>
      </c>
    </row>
    <row r="335" spans="1:2" x14ac:dyDescent="0.2">
      <c r="A335" s="517" t="s">
        <v>1111</v>
      </c>
      <c r="B335" s="545">
        <v>5000000</v>
      </c>
    </row>
    <row r="336" spans="1:2" x14ac:dyDescent="0.2">
      <c r="A336" s="517" t="s">
        <v>1139</v>
      </c>
      <c r="B336" s="545">
        <v>5000000</v>
      </c>
    </row>
    <row r="337" spans="1:2" x14ac:dyDescent="0.2">
      <c r="A337" s="517" t="s">
        <v>1051</v>
      </c>
      <c r="B337" s="545">
        <v>5000000</v>
      </c>
    </row>
    <row r="338" spans="1:2" x14ac:dyDescent="0.2">
      <c r="A338" s="517" t="s">
        <v>1165</v>
      </c>
      <c r="B338" s="545">
        <v>5000000</v>
      </c>
    </row>
    <row r="339" spans="1:2" x14ac:dyDescent="0.2">
      <c r="A339" s="517" t="s">
        <v>2285</v>
      </c>
      <c r="B339" s="545">
        <v>5000000</v>
      </c>
    </row>
    <row r="340" spans="1:2" x14ac:dyDescent="0.2">
      <c r="A340" s="517" t="s">
        <v>1166</v>
      </c>
      <c r="B340" s="545">
        <v>5000000</v>
      </c>
    </row>
    <row r="341" spans="1:2" x14ac:dyDescent="0.2">
      <c r="A341" s="517" t="s">
        <v>1564</v>
      </c>
      <c r="B341" s="545">
        <v>5000000</v>
      </c>
    </row>
    <row r="342" spans="1:2" x14ac:dyDescent="0.2">
      <c r="A342" s="517" t="s">
        <v>1167</v>
      </c>
      <c r="B342" s="545">
        <v>5000000</v>
      </c>
    </row>
    <row r="343" spans="1:2" x14ac:dyDescent="0.2">
      <c r="A343" s="517" t="s">
        <v>1112</v>
      </c>
      <c r="B343" s="545">
        <v>5000000</v>
      </c>
    </row>
    <row r="344" spans="1:2" x14ac:dyDescent="0.2">
      <c r="A344" s="517" t="s">
        <v>1497</v>
      </c>
      <c r="B344" s="545">
        <v>5000000</v>
      </c>
    </row>
    <row r="345" spans="1:2" x14ac:dyDescent="0.2">
      <c r="A345" s="517" t="s">
        <v>1140</v>
      </c>
      <c r="B345" s="545">
        <v>5000000</v>
      </c>
    </row>
    <row r="346" spans="1:2" x14ac:dyDescent="0.2">
      <c r="A346" s="517" t="s">
        <v>1113</v>
      </c>
      <c r="B346" s="545">
        <v>5000000</v>
      </c>
    </row>
    <row r="347" spans="1:2" x14ac:dyDescent="0.2">
      <c r="A347" s="517" t="s">
        <v>1052</v>
      </c>
      <c r="B347" s="545">
        <v>5000000</v>
      </c>
    </row>
    <row r="348" spans="1:2" x14ac:dyDescent="0.2">
      <c r="A348" s="517" t="s">
        <v>1053</v>
      </c>
      <c r="B348" s="545">
        <v>5000000</v>
      </c>
    </row>
    <row r="349" spans="1:2" x14ac:dyDescent="0.2">
      <c r="A349" s="517" t="s">
        <v>1141</v>
      </c>
      <c r="B349" s="545">
        <v>5000000</v>
      </c>
    </row>
    <row r="350" spans="1:2" x14ac:dyDescent="0.2">
      <c r="A350" s="517" t="s">
        <v>1266</v>
      </c>
      <c r="B350" s="545">
        <v>5000000</v>
      </c>
    </row>
    <row r="351" spans="1:2" x14ac:dyDescent="0.2">
      <c r="A351" s="517" t="s">
        <v>1267</v>
      </c>
      <c r="B351" s="545">
        <v>5000000</v>
      </c>
    </row>
    <row r="352" spans="1:2" x14ac:dyDescent="0.2">
      <c r="A352" s="517" t="s">
        <v>1142</v>
      </c>
      <c r="B352" s="545">
        <v>5000000</v>
      </c>
    </row>
    <row r="353" spans="1:2" x14ac:dyDescent="0.2">
      <c r="A353" s="517" t="s">
        <v>1168</v>
      </c>
      <c r="B353" s="545">
        <v>5000000</v>
      </c>
    </row>
    <row r="354" spans="1:2" x14ac:dyDescent="0.2">
      <c r="A354" s="517" t="s">
        <v>1169</v>
      </c>
      <c r="B354" s="545">
        <v>5000000</v>
      </c>
    </row>
    <row r="355" spans="1:2" x14ac:dyDescent="0.2">
      <c r="A355" s="517" t="s">
        <v>1201</v>
      </c>
      <c r="B355" s="545">
        <v>5000000</v>
      </c>
    </row>
    <row r="356" spans="1:2" x14ac:dyDescent="0.2">
      <c r="A356" s="517" t="s">
        <v>1143</v>
      </c>
      <c r="B356" s="545">
        <v>5000000</v>
      </c>
    </row>
    <row r="357" spans="1:2" x14ac:dyDescent="0.2">
      <c r="A357" s="517" t="s">
        <v>1144</v>
      </c>
      <c r="B357" s="545">
        <v>5000000</v>
      </c>
    </row>
    <row r="358" spans="1:2" x14ac:dyDescent="0.2">
      <c r="A358" s="517" t="s">
        <v>1191</v>
      </c>
      <c r="B358" s="545">
        <v>5000000</v>
      </c>
    </row>
    <row r="359" spans="1:2" x14ac:dyDescent="0.2">
      <c r="A359" s="517" t="s">
        <v>1689</v>
      </c>
      <c r="B359" s="545">
        <v>5000000</v>
      </c>
    </row>
    <row r="360" spans="1:2" x14ac:dyDescent="0.2">
      <c r="A360" s="517" t="s">
        <v>1181</v>
      </c>
      <c r="B360" s="545">
        <v>5000000</v>
      </c>
    </row>
    <row r="361" spans="1:2" x14ac:dyDescent="0.2">
      <c r="A361" s="517" t="s">
        <v>1054</v>
      </c>
      <c r="B361" s="545">
        <v>5000000</v>
      </c>
    </row>
    <row r="362" spans="1:2" x14ac:dyDescent="0.2">
      <c r="A362" s="517" t="s">
        <v>1233</v>
      </c>
      <c r="B362" s="545">
        <v>5000000</v>
      </c>
    </row>
    <row r="363" spans="1:2" x14ac:dyDescent="0.2">
      <c r="A363" s="517" t="s">
        <v>1145</v>
      </c>
      <c r="B363" s="545">
        <v>5000000</v>
      </c>
    </row>
    <row r="364" spans="1:2" x14ac:dyDescent="0.2">
      <c r="A364" s="517" t="s">
        <v>1055</v>
      </c>
      <c r="B364" s="545">
        <v>5000000</v>
      </c>
    </row>
    <row r="365" spans="1:2" x14ac:dyDescent="0.2">
      <c r="A365" s="517"/>
      <c r="B365" s="545"/>
    </row>
    <row r="366" spans="1:2" x14ac:dyDescent="0.2">
      <c r="A366" s="517"/>
      <c r="B366" s="545"/>
    </row>
    <row r="367" spans="1:2" x14ac:dyDescent="0.2">
      <c r="A367" s="517"/>
      <c r="B367" s="545"/>
    </row>
    <row r="368" spans="1:2" x14ac:dyDescent="0.2">
      <c r="A368" s="517"/>
      <c r="B368" s="545"/>
    </row>
    <row r="369" spans="1:2" x14ac:dyDescent="0.2">
      <c r="A369" s="517"/>
      <c r="B369" s="545"/>
    </row>
    <row r="370" spans="1:2" x14ac:dyDescent="0.2">
      <c r="A370" s="517"/>
      <c r="B370" s="545"/>
    </row>
    <row r="371" spans="1:2" x14ac:dyDescent="0.2">
      <c r="A371" s="517"/>
      <c r="B371" s="545"/>
    </row>
    <row r="372" spans="1:2" x14ac:dyDescent="0.2">
      <c r="A372" s="517"/>
      <c r="B372" s="545"/>
    </row>
    <row r="373" spans="1:2" x14ac:dyDescent="0.2">
      <c r="A373" s="517"/>
      <c r="B373" s="545"/>
    </row>
    <row r="374" spans="1:2" x14ac:dyDescent="0.2">
      <c r="A374" s="517"/>
      <c r="B374" s="545"/>
    </row>
    <row r="375" spans="1:2" x14ac:dyDescent="0.2">
      <c r="A375" s="517"/>
      <c r="B375" s="545"/>
    </row>
    <row r="376" spans="1:2" x14ac:dyDescent="0.2">
      <c r="A376" s="517"/>
      <c r="B376" s="545"/>
    </row>
    <row r="377" spans="1:2" x14ac:dyDescent="0.2">
      <c r="A377" s="517"/>
      <c r="B377" s="545"/>
    </row>
    <row r="378" spans="1:2" x14ac:dyDescent="0.2">
      <c r="A378" s="517"/>
      <c r="B378" s="545"/>
    </row>
    <row r="379" spans="1:2" x14ac:dyDescent="0.2">
      <c r="A379" s="517"/>
      <c r="B379" s="545"/>
    </row>
    <row r="380" spans="1:2" x14ac:dyDescent="0.2">
      <c r="A380" s="517"/>
      <c r="B380" s="545"/>
    </row>
    <row r="381" spans="1:2" x14ac:dyDescent="0.2">
      <c r="A381" s="517"/>
      <c r="B381" s="545"/>
    </row>
    <row r="382" spans="1:2" x14ac:dyDescent="0.2">
      <c r="A382" s="517"/>
      <c r="B382" s="545"/>
    </row>
    <row r="383" spans="1:2" x14ac:dyDescent="0.2">
      <c r="A383" s="517"/>
      <c r="B383" s="545"/>
    </row>
    <row r="384" spans="1:2" x14ac:dyDescent="0.2">
      <c r="A384" s="517"/>
      <c r="B384" s="545"/>
    </row>
    <row r="385" spans="1:2" x14ac:dyDescent="0.2">
      <c r="A385" s="517"/>
      <c r="B385" s="545"/>
    </row>
    <row r="386" spans="1:2" x14ac:dyDescent="0.2">
      <c r="A386" s="517"/>
      <c r="B386" s="545"/>
    </row>
    <row r="387" spans="1:2" x14ac:dyDescent="0.2">
      <c r="A387" s="517"/>
      <c r="B387" s="545"/>
    </row>
    <row r="388" spans="1:2" x14ac:dyDescent="0.2">
      <c r="A388" s="517"/>
      <c r="B388" s="545"/>
    </row>
    <row r="389" spans="1:2" x14ac:dyDescent="0.2">
      <c r="A389" s="517"/>
      <c r="B389" s="545"/>
    </row>
    <row r="390" spans="1:2" x14ac:dyDescent="0.2">
      <c r="A390" s="517"/>
      <c r="B390" s="545"/>
    </row>
    <row r="391" spans="1:2" x14ac:dyDescent="0.2">
      <c r="A391" s="517"/>
      <c r="B391" s="545"/>
    </row>
    <row r="392" spans="1:2" x14ac:dyDescent="0.2">
      <c r="A392" s="517"/>
      <c r="B392" s="545"/>
    </row>
    <row r="393" spans="1:2" x14ac:dyDescent="0.2">
      <c r="A393" s="517"/>
      <c r="B393" s="545"/>
    </row>
    <row r="394" spans="1:2" x14ac:dyDescent="0.2">
      <c r="A394" s="517"/>
      <c r="B394" s="545"/>
    </row>
    <row r="395" spans="1:2" x14ac:dyDescent="0.2">
      <c r="A395" s="517"/>
      <c r="B395" s="545"/>
    </row>
    <row r="396" spans="1:2" x14ac:dyDescent="0.2">
      <c r="A396" s="517"/>
      <c r="B396" s="545"/>
    </row>
    <row r="397" spans="1:2" x14ac:dyDescent="0.2">
      <c r="A397" s="517"/>
      <c r="B397" s="545"/>
    </row>
    <row r="398" spans="1:2" x14ac:dyDescent="0.2">
      <c r="A398" s="517"/>
      <c r="B398" s="545"/>
    </row>
    <row r="399" spans="1:2" x14ac:dyDescent="0.2">
      <c r="A399" s="517"/>
      <c r="B399" s="545"/>
    </row>
    <row r="400" spans="1:2" x14ac:dyDescent="0.2">
      <c r="A400" s="517"/>
      <c r="B400" s="545"/>
    </row>
    <row r="401" spans="1:2" x14ac:dyDescent="0.2">
      <c r="A401" s="517"/>
      <c r="B401" s="545"/>
    </row>
    <row r="402" spans="1:2" x14ac:dyDescent="0.2">
      <c r="A402" s="517"/>
      <c r="B402" s="545"/>
    </row>
    <row r="403" spans="1:2" x14ac:dyDescent="0.2">
      <c r="A403" s="517"/>
      <c r="B403" s="545"/>
    </row>
    <row r="404" spans="1:2" x14ac:dyDescent="0.2">
      <c r="A404" s="517"/>
      <c r="B404" s="545"/>
    </row>
    <row r="405" spans="1:2" x14ac:dyDescent="0.2">
      <c r="A405" s="517"/>
      <c r="B405" s="545"/>
    </row>
    <row r="406" spans="1:2" x14ac:dyDescent="0.2">
      <c r="A406" s="517"/>
      <c r="B406" s="545"/>
    </row>
    <row r="407" spans="1:2" x14ac:dyDescent="0.2">
      <c r="A407" s="517"/>
      <c r="B407" s="545"/>
    </row>
    <row r="408" spans="1:2" x14ac:dyDescent="0.2">
      <c r="A408" s="517"/>
      <c r="B408" s="545"/>
    </row>
    <row r="409" spans="1:2" x14ac:dyDescent="0.2">
      <c r="A409" s="517"/>
      <c r="B409" s="545"/>
    </row>
    <row r="410" spans="1:2" x14ac:dyDescent="0.2">
      <c r="A410" s="517"/>
      <c r="B410" s="545"/>
    </row>
    <row r="411" spans="1:2" x14ac:dyDescent="0.2">
      <c r="A411" s="517"/>
      <c r="B411" s="545"/>
    </row>
    <row r="412" spans="1:2" x14ac:dyDescent="0.2">
      <c r="A412" s="517"/>
      <c r="B412" s="545"/>
    </row>
    <row r="413" spans="1:2" x14ac:dyDescent="0.2">
      <c r="A413" s="517"/>
      <c r="B413" s="545"/>
    </row>
    <row r="414" spans="1:2" x14ac:dyDescent="0.2">
      <c r="A414" s="517"/>
      <c r="B414" s="545"/>
    </row>
    <row r="415" spans="1:2" x14ac:dyDescent="0.2">
      <c r="A415" s="517"/>
      <c r="B415" s="545"/>
    </row>
    <row r="416" spans="1:2" x14ac:dyDescent="0.2">
      <c r="A416" s="517"/>
      <c r="B416" s="545"/>
    </row>
    <row r="417" spans="1:2" x14ac:dyDescent="0.2">
      <c r="A417" s="517"/>
      <c r="B417" s="545"/>
    </row>
    <row r="418" spans="1:2" x14ac:dyDescent="0.2">
      <c r="A418" s="517"/>
      <c r="B418" s="545"/>
    </row>
    <row r="419" spans="1:2" x14ac:dyDescent="0.2">
      <c r="A419" s="517"/>
      <c r="B419" s="545"/>
    </row>
    <row r="420" spans="1:2" x14ac:dyDescent="0.2">
      <c r="A420" s="517"/>
      <c r="B420" s="545"/>
    </row>
    <row r="421" spans="1:2" x14ac:dyDescent="0.2">
      <c r="A421" s="517"/>
      <c r="B421" s="545"/>
    </row>
    <row r="422" spans="1:2" x14ac:dyDescent="0.2">
      <c r="A422" s="517"/>
      <c r="B422" s="545"/>
    </row>
    <row r="423" spans="1:2" x14ac:dyDescent="0.2">
      <c r="A423" s="517"/>
      <c r="B423" s="545"/>
    </row>
    <row r="424" spans="1:2" x14ac:dyDescent="0.2">
      <c r="A424" s="517"/>
      <c r="B424" s="545"/>
    </row>
    <row r="425" spans="1:2" x14ac:dyDescent="0.2">
      <c r="A425" s="517"/>
      <c r="B425" s="545"/>
    </row>
    <row r="426" spans="1:2" x14ac:dyDescent="0.2">
      <c r="A426" s="517"/>
      <c r="B426" s="545"/>
    </row>
    <row r="427" spans="1:2" x14ac:dyDescent="0.2">
      <c r="A427" s="517"/>
      <c r="B427" s="545"/>
    </row>
    <row r="428" spans="1:2" x14ac:dyDescent="0.2">
      <c r="A428" s="517"/>
      <c r="B428" s="545"/>
    </row>
    <row r="429" spans="1:2" x14ac:dyDescent="0.2">
      <c r="A429" s="517"/>
      <c r="B429" s="545"/>
    </row>
    <row r="430" spans="1:2" x14ac:dyDescent="0.2">
      <c r="A430" s="517"/>
      <c r="B430" s="545"/>
    </row>
    <row r="431" spans="1:2" x14ac:dyDescent="0.2">
      <c r="A431" s="517"/>
      <c r="B431" s="545"/>
    </row>
  </sheetData>
  <autoFilter ref="A1:B1" xr:uid="{00000000-0009-0000-0000-000010000000}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79007-2B06-4DA9-A288-1E7332245327}">
  <sheetPr codeName="Hoja21"/>
  <dimension ref="A1:E296"/>
  <sheetViews>
    <sheetView zoomScaleNormal="100" workbookViewId="0">
      <pane ySplit="1" topLeftCell="A2" activePane="bottomLeft" state="frozen"/>
      <selection activeCell="B9" sqref="B9:C9"/>
      <selection pane="bottomLeft" activeCell="H6" sqref="H6"/>
    </sheetView>
  </sheetViews>
  <sheetFormatPr baseColWidth="10" defaultRowHeight="12.75" x14ac:dyDescent="0.2"/>
  <cols>
    <col min="1" max="1" width="9.85546875" style="517" bestFit="1" customWidth="1"/>
    <col min="2" max="2" width="15.42578125" style="517" bestFit="1" customWidth="1"/>
    <col min="3" max="3" width="8.85546875" style="517" bestFit="1" customWidth="1"/>
    <col min="4" max="4" width="9.85546875" style="517" bestFit="1" customWidth="1"/>
    <col min="5" max="5" width="13.85546875" bestFit="1" customWidth="1"/>
  </cols>
  <sheetData>
    <row r="1" spans="1:4" x14ac:dyDescent="0.2">
      <c r="A1" s="515" t="s">
        <v>106</v>
      </c>
      <c r="B1" s="516" t="s">
        <v>107</v>
      </c>
      <c r="C1" s="515" t="s">
        <v>108</v>
      </c>
      <c r="D1" s="515" t="s">
        <v>47</v>
      </c>
    </row>
    <row r="2" spans="1:4" x14ac:dyDescent="0.2">
      <c r="A2" s="519" t="s">
        <v>3901</v>
      </c>
      <c r="B2" s="519">
        <v>418500000</v>
      </c>
      <c r="C2" s="519">
        <v>64</v>
      </c>
      <c r="D2" s="519" t="s">
        <v>61</v>
      </c>
    </row>
    <row r="3" spans="1:4" x14ac:dyDescent="0.2">
      <c r="A3" s="519" t="s">
        <v>3902</v>
      </c>
      <c r="B3" s="519">
        <v>498950000</v>
      </c>
      <c r="C3" s="519">
        <v>76.3</v>
      </c>
      <c r="D3" s="519" t="s">
        <v>61</v>
      </c>
    </row>
    <row r="4" spans="1:4" x14ac:dyDescent="0.2">
      <c r="A4" s="519" t="s">
        <v>3904</v>
      </c>
      <c r="B4" s="519">
        <v>499950000</v>
      </c>
      <c r="C4" s="519">
        <v>76.3</v>
      </c>
      <c r="D4" s="519" t="s">
        <v>61</v>
      </c>
    </row>
    <row r="5" spans="1:4" x14ac:dyDescent="0.2">
      <c r="A5" s="519" t="s">
        <v>3905</v>
      </c>
      <c r="B5" s="519">
        <v>495250000</v>
      </c>
      <c r="C5" s="519">
        <v>75.5</v>
      </c>
      <c r="D5" s="519" t="s">
        <v>61</v>
      </c>
    </row>
    <row r="6" spans="1:4" x14ac:dyDescent="0.2">
      <c r="A6" s="519" t="s">
        <v>3906</v>
      </c>
      <c r="B6" s="519">
        <v>495750000</v>
      </c>
      <c r="C6" s="519">
        <v>75.5</v>
      </c>
      <c r="D6" s="519" t="s">
        <v>61</v>
      </c>
    </row>
    <row r="7" spans="1:4" x14ac:dyDescent="0.2">
      <c r="A7" s="519" t="s">
        <v>3907</v>
      </c>
      <c r="B7" s="519">
        <v>496250000</v>
      </c>
      <c r="C7" s="519">
        <v>75.5</v>
      </c>
      <c r="D7" s="519" t="s">
        <v>61</v>
      </c>
    </row>
    <row r="8" spans="1:4" x14ac:dyDescent="0.2">
      <c r="A8" s="519" t="s">
        <v>3909</v>
      </c>
      <c r="B8" s="519">
        <v>502450000</v>
      </c>
      <c r="C8" s="519">
        <v>76.3</v>
      </c>
      <c r="D8" s="519" t="s">
        <v>61</v>
      </c>
    </row>
    <row r="9" spans="1:4" x14ac:dyDescent="0.2">
      <c r="A9" s="519" t="s">
        <v>3910</v>
      </c>
      <c r="B9" s="519">
        <v>497750000</v>
      </c>
      <c r="C9" s="519">
        <v>75.5</v>
      </c>
      <c r="D9" s="519" t="s">
        <v>61</v>
      </c>
    </row>
    <row r="10" spans="1:4" x14ac:dyDescent="0.2">
      <c r="A10" s="519" t="s">
        <v>3911</v>
      </c>
      <c r="B10" s="519">
        <v>498250000</v>
      </c>
      <c r="C10" s="519">
        <v>75.5</v>
      </c>
      <c r="D10" s="519" t="s">
        <v>61</v>
      </c>
    </row>
    <row r="11" spans="1:4" x14ac:dyDescent="0.2">
      <c r="A11" s="519" t="s">
        <v>3912</v>
      </c>
      <c r="B11" s="519">
        <v>501975000</v>
      </c>
      <c r="C11" s="519">
        <v>76.150000000000006</v>
      </c>
      <c r="D11" s="519" t="s">
        <v>61</v>
      </c>
    </row>
    <row r="12" spans="1:4" x14ac:dyDescent="0.2">
      <c r="A12" s="519" t="s">
        <v>3913</v>
      </c>
      <c r="B12" s="519">
        <v>501250000</v>
      </c>
      <c r="C12" s="519">
        <v>75.5</v>
      </c>
      <c r="D12" s="519" t="s">
        <v>61</v>
      </c>
    </row>
    <row r="13" spans="1:4" x14ac:dyDescent="0.2">
      <c r="A13" s="519" t="s">
        <v>3914</v>
      </c>
      <c r="B13" s="519">
        <v>501750000</v>
      </c>
      <c r="C13" s="519">
        <v>75.5</v>
      </c>
      <c r="D13" s="519" t="s">
        <v>61</v>
      </c>
    </row>
    <row r="14" spans="1:4" x14ac:dyDescent="0.2">
      <c r="A14" s="519" t="s">
        <v>3915</v>
      </c>
      <c r="B14" s="519">
        <v>506950000</v>
      </c>
      <c r="C14" s="519">
        <v>76.3</v>
      </c>
      <c r="D14" s="519" t="s">
        <v>61</v>
      </c>
    </row>
    <row r="15" spans="1:4" x14ac:dyDescent="0.2">
      <c r="A15" s="519" t="s">
        <v>3916</v>
      </c>
      <c r="B15" s="519">
        <v>502250000</v>
      </c>
      <c r="C15" s="519">
        <v>75.5</v>
      </c>
      <c r="D15" s="519" t="s">
        <v>61</v>
      </c>
    </row>
    <row r="16" spans="1:4" x14ac:dyDescent="0.2">
      <c r="A16" s="519" t="s">
        <v>3918</v>
      </c>
      <c r="B16" s="519">
        <v>508450000</v>
      </c>
      <c r="C16" s="519">
        <v>76.3</v>
      </c>
      <c r="D16" s="519" t="s">
        <v>61</v>
      </c>
    </row>
    <row r="17" spans="1:4" x14ac:dyDescent="0.2">
      <c r="A17" s="519" t="s">
        <v>3919</v>
      </c>
      <c r="B17" s="519">
        <v>509450000</v>
      </c>
      <c r="C17" s="519">
        <v>76.3</v>
      </c>
      <c r="D17" s="519" t="s">
        <v>61</v>
      </c>
    </row>
    <row r="18" spans="1:4" x14ac:dyDescent="0.2">
      <c r="A18" s="519" t="s">
        <v>3920</v>
      </c>
      <c r="B18" s="519">
        <v>468865000</v>
      </c>
      <c r="C18" s="519">
        <v>75.599999999999994</v>
      </c>
      <c r="D18" s="519" t="s">
        <v>901</v>
      </c>
    </row>
    <row r="19" spans="1:4" x14ac:dyDescent="0.2">
      <c r="A19" s="519" t="s">
        <v>3921</v>
      </c>
      <c r="B19" s="519">
        <v>452875000</v>
      </c>
      <c r="C19" s="519">
        <v>76.25</v>
      </c>
      <c r="D19" s="519" t="s">
        <v>901</v>
      </c>
    </row>
    <row r="20" spans="1:4" x14ac:dyDescent="0.2">
      <c r="A20" s="519" t="s">
        <v>3922</v>
      </c>
      <c r="B20" s="519">
        <v>369740177</v>
      </c>
      <c r="C20" s="519">
        <v>64</v>
      </c>
      <c r="D20" s="519" t="s">
        <v>901</v>
      </c>
    </row>
    <row r="21" spans="1:4" x14ac:dyDescent="0.2">
      <c r="A21" s="519" t="s">
        <v>3923</v>
      </c>
      <c r="B21" s="519">
        <v>439385500</v>
      </c>
      <c r="C21" s="519">
        <v>76.150000000000006</v>
      </c>
      <c r="D21" s="519" t="s">
        <v>901</v>
      </c>
    </row>
    <row r="22" spans="1:4" x14ac:dyDescent="0.2">
      <c r="A22" s="519" t="s">
        <v>3924</v>
      </c>
      <c r="B22" s="519">
        <v>437380000</v>
      </c>
      <c r="C22" s="519">
        <v>75.5</v>
      </c>
      <c r="D22" s="519" t="s">
        <v>901</v>
      </c>
    </row>
    <row r="23" spans="1:4" x14ac:dyDescent="0.2">
      <c r="A23" s="519" t="s">
        <v>3925</v>
      </c>
      <c r="B23" s="519">
        <v>447329000</v>
      </c>
      <c r="C23" s="519">
        <v>76.3</v>
      </c>
      <c r="D23" s="519" t="s">
        <v>901</v>
      </c>
    </row>
    <row r="24" spans="1:4" x14ac:dyDescent="0.2">
      <c r="A24" s="519" t="s">
        <v>3926</v>
      </c>
      <c r="B24" s="519">
        <v>439624000</v>
      </c>
      <c r="C24" s="519">
        <v>76.150000000000006</v>
      </c>
      <c r="D24" s="519" t="s">
        <v>901</v>
      </c>
    </row>
    <row r="25" spans="1:4" x14ac:dyDescent="0.2">
      <c r="A25" s="519" t="s">
        <v>3927</v>
      </c>
      <c r="B25" s="519">
        <v>437880000</v>
      </c>
      <c r="C25" s="519">
        <v>75.5</v>
      </c>
      <c r="D25" s="519" t="s">
        <v>901</v>
      </c>
    </row>
    <row r="26" spans="1:4" x14ac:dyDescent="0.2">
      <c r="A26" s="519" t="s">
        <v>3928</v>
      </c>
      <c r="B26" s="519">
        <v>376120000</v>
      </c>
      <c r="C26" s="519">
        <v>64</v>
      </c>
      <c r="D26" s="519" t="s">
        <v>901</v>
      </c>
    </row>
    <row r="27" spans="1:4" x14ac:dyDescent="0.2">
      <c r="A27" s="519" t="s">
        <v>3929</v>
      </c>
      <c r="B27" s="519">
        <v>433270500</v>
      </c>
      <c r="C27" s="519">
        <v>76.150000000000006</v>
      </c>
      <c r="D27" s="519" t="s">
        <v>901</v>
      </c>
    </row>
    <row r="28" spans="1:4" x14ac:dyDescent="0.2">
      <c r="A28" s="519" t="s">
        <v>3930</v>
      </c>
      <c r="B28" s="519">
        <v>479150000</v>
      </c>
      <c r="C28" s="519">
        <v>75.5</v>
      </c>
      <c r="D28" s="519" t="s">
        <v>901</v>
      </c>
    </row>
    <row r="29" spans="1:4" x14ac:dyDescent="0.2">
      <c r="A29" s="519" t="s">
        <v>3931</v>
      </c>
      <c r="B29" s="519">
        <v>426202000</v>
      </c>
      <c r="C29" s="519">
        <v>76.3</v>
      </c>
      <c r="D29" s="519" t="s">
        <v>901</v>
      </c>
    </row>
    <row r="30" spans="1:4" x14ac:dyDescent="0.2">
      <c r="A30" s="519" t="s">
        <v>3932</v>
      </c>
      <c r="B30" s="519">
        <v>358060000</v>
      </c>
      <c r="C30" s="519">
        <v>64</v>
      </c>
      <c r="D30" s="519" t="s">
        <v>901</v>
      </c>
    </row>
    <row r="31" spans="1:4" x14ac:dyDescent="0.2">
      <c r="A31" s="519" t="s">
        <v>3933</v>
      </c>
      <c r="B31" s="519">
        <v>427305726</v>
      </c>
      <c r="C31" s="519">
        <v>76.150000000000006</v>
      </c>
      <c r="D31" s="519" t="s">
        <v>901</v>
      </c>
    </row>
    <row r="32" spans="1:4" x14ac:dyDescent="0.2">
      <c r="A32" s="519" t="s">
        <v>3903</v>
      </c>
      <c r="B32" s="519">
        <v>494750000</v>
      </c>
      <c r="C32" s="519">
        <v>75.5</v>
      </c>
      <c r="D32" s="519" t="s">
        <v>901</v>
      </c>
    </row>
    <row r="33" spans="1:4" x14ac:dyDescent="0.2">
      <c r="A33" s="519" t="s">
        <v>3934</v>
      </c>
      <c r="B33" s="519">
        <v>364960000</v>
      </c>
      <c r="C33" s="519">
        <v>64</v>
      </c>
      <c r="D33" s="519" t="s">
        <v>901</v>
      </c>
    </row>
    <row r="34" spans="1:4" x14ac:dyDescent="0.2">
      <c r="A34" s="519" t="s">
        <v>3935</v>
      </c>
      <c r="B34" s="519">
        <v>439601000</v>
      </c>
      <c r="C34" s="519">
        <v>76.150000000000006</v>
      </c>
      <c r="D34" s="519" t="s">
        <v>901</v>
      </c>
    </row>
    <row r="35" spans="1:4" x14ac:dyDescent="0.2">
      <c r="A35" s="519" t="s">
        <v>3936</v>
      </c>
      <c r="B35" s="519">
        <v>485190000</v>
      </c>
      <c r="C35" s="519">
        <v>76.3</v>
      </c>
      <c r="D35" s="519" t="s">
        <v>901</v>
      </c>
    </row>
    <row r="36" spans="1:4" x14ac:dyDescent="0.2">
      <c r="A36" s="519" t="s">
        <v>3937</v>
      </c>
      <c r="B36" s="519">
        <v>365561784</v>
      </c>
      <c r="C36" s="519">
        <v>64</v>
      </c>
      <c r="D36" s="519" t="s">
        <v>901</v>
      </c>
    </row>
    <row r="37" spans="1:4" x14ac:dyDescent="0.2">
      <c r="A37" s="519" t="s">
        <v>3938</v>
      </c>
      <c r="B37" s="519">
        <v>434770500</v>
      </c>
      <c r="C37" s="519">
        <v>76.150000000000006</v>
      </c>
      <c r="D37" s="519" t="s">
        <v>901</v>
      </c>
    </row>
    <row r="38" spans="1:4" x14ac:dyDescent="0.2">
      <c r="A38" s="519" t="s">
        <v>3939</v>
      </c>
      <c r="B38" s="519">
        <v>437621000</v>
      </c>
      <c r="C38" s="519">
        <v>76.3</v>
      </c>
      <c r="D38" s="519" t="s">
        <v>901</v>
      </c>
    </row>
    <row r="39" spans="1:4" x14ac:dyDescent="0.2">
      <c r="A39" s="519" t="s">
        <v>3940</v>
      </c>
      <c r="B39" s="519">
        <v>367880000</v>
      </c>
      <c r="C39" s="519">
        <v>64</v>
      </c>
      <c r="D39" s="519" t="s">
        <v>901</v>
      </c>
    </row>
    <row r="40" spans="1:4" x14ac:dyDescent="0.2">
      <c r="A40" s="519" t="s">
        <v>3941</v>
      </c>
      <c r="B40" s="519">
        <v>444061246</v>
      </c>
      <c r="C40" s="519">
        <v>76.150000000000006</v>
      </c>
      <c r="D40" s="519" t="s">
        <v>901</v>
      </c>
    </row>
    <row r="41" spans="1:4" x14ac:dyDescent="0.2">
      <c r="A41" s="519" t="s">
        <v>3942</v>
      </c>
      <c r="B41" s="519">
        <v>449566000</v>
      </c>
      <c r="C41" s="519">
        <v>76.3</v>
      </c>
      <c r="D41" s="519" t="s">
        <v>901</v>
      </c>
    </row>
    <row r="42" spans="1:4" x14ac:dyDescent="0.2">
      <c r="A42" s="519" t="s">
        <v>3943</v>
      </c>
      <c r="B42" s="519">
        <v>360060000</v>
      </c>
      <c r="C42" s="519">
        <v>64</v>
      </c>
      <c r="D42" s="519" t="s">
        <v>901</v>
      </c>
    </row>
    <row r="43" spans="1:4" ht="14.25" customHeight="1" x14ac:dyDescent="0.2">
      <c r="A43" s="519" t="s">
        <v>3944</v>
      </c>
      <c r="B43" s="519">
        <v>446761720</v>
      </c>
      <c r="C43" s="519">
        <v>76.150000000000006</v>
      </c>
      <c r="D43" s="519" t="s">
        <v>901</v>
      </c>
    </row>
    <row r="44" spans="1:4" x14ac:dyDescent="0.2">
      <c r="A44" s="519" t="s">
        <v>3945</v>
      </c>
      <c r="B44" s="519">
        <v>430310000</v>
      </c>
      <c r="C44" s="519">
        <v>75.5</v>
      </c>
      <c r="D44" s="519" t="s">
        <v>901</v>
      </c>
    </row>
    <row r="45" spans="1:4" x14ac:dyDescent="0.2">
      <c r="A45" s="519" t="s">
        <v>3946</v>
      </c>
      <c r="B45" s="519">
        <v>428702000</v>
      </c>
      <c r="C45" s="519">
        <v>76.3</v>
      </c>
      <c r="D45" s="519" t="s">
        <v>901</v>
      </c>
    </row>
    <row r="46" spans="1:4" x14ac:dyDescent="0.2">
      <c r="A46" s="519" t="s">
        <v>3947</v>
      </c>
      <c r="B46" s="519">
        <v>358000000</v>
      </c>
      <c r="C46" s="519">
        <v>64</v>
      </c>
      <c r="D46" s="519" t="s">
        <v>901</v>
      </c>
    </row>
    <row r="47" spans="1:4" x14ac:dyDescent="0.2">
      <c r="A47" s="519" t="s">
        <v>3948</v>
      </c>
      <c r="B47" s="519">
        <v>436270500</v>
      </c>
      <c r="C47" s="519">
        <v>76.150000000000006</v>
      </c>
      <c r="D47" s="519" t="s">
        <v>901</v>
      </c>
    </row>
    <row r="48" spans="1:4" x14ac:dyDescent="0.2">
      <c r="A48" s="519" t="s">
        <v>3908</v>
      </c>
      <c r="B48" s="519">
        <v>485925000</v>
      </c>
      <c r="C48" s="519">
        <v>75.5</v>
      </c>
      <c r="D48" s="519" t="s">
        <v>901</v>
      </c>
    </row>
    <row r="49" spans="1:4" x14ac:dyDescent="0.2">
      <c r="A49" s="519" t="s">
        <v>3949</v>
      </c>
      <c r="B49" s="519">
        <v>369380000</v>
      </c>
      <c r="C49" s="519">
        <v>64</v>
      </c>
      <c r="D49" s="519" t="s">
        <v>901</v>
      </c>
    </row>
    <row r="50" spans="1:4" x14ac:dyDescent="0.2">
      <c r="A50" s="519" t="s">
        <v>3950</v>
      </c>
      <c r="B50" s="519">
        <v>442101000</v>
      </c>
      <c r="C50" s="519">
        <v>76.150000000000006</v>
      </c>
      <c r="D50" s="519" t="s">
        <v>901</v>
      </c>
    </row>
    <row r="51" spans="1:4" x14ac:dyDescent="0.2">
      <c r="A51" s="519" t="s">
        <v>3951</v>
      </c>
      <c r="B51" s="519">
        <v>429702000</v>
      </c>
      <c r="C51" s="519">
        <v>76.3</v>
      </c>
      <c r="D51" s="519" t="s">
        <v>901</v>
      </c>
    </row>
    <row r="52" spans="1:4" x14ac:dyDescent="0.2">
      <c r="A52" s="519" t="s">
        <v>3952</v>
      </c>
      <c r="B52" s="519">
        <v>366680000</v>
      </c>
      <c r="C52" s="519">
        <v>64</v>
      </c>
      <c r="D52" s="519" t="s">
        <v>901</v>
      </c>
    </row>
    <row r="53" spans="1:4" x14ac:dyDescent="0.2">
      <c r="A53" s="519" t="s">
        <v>3953</v>
      </c>
      <c r="B53" s="519">
        <v>442601000</v>
      </c>
      <c r="C53" s="519">
        <v>76.150000000000006</v>
      </c>
      <c r="D53" s="519" t="s">
        <v>901</v>
      </c>
    </row>
    <row r="54" spans="1:4" x14ac:dyDescent="0.2">
      <c r="A54" s="519" t="s">
        <v>3954</v>
      </c>
      <c r="B54" s="519">
        <v>451566000</v>
      </c>
      <c r="C54" s="519">
        <v>76.3</v>
      </c>
      <c r="D54" s="519" t="s">
        <v>901</v>
      </c>
    </row>
    <row r="55" spans="1:4" x14ac:dyDescent="0.2">
      <c r="A55" s="519" t="s">
        <v>3955</v>
      </c>
      <c r="B55" s="519">
        <v>359500000</v>
      </c>
      <c r="C55" s="519">
        <v>64</v>
      </c>
      <c r="D55" s="519" t="s">
        <v>901</v>
      </c>
    </row>
    <row r="56" spans="1:4" x14ac:dyDescent="0.2">
      <c r="A56" s="519" t="s">
        <v>3956</v>
      </c>
      <c r="B56" s="519">
        <v>433963000</v>
      </c>
      <c r="C56" s="519">
        <v>76.150000000000006</v>
      </c>
      <c r="D56" s="519" t="s">
        <v>901</v>
      </c>
    </row>
    <row r="57" spans="1:4" x14ac:dyDescent="0.2">
      <c r="A57" s="519" t="s">
        <v>3957</v>
      </c>
      <c r="B57" s="519">
        <v>483650000</v>
      </c>
      <c r="C57" s="519">
        <v>75.5</v>
      </c>
      <c r="D57" s="519" t="s">
        <v>901</v>
      </c>
    </row>
    <row r="58" spans="1:4" x14ac:dyDescent="0.2">
      <c r="A58" s="519" t="s">
        <v>3958</v>
      </c>
      <c r="B58" s="519">
        <v>436806000</v>
      </c>
      <c r="C58" s="519">
        <v>76.3</v>
      </c>
      <c r="D58" s="519" t="s">
        <v>901</v>
      </c>
    </row>
    <row r="59" spans="1:4" x14ac:dyDescent="0.2">
      <c r="A59" s="519" t="s">
        <v>3959</v>
      </c>
      <c r="B59" s="519">
        <v>362560000</v>
      </c>
      <c r="C59" s="519">
        <v>64</v>
      </c>
      <c r="D59" s="519" t="s">
        <v>901</v>
      </c>
    </row>
    <row r="60" spans="1:4" x14ac:dyDescent="0.2">
      <c r="A60" s="519" t="s">
        <v>3960</v>
      </c>
      <c r="B60" s="519">
        <v>444362500</v>
      </c>
      <c r="C60" s="519">
        <v>76.150000000000006</v>
      </c>
      <c r="D60" s="519" t="s">
        <v>901</v>
      </c>
    </row>
    <row r="61" spans="1:4" x14ac:dyDescent="0.2">
      <c r="A61" s="519" t="s">
        <v>3961</v>
      </c>
      <c r="B61" s="519">
        <v>484150000</v>
      </c>
      <c r="C61" s="519">
        <v>75.5</v>
      </c>
      <c r="D61" s="519" t="s">
        <v>901</v>
      </c>
    </row>
    <row r="62" spans="1:4" x14ac:dyDescent="0.2">
      <c r="A62" s="519" t="s">
        <v>3962</v>
      </c>
      <c r="B62" s="519">
        <v>436304100</v>
      </c>
      <c r="C62" s="519">
        <v>76.3</v>
      </c>
      <c r="D62" s="519" t="s">
        <v>901</v>
      </c>
    </row>
    <row r="63" spans="1:4" x14ac:dyDescent="0.2">
      <c r="A63" s="519" t="s">
        <v>3963</v>
      </c>
      <c r="B63" s="519">
        <v>369460000</v>
      </c>
      <c r="C63" s="519">
        <v>64</v>
      </c>
      <c r="D63" s="519" t="s">
        <v>901</v>
      </c>
    </row>
    <row r="64" spans="1:4" x14ac:dyDescent="0.2">
      <c r="A64" s="519" t="s">
        <v>3964</v>
      </c>
      <c r="B64" s="519">
        <v>437085000</v>
      </c>
      <c r="C64" s="519">
        <v>75.5</v>
      </c>
      <c r="D64" s="519" t="s">
        <v>901</v>
      </c>
    </row>
    <row r="65" spans="1:4" x14ac:dyDescent="0.2">
      <c r="A65" s="519" t="s">
        <v>3965</v>
      </c>
      <c r="B65" s="519">
        <v>441621000</v>
      </c>
      <c r="C65" s="519">
        <v>76.3</v>
      </c>
      <c r="D65" s="519" t="s">
        <v>901</v>
      </c>
    </row>
    <row r="66" spans="1:4" x14ac:dyDescent="0.2">
      <c r="A66" s="519" t="s">
        <v>3966</v>
      </c>
      <c r="B66" s="519">
        <v>364503851</v>
      </c>
      <c r="C66" s="519">
        <v>64</v>
      </c>
      <c r="D66" s="519" t="s">
        <v>901</v>
      </c>
    </row>
    <row r="67" spans="1:4" x14ac:dyDescent="0.2">
      <c r="A67" s="519" t="s">
        <v>3967</v>
      </c>
      <c r="B67" s="519">
        <v>450693000</v>
      </c>
      <c r="C67" s="519">
        <v>76.150000000000006</v>
      </c>
      <c r="D67" s="519" t="s">
        <v>901</v>
      </c>
    </row>
    <row r="68" spans="1:4" x14ac:dyDescent="0.2">
      <c r="A68" s="519" t="s">
        <v>3968</v>
      </c>
      <c r="B68" s="519">
        <v>485150000</v>
      </c>
      <c r="C68" s="519">
        <v>75.5</v>
      </c>
      <c r="D68" s="519" t="s">
        <v>901</v>
      </c>
    </row>
    <row r="69" spans="1:4" x14ac:dyDescent="0.2">
      <c r="A69" s="519" t="s">
        <v>3969</v>
      </c>
      <c r="B69" s="519">
        <v>459237093</v>
      </c>
      <c r="C69" s="519">
        <v>76.3</v>
      </c>
      <c r="D69" s="519" t="s">
        <v>901</v>
      </c>
    </row>
    <row r="70" spans="1:4" x14ac:dyDescent="0.2">
      <c r="A70" s="519" t="s">
        <v>3970</v>
      </c>
      <c r="B70" s="519">
        <v>412700000</v>
      </c>
      <c r="C70" s="519">
        <v>64</v>
      </c>
      <c r="D70" s="519" t="s">
        <v>901</v>
      </c>
    </row>
    <row r="71" spans="1:4" x14ac:dyDescent="0.2">
      <c r="A71" s="519" t="s">
        <v>3971</v>
      </c>
      <c r="B71" s="519">
        <v>447101000</v>
      </c>
      <c r="C71" s="519">
        <v>76.150000000000006</v>
      </c>
      <c r="D71" s="519" t="s">
        <v>901</v>
      </c>
    </row>
    <row r="72" spans="1:4" x14ac:dyDescent="0.2">
      <c r="A72" s="519" t="s">
        <v>3972</v>
      </c>
      <c r="B72" s="519">
        <v>485650000</v>
      </c>
      <c r="C72" s="519">
        <v>75.5</v>
      </c>
      <c r="D72" s="519" t="s">
        <v>901</v>
      </c>
    </row>
    <row r="73" spans="1:4" x14ac:dyDescent="0.2">
      <c r="A73" s="519" t="s">
        <v>3973</v>
      </c>
      <c r="B73" s="519">
        <v>450251000</v>
      </c>
      <c r="C73" s="519">
        <v>76.3</v>
      </c>
      <c r="D73" s="519" t="s">
        <v>901</v>
      </c>
    </row>
    <row r="74" spans="1:4" x14ac:dyDescent="0.2">
      <c r="A74" s="519" t="s">
        <v>3974</v>
      </c>
      <c r="B74" s="519">
        <v>369680000</v>
      </c>
      <c r="C74" s="519">
        <v>64</v>
      </c>
      <c r="D74" s="519" t="s">
        <v>901</v>
      </c>
    </row>
    <row r="75" spans="1:4" x14ac:dyDescent="0.2">
      <c r="A75" s="519" t="s">
        <v>3975</v>
      </c>
      <c r="B75" s="519">
        <v>430371000</v>
      </c>
      <c r="C75" s="519">
        <v>76.150000000000006</v>
      </c>
      <c r="D75" s="519" t="s">
        <v>901</v>
      </c>
    </row>
    <row r="76" spans="1:4" x14ac:dyDescent="0.2">
      <c r="A76" s="519" t="s">
        <v>3976</v>
      </c>
      <c r="B76" s="519">
        <v>454566000</v>
      </c>
      <c r="C76" s="519">
        <v>76.3</v>
      </c>
      <c r="D76" s="519" t="s">
        <v>901</v>
      </c>
    </row>
    <row r="77" spans="1:4" x14ac:dyDescent="0.2">
      <c r="A77" s="519" t="s">
        <v>3977</v>
      </c>
      <c r="B77" s="519">
        <v>373380000</v>
      </c>
      <c r="C77" s="519">
        <v>64</v>
      </c>
      <c r="D77" s="519" t="s">
        <v>901</v>
      </c>
    </row>
    <row r="78" spans="1:4" x14ac:dyDescent="0.2">
      <c r="A78" s="519" t="s">
        <v>3978</v>
      </c>
      <c r="B78" s="519">
        <v>441458293</v>
      </c>
      <c r="C78" s="519">
        <v>76.150000000000006</v>
      </c>
      <c r="D78" s="519" t="s">
        <v>901</v>
      </c>
    </row>
    <row r="79" spans="1:4" x14ac:dyDescent="0.2">
      <c r="A79" s="519" t="s">
        <v>3979</v>
      </c>
      <c r="B79" s="519">
        <v>377800860</v>
      </c>
      <c r="C79" s="519">
        <v>64</v>
      </c>
      <c r="D79" s="519" t="s">
        <v>901</v>
      </c>
    </row>
    <row r="80" spans="1:4" x14ac:dyDescent="0.2">
      <c r="A80" s="519" t="s">
        <v>3980</v>
      </c>
      <c r="B80" s="519">
        <v>489245000</v>
      </c>
      <c r="C80" s="519">
        <v>76.150000000000006</v>
      </c>
      <c r="D80" s="519" t="s">
        <v>901</v>
      </c>
    </row>
    <row r="81" spans="1:4" x14ac:dyDescent="0.2">
      <c r="A81" s="519" t="s">
        <v>3981</v>
      </c>
      <c r="B81" s="519">
        <v>457368176</v>
      </c>
      <c r="C81" s="519">
        <v>76.3</v>
      </c>
      <c r="D81" s="519" t="s">
        <v>901</v>
      </c>
    </row>
    <row r="82" spans="1:4" x14ac:dyDescent="0.2">
      <c r="A82" s="519" t="s">
        <v>3982</v>
      </c>
      <c r="B82" s="519">
        <v>366060000</v>
      </c>
      <c r="C82" s="519">
        <v>64</v>
      </c>
      <c r="D82" s="519" t="s">
        <v>901</v>
      </c>
    </row>
    <row r="83" spans="1:4" x14ac:dyDescent="0.2">
      <c r="A83" s="519" t="s">
        <v>3983</v>
      </c>
      <c r="B83" s="519">
        <v>447101000</v>
      </c>
      <c r="C83" s="519">
        <v>76.150000000000006</v>
      </c>
      <c r="D83" s="519" t="s">
        <v>901</v>
      </c>
    </row>
    <row r="84" spans="1:4" x14ac:dyDescent="0.2">
      <c r="A84" s="519" t="s">
        <v>3917</v>
      </c>
      <c r="B84" s="519">
        <v>502978496</v>
      </c>
      <c r="C84" s="519">
        <v>75.5</v>
      </c>
      <c r="D84" s="519" t="s">
        <v>901</v>
      </c>
    </row>
    <row r="85" spans="1:4" x14ac:dyDescent="0.2">
      <c r="A85" s="519" t="s">
        <v>3984</v>
      </c>
      <c r="B85" s="519">
        <v>449962000</v>
      </c>
      <c r="C85" s="519">
        <v>76.3</v>
      </c>
      <c r="D85" s="519" t="s">
        <v>901</v>
      </c>
    </row>
    <row r="86" spans="1:4" x14ac:dyDescent="0.2">
      <c r="A86" s="519" t="s">
        <v>3985</v>
      </c>
      <c r="B86" s="519">
        <v>371680000</v>
      </c>
      <c r="C86" s="519">
        <v>64</v>
      </c>
      <c r="D86" s="519" t="s">
        <v>901</v>
      </c>
    </row>
    <row r="87" spans="1:4" x14ac:dyDescent="0.2">
      <c r="A87" s="519" t="s">
        <v>3986</v>
      </c>
      <c r="B87" s="519">
        <v>447601000</v>
      </c>
      <c r="C87" s="519">
        <v>76.150000000000006</v>
      </c>
      <c r="D87" s="519" t="s">
        <v>901</v>
      </c>
    </row>
    <row r="88" spans="1:4" x14ac:dyDescent="0.2">
      <c r="A88" s="519" t="s">
        <v>3987</v>
      </c>
      <c r="B88" s="519">
        <v>488150000</v>
      </c>
      <c r="C88" s="519">
        <v>75.5</v>
      </c>
      <c r="D88" s="519" t="s">
        <v>901</v>
      </c>
    </row>
    <row r="89" spans="1:4" x14ac:dyDescent="0.2">
      <c r="A89" s="519" t="s">
        <v>3988</v>
      </c>
      <c r="B89" s="519">
        <v>381780000</v>
      </c>
      <c r="C89" s="519">
        <v>64</v>
      </c>
      <c r="D89" s="519" t="s">
        <v>901</v>
      </c>
    </row>
    <row r="90" spans="1:4" x14ac:dyDescent="0.2">
      <c r="A90" s="519" t="s">
        <v>3989</v>
      </c>
      <c r="B90" s="519">
        <v>448862500</v>
      </c>
      <c r="C90" s="519">
        <v>76.150000000000006</v>
      </c>
      <c r="D90" s="519" t="s">
        <v>901</v>
      </c>
    </row>
    <row r="91" spans="1:4" x14ac:dyDescent="0.2">
      <c r="A91" s="519" t="s">
        <v>3990</v>
      </c>
      <c r="B91" s="519">
        <v>452410000</v>
      </c>
      <c r="C91" s="519">
        <v>75.5</v>
      </c>
      <c r="D91" s="519" t="s">
        <v>901</v>
      </c>
    </row>
    <row r="92" spans="1:4" x14ac:dyDescent="0.2">
      <c r="A92" s="519" t="s">
        <v>3991</v>
      </c>
      <c r="B92" s="519">
        <v>435702000</v>
      </c>
      <c r="C92" s="519">
        <v>76.3</v>
      </c>
      <c r="D92" s="519" t="s">
        <v>901</v>
      </c>
    </row>
    <row r="93" spans="1:4" x14ac:dyDescent="0.2">
      <c r="A93" s="519" t="s">
        <v>3992</v>
      </c>
      <c r="B93" s="519">
        <v>375880000</v>
      </c>
      <c r="C93" s="519">
        <v>64</v>
      </c>
      <c r="D93" s="519" t="s">
        <v>901</v>
      </c>
    </row>
    <row r="94" spans="1:4" x14ac:dyDescent="0.2">
      <c r="A94" s="519" t="s">
        <v>3993</v>
      </c>
      <c r="B94" s="519">
        <v>450124000</v>
      </c>
      <c r="C94" s="519">
        <v>76.150000000000006</v>
      </c>
      <c r="D94" s="519" t="s">
        <v>901</v>
      </c>
    </row>
    <row r="95" spans="1:4" x14ac:dyDescent="0.2">
      <c r="A95" s="519" t="s">
        <v>3994</v>
      </c>
      <c r="B95" s="519">
        <v>446870000</v>
      </c>
      <c r="C95" s="519">
        <v>75.5</v>
      </c>
      <c r="D95" s="519" t="s">
        <v>901</v>
      </c>
    </row>
    <row r="96" spans="1:4" x14ac:dyDescent="0.2">
      <c r="A96" s="519" t="s">
        <v>3995</v>
      </c>
      <c r="B96" s="519">
        <v>373353892</v>
      </c>
      <c r="C96" s="519">
        <v>64</v>
      </c>
      <c r="D96" s="519" t="s">
        <v>901</v>
      </c>
    </row>
    <row r="97" spans="1:4" x14ac:dyDescent="0.2">
      <c r="A97" s="519" t="s">
        <v>3996</v>
      </c>
      <c r="B97" s="519">
        <v>443770500</v>
      </c>
      <c r="C97" s="519">
        <v>76.150000000000006</v>
      </c>
      <c r="D97" s="519" t="s">
        <v>901</v>
      </c>
    </row>
    <row r="98" spans="1:4" x14ac:dyDescent="0.2">
      <c r="A98" s="519" t="s">
        <v>3997</v>
      </c>
      <c r="B98" s="519">
        <v>467109469</v>
      </c>
      <c r="C98" s="519">
        <v>75.5</v>
      </c>
      <c r="D98" s="519" t="s">
        <v>901</v>
      </c>
    </row>
    <row r="99" spans="1:4" x14ac:dyDescent="0.2">
      <c r="A99" s="519" t="s">
        <v>3998</v>
      </c>
      <c r="B99" s="519">
        <v>444516062</v>
      </c>
      <c r="C99" s="519">
        <v>76.3</v>
      </c>
      <c r="D99" s="519" t="s">
        <v>901</v>
      </c>
    </row>
    <row r="100" spans="1:4" x14ac:dyDescent="0.2">
      <c r="A100" s="519" t="s">
        <v>3999</v>
      </c>
      <c r="B100" s="519">
        <v>375875050</v>
      </c>
      <c r="C100" s="519">
        <v>64</v>
      </c>
      <c r="D100" s="519" t="s">
        <v>901</v>
      </c>
    </row>
    <row r="101" spans="1:4" x14ac:dyDescent="0.2">
      <c r="A101" s="519"/>
      <c r="B101" s="519"/>
      <c r="C101" s="519"/>
      <c r="D101" s="519"/>
    </row>
    <row r="102" spans="1:4" x14ac:dyDescent="0.2">
      <c r="A102" s="519" t="s">
        <v>1021</v>
      </c>
      <c r="B102" s="519">
        <v>25000000</v>
      </c>
      <c r="C102" s="519">
        <v>0</v>
      </c>
      <c r="D102" s="519" t="s">
        <v>61</v>
      </c>
    </row>
    <row r="103" spans="1:4" x14ac:dyDescent="0.2">
      <c r="A103" s="519" t="s">
        <v>1268</v>
      </c>
      <c r="B103" s="519">
        <v>25000000</v>
      </c>
      <c r="C103" s="519">
        <v>0</v>
      </c>
      <c r="D103" s="519" t="s">
        <v>61</v>
      </c>
    </row>
    <row r="104" spans="1:4" x14ac:dyDescent="0.2">
      <c r="A104" s="519" t="s">
        <v>1602</v>
      </c>
      <c r="B104" s="519">
        <v>25000000</v>
      </c>
      <c r="C104" s="519">
        <v>0</v>
      </c>
      <c r="D104" s="519" t="s">
        <v>61</v>
      </c>
    </row>
    <row r="105" spans="1:4" x14ac:dyDescent="0.2">
      <c r="A105" s="519" t="s">
        <v>2560</v>
      </c>
      <c r="B105" s="519">
        <v>25000000</v>
      </c>
      <c r="C105" s="519">
        <v>0</v>
      </c>
      <c r="D105" s="519" t="s">
        <v>61</v>
      </c>
    </row>
    <row r="106" spans="1:4" x14ac:dyDescent="0.2">
      <c r="A106" s="519" t="s">
        <v>1455</v>
      </c>
      <c r="B106" s="519">
        <v>25000000</v>
      </c>
      <c r="C106" s="519">
        <v>0</v>
      </c>
      <c r="D106" s="519" t="s">
        <v>61</v>
      </c>
    </row>
    <row r="107" spans="1:4" x14ac:dyDescent="0.2">
      <c r="A107" s="519" t="s">
        <v>1457</v>
      </c>
      <c r="B107" s="519">
        <v>25000000</v>
      </c>
      <c r="C107" s="519">
        <v>0</v>
      </c>
      <c r="D107" s="519" t="s">
        <v>61</v>
      </c>
    </row>
    <row r="108" spans="1:4" x14ac:dyDescent="0.2">
      <c r="A108" s="519" t="s">
        <v>2597</v>
      </c>
      <c r="B108" s="519">
        <v>25000000</v>
      </c>
      <c r="C108" s="519">
        <v>0</v>
      </c>
      <c r="D108" s="519" t="s">
        <v>61</v>
      </c>
    </row>
    <row r="109" spans="1:4" x14ac:dyDescent="0.2">
      <c r="A109" s="519" t="s">
        <v>1692</v>
      </c>
      <c r="B109" s="519">
        <v>25000000</v>
      </c>
      <c r="C109" s="519">
        <v>0</v>
      </c>
      <c r="D109" s="519" t="s">
        <v>61</v>
      </c>
    </row>
    <row r="110" spans="1:4" x14ac:dyDescent="0.2">
      <c r="A110" s="519" t="s">
        <v>4000</v>
      </c>
      <c r="B110" s="519">
        <v>25000000</v>
      </c>
      <c r="C110" s="519">
        <v>0</v>
      </c>
      <c r="D110" s="519" t="s">
        <v>901</v>
      </c>
    </row>
    <row r="111" spans="1:4" x14ac:dyDescent="0.2">
      <c r="A111" s="519" t="s">
        <v>4001</v>
      </c>
      <c r="B111" s="519">
        <v>37000000</v>
      </c>
      <c r="C111" s="519">
        <v>0</v>
      </c>
      <c r="D111" s="519" t="s">
        <v>901</v>
      </c>
    </row>
    <row r="112" spans="1:4" x14ac:dyDescent="0.2">
      <c r="A112" s="519" t="s">
        <v>2595</v>
      </c>
      <c r="B112" s="519">
        <v>25000000</v>
      </c>
      <c r="C112" s="519">
        <v>0</v>
      </c>
      <c r="D112" s="519" t="s">
        <v>901</v>
      </c>
    </row>
    <row r="113" spans="1:4" x14ac:dyDescent="0.2">
      <c r="A113" s="519" t="s">
        <v>4002</v>
      </c>
      <c r="B113" s="519">
        <v>25000000</v>
      </c>
      <c r="C113" s="519">
        <v>0</v>
      </c>
      <c r="D113" s="519" t="s">
        <v>901</v>
      </c>
    </row>
    <row r="114" spans="1:4" x14ac:dyDescent="0.2">
      <c r="A114" s="519" t="s">
        <v>4003</v>
      </c>
      <c r="B114" s="519">
        <v>25000000</v>
      </c>
      <c r="C114" s="519">
        <v>0</v>
      </c>
      <c r="D114" s="519" t="s">
        <v>901</v>
      </c>
    </row>
    <row r="115" spans="1:4" x14ac:dyDescent="0.2">
      <c r="A115" s="519" t="s">
        <v>4004</v>
      </c>
      <c r="B115" s="519">
        <v>25000000</v>
      </c>
      <c r="C115" s="519">
        <v>0</v>
      </c>
      <c r="D115" s="519" t="s">
        <v>901</v>
      </c>
    </row>
    <row r="116" spans="1:4" x14ac:dyDescent="0.2">
      <c r="A116" s="519" t="s">
        <v>4350</v>
      </c>
      <c r="B116" s="519">
        <v>25000000</v>
      </c>
      <c r="C116" s="519">
        <v>0</v>
      </c>
      <c r="D116" s="519" t="s">
        <v>901</v>
      </c>
    </row>
    <row r="117" spans="1:4" x14ac:dyDescent="0.2">
      <c r="A117" s="519" t="s">
        <v>3317</v>
      </c>
      <c r="B117" s="519">
        <v>25000000</v>
      </c>
      <c r="C117" s="519">
        <v>0</v>
      </c>
      <c r="D117" s="519" t="s">
        <v>901</v>
      </c>
    </row>
    <row r="118" spans="1:4" x14ac:dyDescent="0.2">
      <c r="A118" s="519" t="s">
        <v>3318</v>
      </c>
      <c r="B118" s="519">
        <v>25000000</v>
      </c>
      <c r="C118" s="519">
        <v>0</v>
      </c>
      <c r="D118" s="519" t="s">
        <v>901</v>
      </c>
    </row>
    <row r="119" spans="1:4" x14ac:dyDescent="0.2">
      <c r="A119" s="519" t="s">
        <v>2643</v>
      </c>
      <c r="B119" s="519">
        <v>25000000</v>
      </c>
      <c r="C119" s="519">
        <v>0</v>
      </c>
      <c r="D119" s="519" t="s">
        <v>901</v>
      </c>
    </row>
    <row r="120" spans="1:4" x14ac:dyDescent="0.2">
      <c r="A120" s="519" t="s">
        <v>1498</v>
      </c>
      <c r="B120" s="519">
        <v>25000000</v>
      </c>
      <c r="C120" s="519">
        <v>0</v>
      </c>
      <c r="D120" s="519" t="s">
        <v>901</v>
      </c>
    </row>
    <row r="121" spans="1:4" x14ac:dyDescent="0.2">
      <c r="A121" s="519" t="s">
        <v>1269</v>
      </c>
      <c r="B121" s="519">
        <v>25000000</v>
      </c>
      <c r="C121" s="519">
        <v>0</v>
      </c>
      <c r="D121" s="519" t="s">
        <v>901</v>
      </c>
    </row>
    <row r="122" spans="1:4" x14ac:dyDescent="0.2">
      <c r="A122" s="519" t="s">
        <v>1270</v>
      </c>
      <c r="B122" s="519">
        <v>25000000</v>
      </c>
      <c r="C122" s="519">
        <v>0</v>
      </c>
      <c r="D122" s="519" t="s">
        <v>901</v>
      </c>
    </row>
    <row r="123" spans="1:4" x14ac:dyDescent="0.2">
      <c r="A123" s="519" t="s">
        <v>3100</v>
      </c>
      <c r="B123" s="519">
        <v>25000000</v>
      </c>
      <c r="C123" s="519">
        <v>0</v>
      </c>
      <c r="D123" s="519" t="s">
        <v>901</v>
      </c>
    </row>
    <row r="124" spans="1:4" x14ac:dyDescent="0.2">
      <c r="A124" s="519" t="s">
        <v>2232</v>
      </c>
      <c r="B124" s="519">
        <v>25000000</v>
      </c>
      <c r="C124" s="519">
        <v>0</v>
      </c>
      <c r="D124" s="519" t="s">
        <v>901</v>
      </c>
    </row>
    <row r="125" spans="1:4" x14ac:dyDescent="0.2">
      <c r="A125" s="519" t="s">
        <v>2301</v>
      </c>
      <c r="B125" s="519">
        <v>25000000</v>
      </c>
      <c r="C125" s="519">
        <v>0</v>
      </c>
      <c r="D125" s="519" t="s">
        <v>901</v>
      </c>
    </row>
    <row r="126" spans="1:4" x14ac:dyDescent="0.2">
      <c r="A126" s="519" t="s">
        <v>1565</v>
      </c>
      <c r="B126" s="519">
        <v>25000000</v>
      </c>
      <c r="C126" s="519">
        <v>0</v>
      </c>
      <c r="D126" s="519" t="s">
        <v>901</v>
      </c>
    </row>
    <row r="127" spans="1:4" x14ac:dyDescent="0.2">
      <c r="A127" s="519" t="s">
        <v>1751</v>
      </c>
      <c r="B127" s="519">
        <v>25000000</v>
      </c>
      <c r="C127" s="519">
        <v>0</v>
      </c>
      <c r="D127" s="519" t="s">
        <v>901</v>
      </c>
    </row>
    <row r="128" spans="1:4" x14ac:dyDescent="0.2">
      <c r="A128" s="519" t="s">
        <v>1752</v>
      </c>
      <c r="B128" s="519">
        <v>25000000</v>
      </c>
      <c r="C128" s="519">
        <v>0</v>
      </c>
      <c r="D128" s="519" t="s">
        <v>901</v>
      </c>
    </row>
    <row r="129" spans="1:4" x14ac:dyDescent="0.2">
      <c r="A129" s="519" t="s">
        <v>1020</v>
      </c>
      <c r="B129" s="519">
        <v>25000000</v>
      </c>
      <c r="C129" s="519">
        <v>0</v>
      </c>
      <c r="D129" s="519" t="s">
        <v>901</v>
      </c>
    </row>
    <row r="130" spans="1:4" x14ac:dyDescent="0.2">
      <c r="A130" s="519" t="s">
        <v>925</v>
      </c>
      <c r="B130" s="519">
        <v>25000000</v>
      </c>
      <c r="C130" s="519">
        <v>0</v>
      </c>
      <c r="D130" s="519" t="s">
        <v>901</v>
      </c>
    </row>
    <row r="131" spans="1:4" x14ac:dyDescent="0.2">
      <c r="A131" s="519" t="s">
        <v>1345</v>
      </c>
      <c r="B131" s="519">
        <v>25000000</v>
      </c>
      <c r="C131" s="519">
        <v>0</v>
      </c>
      <c r="D131" s="519" t="s">
        <v>901</v>
      </c>
    </row>
    <row r="132" spans="1:4" x14ac:dyDescent="0.2">
      <c r="A132" s="519" t="s">
        <v>1453</v>
      </c>
      <c r="B132" s="519">
        <v>25000000</v>
      </c>
      <c r="C132" s="519">
        <v>0</v>
      </c>
      <c r="D132" s="519" t="s">
        <v>901</v>
      </c>
    </row>
    <row r="133" spans="1:4" x14ac:dyDescent="0.2">
      <c r="A133" s="519" t="s">
        <v>1566</v>
      </c>
      <c r="B133" s="519">
        <v>25000000</v>
      </c>
      <c r="C133" s="519">
        <v>0</v>
      </c>
      <c r="D133" s="519" t="s">
        <v>901</v>
      </c>
    </row>
    <row r="134" spans="1:4" x14ac:dyDescent="0.2">
      <c r="A134" s="519" t="s">
        <v>1543</v>
      </c>
      <c r="B134" s="519">
        <v>25000000</v>
      </c>
      <c r="C134" s="519">
        <v>0</v>
      </c>
      <c r="D134" s="519" t="s">
        <v>901</v>
      </c>
    </row>
    <row r="135" spans="1:4" x14ac:dyDescent="0.2">
      <c r="A135" s="519" t="s">
        <v>1271</v>
      </c>
      <c r="B135" s="519">
        <v>25000000</v>
      </c>
      <c r="C135" s="519">
        <v>0</v>
      </c>
      <c r="D135" s="519" t="s">
        <v>901</v>
      </c>
    </row>
    <row r="136" spans="1:4" x14ac:dyDescent="0.2">
      <c r="A136" s="519" t="s">
        <v>1544</v>
      </c>
      <c r="B136" s="519">
        <v>25000000</v>
      </c>
      <c r="C136" s="519">
        <v>0</v>
      </c>
      <c r="D136" s="519" t="s">
        <v>901</v>
      </c>
    </row>
    <row r="137" spans="1:4" x14ac:dyDescent="0.2">
      <c r="A137" s="519" t="s">
        <v>1583</v>
      </c>
      <c r="B137" s="519">
        <v>25000000</v>
      </c>
      <c r="C137" s="519">
        <v>0</v>
      </c>
      <c r="D137" s="519" t="s">
        <v>901</v>
      </c>
    </row>
    <row r="138" spans="1:4" x14ac:dyDescent="0.2">
      <c r="A138" s="519" t="s">
        <v>1620</v>
      </c>
      <c r="B138" s="519">
        <v>25000000</v>
      </c>
      <c r="C138" s="519">
        <v>0</v>
      </c>
      <c r="D138" s="519" t="s">
        <v>901</v>
      </c>
    </row>
    <row r="139" spans="1:4" x14ac:dyDescent="0.2">
      <c r="A139" s="519" t="s">
        <v>1584</v>
      </c>
      <c r="B139" s="519">
        <v>25000000</v>
      </c>
      <c r="C139" s="519">
        <v>0</v>
      </c>
      <c r="D139" s="519" t="s">
        <v>901</v>
      </c>
    </row>
    <row r="140" spans="1:4" x14ac:dyDescent="0.2">
      <c r="A140" s="519" t="s">
        <v>1585</v>
      </c>
      <c r="B140" s="519">
        <v>25000000</v>
      </c>
      <c r="C140" s="519">
        <v>0</v>
      </c>
      <c r="D140" s="519" t="s">
        <v>901</v>
      </c>
    </row>
    <row r="141" spans="1:4" x14ac:dyDescent="0.2">
      <c r="A141" s="519" t="s">
        <v>1426</v>
      </c>
      <c r="B141" s="519">
        <v>25000000</v>
      </c>
      <c r="C141" s="519">
        <v>0</v>
      </c>
      <c r="D141" s="519" t="s">
        <v>901</v>
      </c>
    </row>
    <row r="142" spans="1:4" x14ac:dyDescent="0.2">
      <c r="A142" s="519" t="s">
        <v>2596</v>
      </c>
      <c r="B142" s="519">
        <v>25000000</v>
      </c>
      <c r="C142" s="519">
        <v>0</v>
      </c>
      <c r="D142" s="519" t="s">
        <v>901</v>
      </c>
    </row>
    <row r="143" spans="1:4" x14ac:dyDescent="0.2">
      <c r="A143" s="519" t="s">
        <v>1730</v>
      </c>
      <c r="B143" s="519">
        <v>25000000</v>
      </c>
      <c r="C143" s="519">
        <v>0</v>
      </c>
      <c r="D143" s="519" t="s">
        <v>901</v>
      </c>
    </row>
    <row r="144" spans="1:4" x14ac:dyDescent="0.2">
      <c r="A144" s="519" t="s">
        <v>1272</v>
      </c>
      <c r="B144" s="519">
        <v>25000000</v>
      </c>
      <c r="C144" s="519">
        <v>0</v>
      </c>
      <c r="D144" s="519" t="s">
        <v>901</v>
      </c>
    </row>
    <row r="145" spans="1:4" x14ac:dyDescent="0.2">
      <c r="A145" s="519" t="s">
        <v>1454</v>
      </c>
      <c r="B145" s="519">
        <v>25000000</v>
      </c>
      <c r="C145" s="519">
        <v>0</v>
      </c>
      <c r="D145" s="519" t="s">
        <v>901</v>
      </c>
    </row>
    <row r="146" spans="1:4" x14ac:dyDescent="0.2">
      <c r="A146" s="519" t="s">
        <v>1499</v>
      </c>
      <c r="B146" s="519">
        <v>25000000</v>
      </c>
      <c r="C146" s="519">
        <v>0</v>
      </c>
      <c r="D146" s="519" t="s">
        <v>901</v>
      </c>
    </row>
    <row r="147" spans="1:4" x14ac:dyDescent="0.2">
      <c r="A147" s="519" t="s">
        <v>1370</v>
      </c>
      <c r="B147" s="519">
        <v>25000000</v>
      </c>
      <c r="C147" s="519">
        <v>0</v>
      </c>
      <c r="D147" s="519" t="s">
        <v>901</v>
      </c>
    </row>
    <row r="148" spans="1:4" x14ac:dyDescent="0.2">
      <c r="A148" s="519" t="s">
        <v>1273</v>
      </c>
      <c r="B148" s="519">
        <v>25000000</v>
      </c>
      <c r="C148" s="519">
        <v>0</v>
      </c>
      <c r="D148" s="519" t="s">
        <v>901</v>
      </c>
    </row>
    <row r="149" spans="1:4" x14ac:dyDescent="0.2">
      <c r="A149" s="519" t="s">
        <v>1586</v>
      </c>
      <c r="B149" s="519">
        <v>25000000</v>
      </c>
      <c r="C149" s="519">
        <v>0</v>
      </c>
      <c r="D149" s="519" t="s">
        <v>901</v>
      </c>
    </row>
    <row r="150" spans="1:4" x14ac:dyDescent="0.2">
      <c r="A150" s="519" t="s">
        <v>1500</v>
      </c>
      <c r="B150" s="519">
        <v>25000000</v>
      </c>
      <c r="C150" s="519">
        <v>0</v>
      </c>
      <c r="D150" s="519" t="s">
        <v>901</v>
      </c>
    </row>
    <row r="151" spans="1:4" x14ac:dyDescent="0.2">
      <c r="A151" s="519" t="s">
        <v>1427</v>
      </c>
      <c r="B151" s="519">
        <v>25000000</v>
      </c>
      <c r="C151" s="519">
        <v>0</v>
      </c>
      <c r="D151" s="519" t="s">
        <v>901</v>
      </c>
    </row>
    <row r="152" spans="1:4" x14ac:dyDescent="0.2">
      <c r="A152" s="519" t="s">
        <v>1731</v>
      </c>
      <c r="B152" s="519">
        <v>25000000</v>
      </c>
      <c r="C152" s="519">
        <v>0</v>
      </c>
      <c r="D152" s="519" t="s">
        <v>901</v>
      </c>
    </row>
    <row r="153" spans="1:4" x14ac:dyDescent="0.2">
      <c r="A153" s="519" t="s">
        <v>1274</v>
      </c>
      <c r="B153" s="519">
        <v>25000000</v>
      </c>
      <c r="C153" s="519">
        <v>0</v>
      </c>
      <c r="D153" s="519" t="s">
        <v>901</v>
      </c>
    </row>
    <row r="154" spans="1:4" x14ac:dyDescent="0.2">
      <c r="A154" s="519" t="s">
        <v>2561</v>
      </c>
      <c r="B154" s="519">
        <v>25000000</v>
      </c>
      <c r="C154" s="519">
        <v>0</v>
      </c>
      <c r="D154" s="519" t="s">
        <v>901</v>
      </c>
    </row>
    <row r="155" spans="1:4" x14ac:dyDescent="0.2">
      <c r="A155" s="519" t="s">
        <v>1690</v>
      </c>
      <c r="B155" s="519">
        <v>25000000</v>
      </c>
      <c r="C155" s="519">
        <v>0</v>
      </c>
      <c r="D155" s="519" t="s">
        <v>901</v>
      </c>
    </row>
    <row r="156" spans="1:4" x14ac:dyDescent="0.2">
      <c r="A156" s="519" t="s">
        <v>1275</v>
      </c>
      <c r="B156" s="519">
        <v>25000000</v>
      </c>
      <c r="C156" s="519">
        <v>0</v>
      </c>
      <c r="D156" s="519" t="s">
        <v>901</v>
      </c>
    </row>
    <row r="157" spans="1:4" x14ac:dyDescent="0.2">
      <c r="A157" s="519" t="s">
        <v>1517</v>
      </c>
      <c r="B157" s="519">
        <v>25000000</v>
      </c>
      <c r="C157" s="519">
        <v>0</v>
      </c>
      <c r="D157" s="519" t="s">
        <v>901</v>
      </c>
    </row>
    <row r="158" spans="1:4" x14ac:dyDescent="0.2">
      <c r="A158" s="519" t="s">
        <v>1501</v>
      </c>
      <c r="B158" s="519">
        <v>25000000</v>
      </c>
      <c r="C158" s="519">
        <v>0</v>
      </c>
      <c r="D158" s="519" t="s">
        <v>901</v>
      </c>
    </row>
    <row r="159" spans="1:4" x14ac:dyDescent="0.2">
      <c r="A159" s="519" t="s">
        <v>1545</v>
      </c>
      <c r="B159" s="519">
        <v>25000000</v>
      </c>
      <c r="C159" s="519">
        <v>0</v>
      </c>
      <c r="D159" s="519" t="s">
        <v>901</v>
      </c>
    </row>
    <row r="160" spans="1:4" x14ac:dyDescent="0.2">
      <c r="A160" s="519" t="s">
        <v>1456</v>
      </c>
      <c r="B160" s="519">
        <v>25000000</v>
      </c>
      <c r="C160" s="519">
        <v>0</v>
      </c>
      <c r="D160" s="519" t="s">
        <v>901</v>
      </c>
    </row>
    <row r="161" spans="1:4" x14ac:dyDescent="0.2">
      <c r="A161" s="519" t="s">
        <v>1732</v>
      </c>
      <c r="B161" s="519">
        <v>25000000</v>
      </c>
      <c r="C161" s="519">
        <v>0</v>
      </c>
      <c r="D161" s="519" t="s">
        <v>901</v>
      </c>
    </row>
    <row r="162" spans="1:4" x14ac:dyDescent="0.2">
      <c r="A162" s="519" t="s">
        <v>1371</v>
      </c>
      <c r="B162" s="519">
        <v>25000000</v>
      </c>
      <c r="C162" s="519">
        <v>0</v>
      </c>
      <c r="D162" s="519" t="s">
        <v>901</v>
      </c>
    </row>
    <row r="163" spans="1:4" x14ac:dyDescent="0.2">
      <c r="A163" s="519" t="s">
        <v>1555</v>
      </c>
      <c r="B163" s="519">
        <v>25000000</v>
      </c>
      <c r="C163" s="519">
        <v>0</v>
      </c>
      <c r="D163" s="519" t="s">
        <v>901</v>
      </c>
    </row>
    <row r="164" spans="1:4" x14ac:dyDescent="0.2">
      <c r="A164" s="519" t="s">
        <v>1603</v>
      </c>
      <c r="B164" s="519">
        <v>25000000</v>
      </c>
      <c r="C164" s="519">
        <v>0</v>
      </c>
      <c r="D164" s="519" t="s">
        <v>901</v>
      </c>
    </row>
    <row r="165" spans="1:4" x14ac:dyDescent="0.2">
      <c r="A165" s="519" t="s">
        <v>1518</v>
      </c>
      <c r="B165" s="519">
        <v>25000000</v>
      </c>
      <c r="C165" s="519">
        <v>0</v>
      </c>
      <c r="D165" s="519" t="s">
        <v>901</v>
      </c>
    </row>
    <row r="166" spans="1:4" x14ac:dyDescent="0.2">
      <c r="A166" s="519" t="s">
        <v>2302</v>
      </c>
      <c r="B166" s="519">
        <v>25000000</v>
      </c>
      <c r="C166" s="519">
        <v>0</v>
      </c>
      <c r="D166" s="519" t="s">
        <v>901</v>
      </c>
    </row>
    <row r="167" spans="1:4" x14ac:dyDescent="0.2">
      <c r="A167" s="519" t="s">
        <v>1733</v>
      </c>
      <c r="B167" s="519">
        <v>25000000</v>
      </c>
      <c r="C167" s="519">
        <v>0</v>
      </c>
      <c r="D167" s="519" t="s">
        <v>901</v>
      </c>
    </row>
    <row r="168" spans="1:4" x14ac:dyDescent="0.2">
      <c r="A168" s="519" t="s">
        <v>1604</v>
      </c>
      <c r="B168" s="519">
        <v>25000000</v>
      </c>
      <c r="C168" s="519">
        <v>0</v>
      </c>
      <c r="D168" s="519" t="s">
        <v>901</v>
      </c>
    </row>
    <row r="169" spans="1:4" x14ac:dyDescent="0.2">
      <c r="A169" s="519" t="s">
        <v>1502</v>
      </c>
      <c r="B169" s="519">
        <v>25000000</v>
      </c>
      <c r="C169" s="519">
        <v>0</v>
      </c>
      <c r="D169" s="519" t="s">
        <v>901</v>
      </c>
    </row>
    <row r="170" spans="1:4" x14ac:dyDescent="0.2">
      <c r="A170" s="519" t="s">
        <v>2562</v>
      </c>
      <c r="B170" s="519">
        <v>25000000</v>
      </c>
      <c r="C170" s="519">
        <v>0</v>
      </c>
      <c r="D170" s="519" t="s">
        <v>901</v>
      </c>
    </row>
    <row r="171" spans="1:4" x14ac:dyDescent="0.2">
      <c r="A171" s="519" t="s">
        <v>1691</v>
      </c>
      <c r="B171" s="519">
        <v>25000000</v>
      </c>
      <c r="C171" s="519">
        <v>0</v>
      </c>
      <c r="D171" s="519" t="s">
        <v>901</v>
      </c>
    </row>
    <row r="172" spans="1:4" x14ac:dyDescent="0.2">
      <c r="A172" s="519" t="s">
        <v>1605</v>
      </c>
      <c r="B172" s="519">
        <v>25000000</v>
      </c>
      <c r="C172" s="519">
        <v>0</v>
      </c>
      <c r="D172" s="519" t="s">
        <v>901</v>
      </c>
    </row>
    <row r="173" spans="1:4" x14ac:dyDescent="0.2">
      <c r="A173" s="519" t="s">
        <v>2563</v>
      </c>
      <c r="B173" s="519">
        <v>25000000</v>
      </c>
      <c r="C173" s="519">
        <v>0</v>
      </c>
      <c r="D173" s="519" t="s">
        <v>901</v>
      </c>
    </row>
    <row r="174" spans="1:4" x14ac:dyDescent="0.2">
      <c r="A174" s="519" t="s">
        <v>1503</v>
      </c>
      <c r="B174" s="519">
        <v>25000000</v>
      </c>
      <c r="C174" s="519">
        <v>0</v>
      </c>
      <c r="D174" s="519" t="s">
        <v>901</v>
      </c>
    </row>
    <row r="175" spans="1:4" x14ac:dyDescent="0.2">
      <c r="A175" s="519" t="s">
        <v>1546</v>
      </c>
      <c r="B175" s="519">
        <v>25000000</v>
      </c>
      <c r="C175" s="519">
        <v>0</v>
      </c>
      <c r="D175" s="519" t="s">
        <v>901</v>
      </c>
    </row>
    <row r="176" spans="1:4" x14ac:dyDescent="0.2">
      <c r="A176" s="519" t="s">
        <v>1621</v>
      </c>
      <c r="B176" s="519">
        <v>25000000</v>
      </c>
      <c r="C176" s="519">
        <v>0</v>
      </c>
      <c r="D176" s="519" t="s">
        <v>901</v>
      </c>
    </row>
    <row r="177" spans="1:5" x14ac:dyDescent="0.2">
      <c r="A177" s="519" t="s">
        <v>1519</v>
      </c>
      <c r="B177" s="519">
        <v>25000000</v>
      </c>
      <c r="C177" s="519">
        <v>0</v>
      </c>
      <c r="D177" s="519" t="s">
        <v>901</v>
      </c>
    </row>
    <row r="178" spans="1:5" x14ac:dyDescent="0.2">
      <c r="A178" s="519" t="s">
        <v>1520</v>
      </c>
      <c r="B178" s="519">
        <v>25000000</v>
      </c>
      <c r="C178" s="519">
        <v>0</v>
      </c>
      <c r="D178" s="519" t="s">
        <v>901</v>
      </c>
    </row>
    <row r="179" spans="1:5" x14ac:dyDescent="0.2">
      <c r="A179" s="519" t="s">
        <v>1734</v>
      </c>
      <c r="B179" s="519">
        <v>25000000</v>
      </c>
      <c r="C179" s="519">
        <v>0</v>
      </c>
      <c r="D179" s="519" t="s">
        <v>901</v>
      </c>
    </row>
    <row r="180" spans="1:5" x14ac:dyDescent="0.2">
      <c r="A180" s="519" t="s">
        <v>1735</v>
      </c>
      <c r="B180" s="519">
        <v>25000000</v>
      </c>
      <c r="C180" s="519">
        <v>0</v>
      </c>
      <c r="D180" s="519" t="s">
        <v>901</v>
      </c>
    </row>
    <row r="181" spans="1:5" x14ac:dyDescent="0.2">
      <c r="A181" s="519" t="s">
        <v>1547</v>
      </c>
      <c r="B181" s="519">
        <v>25000000</v>
      </c>
      <c r="C181" s="519">
        <v>0</v>
      </c>
      <c r="D181" s="519" t="s">
        <v>901</v>
      </c>
      <c r="E181" s="549"/>
    </row>
    <row r="182" spans="1:5" x14ac:dyDescent="0.2">
      <c r="A182" s="519" t="s">
        <v>1372</v>
      </c>
      <c r="B182" s="519">
        <v>25000000</v>
      </c>
      <c r="C182" s="519">
        <v>0</v>
      </c>
      <c r="D182" s="519" t="s">
        <v>901</v>
      </c>
    </row>
    <row r="183" spans="1:5" x14ac:dyDescent="0.2">
      <c r="A183" s="519" t="s">
        <v>1587</v>
      </c>
      <c r="B183" s="519">
        <v>25000000</v>
      </c>
      <c r="C183" s="519">
        <v>0</v>
      </c>
      <c r="D183" s="519" t="s">
        <v>901</v>
      </c>
    </row>
    <row r="184" spans="1:5" x14ac:dyDescent="0.2">
      <c r="A184" s="519" t="s">
        <v>1458</v>
      </c>
      <c r="B184" s="519">
        <v>25000000</v>
      </c>
      <c r="C184" s="519">
        <v>0</v>
      </c>
      <c r="D184" s="519" t="s">
        <v>901</v>
      </c>
    </row>
    <row r="185" spans="1:5" x14ac:dyDescent="0.2">
      <c r="A185" s="519" t="s">
        <v>1753</v>
      </c>
      <c r="B185" s="519">
        <v>25000000</v>
      </c>
      <c r="C185" s="519">
        <v>0</v>
      </c>
      <c r="D185" s="519" t="s">
        <v>901</v>
      </c>
    </row>
    <row r="186" spans="1:5" x14ac:dyDescent="0.2">
      <c r="A186" s="519" t="s">
        <v>1276</v>
      </c>
      <c r="B186" s="519">
        <v>24000000</v>
      </c>
      <c r="C186" s="519">
        <v>0</v>
      </c>
      <c r="D186" s="519" t="s">
        <v>901</v>
      </c>
    </row>
    <row r="187" spans="1:5" x14ac:dyDescent="0.2">
      <c r="A187" s="519" t="s">
        <v>1736</v>
      </c>
      <c r="B187" s="519">
        <v>25000000</v>
      </c>
      <c r="C187" s="519">
        <v>0</v>
      </c>
      <c r="D187" s="519" t="s">
        <v>901</v>
      </c>
    </row>
    <row r="188" spans="1:5" x14ac:dyDescent="0.2">
      <c r="A188" s="519" t="s">
        <v>2233</v>
      </c>
      <c r="B188" s="519">
        <v>24000000</v>
      </c>
      <c r="C188" s="519">
        <v>0</v>
      </c>
      <c r="D188" s="519" t="s">
        <v>901</v>
      </c>
    </row>
    <row r="189" spans="1:5" x14ac:dyDescent="0.2">
      <c r="A189" s="519" t="s">
        <v>1277</v>
      </c>
      <c r="B189" s="519">
        <v>25000000</v>
      </c>
      <c r="C189" s="519">
        <v>0</v>
      </c>
      <c r="D189" s="519" t="s">
        <v>901</v>
      </c>
    </row>
    <row r="190" spans="1:5" x14ac:dyDescent="0.2">
      <c r="A190" s="519" t="s">
        <v>1504</v>
      </c>
      <c r="B190" s="519">
        <v>25000000</v>
      </c>
      <c r="C190" s="519">
        <v>0</v>
      </c>
      <c r="D190" s="519" t="s">
        <v>901</v>
      </c>
    </row>
    <row r="191" spans="1:5" x14ac:dyDescent="0.2">
      <c r="A191" s="519" t="s">
        <v>2564</v>
      </c>
      <c r="B191" s="519">
        <v>25000000</v>
      </c>
      <c r="C191" s="519">
        <v>0</v>
      </c>
      <c r="D191" s="519" t="s">
        <v>901</v>
      </c>
    </row>
    <row r="192" spans="1:5" x14ac:dyDescent="0.2">
      <c r="A192" s="519" t="s">
        <v>1567</v>
      </c>
      <c r="B192" s="519">
        <v>25000000</v>
      </c>
      <c r="C192" s="519">
        <v>0</v>
      </c>
      <c r="D192" s="519" t="s">
        <v>901</v>
      </c>
    </row>
    <row r="193" spans="1:4" x14ac:dyDescent="0.2">
      <c r="A193" s="519"/>
      <c r="B193" s="519"/>
      <c r="C193" s="519"/>
      <c r="D193" s="519"/>
    </row>
    <row r="194" spans="1:4" x14ac:dyDescent="0.2">
      <c r="A194" s="519" t="s">
        <v>936</v>
      </c>
      <c r="B194" s="519">
        <v>5000000</v>
      </c>
      <c r="C194" s="519">
        <v>0</v>
      </c>
      <c r="D194" s="519" t="s">
        <v>61</v>
      </c>
    </row>
    <row r="195" spans="1:4" x14ac:dyDescent="0.2">
      <c r="A195" s="519" t="s">
        <v>938</v>
      </c>
      <c r="B195" s="519">
        <v>5000000</v>
      </c>
      <c r="C195" s="519">
        <v>0</v>
      </c>
      <c r="D195" s="519" t="s">
        <v>61</v>
      </c>
    </row>
    <row r="196" spans="1:4" x14ac:dyDescent="0.2">
      <c r="A196" s="519" t="s">
        <v>1041</v>
      </c>
      <c r="B196" s="519">
        <v>5000000</v>
      </c>
      <c r="C196" s="519">
        <v>0</v>
      </c>
      <c r="D196" s="519" t="s">
        <v>61</v>
      </c>
    </row>
    <row r="197" spans="1:4" x14ac:dyDescent="0.2">
      <c r="A197" s="519" t="s">
        <v>1606</v>
      </c>
      <c r="B197" s="519">
        <v>5000000</v>
      </c>
      <c r="C197" s="519">
        <v>0</v>
      </c>
      <c r="D197" s="519" t="s">
        <v>61</v>
      </c>
    </row>
    <row r="198" spans="1:4" x14ac:dyDescent="0.2">
      <c r="A198" s="519" t="s">
        <v>2565</v>
      </c>
      <c r="B198" s="519">
        <v>5000000</v>
      </c>
      <c r="C198" s="519">
        <v>0</v>
      </c>
      <c r="D198" s="519" t="s">
        <v>61</v>
      </c>
    </row>
    <row r="199" spans="1:4" x14ac:dyDescent="0.2">
      <c r="A199" s="519" t="s">
        <v>1461</v>
      </c>
      <c r="B199" s="519">
        <v>5000000</v>
      </c>
      <c r="C199" s="519">
        <v>0</v>
      </c>
      <c r="D199" s="519" t="s">
        <v>61</v>
      </c>
    </row>
    <row r="200" spans="1:4" x14ac:dyDescent="0.2">
      <c r="A200" s="519" t="s">
        <v>1463</v>
      </c>
      <c r="B200" s="519">
        <v>5000000</v>
      </c>
      <c r="C200" s="519">
        <v>0</v>
      </c>
      <c r="D200" s="519" t="s">
        <v>61</v>
      </c>
    </row>
    <row r="201" spans="1:4" x14ac:dyDescent="0.2">
      <c r="A201" s="519" t="s">
        <v>2600</v>
      </c>
      <c r="B201" s="519">
        <v>5000000</v>
      </c>
      <c r="C201" s="519">
        <v>0</v>
      </c>
      <c r="D201" s="519" t="s">
        <v>61</v>
      </c>
    </row>
    <row r="202" spans="1:4" x14ac:dyDescent="0.2">
      <c r="A202" s="519" t="s">
        <v>1695</v>
      </c>
      <c r="B202" s="519">
        <v>5000000</v>
      </c>
      <c r="C202" s="519">
        <v>0</v>
      </c>
      <c r="D202" s="519" t="s">
        <v>61</v>
      </c>
    </row>
    <row r="203" spans="1:4" x14ac:dyDescent="0.2">
      <c r="A203" s="519" t="s">
        <v>3897</v>
      </c>
      <c r="B203" s="519">
        <v>5000000</v>
      </c>
      <c r="C203" s="519">
        <v>0</v>
      </c>
      <c r="D203" s="519" t="s">
        <v>901</v>
      </c>
    </row>
    <row r="204" spans="1:4" x14ac:dyDescent="0.2">
      <c r="A204" s="519" t="s">
        <v>4005</v>
      </c>
      <c r="B204" s="519">
        <v>5000000</v>
      </c>
      <c r="C204" s="519">
        <v>0</v>
      </c>
      <c r="D204" s="519" t="s">
        <v>901</v>
      </c>
    </row>
    <row r="205" spans="1:4" x14ac:dyDescent="0.2">
      <c r="A205" s="519" t="s">
        <v>2598</v>
      </c>
      <c r="B205" s="519">
        <v>5000000</v>
      </c>
      <c r="C205" s="519">
        <v>0</v>
      </c>
      <c r="D205" s="519" t="s">
        <v>901</v>
      </c>
    </row>
    <row r="206" spans="1:4" x14ac:dyDescent="0.2">
      <c r="A206" s="519" t="s">
        <v>3319</v>
      </c>
      <c r="B206" s="519">
        <v>5000000</v>
      </c>
      <c r="C206" s="519">
        <v>0</v>
      </c>
      <c r="D206" s="519" t="s">
        <v>901</v>
      </c>
    </row>
    <row r="207" spans="1:4" x14ac:dyDescent="0.2">
      <c r="A207" s="519" t="s">
        <v>2644</v>
      </c>
      <c r="B207" s="519">
        <v>5000000</v>
      </c>
      <c r="C207" s="519">
        <v>0</v>
      </c>
      <c r="D207" s="519" t="s">
        <v>901</v>
      </c>
    </row>
    <row r="208" spans="1:4" x14ac:dyDescent="0.2">
      <c r="A208" s="519" t="s">
        <v>4006</v>
      </c>
      <c r="B208" s="519">
        <v>5000000</v>
      </c>
      <c r="C208" s="519">
        <v>0</v>
      </c>
      <c r="D208" s="519" t="s">
        <v>901</v>
      </c>
    </row>
    <row r="209" spans="1:4" x14ac:dyDescent="0.2">
      <c r="A209" s="519" t="s">
        <v>3320</v>
      </c>
      <c r="B209" s="519">
        <v>5000000</v>
      </c>
      <c r="C209" s="519">
        <v>0</v>
      </c>
      <c r="D209" s="519" t="s">
        <v>901</v>
      </c>
    </row>
    <row r="210" spans="1:4" x14ac:dyDescent="0.2">
      <c r="A210" s="519" t="s">
        <v>4007</v>
      </c>
      <c r="B210" s="519">
        <v>5000000</v>
      </c>
      <c r="C210" s="519">
        <v>0</v>
      </c>
      <c r="D210" s="519" t="s">
        <v>901</v>
      </c>
    </row>
    <row r="211" spans="1:4" x14ac:dyDescent="0.2">
      <c r="A211" s="519" t="s">
        <v>4008</v>
      </c>
      <c r="B211" s="519">
        <v>5000000</v>
      </c>
      <c r="C211" s="519">
        <v>0</v>
      </c>
      <c r="D211" s="519" t="s">
        <v>901</v>
      </c>
    </row>
    <row r="212" spans="1:4" x14ac:dyDescent="0.2">
      <c r="A212" s="519" t="s">
        <v>4351</v>
      </c>
      <c r="B212" s="519">
        <v>5000000</v>
      </c>
      <c r="C212" s="519">
        <v>0</v>
      </c>
      <c r="D212" s="519" t="s">
        <v>901</v>
      </c>
    </row>
    <row r="213" spans="1:4" x14ac:dyDescent="0.2">
      <c r="A213" s="519" t="s">
        <v>1505</v>
      </c>
      <c r="B213" s="519">
        <v>5000000</v>
      </c>
      <c r="C213" s="519">
        <v>0</v>
      </c>
      <c r="D213" s="519" t="s">
        <v>901</v>
      </c>
    </row>
    <row r="214" spans="1:4" x14ac:dyDescent="0.2">
      <c r="A214" s="519" t="s">
        <v>1278</v>
      </c>
      <c r="B214" s="519">
        <v>5000000</v>
      </c>
      <c r="C214" s="519">
        <v>0</v>
      </c>
      <c r="D214" s="519" t="s">
        <v>901</v>
      </c>
    </row>
    <row r="215" spans="1:4" x14ac:dyDescent="0.2">
      <c r="A215" s="519" t="s">
        <v>1279</v>
      </c>
      <c r="B215" s="519">
        <v>5000000</v>
      </c>
      <c r="C215" s="519">
        <v>0</v>
      </c>
      <c r="D215" s="519" t="s">
        <v>901</v>
      </c>
    </row>
    <row r="216" spans="1:4" x14ac:dyDescent="0.2">
      <c r="A216" s="519" t="s">
        <v>3101</v>
      </c>
      <c r="B216" s="519">
        <v>5000000</v>
      </c>
      <c r="C216" s="519">
        <v>0</v>
      </c>
      <c r="D216" s="519" t="s">
        <v>901</v>
      </c>
    </row>
    <row r="217" spans="1:4" x14ac:dyDescent="0.2">
      <c r="A217" s="519" t="s">
        <v>2234</v>
      </c>
      <c r="B217" s="519">
        <v>5000000</v>
      </c>
      <c r="C217" s="519">
        <v>0</v>
      </c>
      <c r="D217" s="519" t="s">
        <v>901</v>
      </c>
    </row>
    <row r="218" spans="1:4" x14ac:dyDescent="0.2">
      <c r="A218" s="519" t="s">
        <v>2303</v>
      </c>
      <c r="B218" s="519">
        <v>5000000</v>
      </c>
      <c r="C218" s="519">
        <v>0</v>
      </c>
      <c r="D218" s="519" t="s">
        <v>901</v>
      </c>
    </row>
    <row r="219" spans="1:4" x14ac:dyDescent="0.2">
      <c r="A219" s="519" t="s">
        <v>935</v>
      </c>
      <c r="B219" s="519">
        <v>5000000</v>
      </c>
      <c r="C219" s="519">
        <v>0</v>
      </c>
      <c r="D219" s="519" t="s">
        <v>901</v>
      </c>
    </row>
    <row r="220" spans="1:4" x14ac:dyDescent="0.2">
      <c r="A220" s="519" t="s">
        <v>1568</v>
      </c>
      <c r="B220" s="519">
        <v>5000000</v>
      </c>
      <c r="C220" s="519">
        <v>0</v>
      </c>
      <c r="D220" s="519" t="s">
        <v>901</v>
      </c>
    </row>
    <row r="221" spans="1:4" x14ac:dyDescent="0.2">
      <c r="A221" s="519" t="s">
        <v>1754</v>
      </c>
      <c r="B221" s="519">
        <v>5000000</v>
      </c>
      <c r="C221" s="519">
        <v>0</v>
      </c>
      <c r="D221" s="519" t="s">
        <v>901</v>
      </c>
    </row>
    <row r="222" spans="1:4" x14ac:dyDescent="0.2">
      <c r="A222" s="519" t="s">
        <v>1755</v>
      </c>
      <c r="B222" s="519">
        <v>5000000</v>
      </c>
      <c r="C222" s="519">
        <v>0</v>
      </c>
      <c r="D222" s="519" t="s">
        <v>901</v>
      </c>
    </row>
    <row r="223" spans="1:4" x14ac:dyDescent="0.2">
      <c r="A223" s="519" t="s">
        <v>1042</v>
      </c>
      <c r="B223" s="519">
        <v>5000000</v>
      </c>
      <c r="C223" s="519">
        <v>0</v>
      </c>
      <c r="D223" s="519" t="s">
        <v>901</v>
      </c>
    </row>
    <row r="224" spans="1:4" x14ac:dyDescent="0.2">
      <c r="A224" s="519" t="s">
        <v>1346</v>
      </c>
      <c r="B224" s="519">
        <v>5000000</v>
      </c>
      <c r="C224" s="519">
        <v>0</v>
      </c>
      <c r="D224" s="519" t="s">
        <v>901</v>
      </c>
    </row>
    <row r="225" spans="1:4" x14ac:dyDescent="0.2">
      <c r="A225" s="519" t="s">
        <v>1459</v>
      </c>
      <c r="B225" s="519">
        <v>5000000</v>
      </c>
      <c r="C225" s="519">
        <v>0</v>
      </c>
      <c r="D225" s="519" t="s">
        <v>901</v>
      </c>
    </row>
    <row r="226" spans="1:4" x14ac:dyDescent="0.2">
      <c r="A226" s="519" t="s">
        <v>1569</v>
      </c>
      <c r="B226" s="519">
        <v>5000000</v>
      </c>
      <c r="C226" s="519">
        <v>0</v>
      </c>
      <c r="D226" s="519" t="s">
        <v>901</v>
      </c>
    </row>
    <row r="227" spans="1:4" x14ac:dyDescent="0.2">
      <c r="A227" s="519" t="s">
        <v>1548</v>
      </c>
      <c r="B227" s="519">
        <v>5000000</v>
      </c>
      <c r="C227" s="519">
        <v>0</v>
      </c>
      <c r="D227" s="519" t="s">
        <v>901</v>
      </c>
    </row>
    <row r="228" spans="1:4" x14ac:dyDescent="0.2">
      <c r="A228" s="519" t="s">
        <v>1280</v>
      </c>
      <c r="B228" s="519">
        <v>5000000</v>
      </c>
      <c r="C228" s="519">
        <v>0</v>
      </c>
      <c r="D228" s="519" t="s">
        <v>901</v>
      </c>
    </row>
    <row r="229" spans="1:4" x14ac:dyDescent="0.2">
      <c r="A229" s="519" t="s">
        <v>1549</v>
      </c>
      <c r="B229" s="519">
        <v>5000000</v>
      </c>
      <c r="C229" s="519">
        <v>0</v>
      </c>
      <c r="D229" s="519" t="s">
        <v>901</v>
      </c>
    </row>
    <row r="230" spans="1:4" x14ac:dyDescent="0.2">
      <c r="A230" s="519" t="s">
        <v>1588</v>
      </c>
      <c r="B230" s="519">
        <v>5000000</v>
      </c>
      <c r="C230" s="519">
        <v>0</v>
      </c>
      <c r="D230" s="519" t="s">
        <v>901</v>
      </c>
    </row>
    <row r="231" spans="1:4" x14ac:dyDescent="0.2">
      <c r="A231" s="519" t="s">
        <v>1622</v>
      </c>
      <c r="B231" s="519">
        <v>5000000</v>
      </c>
      <c r="C231" s="519">
        <v>0</v>
      </c>
      <c r="D231" s="519" t="s">
        <v>901</v>
      </c>
    </row>
    <row r="232" spans="1:4" x14ac:dyDescent="0.2">
      <c r="A232" s="519" t="s">
        <v>1589</v>
      </c>
      <c r="B232" s="519">
        <v>5000000</v>
      </c>
      <c r="C232" s="519">
        <v>0</v>
      </c>
      <c r="D232" s="519" t="s">
        <v>901</v>
      </c>
    </row>
    <row r="233" spans="1:4" x14ac:dyDescent="0.2">
      <c r="A233" s="519" t="s">
        <v>1590</v>
      </c>
      <c r="B233" s="519">
        <v>5000000</v>
      </c>
      <c r="C233" s="519">
        <v>0</v>
      </c>
      <c r="D233" s="519" t="s">
        <v>901</v>
      </c>
    </row>
    <row r="234" spans="1:4" x14ac:dyDescent="0.2">
      <c r="A234" s="519" t="s">
        <v>1428</v>
      </c>
      <c r="B234" s="519">
        <v>5000000</v>
      </c>
      <c r="C234" s="519">
        <v>0</v>
      </c>
      <c r="D234" s="519" t="s">
        <v>901</v>
      </c>
    </row>
    <row r="235" spans="1:4" x14ac:dyDescent="0.2">
      <c r="A235" s="519" t="s">
        <v>2599</v>
      </c>
      <c r="B235" s="519">
        <v>5000000</v>
      </c>
      <c r="C235" s="519">
        <v>0</v>
      </c>
      <c r="D235" s="519" t="s">
        <v>901</v>
      </c>
    </row>
    <row r="236" spans="1:4" x14ac:dyDescent="0.2">
      <c r="A236" s="519" t="s">
        <v>1737</v>
      </c>
      <c r="B236" s="519">
        <v>5000000</v>
      </c>
      <c r="C236" s="519">
        <v>0</v>
      </c>
      <c r="D236" s="519" t="s">
        <v>901</v>
      </c>
    </row>
    <row r="237" spans="1:4" x14ac:dyDescent="0.2">
      <c r="A237" s="519" t="s">
        <v>1281</v>
      </c>
      <c r="B237" s="519">
        <v>5000000</v>
      </c>
      <c r="C237" s="519">
        <v>0</v>
      </c>
      <c r="D237" s="519" t="s">
        <v>901</v>
      </c>
    </row>
    <row r="238" spans="1:4" x14ac:dyDescent="0.2">
      <c r="A238" s="519" t="s">
        <v>1460</v>
      </c>
      <c r="B238" s="519">
        <v>5000000</v>
      </c>
      <c r="C238" s="519">
        <v>0</v>
      </c>
      <c r="D238" s="519" t="s">
        <v>901</v>
      </c>
    </row>
    <row r="239" spans="1:4" x14ac:dyDescent="0.2">
      <c r="A239" s="519" t="s">
        <v>1506</v>
      </c>
      <c r="B239" s="519">
        <v>5000000</v>
      </c>
      <c r="C239" s="519">
        <v>0</v>
      </c>
      <c r="D239" s="519" t="s">
        <v>901</v>
      </c>
    </row>
    <row r="240" spans="1:4" x14ac:dyDescent="0.2">
      <c r="A240" s="519" t="s">
        <v>1373</v>
      </c>
      <c r="B240" s="519">
        <v>5000000</v>
      </c>
      <c r="C240" s="519">
        <v>0</v>
      </c>
      <c r="D240" s="519" t="s">
        <v>901</v>
      </c>
    </row>
    <row r="241" spans="1:4" x14ac:dyDescent="0.2">
      <c r="A241" s="519" t="s">
        <v>1282</v>
      </c>
      <c r="B241" s="519">
        <v>5000000</v>
      </c>
      <c r="C241" s="519">
        <v>0</v>
      </c>
      <c r="D241" s="519" t="s">
        <v>901</v>
      </c>
    </row>
    <row r="242" spans="1:4" x14ac:dyDescent="0.2">
      <c r="A242" s="519" t="s">
        <v>1591</v>
      </c>
      <c r="B242" s="519">
        <v>5000000</v>
      </c>
      <c r="C242" s="519">
        <v>0</v>
      </c>
      <c r="D242" s="519" t="s">
        <v>901</v>
      </c>
    </row>
    <row r="243" spans="1:4" x14ac:dyDescent="0.2">
      <c r="A243" s="519" t="s">
        <v>1507</v>
      </c>
      <c r="B243" s="519">
        <v>5000000</v>
      </c>
      <c r="C243" s="519">
        <v>0</v>
      </c>
      <c r="D243" s="519" t="s">
        <v>901</v>
      </c>
    </row>
    <row r="244" spans="1:4" x14ac:dyDescent="0.2">
      <c r="A244" s="519" t="s">
        <v>1429</v>
      </c>
      <c r="B244" s="519">
        <v>5000000</v>
      </c>
      <c r="C244" s="519">
        <v>0</v>
      </c>
      <c r="D244" s="519" t="s">
        <v>901</v>
      </c>
    </row>
    <row r="245" spans="1:4" x14ac:dyDescent="0.2">
      <c r="A245" s="519" t="s">
        <v>1738</v>
      </c>
      <c r="B245" s="519">
        <v>5000000</v>
      </c>
      <c r="C245" s="519">
        <v>0</v>
      </c>
      <c r="D245" s="519" t="s">
        <v>901</v>
      </c>
    </row>
    <row r="246" spans="1:4" x14ac:dyDescent="0.2">
      <c r="A246" s="519" t="s">
        <v>1283</v>
      </c>
      <c r="B246" s="519">
        <v>5000000</v>
      </c>
      <c r="C246" s="519">
        <v>0</v>
      </c>
      <c r="D246" s="519" t="s">
        <v>901</v>
      </c>
    </row>
    <row r="247" spans="1:4" x14ac:dyDescent="0.2">
      <c r="A247" s="519" t="s">
        <v>2566</v>
      </c>
      <c r="B247" s="519">
        <v>5000000</v>
      </c>
      <c r="C247" s="519">
        <v>0</v>
      </c>
      <c r="D247" s="519" t="s">
        <v>901</v>
      </c>
    </row>
    <row r="248" spans="1:4" x14ac:dyDescent="0.2">
      <c r="A248" s="519" t="s">
        <v>1693</v>
      </c>
      <c r="B248" s="519">
        <v>5000000</v>
      </c>
      <c r="C248" s="519">
        <v>0</v>
      </c>
      <c r="D248" s="519" t="s">
        <v>901</v>
      </c>
    </row>
    <row r="249" spans="1:4" x14ac:dyDescent="0.2">
      <c r="A249" s="519" t="s">
        <v>1284</v>
      </c>
      <c r="B249" s="519">
        <v>5000000</v>
      </c>
      <c r="C249" s="519">
        <v>0</v>
      </c>
      <c r="D249" s="519" t="s">
        <v>901</v>
      </c>
    </row>
    <row r="250" spans="1:4" x14ac:dyDescent="0.2">
      <c r="A250" s="519" t="s">
        <v>1521</v>
      </c>
      <c r="B250" s="519">
        <v>5000000</v>
      </c>
      <c r="C250" s="519">
        <v>0</v>
      </c>
      <c r="D250" s="519" t="s">
        <v>901</v>
      </c>
    </row>
    <row r="251" spans="1:4" x14ac:dyDescent="0.2">
      <c r="A251" s="519" t="s">
        <v>1508</v>
      </c>
      <c r="B251" s="519">
        <v>5000000</v>
      </c>
      <c r="C251" s="519">
        <v>0</v>
      </c>
      <c r="D251" s="519" t="s">
        <v>901</v>
      </c>
    </row>
    <row r="252" spans="1:4" x14ac:dyDescent="0.2">
      <c r="A252" s="519" t="s">
        <v>1550</v>
      </c>
      <c r="B252" s="519">
        <v>5000000</v>
      </c>
      <c r="C252" s="519">
        <v>0</v>
      </c>
      <c r="D252" s="519" t="s">
        <v>901</v>
      </c>
    </row>
    <row r="253" spans="1:4" x14ac:dyDescent="0.2">
      <c r="A253" s="519" t="s">
        <v>1462</v>
      </c>
      <c r="B253" s="519">
        <v>5000000</v>
      </c>
      <c r="C253" s="519">
        <v>0</v>
      </c>
      <c r="D253" s="519" t="s">
        <v>901</v>
      </c>
    </row>
    <row r="254" spans="1:4" x14ac:dyDescent="0.2">
      <c r="A254" s="519" t="s">
        <v>1739</v>
      </c>
      <c r="B254" s="519">
        <v>5000000</v>
      </c>
      <c r="C254" s="519">
        <v>0</v>
      </c>
      <c r="D254" s="519" t="s">
        <v>901</v>
      </c>
    </row>
    <row r="255" spans="1:4" x14ac:dyDescent="0.2">
      <c r="A255" s="519" t="s">
        <v>1374</v>
      </c>
      <c r="B255" s="519">
        <v>5000000</v>
      </c>
      <c r="C255" s="519">
        <v>0</v>
      </c>
      <c r="D255" s="519" t="s">
        <v>901</v>
      </c>
    </row>
    <row r="256" spans="1:4" x14ac:dyDescent="0.2">
      <c r="A256" s="519" t="s">
        <v>1556</v>
      </c>
      <c r="B256" s="519">
        <v>5000000</v>
      </c>
      <c r="C256" s="519">
        <v>0</v>
      </c>
      <c r="D256" s="519" t="s">
        <v>901</v>
      </c>
    </row>
    <row r="257" spans="1:4" x14ac:dyDescent="0.2">
      <c r="A257" s="519" t="s">
        <v>1607</v>
      </c>
      <c r="B257" s="519">
        <v>5000000</v>
      </c>
      <c r="C257" s="519">
        <v>0</v>
      </c>
      <c r="D257" s="519" t="s">
        <v>901</v>
      </c>
    </row>
    <row r="258" spans="1:4" x14ac:dyDescent="0.2">
      <c r="A258" s="519" t="s">
        <v>1522</v>
      </c>
      <c r="B258" s="519">
        <v>5000000</v>
      </c>
      <c r="C258" s="519">
        <v>0</v>
      </c>
      <c r="D258" s="519" t="s">
        <v>901</v>
      </c>
    </row>
    <row r="259" spans="1:4" x14ac:dyDescent="0.2">
      <c r="A259" s="519" t="s">
        <v>2304</v>
      </c>
      <c r="B259" s="519">
        <v>5000000</v>
      </c>
      <c r="C259" s="519">
        <v>0</v>
      </c>
      <c r="D259" s="519" t="s">
        <v>901</v>
      </c>
    </row>
    <row r="260" spans="1:4" x14ac:dyDescent="0.2">
      <c r="A260" s="519" t="s">
        <v>1740</v>
      </c>
      <c r="B260" s="519">
        <v>5000000</v>
      </c>
      <c r="C260" s="519">
        <v>0</v>
      </c>
      <c r="D260" s="519" t="s">
        <v>901</v>
      </c>
    </row>
    <row r="261" spans="1:4" x14ac:dyDescent="0.2">
      <c r="A261" s="519" t="s">
        <v>1608</v>
      </c>
      <c r="B261" s="519">
        <v>5000000</v>
      </c>
      <c r="C261" s="519">
        <v>0</v>
      </c>
      <c r="D261" s="519" t="s">
        <v>901</v>
      </c>
    </row>
    <row r="262" spans="1:4" x14ac:dyDescent="0.2">
      <c r="A262" s="519" t="s">
        <v>1509</v>
      </c>
      <c r="B262" s="519">
        <v>5000000</v>
      </c>
      <c r="C262" s="519">
        <v>0</v>
      </c>
      <c r="D262" s="519" t="s">
        <v>901</v>
      </c>
    </row>
    <row r="263" spans="1:4" x14ac:dyDescent="0.2">
      <c r="A263" s="519" t="s">
        <v>2567</v>
      </c>
      <c r="B263" s="519">
        <v>5000000</v>
      </c>
      <c r="C263" s="519">
        <v>0</v>
      </c>
      <c r="D263" s="519" t="s">
        <v>901</v>
      </c>
    </row>
    <row r="264" spans="1:4" x14ac:dyDescent="0.2">
      <c r="A264" s="519" t="s">
        <v>1694</v>
      </c>
      <c r="B264" s="519">
        <v>5000000</v>
      </c>
      <c r="C264" s="519">
        <v>0</v>
      </c>
      <c r="D264" s="519" t="s">
        <v>901</v>
      </c>
    </row>
    <row r="265" spans="1:4" x14ac:dyDescent="0.2">
      <c r="A265" s="519" t="s">
        <v>1609</v>
      </c>
      <c r="B265" s="519">
        <v>5000000</v>
      </c>
      <c r="C265" s="519">
        <v>0</v>
      </c>
      <c r="D265" s="519" t="s">
        <v>901</v>
      </c>
    </row>
    <row r="266" spans="1:4" x14ac:dyDescent="0.2">
      <c r="A266" s="519" t="s">
        <v>2568</v>
      </c>
      <c r="B266" s="519">
        <v>5000000</v>
      </c>
      <c r="C266" s="519">
        <v>0</v>
      </c>
      <c r="D266" s="519" t="s">
        <v>901</v>
      </c>
    </row>
    <row r="267" spans="1:4" x14ac:dyDescent="0.2">
      <c r="A267" s="519" t="s">
        <v>1510</v>
      </c>
      <c r="B267" s="519">
        <v>5000000</v>
      </c>
      <c r="C267" s="519">
        <v>0</v>
      </c>
      <c r="D267" s="519" t="s">
        <v>901</v>
      </c>
    </row>
    <row r="268" spans="1:4" x14ac:dyDescent="0.2">
      <c r="A268" s="519" t="s">
        <v>1551</v>
      </c>
      <c r="B268" s="519">
        <v>5000000</v>
      </c>
      <c r="C268" s="519">
        <v>0</v>
      </c>
      <c r="D268" s="519" t="s">
        <v>901</v>
      </c>
    </row>
    <row r="269" spans="1:4" x14ac:dyDescent="0.2">
      <c r="A269" s="519" t="s">
        <v>1623</v>
      </c>
      <c r="B269" s="519">
        <v>5000000</v>
      </c>
      <c r="C269" s="519">
        <v>0</v>
      </c>
      <c r="D269" s="519" t="s">
        <v>901</v>
      </c>
    </row>
    <row r="270" spans="1:4" x14ac:dyDescent="0.2">
      <c r="A270" s="519" t="s">
        <v>1523</v>
      </c>
      <c r="B270" s="519">
        <v>5000000</v>
      </c>
      <c r="C270" s="519">
        <v>0</v>
      </c>
      <c r="D270" s="519" t="s">
        <v>901</v>
      </c>
    </row>
    <row r="271" spans="1:4" x14ac:dyDescent="0.2">
      <c r="A271" s="519" t="s">
        <v>1524</v>
      </c>
      <c r="B271" s="519">
        <v>5000000</v>
      </c>
      <c r="C271" s="519">
        <v>0</v>
      </c>
      <c r="D271" s="519" t="s">
        <v>901</v>
      </c>
    </row>
    <row r="272" spans="1:4" x14ac:dyDescent="0.2">
      <c r="A272" s="519" t="s">
        <v>1741</v>
      </c>
      <c r="B272" s="519">
        <v>5000000</v>
      </c>
      <c r="C272" s="519">
        <v>0</v>
      </c>
      <c r="D272" s="519" t="s">
        <v>901</v>
      </c>
    </row>
    <row r="273" spans="1:4" x14ac:dyDescent="0.2">
      <c r="A273" s="519" t="s">
        <v>1742</v>
      </c>
      <c r="B273" s="519">
        <v>5000000</v>
      </c>
      <c r="C273" s="519">
        <v>0</v>
      </c>
      <c r="D273" s="519" t="s">
        <v>901</v>
      </c>
    </row>
    <row r="274" spans="1:4" x14ac:dyDescent="0.2">
      <c r="A274" s="519" t="s">
        <v>1552</v>
      </c>
      <c r="B274" s="519">
        <v>5000000</v>
      </c>
      <c r="C274" s="519">
        <v>0</v>
      </c>
      <c r="D274" s="519" t="s">
        <v>901</v>
      </c>
    </row>
    <row r="275" spans="1:4" x14ac:dyDescent="0.2">
      <c r="A275" s="519" t="s">
        <v>1375</v>
      </c>
      <c r="B275" s="519">
        <v>5000000</v>
      </c>
      <c r="C275" s="519">
        <v>0</v>
      </c>
      <c r="D275" s="519" t="s">
        <v>901</v>
      </c>
    </row>
    <row r="276" spans="1:4" x14ac:dyDescent="0.2">
      <c r="A276" s="519" t="s">
        <v>1592</v>
      </c>
      <c r="B276" s="519">
        <v>5000000</v>
      </c>
      <c r="C276" s="519">
        <v>0</v>
      </c>
      <c r="D276" s="519" t="s">
        <v>901</v>
      </c>
    </row>
    <row r="277" spans="1:4" x14ac:dyDescent="0.2">
      <c r="A277" s="519" t="s">
        <v>1464</v>
      </c>
      <c r="B277" s="519">
        <v>5000000</v>
      </c>
      <c r="C277" s="519">
        <v>0</v>
      </c>
      <c r="D277" s="519" t="s">
        <v>901</v>
      </c>
    </row>
    <row r="278" spans="1:4" x14ac:dyDescent="0.2">
      <c r="A278" s="519" t="s">
        <v>1756</v>
      </c>
      <c r="B278" s="519">
        <v>5000000</v>
      </c>
      <c r="C278" s="519">
        <v>0</v>
      </c>
      <c r="D278" s="519" t="s">
        <v>901</v>
      </c>
    </row>
    <row r="279" spans="1:4" x14ac:dyDescent="0.2">
      <c r="A279" s="519" t="s">
        <v>1285</v>
      </c>
      <c r="B279" s="519">
        <v>5000000</v>
      </c>
      <c r="C279" s="519">
        <v>0</v>
      </c>
      <c r="D279" s="519" t="s">
        <v>901</v>
      </c>
    </row>
    <row r="280" spans="1:4" x14ac:dyDescent="0.2">
      <c r="A280" s="519" t="s">
        <v>1743</v>
      </c>
      <c r="B280" s="519">
        <v>5000000</v>
      </c>
      <c r="C280" s="519">
        <v>0</v>
      </c>
      <c r="D280" s="519" t="s">
        <v>901</v>
      </c>
    </row>
    <row r="281" spans="1:4" x14ac:dyDescent="0.2">
      <c r="A281" s="519" t="s">
        <v>2235</v>
      </c>
      <c r="B281" s="519">
        <v>5000000</v>
      </c>
      <c r="C281" s="519">
        <v>0</v>
      </c>
      <c r="D281" s="519" t="s">
        <v>901</v>
      </c>
    </row>
    <row r="282" spans="1:4" x14ac:dyDescent="0.2">
      <c r="A282" s="519" t="s">
        <v>1286</v>
      </c>
      <c r="B282" s="519">
        <v>5000000</v>
      </c>
      <c r="C282" s="519">
        <v>0</v>
      </c>
      <c r="D282" s="519" t="s">
        <v>901</v>
      </c>
    </row>
    <row r="283" spans="1:4" x14ac:dyDescent="0.2">
      <c r="A283" s="519" t="s">
        <v>1511</v>
      </c>
      <c r="B283" s="519">
        <v>5000000</v>
      </c>
      <c r="C283" s="519">
        <v>0</v>
      </c>
      <c r="D283" s="519" t="s">
        <v>901</v>
      </c>
    </row>
    <row r="284" spans="1:4" x14ac:dyDescent="0.2">
      <c r="A284" s="519" t="s">
        <v>2569</v>
      </c>
      <c r="B284" s="519">
        <v>5000000</v>
      </c>
      <c r="C284" s="519">
        <v>0</v>
      </c>
      <c r="D284" s="519" t="s">
        <v>901</v>
      </c>
    </row>
    <row r="285" spans="1:4" x14ac:dyDescent="0.2">
      <c r="A285" s="519" t="s">
        <v>1570</v>
      </c>
      <c r="B285" s="519">
        <v>5000000</v>
      </c>
      <c r="C285" s="519">
        <v>0</v>
      </c>
      <c r="D285" s="519" t="s">
        <v>901</v>
      </c>
    </row>
    <row r="286" spans="1:4" x14ac:dyDescent="0.2">
      <c r="A286" s="519"/>
      <c r="B286" s="519"/>
      <c r="C286" s="519"/>
      <c r="D286" s="519"/>
    </row>
    <row r="287" spans="1:4" x14ac:dyDescent="0.2">
      <c r="A287" s="519"/>
      <c r="B287" s="519"/>
      <c r="C287" s="519"/>
      <c r="D287" s="519"/>
    </row>
    <row r="288" spans="1:4" x14ac:dyDescent="0.2">
      <c r="A288" s="519"/>
      <c r="B288" s="519"/>
      <c r="C288" s="519"/>
      <c r="D288" s="519"/>
    </row>
    <row r="289" spans="1:4" x14ac:dyDescent="0.2">
      <c r="A289" s="519"/>
      <c r="B289" s="519"/>
      <c r="C289" s="519"/>
      <c r="D289" s="519"/>
    </row>
    <row r="290" spans="1:4" x14ac:dyDescent="0.2">
      <c r="A290" s="519"/>
      <c r="B290" s="519"/>
      <c r="C290" s="519"/>
      <c r="D290" s="519"/>
    </row>
    <row r="291" spans="1:4" x14ac:dyDescent="0.2">
      <c r="A291" s="519"/>
      <c r="B291" s="519"/>
      <c r="C291" s="519"/>
      <c r="D291" s="519"/>
    </row>
    <row r="292" spans="1:4" x14ac:dyDescent="0.2">
      <c r="A292" s="519"/>
      <c r="B292" s="519"/>
      <c r="C292" s="519"/>
      <c r="D292" s="519"/>
    </row>
    <row r="293" spans="1:4" x14ac:dyDescent="0.2">
      <c r="A293" s="519"/>
      <c r="B293" s="519"/>
      <c r="C293" s="519"/>
      <c r="D293" s="519"/>
    </row>
    <row r="294" spans="1:4" x14ac:dyDescent="0.2">
      <c r="A294" s="519"/>
      <c r="B294" s="519"/>
      <c r="C294" s="519"/>
      <c r="D294" s="519"/>
    </row>
    <row r="295" spans="1:4" x14ac:dyDescent="0.2">
      <c r="A295" s="519"/>
      <c r="B295" s="519"/>
      <c r="C295" s="519"/>
      <c r="D295" s="519"/>
    </row>
    <row r="296" spans="1:4" x14ac:dyDescent="0.2">
      <c r="A296" s="519"/>
      <c r="B296" s="519"/>
      <c r="C296" s="519"/>
      <c r="D296" s="519"/>
    </row>
  </sheetData>
  <autoFilter ref="A1:D296" xr:uid="{33279007-2B06-4DA9-A288-1E7332245327}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9EA47-A2A2-43D4-B156-98797570B35E}">
  <sheetPr codeName="Hoja22"/>
  <dimension ref="A1:F250"/>
  <sheetViews>
    <sheetView workbookViewId="0">
      <selection activeCell="K18" sqref="K18"/>
    </sheetView>
  </sheetViews>
  <sheetFormatPr baseColWidth="10" defaultRowHeight="12.75" x14ac:dyDescent="0.2"/>
  <cols>
    <col min="2" max="2" width="14.140625" style="141" bestFit="1" customWidth="1"/>
    <col min="4" max="5" width="11.42578125" hidden="1" customWidth="1"/>
    <col min="6" max="6" width="15.42578125" hidden="1" customWidth="1"/>
    <col min="7" max="7" width="13.5703125" customWidth="1"/>
  </cols>
  <sheetData>
    <row r="1" spans="1:6" ht="14.25" customHeight="1" x14ac:dyDescent="0.2">
      <c r="A1" s="552" t="s">
        <v>30</v>
      </c>
      <c r="B1" s="553" t="s">
        <v>70</v>
      </c>
    </row>
    <row r="2" spans="1:6" x14ac:dyDescent="0.2">
      <c r="A2" s="517" t="s">
        <v>3920</v>
      </c>
      <c r="B2" s="545">
        <v>462865000</v>
      </c>
      <c r="D2" s="702" t="s">
        <v>4146</v>
      </c>
      <c r="E2" s="682">
        <v>6000000</v>
      </c>
      <c r="F2" s="637">
        <v>462865000</v>
      </c>
    </row>
    <row r="3" spans="1:6" x14ac:dyDescent="0.2">
      <c r="A3" s="517" t="s">
        <v>3921</v>
      </c>
      <c r="B3" s="545">
        <v>446875000</v>
      </c>
      <c r="D3" s="702" t="s">
        <v>4147</v>
      </c>
      <c r="E3" s="682">
        <v>6000000</v>
      </c>
      <c r="F3" s="637">
        <v>446875000</v>
      </c>
    </row>
    <row r="4" spans="1:6" x14ac:dyDescent="0.2">
      <c r="A4" s="517" t="s">
        <v>3922</v>
      </c>
      <c r="B4" s="545">
        <v>365698050</v>
      </c>
      <c r="D4" s="702" t="s">
        <v>4148</v>
      </c>
      <c r="E4" s="682">
        <v>4042127</v>
      </c>
      <c r="F4" s="637">
        <v>365698050</v>
      </c>
    </row>
    <row r="5" spans="1:6" x14ac:dyDescent="0.2">
      <c r="A5" s="517" t="s">
        <v>3923</v>
      </c>
      <c r="B5" s="545">
        <v>429385500</v>
      </c>
      <c r="D5" s="702" t="s">
        <v>4149</v>
      </c>
      <c r="E5" s="702">
        <v>10000000</v>
      </c>
      <c r="F5" s="637">
        <v>429385500</v>
      </c>
    </row>
    <row r="6" spans="1:6" x14ac:dyDescent="0.2">
      <c r="A6" s="517" t="s">
        <v>3924</v>
      </c>
      <c r="B6" s="545">
        <v>437380000</v>
      </c>
      <c r="D6" s="702" t="s">
        <v>4150</v>
      </c>
      <c r="E6" s="682">
        <v>0</v>
      </c>
      <c r="F6" s="637">
        <v>437380000</v>
      </c>
    </row>
    <row r="7" spans="1:6" x14ac:dyDescent="0.2">
      <c r="A7" s="517" t="s">
        <v>3925</v>
      </c>
      <c r="B7" s="545">
        <v>436756782</v>
      </c>
      <c r="D7" s="702" t="s">
        <v>4151</v>
      </c>
      <c r="E7" s="682">
        <v>10572218</v>
      </c>
      <c r="F7" s="637">
        <v>436756782</v>
      </c>
    </row>
    <row r="8" spans="1:6" x14ac:dyDescent="0.2">
      <c r="A8" s="517" t="s">
        <v>3926</v>
      </c>
      <c r="B8" s="545">
        <v>421933795</v>
      </c>
      <c r="D8" s="702" t="s">
        <v>4152</v>
      </c>
      <c r="E8" s="682">
        <v>17690205</v>
      </c>
      <c r="F8" s="637">
        <v>421933795</v>
      </c>
    </row>
    <row r="9" spans="1:6" x14ac:dyDescent="0.2">
      <c r="A9" s="517" t="s">
        <v>3927</v>
      </c>
      <c r="B9" s="545">
        <v>431787477</v>
      </c>
      <c r="D9" s="702" t="s">
        <v>4153</v>
      </c>
      <c r="E9" s="702">
        <v>6092523</v>
      </c>
      <c r="F9" s="637">
        <v>431787477</v>
      </c>
    </row>
    <row r="10" spans="1:6" x14ac:dyDescent="0.2">
      <c r="A10" s="517" t="s">
        <v>3928</v>
      </c>
      <c r="B10" s="545">
        <v>361120000</v>
      </c>
      <c r="D10" s="702" t="s">
        <v>4154</v>
      </c>
      <c r="E10" s="702">
        <v>15000000</v>
      </c>
      <c r="F10" s="637">
        <v>361120000</v>
      </c>
    </row>
    <row r="11" spans="1:6" x14ac:dyDescent="0.2">
      <c r="A11" s="517" t="s">
        <v>3929</v>
      </c>
      <c r="B11" s="545">
        <v>430270500</v>
      </c>
      <c r="D11" s="702" t="s">
        <v>4155</v>
      </c>
      <c r="E11" s="682">
        <v>3000000</v>
      </c>
      <c r="F11" s="637">
        <v>430270500</v>
      </c>
    </row>
    <row r="12" spans="1:6" x14ac:dyDescent="0.2">
      <c r="A12" s="517" t="s">
        <v>3930</v>
      </c>
      <c r="B12" s="545">
        <v>479150000</v>
      </c>
      <c r="D12" s="702" t="s">
        <v>4156</v>
      </c>
      <c r="E12" s="682">
        <v>0</v>
      </c>
      <c r="F12" s="637">
        <v>479150000</v>
      </c>
    </row>
    <row r="13" spans="1:6" x14ac:dyDescent="0.2">
      <c r="A13" s="517" t="s">
        <v>3931</v>
      </c>
      <c r="B13" s="545">
        <v>426202000</v>
      </c>
      <c r="D13" s="702" t="s">
        <v>4157</v>
      </c>
      <c r="E13" s="682">
        <v>0</v>
      </c>
      <c r="F13" s="637">
        <v>426202000</v>
      </c>
    </row>
    <row r="14" spans="1:6" x14ac:dyDescent="0.2">
      <c r="A14" s="517" t="s">
        <v>3932</v>
      </c>
      <c r="B14" s="545">
        <v>358060000</v>
      </c>
      <c r="D14" s="702" t="s">
        <v>4158</v>
      </c>
      <c r="E14" s="682">
        <v>0</v>
      </c>
      <c r="F14" s="637">
        <v>358060000</v>
      </c>
    </row>
    <row r="15" spans="1:6" x14ac:dyDescent="0.2">
      <c r="A15" s="517" t="s">
        <v>3933</v>
      </c>
      <c r="B15" s="545">
        <v>420797476</v>
      </c>
      <c r="D15" s="702" t="s">
        <v>4159</v>
      </c>
      <c r="E15" s="682">
        <v>6508250</v>
      </c>
      <c r="F15" s="637">
        <v>420797476</v>
      </c>
    </row>
    <row r="16" spans="1:6" x14ac:dyDescent="0.2">
      <c r="A16" s="517" t="s">
        <v>3903</v>
      </c>
      <c r="B16" s="545">
        <v>494750000</v>
      </c>
      <c r="D16" s="702" t="s">
        <v>4359</v>
      </c>
      <c r="E16" s="682">
        <v>0</v>
      </c>
      <c r="F16" s="637">
        <v>494750000</v>
      </c>
    </row>
    <row r="17" spans="1:6" x14ac:dyDescent="0.2">
      <c r="A17" s="517" t="s">
        <v>3934</v>
      </c>
      <c r="B17" s="545">
        <v>360010400</v>
      </c>
      <c r="D17" s="702" t="s">
        <v>4160</v>
      </c>
      <c r="E17" s="682">
        <v>4949600</v>
      </c>
      <c r="F17" s="637">
        <v>360010400</v>
      </c>
    </row>
    <row r="18" spans="1:6" x14ac:dyDescent="0.2">
      <c r="A18" s="517" t="s">
        <v>3935</v>
      </c>
      <c r="B18" s="545">
        <v>423471156</v>
      </c>
      <c r="D18" s="702" t="s">
        <v>4161</v>
      </c>
      <c r="E18" s="682">
        <v>16129844</v>
      </c>
      <c r="F18" s="637">
        <v>423471156</v>
      </c>
    </row>
    <row r="19" spans="1:6" x14ac:dyDescent="0.2">
      <c r="A19" s="517" t="s">
        <v>3936</v>
      </c>
      <c r="B19" s="545">
        <v>485190000</v>
      </c>
      <c r="D19" s="702" t="s">
        <v>4162</v>
      </c>
      <c r="E19" s="702">
        <v>0</v>
      </c>
      <c r="F19" s="637">
        <v>485190000</v>
      </c>
    </row>
    <row r="20" spans="1:6" x14ac:dyDescent="0.2">
      <c r="A20" s="517" t="s">
        <v>3937</v>
      </c>
      <c r="B20" s="545">
        <v>360561784</v>
      </c>
      <c r="D20" s="702" t="s">
        <v>4163</v>
      </c>
      <c r="E20" s="702">
        <v>5000000</v>
      </c>
      <c r="F20" s="637">
        <v>360561784</v>
      </c>
    </row>
    <row r="21" spans="1:6" x14ac:dyDescent="0.2">
      <c r="A21" s="517" t="s">
        <v>3938</v>
      </c>
      <c r="B21" s="545">
        <v>434770500</v>
      </c>
      <c r="D21" s="702" t="s">
        <v>4164</v>
      </c>
      <c r="E21" s="682">
        <v>0</v>
      </c>
      <c r="F21" s="637">
        <v>434770500</v>
      </c>
    </row>
    <row r="22" spans="1:6" x14ac:dyDescent="0.2">
      <c r="A22" s="517" t="s">
        <v>3939</v>
      </c>
      <c r="B22" s="545">
        <v>437279189</v>
      </c>
      <c r="D22" s="702" t="s">
        <v>4165</v>
      </c>
      <c r="E22" s="682">
        <v>341811</v>
      </c>
      <c r="F22" s="637">
        <v>437279189</v>
      </c>
    </row>
    <row r="23" spans="1:6" x14ac:dyDescent="0.2">
      <c r="A23" s="517" t="s">
        <v>3940</v>
      </c>
      <c r="B23" s="545">
        <v>365880000</v>
      </c>
      <c r="D23" s="702" t="s">
        <v>4166</v>
      </c>
      <c r="E23" s="682">
        <v>2000000</v>
      </c>
      <c r="F23" s="637">
        <v>365880000</v>
      </c>
    </row>
    <row r="24" spans="1:6" x14ac:dyDescent="0.2">
      <c r="A24" s="517" t="s">
        <v>3941</v>
      </c>
      <c r="B24" s="545">
        <v>429061246</v>
      </c>
      <c r="D24" s="702" t="s">
        <v>4167</v>
      </c>
      <c r="E24" s="702">
        <v>15000000</v>
      </c>
      <c r="F24" s="637">
        <v>429061246</v>
      </c>
    </row>
    <row r="25" spans="1:6" x14ac:dyDescent="0.2">
      <c r="A25" s="517" t="s">
        <v>3942</v>
      </c>
      <c r="B25" s="545">
        <v>439566000</v>
      </c>
      <c r="D25" s="702" t="s">
        <v>4168</v>
      </c>
      <c r="E25" s="682">
        <v>10000000</v>
      </c>
      <c r="F25" s="637">
        <v>439566000</v>
      </c>
    </row>
    <row r="26" spans="1:6" x14ac:dyDescent="0.2">
      <c r="A26" s="517" t="s">
        <v>3943</v>
      </c>
      <c r="B26" s="545">
        <v>360060000</v>
      </c>
      <c r="D26" s="702" t="s">
        <v>4169</v>
      </c>
      <c r="E26" s="702">
        <v>0</v>
      </c>
      <c r="F26" s="637">
        <v>360060000</v>
      </c>
    </row>
    <row r="27" spans="1:6" x14ac:dyDescent="0.2">
      <c r="A27" s="517" t="s">
        <v>3944</v>
      </c>
      <c r="B27" s="545">
        <v>446761720</v>
      </c>
      <c r="D27" s="702" t="s">
        <v>4170</v>
      </c>
      <c r="E27" s="702">
        <v>0</v>
      </c>
      <c r="F27" s="637">
        <v>446761720</v>
      </c>
    </row>
    <row r="28" spans="1:6" x14ac:dyDescent="0.2">
      <c r="A28" s="517" t="s">
        <v>3945</v>
      </c>
      <c r="B28" s="545">
        <v>425706900</v>
      </c>
      <c r="D28" s="702" t="s">
        <v>4171</v>
      </c>
      <c r="E28" s="702">
        <v>4603100</v>
      </c>
      <c r="F28" s="637">
        <v>425706900</v>
      </c>
    </row>
    <row r="29" spans="1:6" x14ac:dyDescent="0.2">
      <c r="A29" s="517" t="s">
        <v>3946</v>
      </c>
      <c r="B29" s="545">
        <v>428702000</v>
      </c>
      <c r="D29" s="702" t="s">
        <v>4172</v>
      </c>
      <c r="E29" s="682">
        <v>0</v>
      </c>
      <c r="F29" s="637">
        <v>428702000</v>
      </c>
    </row>
    <row r="30" spans="1:6" x14ac:dyDescent="0.2">
      <c r="A30" s="517" t="s">
        <v>3947</v>
      </c>
      <c r="B30" s="545">
        <v>357000000</v>
      </c>
      <c r="D30" s="702" t="s">
        <v>4173</v>
      </c>
      <c r="E30" s="702">
        <v>1000000</v>
      </c>
      <c r="F30" s="637">
        <v>357000000</v>
      </c>
    </row>
    <row r="31" spans="1:6" x14ac:dyDescent="0.2">
      <c r="A31" s="517" t="s">
        <v>3948</v>
      </c>
      <c r="B31" s="545">
        <v>436270500</v>
      </c>
      <c r="D31" s="702" t="s">
        <v>4174</v>
      </c>
      <c r="E31" s="702">
        <v>0</v>
      </c>
      <c r="F31" s="637">
        <v>436270500</v>
      </c>
    </row>
    <row r="32" spans="1:6" x14ac:dyDescent="0.2">
      <c r="A32" s="517" t="s">
        <v>3908</v>
      </c>
      <c r="B32" s="545">
        <v>485925000</v>
      </c>
      <c r="D32" s="702" t="s">
        <v>4272</v>
      </c>
      <c r="E32" s="702">
        <v>0</v>
      </c>
      <c r="F32" s="637">
        <v>485925000</v>
      </c>
    </row>
    <row r="33" spans="1:6" x14ac:dyDescent="0.2">
      <c r="A33" s="517" t="s">
        <v>3949</v>
      </c>
      <c r="B33" s="545">
        <v>369380000</v>
      </c>
      <c r="D33" s="702" t="s">
        <v>4175</v>
      </c>
      <c r="E33" s="682">
        <v>0</v>
      </c>
      <c r="F33" s="637">
        <v>369380000</v>
      </c>
    </row>
    <row r="34" spans="1:6" x14ac:dyDescent="0.2">
      <c r="A34" s="517" t="s">
        <v>3950</v>
      </c>
      <c r="B34" s="545">
        <v>442101000</v>
      </c>
      <c r="D34" s="702" t="s">
        <v>4176</v>
      </c>
      <c r="E34" s="682">
        <v>0</v>
      </c>
      <c r="F34" s="637">
        <v>442101000</v>
      </c>
    </row>
    <row r="35" spans="1:6" x14ac:dyDescent="0.2">
      <c r="A35" s="517" t="s">
        <v>3951</v>
      </c>
      <c r="B35" s="545">
        <v>429702000</v>
      </c>
      <c r="D35" s="702" t="s">
        <v>4177</v>
      </c>
      <c r="E35" s="682">
        <v>0</v>
      </c>
      <c r="F35" s="637">
        <v>429702000</v>
      </c>
    </row>
    <row r="36" spans="1:6" x14ac:dyDescent="0.2">
      <c r="A36" s="517" t="s">
        <v>3952</v>
      </c>
      <c r="B36" s="545">
        <v>362713200</v>
      </c>
      <c r="D36" s="702" t="s">
        <v>4178</v>
      </c>
      <c r="E36" s="682">
        <v>3966800</v>
      </c>
      <c r="F36" s="637">
        <v>362713200</v>
      </c>
    </row>
    <row r="37" spans="1:6" x14ac:dyDescent="0.2">
      <c r="A37" s="517" t="s">
        <v>3953</v>
      </c>
      <c r="B37" s="545">
        <v>427601000</v>
      </c>
      <c r="D37" s="702" t="s">
        <v>4179</v>
      </c>
      <c r="E37" s="682">
        <v>15000000</v>
      </c>
      <c r="F37" s="637">
        <v>427601000</v>
      </c>
    </row>
    <row r="38" spans="1:6" x14ac:dyDescent="0.2">
      <c r="A38" s="517" t="s">
        <v>3954</v>
      </c>
      <c r="B38" s="545">
        <v>441566000</v>
      </c>
      <c r="D38" s="702" t="s">
        <v>4180</v>
      </c>
      <c r="E38" s="682">
        <v>10000000</v>
      </c>
      <c r="F38" s="637">
        <v>441566000</v>
      </c>
    </row>
    <row r="39" spans="1:6" x14ac:dyDescent="0.2">
      <c r="A39" s="517" t="s">
        <v>3955</v>
      </c>
      <c r="B39" s="545">
        <v>359500000</v>
      </c>
      <c r="D39" s="702" t="s">
        <v>4181</v>
      </c>
      <c r="E39" s="702">
        <v>0</v>
      </c>
      <c r="F39" s="637">
        <v>359500000</v>
      </c>
    </row>
    <row r="40" spans="1:6" x14ac:dyDescent="0.2">
      <c r="A40" s="517" t="s">
        <v>3956</v>
      </c>
      <c r="B40" s="545">
        <v>429323370</v>
      </c>
      <c r="D40" s="702" t="s">
        <v>4182</v>
      </c>
      <c r="E40" s="682">
        <v>4639630</v>
      </c>
      <c r="F40" s="637">
        <v>429323370</v>
      </c>
    </row>
    <row r="41" spans="1:6" x14ac:dyDescent="0.2">
      <c r="A41" s="517" t="s">
        <v>3957</v>
      </c>
      <c r="B41" s="545">
        <v>483650000</v>
      </c>
      <c r="D41" s="702" t="s">
        <v>4183</v>
      </c>
      <c r="E41" s="682">
        <v>0</v>
      </c>
      <c r="F41" s="637">
        <v>483650000</v>
      </c>
    </row>
    <row r="42" spans="1:6" x14ac:dyDescent="0.2">
      <c r="A42" s="517" t="s">
        <v>3958</v>
      </c>
      <c r="B42" s="545">
        <v>435806000</v>
      </c>
      <c r="D42" s="702" t="s">
        <v>4184</v>
      </c>
      <c r="E42" s="682">
        <v>1000000</v>
      </c>
      <c r="F42" s="637">
        <v>435806000</v>
      </c>
    </row>
    <row r="43" spans="1:6" x14ac:dyDescent="0.2">
      <c r="A43" s="517" t="s">
        <v>3959</v>
      </c>
      <c r="B43" s="545">
        <v>361560000</v>
      </c>
      <c r="D43" s="702" t="s">
        <v>4185</v>
      </c>
      <c r="E43" s="682">
        <v>1000000</v>
      </c>
      <c r="F43" s="637">
        <v>361560000</v>
      </c>
    </row>
    <row r="44" spans="1:6" x14ac:dyDescent="0.2">
      <c r="A44" s="517" t="s">
        <v>3960</v>
      </c>
      <c r="B44" s="545">
        <v>437892808</v>
      </c>
      <c r="D44" s="702" t="s">
        <v>4186</v>
      </c>
      <c r="E44" s="702">
        <v>6469692</v>
      </c>
      <c r="F44" s="637">
        <v>437892808</v>
      </c>
    </row>
    <row r="45" spans="1:6" x14ac:dyDescent="0.2">
      <c r="A45" s="517" t="s">
        <v>3961</v>
      </c>
      <c r="B45" s="545">
        <v>484150000</v>
      </c>
      <c r="D45" s="702" t="s">
        <v>4187</v>
      </c>
      <c r="E45" s="682">
        <v>0</v>
      </c>
      <c r="F45" s="637">
        <v>484150000</v>
      </c>
    </row>
    <row r="46" spans="1:6" x14ac:dyDescent="0.2">
      <c r="A46" s="517" t="s">
        <v>3962</v>
      </c>
      <c r="B46" s="545">
        <v>436304100</v>
      </c>
      <c r="D46" s="702" t="s">
        <v>4188</v>
      </c>
      <c r="E46" s="682">
        <v>0</v>
      </c>
      <c r="F46" s="637">
        <v>436304100</v>
      </c>
    </row>
    <row r="47" spans="1:6" x14ac:dyDescent="0.2">
      <c r="A47" s="517" t="s">
        <v>3963</v>
      </c>
      <c r="B47" s="545">
        <v>365465400</v>
      </c>
      <c r="D47" s="702" t="s">
        <v>4189</v>
      </c>
      <c r="E47" s="682">
        <v>3994600</v>
      </c>
      <c r="F47" s="637">
        <v>365465400</v>
      </c>
    </row>
    <row r="48" spans="1:6" x14ac:dyDescent="0.2">
      <c r="A48" s="517" t="s">
        <v>3964</v>
      </c>
      <c r="B48" s="545">
        <v>434085000</v>
      </c>
      <c r="D48" s="702" t="s">
        <v>4190</v>
      </c>
      <c r="E48" s="702">
        <v>3000000</v>
      </c>
      <c r="F48" s="637">
        <v>434085000</v>
      </c>
    </row>
    <row r="49" spans="1:6" x14ac:dyDescent="0.2">
      <c r="A49" s="517" t="s">
        <v>3965</v>
      </c>
      <c r="B49" s="545">
        <v>439960656</v>
      </c>
      <c r="D49" s="702" t="s">
        <v>4191</v>
      </c>
      <c r="E49" s="682">
        <v>1660344</v>
      </c>
      <c r="F49" s="637">
        <v>439960656</v>
      </c>
    </row>
    <row r="50" spans="1:6" x14ac:dyDescent="0.2">
      <c r="A50" s="517" t="s">
        <v>3966</v>
      </c>
      <c r="B50" s="545">
        <v>363503851</v>
      </c>
      <c r="D50" s="702" t="s">
        <v>4192</v>
      </c>
      <c r="E50" s="682">
        <v>1000000</v>
      </c>
      <c r="F50" s="637">
        <v>363503851</v>
      </c>
    </row>
    <row r="51" spans="1:6" x14ac:dyDescent="0.2">
      <c r="A51" s="517" t="s">
        <v>3967</v>
      </c>
      <c r="B51" s="545">
        <v>440693000</v>
      </c>
      <c r="D51" s="702" t="s">
        <v>4193</v>
      </c>
      <c r="E51" s="682">
        <v>10000000</v>
      </c>
      <c r="F51" s="637">
        <v>440693000</v>
      </c>
    </row>
    <row r="52" spans="1:6" x14ac:dyDescent="0.2">
      <c r="A52" s="517" t="s">
        <v>3968</v>
      </c>
      <c r="B52" s="545">
        <v>485150000</v>
      </c>
      <c r="D52" s="702" t="s">
        <v>4194</v>
      </c>
      <c r="E52" s="682">
        <v>0</v>
      </c>
      <c r="F52" s="637">
        <v>485150000</v>
      </c>
    </row>
    <row r="53" spans="1:6" x14ac:dyDescent="0.2">
      <c r="A53" s="517" t="s">
        <v>3969</v>
      </c>
      <c r="B53" s="545">
        <v>455000795</v>
      </c>
      <c r="D53" s="702" t="s">
        <v>4195</v>
      </c>
      <c r="E53" s="682">
        <v>4236298</v>
      </c>
      <c r="F53" s="637">
        <v>455000795</v>
      </c>
    </row>
    <row r="54" spans="1:6" x14ac:dyDescent="0.2">
      <c r="A54" s="517" t="s">
        <v>3970</v>
      </c>
      <c r="B54" s="545">
        <v>412700000</v>
      </c>
      <c r="D54" s="702" t="s">
        <v>4196</v>
      </c>
      <c r="E54" s="682">
        <v>0</v>
      </c>
      <c r="F54" s="637">
        <v>412700000</v>
      </c>
    </row>
    <row r="55" spans="1:6" x14ac:dyDescent="0.2">
      <c r="A55" s="517" t="s">
        <v>3971</v>
      </c>
      <c r="B55" s="545">
        <v>432101000</v>
      </c>
      <c r="D55" s="702" t="s">
        <v>4197</v>
      </c>
      <c r="E55" s="682">
        <v>15000000</v>
      </c>
      <c r="F55" s="637">
        <v>432101000</v>
      </c>
    </row>
    <row r="56" spans="1:6" x14ac:dyDescent="0.2">
      <c r="A56" s="517" t="s">
        <v>3972</v>
      </c>
      <c r="B56" s="545">
        <v>485650000</v>
      </c>
      <c r="D56" s="702" t="s">
        <v>4198</v>
      </c>
      <c r="E56" s="702">
        <v>0</v>
      </c>
      <c r="F56" s="637">
        <v>485650000</v>
      </c>
    </row>
    <row r="57" spans="1:6" x14ac:dyDescent="0.2">
      <c r="A57" s="517" t="s">
        <v>3973</v>
      </c>
      <c r="B57" s="545">
        <v>440251000</v>
      </c>
      <c r="D57" s="702" t="s">
        <v>4199</v>
      </c>
      <c r="E57" s="682">
        <v>10000000</v>
      </c>
      <c r="F57" s="637">
        <v>440251000</v>
      </c>
    </row>
    <row r="58" spans="1:6" x14ac:dyDescent="0.2">
      <c r="A58" s="517" t="s">
        <v>3974</v>
      </c>
      <c r="B58" s="545">
        <v>369680000</v>
      </c>
      <c r="D58" s="702" t="s">
        <v>4200</v>
      </c>
      <c r="E58" s="682">
        <v>0</v>
      </c>
      <c r="F58" s="637">
        <v>369680000</v>
      </c>
    </row>
    <row r="59" spans="1:6" x14ac:dyDescent="0.2">
      <c r="A59" s="517" t="s">
        <v>3975</v>
      </c>
      <c r="B59" s="545">
        <v>428069145</v>
      </c>
      <c r="D59" s="702" t="s">
        <v>4201</v>
      </c>
      <c r="E59" s="682">
        <v>2301855</v>
      </c>
      <c r="F59" s="637">
        <v>428069145</v>
      </c>
    </row>
    <row r="60" spans="1:6" x14ac:dyDescent="0.2">
      <c r="A60" s="517" t="s">
        <v>3976</v>
      </c>
      <c r="B60" s="545">
        <v>446755745</v>
      </c>
      <c r="D60" s="702" t="s">
        <v>4202</v>
      </c>
      <c r="E60" s="682">
        <v>7810255</v>
      </c>
      <c r="F60" s="637">
        <v>446755745</v>
      </c>
    </row>
    <row r="61" spans="1:6" x14ac:dyDescent="0.2">
      <c r="A61" s="517" t="s">
        <v>3977</v>
      </c>
      <c r="B61" s="545">
        <v>372951128</v>
      </c>
      <c r="D61" s="702" t="s">
        <v>4203</v>
      </c>
      <c r="E61" s="682">
        <v>428872</v>
      </c>
      <c r="F61" s="637">
        <v>372951128</v>
      </c>
    </row>
    <row r="62" spans="1:6" x14ac:dyDescent="0.2">
      <c r="A62" s="517" t="s">
        <v>3978</v>
      </c>
      <c r="B62" s="545">
        <v>441458293</v>
      </c>
      <c r="D62" s="702" t="s">
        <v>4204</v>
      </c>
      <c r="E62" s="702">
        <v>0</v>
      </c>
      <c r="F62" s="637">
        <v>441458293</v>
      </c>
    </row>
    <row r="63" spans="1:6" x14ac:dyDescent="0.2">
      <c r="A63" s="517" t="s">
        <v>3979</v>
      </c>
      <c r="B63" s="545">
        <v>374800860</v>
      </c>
      <c r="D63" s="702" t="s">
        <v>4205</v>
      </c>
      <c r="E63" s="682">
        <v>3000000</v>
      </c>
      <c r="F63" s="637">
        <v>374800860</v>
      </c>
    </row>
    <row r="64" spans="1:6" x14ac:dyDescent="0.2">
      <c r="A64" s="517" t="s">
        <v>3980</v>
      </c>
      <c r="B64" s="545">
        <v>489245000</v>
      </c>
      <c r="D64" s="702" t="s">
        <v>4206</v>
      </c>
      <c r="E64" s="682">
        <v>0</v>
      </c>
      <c r="F64" s="637">
        <v>489245000</v>
      </c>
    </row>
    <row r="65" spans="1:6" x14ac:dyDescent="0.2">
      <c r="A65" s="517" t="s">
        <v>3981</v>
      </c>
      <c r="B65" s="545">
        <v>447368176</v>
      </c>
      <c r="D65" s="702" t="s">
        <v>4207</v>
      </c>
      <c r="E65" s="682">
        <v>10000000</v>
      </c>
      <c r="F65" s="637">
        <v>447368176</v>
      </c>
    </row>
    <row r="66" spans="1:6" x14ac:dyDescent="0.2">
      <c r="A66" s="517" t="s">
        <v>3982</v>
      </c>
      <c r="B66" s="545">
        <v>364079700</v>
      </c>
      <c r="D66" s="702" t="s">
        <v>4208</v>
      </c>
      <c r="E66" s="702">
        <v>1980300</v>
      </c>
      <c r="F66" s="637">
        <v>364079700</v>
      </c>
    </row>
    <row r="67" spans="1:6" x14ac:dyDescent="0.2">
      <c r="A67" s="517" t="s">
        <v>3983</v>
      </c>
      <c r="B67" s="545">
        <v>430601000</v>
      </c>
      <c r="D67" s="702" t="s">
        <v>4209</v>
      </c>
      <c r="E67" s="682">
        <v>16500000</v>
      </c>
      <c r="F67" s="637">
        <v>430601000</v>
      </c>
    </row>
    <row r="68" spans="1:6" x14ac:dyDescent="0.2">
      <c r="A68" s="517" t="s">
        <v>3917</v>
      </c>
      <c r="B68" s="545">
        <v>502978496</v>
      </c>
      <c r="D68" s="702" t="s">
        <v>4360</v>
      </c>
      <c r="E68" s="702">
        <v>0</v>
      </c>
      <c r="F68" s="637">
        <v>502978496</v>
      </c>
    </row>
    <row r="69" spans="1:6" x14ac:dyDescent="0.2">
      <c r="A69" s="517" t="s">
        <v>3984</v>
      </c>
      <c r="B69" s="545">
        <v>434962000</v>
      </c>
      <c r="D69" s="702" t="s">
        <v>4210</v>
      </c>
      <c r="E69" s="682">
        <v>15000000</v>
      </c>
      <c r="F69" s="637">
        <v>434962000</v>
      </c>
    </row>
    <row r="70" spans="1:6" x14ac:dyDescent="0.2">
      <c r="A70" s="517" t="s">
        <v>3985</v>
      </c>
      <c r="B70" s="545">
        <v>367663200</v>
      </c>
      <c r="D70" s="702" t="s">
        <v>4211</v>
      </c>
      <c r="E70" s="682">
        <v>4016800</v>
      </c>
      <c r="F70" s="637">
        <v>367663200</v>
      </c>
    </row>
    <row r="71" spans="1:6" x14ac:dyDescent="0.2">
      <c r="A71" s="517" t="s">
        <v>3986</v>
      </c>
      <c r="B71" s="545">
        <v>431101000</v>
      </c>
      <c r="D71" s="702" t="s">
        <v>4212</v>
      </c>
      <c r="E71" s="682">
        <v>16500000</v>
      </c>
      <c r="F71" s="637">
        <v>431101000</v>
      </c>
    </row>
    <row r="72" spans="1:6" x14ac:dyDescent="0.2">
      <c r="A72" s="517" t="s">
        <v>3987</v>
      </c>
      <c r="B72" s="545">
        <v>488150000</v>
      </c>
      <c r="D72" s="702" t="s">
        <v>4213</v>
      </c>
      <c r="E72" s="682">
        <v>0</v>
      </c>
      <c r="F72" s="637">
        <v>488150000</v>
      </c>
    </row>
    <row r="73" spans="1:6" x14ac:dyDescent="0.2">
      <c r="A73" s="517" t="s">
        <v>3988</v>
      </c>
      <c r="B73" s="545">
        <v>381780000</v>
      </c>
      <c r="D73" s="702" t="s">
        <v>4214</v>
      </c>
      <c r="E73" s="682">
        <v>0</v>
      </c>
      <c r="F73" s="637">
        <v>381780000</v>
      </c>
    </row>
    <row r="74" spans="1:6" x14ac:dyDescent="0.2">
      <c r="A74" s="517" t="s">
        <v>3989</v>
      </c>
      <c r="B74" s="545">
        <v>441666189</v>
      </c>
      <c r="D74" s="702" t="s">
        <v>4215</v>
      </c>
      <c r="E74" s="682">
        <v>7196311</v>
      </c>
      <c r="F74" s="637">
        <v>441666189</v>
      </c>
    </row>
    <row r="75" spans="1:6" x14ac:dyDescent="0.2">
      <c r="A75" s="517" t="s">
        <v>3990</v>
      </c>
      <c r="B75" s="545">
        <v>452410000</v>
      </c>
      <c r="D75" t="s">
        <v>4216</v>
      </c>
      <c r="E75">
        <v>0</v>
      </c>
      <c r="F75" s="637">
        <v>452410000</v>
      </c>
    </row>
    <row r="76" spans="1:6" x14ac:dyDescent="0.2">
      <c r="A76" s="517" t="s">
        <v>3991</v>
      </c>
      <c r="B76" s="545">
        <v>433373490</v>
      </c>
      <c r="D76" t="s">
        <v>4217</v>
      </c>
      <c r="E76">
        <v>2328510</v>
      </c>
      <c r="F76" s="637">
        <v>433373490</v>
      </c>
    </row>
    <row r="77" spans="1:6" x14ac:dyDescent="0.2">
      <c r="A77" s="517" t="s">
        <v>3992</v>
      </c>
      <c r="B77" s="545">
        <v>372880000</v>
      </c>
      <c r="D77" t="s">
        <v>4218</v>
      </c>
      <c r="E77">
        <v>3000000</v>
      </c>
      <c r="F77" s="637">
        <v>372880000</v>
      </c>
    </row>
    <row r="78" spans="1:6" x14ac:dyDescent="0.2">
      <c r="A78" s="517" t="s">
        <v>3993</v>
      </c>
      <c r="B78" s="545">
        <v>440818068</v>
      </c>
      <c r="D78" t="s">
        <v>4219</v>
      </c>
      <c r="E78">
        <v>9305932</v>
      </c>
      <c r="F78" s="637">
        <v>440818068</v>
      </c>
    </row>
    <row r="79" spans="1:6" x14ac:dyDescent="0.2">
      <c r="A79" s="517" t="s">
        <v>3994</v>
      </c>
      <c r="B79" s="545">
        <v>431870000</v>
      </c>
      <c r="D79" t="s">
        <v>4220</v>
      </c>
      <c r="E79">
        <v>15000000</v>
      </c>
      <c r="F79" s="637">
        <v>431870000</v>
      </c>
    </row>
    <row r="80" spans="1:6" x14ac:dyDescent="0.2">
      <c r="A80" s="517" t="s">
        <v>3995</v>
      </c>
      <c r="B80" s="545">
        <v>373353892</v>
      </c>
      <c r="D80" t="s">
        <v>4221</v>
      </c>
      <c r="E80">
        <v>0</v>
      </c>
      <c r="F80" s="637">
        <v>373353892</v>
      </c>
    </row>
    <row r="81" spans="1:6" x14ac:dyDescent="0.2">
      <c r="A81" s="517" t="s">
        <v>3996</v>
      </c>
      <c r="B81" s="545">
        <v>441770500</v>
      </c>
      <c r="D81" t="s">
        <v>4222</v>
      </c>
      <c r="E81">
        <v>2000000</v>
      </c>
      <c r="F81" s="637">
        <v>441770500</v>
      </c>
    </row>
    <row r="82" spans="1:6" x14ac:dyDescent="0.2">
      <c r="A82" s="517" t="s">
        <v>3997</v>
      </c>
      <c r="B82" s="545">
        <v>457109469</v>
      </c>
      <c r="D82" t="s">
        <v>4223</v>
      </c>
      <c r="E82">
        <v>10000000</v>
      </c>
      <c r="F82" s="637">
        <v>457109469</v>
      </c>
    </row>
    <row r="83" spans="1:6" x14ac:dyDescent="0.2">
      <c r="A83" s="517" t="s">
        <v>3998</v>
      </c>
      <c r="B83" s="545">
        <v>442182552</v>
      </c>
      <c r="D83" t="s">
        <v>4224</v>
      </c>
      <c r="E83">
        <v>2333510</v>
      </c>
      <c r="F83" s="637">
        <v>442182552</v>
      </c>
    </row>
    <row r="84" spans="1:6" x14ac:dyDescent="0.2">
      <c r="A84" s="517" t="s">
        <v>3999</v>
      </c>
      <c r="B84" s="545">
        <v>369875050</v>
      </c>
      <c r="D84" t="s">
        <v>4225</v>
      </c>
      <c r="E84">
        <v>6000000</v>
      </c>
      <c r="F84" s="637">
        <v>369875050</v>
      </c>
    </row>
    <row r="85" spans="1:6" x14ac:dyDescent="0.2">
      <c r="A85" s="517" t="s">
        <v>4000</v>
      </c>
      <c r="B85" s="545">
        <v>25000000</v>
      </c>
    </row>
    <row r="86" spans="1:6" x14ac:dyDescent="0.2">
      <c r="A86" s="517" t="s">
        <v>4001</v>
      </c>
      <c r="B86" s="545">
        <v>37000000</v>
      </c>
    </row>
    <row r="87" spans="1:6" x14ac:dyDescent="0.2">
      <c r="A87" s="517" t="s">
        <v>2595</v>
      </c>
      <c r="B87" s="545">
        <v>25000000</v>
      </c>
    </row>
    <row r="88" spans="1:6" x14ac:dyDescent="0.2">
      <c r="A88" s="517" t="s">
        <v>4002</v>
      </c>
      <c r="B88" s="545">
        <v>25000000</v>
      </c>
    </row>
    <row r="89" spans="1:6" x14ac:dyDescent="0.2">
      <c r="A89" s="517" t="s">
        <v>4003</v>
      </c>
      <c r="B89" s="545">
        <v>25000000</v>
      </c>
    </row>
    <row r="90" spans="1:6" x14ac:dyDescent="0.2">
      <c r="A90" s="517" t="s">
        <v>4004</v>
      </c>
      <c r="B90" s="545">
        <v>25000000</v>
      </c>
    </row>
    <row r="91" spans="1:6" x14ac:dyDescent="0.2">
      <c r="A91" s="517" t="s">
        <v>4350</v>
      </c>
      <c r="B91" s="545">
        <v>25000000</v>
      </c>
    </row>
    <row r="92" spans="1:6" x14ac:dyDescent="0.2">
      <c r="A92" s="517" t="s">
        <v>3317</v>
      </c>
      <c r="B92" s="545">
        <v>25000000</v>
      </c>
    </row>
    <row r="93" spans="1:6" x14ac:dyDescent="0.2">
      <c r="A93" s="517" t="s">
        <v>3318</v>
      </c>
      <c r="B93" s="545">
        <v>25000000</v>
      </c>
    </row>
    <row r="94" spans="1:6" x14ac:dyDescent="0.2">
      <c r="A94" s="517" t="s">
        <v>2643</v>
      </c>
      <c r="B94" s="545">
        <v>25000000</v>
      </c>
    </row>
    <row r="95" spans="1:6" x14ac:dyDescent="0.2">
      <c r="A95" s="517" t="s">
        <v>1498</v>
      </c>
      <c r="B95" s="545">
        <v>25000000</v>
      </c>
    </row>
    <row r="96" spans="1:6" x14ac:dyDescent="0.2">
      <c r="A96" s="517" t="s">
        <v>1269</v>
      </c>
      <c r="B96" s="545">
        <v>25000000</v>
      </c>
    </row>
    <row r="97" spans="1:2" x14ac:dyDescent="0.2">
      <c r="A97" s="517" t="s">
        <v>1270</v>
      </c>
      <c r="B97" s="545">
        <v>25000000</v>
      </c>
    </row>
    <row r="98" spans="1:2" x14ac:dyDescent="0.2">
      <c r="A98" s="517" t="s">
        <v>3100</v>
      </c>
      <c r="B98" s="545">
        <v>25000000</v>
      </c>
    </row>
    <row r="99" spans="1:2" x14ac:dyDescent="0.2">
      <c r="A99" s="517" t="s">
        <v>2232</v>
      </c>
      <c r="B99" s="545">
        <v>25000000</v>
      </c>
    </row>
    <row r="100" spans="1:2" x14ac:dyDescent="0.2">
      <c r="A100" s="517" t="s">
        <v>2301</v>
      </c>
      <c r="B100" s="545">
        <v>25000000</v>
      </c>
    </row>
    <row r="101" spans="1:2" x14ac:dyDescent="0.2">
      <c r="A101" s="517" t="s">
        <v>1565</v>
      </c>
      <c r="B101" s="545">
        <v>25000000</v>
      </c>
    </row>
    <row r="102" spans="1:2" x14ac:dyDescent="0.2">
      <c r="A102" s="517" t="s">
        <v>1751</v>
      </c>
      <c r="B102" s="545">
        <v>25000000</v>
      </c>
    </row>
    <row r="103" spans="1:2" x14ac:dyDescent="0.2">
      <c r="A103" s="517" t="s">
        <v>1752</v>
      </c>
      <c r="B103" s="545">
        <v>25000000</v>
      </c>
    </row>
    <row r="104" spans="1:2" x14ac:dyDescent="0.2">
      <c r="A104" s="517" t="s">
        <v>1020</v>
      </c>
      <c r="B104" s="545">
        <v>25000000</v>
      </c>
    </row>
    <row r="105" spans="1:2" x14ac:dyDescent="0.2">
      <c r="A105" s="517" t="s">
        <v>925</v>
      </c>
      <c r="B105" s="545">
        <v>25000000</v>
      </c>
    </row>
    <row r="106" spans="1:2" x14ac:dyDescent="0.2">
      <c r="A106" s="517" t="s">
        <v>1345</v>
      </c>
      <c r="B106" s="545">
        <v>25000000</v>
      </c>
    </row>
    <row r="107" spans="1:2" x14ac:dyDescent="0.2">
      <c r="A107" s="517" t="s">
        <v>1453</v>
      </c>
      <c r="B107" s="545">
        <v>25000000</v>
      </c>
    </row>
    <row r="108" spans="1:2" x14ac:dyDescent="0.2">
      <c r="A108" s="517" t="s">
        <v>1566</v>
      </c>
      <c r="B108" s="545">
        <v>25000000</v>
      </c>
    </row>
    <row r="109" spans="1:2" x14ac:dyDescent="0.2">
      <c r="A109" s="517" t="s">
        <v>1543</v>
      </c>
      <c r="B109" s="545">
        <v>25000000</v>
      </c>
    </row>
    <row r="110" spans="1:2" x14ac:dyDescent="0.2">
      <c r="A110" s="517" t="s">
        <v>1271</v>
      </c>
      <c r="B110" s="545">
        <v>25000000</v>
      </c>
    </row>
    <row r="111" spans="1:2" x14ac:dyDescent="0.2">
      <c r="A111" s="517" t="s">
        <v>1544</v>
      </c>
      <c r="B111" s="545">
        <v>25000000</v>
      </c>
    </row>
    <row r="112" spans="1:2" x14ac:dyDescent="0.2">
      <c r="A112" s="517" t="s">
        <v>1583</v>
      </c>
      <c r="B112" s="545">
        <v>25000000</v>
      </c>
    </row>
    <row r="113" spans="1:2" x14ac:dyDescent="0.2">
      <c r="A113" s="517" t="s">
        <v>1620</v>
      </c>
      <c r="B113" s="545">
        <v>25000000</v>
      </c>
    </row>
    <row r="114" spans="1:2" x14ac:dyDescent="0.2">
      <c r="A114" s="517" t="s">
        <v>1584</v>
      </c>
      <c r="B114" s="545">
        <v>25000000</v>
      </c>
    </row>
    <row r="115" spans="1:2" x14ac:dyDescent="0.2">
      <c r="A115" s="517" t="s">
        <v>1585</v>
      </c>
      <c r="B115" s="545">
        <v>25000000</v>
      </c>
    </row>
    <row r="116" spans="1:2" x14ac:dyDescent="0.2">
      <c r="A116" s="517" t="s">
        <v>1426</v>
      </c>
      <c r="B116" s="545">
        <v>25000000</v>
      </c>
    </row>
    <row r="117" spans="1:2" x14ac:dyDescent="0.2">
      <c r="A117" s="517" t="s">
        <v>2596</v>
      </c>
      <c r="B117" s="545">
        <v>25000000</v>
      </c>
    </row>
    <row r="118" spans="1:2" x14ac:dyDescent="0.2">
      <c r="A118" s="517" t="s">
        <v>1730</v>
      </c>
      <c r="B118" s="545">
        <v>25000000</v>
      </c>
    </row>
    <row r="119" spans="1:2" x14ac:dyDescent="0.2">
      <c r="A119" s="517" t="s">
        <v>1272</v>
      </c>
      <c r="B119" s="545">
        <v>25000000</v>
      </c>
    </row>
    <row r="120" spans="1:2" x14ac:dyDescent="0.2">
      <c r="A120" s="517" t="s">
        <v>1454</v>
      </c>
      <c r="B120" s="545">
        <v>25000000</v>
      </c>
    </row>
    <row r="121" spans="1:2" x14ac:dyDescent="0.2">
      <c r="A121" s="517" t="s">
        <v>1499</v>
      </c>
      <c r="B121" s="545">
        <v>25000000</v>
      </c>
    </row>
    <row r="122" spans="1:2" x14ac:dyDescent="0.2">
      <c r="A122" s="517" t="s">
        <v>1370</v>
      </c>
      <c r="B122" s="545">
        <v>25000000</v>
      </c>
    </row>
    <row r="123" spans="1:2" x14ac:dyDescent="0.2">
      <c r="A123" s="517" t="s">
        <v>1273</v>
      </c>
      <c r="B123" s="545">
        <v>25000000</v>
      </c>
    </row>
    <row r="124" spans="1:2" x14ac:dyDescent="0.2">
      <c r="A124" s="517" t="s">
        <v>1586</v>
      </c>
      <c r="B124" s="545">
        <v>25000000</v>
      </c>
    </row>
    <row r="125" spans="1:2" x14ac:dyDescent="0.2">
      <c r="A125" s="517" t="s">
        <v>1500</v>
      </c>
      <c r="B125" s="545">
        <v>25000000</v>
      </c>
    </row>
    <row r="126" spans="1:2" x14ac:dyDescent="0.2">
      <c r="A126" s="517" t="s">
        <v>1427</v>
      </c>
      <c r="B126" s="545">
        <v>25000000</v>
      </c>
    </row>
    <row r="127" spans="1:2" x14ac:dyDescent="0.2">
      <c r="A127" s="517" t="s">
        <v>1731</v>
      </c>
      <c r="B127" s="545">
        <v>25000000</v>
      </c>
    </row>
    <row r="128" spans="1:2" x14ac:dyDescent="0.2">
      <c r="A128" s="517" t="s">
        <v>1274</v>
      </c>
      <c r="B128" s="545">
        <v>25000000</v>
      </c>
    </row>
    <row r="129" spans="1:2" x14ac:dyDescent="0.2">
      <c r="A129" s="517" t="s">
        <v>2561</v>
      </c>
      <c r="B129" s="545">
        <v>25000000</v>
      </c>
    </row>
    <row r="130" spans="1:2" x14ac:dyDescent="0.2">
      <c r="A130" s="517" t="s">
        <v>1690</v>
      </c>
      <c r="B130" s="545">
        <v>25000000</v>
      </c>
    </row>
    <row r="131" spans="1:2" x14ac:dyDescent="0.2">
      <c r="A131" s="517" t="s">
        <v>1275</v>
      </c>
      <c r="B131" s="545">
        <v>25000000</v>
      </c>
    </row>
    <row r="132" spans="1:2" x14ac:dyDescent="0.2">
      <c r="A132" s="517" t="s">
        <v>1517</v>
      </c>
      <c r="B132" s="545">
        <v>25000000</v>
      </c>
    </row>
    <row r="133" spans="1:2" x14ac:dyDescent="0.2">
      <c r="A133" s="517" t="s">
        <v>1501</v>
      </c>
      <c r="B133" s="545">
        <v>25000000</v>
      </c>
    </row>
    <row r="134" spans="1:2" x14ac:dyDescent="0.2">
      <c r="A134" s="517" t="s">
        <v>1545</v>
      </c>
      <c r="B134" s="545">
        <v>25000000</v>
      </c>
    </row>
    <row r="135" spans="1:2" x14ac:dyDescent="0.2">
      <c r="A135" s="517" t="s">
        <v>1456</v>
      </c>
      <c r="B135" s="545">
        <v>25000000</v>
      </c>
    </row>
    <row r="136" spans="1:2" x14ac:dyDescent="0.2">
      <c r="A136" s="517" t="s">
        <v>1732</v>
      </c>
      <c r="B136" s="545">
        <v>25000000</v>
      </c>
    </row>
    <row r="137" spans="1:2" x14ac:dyDescent="0.2">
      <c r="A137" s="517" t="s">
        <v>1371</v>
      </c>
      <c r="B137" s="545">
        <v>25000000</v>
      </c>
    </row>
    <row r="138" spans="1:2" x14ac:dyDescent="0.2">
      <c r="A138" s="517" t="s">
        <v>1555</v>
      </c>
      <c r="B138" s="545">
        <v>25000000</v>
      </c>
    </row>
    <row r="139" spans="1:2" x14ac:dyDescent="0.2">
      <c r="A139" s="517" t="s">
        <v>1603</v>
      </c>
      <c r="B139" s="545">
        <v>25000000</v>
      </c>
    </row>
    <row r="140" spans="1:2" x14ac:dyDescent="0.2">
      <c r="A140" s="517" t="s">
        <v>1518</v>
      </c>
      <c r="B140" s="545">
        <v>25000000</v>
      </c>
    </row>
    <row r="141" spans="1:2" x14ac:dyDescent="0.2">
      <c r="A141" s="517" t="s">
        <v>2302</v>
      </c>
      <c r="B141" s="545">
        <v>25000000</v>
      </c>
    </row>
    <row r="142" spans="1:2" x14ac:dyDescent="0.2">
      <c r="A142" s="517" t="s">
        <v>1733</v>
      </c>
      <c r="B142" s="545">
        <v>25000000</v>
      </c>
    </row>
    <row r="143" spans="1:2" x14ac:dyDescent="0.2">
      <c r="A143" s="517" t="s">
        <v>1604</v>
      </c>
      <c r="B143" s="545">
        <v>25000000</v>
      </c>
    </row>
    <row r="144" spans="1:2" x14ac:dyDescent="0.2">
      <c r="A144" s="517" t="s">
        <v>1502</v>
      </c>
      <c r="B144" s="545">
        <v>25000000</v>
      </c>
    </row>
    <row r="145" spans="1:2" x14ac:dyDescent="0.2">
      <c r="A145" s="517" t="s">
        <v>2562</v>
      </c>
      <c r="B145" s="545">
        <v>25000000</v>
      </c>
    </row>
    <row r="146" spans="1:2" x14ac:dyDescent="0.2">
      <c r="A146" s="517" t="s">
        <v>1691</v>
      </c>
      <c r="B146" s="545">
        <v>25000000</v>
      </c>
    </row>
    <row r="147" spans="1:2" x14ac:dyDescent="0.2">
      <c r="A147" s="517" t="s">
        <v>1605</v>
      </c>
      <c r="B147" s="545">
        <v>25000000</v>
      </c>
    </row>
    <row r="148" spans="1:2" x14ac:dyDescent="0.2">
      <c r="A148" s="517" t="s">
        <v>2563</v>
      </c>
      <c r="B148" s="545">
        <v>25000000</v>
      </c>
    </row>
    <row r="149" spans="1:2" x14ac:dyDescent="0.2">
      <c r="A149" s="517" t="s">
        <v>1503</v>
      </c>
      <c r="B149" s="545">
        <v>25000000</v>
      </c>
    </row>
    <row r="150" spans="1:2" x14ac:dyDescent="0.2">
      <c r="A150" s="517" t="s">
        <v>1546</v>
      </c>
      <c r="B150" s="545">
        <v>25000000</v>
      </c>
    </row>
    <row r="151" spans="1:2" x14ac:dyDescent="0.2">
      <c r="A151" s="517" t="s">
        <v>1621</v>
      </c>
      <c r="B151" s="545">
        <v>25000000</v>
      </c>
    </row>
    <row r="152" spans="1:2" x14ac:dyDescent="0.2">
      <c r="A152" s="517" t="s">
        <v>1519</v>
      </c>
      <c r="B152" s="545">
        <v>25000000</v>
      </c>
    </row>
    <row r="153" spans="1:2" x14ac:dyDescent="0.2">
      <c r="A153" s="517" t="s">
        <v>1520</v>
      </c>
      <c r="B153" s="545">
        <v>25000000</v>
      </c>
    </row>
    <row r="154" spans="1:2" x14ac:dyDescent="0.2">
      <c r="A154" s="517" t="s">
        <v>1734</v>
      </c>
      <c r="B154" s="545">
        <v>25000000</v>
      </c>
    </row>
    <row r="155" spans="1:2" x14ac:dyDescent="0.2">
      <c r="A155" s="517" t="s">
        <v>1735</v>
      </c>
      <c r="B155" s="545">
        <v>25000000</v>
      </c>
    </row>
    <row r="156" spans="1:2" x14ac:dyDescent="0.2">
      <c r="A156" s="517" t="s">
        <v>1547</v>
      </c>
      <c r="B156" s="545">
        <v>25000000</v>
      </c>
    </row>
    <row r="157" spans="1:2" x14ac:dyDescent="0.2">
      <c r="A157" s="517" t="s">
        <v>1372</v>
      </c>
      <c r="B157" s="545">
        <v>25000000</v>
      </c>
    </row>
    <row r="158" spans="1:2" x14ac:dyDescent="0.2">
      <c r="A158" s="517" t="s">
        <v>1587</v>
      </c>
      <c r="B158" s="545">
        <v>25000000</v>
      </c>
    </row>
    <row r="159" spans="1:2" x14ac:dyDescent="0.2">
      <c r="A159" s="517" t="s">
        <v>1458</v>
      </c>
      <c r="B159" s="545">
        <v>25000000</v>
      </c>
    </row>
    <row r="160" spans="1:2" x14ac:dyDescent="0.2">
      <c r="A160" s="517" t="s">
        <v>1753</v>
      </c>
      <c r="B160" s="545">
        <v>25000000</v>
      </c>
    </row>
    <row r="161" spans="1:2" x14ac:dyDescent="0.2">
      <c r="A161" s="517" t="s">
        <v>1276</v>
      </c>
      <c r="B161" s="545">
        <v>24000000</v>
      </c>
    </row>
    <row r="162" spans="1:2" x14ac:dyDescent="0.2">
      <c r="A162" s="517" t="s">
        <v>1736</v>
      </c>
      <c r="B162" s="545">
        <v>25000000</v>
      </c>
    </row>
    <row r="163" spans="1:2" x14ac:dyDescent="0.2">
      <c r="A163" s="517" t="s">
        <v>2233</v>
      </c>
      <c r="B163" s="545">
        <v>24000000</v>
      </c>
    </row>
    <row r="164" spans="1:2" x14ac:dyDescent="0.2">
      <c r="A164" s="517" t="s">
        <v>1277</v>
      </c>
      <c r="B164" s="545">
        <v>25000000</v>
      </c>
    </row>
    <row r="165" spans="1:2" x14ac:dyDescent="0.2">
      <c r="A165" s="517" t="s">
        <v>1504</v>
      </c>
      <c r="B165" s="545">
        <v>25000000</v>
      </c>
    </row>
    <row r="166" spans="1:2" x14ac:dyDescent="0.2">
      <c r="A166" s="517" t="s">
        <v>2564</v>
      </c>
      <c r="B166" s="545">
        <v>25000000</v>
      </c>
    </row>
    <row r="167" spans="1:2" x14ac:dyDescent="0.2">
      <c r="A167" s="517" t="s">
        <v>1567</v>
      </c>
      <c r="B167" s="545">
        <v>25000000</v>
      </c>
    </row>
    <row r="168" spans="1:2" x14ac:dyDescent="0.2">
      <c r="A168" s="517" t="s">
        <v>3897</v>
      </c>
      <c r="B168" s="545">
        <v>5000000</v>
      </c>
    </row>
    <row r="169" spans="1:2" x14ac:dyDescent="0.2">
      <c r="A169" s="517" t="s">
        <v>4005</v>
      </c>
      <c r="B169" s="545">
        <v>5000000</v>
      </c>
    </row>
    <row r="170" spans="1:2" x14ac:dyDescent="0.2">
      <c r="A170" s="517" t="s">
        <v>2598</v>
      </c>
      <c r="B170" s="545">
        <v>5000000</v>
      </c>
    </row>
    <row r="171" spans="1:2" x14ac:dyDescent="0.2">
      <c r="A171" s="517" t="s">
        <v>3319</v>
      </c>
      <c r="B171" s="545">
        <v>5000000</v>
      </c>
    </row>
    <row r="172" spans="1:2" x14ac:dyDescent="0.2">
      <c r="A172" s="517" t="s">
        <v>2644</v>
      </c>
      <c r="B172" s="545">
        <v>5000000</v>
      </c>
    </row>
    <row r="173" spans="1:2" x14ac:dyDescent="0.2">
      <c r="A173" s="517" t="s">
        <v>4006</v>
      </c>
      <c r="B173" s="545">
        <v>5000000</v>
      </c>
    </row>
    <row r="174" spans="1:2" x14ac:dyDescent="0.2">
      <c r="A174" s="517" t="s">
        <v>3320</v>
      </c>
      <c r="B174" s="545">
        <v>5000000</v>
      </c>
    </row>
    <row r="175" spans="1:2" x14ac:dyDescent="0.2">
      <c r="A175" s="517" t="s">
        <v>4007</v>
      </c>
      <c r="B175" s="545">
        <v>5000000</v>
      </c>
    </row>
    <row r="176" spans="1:2" x14ac:dyDescent="0.2">
      <c r="A176" s="517" t="s">
        <v>4008</v>
      </c>
      <c r="B176" s="545">
        <v>5000000</v>
      </c>
    </row>
    <row r="177" spans="1:2" x14ac:dyDescent="0.2">
      <c r="A177" s="517" t="s">
        <v>4351</v>
      </c>
      <c r="B177" s="545">
        <v>5000000</v>
      </c>
    </row>
    <row r="178" spans="1:2" x14ac:dyDescent="0.2">
      <c r="A178" s="517" t="s">
        <v>1505</v>
      </c>
      <c r="B178" s="545">
        <v>5000000</v>
      </c>
    </row>
    <row r="179" spans="1:2" x14ac:dyDescent="0.2">
      <c r="A179" s="517" t="s">
        <v>1278</v>
      </c>
      <c r="B179" s="545">
        <v>5000000</v>
      </c>
    </row>
    <row r="180" spans="1:2" x14ac:dyDescent="0.2">
      <c r="A180" s="517" t="s">
        <v>1279</v>
      </c>
      <c r="B180" s="545">
        <v>5000000</v>
      </c>
    </row>
    <row r="181" spans="1:2" x14ac:dyDescent="0.2">
      <c r="A181" s="517" t="s">
        <v>3101</v>
      </c>
      <c r="B181" s="545">
        <v>5000000</v>
      </c>
    </row>
    <row r="182" spans="1:2" x14ac:dyDescent="0.2">
      <c r="A182" s="517" t="s">
        <v>2234</v>
      </c>
      <c r="B182" s="545">
        <v>5000000</v>
      </c>
    </row>
    <row r="183" spans="1:2" x14ac:dyDescent="0.2">
      <c r="A183" s="517" t="s">
        <v>2303</v>
      </c>
      <c r="B183" s="545">
        <v>5000000</v>
      </c>
    </row>
    <row r="184" spans="1:2" x14ac:dyDescent="0.2">
      <c r="A184" s="517" t="s">
        <v>935</v>
      </c>
      <c r="B184" s="545">
        <v>5000000</v>
      </c>
    </row>
    <row r="185" spans="1:2" x14ac:dyDescent="0.2">
      <c r="A185" s="517" t="s">
        <v>1568</v>
      </c>
      <c r="B185" s="545">
        <v>5000000</v>
      </c>
    </row>
    <row r="186" spans="1:2" x14ac:dyDescent="0.2">
      <c r="A186" s="517" t="s">
        <v>1754</v>
      </c>
      <c r="B186" s="545">
        <v>5000000</v>
      </c>
    </row>
    <row r="187" spans="1:2" x14ac:dyDescent="0.2">
      <c r="A187" s="517" t="s">
        <v>1755</v>
      </c>
      <c r="B187" s="545">
        <v>5000000</v>
      </c>
    </row>
    <row r="188" spans="1:2" x14ac:dyDescent="0.2">
      <c r="A188" s="517" t="s">
        <v>1042</v>
      </c>
      <c r="B188" s="545">
        <v>5000000</v>
      </c>
    </row>
    <row r="189" spans="1:2" x14ac:dyDescent="0.2">
      <c r="A189" s="517" t="s">
        <v>1346</v>
      </c>
      <c r="B189" s="545">
        <v>5000000</v>
      </c>
    </row>
    <row r="190" spans="1:2" x14ac:dyDescent="0.2">
      <c r="A190" s="517" t="s">
        <v>1459</v>
      </c>
      <c r="B190" s="545">
        <v>5000000</v>
      </c>
    </row>
    <row r="191" spans="1:2" x14ac:dyDescent="0.2">
      <c r="A191" s="517" t="s">
        <v>1569</v>
      </c>
      <c r="B191" s="545">
        <v>5000000</v>
      </c>
    </row>
    <row r="192" spans="1:2" x14ac:dyDescent="0.2">
      <c r="A192" s="517" t="s">
        <v>1548</v>
      </c>
      <c r="B192" s="545">
        <v>5000000</v>
      </c>
    </row>
    <row r="193" spans="1:2" x14ac:dyDescent="0.2">
      <c r="A193" s="517" t="s">
        <v>1280</v>
      </c>
      <c r="B193" s="545">
        <v>5000000</v>
      </c>
    </row>
    <row r="194" spans="1:2" x14ac:dyDescent="0.2">
      <c r="A194" s="517" t="s">
        <v>1549</v>
      </c>
      <c r="B194" s="545">
        <v>5000000</v>
      </c>
    </row>
    <row r="195" spans="1:2" x14ac:dyDescent="0.2">
      <c r="A195" s="517" t="s">
        <v>1588</v>
      </c>
      <c r="B195" s="545">
        <v>5000000</v>
      </c>
    </row>
    <row r="196" spans="1:2" x14ac:dyDescent="0.2">
      <c r="A196" s="517" t="s">
        <v>1622</v>
      </c>
      <c r="B196" s="545">
        <v>5000000</v>
      </c>
    </row>
    <row r="197" spans="1:2" x14ac:dyDescent="0.2">
      <c r="A197" s="517" t="s">
        <v>1589</v>
      </c>
      <c r="B197" s="545">
        <v>5000000</v>
      </c>
    </row>
    <row r="198" spans="1:2" x14ac:dyDescent="0.2">
      <c r="A198" s="517" t="s">
        <v>1590</v>
      </c>
      <c r="B198" s="545">
        <v>5000000</v>
      </c>
    </row>
    <row r="199" spans="1:2" x14ac:dyDescent="0.2">
      <c r="A199" s="517" t="s">
        <v>1428</v>
      </c>
      <c r="B199" s="545">
        <v>5000000</v>
      </c>
    </row>
    <row r="200" spans="1:2" x14ac:dyDescent="0.2">
      <c r="A200" s="517" t="s">
        <v>2599</v>
      </c>
      <c r="B200" s="545">
        <v>5000000</v>
      </c>
    </row>
    <row r="201" spans="1:2" x14ac:dyDescent="0.2">
      <c r="A201" s="517" t="s">
        <v>1737</v>
      </c>
      <c r="B201" s="545">
        <v>5000000</v>
      </c>
    </row>
    <row r="202" spans="1:2" x14ac:dyDescent="0.2">
      <c r="A202" s="517" t="s">
        <v>1281</v>
      </c>
      <c r="B202" s="545">
        <v>5000000</v>
      </c>
    </row>
    <row r="203" spans="1:2" x14ac:dyDescent="0.2">
      <c r="A203" s="517" t="s">
        <v>1460</v>
      </c>
      <c r="B203" s="545">
        <v>5000000</v>
      </c>
    </row>
    <row r="204" spans="1:2" x14ac:dyDescent="0.2">
      <c r="A204" s="517" t="s">
        <v>1506</v>
      </c>
      <c r="B204" s="545">
        <v>5000000</v>
      </c>
    </row>
    <row r="205" spans="1:2" x14ac:dyDescent="0.2">
      <c r="A205" s="517" t="s">
        <v>1373</v>
      </c>
      <c r="B205" s="545">
        <v>5000000</v>
      </c>
    </row>
    <row r="206" spans="1:2" x14ac:dyDescent="0.2">
      <c r="A206" s="517" t="s">
        <v>1282</v>
      </c>
      <c r="B206" s="545">
        <v>5000000</v>
      </c>
    </row>
    <row r="207" spans="1:2" x14ac:dyDescent="0.2">
      <c r="A207" s="517" t="s">
        <v>1591</v>
      </c>
      <c r="B207" s="545">
        <v>5000000</v>
      </c>
    </row>
    <row r="208" spans="1:2" x14ac:dyDescent="0.2">
      <c r="A208" s="517" t="s">
        <v>1507</v>
      </c>
      <c r="B208" s="545">
        <v>5000000</v>
      </c>
    </row>
    <row r="209" spans="1:2" x14ac:dyDescent="0.2">
      <c r="A209" s="517" t="s">
        <v>1429</v>
      </c>
      <c r="B209" s="545">
        <v>5000000</v>
      </c>
    </row>
    <row r="210" spans="1:2" x14ac:dyDescent="0.2">
      <c r="A210" s="517" t="s">
        <v>1738</v>
      </c>
      <c r="B210" s="545">
        <v>5000000</v>
      </c>
    </row>
    <row r="211" spans="1:2" x14ac:dyDescent="0.2">
      <c r="A211" s="517" t="s">
        <v>1283</v>
      </c>
      <c r="B211" s="545">
        <v>5000000</v>
      </c>
    </row>
    <row r="212" spans="1:2" x14ac:dyDescent="0.2">
      <c r="A212" s="517" t="s">
        <v>2566</v>
      </c>
      <c r="B212" s="545">
        <v>5000000</v>
      </c>
    </row>
    <row r="213" spans="1:2" x14ac:dyDescent="0.2">
      <c r="A213" s="517" t="s">
        <v>1693</v>
      </c>
      <c r="B213" s="545">
        <v>5000000</v>
      </c>
    </row>
    <row r="214" spans="1:2" x14ac:dyDescent="0.2">
      <c r="A214" s="517" t="s">
        <v>1284</v>
      </c>
      <c r="B214" s="545">
        <v>5000000</v>
      </c>
    </row>
    <row r="215" spans="1:2" x14ac:dyDescent="0.2">
      <c r="A215" s="517" t="s">
        <v>1521</v>
      </c>
      <c r="B215" s="545">
        <v>5000000</v>
      </c>
    </row>
    <row r="216" spans="1:2" x14ac:dyDescent="0.2">
      <c r="A216" s="517" t="s">
        <v>1508</v>
      </c>
      <c r="B216" s="545">
        <v>5000000</v>
      </c>
    </row>
    <row r="217" spans="1:2" x14ac:dyDescent="0.2">
      <c r="A217" s="517" t="s">
        <v>1550</v>
      </c>
      <c r="B217" s="545">
        <v>5000000</v>
      </c>
    </row>
    <row r="218" spans="1:2" x14ac:dyDescent="0.2">
      <c r="A218" s="517" t="s">
        <v>1462</v>
      </c>
      <c r="B218" s="545">
        <v>5000000</v>
      </c>
    </row>
    <row r="219" spans="1:2" x14ac:dyDescent="0.2">
      <c r="A219" s="517" t="s">
        <v>1739</v>
      </c>
      <c r="B219" s="545">
        <v>5000000</v>
      </c>
    </row>
    <row r="220" spans="1:2" x14ac:dyDescent="0.2">
      <c r="A220" s="517" t="s">
        <v>1374</v>
      </c>
      <c r="B220" s="545">
        <v>5000000</v>
      </c>
    </row>
    <row r="221" spans="1:2" x14ac:dyDescent="0.2">
      <c r="A221" s="517" t="s">
        <v>1556</v>
      </c>
      <c r="B221" s="545">
        <v>5000000</v>
      </c>
    </row>
    <row r="222" spans="1:2" x14ac:dyDescent="0.2">
      <c r="A222" s="517" t="s">
        <v>1607</v>
      </c>
      <c r="B222" s="545">
        <v>5000000</v>
      </c>
    </row>
    <row r="223" spans="1:2" x14ac:dyDescent="0.2">
      <c r="A223" s="517" t="s">
        <v>1522</v>
      </c>
      <c r="B223" s="545">
        <v>5000000</v>
      </c>
    </row>
    <row r="224" spans="1:2" x14ac:dyDescent="0.2">
      <c r="A224" s="517" t="s">
        <v>2304</v>
      </c>
      <c r="B224" s="545">
        <v>5000000</v>
      </c>
    </row>
    <row r="225" spans="1:2" x14ac:dyDescent="0.2">
      <c r="A225" s="517" t="s">
        <v>1740</v>
      </c>
      <c r="B225" s="545">
        <v>5000000</v>
      </c>
    </row>
    <row r="226" spans="1:2" x14ac:dyDescent="0.2">
      <c r="A226" s="517" t="s">
        <v>1608</v>
      </c>
      <c r="B226" s="545">
        <v>5000000</v>
      </c>
    </row>
    <row r="227" spans="1:2" x14ac:dyDescent="0.2">
      <c r="A227" s="517" t="s">
        <v>1509</v>
      </c>
      <c r="B227" s="545">
        <v>5000000</v>
      </c>
    </row>
    <row r="228" spans="1:2" x14ac:dyDescent="0.2">
      <c r="A228" s="517" t="s">
        <v>2567</v>
      </c>
      <c r="B228" s="545">
        <v>5000000</v>
      </c>
    </row>
    <row r="229" spans="1:2" x14ac:dyDescent="0.2">
      <c r="A229" s="517" t="s">
        <v>1694</v>
      </c>
      <c r="B229" s="545">
        <v>5000000</v>
      </c>
    </row>
    <row r="230" spans="1:2" x14ac:dyDescent="0.2">
      <c r="A230" s="517" t="s">
        <v>1609</v>
      </c>
      <c r="B230" s="545">
        <v>5000000</v>
      </c>
    </row>
    <row r="231" spans="1:2" x14ac:dyDescent="0.2">
      <c r="A231" s="517" t="s">
        <v>2568</v>
      </c>
      <c r="B231" s="545">
        <v>5000000</v>
      </c>
    </row>
    <row r="232" spans="1:2" x14ac:dyDescent="0.2">
      <c r="A232" s="517" t="s">
        <v>1510</v>
      </c>
      <c r="B232" s="545">
        <v>5000000</v>
      </c>
    </row>
    <row r="233" spans="1:2" x14ac:dyDescent="0.2">
      <c r="A233" s="517" t="s">
        <v>1551</v>
      </c>
      <c r="B233" s="545">
        <v>5000000</v>
      </c>
    </row>
    <row r="234" spans="1:2" x14ac:dyDescent="0.2">
      <c r="A234" s="517" t="s">
        <v>1623</v>
      </c>
      <c r="B234" s="545">
        <v>5000000</v>
      </c>
    </row>
    <row r="235" spans="1:2" x14ac:dyDescent="0.2">
      <c r="A235" s="517" t="s">
        <v>1523</v>
      </c>
      <c r="B235" s="545">
        <v>5000000</v>
      </c>
    </row>
    <row r="236" spans="1:2" x14ac:dyDescent="0.2">
      <c r="A236" s="517" t="s">
        <v>1524</v>
      </c>
      <c r="B236" s="545">
        <v>5000000</v>
      </c>
    </row>
    <row r="237" spans="1:2" x14ac:dyDescent="0.2">
      <c r="A237" s="517" t="s">
        <v>1741</v>
      </c>
      <c r="B237" s="545">
        <v>5000000</v>
      </c>
    </row>
    <row r="238" spans="1:2" x14ac:dyDescent="0.2">
      <c r="A238" s="517" t="s">
        <v>1742</v>
      </c>
      <c r="B238" s="545">
        <v>5000000</v>
      </c>
    </row>
    <row r="239" spans="1:2" x14ac:dyDescent="0.2">
      <c r="A239" s="517" t="s">
        <v>1552</v>
      </c>
      <c r="B239" s="545">
        <v>5000000</v>
      </c>
    </row>
    <row r="240" spans="1:2" x14ac:dyDescent="0.2">
      <c r="A240" s="517" t="s">
        <v>1375</v>
      </c>
      <c r="B240" s="545">
        <v>5000000</v>
      </c>
    </row>
    <row r="241" spans="1:2" x14ac:dyDescent="0.2">
      <c r="A241" s="517" t="s">
        <v>1592</v>
      </c>
      <c r="B241" s="545">
        <v>5000000</v>
      </c>
    </row>
    <row r="242" spans="1:2" x14ac:dyDescent="0.2">
      <c r="A242" s="517" t="s">
        <v>1464</v>
      </c>
      <c r="B242" s="545">
        <v>5000000</v>
      </c>
    </row>
    <row r="243" spans="1:2" x14ac:dyDescent="0.2">
      <c r="A243" s="517" t="s">
        <v>1756</v>
      </c>
      <c r="B243" s="545">
        <v>5000000</v>
      </c>
    </row>
    <row r="244" spans="1:2" x14ac:dyDescent="0.2">
      <c r="A244" s="517" t="s">
        <v>1285</v>
      </c>
      <c r="B244" s="545">
        <v>5000000</v>
      </c>
    </row>
    <row r="245" spans="1:2" x14ac:dyDescent="0.2">
      <c r="A245" s="517" t="s">
        <v>1743</v>
      </c>
      <c r="B245" s="545">
        <v>5000000</v>
      </c>
    </row>
    <row r="246" spans="1:2" x14ac:dyDescent="0.2">
      <c r="A246" s="517" t="s">
        <v>2235</v>
      </c>
      <c r="B246" s="545">
        <v>5000000</v>
      </c>
    </row>
    <row r="247" spans="1:2" x14ac:dyDescent="0.2">
      <c r="A247" s="517" t="s">
        <v>1286</v>
      </c>
      <c r="B247" s="545">
        <v>5000000</v>
      </c>
    </row>
    <row r="248" spans="1:2" x14ac:dyDescent="0.2">
      <c r="A248" s="517" t="s">
        <v>1511</v>
      </c>
      <c r="B248" s="545">
        <v>5000000</v>
      </c>
    </row>
    <row r="249" spans="1:2" x14ac:dyDescent="0.2">
      <c r="A249" s="517" t="s">
        <v>2569</v>
      </c>
      <c r="B249" s="545">
        <v>5000000</v>
      </c>
    </row>
    <row r="250" spans="1:2" x14ac:dyDescent="0.2">
      <c r="A250" s="517" t="s">
        <v>1570</v>
      </c>
      <c r="B250" s="545">
        <v>5000000</v>
      </c>
    </row>
  </sheetData>
  <autoFilter ref="A1:B1" xr:uid="{00000000-0009-0000-0000-000010000000}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2"/>
  <dimension ref="A1:D1"/>
  <sheetViews>
    <sheetView topLeftCell="A326" workbookViewId="0">
      <selection activeCell="A2" sqref="A2:XFD236"/>
    </sheetView>
  </sheetViews>
  <sheetFormatPr baseColWidth="10" defaultRowHeight="12.75" x14ac:dyDescent="0.2"/>
  <cols>
    <col min="1" max="1" width="13.42578125" style="520" customWidth="1"/>
    <col min="2" max="2" width="16.5703125" style="555" bestFit="1" customWidth="1"/>
    <col min="3" max="4" width="11.42578125" style="520"/>
  </cols>
  <sheetData>
    <row r="1" spans="1:4" ht="13.5" customHeight="1" x14ac:dyDescent="0.2">
      <c r="A1" s="515" t="s">
        <v>106</v>
      </c>
      <c r="B1" s="516" t="s">
        <v>107</v>
      </c>
      <c r="C1" s="515" t="s">
        <v>108</v>
      </c>
      <c r="D1" s="515" t="s">
        <v>47</v>
      </c>
    </row>
  </sheetData>
  <autoFilter ref="A1:D316" xr:uid="{00000000-0009-0000-0000-000011000000}">
    <sortState xmlns:xlrd2="http://schemas.microsoft.com/office/spreadsheetml/2017/richdata2" ref="A2:D316">
      <sortCondition ref="D1:D316"/>
    </sortState>
  </autoFilter>
  <sortState xmlns:xlrd2="http://schemas.microsoft.com/office/spreadsheetml/2017/richdata2" ref="A2:D316">
    <sortCondition ref="A2:A316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277"/>
  <sheetViews>
    <sheetView workbookViewId="0">
      <selection activeCell="A2" sqref="A2:XFD236"/>
    </sheetView>
  </sheetViews>
  <sheetFormatPr baseColWidth="10" defaultRowHeight="12.75" x14ac:dyDescent="0.2"/>
  <cols>
    <col min="1" max="1" width="16.140625" bestFit="1" customWidth="1"/>
    <col min="2" max="2" width="12" bestFit="1" customWidth="1"/>
  </cols>
  <sheetData>
    <row r="1" spans="1:2" ht="15" customHeight="1" x14ac:dyDescent="0.2">
      <c r="A1" s="552" t="s">
        <v>30</v>
      </c>
      <c r="B1" s="553" t="s">
        <v>70</v>
      </c>
    </row>
    <row r="2" spans="1:2" x14ac:dyDescent="0.2">
      <c r="A2" s="543"/>
      <c r="B2" s="544"/>
    </row>
    <row r="3" spans="1:2" x14ac:dyDescent="0.2">
      <c r="A3" s="543"/>
      <c r="B3" s="544"/>
    </row>
    <row r="4" spans="1:2" x14ac:dyDescent="0.2">
      <c r="A4" s="543"/>
      <c r="B4" s="544"/>
    </row>
    <row r="5" spans="1:2" x14ac:dyDescent="0.2">
      <c r="A5" s="543"/>
      <c r="B5" s="544"/>
    </row>
    <row r="6" spans="1:2" x14ac:dyDescent="0.2">
      <c r="A6" s="543"/>
      <c r="B6" s="544"/>
    </row>
    <row r="7" spans="1:2" x14ac:dyDescent="0.2">
      <c r="A7" s="543"/>
      <c r="B7" s="544"/>
    </row>
    <row r="8" spans="1:2" x14ac:dyDescent="0.2">
      <c r="A8" s="543"/>
      <c r="B8" s="544"/>
    </row>
    <row r="9" spans="1:2" x14ac:dyDescent="0.2">
      <c r="A9" s="543"/>
      <c r="B9" s="544"/>
    </row>
    <row r="10" spans="1:2" x14ac:dyDescent="0.2">
      <c r="A10" s="543"/>
      <c r="B10" s="544"/>
    </row>
    <row r="11" spans="1:2" x14ac:dyDescent="0.2">
      <c r="A11" s="543"/>
      <c r="B11" s="544"/>
    </row>
    <row r="12" spans="1:2" x14ac:dyDescent="0.2">
      <c r="A12" s="543"/>
      <c r="B12" s="544"/>
    </row>
    <row r="13" spans="1:2" x14ac:dyDescent="0.2">
      <c r="A13" s="543"/>
      <c r="B13" s="544"/>
    </row>
    <row r="14" spans="1:2" x14ac:dyDescent="0.2">
      <c r="A14" s="543"/>
      <c r="B14" s="544"/>
    </row>
    <row r="15" spans="1:2" x14ac:dyDescent="0.2">
      <c r="A15" s="543"/>
      <c r="B15" s="544"/>
    </row>
    <row r="16" spans="1:2" x14ac:dyDescent="0.2">
      <c r="A16" s="543"/>
      <c r="B16" s="544"/>
    </row>
    <row r="17" spans="1:2" x14ac:dyDescent="0.2">
      <c r="A17" s="543"/>
      <c r="B17" s="544"/>
    </row>
    <row r="18" spans="1:2" x14ac:dyDescent="0.2">
      <c r="A18" s="543"/>
      <c r="B18" s="544"/>
    </row>
    <row r="19" spans="1:2" x14ac:dyDescent="0.2">
      <c r="A19" s="543"/>
      <c r="B19" s="544"/>
    </row>
    <row r="20" spans="1:2" x14ac:dyDescent="0.2">
      <c r="A20" s="543"/>
      <c r="B20" s="544"/>
    </row>
    <row r="21" spans="1:2" x14ac:dyDescent="0.2">
      <c r="A21" s="543"/>
      <c r="B21" s="544"/>
    </row>
    <row r="22" spans="1:2" x14ac:dyDescent="0.2">
      <c r="A22" s="543"/>
      <c r="B22" s="544"/>
    </row>
    <row r="23" spans="1:2" x14ac:dyDescent="0.2">
      <c r="A23" s="543"/>
      <c r="B23" s="544"/>
    </row>
    <row r="24" spans="1:2" x14ac:dyDescent="0.2">
      <c r="A24" s="543"/>
      <c r="B24" s="544"/>
    </row>
    <row r="25" spans="1:2" x14ac:dyDescent="0.2">
      <c r="A25" s="543"/>
      <c r="B25" s="544"/>
    </row>
    <row r="26" spans="1:2" x14ac:dyDescent="0.2">
      <c r="A26" s="543"/>
      <c r="B26" s="544"/>
    </row>
    <row r="27" spans="1:2" x14ac:dyDescent="0.2">
      <c r="A27" s="543"/>
      <c r="B27" s="544"/>
    </row>
    <row r="28" spans="1:2" x14ac:dyDescent="0.2">
      <c r="A28" s="543"/>
      <c r="B28" s="544"/>
    </row>
    <row r="29" spans="1:2" x14ac:dyDescent="0.2">
      <c r="A29" s="543"/>
      <c r="B29" s="544"/>
    </row>
    <row r="30" spans="1:2" x14ac:dyDescent="0.2">
      <c r="A30" s="543"/>
      <c r="B30" s="544"/>
    </row>
    <row r="31" spans="1:2" x14ac:dyDescent="0.2">
      <c r="A31" s="543"/>
      <c r="B31" s="544"/>
    </row>
    <row r="32" spans="1:2" x14ac:dyDescent="0.2">
      <c r="A32" s="543"/>
      <c r="B32" s="544"/>
    </row>
    <row r="33" spans="1:2" x14ac:dyDescent="0.2">
      <c r="A33" s="543"/>
      <c r="B33" s="544"/>
    </row>
    <row r="34" spans="1:2" x14ac:dyDescent="0.2">
      <c r="A34" s="543"/>
      <c r="B34" s="544"/>
    </row>
    <row r="35" spans="1:2" x14ac:dyDescent="0.2">
      <c r="A35" s="543"/>
      <c r="B35" s="544"/>
    </row>
    <row r="36" spans="1:2" x14ac:dyDescent="0.2">
      <c r="A36" s="543"/>
      <c r="B36" s="544"/>
    </row>
    <row r="37" spans="1:2" x14ac:dyDescent="0.2">
      <c r="A37" s="543"/>
      <c r="B37" s="544"/>
    </row>
    <row r="38" spans="1:2" x14ac:dyDescent="0.2">
      <c r="A38" s="543"/>
      <c r="B38" s="544"/>
    </row>
    <row r="39" spans="1:2" x14ac:dyDescent="0.2">
      <c r="A39" s="543"/>
      <c r="B39" s="544"/>
    </row>
    <row r="40" spans="1:2" x14ac:dyDescent="0.2">
      <c r="A40" s="543"/>
      <c r="B40" s="544"/>
    </row>
    <row r="41" spans="1:2" x14ac:dyDescent="0.2">
      <c r="A41" s="543"/>
      <c r="B41" s="544"/>
    </row>
    <row r="42" spans="1:2" x14ac:dyDescent="0.2">
      <c r="A42" s="543"/>
      <c r="B42" s="544"/>
    </row>
    <row r="43" spans="1:2" x14ac:dyDescent="0.2">
      <c r="A43" s="543"/>
      <c r="B43" s="544"/>
    </row>
    <row r="44" spans="1:2" x14ac:dyDescent="0.2">
      <c r="A44" s="543"/>
      <c r="B44" s="544"/>
    </row>
    <row r="45" spans="1:2" x14ac:dyDescent="0.2">
      <c r="A45" s="543"/>
      <c r="B45" s="544"/>
    </row>
    <row r="46" spans="1:2" x14ac:dyDescent="0.2">
      <c r="A46" s="543"/>
      <c r="B46" s="544"/>
    </row>
    <row r="47" spans="1:2" x14ac:dyDescent="0.2">
      <c r="A47" s="543"/>
      <c r="B47" s="544"/>
    </row>
    <row r="48" spans="1:2" x14ac:dyDescent="0.2">
      <c r="A48" s="543"/>
      <c r="B48" s="544"/>
    </row>
    <row r="49" spans="1:2" x14ac:dyDescent="0.2">
      <c r="A49" s="543"/>
      <c r="B49" s="544"/>
    </row>
    <row r="50" spans="1:2" x14ac:dyDescent="0.2">
      <c r="A50" s="543"/>
      <c r="B50" s="544"/>
    </row>
    <row r="51" spans="1:2" x14ac:dyDescent="0.2">
      <c r="A51" s="543"/>
      <c r="B51" s="544"/>
    </row>
    <row r="52" spans="1:2" x14ac:dyDescent="0.2">
      <c r="A52" s="543"/>
      <c r="B52" s="544"/>
    </row>
    <row r="53" spans="1:2" x14ac:dyDescent="0.2">
      <c r="A53" s="543"/>
      <c r="B53" s="544"/>
    </row>
    <row r="54" spans="1:2" x14ac:dyDescent="0.2">
      <c r="A54" s="543"/>
      <c r="B54" s="544"/>
    </row>
    <row r="55" spans="1:2" x14ac:dyDescent="0.2">
      <c r="A55" s="543"/>
      <c r="B55" s="544"/>
    </row>
    <row r="56" spans="1:2" x14ac:dyDescent="0.2">
      <c r="A56" s="543"/>
      <c r="B56" s="544"/>
    </row>
    <row r="57" spans="1:2" x14ac:dyDescent="0.2">
      <c r="A57" s="543"/>
      <c r="B57" s="544"/>
    </row>
    <row r="58" spans="1:2" x14ac:dyDescent="0.2">
      <c r="A58" s="543"/>
      <c r="B58" s="544"/>
    </row>
    <row r="59" spans="1:2" x14ac:dyDescent="0.2">
      <c r="A59" s="543"/>
      <c r="B59" s="544"/>
    </row>
    <row r="60" spans="1:2" x14ac:dyDescent="0.2">
      <c r="A60" s="543"/>
      <c r="B60" s="544"/>
    </row>
    <row r="61" spans="1:2" x14ac:dyDescent="0.2">
      <c r="A61" s="543"/>
      <c r="B61" s="544"/>
    </row>
    <row r="62" spans="1:2" x14ac:dyDescent="0.2">
      <c r="A62" s="543"/>
      <c r="B62" s="544"/>
    </row>
    <row r="63" spans="1:2" x14ac:dyDescent="0.2">
      <c r="A63" s="543"/>
      <c r="B63" s="544"/>
    </row>
    <row r="64" spans="1:2" x14ac:dyDescent="0.2">
      <c r="A64" s="543"/>
      <c r="B64" s="544"/>
    </row>
    <row r="65" spans="1:2" x14ac:dyDescent="0.2">
      <c r="A65" s="543"/>
      <c r="B65" s="544"/>
    </row>
    <row r="66" spans="1:2" x14ac:dyDescent="0.2">
      <c r="A66" s="543"/>
      <c r="B66" s="544"/>
    </row>
    <row r="67" spans="1:2" x14ac:dyDescent="0.2">
      <c r="A67" s="543"/>
      <c r="B67" s="544"/>
    </row>
    <row r="68" spans="1:2" x14ac:dyDescent="0.2">
      <c r="A68" s="543"/>
      <c r="B68" s="544"/>
    </row>
    <row r="69" spans="1:2" x14ac:dyDescent="0.2">
      <c r="A69" s="543"/>
      <c r="B69" s="544"/>
    </row>
    <row r="70" spans="1:2" x14ac:dyDescent="0.2">
      <c r="A70" s="543"/>
      <c r="B70" s="544"/>
    </row>
    <row r="71" spans="1:2" x14ac:dyDescent="0.2">
      <c r="A71" s="543"/>
      <c r="B71" s="544"/>
    </row>
    <row r="72" spans="1:2" x14ac:dyDescent="0.2">
      <c r="A72" s="543"/>
      <c r="B72" s="544"/>
    </row>
    <row r="73" spans="1:2" x14ac:dyDescent="0.2">
      <c r="A73" s="543"/>
      <c r="B73" s="544"/>
    </row>
    <row r="74" spans="1:2" x14ac:dyDescent="0.2">
      <c r="A74" s="543"/>
      <c r="B74" s="544"/>
    </row>
    <row r="75" spans="1:2" x14ac:dyDescent="0.2">
      <c r="A75" s="543"/>
      <c r="B75" s="544"/>
    </row>
    <row r="76" spans="1:2" x14ac:dyDescent="0.2">
      <c r="A76" s="543"/>
      <c r="B76" s="544"/>
    </row>
    <row r="77" spans="1:2" x14ac:dyDescent="0.2">
      <c r="A77" s="543"/>
      <c r="B77" s="544"/>
    </row>
    <row r="78" spans="1:2" x14ac:dyDescent="0.2">
      <c r="A78" s="543"/>
      <c r="B78" s="544"/>
    </row>
    <row r="79" spans="1:2" x14ac:dyDescent="0.2">
      <c r="A79" s="543"/>
      <c r="B79" s="544"/>
    </row>
    <row r="80" spans="1:2" x14ac:dyDescent="0.2">
      <c r="A80" s="543"/>
      <c r="B80" s="544"/>
    </row>
    <row r="81" spans="1:2" x14ac:dyDescent="0.2">
      <c r="A81" s="543"/>
      <c r="B81" s="544"/>
    </row>
    <row r="82" spans="1:2" x14ac:dyDescent="0.2">
      <c r="A82" s="543"/>
      <c r="B82" s="544"/>
    </row>
    <row r="83" spans="1:2" x14ac:dyDescent="0.2">
      <c r="A83" s="543"/>
      <c r="B83" s="544"/>
    </row>
    <row r="84" spans="1:2" x14ac:dyDescent="0.2">
      <c r="A84" s="543"/>
      <c r="B84" s="544"/>
    </row>
    <row r="85" spans="1:2" x14ac:dyDescent="0.2">
      <c r="A85" s="543"/>
      <c r="B85" s="544"/>
    </row>
    <row r="86" spans="1:2" x14ac:dyDescent="0.2">
      <c r="A86" s="543"/>
      <c r="B86" s="544"/>
    </row>
    <row r="87" spans="1:2" x14ac:dyDescent="0.2">
      <c r="A87" s="543"/>
      <c r="B87" s="544"/>
    </row>
    <row r="88" spans="1:2" x14ac:dyDescent="0.2">
      <c r="A88" s="543"/>
      <c r="B88" s="544"/>
    </row>
    <row r="89" spans="1:2" x14ac:dyDescent="0.2">
      <c r="A89" s="543"/>
      <c r="B89" s="544"/>
    </row>
    <row r="90" spans="1:2" x14ac:dyDescent="0.2">
      <c r="A90" s="543"/>
      <c r="B90" s="544"/>
    </row>
    <row r="91" spans="1:2" x14ac:dyDescent="0.2">
      <c r="A91" s="543"/>
      <c r="B91" s="544"/>
    </row>
    <row r="92" spans="1:2" x14ac:dyDescent="0.2">
      <c r="A92" s="543"/>
      <c r="B92" s="544"/>
    </row>
    <row r="93" spans="1:2" x14ac:dyDescent="0.2">
      <c r="A93" s="543"/>
      <c r="B93" s="544"/>
    </row>
    <row r="94" spans="1:2" x14ac:dyDescent="0.2">
      <c r="A94" s="543"/>
      <c r="B94" s="544"/>
    </row>
    <row r="95" spans="1:2" x14ac:dyDescent="0.2">
      <c r="A95" s="543"/>
      <c r="B95" s="544"/>
    </row>
    <row r="96" spans="1:2" x14ac:dyDescent="0.2">
      <c r="A96" s="543"/>
      <c r="B96" s="544"/>
    </row>
    <row r="97" spans="1:2" x14ac:dyDescent="0.2">
      <c r="A97" s="543"/>
      <c r="B97" s="544"/>
    </row>
    <row r="98" spans="1:2" x14ac:dyDescent="0.2">
      <c r="A98" s="543"/>
      <c r="B98" s="544"/>
    </row>
    <row r="99" spans="1:2" x14ac:dyDescent="0.2">
      <c r="A99" s="543"/>
      <c r="B99" s="544"/>
    </row>
    <row r="100" spans="1:2" x14ac:dyDescent="0.2">
      <c r="A100" s="543"/>
      <c r="B100" s="544"/>
    </row>
    <row r="101" spans="1:2" x14ac:dyDescent="0.2">
      <c r="A101" s="543"/>
      <c r="B101" s="544"/>
    </row>
    <row r="102" spans="1:2" x14ac:dyDescent="0.2">
      <c r="A102" s="543"/>
      <c r="B102" s="544"/>
    </row>
    <row r="103" spans="1:2" x14ac:dyDescent="0.2">
      <c r="A103" s="543"/>
      <c r="B103" s="544"/>
    </row>
    <row r="104" spans="1:2" x14ac:dyDescent="0.2">
      <c r="A104" s="543"/>
      <c r="B104" s="544"/>
    </row>
    <row r="105" spans="1:2" x14ac:dyDescent="0.2">
      <c r="A105" s="543"/>
      <c r="B105" s="544"/>
    </row>
    <row r="106" spans="1:2" x14ac:dyDescent="0.2">
      <c r="A106" s="543"/>
      <c r="B106" s="544"/>
    </row>
    <row r="107" spans="1:2" x14ac:dyDescent="0.2">
      <c r="A107" s="543"/>
      <c r="B107" s="544"/>
    </row>
    <row r="108" spans="1:2" x14ac:dyDescent="0.2">
      <c r="A108" s="543"/>
      <c r="B108" s="544"/>
    </row>
    <row r="109" spans="1:2" x14ac:dyDescent="0.2">
      <c r="A109" s="543"/>
      <c r="B109" s="544"/>
    </row>
    <row r="110" spans="1:2" x14ac:dyDescent="0.2">
      <c r="A110" s="543"/>
      <c r="B110" s="544"/>
    </row>
    <row r="111" spans="1:2" x14ac:dyDescent="0.2">
      <c r="A111" s="543"/>
      <c r="B111" s="544"/>
    </row>
    <row r="112" spans="1:2" x14ac:dyDescent="0.2">
      <c r="A112" s="543"/>
      <c r="B112" s="544"/>
    </row>
    <row r="113" spans="1:2" x14ac:dyDescent="0.2">
      <c r="A113" s="543"/>
      <c r="B113" s="544"/>
    </row>
    <row r="114" spans="1:2" x14ac:dyDescent="0.2">
      <c r="A114" s="543"/>
      <c r="B114" s="544"/>
    </row>
    <row r="115" spans="1:2" x14ac:dyDescent="0.2">
      <c r="A115" s="543"/>
      <c r="B115" s="544"/>
    </row>
    <row r="116" spans="1:2" x14ac:dyDescent="0.2">
      <c r="A116" s="543"/>
      <c r="B116" s="544"/>
    </row>
    <row r="117" spans="1:2" x14ac:dyDescent="0.2">
      <c r="A117" s="543"/>
      <c r="B117" s="544"/>
    </row>
    <row r="118" spans="1:2" x14ac:dyDescent="0.2">
      <c r="A118" s="543"/>
      <c r="B118" s="544"/>
    </row>
    <row r="119" spans="1:2" x14ac:dyDescent="0.2">
      <c r="A119" s="543"/>
      <c r="B119" s="544"/>
    </row>
    <row r="120" spans="1:2" x14ac:dyDescent="0.2">
      <c r="A120" s="543"/>
      <c r="B120" s="544"/>
    </row>
    <row r="121" spans="1:2" x14ac:dyDescent="0.2">
      <c r="A121" s="543"/>
      <c r="B121" s="544"/>
    </row>
    <row r="122" spans="1:2" x14ac:dyDescent="0.2">
      <c r="A122" s="543"/>
      <c r="B122" s="544"/>
    </row>
    <row r="123" spans="1:2" x14ac:dyDescent="0.2">
      <c r="A123" s="543"/>
      <c r="B123" s="544"/>
    </row>
    <row r="124" spans="1:2" x14ac:dyDescent="0.2">
      <c r="A124" s="543"/>
      <c r="B124" s="544"/>
    </row>
    <row r="125" spans="1:2" x14ac:dyDescent="0.2">
      <c r="A125" s="543"/>
      <c r="B125" s="544"/>
    </row>
    <row r="126" spans="1:2" x14ac:dyDescent="0.2">
      <c r="A126" s="543"/>
      <c r="B126" s="544"/>
    </row>
    <row r="127" spans="1:2" x14ac:dyDescent="0.2">
      <c r="A127" s="543"/>
      <c r="B127" s="544"/>
    </row>
    <row r="128" spans="1:2" x14ac:dyDescent="0.2">
      <c r="A128" s="543"/>
      <c r="B128" s="544"/>
    </row>
    <row r="129" spans="1:2" x14ac:dyDescent="0.2">
      <c r="A129" s="543"/>
      <c r="B129" s="544"/>
    </row>
    <row r="130" spans="1:2" x14ac:dyDescent="0.2">
      <c r="A130" s="543"/>
      <c r="B130" s="544"/>
    </row>
    <row r="131" spans="1:2" x14ac:dyDescent="0.2">
      <c r="A131" s="543"/>
      <c r="B131" s="544"/>
    </row>
    <row r="132" spans="1:2" x14ac:dyDescent="0.2">
      <c r="A132" s="543"/>
      <c r="B132" s="544"/>
    </row>
    <row r="133" spans="1:2" x14ac:dyDescent="0.2">
      <c r="A133" s="543"/>
      <c r="B133" s="544"/>
    </row>
    <row r="134" spans="1:2" x14ac:dyDescent="0.2">
      <c r="A134" s="543"/>
      <c r="B134" s="544"/>
    </row>
    <row r="135" spans="1:2" x14ac:dyDescent="0.2">
      <c r="A135" s="543"/>
      <c r="B135" s="544"/>
    </row>
    <row r="136" spans="1:2" x14ac:dyDescent="0.2">
      <c r="A136" s="543"/>
      <c r="B136" s="544"/>
    </row>
    <row r="137" spans="1:2" x14ac:dyDescent="0.2">
      <c r="A137" s="543"/>
      <c r="B137" s="544"/>
    </row>
    <row r="138" spans="1:2" x14ac:dyDescent="0.2">
      <c r="A138" s="543"/>
      <c r="B138" s="544"/>
    </row>
    <row r="139" spans="1:2" x14ac:dyDescent="0.2">
      <c r="A139" s="543"/>
      <c r="B139" s="544"/>
    </row>
    <row r="140" spans="1:2" x14ac:dyDescent="0.2">
      <c r="A140" s="543"/>
      <c r="B140" s="544"/>
    </row>
    <row r="141" spans="1:2" x14ac:dyDescent="0.2">
      <c r="A141" s="543"/>
      <c r="B141" s="544"/>
    </row>
    <row r="142" spans="1:2" x14ac:dyDescent="0.2">
      <c r="A142" s="543"/>
      <c r="B142" s="544"/>
    </row>
    <row r="143" spans="1:2" x14ac:dyDescent="0.2">
      <c r="A143" s="543"/>
      <c r="B143" s="544"/>
    </row>
    <row r="144" spans="1:2" x14ac:dyDescent="0.2">
      <c r="A144" s="543"/>
      <c r="B144" s="544"/>
    </row>
    <row r="145" spans="1:2" x14ac:dyDescent="0.2">
      <c r="A145" s="543"/>
      <c r="B145" s="544"/>
    </row>
    <row r="146" spans="1:2" x14ac:dyDescent="0.2">
      <c r="A146" s="543"/>
      <c r="B146" s="544"/>
    </row>
    <row r="147" spans="1:2" x14ac:dyDescent="0.2">
      <c r="A147" s="543"/>
      <c r="B147" s="544"/>
    </row>
    <row r="148" spans="1:2" x14ac:dyDescent="0.2">
      <c r="A148" s="543"/>
      <c r="B148" s="544"/>
    </row>
    <row r="149" spans="1:2" x14ac:dyDescent="0.2">
      <c r="A149" s="543"/>
      <c r="B149" s="544"/>
    </row>
    <row r="150" spans="1:2" x14ac:dyDescent="0.2">
      <c r="A150" s="543"/>
      <c r="B150" s="544"/>
    </row>
    <row r="151" spans="1:2" x14ac:dyDescent="0.2">
      <c r="A151" s="543"/>
      <c r="B151" s="544"/>
    </row>
    <row r="152" spans="1:2" x14ac:dyDescent="0.2">
      <c r="A152" s="543"/>
      <c r="B152" s="544"/>
    </row>
    <row r="153" spans="1:2" x14ac:dyDescent="0.2">
      <c r="A153" s="543"/>
      <c r="B153" s="544"/>
    </row>
    <row r="154" spans="1:2" x14ac:dyDescent="0.2">
      <c r="A154" s="543"/>
      <c r="B154" s="544"/>
    </row>
    <row r="155" spans="1:2" x14ac:dyDescent="0.2">
      <c r="A155" s="543"/>
      <c r="B155" s="544"/>
    </row>
    <row r="156" spans="1:2" x14ac:dyDescent="0.2">
      <c r="A156" s="543"/>
      <c r="B156" s="544"/>
    </row>
    <row r="157" spans="1:2" x14ac:dyDescent="0.2">
      <c r="A157" s="543"/>
      <c r="B157" s="544"/>
    </row>
    <row r="158" spans="1:2" x14ac:dyDescent="0.2">
      <c r="A158" s="543"/>
      <c r="B158" s="544"/>
    </row>
    <row r="159" spans="1:2" x14ac:dyDescent="0.2">
      <c r="A159" s="543"/>
      <c r="B159" s="544"/>
    </row>
    <row r="160" spans="1:2" x14ac:dyDescent="0.2">
      <c r="A160" s="543"/>
      <c r="B160" s="544"/>
    </row>
    <row r="161" spans="1:2" x14ac:dyDescent="0.2">
      <c r="A161" s="543"/>
      <c r="B161" s="544"/>
    </row>
    <row r="162" spans="1:2" x14ac:dyDescent="0.2">
      <c r="A162" s="543"/>
      <c r="B162" s="544"/>
    </row>
    <row r="163" spans="1:2" x14ac:dyDescent="0.2">
      <c r="A163" s="543"/>
      <c r="B163" s="544"/>
    </row>
    <row r="164" spans="1:2" x14ac:dyDescent="0.2">
      <c r="A164" s="543"/>
      <c r="B164" s="544"/>
    </row>
    <row r="165" spans="1:2" x14ac:dyDescent="0.2">
      <c r="A165" s="543"/>
      <c r="B165" s="544"/>
    </row>
    <row r="166" spans="1:2" x14ac:dyDescent="0.2">
      <c r="A166" s="543"/>
      <c r="B166" s="544"/>
    </row>
    <row r="167" spans="1:2" x14ac:dyDescent="0.2">
      <c r="A167" s="543"/>
      <c r="B167" s="544"/>
    </row>
    <row r="168" spans="1:2" x14ac:dyDescent="0.2">
      <c r="A168" s="543"/>
      <c r="B168" s="544"/>
    </row>
    <row r="169" spans="1:2" x14ac:dyDescent="0.2">
      <c r="A169" s="543"/>
      <c r="B169" s="544"/>
    </row>
    <row r="170" spans="1:2" x14ac:dyDescent="0.2">
      <c r="A170" s="543"/>
      <c r="B170" s="544"/>
    </row>
    <row r="171" spans="1:2" x14ac:dyDescent="0.2">
      <c r="A171" s="543"/>
      <c r="B171" s="544"/>
    </row>
    <row r="172" spans="1:2" x14ac:dyDescent="0.2">
      <c r="A172" s="543"/>
      <c r="B172" s="544"/>
    </row>
    <row r="173" spans="1:2" x14ac:dyDescent="0.2">
      <c r="A173" s="543"/>
      <c r="B173" s="544"/>
    </row>
    <row r="174" spans="1:2" x14ac:dyDescent="0.2">
      <c r="A174" s="543"/>
      <c r="B174" s="544"/>
    </row>
    <row r="175" spans="1:2" x14ac:dyDescent="0.2">
      <c r="A175" s="543"/>
      <c r="B175" s="544"/>
    </row>
    <row r="176" spans="1:2" x14ac:dyDescent="0.2">
      <c r="A176" s="543"/>
      <c r="B176" s="544"/>
    </row>
    <row r="177" spans="1:2" x14ac:dyDescent="0.2">
      <c r="A177" s="543"/>
      <c r="B177" s="544"/>
    </row>
    <row r="178" spans="1:2" x14ac:dyDescent="0.2">
      <c r="A178" s="543"/>
      <c r="B178" s="544"/>
    </row>
    <row r="179" spans="1:2" x14ac:dyDescent="0.2">
      <c r="A179" s="543"/>
      <c r="B179" s="544"/>
    </row>
    <row r="180" spans="1:2" x14ac:dyDescent="0.2">
      <c r="A180" s="543"/>
      <c r="B180" s="544"/>
    </row>
    <row r="181" spans="1:2" x14ac:dyDescent="0.2">
      <c r="A181" s="543"/>
      <c r="B181" s="544"/>
    </row>
    <row r="182" spans="1:2" x14ac:dyDescent="0.2">
      <c r="A182" s="543"/>
      <c r="B182" s="544"/>
    </row>
    <row r="183" spans="1:2" x14ac:dyDescent="0.2">
      <c r="A183" s="543"/>
      <c r="B183" s="544"/>
    </row>
    <row r="184" spans="1:2" x14ac:dyDescent="0.2">
      <c r="A184" s="543"/>
      <c r="B184" s="544"/>
    </row>
    <row r="185" spans="1:2" x14ac:dyDescent="0.2">
      <c r="A185" s="543"/>
      <c r="B185" s="544"/>
    </row>
    <row r="186" spans="1:2" x14ac:dyDescent="0.2">
      <c r="A186" s="543"/>
      <c r="B186" s="544"/>
    </row>
    <row r="187" spans="1:2" x14ac:dyDescent="0.2">
      <c r="A187" s="543"/>
      <c r="B187" s="544"/>
    </row>
    <row r="188" spans="1:2" x14ac:dyDescent="0.2">
      <c r="A188" s="543"/>
      <c r="B188" s="544"/>
    </row>
    <row r="189" spans="1:2" x14ac:dyDescent="0.2">
      <c r="A189" s="543"/>
      <c r="B189" s="544"/>
    </row>
    <row r="190" spans="1:2" x14ac:dyDescent="0.2">
      <c r="A190" s="543"/>
      <c r="B190" s="544"/>
    </row>
    <row r="191" spans="1:2" x14ac:dyDescent="0.2">
      <c r="A191" s="543"/>
      <c r="B191" s="544"/>
    </row>
    <row r="192" spans="1:2" x14ac:dyDescent="0.2">
      <c r="A192" s="543"/>
      <c r="B192" s="544"/>
    </row>
    <row r="193" spans="1:2" x14ac:dyDescent="0.2">
      <c r="A193" s="543"/>
      <c r="B193" s="544"/>
    </row>
    <row r="194" spans="1:2" x14ac:dyDescent="0.2">
      <c r="A194" s="543"/>
      <c r="B194" s="544"/>
    </row>
    <row r="195" spans="1:2" x14ac:dyDescent="0.2">
      <c r="A195" s="543"/>
      <c r="B195" s="544"/>
    </row>
    <row r="196" spans="1:2" x14ac:dyDescent="0.2">
      <c r="A196" s="543"/>
      <c r="B196" s="544"/>
    </row>
    <row r="197" spans="1:2" x14ac:dyDescent="0.2">
      <c r="A197" s="543"/>
      <c r="B197" s="544"/>
    </row>
    <row r="198" spans="1:2" x14ac:dyDescent="0.2">
      <c r="A198" s="543"/>
      <c r="B198" s="544"/>
    </row>
    <row r="199" spans="1:2" x14ac:dyDescent="0.2">
      <c r="A199" s="543"/>
      <c r="B199" s="544"/>
    </row>
    <row r="200" spans="1:2" x14ac:dyDescent="0.2">
      <c r="A200" s="543"/>
      <c r="B200" s="544"/>
    </row>
    <row r="201" spans="1:2" x14ac:dyDescent="0.2">
      <c r="A201" s="543"/>
      <c r="B201" s="544"/>
    </row>
    <row r="202" spans="1:2" x14ac:dyDescent="0.2">
      <c r="A202" s="543"/>
      <c r="B202" s="544"/>
    </row>
    <row r="203" spans="1:2" x14ac:dyDescent="0.2">
      <c r="A203" s="543"/>
      <c r="B203" s="544"/>
    </row>
    <row r="204" spans="1:2" x14ac:dyDescent="0.2">
      <c r="A204" s="543"/>
      <c r="B204" s="544"/>
    </row>
    <row r="205" spans="1:2" x14ac:dyDescent="0.2">
      <c r="A205" s="543"/>
      <c r="B205" s="544"/>
    </row>
    <row r="206" spans="1:2" x14ac:dyDescent="0.2">
      <c r="A206" s="543"/>
      <c r="B206" s="544"/>
    </row>
    <row r="207" spans="1:2" x14ac:dyDescent="0.2">
      <c r="A207" s="543"/>
      <c r="B207" s="544"/>
    </row>
    <row r="208" spans="1:2" x14ac:dyDescent="0.2">
      <c r="A208" s="543"/>
      <c r="B208" s="544"/>
    </row>
    <row r="209" spans="1:3" x14ac:dyDescent="0.2">
      <c r="A209" s="543"/>
      <c r="B209" s="544"/>
    </row>
    <row r="210" spans="1:3" x14ac:dyDescent="0.2">
      <c r="A210" s="543"/>
      <c r="B210" s="544"/>
      <c r="C210" s="543"/>
    </row>
    <row r="211" spans="1:3" x14ac:dyDescent="0.2">
      <c r="A211" s="543"/>
      <c r="B211" s="544"/>
      <c r="C211" s="543"/>
    </row>
    <row r="212" spans="1:3" x14ac:dyDescent="0.2">
      <c r="A212" s="543"/>
      <c r="B212" s="544"/>
      <c r="C212" s="543"/>
    </row>
    <row r="213" spans="1:3" x14ac:dyDescent="0.2">
      <c r="A213" s="543"/>
      <c r="B213" s="544"/>
      <c r="C213" s="543"/>
    </row>
    <row r="214" spans="1:3" x14ac:dyDescent="0.2">
      <c r="A214" s="543"/>
      <c r="B214" s="544"/>
      <c r="C214" s="543"/>
    </row>
    <row r="215" spans="1:3" x14ac:dyDescent="0.2">
      <c r="A215" s="543"/>
      <c r="B215" s="544"/>
      <c r="C215" s="543"/>
    </row>
    <row r="216" spans="1:3" x14ac:dyDescent="0.2">
      <c r="A216" s="543"/>
      <c r="B216" s="544"/>
      <c r="C216" s="543"/>
    </row>
    <row r="217" spans="1:3" x14ac:dyDescent="0.2">
      <c r="A217" s="543"/>
      <c r="B217" s="544"/>
      <c r="C217" s="543"/>
    </row>
    <row r="218" spans="1:3" x14ac:dyDescent="0.2">
      <c r="A218" s="543"/>
      <c r="B218" s="544"/>
      <c r="C218" s="543"/>
    </row>
    <row r="219" spans="1:3" x14ac:dyDescent="0.2">
      <c r="A219" s="543"/>
      <c r="B219" s="544"/>
      <c r="C219" s="543"/>
    </row>
    <row r="220" spans="1:3" x14ac:dyDescent="0.2">
      <c r="A220" s="543"/>
      <c r="B220" s="544"/>
    </row>
    <row r="221" spans="1:3" x14ac:dyDescent="0.2">
      <c r="A221" s="543"/>
      <c r="B221" s="544"/>
    </row>
    <row r="222" spans="1:3" x14ac:dyDescent="0.2">
      <c r="A222" s="543"/>
      <c r="B222" s="544"/>
    </row>
    <row r="223" spans="1:3" x14ac:dyDescent="0.2">
      <c r="A223" s="543"/>
      <c r="B223" s="544"/>
    </row>
    <row r="224" spans="1:3" x14ac:dyDescent="0.2">
      <c r="A224" s="543"/>
      <c r="B224" s="544"/>
    </row>
    <row r="225" spans="1:2" x14ac:dyDescent="0.2">
      <c r="A225" s="543"/>
      <c r="B225" s="544"/>
    </row>
    <row r="226" spans="1:2" x14ac:dyDescent="0.2">
      <c r="A226" s="543"/>
      <c r="B226" s="544"/>
    </row>
    <row r="227" spans="1:2" x14ac:dyDescent="0.2">
      <c r="A227" s="543"/>
      <c r="B227" s="544"/>
    </row>
    <row r="228" spans="1:2" x14ac:dyDescent="0.2">
      <c r="A228" s="543"/>
      <c r="B228" s="544"/>
    </row>
    <row r="229" spans="1:2" x14ac:dyDescent="0.2">
      <c r="A229" s="543"/>
      <c r="B229" s="544"/>
    </row>
    <row r="230" spans="1:2" x14ac:dyDescent="0.2">
      <c r="A230" s="543"/>
      <c r="B230" s="544"/>
    </row>
    <row r="231" spans="1:2" x14ac:dyDescent="0.2">
      <c r="A231" s="543"/>
      <c r="B231" s="544"/>
    </row>
    <row r="232" spans="1:2" x14ac:dyDescent="0.2">
      <c r="A232" s="543"/>
      <c r="B232" s="544"/>
    </row>
    <row r="233" spans="1:2" x14ac:dyDescent="0.2">
      <c r="A233" s="543"/>
      <c r="B233" s="544"/>
    </row>
    <row r="234" spans="1:2" x14ac:dyDescent="0.2">
      <c r="A234" s="543"/>
      <c r="B234" s="544"/>
    </row>
    <row r="235" spans="1:2" x14ac:dyDescent="0.2">
      <c r="A235" s="543"/>
      <c r="B235" s="544"/>
    </row>
    <row r="236" spans="1:2" x14ac:dyDescent="0.2">
      <c r="A236" s="543"/>
      <c r="B236" s="544"/>
    </row>
    <row r="237" spans="1:2" x14ac:dyDescent="0.2">
      <c r="A237" s="543"/>
      <c r="B237" s="544"/>
    </row>
    <row r="238" spans="1:2" x14ac:dyDescent="0.2">
      <c r="A238" s="543"/>
      <c r="B238" s="544"/>
    </row>
    <row r="239" spans="1:2" x14ac:dyDescent="0.2">
      <c r="A239" s="543"/>
      <c r="B239" s="544"/>
    </row>
    <row r="240" spans="1:2" x14ac:dyDescent="0.2">
      <c r="A240" s="543"/>
      <c r="B240" s="544"/>
    </row>
    <row r="241" spans="1:2" x14ac:dyDescent="0.2">
      <c r="A241" s="543"/>
      <c r="B241" s="544"/>
    </row>
    <row r="242" spans="1:2" x14ac:dyDescent="0.2">
      <c r="A242" s="543"/>
      <c r="B242" s="544"/>
    </row>
    <row r="243" spans="1:2" x14ac:dyDescent="0.2">
      <c r="A243" s="543"/>
      <c r="B243" s="544"/>
    </row>
    <row r="244" spans="1:2" x14ac:dyDescent="0.2">
      <c r="A244" s="543"/>
      <c r="B244" s="544"/>
    </row>
    <row r="245" spans="1:2" x14ac:dyDescent="0.2">
      <c r="A245" s="543"/>
      <c r="B245" s="544"/>
    </row>
    <row r="246" spans="1:2" x14ac:dyDescent="0.2">
      <c r="A246" s="543"/>
      <c r="B246" s="544"/>
    </row>
    <row r="247" spans="1:2" x14ac:dyDescent="0.2">
      <c r="A247" s="543"/>
      <c r="B247" s="544"/>
    </row>
    <row r="248" spans="1:2" x14ac:dyDescent="0.2">
      <c r="A248" s="543"/>
      <c r="B248" s="544"/>
    </row>
    <row r="249" spans="1:2" x14ac:dyDescent="0.2">
      <c r="A249" s="543"/>
      <c r="B249" s="544"/>
    </row>
    <row r="250" spans="1:2" x14ac:dyDescent="0.2">
      <c r="A250" s="543"/>
      <c r="B250" s="544"/>
    </row>
    <row r="251" spans="1:2" x14ac:dyDescent="0.2">
      <c r="A251" s="543"/>
      <c r="B251" s="544"/>
    </row>
    <row r="252" spans="1:2" x14ac:dyDescent="0.2">
      <c r="A252" s="543"/>
      <c r="B252" s="544"/>
    </row>
    <row r="253" spans="1:2" x14ac:dyDescent="0.2">
      <c r="A253" s="543"/>
      <c r="B253" s="544"/>
    </row>
    <row r="254" spans="1:2" x14ac:dyDescent="0.2">
      <c r="A254" s="543"/>
      <c r="B254" s="544"/>
    </row>
    <row r="255" spans="1:2" x14ac:dyDescent="0.2">
      <c r="A255" s="543"/>
      <c r="B255" s="544"/>
    </row>
    <row r="256" spans="1:2" x14ac:dyDescent="0.2">
      <c r="A256" s="543"/>
      <c r="B256" s="544"/>
    </row>
    <row r="257" spans="1:2" x14ac:dyDescent="0.2">
      <c r="A257" s="543"/>
      <c r="B257" s="544"/>
    </row>
    <row r="258" spans="1:2" x14ac:dyDescent="0.2">
      <c r="A258" s="543"/>
      <c r="B258" s="544"/>
    </row>
    <row r="259" spans="1:2" x14ac:dyDescent="0.2">
      <c r="A259" s="543"/>
      <c r="B259" s="544"/>
    </row>
    <row r="260" spans="1:2" x14ac:dyDescent="0.2">
      <c r="A260" s="543"/>
      <c r="B260" s="544"/>
    </row>
    <row r="261" spans="1:2" x14ac:dyDescent="0.2">
      <c r="A261" s="543"/>
      <c r="B261" s="544"/>
    </row>
    <row r="262" spans="1:2" x14ac:dyDescent="0.2">
      <c r="A262" s="543"/>
      <c r="B262" s="544"/>
    </row>
    <row r="263" spans="1:2" x14ac:dyDescent="0.2">
      <c r="A263" s="543"/>
      <c r="B263" s="544"/>
    </row>
    <row r="264" spans="1:2" x14ac:dyDescent="0.2">
      <c r="A264" s="543"/>
      <c r="B264" s="544"/>
    </row>
    <row r="265" spans="1:2" x14ac:dyDescent="0.2">
      <c r="A265" s="543"/>
      <c r="B265" s="544"/>
    </row>
    <row r="266" spans="1:2" x14ac:dyDescent="0.2">
      <c r="A266" s="543"/>
      <c r="B266" s="544"/>
    </row>
    <row r="267" spans="1:2" x14ac:dyDescent="0.2">
      <c r="A267" s="543"/>
      <c r="B267" s="544"/>
    </row>
    <row r="268" spans="1:2" x14ac:dyDescent="0.2">
      <c r="A268" s="543"/>
      <c r="B268" s="544"/>
    </row>
    <row r="269" spans="1:2" x14ac:dyDescent="0.2">
      <c r="A269" s="543"/>
      <c r="B269" s="544"/>
    </row>
    <row r="270" spans="1:2" x14ac:dyDescent="0.2">
      <c r="A270" s="543"/>
      <c r="B270" s="544"/>
    </row>
    <row r="271" spans="1:2" x14ac:dyDescent="0.2">
      <c r="A271" s="543"/>
      <c r="B271" s="544"/>
    </row>
    <row r="272" spans="1:2" x14ac:dyDescent="0.2">
      <c r="A272" s="543"/>
      <c r="B272" s="544"/>
    </row>
    <row r="273" spans="1:2" x14ac:dyDescent="0.2">
      <c r="A273" s="543"/>
      <c r="B273" s="544"/>
    </row>
    <row r="274" spans="1:2" x14ac:dyDescent="0.2">
      <c r="A274" s="543"/>
      <c r="B274" s="544"/>
    </row>
    <row r="275" spans="1:2" x14ac:dyDescent="0.2">
      <c r="A275" s="543"/>
      <c r="B275" s="544"/>
    </row>
    <row r="276" spans="1:2" x14ac:dyDescent="0.2">
      <c r="A276" s="543"/>
      <c r="B276" s="544"/>
    </row>
    <row r="277" spans="1:2" x14ac:dyDescent="0.2">
      <c r="A277" s="543"/>
      <c r="B277" s="544"/>
    </row>
  </sheetData>
  <autoFilter ref="A1:B100" xr:uid="{00000000-0009-0000-0000-000012000000}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>
    <tabColor theme="0" tint="-4.9989318521683403E-2"/>
  </sheetPr>
  <dimension ref="A1:D735"/>
  <sheetViews>
    <sheetView workbookViewId="0">
      <selection activeCell="J5" sqref="J5"/>
    </sheetView>
  </sheetViews>
  <sheetFormatPr baseColWidth="10" defaultRowHeight="12.75" x14ac:dyDescent="0.2"/>
  <sheetData>
    <row r="1" spans="1:4" ht="13.5" thickBot="1" x14ac:dyDescent="0.25">
      <c r="A1" s="145" t="s">
        <v>106</v>
      </c>
      <c r="B1" s="143" t="s">
        <v>792</v>
      </c>
      <c r="C1" s="145" t="s">
        <v>24</v>
      </c>
      <c r="D1" s="143" t="s">
        <v>793</v>
      </c>
    </row>
    <row r="2" spans="1:4" ht="13.5" thickBot="1" x14ac:dyDescent="0.25">
      <c r="A2" s="149" t="s">
        <v>204</v>
      </c>
      <c r="B2" s="150">
        <v>421883284</v>
      </c>
      <c r="C2" s="148">
        <v>113</v>
      </c>
      <c r="D2" s="142" t="s">
        <v>794</v>
      </c>
    </row>
    <row r="3" spans="1:4" ht="13.5" thickBot="1" x14ac:dyDescent="0.25">
      <c r="A3" s="146" t="s">
        <v>205</v>
      </c>
      <c r="B3" s="147">
        <v>311846714</v>
      </c>
      <c r="C3" s="148">
        <v>81.599999999999994</v>
      </c>
      <c r="D3" s="142" t="s">
        <v>4</v>
      </c>
    </row>
    <row r="4" spans="1:4" ht="13.5" thickBot="1" x14ac:dyDescent="0.25">
      <c r="A4" s="149" t="s">
        <v>206</v>
      </c>
      <c r="B4" s="150">
        <v>378539686</v>
      </c>
      <c r="C4" s="148">
        <v>97.6</v>
      </c>
      <c r="D4" s="142" t="s">
        <v>794</v>
      </c>
    </row>
    <row r="5" spans="1:4" ht="13.5" thickBot="1" x14ac:dyDescent="0.25">
      <c r="A5" s="149" t="s">
        <v>207</v>
      </c>
      <c r="B5" s="150">
        <v>316677924</v>
      </c>
      <c r="C5" s="148">
        <v>81.650000000000006</v>
      </c>
      <c r="D5" s="142" t="s">
        <v>794</v>
      </c>
    </row>
    <row r="6" spans="1:4" ht="13.5" thickBot="1" x14ac:dyDescent="0.25">
      <c r="A6" s="146" t="s">
        <v>208</v>
      </c>
      <c r="B6" s="147">
        <v>430349161</v>
      </c>
      <c r="C6" s="148">
        <v>133</v>
      </c>
      <c r="D6" s="142" t="s">
        <v>4</v>
      </c>
    </row>
    <row r="7" spans="1:4" ht="13.5" thickBot="1" x14ac:dyDescent="0.25">
      <c r="A7" s="149" t="s">
        <v>209</v>
      </c>
      <c r="B7" s="150">
        <v>421883284</v>
      </c>
      <c r="C7" s="148">
        <v>113</v>
      </c>
      <c r="D7" s="142" t="s">
        <v>794</v>
      </c>
    </row>
    <row r="8" spans="1:4" ht="13.5" thickBot="1" x14ac:dyDescent="0.25">
      <c r="A8" s="146" t="s">
        <v>210</v>
      </c>
      <c r="B8" s="147">
        <v>306117797</v>
      </c>
      <c r="C8" s="148">
        <v>81.599999999999994</v>
      </c>
      <c r="D8" s="142" t="s">
        <v>4</v>
      </c>
    </row>
    <row r="9" spans="1:4" ht="13.5" thickBot="1" x14ac:dyDescent="0.25">
      <c r="A9" s="149" t="s">
        <v>211</v>
      </c>
      <c r="B9" s="150">
        <v>371980382</v>
      </c>
      <c r="C9" s="148">
        <v>97.8</v>
      </c>
      <c r="D9" s="142" t="s">
        <v>794</v>
      </c>
    </row>
    <row r="10" spans="1:4" ht="13.5" thickBot="1" x14ac:dyDescent="0.25">
      <c r="A10" s="146" t="s">
        <v>212</v>
      </c>
      <c r="B10" s="147">
        <v>361766555</v>
      </c>
      <c r="C10" s="148">
        <v>97.6</v>
      </c>
      <c r="D10" s="142" t="s">
        <v>4</v>
      </c>
    </row>
    <row r="11" spans="1:4" ht="13.5" thickBot="1" x14ac:dyDescent="0.25">
      <c r="A11" s="146" t="s">
        <v>213</v>
      </c>
      <c r="B11" s="147">
        <v>299829281</v>
      </c>
      <c r="C11" s="148">
        <v>81.599999999999994</v>
      </c>
      <c r="D11" s="142" t="s">
        <v>4</v>
      </c>
    </row>
    <row r="12" spans="1:4" ht="13.5" thickBot="1" x14ac:dyDescent="0.25">
      <c r="A12" s="146" t="s">
        <v>214</v>
      </c>
      <c r="B12" s="147">
        <v>414542570</v>
      </c>
      <c r="C12" s="148">
        <v>112.9</v>
      </c>
      <c r="D12" s="142" t="s">
        <v>4</v>
      </c>
    </row>
    <row r="13" spans="1:4" ht="13.5" thickBot="1" x14ac:dyDescent="0.25">
      <c r="A13" s="149" t="s">
        <v>215</v>
      </c>
      <c r="B13" s="150">
        <v>422083284</v>
      </c>
      <c r="C13" s="148">
        <v>113</v>
      </c>
      <c r="D13" s="142" t="s">
        <v>794</v>
      </c>
    </row>
    <row r="14" spans="1:4" ht="13.5" thickBot="1" x14ac:dyDescent="0.25">
      <c r="A14" s="146" t="s">
        <v>216</v>
      </c>
      <c r="B14" s="147">
        <v>304493394</v>
      </c>
      <c r="C14" s="148">
        <v>81.599999999999994</v>
      </c>
      <c r="D14" s="142" t="s">
        <v>4</v>
      </c>
    </row>
    <row r="15" spans="1:4" ht="13.5" thickBot="1" x14ac:dyDescent="0.25">
      <c r="A15" s="149" t="s">
        <v>217</v>
      </c>
      <c r="B15" s="150">
        <v>374625382</v>
      </c>
      <c r="C15" s="148">
        <v>97.8</v>
      </c>
      <c r="D15" s="142" t="s">
        <v>794</v>
      </c>
    </row>
    <row r="16" spans="1:4" ht="13.5" thickBot="1" x14ac:dyDescent="0.25">
      <c r="A16" s="146" t="s">
        <v>218</v>
      </c>
      <c r="B16" s="147">
        <v>365589778</v>
      </c>
      <c r="C16" s="148">
        <v>97.6</v>
      </c>
      <c r="D16" s="142" t="s">
        <v>4</v>
      </c>
    </row>
    <row r="17" spans="1:4" ht="13.5" thickBot="1" x14ac:dyDescent="0.25">
      <c r="A17" s="146" t="s">
        <v>413</v>
      </c>
      <c r="B17" s="147">
        <v>306849715</v>
      </c>
      <c r="C17" s="148">
        <v>81.599999999999994</v>
      </c>
      <c r="D17" s="142" t="s">
        <v>4</v>
      </c>
    </row>
    <row r="18" spans="1:4" ht="13.5" thickBot="1" x14ac:dyDescent="0.25">
      <c r="A18" s="146" t="s">
        <v>219</v>
      </c>
      <c r="B18" s="147">
        <v>415754137</v>
      </c>
      <c r="C18" s="148">
        <v>113</v>
      </c>
      <c r="D18" s="142" t="s">
        <v>4</v>
      </c>
    </row>
    <row r="19" spans="1:4" ht="13.5" thickBot="1" x14ac:dyDescent="0.25">
      <c r="A19" s="149" t="s">
        <v>220</v>
      </c>
      <c r="B19" s="150">
        <v>422283284</v>
      </c>
      <c r="C19" s="148">
        <v>113</v>
      </c>
      <c r="D19" s="142" t="s">
        <v>794</v>
      </c>
    </row>
    <row r="20" spans="1:4" ht="13.5" thickBot="1" x14ac:dyDescent="0.25">
      <c r="A20" s="146" t="s">
        <v>221</v>
      </c>
      <c r="B20" s="147">
        <v>307498077</v>
      </c>
      <c r="C20" s="148">
        <v>81.599999999999994</v>
      </c>
      <c r="D20" s="142" t="s">
        <v>4</v>
      </c>
    </row>
    <row r="21" spans="1:4" ht="13.5" thickBot="1" x14ac:dyDescent="0.25">
      <c r="A21" s="146" t="s">
        <v>222</v>
      </c>
      <c r="B21" s="147">
        <v>368467585</v>
      </c>
      <c r="C21" s="148">
        <v>97.8</v>
      </c>
      <c r="D21" s="142" t="s">
        <v>4</v>
      </c>
    </row>
    <row r="22" spans="1:4" ht="13.5" thickBot="1" x14ac:dyDescent="0.25">
      <c r="A22" s="149" t="s">
        <v>223</v>
      </c>
      <c r="B22" s="150">
        <v>379139686</v>
      </c>
      <c r="C22" s="148">
        <v>97.6</v>
      </c>
      <c r="D22" s="142" t="s">
        <v>794</v>
      </c>
    </row>
    <row r="23" spans="1:4" ht="13.5" thickBot="1" x14ac:dyDescent="0.25">
      <c r="A23" s="146" t="s">
        <v>224</v>
      </c>
      <c r="B23" s="147">
        <v>299338961</v>
      </c>
      <c r="C23" s="148">
        <v>81.599999999999994</v>
      </c>
      <c r="D23" s="142" t="s">
        <v>4</v>
      </c>
    </row>
    <row r="24" spans="1:4" ht="13.5" thickBot="1" x14ac:dyDescent="0.25">
      <c r="A24" s="146" t="s">
        <v>225</v>
      </c>
      <c r="B24" s="147">
        <v>423331951</v>
      </c>
      <c r="C24" s="148">
        <v>113</v>
      </c>
      <c r="D24" s="142" t="s">
        <v>4</v>
      </c>
    </row>
    <row r="25" spans="1:4" ht="13.5" thickBot="1" x14ac:dyDescent="0.25">
      <c r="A25" s="149" t="s">
        <v>226</v>
      </c>
      <c r="B25" s="150">
        <v>422483284</v>
      </c>
      <c r="C25" s="148">
        <v>113</v>
      </c>
      <c r="D25" s="142" t="s">
        <v>794</v>
      </c>
    </row>
    <row r="26" spans="1:4" ht="13.5" thickBot="1" x14ac:dyDescent="0.25">
      <c r="A26" s="146" t="s">
        <v>227</v>
      </c>
      <c r="B26" s="147">
        <v>300426008</v>
      </c>
      <c r="C26" s="148">
        <v>81.599999999999994</v>
      </c>
      <c r="D26" s="142" t="s">
        <v>4</v>
      </c>
    </row>
    <row r="27" spans="1:4" ht="13.5" thickBot="1" x14ac:dyDescent="0.25">
      <c r="A27" s="149" t="s">
        <v>228</v>
      </c>
      <c r="B27" s="150">
        <v>375025382</v>
      </c>
      <c r="C27" s="148">
        <v>97.8</v>
      </c>
      <c r="D27" s="142" t="s">
        <v>794</v>
      </c>
    </row>
    <row r="28" spans="1:4" ht="13.5" thickBot="1" x14ac:dyDescent="0.25">
      <c r="A28" s="146" t="s">
        <v>414</v>
      </c>
      <c r="B28" s="147">
        <v>379094279</v>
      </c>
      <c r="C28" s="148">
        <v>97.2</v>
      </c>
      <c r="D28" s="142" t="s">
        <v>4</v>
      </c>
    </row>
    <row r="29" spans="1:4" ht="13.5" thickBot="1" x14ac:dyDescent="0.25">
      <c r="A29" s="146" t="s">
        <v>415</v>
      </c>
      <c r="B29" s="147">
        <v>307248544</v>
      </c>
      <c r="C29" s="148">
        <v>81.599999999999994</v>
      </c>
      <c r="D29" s="142" t="s">
        <v>4</v>
      </c>
    </row>
    <row r="30" spans="1:4" ht="13.5" thickBot="1" x14ac:dyDescent="0.25">
      <c r="A30" s="146" t="s">
        <v>229</v>
      </c>
      <c r="B30" s="147">
        <v>428832173</v>
      </c>
      <c r="C30" s="148">
        <v>113</v>
      </c>
      <c r="D30" s="142" t="s">
        <v>4</v>
      </c>
    </row>
    <row r="31" spans="1:4" ht="13.5" thickBot="1" x14ac:dyDescent="0.25">
      <c r="A31" s="149" t="s">
        <v>230</v>
      </c>
      <c r="B31" s="150">
        <v>431158284</v>
      </c>
      <c r="C31" s="148">
        <v>113</v>
      </c>
      <c r="D31" s="142" t="s">
        <v>794</v>
      </c>
    </row>
    <row r="32" spans="1:4" ht="13.5" thickBot="1" x14ac:dyDescent="0.25">
      <c r="A32" s="146" t="s">
        <v>231</v>
      </c>
      <c r="B32" s="147">
        <v>299674726</v>
      </c>
      <c r="C32" s="148">
        <v>81.599999999999994</v>
      </c>
      <c r="D32" s="142" t="s">
        <v>4</v>
      </c>
    </row>
    <row r="33" spans="1:4" ht="13.5" thickBot="1" x14ac:dyDescent="0.25">
      <c r="A33" s="149" t="s">
        <v>232</v>
      </c>
      <c r="B33" s="150">
        <v>375225382</v>
      </c>
      <c r="C33" s="148">
        <v>97.8</v>
      </c>
      <c r="D33" s="142" t="s">
        <v>794</v>
      </c>
    </row>
    <row r="34" spans="1:4" ht="13.5" thickBot="1" x14ac:dyDescent="0.25">
      <c r="A34" s="146" t="s">
        <v>233</v>
      </c>
      <c r="B34" s="147">
        <v>363632928</v>
      </c>
      <c r="C34" s="148">
        <v>97.6</v>
      </c>
      <c r="D34" s="142" t="s">
        <v>4</v>
      </c>
    </row>
    <row r="35" spans="1:4" ht="13.5" thickBot="1" x14ac:dyDescent="0.25">
      <c r="A35" s="146" t="s">
        <v>416</v>
      </c>
      <c r="B35" s="147">
        <v>300421695</v>
      </c>
      <c r="C35" s="148">
        <v>81.599999999999994</v>
      </c>
      <c r="D35" s="142" t="s">
        <v>4</v>
      </c>
    </row>
    <row r="36" spans="1:4" ht="13.5" thickBot="1" x14ac:dyDescent="0.25">
      <c r="A36" s="149" t="s">
        <v>234</v>
      </c>
      <c r="B36" s="150">
        <v>428154936</v>
      </c>
      <c r="C36" s="148">
        <v>112.9</v>
      </c>
      <c r="D36" s="142" t="s">
        <v>794</v>
      </c>
    </row>
    <row r="37" spans="1:4" ht="13.5" thickBot="1" x14ac:dyDescent="0.25">
      <c r="A37" s="149" t="s">
        <v>235</v>
      </c>
      <c r="B37" s="150">
        <v>422883284</v>
      </c>
      <c r="C37" s="148">
        <v>113</v>
      </c>
      <c r="D37" s="142" t="s">
        <v>794</v>
      </c>
    </row>
    <row r="38" spans="1:4" ht="13.5" thickBot="1" x14ac:dyDescent="0.25">
      <c r="A38" s="146" t="s">
        <v>236</v>
      </c>
      <c r="B38" s="147">
        <v>300468179</v>
      </c>
      <c r="C38" s="148">
        <v>81.599999999999994</v>
      </c>
      <c r="D38" s="142" t="s">
        <v>4</v>
      </c>
    </row>
    <row r="39" spans="1:4" ht="13.5" thickBot="1" x14ac:dyDescent="0.25">
      <c r="A39" s="149" t="s">
        <v>237</v>
      </c>
      <c r="B39" s="150">
        <v>372980382</v>
      </c>
      <c r="C39" s="148">
        <v>97.8</v>
      </c>
      <c r="D39" s="142" t="s">
        <v>794</v>
      </c>
    </row>
    <row r="40" spans="1:4" ht="13.5" thickBot="1" x14ac:dyDescent="0.25">
      <c r="A40" s="149" t="s">
        <v>238</v>
      </c>
      <c r="B40" s="150">
        <v>379739686</v>
      </c>
      <c r="C40" s="148">
        <v>97.6</v>
      </c>
      <c r="D40" s="142" t="s">
        <v>794</v>
      </c>
    </row>
    <row r="41" spans="1:4" ht="13.5" thickBot="1" x14ac:dyDescent="0.25">
      <c r="A41" s="149" t="s">
        <v>239</v>
      </c>
      <c r="B41" s="150">
        <v>317877924</v>
      </c>
      <c r="C41" s="148">
        <v>81.650000000000006</v>
      </c>
      <c r="D41" s="142" t="s">
        <v>794</v>
      </c>
    </row>
    <row r="42" spans="1:4" ht="13.5" thickBot="1" x14ac:dyDescent="0.25">
      <c r="A42" s="149" t="s">
        <v>240</v>
      </c>
      <c r="B42" s="150">
        <v>428354936</v>
      </c>
      <c r="C42" s="148">
        <v>112.9</v>
      </c>
      <c r="D42" s="142" t="s">
        <v>794</v>
      </c>
    </row>
    <row r="43" spans="1:4" ht="13.5" thickBot="1" x14ac:dyDescent="0.25">
      <c r="A43" s="146" t="s">
        <v>241</v>
      </c>
      <c r="B43" s="147">
        <v>413993827</v>
      </c>
      <c r="C43" s="148">
        <v>113</v>
      </c>
      <c r="D43" s="142" t="s">
        <v>4</v>
      </c>
    </row>
    <row r="44" spans="1:4" ht="13.5" thickBot="1" x14ac:dyDescent="0.25">
      <c r="A44" s="149" t="s">
        <v>242</v>
      </c>
      <c r="B44" s="150">
        <v>313604000</v>
      </c>
      <c r="C44" s="148">
        <v>81.599999999999994</v>
      </c>
      <c r="D44" s="142" t="s">
        <v>794</v>
      </c>
    </row>
    <row r="45" spans="1:4" ht="13.5" thickBot="1" x14ac:dyDescent="0.25">
      <c r="A45" s="146" t="s">
        <v>243</v>
      </c>
      <c r="B45" s="147">
        <v>375186610</v>
      </c>
      <c r="C45" s="148">
        <v>97.8</v>
      </c>
      <c r="D45" s="142" t="s">
        <v>4</v>
      </c>
    </row>
    <row r="46" spans="1:4" ht="13.5" thickBot="1" x14ac:dyDescent="0.25">
      <c r="A46" s="149" t="s">
        <v>244</v>
      </c>
      <c r="B46" s="150">
        <v>377499686</v>
      </c>
      <c r="C46" s="148">
        <v>97.6</v>
      </c>
      <c r="D46" s="142" t="s">
        <v>794</v>
      </c>
    </row>
    <row r="47" spans="1:4" ht="13.5" thickBot="1" x14ac:dyDescent="0.25">
      <c r="A47" s="146" t="s">
        <v>417</v>
      </c>
      <c r="B47" s="147">
        <v>301278683</v>
      </c>
      <c r="C47" s="148">
        <v>81.599999999999994</v>
      </c>
      <c r="D47" s="142" t="s">
        <v>4</v>
      </c>
    </row>
    <row r="48" spans="1:4" ht="13.5" thickBot="1" x14ac:dyDescent="0.25">
      <c r="A48" s="149" t="s">
        <v>245</v>
      </c>
      <c r="B48" s="150">
        <v>431758284</v>
      </c>
      <c r="C48" s="148">
        <v>112.9</v>
      </c>
      <c r="D48" s="142" t="s">
        <v>794</v>
      </c>
    </row>
    <row r="49" spans="1:4" ht="13.5" thickBot="1" x14ac:dyDescent="0.25">
      <c r="A49" s="149" t="s">
        <v>246</v>
      </c>
      <c r="B49" s="150">
        <v>423283284</v>
      </c>
      <c r="C49" s="148">
        <v>113</v>
      </c>
      <c r="D49" s="142" t="s">
        <v>794</v>
      </c>
    </row>
    <row r="50" spans="1:4" ht="13.5" thickBot="1" x14ac:dyDescent="0.25">
      <c r="A50" s="146" t="s">
        <v>247</v>
      </c>
      <c r="B50" s="147">
        <v>302476923</v>
      </c>
      <c r="C50" s="148">
        <v>81.599999999999994</v>
      </c>
      <c r="D50" s="142" t="s">
        <v>4</v>
      </c>
    </row>
    <row r="51" spans="1:4" ht="13.5" thickBot="1" x14ac:dyDescent="0.25">
      <c r="A51" s="146" t="s">
        <v>248</v>
      </c>
      <c r="B51" s="147">
        <v>375824237</v>
      </c>
      <c r="C51" s="148">
        <v>97.8</v>
      </c>
      <c r="D51" s="142" t="s">
        <v>4</v>
      </c>
    </row>
    <row r="52" spans="1:4" ht="13.5" thickBot="1" x14ac:dyDescent="0.25">
      <c r="A52" s="146" t="s">
        <v>249</v>
      </c>
      <c r="B52" s="147">
        <v>366323723</v>
      </c>
      <c r="C52" s="148">
        <v>97.6</v>
      </c>
      <c r="D52" s="142" t="s">
        <v>4</v>
      </c>
    </row>
    <row r="53" spans="1:4" ht="13.5" thickBot="1" x14ac:dyDescent="0.25">
      <c r="A53" s="146" t="s">
        <v>250</v>
      </c>
      <c r="B53" s="147">
        <v>301396112</v>
      </c>
      <c r="C53" s="148">
        <v>81.599999999999994</v>
      </c>
      <c r="D53" s="142" t="s">
        <v>4</v>
      </c>
    </row>
    <row r="54" spans="1:4" ht="13.5" thickBot="1" x14ac:dyDescent="0.25">
      <c r="A54" s="149" t="s">
        <v>251</v>
      </c>
      <c r="B54" s="150">
        <v>428754936</v>
      </c>
      <c r="C54" s="148">
        <v>112.9</v>
      </c>
      <c r="D54" s="142" t="s">
        <v>794</v>
      </c>
    </row>
    <row r="55" spans="1:4" ht="13.5" thickBot="1" x14ac:dyDescent="0.25">
      <c r="A55" s="149" t="s">
        <v>252</v>
      </c>
      <c r="B55" s="150">
        <v>423483284</v>
      </c>
      <c r="C55" s="148">
        <v>113</v>
      </c>
      <c r="D55" s="142" t="s">
        <v>794</v>
      </c>
    </row>
    <row r="56" spans="1:4" ht="13.5" thickBot="1" x14ac:dyDescent="0.25">
      <c r="A56" s="146" t="s">
        <v>253</v>
      </c>
      <c r="B56" s="147">
        <v>302703707</v>
      </c>
      <c r="C56" s="148">
        <v>81.599999999999994</v>
      </c>
      <c r="D56" s="142" t="s">
        <v>4</v>
      </c>
    </row>
    <row r="57" spans="1:4" ht="13.5" thickBot="1" x14ac:dyDescent="0.25">
      <c r="A57" s="146" t="s">
        <v>254</v>
      </c>
      <c r="B57" s="147">
        <v>360266097</v>
      </c>
      <c r="C57" s="148">
        <v>97.2</v>
      </c>
      <c r="D57" s="142" t="s">
        <v>4</v>
      </c>
    </row>
    <row r="58" spans="1:4" ht="13.5" thickBot="1" x14ac:dyDescent="0.25">
      <c r="A58" s="146" t="s">
        <v>255</v>
      </c>
      <c r="B58" s="147">
        <v>366823978</v>
      </c>
      <c r="C58" s="148">
        <v>97.6</v>
      </c>
      <c r="D58" s="142" t="s">
        <v>4</v>
      </c>
    </row>
    <row r="59" spans="1:4" ht="13.5" thickBot="1" x14ac:dyDescent="0.25">
      <c r="A59" s="149" t="s">
        <v>256</v>
      </c>
      <c r="B59" s="150">
        <v>318477924</v>
      </c>
      <c r="C59" s="148">
        <v>81.650000000000006</v>
      </c>
      <c r="D59" s="142" t="s">
        <v>794</v>
      </c>
    </row>
    <row r="60" spans="1:4" ht="13.5" thickBot="1" x14ac:dyDescent="0.25">
      <c r="A60" s="149" t="s">
        <v>257</v>
      </c>
      <c r="B60" s="150">
        <v>428954936</v>
      </c>
      <c r="C60" s="148">
        <v>112.9</v>
      </c>
      <c r="D60" s="142" t="s">
        <v>794</v>
      </c>
    </row>
    <row r="61" spans="1:4" ht="13.5" thickBot="1" x14ac:dyDescent="0.25">
      <c r="A61" s="149" t="s">
        <v>258</v>
      </c>
      <c r="B61" s="150">
        <v>423683284</v>
      </c>
      <c r="C61" s="148">
        <v>113</v>
      </c>
      <c r="D61" s="142" t="s">
        <v>794</v>
      </c>
    </row>
    <row r="62" spans="1:4" ht="13.5" thickBot="1" x14ac:dyDescent="0.25">
      <c r="A62" s="146" t="s">
        <v>259</v>
      </c>
      <c r="B62" s="147">
        <v>308893289</v>
      </c>
      <c r="C62" s="148">
        <v>81.599999999999994</v>
      </c>
      <c r="D62" s="142" t="s">
        <v>4</v>
      </c>
    </row>
    <row r="63" spans="1:4" ht="13.5" thickBot="1" x14ac:dyDescent="0.25">
      <c r="A63" s="149" t="s">
        <v>260</v>
      </c>
      <c r="B63" s="150">
        <v>376225382</v>
      </c>
      <c r="C63" s="148">
        <v>97.8</v>
      </c>
      <c r="D63" s="142" t="s">
        <v>794</v>
      </c>
    </row>
    <row r="64" spans="1:4" ht="13.5" thickBot="1" x14ac:dyDescent="0.25">
      <c r="A64" s="149" t="s">
        <v>261</v>
      </c>
      <c r="B64" s="150">
        <v>378099686</v>
      </c>
      <c r="C64" s="148">
        <v>97.6</v>
      </c>
      <c r="D64" s="142" t="s">
        <v>794</v>
      </c>
    </row>
    <row r="65" spans="1:4" ht="13.5" thickBot="1" x14ac:dyDescent="0.25">
      <c r="A65" s="146" t="s">
        <v>262</v>
      </c>
      <c r="B65" s="147">
        <v>307966110</v>
      </c>
      <c r="C65" s="148">
        <v>81.599999999999994</v>
      </c>
      <c r="D65" s="142" t="s">
        <v>4</v>
      </c>
    </row>
    <row r="66" spans="1:4" ht="13.5" thickBot="1" x14ac:dyDescent="0.25">
      <c r="A66" s="149" t="s">
        <v>263</v>
      </c>
      <c r="B66" s="150">
        <v>429154936</v>
      </c>
      <c r="C66" s="148">
        <v>112.9</v>
      </c>
      <c r="D66" s="142" t="s">
        <v>794</v>
      </c>
    </row>
    <row r="67" spans="1:4" ht="13.5" thickBot="1" x14ac:dyDescent="0.25">
      <c r="A67" s="149" t="s">
        <v>264</v>
      </c>
      <c r="B67" s="150">
        <v>423883284</v>
      </c>
      <c r="C67" s="148">
        <v>113</v>
      </c>
      <c r="D67" s="142" t="s">
        <v>794</v>
      </c>
    </row>
    <row r="68" spans="1:4" ht="13.5" thickBot="1" x14ac:dyDescent="0.25">
      <c r="A68" s="146" t="s">
        <v>265</v>
      </c>
      <c r="B68" s="147">
        <v>309669652</v>
      </c>
      <c r="C68" s="148">
        <v>81.599999999999994</v>
      </c>
      <c r="D68" s="142" t="s">
        <v>4</v>
      </c>
    </row>
    <row r="69" spans="1:4" ht="13.5" thickBot="1" x14ac:dyDescent="0.25">
      <c r="A69" s="149" t="s">
        <v>266</v>
      </c>
      <c r="B69" s="150">
        <v>376425382</v>
      </c>
      <c r="C69" s="148">
        <v>97.8</v>
      </c>
      <c r="D69" s="142" t="s">
        <v>794</v>
      </c>
    </row>
    <row r="70" spans="1:4" ht="13.5" thickBot="1" x14ac:dyDescent="0.25">
      <c r="A70" s="146" t="s">
        <v>418</v>
      </c>
      <c r="B70" s="147">
        <v>347505270</v>
      </c>
      <c r="C70" s="148">
        <v>97.2</v>
      </c>
      <c r="D70" s="142" t="s">
        <v>4</v>
      </c>
    </row>
    <row r="71" spans="1:4" ht="13.5" thickBot="1" x14ac:dyDescent="0.25">
      <c r="A71" s="146" t="s">
        <v>267</v>
      </c>
      <c r="B71" s="147">
        <v>302042699</v>
      </c>
      <c r="C71" s="148">
        <v>81.599999999999994</v>
      </c>
      <c r="D71" s="142" t="s">
        <v>4</v>
      </c>
    </row>
    <row r="72" spans="1:4" ht="13.5" thickBot="1" x14ac:dyDescent="0.25">
      <c r="A72" s="149" t="s">
        <v>268</v>
      </c>
      <c r="B72" s="150">
        <v>429354936</v>
      </c>
      <c r="C72" s="148">
        <v>112.9</v>
      </c>
      <c r="D72" s="142" t="s">
        <v>794</v>
      </c>
    </row>
    <row r="73" spans="1:4" ht="13.5" thickBot="1" x14ac:dyDescent="0.25">
      <c r="A73" s="149" t="s">
        <v>269</v>
      </c>
      <c r="B73" s="150">
        <v>424083284</v>
      </c>
      <c r="C73" s="148">
        <v>113</v>
      </c>
      <c r="D73" s="142" t="s">
        <v>794</v>
      </c>
    </row>
    <row r="74" spans="1:4" ht="13.5" thickBot="1" x14ac:dyDescent="0.25">
      <c r="A74" s="146" t="s">
        <v>270</v>
      </c>
      <c r="B74" s="147">
        <v>302100567</v>
      </c>
      <c r="C74" s="148">
        <v>81.599999999999994</v>
      </c>
      <c r="D74" s="142" t="s">
        <v>4</v>
      </c>
    </row>
    <row r="75" spans="1:4" ht="13.5" thickBot="1" x14ac:dyDescent="0.25">
      <c r="A75" s="146" t="s">
        <v>271</v>
      </c>
      <c r="B75" s="147">
        <v>363081019</v>
      </c>
      <c r="C75" s="148">
        <v>97.8</v>
      </c>
      <c r="D75" s="142" t="s">
        <v>4</v>
      </c>
    </row>
    <row r="76" spans="1:4" ht="13.5" thickBot="1" x14ac:dyDescent="0.25">
      <c r="A76" s="146" t="s">
        <v>419</v>
      </c>
      <c r="B76" s="147">
        <v>351307662</v>
      </c>
      <c r="C76" s="148">
        <v>97.2</v>
      </c>
      <c r="D76" s="142" t="s">
        <v>4</v>
      </c>
    </row>
    <row r="77" spans="1:4" ht="13.5" thickBot="1" x14ac:dyDescent="0.25">
      <c r="A77" s="146" t="s">
        <v>272</v>
      </c>
      <c r="B77" s="147">
        <v>305215381</v>
      </c>
      <c r="C77" s="148">
        <v>81.599999999999994</v>
      </c>
      <c r="D77" s="142" t="s">
        <v>4</v>
      </c>
    </row>
    <row r="78" spans="1:4" ht="13.5" thickBot="1" x14ac:dyDescent="0.25">
      <c r="A78" s="149" t="s">
        <v>273</v>
      </c>
      <c r="B78" s="150">
        <v>429554936</v>
      </c>
      <c r="C78" s="148">
        <v>112.9</v>
      </c>
      <c r="D78" s="142" t="s">
        <v>794</v>
      </c>
    </row>
    <row r="79" spans="1:4" ht="13.5" thickBot="1" x14ac:dyDescent="0.25">
      <c r="A79" s="149" t="s">
        <v>274</v>
      </c>
      <c r="B79" s="150">
        <v>424283284</v>
      </c>
      <c r="C79" s="148">
        <v>113</v>
      </c>
      <c r="D79" s="142" t="s">
        <v>794</v>
      </c>
    </row>
    <row r="80" spans="1:4" ht="13.5" thickBot="1" x14ac:dyDescent="0.25">
      <c r="A80" s="146" t="s">
        <v>275</v>
      </c>
      <c r="B80" s="147">
        <v>311707203</v>
      </c>
      <c r="C80" s="148">
        <v>81.599999999999994</v>
      </c>
      <c r="D80" s="142" t="s">
        <v>4</v>
      </c>
    </row>
    <row r="81" spans="1:4" ht="13.5" thickBot="1" x14ac:dyDescent="0.25">
      <c r="A81" s="146" t="s">
        <v>276</v>
      </c>
      <c r="B81" s="147">
        <v>352272013</v>
      </c>
      <c r="C81" s="148">
        <v>97.8</v>
      </c>
      <c r="D81" s="142" t="s">
        <v>4</v>
      </c>
    </row>
    <row r="82" spans="1:4" ht="13.5" thickBot="1" x14ac:dyDescent="0.25">
      <c r="A82" s="146" t="s">
        <v>277</v>
      </c>
      <c r="B82" s="147">
        <v>365816834</v>
      </c>
      <c r="C82" s="148">
        <v>97.2</v>
      </c>
      <c r="D82" s="142" t="s">
        <v>4</v>
      </c>
    </row>
    <row r="83" spans="1:4" ht="13.5" thickBot="1" x14ac:dyDescent="0.25">
      <c r="A83" s="146" t="s">
        <v>278</v>
      </c>
      <c r="B83" s="147">
        <v>304178733</v>
      </c>
      <c r="C83" s="148">
        <v>81.599999999999994</v>
      </c>
      <c r="D83" s="142" t="s">
        <v>4</v>
      </c>
    </row>
    <row r="84" spans="1:4" ht="13.5" thickBot="1" x14ac:dyDescent="0.25">
      <c r="A84" s="149" t="s">
        <v>279</v>
      </c>
      <c r="B84" s="150">
        <v>429754936</v>
      </c>
      <c r="C84" s="148">
        <v>112.9</v>
      </c>
      <c r="D84" s="142" t="s">
        <v>794</v>
      </c>
    </row>
    <row r="85" spans="1:4" ht="13.5" thickBot="1" x14ac:dyDescent="0.25">
      <c r="A85" s="149" t="s">
        <v>280</v>
      </c>
      <c r="B85" s="150">
        <v>424483284</v>
      </c>
      <c r="C85" s="148">
        <v>113</v>
      </c>
      <c r="D85" s="142" t="s">
        <v>794</v>
      </c>
    </row>
    <row r="86" spans="1:4" ht="13.5" thickBot="1" x14ac:dyDescent="0.25">
      <c r="A86" s="146" t="s">
        <v>281</v>
      </c>
      <c r="B86" s="147">
        <v>310902336</v>
      </c>
      <c r="C86" s="148">
        <v>81.599999999999994</v>
      </c>
      <c r="D86" s="142" t="s">
        <v>4</v>
      </c>
    </row>
    <row r="87" spans="1:4" ht="13.5" thickBot="1" x14ac:dyDescent="0.25">
      <c r="A87" s="149" t="s">
        <v>282</v>
      </c>
      <c r="B87" s="150">
        <v>377025382</v>
      </c>
      <c r="C87" s="148">
        <v>97.8</v>
      </c>
      <c r="D87" s="142" t="s">
        <v>794</v>
      </c>
    </row>
    <row r="88" spans="1:4" ht="13.5" thickBot="1" x14ac:dyDescent="0.25">
      <c r="A88" s="146" t="s">
        <v>283</v>
      </c>
      <c r="B88" s="147">
        <v>368603350</v>
      </c>
      <c r="C88" s="148">
        <v>97.6</v>
      </c>
      <c r="D88" s="142" t="s">
        <v>4</v>
      </c>
    </row>
    <row r="89" spans="1:4" ht="13.5" thickBot="1" x14ac:dyDescent="0.25">
      <c r="A89" s="146" t="s">
        <v>284</v>
      </c>
      <c r="B89" s="147">
        <v>308168812</v>
      </c>
      <c r="C89" s="148">
        <v>81.599999999999994</v>
      </c>
      <c r="D89" s="142" t="s">
        <v>4</v>
      </c>
    </row>
    <row r="90" spans="1:4" ht="13.5" thickBot="1" x14ac:dyDescent="0.25">
      <c r="A90" s="146" t="s">
        <v>285</v>
      </c>
      <c r="B90" s="147">
        <v>415781120</v>
      </c>
      <c r="C90" s="148">
        <v>113</v>
      </c>
      <c r="D90" s="142" t="s">
        <v>4</v>
      </c>
    </row>
    <row r="91" spans="1:4" ht="13.5" thickBot="1" x14ac:dyDescent="0.25">
      <c r="A91" s="149" t="s">
        <v>286</v>
      </c>
      <c r="B91" s="150">
        <v>424683284</v>
      </c>
      <c r="C91" s="148">
        <v>113</v>
      </c>
      <c r="D91" s="142" t="s">
        <v>794</v>
      </c>
    </row>
    <row r="92" spans="1:4" ht="13.5" thickBot="1" x14ac:dyDescent="0.25">
      <c r="A92" s="146" t="s">
        <v>287</v>
      </c>
      <c r="B92" s="147">
        <v>299294799</v>
      </c>
      <c r="C92" s="148">
        <v>81.599999999999994</v>
      </c>
      <c r="D92" s="142" t="s">
        <v>4</v>
      </c>
    </row>
    <row r="93" spans="1:4" ht="13.5" thickBot="1" x14ac:dyDescent="0.25">
      <c r="A93" s="146" t="s">
        <v>288</v>
      </c>
      <c r="B93" s="147">
        <v>358943665</v>
      </c>
      <c r="C93" s="148">
        <v>97.2</v>
      </c>
      <c r="D93" s="142" t="s">
        <v>4</v>
      </c>
    </row>
    <row r="94" spans="1:4" ht="13.5" thickBot="1" x14ac:dyDescent="0.25">
      <c r="A94" s="146" t="s">
        <v>289</v>
      </c>
      <c r="B94" s="147">
        <v>368022083</v>
      </c>
      <c r="C94" s="148">
        <v>97.6</v>
      </c>
      <c r="D94" s="142" t="s">
        <v>4</v>
      </c>
    </row>
    <row r="95" spans="1:4" ht="13.5" thickBot="1" x14ac:dyDescent="0.25">
      <c r="A95" s="146" t="s">
        <v>290</v>
      </c>
      <c r="B95" s="147">
        <v>314370431</v>
      </c>
      <c r="C95" s="148">
        <v>81.650000000000006</v>
      </c>
      <c r="D95" s="142" t="s">
        <v>4</v>
      </c>
    </row>
    <row r="96" spans="1:4" ht="13.5" thickBot="1" x14ac:dyDescent="0.25">
      <c r="A96" s="149" t="s">
        <v>291</v>
      </c>
      <c r="B96" s="150">
        <v>433358284</v>
      </c>
      <c r="C96" s="148">
        <v>112.9</v>
      </c>
      <c r="D96" s="142" t="s">
        <v>794</v>
      </c>
    </row>
    <row r="97" spans="1:4" ht="13.5" thickBot="1" x14ac:dyDescent="0.25">
      <c r="A97" s="149" t="s">
        <v>292</v>
      </c>
      <c r="B97" s="150">
        <v>424883284</v>
      </c>
      <c r="C97" s="148">
        <v>113</v>
      </c>
      <c r="D97" s="142" t="s">
        <v>794</v>
      </c>
    </row>
    <row r="98" spans="1:4" ht="13.5" thickBot="1" x14ac:dyDescent="0.25">
      <c r="A98" s="146" t="s">
        <v>293</v>
      </c>
      <c r="B98" s="147">
        <v>310354552</v>
      </c>
      <c r="C98" s="148">
        <v>81.599999999999994</v>
      </c>
      <c r="D98" s="142" t="s">
        <v>4</v>
      </c>
    </row>
    <row r="99" spans="1:4" ht="13.5" thickBot="1" x14ac:dyDescent="0.25">
      <c r="A99" s="146" t="s">
        <v>420</v>
      </c>
      <c r="B99" s="147">
        <v>351431695</v>
      </c>
      <c r="C99" s="148">
        <v>97.2</v>
      </c>
      <c r="D99" s="142" t="s">
        <v>4</v>
      </c>
    </row>
    <row r="100" spans="1:4" ht="13.5" thickBot="1" x14ac:dyDescent="0.25">
      <c r="A100" s="149" t="s">
        <v>294</v>
      </c>
      <c r="B100" s="150">
        <v>379299686</v>
      </c>
      <c r="C100" s="148">
        <v>97.6</v>
      </c>
      <c r="D100" s="142" t="s">
        <v>794</v>
      </c>
    </row>
    <row r="101" spans="1:4" ht="13.5" thickBot="1" x14ac:dyDescent="0.25">
      <c r="A101" s="146" t="s">
        <v>295</v>
      </c>
      <c r="B101" s="147">
        <v>308570129</v>
      </c>
      <c r="C101" s="148">
        <v>81.650000000000006</v>
      </c>
      <c r="D101" s="142" t="s">
        <v>4</v>
      </c>
    </row>
    <row r="102" spans="1:4" ht="13.5" thickBot="1" x14ac:dyDescent="0.25">
      <c r="A102" s="146" t="s">
        <v>421</v>
      </c>
      <c r="B102" s="147">
        <v>412791537</v>
      </c>
      <c r="C102" s="148">
        <v>113</v>
      </c>
      <c r="D102" s="142" t="s">
        <v>4</v>
      </c>
    </row>
    <row r="103" spans="1:4" ht="13.5" thickBot="1" x14ac:dyDescent="0.25">
      <c r="A103" s="146" t="s">
        <v>296</v>
      </c>
      <c r="B103" s="147">
        <v>429992676</v>
      </c>
      <c r="C103" s="148">
        <v>113</v>
      </c>
      <c r="D103" s="142" t="s">
        <v>4</v>
      </c>
    </row>
    <row r="104" spans="1:4" ht="13.5" thickBot="1" x14ac:dyDescent="0.25">
      <c r="A104" s="146" t="s">
        <v>422</v>
      </c>
      <c r="B104" s="147">
        <v>299698390</v>
      </c>
      <c r="C104" s="148">
        <v>81.599999999999994</v>
      </c>
      <c r="D104" s="142" t="s">
        <v>4</v>
      </c>
    </row>
    <row r="105" spans="1:4" ht="13.5" thickBot="1" x14ac:dyDescent="0.25">
      <c r="A105" s="149" t="s">
        <v>297</v>
      </c>
      <c r="B105" s="150">
        <v>375180382</v>
      </c>
      <c r="C105" s="148">
        <v>97.8</v>
      </c>
      <c r="D105" s="142" t="s">
        <v>794</v>
      </c>
    </row>
    <row r="106" spans="1:4" ht="13.5" thickBot="1" x14ac:dyDescent="0.25">
      <c r="A106" s="149" t="s">
        <v>298</v>
      </c>
      <c r="B106" s="150">
        <v>320077924</v>
      </c>
      <c r="C106" s="148">
        <v>81.650000000000006</v>
      </c>
      <c r="D106" s="142" t="s">
        <v>794</v>
      </c>
    </row>
    <row r="107" spans="1:4" ht="13.5" thickBot="1" x14ac:dyDescent="0.25">
      <c r="A107" s="146" t="s">
        <v>299</v>
      </c>
      <c r="B107" s="147">
        <v>418103284</v>
      </c>
      <c r="C107" s="148">
        <v>113</v>
      </c>
      <c r="D107" s="142" t="s">
        <v>4</v>
      </c>
    </row>
    <row r="108" spans="1:4" ht="13.5" thickBot="1" x14ac:dyDescent="0.25">
      <c r="A108" s="146" t="s">
        <v>300</v>
      </c>
      <c r="B108" s="147">
        <v>418667865</v>
      </c>
      <c r="C108" s="148">
        <v>113</v>
      </c>
      <c r="D108" s="142" t="s">
        <v>4</v>
      </c>
    </row>
    <row r="109" spans="1:4" ht="13.5" thickBot="1" x14ac:dyDescent="0.25">
      <c r="A109" s="146" t="s">
        <v>301</v>
      </c>
      <c r="B109" s="147">
        <v>304503415</v>
      </c>
      <c r="C109" s="148">
        <v>81.599999999999994</v>
      </c>
      <c r="D109" s="142" t="s">
        <v>4</v>
      </c>
    </row>
    <row r="110" spans="1:4" ht="13.5" thickBot="1" x14ac:dyDescent="0.25">
      <c r="A110" s="146" t="s">
        <v>302</v>
      </c>
      <c r="B110" s="147">
        <v>296850636</v>
      </c>
      <c r="C110" s="148">
        <v>81.599999999999994</v>
      </c>
      <c r="D110" s="142" t="s">
        <v>4</v>
      </c>
    </row>
    <row r="111" spans="1:4" ht="13.5" thickBot="1" x14ac:dyDescent="0.25">
      <c r="A111" s="146" t="s">
        <v>303</v>
      </c>
      <c r="B111" s="147">
        <v>426613109</v>
      </c>
      <c r="C111" s="148">
        <v>113</v>
      </c>
      <c r="D111" s="142" t="s">
        <v>4</v>
      </c>
    </row>
    <row r="112" spans="1:4" ht="13.5" thickBot="1" x14ac:dyDescent="0.25">
      <c r="A112" s="149" t="s">
        <v>304</v>
      </c>
      <c r="B112" s="150">
        <v>425483284</v>
      </c>
      <c r="C112" s="148">
        <v>113</v>
      </c>
      <c r="D112" s="142" t="s">
        <v>794</v>
      </c>
    </row>
    <row r="113" spans="1:4" ht="13.5" thickBot="1" x14ac:dyDescent="0.25">
      <c r="A113" s="146" t="s">
        <v>305</v>
      </c>
      <c r="B113" s="147">
        <v>302121759</v>
      </c>
      <c r="C113" s="148">
        <v>81.599999999999994</v>
      </c>
      <c r="D113" s="142" t="s">
        <v>4</v>
      </c>
    </row>
    <row r="114" spans="1:4" ht="33.75" thickBot="1" x14ac:dyDescent="0.25">
      <c r="A114" s="145" t="s">
        <v>795</v>
      </c>
      <c r="B114" s="145"/>
      <c r="C114" s="145"/>
      <c r="D114" s="145"/>
    </row>
    <row r="115" spans="1:4" ht="13.5" thickBot="1" x14ac:dyDescent="0.25">
      <c r="A115" s="146" t="s">
        <v>711</v>
      </c>
      <c r="B115" s="147">
        <v>30000000</v>
      </c>
      <c r="C115" s="148">
        <v>0</v>
      </c>
      <c r="D115" s="142" t="s">
        <v>4</v>
      </c>
    </row>
    <row r="116" spans="1:4" ht="13.5" thickBot="1" x14ac:dyDescent="0.25">
      <c r="A116" s="146" t="s">
        <v>712</v>
      </c>
      <c r="B116" s="147">
        <v>30000000</v>
      </c>
      <c r="C116" s="148">
        <v>0</v>
      </c>
      <c r="D116" s="142" t="s">
        <v>4</v>
      </c>
    </row>
    <row r="117" spans="1:4" ht="13.5" thickBot="1" x14ac:dyDescent="0.25">
      <c r="A117" s="146" t="s">
        <v>713</v>
      </c>
      <c r="B117" s="147">
        <v>30000000</v>
      </c>
      <c r="C117" s="148">
        <v>0</v>
      </c>
      <c r="D117" s="142" t="s">
        <v>4</v>
      </c>
    </row>
    <row r="118" spans="1:4" ht="13.5" thickBot="1" x14ac:dyDescent="0.25">
      <c r="A118" s="146" t="s">
        <v>714</v>
      </c>
      <c r="B118" s="147">
        <v>30000000</v>
      </c>
      <c r="C118" s="148">
        <v>0</v>
      </c>
      <c r="D118" s="142" t="s">
        <v>4</v>
      </c>
    </row>
    <row r="119" spans="1:4" ht="13.5" thickBot="1" x14ac:dyDescent="0.25">
      <c r="A119" s="149" t="s">
        <v>439</v>
      </c>
      <c r="B119" s="150">
        <v>30000000</v>
      </c>
      <c r="C119" s="148">
        <v>0</v>
      </c>
      <c r="D119" s="142" t="s">
        <v>794</v>
      </c>
    </row>
    <row r="120" spans="1:4" ht="13.5" thickBot="1" x14ac:dyDescent="0.25">
      <c r="A120" s="146" t="s">
        <v>715</v>
      </c>
      <c r="B120" s="147">
        <v>30000000</v>
      </c>
      <c r="C120" s="148">
        <v>0</v>
      </c>
      <c r="D120" s="142" t="s">
        <v>4</v>
      </c>
    </row>
    <row r="121" spans="1:4" ht="13.5" thickBot="1" x14ac:dyDescent="0.25">
      <c r="A121" s="149" t="s">
        <v>440</v>
      </c>
      <c r="B121" s="150">
        <v>30000000</v>
      </c>
      <c r="C121" s="148">
        <v>0</v>
      </c>
      <c r="D121" s="142" t="s">
        <v>794</v>
      </c>
    </row>
    <row r="122" spans="1:4" ht="13.5" thickBot="1" x14ac:dyDescent="0.25">
      <c r="A122" s="149" t="s">
        <v>441</v>
      </c>
      <c r="B122" s="150">
        <v>30000000</v>
      </c>
      <c r="C122" s="148">
        <v>0</v>
      </c>
      <c r="D122" s="142" t="s">
        <v>794</v>
      </c>
    </row>
    <row r="123" spans="1:4" ht="13.5" thickBot="1" x14ac:dyDescent="0.25">
      <c r="A123" s="146" t="s">
        <v>716</v>
      </c>
      <c r="B123" s="147">
        <v>30000000</v>
      </c>
      <c r="C123" s="148">
        <v>0</v>
      </c>
      <c r="D123" s="142" t="s">
        <v>4</v>
      </c>
    </row>
    <row r="124" spans="1:4" ht="13.5" thickBot="1" x14ac:dyDescent="0.25">
      <c r="A124" s="146" t="s">
        <v>717</v>
      </c>
      <c r="B124" s="147">
        <v>30000000</v>
      </c>
      <c r="C124" s="148">
        <v>0</v>
      </c>
      <c r="D124" s="142" t="s">
        <v>4</v>
      </c>
    </row>
    <row r="125" spans="1:4" ht="13.5" thickBot="1" x14ac:dyDescent="0.25">
      <c r="A125" s="149" t="s">
        <v>442</v>
      </c>
      <c r="B125" s="150">
        <v>30000000</v>
      </c>
      <c r="C125" s="148">
        <v>0</v>
      </c>
      <c r="D125" s="142" t="s">
        <v>794</v>
      </c>
    </row>
    <row r="126" spans="1:4" ht="13.5" thickBot="1" x14ac:dyDescent="0.25">
      <c r="A126" s="149" t="s">
        <v>443</v>
      </c>
      <c r="B126" s="150">
        <v>30000000</v>
      </c>
      <c r="C126" s="148">
        <v>0</v>
      </c>
      <c r="D126" s="142" t="s">
        <v>794</v>
      </c>
    </row>
    <row r="127" spans="1:4" ht="13.5" thickBot="1" x14ac:dyDescent="0.25">
      <c r="A127" s="149" t="s">
        <v>444</v>
      </c>
      <c r="B127" s="150">
        <v>30000000</v>
      </c>
      <c r="C127" s="148">
        <v>0</v>
      </c>
      <c r="D127" s="142" t="s">
        <v>794</v>
      </c>
    </row>
    <row r="128" spans="1:4" ht="13.5" thickBot="1" x14ac:dyDescent="0.25">
      <c r="A128" s="149" t="s">
        <v>445</v>
      </c>
      <c r="B128" s="150">
        <v>30000000</v>
      </c>
      <c r="C128" s="148">
        <v>0</v>
      </c>
      <c r="D128" s="142" t="s">
        <v>794</v>
      </c>
    </row>
    <row r="129" spans="1:4" ht="13.5" thickBot="1" x14ac:dyDescent="0.25">
      <c r="A129" s="146" t="s">
        <v>718</v>
      </c>
      <c r="B129" s="147">
        <v>30000000</v>
      </c>
      <c r="C129" s="148">
        <v>0</v>
      </c>
      <c r="D129" s="142" t="s">
        <v>4</v>
      </c>
    </row>
    <row r="130" spans="1:4" ht="13.5" thickBot="1" x14ac:dyDescent="0.25">
      <c r="A130" s="149" t="s">
        <v>446</v>
      </c>
      <c r="B130" s="150">
        <v>30000000</v>
      </c>
      <c r="C130" s="148">
        <v>0</v>
      </c>
      <c r="D130" s="142" t="s">
        <v>794</v>
      </c>
    </row>
    <row r="131" spans="1:4" ht="13.5" thickBot="1" x14ac:dyDescent="0.25">
      <c r="A131" s="149" t="s">
        <v>447</v>
      </c>
      <c r="B131" s="150">
        <v>30000000</v>
      </c>
      <c r="C131" s="148">
        <v>0</v>
      </c>
      <c r="D131" s="142" t="s">
        <v>794</v>
      </c>
    </row>
    <row r="132" spans="1:4" ht="13.5" thickBot="1" x14ac:dyDescent="0.25">
      <c r="A132" s="146" t="s">
        <v>719</v>
      </c>
      <c r="B132" s="147">
        <v>30000000</v>
      </c>
      <c r="C132" s="148">
        <v>0</v>
      </c>
      <c r="D132" s="142" t="s">
        <v>4</v>
      </c>
    </row>
    <row r="133" spans="1:4" ht="13.5" thickBot="1" x14ac:dyDescent="0.25">
      <c r="A133" s="149" t="s">
        <v>448</v>
      </c>
      <c r="B133" s="150">
        <v>30000000</v>
      </c>
      <c r="C133" s="148">
        <v>0</v>
      </c>
      <c r="D133" s="142" t="s">
        <v>794</v>
      </c>
    </row>
    <row r="134" spans="1:4" ht="13.5" thickBot="1" x14ac:dyDescent="0.25">
      <c r="A134" s="146" t="s">
        <v>720</v>
      </c>
      <c r="B134" s="147">
        <v>30000000</v>
      </c>
      <c r="C134" s="148">
        <v>0</v>
      </c>
      <c r="D134" s="142" t="s">
        <v>4</v>
      </c>
    </row>
    <row r="135" spans="1:4" ht="13.5" thickBot="1" x14ac:dyDescent="0.25">
      <c r="A135" s="146" t="s">
        <v>721</v>
      </c>
      <c r="B135" s="147">
        <v>30000000</v>
      </c>
      <c r="C135" s="148">
        <v>0</v>
      </c>
      <c r="D135" s="142" t="s">
        <v>4</v>
      </c>
    </row>
    <row r="136" spans="1:4" ht="13.5" thickBot="1" x14ac:dyDescent="0.25">
      <c r="A136" s="146" t="s">
        <v>722</v>
      </c>
      <c r="B136" s="147">
        <v>30000000</v>
      </c>
      <c r="C136" s="148">
        <v>0</v>
      </c>
      <c r="D136" s="142" t="s">
        <v>4</v>
      </c>
    </row>
    <row r="137" spans="1:4" ht="13.5" thickBot="1" x14ac:dyDescent="0.25">
      <c r="A137" s="146" t="s">
        <v>723</v>
      </c>
      <c r="B137" s="147">
        <v>30000000</v>
      </c>
      <c r="C137" s="148">
        <v>0</v>
      </c>
      <c r="D137" s="142" t="s">
        <v>4</v>
      </c>
    </row>
    <row r="138" spans="1:4" ht="13.5" thickBot="1" x14ac:dyDescent="0.25">
      <c r="A138" s="146" t="s">
        <v>724</v>
      </c>
      <c r="B138" s="147">
        <v>30000000</v>
      </c>
      <c r="C138" s="148">
        <v>0</v>
      </c>
      <c r="D138" s="142" t="s">
        <v>4</v>
      </c>
    </row>
    <row r="139" spans="1:4" ht="13.5" thickBot="1" x14ac:dyDescent="0.25">
      <c r="A139" s="146" t="s">
        <v>725</v>
      </c>
      <c r="B139" s="147">
        <v>30000000</v>
      </c>
      <c r="C139" s="148">
        <v>0</v>
      </c>
      <c r="D139" s="142" t="s">
        <v>4</v>
      </c>
    </row>
    <row r="140" spans="1:4" ht="13.5" thickBot="1" x14ac:dyDescent="0.25">
      <c r="A140" s="146" t="s">
        <v>726</v>
      </c>
      <c r="B140" s="147">
        <v>30000000</v>
      </c>
      <c r="C140" s="148">
        <v>0</v>
      </c>
      <c r="D140" s="142" t="s">
        <v>4</v>
      </c>
    </row>
    <row r="141" spans="1:4" ht="13.5" thickBot="1" x14ac:dyDescent="0.25">
      <c r="A141" s="146" t="s">
        <v>727</v>
      </c>
      <c r="B141" s="147">
        <v>30000000</v>
      </c>
      <c r="C141" s="148">
        <v>0</v>
      </c>
      <c r="D141" s="142" t="s">
        <v>4</v>
      </c>
    </row>
    <row r="142" spans="1:4" ht="13.5" thickBot="1" x14ac:dyDescent="0.25">
      <c r="A142" s="149" t="s">
        <v>449</v>
      </c>
      <c r="B142" s="150">
        <v>30000000</v>
      </c>
      <c r="C142" s="148">
        <v>0</v>
      </c>
      <c r="D142" s="142" t="s">
        <v>794</v>
      </c>
    </row>
    <row r="143" spans="1:4" ht="13.5" thickBot="1" x14ac:dyDescent="0.25">
      <c r="A143" s="146" t="s">
        <v>728</v>
      </c>
      <c r="B143" s="147">
        <v>30000000</v>
      </c>
      <c r="C143" s="148">
        <v>0</v>
      </c>
      <c r="D143" s="142" t="s">
        <v>4</v>
      </c>
    </row>
    <row r="144" spans="1:4" ht="13.5" thickBot="1" x14ac:dyDescent="0.25">
      <c r="A144" s="146" t="s">
        <v>729</v>
      </c>
      <c r="B144" s="147">
        <v>30000000</v>
      </c>
      <c r="C144" s="148">
        <v>0</v>
      </c>
      <c r="D144" s="142" t="s">
        <v>4</v>
      </c>
    </row>
    <row r="145" spans="1:4" ht="13.5" thickBot="1" x14ac:dyDescent="0.25">
      <c r="A145" s="146" t="s">
        <v>730</v>
      </c>
      <c r="B145" s="147">
        <v>30000000</v>
      </c>
      <c r="C145" s="148">
        <v>0</v>
      </c>
      <c r="D145" s="142" t="s">
        <v>4</v>
      </c>
    </row>
    <row r="146" spans="1:4" ht="13.5" thickBot="1" x14ac:dyDescent="0.25">
      <c r="A146" s="146" t="s">
        <v>731</v>
      </c>
      <c r="B146" s="147">
        <v>30000000</v>
      </c>
      <c r="C146" s="148">
        <v>0</v>
      </c>
      <c r="D146" s="142" t="s">
        <v>4</v>
      </c>
    </row>
    <row r="147" spans="1:4" ht="13.5" thickBot="1" x14ac:dyDescent="0.25">
      <c r="A147" s="149" t="s">
        <v>450</v>
      </c>
      <c r="B147" s="150">
        <v>30000000</v>
      </c>
      <c r="C147" s="148">
        <v>0</v>
      </c>
      <c r="D147" s="142" t="s">
        <v>794</v>
      </c>
    </row>
    <row r="148" spans="1:4" ht="13.5" thickBot="1" x14ac:dyDescent="0.25">
      <c r="A148" s="149" t="s">
        <v>451</v>
      </c>
      <c r="B148" s="150">
        <v>30000000</v>
      </c>
      <c r="C148" s="148">
        <v>0</v>
      </c>
      <c r="D148" s="142" t="s">
        <v>794</v>
      </c>
    </row>
    <row r="149" spans="1:4" ht="13.5" thickBot="1" x14ac:dyDescent="0.25">
      <c r="A149" s="146" t="s">
        <v>306</v>
      </c>
      <c r="B149" s="147">
        <v>30000000</v>
      </c>
      <c r="C149" s="148">
        <v>0</v>
      </c>
      <c r="D149" s="142" t="s">
        <v>4</v>
      </c>
    </row>
    <row r="150" spans="1:4" ht="13.5" thickBot="1" x14ac:dyDescent="0.25">
      <c r="A150" s="146" t="s">
        <v>307</v>
      </c>
      <c r="B150" s="147">
        <v>30000000</v>
      </c>
      <c r="C150" s="148">
        <v>0</v>
      </c>
      <c r="D150" s="142" t="s">
        <v>4</v>
      </c>
    </row>
    <row r="151" spans="1:4" ht="13.5" thickBot="1" x14ac:dyDescent="0.25">
      <c r="A151" s="146" t="s">
        <v>308</v>
      </c>
      <c r="B151" s="147">
        <v>30000000</v>
      </c>
      <c r="C151" s="148">
        <v>0</v>
      </c>
      <c r="D151" s="142" t="s">
        <v>4</v>
      </c>
    </row>
    <row r="152" spans="1:4" ht="13.5" thickBot="1" x14ac:dyDescent="0.25">
      <c r="A152" s="146" t="s">
        <v>309</v>
      </c>
      <c r="B152" s="147">
        <v>30000000</v>
      </c>
      <c r="C152" s="148">
        <v>0</v>
      </c>
      <c r="D152" s="142" t="s">
        <v>4</v>
      </c>
    </row>
    <row r="153" spans="1:4" ht="13.5" thickBot="1" x14ac:dyDescent="0.25">
      <c r="A153" s="149" t="s">
        <v>310</v>
      </c>
      <c r="B153" s="150">
        <v>30000000</v>
      </c>
      <c r="C153" s="148">
        <v>0</v>
      </c>
      <c r="D153" s="142" t="s">
        <v>794</v>
      </c>
    </row>
    <row r="154" spans="1:4" ht="13.5" thickBot="1" x14ac:dyDescent="0.25">
      <c r="A154" s="149" t="s">
        <v>311</v>
      </c>
      <c r="B154" s="150">
        <v>30000000</v>
      </c>
      <c r="C154" s="148">
        <v>0</v>
      </c>
      <c r="D154" s="142" t="s">
        <v>794</v>
      </c>
    </row>
    <row r="155" spans="1:4" ht="13.5" thickBot="1" x14ac:dyDescent="0.25">
      <c r="A155" s="146" t="s">
        <v>312</v>
      </c>
      <c r="B155" s="147">
        <v>30000000</v>
      </c>
      <c r="C155" s="148">
        <v>0</v>
      </c>
      <c r="D155" s="142" t="s">
        <v>4</v>
      </c>
    </row>
    <row r="156" spans="1:4" ht="13.5" thickBot="1" x14ac:dyDescent="0.25">
      <c r="A156" s="149" t="s">
        <v>313</v>
      </c>
      <c r="B156" s="150">
        <v>30000000</v>
      </c>
      <c r="C156" s="148">
        <v>0</v>
      </c>
      <c r="D156" s="142" t="s">
        <v>794</v>
      </c>
    </row>
    <row r="157" spans="1:4" ht="13.5" thickBot="1" x14ac:dyDescent="0.25">
      <c r="A157" s="146" t="s">
        <v>314</v>
      </c>
      <c r="B157" s="147">
        <v>30000000</v>
      </c>
      <c r="C157" s="148">
        <v>0</v>
      </c>
      <c r="D157" s="142" t="s">
        <v>4</v>
      </c>
    </row>
    <row r="158" spans="1:4" ht="13.5" thickBot="1" x14ac:dyDescent="0.25">
      <c r="A158" s="149" t="s">
        <v>315</v>
      </c>
      <c r="B158" s="150">
        <v>30000000</v>
      </c>
      <c r="C158" s="148">
        <v>0</v>
      </c>
      <c r="D158" s="142" t="s">
        <v>794</v>
      </c>
    </row>
    <row r="159" spans="1:4" ht="13.5" thickBot="1" x14ac:dyDescent="0.25">
      <c r="A159" s="146" t="s">
        <v>423</v>
      </c>
      <c r="B159" s="147">
        <v>30000000</v>
      </c>
      <c r="C159" s="148">
        <v>0</v>
      </c>
      <c r="D159" s="142" t="s">
        <v>4</v>
      </c>
    </row>
    <row r="160" spans="1:4" ht="13.5" thickBot="1" x14ac:dyDescent="0.25">
      <c r="A160" s="149" t="s">
        <v>316</v>
      </c>
      <c r="B160" s="150">
        <v>30000000</v>
      </c>
      <c r="C160" s="148">
        <v>0</v>
      </c>
      <c r="D160" s="142" t="s">
        <v>794</v>
      </c>
    </row>
    <row r="161" spans="1:4" ht="13.5" thickBot="1" x14ac:dyDescent="0.25">
      <c r="A161" s="146" t="s">
        <v>317</v>
      </c>
      <c r="B161" s="147">
        <v>30000000</v>
      </c>
      <c r="C161" s="148">
        <v>0</v>
      </c>
      <c r="D161" s="142" t="s">
        <v>4</v>
      </c>
    </row>
    <row r="162" spans="1:4" ht="13.5" thickBot="1" x14ac:dyDescent="0.25">
      <c r="A162" s="146" t="s">
        <v>318</v>
      </c>
      <c r="B162" s="147">
        <v>30000000</v>
      </c>
      <c r="C162" s="148">
        <v>0</v>
      </c>
      <c r="D162" s="142" t="s">
        <v>4</v>
      </c>
    </row>
    <row r="163" spans="1:4" ht="13.5" thickBot="1" x14ac:dyDescent="0.25">
      <c r="A163" s="149" t="s">
        <v>319</v>
      </c>
      <c r="B163" s="150">
        <v>30000000</v>
      </c>
      <c r="C163" s="148">
        <v>0</v>
      </c>
      <c r="D163" s="142" t="s">
        <v>794</v>
      </c>
    </row>
    <row r="164" spans="1:4" ht="13.5" thickBot="1" x14ac:dyDescent="0.25">
      <c r="A164" s="149" t="s">
        <v>320</v>
      </c>
      <c r="B164" s="150">
        <v>30000000</v>
      </c>
      <c r="C164" s="148">
        <v>0</v>
      </c>
      <c r="D164" s="142" t="s">
        <v>794</v>
      </c>
    </row>
    <row r="165" spans="1:4" ht="13.5" thickBot="1" x14ac:dyDescent="0.25">
      <c r="A165" s="146" t="s">
        <v>732</v>
      </c>
      <c r="B165" s="147">
        <v>20000000</v>
      </c>
      <c r="C165" s="148">
        <v>0</v>
      </c>
      <c r="D165" s="142" t="s">
        <v>4</v>
      </c>
    </row>
    <row r="166" spans="1:4" ht="13.5" thickBot="1" x14ac:dyDescent="0.25">
      <c r="A166" s="149" t="s">
        <v>452</v>
      </c>
      <c r="B166" s="150">
        <v>20000000</v>
      </c>
      <c r="C166" s="148">
        <v>0</v>
      </c>
      <c r="D166" s="142" t="s">
        <v>794</v>
      </c>
    </row>
    <row r="167" spans="1:4" ht="13.5" thickBot="1" x14ac:dyDescent="0.25">
      <c r="A167" s="146" t="s">
        <v>733</v>
      </c>
      <c r="B167" s="147">
        <v>20000000</v>
      </c>
      <c r="C167" s="148">
        <v>0</v>
      </c>
      <c r="D167" s="142" t="s">
        <v>4</v>
      </c>
    </row>
    <row r="168" spans="1:4" ht="13.5" thickBot="1" x14ac:dyDescent="0.25">
      <c r="A168" s="146" t="s">
        <v>734</v>
      </c>
      <c r="B168" s="147">
        <v>20000000</v>
      </c>
      <c r="C168" s="148">
        <v>0</v>
      </c>
      <c r="D168" s="142" t="s">
        <v>4</v>
      </c>
    </row>
    <row r="169" spans="1:4" ht="13.5" thickBot="1" x14ac:dyDescent="0.25">
      <c r="A169" s="149" t="s">
        <v>453</v>
      </c>
      <c r="B169" s="150">
        <v>20000000</v>
      </c>
      <c r="C169" s="148">
        <v>0</v>
      </c>
      <c r="D169" s="142" t="s">
        <v>794</v>
      </c>
    </row>
    <row r="170" spans="1:4" ht="13.5" thickBot="1" x14ac:dyDescent="0.25">
      <c r="A170" s="146" t="s">
        <v>735</v>
      </c>
      <c r="B170" s="147">
        <v>20000000</v>
      </c>
      <c r="C170" s="148">
        <v>0</v>
      </c>
      <c r="D170" s="142" t="s">
        <v>4</v>
      </c>
    </row>
    <row r="171" spans="1:4" ht="13.5" thickBot="1" x14ac:dyDescent="0.25">
      <c r="A171" s="146" t="s">
        <v>736</v>
      </c>
      <c r="B171" s="147">
        <v>20000000</v>
      </c>
      <c r="C171" s="148">
        <v>0</v>
      </c>
      <c r="D171" s="142" t="s">
        <v>4</v>
      </c>
    </row>
    <row r="172" spans="1:4" ht="13.5" thickBot="1" x14ac:dyDescent="0.25">
      <c r="A172" s="146" t="s">
        <v>737</v>
      </c>
      <c r="B172" s="147">
        <v>20000000</v>
      </c>
      <c r="C172" s="148">
        <v>0</v>
      </c>
      <c r="D172" s="142" t="s">
        <v>4</v>
      </c>
    </row>
    <row r="173" spans="1:4" ht="13.5" thickBot="1" x14ac:dyDescent="0.25">
      <c r="A173" s="149" t="s">
        <v>454</v>
      </c>
      <c r="B173" s="150">
        <v>20000000</v>
      </c>
      <c r="C173" s="148">
        <v>0</v>
      </c>
      <c r="D173" s="142" t="s">
        <v>794</v>
      </c>
    </row>
    <row r="174" spans="1:4" ht="13.5" thickBot="1" x14ac:dyDescent="0.25">
      <c r="A174" s="149" t="s">
        <v>455</v>
      </c>
      <c r="B174" s="150">
        <v>20000000</v>
      </c>
      <c r="C174" s="148">
        <v>0</v>
      </c>
      <c r="D174" s="142" t="s">
        <v>794</v>
      </c>
    </row>
    <row r="175" spans="1:4" ht="13.5" thickBot="1" x14ac:dyDescent="0.25">
      <c r="A175" s="146" t="s">
        <v>738</v>
      </c>
      <c r="B175" s="147">
        <v>20000000</v>
      </c>
      <c r="C175" s="148">
        <v>0</v>
      </c>
      <c r="D175" s="142" t="s">
        <v>4</v>
      </c>
    </row>
    <row r="176" spans="1:4" ht="13.5" thickBot="1" x14ac:dyDescent="0.25">
      <c r="A176" s="149" t="s">
        <v>456</v>
      </c>
      <c r="B176" s="150">
        <v>20000000</v>
      </c>
      <c r="C176" s="148">
        <v>0</v>
      </c>
      <c r="D176" s="142" t="s">
        <v>794</v>
      </c>
    </row>
    <row r="177" spans="1:4" ht="13.5" thickBot="1" x14ac:dyDescent="0.25">
      <c r="A177" s="146" t="s">
        <v>739</v>
      </c>
      <c r="B177" s="147">
        <v>20000000</v>
      </c>
      <c r="C177" s="148">
        <v>0</v>
      </c>
      <c r="D177" s="142" t="s">
        <v>4</v>
      </c>
    </row>
    <row r="178" spans="1:4" ht="13.5" thickBot="1" x14ac:dyDescent="0.25">
      <c r="A178" s="146" t="s">
        <v>740</v>
      </c>
      <c r="B178" s="147">
        <v>20000000</v>
      </c>
      <c r="C178" s="148">
        <v>0</v>
      </c>
      <c r="D178" s="142" t="s">
        <v>4</v>
      </c>
    </row>
    <row r="179" spans="1:4" ht="13.5" thickBot="1" x14ac:dyDescent="0.25">
      <c r="A179" s="149" t="s">
        <v>457</v>
      </c>
      <c r="B179" s="150">
        <v>20000000</v>
      </c>
      <c r="C179" s="148">
        <v>0</v>
      </c>
      <c r="D179" s="142" t="s">
        <v>794</v>
      </c>
    </row>
    <row r="180" spans="1:4" ht="13.5" thickBot="1" x14ac:dyDescent="0.25">
      <c r="A180" s="149" t="s">
        <v>458</v>
      </c>
      <c r="B180" s="150">
        <v>20000000</v>
      </c>
      <c r="C180" s="148">
        <v>0</v>
      </c>
      <c r="D180" s="142" t="s">
        <v>794</v>
      </c>
    </row>
    <row r="181" spans="1:4" ht="13.5" thickBot="1" x14ac:dyDescent="0.25">
      <c r="A181" s="149" t="s">
        <v>459</v>
      </c>
      <c r="B181" s="150">
        <v>20000000</v>
      </c>
      <c r="C181" s="148">
        <v>0</v>
      </c>
      <c r="D181" s="142" t="s">
        <v>794</v>
      </c>
    </row>
    <row r="182" spans="1:4" ht="13.5" thickBot="1" x14ac:dyDescent="0.25">
      <c r="A182" s="149" t="s">
        <v>460</v>
      </c>
      <c r="B182" s="150">
        <v>20000000</v>
      </c>
      <c r="C182" s="148">
        <v>0</v>
      </c>
      <c r="D182" s="142" t="s">
        <v>794</v>
      </c>
    </row>
    <row r="183" spans="1:4" ht="13.5" thickBot="1" x14ac:dyDescent="0.25">
      <c r="A183" s="149" t="s">
        <v>461</v>
      </c>
      <c r="B183" s="150">
        <v>20000000</v>
      </c>
      <c r="C183" s="148">
        <v>0</v>
      </c>
      <c r="D183" s="142" t="s">
        <v>794</v>
      </c>
    </row>
    <row r="184" spans="1:4" ht="13.5" thickBot="1" x14ac:dyDescent="0.25">
      <c r="A184" s="149" t="s">
        <v>462</v>
      </c>
      <c r="B184" s="150">
        <v>20000000</v>
      </c>
      <c r="C184" s="148">
        <v>0</v>
      </c>
      <c r="D184" s="142" t="s">
        <v>794</v>
      </c>
    </row>
    <row r="185" spans="1:4" ht="13.5" thickBot="1" x14ac:dyDescent="0.25">
      <c r="A185" s="146" t="s">
        <v>741</v>
      </c>
      <c r="B185" s="147">
        <v>20000000</v>
      </c>
      <c r="C185" s="148">
        <v>0</v>
      </c>
      <c r="D185" s="142" t="s">
        <v>4</v>
      </c>
    </row>
    <row r="186" spans="1:4" ht="13.5" thickBot="1" x14ac:dyDescent="0.25">
      <c r="A186" s="146" t="s">
        <v>742</v>
      </c>
      <c r="B186" s="147">
        <v>20000000</v>
      </c>
      <c r="C186" s="148">
        <v>0</v>
      </c>
      <c r="D186" s="142" t="s">
        <v>4</v>
      </c>
    </row>
    <row r="187" spans="1:4" ht="13.5" thickBot="1" x14ac:dyDescent="0.25">
      <c r="A187" s="149" t="s">
        <v>463</v>
      </c>
      <c r="B187" s="150">
        <v>20000000</v>
      </c>
      <c r="C187" s="148">
        <v>0</v>
      </c>
      <c r="D187" s="142" t="s">
        <v>794</v>
      </c>
    </row>
    <row r="188" spans="1:4" ht="13.5" thickBot="1" x14ac:dyDescent="0.25">
      <c r="A188" s="149" t="s">
        <v>464</v>
      </c>
      <c r="B188" s="150">
        <v>20000000</v>
      </c>
      <c r="C188" s="148">
        <v>0</v>
      </c>
      <c r="D188" s="142" t="s">
        <v>794</v>
      </c>
    </row>
    <row r="189" spans="1:4" ht="13.5" thickBot="1" x14ac:dyDescent="0.25">
      <c r="A189" s="146" t="s">
        <v>743</v>
      </c>
      <c r="B189" s="147">
        <v>20000000</v>
      </c>
      <c r="C189" s="148">
        <v>0</v>
      </c>
      <c r="D189" s="142" t="s">
        <v>4</v>
      </c>
    </row>
    <row r="190" spans="1:4" ht="13.5" thickBot="1" x14ac:dyDescent="0.25">
      <c r="A190" s="146" t="s">
        <v>744</v>
      </c>
      <c r="B190" s="147">
        <v>20000000</v>
      </c>
      <c r="C190" s="148">
        <v>0</v>
      </c>
      <c r="D190" s="142" t="s">
        <v>4</v>
      </c>
    </row>
    <row r="191" spans="1:4" ht="13.5" thickBot="1" x14ac:dyDescent="0.25">
      <c r="A191" s="149" t="s">
        <v>465</v>
      </c>
      <c r="B191" s="150">
        <v>20000000</v>
      </c>
      <c r="C191" s="148">
        <v>0</v>
      </c>
      <c r="D191" s="142" t="s">
        <v>794</v>
      </c>
    </row>
    <row r="192" spans="1:4" ht="13.5" thickBot="1" x14ac:dyDescent="0.25">
      <c r="A192" s="149" t="s">
        <v>466</v>
      </c>
      <c r="B192" s="150">
        <v>20000000</v>
      </c>
      <c r="C192" s="148">
        <v>0</v>
      </c>
      <c r="D192" s="142" t="s">
        <v>794</v>
      </c>
    </row>
    <row r="193" spans="1:4" ht="13.5" thickBot="1" x14ac:dyDescent="0.25">
      <c r="A193" s="146" t="s">
        <v>745</v>
      </c>
      <c r="B193" s="147">
        <v>20000000</v>
      </c>
      <c r="C193" s="148">
        <v>0</v>
      </c>
      <c r="D193" s="142" t="s">
        <v>4</v>
      </c>
    </row>
    <row r="194" spans="1:4" ht="13.5" thickBot="1" x14ac:dyDescent="0.25">
      <c r="A194" s="146" t="s">
        <v>746</v>
      </c>
      <c r="B194" s="147">
        <v>20000000</v>
      </c>
      <c r="C194" s="148">
        <v>0</v>
      </c>
      <c r="D194" s="142" t="s">
        <v>4</v>
      </c>
    </row>
    <row r="195" spans="1:4" ht="13.5" thickBot="1" x14ac:dyDescent="0.25">
      <c r="A195" s="146" t="s">
        <v>747</v>
      </c>
      <c r="B195" s="147">
        <v>20000000</v>
      </c>
      <c r="C195" s="148">
        <v>0</v>
      </c>
      <c r="D195" s="142" t="s">
        <v>4</v>
      </c>
    </row>
    <row r="196" spans="1:4" ht="13.5" thickBot="1" x14ac:dyDescent="0.25">
      <c r="A196" s="146" t="s">
        <v>748</v>
      </c>
      <c r="B196" s="147">
        <v>20000000</v>
      </c>
      <c r="C196" s="148">
        <v>0</v>
      </c>
      <c r="D196" s="142" t="s">
        <v>4</v>
      </c>
    </row>
    <row r="197" spans="1:4" ht="13.5" thickBot="1" x14ac:dyDescent="0.25">
      <c r="A197" s="149" t="s">
        <v>467</v>
      </c>
      <c r="B197" s="150">
        <v>20000000</v>
      </c>
      <c r="C197" s="148">
        <v>0</v>
      </c>
      <c r="D197" s="142" t="s">
        <v>794</v>
      </c>
    </row>
    <row r="198" spans="1:4" ht="13.5" thickBot="1" x14ac:dyDescent="0.25">
      <c r="A198" s="149" t="s">
        <v>468</v>
      </c>
      <c r="B198" s="150">
        <v>20000000</v>
      </c>
      <c r="C198" s="148">
        <v>0</v>
      </c>
      <c r="D198" s="142" t="s">
        <v>794</v>
      </c>
    </row>
    <row r="199" spans="1:4" ht="13.5" thickBot="1" x14ac:dyDescent="0.25">
      <c r="A199" s="149" t="s">
        <v>469</v>
      </c>
      <c r="B199" s="150">
        <v>20000000</v>
      </c>
      <c r="C199" s="148">
        <v>0</v>
      </c>
      <c r="D199" s="142" t="s">
        <v>794</v>
      </c>
    </row>
    <row r="200" spans="1:4" ht="13.5" thickBot="1" x14ac:dyDescent="0.25">
      <c r="A200" s="146" t="s">
        <v>749</v>
      </c>
      <c r="B200" s="147">
        <v>20000000</v>
      </c>
      <c r="C200" s="148">
        <v>0</v>
      </c>
      <c r="D200" s="142" t="s">
        <v>4</v>
      </c>
    </row>
    <row r="201" spans="1:4" ht="13.5" thickBot="1" x14ac:dyDescent="0.25">
      <c r="A201" s="146" t="s">
        <v>750</v>
      </c>
      <c r="B201" s="147">
        <v>20000000</v>
      </c>
      <c r="C201" s="148">
        <v>0</v>
      </c>
      <c r="D201" s="142" t="s">
        <v>4</v>
      </c>
    </row>
    <row r="202" spans="1:4" ht="13.5" thickBot="1" x14ac:dyDescent="0.25">
      <c r="A202" s="146" t="s">
        <v>751</v>
      </c>
      <c r="B202" s="147">
        <v>20000000</v>
      </c>
      <c r="C202" s="148">
        <v>0</v>
      </c>
      <c r="D202" s="142" t="s">
        <v>4</v>
      </c>
    </row>
    <row r="203" spans="1:4" ht="13.5" thickBot="1" x14ac:dyDescent="0.25">
      <c r="A203" s="146" t="s">
        <v>752</v>
      </c>
      <c r="B203" s="147">
        <v>20000000</v>
      </c>
      <c r="C203" s="148">
        <v>0</v>
      </c>
      <c r="D203" s="142" t="s">
        <v>4</v>
      </c>
    </row>
    <row r="204" spans="1:4" ht="13.5" thickBot="1" x14ac:dyDescent="0.25">
      <c r="A204" s="146" t="s">
        <v>753</v>
      </c>
      <c r="B204" s="147">
        <v>20000000</v>
      </c>
      <c r="C204" s="148">
        <v>0</v>
      </c>
      <c r="D204" s="142" t="s">
        <v>4</v>
      </c>
    </row>
    <row r="205" spans="1:4" ht="13.5" thickBot="1" x14ac:dyDescent="0.25">
      <c r="A205" s="149" t="s">
        <v>470</v>
      </c>
      <c r="B205" s="150">
        <v>20000000</v>
      </c>
      <c r="C205" s="148">
        <v>0</v>
      </c>
      <c r="D205" s="142" t="s">
        <v>794</v>
      </c>
    </row>
    <row r="206" spans="1:4" ht="13.5" thickBot="1" x14ac:dyDescent="0.25">
      <c r="A206" s="149" t="s">
        <v>471</v>
      </c>
      <c r="B206" s="150">
        <v>20000000</v>
      </c>
      <c r="C206" s="148">
        <v>0</v>
      </c>
      <c r="D206" s="142" t="s">
        <v>794</v>
      </c>
    </row>
    <row r="207" spans="1:4" ht="13.5" thickBot="1" x14ac:dyDescent="0.25">
      <c r="A207" s="149" t="s">
        <v>472</v>
      </c>
      <c r="B207" s="150">
        <v>20000000</v>
      </c>
      <c r="C207" s="148">
        <v>0</v>
      </c>
      <c r="D207" s="142" t="s">
        <v>794</v>
      </c>
    </row>
    <row r="208" spans="1:4" ht="13.5" thickBot="1" x14ac:dyDescent="0.25">
      <c r="A208" s="149" t="s">
        <v>473</v>
      </c>
      <c r="B208" s="150">
        <v>20000000</v>
      </c>
      <c r="C208" s="148">
        <v>0</v>
      </c>
      <c r="D208" s="142" t="s">
        <v>794</v>
      </c>
    </row>
    <row r="209" spans="1:4" ht="13.5" thickBot="1" x14ac:dyDescent="0.25">
      <c r="A209" s="149" t="s">
        <v>474</v>
      </c>
      <c r="B209" s="150">
        <v>20000000</v>
      </c>
      <c r="C209" s="148">
        <v>0</v>
      </c>
      <c r="D209" s="142" t="s">
        <v>794</v>
      </c>
    </row>
    <row r="210" spans="1:4" ht="13.5" thickBot="1" x14ac:dyDescent="0.25">
      <c r="A210" s="149" t="s">
        <v>475</v>
      </c>
      <c r="B210" s="150">
        <v>20000000</v>
      </c>
      <c r="C210" s="148">
        <v>0</v>
      </c>
      <c r="D210" s="142" t="s">
        <v>794</v>
      </c>
    </row>
    <row r="211" spans="1:4" ht="13.5" thickBot="1" x14ac:dyDescent="0.25">
      <c r="A211" s="149" t="s">
        <v>476</v>
      </c>
      <c r="B211" s="150">
        <v>20000000</v>
      </c>
      <c r="C211" s="148">
        <v>0</v>
      </c>
      <c r="D211" s="142" t="s">
        <v>794</v>
      </c>
    </row>
    <row r="212" spans="1:4" ht="13.5" thickBot="1" x14ac:dyDescent="0.25">
      <c r="A212" s="146" t="s">
        <v>754</v>
      </c>
      <c r="B212" s="147">
        <v>20000000</v>
      </c>
      <c r="C212" s="148">
        <v>0</v>
      </c>
      <c r="D212" s="142" t="s">
        <v>4</v>
      </c>
    </row>
    <row r="213" spans="1:4" ht="13.5" thickBot="1" x14ac:dyDescent="0.25">
      <c r="A213" s="149" t="s">
        <v>477</v>
      </c>
      <c r="B213" s="150">
        <v>20000000</v>
      </c>
      <c r="C213" s="148">
        <v>0</v>
      </c>
      <c r="D213" s="142" t="s">
        <v>794</v>
      </c>
    </row>
    <row r="214" spans="1:4" ht="13.5" thickBot="1" x14ac:dyDescent="0.25">
      <c r="A214" s="149" t="s">
        <v>321</v>
      </c>
      <c r="B214" s="150">
        <v>20000000</v>
      </c>
      <c r="C214" s="148">
        <v>0</v>
      </c>
      <c r="D214" s="142" t="s">
        <v>794</v>
      </c>
    </row>
    <row r="215" spans="1:4" ht="13.5" thickBot="1" x14ac:dyDescent="0.25">
      <c r="A215" s="146" t="s">
        <v>424</v>
      </c>
      <c r="B215" s="147">
        <v>20000000</v>
      </c>
      <c r="C215" s="148">
        <v>0</v>
      </c>
      <c r="D215" s="142" t="s">
        <v>4</v>
      </c>
    </row>
    <row r="216" spans="1:4" ht="13.5" thickBot="1" x14ac:dyDescent="0.25">
      <c r="A216" s="146" t="s">
        <v>425</v>
      </c>
      <c r="B216" s="147">
        <v>20000000</v>
      </c>
      <c r="C216" s="148">
        <v>0</v>
      </c>
      <c r="D216" s="142" t="s">
        <v>4</v>
      </c>
    </row>
    <row r="217" spans="1:4" ht="13.5" thickBot="1" x14ac:dyDescent="0.25">
      <c r="A217" s="146" t="s">
        <v>322</v>
      </c>
      <c r="B217" s="147">
        <v>20000000</v>
      </c>
      <c r="C217" s="148">
        <v>0</v>
      </c>
      <c r="D217" s="142" t="s">
        <v>4</v>
      </c>
    </row>
    <row r="218" spans="1:4" ht="13.5" thickBot="1" x14ac:dyDescent="0.25">
      <c r="A218" s="149" t="s">
        <v>323</v>
      </c>
      <c r="B218" s="150">
        <v>20000000</v>
      </c>
      <c r="C218" s="148">
        <v>0</v>
      </c>
      <c r="D218" s="142" t="s">
        <v>794</v>
      </c>
    </row>
    <row r="219" spans="1:4" ht="13.5" thickBot="1" x14ac:dyDescent="0.25">
      <c r="A219" s="146" t="s">
        <v>426</v>
      </c>
      <c r="B219" s="147">
        <v>20000000</v>
      </c>
      <c r="C219" s="148">
        <v>0</v>
      </c>
      <c r="D219" s="142" t="s">
        <v>4</v>
      </c>
    </row>
    <row r="220" spans="1:4" ht="13.5" thickBot="1" x14ac:dyDescent="0.25">
      <c r="A220" s="146" t="s">
        <v>427</v>
      </c>
      <c r="B220" s="147">
        <v>20000000</v>
      </c>
      <c r="C220" s="148">
        <v>0</v>
      </c>
      <c r="D220" s="142" t="s">
        <v>4</v>
      </c>
    </row>
    <row r="221" spans="1:4" ht="13.5" thickBot="1" x14ac:dyDescent="0.25">
      <c r="A221" s="146" t="s">
        <v>324</v>
      </c>
      <c r="B221" s="147">
        <v>20000000</v>
      </c>
      <c r="C221" s="148">
        <v>0</v>
      </c>
      <c r="D221" s="142" t="s">
        <v>4</v>
      </c>
    </row>
    <row r="222" spans="1:4" ht="13.5" thickBot="1" x14ac:dyDescent="0.25">
      <c r="A222" s="146" t="s">
        <v>428</v>
      </c>
      <c r="B222" s="147">
        <v>20000000</v>
      </c>
      <c r="C222" s="148">
        <v>0</v>
      </c>
      <c r="D222" s="142" t="s">
        <v>4</v>
      </c>
    </row>
    <row r="223" spans="1:4" ht="13.5" thickBot="1" x14ac:dyDescent="0.25">
      <c r="A223" s="146" t="s">
        <v>325</v>
      </c>
      <c r="B223" s="147">
        <v>20000000</v>
      </c>
      <c r="C223" s="148">
        <v>0</v>
      </c>
      <c r="D223" s="142" t="s">
        <v>4</v>
      </c>
    </row>
    <row r="224" spans="1:4" ht="13.5" thickBot="1" x14ac:dyDescent="0.25">
      <c r="A224" s="149" t="s">
        <v>326</v>
      </c>
      <c r="B224" s="150">
        <v>20000000</v>
      </c>
      <c r="C224" s="148">
        <v>0</v>
      </c>
      <c r="D224" s="142" t="s">
        <v>794</v>
      </c>
    </row>
    <row r="225" spans="1:4" ht="13.5" thickBot="1" x14ac:dyDescent="0.25">
      <c r="A225" s="146" t="s">
        <v>327</v>
      </c>
      <c r="B225" s="147">
        <v>20000000</v>
      </c>
      <c r="C225" s="148">
        <v>0</v>
      </c>
      <c r="D225" s="142" t="s">
        <v>4</v>
      </c>
    </row>
    <row r="226" spans="1:4" ht="13.5" thickBot="1" x14ac:dyDescent="0.25">
      <c r="A226" s="149" t="s">
        <v>328</v>
      </c>
      <c r="B226" s="150">
        <v>20000000</v>
      </c>
      <c r="C226" s="148">
        <v>0</v>
      </c>
      <c r="D226" s="142" t="s">
        <v>794</v>
      </c>
    </row>
    <row r="227" spans="1:4" ht="13.5" thickBot="1" x14ac:dyDescent="0.25">
      <c r="A227" s="146" t="s">
        <v>329</v>
      </c>
      <c r="B227" s="147">
        <v>20000000</v>
      </c>
      <c r="C227" s="148">
        <v>0</v>
      </c>
      <c r="D227" s="142" t="s">
        <v>4</v>
      </c>
    </row>
    <row r="228" spans="1:4" ht="13.5" thickBot="1" x14ac:dyDescent="0.25">
      <c r="A228" s="149" t="s">
        <v>330</v>
      </c>
      <c r="B228" s="150">
        <v>20000000</v>
      </c>
      <c r="C228" s="148">
        <v>0</v>
      </c>
      <c r="D228" s="142" t="s">
        <v>794</v>
      </c>
    </row>
    <row r="229" spans="1:4" ht="13.5" thickBot="1" x14ac:dyDescent="0.25">
      <c r="A229" s="146" t="s">
        <v>331</v>
      </c>
      <c r="B229" s="147">
        <v>20000000</v>
      </c>
      <c r="C229" s="148">
        <v>0</v>
      </c>
      <c r="D229" s="142" t="s">
        <v>4</v>
      </c>
    </row>
    <row r="230" spans="1:4" ht="13.5" thickBot="1" x14ac:dyDescent="0.25">
      <c r="A230" s="146" t="s">
        <v>332</v>
      </c>
      <c r="B230" s="147">
        <v>20000000</v>
      </c>
      <c r="C230" s="148">
        <v>0</v>
      </c>
      <c r="D230" s="142" t="s">
        <v>4</v>
      </c>
    </row>
    <row r="231" spans="1:4" ht="13.5" thickBot="1" x14ac:dyDescent="0.25">
      <c r="A231" s="146" t="s">
        <v>333</v>
      </c>
      <c r="B231" s="147">
        <v>20000000</v>
      </c>
      <c r="C231" s="148">
        <v>0</v>
      </c>
      <c r="D231" s="142" t="s">
        <v>4</v>
      </c>
    </row>
    <row r="232" spans="1:4" ht="13.5" thickBot="1" x14ac:dyDescent="0.25">
      <c r="A232" s="149" t="s">
        <v>334</v>
      </c>
      <c r="B232" s="150">
        <v>20000000</v>
      </c>
      <c r="C232" s="148">
        <v>0</v>
      </c>
      <c r="D232" s="142" t="s">
        <v>794</v>
      </c>
    </row>
    <row r="233" spans="1:4" ht="13.5" thickBot="1" x14ac:dyDescent="0.25">
      <c r="A233" s="149" t="s">
        <v>335</v>
      </c>
      <c r="B233" s="150">
        <v>20000000</v>
      </c>
      <c r="C233" s="148">
        <v>0</v>
      </c>
      <c r="D233" s="142" t="s">
        <v>794</v>
      </c>
    </row>
    <row r="234" spans="1:4" ht="13.5" thickBot="1" x14ac:dyDescent="0.25">
      <c r="A234" s="149" t="s">
        <v>336</v>
      </c>
      <c r="B234" s="150">
        <v>20000000</v>
      </c>
      <c r="C234" s="148">
        <v>0</v>
      </c>
      <c r="D234" s="142" t="s">
        <v>794</v>
      </c>
    </row>
    <row r="235" spans="1:4" ht="13.5" thickBot="1" x14ac:dyDescent="0.25">
      <c r="A235" s="149" t="s">
        <v>337</v>
      </c>
      <c r="B235" s="150">
        <v>20000000</v>
      </c>
      <c r="C235" s="148">
        <v>0</v>
      </c>
      <c r="D235" s="142" t="s">
        <v>794</v>
      </c>
    </row>
    <row r="236" spans="1:4" ht="13.5" thickBot="1" x14ac:dyDescent="0.25">
      <c r="A236" s="149" t="s">
        <v>338</v>
      </c>
      <c r="B236" s="150">
        <v>20000000</v>
      </c>
      <c r="C236" s="148">
        <v>0</v>
      </c>
      <c r="D236" s="142" t="s">
        <v>794</v>
      </c>
    </row>
    <row r="237" spans="1:4" ht="13.5" thickBot="1" x14ac:dyDescent="0.25">
      <c r="A237" s="149" t="s">
        <v>339</v>
      </c>
      <c r="B237" s="150">
        <v>20000000</v>
      </c>
      <c r="C237" s="148">
        <v>0</v>
      </c>
      <c r="D237" s="142" t="s">
        <v>794</v>
      </c>
    </row>
    <row r="238" spans="1:4" ht="13.5" thickBot="1" x14ac:dyDescent="0.25">
      <c r="A238" s="149" t="s">
        <v>478</v>
      </c>
      <c r="B238" s="150">
        <v>20000000</v>
      </c>
      <c r="C238" s="148">
        <v>0</v>
      </c>
      <c r="D238" s="142" t="s">
        <v>794</v>
      </c>
    </row>
    <row r="239" spans="1:4" ht="13.5" thickBot="1" x14ac:dyDescent="0.25">
      <c r="A239" s="149" t="s">
        <v>479</v>
      </c>
      <c r="B239" s="150">
        <v>20000000</v>
      </c>
      <c r="C239" s="148">
        <v>0</v>
      </c>
      <c r="D239" s="142" t="s">
        <v>794</v>
      </c>
    </row>
    <row r="240" spans="1:4" ht="13.5" thickBot="1" x14ac:dyDescent="0.25">
      <c r="A240" s="149" t="s">
        <v>480</v>
      </c>
      <c r="B240" s="150">
        <v>20000000</v>
      </c>
      <c r="C240" s="148">
        <v>0</v>
      </c>
      <c r="D240" s="142" t="s">
        <v>794</v>
      </c>
    </row>
    <row r="241" spans="1:4" ht="13.5" thickBot="1" x14ac:dyDescent="0.25">
      <c r="A241" s="149" t="s">
        <v>481</v>
      </c>
      <c r="B241" s="150">
        <v>20000000</v>
      </c>
      <c r="C241" s="148">
        <v>0</v>
      </c>
      <c r="D241" s="142" t="s">
        <v>794</v>
      </c>
    </row>
    <row r="242" spans="1:4" ht="13.5" thickBot="1" x14ac:dyDescent="0.25">
      <c r="A242" s="149" t="s">
        <v>482</v>
      </c>
      <c r="B242" s="150">
        <v>20000000</v>
      </c>
      <c r="C242" s="148">
        <v>0</v>
      </c>
      <c r="D242" s="142" t="s">
        <v>794</v>
      </c>
    </row>
    <row r="243" spans="1:4" ht="13.5" thickBot="1" x14ac:dyDescent="0.25">
      <c r="A243" s="149" t="s">
        <v>483</v>
      </c>
      <c r="B243" s="150">
        <v>20000000</v>
      </c>
      <c r="C243" s="148">
        <v>0</v>
      </c>
      <c r="D243" s="142" t="s">
        <v>794</v>
      </c>
    </row>
    <row r="244" spans="1:4" ht="13.5" thickBot="1" x14ac:dyDescent="0.25">
      <c r="A244" s="149" t="s">
        <v>484</v>
      </c>
      <c r="B244" s="150">
        <v>20000000</v>
      </c>
      <c r="C244" s="148">
        <v>0</v>
      </c>
      <c r="D244" s="142" t="s">
        <v>794</v>
      </c>
    </row>
    <row r="245" spans="1:4" ht="13.5" thickBot="1" x14ac:dyDescent="0.25">
      <c r="A245" s="149" t="s">
        <v>485</v>
      </c>
      <c r="B245" s="150">
        <v>20000000</v>
      </c>
      <c r="C245" s="148">
        <v>0</v>
      </c>
      <c r="D245" s="142" t="s">
        <v>794</v>
      </c>
    </row>
    <row r="246" spans="1:4" ht="13.5" thickBot="1" x14ac:dyDescent="0.25">
      <c r="A246" s="149" t="s">
        <v>486</v>
      </c>
      <c r="B246" s="150">
        <v>20000000</v>
      </c>
      <c r="C246" s="148">
        <v>0</v>
      </c>
      <c r="D246" s="142" t="s">
        <v>794</v>
      </c>
    </row>
    <row r="247" spans="1:4" ht="13.5" thickBot="1" x14ac:dyDescent="0.25">
      <c r="A247" s="149" t="s">
        <v>487</v>
      </c>
      <c r="B247" s="150">
        <v>20000000</v>
      </c>
      <c r="C247" s="148">
        <v>0</v>
      </c>
      <c r="D247" s="142" t="s">
        <v>794</v>
      </c>
    </row>
    <row r="248" spans="1:4" ht="13.5" thickBot="1" x14ac:dyDescent="0.25">
      <c r="A248" s="149" t="s">
        <v>488</v>
      </c>
      <c r="B248" s="150">
        <v>20000000</v>
      </c>
      <c r="C248" s="148">
        <v>0</v>
      </c>
      <c r="D248" s="142" t="s">
        <v>794</v>
      </c>
    </row>
    <row r="249" spans="1:4" ht="13.5" thickBot="1" x14ac:dyDescent="0.25">
      <c r="A249" s="149" t="s">
        <v>489</v>
      </c>
      <c r="B249" s="150">
        <v>20000000</v>
      </c>
      <c r="C249" s="148">
        <v>0</v>
      </c>
      <c r="D249" s="142" t="s">
        <v>794</v>
      </c>
    </row>
    <row r="250" spans="1:4" ht="13.5" thickBot="1" x14ac:dyDescent="0.25">
      <c r="A250" s="149" t="s">
        <v>490</v>
      </c>
      <c r="B250" s="150">
        <v>20000000</v>
      </c>
      <c r="C250" s="148">
        <v>0</v>
      </c>
      <c r="D250" s="142" t="s">
        <v>794</v>
      </c>
    </row>
    <row r="251" spans="1:4" ht="17.25" thickBot="1" x14ac:dyDescent="0.25">
      <c r="A251" s="145" t="s">
        <v>796</v>
      </c>
      <c r="B251" s="145"/>
      <c r="C251" s="145"/>
      <c r="D251" s="145"/>
    </row>
    <row r="252" spans="1:4" ht="13.5" thickBot="1" x14ac:dyDescent="0.25">
      <c r="A252" s="146" t="s">
        <v>755</v>
      </c>
      <c r="B252" s="147">
        <v>3000000</v>
      </c>
      <c r="C252" s="148">
        <v>0</v>
      </c>
      <c r="D252" s="142" t="s">
        <v>4</v>
      </c>
    </row>
    <row r="253" spans="1:4" ht="13.5" thickBot="1" x14ac:dyDescent="0.25">
      <c r="A253" s="149" t="s">
        <v>340</v>
      </c>
      <c r="B253" s="150">
        <v>5000000</v>
      </c>
      <c r="C253" s="148">
        <v>0</v>
      </c>
      <c r="D253" s="142" t="s">
        <v>794</v>
      </c>
    </row>
    <row r="254" spans="1:4" ht="13.5" thickBot="1" x14ac:dyDescent="0.25">
      <c r="A254" s="149" t="s">
        <v>341</v>
      </c>
      <c r="B254" s="150">
        <v>5000000</v>
      </c>
      <c r="C254" s="148">
        <v>0</v>
      </c>
      <c r="D254" s="142" t="s">
        <v>794</v>
      </c>
    </row>
    <row r="255" spans="1:4" ht="13.5" thickBot="1" x14ac:dyDescent="0.25">
      <c r="A255" s="149" t="s">
        <v>342</v>
      </c>
      <c r="B255" s="150">
        <v>3000000</v>
      </c>
      <c r="C255" s="148">
        <v>0</v>
      </c>
      <c r="D255" s="142" t="s">
        <v>794</v>
      </c>
    </row>
    <row r="256" spans="1:4" ht="13.5" thickBot="1" x14ac:dyDescent="0.25">
      <c r="A256" s="146" t="s">
        <v>343</v>
      </c>
      <c r="B256" s="147">
        <v>3000000</v>
      </c>
      <c r="C256" s="148">
        <v>0</v>
      </c>
      <c r="D256" s="142" t="s">
        <v>4</v>
      </c>
    </row>
    <row r="257" spans="1:4" ht="13.5" thickBot="1" x14ac:dyDescent="0.25">
      <c r="A257" s="146" t="s">
        <v>344</v>
      </c>
      <c r="B257" s="147">
        <v>3000000</v>
      </c>
      <c r="C257" s="148">
        <v>0</v>
      </c>
      <c r="D257" s="142" t="s">
        <v>4</v>
      </c>
    </row>
    <row r="258" spans="1:4" ht="13.5" thickBot="1" x14ac:dyDescent="0.25">
      <c r="A258" s="146" t="s">
        <v>345</v>
      </c>
      <c r="B258" s="147">
        <v>3000000</v>
      </c>
      <c r="C258" s="148">
        <v>0</v>
      </c>
      <c r="D258" s="142" t="s">
        <v>4</v>
      </c>
    </row>
    <row r="259" spans="1:4" ht="13.5" thickBot="1" x14ac:dyDescent="0.25">
      <c r="A259" s="146" t="s">
        <v>346</v>
      </c>
      <c r="B259" s="147">
        <v>3000000</v>
      </c>
      <c r="C259" s="148">
        <v>0</v>
      </c>
      <c r="D259" s="142" t="s">
        <v>4</v>
      </c>
    </row>
    <row r="260" spans="1:4" ht="13.5" thickBot="1" x14ac:dyDescent="0.25">
      <c r="A260" s="146" t="s">
        <v>347</v>
      </c>
      <c r="B260" s="147">
        <v>3000000</v>
      </c>
      <c r="C260" s="148">
        <v>0</v>
      </c>
      <c r="D260" s="142" t="s">
        <v>4</v>
      </c>
    </row>
    <row r="261" spans="1:4" ht="13.5" thickBot="1" x14ac:dyDescent="0.25">
      <c r="A261" s="146" t="s">
        <v>348</v>
      </c>
      <c r="B261" s="147">
        <v>3000000</v>
      </c>
      <c r="C261" s="148">
        <v>0</v>
      </c>
      <c r="D261" s="142" t="s">
        <v>4</v>
      </c>
    </row>
    <row r="262" spans="1:4" ht="13.5" thickBot="1" x14ac:dyDescent="0.25">
      <c r="A262" s="146" t="s">
        <v>349</v>
      </c>
      <c r="B262" s="147">
        <v>3000000</v>
      </c>
      <c r="C262" s="148">
        <v>0</v>
      </c>
      <c r="D262" s="142" t="s">
        <v>4</v>
      </c>
    </row>
    <row r="263" spans="1:4" ht="13.5" thickBot="1" x14ac:dyDescent="0.25">
      <c r="A263" s="146" t="s">
        <v>350</v>
      </c>
      <c r="B263" s="147">
        <v>3000000</v>
      </c>
      <c r="C263" s="148">
        <v>0</v>
      </c>
      <c r="D263" s="142" t="s">
        <v>4</v>
      </c>
    </row>
    <row r="264" spans="1:4" ht="13.5" thickBot="1" x14ac:dyDescent="0.25">
      <c r="A264" s="146" t="s">
        <v>351</v>
      </c>
      <c r="B264" s="147">
        <v>3000000</v>
      </c>
      <c r="C264" s="148">
        <v>0</v>
      </c>
      <c r="D264" s="142" t="s">
        <v>4</v>
      </c>
    </row>
    <row r="265" spans="1:4" ht="13.5" thickBot="1" x14ac:dyDescent="0.25">
      <c r="A265" s="146" t="s">
        <v>352</v>
      </c>
      <c r="B265" s="147">
        <v>3000000</v>
      </c>
      <c r="C265" s="148">
        <v>0</v>
      </c>
      <c r="D265" s="142" t="s">
        <v>4</v>
      </c>
    </row>
    <row r="266" spans="1:4" ht="13.5" thickBot="1" x14ac:dyDescent="0.25">
      <c r="A266" s="146" t="s">
        <v>353</v>
      </c>
      <c r="B266" s="147">
        <v>3000000</v>
      </c>
      <c r="C266" s="148">
        <v>0</v>
      </c>
      <c r="D266" s="142" t="s">
        <v>4</v>
      </c>
    </row>
    <row r="267" spans="1:4" ht="13.5" thickBot="1" x14ac:dyDescent="0.25">
      <c r="A267" s="146" t="s">
        <v>354</v>
      </c>
      <c r="B267" s="147">
        <v>3000000</v>
      </c>
      <c r="C267" s="148">
        <v>0</v>
      </c>
      <c r="D267" s="142" t="s">
        <v>4</v>
      </c>
    </row>
    <row r="268" spans="1:4" ht="13.5" thickBot="1" x14ac:dyDescent="0.25">
      <c r="A268" s="146" t="s">
        <v>355</v>
      </c>
      <c r="B268" s="147">
        <v>3000000</v>
      </c>
      <c r="C268" s="148">
        <v>0</v>
      </c>
      <c r="D268" s="142" t="s">
        <v>4</v>
      </c>
    </row>
    <row r="269" spans="1:4" ht="13.5" thickBot="1" x14ac:dyDescent="0.25">
      <c r="A269" s="146" t="s">
        <v>356</v>
      </c>
      <c r="B269" s="147">
        <v>3000000</v>
      </c>
      <c r="C269" s="148">
        <v>0</v>
      </c>
      <c r="D269" s="142" t="s">
        <v>4</v>
      </c>
    </row>
    <row r="270" spans="1:4" ht="13.5" thickBot="1" x14ac:dyDescent="0.25">
      <c r="A270" s="146" t="s">
        <v>357</v>
      </c>
      <c r="B270" s="147">
        <v>3000000</v>
      </c>
      <c r="C270" s="148">
        <v>0</v>
      </c>
      <c r="D270" s="142" t="s">
        <v>4</v>
      </c>
    </row>
    <row r="271" spans="1:4" ht="13.5" thickBot="1" x14ac:dyDescent="0.25">
      <c r="A271" s="146" t="s">
        <v>756</v>
      </c>
      <c r="B271" s="147">
        <v>3000000</v>
      </c>
      <c r="C271" s="148">
        <v>0</v>
      </c>
      <c r="D271" s="142" t="s">
        <v>4</v>
      </c>
    </row>
    <row r="272" spans="1:4" ht="13.5" thickBot="1" x14ac:dyDescent="0.25">
      <c r="A272" s="146" t="s">
        <v>757</v>
      </c>
      <c r="B272" s="147">
        <v>3000000</v>
      </c>
      <c r="C272" s="148">
        <v>0</v>
      </c>
      <c r="D272" s="142" t="s">
        <v>4</v>
      </c>
    </row>
    <row r="273" spans="1:4" ht="13.5" thickBot="1" x14ac:dyDescent="0.25">
      <c r="A273" s="146" t="s">
        <v>758</v>
      </c>
      <c r="B273" s="147">
        <v>3000000</v>
      </c>
      <c r="C273" s="148">
        <v>0</v>
      </c>
      <c r="D273" s="142" t="s">
        <v>4</v>
      </c>
    </row>
    <row r="274" spans="1:4" ht="13.5" thickBot="1" x14ac:dyDescent="0.25">
      <c r="A274" s="146" t="s">
        <v>358</v>
      </c>
      <c r="B274" s="147">
        <v>3000000</v>
      </c>
      <c r="C274" s="148">
        <v>0</v>
      </c>
      <c r="D274" s="142" t="s">
        <v>4</v>
      </c>
    </row>
    <row r="275" spans="1:4" ht="13.5" thickBot="1" x14ac:dyDescent="0.25">
      <c r="A275" s="146" t="s">
        <v>359</v>
      </c>
      <c r="B275" s="147">
        <v>3000000</v>
      </c>
      <c r="C275" s="148">
        <v>0</v>
      </c>
      <c r="D275" s="142" t="s">
        <v>4</v>
      </c>
    </row>
    <row r="276" spans="1:4" ht="13.5" thickBot="1" x14ac:dyDescent="0.25">
      <c r="A276" s="149" t="s">
        <v>360</v>
      </c>
      <c r="B276" s="150">
        <v>3000000</v>
      </c>
      <c r="C276" s="148">
        <v>0</v>
      </c>
      <c r="D276" s="142" t="s">
        <v>794</v>
      </c>
    </row>
    <row r="277" spans="1:4" ht="13.5" thickBot="1" x14ac:dyDescent="0.25">
      <c r="A277" s="149" t="s">
        <v>361</v>
      </c>
      <c r="B277" s="150">
        <v>3000000</v>
      </c>
      <c r="C277" s="148">
        <v>0</v>
      </c>
      <c r="D277" s="142" t="s">
        <v>794</v>
      </c>
    </row>
    <row r="278" spans="1:4" ht="13.5" thickBot="1" x14ac:dyDescent="0.25">
      <c r="A278" s="146" t="s">
        <v>362</v>
      </c>
      <c r="B278" s="147">
        <v>3000000</v>
      </c>
      <c r="C278" s="148">
        <v>0</v>
      </c>
      <c r="D278" s="142" t="s">
        <v>4</v>
      </c>
    </row>
    <row r="279" spans="1:4" ht="13.5" thickBot="1" x14ac:dyDescent="0.25">
      <c r="A279" s="146" t="s">
        <v>363</v>
      </c>
      <c r="B279" s="147">
        <v>3000000</v>
      </c>
      <c r="C279" s="148">
        <v>0</v>
      </c>
      <c r="D279" s="142" t="s">
        <v>4</v>
      </c>
    </row>
    <row r="280" spans="1:4" ht="13.5" thickBot="1" x14ac:dyDescent="0.25">
      <c r="A280" s="146" t="s">
        <v>364</v>
      </c>
      <c r="B280" s="147">
        <v>3000000</v>
      </c>
      <c r="C280" s="148">
        <v>0</v>
      </c>
      <c r="D280" s="142" t="s">
        <v>4</v>
      </c>
    </row>
    <row r="281" spans="1:4" ht="13.5" thickBot="1" x14ac:dyDescent="0.25">
      <c r="A281" s="146" t="s">
        <v>365</v>
      </c>
      <c r="B281" s="147">
        <v>3000000</v>
      </c>
      <c r="C281" s="148">
        <v>0</v>
      </c>
      <c r="D281" s="142" t="s">
        <v>4</v>
      </c>
    </row>
    <row r="282" spans="1:4" ht="13.5" thickBot="1" x14ac:dyDescent="0.25">
      <c r="A282" s="146" t="s">
        <v>366</v>
      </c>
      <c r="B282" s="147">
        <v>3000000</v>
      </c>
      <c r="C282" s="148">
        <v>0</v>
      </c>
      <c r="D282" s="142" t="s">
        <v>4</v>
      </c>
    </row>
    <row r="283" spans="1:4" ht="13.5" thickBot="1" x14ac:dyDescent="0.25">
      <c r="A283" s="146" t="s">
        <v>367</v>
      </c>
      <c r="B283" s="147">
        <v>3000000</v>
      </c>
      <c r="C283" s="148">
        <v>0</v>
      </c>
      <c r="D283" s="142" t="s">
        <v>4</v>
      </c>
    </row>
    <row r="284" spans="1:4" ht="13.5" thickBot="1" x14ac:dyDescent="0.25">
      <c r="A284" s="146" t="s">
        <v>368</v>
      </c>
      <c r="B284" s="147">
        <v>3000000</v>
      </c>
      <c r="C284" s="148">
        <v>0</v>
      </c>
      <c r="D284" s="142" t="s">
        <v>4</v>
      </c>
    </row>
    <row r="285" spans="1:4" ht="13.5" thickBot="1" x14ac:dyDescent="0.25">
      <c r="A285" s="146" t="s">
        <v>369</v>
      </c>
      <c r="B285" s="147">
        <v>3000000</v>
      </c>
      <c r="C285" s="148">
        <v>0</v>
      </c>
      <c r="D285" s="142" t="s">
        <v>4</v>
      </c>
    </row>
    <row r="286" spans="1:4" ht="13.5" thickBot="1" x14ac:dyDescent="0.25">
      <c r="A286" s="149" t="s">
        <v>370</v>
      </c>
      <c r="B286" s="150">
        <v>3000000</v>
      </c>
      <c r="C286" s="148">
        <v>0</v>
      </c>
      <c r="D286" s="142" t="s">
        <v>794</v>
      </c>
    </row>
    <row r="287" spans="1:4" ht="13.5" thickBot="1" x14ac:dyDescent="0.25">
      <c r="A287" s="149" t="s">
        <v>371</v>
      </c>
      <c r="B287" s="150">
        <v>3000000</v>
      </c>
      <c r="C287" s="148">
        <v>0</v>
      </c>
      <c r="D287" s="142" t="s">
        <v>794</v>
      </c>
    </row>
    <row r="288" spans="1:4" ht="13.5" thickBot="1" x14ac:dyDescent="0.25">
      <c r="A288" s="149" t="s">
        <v>491</v>
      </c>
      <c r="B288" s="150">
        <v>3000000</v>
      </c>
      <c r="C288" s="148">
        <v>0</v>
      </c>
      <c r="D288" s="142" t="s">
        <v>794</v>
      </c>
    </row>
    <row r="289" spans="1:4" ht="13.5" thickBot="1" x14ac:dyDescent="0.25">
      <c r="A289" s="146" t="s">
        <v>759</v>
      </c>
      <c r="B289" s="147">
        <v>3000000</v>
      </c>
      <c r="C289" s="148">
        <v>0</v>
      </c>
      <c r="D289" s="142" t="s">
        <v>4</v>
      </c>
    </row>
    <row r="290" spans="1:4" ht="13.5" thickBot="1" x14ac:dyDescent="0.25">
      <c r="A290" s="146" t="s">
        <v>760</v>
      </c>
      <c r="B290" s="147">
        <v>3000000</v>
      </c>
      <c r="C290" s="148">
        <v>0</v>
      </c>
      <c r="D290" s="142" t="s">
        <v>4</v>
      </c>
    </row>
    <row r="291" spans="1:4" ht="13.5" thickBot="1" x14ac:dyDescent="0.25">
      <c r="A291" s="146" t="s">
        <v>761</v>
      </c>
      <c r="B291" s="147">
        <v>3000000</v>
      </c>
      <c r="C291" s="148">
        <v>0</v>
      </c>
      <c r="D291" s="142" t="s">
        <v>4</v>
      </c>
    </row>
    <row r="292" spans="1:4" ht="13.5" thickBot="1" x14ac:dyDescent="0.25">
      <c r="A292" s="149" t="s">
        <v>492</v>
      </c>
      <c r="B292" s="150">
        <v>3000000</v>
      </c>
      <c r="C292" s="148">
        <v>0</v>
      </c>
      <c r="D292" s="142" t="s">
        <v>794</v>
      </c>
    </row>
    <row r="293" spans="1:4" ht="13.5" thickBot="1" x14ac:dyDescent="0.25">
      <c r="A293" s="149" t="s">
        <v>493</v>
      </c>
      <c r="B293" s="150">
        <v>3000000</v>
      </c>
      <c r="C293" s="148">
        <v>0</v>
      </c>
      <c r="D293" s="142" t="s">
        <v>794</v>
      </c>
    </row>
    <row r="294" spans="1:4" ht="13.5" thickBot="1" x14ac:dyDescent="0.25">
      <c r="A294" s="146" t="s">
        <v>762</v>
      </c>
      <c r="B294" s="147">
        <v>3000000</v>
      </c>
      <c r="C294" s="148">
        <v>0</v>
      </c>
      <c r="D294" s="142" t="s">
        <v>4</v>
      </c>
    </row>
    <row r="295" spans="1:4" ht="13.5" thickBot="1" x14ac:dyDescent="0.25">
      <c r="A295" s="146" t="s">
        <v>763</v>
      </c>
      <c r="B295" s="147">
        <v>3000000</v>
      </c>
      <c r="C295" s="148">
        <v>0</v>
      </c>
      <c r="D295" s="142" t="s">
        <v>4</v>
      </c>
    </row>
    <row r="296" spans="1:4" ht="13.5" thickBot="1" x14ac:dyDescent="0.25">
      <c r="A296" s="149" t="s">
        <v>494</v>
      </c>
      <c r="B296" s="150">
        <v>3000000</v>
      </c>
      <c r="C296" s="148">
        <v>0</v>
      </c>
      <c r="D296" s="142" t="s">
        <v>794</v>
      </c>
    </row>
    <row r="297" spans="1:4" ht="13.5" thickBot="1" x14ac:dyDescent="0.25">
      <c r="A297" s="149" t="s">
        <v>495</v>
      </c>
      <c r="B297" s="150">
        <v>3000000</v>
      </c>
      <c r="C297" s="148">
        <v>0</v>
      </c>
      <c r="D297" s="142" t="s">
        <v>794</v>
      </c>
    </row>
    <row r="298" spans="1:4" ht="13.5" thickBot="1" x14ac:dyDescent="0.25">
      <c r="A298" s="149" t="s">
        <v>496</v>
      </c>
      <c r="B298" s="150">
        <v>3000000</v>
      </c>
      <c r="C298" s="148">
        <v>0</v>
      </c>
      <c r="D298" s="142" t="s">
        <v>794</v>
      </c>
    </row>
    <row r="299" spans="1:4" ht="13.5" thickBot="1" x14ac:dyDescent="0.25">
      <c r="A299" s="146" t="s">
        <v>764</v>
      </c>
      <c r="B299" s="147">
        <v>3000000</v>
      </c>
      <c r="C299" s="148">
        <v>0</v>
      </c>
      <c r="D299" s="142" t="s">
        <v>4</v>
      </c>
    </row>
    <row r="300" spans="1:4" ht="13.5" thickBot="1" x14ac:dyDescent="0.25">
      <c r="A300" s="146" t="s">
        <v>765</v>
      </c>
      <c r="B300" s="147">
        <v>3000000</v>
      </c>
      <c r="C300" s="148">
        <v>0</v>
      </c>
      <c r="D300" s="142" t="s">
        <v>4</v>
      </c>
    </row>
    <row r="301" spans="1:4" ht="13.5" thickBot="1" x14ac:dyDescent="0.25">
      <c r="A301" s="146" t="s">
        <v>766</v>
      </c>
      <c r="B301" s="147">
        <v>3000000</v>
      </c>
      <c r="C301" s="148">
        <v>0</v>
      </c>
      <c r="D301" s="142" t="s">
        <v>4</v>
      </c>
    </row>
    <row r="302" spans="1:4" ht="13.5" thickBot="1" x14ac:dyDescent="0.25">
      <c r="A302" s="149" t="s">
        <v>497</v>
      </c>
      <c r="B302" s="150">
        <v>3000000</v>
      </c>
      <c r="C302" s="148">
        <v>0</v>
      </c>
      <c r="D302" s="142" t="s">
        <v>794</v>
      </c>
    </row>
    <row r="303" spans="1:4" ht="13.5" thickBot="1" x14ac:dyDescent="0.25">
      <c r="A303" s="146" t="s">
        <v>767</v>
      </c>
      <c r="B303" s="147">
        <v>3000000</v>
      </c>
      <c r="C303" s="148">
        <v>0</v>
      </c>
      <c r="D303" s="142" t="s">
        <v>4</v>
      </c>
    </row>
    <row r="304" spans="1:4" ht="13.5" thickBot="1" x14ac:dyDescent="0.25">
      <c r="A304" s="146" t="s">
        <v>768</v>
      </c>
      <c r="B304" s="147">
        <v>3000000</v>
      </c>
      <c r="C304" s="148">
        <v>0</v>
      </c>
      <c r="D304" s="142" t="s">
        <v>4</v>
      </c>
    </row>
    <row r="305" spans="1:4" ht="13.5" thickBot="1" x14ac:dyDescent="0.25">
      <c r="A305" s="146" t="s">
        <v>769</v>
      </c>
      <c r="B305" s="147">
        <v>3000000</v>
      </c>
      <c r="C305" s="148">
        <v>0</v>
      </c>
      <c r="D305" s="142" t="s">
        <v>4</v>
      </c>
    </row>
    <row r="306" spans="1:4" ht="13.5" thickBot="1" x14ac:dyDescent="0.25">
      <c r="A306" s="146" t="s">
        <v>770</v>
      </c>
      <c r="B306" s="147">
        <v>3000000</v>
      </c>
      <c r="C306" s="148">
        <v>0</v>
      </c>
      <c r="D306" s="142" t="s">
        <v>4</v>
      </c>
    </row>
    <row r="307" spans="1:4" ht="13.5" thickBot="1" x14ac:dyDescent="0.25">
      <c r="A307" s="146" t="s">
        <v>372</v>
      </c>
      <c r="B307" s="147">
        <v>3000000</v>
      </c>
      <c r="C307" s="148">
        <v>0</v>
      </c>
      <c r="D307" s="142" t="s">
        <v>4</v>
      </c>
    </row>
    <row r="308" spans="1:4" ht="13.5" thickBot="1" x14ac:dyDescent="0.25">
      <c r="A308" s="146" t="s">
        <v>373</v>
      </c>
      <c r="B308" s="147">
        <v>3000000</v>
      </c>
      <c r="C308" s="148">
        <v>0</v>
      </c>
      <c r="D308" s="142" t="s">
        <v>4</v>
      </c>
    </row>
    <row r="309" spans="1:4" ht="13.5" thickBot="1" x14ac:dyDescent="0.25">
      <c r="A309" s="146" t="s">
        <v>771</v>
      </c>
      <c r="B309" s="147">
        <v>3000000</v>
      </c>
      <c r="C309" s="148">
        <v>0</v>
      </c>
      <c r="D309" s="142" t="s">
        <v>4</v>
      </c>
    </row>
    <row r="310" spans="1:4" ht="13.5" thickBot="1" x14ac:dyDescent="0.25">
      <c r="A310" s="146" t="s">
        <v>772</v>
      </c>
      <c r="B310" s="147">
        <v>3000000</v>
      </c>
      <c r="C310" s="148">
        <v>0</v>
      </c>
      <c r="D310" s="142" t="s">
        <v>4</v>
      </c>
    </row>
    <row r="311" spans="1:4" ht="13.5" thickBot="1" x14ac:dyDescent="0.25">
      <c r="A311" s="149" t="s">
        <v>498</v>
      </c>
      <c r="B311" s="150">
        <v>3000000</v>
      </c>
      <c r="C311" s="148">
        <v>0</v>
      </c>
      <c r="D311" s="142" t="s">
        <v>794</v>
      </c>
    </row>
    <row r="312" spans="1:4" ht="13.5" thickBot="1" x14ac:dyDescent="0.25">
      <c r="A312" s="146" t="s">
        <v>773</v>
      </c>
      <c r="B312" s="147">
        <v>3000000</v>
      </c>
      <c r="C312" s="148">
        <v>0</v>
      </c>
      <c r="D312" s="142" t="s">
        <v>4</v>
      </c>
    </row>
    <row r="313" spans="1:4" ht="13.5" thickBot="1" x14ac:dyDescent="0.25">
      <c r="A313" s="146" t="s">
        <v>774</v>
      </c>
      <c r="B313" s="147">
        <v>3000000</v>
      </c>
      <c r="C313" s="148">
        <v>0</v>
      </c>
      <c r="D313" s="142" t="s">
        <v>4</v>
      </c>
    </row>
    <row r="314" spans="1:4" ht="13.5" thickBot="1" x14ac:dyDescent="0.25">
      <c r="A314" s="146" t="s">
        <v>775</v>
      </c>
      <c r="B314" s="147">
        <v>3000000</v>
      </c>
      <c r="C314" s="148">
        <v>0</v>
      </c>
      <c r="D314" s="142" t="s">
        <v>4</v>
      </c>
    </row>
    <row r="315" spans="1:4" ht="13.5" thickBot="1" x14ac:dyDescent="0.25">
      <c r="A315" s="146" t="s">
        <v>776</v>
      </c>
      <c r="B315" s="147">
        <v>3000000</v>
      </c>
      <c r="C315" s="148">
        <v>0</v>
      </c>
      <c r="D315" s="142" t="s">
        <v>4</v>
      </c>
    </row>
    <row r="316" spans="1:4" ht="13.5" thickBot="1" x14ac:dyDescent="0.25">
      <c r="A316" s="149" t="s">
        <v>499</v>
      </c>
      <c r="B316" s="150">
        <v>3000000</v>
      </c>
      <c r="C316" s="148">
        <v>0</v>
      </c>
      <c r="D316" s="142" t="s">
        <v>794</v>
      </c>
    </row>
    <row r="317" spans="1:4" ht="13.5" thickBot="1" x14ac:dyDescent="0.25">
      <c r="A317" s="146" t="s">
        <v>777</v>
      </c>
      <c r="B317" s="147">
        <v>3000000</v>
      </c>
      <c r="C317" s="148">
        <v>0</v>
      </c>
      <c r="D317" s="142" t="s">
        <v>4</v>
      </c>
    </row>
    <row r="318" spans="1:4" ht="13.5" thickBot="1" x14ac:dyDescent="0.25">
      <c r="A318" s="146" t="s">
        <v>778</v>
      </c>
      <c r="B318" s="147">
        <v>3000000</v>
      </c>
      <c r="C318" s="148">
        <v>0</v>
      </c>
      <c r="D318" s="142" t="s">
        <v>4</v>
      </c>
    </row>
    <row r="319" spans="1:4" ht="13.5" thickBot="1" x14ac:dyDescent="0.25">
      <c r="A319" s="146" t="s">
        <v>779</v>
      </c>
      <c r="B319" s="147">
        <v>3000000</v>
      </c>
      <c r="C319" s="148">
        <v>0</v>
      </c>
      <c r="D319" s="142" t="s">
        <v>4</v>
      </c>
    </row>
    <row r="320" spans="1:4" ht="13.5" thickBot="1" x14ac:dyDescent="0.25">
      <c r="A320" s="146" t="s">
        <v>780</v>
      </c>
      <c r="B320" s="147">
        <v>3000000</v>
      </c>
      <c r="C320" s="148">
        <v>0</v>
      </c>
      <c r="D320" s="142" t="s">
        <v>4</v>
      </c>
    </row>
    <row r="321" spans="1:4" ht="13.5" thickBot="1" x14ac:dyDescent="0.25">
      <c r="A321" s="146" t="s">
        <v>429</v>
      </c>
      <c r="B321" s="147">
        <v>3000000</v>
      </c>
      <c r="C321" s="148">
        <v>0</v>
      </c>
      <c r="D321" s="142" t="s">
        <v>4</v>
      </c>
    </row>
    <row r="322" spans="1:4" ht="13.5" thickBot="1" x14ac:dyDescent="0.25">
      <c r="A322" s="146" t="s">
        <v>430</v>
      </c>
      <c r="B322" s="147">
        <v>3000000</v>
      </c>
      <c r="C322" s="148">
        <v>0</v>
      </c>
      <c r="D322" s="142" t="s">
        <v>4</v>
      </c>
    </row>
    <row r="323" spans="1:4" ht="13.5" thickBot="1" x14ac:dyDescent="0.25">
      <c r="A323" s="146" t="s">
        <v>374</v>
      </c>
      <c r="B323" s="147">
        <v>3000000</v>
      </c>
      <c r="C323" s="148">
        <v>0</v>
      </c>
      <c r="D323" s="142" t="s">
        <v>4</v>
      </c>
    </row>
    <row r="324" spans="1:4" ht="13.5" thickBot="1" x14ac:dyDescent="0.25">
      <c r="A324" s="146" t="s">
        <v>431</v>
      </c>
      <c r="B324" s="147">
        <v>3000000</v>
      </c>
      <c r="C324" s="148">
        <v>0</v>
      </c>
      <c r="D324" s="142" t="s">
        <v>4</v>
      </c>
    </row>
    <row r="325" spans="1:4" ht="13.5" thickBot="1" x14ac:dyDescent="0.25">
      <c r="A325" s="146" t="s">
        <v>432</v>
      </c>
      <c r="B325" s="147">
        <v>3000000</v>
      </c>
      <c r="C325" s="148">
        <v>0</v>
      </c>
      <c r="D325" s="142" t="s">
        <v>4</v>
      </c>
    </row>
    <row r="326" spans="1:4" ht="13.5" thickBot="1" x14ac:dyDescent="0.25">
      <c r="A326" s="149" t="s">
        <v>500</v>
      </c>
      <c r="B326" s="150">
        <v>3000000</v>
      </c>
      <c r="C326" s="148">
        <v>0</v>
      </c>
      <c r="D326" s="142" t="s">
        <v>794</v>
      </c>
    </row>
    <row r="327" spans="1:4" ht="13.5" thickBot="1" x14ac:dyDescent="0.25">
      <c r="A327" s="146" t="s">
        <v>781</v>
      </c>
      <c r="B327" s="147">
        <v>3000000</v>
      </c>
      <c r="C327" s="148">
        <v>0</v>
      </c>
      <c r="D327" s="142" t="s">
        <v>4</v>
      </c>
    </row>
    <row r="328" spans="1:4" ht="13.5" thickBot="1" x14ac:dyDescent="0.25">
      <c r="A328" s="146" t="s">
        <v>375</v>
      </c>
      <c r="B328" s="147">
        <v>5000000</v>
      </c>
      <c r="C328" s="148">
        <v>0</v>
      </c>
      <c r="D328" s="142" t="s">
        <v>4</v>
      </c>
    </row>
    <row r="329" spans="1:4" ht="13.5" thickBot="1" x14ac:dyDescent="0.25">
      <c r="A329" s="149" t="s">
        <v>376</v>
      </c>
      <c r="B329" s="150">
        <v>5000000</v>
      </c>
      <c r="C329" s="148">
        <v>0</v>
      </c>
      <c r="D329" s="142" t="s">
        <v>794</v>
      </c>
    </row>
    <row r="330" spans="1:4" ht="13.5" thickBot="1" x14ac:dyDescent="0.25">
      <c r="A330" s="149" t="s">
        <v>377</v>
      </c>
      <c r="B330" s="150">
        <v>5000000</v>
      </c>
      <c r="C330" s="148">
        <v>0</v>
      </c>
      <c r="D330" s="142" t="s">
        <v>794</v>
      </c>
    </row>
    <row r="331" spans="1:4" ht="13.5" thickBot="1" x14ac:dyDescent="0.25">
      <c r="A331" s="149" t="s">
        <v>378</v>
      </c>
      <c r="B331" s="150">
        <v>5000000</v>
      </c>
      <c r="C331" s="148">
        <v>0</v>
      </c>
      <c r="D331" s="142" t="s">
        <v>794</v>
      </c>
    </row>
    <row r="332" spans="1:4" ht="13.5" thickBot="1" x14ac:dyDescent="0.25">
      <c r="A332" s="149" t="s">
        <v>379</v>
      </c>
      <c r="B332" s="150">
        <v>5000000</v>
      </c>
      <c r="C332" s="148">
        <v>0</v>
      </c>
      <c r="D332" s="142" t="s">
        <v>794</v>
      </c>
    </row>
    <row r="333" spans="1:4" ht="13.5" thickBot="1" x14ac:dyDescent="0.25">
      <c r="A333" s="149" t="s">
        <v>380</v>
      </c>
      <c r="B333" s="150">
        <v>5000000</v>
      </c>
      <c r="C333" s="148">
        <v>0</v>
      </c>
      <c r="D333" s="142" t="s">
        <v>794</v>
      </c>
    </row>
    <row r="334" spans="1:4" ht="13.5" thickBot="1" x14ac:dyDescent="0.25">
      <c r="A334" s="149" t="s">
        <v>381</v>
      </c>
      <c r="B334" s="150">
        <v>5000000</v>
      </c>
      <c r="C334" s="148">
        <v>0</v>
      </c>
      <c r="D334" s="142" t="s">
        <v>794</v>
      </c>
    </row>
    <row r="335" spans="1:4" ht="13.5" thickBot="1" x14ac:dyDescent="0.25">
      <c r="A335" s="149" t="s">
        <v>382</v>
      </c>
      <c r="B335" s="150">
        <v>5000000</v>
      </c>
      <c r="C335" s="148">
        <v>0</v>
      </c>
      <c r="D335" s="142" t="s">
        <v>794</v>
      </c>
    </row>
    <row r="336" spans="1:4" ht="13.5" thickBot="1" x14ac:dyDescent="0.25">
      <c r="A336" s="149" t="s">
        <v>383</v>
      </c>
      <c r="B336" s="150">
        <v>5000000</v>
      </c>
      <c r="C336" s="148">
        <v>0</v>
      </c>
      <c r="D336" s="142" t="s">
        <v>794</v>
      </c>
    </row>
    <row r="337" spans="1:4" ht="13.5" thickBot="1" x14ac:dyDescent="0.25">
      <c r="A337" s="149" t="s">
        <v>384</v>
      </c>
      <c r="B337" s="150">
        <v>5000000</v>
      </c>
      <c r="C337" s="148">
        <v>0</v>
      </c>
      <c r="D337" s="142" t="s">
        <v>794</v>
      </c>
    </row>
    <row r="338" spans="1:4" ht="13.5" thickBot="1" x14ac:dyDescent="0.25">
      <c r="A338" s="146" t="s">
        <v>385</v>
      </c>
      <c r="B338" s="147">
        <v>5000000</v>
      </c>
      <c r="C338" s="148">
        <v>0</v>
      </c>
      <c r="D338" s="142" t="s">
        <v>4</v>
      </c>
    </row>
    <row r="339" spans="1:4" ht="13.5" thickBot="1" x14ac:dyDescent="0.25">
      <c r="A339" s="149" t="s">
        <v>386</v>
      </c>
      <c r="B339" s="150">
        <v>5000000</v>
      </c>
      <c r="C339" s="148">
        <v>0</v>
      </c>
      <c r="D339" s="142" t="s">
        <v>794</v>
      </c>
    </row>
    <row r="340" spans="1:4" ht="13.5" thickBot="1" x14ac:dyDescent="0.25">
      <c r="A340" s="149" t="s">
        <v>387</v>
      </c>
      <c r="B340" s="150">
        <v>5000000</v>
      </c>
      <c r="C340" s="148">
        <v>0</v>
      </c>
      <c r="D340" s="142" t="s">
        <v>794</v>
      </c>
    </row>
    <row r="341" spans="1:4" ht="13.5" thickBot="1" x14ac:dyDescent="0.25">
      <c r="A341" s="149" t="s">
        <v>388</v>
      </c>
      <c r="B341" s="150">
        <v>5000000</v>
      </c>
      <c r="C341" s="148">
        <v>0</v>
      </c>
      <c r="D341" s="142" t="s">
        <v>794</v>
      </c>
    </row>
    <row r="342" spans="1:4" ht="13.5" thickBot="1" x14ac:dyDescent="0.25">
      <c r="A342" s="146" t="s">
        <v>389</v>
      </c>
      <c r="B342" s="147">
        <v>5000000</v>
      </c>
      <c r="C342" s="148">
        <v>0</v>
      </c>
      <c r="D342" s="142" t="s">
        <v>4</v>
      </c>
    </row>
    <row r="343" spans="1:4" ht="13.5" thickBot="1" x14ac:dyDescent="0.25">
      <c r="A343" s="149" t="s">
        <v>390</v>
      </c>
      <c r="B343" s="150">
        <v>5000000</v>
      </c>
      <c r="C343" s="148">
        <v>0</v>
      </c>
      <c r="D343" s="142" t="s">
        <v>794</v>
      </c>
    </row>
    <row r="344" spans="1:4" ht="13.5" thickBot="1" x14ac:dyDescent="0.25">
      <c r="A344" s="149" t="s">
        <v>391</v>
      </c>
      <c r="B344" s="150">
        <v>5000000</v>
      </c>
      <c r="C344" s="148">
        <v>0</v>
      </c>
      <c r="D344" s="142" t="s">
        <v>794</v>
      </c>
    </row>
    <row r="345" spans="1:4" ht="13.5" thickBot="1" x14ac:dyDescent="0.25">
      <c r="A345" s="149" t="s">
        <v>392</v>
      </c>
      <c r="B345" s="150">
        <v>5000000</v>
      </c>
      <c r="C345" s="148">
        <v>0</v>
      </c>
      <c r="D345" s="142" t="s">
        <v>794</v>
      </c>
    </row>
    <row r="346" spans="1:4" ht="13.5" thickBot="1" x14ac:dyDescent="0.25">
      <c r="A346" s="149" t="s">
        <v>393</v>
      </c>
      <c r="B346" s="150">
        <v>5000000</v>
      </c>
      <c r="C346" s="148">
        <v>0</v>
      </c>
      <c r="D346" s="142" t="s">
        <v>794</v>
      </c>
    </row>
    <row r="347" spans="1:4" ht="13.5" thickBot="1" x14ac:dyDescent="0.25">
      <c r="A347" s="149" t="s">
        <v>394</v>
      </c>
      <c r="B347" s="150">
        <v>5000000</v>
      </c>
      <c r="C347" s="148">
        <v>0</v>
      </c>
      <c r="D347" s="142" t="s">
        <v>794</v>
      </c>
    </row>
    <row r="348" spans="1:4" ht="13.5" thickBot="1" x14ac:dyDescent="0.25">
      <c r="A348" s="149" t="s">
        <v>395</v>
      </c>
      <c r="B348" s="150">
        <v>5000000</v>
      </c>
      <c r="C348" s="148">
        <v>0</v>
      </c>
      <c r="D348" s="142" t="s">
        <v>794</v>
      </c>
    </row>
    <row r="349" spans="1:4" ht="13.5" thickBot="1" x14ac:dyDescent="0.25">
      <c r="A349" s="149" t="s">
        <v>396</v>
      </c>
      <c r="B349" s="150">
        <v>5000000</v>
      </c>
      <c r="C349" s="148">
        <v>0</v>
      </c>
      <c r="D349" s="142" t="s">
        <v>794</v>
      </c>
    </row>
    <row r="350" spans="1:4" ht="13.5" thickBot="1" x14ac:dyDescent="0.25">
      <c r="A350" s="149" t="s">
        <v>397</v>
      </c>
      <c r="B350" s="150">
        <v>5000000</v>
      </c>
      <c r="C350" s="148">
        <v>0</v>
      </c>
      <c r="D350" s="142" t="s">
        <v>794</v>
      </c>
    </row>
    <row r="351" spans="1:4" ht="13.5" thickBot="1" x14ac:dyDescent="0.25">
      <c r="A351" s="149" t="s">
        <v>398</v>
      </c>
      <c r="B351" s="150">
        <v>5000000</v>
      </c>
      <c r="C351" s="148">
        <v>0</v>
      </c>
      <c r="D351" s="142" t="s">
        <v>794</v>
      </c>
    </row>
    <row r="352" spans="1:4" ht="13.5" thickBot="1" x14ac:dyDescent="0.25">
      <c r="A352" s="146" t="s">
        <v>399</v>
      </c>
      <c r="B352" s="147">
        <v>5000000</v>
      </c>
      <c r="C352" s="148">
        <v>0</v>
      </c>
      <c r="D352" s="142" t="s">
        <v>4</v>
      </c>
    </row>
    <row r="353" spans="1:4" ht="13.5" thickBot="1" x14ac:dyDescent="0.25">
      <c r="A353" s="149" t="s">
        <v>400</v>
      </c>
      <c r="B353" s="150">
        <v>5000000</v>
      </c>
      <c r="C353" s="148">
        <v>0</v>
      </c>
      <c r="D353" s="142" t="s">
        <v>794</v>
      </c>
    </row>
    <row r="354" spans="1:4" ht="13.5" thickBot="1" x14ac:dyDescent="0.25">
      <c r="A354" s="149" t="s">
        <v>401</v>
      </c>
      <c r="B354" s="150">
        <v>5000000</v>
      </c>
      <c r="C354" s="148">
        <v>0</v>
      </c>
      <c r="D354" s="142" t="s">
        <v>794</v>
      </c>
    </row>
    <row r="355" spans="1:4" ht="13.5" thickBot="1" x14ac:dyDescent="0.25">
      <c r="A355" s="146" t="s">
        <v>402</v>
      </c>
      <c r="B355" s="147">
        <v>5000000</v>
      </c>
      <c r="C355" s="148">
        <v>0</v>
      </c>
      <c r="D355" s="142" t="s">
        <v>4</v>
      </c>
    </row>
    <row r="356" spans="1:4" ht="13.5" thickBot="1" x14ac:dyDescent="0.25">
      <c r="A356" s="149" t="s">
        <v>403</v>
      </c>
      <c r="B356" s="150">
        <v>5000000</v>
      </c>
      <c r="C356" s="148">
        <v>0</v>
      </c>
      <c r="D356" s="142" t="s">
        <v>794</v>
      </c>
    </row>
    <row r="357" spans="1:4" ht="13.5" thickBot="1" x14ac:dyDescent="0.25">
      <c r="A357" s="149" t="s">
        <v>404</v>
      </c>
      <c r="B357" s="150">
        <v>5000000</v>
      </c>
      <c r="C357" s="148">
        <v>0</v>
      </c>
      <c r="D357" s="142" t="s">
        <v>794</v>
      </c>
    </row>
    <row r="358" spans="1:4" ht="13.5" thickBot="1" x14ac:dyDescent="0.25">
      <c r="A358" s="149" t="s">
        <v>405</v>
      </c>
      <c r="B358" s="150">
        <v>5000000</v>
      </c>
      <c r="C358" s="148">
        <v>0</v>
      </c>
      <c r="D358" s="142" t="s">
        <v>794</v>
      </c>
    </row>
    <row r="359" spans="1:4" ht="13.5" thickBot="1" x14ac:dyDescent="0.25">
      <c r="A359" s="149" t="s">
        <v>406</v>
      </c>
      <c r="B359" s="150">
        <v>5000000</v>
      </c>
      <c r="C359" s="148">
        <v>0</v>
      </c>
      <c r="D359" s="142" t="s">
        <v>794</v>
      </c>
    </row>
    <row r="360" spans="1:4" ht="13.5" thickBot="1" x14ac:dyDescent="0.25">
      <c r="A360" s="149" t="s">
        <v>407</v>
      </c>
      <c r="B360" s="150">
        <v>5000000</v>
      </c>
      <c r="C360" s="148">
        <v>0</v>
      </c>
      <c r="D360" s="142" t="s">
        <v>794</v>
      </c>
    </row>
    <row r="361" spans="1:4" ht="13.5" thickBot="1" x14ac:dyDescent="0.25">
      <c r="A361" s="149" t="s">
        <v>408</v>
      </c>
      <c r="B361" s="150">
        <v>5000000</v>
      </c>
      <c r="C361" s="148">
        <v>0</v>
      </c>
      <c r="D361" s="142" t="s">
        <v>794</v>
      </c>
    </row>
    <row r="362" spans="1:4" ht="13.5" thickBot="1" x14ac:dyDescent="0.25">
      <c r="A362" s="149" t="s">
        <v>409</v>
      </c>
      <c r="B362" s="150">
        <v>5000000</v>
      </c>
      <c r="C362" s="148">
        <v>0</v>
      </c>
      <c r="D362" s="142" t="s">
        <v>794</v>
      </c>
    </row>
    <row r="363" spans="1:4" ht="13.5" thickBot="1" x14ac:dyDescent="0.25">
      <c r="A363" s="149" t="s">
        <v>410</v>
      </c>
      <c r="B363" s="150">
        <v>5000000</v>
      </c>
      <c r="C363" s="148">
        <v>0</v>
      </c>
      <c r="D363" s="142" t="s">
        <v>794</v>
      </c>
    </row>
    <row r="364" spans="1:4" ht="13.5" thickBot="1" x14ac:dyDescent="0.25">
      <c r="A364" s="149" t="s">
        <v>411</v>
      </c>
      <c r="B364" s="150">
        <v>5000000</v>
      </c>
      <c r="C364" s="148">
        <v>0</v>
      </c>
      <c r="D364" s="142" t="s">
        <v>794</v>
      </c>
    </row>
    <row r="365" spans="1:4" ht="13.5" thickBot="1" x14ac:dyDescent="0.25">
      <c r="A365" s="146" t="s">
        <v>412</v>
      </c>
      <c r="B365" s="147">
        <v>5000000</v>
      </c>
      <c r="C365" s="148">
        <v>0</v>
      </c>
      <c r="D365" s="142" t="s">
        <v>4</v>
      </c>
    </row>
    <row r="366" spans="1:4" ht="42" x14ac:dyDescent="0.2">
      <c r="A366" s="144" t="s">
        <v>797</v>
      </c>
      <c r="B366" s="144"/>
      <c r="C366" s="144"/>
      <c r="D366" s="144"/>
    </row>
    <row r="367" spans="1:4" ht="33.75" thickBot="1" x14ac:dyDescent="0.25">
      <c r="A367" s="145" t="s">
        <v>798</v>
      </c>
      <c r="B367" s="145"/>
      <c r="C367" s="145"/>
      <c r="D367" s="145"/>
    </row>
    <row r="368" spans="1:4" ht="13.5" thickBot="1" x14ac:dyDescent="0.25">
      <c r="A368" s="149" t="s">
        <v>501</v>
      </c>
      <c r="B368" s="150">
        <v>364049892</v>
      </c>
      <c r="C368" s="148">
        <v>92.2</v>
      </c>
      <c r="D368" s="142" t="s">
        <v>794</v>
      </c>
    </row>
    <row r="369" spans="1:4" ht="13.5" thickBot="1" x14ac:dyDescent="0.25">
      <c r="A369" s="149" t="s">
        <v>502</v>
      </c>
      <c r="B369" s="150">
        <v>322196000</v>
      </c>
      <c r="C369" s="148">
        <v>81.599999999999994</v>
      </c>
      <c r="D369" s="142" t="s">
        <v>794</v>
      </c>
    </row>
    <row r="370" spans="1:4" ht="13.5" thickBot="1" x14ac:dyDescent="0.25">
      <c r="A370" s="149" t="s">
        <v>503</v>
      </c>
      <c r="B370" s="150">
        <v>394058343</v>
      </c>
      <c r="C370" s="148">
        <v>99.8</v>
      </c>
      <c r="D370" s="142" t="s">
        <v>794</v>
      </c>
    </row>
    <row r="371" spans="1:4" ht="13.5" thickBot="1" x14ac:dyDescent="0.25">
      <c r="A371" s="149" t="s">
        <v>504</v>
      </c>
      <c r="B371" s="150">
        <v>408403343</v>
      </c>
      <c r="C371" s="148">
        <v>99.8</v>
      </c>
      <c r="D371" s="142" t="s">
        <v>794</v>
      </c>
    </row>
    <row r="372" spans="1:4" ht="13.5" thickBot="1" x14ac:dyDescent="0.25">
      <c r="A372" s="149" t="s">
        <v>505</v>
      </c>
      <c r="B372" s="150">
        <v>338711000</v>
      </c>
      <c r="C372" s="148">
        <v>81.599999999999994</v>
      </c>
      <c r="D372" s="142" t="s">
        <v>794</v>
      </c>
    </row>
    <row r="373" spans="1:4" ht="13.5" thickBot="1" x14ac:dyDescent="0.25">
      <c r="A373" s="149" t="s">
        <v>506</v>
      </c>
      <c r="B373" s="150">
        <v>364049892</v>
      </c>
      <c r="C373" s="148">
        <v>92.2</v>
      </c>
      <c r="D373" s="142" t="s">
        <v>794</v>
      </c>
    </row>
    <row r="374" spans="1:4" ht="13.5" thickBot="1" x14ac:dyDescent="0.25">
      <c r="A374" s="149" t="s">
        <v>507</v>
      </c>
      <c r="B374" s="150">
        <v>322196000</v>
      </c>
      <c r="C374" s="148">
        <v>81.599999999999994</v>
      </c>
      <c r="D374" s="142" t="s">
        <v>794</v>
      </c>
    </row>
    <row r="375" spans="1:4" ht="13.5" thickBot="1" x14ac:dyDescent="0.25">
      <c r="A375" s="149" t="s">
        <v>508</v>
      </c>
      <c r="B375" s="150">
        <v>394058343</v>
      </c>
      <c r="C375" s="148">
        <v>99.8</v>
      </c>
      <c r="D375" s="142" t="s">
        <v>794</v>
      </c>
    </row>
    <row r="376" spans="1:4" ht="13.5" thickBot="1" x14ac:dyDescent="0.25">
      <c r="A376" s="149" t="s">
        <v>509</v>
      </c>
      <c r="B376" s="150">
        <v>399048343</v>
      </c>
      <c r="C376" s="148">
        <v>99.8</v>
      </c>
      <c r="D376" s="142" t="s">
        <v>794</v>
      </c>
    </row>
    <row r="377" spans="1:4" ht="13.5" thickBot="1" x14ac:dyDescent="0.25">
      <c r="A377" s="149" t="s">
        <v>510</v>
      </c>
      <c r="B377" s="150">
        <v>326276000</v>
      </c>
      <c r="C377" s="148">
        <v>81.599999999999994</v>
      </c>
      <c r="D377" s="142" t="s">
        <v>794</v>
      </c>
    </row>
    <row r="378" spans="1:4" ht="13.5" thickBot="1" x14ac:dyDescent="0.25">
      <c r="A378" s="149" t="s">
        <v>511</v>
      </c>
      <c r="B378" s="150">
        <v>368659892</v>
      </c>
      <c r="C378" s="148">
        <v>92.2</v>
      </c>
      <c r="D378" s="142" t="s">
        <v>794</v>
      </c>
    </row>
    <row r="379" spans="1:4" ht="13.5" thickBot="1" x14ac:dyDescent="0.25">
      <c r="A379" s="149" t="s">
        <v>512</v>
      </c>
      <c r="B379" s="150">
        <v>364049892</v>
      </c>
      <c r="C379" s="148">
        <v>92.2</v>
      </c>
      <c r="D379" s="142" t="s">
        <v>794</v>
      </c>
    </row>
    <row r="380" spans="1:4" ht="13.5" thickBot="1" x14ac:dyDescent="0.25">
      <c r="A380" s="149" t="s">
        <v>513</v>
      </c>
      <c r="B380" s="150">
        <v>322196000</v>
      </c>
      <c r="C380" s="148">
        <v>81.599999999999994</v>
      </c>
      <c r="D380" s="142" t="s">
        <v>794</v>
      </c>
    </row>
    <row r="381" spans="1:4" ht="13.5" thickBot="1" x14ac:dyDescent="0.25">
      <c r="A381" s="149" t="s">
        <v>514</v>
      </c>
      <c r="B381" s="150">
        <v>394058343</v>
      </c>
      <c r="C381" s="148">
        <v>99.8</v>
      </c>
      <c r="D381" s="142" t="s">
        <v>794</v>
      </c>
    </row>
    <row r="382" spans="1:4" ht="13.5" thickBot="1" x14ac:dyDescent="0.25">
      <c r="A382" s="149" t="s">
        <v>515</v>
      </c>
      <c r="B382" s="150">
        <v>399248343</v>
      </c>
      <c r="C382" s="148">
        <v>99.8</v>
      </c>
      <c r="D382" s="142" t="s">
        <v>794</v>
      </c>
    </row>
    <row r="383" spans="1:4" ht="13.5" thickBot="1" x14ac:dyDescent="0.25">
      <c r="A383" s="149" t="s">
        <v>516</v>
      </c>
      <c r="B383" s="150">
        <v>326476000</v>
      </c>
      <c r="C383" s="148">
        <v>81.599999999999994</v>
      </c>
      <c r="D383" s="142" t="s">
        <v>794</v>
      </c>
    </row>
    <row r="384" spans="1:4" ht="13.5" thickBot="1" x14ac:dyDescent="0.25">
      <c r="A384" s="149" t="s">
        <v>517</v>
      </c>
      <c r="B384" s="150">
        <v>368859892</v>
      </c>
      <c r="C384" s="148">
        <v>92.2</v>
      </c>
      <c r="D384" s="142" t="s">
        <v>794</v>
      </c>
    </row>
    <row r="385" spans="1:4" ht="13.5" thickBot="1" x14ac:dyDescent="0.25">
      <c r="A385" s="149" t="s">
        <v>518</v>
      </c>
      <c r="B385" s="150">
        <v>364249892</v>
      </c>
      <c r="C385" s="148">
        <v>92.2</v>
      </c>
      <c r="D385" s="142" t="s">
        <v>794</v>
      </c>
    </row>
    <row r="386" spans="1:4" ht="13.5" thickBot="1" x14ac:dyDescent="0.25">
      <c r="A386" s="149" t="s">
        <v>519</v>
      </c>
      <c r="B386" s="150">
        <v>322396000</v>
      </c>
      <c r="C386" s="148">
        <v>81.599999999999994</v>
      </c>
      <c r="D386" s="142" t="s">
        <v>794</v>
      </c>
    </row>
    <row r="387" spans="1:4" ht="13.5" thickBot="1" x14ac:dyDescent="0.25">
      <c r="A387" s="149" t="s">
        <v>520</v>
      </c>
      <c r="B387" s="150">
        <v>394258343</v>
      </c>
      <c r="C387" s="148">
        <v>99.8</v>
      </c>
      <c r="D387" s="142" t="s">
        <v>794</v>
      </c>
    </row>
    <row r="388" spans="1:4" ht="13.5" thickBot="1" x14ac:dyDescent="0.25">
      <c r="A388" s="149" t="s">
        <v>521</v>
      </c>
      <c r="B388" s="150">
        <v>399448343</v>
      </c>
      <c r="C388" s="148">
        <v>99.8</v>
      </c>
      <c r="D388" s="142" t="s">
        <v>794</v>
      </c>
    </row>
    <row r="389" spans="1:4" ht="13.5" thickBot="1" x14ac:dyDescent="0.25">
      <c r="A389" s="149" t="s">
        <v>522</v>
      </c>
      <c r="B389" s="150">
        <v>326676000</v>
      </c>
      <c r="C389" s="148">
        <v>81.599999999999994</v>
      </c>
      <c r="D389" s="142" t="s">
        <v>794</v>
      </c>
    </row>
    <row r="390" spans="1:4" ht="13.5" thickBot="1" x14ac:dyDescent="0.25">
      <c r="A390" s="149" t="s">
        <v>523</v>
      </c>
      <c r="B390" s="150">
        <v>369059892</v>
      </c>
      <c r="C390" s="148">
        <v>92.2</v>
      </c>
      <c r="D390" s="142" t="s">
        <v>794</v>
      </c>
    </row>
    <row r="391" spans="1:4" ht="13.5" thickBot="1" x14ac:dyDescent="0.25">
      <c r="A391" s="149" t="s">
        <v>524</v>
      </c>
      <c r="B391" s="150">
        <v>364449892</v>
      </c>
      <c r="C391" s="148">
        <v>92.2</v>
      </c>
      <c r="D391" s="142" t="s">
        <v>794</v>
      </c>
    </row>
    <row r="392" spans="1:4" ht="13.5" thickBot="1" x14ac:dyDescent="0.25">
      <c r="A392" s="149" t="s">
        <v>525</v>
      </c>
      <c r="B392" s="150">
        <v>322596000</v>
      </c>
      <c r="C392" s="148">
        <v>81.599999999999994</v>
      </c>
      <c r="D392" s="142" t="s">
        <v>794</v>
      </c>
    </row>
    <row r="393" spans="1:4" ht="13.5" thickBot="1" x14ac:dyDescent="0.25">
      <c r="A393" s="149" t="s">
        <v>526</v>
      </c>
      <c r="B393" s="150">
        <v>394458343</v>
      </c>
      <c r="C393" s="148">
        <v>99.8</v>
      </c>
      <c r="D393" s="142" t="s">
        <v>794</v>
      </c>
    </row>
    <row r="394" spans="1:4" ht="13.5" thickBot="1" x14ac:dyDescent="0.25">
      <c r="A394" s="149" t="s">
        <v>527</v>
      </c>
      <c r="B394" s="150">
        <v>399648343</v>
      </c>
      <c r="C394" s="148">
        <v>99.8</v>
      </c>
      <c r="D394" s="142" t="s">
        <v>794</v>
      </c>
    </row>
    <row r="395" spans="1:4" ht="13.5" thickBot="1" x14ac:dyDescent="0.25">
      <c r="A395" s="149" t="s">
        <v>528</v>
      </c>
      <c r="B395" s="150">
        <v>326876000</v>
      </c>
      <c r="C395" s="148">
        <v>81.599999999999994</v>
      </c>
      <c r="D395" s="142" t="s">
        <v>794</v>
      </c>
    </row>
    <row r="396" spans="1:4" ht="13.5" thickBot="1" x14ac:dyDescent="0.25">
      <c r="A396" s="149" t="s">
        <v>529</v>
      </c>
      <c r="B396" s="150">
        <v>369259892</v>
      </c>
      <c r="C396" s="148">
        <v>92.2</v>
      </c>
      <c r="D396" s="142" t="s">
        <v>794</v>
      </c>
    </row>
    <row r="397" spans="1:4" ht="13.5" thickBot="1" x14ac:dyDescent="0.25">
      <c r="A397" s="149" t="s">
        <v>530</v>
      </c>
      <c r="B397" s="150">
        <v>364649892</v>
      </c>
      <c r="C397" s="148">
        <v>92.2</v>
      </c>
      <c r="D397" s="142" t="s">
        <v>794</v>
      </c>
    </row>
    <row r="398" spans="1:4" ht="13.5" thickBot="1" x14ac:dyDescent="0.25">
      <c r="A398" s="146" t="s">
        <v>782</v>
      </c>
      <c r="B398" s="147">
        <v>320703777</v>
      </c>
      <c r="C398" s="148">
        <v>81.599999999999994</v>
      </c>
      <c r="D398" s="142" t="s">
        <v>4</v>
      </c>
    </row>
    <row r="399" spans="1:4" ht="13.5" thickBot="1" x14ac:dyDescent="0.25">
      <c r="A399" s="149" t="s">
        <v>531</v>
      </c>
      <c r="B399" s="150">
        <v>394658343</v>
      </c>
      <c r="C399" s="148">
        <v>99.8</v>
      </c>
      <c r="D399" s="142" t="s">
        <v>794</v>
      </c>
    </row>
    <row r="400" spans="1:4" ht="13.5" thickBot="1" x14ac:dyDescent="0.25">
      <c r="A400" s="149" t="s">
        <v>532</v>
      </c>
      <c r="B400" s="150">
        <v>399848343</v>
      </c>
      <c r="C400" s="148">
        <v>99.8</v>
      </c>
      <c r="D400" s="142" t="s">
        <v>794</v>
      </c>
    </row>
    <row r="401" spans="1:4" ht="13.5" thickBot="1" x14ac:dyDescent="0.25">
      <c r="A401" s="149" t="s">
        <v>533</v>
      </c>
      <c r="B401" s="150">
        <v>327076000</v>
      </c>
      <c r="C401" s="148">
        <v>81.599999999999994</v>
      </c>
      <c r="D401" s="142" t="s">
        <v>794</v>
      </c>
    </row>
    <row r="402" spans="1:4" ht="13.5" thickBot="1" x14ac:dyDescent="0.25">
      <c r="A402" s="149" t="s">
        <v>534</v>
      </c>
      <c r="B402" s="150">
        <v>369459892</v>
      </c>
      <c r="C402" s="148">
        <v>92.2</v>
      </c>
      <c r="D402" s="142" t="s">
        <v>794</v>
      </c>
    </row>
    <row r="403" spans="1:4" ht="13.5" thickBot="1" x14ac:dyDescent="0.25">
      <c r="A403" s="146" t="s">
        <v>783</v>
      </c>
      <c r="B403" s="147">
        <v>361315981</v>
      </c>
      <c r="C403" s="148">
        <v>92.2</v>
      </c>
      <c r="D403" s="142" t="s">
        <v>4</v>
      </c>
    </row>
    <row r="404" spans="1:4" ht="13.5" thickBot="1" x14ac:dyDescent="0.25">
      <c r="A404" s="149" t="s">
        <v>535</v>
      </c>
      <c r="B404" s="150">
        <v>322996000</v>
      </c>
      <c r="C404" s="148">
        <v>81.599999999999994</v>
      </c>
      <c r="D404" s="142" t="s">
        <v>794</v>
      </c>
    </row>
    <row r="405" spans="1:4" ht="13.5" thickBot="1" x14ac:dyDescent="0.25">
      <c r="A405" s="149" t="s">
        <v>536</v>
      </c>
      <c r="B405" s="150">
        <v>394858343</v>
      </c>
      <c r="C405" s="148">
        <v>99.8</v>
      </c>
      <c r="D405" s="142" t="s">
        <v>794</v>
      </c>
    </row>
    <row r="406" spans="1:4" ht="13.5" thickBot="1" x14ac:dyDescent="0.25">
      <c r="A406" s="149" t="s">
        <v>537</v>
      </c>
      <c r="B406" s="150">
        <v>400048343</v>
      </c>
      <c r="C406" s="148">
        <v>99.8</v>
      </c>
      <c r="D406" s="142" t="s">
        <v>794</v>
      </c>
    </row>
    <row r="407" spans="1:4" ht="13.5" thickBot="1" x14ac:dyDescent="0.25">
      <c r="A407" s="149" t="s">
        <v>538</v>
      </c>
      <c r="B407" s="150">
        <v>327276000</v>
      </c>
      <c r="C407" s="148">
        <v>81.599999999999994</v>
      </c>
      <c r="D407" s="142" t="s">
        <v>794</v>
      </c>
    </row>
    <row r="408" spans="1:4" ht="13.5" thickBot="1" x14ac:dyDescent="0.25">
      <c r="A408" s="149" t="s">
        <v>539</v>
      </c>
      <c r="B408" s="150">
        <v>369659892</v>
      </c>
      <c r="C408" s="148">
        <v>92.2</v>
      </c>
      <c r="D408" s="142" t="s">
        <v>794</v>
      </c>
    </row>
    <row r="409" spans="1:4" ht="13.5" thickBot="1" x14ac:dyDescent="0.25">
      <c r="A409" s="149" t="s">
        <v>540</v>
      </c>
      <c r="B409" s="150">
        <v>365049892</v>
      </c>
      <c r="C409" s="148">
        <v>92.2</v>
      </c>
      <c r="D409" s="142" t="s">
        <v>794</v>
      </c>
    </row>
    <row r="410" spans="1:4" ht="13.5" thickBot="1" x14ac:dyDescent="0.25">
      <c r="A410" s="149" t="s">
        <v>541</v>
      </c>
      <c r="B410" s="150">
        <v>323196000</v>
      </c>
      <c r="C410" s="148">
        <v>81.599999999999994</v>
      </c>
      <c r="D410" s="142" t="s">
        <v>794</v>
      </c>
    </row>
    <row r="411" spans="1:4" ht="13.5" thickBot="1" x14ac:dyDescent="0.25">
      <c r="A411" s="149" t="s">
        <v>542</v>
      </c>
      <c r="B411" s="150">
        <v>395058343</v>
      </c>
      <c r="C411" s="148">
        <v>99.8</v>
      </c>
      <c r="D411" s="142" t="s">
        <v>794</v>
      </c>
    </row>
    <row r="412" spans="1:4" ht="13.5" thickBot="1" x14ac:dyDescent="0.25">
      <c r="A412" s="146" t="s">
        <v>238</v>
      </c>
      <c r="B412" s="147">
        <v>400245745</v>
      </c>
      <c r="C412" s="148">
        <v>99.8</v>
      </c>
      <c r="D412" s="142" t="s">
        <v>4</v>
      </c>
    </row>
    <row r="413" spans="1:4" ht="13.5" thickBot="1" x14ac:dyDescent="0.25">
      <c r="A413" s="149" t="s">
        <v>239</v>
      </c>
      <c r="B413" s="150">
        <v>327476000</v>
      </c>
      <c r="C413" s="148">
        <v>81.599999999999994</v>
      </c>
      <c r="D413" s="142" t="s">
        <v>794</v>
      </c>
    </row>
    <row r="414" spans="1:4" ht="13.5" thickBot="1" x14ac:dyDescent="0.25">
      <c r="A414" s="149" t="s">
        <v>240</v>
      </c>
      <c r="B414" s="150">
        <v>369859892</v>
      </c>
      <c r="C414" s="148">
        <v>92.2</v>
      </c>
      <c r="D414" s="142" t="s">
        <v>794</v>
      </c>
    </row>
    <row r="415" spans="1:4" ht="13.5" thickBot="1" x14ac:dyDescent="0.25">
      <c r="A415" s="149" t="s">
        <v>241</v>
      </c>
      <c r="B415" s="150">
        <v>365249892</v>
      </c>
      <c r="C415" s="148">
        <v>92.2</v>
      </c>
      <c r="D415" s="142" t="s">
        <v>794</v>
      </c>
    </row>
    <row r="416" spans="1:4" ht="13.5" thickBot="1" x14ac:dyDescent="0.25">
      <c r="A416" s="146" t="s">
        <v>242</v>
      </c>
      <c r="B416" s="147">
        <v>319466652</v>
      </c>
      <c r="C416" s="148">
        <v>81.599999999999994</v>
      </c>
      <c r="D416" s="142" t="s">
        <v>4</v>
      </c>
    </row>
    <row r="417" spans="1:4" ht="13.5" thickBot="1" x14ac:dyDescent="0.25">
      <c r="A417" s="149" t="s">
        <v>243</v>
      </c>
      <c r="B417" s="150">
        <v>395258343</v>
      </c>
      <c r="C417" s="148">
        <v>99.8</v>
      </c>
      <c r="D417" s="142" t="s">
        <v>794</v>
      </c>
    </row>
    <row r="418" spans="1:4" ht="13.5" thickBot="1" x14ac:dyDescent="0.25">
      <c r="A418" s="149" t="s">
        <v>244</v>
      </c>
      <c r="B418" s="150">
        <v>400448343</v>
      </c>
      <c r="C418" s="148">
        <v>99.8</v>
      </c>
      <c r="D418" s="142" t="s">
        <v>794</v>
      </c>
    </row>
    <row r="419" spans="1:4" ht="13.5" thickBot="1" x14ac:dyDescent="0.25">
      <c r="A419" s="149" t="s">
        <v>417</v>
      </c>
      <c r="B419" s="150">
        <v>327676000</v>
      </c>
      <c r="C419" s="148">
        <v>81.599999999999994</v>
      </c>
      <c r="D419" s="142" t="s">
        <v>794</v>
      </c>
    </row>
    <row r="420" spans="1:4" ht="13.5" thickBot="1" x14ac:dyDescent="0.25">
      <c r="A420" s="149" t="s">
        <v>245</v>
      </c>
      <c r="B420" s="150">
        <v>370059892</v>
      </c>
      <c r="C420" s="148">
        <v>92.2</v>
      </c>
      <c r="D420" s="142" t="s">
        <v>794</v>
      </c>
    </row>
    <row r="421" spans="1:4" ht="13.5" thickBot="1" x14ac:dyDescent="0.25">
      <c r="A421" s="149" t="s">
        <v>246</v>
      </c>
      <c r="B421" s="150">
        <v>365449892</v>
      </c>
      <c r="C421" s="148">
        <v>92.2</v>
      </c>
      <c r="D421" s="142" t="s">
        <v>794</v>
      </c>
    </row>
    <row r="422" spans="1:4" ht="13.5" thickBot="1" x14ac:dyDescent="0.25">
      <c r="A422" s="149" t="s">
        <v>247</v>
      </c>
      <c r="B422" s="150">
        <v>323596000</v>
      </c>
      <c r="C422" s="148">
        <v>81.599999999999994</v>
      </c>
      <c r="D422" s="142" t="s">
        <v>794</v>
      </c>
    </row>
    <row r="423" spans="1:4" ht="13.5" thickBot="1" x14ac:dyDescent="0.25">
      <c r="A423" s="149" t="s">
        <v>248</v>
      </c>
      <c r="B423" s="150">
        <v>395458343</v>
      </c>
      <c r="C423" s="148">
        <v>99.8</v>
      </c>
      <c r="D423" s="142" t="s">
        <v>794</v>
      </c>
    </row>
    <row r="424" spans="1:4" ht="13.5" thickBot="1" x14ac:dyDescent="0.25">
      <c r="A424" s="149" t="s">
        <v>249</v>
      </c>
      <c r="B424" s="150">
        <v>400648343</v>
      </c>
      <c r="C424" s="148">
        <v>99.8</v>
      </c>
      <c r="D424" s="142" t="s">
        <v>794</v>
      </c>
    </row>
    <row r="425" spans="1:4" ht="13.5" thickBot="1" x14ac:dyDescent="0.25">
      <c r="A425" s="149" t="s">
        <v>250</v>
      </c>
      <c r="B425" s="150">
        <v>327876000</v>
      </c>
      <c r="C425" s="148">
        <v>81.599999999999994</v>
      </c>
      <c r="D425" s="142" t="s">
        <v>794</v>
      </c>
    </row>
    <row r="426" spans="1:4" ht="13.5" thickBot="1" x14ac:dyDescent="0.25">
      <c r="A426" s="149" t="s">
        <v>251</v>
      </c>
      <c r="B426" s="150">
        <v>370259892</v>
      </c>
      <c r="C426" s="148">
        <v>92.2</v>
      </c>
      <c r="D426" s="142" t="s">
        <v>794</v>
      </c>
    </row>
    <row r="427" spans="1:4" ht="13.5" thickBot="1" x14ac:dyDescent="0.25">
      <c r="A427" s="149" t="s">
        <v>252</v>
      </c>
      <c r="B427" s="150">
        <v>365649892</v>
      </c>
      <c r="C427" s="148">
        <v>92.2</v>
      </c>
      <c r="D427" s="142" t="s">
        <v>794</v>
      </c>
    </row>
    <row r="428" spans="1:4" ht="13.5" thickBot="1" x14ac:dyDescent="0.25">
      <c r="A428" s="146" t="s">
        <v>253</v>
      </c>
      <c r="B428" s="147">
        <v>323656284</v>
      </c>
      <c r="C428" s="148">
        <v>81.599999999999994</v>
      </c>
      <c r="D428" s="142" t="s">
        <v>4</v>
      </c>
    </row>
    <row r="429" spans="1:4" ht="13.5" thickBot="1" x14ac:dyDescent="0.25">
      <c r="A429" s="149" t="s">
        <v>254</v>
      </c>
      <c r="B429" s="150">
        <v>395658343</v>
      </c>
      <c r="C429" s="148">
        <v>99.8</v>
      </c>
      <c r="D429" s="142" t="s">
        <v>794</v>
      </c>
    </row>
    <row r="430" spans="1:4" ht="13.5" thickBot="1" x14ac:dyDescent="0.25">
      <c r="A430" s="149" t="s">
        <v>255</v>
      </c>
      <c r="B430" s="150">
        <v>400848343</v>
      </c>
      <c r="C430" s="148">
        <v>99.8</v>
      </c>
      <c r="D430" s="142" t="s">
        <v>794</v>
      </c>
    </row>
    <row r="431" spans="1:4" ht="13.5" thickBot="1" x14ac:dyDescent="0.25">
      <c r="A431" s="149" t="s">
        <v>256</v>
      </c>
      <c r="B431" s="150">
        <v>328076000</v>
      </c>
      <c r="C431" s="148">
        <v>81.599999999999994</v>
      </c>
      <c r="D431" s="142" t="s">
        <v>794</v>
      </c>
    </row>
    <row r="432" spans="1:4" ht="13.5" thickBot="1" x14ac:dyDescent="0.25">
      <c r="A432" s="149" t="s">
        <v>257</v>
      </c>
      <c r="B432" s="150">
        <v>370459892</v>
      </c>
      <c r="C432" s="148">
        <v>92.2</v>
      </c>
      <c r="D432" s="142" t="s">
        <v>794</v>
      </c>
    </row>
    <row r="433" spans="1:4" ht="13.5" thickBot="1" x14ac:dyDescent="0.25">
      <c r="A433" s="149" t="s">
        <v>258</v>
      </c>
      <c r="B433" s="150">
        <v>365849892</v>
      </c>
      <c r="C433" s="148">
        <v>92.2</v>
      </c>
      <c r="D433" s="142" t="s">
        <v>794</v>
      </c>
    </row>
    <row r="434" spans="1:4" ht="13.5" thickBot="1" x14ac:dyDescent="0.25">
      <c r="A434" s="149" t="s">
        <v>259</v>
      </c>
      <c r="B434" s="150">
        <v>323996000</v>
      </c>
      <c r="C434" s="148">
        <v>81.599999999999994</v>
      </c>
      <c r="D434" s="142" t="s">
        <v>794</v>
      </c>
    </row>
    <row r="435" spans="1:4" ht="13.5" thickBot="1" x14ac:dyDescent="0.25">
      <c r="A435" s="149" t="s">
        <v>260</v>
      </c>
      <c r="B435" s="150">
        <v>395858343</v>
      </c>
      <c r="C435" s="148">
        <v>99.8</v>
      </c>
      <c r="D435" s="142" t="s">
        <v>794</v>
      </c>
    </row>
    <row r="436" spans="1:4" ht="13.5" thickBot="1" x14ac:dyDescent="0.25">
      <c r="A436" s="149" t="s">
        <v>261</v>
      </c>
      <c r="B436" s="150">
        <v>401048343</v>
      </c>
      <c r="C436" s="148">
        <v>99.8</v>
      </c>
      <c r="D436" s="142" t="s">
        <v>794</v>
      </c>
    </row>
    <row r="437" spans="1:4" ht="13.5" thickBot="1" x14ac:dyDescent="0.25">
      <c r="A437" s="149" t="s">
        <v>262</v>
      </c>
      <c r="B437" s="150">
        <v>328276000</v>
      </c>
      <c r="C437" s="148">
        <v>81.599999999999994</v>
      </c>
      <c r="D437" s="142" t="s">
        <v>794</v>
      </c>
    </row>
    <row r="438" spans="1:4" ht="13.5" thickBot="1" x14ac:dyDescent="0.25">
      <c r="A438" s="149" t="s">
        <v>263</v>
      </c>
      <c r="B438" s="150">
        <v>370659892</v>
      </c>
      <c r="C438" s="148">
        <v>92.2</v>
      </c>
      <c r="D438" s="142" t="s">
        <v>794</v>
      </c>
    </row>
    <row r="439" spans="1:4" ht="13.5" thickBot="1" x14ac:dyDescent="0.25">
      <c r="A439" s="149" t="s">
        <v>264</v>
      </c>
      <c r="B439" s="150">
        <v>366049892</v>
      </c>
      <c r="C439" s="148">
        <v>92.2</v>
      </c>
      <c r="D439" s="142" t="s">
        <v>794</v>
      </c>
    </row>
    <row r="440" spans="1:4" ht="13.5" thickBot="1" x14ac:dyDescent="0.25">
      <c r="A440" s="149" t="s">
        <v>265</v>
      </c>
      <c r="B440" s="150">
        <v>324196000</v>
      </c>
      <c r="C440" s="148">
        <v>81.599999999999994</v>
      </c>
      <c r="D440" s="142" t="s">
        <v>794</v>
      </c>
    </row>
    <row r="441" spans="1:4" ht="13.5" thickBot="1" x14ac:dyDescent="0.25">
      <c r="A441" s="149" t="s">
        <v>266</v>
      </c>
      <c r="B441" s="150">
        <v>396058343</v>
      </c>
      <c r="C441" s="148">
        <v>99.8</v>
      </c>
      <c r="D441" s="142" t="s">
        <v>794</v>
      </c>
    </row>
    <row r="442" spans="1:4" ht="13.5" thickBot="1" x14ac:dyDescent="0.25">
      <c r="A442" s="149" t="s">
        <v>418</v>
      </c>
      <c r="B442" s="150">
        <v>401248343</v>
      </c>
      <c r="C442" s="148">
        <v>99.8</v>
      </c>
      <c r="D442" s="142" t="s">
        <v>794</v>
      </c>
    </row>
    <row r="443" spans="1:4" ht="13.5" thickBot="1" x14ac:dyDescent="0.25">
      <c r="A443" s="149" t="s">
        <v>267</v>
      </c>
      <c r="B443" s="150">
        <v>328476000</v>
      </c>
      <c r="C443" s="148">
        <v>81.599999999999994</v>
      </c>
      <c r="D443" s="142" t="s">
        <v>794</v>
      </c>
    </row>
    <row r="444" spans="1:4" ht="13.5" thickBot="1" x14ac:dyDescent="0.25">
      <c r="A444" s="149" t="s">
        <v>268</v>
      </c>
      <c r="B444" s="150">
        <v>370859892</v>
      </c>
      <c r="C444" s="148">
        <v>92.2</v>
      </c>
      <c r="D444" s="142" t="s">
        <v>794</v>
      </c>
    </row>
    <row r="445" spans="1:4" ht="13.5" thickBot="1" x14ac:dyDescent="0.25">
      <c r="A445" s="149" t="s">
        <v>269</v>
      </c>
      <c r="B445" s="150">
        <v>366249892</v>
      </c>
      <c r="C445" s="148">
        <v>92.2</v>
      </c>
      <c r="D445" s="142" t="s">
        <v>794</v>
      </c>
    </row>
    <row r="446" spans="1:4" ht="13.5" thickBot="1" x14ac:dyDescent="0.25">
      <c r="A446" s="146" t="s">
        <v>270</v>
      </c>
      <c r="B446" s="147">
        <v>322591256</v>
      </c>
      <c r="C446" s="148">
        <v>81.599999999999994</v>
      </c>
      <c r="D446" s="142" t="s">
        <v>4</v>
      </c>
    </row>
    <row r="447" spans="1:4" ht="13.5" thickBot="1" x14ac:dyDescent="0.25">
      <c r="A447" s="149" t="s">
        <v>271</v>
      </c>
      <c r="B447" s="150">
        <v>396258343</v>
      </c>
      <c r="C447" s="148">
        <v>99.8</v>
      </c>
      <c r="D447" s="142" t="s">
        <v>794</v>
      </c>
    </row>
    <row r="448" spans="1:4" ht="13.5" thickBot="1" x14ac:dyDescent="0.25">
      <c r="A448" s="149" t="s">
        <v>419</v>
      </c>
      <c r="B448" s="150">
        <v>401448343</v>
      </c>
      <c r="C448" s="148">
        <v>99.8</v>
      </c>
      <c r="D448" s="142" t="s">
        <v>794</v>
      </c>
    </row>
    <row r="449" spans="1:4" ht="13.5" thickBot="1" x14ac:dyDescent="0.25">
      <c r="A449" s="149" t="s">
        <v>272</v>
      </c>
      <c r="B449" s="150">
        <v>328676000</v>
      </c>
      <c r="C449" s="148">
        <v>81.599999999999994</v>
      </c>
      <c r="D449" s="142" t="s">
        <v>794</v>
      </c>
    </row>
    <row r="450" spans="1:4" ht="13.5" thickBot="1" x14ac:dyDescent="0.25">
      <c r="A450" s="149" t="s">
        <v>273</v>
      </c>
      <c r="B450" s="150">
        <v>371059892</v>
      </c>
      <c r="C450" s="148">
        <v>92.2</v>
      </c>
      <c r="D450" s="142" t="s">
        <v>794</v>
      </c>
    </row>
    <row r="451" spans="1:4" ht="13.5" thickBot="1" x14ac:dyDescent="0.25">
      <c r="A451" s="149" t="s">
        <v>274</v>
      </c>
      <c r="B451" s="150">
        <v>366449892</v>
      </c>
      <c r="C451" s="148">
        <v>92.2</v>
      </c>
      <c r="D451" s="142" t="s">
        <v>794</v>
      </c>
    </row>
    <row r="452" spans="1:4" ht="13.5" thickBot="1" x14ac:dyDescent="0.25">
      <c r="A452" s="146" t="s">
        <v>275</v>
      </c>
      <c r="B452" s="147">
        <v>323716343</v>
      </c>
      <c r="C452" s="148">
        <v>81.599999999999994</v>
      </c>
      <c r="D452" s="142" t="s">
        <v>4</v>
      </c>
    </row>
    <row r="453" spans="1:4" ht="13.5" thickBot="1" x14ac:dyDescent="0.25">
      <c r="A453" s="149" t="s">
        <v>276</v>
      </c>
      <c r="B453" s="150">
        <v>396458343</v>
      </c>
      <c r="C453" s="148">
        <v>99.8</v>
      </c>
      <c r="D453" s="142" t="s">
        <v>794</v>
      </c>
    </row>
    <row r="454" spans="1:4" ht="13.5" thickBot="1" x14ac:dyDescent="0.25">
      <c r="A454" s="146" t="s">
        <v>277</v>
      </c>
      <c r="B454" s="147">
        <v>385947742</v>
      </c>
      <c r="C454" s="148">
        <v>99.8</v>
      </c>
      <c r="D454" s="142" t="s">
        <v>4</v>
      </c>
    </row>
    <row r="455" spans="1:4" ht="13.5" thickBot="1" x14ac:dyDescent="0.25">
      <c r="A455" s="149" t="s">
        <v>278</v>
      </c>
      <c r="B455" s="150">
        <v>328876000</v>
      </c>
      <c r="C455" s="148">
        <v>81.599999999999994</v>
      </c>
      <c r="D455" s="142" t="s">
        <v>794</v>
      </c>
    </row>
    <row r="456" spans="1:4" ht="13.5" thickBot="1" x14ac:dyDescent="0.25">
      <c r="A456" s="149" t="s">
        <v>279</v>
      </c>
      <c r="B456" s="150">
        <v>371259892</v>
      </c>
      <c r="C456" s="148">
        <v>92.2</v>
      </c>
      <c r="D456" s="142" t="s">
        <v>794</v>
      </c>
    </row>
    <row r="457" spans="1:4" ht="13.5" thickBot="1" x14ac:dyDescent="0.25">
      <c r="A457" s="149" t="s">
        <v>280</v>
      </c>
      <c r="B457" s="150">
        <v>366649892</v>
      </c>
      <c r="C457" s="148">
        <v>92.2</v>
      </c>
      <c r="D457" s="142" t="s">
        <v>794</v>
      </c>
    </row>
    <row r="458" spans="1:4" ht="13.5" thickBot="1" x14ac:dyDescent="0.25">
      <c r="A458" s="149" t="s">
        <v>281</v>
      </c>
      <c r="B458" s="150">
        <v>324796000</v>
      </c>
      <c r="C458" s="148">
        <v>81.599999999999994</v>
      </c>
      <c r="D458" s="142" t="s">
        <v>794</v>
      </c>
    </row>
    <row r="459" spans="1:4" ht="13.5" thickBot="1" x14ac:dyDescent="0.25">
      <c r="A459" s="149" t="s">
        <v>282</v>
      </c>
      <c r="B459" s="150">
        <v>396658343</v>
      </c>
      <c r="C459" s="148">
        <v>99.8</v>
      </c>
      <c r="D459" s="142" t="s">
        <v>794</v>
      </c>
    </row>
    <row r="460" spans="1:4" ht="13.5" thickBot="1" x14ac:dyDescent="0.25">
      <c r="A460" s="149" t="s">
        <v>283</v>
      </c>
      <c r="B460" s="150">
        <v>401848343</v>
      </c>
      <c r="C460" s="148">
        <v>99.8</v>
      </c>
      <c r="D460" s="142" t="s">
        <v>794</v>
      </c>
    </row>
    <row r="461" spans="1:4" ht="13.5" thickBot="1" x14ac:dyDescent="0.25">
      <c r="A461" s="149" t="s">
        <v>284</v>
      </c>
      <c r="B461" s="150">
        <v>329076000</v>
      </c>
      <c r="C461" s="148">
        <v>81.599999999999994</v>
      </c>
      <c r="D461" s="142" t="s">
        <v>794</v>
      </c>
    </row>
    <row r="462" spans="1:4" ht="13.5" thickBot="1" x14ac:dyDescent="0.25">
      <c r="A462" s="149" t="s">
        <v>285</v>
      </c>
      <c r="B462" s="150">
        <v>371459892</v>
      </c>
      <c r="C462" s="148">
        <v>92.2</v>
      </c>
      <c r="D462" s="142" t="s">
        <v>794</v>
      </c>
    </row>
    <row r="463" spans="1:4" ht="13.5" thickBot="1" x14ac:dyDescent="0.25">
      <c r="A463" s="149" t="s">
        <v>286</v>
      </c>
      <c r="B463" s="150">
        <v>366849892</v>
      </c>
      <c r="C463" s="148">
        <v>92.2</v>
      </c>
      <c r="D463" s="142" t="s">
        <v>794</v>
      </c>
    </row>
    <row r="464" spans="1:4" ht="13.5" thickBot="1" x14ac:dyDescent="0.25">
      <c r="A464" s="149" t="s">
        <v>287</v>
      </c>
      <c r="B464" s="150">
        <v>324996000</v>
      </c>
      <c r="C464" s="148">
        <v>81.599999999999994</v>
      </c>
      <c r="D464" s="142" t="s">
        <v>794</v>
      </c>
    </row>
    <row r="465" spans="1:4" ht="13.5" thickBot="1" x14ac:dyDescent="0.25">
      <c r="A465" s="149" t="s">
        <v>288</v>
      </c>
      <c r="B465" s="150">
        <v>396858343</v>
      </c>
      <c r="C465" s="148">
        <v>99.8</v>
      </c>
      <c r="D465" s="142" t="s">
        <v>794</v>
      </c>
    </row>
    <row r="466" spans="1:4" ht="13.5" thickBot="1" x14ac:dyDescent="0.25">
      <c r="A466" s="149" t="s">
        <v>289</v>
      </c>
      <c r="B466" s="150">
        <v>402048343</v>
      </c>
      <c r="C466" s="148">
        <v>99.8</v>
      </c>
      <c r="D466" s="142" t="s">
        <v>794</v>
      </c>
    </row>
    <row r="467" spans="1:4" ht="13.5" thickBot="1" x14ac:dyDescent="0.25">
      <c r="A467" s="149" t="s">
        <v>290</v>
      </c>
      <c r="B467" s="150">
        <v>329276000</v>
      </c>
      <c r="C467" s="148">
        <v>81.599999999999994</v>
      </c>
      <c r="D467" s="142" t="s">
        <v>794</v>
      </c>
    </row>
    <row r="468" spans="1:4" ht="13.5" thickBot="1" x14ac:dyDescent="0.25">
      <c r="A468" s="149" t="s">
        <v>291</v>
      </c>
      <c r="B468" s="150">
        <v>371659892</v>
      </c>
      <c r="C468" s="148">
        <v>92.2</v>
      </c>
      <c r="D468" s="142" t="s">
        <v>794</v>
      </c>
    </row>
    <row r="469" spans="1:4" ht="13.5" thickBot="1" x14ac:dyDescent="0.25">
      <c r="A469" s="149" t="s">
        <v>292</v>
      </c>
      <c r="B469" s="150">
        <v>367049892</v>
      </c>
      <c r="C469" s="148">
        <v>92.2</v>
      </c>
      <c r="D469" s="142" t="s">
        <v>794</v>
      </c>
    </row>
    <row r="470" spans="1:4" ht="13.5" thickBot="1" x14ac:dyDescent="0.25">
      <c r="A470" s="149" t="s">
        <v>293</v>
      </c>
      <c r="B470" s="150">
        <v>325196000</v>
      </c>
      <c r="C470" s="148">
        <v>81.599999999999994</v>
      </c>
      <c r="D470" s="142" t="s">
        <v>794</v>
      </c>
    </row>
    <row r="471" spans="1:4" ht="13.5" thickBot="1" x14ac:dyDescent="0.25">
      <c r="A471" s="149" t="s">
        <v>420</v>
      </c>
      <c r="B471" s="150">
        <v>397058343</v>
      </c>
      <c r="C471" s="148">
        <v>99.8</v>
      </c>
      <c r="D471" s="142" t="s">
        <v>794</v>
      </c>
    </row>
    <row r="472" spans="1:4" ht="13.5" thickBot="1" x14ac:dyDescent="0.25">
      <c r="A472" s="149" t="s">
        <v>295</v>
      </c>
      <c r="B472" s="150">
        <v>329476000</v>
      </c>
      <c r="C472" s="148">
        <v>81.599999999999994</v>
      </c>
      <c r="D472" s="142" t="s">
        <v>794</v>
      </c>
    </row>
    <row r="473" spans="1:4" ht="13.5" thickBot="1" x14ac:dyDescent="0.25">
      <c r="A473" s="149" t="s">
        <v>421</v>
      </c>
      <c r="B473" s="150">
        <v>371859892</v>
      </c>
      <c r="C473" s="148">
        <v>92.2</v>
      </c>
      <c r="D473" s="142" t="s">
        <v>794</v>
      </c>
    </row>
    <row r="474" spans="1:4" ht="13.5" thickBot="1" x14ac:dyDescent="0.25">
      <c r="A474" s="149" t="s">
        <v>296</v>
      </c>
      <c r="B474" s="150">
        <v>367249892</v>
      </c>
      <c r="C474" s="148">
        <v>92.2</v>
      </c>
      <c r="D474" s="142" t="s">
        <v>794</v>
      </c>
    </row>
    <row r="475" spans="1:4" ht="13.5" thickBot="1" x14ac:dyDescent="0.25">
      <c r="A475" s="149" t="s">
        <v>422</v>
      </c>
      <c r="B475" s="150">
        <v>325396000</v>
      </c>
      <c r="C475" s="148">
        <v>81.599999999999994</v>
      </c>
      <c r="D475" s="142" t="s">
        <v>794</v>
      </c>
    </row>
    <row r="476" spans="1:4" ht="13.5" thickBot="1" x14ac:dyDescent="0.25">
      <c r="A476" s="149" t="s">
        <v>298</v>
      </c>
      <c r="B476" s="150">
        <v>329676000</v>
      </c>
      <c r="C476" s="148">
        <v>81.599999999999994</v>
      </c>
      <c r="D476" s="142" t="s">
        <v>794</v>
      </c>
    </row>
    <row r="477" spans="1:4" ht="13.5" thickBot="1" x14ac:dyDescent="0.25">
      <c r="A477" s="149" t="s">
        <v>299</v>
      </c>
      <c r="B477" s="150">
        <v>372059892</v>
      </c>
      <c r="C477" s="148">
        <v>92.2</v>
      </c>
      <c r="D477" s="142" t="s">
        <v>794</v>
      </c>
    </row>
    <row r="478" spans="1:4" ht="13.5" thickBot="1" x14ac:dyDescent="0.25">
      <c r="A478" s="149" t="s">
        <v>300</v>
      </c>
      <c r="B478" s="150">
        <v>367449892</v>
      </c>
      <c r="C478" s="148">
        <v>92.2</v>
      </c>
      <c r="D478" s="142" t="s">
        <v>794</v>
      </c>
    </row>
    <row r="479" spans="1:4" ht="13.5" thickBot="1" x14ac:dyDescent="0.25">
      <c r="A479" s="149" t="s">
        <v>301</v>
      </c>
      <c r="B479" s="150">
        <v>325596000</v>
      </c>
      <c r="C479" s="148">
        <v>81.599999999999994</v>
      </c>
      <c r="D479" s="142" t="s">
        <v>794</v>
      </c>
    </row>
    <row r="480" spans="1:4" ht="33.75" thickBot="1" x14ac:dyDescent="0.25">
      <c r="A480" s="145" t="s">
        <v>795</v>
      </c>
      <c r="B480" s="145"/>
      <c r="C480" s="145"/>
      <c r="D480" s="145"/>
    </row>
    <row r="481" spans="1:4" ht="13.5" thickBot="1" x14ac:dyDescent="0.25">
      <c r="A481" s="146" t="s">
        <v>784</v>
      </c>
      <c r="B481" s="147">
        <v>30000000</v>
      </c>
      <c r="C481" s="148">
        <v>0</v>
      </c>
      <c r="D481" s="142" t="s">
        <v>4</v>
      </c>
    </row>
    <row r="482" spans="1:4" ht="13.5" thickBot="1" x14ac:dyDescent="0.25">
      <c r="A482" s="149" t="s">
        <v>543</v>
      </c>
      <c r="B482" s="150">
        <v>30000000</v>
      </c>
      <c r="C482" s="148">
        <v>0</v>
      </c>
      <c r="D482" s="142" t="s">
        <v>794</v>
      </c>
    </row>
    <row r="483" spans="1:4" ht="13.5" thickBot="1" x14ac:dyDescent="0.25">
      <c r="A483" s="149" t="s">
        <v>544</v>
      </c>
      <c r="B483" s="150">
        <v>30000000</v>
      </c>
      <c r="C483" s="148">
        <v>0</v>
      </c>
      <c r="D483" s="142" t="s">
        <v>794</v>
      </c>
    </row>
    <row r="484" spans="1:4" ht="13.5" thickBot="1" x14ac:dyDescent="0.25">
      <c r="A484" s="149" t="s">
        <v>545</v>
      </c>
      <c r="B484" s="150">
        <v>30000000</v>
      </c>
      <c r="C484" s="148">
        <v>0</v>
      </c>
      <c r="D484" s="142" t="s">
        <v>794</v>
      </c>
    </row>
    <row r="485" spans="1:4" ht="13.5" thickBot="1" x14ac:dyDescent="0.25">
      <c r="A485" s="149" t="s">
        <v>546</v>
      </c>
      <c r="B485" s="150">
        <v>30000000</v>
      </c>
      <c r="C485" s="148">
        <v>0</v>
      </c>
      <c r="D485" s="142" t="s">
        <v>794</v>
      </c>
    </row>
    <row r="486" spans="1:4" ht="13.5" thickBot="1" x14ac:dyDescent="0.25">
      <c r="A486" s="146" t="s">
        <v>785</v>
      </c>
      <c r="B486" s="147">
        <v>30000000</v>
      </c>
      <c r="C486" s="148">
        <v>0</v>
      </c>
      <c r="D486" s="142" t="s">
        <v>4</v>
      </c>
    </row>
    <row r="487" spans="1:4" ht="13.5" thickBot="1" x14ac:dyDescent="0.25">
      <c r="A487" s="149" t="s">
        <v>547</v>
      </c>
      <c r="B487" s="150">
        <v>30000000</v>
      </c>
      <c r="C487" s="148">
        <v>0</v>
      </c>
      <c r="D487" s="142" t="s">
        <v>794</v>
      </c>
    </row>
    <row r="488" spans="1:4" ht="13.5" thickBot="1" x14ac:dyDescent="0.25">
      <c r="A488" s="149" t="s">
        <v>548</v>
      </c>
      <c r="B488" s="150">
        <v>30000000</v>
      </c>
      <c r="C488" s="148">
        <v>0</v>
      </c>
      <c r="D488" s="142" t="s">
        <v>794</v>
      </c>
    </row>
    <row r="489" spans="1:4" ht="13.5" thickBot="1" x14ac:dyDescent="0.25">
      <c r="A489" s="149" t="s">
        <v>549</v>
      </c>
      <c r="B489" s="150">
        <v>30000000</v>
      </c>
      <c r="C489" s="148">
        <v>0</v>
      </c>
      <c r="D489" s="142" t="s">
        <v>794</v>
      </c>
    </row>
    <row r="490" spans="1:4" ht="13.5" thickBot="1" x14ac:dyDescent="0.25">
      <c r="A490" s="149" t="s">
        <v>550</v>
      </c>
      <c r="B490" s="150">
        <v>30000000</v>
      </c>
      <c r="C490" s="148">
        <v>0</v>
      </c>
      <c r="D490" s="142" t="s">
        <v>794</v>
      </c>
    </row>
    <row r="491" spans="1:4" ht="13.5" thickBot="1" x14ac:dyDescent="0.25">
      <c r="A491" s="149" t="s">
        <v>551</v>
      </c>
      <c r="B491" s="150">
        <v>30000000</v>
      </c>
      <c r="C491" s="148">
        <v>0</v>
      </c>
      <c r="D491" s="142" t="s">
        <v>794</v>
      </c>
    </row>
    <row r="492" spans="1:4" ht="13.5" thickBot="1" x14ac:dyDescent="0.25">
      <c r="A492" s="149" t="s">
        <v>552</v>
      </c>
      <c r="B492" s="150">
        <v>30000000</v>
      </c>
      <c r="C492" s="148">
        <v>0</v>
      </c>
      <c r="D492" s="142" t="s">
        <v>794</v>
      </c>
    </row>
    <row r="493" spans="1:4" ht="13.5" thickBot="1" x14ac:dyDescent="0.25">
      <c r="A493" s="149" t="s">
        <v>553</v>
      </c>
      <c r="B493" s="150">
        <v>30000000</v>
      </c>
      <c r="C493" s="148">
        <v>0</v>
      </c>
      <c r="D493" s="142" t="s">
        <v>794</v>
      </c>
    </row>
    <row r="494" spans="1:4" ht="13.5" thickBot="1" x14ac:dyDescent="0.25">
      <c r="A494" s="149" t="s">
        <v>554</v>
      </c>
      <c r="B494" s="150">
        <v>30000000</v>
      </c>
      <c r="C494" s="148">
        <v>0</v>
      </c>
      <c r="D494" s="142" t="s">
        <v>794</v>
      </c>
    </row>
    <row r="495" spans="1:4" ht="13.5" thickBot="1" x14ac:dyDescent="0.25">
      <c r="A495" s="149" t="s">
        <v>555</v>
      </c>
      <c r="B495" s="150">
        <v>30000000</v>
      </c>
      <c r="C495" s="148">
        <v>0</v>
      </c>
      <c r="D495" s="142" t="s">
        <v>794</v>
      </c>
    </row>
    <row r="496" spans="1:4" ht="13.5" thickBot="1" x14ac:dyDescent="0.25">
      <c r="A496" s="149" t="s">
        <v>556</v>
      </c>
      <c r="B496" s="150">
        <v>30000000</v>
      </c>
      <c r="C496" s="148">
        <v>0</v>
      </c>
      <c r="D496" s="142" t="s">
        <v>794</v>
      </c>
    </row>
    <row r="497" spans="1:4" ht="13.5" thickBot="1" x14ac:dyDescent="0.25">
      <c r="A497" s="149" t="s">
        <v>557</v>
      </c>
      <c r="B497" s="150">
        <v>30000000</v>
      </c>
      <c r="C497" s="148">
        <v>0</v>
      </c>
      <c r="D497" s="142" t="s">
        <v>794</v>
      </c>
    </row>
    <row r="498" spans="1:4" ht="13.5" thickBot="1" x14ac:dyDescent="0.25">
      <c r="A498" s="149" t="s">
        <v>558</v>
      </c>
      <c r="B498" s="150">
        <v>30000000</v>
      </c>
      <c r="C498" s="148">
        <v>0</v>
      </c>
      <c r="D498" s="142" t="s">
        <v>794</v>
      </c>
    </row>
    <row r="499" spans="1:4" ht="13.5" thickBot="1" x14ac:dyDescent="0.25">
      <c r="A499" s="149" t="s">
        <v>559</v>
      </c>
      <c r="B499" s="150">
        <v>30000000</v>
      </c>
      <c r="C499" s="148">
        <v>0</v>
      </c>
      <c r="D499" s="142" t="s">
        <v>794</v>
      </c>
    </row>
    <row r="500" spans="1:4" ht="13.5" thickBot="1" x14ac:dyDescent="0.25">
      <c r="A500" s="149" t="s">
        <v>560</v>
      </c>
      <c r="B500" s="150">
        <v>30000000</v>
      </c>
      <c r="C500" s="148">
        <v>0</v>
      </c>
      <c r="D500" s="142" t="s">
        <v>794</v>
      </c>
    </row>
    <row r="501" spans="1:4" ht="13.5" thickBot="1" x14ac:dyDescent="0.25">
      <c r="A501" s="149" t="s">
        <v>561</v>
      </c>
      <c r="B501" s="150">
        <v>30000000</v>
      </c>
      <c r="C501" s="148">
        <v>0</v>
      </c>
      <c r="D501" s="142" t="s">
        <v>794</v>
      </c>
    </row>
    <row r="502" spans="1:4" ht="13.5" thickBot="1" x14ac:dyDescent="0.25">
      <c r="A502" s="149" t="s">
        <v>562</v>
      </c>
      <c r="B502" s="150">
        <v>30000000</v>
      </c>
      <c r="C502" s="148">
        <v>0</v>
      </c>
      <c r="D502" s="142" t="s">
        <v>794</v>
      </c>
    </row>
    <row r="503" spans="1:4" ht="13.5" thickBot="1" x14ac:dyDescent="0.25">
      <c r="A503" s="149" t="s">
        <v>563</v>
      </c>
      <c r="B503" s="150">
        <v>30000000</v>
      </c>
      <c r="C503" s="148">
        <v>0</v>
      </c>
      <c r="D503" s="142" t="s">
        <v>794</v>
      </c>
    </row>
    <row r="504" spans="1:4" ht="13.5" thickBot="1" x14ac:dyDescent="0.25">
      <c r="A504" s="149" t="s">
        <v>564</v>
      </c>
      <c r="B504" s="150">
        <v>30000000</v>
      </c>
      <c r="C504" s="148">
        <v>0</v>
      </c>
      <c r="D504" s="142" t="s">
        <v>794</v>
      </c>
    </row>
    <row r="505" spans="1:4" ht="13.5" thickBot="1" x14ac:dyDescent="0.25">
      <c r="A505" s="149" t="s">
        <v>565</v>
      </c>
      <c r="B505" s="150">
        <v>30000000</v>
      </c>
      <c r="C505" s="148">
        <v>0</v>
      </c>
      <c r="D505" s="142" t="s">
        <v>794</v>
      </c>
    </row>
    <row r="506" spans="1:4" ht="13.5" thickBot="1" x14ac:dyDescent="0.25">
      <c r="A506" s="149" t="s">
        <v>566</v>
      </c>
      <c r="B506" s="150">
        <v>30000000</v>
      </c>
      <c r="C506" s="148">
        <v>0</v>
      </c>
      <c r="D506" s="142" t="s">
        <v>794</v>
      </c>
    </row>
    <row r="507" spans="1:4" ht="13.5" thickBot="1" x14ac:dyDescent="0.25">
      <c r="A507" s="149" t="s">
        <v>567</v>
      </c>
      <c r="B507" s="150">
        <v>30000000</v>
      </c>
      <c r="C507" s="148">
        <v>0</v>
      </c>
      <c r="D507" s="142" t="s">
        <v>794</v>
      </c>
    </row>
    <row r="508" spans="1:4" ht="13.5" thickBot="1" x14ac:dyDescent="0.25">
      <c r="A508" s="149" t="s">
        <v>568</v>
      </c>
      <c r="B508" s="150">
        <v>30000000</v>
      </c>
      <c r="C508" s="148">
        <v>0</v>
      </c>
      <c r="D508" s="142" t="s">
        <v>794</v>
      </c>
    </row>
    <row r="509" spans="1:4" ht="13.5" thickBot="1" x14ac:dyDescent="0.25">
      <c r="A509" s="149" t="s">
        <v>569</v>
      </c>
      <c r="B509" s="150">
        <v>30000000</v>
      </c>
      <c r="C509" s="148">
        <v>0</v>
      </c>
      <c r="D509" s="142" t="s">
        <v>794</v>
      </c>
    </row>
    <row r="510" spans="1:4" ht="13.5" thickBot="1" x14ac:dyDescent="0.25">
      <c r="A510" s="149" t="s">
        <v>570</v>
      </c>
      <c r="B510" s="150">
        <v>30000000</v>
      </c>
      <c r="C510" s="148">
        <v>0</v>
      </c>
      <c r="D510" s="142" t="s">
        <v>794</v>
      </c>
    </row>
    <row r="511" spans="1:4" ht="13.5" thickBot="1" x14ac:dyDescent="0.25">
      <c r="A511" s="149" t="s">
        <v>571</v>
      </c>
      <c r="B511" s="150">
        <v>30000000</v>
      </c>
      <c r="C511" s="148">
        <v>0</v>
      </c>
      <c r="D511" s="142" t="s">
        <v>794</v>
      </c>
    </row>
    <row r="512" spans="1:4" ht="13.5" thickBot="1" x14ac:dyDescent="0.25">
      <c r="A512" s="149" t="s">
        <v>572</v>
      </c>
      <c r="B512" s="150">
        <v>20000000</v>
      </c>
      <c r="C512" s="148">
        <v>0</v>
      </c>
      <c r="D512" s="142" t="s">
        <v>794</v>
      </c>
    </row>
    <row r="513" spans="1:4" ht="13.5" thickBot="1" x14ac:dyDescent="0.25">
      <c r="A513" s="149" t="s">
        <v>573</v>
      </c>
      <c r="B513" s="150">
        <v>20000000</v>
      </c>
      <c r="C513" s="148">
        <v>0</v>
      </c>
      <c r="D513" s="142" t="s">
        <v>794</v>
      </c>
    </row>
    <row r="514" spans="1:4" ht="13.5" thickBot="1" x14ac:dyDescent="0.25">
      <c r="A514" s="149" t="s">
        <v>574</v>
      </c>
      <c r="B514" s="150">
        <v>20000000</v>
      </c>
      <c r="C514" s="148">
        <v>0</v>
      </c>
      <c r="D514" s="142" t="s">
        <v>794</v>
      </c>
    </row>
    <row r="515" spans="1:4" ht="13.5" thickBot="1" x14ac:dyDescent="0.25">
      <c r="A515" s="149" t="s">
        <v>575</v>
      </c>
      <c r="B515" s="150">
        <v>20000000</v>
      </c>
      <c r="C515" s="148">
        <v>0</v>
      </c>
      <c r="D515" s="142" t="s">
        <v>794</v>
      </c>
    </row>
    <row r="516" spans="1:4" ht="13.5" thickBot="1" x14ac:dyDescent="0.25">
      <c r="A516" s="149" t="s">
        <v>576</v>
      </c>
      <c r="B516" s="150">
        <v>20000000</v>
      </c>
      <c r="C516" s="148">
        <v>0</v>
      </c>
      <c r="D516" s="142" t="s">
        <v>794</v>
      </c>
    </row>
    <row r="517" spans="1:4" ht="13.5" thickBot="1" x14ac:dyDescent="0.25">
      <c r="A517" s="149" t="s">
        <v>577</v>
      </c>
      <c r="B517" s="150">
        <v>20000000</v>
      </c>
      <c r="C517" s="148">
        <v>0</v>
      </c>
      <c r="D517" s="142" t="s">
        <v>794</v>
      </c>
    </row>
    <row r="518" spans="1:4" ht="13.5" thickBot="1" x14ac:dyDescent="0.25">
      <c r="A518" s="149" t="s">
        <v>578</v>
      </c>
      <c r="B518" s="150">
        <v>20000000</v>
      </c>
      <c r="C518" s="148">
        <v>0</v>
      </c>
      <c r="D518" s="142" t="s">
        <v>794</v>
      </c>
    </row>
    <row r="519" spans="1:4" ht="13.5" thickBot="1" x14ac:dyDescent="0.25">
      <c r="A519" s="149" t="s">
        <v>579</v>
      </c>
      <c r="B519" s="150">
        <v>20000000</v>
      </c>
      <c r="C519" s="148">
        <v>0</v>
      </c>
      <c r="D519" s="142" t="s">
        <v>794</v>
      </c>
    </row>
    <row r="520" spans="1:4" ht="13.5" thickBot="1" x14ac:dyDescent="0.25">
      <c r="A520" s="149" t="s">
        <v>580</v>
      </c>
      <c r="B520" s="150">
        <v>20000000</v>
      </c>
      <c r="C520" s="148">
        <v>0</v>
      </c>
      <c r="D520" s="142" t="s">
        <v>794</v>
      </c>
    </row>
    <row r="521" spans="1:4" ht="13.5" thickBot="1" x14ac:dyDescent="0.25">
      <c r="A521" s="146" t="s">
        <v>786</v>
      </c>
      <c r="B521" s="147">
        <v>20000000</v>
      </c>
      <c r="C521" s="148">
        <v>0</v>
      </c>
      <c r="D521" s="142" t="s">
        <v>4</v>
      </c>
    </row>
    <row r="522" spans="1:4" ht="13.5" thickBot="1" x14ac:dyDescent="0.25">
      <c r="A522" s="146" t="s">
        <v>787</v>
      </c>
      <c r="B522" s="147">
        <v>20000000</v>
      </c>
      <c r="C522" s="148">
        <v>0</v>
      </c>
      <c r="D522" s="142" t="s">
        <v>4</v>
      </c>
    </row>
    <row r="523" spans="1:4" ht="13.5" thickBot="1" x14ac:dyDescent="0.25">
      <c r="A523" s="146" t="s">
        <v>788</v>
      </c>
      <c r="B523" s="147">
        <v>20000000</v>
      </c>
      <c r="C523" s="148">
        <v>0</v>
      </c>
      <c r="D523" s="142" t="s">
        <v>4</v>
      </c>
    </row>
    <row r="524" spans="1:4" ht="13.5" thickBot="1" x14ac:dyDescent="0.25">
      <c r="A524" s="149" t="s">
        <v>581</v>
      </c>
      <c r="B524" s="150">
        <v>20000000</v>
      </c>
      <c r="C524" s="148">
        <v>0</v>
      </c>
      <c r="D524" s="142" t="s">
        <v>794</v>
      </c>
    </row>
    <row r="525" spans="1:4" ht="13.5" thickBot="1" x14ac:dyDescent="0.25">
      <c r="A525" s="149" t="s">
        <v>582</v>
      </c>
      <c r="B525" s="150">
        <v>20000000</v>
      </c>
      <c r="C525" s="148">
        <v>0</v>
      </c>
      <c r="D525" s="142" t="s">
        <v>794</v>
      </c>
    </row>
    <row r="526" spans="1:4" ht="13.5" thickBot="1" x14ac:dyDescent="0.25">
      <c r="A526" s="146" t="s">
        <v>789</v>
      </c>
      <c r="B526" s="147">
        <v>20000000</v>
      </c>
      <c r="C526" s="148">
        <v>0</v>
      </c>
      <c r="D526" s="142" t="s">
        <v>4</v>
      </c>
    </row>
    <row r="527" spans="1:4" ht="13.5" thickBot="1" x14ac:dyDescent="0.25">
      <c r="A527" s="149" t="s">
        <v>583</v>
      </c>
      <c r="B527" s="150">
        <v>20000000</v>
      </c>
      <c r="C527" s="148">
        <v>0</v>
      </c>
      <c r="D527" s="142" t="s">
        <v>794</v>
      </c>
    </row>
    <row r="528" spans="1:4" ht="13.5" thickBot="1" x14ac:dyDescent="0.25">
      <c r="A528" s="149" t="s">
        <v>584</v>
      </c>
      <c r="B528" s="150">
        <v>20000000</v>
      </c>
      <c r="C528" s="148">
        <v>0</v>
      </c>
      <c r="D528" s="142" t="s">
        <v>794</v>
      </c>
    </row>
    <row r="529" spans="1:4" ht="13.5" thickBot="1" x14ac:dyDescent="0.25">
      <c r="A529" s="149" t="s">
        <v>585</v>
      </c>
      <c r="B529" s="150">
        <v>20000000</v>
      </c>
      <c r="C529" s="148">
        <v>0</v>
      </c>
      <c r="D529" s="142" t="s">
        <v>794</v>
      </c>
    </row>
    <row r="530" spans="1:4" ht="13.5" thickBot="1" x14ac:dyDescent="0.25">
      <c r="A530" s="149" t="s">
        <v>586</v>
      </c>
      <c r="B530" s="150">
        <v>20000000</v>
      </c>
      <c r="C530" s="148">
        <v>0</v>
      </c>
      <c r="D530" s="142" t="s">
        <v>794</v>
      </c>
    </row>
    <row r="531" spans="1:4" ht="13.5" thickBot="1" x14ac:dyDescent="0.25">
      <c r="A531" s="149" t="s">
        <v>587</v>
      </c>
      <c r="B531" s="150">
        <v>20000000</v>
      </c>
      <c r="C531" s="148">
        <v>0</v>
      </c>
      <c r="D531" s="142" t="s">
        <v>794</v>
      </c>
    </row>
    <row r="532" spans="1:4" ht="13.5" thickBot="1" x14ac:dyDescent="0.25">
      <c r="A532" s="149" t="s">
        <v>588</v>
      </c>
      <c r="B532" s="150">
        <v>20000000</v>
      </c>
      <c r="C532" s="148">
        <v>0</v>
      </c>
      <c r="D532" s="142" t="s">
        <v>794</v>
      </c>
    </row>
    <row r="533" spans="1:4" ht="13.5" thickBot="1" x14ac:dyDescent="0.25">
      <c r="A533" s="149" t="s">
        <v>589</v>
      </c>
      <c r="B533" s="150">
        <v>20000000</v>
      </c>
      <c r="C533" s="148">
        <v>0</v>
      </c>
      <c r="D533" s="142" t="s">
        <v>794</v>
      </c>
    </row>
    <row r="534" spans="1:4" ht="13.5" thickBot="1" x14ac:dyDescent="0.25">
      <c r="A534" s="149" t="s">
        <v>590</v>
      </c>
      <c r="B534" s="150">
        <v>20000000</v>
      </c>
      <c r="C534" s="148">
        <v>0</v>
      </c>
      <c r="D534" s="142" t="s">
        <v>794</v>
      </c>
    </row>
    <row r="535" spans="1:4" ht="13.5" thickBot="1" x14ac:dyDescent="0.25">
      <c r="A535" s="149" t="s">
        <v>591</v>
      </c>
      <c r="B535" s="150">
        <v>20000000</v>
      </c>
      <c r="C535" s="148">
        <v>0</v>
      </c>
      <c r="D535" s="142" t="s">
        <v>794</v>
      </c>
    </row>
    <row r="536" spans="1:4" ht="13.5" thickBot="1" x14ac:dyDescent="0.25">
      <c r="A536" s="149" t="s">
        <v>592</v>
      </c>
      <c r="B536" s="150">
        <v>20000000</v>
      </c>
      <c r="C536" s="148">
        <v>0</v>
      </c>
      <c r="D536" s="142" t="s">
        <v>794</v>
      </c>
    </row>
    <row r="537" spans="1:4" ht="13.5" thickBot="1" x14ac:dyDescent="0.25">
      <c r="A537" s="149" t="s">
        <v>593</v>
      </c>
      <c r="B537" s="150">
        <v>20000000</v>
      </c>
      <c r="C537" s="148">
        <v>0</v>
      </c>
      <c r="D537" s="142" t="s">
        <v>794</v>
      </c>
    </row>
    <row r="538" spans="1:4" ht="13.5" thickBot="1" x14ac:dyDescent="0.25">
      <c r="A538" s="149" t="s">
        <v>594</v>
      </c>
      <c r="B538" s="150">
        <v>20000000</v>
      </c>
      <c r="C538" s="148">
        <v>0</v>
      </c>
      <c r="D538" s="142" t="s">
        <v>794</v>
      </c>
    </row>
    <row r="539" spans="1:4" ht="13.5" thickBot="1" x14ac:dyDescent="0.25">
      <c r="A539" s="149" t="s">
        <v>595</v>
      </c>
      <c r="B539" s="150">
        <v>20000000</v>
      </c>
      <c r="C539" s="148">
        <v>0</v>
      </c>
      <c r="D539" s="142" t="s">
        <v>794</v>
      </c>
    </row>
    <row r="540" spans="1:4" ht="13.5" thickBot="1" x14ac:dyDescent="0.25">
      <c r="A540" s="149" t="s">
        <v>596</v>
      </c>
      <c r="B540" s="150">
        <v>20000000</v>
      </c>
      <c r="C540" s="148">
        <v>0</v>
      </c>
      <c r="D540" s="142" t="s">
        <v>794</v>
      </c>
    </row>
    <row r="541" spans="1:4" ht="13.5" thickBot="1" x14ac:dyDescent="0.25">
      <c r="A541" s="149" t="s">
        <v>597</v>
      </c>
      <c r="B541" s="150">
        <v>20000000</v>
      </c>
      <c r="C541" s="148">
        <v>0</v>
      </c>
      <c r="D541" s="142" t="s">
        <v>794</v>
      </c>
    </row>
    <row r="542" spans="1:4" ht="13.5" thickBot="1" x14ac:dyDescent="0.25">
      <c r="A542" s="149" t="s">
        <v>598</v>
      </c>
      <c r="B542" s="150">
        <v>20000000</v>
      </c>
      <c r="C542" s="148">
        <v>0</v>
      </c>
      <c r="D542" s="142" t="s">
        <v>794</v>
      </c>
    </row>
    <row r="543" spans="1:4" ht="13.5" thickBot="1" x14ac:dyDescent="0.25">
      <c r="A543" s="149" t="s">
        <v>599</v>
      </c>
      <c r="B543" s="150">
        <v>20000000</v>
      </c>
      <c r="C543" s="148">
        <v>0</v>
      </c>
      <c r="D543" s="142" t="s">
        <v>794</v>
      </c>
    </row>
    <row r="544" spans="1:4" ht="13.5" thickBot="1" x14ac:dyDescent="0.25">
      <c r="A544" s="146" t="s">
        <v>790</v>
      </c>
      <c r="B544" s="147">
        <v>20000000</v>
      </c>
      <c r="C544" s="148">
        <v>0</v>
      </c>
      <c r="D544" s="142" t="s">
        <v>4</v>
      </c>
    </row>
    <row r="545" spans="1:4" ht="13.5" thickBot="1" x14ac:dyDescent="0.25">
      <c r="A545" s="146" t="s">
        <v>791</v>
      </c>
      <c r="B545" s="147">
        <v>20000000</v>
      </c>
      <c r="C545" s="148">
        <v>0</v>
      </c>
      <c r="D545" s="142" t="s">
        <v>4</v>
      </c>
    </row>
    <row r="546" spans="1:4" ht="13.5" thickBot="1" x14ac:dyDescent="0.25">
      <c r="A546" s="149" t="s">
        <v>600</v>
      </c>
      <c r="B546" s="150">
        <v>20000000</v>
      </c>
      <c r="C546" s="148">
        <v>0</v>
      </c>
      <c r="D546" s="142" t="s">
        <v>794</v>
      </c>
    </row>
    <row r="547" spans="1:4" ht="13.5" thickBot="1" x14ac:dyDescent="0.25">
      <c r="A547" s="149" t="s">
        <v>601</v>
      </c>
      <c r="B547" s="150">
        <v>20000000</v>
      </c>
      <c r="C547" s="148">
        <v>0</v>
      </c>
      <c r="D547" s="142" t="s">
        <v>794</v>
      </c>
    </row>
    <row r="548" spans="1:4" ht="13.5" thickBot="1" x14ac:dyDescent="0.25">
      <c r="A548" s="149" t="s">
        <v>602</v>
      </c>
      <c r="B548" s="150">
        <v>20000000</v>
      </c>
      <c r="C548" s="148">
        <v>0</v>
      </c>
      <c r="D548" s="142" t="s">
        <v>794</v>
      </c>
    </row>
    <row r="549" spans="1:4" ht="13.5" thickBot="1" x14ac:dyDescent="0.25">
      <c r="A549" s="149" t="s">
        <v>603</v>
      </c>
      <c r="B549" s="150">
        <v>20000000</v>
      </c>
      <c r="C549" s="148">
        <v>0</v>
      </c>
      <c r="D549" s="142" t="s">
        <v>794</v>
      </c>
    </row>
    <row r="550" spans="1:4" ht="13.5" thickBot="1" x14ac:dyDescent="0.25">
      <c r="A550" s="149" t="s">
        <v>604</v>
      </c>
      <c r="B550" s="150">
        <v>20000000</v>
      </c>
      <c r="C550" s="148">
        <v>0</v>
      </c>
      <c r="D550" s="142" t="s">
        <v>794</v>
      </c>
    </row>
    <row r="551" spans="1:4" ht="13.5" thickBot="1" x14ac:dyDescent="0.25">
      <c r="A551" s="149" t="s">
        <v>605</v>
      </c>
      <c r="B551" s="150">
        <v>20000000</v>
      </c>
      <c r="C551" s="148">
        <v>0</v>
      </c>
      <c r="D551" s="142" t="s">
        <v>794</v>
      </c>
    </row>
    <row r="552" spans="1:4" ht="13.5" thickBot="1" x14ac:dyDescent="0.25">
      <c r="A552" s="149" t="s">
        <v>606</v>
      </c>
      <c r="B552" s="150">
        <v>20000000</v>
      </c>
      <c r="C552" s="148">
        <v>0</v>
      </c>
      <c r="D552" s="142" t="s">
        <v>794</v>
      </c>
    </row>
    <row r="553" spans="1:4" ht="13.5" thickBot="1" x14ac:dyDescent="0.25">
      <c r="A553" s="149" t="s">
        <v>607</v>
      </c>
      <c r="B553" s="150">
        <v>20000000</v>
      </c>
      <c r="C553" s="148">
        <v>0</v>
      </c>
      <c r="D553" s="142" t="s">
        <v>794</v>
      </c>
    </row>
    <row r="554" spans="1:4" ht="13.5" thickBot="1" x14ac:dyDescent="0.25">
      <c r="A554" s="149" t="s">
        <v>608</v>
      </c>
      <c r="B554" s="150">
        <v>20000000</v>
      </c>
      <c r="C554" s="148">
        <v>0</v>
      </c>
      <c r="D554" s="142" t="s">
        <v>794</v>
      </c>
    </row>
    <row r="555" spans="1:4" ht="13.5" thickBot="1" x14ac:dyDescent="0.25">
      <c r="A555" s="149" t="s">
        <v>609</v>
      </c>
      <c r="B555" s="150">
        <v>20000000</v>
      </c>
      <c r="C555" s="148">
        <v>0</v>
      </c>
      <c r="D555" s="142" t="s">
        <v>794</v>
      </c>
    </row>
    <row r="556" spans="1:4" ht="13.5" thickBot="1" x14ac:dyDescent="0.25">
      <c r="A556" s="149" t="s">
        <v>610</v>
      </c>
      <c r="B556" s="150">
        <v>20000000</v>
      </c>
      <c r="C556" s="148">
        <v>0</v>
      </c>
      <c r="D556" s="142" t="s">
        <v>794</v>
      </c>
    </row>
    <row r="557" spans="1:4" ht="13.5" thickBot="1" x14ac:dyDescent="0.25">
      <c r="A557" s="149" t="s">
        <v>611</v>
      </c>
      <c r="B557" s="150">
        <v>20000000</v>
      </c>
      <c r="C557" s="148">
        <v>0</v>
      </c>
      <c r="D557" s="142" t="s">
        <v>794</v>
      </c>
    </row>
    <row r="558" spans="1:4" ht="13.5" thickBot="1" x14ac:dyDescent="0.25">
      <c r="A558" s="149" t="s">
        <v>612</v>
      </c>
      <c r="B558" s="150">
        <v>20000000</v>
      </c>
      <c r="C558" s="148">
        <v>0</v>
      </c>
      <c r="D558" s="142" t="s">
        <v>794</v>
      </c>
    </row>
    <row r="559" spans="1:4" ht="13.5" thickBot="1" x14ac:dyDescent="0.25">
      <c r="A559" s="149" t="s">
        <v>613</v>
      </c>
      <c r="B559" s="150">
        <v>20000000</v>
      </c>
      <c r="C559" s="148">
        <v>0</v>
      </c>
      <c r="D559" s="142" t="s">
        <v>794</v>
      </c>
    </row>
    <row r="560" spans="1:4" ht="13.5" thickBot="1" x14ac:dyDescent="0.25">
      <c r="A560" s="149" t="s">
        <v>614</v>
      </c>
      <c r="B560" s="150">
        <v>20000000</v>
      </c>
      <c r="C560" s="148">
        <v>0</v>
      </c>
      <c r="D560" s="142" t="s">
        <v>794</v>
      </c>
    </row>
    <row r="561" spans="1:4" ht="13.5" thickBot="1" x14ac:dyDescent="0.25">
      <c r="A561" s="149" t="s">
        <v>615</v>
      </c>
      <c r="B561" s="150">
        <v>20000000</v>
      </c>
      <c r="C561" s="148">
        <v>0</v>
      </c>
      <c r="D561" s="142" t="s">
        <v>794</v>
      </c>
    </row>
    <row r="562" spans="1:4" ht="13.5" thickBot="1" x14ac:dyDescent="0.25">
      <c r="A562" s="149" t="s">
        <v>616</v>
      </c>
      <c r="B562" s="150">
        <v>20000000</v>
      </c>
      <c r="C562" s="148">
        <v>0</v>
      </c>
      <c r="D562" s="142" t="s">
        <v>794</v>
      </c>
    </row>
    <row r="563" spans="1:4" ht="13.5" thickBot="1" x14ac:dyDescent="0.25">
      <c r="A563" s="149" t="s">
        <v>617</v>
      </c>
      <c r="B563" s="150">
        <v>20000000</v>
      </c>
      <c r="C563" s="148">
        <v>0</v>
      </c>
      <c r="D563" s="142" t="s">
        <v>794</v>
      </c>
    </row>
    <row r="564" spans="1:4" ht="13.5" thickBot="1" x14ac:dyDescent="0.25">
      <c r="A564" s="149" t="s">
        <v>618</v>
      </c>
      <c r="B564" s="150">
        <v>20000000</v>
      </c>
      <c r="C564" s="148">
        <v>0</v>
      </c>
      <c r="D564" s="142" t="s">
        <v>794</v>
      </c>
    </row>
    <row r="565" spans="1:4" ht="13.5" thickBot="1" x14ac:dyDescent="0.25">
      <c r="A565" s="149" t="s">
        <v>619</v>
      </c>
      <c r="B565" s="150">
        <v>20000000</v>
      </c>
      <c r="C565" s="148">
        <v>0</v>
      </c>
      <c r="D565" s="142" t="s">
        <v>794</v>
      </c>
    </row>
    <row r="566" spans="1:4" ht="13.5" thickBot="1" x14ac:dyDescent="0.25">
      <c r="A566" s="149" t="s">
        <v>620</v>
      </c>
      <c r="B566" s="150">
        <v>20000000</v>
      </c>
      <c r="C566" s="148">
        <v>0</v>
      </c>
      <c r="D566" s="142" t="s">
        <v>794</v>
      </c>
    </row>
    <row r="567" spans="1:4" ht="13.5" thickBot="1" x14ac:dyDescent="0.25">
      <c r="A567" s="149" t="s">
        <v>621</v>
      </c>
      <c r="B567" s="150">
        <v>20000000</v>
      </c>
      <c r="C567" s="148">
        <v>0</v>
      </c>
      <c r="D567" s="142" t="s">
        <v>794</v>
      </c>
    </row>
    <row r="568" spans="1:4" ht="13.5" thickBot="1" x14ac:dyDescent="0.25">
      <c r="A568" s="149" t="s">
        <v>622</v>
      </c>
      <c r="B568" s="150">
        <v>20000000</v>
      </c>
      <c r="C568" s="148">
        <v>0</v>
      </c>
      <c r="D568" s="142" t="s">
        <v>794</v>
      </c>
    </row>
    <row r="569" spans="1:4" ht="13.5" thickBot="1" x14ac:dyDescent="0.25">
      <c r="A569" s="149" t="s">
        <v>623</v>
      </c>
      <c r="B569" s="150">
        <v>20000000</v>
      </c>
      <c r="C569" s="148">
        <v>0</v>
      </c>
      <c r="D569" s="142" t="s">
        <v>794</v>
      </c>
    </row>
    <row r="570" spans="1:4" ht="13.5" thickBot="1" x14ac:dyDescent="0.25">
      <c r="A570" s="149" t="s">
        <v>624</v>
      </c>
      <c r="B570" s="150">
        <v>20000000</v>
      </c>
      <c r="C570" s="148">
        <v>0</v>
      </c>
      <c r="D570" s="142" t="s">
        <v>794</v>
      </c>
    </row>
    <row r="571" spans="1:4" ht="13.5" thickBot="1" x14ac:dyDescent="0.25">
      <c r="A571" s="149" t="s">
        <v>625</v>
      </c>
      <c r="B571" s="150">
        <v>20000000</v>
      </c>
      <c r="C571" s="148">
        <v>0</v>
      </c>
      <c r="D571" s="142" t="s">
        <v>794</v>
      </c>
    </row>
    <row r="572" spans="1:4" ht="13.5" thickBot="1" x14ac:dyDescent="0.25">
      <c r="A572" s="149" t="s">
        <v>626</v>
      </c>
      <c r="B572" s="150">
        <v>20000000</v>
      </c>
      <c r="C572" s="148">
        <v>0</v>
      </c>
      <c r="D572" s="142" t="s">
        <v>794</v>
      </c>
    </row>
    <row r="573" spans="1:4" ht="13.5" thickBot="1" x14ac:dyDescent="0.25">
      <c r="A573" s="149" t="s">
        <v>627</v>
      </c>
      <c r="B573" s="150">
        <v>20000000</v>
      </c>
      <c r="C573" s="148">
        <v>0</v>
      </c>
      <c r="D573" s="142" t="s">
        <v>794</v>
      </c>
    </row>
    <row r="574" spans="1:4" ht="13.5" thickBot="1" x14ac:dyDescent="0.25">
      <c r="A574" s="149" t="s">
        <v>628</v>
      </c>
      <c r="B574" s="150">
        <v>20000000</v>
      </c>
      <c r="C574" s="148">
        <v>0</v>
      </c>
      <c r="D574" s="142" t="s">
        <v>794</v>
      </c>
    </row>
    <row r="575" spans="1:4" ht="13.5" thickBot="1" x14ac:dyDescent="0.25">
      <c r="A575" s="149" t="s">
        <v>629</v>
      </c>
      <c r="B575" s="150">
        <v>20000000</v>
      </c>
      <c r="C575" s="148">
        <v>0</v>
      </c>
      <c r="D575" s="142" t="s">
        <v>794</v>
      </c>
    </row>
    <row r="576" spans="1:4" ht="13.5" thickBot="1" x14ac:dyDescent="0.25">
      <c r="A576" s="149" t="s">
        <v>630</v>
      </c>
      <c r="B576" s="150">
        <v>20000000</v>
      </c>
      <c r="C576" s="148">
        <v>0</v>
      </c>
      <c r="D576" s="142" t="s">
        <v>794</v>
      </c>
    </row>
    <row r="577" spans="1:4" ht="13.5" thickBot="1" x14ac:dyDescent="0.25">
      <c r="A577" s="149" t="s">
        <v>631</v>
      </c>
      <c r="B577" s="150">
        <v>20000000</v>
      </c>
      <c r="C577" s="148">
        <v>0</v>
      </c>
      <c r="D577" s="142" t="s">
        <v>794</v>
      </c>
    </row>
    <row r="578" spans="1:4" ht="13.5" thickBot="1" x14ac:dyDescent="0.25">
      <c r="A578" s="149" t="s">
        <v>632</v>
      </c>
      <c r="B578" s="150">
        <v>20000000</v>
      </c>
      <c r="C578" s="148">
        <v>0</v>
      </c>
      <c r="D578" s="142" t="s">
        <v>794</v>
      </c>
    </row>
    <row r="579" spans="1:4" ht="13.5" thickBot="1" x14ac:dyDescent="0.25">
      <c r="A579" s="149" t="s">
        <v>633</v>
      </c>
      <c r="B579" s="150">
        <v>20000000</v>
      </c>
      <c r="C579" s="148">
        <v>0</v>
      </c>
      <c r="D579" s="142" t="s">
        <v>794</v>
      </c>
    </row>
    <row r="580" spans="1:4" ht="13.5" thickBot="1" x14ac:dyDescent="0.25">
      <c r="A580" s="149" t="s">
        <v>634</v>
      </c>
      <c r="B580" s="150">
        <v>20000000</v>
      </c>
      <c r="C580" s="148">
        <v>0</v>
      </c>
      <c r="D580" s="142" t="s">
        <v>794</v>
      </c>
    </row>
    <row r="581" spans="1:4" ht="13.5" thickBot="1" x14ac:dyDescent="0.25">
      <c r="A581" s="149" t="s">
        <v>635</v>
      </c>
      <c r="B581" s="150">
        <v>20000000</v>
      </c>
      <c r="C581" s="148">
        <v>0</v>
      </c>
      <c r="D581" s="142" t="s">
        <v>794</v>
      </c>
    </row>
    <row r="582" spans="1:4" ht="13.5" thickBot="1" x14ac:dyDescent="0.25">
      <c r="A582" s="149" t="s">
        <v>636</v>
      </c>
      <c r="B582" s="150">
        <v>20000000</v>
      </c>
      <c r="C582" s="148">
        <v>0</v>
      </c>
      <c r="D582" s="142" t="s">
        <v>794</v>
      </c>
    </row>
    <row r="583" spans="1:4" ht="13.5" thickBot="1" x14ac:dyDescent="0.25">
      <c r="A583" s="149" t="s">
        <v>637</v>
      </c>
      <c r="B583" s="150">
        <v>20000000</v>
      </c>
      <c r="C583" s="148">
        <v>0</v>
      </c>
      <c r="D583" s="142" t="s">
        <v>794</v>
      </c>
    </row>
    <row r="584" spans="1:4" ht="13.5" thickBot="1" x14ac:dyDescent="0.25">
      <c r="A584" s="149" t="s">
        <v>638</v>
      </c>
      <c r="B584" s="150">
        <v>20000000</v>
      </c>
      <c r="C584" s="148">
        <v>0</v>
      </c>
      <c r="D584" s="142" t="s">
        <v>794</v>
      </c>
    </row>
    <row r="585" spans="1:4" ht="13.5" thickBot="1" x14ac:dyDescent="0.25">
      <c r="A585" s="149" t="s">
        <v>639</v>
      </c>
      <c r="B585" s="150">
        <v>20000000</v>
      </c>
      <c r="C585" s="148">
        <v>0</v>
      </c>
      <c r="D585" s="142" t="s">
        <v>794</v>
      </c>
    </row>
    <row r="586" spans="1:4" ht="13.5" thickBot="1" x14ac:dyDescent="0.25">
      <c r="A586" s="149" t="s">
        <v>640</v>
      </c>
      <c r="B586" s="150">
        <v>20000000</v>
      </c>
      <c r="C586" s="148">
        <v>0</v>
      </c>
      <c r="D586" s="142" t="s">
        <v>794</v>
      </c>
    </row>
    <row r="587" spans="1:4" ht="13.5" thickBot="1" x14ac:dyDescent="0.25">
      <c r="A587" s="149" t="s">
        <v>641</v>
      </c>
      <c r="B587" s="150">
        <v>20000000</v>
      </c>
      <c r="C587" s="148">
        <v>0</v>
      </c>
      <c r="D587" s="142" t="s">
        <v>794</v>
      </c>
    </row>
    <row r="588" spans="1:4" ht="13.5" thickBot="1" x14ac:dyDescent="0.25">
      <c r="A588" s="149" t="s">
        <v>642</v>
      </c>
      <c r="B588" s="150">
        <v>20000000</v>
      </c>
      <c r="C588" s="148">
        <v>0</v>
      </c>
      <c r="D588" s="142" t="s">
        <v>794</v>
      </c>
    </row>
    <row r="589" spans="1:4" ht="13.5" thickBot="1" x14ac:dyDescent="0.25">
      <c r="A589" s="149" t="s">
        <v>643</v>
      </c>
      <c r="B589" s="150">
        <v>20000000</v>
      </c>
      <c r="C589" s="148">
        <v>0</v>
      </c>
      <c r="D589" s="142" t="s">
        <v>794</v>
      </c>
    </row>
    <row r="590" spans="1:4" ht="13.5" thickBot="1" x14ac:dyDescent="0.25">
      <c r="A590" s="149" t="s">
        <v>644</v>
      </c>
      <c r="B590" s="150">
        <v>20000000</v>
      </c>
      <c r="C590" s="148">
        <v>0</v>
      </c>
      <c r="D590" s="142" t="s">
        <v>794</v>
      </c>
    </row>
    <row r="591" spans="1:4" ht="13.5" thickBot="1" x14ac:dyDescent="0.25">
      <c r="A591" s="149" t="s">
        <v>645</v>
      </c>
      <c r="B591" s="150">
        <v>20000000</v>
      </c>
      <c r="C591" s="148">
        <v>0</v>
      </c>
      <c r="D591" s="142" t="s">
        <v>794</v>
      </c>
    </row>
    <row r="592" spans="1:4" ht="13.5" thickBot="1" x14ac:dyDescent="0.25">
      <c r="A592" s="149" t="s">
        <v>646</v>
      </c>
      <c r="B592" s="150">
        <v>20000000</v>
      </c>
      <c r="C592" s="148">
        <v>0</v>
      </c>
      <c r="D592" s="142" t="s">
        <v>794</v>
      </c>
    </row>
    <row r="593" spans="1:4" ht="13.5" thickBot="1" x14ac:dyDescent="0.25">
      <c r="A593" s="149" t="s">
        <v>647</v>
      </c>
      <c r="B593" s="150">
        <v>20000000</v>
      </c>
      <c r="C593" s="148">
        <v>0</v>
      </c>
      <c r="D593" s="142" t="s">
        <v>794</v>
      </c>
    </row>
    <row r="594" spans="1:4" ht="13.5" thickBot="1" x14ac:dyDescent="0.25">
      <c r="A594" s="149" t="s">
        <v>648</v>
      </c>
      <c r="B594" s="150">
        <v>20000000</v>
      </c>
      <c r="C594" s="148">
        <v>0</v>
      </c>
      <c r="D594" s="142" t="s">
        <v>794</v>
      </c>
    </row>
    <row r="595" spans="1:4" ht="13.5" thickBot="1" x14ac:dyDescent="0.25">
      <c r="A595" s="149" t="s">
        <v>649</v>
      </c>
      <c r="B595" s="150">
        <v>20000000</v>
      </c>
      <c r="C595" s="148">
        <v>0</v>
      </c>
      <c r="D595" s="142" t="s">
        <v>794</v>
      </c>
    </row>
    <row r="596" spans="1:4" ht="13.5" thickBot="1" x14ac:dyDescent="0.25">
      <c r="A596" s="149" t="s">
        <v>650</v>
      </c>
      <c r="B596" s="150">
        <v>20000000</v>
      </c>
      <c r="C596" s="148">
        <v>0</v>
      </c>
      <c r="D596" s="142" t="s">
        <v>794</v>
      </c>
    </row>
    <row r="597" spans="1:4" ht="13.5" thickBot="1" x14ac:dyDescent="0.25">
      <c r="A597" s="149" t="s">
        <v>651</v>
      </c>
      <c r="B597" s="150">
        <v>20000000</v>
      </c>
      <c r="C597" s="148">
        <v>0</v>
      </c>
      <c r="D597" s="142" t="s">
        <v>794</v>
      </c>
    </row>
    <row r="598" spans="1:4" ht="13.5" thickBot="1" x14ac:dyDescent="0.25">
      <c r="A598" s="149" t="s">
        <v>652</v>
      </c>
      <c r="B598" s="150">
        <v>20000000</v>
      </c>
      <c r="C598" s="148">
        <v>0</v>
      </c>
      <c r="D598" s="142" t="s">
        <v>794</v>
      </c>
    </row>
    <row r="599" spans="1:4" ht="13.5" thickBot="1" x14ac:dyDescent="0.25">
      <c r="A599" s="149" t="s">
        <v>653</v>
      </c>
      <c r="B599" s="150">
        <v>20000000</v>
      </c>
      <c r="C599" s="148">
        <v>0</v>
      </c>
      <c r="D599" s="142" t="s">
        <v>794</v>
      </c>
    </row>
    <row r="600" spans="1:4" ht="13.5" thickBot="1" x14ac:dyDescent="0.25">
      <c r="A600" s="149" t="s">
        <v>654</v>
      </c>
      <c r="B600" s="150">
        <v>20000000</v>
      </c>
      <c r="C600" s="148">
        <v>0</v>
      </c>
      <c r="D600" s="142" t="s">
        <v>794</v>
      </c>
    </row>
    <row r="601" spans="1:4" ht="13.5" thickBot="1" x14ac:dyDescent="0.25">
      <c r="A601" s="149" t="s">
        <v>655</v>
      </c>
      <c r="B601" s="150">
        <v>20000000</v>
      </c>
      <c r="C601" s="148">
        <v>0</v>
      </c>
      <c r="D601" s="142" t="s">
        <v>794</v>
      </c>
    </row>
    <row r="602" spans="1:4" ht="13.5" thickBot="1" x14ac:dyDescent="0.25">
      <c r="A602" s="149" t="s">
        <v>656</v>
      </c>
      <c r="B602" s="150">
        <v>20000000</v>
      </c>
      <c r="C602" s="148">
        <v>0</v>
      </c>
      <c r="D602" s="142" t="s">
        <v>794</v>
      </c>
    </row>
    <row r="603" spans="1:4" ht="13.5" thickBot="1" x14ac:dyDescent="0.25">
      <c r="A603" s="149" t="s">
        <v>657</v>
      </c>
      <c r="B603" s="150">
        <v>20000000</v>
      </c>
      <c r="C603" s="148">
        <v>0</v>
      </c>
      <c r="D603" s="142" t="s">
        <v>794</v>
      </c>
    </row>
    <row r="604" spans="1:4" ht="13.5" thickBot="1" x14ac:dyDescent="0.25">
      <c r="A604" s="149" t="s">
        <v>658</v>
      </c>
      <c r="B604" s="150">
        <v>20000000</v>
      </c>
      <c r="C604" s="148">
        <v>0</v>
      </c>
      <c r="D604" s="142" t="s">
        <v>794</v>
      </c>
    </row>
    <row r="605" spans="1:4" ht="13.5" thickBot="1" x14ac:dyDescent="0.25">
      <c r="A605" s="149" t="s">
        <v>659</v>
      </c>
      <c r="B605" s="150">
        <v>20000000</v>
      </c>
      <c r="C605" s="148">
        <v>0</v>
      </c>
      <c r="D605" s="142" t="s">
        <v>794</v>
      </c>
    </row>
    <row r="606" spans="1:4" ht="13.5" thickBot="1" x14ac:dyDescent="0.25">
      <c r="A606" s="149" t="s">
        <v>660</v>
      </c>
      <c r="B606" s="150">
        <v>20000000</v>
      </c>
      <c r="C606" s="148">
        <v>0</v>
      </c>
      <c r="D606" s="142" t="s">
        <v>794</v>
      </c>
    </row>
    <row r="607" spans="1:4" ht="13.5" thickBot="1" x14ac:dyDescent="0.25">
      <c r="A607" s="149" t="s">
        <v>661</v>
      </c>
      <c r="B607" s="150">
        <v>20000000</v>
      </c>
      <c r="C607" s="148">
        <v>0</v>
      </c>
      <c r="D607" s="142" t="s">
        <v>794</v>
      </c>
    </row>
    <row r="608" spans="1:4" ht="13.5" thickBot="1" x14ac:dyDescent="0.25">
      <c r="A608" s="149" t="s">
        <v>662</v>
      </c>
      <c r="B608" s="150">
        <v>20000000</v>
      </c>
      <c r="C608" s="148">
        <v>0</v>
      </c>
      <c r="D608" s="142" t="s">
        <v>794</v>
      </c>
    </row>
    <row r="609" spans="1:4" ht="13.5" thickBot="1" x14ac:dyDescent="0.25">
      <c r="A609" s="149" t="s">
        <v>663</v>
      </c>
      <c r="B609" s="150">
        <v>20000000</v>
      </c>
      <c r="C609" s="148">
        <v>0</v>
      </c>
      <c r="D609" s="142" t="s">
        <v>794</v>
      </c>
    </row>
    <row r="610" spans="1:4" ht="13.5" thickBot="1" x14ac:dyDescent="0.25">
      <c r="A610" s="149" t="s">
        <v>664</v>
      </c>
      <c r="B610" s="150">
        <v>20000000</v>
      </c>
      <c r="C610" s="148">
        <v>0</v>
      </c>
      <c r="D610" s="142" t="s">
        <v>794</v>
      </c>
    </row>
    <row r="611" spans="1:4" ht="13.5" thickBot="1" x14ac:dyDescent="0.25">
      <c r="A611" s="149" t="s">
        <v>665</v>
      </c>
      <c r="B611" s="150">
        <v>20000000</v>
      </c>
      <c r="C611" s="148">
        <v>0</v>
      </c>
      <c r="D611" s="142" t="s">
        <v>794</v>
      </c>
    </row>
    <row r="612" spans="1:4" ht="13.5" thickBot="1" x14ac:dyDescent="0.25">
      <c r="A612" s="149" t="s">
        <v>666</v>
      </c>
      <c r="B612" s="150">
        <v>20000000</v>
      </c>
      <c r="C612" s="148">
        <v>0</v>
      </c>
      <c r="D612" s="142" t="s">
        <v>794</v>
      </c>
    </row>
    <row r="613" spans="1:4" ht="13.5" thickBot="1" x14ac:dyDescent="0.25">
      <c r="A613" s="149" t="s">
        <v>667</v>
      </c>
      <c r="B613" s="150">
        <v>20000000</v>
      </c>
      <c r="C613" s="148">
        <v>0</v>
      </c>
      <c r="D613" s="142" t="s">
        <v>794</v>
      </c>
    </row>
    <row r="614" spans="1:4" ht="13.5" thickBot="1" x14ac:dyDescent="0.25">
      <c r="A614" s="149" t="s">
        <v>668</v>
      </c>
      <c r="B614" s="150">
        <v>20000000</v>
      </c>
      <c r="C614" s="148">
        <v>0</v>
      </c>
      <c r="D614" s="142" t="s">
        <v>794</v>
      </c>
    </row>
    <row r="615" spans="1:4" ht="13.5" thickBot="1" x14ac:dyDescent="0.25">
      <c r="A615" s="149" t="s">
        <v>669</v>
      </c>
      <c r="B615" s="150">
        <v>20000000</v>
      </c>
      <c r="C615" s="148">
        <v>0</v>
      </c>
      <c r="D615" s="142" t="s">
        <v>794</v>
      </c>
    </row>
    <row r="616" spans="1:4" ht="13.5" thickBot="1" x14ac:dyDescent="0.25">
      <c r="A616" s="149" t="s">
        <v>670</v>
      </c>
      <c r="B616" s="150">
        <v>20000000</v>
      </c>
      <c r="C616" s="148">
        <v>0</v>
      </c>
      <c r="D616" s="142" t="s">
        <v>794</v>
      </c>
    </row>
    <row r="617" spans="1:4" ht="13.5" thickBot="1" x14ac:dyDescent="0.25">
      <c r="A617" s="149" t="s">
        <v>671</v>
      </c>
      <c r="B617" s="150">
        <v>20000000</v>
      </c>
      <c r="C617" s="148">
        <v>0</v>
      </c>
      <c r="D617" s="142" t="s">
        <v>794</v>
      </c>
    </row>
    <row r="618" spans="1:4" ht="17.25" thickBot="1" x14ac:dyDescent="0.25">
      <c r="A618" s="145" t="s">
        <v>796</v>
      </c>
      <c r="B618" s="145"/>
      <c r="C618" s="145"/>
      <c r="D618" s="145"/>
    </row>
    <row r="619" spans="1:4" ht="13.5" thickBot="1" x14ac:dyDescent="0.25">
      <c r="A619" s="146" t="s">
        <v>787</v>
      </c>
      <c r="B619" s="147">
        <v>3000000</v>
      </c>
      <c r="C619" s="148">
        <v>0</v>
      </c>
      <c r="D619" s="142" t="s">
        <v>4</v>
      </c>
    </row>
    <row r="620" spans="1:4" ht="13.5" thickBot="1" x14ac:dyDescent="0.25">
      <c r="A620" s="146" t="s">
        <v>788</v>
      </c>
      <c r="B620" s="147">
        <v>3000000</v>
      </c>
      <c r="C620" s="148">
        <v>0</v>
      </c>
      <c r="D620" s="142" t="s">
        <v>4</v>
      </c>
    </row>
    <row r="621" spans="1:4" ht="13.5" thickBot="1" x14ac:dyDescent="0.25">
      <c r="A621" s="149" t="s">
        <v>581</v>
      </c>
      <c r="B621" s="150">
        <v>3000000</v>
      </c>
      <c r="C621" s="148">
        <v>0</v>
      </c>
      <c r="D621" s="142" t="s">
        <v>794</v>
      </c>
    </row>
    <row r="622" spans="1:4" ht="13.5" thickBot="1" x14ac:dyDescent="0.25">
      <c r="A622" s="149" t="s">
        <v>582</v>
      </c>
      <c r="B622" s="150">
        <v>3000000</v>
      </c>
      <c r="C622" s="148">
        <v>0</v>
      </c>
      <c r="D622" s="142" t="s">
        <v>794</v>
      </c>
    </row>
    <row r="623" spans="1:4" ht="13.5" thickBot="1" x14ac:dyDescent="0.25">
      <c r="A623" s="146" t="s">
        <v>789</v>
      </c>
      <c r="B623" s="147">
        <v>3000000</v>
      </c>
      <c r="C623" s="148">
        <v>0</v>
      </c>
      <c r="D623" s="142" t="s">
        <v>4</v>
      </c>
    </row>
    <row r="624" spans="1:4" ht="13.5" thickBot="1" x14ac:dyDescent="0.25">
      <c r="A624" s="146" t="s">
        <v>784</v>
      </c>
      <c r="B624" s="147">
        <v>3000000</v>
      </c>
      <c r="C624" s="148">
        <v>0</v>
      </c>
      <c r="D624" s="142" t="s">
        <v>4</v>
      </c>
    </row>
    <row r="625" spans="1:4" ht="13.5" thickBot="1" x14ac:dyDescent="0.25">
      <c r="A625" s="149" t="s">
        <v>672</v>
      </c>
      <c r="B625" s="150">
        <v>3000000</v>
      </c>
      <c r="C625" s="148">
        <v>0</v>
      </c>
      <c r="D625" s="142" t="s">
        <v>794</v>
      </c>
    </row>
    <row r="626" spans="1:4" ht="13.5" thickBot="1" x14ac:dyDescent="0.25">
      <c r="A626" s="149" t="s">
        <v>673</v>
      </c>
      <c r="B626" s="150">
        <v>3000000</v>
      </c>
      <c r="C626" s="148">
        <v>0</v>
      </c>
      <c r="D626" s="142" t="s">
        <v>794</v>
      </c>
    </row>
    <row r="627" spans="1:4" ht="13.5" thickBot="1" x14ac:dyDescent="0.25">
      <c r="A627" s="149" t="s">
        <v>674</v>
      </c>
      <c r="B627" s="150">
        <v>3000000</v>
      </c>
      <c r="C627" s="148">
        <v>0</v>
      </c>
      <c r="D627" s="142" t="s">
        <v>794</v>
      </c>
    </row>
    <row r="628" spans="1:4" ht="13.5" thickBot="1" x14ac:dyDescent="0.25">
      <c r="A628" s="149" t="s">
        <v>675</v>
      </c>
      <c r="B628" s="150">
        <v>3000000</v>
      </c>
      <c r="C628" s="148">
        <v>0</v>
      </c>
      <c r="D628" s="142" t="s">
        <v>794</v>
      </c>
    </row>
    <row r="629" spans="1:4" ht="13.5" thickBot="1" x14ac:dyDescent="0.25">
      <c r="A629" s="149" t="s">
        <v>599</v>
      </c>
      <c r="B629" s="150">
        <v>3000000</v>
      </c>
      <c r="C629" s="148">
        <v>0</v>
      </c>
      <c r="D629" s="142" t="s">
        <v>794</v>
      </c>
    </row>
    <row r="630" spans="1:4" ht="13.5" thickBot="1" x14ac:dyDescent="0.25">
      <c r="A630" s="146" t="s">
        <v>790</v>
      </c>
      <c r="B630" s="147">
        <v>3000000</v>
      </c>
      <c r="C630" s="148">
        <v>0</v>
      </c>
      <c r="D630" s="142" t="s">
        <v>4</v>
      </c>
    </row>
    <row r="631" spans="1:4" ht="13.5" thickBot="1" x14ac:dyDescent="0.25">
      <c r="A631" s="146" t="s">
        <v>791</v>
      </c>
      <c r="B631" s="147">
        <v>3000000</v>
      </c>
      <c r="C631" s="148">
        <v>0</v>
      </c>
      <c r="D631" s="142" t="s">
        <v>4</v>
      </c>
    </row>
    <row r="632" spans="1:4" ht="13.5" thickBot="1" x14ac:dyDescent="0.25">
      <c r="A632" s="149" t="s">
        <v>600</v>
      </c>
      <c r="B632" s="150">
        <v>3000000</v>
      </c>
      <c r="C632" s="148">
        <v>0</v>
      </c>
      <c r="D632" s="142" t="s">
        <v>794</v>
      </c>
    </row>
    <row r="633" spans="1:4" ht="13.5" thickBot="1" x14ac:dyDescent="0.25">
      <c r="A633" s="149" t="s">
        <v>601</v>
      </c>
      <c r="B633" s="150">
        <v>3000000</v>
      </c>
      <c r="C633" s="148">
        <v>0</v>
      </c>
      <c r="D633" s="142" t="s">
        <v>794</v>
      </c>
    </row>
    <row r="634" spans="1:4" ht="13.5" thickBot="1" x14ac:dyDescent="0.25">
      <c r="A634" s="149" t="s">
        <v>602</v>
      </c>
      <c r="B634" s="150">
        <v>3000000</v>
      </c>
      <c r="C634" s="148">
        <v>0</v>
      </c>
      <c r="D634" s="142" t="s">
        <v>794</v>
      </c>
    </row>
    <row r="635" spans="1:4" ht="13.5" thickBot="1" x14ac:dyDescent="0.25">
      <c r="A635" s="149" t="s">
        <v>603</v>
      </c>
      <c r="B635" s="150">
        <v>3000000</v>
      </c>
      <c r="C635" s="148">
        <v>0</v>
      </c>
      <c r="D635" s="142" t="s">
        <v>794</v>
      </c>
    </row>
    <row r="636" spans="1:4" ht="13.5" thickBot="1" x14ac:dyDescent="0.25">
      <c r="A636" s="149" t="s">
        <v>604</v>
      </c>
      <c r="B636" s="150">
        <v>3000000</v>
      </c>
      <c r="C636" s="148">
        <v>0</v>
      </c>
      <c r="D636" s="142" t="s">
        <v>794</v>
      </c>
    </row>
    <row r="637" spans="1:4" ht="13.5" thickBot="1" x14ac:dyDescent="0.25">
      <c r="A637" s="149" t="s">
        <v>676</v>
      </c>
      <c r="B637" s="150">
        <v>3000000</v>
      </c>
      <c r="C637" s="148">
        <v>0</v>
      </c>
      <c r="D637" s="142" t="s">
        <v>794</v>
      </c>
    </row>
    <row r="638" spans="1:4" ht="13.5" thickBot="1" x14ac:dyDescent="0.25">
      <c r="A638" s="149" t="s">
        <v>677</v>
      </c>
      <c r="B638" s="150">
        <v>3000000</v>
      </c>
      <c r="C638" s="148">
        <v>0</v>
      </c>
      <c r="D638" s="142" t="s">
        <v>794</v>
      </c>
    </row>
    <row r="639" spans="1:4" ht="13.5" thickBot="1" x14ac:dyDescent="0.25">
      <c r="A639" s="149" t="s">
        <v>678</v>
      </c>
      <c r="B639" s="150">
        <v>3000000</v>
      </c>
      <c r="C639" s="148">
        <v>0</v>
      </c>
      <c r="D639" s="142" t="s">
        <v>794</v>
      </c>
    </row>
    <row r="640" spans="1:4" ht="13.5" thickBot="1" x14ac:dyDescent="0.25">
      <c r="A640" s="149" t="s">
        <v>679</v>
      </c>
      <c r="B640" s="150">
        <v>3000000</v>
      </c>
      <c r="C640" s="148">
        <v>0</v>
      </c>
      <c r="D640" s="142" t="s">
        <v>794</v>
      </c>
    </row>
    <row r="641" spans="1:4" ht="13.5" thickBot="1" x14ac:dyDescent="0.25">
      <c r="A641" s="149" t="s">
        <v>680</v>
      </c>
      <c r="B641" s="150">
        <v>3000000</v>
      </c>
      <c r="C641" s="148">
        <v>0</v>
      </c>
      <c r="D641" s="142" t="s">
        <v>794</v>
      </c>
    </row>
    <row r="642" spans="1:4" ht="13.5" thickBot="1" x14ac:dyDescent="0.25">
      <c r="A642" s="149" t="s">
        <v>681</v>
      </c>
      <c r="B642" s="150">
        <v>3000000</v>
      </c>
      <c r="C642" s="148">
        <v>0</v>
      </c>
      <c r="D642" s="142" t="s">
        <v>794</v>
      </c>
    </row>
    <row r="643" spans="1:4" ht="13.5" thickBot="1" x14ac:dyDescent="0.25">
      <c r="A643" s="149" t="s">
        <v>682</v>
      </c>
      <c r="B643" s="150">
        <v>3000000</v>
      </c>
      <c r="C643" s="148">
        <v>0</v>
      </c>
      <c r="D643" s="142" t="s">
        <v>794</v>
      </c>
    </row>
    <row r="644" spans="1:4" ht="13.5" thickBot="1" x14ac:dyDescent="0.25">
      <c r="A644" s="149" t="s">
        <v>683</v>
      </c>
      <c r="B644" s="150">
        <v>3000000</v>
      </c>
      <c r="C644" s="148">
        <v>0</v>
      </c>
      <c r="D644" s="142" t="s">
        <v>794</v>
      </c>
    </row>
    <row r="645" spans="1:4" ht="13.5" thickBot="1" x14ac:dyDescent="0.25">
      <c r="A645" s="149" t="s">
        <v>684</v>
      </c>
      <c r="B645" s="150">
        <v>3000000</v>
      </c>
      <c r="C645" s="148">
        <v>0</v>
      </c>
      <c r="D645" s="142" t="s">
        <v>794</v>
      </c>
    </row>
    <row r="646" spans="1:4" ht="13.5" thickBot="1" x14ac:dyDescent="0.25">
      <c r="A646" s="149" t="s">
        <v>685</v>
      </c>
      <c r="B646" s="150">
        <v>3000000</v>
      </c>
      <c r="C646" s="148">
        <v>0</v>
      </c>
      <c r="D646" s="142" t="s">
        <v>794</v>
      </c>
    </row>
    <row r="647" spans="1:4" ht="13.5" thickBot="1" x14ac:dyDescent="0.25">
      <c r="A647" s="149" t="s">
        <v>686</v>
      </c>
      <c r="B647" s="150">
        <v>3000000</v>
      </c>
      <c r="C647" s="148">
        <v>0</v>
      </c>
      <c r="D647" s="142" t="s">
        <v>794</v>
      </c>
    </row>
    <row r="648" spans="1:4" ht="13.5" thickBot="1" x14ac:dyDescent="0.25">
      <c r="A648" s="149" t="s">
        <v>687</v>
      </c>
      <c r="B648" s="150">
        <v>3000000</v>
      </c>
      <c r="C648" s="148">
        <v>0</v>
      </c>
      <c r="D648" s="142" t="s">
        <v>794</v>
      </c>
    </row>
    <row r="649" spans="1:4" ht="13.5" thickBot="1" x14ac:dyDescent="0.25">
      <c r="A649" s="149" t="s">
        <v>688</v>
      </c>
      <c r="B649" s="150">
        <v>3000000</v>
      </c>
      <c r="C649" s="148">
        <v>0</v>
      </c>
      <c r="D649" s="142" t="s">
        <v>794</v>
      </c>
    </row>
    <row r="650" spans="1:4" ht="13.5" thickBot="1" x14ac:dyDescent="0.25">
      <c r="A650" s="149" t="s">
        <v>689</v>
      </c>
      <c r="B650" s="150">
        <v>3000000</v>
      </c>
      <c r="C650" s="148">
        <v>0</v>
      </c>
      <c r="D650" s="142" t="s">
        <v>794</v>
      </c>
    </row>
    <row r="651" spans="1:4" ht="13.5" thickBot="1" x14ac:dyDescent="0.25">
      <c r="A651" s="149" t="s">
        <v>690</v>
      </c>
      <c r="B651" s="150">
        <v>3000000</v>
      </c>
      <c r="C651" s="148">
        <v>0</v>
      </c>
      <c r="D651" s="142" t="s">
        <v>794</v>
      </c>
    </row>
    <row r="652" spans="1:4" ht="13.5" thickBot="1" x14ac:dyDescent="0.25">
      <c r="A652" s="149" t="s">
        <v>691</v>
      </c>
      <c r="B652" s="150">
        <v>3000000</v>
      </c>
      <c r="C652" s="148">
        <v>0</v>
      </c>
      <c r="D652" s="142" t="s">
        <v>794</v>
      </c>
    </row>
    <row r="653" spans="1:4" ht="13.5" thickBot="1" x14ac:dyDescent="0.25">
      <c r="A653" s="149" t="s">
        <v>692</v>
      </c>
      <c r="B653" s="150">
        <v>3000000</v>
      </c>
      <c r="C653" s="148">
        <v>0</v>
      </c>
      <c r="D653" s="142" t="s">
        <v>794</v>
      </c>
    </row>
    <row r="654" spans="1:4" ht="13.5" thickBot="1" x14ac:dyDescent="0.25">
      <c r="A654" s="149" t="s">
        <v>693</v>
      </c>
      <c r="B654" s="150">
        <v>3000000</v>
      </c>
      <c r="C654" s="148">
        <v>0</v>
      </c>
      <c r="D654" s="142" t="s">
        <v>794</v>
      </c>
    </row>
    <row r="655" spans="1:4" ht="13.5" thickBot="1" x14ac:dyDescent="0.25">
      <c r="A655" s="146" t="s">
        <v>785</v>
      </c>
      <c r="B655" s="147">
        <v>3000000</v>
      </c>
      <c r="C655" s="148">
        <v>0</v>
      </c>
      <c r="D655" s="142" t="s">
        <v>4</v>
      </c>
    </row>
    <row r="656" spans="1:4" ht="13.5" thickBot="1" x14ac:dyDescent="0.25">
      <c r="A656" s="149" t="s">
        <v>547</v>
      </c>
      <c r="B656" s="150">
        <v>3000000</v>
      </c>
      <c r="C656" s="148">
        <v>0</v>
      </c>
      <c r="D656" s="142" t="s">
        <v>794</v>
      </c>
    </row>
    <row r="657" spans="1:4" ht="13.5" thickBot="1" x14ac:dyDescent="0.25">
      <c r="A657" s="149" t="s">
        <v>548</v>
      </c>
      <c r="B657" s="150">
        <v>3000000</v>
      </c>
      <c r="C657" s="148">
        <v>0</v>
      </c>
      <c r="D657" s="142" t="s">
        <v>794</v>
      </c>
    </row>
    <row r="658" spans="1:4" ht="13.5" thickBot="1" x14ac:dyDescent="0.25">
      <c r="A658" s="149" t="s">
        <v>549</v>
      </c>
      <c r="B658" s="150">
        <v>3000000</v>
      </c>
      <c r="C658" s="148">
        <v>0</v>
      </c>
      <c r="D658" s="142" t="s">
        <v>794</v>
      </c>
    </row>
    <row r="659" spans="1:4" ht="13.5" thickBot="1" x14ac:dyDescent="0.25">
      <c r="A659" s="149" t="s">
        <v>550</v>
      </c>
      <c r="B659" s="150">
        <v>3000000</v>
      </c>
      <c r="C659" s="148">
        <v>0</v>
      </c>
      <c r="D659" s="142" t="s">
        <v>794</v>
      </c>
    </row>
    <row r="660" spans="1:4" ht="13.5" thickBot="1" x14ac:dyDescent="0.25">
      <c r="A660" s="149" t="s">
        <v>551</v>
      </c>
      <c r="B660" s="150">
        <v>3000000</v>
      </c>
      <c r="C660" s="148">
        <v>0</v>
      </c>
      <c r="D660" s="142" t="s">
        <v>794</v>
      </c>
    </row>
    <row r="661" spans="1:4" ht="13.5" thickBot="1" x14ac:dyDescent="0.25">
      <c r="A661" s="149" t="s">
        <v>552</v>
      </c>
      <c r="B661" s="150">
        <v>3000000</v>
      </c>
      <c r="C661" s="148">
        <v>0</v>
      </c>
      <c r="D661" s="142" t="s">
        <v>794</v>
      </c>
    </row>
    <row r="662" spans="1:4" ht="13.5" thickBot="1" x14ac:dyDescent="0.25">
      <c r="A662" s="149" t="s">
        <v>553</v>
      </c>
      <c r="B662" s="150">
        <v>3000000</v>
      </c>
      <c r="C662" s="148">
        <v>0</v>
      </c>
      <c r="D662" s="142" t="s">
        <v>794</v>
      </c>
    </row>
    <row r="663" spans="1:4" ht="13.5" thickBot="1" x14ac:dyDescent="0.25">
      <c r="A663" s="149" t="s">
        <v>554</v>
      </c>
      <c r="B663" s="150">
        <v>3000000</v>
      </c>
      <c r="C663" s="148">
        <v>0</v>
      </c>
      <c r="D663" s="142" t="s">
        <v>794</v>
      </c>
    </row>
    <row r="664" spans="1:4" ht="13.5" thickBot="1" x14ac:dyDescent="0.25">
      <c r="A664" s="149" t="s">
        <v>555</v>
      </c>
      <c r="B664" s="150">
        <v>3000000</v>
      </c>
      <c r="C664" s="148">
        <v>0</v>
      </c>
      <c r="D664" s="142" t="s">
        <v>794</v>
      </c>
    </row>
    <row r="665" spans="1:4" ht="13.5" thickBot="1" x14ac:dyDescent="0.25">
      <c r="A665" s="149" t="s">
        <v>556</v>
      </c>
      <c r="B665" s="150">
        <v>3000000</v>
      </c>
      <c r="C665" s="148">
        <v>0</v>
      </c>
      <c r="D665" s="142" t="s">
        <v>794</v>
      </c>
    </row>
    <row r="666" spans="1:4" ht="13.5" thickBot="1" x14ac:dyDescent="0.25">
      <c r="A666" s="149" t="s">
        <v>557</v>
      </c>
      <c r="B666" s="150">
        <v>3000000</v>
      </c>
      <c r="C666" s="148">
        <v>0</v>
      </c>
      <c r="D666" s="142" t="s">
        <v>794</v>
      </c>
    </row>
    <row r="667" spans="1:4" ht="13.5" thickBot="1" x14ac:dyDescent="0.25">
      <c r="A667" s="149" t="s">
        <v>558</v>
      </c>
      <c r="B667" s="150">
        <v>3000000</v>
      </c>
      <c r="C667" s="148">
        <v>0</v>
      </c>
      <c r="D667" s="142" t="s">
        <v>794</v>
      </c>
    </row>
    <row r="668" spans="1:4" ht="13.5" thickBot="1" x14ac:dyDescent="0.25">
      <c r="A668" s="149" t="s">
        <v>694</v>
      </c>
      <c r="B668" s="150">
        <v>3000000</v>
      </c>
      <c r="C668" s="148">
        <v>0</v>
      </c>
      <c r="D668" s="142" t="s">
        <v>794</v>
      </c>
    </row>
    <row r="669" spans="1:4" ht="13.5" thickBot="1" x14ac:dyDescent="0.25">
      <c r="A669" s="149" t="s">
        <v>695</v>
      </c>
      <c r="B669" s="150">
        <v>3000000</v>
      </c>
      <c r="C669" s="148">
        <v>0</v>
      </c>
      <c r="D669" s="142" t="s">
        <v>794</v>
      </c>
    </row>
    <row r="670" spans="1:4" ht="13.5" thickBot="1" x14ac:dyDescent="0.25">
      <c r="A670" s="149" t="s">
        <v>696</v>
      </c>
      <c r="B670" s="150">
        <v>3000000</v>
      </c>
      <c r="C670" s="148">
        <v>0</v>
      </c>
      <c r="D670" s="142" t="s">
        <v>794</v>
      </c>
    </row>
    <row r="671" spans="1:4" ht="13.5" thickBot="1" x14ac:dyDescent="0.25">
      <c r="A671" s="149" t="s">
        <v>697</v>
      </c>
      <c r="B671" s="150">
        <v>3000000</v>
      </c>
      <c r="C671" s="148">
        <v>0</v>
      </c>
      <c r="D671" s="142" t="s">
        <v>794</v>
      </c>
    </row>
    <row r="672" spans="1:4" ht="13.5" thickBot="1" x14ac:dyDescent="0.25">
      <c r="A672" s="149" t="s">
        <v>698</v>
      </c>
      <c r="B672" s="150">
        <v>3000000</v>
      </c>
      <c r="C672" s="148">
        <v>0</v>
      </c>
      <c r="D672" s="142" t="s">
        <v>794</v>
      </c>
    </row>
    <row r="673" spans="1:4" ht="13.5" thickBot="1" x14ac:dyDescent="0.25">
      <c r="A673" s="149" t="s">
        <v>699</v>
      </c>
      <c r="B673" s="150">
        <v>3000000</v>
      </c>
      <c r="C673" s="148">
        <v>0</v>
      </c>
      <c r="D673" s="142" t="s">
        <v>794</v>
      </c>
    </row>
    <row r="674" spans="1:4" ht="13.5" thickBot="1" x14ac:dyDescent="0.25">
      <c r="A674" s="149" t="s">
        <v>700</v>
      </c>
      <c r="B674" s="150">
        <v>3000000</v>
      </c>
      <c r="C674" s="148">
        <v>0</v>
      </c>
      <c r="D674" s="142" t="s">
        <v>794</v>
      </c>
    </row>
    <row r="675" spans="1:4" ht="13.5" thickBot="1" x14ac:dyDescent="0.25">
      <c r="A675" s="149" t="s">
        <v>701</v>
      </c>
      <c r="B675" s="150">
        <v>3000000</v>
      </c>
      <c r="C675" s="148">
        <v>0</v>
      </c>
      <c r="D675" s="142" t="s">
        <v>794</v>
      </c>
    </row>
    <row r="676" spans="1:4" ht="13.5" thickBot="1" x14ac:dyDescent="0.25">
      <c r="A676" s="149" t="s">
        <v>702</v>
      </c>
      <c r="B676" s="150">
        <v>3000000</v>
      </c>
      <c r="C676" s="148">
        <v>0</v>
      </c>
      <c r="D676" s="142" t="s">
        <v>794</v>
      </c>
    </row>
    <row r="677" spans="1:4" ht="13.5" thickBot="1" x14ac:dyDescent="0.25">
      <c r="A677" s="149" t="s">
        <v>703</v>
      </c>
      <c r="B677" s="150">
        <v>3000000</v>
      </c>
      <c r="C677" s="148">
        <v>0</v>
      </c>
      <c r="D677" s="142" t="s">
        <v>794</v>
      </c>
    </row>
    <row r="678" spans="1:4" ht="13.5" thickBot="1" x14ac:dyDescent="0.25">
      <c r="A678" s="149" t="s">
        <v>704</v>
      </c>
      <c r="B678" s="150">
        <v>3000000</v>
      </c>
      <c r="C678" s="148">
        <v>0</v>
      </c>
      <c r="D678" s="142" t="s">
        <v>794</v>
      </c>
    </row>
    <row r="679" spans="1:4" ht="13.5" thickBot="1" x14ac:dyDescent="0.25">
      <c r="A679" s="149" t="s">
        <v>705</v>
      </c>
      <c r="B679" s="150">
        <v>3000000</v>
      </c>
      <c r="C679" s="148">
        <v>0</v>
      </c>
      <c r="D679" s="142" t="s">
        <v>794</v>
      </c>
    </row>
    <row r="680" spans="1:4" ht="13.5" thickBot="1" x14ac:dyDescent="0.25">
      <c r="A680" s="149" t="s">
        <v>706</v>
      </c>
      <c r="B680" s="150">
        <v>3000000</v>
      </c>
      <c r="C680" s="148">
        <v>0</v>
      </c>
      <c r="D680" s="142" t="s">
        <v>794</v>
      </c>
    </row>
    <row r="681" spans="1:4" ht="13.5" thickBot="1" x14ac:dyDescent="0.25">
      <c r="A681" s="149" t="s">
        <v>707</v>
      </c>
      <c r="B681" s="150">
        <v>3000000</v>
      </c>
      <c r="C681" s="148">
        <v>0</v>
      </c>
      <c r="D681" s="142" t="s">
        <v>794</v>
      </c>
    </row>
    <row r="682" spans="1:4" ht="13.5" thickBot="1" x14ac:dyDescent="0.25">
      <c r="A682" s="149" t="s">
        <v>708</v>
      </c>
      <c r="B682" s="150">
        <v>3000000</v>
      </c>
      <c r="C682" s="148">
        <v>0</v>
      </c>
      <c r="D682" s="142" t="s">
        <v>794</v>
      </c>
    </row>
    <row r="683" spans="1:4" ht="13.5" thickBot="1" x14ac:dyDescent="0.25">
      <c r="A683" s="149" t="s">
        <v>709</v>
      </c>
      <c r="B683" s="150">
        <v>3000000</v>
      </c>
      <c r="C683" s="148">
        <v>0</v>
      </c>
      <c r="D683" s="142" t="s">
        <v>794</v>
      </c>
    </row>
    <row r="684" spans="1:4" ht="13.5" thickBot="1" x14ac:dyDescent="0.25">
      <c r="A684" s="149" t="s">
        <v>710</v>
      </c>
      <c r="B684" s="150">
        <v>3000000</v>
      </c>
      <c r="C684" s="148">
        <v>0</v>
      </c>
      <c r="D684" s="142" t="s">
        <v>794</v>
      </c>
    </row>
    <row r="685" spans="1:4" ht="13.5" thickBot="1" x14ac:dyDescent="0.25">
      <c r="A685" s="149" t="s">
        <v>559</v>
      </c>
      <c r="B685" s="150">
        <v>3000000</v>
      </c>
      <c r="C685" s="148">
        <v>0</v>
      </c>
      <c r="D685" s="142" t="s">
        <v>794</v>
      </c>
    </row>
    <row r="686" spans="1:4" ht="13.5" thickBot="1" x14ac:dyDescent="0.25">
      <c r="A686" s="149" t="s">
        <v>560</v>
      </c>
      <c r="B686" s="150">
        <v>3000000</v>
      </c>
      <c r="C686" s="148">
        <v>0</v>
      </c>
      <c r="D686" s="142" t="s">
        <v>794</v>
      </c>
    </row>
    <row r="687" spans="1:4" ht="13.5" thickBot="1" x14ac:dyDescent="0.25">
      <c r="A687" s="149" t="s">
        <v>561</v>
      </c>
      <c r="B687" s="150">
        <v>3000000</v>
      </c>
      <c r="C687" s="148">
        <v>0</v>
      </c>
      <c r="D687" s="142" t="s">
        <v>794</v>
      </c>
    </row>
    <row r="688" spans="1:4" ht="13.5" thickBot="1" x14ac:dyDescent="0.25">
      <c r="A688" s="149" t="s">
        <v>562</v>
      </c>
      <c r="B688" s="150">
        <v>3000000</v>
      </c>
      <c r="C688" s="148">
        <v>0</v>
      </c>
      <c r="D688" s="142" t="s">
        <v>794</v>
      </c>
    </row>
    <row r="689" spans="1:4" ht="13.5" thickBot="1" x14ac:dyDescent="0.25">
      <c r="A689" s="149" t="s">
        <v>563</v>
      </c>
      <c r="B689" s="150">
        <v>3000000</v>
      </c>
      <c r="C689" s="148">
        <v>0</v>
      </c>
      <c r="D689" s="142" t="s">
        <v>794</v>
      </c>
    </row>
    <row r="690" spans="1:4" ht="13.5" thickBot="1" x14ac:dyDescent="0.25">
      <c r="A690" s="149" t="s">
        <v>564</v>
      </c>
      <c r="B690" s="150">
        <v>3000000</v>
      </c>
      <c r="C690" s="148">
        <v>0</v>
      </c>
      <c r="D690" s="142" t="s">
        <v>794</v>
      </c>
    </row>
    <row r="691" spans="1:4" ht="13.5" thickBot="1" x14ac:dyDescent="0.25">
      <c r="A691" s="149" t="s">
        <v>565</v>
      </c>
      <c r="B691" s="150">
        <v>3000000</v>
      </c>
      <c r="C691" s="148">
        <v>0</v>
      </c>
      <c r="D691" s="142" t="s">
        <v>794</v>
      </c>
    </row>
    <row r="692" spans="1:4" ht="13.5" thickBot="1" x14ac:dyDescent="0.25">
      <c r="A692" s="149" t="s">
        <v>566</v>
      </c>
      <c r="B692" s="150">
        <v>3000000</v>
      </c>
      <c r="C692" s="148">
        <v>0</v>
      </c>
      <c r="D692" s="142" t="s">
        <v>794</v>
      </c>
    </row>
    <row r="693" spans="1:4" ht="13.5" thickBot="1" x14ac:dyDescent="0.25">
      <c r="A693" s="149" t="s">
        <v>567</v>
      </c>
      <c r="B693" s="150">
        <v>3000000</v>
      </c>
      <c r="C693" s="148">
        <v>0</v>
      </c>
      <c r="D693" s="142" t="s">
        <v>794</v>
      </c>
    </row>
    <row r="694" spans="1:4" ht="13.5" thickBot="1" x14ac:dyDescent="0.25">
      <c r="A694" s="149" t="s">
        <v>568</v>
      </c>
      <c r="B694" s="150">
        <v>3000000</v>
      </c>
      <c r="C694" s="148">
        <v>0</v>
      </c>
      <c r="D694" s="142" t="s">
        <v>794</v>
      </c>
    </row>
    <row r="695" spans="1:4" ht="13.5" thickBot="1" x14ac:dyDescent="0.25">
      <c r="A695" s="149" t="s">
        <v>569</v>
      </c>
      <c r="B695" s="150">
        <v>3000000</v>
      </c>
      <c r="C695" s="148">
        <v>0</v>
      </c>
      <c r="D695" s="142" t="s">
        <v>794</v>
      </c>
    </row>
    <row r="696" spans="1:4" ht="13.5" thickBot="1" x14ac:dyDescent="0.25">
      <c r="A696" s="149" t="s">
        <v>570</v>
      </c>
      <c r="B696" s="150">
        <v>3000000</v>
      </c>
      <c r="C696" s="148">
        <v>0</v>
      </c>
      <c r="D696" s="142" t="s">
        <v>794</v>
      </c>
    </row>
    <row r="697" spans="1:4" ht="13.5" thickBot="1" x14ac:dyDescent="0.25">
      <c r="A697" s="149" t="s">
        <v>571</v>
      </c>
      <c r="B697" s="150">
        <v>3000000</v>
      </c>
      <c r="C697" s="148">
        <v>0</v>
      </c>
      <c r="D697" s="142" t="s">
        <v>794</v>
      </c>
    </row>
    <row r="698" spans="1:4" ht="13.5" thickBot="1" x14ac:dyDescent="0.25">
      <c r="A698" s="149" t="s">
        <v>375</v>
      </c>
      <c r="B698" s="150">
        <v>5000000</v>
      </c>
      <c r="C698" s="148">
        <v>0</v>
      </c>
      <c r="D698" s="142" t="s">
        <v>794</v>
      </c>
    </row>
    <row r="699" spans="1:4" ht="13.5" thickBot="1" x14ac:dyDescent="0.25">
      <c r="A699" s="149" t="s">
        <v>376</v>
      </c>
      <c r="B699" s="150">
        <v>5000000</v>
      </c>
      <c r="C699" s="148">
        <v>0</v>
      </c>
      <c r="D699" s="142" t="s">
        <v>794</v>
      </c>
    </row>
    <row r="700" spans="1:4" ht="13.5" thickBot="1" x14ac:dyDescent="0.25">
      <c r="A700" s="149" t="s">
        <v>377</v>
      </c>
      <c r="B700" s="150">
        <v>5000000</v>
      </c>
      <c r="C700" s="148">
        <v>0</v>
      </c>
      <c r="D700" s="142" t="s">
        <v>794</v>
      </c>
    </row>
    <row r="701" spans="1:4" ht="13.5" thickBot="1" x14ac:dyDescent="0.25">
      <c r="A701" s="149" t="s">
        <v>378</v>
      </c>
      <c r="B701" s="150">
        <v>5000000</v>
      </c>
      <c r="C701" s="148">
        <v>0</v>
      </c>
      <c r="D701" s="142" t="s">
        <v>794</v>
      </c>
    </row>
    <row r="702" spans="1:4" ht="13.5" thickBot="1" x14ac:dyDescent="0.25">
      <c r="A702" s="149" t="s">
        <v>379</v>
      </c>
      <c r="B702" s="150">
        <v>5000000</v>
      </c>
      <c r="C702" s="148">
        <v>0</v>
      </c>
      <c r="D702" s="142" t="s">
        <v>794</v>
      </c>
    </row>
    <row r="703" spans="1:4" ht="13.5" thickBot="1" x14ac:dyDescent="0.25">
      <c r="A703" s="149" t="s">
        <v>380</v>
      </c>
      <c r="B703" s="150">
        <v>5000000</v>
      </c>
      <c r="C703" s="148">
        <v>0</v>
      </c>
      <c r="D703" s="142" t="s">
        <v>794</v>
      </c>
    </row>
    <row r="704" spans="1:4" ht="13.5" thickBot="1" x14ac:dyDescent="0.25">
      <c r="A704" s="149" t="s">
        <v>381</v>
      </c>
      <c r="B704" s="150">
        <v>5000000</v>
      </c>
      <c r="C704" s="148">
        <v>0</v>
      </c>
      <c r="D704" s="142" t="s">
        <v>794</v>
      </c>
    </row>
    <row r="705" spans="1:4" ht="13.5" thickBot="1" x14ac:dyDescent="0.25">
      <c r="A705" s="149" t="s">
        <v>382</v>
      </c>
      <c r="B705" s="150">
        <v>5000000</v>
      </c>
      <c r="C705" s="148">
        <v>0</v>
      </c>
      <c r="D705" s="142" t="s">
        <v>794</v>
      </c>
    </row>
    <row r="706" spans="1:4" ht="13.5" thickBot="1" x14ac:dyDescent="0.25">
      <c r="A706" s="149" t="s">
        <v>383</v>
      </c>
      <c r="B706" s="150">
        <v>5000000</v>
      </c>
      <c r="C706" s="148">
        <v>0</v>
      </c>
      <c r="D706" s="142" t="s">
        <v>794</v>
      </c>
    </row>
    <row r="707" spans="1:4" ht="13.5" thickBot="1" x14ac:dyDescent="0.25">
      <c r="A707" s="149" t="s">
        <v>384</v>
      </c>
      <c r="B707" s="150">
        <v>5000000</v>
      </c>
      <c r="C707" s="148">
        <v>0</v>
      </c>
      <c r="D707" s="142" t="s">
        <v>794</v>
      </c>
    </row>
    <row r="708" spans="1:4" ht="13.5" thickBot="1" x14ac:dyDescent="0.25">
      <c r="A708" s="149" t="s">
        <v>385</v>
      </c>
      <c r="B708" s="150">
        <v>5000000</v>
      </c>
      <c r="C708" s="148">
        <v>0</v>
      </c>
      <c r="D708" s="142" t="s">
        <v>794</v>
      </c>
    </row>
    <row r="709" spans="1:4" ht="13.5" thickBot="1" x14ac:dyDescent="0.25">
      <c r="A709" s="149" t="s">
        <v>386</v>
      </c>
      <c r="B709" s="150">
        <v>5000000</v>
      </c>
      <c r="C709" s="148">
        <v>0</v>
      </c>
      <c r="D709" s="142" t="s">
        <v>794</v>
      </c>
    </row>
    <row r="710" spans="1:4" ht="13.5" thickBot="1" x14ac:dyDescent="0.25">
      <c r="A710" s="149" t="s">
        <v>387</v>
      </c>
      <c r="B710" s="150">
        <v>5000000</v>
      </c>
      <c r="C710" s="148">
        <v>0</v>
      </c>
      <c r="D710" s="142" t="s">
        <v>794</v>
      </c>
    </row>
    <row r="711" spans="1:4" ht="13.5" thickBot="1" x14ac:dyDescent="0.25">
      <c r="A711" s="149" t="s">
        <v>388</v>
      </c>
      <c r="B711" s="150">
        <v>5000000</v>
      </c>
      <c r="C711" s="148">
        <v>0</v>
      </c>
      <c r="D711" s="142" t="s">
        <v>794</v>
      </c>
    </row>
    <row r="712" spans="1:4" ht="13.5" thickBot="1" x14ac:dyDescent="0.25">
      <c r="A712" s="146" t="s">
        <v>389</v>
      </c>
      <c r="B712" s="147">
        <v>5000000</v>
      </c>
      <c r="C712" s="148">
        <v>0</v>
      </c>
      <c r="D712" s="142" t="s">
        <v>4</v>
      </c>
    </row>
    <row r="713" spans="1:4" ht="13.5" thickBot="1" x14ac:dyDescent="0.25">
      <c r="A713" s="149" t="s">
        <v>390</v>
      </c>
      <c r="B713" s="150">
        <v>5000000</v>
      </c>
      <c r="C713" s="148">
        <v>0</v>
      </c>
      <c r="D713" s="142" t="s">
        <v>794</v>
      </c>
    </row>
    <row r="714" spans="1:4" ht="13.5" thickBot="1" x14ac:dyDescent="0.25">
      <c r="A714" s="149" t="s">
        <v>391</v>
      </c>
      <c r="B714" s="150">
        <v>5000000</v>
      </c>
      <c r="C714" s="148">
        <v>0</v>
      </c>
      <c r="D714" s="142" t="s">
        <v>794</v>
      </c>
    </row>
    <row r="715" spans="1:4" ht="13.5" thickBot="1" x14ac:dyDescent="0.25">
      <c r="A715" s="149" t="s">
        <v>392</v>
      </c>
      <c r="B715" s="150">
        <v>5000000</v>
      </c>
      <c r="C715" s="148">
        <v>0</v>
      </c>
      <c r="D715" s="142" t="s">
        <v>794</v>
      </c>
    </row>
    <row r="716" spans="1:4" ht="13.5" thickBot="1" x14ac:dyDescent="0.25">
      <c r="A716" s="149" t="s">
        <v>393</v>
      </c>
      <c r="B716" s="150">
        <v>5000000</v>
      </c>
      <c r="C716" s="148">
        <v>0</v>
      </c>
      <c r="D716" s="142" t="s">
        <v>794</v>
      </c>
    </row>
    <row r="717" spans="1:4" ht="13.5" thickBot="1" x14ac:dyDescent="0.25">
      <c r="A717" s="149" t="s">
        <v>394</v>
      </c>
      <c r="B717" s="150">
        <v>5000000</v>
      </c>
      <c r="C717" s="148">
        <v>0</v>
      </c>
      <c r="D717" s="142" t="s">
        <v>794</v>
      </c>
    </row>
    <row r="718" spans="1:4" ht="13.5" thickBot="1" x14ac:dyDescent="0.25">
      <c r="A718" s="149" t="s">
        <v>395</v>
      </c>
      <c r="B718" s="150">
        <v>5000000</v>
      </c>
      <c r="C718" s="148">
        <v>0</v>
      </c>
      <c r="D718" s="142" t="s">
        <v>794</v>
      </c>
    </row>
    <row r="719" spans="1:4" ht="13.5" thickBot="1" x14ac:dyDescent="0.25">
      <c r="A719" s="149" t="s">
        <v>396</v>
      </c>
      <c r="B719" s="150">
        <v>5000000</v>
      </c>
      <c r="C719" s="148">
        <v>0</v>
      </c>
      <c r="D719" s="142" t="s">
        <v>794</v>
      </c>
    </row>
    <row r="720" spans="1:4" ht="13.5" thickBot="1" x14ac:dyDescent="0.25">
      <c r="A720" s="149" t="s">
        <v>397</v>
      </c>
      <c r="B720" s="150">
        <v>5000000</v>
      </c>
      <c r="C720" s="148">
        <v>0</v>
      </c>
      <c r="D720" s="142" t="s">
        <v>794</v>
      </c>
    </row>
    <row r="721" spans="1:4" ht="13.5" thickBot="1" x14ac:dyDescent="0.25">
      <c r="A721" s="149" t="s">
        <v>398</v>
      </c>
      <c r="B721" s="150">
        <v>5000000</v>
      </c>
      <c r="C721" s="148">
        <v>0</v>
      </c>
      <c r="D721" s="142" t="s">
        <v>794</v>
      </c>
    </row>
    <row r="722" spans="1:4" ht="13.5" thickBot="1" x14ac:dyDescent="0.25">
      <c r="A722" s="149" t="s">
        <v>399</v>
      </c>
      <c r="B722" s="150">
        <v>5000000</v>
      </c>
      <c r="C722" s="148">
        <v>0</v>
      </c>
      <c r="D722" s="142" t="s">
        <v>794</v>
      </c>
    </row>
    <row r="723" spans="1:4" ht="13.5" thickBot="1" x14ac:dyDescent="0.25">
      <c r="A723" s="149" t="s">
        <v>400</v>
      </c>
      <c r="B723" s="150">
        <v>5000000</v>
      </c>
      <c r="C723" s="148">
        <v>0</v>
      </c>
      <c r="D723" s="142" t="s">
        <v>794</v>
      </c>
    </row>
    <row r="724" spans="1:4" ht="13.5" thickBot="1" x14ac:dyDescent="0.25">
      <c r="A724" s="149" t="s">
        <v>340</v>
      </c>
      <c r="B724" s="150">
        <v>5000000</v>
      </c>
      <c r="C724" s="148">
        <v>0</v>
      </c>
      <c r="D724" s="142" t="s">
        <v>794</v>
      </c>
    </row>
    <row r="725" spans="1:4" ht="13.5" thickBot="1" x14ac:dyDescent="0.25">
      <c r="A725" s="149" t="s">
        <v>401</v>
      </c>
      <c r="B725" s="150">
        <v>5000000</v>
      </c>
      <c r="C725" s="148">
        <v>0</v>
      </c>
      <c r="D725" s="142" t="s">
        <v>794</v>
      </c>
    </row>
    <row r="726" spans="1:4" ht="13.5" thickBot="1" x14ac:dyDescent="0.25">
      <c r="A726" s="149" t="s">
        <v>402</v>
      </c>
      <c r="B726" s="150">
        <v>5000000</v>
      </c>
      <c r="C726" s="148">
        <v>0</v>
      </c>
      <c r="D726" s="142" t="s">
        <v>794</v>
      </c>
    </row>
    <row r="727" spans="1:4" ht="13.5" thickBot="1" x14ac:dyDescent="0.25">
      <c r="A727" s="149" t="s">
        <v>403</v>
      </c>
      <c r="B727" s="150">
        <v>5000000</v>
      </c>
      <c r="C727" s="148">
        <v>0</v>
      </c>
      <c r="D727" s="142" t="s">
        <v>794</v>
      </c>
    </row>
    <row r="728" spans="1:4" ht="13.5" thickBot="1" x14ac:dyDescent="0.25">
      <c r="A728" s="149" t="s">
        <v>404</v>
      </c>
      <c r="B728" s="150">
        <v>5000000</v>
      </c>
      <c r="C728" s="148">
        <v>0</v>
      </c>
      <c r="D728" s="142" t="s">
        <v>794</v>
      </c>
    </row>
    <row r="729" spans="1:4" ht="13.5" thickBot="1" x14ac:dyDescent="0.25">
      <c r="A729" s="149" t="s">
        <v>405</v>
      </c>
      <c r="B729" s="150">
        <v>5000000</v>
      </c>
      <c r="C729" s="148">
        <v>0</v>
      </c>
      <c r="D729" s="142" t="s">
        <v>794</v>
      </c>
    </row>
    <row r="730" spans="1:4" ht="13.5" thickBot="1" x14ac:dyDescent="0.25">
      <c r="A730" s="149" t="s">
        <v>406</v>
      </c>
      <c r="B730" s="150">
        <v>5000000</v>
      </c>
      <c r="C730" s="148">
        <v>0</v>
      </c>
      <c r="D730" s="142" t="s">
        <v>794</v>
      </c>
    </row>
    <row r="731" spans="1:4" ht="13.5" thickBot="1" x14ac:dyDescent="0.25">
      <c r="A731" s="149" t="s">
        <v>407</v>
      </c>
      <c r="B731" s="150">
        <v>5000000</v>
      </c>
      <c r="C731" s="148">
        <v>0</v>
      </c>
      <c r="D731" s="142" t="s">
        <v>794</v>
      </c>
    </row>
    <row r="732" spans="1:4" ht="13.5" thickBot="1" x14ac:dyDescent="0.25">
      <c r="A732" s="149" t="s">
        <v>408</v>
      </c>
      <c r="B732" s="150">
        <v>5000000</v>
      </c>
      <c r="C732" s="148">
        <v>0</v>
      </c>
      <c r="D732" s="142" t="s">
        <v>794</v>
      </c>
    </row>
    <row r="733" spans="1:4" ht="13.5" thickBot="1" x14ac:dyDescent="0.25">
      <c r="A733" s="149" t="s">
        <v>409</v>
      </c>
      <c r="B733" s="150">
        <v>5000000</v>
      </c>
      <c r="C733" s="148">
        <v>0</v>
      </c>
      <c r="D733" s="142" t="s">
        <v>794</v>
      </c>
    </row>
    <row r="734" spans="1:4" ht="13.5" thickBot="1" x14ac:dyDescent="0.25">
      <c r="A734" s="149" t="s">
        <v>410</v>
      </c>
      <c r="B734" s="150">
        <v>5000000</v>
      </c>
      <c r="C734" s="148">
        <v>0</v>
      </c>
      <c r="D734" s="142" t="s">
        <v>794</v>
      </c>
    </row>
    <row r="735" spans="1:4" ht="13.5" thickBot="1" x14ac:dyDescent="0.25">
      <c r="A735" s="149" t="s">
        <v>411</v>
      </c>
      <c r="B735" s="150">
        <v>5000000</v>
      </c>
      <c r="C735" s="148">
        <v>0</v>
      </c>
      <c r="D735" s="142" t="s">
        <v>794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662DDB4-1997-46E3-8C47-F40A388289A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32</vt:i4>
      </vt:variant>
      <vt:variant>
        <vt:lpstr>Rangos con nombre</vt:lpstr>
      </vt:variant>
      <vt:variant>
        <vt:i4>22</vt:i4>
      </vt:variant>
    </vt:vector>
  </HeadingPairs>
  <TitlesOfParts>
    <vt:vector size="54" baseType="lpstr">
      <vt:lpstr>Datos globales </vt:lpstr>
      <vt:lpstr>Resumen Consolidado</vt:lpstr>
      <vt:lpstr>Recaud (2)</vt:lpstr>
      <vt:lpstr>Recaud</vt:lpstr>
      <vt:lpstr>Resumen Consolidado (2)</vt:lpstr>
      <vt:lpstr>Detalle Inmueble</vt:lpstr>
      <vt:lpstr>Im Final</vt:lpstr>
      <vt:lpstr>Inventario</vt:lpstr>
      <vt:lpstr>Proyeccion Recaudos</vt:lpstr>
      <vt:lpstr>Proyeccion Recaudos (2)</vt:lpstr>
      <vt:lpstr>Detalle Clientes</vt:lpstr>
      <vt:lpstr>Detalle Clientes (2)</vt:lpstr>
      <vt:lpstr>Ventas mes a mes</vt:lpstr>
      <vt:lpstr>Hoja2</vt:lpstr>
      <vt:lpstr>Ventas mes a mes (2)</vt:lpstr>
      <vt:lpstr>Proyeccion de saldos detallados</vt:lpstr>
      <vt:lpstr>Proyeccion de saldos detall (2)</vt:lpstr>
      <vt:lpstr>Resumen Ejecutivo</vt:lpstr>
      <vt:lpstr>Ka</vt:lpstr>
      <vt:lpstr>Im 1A</vt:lpstr>
      <vt:lpstr>Vtas1A</vt:lpstr>
      <vt:lpstr>Im 1B</vt:lpstr>
      <vt:lpstr>Vtas1B</vt:lpstr>
      <vt:lpstr>Im 2</vt:lpstr>
      <vt:lpstr>Vtas2</vt:lpstr>
      <vt:lpstr>Im 3A</vt:lpstr>
      <vt:lpstr>Vtas3A</vt:lpstr>
      <vt:lpstr>Im 3B</vt:lpstr>
      <vt:lpstr>Vtas3B</vt:lpstr>
      <vt:lpstr>Im 4</vt:lpstr>
      <vt:lpstr>Vtas4</vt:lpstr>
      <vt:lpstr>Hoja1</vt:lpstr>
      <vt:lpstr>'Datos globales '!Área_de_impresión</vt:lpstr>
      <vt:lpstr>'Detalle Clientes'!Área_de_impresión</vt:lpstr>
      <vt:lpstr>'Detalle Clientes (2)'!Área_de_impresión</vt:lpstr>
      <vt:lpstr>'Detalle Inmueble'!Área_de_impresión</vt:lpstr>
      <vt:lpstr>Inventario!Área_de_impresión</vt:lpstr>
      <vt:lpstr>'Proyeccion de saldos detall (2)'!Área_de_impresión</vt:lpstr>
      <vt:lpstr>'Proyeccion de saldos detallados'!Área_de_impresión</vt:lpstr>
      <vt:lpstr>'Proyeccion Recaudos'!Área_de_impresión</vt:lpstr>
      <vt:lpstr>'Proyeccion Recaudos (2)'!Área_de_impresión</vt:lpstr>
      <vt:lpstr>Recaud!Área_de_impresión</vt:lpstr>
      <vt:lpstr>'Recaud (2)'!Área_de_impresión</vt:lpstr>
      <vt:lpstr>'Resumen Consolidado'!Área_de_impresión</vt:lpstr>
      <vt:lpstr>'Resumen Consolidado (2)'!Área_de_impresión</vt:lpstr>
      <vt:lpstr>'Resumen Ejecutivo'!Área_de_impresión</vt:lpstr>
      <vt:lpstr>'Ventas mes a mes'!Área_de_impresión</vt:lpstr>
      <vt:lpstr>'Ventas mes a mes (2)'!Área_de_impresión</vt:lpstr>
      <vt:lpstr>'Detalle Clientes'!Títulos_a_imprimir</vt:lpstr>
      <vt:lpstr>'Detalle Clientes (2)'!Títulos_a_imprimir</vt:lpstr>
      <vt:lpstr>'Detalle Inmueble'!Títulos_a_imprimir</vt:lpstr>
      <vt:lpstr>Inventario!Títulos_a_imprimir</vt:lpstr>
      <vt:lpstr>'Proyeccion de saldos detall (2)'!Títulos_a_imprimir</vt:lpstr>
      <vt:lpstr>'Proyeccion de saldos detallados'!Títulos_a_imprimir</vt:lpstr>
    </vt:vector>
  </TitlesOfParts>
  <Company>EQUILIBRIUM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EQUILIBRIUM</dc:creator>
  <cp:lastModifiedBy>Gerson Davian  Largo Ortiz</cp:lastModifiedBy>
  <cp:lastPrinted>2021-09-02T20:33:47Z</cp:lastPrinted>
  <dcterms:created xsi:type="dcterms:W3CDTF">2009-03-09T16:20:19Z</dcterms:created>
  <dcterms:modified xsi:type="dcterms:W3CDTF">2025-10-11T19:16:54Z</dcterms:modified>
</cp:coreProperties>
</file>